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Team Stats" sheetId="2" r:id="rId6"/>
    <sheet state="visible" name="Top Stats" sheetId="3" r:id="rId7"/>
    <sheet state="visible" name="Leaderboards" sheetId="4" r:id="rId8"/>
    <sheet state="visible" name="Runner Stats" sheetId="5" r:id="rId9"/>
    <sheet state="visible" name="PlayerGrades+" sheetId="6" r:id="rId10"/>
    <sheet state="hidden" name="Round Avg" sheetId="7" r:id="rId11"/>
    <sheet state="hidden" name="PG+ Stats" sheetId="8" r:id="rId12"/>
    <sheet state="hidden" name="Full Season PlayerGrades+" sheetId="9" r:id="rId13"/>
    <sheet state="hidden" name="Full Season PG+ Stats" sheetId="10" r:id="rId14"/>
    <sheet state="visible" name="Season Awards" sheetId="11" r:id="rId15"/>
    <sheet state="visible" name="Season+Playoffs Stats" sheetId="12" r:id="rId16"/>
    <sheet state="visible" name="Halo Infinite Stats" sheetId="13" r:id="rId17"/>
    <sheet state="hidden" name="Sheet20" sheetId="14" r:id="rId18"/>
    <sheet state="visible" name="Playoff Stats" sheetId="15" r:id="rId19"/>
    <sheet state="hidden" name="Playoff Stats Pivot" sheetId="16" r:id="rId20"/>
    <sheet state="hidden" name="Detail2-TJP37" sheetId="17" r:id="rId21"/>
    <sheet state="visible" name="Playoff Review HI_MatchH" sheetId="18" r:id="rId22"/>
    <sheet state="hidden" name="Schedule " sheetId="19" r:id="rId23"/>
    <sheet state="visible" name="Match History" sheetId="20" r:id="rId24"/>
    <sheet state="visible" name="Special Thanks" sheetId="21" r:id="rId25"/>
    <sheet state="hidden" name="Review HI_MatchH" sheetId="22" r:id="rId26"/>
    <sheet state="hidden" name="PG Stats" sheetId="23" r:id="rId27"/>
    <sheet state="hidden" name="Awards IN THE WORKS" sheetId="24" r:id="rId28"/>
    <sheet state="hidden" name="Playoffs" sheetId="25" r:id="rId29"/>
  </sheets>
  <definedNames/>
  <calcPr/>
  <pivotCaches>
    <pivotCache cacheId="0" r:id="rId30"/>
    <pivotCache cacheId="1" r:id="rId31"/>
    <pivotCache cacheId="2" r:id="rId3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Can you punch swords often? Can you beat swords often? Or Trade them and not simply lose?
</t>
      </text>
    </comment>
    <comment authorId="0" ref="T1">
      <text>
        <t xml:space="preserve">Can you go on hot streaks of not dying? Can you stay alive for your team?
</t>
      </text>
    </comment>
    <comment authorId="0" ref="V1">
      <text>
        <t xml:space="preserve">Can you be hot and take out multiple enemies in order to help your team?
</t>
      </text>
    </comment>
    <comment authorId="0" ref="X1">
      <text>
        <t xml:space="preserve">Are you aggressive? Do you kill a lot of things as a player or do you play very passive?
</t>
      </text>
    </comment>
    <comment authorId="0" ref="Z1">
      <text>
        <t xml:space="preserve">Can you use Equipment? Do you change the course of the game singlehanded?
</t>
      </text>
    </comment>
    <comment authorId="0" ref="L1">
      <text>
        <t xml:space="preserve">Pancakes+Whiplash+Ninja+Exterm?
</t>
      </text>
    </comment>
    <comment authorId="0" ref="N1">
      <text>
        <t xml:space="preserve">Do you play Objective?
</t>
      </text>
    </comment>
    <comment authorId="0" ref="P1">
      <text>
        <t xml:space="preserve">Do you kill things without being killed? Are you better at the core mechanics than the other team?
</t>
      </text>
    </comment>
  </commentList>
</comments>
</file>

<file path=xl/sharedStrings.xml><?xml version="1.0" encoding="utf-8"?>
<sst xmlns="http://schemas.openxmlformats.org/spreadsheetml/2006/main" count="3076" uniqueCount="1017">
  <si>
    <t>Top Stats</t>
  </si>
  <si>
    <t>KD Spread</t>
  </si>
  <si>
    <t>Team Name:</t>
  </si>
  <si>
    <t>Total Kills</t>
  </si>
  <si>
    <t>OREO</t>
  </si>
  <si>
    <t>Total Goals</t>
  </si>
  <si>
    <t>The Crawller Death Squad</t>
  </si>
  <si>
    <t>The Grif S.A.G.A.</t>
  </si>
  <si>
    <t>Mystery Heroes</t>
  </si>
  <si>
    <t>Trespa5s</t>
  </si>
  <si>
    <t>Rank</t>
  </si>
  <si>
    <t>Team Names</t>
  </si>
  <si>
    <t>Player</t>
  </si>
  <si>
    <t>Off in the Shower</t>
  </si>
  <si>
    <t>Ram Ranch</t>
  </si>
  <si>
    <t>MenZ's Grossly Large Backpack</t>
  </si>
  <si>
    <t>Games</t>
  </si>
  <si>
    <t>Wins</t>
  </si>
  <si>
    <t>Losses</t>
  </si>
  <si>
    <t>USURPER SZN</t>
  </si>
  <si>
    <t>Goals</t>
  </si>
  <si>
    <t>Ball Punches</t>
  </si>
  <si>
    <t>Kills</t>
  </si>
  <si>
    <t>Deaths</t>
  </si>
  <si>
    <t>K-D Spread</t>
  </si>
  <si>
    <t>Assists</t>
  </si>
  <si>
    <t>Glory 2 God</t>
  </si>
  <si>
    <t>Game Time</t>
  </si>
  <si>
    <t>Quit Fuckin Betrayin’ Me</t>
  </si>
  <si>
    <t>Sprees</t>
  </si>
  <si>
    <t>Frenzys+</t>
  </si>
  <si>
    <t>Grand Slam</t>
  </si>
  <si>
    <t>Double Kills</t>
  </si>
  <si>
    <t>Triple Kills</t>
  </si>
  <si>
    <t>Over+</t>
  </si>
  <si>
    <t>Exterms</t>
  </si>
  <si>
    <t>Pancakes</t>
  </si>
  <si>
    <t>Captain:</t>
  </si>
  <si>
    <t>Player Grade</t>
  </si>
  <si>
    <t xml:space="preserve"> PlayerGrade Rating</t>
  </si>
  <si>
    <t>OREOTHECAT</t>
  </si>
  <si>
    <t>Deathcrawller</t>
  </si>
  <si>
    <t>amnatu</t>
  </si>
  <si>
    <t xml:space="preserve">       Player</t>
  </si>
  <si>
    <t>Holy Morals</t>
  </si>
  <si>
    <t>K/D whores</t>
  </si>
  <si>
    <t>Doerstopper</t>
  </si>
  <si>
    <t>Top Five</t>
  </si>
  <si>
    <t>MuNgO PuNgO</t>
  </si>
  <si>
    <t>Scullen cx</t>
  </si>
  <si>
    <t>W Key Warrior</t>
  </si>
  <si>
    <t>Spankatr0n</t>
  </si>
  <si>
    <t>ASpence501</t>
  </si>
  <si>
    <t>Spree Kings</t>
  </si>
  <si>
    <t>MysticalNovice</t>
  </si>
  <si>
    <t>1st Round:</t>
  </si>
  <si>
    <t>Mav's Stat</t>
  </si>
  <si>
    <t>Clydrohsun</t>
  </si>
  <si>
    <t>Running Wild</t>
  </si>
  <si>
    <t>6-S HEXAS</t>
  </si>
  <si>
    <t>KD Ratio</t>
  </si>
  <si>
    <t>Game Time IN Seconds</t>
  </si>
  <si>
    <t>yLuxe</t>
  </si>
  <si>
    <t>Regular Season</t>
  </si>
  <si>
    <t>Total Sprees</t>
  </si>
  <si>
    <t xml:space="preserve">Ace B S1lentND1 </t>
  </si>
  <si>
    <t>Memorized</t>
  </si>
  <si>
    <t>Runner Grade</t>
  </si>
  <si>
    <t>Itzreelz</t>
  </si>
  <si>
    <t>DCleak</t>
  </si>
  <si>
    <t xml:space="preserve">Fanciest Pants        </t>
  </si>
  <si>
    <t>Regular Season + Playoffs</t>
  </si>
  <si>
    <t xml:space="preserve">Jussshhhyyy        </t>
  </si>
  <si>
    <t xml:space="preserve">Scomancer        </t>
  </si>
  <si>
    <t>oh zilly</t>
  </si>
  <si>
    <t>Mavbrid</t>
  </si>
  <si>
    <t>Compass</t>
  </si>
  <si>
    <t>2nd Round:</t>
  </si>
  <si>
    <t>Pd Craig 69</t>
  </si>
  <si>
    <t>CaptainSev004</t>
  </si>
  <si>
    <t>Grunt Padre</t>
  </si>
  <si>
    <t>Immørzlx</t>
  </si>
  <si>
    <t>Mr epic beast</t>
  </si>
  <si>
    <t>Beam1n1</t>
  </si>
  <si>
    <t xml:space="preserve">Tommyywestside        </t>
  </si>
  <si>
    <t xml:space="preserve">Its Rainin MenZ        </t>
  </si>
  <si>
    <t xml:space="preserve">AwareMosquito        </t>
  </si>
  <si>
    <t xml:space="preserve">NOPLEX        </t>
  </si>
  <si>
    <t xml:space="preserve">Almighty Tycoon        </t>
  </si>
  <si>
    <t>3rd Round:</t>
  </si>
  <si>
    <t xml:space="preserve">ThePro#1771        </t>
  </si>
  <si>
    <t xml:space="preserve">TJP37        </t>
  </si>
  <si>
    <t xml:space="preserve">ABOVEAVGJ0HN        </t>
  </si>
  <si>
    <t>Priest XYZ</t>
  </si>
  <si>
    <t xml:space="preserve">GeneralCornBeef        </t>
  </si>
  <si>
    <t xml:space="preserve">WeirdPG        </t>
  </si>
  <si>
    <t>KDSkill</t>
  </si>
  <si>
    <t xml:space="preserve">Ram Osneb        </t>
  </si>
  <si>
    <t xml:space="preserve">StarMonster8129        </t>
  </si>
  <si>
    <t xml:space="preserve">Ken Khaneki        </t>
  </si>
  <si>
    <t>THEChickyGod</t>
  </si>
  <si>
    <t>Team Standings</t>
  </si>
  <si>
    <t>Record</t>
  </si>
  <si>
    <t>Quit Fuckin Betrayin’ Me (Novice)</t>
  </si>
  <si>
    <t>Total Games Played</t>
  </si>
  <si>
    <t>18-2</t>
  </si>
  <si>
    <t>TJP37</t>
  </si>
  <si>
    <t>Average Life</t>
  </si>
  <si>
    <t>Total Ball Punches</t>
  </si>
  <si>
    <t>Glory 2 God (ASpence)</t>
  </si>
  <si>
    <t>16-4</t>
  </si>
  <si>
    <t>Mystery Heroes (Holy)</t>
  </si>
  <si>
    <t>Pck</t>
  </si>
  <si>
    <t>Rnd</t>
  </si>
  <si>
    <t>The Crawller Death Squad (Death)</t>
  </si>
  <si>
    <t>14-6</t>
  </si>
  <si>
    <t>MenZ's Grossly Large Backpack
 (Scullen cx)</t>
  </si>
  <si>
    <t>Games Played</t>
  </si>
  <si>
    <t>11-9</t>
  </si>
  <si>
    <t>Ram Ranch (MuNgO PuNgO)</t>
  </si>
  <si>
    <t>TOTALS:</t>
  </si>
  <si>
    <t>10-10</t>
  </si>
  <si>
    <t>USURPER SZN (Spank)</t>
  </si>
  <si>
    <t>8-12</t>
  </si>
  <si>
    <t>The Grif S.A.G.A. (amnatu)</t>
  </si>
  <si>
    <t>K/D Whores</t>
  </si>
  <si>
    <t>Off In The Shower (Doerstopper)</t>
  </si>
  <si>
    <t>4-16</t>
  </si>
  <si>
    <r>
      <rPr>
        <rFont val="Arial"/>
        <color theme="1"/>
        <sz val="11.0"/>
      </rPr>
      <t xml:space="preserve">(Kills+Assists-Deaths) </t>
    </r>
    <r>
      <rPr>
        <rFont val="Arial"/>
        <b/>
        <color theme="1"/>
        <sz val="11.0"/>
      </rPr>
      <t>per minute</t>
    </r>
  </si>
  <si>
    <t>2-18</t>
  </si>
  <si>
    <t>Punches</t>
  </si>
  <si>
    <t>Team AVG</t>
  </si>
  <si>
    <t>Punch PM</t>
  </si>
  <si>
    <t>GPM</t>
  </si>
  <si>
    <t>Bulltrue PM</t>
  </si>
  <si>
    <t>Sprees PM</t>
  </si>
  <si>
    <t>Grade AVG</t>
  </si>
  <si>
    <t>gAVGmath</t>
  </si>
  <si>
    <t>Players</t>
  </si>
  <si>
    <t>Goals PM</t>
  </si>
  <si>
    <t>KD PM</t>
  </si>
  <si>
    <t>DPM</t>
  </si>
  <si>
    <t>TPM</t>
  </si>
  <si>
    <t>MKPM</t>
  </si>
  <si>
    <t>XFACT</t>
  </si>
  <si>
    <t>KPM</t>
  </si>
  <si>
    <r>
      <rPr>
        <rFont val="Arial"/>
        <color theme="1"/>
        <sz val="11.0"/>
      </rPr>
      <t xml:space="preserve">Sprees </t>
    </r>
    <r>
      <rPr>
        <rFont val="Arial"/>
        <b/>
        <color theme="1"/>
        <sz val="11.0"/>
      </rPr>
      <t>per minute</t>
    </r>
  </si>
  <si>
    <t>Grade</t>
  </si>
  <si>
    <t>Value</t>
  </si>
  <si>
    <t>TommyWstSide</t>
  </si>
  <si>
    <t>S+</t>
  </si>
  <si>
    <r>
      <rPr>
        <rFont val="Arial"/>
        <color theme="1"/>
        <sz val="11.0"/>
      </rPr>
      <t>(Kills+Assists+Deaths)</t>
    </r>
    <r>
      <rPr>
        <rFont val="Arial"/>
        <b/>
        <color theme="1"/>
        <sz val="11.0"/>
      </rPr>
      <t xml:space="preserve"> per minute</t>
    </r>
  </si>
  <si>
    <t>S</t>
  </si>
  <si>
    <r>
      <rPr>
        <rFont val="Arial"/>
        <color theme="1"/>
        <sz val="11.0"/>
      </rPr>
      <t xml:space="preserve">(Goals+Total Bulltrues+Sprees) </t>
    </r>
    <r>
      <rPr>
        <rFont val="Arial"/>
        <b/>
        <color theme="1"/>
        <sz val="11.0"/>
      </rPr>
      <t>per minute</t>
    </r>
  </si>
  <si>
    <t>S-</t>
  </si>
  <si>
    <r>
      <rPr>
        <rFont val="Arial"/>
        <color theme="1"/>
        <sz val="11.0"/>
      </rPr>
      <t xml:space="preserve">(Multikills) </t>
    </r>
    <r>
      <rPr>
        <rFont val="Arial"/>
        <b/>
        <color theme="1"/>
        <sz val="11.0"/>
      </rPr>
      <t>per minute</t>
    </r>
  </si>
  <si>
    <t>A+</t>
  </si>
  <si>
    <t>Top 15</t>
  </si>
  <si>
    <t>A</t>
  </si>
  <si>
    <t>A-</t>
  </si>
  <si>
    <t>NOPLEX</t>
  </si>
  <si>
    <t>B+</t>
  </si>
  <si>
    <t>Ken Khaneki</t>
  </si>
  <si>
    <r>
      <rPr>
        <rFont val="Arial"/>
        <color theme="1"/>
        <sz val="11.0"/>
      </rPr>
      <t xml:space="preserve">(Goals/GamesPlayed/5)+(Kills+Assists-Deaths+MultiKills+Grand Slams+Exterms) </t>
    </r>
    <r>
      <rPr>
        <rFont val="Arial"/>
        <b/>
        <color theme="1"/>
        <sz val="11.0"/>
      </rPr>
      <t>per minute</t>
    </r>
  </si>
  <si>
    <t>B</t>
  </si>
  <si>
    <t>A(Q3/Q1)</t>
  </si>
  <si>
    <t>B-</t>
  </si>
  <si>
    <t>SPANKATRON</t>
  </si>
  <si>
    <t>C+</t>
  </si>
  <si>
    <t>Multi-talented</t>
  </si>
  <si>
    <t>(Multikills/Total Kills)</t>
  </si>
  <si>
    <t>C</t>
  </si>
  <si>
    <t>Jussshhhyyy</t>
  </si>
  <si>
    <t>C-</t>
  </si>
  <si>
    <t>AwareMosquito</t>
  </si>
  <si>
    <t>D+</t>
  </si>
  <si>
    <t>ill Shrek u</t>
  </si>
  <si>
    <t>Boxer</t>
  </si>
  <si>
    <r>
      <rPr>
        <rFont val="Arial"/>
        <color theme="1"/>
        <sz val="11.0"/>
      </rPr>
      <t xml:space="preserve">Ball Punches </t>
    </r>
    <r>
      <rPr>
        <rFont val="Arial"/>
        <b/>
        <color theme="1"/>
        <sz val="11.0"/>
      </rPr>
      <t>per minute</t>
    </r>
  </si>
  <si>
    <t>D</t>
  </si>
  <si>
    <t>B(MED-A/C)</t>
  </si>
  <si>
    <t>D-</t>
  </si>
  <si>
    <t xml:space="preserve">Grades are based on player per minute stats. Any player that has under 5-8 games played will have stat inflation. Do not trust their grade.                                
                                </t>
  </si>
  <si>
    <t>E+</t>
  </si>
  <si>
    <t>E</t>
  </si>
  <si>
    <t>Its Rainin MenZ</t>
  </si>
  <si>
    <t>E-</t>
  </si>
  <si>
    <t>Ram Osneb</t>
  </si>
  <si>
    <t>F+</t>
  </si>
  <si>
    <t>C(Q2)</t>
  </si>
  <si>
    <t>F</t>
  </si>
  <si>
    <t>F-</t>
  </si>
  <si>
    <t>ffffff</t>
  </si>
  <si>
    <t>Trespa5s's Team</t>
  </si>
  <si>
    <t>Red means you can't trust their grade</t>
  </si>
  <si>
    <t>GeneralCornBeef</t>
  </si>
  <si>
    <t>D(MED-C/E)</t>
  </si>
  <si>
    <t>Fanciest Pants</t>
  </si>
  <si>
    <t>E(Q3/Q1)</t>
  </si>
  <si>
    <t>OREOTHECAT's Team</t>
  </si>
  <si>
    <t>ThePro#1771</t>
  </si>
  <si>
    <t>Must stay lower than goals</t>
  </si>
  <si>
    <t>Goals Pm</t>
  </si>
  <si>
    <t>Must be higher than punches</t>
  </si>
  <si>
    <t>These must stay low (these are tank stats)</t>
  </si>
  <si>
    <t>Sprees must be higher than Bulltrues</t>
  </si>
  <si>
    <t>Ace B S1lentND1</t>
  </si>
  <si>
    <t>Weighting</t>
  </si>
  <si>
    <t>Crossed out means their stats are removed for grading</t>
  </si>
  <si>
    <t>ABOVEAVGJ0HN</t>
  </si>
  <si>
    <t>Draft</t>
  </si>
  <si>
    <t>G#</t>
  </si>
  <si>
    <t>G</t>
  </si>
  <si>
    <t>Math</t>
  </si>
  <si>
    <t>Grade avg</t>
  </si>
  <si>
    <t>This is a test page</t>
  </si>
  <si>
    <t>Captain</t>
  </si>
  <si>
    <t>Round 1</t>
  </si>
  <si>
    <t>Round 2</t>
  </si>
  <si>
    <t>Round 3</t>
  </si>
  <si>
    <t>Almighty Tycoon</t>
  </si>
  <si>
    <t>xXTHEChickenGod</t>
  </si>
  <si>
    <t>WeirdPG</t>
  </si>
  <si>
    <t>Goals/Game</t>
  </si>
  <si>
    <t>Top</t>
  </si>
  <si>
    <t>FIVE</t>
  </si>
  <si>
    <t>KDPM</t>
  </si>
  <si>
    <t>BTPM</t>
  </si>
  <si>
    <t>SPM</t>
  </si>
  <si>
    <t>X-Fact</t>
  </si>
  <si>
    <t>Killing Sprees</t>
  </si>
  <si>
    <t>Bulltrues</t>
  </si>
  <si>
    <t>SUM of Grand Slam</t>
  </si>
  <si>
    <t>SUM of Double Kills</t>
  </si>
  <si>
    <t>SUM of Triple Kills</t>
  </si>
  <si>
    <t>SUM of Overkills</t>
  </si>
  <si>
    <t>SUM of Killtaculars</t>
  </si>
  <si>
    <t>SUM of Killtrocities</t>
  </si>
  <si>
    <t>SUM of Killamanjaros</t>
  </si>
  <si>
    <t>SUM of Killtastrophe</t>
  </si>
  <si>
    <t>SUM of Killpocalypses</t>
  </si>
  <si>
    <t>SUM of Killionaire</t>
  </si>
  <si>
    <t>SUM of Harpoons</t>
  </si>
  <si>
    <t>SUM of Pancake</t>
  </si>
  <si>
    <t>SUM of Killjoys</t>
  </si>
  <si>
    <t>SUM of Whiplash</t>
  </si>
  <si>
    <t>SUM of Kills</t>
  </si>
  <si>
    <t>SUM of Deaths</t>
  </si>
  <si>
    <t>SUM of Ninja</t>
  </si>
  <si>
    <t>Amnatu</t>
  </si>
  <si>
    <t>SPANKTR0N</t>
  </si>
  <si>
    <t>StarMonster8129</t>
  </si>
  <si>
    <t>GoalsPM=</t>
  </si>
  <si>
    <t>Goals per minute</t>
  </si>
  <si>
    <t>KDPM=</t>
  </si>
  <si>
    <t>Kill/Deaths per minute</t>
  </si>
  <si>
    <t>BTPM=</t>
  </si>
  <si>
    <t>Bulltrues per minute</t>
  </si>
  <si>
    <t>SPM=</t>
  </si>
  <si>
    <t>Sprees per minute</t>
  </si>
  <si>
    <t>DPM=</t>
  </si>
  <si>
    <t>Double kills per minute</t>
  </si>
  <si>
    <t>TPM=</t>
  </si>
  <si>
    <t>Triple Kills per minute</t>
  </si>
  <si>
    <t>Grand Slams+Overkills+every multikill medal above it per minute</t>
  </si>
  <si>
    <t>XFACT=</t>
  </si>
  <si>
    <t>harpoon+pancake+killjoy+whiplash per minute+Ninja</t>
  </si>
  <si>
    <t>KPM=</t>
  </si>
  <si>
    <t>Kills per minute</t>
  </si>
  <si>
    <t>Adding Punches per minute</t>
  </si>
  <si>
    <t>increase sprees per minute</t>
  </si>
  <si>
    <t>decrease goals per minute</t>
  </si>
  <si>
    <t>add punches per minute</t>
  </si>
  <si>
    <t>remove bulltrues per minute</t>
  </si>
  <si>
    <t>remove harpoon from XFACT</t>
  </si>
  <si>
    <t>MVP</t>
  </si>
  <si>
    <t>Best Tank</t>
  </si>
  <si>
    <t>Best Runner</t>
  </si>
  <si>
    <t>Best Defender</t>
  </si>
  <si>
    <t>Best Hybrid</t>
  </si>
  <si>
    <t>Best Captain</t>
  </si>
  <si>
    <t>Best Playmaker</t>
  </si>
  <si>
    <t>Samurai</t>
  </si>
  <si>
    <t>Best Sleeper Pick</t>
  </si>
  <si>
    <t>Tool Man</t>
  </si>
  <si>
    <t>MysticalNovice And yLuxe</t>
  </si>
  <si>
    <t>Aspence501</t>
  </si>
  <si>
    <t>Memorized And Ken Khaneki</t>
  </si>
  <si>
    <t>Invader</t>
  </si>
  <si>
    <t>ROTY</t>
  </si>
  <si>
    <t>Mr. Intangibles</t>
  </si>
  <si>
    <t xml:space="preserve">      Compass</t>
  </si>
  <si>
    <t>Captain Sev</t>
  </si>
  <si>
    <t>The Most Valuable Player Of The Season</t>
  </si>
  <si>
    <t>Best Tank Of The Season</t>
  </si>
  <si>
    <t>Best Runner Of The Season</t>
  </si>
  <si>
    <t>Best Defender Of The Season</t>
  </si>
  <si>
    <t>Best Duo</t>
  </si>
  <si>
    <t>Best Hybrid Of The Season</t>
  </si>
  <si>
    <t>Season Champs</t>
  </si>
  <si>
    <t>The Captain Who Drafted The Best Team or Past Expectations</t>
  </si>
  <si>
    <t>A Player Who Has Made The Best Plays Of The Season</t>
  </si>
  <si>
    <t>A Player Who Had Low Expectations But Surprised Us All</t>
  </si>
  <si>
    <t>Mavbrid And MysticalNovice, Jussshhhyyy And Scullen cx</t>
  </si>
  <si>
    <t>A Player Who Used The Equipment The Best</t>
  </si>
  <si>
    <t>The Best Sword Of The Season</t>
  </si>
  <si>
    <t>In Season Champs</t>
  </si>
  <si>
    <t xml:space="preserve">The Team That Finished With The Best Record </t>
  </si>
  <si>
    <t xml:space="preserve">Two Players Who Play The Best Together </t>
  </si>
  <si>
    <t>Mr Intangibles</t>
  </si>
  <si>
    <t>A Player Who Does A Lot For Their Team But It Doesn't Show Up On The Stat Sheet</t>
  </si>
  <si>
    <t>Best Foreign Player</t>
  </si>
  <si>
    <t>Best New Player</t>
  </si>
  <si>
    <t>Spread</t>
  </si>
  <si>
    <t>Killing Frenzies</t>
  </si>
  <si>
    <t>Running Riots</t>
  </si>
  <si>
    <t>Rampages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</si>
  <si>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</si>
  <si>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</si>
  <si>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</si>
  <si>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</si>
  <si>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</si>
  <si>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</si>
  <si>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</si>
  <si>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Ninja</t>
  </si>
  <si>
    <t>Pancake</t>
  </si>
  <si>
    <t>Whiplash</t>
  </si>
  <si>
    <t>Killjoys</t>
  </si>
  <si>
    <t>Harpoons</t>
  </si>
  <si>
    <t>The Mav Stat</t>
  </si>
  <si>
    <t>Sprees Per Min</t>
  </si>
  <si>
    <t>HexaS</t>
  </si>
  <si>
    <t>Goals per game</t>
  </si>
  <si>
    <t>Multi-    talented</t>
  </si>
  <si>
    <t>K/D Whore</t>
  </si>
  <si>
    <t>Round</t>
  </si>
  <si>
    <t>R1</t>
  </si>
  <si>
    <t>P3</t>
  </si>
  <si>
    <t>R2</t>
  </si>
  <si>
    <t>P22</t>
  </si>
  <si>
    <t>3rd</t>
  </si>
  <si>
    <t>10th</t>
  </si>
  <si>
    <t>P20</t>
  </si>
  <si>
    <t>P17</t>
  </si>
  <si>
    <t>P13</t>
  </si>
  <si>
    <t>P1</t>
  </si>
  <si>
    <t>P6</t>
  </si>
  <si>
    <t>2th</t>
  </si>
  <si>
    <t>6th</t>
  </si>
  <si>
    <t>P7</t>
  </si>
  <si>
    <t>R3</t>
  </si>
  <si>
    <t>P44</t>
  </si>
  <si>
    <t>P14</t>
  </si>
  <si>
    <t>4th</t>
  </si>
  <si>
    <t>PD</t>
  </si>
  <si>
    <t>P19</t>
  </si>
  <si>
    <t>P5</t>
  </si>
  <si>
    <t>P8</t>
  </si>
  <si>
    <t>P43</t>
  </si>
  <si>
    <t>P11</t>
  </si>
  <si>
    <t>P4</t>
  </si>
  <si>
    <t>P16</t>
  </si>
  <si>
    <t>7th</t>
  </si>
  <si>
    <t>11th</t>
  </si>
  <si>
    <t>P21</t>
  </si>
  <si>
    <t>P10</t>
  </si>
  <si>
    <t>1st</t>
  </si>
  <si>
    <t>P12</t>
  </si>
  <si>
    <t>P40</t>
  </si>
  <si>
    <t>8th</t>
  </si>
  <si>
    <t>9th</t>
  </si>
  <si>
    <t>P42</t>
  </si>
  <si>
    <t>P38</t>
  </si>
  <si>
    <t>P23</t>
  </si>
  <si>
    <t>P24</t>
  </si>
  <si>
    <t>P18</t>
  </si>
  <si>
    <t>5th</t>
  </si>
  <si>
    <t>P39</t>
  </si>
  <si>
    <t>P2</t>
  </si>
  <si>
    <t>Pick</t>
  </si>
  <si>
    <t>CaptainSev0004</t>
  </si>
  <si>
    <t>SUM of Wins</t>
  </si>
  <si>
    <t>SUM of Losses</t>
  </si>
  <si>
    <t>SUM of Goals</t>
  </si>
  <si>
    <t>SUM of Ball Punches</t>
  </si>
  <si>
    <t>SUM of Spread</t>
  </si>
  <si>
    <t>SUM of Assists</t>
  </si>
  <si>
    <t>SUM of Game Time</t>
  </si>
  <si>
    <t>SUM of Killing Sprees</t>
  </si>
  <si>
    <t>SUM of Killing Frenzies</t>
  </si>
  <si>
    <t>SUM of Running Riots</t>
  </si>
  <si>
    <t>SUM of Rampages</t>
  </si>
  <si>
    <t>SUM of Exterms</t>
  </si>
  <si>
    <t>SUM of Bulltrues</t>
  </si>
  <si>
    <t>ACE B S1lentND1</t>
  </si>
  <si>
    <t>ill shrek u</t>
  </si>
  <si>
    <t>Its Rainin Menz</t>
  </si>
  <si>
    <t>845</t>
  </si>
  <si>
    <t>1,490</t>
  </si>
  <si>
    <t xml:space="preserve"> </t>
  </si>
  <si>
    <t>week1</t>
  </si>
  <si>
    <t>Reschedules</t>
  </si>
  <si>
    <t>Nov 26 | Sun</t>
  </si>
  <si>
    <t>8pm | Death vs Oreo</t>
  </si>
  <si>
    <t>10:30pm | Death vs Oreo</t>
  </si>
  <si>
    <t>Sunday</t>
  </si>
  <si>
    <t>Nov 27 | Mon</t>
  </si>
  <si>
    <t>7pm | Holy vs Amnatu</t>
  </si>
  <si>
    <t>7:30pm | Holy vs Amnatu</t>
  </si>
  <si>
    <t>Monday</t>
  </si>
  <si>
    <t>9pm | Death vs ASpence</t>
  </si>
  <si>
    <t>Tuesday</t>
  </si>
  <si>
    <t>9pm | Mungo vs Holy</t>
  </si>
  <si>
    <t>Wednesday</t>
  </si>
  <si>
    <t>Nov 28 | Tue</t>
  </si>
  <si>
    <t>9pm | ASpence vs Doerstopper</t>
  </si>
  <si>
    <t>10pm | Doerstopper vs Death</t>
  </si>
  <si>
    <t>Thursday</t>
  </si>
  <si>
    <t>9:30pm | Death vs Scullen</t>
  </si>
  <si>
    <t>Friday</t>
  </si>
  <si>
    <t>10pm | Novice vs ASpence</t>
  </si>
  <si>
    <t>Saturday</t>
  </si>
  <si>
    <t>Nov 29 | Wed</t>
  </si>
  <si>
    <t>7pm | Trespass vs ASpence</t>
  </si>
  <si>
    <t>8:30pm | Novice vs Mungo</t>
  </si>
  <si>
    <t>9pm | Doerstopper vs Death</t>
  </si>
  <si>
    <t>10pm | Novice vs Doerstopper</t>
  </si>
  <si>
    <t>Nov 30 | Thu</t>
  </si>
  <si>
    <t>8pm | Holy vs ASpence</t>
  </si>
  <si>
    <t>Home</t>
  </si>
  <si>
    <t>Away</t>
  </si>
  <si>
    <t>Score</t>
  </si>
  <si>
    <t>10pm | Novice vs Death</t>
  </si>
  <si>
    <t>Time</t>
  </si>
  <si>
    <t>Waypoint URL</t>
  </si>
  <si>
    <t>VOD</t>
  </si>
  <si>
    <t>10pm | Holy vs ASpence</t>
  </si>
  <si>
    <t>Rescheduled Game</t>
  </si>
  <si>
    <t>10:15pm | Holy vs ASpence</t>
  </si>
  <si>
    <t>Week 1</t>
  </si>
  <si>
    <t>Dec 1 | Fri</t>
  </si>
  <si>
    <t>7pm | Holy vs Trespass</t>
  </si>
  <si>
    <t>Oreo</t>
  </si>
  <si>
    <t>8:15pm | Mungo vs Holy</t>
  </si>
  <si>
    <t>5-0</t>
  </si>
  <si>
    <t>8:30pm | Mungo vs ASpence</t>
  </si>
  <si>
    <t>9pm | Mungo vs ASpence</t>
  </si>
  <si>
    <t>0:00</t>
  </si>
  <si>
    <t>9:15pm | Doerstopper vs Scullen</t>
  </si>
  <si>
    <t>9:45pm | Doerstopper vs Scullen</t>
  </si>
  <si>
    <t>9:30pm | Spank vs Death</t>
  </si>
  <si>
    <t>Dec 2 | Sat</t>
  </si>
  <si>
    <t>7pm | Amnatu vs Oreo</t>
  </si>
  <si>
    <t>8pm | Novice vs Death</t>
  </si>
  <si>
    <t>FF</t>
  </si>
  <si>
    <t>9:30pm | Doerstopper vs Oreo</t>
  </si>
  <si>
    <t>10pm | Novice vs Spank</t>
  </si>
  <si>
    <t>11pm | Holy vs Spank</t>
  </si>
  <si>
    <t>5-1</t>
  </si>
  <si>
    <t>week 2</t>
  </si>
  <si>
    <t>05:33</t>
  </si>
  <si>
    <t>Dec 3 | Sun</t>
  </si>
  <si>
    <t>7pm | Amnatu vs Death</t>
  </si>
  <si>
    <t>https://www.halowaypoint.com/halo-infinite/players/ASpence501/matches/1fde4c2a-7935-4fb0-9706-e226f4d13683</t>
  </si>
  <si>
    <t>9:30pm | Holy vs Doerstopper</t>
  </si>
  <si>
    <t>8pm | ASpence vs Oreo</t>
  </si>
  <si>
    <t>11:30pm | Doerstopper vs Oreo</t>
  </si>
  <si>
    <t>9pm | Holy vs Doerstopper</t>
  </si>
  <si>
    <t>1-5</t>
  </si>
  <si>
    <t>17:50</t>
  </si>
  <si>
    <t>https://www.halowaypoint.com/halo-infinite/players/ASpence501/matches/4d98d05b-96e4-4749-9861-e9d4de2e6d0a</t>
  </si>
  <si>
    <t>9pm | Spank vs Oreo</t>
  </si>
  <si>
    <t>6:11</t>
  </si>
  <si>
    <t>Dec 4 | Mon</t>
  </si>
  <si>
    <t>7pm | Amnatu vs ASpence</t>
  </si>
  <si>
    <t>https://www.halowaypoint.com/halo-infinite/players/ASpence501/matches/e7a64b82-69f5-4f8a-a1be-c9a7a6a69ec7</t>
  </si>
  <si>
    <t>Observer Mode</t>
  </si>
  <si>
    <t>9pm | Mungo vs Death</t>
  </si>
  <si>
    <t>Dec 5 | Tue</t>
  </si>
  <si>
    <t>7:45</t>
  </si>
  <si>
    <t>9pm | Scullen vs ASpence</t>
  </si>
  <si>
    <t>7pm | Death vs ASpence</t>
  </si>
  <si>
    <t>https://www.halowaypoint.com/halo-infinite/players/Deathcrawller/matches/009b6ef9-a399-478f-9af2-9e8a7c456aa5</t>
  </si>
  <si>
    <t>yLuxe POV</t>
  </si>
  <si>
    <t>9pm | Holy vs Novice</t>
  </si>
  <si>
    <t>11pm | Novice vs Scullen</t>
  </si>
  <si>
    <t>11:00</t>
  </si>
  <si>
    <t>10pm | Novice vs Scullen</t>
  </si>
  <si>
    <t>11:30pm | Novice vs Scullen</t>
  </si>
  <si>
    <r>
      <rPr>
        <rFont val="Arial"/>
      </rPr>
      <t xml:space="preserve">https://www.halowaypoint.com/halo-infinite/players/Deathcrawller/matches/f4c1db3f-6581-43b5-a302-cf72c0123d84    </t>
    </r>
    <r>
      <rPr>
        <rFont val="Arial"/>
        <color rgb="FF1155CC"/>
        <u/>
      </rPr>
      <t>https://www.halowaypoint.com/halo-infinite/players/Deathcrawller/matches/5022bc2a-0cfb-46c8-b99a-866a4df7500a</t>
    </r>
  </si>
  <si>
    <t>Dec 6 | Wed</t>
  </si>
  <si>
    <t>9:30pm | Doerstopper vs Mungo</t>
  </si>
  <si>
    <t>2-5</t>
  </si>
  <si>
    <t>25:54</t>
  </si>
  <si>
    <t>https://www.halowaypoint.com/halo-infinite/players/ASpence501/matches/e7ff616a-4f36-443d-b27c-d26e72764459</t>
  </si>
  <si>
    <t>5-4</t>
  </si>
  <si>
    <t>18:00</t>
  </si>
  <si>
    <t>9pm | Death vs Novice</t>
  </si>
  <si>
    <t>9pm | Mungo vs Doerstopper</t>
  </si>
  <si>
    <t>https://www.halowaypoint.com/halo-infinite/players/ASpence501/matches/40123278-35e4-4e41-b8fe-9a41210644d0</t>
  </si>
  <si>
    <t>Dec 7 | Thu</t>
  </si>
  <si>
    <t>9pm | Amnatu vs Scullen</t>
  </si>
  <si>
    <t>ASpence501 POV</t>
  </si>
  <si>
    <t>8:30pm | Amnatu vs Death</t>
  </si>
  <si>
    <t>9pm | ASpence vs Novice</t>
  </si>
  <si>
    <t>10:30pm | Holy vs Novice</t>
  </si>
  <si>
    <t>8:59</t>
  </si>
  <si>
    <t>9:30pm | Holy vs Death</t>
  </si>
  <si>
    <t>https://www.halowaypoint.com/halo-infinite/players/xXTHEChickenGod/matches/9726dc77-9563-4245-9e8f-c7fdc4df3ef5</t>
  </si>
  <si>
    <t>ChickenGod POV</t>
  </si>
  <si>
    <t>10pm | Death vs Holy</t>
  </si>
  <si>
    <t>11pm | Novice vs Holy</t>
  </si>
  <si>
    <t>Dec 8 | Fri</t>
  </si>
  <si>
    <t>6:54</t>
  </si>
  <si>
    <t>6pm | Amnatu vs Oreo</t>
  </si>
  <si>
    <t>https://www.halowaypoint.com/halo-infinite/players/xXTHEChickenGod/matches/3ca8ef11-d06a-4a38-860c-7f110ac275b0</t>
  </si>
  <si>
    <t>8:30pm | ASpence vs Mungo</t>
  </si>
  <si>
    <t>6:30pm | Oreo vs Holy</t>
  </si>
  <si>
    <t>9:30pm | Scullen vs Death</t>
  </si>
  <si>
    <t>7pm | ASpence vs Oreo</t>
  </si>
  <si>
    <t>9:30pm | Spank vs ASpence</t>
  </si>
  <si>
    <t>7:30pm | Amnatu vs ASpence</t>
  </si>
  <si>
    <t>10:30pm | Spank vs Holy</t>
  </si>
  <si>
    <t>8pm | ASpence vs Amnatu</t>
  </si>
  <si>
    <t>0-5</t>
  </si>
  <si>
    <t>7:30pm | Holy vs Trespass</t>
  </si>
  <si>
    <t>9:06</t>
  </si>
  <si>
    <t>https://www.halowaypoint.com/halo-infinite/players/ASpence501/matches/a86ff1e6-a12d-4166-b464-4ff50c32c347</t>
  </si>
  <si>
    <t>8pm | Holy vs Scullen</t>
  </si>
  <si>
    <t>8pm | Scullen vs Holy</t>
  </si>
  <si>
    <t>9pm | Holy vs Mungo</t>
  </si>
  <si>
    <t>9pm | Scullen vs Trespass</t>
  </si>
  <si>
    <t>9:30pm | Trespass vs Scullen</t>
  </si>
  <si>
    <t>Dec 9 | Sat</t>
  </si>
  <si>
    <t>7:30pm | Oreo vs Holy</t>
  </si>
  <si>
    <t>30:41</t>
  </si>
  <si>
    <t>https://www.halowaypoint.com/halo-infinite/players/ASpence501/matches/279e0eb8-9d0f-4f2c-98c2-745fe73217ba</t>
  </si>
  <si>
    <t>8:30pm | Mungo vs Oreo</t>
  </si>
  <si>
    <t>10pm | Doerstopper vs Spank</t>
  </si>
  <si>
    <t>4-5</t>
  </si>
  <si>
    <t>26:34</t>
  </si>
  <si>
    <t>9:30pm | Spank vs Doerstopper</t>
  </si>
  <si>
    <t>10:30pm | Doerstopper vs Spank</t>
  </si>
  <si>
    <r>
      <rPr>
        <rFont val="Arial"/>
      </rPr>
      <t xml:space="preserve">https://www.halowaypoint.com/halo-infinite/players/Holy%20Morals/matches/2cfebdd1-2a2e-422d-827d-ddd3da55ca4f     </t>
    </r>
    <r>
      <rPr>
        <rFont val="Arial"/>
        <color rgb="FF56A3F1"/>
        <u/>
      </rPr>
      <t>https://www.halowaypoint.com/halo-infinite/players/Holy%20Morals/matches/a94047e3-e34a-4ade-9668-d1d031c609bb</t>
    </r>
  </si>
  <si>
    <t>week 3</t>
  </si>
  <si>
    <t>Dec 10 | Sun</t>
  </si>
  <si>
    <t>8pm | Spank vs Holy</t>
  </si>
  <si>
    <t>8pm | Oreo vs Death</t>
  </si>
  <si>
    <t>8:30pm | Holy vs Spank</t>
  </si>
  <si>
    <t>9:30pm | Oreo vs Doerstopper</t>
  </si>
  <si>
    <t>https://www.halowaypoint.com/halo-infinite/players/ASpence501/matches/3f10b5c7-4af1-47df-8c89-042da9a974de</t>
  </si>
  <si>
    <t>Dec 11 | Mon</t>
  </si>
  <si>
    <t>8:30pm | Holy vs Mungo</t>
  </si>
  <si>
    <t>9pm | ASpence vs Death</t>
  </si>
  <si>
    <t>Dec 12 | Tue</t>
  </si>
  <si>
    <t>9pm | Scullen vs Amnatu</t>
  </si>
  <si>
    <t>10pm | ASpence vs Scullen</t>
  </si>
  <si>
    <t>Dec 13 | Wed</t>
  </si>
  <si>
    <t>7pm | Trespass vs Amnatu</t>
  </si>
  <si>
    <t>8:30 pm | Mungo vs Amnatu</t>
  </si>
  <si>
    <t>9:30pm | Death vs Doerstopper</t>
  </si>
  <si>
    <t>9pm | Death vs Doerstopper</t>
  </si>
  <si>
    <t>13:38</t>
  </si>
  <si>
    <t>10pm | Doerstopper vs ASpence</t>
  </si>
  <si>
    <t>https://www.halowaypoint.com/halo-infinite/players/Scullen%20cx/matches/87d53590-0d1f-4075-b15d-3805e382160e</t>
  </si>
  <si>
    <t>Dec 14 | Thu</t>
  </si>
  <si>
    <t>9:30pm | Death vs Holy</t>
  </si>
  <si>
    <t>Dec 15 | Fri</t>
  </si>
  <si>
    <t>5-3</t>
  </si>
  <si>
    <t>27:54</t>
  </si>
  <si>
    <r>
      <rPr>
        <rFont val="Arial"/>
        <color rgb="FF1155CC"/>
        <u/>
      </rPr>
      <t>https://www.halowaypoint.com/halo-infinite/players/xXTHEChickenGod/matches/90d0db64-6777-48dd-b418-52101af6906f</t>
    </r>
    <r>
      <rPr>
        <rFont val="Arial"/>
      </rPr>
      <t xml:space="preserve">    </t>
    </r>
    <r>
      <rPr>
        <rFont val="Arial"/>
        <color rgb="FF1155CC"/>
        <u/>
      </rPr>
      <t>https://www.halowaypoint.com/halo-infinite/players/xXTHEChickenGod/matches/caeee87d-d1ce-4d45-a19c-b86fee08bf5e</t>
    </r>
  </si>
  <si>
    <t>9:30pm | Death vs Spank</t>
  </si>
  <si>
    <t>9:45pm | Spank vs Death</t>
  </si>
  <si>
    <t>Dec 16 | Sat</t>
  </si>
  <si>
    <t>7:30pm | Holy vs Oreo</t>
  </si>
  <si>
    <t>10pm | Doerstopper vs Novice</t>
  </si>
  <si>
    <t>10pm | Amnatu vs Spank</t>
  </si>
  <si>
    <t>Week 2</t>
  </si>
  <si>
    <t>10:30pm | Spank vs Amnatu</t>
  </si>
  <si>
    <t>week 4</t>
  </si>
  <si>
    <t>6:15</t>
  </si>
  <si>
    <t>https://www.halowaypoint.com/halo-infinite/players/Doerstopper/matches/767ce514-6446-4654-87b9-04814af2c5b2</t>
  </si>
  <si>
    <t>Dec 17 | Sun</t>
  </si>
  <si>
    <t>15:34</t>
  </si>
  <si>
    <t>https://www.halowaypoint.com/halo-infinite/players/Doerstopper/matches/fc0ed6d8-699b-4033-ae88-6e254e4a4efd</t>
  </si>
  <si>
    <t>17:27</t>
  </si>
  <si>
    <t>8pm | Oreo vs ASpence</t>
  </si>
  <si>
    <t>https://www.halowaypoint.com/halo-infinite/players/Doerstopper/matches/4a413de5-308a-4dfd-aff2-4e923237b075</t>
  </si>
  <si>
    <t>9pm | Doerstopper vs Holy</t>
  </si>
  <si>
    <t>Dec 18 | Mon</t>
  </si>
  <si>
    <t>9pm | Death vs Mungo</t>
  </si>
  <si>
    <t>12:02</t>
  </si>
  <si>
    <t>https://www.halowaypoint.com/halo-infinite/players/Doerstopper/matches/c90e8c17-6de2-4fce-bc9f-6f675a67eca1</t>
  </si>
  <si>
    <t>Dec 19 | Tue</t>
  </si>
  <si>
    <t>9pm | Holy vs Scullen</t>
  </si>
  <si>
    <t>Dec 20 | Wed</t>
  </si>
  <si>
    <t>7pm | Trespass vs Death</t>
  </si>
  <si>
    <t>10:51</t>
  </si>
  <si>
    <t>https://www.halowaypoint.com/halo-infinite/players/ASpence501/matches/9a6e8634-abe0-496e-b2af-3d5bf8909ef6</t>
  </si>
  <si>
    <t>8:30pm | Mungo vs Novice</t>
  </si>
  <si>
    <t>9:20pm | Doerstopper vs Mungo</t>
  </si>
  <si>
    <t>9:30pm | Novice vs Holy</t>
  </si>
  <si>
    <t>Dec 21 | Thu</t>
  </si>
  <si>
    <t>Dec 22 | Fri</t>
  </si>
  <si>
    <t>7pm | Amnatu vs Trespass</t>
  </si>
  <si>
    <t>9pm | Mungo vs Scullen</t>
  </si>
  <si>
    <t>9:30pm | ASpence vs Spank</t>
  </si>
  <si>
    <t>16:15</t>
  </si>
  <si>
    <t>https://www.halowaypoint.com/halo-infinite/players/ASpence501/matches/8dc2f516-c52a-40bc-a8a9-a12dbdce0a3a</t>
  </si>
  <si>
    <t>Dec 23 | Sat</t>
  </si>
  <si>
    <t>12:03</t>
  </si>
  <si>
    <t>https://www.halowaypoint.com/halo-infinite/players/xXTHEChickenGod/matches/8b848604-1928-4963-9a2b-9fa7e571f5ab</t>
  </si>
  <si>
    <t>week 5</t>
  </si>
  <si>
    <t>Dec 24 | Sun</t>
  </si>
  <si>
    <t>Dec 25 | Mon</t>
  </si>
  <si>
    <t>Dec 26 | Tue</t>
  </si>
  <si>
    <t>10:55</t>
  </si>
  <si>
    <t>https://www.halowaypoint.com/halo-infinite/players/xXTHEChickenGod/matches/7b9a3d31-7172-4a46-bb8b-b51834b3e004</t>
  </si>
  <si>
    <t>Dec 27 | Wed</t>
  </si>
  <si>
    <t>7pm | Death vs Trespass</t>
  </si>
  <si>
    <t>8:30pm | Amnatu vs Mungo</t>
  </si>
  <si>
    <t>7:27</t>
  </si>
  <si>
    <t>https://www.halowaypoint.com/halo-infinite/players/ASpence501/matches/7f5d9678-94b1-482e-89d7-51ae88370a0c</t>
  </si>
  <si>
    <t>9pm | Doerstopper vs Trespass</t>
  </si>
  <si>
    <t>Dec 28 | Thu</t>
  </si>
  <si>
    <t>None</t>
  </si>
  <si>
    <t>11:32</t>
  </si>
  <si>
    <t>https://www.halowaypoint.com/halo-infinite/players/MuNgO%20PuNgO/matches/534bf9a2-99a1-4785-942c-78ba741ddb5a</t>
  </si>
  <si>
    <t>Dec 29 | Fri</t>
  </si>
  <si>
    <t>9pm | Scullen vs Mungo</t>
  </si>
  <si>
    <t>Dec 30 | Sat</t>
  </si>
  <si>
    <t>9pm | Doerstopper vs Amnatu</t>
  </si>
  <si>
    <t>10pm | Spank vs Amnatu</t>
  </si>
  <si>
    <t>week 6</t>
  </si>
  <si>
    <t>Dec 31 | Sun</t>
  </si>
  <si>
    <t>Jan 1 | Mon</t>
  </si>
  <si>
    <t>9:51</t>
  </si>
  <si>
    <t xml:space="preserve">Jan 2 | Tue </t>
  </si>
  <si>
    <t>https://www.halowaypoint.com/halo-infinite/players/MuNgO%20PuNgO/matches/081133d6-47c6-4b87-8de5-02e29d7e4375</t>
  </si>
  <si>
    <t>Jan 3 | Wed</t>
  </si>
  <si>
    <t>8:30pm | Trespass vs Novice</t>
  </si>
  <si>
    <t>9:30pm | Amnatu vs Novice</t>
  </si>
  <si>
    <t>Jan 4 | Thu</t>
  </si>
  <si>
    <t>none</t>
  </si>
  <si>
    <t>5-2</t>
  </si>
  <si>
    <t>14:13</t>
  </si>
  <si>
    <t>https://www.halowaypoint.com/halo-infinite/players/Holy%20Morals/matches/708844aa-92c7-4b69-bb94-6ad56554b609</t>
  </si>
  <si>
    <t>Jan 5 | Fri</t>
  </si>
  <si>
    <t>8:30pm | Trespass vs Mungo</t>
  </si>
  <si>
    <t>8pm | Death vs Novice</t>
  </si>
  <si>
    <t>28:18</t>
  </si>
  <si>
    <t>https://www.halowaypoint.com/halo-infinite/players/Holy%20Morals/matches/ce751138-e0b1-451d-861a-dbbc9338439c</t>
  </si>
  <si>
    <t>9:30pm | Spank vs Scullen</t>
  </si>
  <si>
    <t>10:30pm | Spank vs Oreo</t>
  </si>
  <si>
    <t>11pm | Oreo vs Spank</t>
  </si>
  <si>
    <t>Jan 6 | Sat</t>
  </si>
  <si>
    <t>10:11</t>
  </si>
  <si>
    <t>9pm | Amnatu vs Doerstopper</t>
  </si>
  <si>
    <t>https://www.halowaypoint.com/halo-infinite/players/xXTHEChickenGod/matches/ac2a1449-7459-4935-a54c-7a15a17a001b</t>
  </si>
  <si>
    <t>9pm | ASpence vs Spank</t>
  </si>
  <si>
    <t>10pm | Spank vs Novice</t>
  </si>
  <si>
    <t>10:30pm | Novice vs Spank</t>
  </si>
  <si>
    <t>9:27</t>
  </si>
  <si>
    <t>https://www.halowaypoint.com/halo-infinite/players/xXTHEChickenGod/matches/266240a1-27db-4a86-8b50-a6647f287018</t>
  </si>
  <si>
    <t>week 7</t>
  </si>
  <si>
    <t>Jan 7 | Sun</t>
  </si>
  <si>
    <t>Need to be scheduled</t>
  </si>
  <si>
    <t>Jan 8 | Mon</t>
  </si>
  <si>
    <t>8:30pm | Mungo vs Trespass</t>
  </si>
  <si>
    <t>11:48</t>
  </si>
  <si>
    <t>https://www.halowaypoint.com/halo-infinite/players/amnatu/matches/89724830-6181-4b06-8799-ba9aed924419</t>
  </si>
  <si>
    <t>9pm | Trespass vs Mungo</t>
  </si>
  <si>
    <t xml:space="preserve">Jan 9 | Tue </t>
  </si>
  <si>
    <t>8:30pm | Death vs Mungo</t>
  </si>
  <si>
    <t>`</t>
  </si>
  <si>
    <t>5:05</t>
  </si>
  <si>
    <t>https://www.halowaypoint.com/halo-infinite/players/Holy%20Morals/matches/87a28842-c099-46c5-8530-d6c848b9a6e4</t>
  </si>
  <si>
    <t>9pm | Mungo vs Novice</t>
  </si>
  <si>
    <t>Jan 10 | Wed</t>
  </si>
  <si>
    <t>8:30pm | Novice vs Trespass</t>
  </si>
  <si>
    <t>8:30pm | Oreo vs Mungo</t>
  </si>
  <si>
    <t>Jan 11 | Thu</t>
  </si>
  <si>
    <t>16:40</t>
  </si>
  <si>
    <t>9:30pm | Novice vs Amnatu</t>
  </si>
  <si>
    <t>https://www.halowaypoint.com/halo-infinite/players/Holy%20Morals/matches/26e74234-b7d9-4af1-a714-bed2f5f42101</t>
  </si>
  <si>
    <t>Jan 12 | Fri</t>
  </si>
  <si>
    <t>7pm | Trespass vs Novice</t>
  </si>
  <si>
    <t>8pm | Spank vs Trespass</t>
  </si>
  <si>
    <t>8:30pm | Scullen vs Death</t>
  </si>
  <si>
    <t>9pm | Death vs Trespass</t>
  </si>
  <si>
    <t>9pm | Spank vs Mungo</t>
  </si>
  <si>
    <t>9pm | Amnatu vs Novice</t>
  </si>
  <si>
    <t>9:30 | Novice vs Amnatu</t>
  </si>
  <si>
    <t>9:30pm | Trespass vs Death</t>
  </si>
  <si>
    <t>Jan 13 | Sat</t>
  </si>
  <si>
    <t>13:01</t>
  </si>
  <si>
    <t>https://www.halowaypoint.com/halo-infinite/players/Holy%20Morals/matches/29e86ce4-47fc-4185-8fe2-c9ab7f4d43f5</t>
  </si>
  <si>
    <t>9:30pm | Scullen vs Spank</t>
  </si>
  <si>
    <t>week 8</t>
  </si>
  <si>
    <t>Jan 14 | Sun</t>
  </si>
  <si>
    <t>9:45pm | Spank vs Mungo</t>
  </si>
  <si>
    <t>6:42</t>
  </si>
  <si>
    <t>https://www.halowaypoint.com/halo-infinite/players/ASpence501/matches/12e1b9b9-6db5-466e-8042-c8549a092c14</t>
  </si>
  <si>
    <t>8pm | ASpence vs Death</t>
  </si>
  <si>
    <t>ASpence POV</t>
  </si>
  <si>
    <t>Jan 15 | Mon</t>
  </si>
  <si>
    <t>8:30</t>
  </si>
  <si>
    <t>https://www.halowaypoint.com/halo-infinite/players/Holy%20Morals/matches/a7ebaf06-46f2-439d-8b1d-637c055ba0be</t>
  </si>
  <si>
    <t>oreo vs novice</t>
  </si>
  <si>
    <t xml:space="preserve">Jan 16 | Tue </t>
  </si>
  <si>
    <t>novice vs oreo</t>
  </si>
  <si>
    <t>Jan 17 | Wed</t>
  </si>
  <si>
    <t>7:12</t>
  </si>
  <si>
    <t>https://www.halowaypoint.com/halo-infinite/players/Holy%20Morals/matches/dda0c9da-ff09-40c0-8f00-b84ff38f299b</t>
  </si>
  <si>
    <t>Jan 18 | Thu</t>
  </si>
  <si>
    <t>Jan 19 | Fri</t>
  </si>
  <si>
    <t>9:30pm | Mungo vs Spank</t>
  </si>
  <si>
    <t>8pm | Novice vs Oreo</t>
  </si>
  <si>
    <t>15:59</t>
  </si>
  <si>
    <t>8:30pm | Oreo vs Novice</t>
  </si>
  <si>
    <t>https://www.halowaypoint.com/halo-infinite/players/ASpence501/matches/a083ed36-0c90-4544-8738-f148d73f85c4</t>
  </si>
  <si>
    <t>Jan 20 | Sat</t>
  </si>
  <si>
    <t>7pm | Death vs Mungo</t>
  </si>
  <si>
    <t>7:07</t>
  </si>
  <si>
    <t>https://www.halowaypoint.com/halo-infinite/players/ASpence501/matches/d4501f7f-eba4-4bad-9916-6d8a470cb7d9</t>
  </si>
  <si>
    <t>15:24</t>
  </si>
  <si>
    <t>https://www.halowaypoint.com/halo-infinite/players/ASpence501/matches/166c73eb-5d80-469b-899c-e91d7d587283</t>
  </si>
  <si>
    <t>17:09</t>
  </si>
  <si>
    <t>https://www.halowaypoint.com/halo-infinite/players/Trespa5s/matches/4029e554-7b8f-4759-9fda-e93abde5d004</t>
  </si>
  <si>
    <t xml:space="preserve">     Special Thanks To The People Who Have Helped With Stats</t>
  </si>
  <si>
    <t>16:47</t>
  </si>
  <si>
    <t xml:space="preserve">         Yluxe</t>
  </si>
  <si>
    <t>https://www.halowaypoint.com/halo-infinite/players/Trespa5s/matches/fae6dd05-e237-4e62-9f16-1c7ff9c7e12b</t>
  </si>
  <si>
    <t>Mungo PuNgO</t>
  </si>
  <si>
    <t xml:space="preserve">   Doerstopper</t>
  </si>
  <si>
    <t xml:space="preserve">          Lyss</t>
  </si>
  <si>
    <t xml:space="preserve">  MungoPungo</t>
  </si>
  <si>
    <t>https://www.halowaypoint.com/halo-infinite/players/Holy%20Morals/matches/88d6f5b1-d79a-43a2-b805-72da72e187b4</t>
  </si>
  <si>
    <t xml:space="preserve">       Aspence</t>
  </si>
  <si>
    <t xml:space="preserve">       Fancy</t>
  </si>
  <si>
    <t xml:space="preserve">     DigitalPain</t>
  </si>
  <si>
    <t>https://www.halowaypoint.com/halo-infinite/players/Doerstopper/matches/0ccf7cb4-e776-4df0-ba0b-0256c1fdcbf8</t>
  </si>
  <si>
    <t>Mavbrid POV</t>
  </si>
  <si>
    <t>https://www.halowaypoint.com/halo-infinite/players/Doerstopper/matches/8be387c2-fec2-4272-9015-866f1a7c7aa3</t>
  </si>
  <si>
    <t>Week 3</t>
  </si>
  <si>
    <t>5:50</t>
  </si>
  <si>
    <t>https://www.halowaypoint.com/halo-infinite/players/Holy%20Morals/matches/436723b9-ff66-4584-a983-576ea788dd9f</t>
  </si>
  <si>
    <t>28:07</t>
  </si>
  <si>
    <t>https://www.halowaypoint.com/halo-infinite/players/Holy%20Morals/matches/ac9697fc-79b0-4095-98ed-3833a38d4be5</t>
  </si>
  <si>
    <t>19:56</t>
  </si>
  <si>
    <t>https://www.halowaypoint.com/halo-infinite/players/ASpence501/matches/580f66f7-a7cf-4852-9eda-977803ff4a6e</t>
  </si>
  <si>
    <t>23:36</t>
  </si>
  <si>
    <t>https://www.halowaypoint.com/halo-infinite/players/amnatu/matches/01f25a83-8f47-4478-a93a-726e7872d266</t>
  </si>
  <si>
    <t>20:12</t>
  </si>
  <si>
    <t>https://www.halowaypoint.com/halo-infinite/players/amnatu/matches/040e0ffb-7208-4941-a589-15d77f750c78</t>
  </si>
  <si>
    <t>19:49</t>
  </si>
  <si>
    <t>https://www.halowaypoint.com/halo-infinite/players/amnatu/matches/ee4e8e1f-4979-424c-9ef9-9836f17f64cf</t>
  </si>
  <si>
    <t>17:10</t>
  </si>
  <si>
    <t>https://www.halowaypoint.com/halo-infinite/players/amnatu/matches/ebbb1e6a-83e0-4336-aa9d-bf3b610abbaa</t>
  </si>
  <si>
    <t>0:0</t>
  </si>
  <si>
    <t>17:58</t>
  </si>
  <si>
    <t>https://www.halowaypoint.com/halo-infinite/players/amnatu/matches/f601997c-217d-463b-b680-303b4e3cb758</t>
  </si>
  <si>
    <t>12:32</t>
  </si>
  <si>
    <t>https://www.halowaypoint.com/halo-infinite/players/xXTHEChickenGod/matches/e850ee4f-a3ae-48c4-84ae-63fda0ad54b7</t>
  </si>
  <si>
    <t>16:01</t>
  </si>
  <si>
    <t>343 Deleted History</t>
  </si>
  <si>
    <t>25:53</t>
  </si>
  <si>
    <t>https://www.halowaypoint.com/halo-infinite/players/Deathcrawller/matches/1d8781d1-82dc-4f29-b751-491bd11b36de</t>
  </si>
  <si>
    <t>12:09</t>
  </si>
  <si>
    <t>https://www.halowaypoint.com/halo-infinite/players/amnatu/matches/44f2be51-2d7e-4af7-9712-6387ba86806f</t>
  </si>
  <si>
    <t>16:03</t>
  </si>
  <si>
    <t>https://www.halowaypoint.com/halo-infinite/players/amnatu/matches/c6382b7e-60d4-45d5-bc85-44c8800fb72c</t>
  </si>
  <si>
    <t>Week 4</t>
  </si>
  <si>
    <t>3-5</t>
  </si>
  <si>
    <t>14:24</t>
  </si>
  <si>
    <t>https://www.halowaypoint.com/halo-infinite/players/ASpence501/matches/78f99be5-814a-4f11-8d45-91fce9bb5a45</t>
  </si>
  <si>
    <t>10:36</t>
  </si>
  <si>
    <t>https://www.halowaypoint.com/halo-infinite/players/Jussshhhyyy/matches/f4136a9d-d1a1-4358-bd8c-cb54814224bf</t>
  </si>
  <si>
    <t>12:37</t>
  </si>
  <si>
    <t>https://www.halowaypoint.com/halo-infinite/players/ASpence501/matches/d9502468-c134-4f49-ae6c-7bd3be12a3d1</t>
  </si>
  <si>
    <t>25:02</t>
  </si>
  <si>
    <t>https://www.halowaypoint.com/halo-infinite/players/ASpence501/matches/f71d4247-efc9-4e97-92f9-358ad408e79c</t>
  </si>
  <si>
    <t>12:10</t>
  </si>
  <si>
    <t>https://www.halowaypoint.com/halo-infinite/players/Jussshhhyyy/matches/c0f8f7d8-2abb-4605-a4b8-13762f5a7dfe</t>
  </si>
  <si>
    <t>13:33</t>
  </si>
  <si>
    <t>https://www.halowaypoint.com/halo-infinite/players/amnatu/matches/a7fc3475-f4a1-40b8-aa20-aa5b7d862297</t>
  </si>
  <si>
    <t>W5</t>
  </si>
  <si>
    <t>18:20</t>
  </si>
  <si>
    <t>https://www.halowaypoint.com/halo-infinite/players/Scullen%20cx/matches/cdaf3190-1a9d-4c6e-9b1d-5df41dd63ff1</t>
  </si>
  <si>
    <t>Week 6</t>
  </si>
  <si>
    <t>14:48</t>
  </si>
  <si>
    <t>https://www.halowaypoint.com/halo-infinite/players/Deathcrawller/matches/f33eb8af-db92-4957-af4d-bd44c3d46ee1</t>
  </si>
  <si>
    <t xml:space="preserve">SPANKATRON </t>
  </si>
  <si>
    <t>9:04</t>
  </si>
  <si>
    <t>https://www.halowaypoint.com/halo-infinite/players/Scullen%20cx/matches/01339d75-5bf3-46f1-b2bc-30dd23506e51</t>
  </si>
  <si>
    <t>24:35</t>
  </si>
  <si>
    <t>https://www.halowaypoint.com/halo-infinite/players/Scullen%20cx/matches/fb591d1a-96c2-4d78-a6e1-10e6ccedd17f</t>
  </si>
  <si>
    <t>10:16</t>
  </si>
  <si>
    <t>https://www.halowaypoint.com/halo-infinite/players/Scullen%20cx/matches/007efc97-2ef7-4192-b6fa-ecb058090fd4</t>
  </si>
  <si>
    <t>16:07</t>
  </si>
  <si>
    <t>https://www.halowaypoint.com/halo-infinite/players/Scullen%20cx/matches/b538b6b9-3599-40bf-a3bc-6ecc72bb777a</t>
  </si>
  <si>
    <t>6:52</t>
  </si>
  <si>
    <t>https://www.halowaypoint.com/halo-infinite/players/Scullen%20cx/matches/e0f631c5-a12a-4e27-a7a6-7d28bc7e06e7</t>
  </si>
  <si>
    <t>21:25</t>
  </si>
  <si>
    <t>https://www.halowaypoint.com/halo-infinite/players/Jussshhhyyy/matches/266dcf5c-f48d-4ad2-b76c-445e8945e367</t>
  </si>
  <si>
    <t>22:50</t>
  </si>
  <si>
    <t>https://www.halowaypoint.com/halo-infinite/players/ASpence501/matches/ce5941d3-a709-485f-8c80-217e70bd4fdc</t>
  </si>
  <si>
    <t>21:03</t>
  </si>
  <si>
    <t>25:13</t>
  </si>
  <si>
    <t>https://www.halowaypoint.com/halo-infinite/players/Jussshhhyyy/matches/a2b5fb4b-b8f9-4c5e-a2c8-6634e68cd233</t>
  </si>
  <si>
    <t>Week 7</t>
  </si>
  <si>
    <t>5:11</t>
  </si>
  <si>
    <t>https://www.halowaypoint.com/halo-infinite/players/MuNgO%20PuNgO/matches/971942fe-3091-4fb6-a2b7-0399ef1d5b6e</t>
  </si>
  <si>
    <t>7:28</t>
  </si>
  <si>
    <t>https://www.halowaypoint.com/halo-infinite/players/MuNgO%20PuNgO/matches/1bb387e9-7466-4410-87b3-40d2462e09a9</t>
  </si>
  <si>
    <t>7:19</t>
  </si>
  <si>
    <t>https://www.halowaypoint.com/halo-infinite/players/Mavbrid/matches/006a3d65-03ed-49a9-ba3c-16986081461f</t>
  </si>
  <si>
    <t>https://www.halowaypoint.com/halo-infinite/players/Mavbrid/matches/a4cc8d2f-9bae-47f3-a637-d0ad3e1656d3</t>
  </si>
  <si>
    <t>16:35</t>
  </si>
  <si>
    <t>https://www.halowaypoint.com/halo-infinite/players/ill%20shrek%20u/matches/be62fae9-286a-45b1-abd7-b9561e77c419</t>
  </si>
  <si>
    <t>11:44</t>
  </si>
  <si>
    <t>https://www.halowaypoint.com/halo-infinite/players/ill%20shrek%20u/matches/9327eadf-7d26-4898-b4b0-431cdc4c84ba</t>
  </si>
  <si>
    <t>16:37</t>
  </si>
  <si>
    <t>https://www.halowaypoint.com/halo-infinite/players/Scullen%20cx/matches/d3b4142f-d3dc-4132-b220-fa34f6d493df</t>
  </si>
  <si>
    <t>17:02</t>
  </si>
  <si>
    <t>https://www.halowaypoint.com/halo-infinite/players/Deathcrawller/matches/813cb0a4-3f6c-42ed-bdf8-9baa16f97a5b</t>
  </si>
  <si>
    <t>https://www.halowaypoint.com/halo-infinite/players/Deathcrawller/matches/f0814473-2d94-4561-95e7-4997024f299f</t>
  </si>
  <si>
    <t>8:19</t>
  </si>
  <si>
    <t>https://www.halowaypoint.com/halo-infinite/players/Mavbrid/matches/ab93f369-2a5e-4dca-be98-b38a44ea2a7e</t>
  </si>
  <si>
    <t>8:15</t>
  </si>
  <si>
    <t>https://www.halowaypoint.com/halo-infinite/players/Mavbrid/matches/c1bb1b6c-12c8-4a95-a5bd-212ff26a5c04</t>
  </si>
  <si>
    <t>10:29</t>
  </si>
  <si>
    <t>https://www.halowaypoint.com/halo-infinite/players/Fanciest%20Pants/matches/e49897d7-b954-4198-af6b-6ef3529abd07</t>
  </si>
  <si>
    <t>24:01</t>
  </si>
  <si>
    <t>https://www.halowaypoint.com/halo-infinite/players/ill%20shrek%20u/matches/c7dd500a-d165-4ca1-89f8-349d925f00cf</t>
  </si>
  <si>
    <t>15:43</t>
  </si>
  <si>
    <t>https://www.halowaypoint.com/halo-infinite/players/ill%20shrek%20u/matches/646dc03a-b594-4d07-9bfc-ba2834a2ede6</t>
  </si>
  <si>
    <t>11:53</t>
  </si>
  <si>
    <t>https://www.halowaypoint.com/halo-infinite/players/Mavbrid/matches/79184f5c-2603-4bc4-bf2b-08f044d7168c</t>
  </si>
  <si>
    <t>Week 8</t>
  </si>
  <si>
    <t>14:44</t>
  </si>
  <si>
    <t>https://www.halowaypoint.com/halo-infinite/players/Jussshhhyyy/matches/2afcc17c-0ce6-490a-92b5-b87bf674fb7f</t>
  </si>
  <si>
    <t>11:36</t>
  </si>
  <si>
    <t>https://www.halowaypoint.com/halo-infinite/players/ASpence501/matches/29a1d645-44f2-4ceb-8516-8f2cfbc7f494</t>
  </si>
  <si>
    <t>17:16</t>
  </si>
  <si>
    <t>https://www.halowaypoint.com/halo-infinite/players/Mavbrid/matches/117a905f-fe53-4f89-a626-56321b76f3f8</t>
  </si>
  <si>
    <t>6:27</t>
  </si>
  <si>
    <t>https://www.halowaypoint.com/halo-infinite/players/Mavbrid/matches/f361b8ca-3d76-471a-b71e-04ba1afb1f32</t>
  </si>
  <si>
    <t>16:45</t>
  </si>
  <si>
    <t>https://www.halowaypoint.com/halo-infinite/players/Mr%20epic%20beast/matches/24ef34dd-71c7-4448-838b-9e0311686893</t>
  </si>
  <si>
    <t>https://www.halowaypoint.com/halo-infinite/players/mr%20epic%20beast/matches/6688a053-71fe-4ca1-858b-9809b73d7b88</t>
  </si>
  <si>
    <t>13:04</t>
  </si>
  <si>
    <t>https://www.halowaypoint.com/halo-infinite/players/Mavbrid/matches/056c8e75-73f1-4759-bdcf-e1015259a1a3</t>
  </si>
  <si>
    <t>12:50</t>
  </si>
  <si>
    <t>https://www.halowaypoint.com/halo-infinite/players/Yluxe/matches/a23806a8-2251-4304-8578-b9e2678c3728</t>
  </si>
  <si>
    <t>Playoffs</t>
  </si>
  <si>
    <t>14:05</t>
  </si>
  <si>
    <t>https://www.halowaypoint.com/halo-infinite/players/Scullen%20cx/matches/8cd17a41-de65-406c-b1d4-27190ff1fb31</t>
  </si>
  <si>
    <t>Caster View</t>
  </si>
  <si>
    <t>24:50</t>
  </si>
  <si>
    <t>https://www.halowaypoint.com/halo-infinite/players/Scullen%20cx/matches/a6a569de-13d9-4ceb-98e2-6f55cb2f7657</t>
  </si>
  <si>
    <t>13:49</t>
  </si>
  <si>
    <t>https://www.halowaypoint.com/halo-infinite/players/amnatu/matches/6167c0cb-db80-4ab5-860d-311aad876648</t>
  </si>
  <si>
    <t>13:02</t>
  </si>
  <si>
    <t>https://www.halowaypoint.com/halo-infinite/players/amnatu/matches/3a47bcd4-c12c-4af6-a846-198add6f6e76</t>
  </si>
  <si>
    <t>6:43</t>
  </si>
  <si>
    <t>https://www.halowaypoint.com/halo-infinite/players/Holy%20Morals/matches/7d50e644-1b0c-4e5c-b87f-ee087480c4aa</t>
  </si>
  <si>
    <t>25:23</t>
  </si>
  <si>
    <t>https://www.halowaypoint.com/halo-infinite/players/Holy%20Morals/matches/449171dc-e6d1-421d-8c07-c2593e8bf5ce</t>
  </si>
  <si>
    <t>https://www.halowaypoint.com/halo-infinite/players/ASpence501/matches/dc3bde66-7171-40c5-9dd2-4571b7fb2f32</t>
  </si>
  <si>
    <t>28:26</t>
  </si>
  <si>
    <t>https://www.halowaypoint.com/halo-infinite/players/ASpence501/matches/2373d69c-e76a-4ee1-8193-6639528d8a7f</t>
  </si>
  <si>
    <t>15:21</t>
  </si>
  <si>
    <t>https://www.halowaypoint.com/halo-infinite/players/Deathcrawller/matches/c4610155-6ad6-439c-b846-9dfcddeddb61</t>
  </si>
  <si>
    <t>17:36</t>
  </si>
  <si>
    <t>https://www.halowaypoint.com/halo-infinite/players/Deathcrawller/matches/dafed251-003a-4436-8a21-5668003bf923</t>
  </si>
  <si>
    <t>13:22</t>
  </si>
  <si>
    <t>https://www.halowaypoint.com/halo-infinite/players/MuNgO%20PuNgO/matches/4629adb5-6e64-4c56-b7b9-c55cfa634893</t>
  </si>
  <si>
    <t>21:06</t>
  </si>
  <si>
    <t>https://www.halowaypoint.com/halo-infinite/players/MuNgO%20PuNgO/matches/6a2497c1-8d23-4853-a4f2-4a2d72e27da8</t>
  </si>
  <si>
    <t>15:03</t>
  </si>
  <si>
    <t>https://www.halowaypoint.com/halo-infinite/players/MuNgO%20PuNgO/matches/7b9d9c10-ca64-40b2-857e-eccd0347633f</t>
  </si>
  <si>
    <t>20:56</t>
  </si>
  <si>
    <t>https://www.halowaypoint.com/halo-infinite/players/MuNgO%20PuNgO/matches/84cea91c-392a-4a22-9875-6bb56fd0b4eb</t>
  </si>
  <si>
    <t>21:37</t>
  </si>
  <si>
    <t>https://www.halowaypoint.com/halo-infinite/players/MuNgO%20PuNgO/matches/f6ed6a16-f83c-4f48-97d7-9330a02b581f</t>
  </si>
  <si>
    <t>5:33</t>
  </si>
  <si>
    <t>Seconds GameTime</t>
  </si>
  <si>
    <t>ACTUALMin Value</t>
  </si>
  <si>
    <t>SUMKills</t>
  </si>
  <si>
    <t>SUMGoals</t>
  </si>
  <si>
    <t>SUM of Killing Sprees+</t>
  </si>
  <si>
    <t>xFactor?</t>
  </si>
  <si>
    <t>SUM of Multikills</t>
  </si>
  <si>
    <t>GoalsPM</t>
  </si>
  <si>
    <t>GoalsGrade</t>
  </si>
  <si>
    <t>KDGrade</t>
  </si>
  <si>
    <t>BulltruePM</t>
  </si>
  <si>
    <t>BulltrueGrade</t>
  </si>
  <si>
    <t>SpreesPM</t>
  </si>
  <si>
    <t>SpreesGrade</t>
  </si>
  <si>
    <t>MultikillsPM</t>
  </si>
  <si>
    <t>MultikillsGrade</t>
  </si>
  <si>
    <t>KillsPM</t>
  </si>
  <si>
    <t>KillsGrade</t>
  </si>
  <si>
    <t>xFactorPM</t>
  </si>
  <si>
    <t>xFactorGrade</t>
  </si>
  <si>
    <t>BULLTRUEGRADES</t>
  </si>
  <si>
    <t>SPREEGRADES</t>
  </si>
  <si>
    <t>GOALSGRADES</t>
  </si>
  <si>
    <t>KDGRADES</t>
  </si>
  <si>
    <t>MULTIKILLGRADES</t>
  </si>
  <si>
    <t>KillsGrades</t>
  </si>
  <si>
    <t>xFactor</t>
  </si>
  <si>
    <t>BlueRacerTrain</t>
  </si>
  <si>
    <t>829</t>
  </si>
  <si>
    <t>0</t>
  </si>
  <si>
    <t>Run PM</t>
  </si>
  <si>
    <t>GWL Reach Season</t>
  </si>
  <si>
    <t>HSPM</t>
  </si>
  <si>
    <t>AVPM</t>
  </si>
  <si>
    <t>Scomancer</t>
  </si>
  <si>
    <t>Infinite Szn:</t>
  </si>
  <si>
    <t>Spankatron</t>
  </si>
  <si>
    <t>KD</t>
  </si>
  <si>
    <t>Bulltrue</t>
  </si>
  <si>
    <t>Multikills</t>
  </si>
  <si>
    <t>xFact?</t>
  </si>
  <si>
    <t>Pancakes/Whiplashes/Exterms/Ninjas?</t>
  </si>
  <si>
    <t>HOUR(TIMEVALUE("0:"&amp;B5))*3600+MINUTE(TIMEVALUE("0:"&amp;B5))*60+SECOND(TIMEVALUE("0:"&amp;B5))</t>
  </si>
  <si>
    <t>`=IFERROR(VLOOKUP(A2,'Player Masterlist'!A:E,3,0),)</t>
  </si>
  <si>
    <t>AVG Life</t>
  </si>
  <si>
    <t>Actual Time</t>
  </si>
  <si>
    <t>Seconds Gametime</t>
  </si>
  <si>
    <t>Deaths times 4</t>
  </si>
  <si>
    <t>Deaths Times 4 Subtract From Gametime</t>
  </si>
  <si>
    <t>Deaths 4Math</t>
  </si>
  <si>
    <t>TimeAlive</t>
  </si>
  <si>
    <t>FULL GRADE AVG EQUATION</t>
  </si>
  <si>
    <t>Time Formula</t>
  </si>
  <si>
    <t>Time2</t>
  </si>
  <si>
    <t>Time3</t>
  </si>
  <si>
    <t>XFact</t>
  </si>
  <si>
    <t>Time 4</t>
  </si>
  <si>
    <t>Kills Low Weighting, give runners a chance</t>
  </si>
  <si>
    <t>LEADERBOARD CODE</t>
  </si>
  <si>
    <t>6s Hexas</t>
  </si>
  <si>
    <t>W Key</t>
  </si>
  <si>
    <r>
      <rPr>
        <rFont val="Arial"/>
        <b/>
        <color theme="1"/>
        <sz val="30.0"/>
      </rPr>
      <t xml:space="preserve">                </t>
    </r>
    <r>
      <rPr>
        <rFont val="Arial"/>
        <b/>
        <color theme="1"/>
        <sz val="50.0"/>
      </rPr>
      <t>MVP</t>
    </r>
  </si>
  <si>
    <t xml:space="preserve">               Best Tank</t>
  </si>
  <si>
    <t xml:space="preserve">             Best Runner</t>
  </si>
  <si>
    <t xml:space="preserve">           Best Defender</t>
  </si>
  <si>
    <t>The most valuable player of the season</t>
  </si>
  <si>
    <t xml:space="preserve">               Samurai</t>
  </si>
  <si>
    <t xml:space="preserve">         Best Captain</t>
  </si>
  <si>
    <t xml:space="preserve">        Best Playmaker  </t>
  </si>
  <si>
    <t xml:space="preserve">      Best Sleeper Pick</t>
  </si>
  <si>
    <t xml:space="preserve">             Tool Man</t>
  </si>
  <si>
    <t>Auto Updates</t>
  </si>
  <si>
    <t>S1/2</t>
  </si>
  <si>
    <t xml:space="preserve">Saturday </t>
  </si>
  <si>
    <t>vs</t>
  </si>
  <si>
    <t>40-80 min</t>
  </si>
  <si>
    <t>seed 4</t>
  </si>
  <si>
    <t>seed 3</t>
  </si>
  <si>
    <t>S8</t>
  </si>
  <si>
    <t>winner</t>
  </si>
  <si>
    <t>seed 5</t>
  </si>
  <si>
    <t>seed 6</t>
  </si>
  <si>
    <t>@</t>
  </si>
  <si>
    <t>8pm est</t>
  </si>
  <si>
    <t>5pm est</t>
  </si>
  <si>
    <t>100-200 min</t>
  </si>
  <si>
    <t>90-120 min</t>
  </si>
  <si>
    <t>S4</t>
  </si>
  <si>
    <t>seed 1/2</t>
  </si>
  <si>
    <t>seed 8</t>
  </si>
  <si>
    <t>seed 7</t>
  </si>
  <si>
    <t>60-120 min</t>
  </si>
  <si>
    <t>9pm est</t>
  </si>
  <si>
    <t>S5</t>
  </si>
  <si>
    <t>90-150 min</t>
  </si>
  <si>
    <t>Season winner</t>
  </si>
  <si>
    <t>w.S1/8</t>
  </si>
  <si>
    <t>w.Top</t>
  </si>
  <si>
    <t>S3</t>
  </si>
  <si>
    <t>w.S4/5</t>
  </si>
  <si>
    <t>w.Bot</t>
  </si>
  <si>
    <t>S6</t>
  </si>
  <si>
    <t>w.S3/6</t>
  </si>
  <si>
    <t>Avg Match Time</t>
  </si>
  <si>
    <t>w.S1/7</t>
  </si>
  <si>
    <t>15 mins</t>
  </si>
  <si>
    <t>Min Match time</t>
  </si>
  <si>
    <t>S7</t>
  </si>
  <si>
    <t>5 mins</t>
  </si>
  <si>
    <t>Max Match time</t>
  </si>
  <si>
    <t>31 mins</t>
  </si>
  <si>
    <t>Roster</t>
  </si>
  <si>
    <t>DeathCrawller</t>
  </si>
  <si>
    <t>SPANKATR0N</t>
  </si>
  <si>
    <t>Zahils</t>
  </si>
  <si>
    <t>sub</t>
  </si>
  <si>
    <t>tommyywestside</t>
  </si>
  <si>
    <t>SUB</t>
  </si>
  <si>
    <t>SUB ALT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</si>
  <si>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</si>
  <si>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</si>
  <si>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</si>
  <si>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</si>
  <si>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</si>
  <si>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</si>
  <si>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</si>
  <si>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</si>
  <si>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>BeaM1n1</t>
  </si>
  <si>
    <t>WeridPG</t>
  </si>
  <si>
    <t>Jusshhhyyy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</si>
</sst>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#,##0.000"/>
    <numFmt numFmtId="166" formatCode="&quot;:&quot;ss"/>
    <numFmt numFmtId="167" formatCode="0.0000"/>
    <numFmt numFmtId="168" formatCode="0.00000"/>
    <numFmt numFmtId="169" formatCode="m-d"/>
  </numFmts>
  <fonts count="136">
    <font>
      <sz val="10.0"/>
      <color rgb="FF000000"/>
      <name val="Arial"/>
      <scheme val="minor"/>
    </font>
    <font>
      <b/>
      <sz val="36.0"/>
      <color rgb="FF000000"/>
      <name val="Rajdhani"/>
    </font>
    <font>
      <b/>
      <sz val="20.0"/>
      <color rgb="FFFF0000"/>
      <name val="Arial"/>
      <scheme val="minor"/>
    </font>
    <font/>
    <font>
      <color theme="1"/>
      <name val="Arial"/>
      <scheme val="minor"/>
    </font>
    <font>
      <sz val="12.0"/>
      <color rgb="FF000000"/>
      <name val="Oswald"/>
    </font>
    <font>
      <sz val="11.0"/>
      <color rgb="FF000000"/>
      <name val="Oswald"/>
    </font>
    <font>
      <b/>
      <sz val="12.0"/>
      <color rgb="FF000000"/>
      <name val="Rajdhani"/>
    </font>
    <font>
      <b/>
      <sz val="12.0"/>
      <color theme="1"/>
      <name val="Arial"/>
    </font>
    <font>
      <color theme="1"/>
      <name val="Arial"/>
    </font>
    <font>
      <b/>
      <sz val="12.0"/>
      <color rgb="FF000000"/>
      <name val="Arial"/>
    </font>
    <font>
      <b/>
      <sz val="12.0"/>
      <color theme="1"/>
      <name val="Calibri"/>
    </font>
    <font>
      <color theme="1"/>
      <name val="Oswald"/>
    </font>
    <font>
      <sz val="12.0"/>
      <color theme="1"/>
      <name val="Oswald"/>
    </font>
    <font>
      <sz val="12.0"/>
      <color theme="1"/>
      <name val="Whitney"/>
    </font>
    <font>
      <b/>
      <sz val="11.0"/>
      <color theme="1"/>
      <name val="Calibri"/>
    </font>
    <font>
      <b/>
      <sz val="12.0"/>
      <color rgb="FF000000"/>
      <name val="Calibri"/>
    </font>
    <font>
      <b/>
      <sz val="15.0"/>
      <color rgb="FF000000"/>
      <name val="Oswald"/>
    </font>
    <font>
      <b/>
      <sz val="11.0"/>
      <color rgb="FF000000"/>
      <name val="Calibri"/>
    </font>
    <font>
      <b/>
      <sz val="24.0"/>
      <color rgb="FFFF0000"/>
      <name val="Oswald"/>
    </font>
    <font>
      <b/>
      <sz val="20.0"/>
      <color rgb="FFFF0000"/>
      <name val="Oswald"/>
    </font>
    <font>
      <b/>
      <sz val="12.0"/>
      <color theme="1"/>
      <name val="Rajdhani"/>
    </font>
    <font>
      <b/>
      <sz val="12.0"/>
      <color theme="1"/>
      <name val="Whitney"/>
    </font>
    <font>
      <b/>
      <sz val="14.0"/>
      <color rgb="FFFF0000"/>
      <name val="Arial"/>
    </font>
    <font>
      <b/>
      <sz val="12.0"/>
      <color theme="1"/>
      <name val="Merriweather"/>
    </font>
    <font>
      <b/>
      <sz val="12.0"/>
      <color rgb="FF000000"/>
      <name val="Merriweather"/>
    </font>
    <font>
      <sz val="12.0"/>
      <color theme="1"/>
      <name val="Arial"/>
    </font>
    <font>
      <sz val="9.0"/>
      <color rgb="FF000000"/>
      <name val="&quot;Google Sans Mono&quot;"/>
    </font>
    <font>
      <b/>
      <sz val="11.0"/>
      <color rgb="FFFFFFFF"/>
      <name val="Calibri"/>
    </font>
    <font>
      <b/>
      <sz val="12.0"/>
      <color theme="1"/>
      <name val="Arial"/>
      <scheme val="minor"/>
    </font>
    <font>
      <sz val="10.0"/>
      <color theme="1"/>
      <name val="Oswald"/>
    </font>
    <font>
      <b/>
      <sz val="11.0"/>
      <color rgb="FF666666"/>
      <name val="Calibri"/>
    </font>
    <font>
      <sz val="10.0"/>
      <color rgb="FF000000"/>
      <name val="Oswald"/>
    </font>
    <font>
      <b/>
      <sz val="15.0"/>
      <color theme="1"/>
      <name val="Oswald"/>
    </font>
    <font>
      <b/>
      <color theme="1"/>
      <name val="Arial"/>
    </font>
    <font>
      <b/>
      <sz val="14.0"/>
      <color rgb="FFFF0000"/>
      <name val="Oswald"/>
    </font>
    <font>
      <b/>
      <sz val="11.0"/>
      <color rgb="FFFF0000"/>
      <name val="Arial"/>
    </font>
    <font>
      <b/>
      <sz val="11.0"/>
      <color rgb="FFFF0000"/>
      <name val="Roboto"/>
    </font>
    <font>
      <color rgb="FF000000"/>
      <name val="Roboto"/>
    </font>
    <font>
      <sz val="11.0"/>
      <color rgb="FFFF0000"/>
      <name val="Arial"/>
    </font>
    <font>
      <sz val="12.0"/>
      <color rgb="FF4A86E8"/>
      <name val="Oswald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FF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666666"/>
      <name val="Calibri"/>
    </font>
    <font>
      <b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Söhne"/>
    </font>
    <font>
      <sz val="11.0"/>
      <color rgb="FFFFFFFF"/>
      <name val="Arial"/>
    </font>
    <font>
      <sz val="11.0"/>
      <color theme="1"/>
      <name val="Times New Roman"/>
    </font>
    <font>
      <b/>
      <sz val="11.0"/>
      <color rgb="FFFF0000"/>
      <name val="Arial"/>
      <scheme val="minor"/>
    </font>
    <font>
      <sz val="11.0"/>
      <color rgb="FF000000"/>
      <name val="Inconsolata"/>
    </font>
    <font>
      <b/>
      <sz val="11.0"/>
      <color rgb="FF000000"/>
      <name val="Arial"/>
    </font>
    <font>
      <b/>
      <color rgb="FF000000"/>
      <name val="Arial"/>
    </font>
    <font>
      <i/>
      <sz val="11.0"/>
      <color rgb="FF000000"/>
      <name val="Calibri"/>
    </font>
    <font>
      <sz val="11.0"/>
      <color theme="1"/>
      <name val="Arial"/>
      <scheme val="minor"/>
    </font>
    <font>
      <b/>
      <sz val="20.0"/>
      <color rgb="FFD9EAD3"/>
      <name val="Arial"/>
    </font>
    <font>
      <b/>
      <sz val="11.0"/>
      <color rgb="FF000000"/>
      <name val="Inconsolata"/>
    </font>
    <font>
      <b/>
      <sz val="22.0"/>
      <color rgb="FFD9EAD3"/>
      <name val="Arial"/>
    </font>
    <font>
      <i/>
      <color theme="1"/>
      <name val="Arial"/>
    </font>
    <font>
      <b/>
      <sz val="11.0"/>
      <color rgb="FFD9EAD3"/>
      <name val="Arial"/>
    </font>
    <font>
      <i/>
      <sz val="11.0"/>
      <color theme="1"/>
      <name val="Calibri"/>
    </font>
    <font>
      <sz val="11.0"/>
      <color theme="1"/>
      <name val="Comfortaa"/>
    </font>
    <font>
      <sz val="9.0"/>
      <color theme="1"/>
      <name val="Google Sans Mono"/>
    </font>
    <font>
      <b/>
      <sz val="22.0"/>
      <color rgb="FFFF0000"/>
      <name val="Arial"/>
    </font>
    <font>
      <i/>
      <color rgb="FF000000"/>
      <name val="Arial"/>
    </font>
    <font>
      <b/>
      <strike/>
      <sz val="11.0"/>
      <color rgb="FF000000"/>
      <name val="Calibri"/>
    </font>
    <font>
      <b/>
      <sz val="20.0"/>
      <color rgb="FFFF0000"/>
      <name val="Arial"/>
    </font>
    <font>
      <sz val="9.0"/>
      <color rgb="FF000000"/>
      <name val="Arial"/>
      <scheme val="minor"/>
    </font>
    <font>
      <b/>
      <sz val="25.0"/>
      <color theme="1"/>
      <name val="Arial"/>
      <scheme val="minor"/>
    </font>
    <font>
      <b/>
      <sz val="11.0"/>
      <color rgb="FFE6D600"/>
      <name val="Calibri"/>
    </font>
    <font>
      <b/>
      <sz val="14.0"/>
      <color theme="1"/>
      <name val="Arial"/>
    </font>
    <font>
      <b/>
      <strike/>
      <sz val="11.0"/>
      <color theme="1"/>
      <name val="Calibri"/>
    </font>
    <font>
      <color rgb="FF0C0D0E"/>
      <name val="Arial"/>
      <scheme val="minor"/>
    </font>
    <font>
      <color rgb="FFFFD700"/>
      <name val="Arial"/>
    </font>
    <font>
      <color rgb="FF000000"/>
      <name val="Arial"/>
    </font>
    <font>
      <b/>
      <sz val="50.0"/>
      <color theme="1"/>
      <name val="Arial"/>
      <scheme val="minor"/>
    </font>
    <font>
      <b/>
      <sz val="20.0"/>
      <color theme="1"/>
      <name val="Arial"/>
      <scheme val="minor"/>
    </font>
    <font>
      <b/>
      <sz val="20.0"/>
      <color theme="1"/>
      <name val="Arial"/>
    </font>
    <font>
      <sz val="12.0"/>
      <color theme="1"/>
      <name val="Arial"/>
      <scheme val="minor"/>
    </font>
    <font>
      <sz val="11.0"/>
      <color rgb="FF000000"/>
      <name val="Times New Roman"/>
    </font>
    <font>
      <b/>
      <color rgb="FFFFFFFF"/>
      <name val="Arial"/>
      <scheme val="minor"/>
    </font>
    <font>
      <b/>
      <sz val="10.0"/>
      <color theme="1"/>
      <name val="Arial"/>
    </font>
    <font>
      <b/>
      <sz val="15.0"/>
      <color theme="1"/>
      <name val="Arial"/>
    </font>
    <font>
      <b/>
      <strike/>
      <color theme="1"/>
      <name val="Arial"/>
    </font>
    <font>
      <b/>
      <strike/>
      <color rgb="FFFF0000"/>
      <name val="Arial"/>
    </font>
    <font>
      <strike/>
      <color theme="1"/>
      <name val="Arial"/>
    </font>
    <font>
      <sz val="20.0"/>
      <color rgb="FFFF0000"/>
      <name val="Arial"/>
    </font>
    <font>
      <color rgb="FFFF0000"/>
      <name val="Arial"/>
    </font>
    <font>
      <u/>
      <color rgb="FF0000FF"/>
      <name val="Arial"/>
    </font>
    <font>
      <u/>
      <color rgb="FF1155CC"/>
      <name val="Arial"/>
    </font>
    <font>
      <b/>
      <color rgb="FFFF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trike/>
      <color rgb="FF4A86E8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i/>
      <strike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2.0"/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sz val="9.0"/>
      <color rgb="FF1155CC"/>
      <name val="&quot;Google Sans Mono&quot;"/>
    </font>
    <font>
      <sz val="10.0"/>
      <color theme="1"/>
      <name val="Arial"/>
      <scheme val="minor"/>
    </font>
    <font>
      <sz val="9.0"/>
      <color theme="1"/>
      <name val="&quot;Google Sans Mono&quot;"/>
    </font>
    <font>
      <b/>
      <sz val="10.0"/>
      <color rgb="FF000000"/>
      <name val="Arial"/>
    </font>
    <font>
      <b/>
      <sz val="10.0"/>
      <color rgb="FF000000"/>
      <name val="Arial"/>
      <scheme val="minor"/>
    </font>
    <font>
      <sz val="9.0"/>
      <color rgb="FF000000"/>
      <name val="&quot;docs-Google Sans Mono&quot;"/>
    </font>
    <font>
      <sz val="11.0"/>
      <color theme="1"/>
      <name val="Inconsolata"/>
    </font>
    <font>
      <b/>
      <sz val="11.0"/>
      <color theme="1"/>
      <name val="Inconsolata"/>
    </font>
    <font>
      <color theme="1"/>
      <name val="Merriweather"/>
    </font>
    <font>
      <sz val="9.0"/>
      <color rgb="FF000000"/>
      <name val="Google Sans Mono"/>
    </font>
    <font>
      <sz val="9.0"/>
      <color theme="1"/>
      <name val="Arial"/>
      <scheme val="minor"/>
    </font>
    <font>
      <sz val="9.0"/>
      <color rgb="FF7E3794"/>
      <name val="&quot;Google Sans Mono&quot;"/>
    </font>
    <font>
      <b/>
      <color theme="1"/>
      <name val="Google Sans Mono"/>
    </font>
    <font>
      <sz val="30.0"/>
      <color theme="1"/>
      <name val="Arial"/>
      <scheme val="minor"/>
    </font>
    <font>
      <b/>
      <sz val="30.0"/>
      <color theme="1"/>
      <name val="Arial"/>
      <scheme val="minor"/>
    </font>
    <font>
      <sz val="25.0"/>
      <color theme="1"/>
      <name val="Arial"/>
      <scheme val="minor"/>
    </font>
    <font>
      <sz val="20.0"/>
      <color theme="1"/>
      <name val="Arial"/>
      <scheme val="minor"/>
    </font>
    <font>
      <sz val="9.0"/>
      <color theme="1"/>
      <name val="Arial"/>
    </font>
    <font>
      <i/>
      <color rgb="FF0000FF"/>
      <name val="Arial"/>
    </font>
    <font>
      <strike/>
      <color theme="1"/>
      <name val="Arial"/>
      <scheme val="minor"/>
    </font>
    <font>
      <sz val="11.0"/>
      <color rgb="FF000000"/>
      <name val="Calibri"/>
    </font>
  </fonts>
  <fills count="67">
    <fill>
      <patternFill patternType="none"/>
    </fill>
    <fill>
      <patternFill patternType="lightGray"/>
    </fill>
    <fill>
      <patternFill patternType="solid">
        <fgColor rgb="FFBBBFC4"/>
        <bgColor rgb="FFBBBFC4"/>
      </patternFill>
    </fill>
    <fill>
      <patternFill patternType="solid">
        <fgColor theme="1"/>
        <bgColor theme="1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926B5A"/>
        <bgColor rgb="FF926B5A"/>
      </patternFill>
    </fill>
    <fill>
      <patternFill patternType="solid">
        <fgColor rgb="FF557CAC"/>
        <bgColor rgb="FF557CAC"/>
      </patternFill>
    </fill>
    <fill>
      <patternFill patternType="solid">
        <fgColor rgb="FF44B3CF"/>
        <bgColor rgb="FF44B3CF"/>
      </patternFill>
    </fill>
    <fill>
      <patternFill patternType="solid">
        <fgColor rgb="FF656136"/>
        <bgColor rgb="FF656136"/>
      </patternFill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D6B05F"/>
        <bgColor rgb="FFD6B05F"/>
      </patternFill>
    </fill>
    <fill>
      <patternFill patternType="solid">
        <fgColor rgb="FF7C8161"/>
        <bgColor rgb="FF7C8161"/>
      </patternFill>
    </fill>
    <fill>
      <patternFill patternType="solid">
        <fgColor rgb="FFDDB4B0"/>
        <bgColor rgb="FFDDB4B0"/>
      </patternFill>
    </fill>
    <fill>
      <patternFill patternType="solid">
        <fgColor rgb="FFAAAFB5"/>
        <bgColor rgb="FFAAAFB5"/>
      </patternFill>
    </fill>
    <fill>
      <patternFill patternType="solid">
        <fgColor rgb="FF55575C"/>
        <bgColor rgb="FF55575C"/>
      </patternFill>
    </fill>
    <fill>
      <patternFill patternType="solid">
        <fgColor rgb="FFC3AB92"/>
        <bgColor rgb="FFC3AB92"/>
      </patternFill>
    </fill>
    <fill>
      <patternFill patternType="solid">
        <fgColor rgb="FFF2AC71"/>
        <bgColor rgb="FFF2AC71"/>
      </patternFill>
    </fill>
    <fill>
      <patternFill patternType="solid">
        <fgColor rgb="FFBDBDBD"/>
        <bgColor rgb="FFBDBDBD"/>
      </patternFill>
    </fill>
    <fill>
      <patternFill patternType="solid">
        <fgColor rgb="FF666666"/>
        <bgColor rgb="FF666666"/>
      </patternFill>
    </fill>
    <fill>
      <patternFill patternType="solid">
        <fgColor rgb="FFA8897B"/>
        <bgColor rgb="FFA8897B"/>
      </patternFill>
    </fill>
    <fill>
      <patternFill patternType="solid">
        <fgColor rgb="FF7796BD"/>
        <bgColor rgb="FF7796BD"/>
      </patternFill>
    </fill>
    <fill>
      <patternFill patternType="solid">
        <fgColor rgb="FF69C2D9"/>
        <bgColor rgb="FF69C2D9"/>
      </patternFill>
    </fill>
    <fill>
      <patternFill patternType="solid">
        <fgColor rgb="FFF4CCCC"/>
        <bgColor rgb="FFF4CCCC"/>
      </patternFill>
    </fill>
    <fill>
      <patternFill patternType="solid">
        <fgColor rgb="FF84815E"/>
        <bgColor rgb="FF84815E"/>
      </patternFill>
    </fill>
    <fill>
      <patternFill patternType="solid">
        <fgColor rgb="FFDEC07F"/>
        <bgColor rgb="FFDEC07F"/>
      </patternFill>
    </fill>
    <fill>
      <patternFill patternType="solid">
        <fgColor rgb="FF969A81"/>
        <bgColor rgb="FF969A81"/>
      </patternFill>
    </fill>
    <fill>
      <patternFill patternType="solid">
        <fgColor rgb="FFE4C3C0"/>
        <bgColor rgb="FFE4C3C0"/>
      </patternFill>
    </fill>
    <fill>
      <patternFill patternType="solid">
        <fgColor rgb="FFFCE5CD"/>
        <bgColor rgb="FFFCE5CD"/>
      </patternFill>
    </fill>
    <fill>
      <patternFill patternType="solid">
        <fgColor rgb="FF77797D"/>
        <bgColor rgb="FF77797D"/>
      </patternFill>
    </fill>
    <fill>
      <patternFill patternType="solid">
        <fgColor rgb="FFCFBCA8"/>
        <bgColor rgb="FFCFBCA8"/>
      </patternFill>
    </fill>
    <fill>
      <patternFill patternType="solid">
        <fgColor rgb="FFF5BD8D"/>
        <bgColor rgb="FFF5BD8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9DFAA"/>
        <bgColor rgb="FFF9DFA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3A3838"/>
        <bgColor rgb="FF3A3838"/>
      </patternFill>
    </fill>
    <fill>
      <patternFill patternType="solid">
        <fgColor rgb="FFFBBC04"/>
        <bgColor rgb="FFFBBC04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</fills>
  <borders count="8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FFF2CC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FFF2CC"/>
      </left>
      <top style="medium">
        <color rgb="FFFFF2CC"/>
      </top>
    </border>
    <border>
      <top style="medium">
        <color rgb="FFFFF2CC"/>
      </top>
    </border>
    <border>
      <right style="medium">
        <color rgb="FFFFF2CC"/>
      </right>
      <top style="medium">
        <color rgb="FFFFF2CC"/>
      </top>
    </border>
    <border>
      <left style="medium">
        <color rgb="FFFFF2CC"/>
      </left>
    </border>
    <border>
      <right style="medium">
        <color rgb="FFFFF2CC"/>
      </right>
    </border>
    <border>
      <left style="medium">
        <color rgb="FFFFF2CC"/>
      </left>
      <bottom style="medium">
        <color rgb="FFFFF2CC"/>
      </bottom>
    </border>
    <border>
      <bottom style="medium">
        <color rgb="FFFFF2CC"/>
      </bottom>
    </border>
    <border>
      <right style="medium">
        <color rgb="FFFFF2CC"/>
      </right>
      <bottom style="medium">
        <color rgb="FFFFF2CC"/>
      </bottom>
    </border>
    <border>
      <left style="thick">
        <color rgb="FFFFF2CC"/>
      </left>
    </border>
  </borders>
  <cellStyleXfs count="1">
    <xf borderId="0" fillId="0" fontId="0" numFmtId="0" applyAlignment="1" applyFont="1"/>
  </cellStyleXfs>
  <cellXfs count="14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3" fontId="4" numFmtId="0" xfId="0" applyFill="1" applyFont="1"/>
    <xf borderId="4" fillId="0" fontId="3" numFmtId="0" xfId="0" applyBorder="1" applyFont="1"/>
    <xf borderId="5" fillId="0" fontId="3" numFmtId="0" xfId="0" applyBorder="1" applyFont="1"/>
    <xf borderId="0" fillId="4" fontId="5" numFmtId="0" xfId="0" applyAlignment="1" applyFill="1" applyFont="1">
      <alignment horizontal="center" readingOrder="0"/>
    </xf>
    <xf borderId="0" fillId="3" fontId="6" numFmtId="0" xfId="0" applyAlignment="1" applyFill="1" applyFont="1">
      <alignment readingOrder="0"/>
    </xf>
    <xf borderId="6" fillId="2" fontId="7" numFmtId="0" xfId="0" applyAlignment="1" applyBorder="1" applyFill="1" applyFont="1">
      <alignment horizontal="center" shrinkToFit="0" vertical="center" wrapText="1"/>
    </xf>
    <xf borderId="0" fillId="5" fontId="4" numFmtId="0" xfId="0" applyFill="1" applyFont="1"/>
    <xf borderId="0" fillId="3" fontId="8" numFmtId="0" xfId="0" applyAlignment="1" applyFill="1" applyFont="1">
      <alignment horizontal="center" readingOrder="0"/>
    </xf>
    <xf borderId="7" fillId="6" fontId="7" numFmtId="0" xfId="0" applyAlignment="1" applyBorder="1" applyFill="1" applyFont="1">
      <alignment horizontal="center" readingOrder="0" vertical="center"/>
    </xf>
    <xf borderId="7" fillId="7" fontId="7" numFmtId="0" xfId="0" applyAlignment="1" applyBorder="1" applyFill="1" applyFont="1">
      <alignment horizontal="center" readingOrder="0" shrinkToFit="0" vertical="center" wrapText="1"/>
    </xf>
    <xf borderId="8" fillId="8" fontId="7" numFmtId="0" xfId="0" applyAlignment="1" applyBorder="1" applyFill="1" applyFont="1">
      <alignment horizontal="center" readingOrder="0" vertical="center"/>
    </xf>
    <xf borderId="0" fillId="5" fontId="9" numFmtId="0" xfId="0" applyAlignment="1" applyFill="1" applyFont="1">
      <alignment readingOrder="0" vertical="bottom"/>
    </xf>
    <xf borderId="7" fillId="9" fontId="7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ill="1" applyFont="1">
      <alignment vertical="bottom"/>
    </xf>
    <xf borderId="0" fillId="10" fontId="5" numFmtId="0" xfId="0" applyAlignment="1" applyFill="1" applyFont="1">
      <alignment horizontal="center" readingOrder="0"/>
    </xf>
    <xf borderId="10" fillId="11" fontId="10" numFmtId="0" xfId="0" applyAlignment="1" applyBorder="1" applyFill="1" applyFont="1">
      <alignment horizontal="center" readingOrder="0" shrinkToFit="0" vertical="center" wrapText="1"/>
    </xf>
    <xf borderId="0" fillId="5" fontId="9" numFmtId="164" xfId="0" applyAlignment="1" applyFill="1" applyFont="1" applyNumberFormat="1">
      <alignment vertical="bottom"/>
    </xf>
    <xf borderId="8" fillId="12" fontId="7" numFmtId="0" xfId="0" applyAlignment="1" applyBorder="1" applyFill="1" applyFont="1">
      <alignment horizontal="center" readingOrder="0" vertical="center"/>
    </xf>
    <xf borderId="7" fillId="13" fontId="7" numFmtId="0" xfId="0" applyAlignment="1" applyBorder="1" applyFill="1" applyFont="1">
      <alignment horizontal="center" readingOrder="0" vertical="center"/>
    </xf>
    <xf borderId="10" fillId="11" fontId="11" numFmtId="0" xfId="0" applyAlignment="1" applyBorder="1" applyFill="1" applyFont="1">
      <alignment horizontal="center" readingOrder="0" shrinkToFit="0" vertical="center" wrapText="1"/>
    </xf>
    <xf borderId="9" fillId="5" fontId="9" numFmtId="164" xfId="0" applyAlignment="1" applyBorder="1" applyFill="1" applyFont="1" applyNumberFormat="1">
      <alignment vertical="bottom"/>
    </xf>
    <xf borderId="7" fillId="14" fontId="7" numFmtId="0" xfId="0" applyAlignment="1" applyBorder="1" applyFill="1" applyFont="1">
      <alignment horizontal="center" readingOrder="0" vertical="center"/>
    </xf>
    <xf borderId="0" fillId="5" fontId="12" numFmtId="0" xfId="0" applyFill="1" applyFont="1"/>
    <xf borderId="0" fillId="10" fontId="13" numFmtId="0" xfId="0" applyAlignment="1" applyFill="1" applyFont="1">
      <alignment horizontal="center" readingOrder="0"/>
    </xf>
    <xf borderId="10" fillId="11" fontId="11" numFmtId="0" xfId="0" applyAlignment="1" applyBorder="1" applyFill="1" applyFont="1">
      <alignment horizontal="center" shrinkToFit="0" vertical="center" wrapText="1"/>
    </xf>
    <xf borderId="7" fillId="15" fontId="7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center" shrinkToFit="0" vertical="center" wrapText="0"/>
    </xf>
    <xf borderId="11" fillId="11" fontId="11" numFmtId="0" xfId="0" applyAlignment="1" applyBorder="1" applyFill="1" applyFont="1">
      <alignment horizontal="center" shrinkToFit="0" vertical="center" wrapText="1"/>
    </xf>
    <xf borderId="0" fillId="10" fontId="13" numFmtId="4" xfId="0" applyAlignment="1" applyFill="1" applyFont="1" applyNumberFormat="1">
      <alignment horizontal="center" readingOrder="0"/>
    </xf>
    <xf borderId="7" fillId="16" fontId="7" numFmtId="0" xfId="0" applyAlignment="1" applyBorder="1" applyFill="1" applyFont="1">
      <alignment horizontal="center" vertical="center"/>
    </xf>
    <xf borderId="9" fillId="5" fontId="9" numFmtId="0" xfId="0" applyAlignment="1" applyBorder="1" applyFill="1" applyFont="1">
      <alignment horizontal="center" vertical="center"/>
    </xf>
    <xf borderId="0" fillId="3" fontId="14" numFmtId="0" xfId="0" applyAlignment="1" applyFill="1" applyFont="1">
      <alignment horizontal="center" readingOrder="0"/>
    </xf>
    <xf borderId="10" fillId="11" fontId="15" numFmtId="0" xfId="0" applyAlignment="1" applyBorder="1" applyFill="1" applyFont="1">
      <alignment horizontal="center" readingOrder="0" shrinkToFit="0" vertical="center" wrapText="1"/>
    </xf>
    <xf borderId="7" fillId="17" fontId="7" numFmtId="0" xfId="0" applyAlignment="1" applyBorder="1" applyFill="1" applyFont="1">
      <alignment horizontal="center" vertical="center"/>
    </xf>
    <xf borderId="10" fillId="11" fontId="16" numFmtId="4" xfId="0" applyAlignment="1" applyBorder="1" applyFill="1" applyFont="1" applyNumberFormat="1">
      <alignment horizontal="center" readingOrder="0" shrinkToFit="0" vertical="center" wrapText="1"/>
    </xf>
    <xf borderId="0" fillId="5" fontId="9" numFmtId="0" xfId="0" applyAlignment="1" applyFill="1" applyFont="1">
      <alignment vertical="bottom"/>
    </xf>
    <xf borderId="12" fillId="4" fontId="5" numFmtId="0" xfId="0" applyAlignment="1" applyBorder="1" applyFill="1" applyFont="1">
      <alignment horizontal="center" readingOrder="0" vertical="center"/>
    </xf>
    <xf borderId="7" fillId="18" fontId="7" numFmtId="0" xfId="0" applyAlignment="1" applyBorder="1" applyFill="1" applyFont="1">
      <alignment horizontal="center" shrinkToFit="0" vertical="center" wrapText="1"/>
    </xf>
    <xf borderId="10" fillId="11" fontId="16" numFmtId="1" xfId="0" applyAlignment="1" applyBorder="1" applyFill="1" applyFont="1" applyNumberFormat="1">
      <alignment horizontal="center" readingOrder="0" shrinkToFit="0" vertical="center" wrapText="1"/>
    </xf>
    <xf borderId="0" fillId="5" fontId="9" numFmtId="0" xfId="0" applyAlignment="1" applyFill="1" applyFont="1">
      <alignment horizontal="left" vertical="bottom"/>
    </xf>
    <xf borderId="13" fillId="0" fontId="3" numFmtId="0" xfId="0" applyBorder="1" applyFont="1"/>
    <xf borderId="12" fillId="4" fontId="17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vertical="bottom"/>
    </xf>
    <xf borderId="14" fillId="0" fontId="3" numFmtId="0" xfId="0" applyBorder="1" applyFont="1"/>
    <xf borderId="10" fillId="11" fontId="18" numFmtId="1" xfId="0" applyAlignment="1" applyBorder="1" applyFill="1" applyFont="1" applyNumberFormat="1">
      <alignment horizontal="center" readingOrder="0" shrinkToFit="0" vertical="center" wrapText="1"/>
    </xf>
    <xf borderId="12" fillId="4" fontId="19" numFmtId="49" xfId="0" applyAlignment="1" applyBorder="1" applyFill="1" applyFont="1" applyNumberFormat="1">
      <alignment horizontal="center" readingOrder="0" shrinkToFit="0" vertical="center" wrapText="1"/>
    </xf>
    <xf borderId="10" fillId="11" fontId="16" numFmtId="0" xfId="0" applyAlignment="1" applyBorder="1" applyFill="1" applyFont="1">
      <alignment horizontal="center" readingOrder="0" shrinkToFit="0" vertical="center" wrapText="1"/>
    </xf>
    <xf borderId="12" fillId="4" fontId="19" numFmtId="0" xfId="0" applyAlignment="1" applyBorder="1" applyFill="1" applyFont="1">
      <alignment horizontal="center" readingOrder="0" shrinkToFit="0" vertical="center" wrapText="1"/>
    </xf>
    <xf borderId="10" fillId="2" fontId="7" numFmtId="0" xfId="0" applyAlignment="1" applyBorder="1" applyFill="1" applyFont="1">
      <alignment horizontal="center" vertical="bottom"/>
    </xf>
    <xf borderId="0" fillId="19" fontId="9" numFmtId="0" xfId="0" applyAlignment="1" applyFill="1" applyFont="1">
      <alignment vertical="bottom"/>
    </xf>
    <xf borderId="15" fillId="20" fontId="18" numFmtId="164" xfId="0" applyAlignment="1" applyBorder="1" applyFill="1" applyFont="1" applyNumberFormat="1">
      <alignment horizontal="center" readingOrder="0" shrinkToFit="0" vertical="center" wrapText="1"/>
    </xf>
    <xf borderId="12" fillId="4" fontId="17" numFmtId="4" xfId="0" applyAlignment="1" applyBorder="1" applyFill="1" applyFont="1" applyNumberFormat="1">
      <alignment horizontal="center" readingOrder="0" shrinkToFit="0" vertical="center" wrapText="1"/>
    </xf>
    <xf borderId="10" fillId="21" fontId="7" numFmtId="0" xfId="0" applyAlignment="1" applyBorder="1" applyFill="1" applyFont="1">
      <alignment horizontal="center" readingOrder="0" shrinkToFit="0" vertical="center" wrapText="1"/>
    </xf>
    <xf borderId="12" fillId="4" fontId="20" numFmtId="1" xfId="0" applyAlignment="1" applyBorder="1" applyFill="1" applyFont="1" applyNumberFormat="1">
      <alignment horizontal="center" readingOrder="0" shrinkToFit="0" vertical="center" wrapText="1"/>
    </xf>
    <xf borderId="10" fillId="7" fontId="15" numFmtId="0" xfId="0" applyAlignment="1" applyBorder="1" applyFill="1" applyFont="1">
      <alignment horizontal="center" readingOrder="0" shrinkToFit="0" vertical="center" wrapText="1"/>
    </xf>
    <xf borderId="16" fillId="5" fontId="9" numFmtId="0" xfId="0" applyBorder="1" applyFill="1" applyFont="1"/>
    <xf borderId="11" fillId="22" fontId="21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/>
    </xf>
    <xf borderId="11" fillId="7" fontId="15" numFmtId="0" xfId="0" applyAlignment="1" applyBorder="1" applyFill="1" applyFont="1">
      <alignment horizontal="center" readingOrder="0" shrinkToFit="0" vertical="center" wrapText="1"/>
    </xf>
    <xf borderId="10" fillId="23" fontId="7" numFmtId="0" xfId="0" applyAlignment="1" applyBorder="1" applyFill="1" applyFont="1">
      <alignment horizontal="center" vertical="bottom"/>
    </xf>
    <xf borderId="12" fillId="4" fontId="5" numFmtId="49" xfId="0" applyAlignment="1" applyBorder="1" applyFill="1" applyFont="1" applyNumberFormat="1">
      <alignment horizontal="center" readingOrder="0" vertical="center"/>
    </xf>
    <xf borderId="17" fillId="24" fontId="8" numFmtId="0" xfId="0" applyAlignment="1" applyBorder="1" applyFill="1" applyFont="1">
      <alignment readingOrder="0" vertical="center"/>
    </xf>
    <xf borderId="11" fillId="25" fontId="7" numFmtId="0" xfId="0" applyAlignment="1" applyBorder="1" applyFill="1" applyFont="1">
      <alignment horizontal="center" readingOrder="0" shrinkToFit="0" vertical="center" wrapText="1"/>
    </xf>
    <xf borderId="12" fillId="4" fontId="5" numFmtId="4" xfId="0" applyAlignment="1" applyBorder="1" applyFill="1" applyFont="1" applyNumberFormat="1">
      <alignment horizontal="center" readingOrder="0" vertical="center"/>
    </xf>
    <xf borderId="8" fillId="7" fontId="15" numFmtId="0" xfId="0" applyAlignment="1" applyBorder="1" applyFill="1" applyFont="1">
      <alignment horizontal="center" readingOrder="0" shrinkToFit="0" vertical="center" wrapText="1"/>
    </xf>
    <xf borderId="10" fillId="26" fontId="7" numFmtId="0" xfId="0" applyAlignment="1" applyBorder="1" applyFill="1" applyFont="1">
      <alignment horizontal="center" readingOrder="0" shrinkToFit="0" vertical="center" wrapText="1"/>
    </xf>
    <xf borderId="0" fillId="3" fontId="22" numFmtId="0" xfId="0" applyAlignment="1" applyFill="1" applyFont="1">
      <alignment horizontal="center" readingOrder="0"/>
    </xf>
    <xf borderId="18" fillId="24" fontId="10" numFmtId="164" xfId="0" applyAlignment="1" applyBorder="1" applyFill="1" applyFont="1" applyNumberFormat="1">
      <alignment horizontal="center" readingOrder="0" shrinkToFit="0" vertical="center" wrapText="1"/>
    </xf>
    <xf borderId="15" fillId="27" fontId="7" numFmtId="0" xfId="0" applyAlignment="1" applyBorder="1" applyFill="1" applyFont="1">
      <alignment horizontal="center" vertical="bottom"/>
    </xf>
    <xf borderId="0" fillId="3" fontId="14" numFmtId="0" xfId="0" applyAlignment="1" applyFill="1" applyFont="1">
      <alignment horizontal="center" readingOrder="0" shrinkToFit="0" wrapText="1"/>
    </xf>
    <xf borderId="19" fillId="5" fontId="23" numFmtId="0" xfId="0" applyAlignment="1" applyBorder="1" applyFill="1" applyFont="1">
      <alignment horizontal="center" readingOrder="0" shrinkToFit="0" vertical="center" wrapText="1"/>
    </xf>
    <xf borderId="12" fillId="4" fontId="5" numFmtId="0" xfId="0" applyAlignment="1" applyBorder="1" applyFill="1" applyFont="1">
      <alignment horizontal="center" readingOrder="0" shrinkToFit="0" vertical="center" wrapText="1"/>
    </xf>
    <xf borderId="15" fillId="28" fontId="7" numFmtId="0" xfId="0" applyAlignment="1" applyBorder="1" applyFill="1" applyFont="1">
      <alignment horizontal="center" vertical="bottom"/>
    </xf>
    <xf borderId="9" fillId="29" fontId="8" numFmtId="0" xfId="0" applyAlignment="1" applyBorder="1" applyFill="1" applyFont="1">
      <alignment horizontal="center" readingOrder="0" shrinkToFit="0" vertical="center" wrapText="1"/>
    </xf>
    <xf borderId="12" fillId="4" fontId="5" numFmtId="4" xfId="0" applyAlignment="1" applyBorder="1" applyFill="1" applyFont="1" applyNumberFormat="1">
      <alignment horizontal="center" readingOrder="0" shrinkToFit="0" vertical="center" wrapText="1"/>
    </xf>
    <xf borderId="10" fillId="2" fontId="21" numFmtId="0" xfId="0" applyAlignment="1" applyBorder="1" applyFill="1" applyFont="1">
      <alignment horizontal="center" readingOrder="0" shrinkToFit="0" vertical="center" wrapText="1"/>
    </xf>
    <xf borderId="9" fillId="29" fontId="8" numFmtId="164" xfId="0" applyAlignment="1" applyBorder="1" applyFill="1" applyFont="1" applyNumberFormat="1">
      <alignment horizontal="center" readingOrder="0" shrinkToFit="0" wrapText="1"/>
    </xf>
    <xf borderId="10" fillId="30" fontId="24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9" fillId="4" fontId="8" numFmtId="0" xfId="0" applyAlignment="1" applyBorder="1" applyFill="1" applyFont="1">
      <alignment horizontal="center" readingOrder="0" shrinkToFit="0" vertical="center" wrapText="1"/>
    </xf>
    <xf borderId="11" fillId="31" fontId="25" numFmtId="0" xfId="0" applyAlignment="1" applyBorder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wrapText="1"/>
    </xf>
    <xf borderId="8" fillId="7" fontId="15" numFmtId="0" xfId="0" applyAlignment="1" applyBorder="1" applyFill="1" applyFont="1">
      <alignment horizontal="center" shrinkToFit="0" vertical="bottom" wrapText="1"/>
    </xf>
    <xf borderId="9" fillId="4" fontId="8" numFmtId="164" xfId="0" applyAlignment="1" applyBorder="1" applyFill="1" applyFont="1" applyNumberFormat="1">
      <alignment horizontal="center" readingOrder="0" shrinkToFit="0" vertical="center" wrapText="1"/>
    </xf>
    <xf borderId="12" fillId="4" fontId="5" numFmtId="49" xfId="0" applyAlignment="1" applyBorder="1" applyFill="1" applyFont="1" applyNumberFormat="1">
      <alignment horizontal="center" readingOrder="0" shrinkToFit="0" vertical="center" wrapText="1"/>
    </xf>
    <xf borderId="10" fillId="32" fontId="25" numFmtId="0" xfId="0" applyAlignment="1" applyBorder="1" applyFill="1" applyFont="1">
      <alignment horizontal="center" readingOrder="0" shrinkToFit="0" vertical="center" wrapText="1"/>
    </xf>
    <xf borderId="9" fillId="33" fontId="8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vertical="center"/>
    </xf>
    <xf borderId="9" fillId="33" fontId="8" numFmtId="164" xfId="0" applyAlignment="1" applyBorder="1" applyFill="1" applyFont="1" applyNumberFormat="1">
      <alignment horizontal="center" readingOrder="0" shrinkToFit="0" wrapText="1"/>
    </xf>
    <xf borderId="10" fillId="2" fontId="7" numFmtId="0" xfId="0" applyAlignment="1" applyBorder="1" applyFill="1" applyFont="1">
      <alignment horizontal="center" shrinkToFit="0" wrapText="1"/>
    </xf>
    <xf borderId="9" fillId="34" fontId="8" numFmtId="0" xfId="0" applyAlignment="1" applyBorder="1" applyFill="1" applyFont="1">
      <alignment horizontal="center" readingOrder="0" shrinkToFit="0" vertical="center" wrapText="1"/>
    </xf>
    <xf borderId="10" fillId="6" fontId="7" numFmtId="0" xfId="0" applyAlignment="1" applyBorder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vertical="center"/>
    </xf>
    <xf borderId="9" fillId="34" fontId="8" numFmtId="164" xfId="0" applyAlignment="1" applyBorder="1" applyFill="1" applyFont="1" applyNumberFormat="1">
      <alignment horizontal="center" readingOrder="0" shrinkToFit="0" wrapText="1"/>
    </xf>
    <xf borderId="0" fillId="5" fontId="13" numFmtId="0" xfId="0" applyAlignment="1" applyFill="1" applyFont="1">
      <alignment horizontal="center" readingOrder="0"/>
    </xf>
    <xf borderId="0" fillId="5" fontId="26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right" readingOrder="0"/>
    </xf>
    <xf borderId="0" fillId="20" fontId="15" numFmtId="164" xfId="0" applyAlignment="1" applyFill="1" applyFont="1" applyNumberFormat="1">
      <alignment horizontal="center" vertical="center"/>
    </xf>
    <xf borderId="9" fillId="35" fontId="8" numFmtId="0" xfId="0" applyAlignment="1" applyBorder="1" applyFill="1" applyFont="1">
      <alignment horizontal="center" readingOrder="0" shrinkToFit="0" vertical="center" wrapText="1"/>
    </xf>
    <xf borderId="0" fillId="5" fontId="26" numFmtId="0" xfId="0" applyAlignment="1" applyFill="1" applyFont="1">
      <alignment horizontal="left" readingOrder="0"/>
    </xf>
    <xf borderId="9" fillId="35" fontId="8" numFmtId="164" xfId="0" applyAlignment="1" applyBorder="1" applyFill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/>
    </xf>
    <xf borderId="0" fillId="4" fontId="5" numFmtId="0" xfId="0" applyAlignment="1" applyFill="1" applyFont="1">
      <alignment horizontal="center" readingOrder="0" vertical="bottom"/>
    </xf>
    <xf borderId="15" fillId="20" fontId="28" numFmtId="164" xfId="0" applyAlignment="1" applyBorder="1" applyFill="1" applyFont="1" applyNumberFormat="1">
      <alignment horizontal="center" shrinkToFit="0" vertical="bottom" wrapText="1"/>
    </xf>
    <xf borderId="11" fillId="7" fontId="21" numFmtId="0" xfId="0" applyAlignment="1" applyBorder="1" applyFill="1" applyFont="1">
      <alignment horizontal="center" readingOrder="0" shrinkToFit="0" vertical="bottom" wrapText="1"/>
    </xf>
    <xf borderId="9" fillId="36" fontId="29" numFmtId="0" xfId="0" applyAlignment="1" applyBorder="1" applyFill="1" applyFont="1">
      <alignment horizontal="center" readingOrder="0" shrinkToFit="0" vertical="center" wrapText="0"/>
    </xf>
    <xf borderId="9" fillId="0" fontId="3" numFmtId="0" xfId="0" applyBorder="1" applyFont="1"/>
    <xf borderId="10" fillId="8" fontId="7" numFmtId="0" xfId="0" applyAlignment="1" applyBorder="1" applyFill="1" applyFont="1">
      <alignment horizontal="center" shrinkToFit="0" wrapText="1"/>
    </xf>
    <xf borderId="0" fillId="10" fontId="30" numFmtId="0" xfId="0" applyAlignment="1" applyFill="1" applyFont="1">
      <alignment horizontal="center" readingOrder="0" vertical="center"/>
    </xf>
    <xf borderId="15" fillId="20" fontId="31" numFmtId="164" xfId="0" applyAlignment="1" applyBorder="1" applyFill="1" applyFont="1" applyNumberFormat="1">
      <alignment horizontal="center" shrinkToFit="0" vertical="bottom" wrapText="1"/>
    </xf>
    <xf borderId="11" fillId="9" fontId="7" numFmtId="0" xfId="0" applyAlignment="1" applyBorder="1" applyFill="1" applyFont="1">
      <alignment horizontal="center" readingOrder="0" shrinkToFit="0" vertical="center" wrapText="1"/>
    </xf>
    <xf borderId="0" fillId="10" fontId="5" numFmtId="0" xfId="0" applyAlignment="1" applyFill="1" applyFont="1">
      <alignment horizontal="center" readingOrder="0" vertical="bottom"/>
    </xf>
    <xf borderId="10" fillId="22" fontId="15" numFmtId="0" xfId="0" applyAlignment="1" applyBorder="1" applyFill="1" applyFont="1">
      <alignment horizontal="center" readingOrder="0" shrinkToFit="0" vertical="bottom" wrapText="1"/>
    </xf>
    <xf borderId="0" fillId="10" fontId="5" numFmtId="0" xfId="0" applyAlignment="1" applyFill="1" applyFont="1">
      <alignment horizontal="center" readingOrder="0" vertical="bottom"/>
    </xf>
    <xf borderId="20" fillId="18" fontId="8" numFmtId="0" xfId="0" applyAlignment="1" applyBorder="1" applyFill="1" applyFont="1">
      <alignment horizontal="center" readingOrder="0" vertical="center"/>
    </xf>
    <xf borderId="10" fillId="12" fontId="7" numFmtId="0" xfId="0" applyAlignment="1" applyBorder="1" applyFill="1" applyFont="1">
      <alignment horizontal="center" readingOrder="0" shrinkToFit="0" vertical="center" wrapText="1"/>
    </xf>
    <xf borderId="11" fillId="22" fontId="15" numFmtId="0" xfId="0" applyAlignment="1" applyBorder="1" applyFill="1" applyFont="1">
      <alignment horizontal="center" readingOrder="0" shrinkToFit="0" vertical="bottom" wrapText="1"/>
    </xf>
    <xf borderId="21" fillId="0" fontId="3" numFmtId="0" xfId="0" applyBorder="1" applyFont="1"/>
    <xf borderId="0" fillId="10" fontId="5" numFmtId="3" xfId="0" applyAlignment="1" applyFill="1" applyFont="1" applyNumberFormat="1">
      <alignment horizontal="center" readingOrder="0" vertical="bottom"/>
    </xf>
    <xf borderId="10" fillId="13" fontId="21" numFmtId="164" xfId="0" applyAlignment="1" applyBorder="1" applyFill="1" applyFont="1" applyNumberFormat="1">
      <alignment horizontal="center" readingOrder="0" shrinkToFit="0" vertical="bottom" wrapText="1"/>
    </xf>
    <xf borderId="22" fillId="0" fontId="3" numFmtId="0" xfId="0" applyBorder="1" applyFont="1"/>
    <xf borderId="0" fillId="10" fontId="32" numFmtId="0" xfId="0" applyAlignment="1" applyFill="1" applyFont="1">
      <alignment horizontal="center" readingOrder="0" vertical="bottom"/>
    </xf>
    <xf borderId="8" fillId="22" fontId="15" numFmtId="0" xfId="0" applyAlignment="1" applyBorder="1" applyFill="1" applyFont="1">
      <alignment horizontal="center" readingOrder="0" shrinkToFit="0" vertical="center" wrapText="1"/>
    </xf>
    <xf borderId="15" fillId="14" fontId="7" numFmtId="0" xfId="0" applyAlignment="1" applyBorder="1" applyFill="1" applyFont="1">
      <alignment horizontal="center" shrinkToFit="0" wrapText="1"/>
    </xf>
    <xf borderId="20" fillId="3" fontId="4" numFmtId="0" xfId="0" applyBorder="1" applyFill="1" applyFont="1"/>
    <xf borderId="10" fillId="15" fontId="7" numFmtId="0" xfId="0" applyAlignment="1" applyBorder="1" applyFill="1" applyFont="1">
      <alignment horizontal="center" readingOrder="0" shrinkToFit="0" vertical="center" wrapText="1"/>
    </xf>
    <xf borderId="9" fillId="37" fontId="3" numFmtId="0" xfId="0" applyBorder="1" applyFill="1" applyFont="1"/>
    <xf borderId="12" fillId="4" fontId="13" numFmtId="0" xfId="0" applyAlignment="1" applyBorder="1" applyFill="1" applyFont="1">
      <alignment horizontal="center" readingOrder="0" vertical="center"/>
    </xf>
    <xf borderId="10" fillId="16" fontId="24" numFmtId="0" xfId="0" applyAlignment="1" applyBorder="1" applyFill="1" applyFont="1">
      <alignment horizontal="center" readingOrder="0" shrinkToFit="0" vertical="center" wrapText="1"/>
    </xf>
    <xf borderId="12" fillId="4" fontId="33" numFmtId="0" xfId="0" applyAlignment="1" applyBorder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wrapText="1"/>
    </xf>
    <xf borderId="11" fillId="17" fontId="25" numFmtId="0" xfId="0" applyAlignment="1" applyBorder="1" applyFill="1" applyFont="1">
      <alignment horizontal="center" readingOrder="0" shrinkToFit="0" vertical="bottom" wrapText="1"/>
    </xf>
    <xf borderId="10" fillId="18" fontId="25" numFmtId="0" xfId="0" applyAlignment="1" applyBorder="1" applyFill="1" applyFont="1">
      <alignment horizontal="center" readingOrder="0" shrinkToFit="0" vertical="center" wrapText="1"/>
    </xf>
    <xf borderId="12" fillId="4" fontId="19" numFmtId="4" xfId="0" applyAlignment="1" applyBorder="1" applyFill="1" applyFont="1" applyNumberFormat="1">
      <alignment horizontal="center" readingOrder="0" shrinkToFit="0" vertical="center" wrapText="1"/>
    </xf>
    <xf borderId="23" fillId="38" fontId="34" numFmtId="0" xfId="0" applyAlignment="1" applyBorder="1" applyFill="1" applyFont="1">
      <alignment horizontal="center" vertical="bottom"/>
    </xf>
    <xf borderId="10" fillId="21" fontId="21" numFmtId="0" xfId="0" applyAlignment="1" applyBorder="1" applyFill="1" applyFont="1">
      <alignment horizontal="center" readingOrder="0" shrinkToFit="0" vertical="center" wrapText="1"/>
    </xf>
    <xf borderId="0" fillId="5" fontId="12" numFmtId="0" xfId="0" applyAlignment="1" applyFill="1" applyFont="1">
      <alignment vertical="center"/>
    </xf>
    <xf borderId="24" fillId="0" fontId="3" numFmtId="0" xfId="0" applyBorder="1" applyFont="1"/>
    <xf borderId="12" fillId="4" fontId="5" numFmtId="0" xfId="0" applyAlignment="1" applyBorder="1" applyFill="1" applyFont="1">
      <alignment horizontal="center" readingOrder="0" vertical="center"/>
    </xf>
    <xf borderId="25" fillId="0" fontId="3" numFmtId="0" xfId="0" applyBorder="1" applyFont="1"/>
    <xf borderId="10" fillId="23" fontId="7" numFmtId="0" xfId="0" applyAlignment="1" applyBorder="1" applyFill="1" applyFont="1">
      <alignment horizontal="center" shrinkToFit="0" wrapText="1"/>
    </xf>
    <xf borderId="12" fillId="4" fontId="17" numFmtId="0" xfId="0" applyAlignment="1" applyBorder="1" applyFill="1" applyFont="1">
      <alignment horizontal="center" readingOrder="0" shrinkToFit="0" vertical="center" wrapText="1"/>
    </xf>
    <xf borderId="19" fillId="5" fontId="23" numFmtId="0" xfId="0" applyAlignment="1" applyBorder="1" applyFill="1" applyFont="1">
      <alignment horizontal="center" vertical="bottom"/>
    </xf>
    <xf borderId="12" fillId="4" fontId="35" numFmtId="3" xfId="0" applyAlignment="1" applyBorder="1" applyFill="1" applyFont="1" applyNumberFormat="1">
      <alignment horizontal="center" readingOrder="0" shrinkToFit="0" vertical="center" wrapText="0"/>
    </xf>
    <xf borderId="10" fillId="27" fontId="21" numFmtId="164" xfId="0" applyAlignment="1" applyBorder="1" applyFill="1" applyFont="1" applyNumberFormat="1">
      <alignment horizontal="center" readingOrder="0" shrinkToFit="0" vertical="bottom" wrapText="1"/>
    </xf>
    <xf borderId="0" fillId="5" fontId="4" numFmtId="0" xfId="0" applyAlignment="1" applyFill="1" applyFont="1">
      <alignment vertical="center"/>
    </xf>
    <xf borderId="15" fillId="28" fontId="7" numFmtId="0" xfId="0" applyAlignment="1" applyBorder="1" applyFill="1" applyFont="1">
      <alignment horizontal="center" readingOrder="0" shrinkToFit="0" wrapText="1"/>
    </xf>
    <xf borderId="12" fillId="4" fontId="19" numFmtId="0" xfId="0" applyAlignment="1" applyBorder="1" applyFill="1" applyFont="1">
      <alignment horizontal="center" readingOrder="0" shrinkToFit="0" vertical="center" wrapText="0"/>
    </xf>
    <xf borderId="0" fillId="24" fontId="36" numFmtId="0" xfId="0" applyAlignment="1" applyFill="1" applyFont="1">
      <alignment horizontal="center" vertical="bottom"/>
    </xf>
    <xf borderId="13" fillId="2" fontId="7" numFmtId="0" xfId="0" applyAlignment="1" applyBorder="1" applyFill="1" applyFont="1">
      <alignment horizontal="center" shrinkToFit="0" wrapText="1"/>
    </xf>
    <xf borderId="12" fillId="4" fontId="5" numFmtId="3" xfId="0" applyAlignment="1" applyBorder="1" applyFill="1" applyFont="1" applyNumberFormat="1">
      <alignment horizontal="center" readingOrder="0" vertical="center"/>
    </xf>
    <xf borderId="10" fillId="6" fontId="21" numFmtId="0" xfId="0" applyAlignment="1" applyBorder="1" applyFill="1" applyFont="1">
      <alignment horizontal="center" readingOrder="0" shrinkToFit="0" vertical="center" wrapText="1"/>
    </xf>
    <xf borderId="0" fillId="24" fontId="37" numFmtId="164" xfId="0" applyAlignment="1" applyFill="1" applyFont="1" applyNumberFormat="1">
      <alignment horizontal="center" shrinkToFit="0" wrapText="1"/>
    </xf>
    <xf borderId="10" fillId="7" fontId="15" numFmtId="0" xfId="0" applyAlignment="1" applyBorder="1" applyFill="1" applyFont="1">
      <alignment horizontal="center" readingOrder="0" shrinkToFit="0" vertical="bottom" wrapText="1"/>
    </xf>
    <xf borderId="12" fillId="4" fontId="5" numFmtId="3" xfId="0" applyAlignment="1" applyBorder="1" applyFill="1" applyFont="1" applyNumberFormat="1">
      <alignment horizontal="center" readingOrder="0" shrinkToFit="0" vertical="center" wrapText="1"/>
    </xf>
    <xf borderId="26" fillId="8" fontId="7" numFmtId="0" xfId="0" applyAlignment="1" applyBorder="1" applyFill="1" applyFont="1">
      <alignment horizontal="center" shrinkToFit="0" wrapText="1"/>
    </xf>
    <xf borderId="0" fillId="29" fontId="36" numFmtId="0" xfId="0" applyAlignment="1" applyFill="1" applyFont="1">
      <alignment horizontal="center" vertical="bottom"/>
    </xf>
    <xf borderId="11" fillId="9" fontId="7" numFmtId="0" xfId="0" applyAlignment="1" applyBorder="1" applyFill="1" applyFont="1">
      <alignment horizontal="center" readingOrder="0" shrinkToFit="0" vertical="bottom" wrapText="1"/>
    </xf>
    <xf borderId="0" fillId="29" fontId="36" numFmtId="164" xfId="0" applyAlignment="1" applyFill="1" applyFont="1" applyNumberFormat="1">
      <alignment horizontal="center" vertical="bottom"/>
    </xf>
    <xf borderId="12" fillId="4" fontId="13" numFmtId="4" xfId="0" applyAlignment="1" applyBorder="1" applyFill="1" applyFont="1" applyNumberFormat="1">
      <alignment horizontal="center" readingOrder="0" vertical="center"/>
    </xf>
    <xf borderId="26" fillId="12" fontId="7" numFmtId="0" xfId="0" applyAlignment="1" applyBorder="1" applyFill="1" applyFont="1">
      <alignment horizontal="center" readingOrder="0" shrinkToFit="0" vertical="center" wrapText="1"/>
    </xf>
    <xf borderId="14" fillId="14" fontId="7" numFmtId="0" xfId="0" applyAlignment="1" applyBorder="1" applyFill="1" applyFont="1">
      <alignment horizontal="center" readingOrder="0" shrinkToFit="0" wrapText="1"/>
    </xf>
    <xf borderId="0" fillId="4" fontId="36" numFmtId="0" xfId="0" applyAlignment="1" applyFill="1" applyFont="1">
      <alignment horizontal="center" vertical="bottom"/>
    </xf>
    <xf borderId="10" fillId="15" fontId="7" numFmtId="0" xfId="0" applyAlignment="1" applyBorder="1" applyFill="1" applyFont="1">
      <alignment horizontal="center" readingOrder="0" shrinkToFit="0" vertical="bottom" wrapText="1"/>
    </xf>
    <xf borderId="0" fillId="5" fontId="4" numFmtId="0" xfId="0" applyAlignment="1" applyFill="1" applyFont="1">
      <alignment horizontal="right"/>
    </xf>
    <xf borderId="0" fillId="4" fontId="36" numFmtId="164" xfId="0" applyAlignment="1" applyFill="1" applyFont="1" applyNumberFormat="1">
      <alignment horizontal="center" vertical="bottom"/>
    </xf>
    <xf borderId="0" fillId="5" fontId="4" numFmtId="1" xfId="0" applyAlignment="1" applyFill="1" applyFont="1" applyNumberFormat="1">
      <alignment horizontal="center"/>
    </xf>
    <xf borderId="20" fillId="39" fontId="21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0" fillId="33" fontId="36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left"/>
    </xf>
    <xf borderId="27" fillId="39" fontId="21" numFmtId="0" xfId="0" applyAlignment="1" applyBorder="1" applyFill="1" applyFont="1">
      <alignment horizontal="center" readingOrder="0" vertical="bottom"/>
    </xf>
    <xf borderId="0" fillId="33" fontId="36" numFmtId="164" xfId="0" applyAlignment="1" applyFill="1" applyFont="1" applyNumberFormat="1">
      <alignment horizontal="center" vertical="bottom"/>
    </xf>
    <xf borderId="0" fillId="5" fontId="38" numFmtId="0" xfId="0" applyAlignment="1" applyFill="1" applyFont="1">
      <alignment horizontal="center" readingOrder="0"/>
    </xf>
    <xf borderId="20" fillId="18" fontId="21" numFmtId="0" xfId="0" applyAlignment="1" applyBorder="1" applyFill="1" applyFont="1">
      <alignment horizontal="center"/>
    </xf>
    <xf borderId="0" fillId="5" fontId="9" numFmtId="0" xfId="0" applyAlignment="1" applyFill="1" applyFont="1">
      <alignment readingOrder="0" vertical="bottom"/>
    </xf>
    <xf borderId="0" fillId="34" fontId="39" numFmtId="0" xfId="0" applyAlignment="1" applyFill="1" applyFont="1">
      <alignment horizontal="center" vertical="bottom"/>
    </xf>
    <xf borderId="27" fillId="39" fontId="21" numFmtId="49" xfId="0" applyAlignment="1" applyBorder="1" applyFill="1" applyFont="1" applyNumberFormat="1">
      <alignment horizontal="center" readingOrder="0"/>
    </xf>
    <xf borderId="0" fillId="5" fontId="9" numFmtId="0" xfId="0" applyAlignment="1" applyFill="1" applyFont="1">
      <alignment vertical="bottom"/>
    </xf>
    <xf borderId="0" fillId="34" fontId="36" numFmtId="164" xfId="0" applyAlignment="1" applyFill="1" applyFont="1" applyNumberFormat="1">
      <alignment horizontal="center" vertical="bottom"/>
    </xf>
    <xf borderId="20" fillId="17" fontId="21" numFmtId="0" xfId="0" applyAlignment="1" applyBorder="1" applyFill="1" applyFont="1">
      <alignment horizontal="center"/>
    </xf>
    <xf borderId="0" fillId="5" fontId="9" numFmtId="0" xfId="0" applyAlignment="1" applyFill="1" applyFont="1">
      <alignment vertical="center"/>
    </xf>
    <xf borderId="0" fillId="35" fontId="36" numFmtId="0" xfId="0" applyAlignment="1" applyFill="1" applyFont="1">
      <alignment horizontal="center" vertical="bottom"/>
    </xf>
    <xf borderId="20" fillId="9" fontId="21" numFmtId="0" xfId="0" applyAlignment="1" applyBorder="1" applyFill="1" applyFont="1">
      <alignment horizontal="center"/>
    </xf>
    <xf borderId="0" fillId="10" fontId="6" numFmtId="0" xfId="0" applyAlignment="1" applyFill="1" applyFont="1">
      <alignment horizontal="center" readingOrder="0" vertical="bottom"/>
    </xf>
    <xf borderId="27" fillId="39" fontId="21" numFmtId="0" xfId="0" applyAlignment="1" applyBorder="1" applyFill="1" applyFont="1">
      <alignment horizontal="center" readingOrder="0"/>
    </xf>
    <xf borderId="0" fillId="35" fontId="36" numFmtId="164" xfId="0" applyAlignment="1" applyFill="1" applyFont="1" applyNumberFormat="1">
      <alignment horizontal="center" vertical="bottom"/>
    </xf>
    <xf borderId="12" fillId="4" fontId="19" numFmtId="1" xfId="0" applyAlignment="1" applyBorder="1" applyFill="1" applyFont="1" applyNumberFormat="1">
      <alignment horizontal="center" readingOrder="0" shrinkToFit="0" vertical="center" wrapText="0"/>
    </xf>
    <xf borderId="0" fillId="5" fontId="4" numFmtId="0" xfId="0" applyAlignment="1" applyFill="1" applyFont="1">
      <alignment readingOrder="0"/>
    </xf>
    <xf borderId="20" fillId="7" fontId="21" numFmtId="0" xfId="0" applyAlignment="1" applyBorder="1" applyFill="1" applyFont="1">
      <alignment horizontal="center"/>
    </xf>
    <xf borderId="12" fillId="4" fontId="5" numFmtId="1" xfId="0" applyAlignment="1" applyBorder="1" applyFill="1" applyFont="1" applyNumberFormat="1">
      <alignment horizontal="center" readingOrder="0" vertical="center"/>
    </xf>
    <xf borderId="20" fillId="15" fontId="21" numFmtId="0" xfId="0" applyAlignment="1" applyBorder="1" applyFill="1" applyFont="1">
      <alignment horizontal="center" readingOrder="0"/>
    </xf>
    <xf borderId="9" fillId="36" fontId="29" numFmtId="164" xfId="0" applyAlignment="1" applyBorder="1" applyFill="1" applyFont="1" applyNumberFormat="1">
      <alignment horizontal="center" readingOrder="0" vertical="center"/>
    </xf>
    <xf borderId="12" fillId="4" fontId="5" numFmtId="1" xfId="0" applyAlignment="1" applyBorder="1" applyFill="1" applyFont="1" applyNumberFormat="1">
      <alignment horizontal="center" readingOrder="0" shrinkToFit="0" vertical="center" wrapText="1"/>
    </xf>
    <xf borderId="9" fillId="36" fontId="29" numFmtId="0" xfId="0" applyAlignment="1" applyBorder="1" applyFill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readingOrder="0" shrinkToFit="0" vertical="bottom" wrapText="1"/>
    </xf>
    <xf borderId="9" fillId="18" fontId="29" numFmtId="0" xfId="0" applyAlignment="1" applyBorder="1" applyFill="1" applyFont="1">
      <alignment horizontal="center" readingOrder="0" shrinkToFit="0" vertical="center" wrapText="0"/>
    </xf>
    <xf borderId="20" fillId="14" fontId="21" numFmtId="0" xfId="0" applyAlignment="1" applyBorder="1" applyFill="1" applyFont="1">
      <alignment horizontal="center" readingOrder="0"/>
    </xf>
    <xf borderId="9" fillId="18" fontId="10" numFmtId="0" xfId="0" applyAlignment="1" applyBorder="1" applyFill="1" applyFont="1">
      <alignment horizontal="center" vertical="center"/>
    </xf>
    <xf borderId="0" fillId="5" fontId="40" numFmtId="0" xfId="0" applyAlignment="1" applyFill="1" applyFont="1">
      <alignment horizontal="center" readingOrder="0" vertical="bottom"/>
    </xf>
    <xf borderId="9" fillId="18" fontId="8" numFmtId="164" xfId="0" applyAlignment="1" applyBorder="1" applyFill="1" applyFont="1" applyNumberFormat="1">
      <alignment horizontal="center" readingOrder="0" vertical="center"/>
    </xf>
    <xf borderId="20" fillId="16" fontId="21" numFmtId="0" xfId="0" applyAlignment="1" applyBorder="1" applyFill="1" applyFont="1">
      <alignment horizontal="center"/>
    </xf>
    <xf borderId="0" fillId="5" fontId="23" numFmtId="0" xfId="0" applyAlignment="1" applyFill="1" applyFont="1">
      <alignment horizontal="center" vertical="bottom"/>
    </xf>
    <xf borderId="20" fillId="8" fontId="21" numFmtId="0" xfId="0" applyAlignment="1" applyBorder="1" applyFill="1" applyFont="1">
      <alignment horizontal="center"/>
    </xf>
    <xf borderId="23" fillId="29" fontId="41" numFmtId="0" xfId="0" applyAlignment="1" applyBorder="1" applyFill="1" applyFont="1">
      <alignment horizontal="center"/>
    </xf>
    <xf borderId="20" fillId="13" fontId="21" numFmtId="0" xfId="0" applyAlignment="1" applyBorder="1" applyFill="1" applyFont="1">
      <alignment horizontal="center" readingOrder="0"/>
    </xf>
    <xf borderId="24" fillId="29" fontId="42" numFmtId="0" xfId="0" applyAlignment="1" applyBorder="1" applyFill="1" applyFont="1">
      <alignment horizontal="center" readingOrder="0" shrinkToFit="0" vertical="bottom" wrapText="1"/>
    </xf>
    <xf borderId="20" fillId="12" fontId="21" numFmtId="0" xfId="0" applyAlignment="1" applyBorder="1" applyFill="1" applyFont="1">
      <alignment horizontal="center"/>
    </xf>
    <xf borderId="28" fillId="5" fontId="43" numFmtId="0" xfId="0" applyAlignment="1" applyBorder="1" applyFill="1" applyFont="1">
      <alignment horizontal="center" vertical="bottom"/>
    </xf>
    <xf borderId="20" fillId="6" fontId="21" numFmtId="0" xfId="0" applyAlignment="1" applyBorder="1" applyFill="1" applyFont="1">
      <alignment horizontal="center"/>
    </xf>
    <xf borderId="0" fillId="24" fontId="42" numFmtId="0" xfId="0" applyAlignment="1" applyFill="1" applyFont="1">
      <alignment horizontal="center" vertical="bottom"/>
    </xf>
    <xf borderId="0" fillId="5" fontId="44" numFmtId="0" xfId="0" applyFill="1" applyFont="1"/>
    <xf borderId="0" fillId="24" fontId="42" numFmtId="164" xfId="0" applyAlignment="1" applyFill="1" applyFont="1" applyNumberFormat="1">
      <alignment horizontal="center" vertical="bottom"/>
    </xf>
    <xf borderId="20" fillId="5" fontId="21" numFmtId="0" xfId="0" applyAlignment="1" applyBorder="1" applyFill="1" applyFont="1">
      <alignment horizontal="center" readingOrder="0"/>
    </xf>
    <xf borderId="0" fillId="29" fontId="42" numFmtId="0" xfId="0" applyAlignment="1" applyFill="1" applyFont="1">
      <alignment horizontal="center" vertical="bottom"/>
    </xf>
    <xf borderId="0" fillId="40" fontId="34" numFmtId="0" xfId="0" applyAlignment="1" applyFill="1" applyFont="1">
      <alignment horizontal="center" shrinkToFit="0" vertical="center" wrapText="1"/>
    </xf>
    <xf borderId="27" fillId="5" fontId="21" numFmtId="49" xfId="0" applyAlignment="1" applyBorder="1" applyFill="1" applyFont="1" applyNumberFormat="1">
      <alignment horizontal="center" readingOrder="0"/>
    </xf>
    <xf borderId="0" fillId="37" fontId="18" numFmtId="164" xfId="0" applyAlignment="1" applyFill="1" applyFont="1" applyNumberFormat="1">
      <alignment horizontal="center" vertical="center"/>
    </xf>
    <xf borderId="0" fillId="29" fontId="42" numFmtId="164" xfId="0" applyAlignment="1" applyFill="1" applyFont="1" applyNumberFormat="1">
      <alignment horizontal="center" vertical="bottom"/>
    </xf>
    <xf borderId="0" fillId="40" fontId="45" numFmtId="0" xfId="0" applyAlignment="1" applyFill="1" applyFont="1">
      <alignment horizontal="center" readingOrder="0" shrinkToFit="0" vertical="center" wrapText="1"/>
    </xf>
    <xf borderId="0" fillId="4" fontId="42" numFmtId="0" xfId="0" applyAlignment="1" applyFill="1" applyFont="1">
      <alignment horizontal="center" vertical="bottom"/>
    </xf>
    <xf borderId="10" fillId="11" fontId="46" numFmtId="0" xfId="0" applyAlignment="1" applyBorder="1" applyFill="1" applyFont="1">
      <alignment horizontal="center" readingOrder="0" shrinkToFit="0" vertical="center" wrapText="0"/>
    </xf>
    <xf borderId="0" fillId="40" fontId="45" numFmtId="164" xfId="0" applyAlignment="1" applyFill="1" applyFont="1" applyNumberFormat="1">
      <alignment horizontal="center" readingOrder="0" shrinkToFit="0" vertical="center" wrapText="1"/>
    </xf>
    <xf borderId="0" fillId="4" fontId="42" numFmtId="164" xfId="0" applyAlignment="1" applyFill="1" applyFont="1" applyNumberFormat="1">
      <alignment horizontal="center" vertical="bottom"/>
    </xf>
    <xf borderId="15" fillId="20" fontId="47" numFmtId="0" xfId="0" applyAlignment="1" applyBorder="1" applyFill="1" applyFont="1">
      <alignment horizontal="center" shrinkToFit="0" vertical="bottom" wrapText="1"/>
    </xf>
    <xf borderId="0" fillId="33" fontId="42" numFmtId="0" xfId="0" applyAlignment="1" applyFill="1" applyFont="1">
      <alignment horizontal="center" vertical="bottom"/>
    </xf>
    <xf borderId="0" fillId="40" fontId="4" numFmtId="164" xfId="0" applyAlignment="1" applyFill="1" applyFont="1" applyNumberFormat="1">
      <alignment horizontal="center" readingOrder="0" shrinkToFit="0" vertical="center" wrapText="1"/>
    </xf>
    <xf borderId="0" fillId="33" fontId="42" numFmtId="164" xfId="0" applyAlignment="1" applyFill="1" applyFont="1" applyNumberFormat="1">
      <alignment horizontal="center" vertical="bottom"/>
    </xf>
    <xf borderId="15" fillId="20" fontId="48" numFmtId="164" xfId="0" applyAlignment="1" applyBorder="1" applyFill="1" applyFont="1" applyNumberFormat="1">
      <alignment horizontal="center" shrinkToFit="0" vertical="bottom" wrapText="1"/>
    </xf>
    <xf borderId="29" fillId="0" fontId="34" numFmtId="0" xfId="0" applyAlignment="1" applyBorder="1" applyFont="1">
      <alignment horizontal="center" shrinkToFit="0" vertical="center" wrapText="1"/>
    </xf>
    <xf borderId="0" fillId="34" fontId="42" numFmtId="0" xfId="0" applyAlignment="1" applyFill="1" applyFont="1">
      <alignment horizontal="center" vertical="bottom"/>
    </xf>
    <xf borderId="30" fillId="0" fontId="34" numFmtId="0" xfId="0" applyAlignment="1" applyBorder="1" applyFont="1">
      <alignment horizontal="center" shrinkToFit="0" vertical="center" wrapText="1"/>
    </xf>
    <xf borderId="10" fillId="41" fontId="47" numFmtId="0" xfId="0" applyAlignment="1" applyBorder="1" applyFill="1" applyFont="1">
      <alignment horizontal="center" shrinkToFit="0" vertical="bottom" wrapText="1"/>
    </xf>
    <xf borderId="0" fillId="34" fontId="42" numFmtId="164" xfId="0" applyAlignment="1" applyFill="1" applyFont="1" applyNumberFormat="1">
      <alignment horizontal="center" vertical="bottom"/>
    </xf>
    <xf borderId="31" fillId="0" fontId="9" numFmtId="0" xfId="0" applyAlignment="1" applyBorder="1" applyFont="1">
      <alignment horizontal="center" shrinkToFit="0" vertical="center" wrapText="1"/>
    </xf>
    <xf borderId="0" fillId="35" fontId="42" numFmtId="0" xfId="0" applyAlignment="1" applyFill="1" applyFont="1">
      <alignment horizontal="center" vertical="bottom"/>
    </xf>
    <xf borderId="10" fillId="41" fontId="15" numFmtId="0" xfId="0" applyAlignment="1" applyBorder="1" applyFill="1" applyFont="1">
      <alignment horizontal="center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33" fillId="0" fontId="49" numFmtId="0" xfId="0" applyAlignment="1" applyBorder="1" applyFont="1">
      <alignment horizontal="center" readingOrder="0"/>
    </xf>
    <xf borderId="0" fillId="35" fontId="42" numFmtId="164" xfId="0" applyAlignment="1" applyFill="1" applyFont="1" applyNumberFormat="1">
      <alignment horizontal="center" vertical="bottom"/>
    </xf>
    <xf borderId="10" fillId="41" fontId="47" numFmtId="46" xfId="0" applyAlignment="1" applyBorder="1" applyFill="1" applyFont="1" applyNumberFormat="1">
      <alignment horizontal="center" shrinkToFit="0" vertical="bottom" wrapText="1"/>
    </xf>
    <xf borderId="34" fillId="0" fontId="45" numFmtId="164" xfId="0" applyAlignment="1" applyBorder="1" applyFont="1" applyNumberFormat="1">
      <alignment horizontal="center" readingOrder="0"/>
    </xf>
    <xf borderId="10" fillId="41" fontId="47" numFmtId="165" xfId="0" applyAlignment="1" applyBorder="1" applyFill="1" applyFont="1" applyNumberFormat="1">
      <alignment horizontal="center" shrinkToFit="0" vertical="bottom" wrapText="1"/>
    </xf>
    <xf borderId="10" fillId="41" fontId="47" numFmtId="1" xfId="0" applyAlignment="1" applyBorder="1" applyFill="1" applyFont="1" applyNumberFormat="1">
      <alignment horizontal="center" shrinkToFit="0" vertical="bottom" wrapText="1"/>
    </xf>
    <xf borderId="24" fillId="0" fontId="45" numFmtId="164" xfId="0" applyAlignment="1" applyBorder="1" applyFont="1" applyNumberFormat="1">
      <alignment horizontal="center" readingOrder="0"/>
    </xf>
    <xf borderId="10" fillId="41" fontId="47" numFmtId="166" xfId="0" applyAlignment="1" applyBorder="1" applyFill="1" applyFont="1" applyNumberFormat="1">
      <alignment horizontal="center" shrinkToFit="0" vertical="bottom" wrapText="1"/>
    </xf>
    <xf borderId="0" fillId="36" fontId="50" numFmtId="0" xfId="0" applyAlignment="1" applyFill="1" applyFont="1">
      <alignment horizontal="center" shrinkToFit="0" vertical="center" wrapText="0"/>
    </xf>
    <xf borderId="35" fillId="5" fontId="9" numFmtId="0" xfId="0" applyAlignment="1" applyBorder="1" applyFill="1" applyFont="1">
      <alignment horizontal="center" vertical="bottom"/>
    </xf>
    <xf borderId="16" fillId="33" fontId="51" numFmtId="0" xfId="0" applyAlignment="1" applyBorder="1" applyFill="1" applyFont="1">
      <alignment readingOrder="0"/>
    </xf>
    <xf borderId="10" fillId="41" fontId="15" numFmtId="0" xfId="0" applyAlignment="1" applyBorder="1" applyFill="1" applyFont="1">
      <alignment horizontal="center" shrinkToFit="0" vertical="center" wrapText="1"/>
    </xf>
    <xf borderId="10" fillId="41" fontId="52" numFmtId="0" xfId="0" applyAlignment="1" applyBorder="1" applyFill="1" applyFont="1">
      <alignment horizontal="center" shrinkToFit="0" vertical="bottom" wrapText="1"/>
    </xf>
    <xf borderId="15" fillId="41" fontId="47" numFmtId="0" xfId="0" applyAlignment="1" applyBorder="1" applyFill="1" applyFont="1">
      <alignment horizontal="center" shrinkToFit="0" vertical="bottom" wrapText="1"/>
    </xf>
    <xf borderId="0" fillId="0" fontId="45" numFmtId="164" xfId="0" applyAlignment="1" applyFont="1" applyNumberFormat="1">
      <alignment horizontal="center" readingOrder="0"/>
    </xf>
    <xf borderId="15" fillId="41" fontId="48" numFmtId="0" xfId="0" applyAlignment="1" applyBorder="1" applyFill="1" applyFont="1">
      <alignment horizontal="center" shrinkToFit="0" vertical="bottom" wrapText="1"/>
    </xf>
    <xf borderId="0" fillId="33" fontId="53" numFmtId="0" xfId="0" applyAlignment="1" applyFill="1" applyFont="1">
      <alignment horizontal="center" readingOrder="0" vertical="center"/>
    </xf>
    <xf borderId="29" fillId="0" fontId="34" numFmtId="0" xfId="0" applyAlignment="1" applyBorder="1" applyFont="1">
      <alignment horizontal="center" vertical="bottom"/>
    </xf>
    <xf borderId="10" fillId="9" fontId="18" numFmtId="0" xfId="0" applyAlignment="1" applyBorder="1" applyFill="1" applyFont="1">
      <alignment horizontal="center" readingOrder="0" shrinkToFit="0" vertical="bottom" wrapText="1"/>
    </xf>
    <xf borderId="30" fillId="0" fontId="34" numFmtId="0" xfId="0" applyAlignment="1" applyBorder="1" applyFont="1">
      <alignment horizontal="center" vertical="bottom"/>
    </xf>
    <xf borderId="0" fillId="36" fontId="54" numFmtId="164" xfId="0" applyAlignment="1" applyFill="1" applyFont="1" applyNumberFormat="1">
      <alignment horizontal="center" vertical="bottom"/>
    </xf>
    <xf borderId="11" fillId="9" fontId="18" numFmtId="0" xfId="0" applyAlignment="1" applyBorder="1" applyFill="1" applyFont="1">
      <alignment horizontal="center" readingOrder="0" shrinkToFit="0" vertical="center" wrapText="1"/>
    </xf>
    <xf borderId="31" fillId="0" fontId="9" numFmtId="0" xfId="0" applyAlignment="1" applyBorder="1" applyFont="1">
      <alignment horizontal="center" vertical="bottom"/>
    </xf>
    <xf borderId="0" fillId="42" fontId="54" numFmtId="0" xfId="0" applyAlignment="1" applyFill="1" applyFont="1">
      <alignment horizontal="center" vertical="bottom"/>
    </xf>
    <xf borderId="32" fillId="0" fontId="9" numFmtId="0" xfId="0" applyAlignment="1" applyBorder="1" applyFont="1">
      <alignment horizontal="center" vertical="bottom"/>
    </xf>
    <xf borderId="8" fillId="9" fontId="15" numFmtId="0" xfId="0" applyAlignment="1" applyBorder="1" applyFill="1" applyFont="1">
      <alignment horizontal="center" readingOrder="0" shrinkToFit="0" vertical="center" wrapText="1"/>
    </xf>
    <xf borderId="0" fillId="36" fontId="54" numFmtId="2" xfId="0" applyAlignment="1" applyFill="1" applyFont="1" applyNumberFormat="1">
      <alignment horizontal="center" vertical="bottom"/>
    </xf>
    <xf borderId="0" fillId="33" fontId="4" numFmtId="164" xfId="0" applyAlignment="1" applyFill="1" applyFont="1" applyNumberFormat="1">
      <alignment horizontal="center" readingOrder="0"/>
    </xf>
    <xf borderId="0" fillId="36" fontId="50" numFmtId="0" xfId="0" applyAlignment="1" applyFill="1" applyFont="1">
      <alignment horizontal="center" vertical="center"/>
    </xf>
    <xf borderId="0" fillId="43" fontId="44" numFmtId="0" xfId="0" applyFill="1" applyFont="1"/>
    <xf borderId="0" fillId="0" fontId="4" numFmtId="164" xfId="0" applyAlignment="1" applyFont="1" applyNumberFormat="1">
      <alignment horizontal="center"/>
    </xf>
    <xf borderId="0" fillId="18" fontId="29" numFmtId="0" xfId="0" applyAlignment="1" applyFill="1" applyFont="1">
      <alignment horizontal="center" readingOrder="0" shrinkToFit="0" vertical="center" wrapText="0"/>
    </xf>
    <xf borderId="0" fillId="37" fontId="55" numFmtId="164" xfId="0" applyAlignment="1" applyFill="1" applyFont="1" applyNumberFormat="1">
      <alignment horizontal="center" vertical="bottom"/>
    </xf>
    <xf borderId="0" fillId="18" fontId="50" numFmtId="0" xfId="0" applyAlignment="1" applyFill="1" applyFont="1">
      <alignment horizontal="center" shrinkToFit="0" vertical="center" wrapText="0"/>
    </xf>
    <xf borderId="0" fillId="18" fontId="56" numFmtId="0" xfId="0" applyAlignment="1" applyFill="1" applyFont="1">
      <alignment horizontal="center" vertical="bottom"/>
    </xf>
    <xf borderId="0" fillId="18" fontId="56" numFmtId="164" xfId="0" applyAlignment="1" applyFill="1" applyFont="1" applyNumberFormat="1">
      <alignment horizontal="center" vertical="bottom"/>
    </xf>
    <xf borderId="0" fillId="37" fontId="27" numFmtId="0" xfId="0" applyAlignment="1" applyFill="1" applyFont="1">
      <alignment horizontal="center"/>
    </xf>
    <xf borderId="10" fillId="25" fontId="18" numFmtId="0" xfId="0" applyAlignment="1" applyBorder="1" applyFill="1" applyFont="1">
      <alignment horizontal="center" readingOrder="0" shrinkToFit="0" vertical="bottom" wrapText="1"/>
    </xf>
    <xf borderId="0" fillId="36" fontId="43" numFmtId="164" xfId="0" applyAlignment="1" applyFill="1" applyFont="1" applyNumberFormat="1">
      <alignment horizontal="center" readingOrder="0" vertical="center"/>
    </xf>
    <xf borderId="11" fillId="25" fontId="18" numFmtId="0" xfId="0" applyAlignment="1" applyBorder="1" applyFill="1" applyFont="1">
      <alignment horizontal="center" readingOrder="0" shrinkToFit="0" vertical="center" wrapText="1"/>
    </xf>
    <xf borderId="0" fillId="37" fontId="43" numFmtId="164" xfId="0" applyAlignment="1" applyFill="1" applyFont="1" applyNumberFormat="1">
      <alignment horizontal="center" readingOrder="0" vertical="center"/>
    </xf>
    <xf borderId="0" fillId="5" fontId="9" numFmtId="0" xfId="0" applyAlignment="1" applyFill="1" applyFont="1">
      <alignment vertical="bottom"/>
    </xf>
    <xf borderId="8" fillId="25" fontId="15" numFmtId="0" xfId="0" applyAlignment="1" applyBorder="1" applyFill="1" applyFont="1">
      <alignment horizontal="center" readingOrder="0" shrinkToFit="0" vertical="center" wrapText="1"/>
    </xf>
    <xf borderId="0" fillId="36" fontId="8" numFmtId="1" xfId="0" applyAlignment="1" applyFill="1" applyFont="1" applyNumberFormat="1">
      <alignment horizontal="center" readingOrder="0" vertical="center"/>
    </xf>
    <xf borderId="0" fillId="5" fontId="43" numFmtId="0" xfId="0" applyAlignment="1" applyFill="1" applyFont="1">
      <alignment horizontal="center" vertical="bottom"/>
    </xf>
    <xf borderId="36" fillId="0" fontId="57" numFmtId="0" xfId="0" applyAlignment="1" applyBorder="1" applyFont="1">
      <alignment horizontal="center" vertical="bottom"/>
    </xf>
    <xf borderId="37" fillId="0" fontId="34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31" fillId="39" fontId="34" numFmtId="0" xfId="0" applyAlignment="1" applyBorder="1" applyFill="1" applyFont="1">
      <alignment horizontal="center" vertical="bottom"/>
    </xf>
    <xf borderId="32" fillId="39" fontId="34" numFmtId="0" xfId="0" applyAlignment="1" applyBorder="1" applyFill="1" applyFont="1">
      <alignment horizontal="center" vertical="bottom"/>
    </xf>
    <xf borderId="35" fillId="44" fontId="34" numFmtId="167" xfId="0" applyAlignment="1" applyBorder="1" applyFill="1" applyFont="1" applyNumberFormat="1">
      <alignment horizontal="center" vertical="bottom"/>
    </xf>
    <xf borderId="11" fillId="9" fontId="58" numFmtId="0" xfId="0" applyAlignment="1" applyBorder="1" applyFill="1" applyFont="1">
      <alignment horizontal="center" readingOrder="0" shrinkToFit="0" vertical="center" wrapText="1"/>
    </xf>
    <xf borderId="0" fillId="36" fontId="59" numFmtId="164" xfId="0" applyAlignment="1" applyFill="1" applyFont="1" applyNumberFormat="1">
      <alignment horizontal="center" vertical="bottom"/>
    </xf>
    <xf borderId="0" fillId="42" fontId="59" numFmtId="0" xfId="0" applyAlignment="1" applyFill="1" applyFont="1">
      <alignment horizontal="center" vertical="bottom"/>
    </xf>
    <xf borderId="0" fillId="36" fontId="59" numFmtId="2" xfId="0" applyAlignment="1" applyFill="1" applyFont="1" applyNumberFormat="1">
      <alignment horizontal="center" vertical="bottom"/>
    </xf>
    <xf borderId="0" fillId="18" fontId="42" numFmtId="0" xfId="0" applyAlignment="1" applyFill="1" applyFont="1">
      <alignment horizontal="center" readingOrder="0" vertical="bottom"/>
    </xf>
    <xf borderId="0" fillId="18" fontId="42" numFmtId="164" xfId="0" applyAlignment="1" applyFill="1" applyFont="1" applyNumberFormat="1">
      <alignment horizontal="center" readingOrder="0" vertical="bottom"/>
    </xf>
    <xf borderId="0" fillId="36" fontId="46" numFmtId="164" xfId="0" applyAlignment="1" applyFill="1" applyFont="1" applyNumberFormat="1">
      <alignment horizontal="center" vertical="bottom"/>
    </xf>
    <xf borderId="10" fillId="20" fontId="28" numFmtId="164" xfId="0" applyAlignment="1" applyBorder="1" applyFill="1" applyFont="1" applyNumberFormat="1">
      <alignment horizontal="center" shrinkToFit="0" vertical="bottom" wrapText="1"/>
    </xf>
    <xf borderId="0" fillId="45" fontId="46" numFmtId="164" xfId="0" applyAlignment="1" applyFill="1" applyFont="1" applyNumberFormat="1">
      <alignment horizontal="center" vertical="bottom"/>
    </xf>
    <xf borderId="31" fillId="44" fontId="34" numFmtId="0" xfId="0" applyAlignment="1" applyBorder="1" applyFill="1" applyFont="1">
      <alignment horizontal="center" readingOrder="0" vertical="bottom"/>
    </xf>
    <xf borderId="11" fillId="25" fontId="18" numFmtId="0" xfId="0" applyAlignment="1" applyBorder="1" applyFill="1" applyFont="1">
      <alignment horizontal="center" readingOrder="0" shrinkToFit="0" vertical="bottom" wrapText="1"/>
    </xf>
    <xf borderId="32" fillId="44" fontId="34" numFmtId="0" xfId="0" applyAlignment="1" applyBorder="1" applyFill="1" applyFont="1">
      <alignment horizontal="center" readingOrder="0" vertical="bottom"/>
    </xf>
    <xf borderId="31" fillId="44" fontId="34" numFmtId="0" xfId="0" applyAlignment="1" applyBorder="1" applyFill="1" applyFont="1">
      <alignment horizontal="left" readingOrder="0" vertical="bottom"/>
    </xf>
    <xf borderId="31" fillId="44" fontId="34" numFmtId="0" xfId="0" applyAlignment="1" applyBorder="1" applyFill="1" applyFont="1">
      <alignment horizontal="center" vertical="bottom"/>
    </xf>
    <xf borderId="11" fillId="9" fontId="18" numFmtId="0" xfId="0" applyAlignment="1" applyBorder="1" applyFill="1" applyFont="1">
      <alignment horizontal="center" readingOrder="0" shrinkToFit="0" vertical="bottom" wrapText="1"/>
    </xf>
    <xf borderId="0" fillId="37" fontId="46" numFmtId="164" xfId="0" applyAlignment="1" applyFill="1" applyFont="1" applyNumberFormat="1">
      <alignment horizontal="center" vertical="bottom"/>
    </xf>
    <xf borderId="15" fillId="20" fontId="48" numFmtId="0" xfId="0" applyAlignment="1" applyBorder="1" applyFill="1" applyFont="1">
      <alignment horizontal="center" shrinkToFit="0" vertical="bottom" wrapText="1"/>
    </xf>
    <xf borderId="31" fillId="44" fontId="34" numFmtId="0" xfId="0" applyAlignment="1" applyBorder="1" applyFill="1" applyFont="1">
      <alignment horizontal="right" vertical="bottom"/>
    </xf>
    <xf borderId="35" fillId="40" fontId="55" numFmtId="167" xfId="0" applyAlignment="1" applyBorder="1" applyFill="1" applyFont="1" applyNumberFormat="1">
      <alignment horizontal="right" vertical="bottom"/>
    </xf>
    <xf borderId="10" fillId="41" fontId="15" numFmtId="166" xfId="0" applyAlignment="1" applyBorder="1" applyFill="1" applyFont="1" applyNumberFormat="1">
      <alignment horizontal="center" shrinkToFit="0" vertical="center" wrapText="1"/>
    </xf>
    <xf borderId="0" fillId="18" fontId="42" numFmtId="0" xfId="0" applyAlignment="1" applyFill="1" applyFont="1">
      <alignment horizontal="center" vertical="bottom"/>
    </xf>
    <xf borderId="10" fillId="41" fontId="52" numFmtId="166" xfId="0" applyAlignment="1" applyBorder="1" applyFill="1" applyFont="1" applyNumberFormat="1">
      <alignment horizontal="center" shrinkToFit="0" vertical="bottom" wrapText="1"/>
    </xf>
    <xf borderId="0" fillId="18" fontId="42" numFmtId="164" xfId="0" applyAlignment="1" applyFill="1" applyFont="1" applyNumberFormat="1">
      <alignment horizontal="center" vertical="bottom"/>
    </xf>
    <xf borderId="10" fillId="41" fontId="48" numFmtId="166" xfId="0" applyAlignment="1" applyBorder="1" applyFill="1" applyFont="1" applyNumberFormat="1">
      <alignment horizontal="center" shrinkToFit="0" vertical="bottom" wrapText="1"/>
    </xf>
    <xf borderId="10" fillId="17" fontId="18" numFmtId="0" xfId="0" applyAlignment="1" applyBorder="1" applyFill="1" applyFont="1">
      <alignment horizontal="center" readingOrder="0" shrinkToFit="0" vertical="bottom" wrapText="1"/>
    </xf>
    <xf borderId="11" fillId="17" fontId="18" numFmtId="0" xfId="0" applyAlignment="1" applyBorder="1" applyFill="1" applyFont="1">
      <alignment horizontal="center" readingOrder="0" shrinkToFit="0" vertical="center" wrapText="1"/>
    </xf>
    <xf borderId="8" fillId="17" fontId="15" numFmtId="0" xfId="0" applyAlignment="1" applyBorder="1" applyFill="1" applyFont="1">
      <alignment horizontal="center" readingOrder="0" shrinkToFit="0" vertical="center" wrapText="1"/>
    </xf>
    <xf borderId="31" fillId="40" fontId="34" numFmtId="0" xfId="0" applyAlignment="1" applyBorder="1" applyFill="1" applyFont="1">
      <alignment horizontal="center" readingOrder="0" vertical="bottom"/>
    </xf>
    <xf borderId="0" fillId="5" fontId="60" numFmtId="0" xfId="0" applyAlignment="1" applyFill="1" applyFont="1">
      <alignment horizontal="center" vertical="bottom"/>
    </xf>
    <xf borderId="8" fillId="0" fontId="15" numFmtId="0" xfId="0" applyAlignment="1" applyBorder="1" applyFont="1">
      <alignment horizontal="center" readingOrder="0" shrinkToFit="0" vertical="center" wrapText="1"/>
    </xf>
    <xf borderId="16" fillId="40" fontId="4" numFmtId="0" xfId="0" applyAlignment="1" applyBorder="1" applyFill="1" applyFont="1">
      <alignment readingOrder="0"/>
    </xf>
    <xf borderId="19" fillId="24" fontId="9" numFmtId="0" xfId="0" applyAlignment="1" applyBorder="1" applyFill="1" applyFont="1">
      <alignment horizontal="left" vertical="center"/>
    </xf>
    <xf borderId="19" fillId="24" fontId="9" numFmtId="164" xfId="0" applyAlignment="1" applyBorder="1" applyFill="1" applyFont="1" applyNumberFormat="1">
      <alignment horizontal="center" vertical="center"/>
    </xf>
    <xf borderId="35" fillId="40" fontId="61" numFmtId="167" xfId="0" applyAlignment="1" applyBorder="1" applyFill="1" applyFont="1" applyNumberFormat="1">
      <alignment vertical="bottom"/>
    </xf>
    <xf borderId="0" fillId="5" fontId="62" numFmtId="0" xfId="0" applyAlignment="1" applyFill="1" applyFont="1">
      <alignment horizontal="center" readingOrder="0" shrinkToFit="0" textRotation="255" vertical="center" wrapText="1"/>
    </xf>
    <xf borderId="8" fillId="0" fontId="15" numFmtId="0" xfId="0" applyAlignment="1" applyBorder="1" applyFont="1">
      <alignment horizontal="center" shrinkToFit="0" vertical="bottom" wrapText="1"/>
    </xf>
    <xf borderId="19" fillId="29" fontId="9" numFmtId="0" xfId="0" applyAlignment="1" applyBorder="1" applyFill="1" applyFont="1">
      <alignment horizontal="left" vertical="center"/>
    </xf>
    <xf borderId="19" fillId="29" fontId="9" numFmtId="164" xfId="0" applyAlignment="1" applyBorder="1" applyFill="1" applyFont="1" applyNumberFormat="1">
      <alignment horizontal="center" vertical="center"/>
    </xf>
    <xf borderId="19" fillId="4" fontId="9" numFmtId="0" xfId="0" applyAlignment="1" applyBorder="1" applyFill="1" applyFont="1">
      <alignment horizontal="left" vertical="center"/>
    </xf>
    <xf borderId="19" fillId="4" fontId="9" numFmtId="164" xfId="0" applyAlignment="1" applyBorder="1" applyFill="1" applyFont="1" applyNumberFormat="1">
      <alignment horizontal="center" vertical="center"/>
    </xf>
    <xf borderId="19" fillId="33" fontId="9" numFmtId="0" xfId="0" applyAlignment="1" applyBorder="1" applyFill="1" applyFont="1">
      <alignment horizontal="left" vertical="center"/>
    </xf>
    <xf borderId="19" fillId="33" fontId="9" numFmtId="164" xfId="0" applyAlignment="1" applyBorder="1" applyFill="1" applyFont="1" applyNumberFormat="1">
      <alignment horizontal="center" vertical="center"/>
    </xf>
    <xf borderId="10" fillId="31" fontId="18" numFmtId="0" xfId="0" applyAlignment="1" applyBorder="1" applyFill="1" applyFont="1">
      <alignment horizontal="center" readingOrder="0" shrinkToFit="0" vertical="bottom" wrapText="1"/>
    </xf>
    <xf borderId="19" fillId="34" fontId="9" numFmtId="0" xfId="0" applyAlignment="1" applyBorder="1" applyFill="1" applyFont="1">
      <alignment horizontal="left" vertical="center"/>
    </xf>
    <xf borderId="31" fillId="40" fontId="34" numFmtId="0" xfId="0" applyAlignment="1" applyBorder="1" applyFill="1" applyFont="1">
      <alignment horizontal="center" vertical="bottom"/>
    </xf>
    <xf borderId="11" fillId="31" fontId="18" numFmtId="0" xfId="0" applyAlignment="1" applyBorder="1" applyFill="1" applyFont="1">
      <alignment horizontal="center" readingOrder="0" shrinkToFit="0" vertical="bottom" wrapText="1"/>
    </xf>
    <xf borderId="32" fillId="40" fontId="34" numFmtId="0" xfId="0" applyAlignment="1" applyBorder="1" applyFill="1" applyFont="1">
      <alignment horizontal="center" readingOrder="0" vertical="bottom"/>
    </xf>
    <xf borderId="19" fillId="34" fontId="9" numFmtId="164" xfId="0" applyAlignment="1" applyBorder="1" applyFill="1" applyFont="1" applyNumberFormat="1">
      <alignment horizontal="center" vertical="center"/>
    </xf>
    <xf borderId="19" fillId="35" fontId="9" numFmtId="0" xfId="0" applyAlignment="1" applyBorder="1" applyFill="1" applyFont="1">
      <alignment horizontal="left" vertical="center"/>
    </xf>
    <xf borderId="19" fillId="35" fontId="9" numFmtId="164" xfId="0" applyAlignment="1" applyBorder="1" applyFill="1" applyFont="1" applyNumberFormat="1">
      <alignment horizontal="center" vertical="center"/>
    </xf>
    <xf borderId="9" fillId="36" fontId="50" numFmtId="0" xfId="0" applyAlignment="1" applyBorder="1" applyFill="1" applyFont="1">
      <alignment horizontal="center" shrinkToFit="0" vertical="center" wrapText="0"/>
    </xf>
    <xf borderId="9" fillId="36" fontId="59" numFmtId="164" xfId="0" applyAlignment="1" applyBorder="1" applyFill="1" applyFont="1" applyNumberFormat="1">
      <alignment horizontal="center" vertical="bottom"/>
    </xf>
    <xf borderId="35" fillId="34" fontId="63" numFmtId="167" xfId="0" applyAlignment="1" applyBorder="1" applyFill="1" applyFont="1" applyNumberFormat="1">
      <alignment horizontal="right" vertical="bottom"/>
    </xf>
    <xf borderId="9" fillId="18" fontId="42" numFmtId="0" xfId="0" applyAlignment="1" applyBorder="1" applyFill="1" applyFont="1">
      <alignment horizontal="center" vertical="bottom"/>
    </xf>
    <xf borderId="9" fillId="18" fontId="42" numFmtId="164" xfId="0" applyAlignment="1" applyBorder="1" applyFill="1" applyFont="1" applyNumberFormat="1">
      <alignment horizontal="center" vertical="bottom"/>
    </xf>
    <xf borderId="9" fillId="18" fontId="56" numFmtId="164" xfId="0" applyAlignment="1" applyBorder="1" applyFill="1" applyFont="1" applyNumberFormat="1">
      <alignment horizontal="center" vertical="bottom"/>
    </xf>
    <xf borderId="0" fillId="5" fontId="64" numFmtId="0" xfId="0" applyAlignment="1" applyFill="1" applyFont="1">
      <alignment horizontal="center" readingOrder="0" shrinkToFit="0" textRotation="255" vertical="center" wrapText="1"/>
    </xf>
    <xf borderId="31" fillId="34" fontId="34" numFmtId="0" xfId="0" applyAlignment="1" applyBorder="1" applyFill="1" applyFont="1">
      <alignment horizontal="center" readingOrder="0" vertical="bottom"/>
    </xf>
    <xf borderId="16" fillId="34" fontId="4" numFmtId="0" xfId="0" applyAlignment="1" applyBorder="1" applyFill="1" applyFont="1">
      <alignment readingOrder="0"/>
    </xf>
    <xf borderId="0" fillId="40" fontId="63" numFmtId="0" xfId="0" applyAlignment="1" applyFill="1" applyFont="1">
      <alignment readingOrder="0" vertical="bottom"/>
    </xf>
    <xf borderId="38" fillId="5" fontId="64" numFmtId="0" xfId="0" applyAlignment="1" applyBorder="1" applyFill="1" applyFont="1">
      <alignment horizontal="center" vertical="bottom"/>
    </xf>
    <xf borderId="35" fillId="34" fontId="9" numFmtId="167" xfId="0" applyAlignment="1" applyBorder="1" applyFill="1" applyFont="1" applyNumberFormat="1">
      <alignment horizontal="center" vertical="bottom"/>
    </xf>
    <xf borderId="0" fillId="24" fontId="9" numFmtId="0" xfId="0" applyAlignment="1" applyFill="1" applyFont="1">
      <alignment horizontal="left" vertical="bottom"/>
    </xf>
    <xf borderId="0" fillId="24" fontId="9" numFmtId="164" xfId="0" applyAlignment="1" applyFill="1" applyFont="1" applyNumberFormat="1">
      <alignment horizontal="center" vertical="bottom"/>
    </xf>
    <xf borderId="0" fillId="29" fontId="9" numFmtId="0" xfId="0" applyAlignment="1" applyFill="1" applyFont="1">
      <alignment horizontal="left" vertical="bottom"/>
    </xf>
    <xf borderId="0" fillId="29" fontId="9" numFmtId="164" xfId="0" applyAlignment="1" applyFill="1" applyFont="1" applyNumberFormat="1">
      <alignment horizontal="center" vertical="bottom"/>
    </xf>
    <xf borderId="0" fillId="4" fontId="9" numFmtId="0" xfId="0" applyAlignment="1" applyFill="1" applyFont="1">
      <alignment horizontal="left" vertical="bottom"/>
    </xf>
    <xf borderId="0" fillId="4" fontId="9" numFmtId="164" xfId="0" applyAlignment="1" applyFill="1" applyFont="1" applyNumberFormat="1">
      <alignment horizontal="center" vertical="bottom"/>
    </xf>
    <xf borderId="0" fillId="33" fontId="9" numFmtId="0" xfId="0" applyAlignment="1" applyFill="1" applyFont="1">
      <alignment horizontal="left" vertical="bottom"/>
    </xf>
    <xf borderId="0" fillId="33" fontId="9" numFmtId="164" xfId="0" applyAlignment="1" applyFill="1" applyFont="1" applyNumberFormat="1">
      <alignment horizontal="center" vertical="bottom"/>
    </xf>
    <xf borderId="0" fillId="34" fontId="9" numFmtId="0" xfId="0" applyAlignment="1" applyFill="1" applyFont="1">
      <alignment horizontal="left" vertical="bottom"/>
    </xf>
    <xf borderId="11" fillId="17" fontId="18" numFmtId="0" xfId="0" applyAlignment="1" applyBorder="1" applyFill="1" applyFont="1">
      <alignment horizontal="center" readingOrder="0" shrinkToFit="0" vertical="bottom" wrapText="1"/>
    </xf>
    <xf borderId="31" fillId="34" fontId="34" numFmtId="0" xfId="0" applyAlignment="1" applyBorder="1" applyFill="1" applyFont="1">
      <alignment horizontal="center" vertical="bottom"/>
    </xf>
    <xf borderId="0" fillId="34" fontId="9" numFmtId="164" xfId="0" applyAlignment="1" applyFill="1" applyFont="1" applyNumberFormat="1">
      <alignment horizontal="center" vertical="bottom"/>
    </xf>
    <xf borderId="32" fillId="34" fontId="34" numFmtId="0" xfId="0" applyAlignment="1" applyBorder="1" applyFill="1" applyFont="1">
      <alignment horizontal="center" readingOrder="0" vertical="bottom"/>
    </xf>
    <xf borderId="0" fillId="35" fontId="9" numFmtId="0" xfId="0" applyAlignment="1" applyFill="1" applyFont="1">
      <alignment horizontal="left" vertical="bottom"/>
    </xf>
    <xf borderId="0" fillId="35" fontId="9" numFmtId="164" xfId="0" applyAlignment="1" applyFill="1" applyFont="1" applyNumberFormat="1">
      <alignment horizontal="center" vertical="bottom"/>
    </xf>
    <xf borderId="39" fillId="36" fontId="50" numFmtId="0" xfId="0" applyAlignment="1" applyBorder="1" applyFill="1" applyFont="1">
      <alignment horizontal="center" shrinkToFit="0" vertical="center" wrapText="0"/>
    </xf>
    <xf borderId="19" fillId="36" fontId="50" numFmtId="0" xfId="0" applyAlignment="1" applyBorder="1" applyFill="1" applyFont="1">
      <alignment horizontal="center" shrinkToFit="0" vertical="center" wrapText="0"/>
    </xf>
    <xf borderId="19" fillId="36" fontId="59" numFmtId="164" xfId="0" applyAlignment="1" applyBorder="1" applyFill="1" applyFont="1" applyNumberFormat="1">
      <alignment horizontal="left" vertical="center"/>
    </xf>
    <xf borderId="19" fillId="40" fontId="59" numFmtId="0" xfId="0" applyAlignment="1" applyBorder="1" applyFill="1" applyFont="1">
      <alignment horizontal="center" vertical="center"/>
    </xf>
    <xf borderId="0" fillId="40" fontId="34" numFmtId="0" xfId="0" applyAlignment="1" applyFill="1" applyFont="1">
      <alignment horizontal="right" vertical="bottom"/>
    </xf>
    <xf borderId="19" fillId="36" fontId="59" numFmtId="2" xfId="0" applyAlignment="1" applyBorder="1" applyFill="1" applyFont="1" applyNumberFormat="1">
      <alignment horizontal="center" vertical="center"/>
    </xf>
    <xf borderId="35" fillId="46" fontId="55" numFmtId="167" xfId="0" applyAlignment="1" applyBorder="1" applyFill="1" applyFont="1" applyNumberFormat="1">
      <alignment horizontal="right" vertical="bottom"/>
    </xf>
    <xf borderId="40" fillId="36" fontId="50" numFmtId="0" xfId="0" applyAlignment="1" applyBorder="1" applyFill="1" applyFont="1">
      <alignment horizontal="center" vertical="center"/>
    </xf>
    <xf borderId="10" fillId="41" fontId="52" numFmtId="0" xfId="0" applyAlignment="1" applyBorder="1" applyFill="1" applyFont="1">
      <alignment horizontal="center" shrinkToFit="0" vertical="bottom" wrapText="1"/>
    </xf>
    <xf borderId="15" fillId="41" fontId="47" numFmtId="0" xfId="0" applyAlignment="1" applyBorder="1" applyFill="1" applyFont="1">
      <alignment horizontal="center" shrinkToFit="0" vertical="bottom" wrapText="1"/>
    </xf>
    <xf borderId="39" fillId="18" fontId="29" numFmtId="0" xfId="0" applyAlignment="1" applyBorder="1" applyFill="1" applyFont="1">
      <alignment horizontal="center" readingOrder="0" shrinkToFit="0" vertical="center" wrapText="0"/>
    </xf>
    <xf borderId="15" fillId="41" fontId="48" numFmtId="0" xfId="0" applyAlignment="1" applyBorder="1" applyFill="1" applyFont="1">
      <alignment horizontal="center" shrinkToFit="0" vertical="bottom" wrapText="1"/>
    </xf>
    <xf borderId="10" fillId="16" fontId="15" numFmtId="0" xfId="0" applyAlignment="1" applyBorder="1" applyFill="1" applyFont="1">
      <alignment horizontal="center" readingOrder="0" shrinkToFit="0" vertical="bottom" wrapText="1"/>
    </xf>
    <xf borderId="19" fillId="18" fontId="50" numFmtId="0" xfId="0" applyAlignment="1" applyBorder="1" applyFill="1" applyFont="1">
      <alignment horizontal="center" shrinkToFit="0" vertical="center" wrapText="0"/>
    </xf>
    <xf borderId="10" fillId="16" fontId="15" numFmtId="0" xfId="0" applyAlignment="1" applyBorder="1" applyFill="1" applyFont="1">
      <alignment horizontal="center" readingOrder="0" shrinkToFit="0" vertical="center" wrapText="1"/>
    </xf>
    <xf borderId="19" fillId="18" fontId="42" numFmtId="0" xfId="0" applyAlignment="1" applyBorder="1" applyFill="1" applyFont="1">
      <alignment horizontal="left" vertical="bottom"/>
    </xf>
    <xf borderId="19" fillId="18" fontId="42" numFmtId="164" xfId="0" applyAlignment="1" applyBorder="1" applyFill="1" applyFont="1" applyNumberFormat="1">
      <alignment horizontal="center" vertical="bottom"/>
    </xf>
    <xf borderId="8" fillId="16" fontId="15" numFmtId="0" xfId="0" applyAlignment="1" applyBorder="1" applyFill="1" applyFont="1">
      <alignment horizontal="center" readingOrder="0" shrinkToFit="0" vertical="center" wrapText="1"/>
    </xf>
    <xf borderId="31" fillId="46" fontId="34" numFmtId="0" xfId="0" applyAlignment="1" applyBorder="1" applyFill="1" applyFont="1">
      <alignment horizontal="center" readingOrder="0" vertical="bottom"/>
    </xf>
    <xf borderId="40" fillId="18" fontId="56" numFmtId="164" xfId="0" applyAlignment="1" applyBorder="1" applyFill="1" applyFont="1" applyNumberFormat="1">
      <alignment horizontal="center" vertical="bottom"/>
    </xf>
    <xf borderId="16" fillId="46" fontId="4" numFmtId="0" xfId="0" applyAlignment="1" applyBorder="1" applyFill="1" applyFont="1">
      <alignment readingOrder="0"/>
    </xf>
    <xf borderId="35" fillId="46" fontId="61" numFmtId="167" xfId="0" applyAlignment="1" applyBorder="1" applyFill="1" applyFont="1" applyNumberFormat="1">
      <alignment vertical="bottom"/>
    </xf>
    <xf borderId="19" fillId="36" fontId="46" numFmtId="164" xfId="0" applyAlignment="1" applyBorder="1" applyFill="1" applyFont="1" applyNumberFormat="1">
      <alignment horizontal="left" vertical="bottom"/>
    </xf>
    <xf borderId="19" fillId="45" fontId="46" numFmtId="164" xfId="0" applyAlignment="1" applyBorder="1" applyFill="1" applyFont="1" applyNumberFormat="1">
      <alignment horizontal="center" vertical="bottom"/>
    </xf>
    <xf borderId="19" fillId="36" fontId="46" numFmtId="164" xfId="0" applyAlignment="1" applyBorder="1" applyFill="1" applyFont="1" applyNumberFormat="1">
      <alignment horizontal="center" vertical="bottom"/>
    </xf>
    <xf borderId="31" fillId="40" fontId="63" numFmtId="0" xfId="0" applyAlignment="1" applyBorder="1" applyFill="1" applyFont="1">
      <alignment readingOrder="0" vertical="bottom"/>
    </xf>
    <xf borderId="40" fillId="36" fontId="8" numFmtId="1" xfId="0" applyAlignment="1" applyBorder="1" applyFill="1" applyFont="1" applyNumberFormat="1">
      <alignment horizontal="center" readingOrder="0" vertical="center"/>
    </xf>
    <xf borderId="15" fillId="20" fontId="47" numFmtId="164" xfId="0" applyAlignment="1" applyBorder="1" applyFill="1" applyFont="1" applyNumberFormat="1">
      <alignment horizontal="center" shrinkToFit="0" vertical="bottom" wrapText="1"/>
    </xf>
    <xf borderId="23" fillId="29" fontId="41" numFmtId="0" xfId="0" applyAlignment="1" applyBorder="1" applyFill="1" applyFont="1">
      <alignment horizontal="center" readingOrder="0"/>
    </xf>
    <xf borderId="10" fillId="30" fontId="15" numFmtId="0" xfId="0" applyAlignment="1" applyBorder="1" applyFill="1" applyFont="1">
      <alignment horizontal="center" readingOrder="0" shrinkToFit="0" vertical="bottom" wrapText="1"/>
    </xf>
    <xf borderId="31" fillId="46" fontId="34" numFmtId="0" xfId="0" applyAlignment="1" applyBorder="1" applyFill="1" applyFont="1">
      <alignment horizontal="center" vertical="bottom"/>
    </xf>
    <xf borderId="0" fillId="5" fontId="60" numFmtId="0" xfId="0" applyAlignment="1" applyFill="1" applyFont="1">
      <alignment horizontal="center"/>
    </xf>
    <xf borderId="10" fillId="30" fontId="65" numFmtId="0" xfId="0" applyAlignment="1" applyBorder="1" applyFill="1" applyFont="1">
      <alignment horizontal="center" readingOrder="0" shrinkToFit="0" vertical="center" wrapText="1"/>
    </xf>
    <xf borderId="32" fillId="46" fontId="34" numFmtId="0" xfId="0" applyAlignment="1" applyBorder="1" applyFill="1" applyFont="1">
      <alignment horizontal="center" readingOrder="0" vertical="bottom"/>
    </xf>
    <xf borderId="41" fillId="36" fontId="50" numFmtId="0" xfId="0" applyAlignment="1" applyBorder="1" applyFill="1" applyFont="1">
      <alignment horizontal="center" shrinkToFit="0" vertical="center" wrapText="0"/>
    </xf>
    <xf borderId="0" fillId="36" fontId="59" numFmtId="164" xfId="0" applyAlignment="1" applyFill="1" applyFont="1" applyNumberFormat="1">
      <alignment horizontal="left" vertical="bottom"/>
    </xf>
    <xf borderId="0" fillId="40" fontId="59" numFmtId="0" xfId="0" applyAlignment="1" applyFill="1" applyFont="1">
      <alignment horizontal="center" vertical="bottom"/>
    </xf>
    <xf borderId="16" fillId="36" fontId="50" numFmtId="0" xfId="0" applyAlignment="1" applyBorder="1" applyFill="1" applyFont="1">
      <alignment horizontal="center" vertical="center"/>
    </xf>
    <xf borderId="35" fillId="47" fontId="63" numFmtId="167" xfId="0" applyAlignment="1" applyBorder="1" applyFill="1" applyFont="1" applyNumberFormat="1">
      <alignment horizontal="right" vertical="bottom"/>
    </xf>
    <xf borderId="41" fillId="18" fontId="29" numFmtId="0" xfId="0" applyAlignment="1" applyBorder="1" applyFill="1" applyFont="1">
      <alignment horizontal="center" readingOrder="0" shrinkToFit="0" vertical="center" wrapText="0"/>
    </xf>
    <xf borderId="0" fillId="18" fontId="42" numFmtId="0" xfId="0" applyAlignment="1" applyFill="1" applyFont="1">
      <alignment horizontal="left" vertical="bottom"/>
    </xf>
    <xf borderId="16" fillId="18" fontId="56" numFmtId="164" xfId="0" applyAlignment="1" applyBorder="1" applyFill="1" applyFont="1" applyNumberFormat="1">
      <alignment horizontal="center" vertical="bottom"/>
    </xf>
    <xf borderId="0" fillId="34" fontId="63" numFmtId="0" xfId="0" applyAlignment="1" applyFill="1" applyFont="1">
      <alignment readingOrder="0" vertical="bottom"/>
    </xf>
    <xf borderId="31" fillId="47" fontId="34" numFmtId="0" xfId="0" applyAlignment="1" applyBorder="1" applyFill="1" applyFont="1">
      <alignment horizontal="center" readingOrder="0" vertical="bottom"/>
    </xf>
    <xf borderId="10" fillId="30" fontId="15" numFmtId="0" xfId="0" applyAlignment="1" applyBorder="1" applyFill="1" applyFont="1">
      <alignment horizontal="center" readingOrder="0" shrinkToFit="0" vertical="center" wrapText="1"/>
    </xf>
    <xf borderId="0" fillId="36" fontId="46" numFmtId="164" xfId="0" applyAlignment="1" applyFill="1" applyFont="1" applyNumberFormat="1">
      <alignment horizontal="left" vertical="bottom"/>
    </xf>
    <xf borderId="16" fillId="47" fontId="4" numFmtId="0" xfId="0" applyAlignment="1" applyBorder="1" applyFill="1" applyFont="1">
      <alignment readingOrder="0"/>
    </xf>
    <xf borderId="35" fillId="47" fontId="9" numFmtId="167" xfId="0" applyAlignment="1" applyBorder="1" applyFill="1" applyFont="1" applyNumberFormat="1">
      <alignment horizontal="center" vertical="bottom"/>
    </xf>
    <xf borderId="16" fillId="36" fontId="8" numFmtId="1" xfId="0" applyAlignment="1" applyBorder="1" applyFill="1" applyFont="1" applyNumberFormat="1">
      <alignment horizontal="center" readingOrder="0" vertical="center"/>
    </xf>
    <xf borderId="42" fillId="29" fontId="41" numFmtId="0" xfId="0" applyAlignment="1" applyBorder="1" applyFill="1" applyFont="1">
      <alignment horizontal="center" readingOrder="0" shrinkToFit="0" vertical="center" wrapText="1"/>
    </xf>
    <xf borderId="0" fillId="29" fontId="9" numFmtId="0" xfId="0" applyAlignment="1" applyFill="1" applyFont="1">
      <alignment horizontal="center" readingOrder="0" shrinkToFit="0" vertical="center" wrapText="1"/>
    </xf>
    <xf borderId="10" fillId="16" fontId="18" numFmtId="0" xfId="0" applyAlignment="1" applyBorder="1" applyFill="1" applyFont="1">
      <alignment horizontal="center" readingOrder="0" shrinkToFit="0" vertical="bottom" wrapText="1"/>
    </xf>
    <xf borderId="31" fillId="47" fontId="34" numFmtId="0" xfId="0" applyAlignment="1" applyBorder="1" applyFill="1" applyFont="1">
      <alignment horizontal="center" vertical="bottom"/>
    </xf>
    <xf borderId="32" fillId="47" fontId="34" numFmtId="0" xfId="0" applyAlignment="1" applyBorder="1" applyFill="1" applyFont="1">
      <alignment horizontal="center" readingOrder="0" vertical="bottom"/>
    </xf>
    <xf borderId="35" fillId="47" fontId="63" numFmtId="167" xfId="0" applyAlignment="1" applyBorder="1" applyFill="1" applyFont="1" applyNumberFormat="1">
      <alignment horizontal="right" readingOrder="0" vertical="bottom"/>
    </xf>
    <xf borderId="0" fillId="34" fontId="34" numFmtId="0" xfId="0" applyAlignment="1" applyFill="1" applyFont="1">
      <alignment horizontal="center" vertical="bottom"/>
    </xf>
    <xf borderId="10" fillId="41" fontId="47" numFmtId="165" xfId="0" applyAlignment="1" applyBorder="1" applyFill="1" applyFont="1" applyNumberFormat="1">
      <alignment horizontal="center" readingOrder="0" shrinkToFit="0" vertical="bottom" wrapText="1"/>
    </xf>
    <xf borderId="35" fillId="48" fontId="55" numFmtId="167" xfId="0" applyAlignment="1" applyBorder="1" applyFill="1" applyFont="1" applyNumberFormat="1">
      <alignment horizontal="right" vertical="bottom"/>
    </xf>
    <xf borderId="10" fillId="41" fontId="47" numFmtId="1" xfId="0" applyAlignment="1" applyBorder="1" applyFill="1" applyFont="1" applyNumberFormat="1">
      <alignment horizontal="center" readingOrder="0" shrinkToFit="0" vertical="bottom" wrapText="1"/>
    </xf>
    <xf borderId="10" fillId="41" fontId="47" numFmtId="166" xfId="0" applyAlignment="1" applyBorder="1" applyFill="1" applyFont="1" applyNumberFormat="1">
      <alignment horizontal="center" readingOrder="0" shrinkToFit="0" vertical="bottom" wrapText="1"/>
    </xf>
    <xf borderId="10" fillId="41" fontId="15" numFmtId="164" xfId="0" applyAlignment="1" applyBorder="1" applyFill="1" applyFont="1" applyNumberFormat="1">
      <alignment horizontal="center" readingOrder="0" shrinkToFit="0" vertical="center" wrapText="1"/>
    </xf>
    <xf borderId="10" fillId="41" fontId="52" numFmtId="164" xfId="0" applyAlignment="1" applyBorder="1" applyFill="1" applyFont="1" applyNumberFormat="1">
      <alignment horizontal="center" readingOrder="0" shrinkToFit="0" vertical="bottom" wrapText="1"/>
    </xf>
    <xf borderId="4" fillId="38" fontId="9" numFmtId="0" xfId="0" applyAlignment="1" applyBorder="1" applyFill="1" applyFont="1">
      <alignment horizontal="center" readingOrder="0" shrinkToFit="0" vertical="center" wrapText="1"/>
    </xf>
    <xf borderId="15" fillId="41" fontId="47" numFmtId="164" xfId="0" applyAlignment="1" applyBorder="1" applyFill="1" applyFont="1" applyNumberFormat="1">
      <alignment horizontal="center" readingOrder="0" shrinkToFit="0" vertical="bottom" wrapText="1"/>
    </xf>
    <xf borderId="15" fillId="41" fontId="48" numFmtId="164" xfId="0" applyAlignment="1" applyBorder="1" applyFill="1" applyFont="1" applyNumberFormat="1">
      <alignment horizontal="center" readingOrder="0" shrinkToFit="0" vertical="bottom" wrapText="1"/>
    </xf>
    <xf borderId="10" fillId="15" fontId="15" numFmtId="0" xfId="0" applyAlignment="1" applyBorder="1" applyFill="1" applyFont="1">
      <alignment horizontal="center" readingOrder="0" shrinkToFit="0" vertical="bottom" wrapText="1"/>
    </xf>
    <xf borderId="10" fillId="15" fontId="15" numFmtId="0" xfId="0" applyAlignment="1" applyBorder="1" applyFill="1" applyFont="1">
      <alignment horizontal="center" readingOrder="0" shrinkToFit="0" vertical="center" wrapText="1"/>
    </xf>
    <xf borderId="8" fillId="15" fontId="15" numFmtId="0" xfId="0" applyAlignment="1" applyBorder="1" applyFill="1" applyFont="1">
      <alignment horizontal="center" readingOrder="0" shrinkToFit="0" vertical="center" wrapText="1"/>
    </xf>
    <xf borderId="31" fillId="48" fontId="34" numFmtId="0" xfId="0" applyAlignment="1" applyBorder="1" applyFill="1" applyFont="1">
      <alignment horizontal="center" readingOrder="0" vertical="bottom"/>
    </xf>
    <xf borderId="16" fillId="48" fontId="4" numFmtId="0" xfId="0" applyAlignment="1" applyBorder="1" applyFill="1" applyFont="1">
      <alignment readingOrder="0"/>
    </xf>
    <xf borderId="31" fillId="34" fontId="63" numFmtId="0" xfId="0" applyAlignment="1" applyBorder="1" applyFill="1" applyFont="1">
      <alignment readingOrder="0" vertical="bottom"/>
    </xf>
    <xf borderId="35" fillId="48" fontId="61" numFmtId="167" xfId="0" applyAlignment="1" applyBorder="1" applyFill="1" applyFont="1" applyNumberFormat="1">
      <alignment vertical="bottom"/>
    </xf>
    <xf borderId="10" fillId="2" fontId="15" numFmtId="0" xfId="0" applyAlignment="1" applyBorder="1" applyFill="1" applyFont="1">
      <alignment horizontal="center" readingOrder="0" shrinkToFit="0" vertical="bottom" wrapText="1"/>
    </xf>
    <xf borderId="10" fillId="2" fontId="18" numFmtId="0" xfId="0" applyAlignment="1" applyBorder="1" applyFill="1" applyFont="1">
      <alignment horizontal="center" readingOrder="0" shrinkToFit="0" vertical="center" wrapText="1"/>
    </xf>
    <xf borderId="31" fillId="48" fontId="34" numFmtId="0" xfId="0" applyAlignment="1" applyBorder="1" applyFill="1" applyFont="1">
      <alignment horizontal="center" vertical="bottom"/>
    </xf>
    <xf borderId="32" fillId="48" fontId="34" numFmtId="0" xfId="0" applyAlignment="1" applyBorder="1" applyFill="1" applyFont="1">
      <alignment horizontal="center" readingOrder="0" vertical="bottom"/>
    </xf>
    <xf borderId="38" fillId="5" fontId="64" numFmtId="0" xfId="0" applyAlignment="1" applyBorder="1" applyFill="1" applyFont="1">
      <alignment horizontal="center" readingOrder="0" shrinkToFit="0" textRotation="255" vertical="center" wrapText="1"/>
    </xf>
    <xf borderId="0" fillId="46" fontId="63" numFmtId="0" xfId="0" applyAlignment="1" applyFill="1" applyFont="1">
      <alignment readingOrder="0" vertical="bottom"/>
    </xf>
    <xf borderId="43" fillId="5" fontId="9" numFmtId="0" xfId="0" applyAlignment="1" applyBorder="1" applyFill="1" applyFont="1">
      <alignment horizontal="center" readingOrder="0" shrinkToFit="0" vertical="center" wrapText="1"/>
    </xf>
    <xf borderId="38" fillId="5" fontId="9" numFmtId="0" xfId="0" applyAlignment="1" applyBorder="1" applyFill="1" applyFont="1">
      <alignment horizontal="center" readingOrder="0" shrinkToFit="0" vertical="center" wrapText="1"/>
    </xf>
    <xf borderId="35" fillId="49" fontId="34" numFmtId="167" xfId="0" applyAlignment="1" applyBorder="1" applyFill="1" applyFont="1" applyNumberFormat="1">
      <alignment horizontal="center" vertical="bottom"/>
    </xf>
    <xf borderId="0" fillId="34" fontId="59" numFmtId="0" xfId="0" applyAlignment="1" applyFill="1" applyFont="1">
      <alignment horizontal="center" vertical="bottom"/>
    </xf>
    <xf borderId="10" fillId="28" fontId="15" numFmtId="0" xfId="0" applyAlignment="1" applyBorder="1" applyFill="1" applyFont="1">
      <alignment horizontal="center" shrinkToFit="0" vertical="bottom" wrapText="1"/>
    </xf>
    <xf borderId="31" fillId="49" fontId="34" numFmtId="0" xfId="0" applyAlignment="1" applyBorder="1" applyFill="1" applyFont="1">
      <alignment horizontal="center" readingOrder="0" vertical="bottom"/>
    </xf>
    <xf borderId="44" fillId="28" fontId="15" numFmtId="0" xfId="0" applyAlignment="1" applyBorder="1" applyFill="1" applyFont="1">
      <alignment horizontal="center" shrinkToFit="0" wrapText="1"/>
    </xf>
    <xf borderId="32" fillId="49" fontId="34" numFmtId="0" xfId="0" applyAlignment="1" applyBorder="1" applyFill="1" applyFont="1">
      <alignment horizontal="center" readingOrder="0" vertical="bottom"/>
    </xf>
    <xf borderId="0" fillId="5" fontId="9" numFmtId="164" xfId="0" applyAlignment="1" applyFill="1" applyFont="1" applyNumberFormat="1">
      <alignment horizontal="right" vertical="bottom"/>
    </xf>
    <xf borderId="0" fillId="5" fontId="66" numFmtId="164" xfId="0" applyAlignment="1" applyFill="1" applyFont="1" applyNumberFormat="1">
      <alignment vertical="bottom"/>
    </xf>
    <xf borderId="44" fillId="28" fontId="15" numFmtId="0" xfId="0" applyAlignment="1" applyBorder="1" applyFill="1" applyFont="1">
      <alignment horizontal="center" shrinkToFit="0" vertical="bottom" wrapText="1"/>
    </xf>
    <xf borderId="0" fillId="5" fontId="66" numFmtId="0" xfId="0" applyAlignment="1" applyFill="1" applyFont="1">
      <alignment horizontal="center" vertical="bottom"/>
    </xf>
    <xf borderId="0" fillId="46" fontId="34" numFmtId="0" xfId="0" applyAlignment="1" applyFill="1" applyFont="1">
      <alignment horizontal="right" vertical="bottom"/>
    </xf>
    <xf borderId="31" fillId="49" fontId="34" numFmtId="0" xfId="0" applyAlignment="1" applyBorder="1" applyFill="1" applyFont="1">
      <alignment horizontal="center" vertical="bottom"/>
    </xf>
    <xf borderId="0" fillId="47" fontId="15" numFmtId="164" xfId="0" applyAlignment="1" applyFill="1" applyFont="1" applyNumberFormat="1">
      <alignment horizontal="center"/>
    </xf>
    <xf borderId="0" fillId="37" fontId="67" numFmtId="0" xfId="0" applyAlignment="1" applyFill="1" applyFont="1">
      <alignment horizontal="center" vertical="bottom"/>
    </xf>
    <xf borderId="10" fillId="15" fontId="18" numFmtId="0" xfId="0" applyAlignment="1" applyBorder="1" applyFill="1" applyFont="1">
      <alignment horizontal="center" readingOrder="0" shrinkToFit="0" vertical="bottom" wrapText="1"/>
    </xf>
    <xf borderId="0" fillId="5" fontId="9" numFmtId="0" xfId="0" applyAlignment="1" applyFill="1" applyFont="1">
      <alignment readingOrder="0" vertical="bottom"/>
    </xf>
    <xf borderId="0" fillId="5" fontId="68" numFmtId="0" xfId="0" applyAlignment="1" applyFill="1" applyFont="1">
      <alignment horizontal="left" readingOrder="0" shrinkToFit="0" vertical="top" wrapText="0"/>
    </xf>
    <xf borderId="10" fillId="41" fontId="15" numFmtId="164" xfId="0" applyAlignment="1" applyBorder="1" applyFill="1" applyFont="1" applyNumberFormat="1">
      <alignment horizontal="center" shrinkToFit="0" vertical="center" wrapText="1"/>
    </xf>
    <xf borderId="31" fillId="46" fontId="63" numFmtId="0" xfId="0" applyAlignment="1" applyBorder="1" applyFill="1" applyFont="1">
      <alignment readingOrder="0" vertical="bottom"/>
    </xf>
    <xf borderId="10" fillId="41" fontId="52" numFmtId="164" xfId="0" applyAlignment="1" applyBorder="1" applyFill="1" applyFont="1" applyNumberFormat="1">
      <alignment horizontal="center" shrinkToFit="0" vertical="bottom" wrapText="1"/>
    </xf>
    <xf borderId="15" fillId="41" fontId="47" numFmtId="164" xfId="0" applyAlignment="1" applyBorder="1" applyFill="1" applyFont="1" applyNumberFormat="1">
      <alignment horizontal="center" shrinkToFit="0" vertical="bottom" wrapText="1"/>
    </xf>
    <xf borderId="15" fillId="41" fontId="48" numFmtId="164" xfId="0" applyAlignment="1" applyBorder="1" applyFill="1" applyFont="1" applyNumberFormat="1">
      <alignment horizontal="center" shrinkToFit="0" vertical="bottom" wrapText="1"/>
    </xf>
    <xf borderId="10" fillId="12" fontId="18" numFmtId="0" xfId="0" applyAlignment="1" applyBorder="1" applyFill="1" applyFont="1">
      <alignment horizontal="center" readingOrder="0" shrinkToFit="0" vertical="bottom" wrapText="1"/>
    </xf>
    <xf borderId="9" fillId="24" fontId="9" numFmtId="0" xfId="0" applyAlignment="1" applyBorder="1" applyFill="1" applyFont="1">
      <alignment horizontal="left" vertical="bottom"/>
    </xf>
    <xf borderId="11" fillId="12" fontId="18" numFmtId="0" xfId="0" applyAlignment="1" applyBorder="1" applyFill="1" applyFont="1">
      <alignment horizontal="center" readingOrder="0" shrinkToFit="0" vertical="center" wrapText="1"/>
    </xf>
    <xf borderId="9" fillId="24" fontId="9" numFmtId="164" xfId="0" applyAlignment="1" applyBorder="1" applyFill="1" applyFont="1" applyNumberFormat="1">
      <alignment horizontal="center" vertical="bottom"/>
    </xf>
    <xf borderId="8" fillId="12" fontId="15" numFmtId="0" xfId="0" applyAlignment="1" applyBorder="1" applyFill="1" applyFont="1">
      <alignment horizontal="center" readingOrder="0" shrinkToFit="0" vertical="center" wrapText="1"/>
    </xf>
    <xf borderId="38" fillId="0" fontId="3" numFmtId="0" xfId="0" applyBorder="1" applyFont="1"/>
    <xf borderId="9" fillId="29" fontId="9" numFmtId="0" xfId="0" applyAlignment="1" applyBorder="1" applyFill="1" applyFont="1">
      <alignment horizontal="left" vertical="bottom"/>
    </xf>
    <xf borderId="45" fillId="44" fontId="34" numFmtId="0" xfId="0" applyAlignment="1" applyBorder="1" applyFill="1" applyFont="1">
      <alignment horizontal="left" readingOrder="0" vertical="bottom"/>
    </xf>
    <xf borderId="9" fillId="29" fontId="9" numFmtId="164" xfId="0" applyAlignment="1" applyBorder="1" applyFill="1" applyFont="1" applyNumberFormat="1">
      <alignment horizontal="center" vertical="bottom"/>
    </xf>
    <xf borderId="45" fillId="44" fontId="34" numFmtId="2" xfId="0" applyAlignment="1" applyBorder="1" applyFill="1" applyFont="1" applyNumberFormat="1">
      <alignment horizontal="center" vertical="bottom"/>
    </xf>
    <xf borderId="9" fillId="4" fontId="9" numFmtId="0" xfId="0" applyAlignment="1" applyBorder="1" applyFill="1" applyFont="1">
      <alignment horizontal="left" vertical="bottom"/>
    </xf>
    <xf borderId="9" fillId="4" fontId="9" numFmtId="164" xfId="0" applyAlignment="1" applyBorder="1" applyFill="1" applyFont="1" applyNumberFormat="1">
      <alignment horizontal="center" vertical="bottom"/>
    </xf>
    <xf borderId="9" fillId="33" fontId="9" numFmtId="0" xfId="0" applyAlignment="1" applyBorder="1" applyFill="1" applyFont="1">
      <alignment horizontal="left" vertical="bottom"/>
    </xf>
    <xf borderId="9" fillId="33" fontId="9" numFmtId="164" xfId="0" applyAlignment="1" applyBorder="1" applyFill="1" applyFont="1" applyNumberFormat="1">
      <alignment horizontal="center" vertical="bottom"/>
    </xf>
    <xf borderId="9" fillId="34" fontId="9" numFmtId="0" xfId="0" applyAlignment="1" applyBorder="1" applyFill="1" applyFont="1">
      <alignment horizontal="left" vertical="bottom"/>
    </xf>
    <xf borderId="9" fillId="34" fontId="9" numFmtId="164" xfId="0" applyAlignment="1" applyBorder="1" applyFill="1" applyFont="1" applyNumberFormat="1">
      <alignment horizontal="center" vertical="bottom"/>
    </xf>
    <xf borderId="9" fillId="35" fontId="9" numFmtId="0" xfId="0" applyAlignment="1" applyBorder="1" applyFill="1" applyFont="1">
      <alignment horizontal="left" vertical="bottom"/>
    </xf>
    <xf borderId="9" fillId="35" fontId="9" numFmtId="164" xfId="0" applyAlignment="1" applyBorder="1" applyFill="1" applyFont="1" applyNumberFormat="1">
      <alignment horizontal="center" vertical="bottom"/>
    </xf>
    <xf borderId="45" fillId="44" fontId="34" numFmtId="0" xfId="0" applyAlignment="1" applyBorder="1" applyFill="1" applyFont="1">
      <alignment horizontal="right" vertical="bottom"/>
    </xf>
    <xf borderId="10" fillId="26" fontId="18" numFmtId="0" xfId="0" applyAlignment="1" applyBorder="1" applyFill="1" applyFont="1">
      <alignment horizontal="center" readingOrder="0" shrinkToFit="0" vertical="bottom" wrapText="1"/>
    </xf>
    <xf borderId="11" fillId="26" fontId="18" numFmtId="0" xfId="0" applyAlignment="1" applyBorder="1" applyFill="1" applyFont="1">
      <alignment horizontal="center" readingOrder="0" shrinkToFit="0" vertical="center" wrapText="1"/>
    </xf>
    <xf borderId="0" fillId="47" fontId="69" numFmtId="0" xfId="0" applyAlignment="1" applyFill="1" applyFont="1">
      <alignment readingOrder="0" vertical="bottom"/>
    </xf>
    <xf borderId="0" fillId="5" fontId="68" numFmtId="0" xfId="0" applyAlignment="1" applyFill="1" applyFont="1">
      <alignment horizontal="left" readingOrder="0" shrinkToFit="0" vertical="center" wrapText="0"/>
    </xf>
    <xf borderId="38" fillId="5" fontId="9" numFmtId="0" xfId="0" applyAlignment="1" applyBorder="1" applyFill="1" applyFont="1">
      <alignment horizontal="center" vertical="bottom"/>
    </xf>
    <xf borderId="46" fillId="36" fontId="50" numFmtId="0" xfId="0" applyAlignment="1" applyBorder="1" applyFill="1" applyFont="1">
      <alignment horizontal="center" shrinkToFit="0" vertical="center" wrapText="0"/>
    </xf>
    <xf borderId="9" fillId="36" fontId="59" numFmtId="164" xfId="0" applyAlignment="1" applyBorder="1" applyFill="1" applyFont="1" applyNumberFormat="1">
      <alignment horizontal="left" vertical="bottom"/>
    </xf>
    <xf borderId="9" fillId="34" fontId="59" numFmtId="0" xfId="0" applyAlignment="1" applyBorder="1" applyFill="1" applyFont="1">
      <alignment horizontal="center" vertical="bottom"/>
    </xf>
    <xf borderId="9" fillId="36" fontId="59" numFmtId="2" xfId="0" applyAlignment="1" applyBorder="1" applyFill="1" applyFont="1" applyNumberFormat="1">
      <alignment horizontal="center" vertical="bottom"/>
    </xf>
    <xf borderId="45" fillId="40" fontId="63" numFmtId="0" xfId="0" applyAlignment="1" applyBorder="1" applyFill="1" applyFont="1">
      <alignment readingOrder="0" vertical="bottom"/>
    </xf>
    <xf borderId="47" fillId="36" fontId="50" numFmtId="0" xfId="0" applyAlignment="1" applyBorder="1" applyFill="1" applyFont="1">
      <alignment horizontal="center" vertical="center"/>
    </xf>
    <xf borderId="45" fillId="40" fontId="55" numFmtId="2" xfId="0" applyAlignment="1" applyBorder="1" applyFill="1" applyFont="1" applyNumberFormat="1">
      <alignment horizontal="right" vertical="bottom"/>
    </xf>
    <xf borderId="46" fillId="18" fontId="29" numFmtId="0" xfId="0" applyAlignment="1" applyBorder="1" applyFill="1" applyFont="1">
      <alignment horizontal="center" readingOrder="0" shrinkToFit="0" vertical="center" wrapText="0"/>
    </xf>
    <xf borderId="9" fillId="18" fontId="50" numFmtId="0" xfId="0" applyAlignment="1" applyBorder="1" applyFill="1" applyFont="1">
      <alignment horizontal="center" shrinkToFit="0" vertical="center" wrapText="0"/>
    </xf>
    <xf borderId="9" fillId="18" fontId="42" numFmtId="0" xfId="0" applyAlignment="1" applyBorder="1" applyFill="1" applyFont="1">
      <alignment horizontal="left" vertical="bottom"/>
    </xf>
    <xf borderId="47" fillId="18" fontId="56" numFmtId="164" xfId="0" applyAlignment="1" applyBorder="1" applyFill="1" applyFont="1" applyNumberFormat="1">
      <alignment horizontal="center" vertical="bottom"/>
    </xf>
    <xf borderId="45" fillId="40" fontId="34" numFmtId="0" xfId="0" applyAlignment="1" applyBorder="1" applyFill="1" applyFont="1">
      <alignment horizontal="right" vertical="bottom"/>
    </xf>
    <xf borderId="45" fillId="40" fontId="61" numFmtId="2" xfId="0" applyAlignment="1" applyBorder="1" applyFill="1" applyFont="1" applyNumberFormat="1">
      <alignment vertical="bottom"/>
    </xf>
    <xf borderId="9" fillId="36" fontId="46" numFmtId="164" xfId="0" applyAlignment="1" applyBorder="1" applyFill="1" applyFont="1" applyNumberFormat="1">
      <alignment horizontal="left" vertical="bottom"/>
    </xf>
    <xf borderId="9" fillId="37" fontId="46" numFmtId="164" xfId="0" applyAlignment="1" applyBorder="1" applyFill="1" applyFont="1" applyNumberFormat="1">
      <alignment horizontal="center" vertical="bottom"/>
    </xf>
    <xf borderId="9" fillId="36" fontId="46" numFmtId="164" xfId="0" applyAlignment="1" applyBorder="1" applyFill="1" applyFont="1" applyNumberFormat="1">
      <alignment horizontal="center" vertical="bottom"/>
    </xf>
    <xf borderId="47" fillId="36" fontId="8" numFmtId="1" xfId="0" applyAlignment="1" applyBorder="1" applyFill="1" applyFont="1" applyNumberFormat="1">
      <alignment horizontal="center" readingOrder="0" vertical="center"/>
    </xf>
    <xf borderId="0" fillId="5" fontId="68" numFmtId="0" xfId="0" applyAlignment="1" applyFill="1" applyFont="1">
      <alignment horizontal="center" readingOrder="0" shrinkToFit="0" vertical="center" wrapText="0"/>
    </xf>
    <xf borderId="0" fillId="47" fontId="34" numFmtId="0" xfId="0" applyAlignment="1" applyFill="1" applyFont="1">
      <alignment horizontal="center" vertical="bottom"/>
    </xf>
    <xf borderId="10" fillId="14" fontId="15" numFmtId="0" xfId="0" applyAlignment="1" applyBorder="1" applyFill="1" applyFont="1">
      <alignment horizontal="center" readingOrder="0" shrinkToFit="0" vertical="bottom" wrapText="1"/>
    </xf>
    <xf borderId="15" fillId="14" fontId="18" numFmtId="0" xfId="0" applyAlignment="1" applyBorder="1" applyFill="1" applyFont="1">
      <alignment horizontal="center" vertical="bottom"/>
    </xf>
    <xf borderId="45" fillId="34" fontId="63" numFmtId="0" xfId="0" applyAlignment="1" applyBorder="1" applyFill="1" applyFont="1">
      <alignment readingOrder="0" vertical="bottom"/>
    </xf>
    <xf borderId="8" fillId="14" fontId="15" numFmtId="0" xfId="0" applyAlignment="1" applyBorder="1" applyFill="1" applyFont="1">
      <alignment horizontal="center" readingOrder="0" shrinkToFit="0" vertical="center" wrapText="1"/>
    </xf>
    <xf borderId="45" fillId="34" fontId="4" numFmtId="0" xfId="0" applyBorder="1" applyFill="1" applyFont="1"/>
    <xf borderId="0" fillId="46" fontId="59" numFmtId="0" xfId="0" applyAlignment="1" applyFill="1" applyFont="1">
      <alignment horizontal="center" vertical="bottom"/>
    </xf>
    <xf borderId="45" fillId="34" fontId="34" numFmtId="0" xfId="0" applyAlignment="1" applyBorder="1" applyFill="1" applyFont="1">
      <alignment horizontal="center" vertical="bottom"/>
    </xf>
    <xf borderId="45" fillId="34" fontId="34" numFmtId="2" xfId="0" applyAlignment="1" applyBorder="1" applyFill="1" applyFont="1" applyNumberFormat="1">
      <alignment horizontal="center" vertical="bottom"/>
    </xf>
    <xf borderId="10" fillId="28" fontId="15" numFmtId="0" xfId="0" applyAlignment="1" applyBorder="1" applyFill="1" applyFont="1">
      <alignment horizontal="center" readingOrder="0" shrinkToFit="0" vertical="bottom" wrapText="1"/>
    </xf>
    <xf borderId="31" fillId="47" fontId="63" numFmtId="0" xfId="0" applyAlignment="1" applyBorder="1" applyFill="1" applyFont="1">
      <alignment readingOrder="0" vertical="bottom"/>
    </xf>
    <xf borderId="15" fillId="28" fontId="18" numFmtId="0" xfId="0" applyAlignment="1" applyBorder="1" applyFill="1" applyFont="1">
      <alignment horizontal="center" readingOrder="0" shrinkToFit="0" wrapText="1"/>
    </xf>
    <xf borderId="45" fillId="34" fontId="63" numFmtId="2" xfId="0" applyAlignment="1" applyBorder="1" applyFill="1" applyFont="1" applyNumberFormat="1">
      <alignment horizontal="right" vertical="bottom"/>
    </xf>
    <xf borderId="15" fillId="14" fontId="18" numFmtId="0" xfId="0" applyAlignment="1" applyBorder="1" applyFill="1" applyFont="1">
      <alignment horizontal="center" readingOrder="0" shrinkToFit="0" wrapText="1"/>
    </xf>
    <xf borderId="45" fillId="46" fontId="63" numFmtId="0" xfId="0" applyAlignment="1" applyBorder="1" applyFill="1" applyFont="1">
      <alignment readingOrder="0" vertical="bottom"/>
    </xf>
    <xf borderId="45" fillId="46" fontId="4" numFmtId="0" xfId="0" applyBorder="1" applyFill="1" applyFont="1"/>
    <xf borderId="0" fillId="48" fontId="69" numFmtId="11" xfId="0" applyAlignment="1" applyFill="1" applyFont="1" applyNumberFormat="1">
      <alignment readingOrder="0" vertical="bottom"/>
    </xf>
    <xf borderId="11" fillId="28" fontId="15" numFmtId="0" xfId="0" applyAlignment="1" applyBorder="1" applyFill="1" applyFont="1">
      <alignment horizontal="center" readingOrder="0" shrinkToFit="0" vertical="bottom" wrapText="1"/>
    </xf>
    <xf borderId="10" fillId="28" fontId="18" numFmtId="0" xfId="0" applyAlignment="1" applyBorder="1" applyFill="1" applyFont="1">
      <alignment horizontal="center" readingOrder="0" shrinkToFit="0" wrapText="1"/>
    </xf>
    <xf borderId="45" fillId="46" fontId="34" numFmtId="0" xfId="0" applyAlignment="1" applyBorder="1" applyFill="1" applyFont="1">
      <alignment horizontal="right" vertical="bottom"/>
    </xf>
    <xf borderId="45" fillId="46" fontId="61" numFmtId="2" xfId="0" applyAlignment="1" applyBorder="1" applyFill="1" applyFont="1" applyNumberFormat="1">
      <alignment vertical="bottom"/>
    </xf>
    <xf borderId="45" fillId="46" fontId="55" numFmtId="2" xfId="0" applyAlignment="1" applyBorder="1" applyFill="1" applyFont="1" applyNumberFormat="1">
      <alignment horizontal="right" vertical="bottom"/>
    </xf>
    <xf borderId="10" fillId="14" fontId="18" numFmtId="0" xfId="0" applyAlignment="1" applyBorder="1" applyFill="1" applyFont="1">
      <alignment horizontal="center" readingOrder="0" shrinkToFit="0" vertical="bottom" wrapText="1"/>
    </xf>
    <xf borderId="45" fillId="47" fontId="63" numFmtId="0" xfId="0" applyAlignment="1" applyBorder="1" applyFill="1" applyFont="1">
      <alignment readingOrder="0" vertical="bottom"/>
    </xf>
    <xf borderId="45" fillId="47" fontId="4" numFmtId="0" xfId="0" applyBorder="1" applyFill="1" applyFont="1"/>
    <xf borderId="0" fillId="48" fontId="34" numFmtId="0" xfId="0" applyAlignment="1" applyFill="1" applyFont="1">
      <alignment horizontal="right" vertical="bottom"/>
    </xf>
    <xf borderId="10" fillId="6" fontId="18" numFmtId="0" xfId="0" applyAlignment="1" applyBorder="1" applyFill="1" applyFont="1">
      <alignment horizontal="center" readingOrder="0" shrinkToFit="0" vertical="bottom" wrapText="1"/>
    </xf>
    <xf borderId="10" fillId="6" fontId="18" numFmtId="0" xfId="0" applyAlignment="1" applyBorder="1" applyFill="1" applyFont="1">
      <alignment horizontal="center" readingOrder="0" shrinkToFit="0" vertical="center" wrapText="1"/>
    </xf>
    <xf borderId="8" fillId="6" fontId="15" numFmtId="0" xfId="0" applyAlignment="1" applyBorder="1" applyFill="1" applyFont="1">
      <alignment horizontal="center" readingOrder="0" shrinkToFit="0" vertical="center" wrapText="1"/>
    </xf>
    <xf borderId="45" fillId="47" fontId="34" numFmtId="0" xfId="0" applyAlignment="1" applyBorder="1" applyFill="1" applyFont="1">
      <alignment horizontal="center" vertical="bottom"/>
    </xf>
    <xf borderId="45" fillId="47" fontId="34" numFmtId="2" xfId="0" applyAlignment="1" applyBorder="1" applyFill="1" applyFont="1" applyNumberFormat="1">
      <alignment horizontal="center" vertical="bottom"/>
    </xf>
    <xf borderId="15" fillId="20" fontId="15" numFmtId="1" xfId="0" applyAlignment="1" applyBorder="1" applyFill="1" applyFont="1" applyNumberFormat="1">
      <alignment horizontal="center" shrinkToFit="0" vertical="bottom" wrapText="1"/>
    </xf>
    <xf borderId="45" fillId="47" fontId="63" numFmtId="2" xfId="0" applyAlignment="1" applyBorder="1" applyFill="1" applyFont="1" applyNumberFormat="1">
      <alignment horizontal="right" vertical="bottom"/>
    </xf>
    <xf borderId="10" fillId="21" fontId="18" numFmtId="0" xfId="0" applyAlignment="1" applyBorder="1" applyFill="1" applyFont="1">
      <alignment horizontal="center" readingOrder="0" shrinkToFit="0" vertical="bottom" wrapText="1"/>
    </xf>
    <xf borderId="10" fillId="21" fontId="70" numFmtId="0" xfId="0" applyAlignment="1" applyBorder="1" applyFill="1" applyFont="1">
      <alignment horizontal="center" readingOrder="0" shrinkToFit="0" vertical="center" wrapText="1"/>
    </xf>
    <xf borderId="45" fillId="48" fontId="63" numFmtId="0" xfId="0" applyAlignment="1" applyBorder="1" applyFill="1" applyFont="1">
      <alignment readingOrder="0" vertical="bottom"/>
    </xf>
    <xf borderId="45" fillId="48" fontId="4" numFmtId="0" xfId="0" applyBorder="1" applyFill="1" applyFont="1"/>
    <xf borderId="31" fillId="48" fontId="63" numFmtId="0" xfId="0" applyAlignment="1" applyBorder="1" applyFill="1" applyFont="1">
      <alignment readingOrder="0" vertical="bottom"/>
    </xf>
    <xf borderId="15" fillId="20" fontId="15" numFmtId="1" xfId="0" applyAlignment="1" applyBorder="1" applyFill="1" applyFont="1" applyNumberFormat="1">
      <alignment horizontal="center" readingOrder="0" shrinkToFit="0" vertical="bottom" wrapText="1"/>
    </xf>
    <xf borderId="10" fillId="6" fontId="15" numFmtId="0" xfId="0" applyAlignment="1" applyBorder="1" applyFill="1" applyFont="1">
      <alignment horizontal="center" readingOrder="0" shrinkToFit="0" vertical="center" wrapText="1"/>
    </xf>
    <xf borderId="0" fillId="47" fontId="59" numFmtId="0" xfId="0" applyAlignment="1" applyFill="1" applyFont="1">
      <alignment horizontal="center" vertical="bottom"/>
    </xf>
    <xf borderId="45" fillId="48" fontId="34" numFmtId="0" xfId="0" applyAlignment="1" applyBorder="1" applyFill="1" applyFont="1">
      <alignment horizontal="right" vertical="bottom"/>
    </xf>
    <xf borderId="45" fillId="48" fontId="61" numFmtId="2" xfId="0" applyAlignment="1" applyBorder="1" applyFill="1" applyFont="1" applyNumberFormat="1">
      <alignment vertical="bottom"/>
    </xf>
    <xf borderId="10" fillId="21" fontId="15" numFmtId="0" xfId="0" applyAlignment="1" applyBorder="1" applyFill="1" applyFont="1">
      <alignment horizontal="center" readingOrder="0" shrinkToFit="0" vertical="center" wrapText="1"/>
    </xf>
    <xf borderId="45" fillId="48" fontId="55" numFmtId="2" xfId="0" applyAlignment="1" applyBorder="1" applyFill="1" applyFont="1" applyNumberFormat="1">
      <alignment horizontal="right" vertical="bottom"/>
    </xf>
    <xf borderId="45" fillId="49" fontId="34" numFmtId="0" xfId="0" applyAlignment="1" applyBorder="1" applyFill="1" applyFont="1">
      <alignment horizontal="left" readingOrder="0" vertical="bottom"/>
    </xf>
    <xf borderId="45" fillId="49" fontId="34" numFmtId="2" xfId="0" applyAlignment="1" applyBorder="1" applyFill="1" applyFont="1" applyNumberFormat="1">
      <alignment horizontal="center" vertical="bottom"/>
    </xf>
    <xf borderId="0" fillId="5" fontId="9" numFmtId="0" xfId="0" applyAlignment="1" applyFill="1" applyFont="1">
      <alignment horizontal="left" readingOrder="0" shrinkToFit="0" vertical="center" wrapText="0"/>
    </xf>
    <xf borderId="45" fillId="49" fontId="34" numFmtId="0" xfId="0" applyAlignment="1" applyBorder="1" applyFill="1" applyFont="1">
      <alignment horizontal="right" vertical="bottom"/>
    </xf>
    <xf borderId="0" fillId="5" fontId="42" numFmtId="0" xfId="0" applyAlignment="1" applyFill="1" applyFont="1">
      <alignment vertical="bottom"/>
    </xf>
    <xf borderId="31" fillId="49" fontId="34" numFmtId="0" xfId="0" applyAlignment="1" applyBorder="1" applyFill="1" applyFont="1">
      <alignment horizontal="left" readingOrder="0" vertical="bottom"/>
    </xf>
    <xf borderId="0" fillId="5" fontId="53" numFmtId="0" xfId="0" applyAlignment="1" applyFill="1" applyFont="1">
      <alignment horizontal="center" readingOrder="0" vertical="center"/>
    </xf>
    <xf borderId="0" fillId="5" fontId="4" numFmtId="164" xfId="0" applyAlignment="1" applyFill="1" applyFont="1" applyNumberFormat="1">
      <alignment horizontal="center" readingOrder="0"/>
    </xf>
    <xf borderId="0" fillId="5" fontId="4" numFmtId="164" xfId="0" applyAlignment="1" applyFill="1" applyFont="1" applyNumberFormat="1">
      <alignment horizontal="center"/>
    </xf>
    <xf borderId="36" fillId="5" fontId="57" numFmtId="0" xfId="0" applyAlignment="1" applyBorder="1" applyFill="1" applyFont="1">
      <alignment horizontal="center" vertical="bottom"/>
    </xf>
    <xf borderId="10" fillId="8" fontId="18" numFmtId="0" xfId="0" applyAlignment="1" applyBorder="1" applyFill="1" applyFont="1">
      <alignment horizontal="center" readingOrder="0" shrinkToFit="0" vertical="bottom" wrapText="1"/>
    </xf>
    <xf borderId="24" fillId="5" fontId="34" numFmtId="0" xfId="0" applyAlignment="1" applyBorder="1" applyFill="1" applyFont="1">
      <alignment horizontal="center" vertical="bottom"/>
    </xf>
    <xf borderId="15" fillId="8" fontId="18" numFmtId="0" xfId="0" applyAlignment="1" applyBorder="1" applyFill="1" applyFont="1">
      <alignment horizontal="center" vertical="bottom"/>
    </xf>
    <xf borderId="48" fillId="49" fontId="34" numFmtId="2" xfId="0" applyAlignment="1" applyBorder="1" applyFill="1" applyFont="1" applyNumberFormat="1">
      <alignment horizontal="center" vertical="bottom"/>
    </xf>
    <xf borderId="8" fillId="8" fontId="15" numFmtId="0" xfId="0" applyAlignment="1" applyBorder="1" applyFill="1" applyFont="1">
      <alignment horizontal="center" readingOrder="0" shrinkToFit="0" vertical="center" wrapText="1"/>
    </xf>
    <xf borderId="41" fillId="5" fontId="57" numFmtId="0" xfId="0" applyAlignment="1" applyBorder="1" applyFill="1" applyFont="1">
      <alignment horizontal="center" vertical="bottom"/>
    </xf>
    <xf borderId="0" fillId="29" fontId="34" numFmtId="0" xfId="0" applyAlignment="1" applyFill="1" applyFont="1">
      <alignment horizontal="center" vertical="bottom"/>
    </xf>
    <xf borderId="0" fillId="29" fontId="4" numFmtId="0" xfId="0" applyFill="1" applyFont="1"/>
    <xf borderId="0" fillId="29" fontId="9" numFmtId="0" xfId="0" applyAlignment="1" applyFill="1" applyFont="1">
      <alignment horizontal="left" readingOrder="0" shrinkToFit="0" vertical="center" wrapText="0"/>
    </xf>
    <xf borderId="23" fillId="40" fontId="45" numFmtId="164" xfId="0" applyAlignment="1" applyBorder="1" applyFill="1" applyFont="1" applyNumberFormat="1">
      <alignment horizontal="center" readingOrder="0"/>
    </xf>
    <xf borderId="24" fillId="43" fontId="45" numFmtId="0" xfId="0" applyAlignment="1" applyBorder="1" applyFill="1" applyFont="1">
      <alignment readingOrder="0"/>
    </xf>
    <xf borderId="24" fillId="29" fontId="9" numFmtId="0" xfId="0" applyAlignment="1" applyBorder="1" applyFill="1" applyFont="1">
      <alignment horizontal="center" readingOrder="0" shrinkToFit="0" vertical="center" wrapText="0"/>
    </xf>
    <xf borderId="44" fillId="0" fontId="3" numFmtId="0" xfId="0" applyBorder="1" applyFont="1"/>
    <xf borderId="49" fillId="40" fontId="45" numFmtId="164" xfId="0" applyAlignment="1" applyBorder="1" applyFill="1" applyFont="1" applyNumberFormat="1">
      <alignment horizontal="center" readingOrder="0"/>
    </xf>
    <xf borderId="28" fillId="43" fontId="45" numFmtId="0" xfId="0" applyAlignment="1" applyBorder="1" applyFill="1" applyFont="1">
      <alignment readingOrder="0"/>
    </xf>
    <xf borderId="28" fillId="29" fontId="9" numFmtId="0" xfId="0" applyAlignment="1" applyBorder="1" applyFill="1" applyFont="1">
      <alignment horizontal="center" readingOrder="0" vertical="bottom"/>
    </xf>
    <xf borderId="28" fillId="0" fontId="3" numFmtId="0" xfId="0" applyBorder="1" applyFont="1"/>
    <xf borderId="50" fillId="0" fontId="3" numFmtId="0" xfId="0" applyBorder="1" applyFont="1"/>
    <xf borderId="23" fillId="40" fontId="4" numFmtId="164" xfId="0" applyAlignment="1" applyBorder="1" applyFill="1" applyFont="1" applyNumberFormat="1">
      <alignment horizontal="center" readingOrder="0"/>
    </xf>
    <xf borderId="24" fillId="29" fontId="9" numFmtId="0" xfId="0" applyAlignment="1" applyBorder="1" applyFill="1" applyFont="1">
      <alignment horizontal="center" readingOrder="0" shrinkToFit="0" vertical="center" wrapText="1"/>
    </xf>
    <xf borderId="15" fillId="20" fontId="15" numFmtId="164" xfId="0" applyAlignment="1" applyBorder="1" applyFill="1" applyFont="1" applyNumberFormat="1">
      <alignment horizontal="center" shrinkToFit="0" vertical="bottom" wrapText="1"/>
    </xf>
    <xf borderId="49" fillId="40" fontId="4" numFmtId="164" xfId="0" applyAlignment="1" applyBorder="1" applyFill="1" applyFont="1" applyNumberFormat="1">
      <alignment horizontal="center" readingOrder="0"/>
    </xf>
    <xf borderId="28" fillId="43" fontId="45" numFmtId="0" xfId="0" applyAlignment="1" applyBorder="1" applyFill="1" applyFont="1">
      <alignment horizontal="center" readingOrder="0"/>
    </xf>
    <xf borderId="10" fillId="23" fontId="18" numFmtId="0" xfId="0" applyAlignment="1" applyBorder="1" applyFill="1" applyFont="1">
      <alignment horizontal="center" readingOrder="0" shrinkToFit="0" vertical="bottom" wrapText="1"/>
    </xf>
    <xf borderId="28" fillId="29" fontId="9" numFmtId="0" xfId="0" applyAlignment="1" applyBorder="1" applyFill="1" applyFont="1">
      <alignment horizontal="center" readingOrder="0" shrinkToFit="0" vertical="center" wrapText="1"/>
    </xf>
    <xf borderId="15" fillId="23" fontId="18" numFmtId="0" xfId="0" applyAlignment="1" applyBorder="1" applyFill="1" applyFont="1">
      <alignment horizontal="center" readingOrder="0" shrinkToFit="0" wrapText="1"/>
    </xf>
    <xf borderId="0" fillId="50" fontId="34" numFmtId="0" xfId="0" applyAlignment="1" applyFill="1" applyFont="1">
      <alignment horizontal="center"/>
    </xf>
    <xf borderId="0" fillId="29" fontId="9" numFmtId="0" xfId="0" applyAlignment="1" applyFill="1" applyFont="1">
      <alignment horizontal="center" readingOrder="0" vertical="bottom"/>
    </xf>
    <xf borderId="0" fillId="29" fontId="34" numFmtId="167" xfId="0" applyAlignment="1" applyFill="1" applyFont="1" applyNumberFormat="1">
      <alignment vertical="bottom"/>
    </xf>
    <xf borderId="0" fillId="29" fontId="45" numFmtId="0" xfId="0" applyAlignment="1" applyFill="1" applyFont="1">
      <alignment readingOrder="0"/>
    </xf>
    <xf borderId="0" fillId="29" fontId="9" numFmtId="0" xfId="0" applyAlignment="1" applyFill="1" applyFont="1">
      <alignment vertical="bottom"/>
    </xf>
    <xf borderId="51" fillId="5" fontId="34" numFmtId="0" xfId="0" applyAlignment="1" applyBorder="1" applyFill="1" applyFont="1">
      <alignment horizontal="center" vertical="bottom"/>
    </xf>
    <xf borderId="52" fillId="5" fontId="34" numFmtId="167" xfId="0" applyAlignment="1" applyBorder="1" applyFill="1" applyFont="1" applyNumberFormat="1">
      <alignment readingOrder="0" vertical="bottom"/>
    </xf>
    <xf borderId="53" fillId="5" fontId="45" numFmtId="0" xfId="0" applyAlignment="1" applyBorder="1" applyFill="1" applyFont="1">
      <alignment readingOrder="0"/>
    </xf>
    <xf borderId="31" fillId="49" fontId="34" numFmtId="0" xfId="0" applyAlignment="1" applyBorder="1" applyFill="1" applyFont="1">
      <alignment horizontal="right" vertical="bottom"/>
    </xf>
    <xf borderId="0" fillId="5" fontId="71" numFmtId="0" xfId="0" applyAlignment="1" applyFill="1" applyFont="1">
      <alignment horizontal="left" readingOrder="0" shrinkToFit="0" vertical="center" wrapText="0"/>
    </xf>
    <xf borderId="15" fillId="20" fontId="15" numFmtId="164" xfId="0" applyAlignment="1" applyBorder="1" applyFill="1" applyFont="1" applyNumberFormat="1">
      <alignment horizontal="center" readingOrder="0" shrinkToFit="0" vertical="bottom" wrapText="1"/>
    </xf>
    <xf borderId="15" fillId="8" fontId="18" numFmtId="0" xfId="0" applyAlignment="1" applyBorder="1" applyFill="1" applyFont="1">
      <alignment horizontal="center" shrinkToFit="0" wrapText="1"/>
    </xf>
    <xf borderId="11" fillId="23" fontId="18" numFmtId="0" xfId="0" applyAlignment="1" applyBorder="1" applyFill="1" applyFont="1">
      <alignment horizontal="center" readingOrder="0" shrinkToFit="0" vertical="bottom" wrapText="1"/>
    </xf>
    <xf borderId="10" fillId="23" fontId="70" numFmtId="0" xfId="0" applyAlignment="1" applyBorder="1" applyFill="1" applyFont="1">
      <alignment horizontal="center" readingOrder="0" shrinkToFit="0" wrapText="1"/>
    </xf>
    <xf borderId="0" fillId="48" fontId="59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37" fontId="27" numFmtId="0" xfId="0" applyAlignment="1" applyFill="1" applyFont="1">
      <alignment readingOrder="0"/>
    </xf>
    <xf borderId="0" fillId="0" fontId="4" numFmtId="0" xfId="0" applyFont="1"/>
    <xf borderId="0" fillId="37" fontId="72" numFmtId="0" xfId="0" applyAlignment="1" applyFill="1" applyFont="1">
      <alignment horizontal="center"/>
    </xf>
    <xf borderId="15" fillId="8" fontId="18" numFmtId="0" xfId="0" applyAlignment="1" applyBorder="1" applyFill="1" applyFont="1">
      <alignment horizontal="center" readingOrder="0" shrinkToFit="0" wrapText="1"/>
    </xf>
    <xf borderId="0" fillId="0" fontId="73" numFmtId="0" xfId="0" applyAlignment="1" applyFont="1">
      <alignment readingOrder="0"/>
    </xf>
    <xf borderId="0" fillId="0" fontId="45" numFmtId="0" xfId="0" applyAlignment="1" applyFont="1">
      <alignment readingOrder="0"/>
    </xf>
    <xf borderId="0" fillId="37" fontId="27" numFmtId="0" xfId="0" applyFill="1" applyFont="1"/>
    <xf borderId="10" fillId="18" fontId="18" numFmtId="0" xfId="0" applyAlignment="1" applyBorder="1" applyFill="1" applyFont="1">
      <alignment horizontal="center" readingOrder="0" shrinkToFit="0" vertical="bottom" wrapText="1"/>
    </xf>
    <xf borderId="10" fillId="18" fontId="18" numFmtId="0" xfId="0" applyAlignment="1" applyBorder="1" applyFill="1" applyFont="1">
      <alignment horizontal="center" readingOrder="0" shrinkToFit="0" vertical="center" wrapText="1"/>
    </xf>
    <xf borderId="8" fillId="18" fontId="18" numFmtId="0" xfId="0" applyAlignment="1" applyBorder="1" applyFill="1" applyFont="1">
      <alignment horizontal="center" readingOrder="0" shrinkToFit="0" vertical="center" wrapText="1"/>
    </xf>
    <xf borderId="0" fillId="5" fontId="9" numFmtId="167" xfId="0" applyAlignment="1" applyFill="1" applyFont="1" applyNumberFormat="1">
      <alignment vertical="bottom"/>
    </xf>
    <xf borderId="15" fillId="20" fontId="74" numFmtId="164" xfId="0" applyAlignment="1" applyBorder="1" applyFill="1" applyFont="1" applyNumberFormat="1">
      <alignment horizontal="center" shrinkToFit="0" vertical="bottom" wrapText="1"/>
    </xf>
    <xf borderId="10" fillId="32" fontId="18" numFmtId="0" xfId="0" applyAlignment="1" applyBorder="1" applyFill="1" applyFont="1">
      <alignment horizontal="center" readingOrder="0" shrinkToFit="0" vertical="bottom" wrapText="1"/>
    </xf>
    <xf borderId="10" fillId="32" fontId="18" numFmtId="0" xfId="0" applyAlignment="1" applyBorder="1" applyFill="1" applyFont="1">
      <alignment horizontal="center" readingOrder="0" shrinkToFit="0" vertical="center" wrapText="1"/>
    </xf>
    <xf borderId="54" fillId="44" fontId="75" numFmtId="0" xfId="0" applyAlignment="1" applyBorder="1" applyFill="1" applyFont="1">
      <alignment horizontal="center" vertical="bottom"/>
    </xf>
    <xf borderId="30" fillId="0" fontId="3" numFmtId="0" xfId="0" applyBorder="1" applyFont="1"/>
    <xf borderId="55" fillId="40" fontId="75" numFmtId="0" xfId="0" applyAlignment="1" applyBorder="1" applyFill="1" applyFont="1">
      <alignment horizontal="center" vertical="bottom"/>
    </xf>
    <xf borderId="55" fillId="34" fontId="75" numFmtId="0" xfId="0" applyAlignment="1" applyBorder="1" applyFill="1" applyFont="1">
      <alignment horizontal="center" vertical="bottom"/>
    </xf>
    <xf borderId="55" fillId="0" fontId="3" numFmtId="0" xfId="0" applyBorder="1" applyFont="1"/>
    <xf borderId="55" fillId="46" fontId="75" numFmtId="0" xfId="0" applyAlignment="1" applyBorder="1" applyFill="1" applyFont="1">
      <alignment horizontal="center" vertical="bottom"/>
    </xf>
    <xf borderId="55" fillId="47" fontId="75" numFmtId="0" xfId="0" applyAlignment="1" applyBorder="1" applyFill="1" applyFont="1">
      <alignment horizontal="center" vertical="bottom"/>
    </xf>
    <xf borderId="55" fillId="48" fontId="75" numFmtId="0" xfId="0" applyAlignment="1" applyBorder="1" applyFill="1" applyFont="1">
      <alignment horizontal="center" vertical="bottom"/>
    </xf>
    <xf borderId="55" fillId="49" fontId="75" numFmtId="0" xfId="0" applyAlignment="1" applyBorder="1" applyFill="1" applyFont="1">
      <alignment horizontal="center" vertical="bottom"/>
    </xf>
    <xf borderId="56" fillId="44" fontId="8" numFmtId="0" xfId="0" applyAlignment="1" applyBorder="1" applyFill="1" applyFont="1">
      <alignment horizontal="center" vertical="bottom"/>
    </xf>
    <xf borderId="24" fillId="44" fontId="8" numFmtId="0" xfId="0" applyAlignment="1" applyBorder="1" applyFill="1" applyFont="1">
      <alignment horizontal="center" vertical="bottom"/>
    </xf>
    <xf borderId="24" fillId="40" fontId="8" numFmtId="0" xfId="0" applyAlignment="1" applyBorder="1" applyFill="1" applyFont="1">
      <alignment horizontal="center" vertical="bottom"/>
    </xf>
    <xf borderId="24" fillId="34" fontId="8" numFmtId="0" xfId="0" applyAlignment="1" applyBorder="1" applyFill="1" applyFont="1">
      <alignment horizontal="center" vertical="bottom"/>
    </xf>
    <xf borderId="24" fillId="46" fontId="8" numFmtId="0" xfId="0" applyAlignment="1" applyBorder="1" applyFill="1" applyFont="1">
      <alignment horizontal="center" vertical="bottom"/>
    </xf>
    <xf borderId="24" fillId="46" fontId="8" numFmtId="0" xfId="0" applyAlignment="1" applyBorder="1" applyFill="1" applyFont="1">
      <alignment horizontal="center" shrinkToFit="0" vertical="bottom" wrapText="1"/>
    </xf>
    <xf borderId="24" fillId="47" fontId="8" numFmtId="0" xfId="0" applyAlignment="1" applyBorder="1" applyFill="1" applyFont="1">
      <alignment horizontal="center" vertical="bottom"/>
    </xf>
    <xf borderId="24" fillId="48" fontId="8" numFmtId="0" xfId="0" applyAlignment="1" applyBorder="1" applyFill="1" applyFont="1">
      <alignment horizontal="center" vertical="bottom"/>
    </xf>
    <xf borderId="24" fillId="49" fontId="8" numFmtId="0" xfId="0" applyAlignment="1" applyBorder="1" applyFill="1" applyFont="1">
      <alignment horizontal="center" vertical="bottom"/>
    </xf>
    <xf borderId="0" fillId="5" fontId="66" numFmtId="0" xfId="0" applyAlignment="1" applyFill="1" applyFont="1">
      <alignment vertical="bottom"/>
    </xf>
    <xf borderId="57" fillId="49" fontId="8" numFmtId="0" xfId="0" applyAlignment="1" applyBorder="1" applyFill="1" applyFont="1">
      <alignment horizontal="center" vertical="bottom"/>
    </xf>
    <xf borderId="24" fillId="0" fontId="8" numFmtId="0" xfId="0" applyAlignment="1" applyBorder="1" applyFont="1">
      <alignment horizontal="center" vertical="bottom"/>
    </xf>
    <xf borderId="0" fillId="5" fontId="66" numFmtId="164" xfId="0" applyAlignment="1" applyFill="1" applyFont="1" applyNumberFormat="1">
      <alignment horizontal="center" vertical="bottom"/>
    </xf>
    <xf borderId="0" fillId="37" fontId="27" numFmtId="0" xfId="0" applyAlignment="1" applyFill="1" applyFont="1">
      <alignment horizontal="center" readingOrder="0"/>
    </xf>
    <xf borderId="41" fillId="44" fontId="9" numFmtId="0" xfId="0" applyAlignment="1" applyBorder="1" applyFill="1" applyFont="1">
      <alignment horizontal="center" vertical="bottom"/>
    </xf>
    <xf borderId="0" fillId="44" fontId="9" numFmtId="0" xfId="0" applyAlignment="1" applyFill="1" applyFont="1">
      <alignment horizontal="center" vertical="bottom"/>
    </xf>
    <xf borderId="0" fillId="40" fontId="9" numFmtId="0" xfId="0" applyAlignment="1" applyFill="1" applyFont="1">
      <alignment horizontal="center" vertical="bottom"/>
    </xf>
    <xf borderId="0" fillId="34" fontId="9" numFmtId="0" xfId="0" applyAlignment="1" applyFill="1" applyFont="1">
      <alignment horizontal="center" vertical="bottom"/>
    </xf>
    <xf borderId="0" fillId="36" fontId="59" numFmtId="0" xfId="0" applyAlignment="1" applyFill="1" applyFont="1">
      <alignment horizontal="left" vertical="bottom"/>
    </xf>
    <xf borderId="0" fillId="46" fontId="9" numFmtId="0" xfId="0" applyAlignment="1" applyFill="1" applyFont="1">
      <alignment horizontal="center" vertical="bottom"/>
    </xf>
    <xf borderId="0" fillId="0" fontId="59" numFmtId="164" xfId="0" applyAlignment="1" applyFont="1" applyNumberFormat="1">
      <alignment horizontal="center" vertical="bottom"/>
    </xf>
    <xf borderId="0" fillId="46" fontId="9" numFmtId="0" xfId="0" applyAlignment="1" applyFill="1" applyFont="1">
      <alignment horizontal="center" shrinkToFit="0" vertical="bottom" wrapText="1"/>
    </xf>
    <xf borderId="0" fillId="47" fontId="9" numFmtId="0" xfId="0" applyAlignment="1" applyFill="1" applyFont="1">
      <alignment horizontal="center" vertical="bottom"/>
    </xf>
    <xf borderId="0" fillId="48" fontId="9" numFmtId="0" xfId="0" applyAlignment="1" applyFill="1" applyFont="1">
      <alignment horizontal="center" vertical="bottom"/>
    </xf>
    <xf borderId="0" fillId="49" fontId="9" numFmtId="0" xfId="0" applyAlignment="1" applyFill="1" applyFont="1">
      <alignment horizontal="center" vertical="bottom"/>
    </xf>
    <xf borderId="16" fillId="49" fontId="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5" fontId="71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vertical="bottom"/>
    </xf>
    <xf borderId="10" fillId="41" fontId="47" numFmtId="4" xfId="0" applyAlignment="1" applyBorder="1" applyFill="1" applyFont="1" applyNumberFormat="1">
      <alignment horizontal="center" shrinkToFit="0" vertical="bottom" wrapText="1"/>
    </xf>
    <xf borderId="15" fillId="13" fontId="18" numFmtId="164" xfId="0" applyAlignment="1" applyBorder="1" applyFill="1" applyFont="1" applyNumberFormat="1">
      <alignment horizontal="center" readingOrder="0"/>
    </xf>
    <xf borderId="15" fillId="13" fontId="18" numFmtId="0" xfId="0" applyAlignment="1" applyBorder="1" applyFill="1" applyFont="1">
      <alignment horizontal="center" vertical="bottom"/>
    </xf>
    <xf borderId="41" fillId="44" fontId="9" numFmtId="0" xfId="0" applyAlignment="1" applyBorder="1" applyFill="1" applyFont="1">
      <alignment vertical="bottom"/>
    </xf>
    <xf borderId="8" fillId="13" fontId="15" numFmtId="0" xfId="0" applyAlignment="1" applyBorder="1" applyFill="1" applyFont="1">
      <alignment horizontal="center" readingOrder="0" shrinkToFit="0" vertical="center" wrapText="1"/>
    </xf>
    <xf borderId="0" fillId="44" fontId="9" numFmtId="0" xfId="0" applyAlignment="1" applyFill="1" applyFont="1">
      <alignment vertical="bottom"/>
    </xf>
    <xf borderId="0" fillId="49" fontId="9" numFmtId="0" xfId="0" applyAlignment="1" applyFill="1" applyFont="1">
      <alignment vertical="bottom"/>
    </xf>
    <xf borderId="16" fillId="49" fontId="9" numFmtId="0" xfId="0" applyAlignment="1" applyBorder="1" applyFill="1" applyFont="1">
      <alignment vertical="bottom"/>
    </xf>
    <xf borderId="0" fillId="40" fontId="9" numFmtId="0" xfId="0" applyAlignment="1" applyFill="1" applyFont="1">
      <alignment vertical="bottom"/>
    </xf>
    <xf borderId="0" fillId="34" fontId="9" numFmtId="0" xfId="0" applyAlignment="1" applyFill="1" applyFont="1">
      <alignment vertical="bottom"/>
    </xf>
    <xf borderId="0" fillId="48" fontId="9" numFmtId="0" xfId="0" applyAlignment="1" applyFill="1" applyFont="1">
      <alignment vertical="bottom"/>
    </xf>
    <xf borderId="0" fillId="46" fontId="9" numFmtId="0" xfId="0" applyAlignment="1" applyFill="1" applyFont="1">
      <alignment vertical="bottom"/>
    </xf>
    <xf borderId="0" fillId="47" fontId="9" numFmtId="0" xfId="0" applyAlignment="1" applyFill="1" applyFont="1">
      <alignment vertical="bottom"/>
    </xf>
    <xf borderId="10" fillId="27" fontId="15" numFmtId="164" xfId="0" applyAlignment="1" applyBorder="1" applyFill="1" applyFont="1" applyNumberFormat="1">
      <alignment horizontal="center" readingOrder="0" shrinkToFit="0" vertical="bottom" wrapText="1"/>
    </xf>
    <xf borderId="46" fillId="44" fontId="9" numFmtId="0" xfId="0" applyAlignment="1" applyBorder="1" applyFill="1" applyFont="1">
      <alignment vertical="bottom"/>
    </xf>
    <xf borderId="9" fillId="44" fontId="9" numFmtId="0" xfId="0" applyAlignment="1" applyBorder="1" applyFill="1" applyFont="1">
      <alignment vertical="bottom"/>
    </xf>
    <xf borderId="9" fillId="40" fontId="9" numFmtId="0" xfId="0" applyAlignment="1" applyBorder="1" applyFill="1" applyFont="1">
      <alignment vertical="bottom"/>
    </xf>
    <xf borderId="9" fillId="34" fontId="9" numFmtId="0" xfId="0" applyAlignment="1" applyBorder="1" applyFill="1" applyFont="1">
      <alignment vertical="bottom"/>
    </xf>
    <xf borderId="9" fillId="46" fontId="9" numFmtId="0" xfId="0" applyAlignment="1" applyBorder="1" applyFill="1" applyFont="1">
      <alignment vertical="bottom"/>
    </xf>
    <xf borderId="9" fillId="47" fontId="9" numFmtId="0" xfId="0" applyAlignment="1" applyBorder="1" applyFill="1" applyFont="1">
      <alignment vertical="bottom"/>
    </xf>
    <xf borderId="9" fillId="48" fontId="9" numFmtId="0" xfId="0" applyAlignment="1" applyBorder="1" applyFill="1" applyFont="1">
      <alignment vertical="bottom"/>
    </xf>
    <xf borderId="10" fillId="13" fontId="15" numFmtId="164" xfId="0" applyAlignment="1" applyBorder="1" applyFill="1" applyFont="1" applyNumberFormat="1">
      <alignment horizontal="center" readingOrder="0" shrinkToFit="0" vertical="bottom" wrapText="1"/>
    </xf>
    <xf borderId="9" fillId="49" fontId="9" numFmtId="0" xfId="0" applyAlignment="1" applyBorder="1" applyFill="1" applyFont="1">
      <alignment vertical="bottom"/>
    </xf>
    <xf borderId="47" fillId="49" fontId="9" numFmtId="0" xfId="0" applyAlignment="1" applyBorder="1" applyFill="1" applyFont="1">
      <alignment vertical="bottom"/>
    </xf>
    <xf borderId="0" fillId="34" fontId="34" numFmtId="0" xfId="0" applyAlignment="1" applyFill="1" applyFont="1">
      <alignment horizontal="left" vertical="bottom"/>
    </xf>
    <xf borderId="0" fillId="36" fontId="59" numFmtId="0" xfId="0" applyAlignment="1" applyFill="1" applyFont="1">
      <alignment horizontal="center" vertical="bottom"/>
    </xf>
    <xf borderId="0" fillId="5" fontId="9" numFmtId="0" xfId="0" applyAlignment="1" applyFill="1" applyFont="1">
      <alignment horizontal="center" shrinkToFit="0" vertical="bottom" wrapText="1"/>
    </xf>
    <xf borderId="10" fillId="27" fontId="76" numFmtId="164" xfId="0" applyAlignment="1" applyBorder="1" applyFill="1" applyFont="1" applyNumberFormat="1">
      <alignment horizontal="center" readingOrder="0" shrinkToFit="0" vertical="bottom" wrapText="1"/>
    </xf>
    <xf borderId="0" fillId="18" fontId="36" numFmtId="164" xfId="0" applyAlignment="1" applyFill="1" applyFont="1" applyNumberFormat="1">
      <alignment horizontal="center" vertical="bottom"/>
    </xf>
    <xf borderId="0" fillId="5" fontId="9" numFmtId="164" xfId="0" applyAlignment="1" applyFill="1" applyFont="1" applyNumberFormat="1">
      <alignment horizontal="center" shrinkToFit="0" vertical="bottom" wrapText="1"/>
    </xf>
    <xf borderId="0" fillId="5" fontId="66" numFmtId="0" xfId="0" applyAlignment="1" applyFill="1" applyFont="1">
      <alignment horizontal="center" shrinkToFit="0" vertical="bottom" wrapText="1"/>
    </xf>
    <xf borderId="0" fillId="5" fontId="66" numFmtId="164" xfId="0" applyAlignment="1" applyFill="1" applyFont="1" applyNumberFormat="1">
      <alignment horizontal="center" shrinkToFit="0" vertical="bottom" wrapText="1"/>
    </xf>
    <xf borderId="0" fillId="5" fontId="9" numFmtId="0" xfId="0" applyAlignment="1" applyFill="1" applyFont="1">
      <alignment horizontal="center" shrinkToFit="0" vertical="center" wrapText="0"/>
    </xf>
    <xf borderId="10" fillId="13" fontId="15" numFmtId="0" xfId="0" applyAlignment="1" applyBorder="1" applyFill="1" applyFont="1">
      <alignment horizontal="center" readingOrder="0" shrinkToFit="0" vertical="bottom" wrapText="1"/>
    </xf>
    <xf borderId="0" fillId="5" fontId="9" numFmtId="0" xfId="0" applyAlignment="1" applyFill="1" applyFont="1">
      <alignment horizontal="center" vertical="center"/>
    </xf>
    <xf borderId="10" fillId="13" fontId="18" numFmtId="0" xfId="0" applyAlignment="1" applyBorder="1" applyFill="1" applyFont="1">
      <alignment horizontal="center" readingOrder="0" shrinkToFit="0" vertical="bottom" wrapText="1"/>
    </xf>
    <xf borderId="0" fillId="5" fontId="50" numFmtId="0" xfId="0" applyAlignment="1" applyFill="1" applyFont="1">
      <alignment horizontal="center" shrinkToFit="0" vertical="center" wrapText="0"/>
    </xf>
    <xf borderId="0" fillId="5" fontId="42" numFmtId="0" xfId="0" applyAlignment="1" applyFill="1" applyFont="1">
      <alignment horizontal="left" vertical="bottom"/>
    </xf>
    <xf borderId="0" fillId="5" fontId="42" numFmtId="164" xfId="0" applyAlignment="1" applyFill="1" applyFont="1" applyNumberFormat="1">
      <alignment horizontal="center" vertical="bottom"/>
    </xf>
    <xf borderId="0" fillId="5" fontId="36" numFmtId="164" xfId="0" applyAlignment="1" applyFill="1" applyFont="1" applyNumberFormat="1">
      <alignment horizontal="center" vertical="bottom"/>
    </xf>
    <xf borderId="0" fillId="0" fontId="77" numFmtId="0" xfId="0" applyAlignment="1" applyFont="1">
      <alignment horizontal="left" readingOrder="0"/>
    </xf>
    <xf borderId="0" fillId="51" fontId="8" numFmtId="0" xfId="0" applyAlignment="1" applyFill="1" applyFont="1">
      <alignment horizontal="center" readingOrder="0" vertical="center"/>
    </xf>
    <xf borderId="0" fillId="51" fontId="8" numFmtId="0" xfId="0" applyAlignment="1" applyFill="1" applyFont="1">
      <alignment readingOrder="0" shrinkToFit="0" vertical="center" wrapText="1"/>
    </xf>
    <xf borderId="0" fillId="0" fontId="77" numFmtId="0" xfId="0" applyAlignment="1" applyFont="1">
      <alignment horizontal="left"/>
    </xf>
    <xf borderId="0" fillId="52" fontId="8" numFmtId="0" xfId="0" applyAlignment="1" applyFill="1" applyFont="1">
      <alignment horizontal="center" readingOrder="0" vertical="center"/>
    </xf>
    <xf borderId="0" fillId="52" fontId="8" numFmtId="164" xfId="0" applyAlignment="1" applyFill="1" applyFont="1" applyNumberFormat="1">
      <alignment horizontal="center" readingOrder="0" shrinkToFit="0" vertical="center" wrapText="1"/>
    </xf>
    <xf borderId="0" fillId="18" fontId="8" numFmtId="0" xfId="0" applyAlignment="1" applyFill="1" applyFont="1">
      <alignment horizontal="center" readingOrder="0" vertical="center"/>
    </xf>
    <xf borderId="0" fillId="18" fontId="8" numFmtId="164" xfId="0" applyAlignment="1" applyFill="1" applyFont="1" applyNumberFormat="1">
      <alignment horizontal="center" readingOrder="0" vertical="center"/>
    </xf>
    <xf borderId="10" fillId="53" fontId="15" numFmtId="0" xfId="0" applyAlignment="1" applyBorder="1" applyFill="1" applyFont="1">
      <alignment horizontal="center" shrinkToFit="0" vertical="bottom" wrapText="1"/>
    </xf>
    <xf borderId="10" fillId="53" fontId="15" numFmtId="0" xfId="0" applyAlignment="1" applyBorder="1" applyFill="1" applyFont="1">
      <alignment horizontal="center" shrinkToFit="0" vertical="center" wrapText="1"/>
    </xf>
    <xf borderId="10" fillId="53" fontId="15" numFmtId="46" xfId="0" applyAlignment="1" applyBorder="1" applyFill="1" applyFont="1" applyNumberFormat="1">
      <alignment horizontal="center" shrinkToFit="0" vertical="bottom" wrapText="1"/>
    </xf>
    <xf borderId="10" fillId="53" fontId="15" numFmtId="4" xfId="0" applyAlignment="1" applyBorder="1" applyFill="1" applyFont="1" applyNumberFormat="1">
      <alignment horizontal="center" shrinkToFit="0" vertical="bottom" wrapText="1"/>
    </xf>
    <xf borderId="10" fillId="53" fontId="15" numFmtId="1" xfId="0" applyAlignment="1" applyBorder="1" applyFill="1" applyFont="1" applyNumberFormat="1">
      <alignment horizontal="center" shrinkToFit="0" vertical="bottom" wrapText="1"/>
    </xf>
    <xf borderId="0" fillId="51" fontId="36" numFmtId="0" xfId="0" applyAlignment="1" applyFill="1" applyFont="1">
      <alignment horizontal="center" vertical="bottom"/>
    </xf>
    <xf borderId="10" fillId="53" fontId="15" numFmtId="166" xfId="0" applyAlignment="1" applyBorder="1" applyFill="1" applyFont="1" applyNumberFormat="1">
      <alignment horizontal="center" shrinkToFit="0" vertical="bottom" wrapText="1"/>
    </xf>
    <xf borderId="10" fillId="53" fontId="15" numFmtId="164" xfId="0" applyAlignment="1" applyBorder="1" applyFill="1" applyFont="1" applyNumberFormat="1">
      <alignment horizontal="center" shrinkToFit="0" vertical="center" wrapText="1"/>
    </xf>
    <xf borderId="0" fillId="51" fontId="37" numFmtId="164" xfId="0" applyAlignment="1" applyFill="1" applyFont="1" applyNumberFormat="1">
      <alignment horizontal="center" shrinkToFit="0" wrapText="1"/>
    </xf>
    <xf borderId="10" fillId="53" fontId="15" numFmtId="164" xfId="0" applyAlignment="1" applyBorder="1" applyFill="1" applyFont="1" applyNumberFormat="1">
      <alignment horizontal="center" shrinkToFit="0" vertical="bottom" wrapText="1"/>
    </xf>
    <xf borderId="0" fillId="52" fontId="36" numFmtId="0" xfId="0" applyAlignment="1" applyFill="1" applyFont="1">
      <alignment horizontal="center" vertical="bottom"/>
    </xf>
    <xf borderId="0" fillId="52" fontId="36" numFmtId="164" xfId="0" applyAlignment="1" applyFill="1" applyFont="1" applyNumberFormat="1">
      <alignment horizontal="center" vertical="bottom"/>
    </xf>
    <xf borderId="0" fillId="18" fontId="36" numFmtId="0" xfId="0" applyAlignment="1" applyFill="1" applyFont="1">
      <alignment horizontal="center" vertical="bottom"/>
    </xf>
    <xf borderId="0" fillId="51" fontId="9" numFmtId="0" xfId="0" applyAlignment="1" applyFill="1" applyFont="1">
      <alignment horizontal="center" vertical="bottom"/>
    </xf>
    <xf borderId="0" fillId="51" fontId="9" numFmtId="164" xfId="0" applyAlignment="1" applyFill="1" applyFont="1" applyNumberFormat="1">
      <alignment horizontal="center" vertical="bottom"/>
    </xf>
    <xf borderId="0" fillId="52" fontId="42" numFmtId="0" xfId="0" applyAlignment="1" applyFill="1" applyFont="1">
      <alignment horizontal="center" readingOrder="0" vertical="bottom"/>
    </xf>
    <xf borderId="0" fillId="52" fontId="42" numFmtId="164" xfId="0" applyAlignment="1" applyFill="1" applyFont="1" applyNumberFormat="1">
      <alignment horizontal="center" readingOrder="0" vertical="bottom"/>
    </xf>
    <xf borderId="0" fillId="52" fontId="42" numFmtId="0" xfId="0" applyAlignment="1" applyFill="1" applyFont="1">
      <alignment horizontal="center" vertical="bottom"/>
    </xf>
    <xf borderId="0" fillId="52" fontId="42" numFmtId="164" xfId="0" applyAlignment="1" applyFill="1" applyFont="1" applyNumberFormat="1">
      <alignment horizontal="center" vertical="bottom"/>
    </xf>
    <xf borderId="9" fillId="51" fontId="9" numFmtId="0" xfId="0" applyAlignment="1" applyBorder="1" applyFill="1" applyFont="1">
      <alignment horizontal="center" vertical="bottom"/>
    </xf>
    <xf borderId="9" fillId="51" fontId="9" numFmtId="164" xfId="0" applyAlignment="1" applyBorder="1" applyFill="1" applyFont="1" applyNumberFormat="1">
      <alignment horizontal="center" vertical="bottom"/>
    </xf>
    <xf borderId="9" fillId="52" fontId="42" numFmtId="0" xfId="0" applyAlignment="1" applyBorder="1" applyFill="1" applyFont="1">
      <alignment horizontal="center" vertical="bottom"/>
    </xf>
    <xf borderId="9" fillId="52" fontId="42" numFmtId="164" xfId="0" applyAlignment="1" applyBorder="1" applyFill="1" applyFont="1" applyNumberFormat="1">
      <alignment horizontal="center" vertical="bottom"/>
    </xf>
    <xf borderId="0" fillId="51" fontId="9" numFmtId="0" xfId="0" applyAlignment="1" applyFill="1" applyFont="1">
      <alignment vertical="bottom"/>
    </xf>
    <xf borderId="0" fillId="52" fontId="42" numFmtId="0" xfId="0" applyAlignment="1" applyFill="1" applyFont="1">
      <alignment vertical="bottom"/>
    </xf>
    <xf borderId="0" fillId="18" fontId="42" numFmtId="0" xfId="0" applyAlignment="1" applyFill="1" applyFont="1">
      <alignment vertical="bottom"/>
    </xf>
    <xf borderId="0" fillId="5" fontId="78" numFmtId="0" xfId="0" applyAlignment="1" applyFill="1" applyFont="1">
      <alignment readingOrder="0" vertical="bottom"/>
    </xf>
    <xf borderId="9" fillId="51" fontId="9" numFmtId="0" xfId="0" applyAlignment="1" applyBorder="1" applyFill="1" applyFont="1">
      <alignment vertical="bottom"/>
    </xf>
    <xf borderId="9" fillId="52" fontId="42" numFmtId="0" xfId="0" applyAlignment="1" applyBorder="1" applyFill="1" applyFont="1">
      <alignment vertical="bottom"/>
    </xf>
    <xf borderId="9" fillId="18" fontId="42" numFmtId="0" xfId="0" applyAlignment="1" applyBorder="1" applyFill="1" applyFont="1">
      <alignment vertical="bottom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horizontal="center"/>
    </xf>
    <xf borderId="41" fillId="43" fontId="9" numFmtId="0" xfId="0" applyAlignment="1" applyBorder="1" applyFill="1" applyFont="1">
      <alignment horizontal="left" readingOrder="0" shrinkToFit="0" vertical="center" wrapText="0"/>
    </xf>
    <xf borderId="0" fillId="43" fontId="9" numFmtId="0" xfId="0" applyAlignment="1" applyFill="1" applyFont="1">
      <alignment horizontal="left" readingOrder="0" shrinkToFit="0" vertical="center" wrapText="0"/>
    </xf>
    <xf borderId="58" fillId="0" fontId="34" numFmtId="0" xfId="0" applyAlignment="1" applyBorder="1" applyFont="1">
      <alignment horizontal="center" vertical="bottom"/>
    </xf>
    <xf borderId="0" fillId="0" fontId="34" numFmtId="0" xfId="0" applyAlignment="1" applyFont="1">
      <alignment horizontal="center" readingOrder="0" vertical="bottom"/>
    </xf>
    <xf borderId="1" fillId="43" fontId="45" numFmtId="0" xfId="0" applyAlignment="1" applyBorder="1" applyFill="1" applyFont="1">
      <alignment readingOrder="0"/>
    </xf>
    <xf borderId="3" fillId="43" fontId="45" numFmtId="0" xfId="0" applyAlignment="1" applyBorder="1" applyFill="1" applyFont="1">
      <alignment readingOrder="0"/>
    </xf>
    <xf borderId="0" fillId="43" fontId="9" numFmtId="0" xfId="0" applyAlignment="1" applyFill="1" applyFont="1">
      <alignment readingOrder="0" vertical="bottom"/>
    </xf>
    <xf borderId="0" fillId="37" fontId="27" numFmtId="0" xfId="0" applyAlignment="1" applyFill="1" applyFont="1">
      <alignment horizontal="left"/>
    </xf>
    <xf borderId="41" fillId="43" fontId="34" numFmtId="167" xfId="0" applyAlignment="1" applyBorder="1" applyFill="1" applyFont="1" applyNumberFormat="1">
      <alignment vertical="bottom"/>
    </xf>
    <xf borderId="5" fillId="43" fontId="45" numFmtId="0" xfId="0" applyAlignment="1" applyBorder="1" applyFill="1" applyFont="1">
      <alignment readingOrder="0"/>
    </xf>
    <xf borderId="0" fillId="43" fontId="9" numFmtId="0" xfId="0" applyAlignment="1" applyFill="1" applyFont="1">
      <alignment vertical="bottom"/>
    </xf>
    <xf borderId="41" fillId="43" fontId="9" numFmtId="0" xfId="0" applyAlignment="1" applyBorder="1" applyFill="1" applyFont="1">
      <alignment horizontal="left" readingOrder="0" vertical="bottom"/>
    </xf>
    <xf borderId="0" fillId="43" fontId="9" numFmtId="0" xfId="0" applyAlignment="1" applyFill="1" applyFont="1">
      <alignment horizontal="left" readingOrder="0" vertical="bottom"/>
    </xf>
    <xf borderId="0" fillId="43" fontId="9" numFmtId="0" xfId="0" applyAlignment="1" applyFill="1" applyFont="1">
      <alignment horizontal="center" readingOrder="0" vertical="bottom"/>
    </xf>
    <xf borderId="16" fillId="43" fontId="9" numFmtId="0" xfId="0" applyAlignment="1" applyBorder="1" applyFill="1" applyFont="1">
      <alignment readingOrder="0" vertical="bottom"/>
    </xf>
    <xf borderId="0" fillId="43" fontId="9" numFmtId="0" xfId="0" applyAlignment="1" applyFill="1" applyFont="1">
      <alignment horizontal="center" readingOrder="0" shrinkToFit="0" vertical="center" wrapText="1"/>
    </xf>
    <xf borderId="41" fillId="43" fontId="9" numFmtId="0" xfId="0" applyAlignment="1" applyBorder="1" applyFill="1" applyFont="1">
      <alignment horizontal="left" readingOrder="0" shrinkToFit="0" vertical="center" wrapText="1"/>
    </xf>
    <xf borderId="52" fillId="43" fontId="34" numFmtId="167" xfId="0" applyAlignment="1" applyBorder="1" applyFill="1" applyFont="1" applyNumberFormat="1">
      <alignment readingOrder="0" vertical="bottom"/>
    </xf>
    <xf borderId="53" fillId="43" fontId="45" numFmtId="0" xfId="0" applyAlignment="1" applyBorder="1" applyFill="1" applyFont="1">
      <alignment readingOrder="0"/>
    </xf>
    <xf borderId="59" fillId="5" fontId="34" numFmtId="167" xfId="0" applyAlignment="1" applyBorder="1" applyFill="1" applyFont="1" applyNumberFormat="1">
      <alignment vertical="bottom"/>
    </xf>
    <xf borderId="3" fillId="5" fontId="34" numFmtId="0" xfId="0" applyAlignment="1" applyBorder="1" applyFill="1" applyFont="1">
      <alignment horizontal="right" vertical="bottom"/>
    </xf>
    <xf borderId="41" fillId="5" fontId="34" numFmtId="167" xfId="0" applyAlignment="1" applyBorder="1" applyFill="1" applyFont="1" applyNumberFormat="1">
      <alignment vertical="bottom"/>
    </xf>
    <xf borderId="5" fillId="5" fontId="34" numFmtId="0" xfId="0" applyAlignment="1" applyBorder="1" applyFill="1" applyFont="1">
      <alignment horizontal="right" vertical="bottom"/>
    </xf>
    <xf borderId="0" fillId="43" fontId="79" numFmtId="0" xfId="0" applyAlignment="1" applyFill="1" applyFont="1">
      <alignment vertical="bottom"/>
    </xf>
    <xf borderId="5" fillId="43" fontId="34" numFmtId="0" xfId="0" applyAlignment="1" applyBorder="1" applyFill="1" applyFont="1">
      <alignment horizontal="right" vertical="bottom"/>
    </xf>
    <xf borderId="0" fillId="50" fontId="4" numFmtId="0" xfId="0" applyAlignment="1" applyFill="1" applyFont="1">
      <alignment readingOrder="0"/>
    </xf>
    <xf borderId="0" fillId="50" fontId="4" numFmtId="0" xfId="0" applyFill="1" applyFont="1"/>
    <xf borderId="0" fillId="50" fontId="9" numFmtId="0" xfId="0" applyAlignment="1" applyFill="1" applyFont="1">
      <alignment vertical="bottom"/>
    </xf>
    <xf borderId="0" fillId="50" fontId="34" numFmtId="167" xfId="0" applyAlignment="1" applyFill="1" applyFont="1" applyNumberFormat="1">
      <alignment vertical="bottom"/>
    </xf>
    <xf borderId="0" fillId="50" fontId="34" numFmtId="0" xfId="0" applyAlignment="1" applyFill="1" applyFont="1">
      <alignment horizontal="right" vertical="bottom"/>
    </xf>
    <xf borderId="0" fillId="0" fontId="57" numFmtId="0" xfId="0" applyAlignment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50" fontId="9" numFmtId="0" xfId="0" applyAlignment="1" applyFill="1" applyFont="1">
      <alignment readingOrder="0" vertical="bottom"/>
    </xf>
    <xf borderId="0" fillId="50" fontId="34" numFmtId="167" xfId="0" applyAlignment="1" applyFill="1" applyFont="1" applyNumberFormat="1">
      <alignment readingOrder="0" vertical="bottom"/>
    </xf>
    <xf borderId="0" fillId="50" fontId="34" numFmtId="0" xfId="0" applyAlignment="1" applyFill="1" applyFont="1">
      <alignment horizontal="right" readingOrder="0" vertical="bottom"/>
    </xf>
    <xf borderId="0" fillId="5" fontId="4" numFmtId="0" xfId="0" applyAlignment="1" applyFill="1" applyFont="1">
      <alignment horizontal="center" vertical="center"/>
    </xf>
    <xf borderId="0" fillId="4" fontId="80" numFmtId="0" xfId="0" applyAlignment="1" applyFill="1" applyFont="1">
      <alignment horizontal="center" readingOrder="0" vertical="center"/>
    </xf>
    <xf borderId="0" fillId="38" fontId="80" numFmtId="0" xfId="0" applyAlignment="1" applyFill="1" applyFont="1">
      <alignment horizontal="center" readingOrder="0" vertical="center"/>
    </xf>
    <xf borderId="0" fillId="35" fontId="80" numFmtId="0" xfId="0" applyAlignment="1" applyFill="1" applyFont="1">
      <alignment horizontal="center" readingOrder="0" vertical="center"/>
    </xf>
    <xf borderId="0" fillId="46" fontId="80" numFmtId="0" xfId="0" applyAlignment="1" applyFill="1" applyFont="1">
      <alignment horizontal="center" readingOrder="0" vertical="center"/>
    </xf>
    <xf borderId="19" fillId="4" fontId="81" numFmtId="0" xfId="0" applyAlignment="1" applyBorder="1" applyFill="1" applyFont="1">
      <alignment horizontal="center" readingOrder="0" vertical="center"/>
    </xf>
    <xf borderId="19" fillId="0" fontId="3" numFmtId="0" xfId="0" applyBorder="1" applyFont="1"/>
    <xf borderId="0" fillId="38" fontId="81" numFmtId="0" xfId="0" applyAlignment="1" applyFill="1" applyFont="1">
      <alignment horizontal="center" readingOrder="0" vertical="center"/>
    </xf>
    <xf borderId="19" fillId="35" fontId="81" numFmtId="0" xfId="0" applyAlignment="1" applyBorder="1" applyFill="1" applyFont="1">
      <alignment horizontal="center" readingOrder="0" vertical="center"/>
    </xf>
    <xf borderId="0" fillId="46" fontId="81" numFmtId="0" xfId="0" applyAlignment="1" applyFill="1" applyFont="1">
      <alignment horizontal="center" readingOrder="0" vertical="center"/>
    </xf>
    <xf borderId="0" fillId="54" fontId="80" numFmtId="0" xfId="0" applyAlignment="1" applyFill="1" applyFont="1">
      <alignment horizontal="center" readingOrder="0" vertical="center"/>
    </xf>
    <xf borderId="0" fillId="55" fontId="82" numFmtId="0" xfId="0" applyAlignment="1" applyFill="1" applyFont="1">
      <alignment horizontal="center" readingOrder="0" vertical="center"/>
    </xf>
    <xf borderId="0" fillId="56" fontId="82" numFmtId="0" xfId="0" applyAlignment="1" applyFill="1" applyFont="1">
      <alignment horizontal="center" readingOrder="0" shrinkToFit="0" vertical="center" wrapText="0"/>
    </xf>
    <xf borderId="0" fillId="52" fontId="82" numFmtId="0" xfId="0" applyAlignment="1" applyFill="1" applyFont="1">
      <alignment horizontal="center" vertical="center"/>
    </xf>
    <xf borderId="0" fillId="57" fontId="82" numFmtId="0" xfId="0" applyAlignment="1" applyFill="1" applyFont="1">
      <alignment horizontal="center" readingOrder="0" vertical="center"/>
    </xf>
    <xf borderId="0" fillId="58" fontId="82" numFmtId="0" xfId="0" applyAlignment="1" applyFill="1" applyFont="1">
      <alignment horizontal="center" readingOrder="0" vertical="center"/>
    </xf>
    <xf borderId="0" fillId="5" fontId="82" numFmtId="0" xfId="0" applyAlignment="1" applyFill="1" applyFont="1">
      <alignment horizontal="center" readingOrder="0" vertical="center"/>
    </xf>
    <xf borderId="0" fillId="54" fontId="81" numFmtId="0" xfId="0" applyAlignment="1" applyFill="1" applyFont="1">
      <alignment horizontal="center" readingOrder="0" vertical="center"/>
    </xf>
    <xf borderId="0" fillId="55" fontId="81" numFmtId="0" xfId="0" applyAlignment="1" applyFill="1" applyFont="1">
      <alignment horizontal="center" readingOrder="0" vertical="center"/>
    </xf>
    <xf borderId="0" fillId="56" fontId="81" numFmtId="0" xfId="0" applyAlignment="1" applyFill="1" applyFont="1">
      <alignment horizontal="center" readingOrder="0" vertical="center"/>
    </xf>
    <xf borderId="0" fillId="52" fontId="81" numFmtId="0" xfId="0" applyAlignment="1" applyFill="1" applyFont="1">
      <alignment horizontal="center" readingOrder="0" shrinkToFit="0" vertical="center" wrapText="1"/>
    </xf>
    <xf borderId="0" fillId="57" fontId="81" numFmtId="0" xfId="0" applyAlignment="1" applyFill="1" applyFont="1">
      <alignment horizontal="center" readingOrder="0" vertical="center"/>
    </xf>
    <xf borderId="0" fillId="58" fontId="81" numFmtId="0" xfId="0" applyAlignment="1" applyFill="1" applyFont="1">
      <alignment horizontal="center" readingOrder="0" vertical="center"/>
    </xf>
    <xf borderId="0" fillId="5" fontId="81" numFmtId="0" xfId="0" applyAlignment="1" applyFill="1" applyFont="1">
      <alignment horizontal="center" readingOrder="0" vertical="center"/>
    </xf>
    <xf borderId="0" fillId="8" fontId="82" numFmtId="0" xfId="0" applyAlignment="1" applyFill="1" applyFont="1">
      <alignment horizontal="center" readingOrder="0" vertical="center"/>
    </xf>
    <xf borderId="0" fillId="59" fontId="82" numFmtId="0" xfId="0" applyAlignment="1" applyFill="1" applyFont="1">
      <alignment horizontal="center" readingOrder="0" vertical="center"/>
    </xf>
    <xf borderId="0" fillId="5" fontId="44" numFmtId="0" xfId="0" applyAlignment="1" applyFill="1" applyFont="1">
      <alignment horizontal="center" vertical="center"/>
    </xf>
    <xf borderId="39" fillId="60" fontId="8" numFmtId="0" xfId="0" applyAlignment="1" applyBorder="1" applyFill="1" applyFont="1">
      <alignment horizontal="center" readingOrder="0" vertical="center"/>
    </xf>
    <xf borderId="40" fillId="0" fontId="3" numFmtId="0" xfId="0" applyBorder="1" applyFont="1"/>
    <xf borderId="0" fillId="8" fontId="81" numFmtId="0" xfId="0" applyAlignment="1" applyFill="1" applyFont="1">
      <alignment horizontal="center" readingOrder="0" vertical="center"/>
    </xf>
    <xf borderId="0" fillId="59" fontId="81" numFmtId="0" xfId="0" applyAlignment="1" applyFill="1" applyFont="1">
      <alignment horizontal="center" readingOrder="0" vertical="center"/>
    </xf>
    <xf borderId="0" fillId="29" fontId="8" numFmtId="0" xfId="0" applyAlignment="1" applyFill="1" applyFont="1">
      <alignment horizontal="center" readingOrder="0" shrinkToFit="0" vertical="center" wrapText="1"/>
    </xf>
    <xf borderId="0" fillId="29" fontId="26" numFmtId="0" xfId="0" applyAlignment="1" applyFill="1" applyFont="1">
      <alignment horizontal="center" readingOrder="0" vertical="center"/>
    </xf>
    <xf borderId="0" fillId="29" fontId="26" numFmtId="0" xfId="0" applyAlignment="1" applyFill="1" applyFont="1">
      <alignment horizontal="center" readingOrder="0" shrinkToFit="0" vertical="center" wrapText="1"/>
    </xf>
    <xf borderId="0" fillId="61" fontId="82" numFmtId="0" xfId="0" applyAlignment="1" applyFill="1" applyFont="1">
      <alignment horizontal="center" readingOrder="0" vertical="center"/>
    </xf>
    <xf borderId="0" fillId="62" fontId="82" numFmtId="0" xfId="0" applyAlignment="1" applyFill="1" applyFont="1">
      <alignment horizontal="center" readingOrder="0" shrinkToFit="0" vertical="center" wrapText="1"/>
    </xf>
    <xf borderId="0" fillId="29" fontId="83" numFmtId="0" xfId="0" applyAlignment="1" applyFill="1" applyFont="1">
      <alignment horizontal="center" readingOrder="0" vertical="center"/>
    </xf>
    <xf borderId="0" fillId="61" fontId="81" numFmtId="0" xfId="0" applyAlignment="1" applyFill="1" applyFont="1">
      <alignment horizontal="center" readingOrder="0" shrinkToFit="0" vertical="center" wrapText="1"/>
    </xf>
    <xf borderId="0" fillId="62" fontId="81" numFmtId="0" xfId="0" applyAlignment="1" applyFill="1" applyFont="1">
      <alignment horizontal="center" readingOrder="0" vertical="center"/>
    </xf>
    <xf borderId="0" fillId="5" fontId="81" numFmtId="0" xfId="0" applyAlignment="1" applyFill="1" applyFont="1">
      <alignment horizontal="center" readingOrder="0" shrinkToFit="0" vertical="center" wrapText="1"/>
    </xf>
    <xf borderId="28" fillId="5" fontId="81" numFmtId="0" xfId="0" applyAlignment="1" applyBorder="1" applyFill="1" applyFont="1">
      <alignment horizontal="center" readingOrder="0" shrinkToFit="0" vertical="center" wrapText="1"/>
    </xf>
    <xf borderId="0" fillId="40" fontId="34" numFmtId="0" xfId="0" applyAlignment="1" applyFill="1" applyFont="1">
      <alignment horizontal="center" readingOrder="0" shrinkToFit="0" vertical="center" wrapText="1"/>
    </xf>
    <xf borderId="0" fillId="40" fontId="34" numFmtId="0" xfId="0" applyAlignment="1" applyFill="1" applyFont="1">
      <alignment horizontal="center" shrinkToFit="0" vertical="center" wrapText="1"/>
    </xf>
    <xf borderId="0" fillId="40" fontId="34" numFmtId="4" xfId="0" applyAlignment="1" applyFill="1" applyFont="1" applyNumberFormat="1">
      <alignment horizontal="center" readingOrder="0" shrinkToFit="0" vertical="center" wrapText="1"/>
    </xf>
    <xf borderId="0" fillId="40" fontId="34" numFmtId="4" xfId="0" applyAlignment="1" applyFill="1" applyFont="1" applyNumberFormat="1">
      <alignment horizontal="center" shrinkToFit="0" vertical="center" wrapText="1"/>
    </xf>
    <xf borderId="0" fillId="40" fontId="34" numFmtId="164" xfId="0" applyAlignment="1" applyFill="1" applyFont="1" applyNumberFormat="1">
      <alignment horizontal="center" readingOrder="0" shrinkToFit="0" vertical="center" wrapText="1"/>
    </xf>
    <xf borderId="0" fillId="40" fontId="34" numFmtId="49" xfId="0" applyAlignment="1" applyFill="1" applyFont="1" applyNumberFormat="1">
      <alignment horizontal="center" readingOrder="0" shrinkToFit="0" vertical="center" wrapText="1"/>
    </xf>
    <xf borderId="16" fillId="33" fontId="51" numFmtId="0" xfId="0" applyAlignment="1" applyBorder="1" applyFill="1" applyFont="1">
      <alignment horizontal="left" readingOrder="0"/>
    </xf>
    <xf borderId="0" fillId="33" fontId="53" numFmtId="0" xfId="0" applyAlignment="1" applyFill="1" applyFont="1">
      <alignment horizontal="center" readingOrder="0" vertical="center"/>
    </xf>
    <xf borderId="0" fillId="33" fontId="53" numFmtId="2" xfId="0" applyAlignment="1" applyFill="1" applyFont="1" applyNumberFormat="1">
      <alignment horizontal="center" readingOrder="0" vertical="center"/>
    </xf>
    <xf borderId="0" fillId="33" fontId="53" numFmtId="4" xfId="0" applyAlignment="1" applyFill="1" applyFont="1" applyNumberFormat="1">
      <alignment horizontal="center" readingOrder="0" vertical="center"/>
    </xf>
    <xf borderId="0" fillId="40" fontId="53" numFmtId="1" xfId="0" applyAlignment="1" applyFill="1" applyFont="1" applyNumberFormat="1">
      <alignment horizontal="center" vertical="center"/>
    </xf>
    <xf borderId="0" fillId="33" fontId="53" numFmtId="164" xfId="0" applyAlignment="1" applyFill="1" applyFont="1" applyNumberFormat="1">
      <alignment horizontal="center" readingOrder="0" vertical="center"/>
    </xf>
    <xf borderId="0" fillId="33" fontId="53" numFmtId="49" xfId="0" applyAlignment="1" applyFill="1" applyFont="1" applyNumberFormat="1">
      <alignment horizontal="center" readingOrder="0" vertical="center"/>
    </xf>
    <xf borderId="16" fillId="40" fontId="51" numFmtId="0" xfId="0" applyAlignment="1" applyBorder="1" applyFill="1" applyFont="1">
      <alignment horizontal="left" readingOrder="0"/>
    </xf>
    <xf borderId="0" fillId="40" fontId="53" numFmtId="164" xfId="0" applyAlignment="1" applyFill="1" applyFont="1" applyNumberFormat="1">
      <alignment horizontal="center" readingOrder="0" vertical="center"/>
    </xf>
    <xf borderId="16" fillId="40" fontId="42" numFmtId="0" xfId="0" applyAlignment="1" applyBorder="1" applyFill="1" applyFont="1">
      <alignment horizontal="left" vertical="bottom"/>
    </xf>
    <xf borderId="16" fillId="33" fontId="42" numFmtId="0" xfId="0" applyAlignment="1" applyBorder="1" applyFill="1" applyFont="1">
      <alignment horizontal="left" vertical="bottom"/>
    </xf>
    <xf borderId="16" fillId="5" fontId="9" numFmtId="0" xfId="0" applyAlignment="1" applyBorder="1" applyFill="1" applyFont="1">
      <alignment vertical="bottom"/>
    </xf>
    <xf borderId="53" fillId="5" fontId="34" numFmtId="0" xfId="0" applyAlignment="1" applyBorder="1" applyFill="1" applyFont="1">
      <alignment horizontal="right" readingOrder="0" vertical="bottom"/>
    </xf>
    <xf borderId="53" fillId="5" fontId="34" numFmtId="0" xfId="0" applyAlignment="1" applyBorder="1" applyFill="1" applyFont="1">
      <alignment horizontal="right" vertical="bottom"/>
    </xf>
    <xf borderId="0" fillId="33" fontId="84" numFmtId="4" xfId="0" applyAlignment="1" applyFill="1" applyFont="1" applyNumberFormat="1">
      <alignment horizontal="center" readingOrder="0" vertical="center"/>
    </xf>
    <xf borderId="0" fillId="33" fontId="53" numFmtId="1" xfId="0" applyAlignment="1" applyFill="1" applyFont="1" applyNumberFormat="1">
      <alignment horizontal="center" vertical="center"/>
    </xf>
    <xf borderId="0" fillId="40" fontId="53" numFmtId="0" xfId="0" applyAlignment="1" applyFill="1" applyFont="1">
      <alignment horizontal="center" readingOrder="0" vertical="center"/>
    </xf>
    <xf borderId="0" fillId="40" fontId="53" numFmtId="4" xfId="0" applyAlignment="1" applyFill="1" applyFont="1" applyNumberFormat="1">
      <alignment horizontal="center" readingOrder="0" vertical="center"/>
    </xf>
    <xf borderId="0" fillId="40" fontId="84" numFmtId="4" xfId="0" applyAlignment="1" applyFill="1" applyFont="1" applyNumberFormat="1">
      <alignment horizontal="center" readingOrder="0"/>
    </xf>
    <xf borderId="0" fillId="33" fontId="84" numFmtId="4" xfId="0" applyAlignment="1" applyFill="1" applyFont="1" applyNumberFormat="1">
      <alignment horizontal="center" readingOrder="0"/>
    </xf>
    <xf borderId="0" fillId="40" fontId="84" numFmtId="4" xfId="0" applyAlignment="1" applyFill="1" applyFont="1" applyNumberFormat="1">
      <alignment horizontal="center" readingOrder="0" vertical="center"/>
    </xf>
    <xf borderId="0" fillId="33" fontId="84" numFmtId="0" xfId="0" applyAlignment="1" applyFill="1" applyFont="1">
      <alignment horizontal="center" readingOrder="0" vertical="center"/>
    </xf>
    <xf borderId="16" fillId="40" fontId="42" numFmtId="0" xfId="0" applyAlignment="1" applyBorder="1" applyFill="1" applyFont="1">
      <alignment horizontal="left" readingOrder="0" vertical="bottom"/>
    </xf>
    <xf borderId="16" fillId="0" fontId="9" numFmtId="0" xfId="0" applyAlignment="1" applyBorder="1" applyFont="1">
      <alignment horizontal="left" readingOrder="0"/>
    </xf>
    <xf borderId="0" fillId="0" fontId="53" numFmtId="0" xfId="0" applyAlignment="1" applyFont="1">
      <alignment horizontal="center" readingOrder="0"/>
    </xf>
    <xf borderId="16" fillId="33" fontId="42" numFmtId="0" xfId="0" applyAlignment="1" applyBorder="1" applyFill="1" applyFont="1">
      <alignment horizontal="left" readingOrder="0" vertical="bottom"/>
    </xf>
    <xf borderId="0" fillId="33" fontId="42" numFmtId="0" xfId="0" applyAlignment="1" applyFill="1" applyFont="1">
      <alignment horizontal="left" vertical="bottom"/>
    </xf>
    <xf borderId="16" fillId="5" fontId="46" numFmtId="0" xfId="0" applyAlignment="1" applyBorder="1" applyFill="1" applyFont="1">
      <alignment horizontal="left" readingOrder="0"/>
    </xf>
    <xf borderId="0" fillId="5" fontId="53" numFmtId="4" xfId="0" applyAlignment="1" applyFill="1" applyFont="1" applyNumberFormat="1">
      <alignment horizontal="center" readingOrder="0" vertical="center"/>
    </xf>
    <xf borderId="0" fillId="5" fontId="53" numFmtId="0" xfId="0" applyAlignment="1" applyFill="1" applyFont="1">
      <alignment horizontal="center" vertical="center"/>
    </xf>
    <xf borderId="0" fillId="5" fontId="53" numFmtId="164" xfId="0" applyAlignment="1" applyFill="1" applyFont="1" applyNumberFormat="1">
      <alignment horizontal="center" readingOrder="0" vertical="center"/>
    </xf>
    <xf borderId="0" fillId="5" fontId="53" numFmtId="49" xfId="0" applyAlignment="1" applyFill="1" applyFont="1" applyNumberFormat="1">
      <alignment horizontal="center" readingOrder="0" vertical="center"/>
    </xf>
    <xf borderId="0" fillId="5" fontId="4" numFmtId="4" xfId="0" applyFill="1" applyFont="1" applyNumberFormat="1"/>
    <xf borderId="0" fillId="5" fontId="4" numFmtId="164" xfId="0" applyFill="1" applyFont="1" applyNumberFormat="1"/>
    <xf borderId="0" fillId="5" fontId="4" numFmtId="49" xfId="0" applyFill="1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3" xfId="0" applyFont="1" applyNumberFormat="1"/>
    <xf borderId="60" fillId="0" fontId="85" numFmtId="0" xfId="0" applyAlignment="1" applyBorder="1" applyFont="1">
      <alignment horizontal="center" readingOrder="0"/>
    </xf>
    <xf borderId="61" fillId="0" fontId="85" numFmtId="0" xfId="0" applyAlignment="1" applyBorder="1" applyFont="1">
      <alignment horizontal="center" readingOrder="0"/>
    </xf>
    <xf borderId="61" fillId="0" fontId="85" numFmtId="164" xfId="0" applyAlignment="1" applyBorder="1" applyFont="1" applyNumberFormat="1">
      <alignment horizontal="center" readingOrder="0"/>
    </xf>
    <xf borderId="61" fillId="0" fontId="85" numFmtId="0" xfId="0" applyAlignment="1" applyBorder="1" applyFont="1">
      <alignment horizontal="center"/>
    </xf>
    <xf borderId="61" fillId="0" fontId="85" numFmtId="2" xfId="0" applyAlignment="1" applyBorder="1" applyFont="1" applyNumberFormat="1">
      <alignment horizontal="center" readingOrder="0"/>
    </xf>
    <xf borderId="61" fillId="0" fontId="85" numFmtId="4" xfId="0" applyAlignment="1" applyBorder="1" applyFont="1" applyNumberFormat="1">
      <alignment horizontal="center" readingOrder="0"/>
    </xf>
    <xf borderId="62" fillId="0" fontId="85" numFmtId="0" xfId="0" applyAlignment="1" applyBorder="1" applyFont="1">
      <alignment horizontal="center" readingOrder="0"/>
    </xf>
    <xf borderId="63" fillId="0" fontId="4" numFmtId="0" xfId="0" applyAlignment="1" applyBorder="1" applyFont="1">
      <alignment readingOrder="0"/>
    </xf>
    <xf borderId="64" fillId="0" fontId="4" numFmtId="0" xfId="0" applyAlignment="1" applyBorder="1" applyFont="1">
      <alignment readingOrder="0"/>
    </xf>
    <xf borderId="64" fillId="0" fontId="4" numFmtId="164" xfId="0" applyAlignment="1" applyBorder="1" applyFont="1" applyNumberFormat="1">
      <alignment readingOrder="0"/>
    </xf>
    <xf borderId="64" fillId="0" fontId="4" numFmtId="2" xfId="0" applyAlignment="1" applyBorder="1" applyFont="1" applyNumberFormat="1">
      <alignment readingOrder="0"/>
    </xf>
    <xf borderId="64" fillId="0" fontId="4" numFmtId="49" xfId="0" applyAlignment="1" applyBorder="1" applyFont="1" applyNumberFormat="1">
      <alignment readingOrder="0"/>
    </xf>
    <xf borderId="65" fillId="0" fontId="4" numFmtId="0" xfId="0" applyAlignment="1" applyBorder="1" applyFont="1">
      <alignment readingOrder="0"/>
    </xf>
    <xf borderId="0" fillId="37" fontId="86" numFmtId="0" xfId="0" applyAlignment="1" applyFill="1" applyFont="1">
      <alignment horizontal="center" readingOrder="0" vertical="center"/>
    </xf>
    <xf borderId="16" fillId="37" fontId="86" numFmtId="2" xfId="0" applyAlignment="1" applyBorder="1" applyFill="1" applyFont="1" applyNumberFormat="1">
      <alignment horizontal="center" readingOrder="0" vertical="center"/>
    </xf>
    <xf borderId="24" fillId="37" fontId="45" numFmtId="164" xfId="0" applyAlignment="1" applyBorder="1" applyFill="1" applyFont="1" applyNumberFormat="1">
      <alignment horizontal="center" readingOrder="0" vertical="center"/>
    </xf>
    <xf borderId="0" fillId="37" fontId="45" numFmtId="164" xfId="0" applyAlignment="1" applyFill="1" applyFont="1" applyNumberFormat="1">
      <alignment horizontal="center" readingOrder="0" vertical="center"/>
    </xf>
    <xf borderId="0" fillId="37" fontId="34" numFmtId="0" xfId="0" applyAlignment="1" applyFill="1" applyFont="1">
      <alignment horizontal="center" shrinkToFit="0" vertical="center" wrapText="1"/>
    </xf>
    <xf borderId="0" fillId="37" fontId="34" numFmtId="0" xfId="0" applyAlignment="1" applyFill="1" applyFont="1">
      <alignment horizontal="center" readingOrder="0" shrinkToFit="0" vertical="center" wrapText="1"/>
    </xf>
    <xf borderId="0" fillId="37" fontId="34" numFmtId="2" xfId="0" applyAlignment="1" applyFill="1" applyFont="1" applyNumberFormat="1">
      <alignment horizontal="center" readingOrder="0" shrinkToFit="0" vertical="center" wrapText="1"/>
    </xf>
    <xf borderId="0" fillId="37" fontId="34" numFmtId="3" xfId="0" applyAlignment="1" applyFill="1" applyFont="1" applyNumberFormat="1">
      <alignment horizontal="center" shrinkToFit="0" vertical="center" wrapText="1"/>
    </xf>
    <xf borderId="39" fillId="37" fontId="4" numFmtId="0" xfId="0" applyAlignment="1" applyBorder="1" applyFill="1" applyFont="1">
      <alignment horizontal="center" readingOrder="0"/>
    </xf>
    <xf borderId="55" fillId="37" fontId="4" numFmtId="0" xfId="0" applyAlignment="1" applyBorder="1" applyFill="1" applyFont="1">
      <alignment horizontal="center" readingOrder="0"/>
    </xf>
    <xf borderId="30" fillId="37" fontId="4" numFmtId="2" xfId="0" applyAlignment="1" applyBorder="1" applyFill="1" applyFont="1" applyNumberFormat="1">
      <alignment horizontal="center" readingOrder="0"/>
    </xf>
    <xf borderId="55" fillId="37" fontId="4" numFmtId="164" xfId="0" applyAlignment="1" applyBorder="1" applyFill="1" applyFont="1" applyNumberFormat="1">
      <alignment horizontal="center" readingOrder="0"/>
    </xf>
    <xf borderId="47" fillId="5" fontId="9" numFmtId="0" xfId="0" applyAlignment="1" applyBorder="1" applyFill="1" applyFont="1">
      <alignment vertical="bottom"/>
    </xf>
    <xf borderId="22" fillId="0" fontId="87" numFmtId="0" xfId="0" applyAlignment="1" applyBorder="1" applyFont="1">
      <alignment horizontal="center" vertical="bottom"/>
    </xf>
    <xf borderId="16" fillId="5" fontId="9" numFmtId="0" xfId="0" applyAlignment="1" applyBorder="1" applyFill="1" applyFont="1">
      <alignment vertical="bottom"/>
    </xf>
    <xf borderId="66" fillId="24" fontId="88" numFmtId="0" xfId="0" applyAlignment="1" applyBorder="1" applyFill="1" applyFont="1">
      <alignment horizontal="center" shrinkToFit="0" wrapText="1"/>
    </xf>
    <xf borderId="51" fillId="24" fontId="89" numFmtId="0" xfId="0" applyAlignment="1" applyBorder="1" applyFill="1" applyFont="1">
      <alignment horizontal="center" shrinkToFit="0" wrapText="1"/>
    </xf>
    <xf borderId="51" fillId="5" fontId="9" numFmtId="0" xfId="0" applyAlignment="1" applyBorder="1" applyFill="1" applyFont="1">
      <alignment vertical="bottom"/>
    </xf>
    <xf borderId="51" fillId="24" fontId="88" numFmtId="0" xfId="0" applyAlignment="1" applyBorder="1" applyFill="1" applyFont="1">
      <alignment horizontal="center" shrinkToFit="0" wrapText="1"/>
    </xf>
    <xf borderId="0" fillId="24" fontId="34" numFmtId="0" xfId="0" applyAlignment="1" applyFill="1" applyFont="1">
      <alignment horizontal="center" vertical="bottom"/>
    </xf>
    <xf borderId="55" fillId="37" fontId="27" numFmtId="164" xfId="0" applyAlignment="1" applyBorder="1" applyFill="1" applyFont="1" applyNumberFormat="1">
      <alignment horizontal="center"/>
    </xf>
    <xf borderId="41" fillId="29" fontId="88" numFmtId="0" xfId="0" applyAlignment="1" applyBorder="1" applyFill="1" applyFont="1">
      <alignment horizontal="center" shrinkToFit="0" wrapText="1"/>
    </xf>
    <xf borderId="16" fillId="29" fontId="89" numFmtId="0" xfId="0" applyAlignment="1" applyBorder="1" applyFill="1" applyFont="1">
      <alignment horizontal="center" vertical="bottom"/>
    </xf>
    <xf borderId="16" fillId="33" fontId="42" numFmtId="0" xfId="0" applyAlignment="1" applyBorder="1" applyFill="1" applyFont="1">
      <alignment horizontal="left" vertical="bottom"/>
    </xf>
    <xf borderId="16" fillId="29" fontId="88" numFmtId="0" xfId="0" applyAlignment="1" applyBorder="1" applyFill="1" applyFont="1">
      <alignment horizontal="center" vertical="bottom"/>
    </xf>
    <xf borderId="0" fillId="29" fontId="34" numFmtId="0" xfId="0" applyAlignment="1" applyFill="1" applyFont="1">
      <alignment horizontal="center" vertical="bottom"/>
    </xf>
    <xf borderId="41" fillId="29" fontId="9" numFmtId="0" xfId="0" applyBorder="1" applyFill="1" applyFont="1"/>
    <xf borderId="16" fillId="29" fontId="9" numFmtId="0" xfId="0" applyAlignment="1" applyBorder="1" applyFill="1" applyFont="1">
      <alignment vertical="bottom"/>
    </xf>
    <xf borderId="0" fillId="38" fontId="34" numFmtId="0" xfId="0" applyAlignment="1" applyFill="1" applyFont="1">
      <alignment horizontal="center" vertical="bottom"/>
    </xf>
    <xf borderId="66" fillId="29" fontId="9" numFmtId="0" xfId="0" applyBorder="1" applyFill="1" applyFont="1"/>
    <xf borderId="51" fillId="29" fontId="89" numFmtId="0" xfId="0" applyAlignment="1" applyBorder="1" applyFill="1" applyFont="1">
      <alignment horizontal="center" vertical="bottom"/>
    </xf>
    <xf borderId="51" fillId="29" fontId="9" numFmtId="0" xfId="0" applyAlignment="1" applyBorder="1" applyFill="1" applyFont="1">
      <alignment vertical="bottom"/>
    </xf>
    <xf borderId="0" fillId="33" fontId="34" numFmtId="0" xfId="0" applyAlignment="1" applyFill="1" applyFont="1">
      <alignment horizontal="center" vertical="bottom"/>
    </xf>
    <xf borderId="41" fillId="38" fontId="88" numFmtId="0" xfId="0" applyAlignment="1" applyBorder="1" applyFill="1" applyFont="1">
      <alignment horizontal="center" shrinkToFit="0" wrapText="1"/>
    </xf>
    <xf borderId="16" fillId="38" fontId="89" numFmtId="0" xfId="0" applyAlignment="1" applyBorder="1" applyFill="1" applyFont="1">
      <alignment horizontal="center" vertical="bottom"/>
    </xf>
    <xf borderId="16" fillId="38" fontId="88" numFmtId="0" xfId="0" applyAlignment="1" applyBorder="1" applyFill="1" applyFont="1">
      <alignment horizontal="center" vertical="bottom"/>
    </xf>
    <xf borderId="0" fillId="55" fontId="34" numFmtId="0" xfId="0" applyAlignment="1" applyFill="1" applyFont="1">
      <alignment horizontal="center" vertical="bottom"/>
    </xf>
    <xf borderId="41" fillId="38" fontId="9" numFmtId="0" xfId="0" applyBorder="1" applyFill="1" applyFont="1"/>
    <xf borderId="16" fillId="38" fontId="90" numFmtId="0" xfId="0" applyAlignment="1" applyBorder="1" applyFill="1" applyFont="1">
      <alignment horizontal="center" vertical="bottom"/>
    </xf>
    <xf borderId="16" fillId="38" fontId="9" numFmtId="0" xfId="0" applyAlignment="1" applyBorder="1" applyFill="1" applyFont="1">
      <alignment vertical="bottom"/>
    </xf>
    <xf borderId="0" fillId="40" fontId="34" numFmtId="0" xfId="0" applyAlignment="1" applyFill="1" applyFont="1">
      <alignment horizontal="center" vertical="bottom"/>
    </xf>
    <xf borderId="66" fillId="38" fontId="9" numFmtId="0" xfId="0" applyBorder="1" applyFill="1" applyFont="1"/>
    <xf borderId="51" fillId="38" fontId="90" numFmtId="0" xfId="0" applyAlignment="1" applyBorder="1" applyFill="1" applyFont="1">
      <alignment horizontal="center" vertical="bottom"/>
    </xf>
    <xf borderId="51" fillId="38" fontId="9" numFmtId="0" xfId="0" applyAlignment="1" applyBorder="1" applyFill="1" applyFont="1">
      <alignment vertical="bottom"/>
    </xf>
    <xf borderId="0" fillId="35" fontId="34" numFmtId="0" xfId="0" applyAlignment="1" applyFill="1" applyFont="1">
      <alignment horizontal="center" vertical="bottom"/>
    </xf>
    <xf borderId="41" fillId="33" fontId="88" numFmtId="0" xfId="0" applyAlignment="1" applyBorder="1" applyFill="1" applyFont="1">
      <alignment horizontal="center" shrinkToFit="0" wrapText="1"/>
    </xf>
    <xf borderId="19" fillId="37" fontId="4" numFmtId="0" xfId="0" applyAlignment="1" applyBorder="1" applyFill="1" applyFont="1">
      <alignment horizontal="center" readingOrder="0" vertical="bottom"/>
    </xf>
    <xf borderId="16" fillId="33" fontId="90" numFmtId="0" xfId="0" applyAlignment="1" applyBorder="1" applyFill="1" applyFont="1">
      <alignment horizontal="center" vertical="bottom"/>
    </xf>
    <xf borderId="16" fillId="33" fontId="9" numFmtId="0" xfId="0" applyAlignment="1" applyBorder="1" applyFill="1" applyFont="1">
      <alignment vertical="bottom"/>
    </xf>
    <xf borderId="41" fillId="33" fontId="9" numFmtId="0" xfId="0" applyBorder="1" applyFill="1" applyFont="1"/>
    <xf borderId="16" fillId="33" fontId="89" numFmtId="0" xfId="0" applyAlignment="1" applyBorder="1" applyFill="1" applyFont="1">
      <alignment horizontal="center" vertical="bottom"/>
    </xf>
    <xf borderId="19" fillId="37" fontId="9" numFmtId="2" xfId="0" applyAlignment="1" applyBorder="1" applyFill="1" applyFont="1" applyNumberFormat="1">
      <alignment horizontal="center" readingOrder="0" shrinkToFit="0" vertical="bottom" wrapText="1"/>
    </xf>
    <xf borderId="19" fillId="37" fontId="9" numFmtId="0" xfId="0" applyAlignment="1" applyBorder="1" applyFill="1" applyFont="1">
      <alignment horizontal="center" readingOrder="0" shrinkToFit="0" vertical="bottom" wrapText="1"/>
    </xf>
    <xf borderId="19" fillId="37" fontId="9" numFmtId="3" xfId="0" applyAlignment="1" applyBorder="1" applyFill="1" applyFont="1" applyNumberFormat="1">
      <alignment horizontal="center" readingOrder="0" shrinkToFit="0" vertical="bottom" wrapText="1"/>
    </xf>
    <xf borderId="66" fillId="33" fontId="9" numFmtId="0" xfId="0" applyBorder="1" applyFill="1" applyFont="1"/>
    <xf borderId="51" fillId="33" fontId="89" numFmtId="0" xfId="0" applyAlignment="1" applyBorder="1" applyFill="1" applyFont="1">
      <alignment horizontal="center" vertical="bottom"/>
    </xf>
    <xf borderId="51" fillId="33" fontId="9" numFmtId="0" xfId="0" applyAlignment="1" applyBorder="1" applyFill="1" applyFont="1">
      <alignment vertical="bottom"/>
    </xf>
    <xf borderId="40" fillId="37" fontId="9" numFmtId="0" xfId="0" applyAlignment="1" applyBorder="1" applyFill="1" applyFont="1">
      <alignment horizontal="center" readingOrder="0" shrinkToFit="0" vertical="bottom" wrapText="1"/>
    </xf>
    <xf borderId="41" fillId="55" fontId="34" numFmtId="0" xfId="0" applyAlignment="1" applyBorder="1" applyFill="1" applyFont="1">
      <alignment horizontal="center" shrinkToFit="0" wrapText="1"/>
    </xf>
    <xf borderId="41" fillId="37" fontId="4" numFmtId="0" xfId="0" applyAlignment="1" applyBorder="1" applyFill="1" applyFont="1">
      <alignment horizontal="center" readingOrder="0"/>
    </xf>
    <xf borderId="0" fillId="5" fontId="91" numFmtId="0" xfId="0" applyAlignment="1" applyFill="1" applyFont="1">
      <alignment horizontal="center"/>
    </xf>
    <xf borderId="16" fillId="55" fontId="89" numFmtId="0" xfId="0" applyAlignment="1" applyBorder="1" applyFill="1" applyFont="1">
      <alignment horizontal="center" vertical="bottom"/>
    </xf>
    <xf borderId="9" fillId="34" fontId="8" numFmtId="0" xfId="0" applyAlignment="1" applyBorder="1" applyFill="1" applyFont="1">
      <alignment horizontal="center" vertical="bottom"/>
    </xf>
    <xf borderId="16" fillId="55" fontId="88" numFmtId="0" xfId="0" applyAlignment="1" applyBorder="1" applyFill="1" applyFont="1">
      <alignment horizontal="center" vertical="bottom"/>
    </xf>
    <xf borderId="47" fillId="34" fontId="8" numFmtId="49" xfId="0" applyAlignment="1" applyBorder="1" applyFill="1" applyFont="1" applyNumberFormat="1">
      <alignment horizontal="center" vertical="bottom"/>
    </xf>
    <xf borderId="41" fillId="55" fontId="9" numFmtId="0" xfId="0" applyBorder="1" applyFill="1" applyFont="1"/>
    <xf borderId="22" fillId="34" fontId="8" numFmtId="49" xfId="0" applyAlignment="1" applyBorder="1" applyFill="1" applyFont="1" applyNumberFormat="1">
      <alignment horizontal="center" vertical="bottom"/>
    </xf>
    <xf borderId="28" fillId="37" fontId="4" numFmtId="0" xfId="0" applyAlignment="1" applyBorder="1" applyFill="1" applyFont="1">
      <alignment horizontal="center" readingOrder="0"/>
    </xf>
    <xf borderId="0" fillId="34" fontId="8" numFmtId="0" xfId="0" applyAlignment="1" applyFill="1" applyFont="1">
      <alignment horizontal="center" vertical="bottom"/>
    </xf>
    <xf borderId="20" fillId="5" fontId="21" numFmtId="0" xfId="0" applyAlignment="1" applyBorder="1" applyFill="1" applyFont="1">
      <alignment horizontal="center"/>
    </xf>
    <xf borderId="0" fillId="5" fontId="9" numFmtId="0" xfId="0" applyFill="1" applyFont="1"/>
    <xf borderId="9" fillId="34" fontId="8" numFmtId="0" xfId="0" applyAlignment="1" applyBorder="1" applyFill="1" applyFont="1">
      <alignment horizontal="center" vertical="bottom"/>
    </xf>
    <xf borderId="16" fillId="55" fontId="9" numFmtId="0" xfId="0" applyAlignment="1" applyBorder="1" applyFill="1" applyFont="1">
      <alignment vertical="bottom"/>
    </xf>
    <xf borderId="0" fillId="34" fontId="8" numFmtId="0" xfId="0" applyAlignment="1" applyFill="1" applyFont="1">
      <alignment horizontal="center" vertical="bottom"/>
    </xf>
    <xf borderId="0" fillId="5" fontId="92" numFmtId="0" xfId="0" applyAlignment="1" applyFill="1" applyFont="1">
      <alignment vertical="bottom"/>
    </xf>
    <xf borderId="0" fillId="5" fontId="9" numFmtId="0" xfId="0" applyFill="1" applyFont="1"/>
    <xf borderId="28" fillId="5" fontId="9" numFmtId="0" xfId="0" applyAlignment="1" applyBorder="1" applyFill="1" applyFont="1">
      <alignment vertical="bottom"/>
    </xf>
    <xf borderId="51" fillId="37" fontId="4" numFmtId="2" xfId="0" applyAlignment="1" applyBorder="1" applyFill="1" applyFont="1" applyNumberFormat="1">
      <alignment horizontal="center" readingOrder="0"/>
    </xf>
    <xf borderId="66" fillId="55" fontId="9" numFmtId="0" xfId="0" applyBorder="1" applyFill="1" applyFont="1"/>
    <xf borderId="28" fillId="5" fontId="9" numFmtId="49" xfId="0" applyAlignment="1" applyBorder="1" applyFill="1" applyFont="1" applyNumberFormat="1">
      <alignment horizontal="center" vertical="bottom"/>
    </xf>
    <xf borderId="51" fillId="0" fontId="3" numFmtId="0" xfId="0" applyBorder="1" applyFont="1"/>
    <xf borderId="51" fillId="55" fontId="9" numFmtId="0" xfId="0" applyAlignment="1" applyBorder="1" applyFill="1" applyFont="1">
      <alignment vertical="bottom"/>
    </xf>
    <xf borderId="28" fillId="37" fontId="4" numFmtId="164" xfId="0" applyAlignment="1" applyBorder="1" applyFill="1" applyFont="1" applyNumberFormat="1">
      <alignment horizontal="center" readingOrder="0"/>
    </xf>
    <xf borderId="28" fillId="5" fontId="9" numFmtId="49" xfId="0" applyAlignment="1" applyBorder="1" applyFill="1" applyFont="1" applyNumberFormat="1">
      <alignment vertical="bottom"/>
    </xf>
    <xf borderId="51" fillId="55" fontId="88" numFmtId="0" xfId="0" applyAlignment="1" applyBorder="1" applyFill="1" applyFont="1">
      <alignment horizontal="center" vertical="bottom"/>
    </xf>
    <xf borderId="15" fillId="5" fontId="91" numFmtId="0" xfId="0" applyAlignment="1" applyBorder="1" applyFill="1" applyFont="1">
      <alignment horizontal="center" vertical="top"/>
    </xf>
    <xf borderId="41" fillId="40" fontId="34" numFmtId="0" xfId="0" applyAlignment="1" applyBorder="1" applyFill="1" applyFont="1">
      <alignment horizontal="center" shrinkToFit="0" wrapText="1"/>
    </xf>
    <xf borderId="28" fillId="40" fontId="34" numFmtId="0" xfId="0" applyAlignment="1" applyBorder="1" applyFill="1" applyFont="1">
      <alignment horizontal="center" vertical="bottom"/>
    </xf>
    <xf borderId="16" fillId="40" fontId="89" numFmtId="0" xfId="0" applyAlignment="1" applyBorder="1" applyFill="1" applyFont="1">
      <alignment horizontal="center" vertical="bottom"/>
    </xf>
    <xf borderId="16" fillId="40" fontId="88" numFmtId="0" xfId="0" applyAlignment="1" applyBorder="1" applyFill="1" applyFont="1">
      <alignment horizontal="center" vertical="bottom"/>
    </xf>
    <xf borderId="51" fillId="24" fontId="9" numFmtId="49" xfId="0" applyAlignment="1" applyBorder="1" applyFill="1" applyFont="1" applyNumberFormat="1">
      <alignment horizontal="center" vertical="bottom"/>
    </xf>
    <xf borderId="41" fillId="40" fontId="9" numFmtId="0" xfId="0" applyBorder="1" applyFill="1" applyFont="1"/>
    <xf borderId="51" fillId="40" fontId="9" numFmtId="49" xfId="0" applyAlignment="1" applyBorder="1" applyFill="1" applyFont="1" applyNumberFormat="1">
      <alignment horizontal="center" vertical="bottom"/>
    </xf>
    <xf borderId="41" fillId="40" fontId="9" numFmtId="0" xfId="0" applyAlignment="1" applyBorder="1" applyFill="1" applyFont="1">
      <alignment vertical="bottom"/>
    </xf>
    <xf borderId="66" fillId="40" fontId="9" numFmtId="0" xfId="0" applyAlignment="1" applyBorder="1" applyFill="1" applyFont="1">
      <alignment vertical="bottom"/>
    </xf>
    <xf borderId="51" fillId="40" fontId="89" numFmtId="0" xfId="0" applyAlignment="1" applyBorder="1" applyFill="1" applyFont="1">
      <alignment horizontal="center" vertical="bottom"/>
    </xf>
    <xf borderId="51" fillId="40" fontId="9" numFmtId="0" xfId="0" applyAlignment="1" applyBorder="1" applyFill="1" applyFont="1">
      <alignment vertical="bottom"/>
    </xf>
    <xf borderId="41" fillId="35" fontId="34" numFmtId="0" xfId="0" applyAlignment="1" applyBorder="1" applyFill="1" applyFont="1">
      <alignment horizontal="center" shrinkToFit="0" wrapText="1"/>
    </xf>
    <xf borderId="16" fillId="35" fontId="89" numFmtId="0" xfId="0" applyAlignment="1" applyBorder="1" applyFill="1" applyFont="1">
      <alignment horizontal="center" vertical="bottom"/>
    </xf>
    <xf borderId="16" fillId="35" fontId="88" numFmtId="0" xfId="0" applyAlignment="1" applyBorder="1" applyFill="1" applyFont="1">
      <alignment horizontal="center" vertical="bottom"/>
    </xf>
    <xf borderId="28" fillId="33" fontId="93" numFmtId="49" xfId="0" applyAlignment="1" applyBorder="1" applyFill="1" applyFont="1" applyNumberFormat="1">
      <alignment horizontal="center" vertical="bottom"/>
    </xf>
    <xf borderId="41" fillId="35" fontId="9" numFmtId="0" xfId="0" applyBorder="1" applyFill="1" applyFont="1"/>
    <xf borderId="50" fillId="33" fontId="9" numFmtId="0" xfId="0" applyAlignment="1" applyBorder="1" applyFill="1" applyFont="1">
      <alignment horizontal="center" vertical="bottom"/>
    </xf>
    <xf borderId="16" fillId="35" fontId="9" numFmtId="0" xfId="0" applyAlignment="1" applyBorder="1" applyFill="1" applyFont="1">
      <alignment vertical="bottom"/>
    </xf>
    <xf borderId="11" fillId="5" fontId="91" numFmtId="0" xfId="0" applyAlignment="1" applyBorder="1" applyFill="1" applyFont="1">
      <alignment horizontal="center" vertical="top"/>
    </xf>
    <xf borderId="46" fillId="35" fontId="9" numFmtId="0" xfId="0" applyBorder="1" applyFill="1" applyFont="1"/>
    <xf borderId="47" fillId="35" fontId="89" numFmtId="0" xfId="0" applyAlignment="1" applyBorder="1" applyFill="1" applyFont="1">
      <alignment horizontal="center" vertical="bottom"/>
    </xf>
    <xf borderId="0" fillId="63" fontId="9" numFmtId="0" xfId="0" applyFill="1" applyFont="1"/>
    <xf borderId="47" fillId="35" fontId="9" numFmtId="0" xfId="0" applyAlignment="1" applyBorder="1" applyFill="1" applyFont="1">
      <alignment vertical="bottom"/>
    </xf>
    <xf borderId="15" fillId="0" fontId="3" numFmtId="0" xfId="0" applyBorder="1" applyFont="1"/>
    <xf borderId="28" fillId="40" fontId="34" numFmtId="0" xfId="0" applyAlignment="1" applyBorder="1" applyFill="1" applyFont="1">
      <alignment horizontal="center" vertical="bottom"/>
    </xf>
    <xf borderId="67" fillId="5" fontId="9" numFmtId="0" xfId="0" applyBorder="1" applyFill="1" applyFont="1"/>
    <xf borderId="68" fillId="0" fontId="87" numFmtId="0" xfId="0" applyAlignment="1" applyBorder="1" applyFont="1">
      <alignment horizontal="center" vertical="bottom"/>
    </xf>
    <xf borderId="28" fillId="37" fontId="27" numFmtId="164" xfId="0" applyAlignment="1" applyBorder="1" applyFill="1" applyFont="1" applyNumberFormat="1">
      <alignment horizontal="center"/>
    </xf>
    <xf borderId="39" fillId="24" fontId="34" numFmtId="0" xfId="0" applyAlignment="1" applyBorder="1" applyFill="1" applyFont="1">
      <alignment horizontal="center" shrinkToFit="0" wrapText="1"/>
    </xf>
    <xf borderId="40" fillId="24" fontId="89" numFmtId="0" xfId="0" applyAlignment="1" applyBorder="1" applyFill="1" applyFont="1">
      <alignment horizontal="center" vertical="bottom"/>
    </xf>
    <xf borderId="40" fillId="24" fontId="88" numFmtId="0" xfId="0" applyAlignment="1" applyBorder="1" applyFill="1" applyFont="1">
      <alignment horizontal="center" vertical="bottom"/>
    </xf>
    <xf borderId="41" fillId="24" fontId="9" numFmtId="0" xfId="0" applyAlignment="1" applyBorder="1" applyFill="1" applyFont="1">
      <alignment vertical="bottom"/>
    </xf>
    <xf borderId="50" fillId="33" fontId="94" numFmtId="0" xfId="0" applyAlignment="1" applyBorder="1" applyFill="1" applyFont="1">
      <alignment vertical="bottom"/>
    </xf>
    <xf borderId="16" fillId="24" fontId="89" numFmtId="0" xfId="0" applyAlignment="1" applyBorder="1" applyFill="1" applyFont="1">
      <alignment horizontal="center" vertical="bottom"/>
    </xf>
    <xf borderId="11" fillId="0" fontId="3" numFmtId="0" xfId="0" applyBorder="1" applyFont="1"/>
    <xf borderId="16" fillId="24" fontId="88" numFmtId="0" xfId="0" applyAlignment="1" applyBorder="1" applyFill="1" applyFont="1">
      <alignment horizontal="center" vertical="bottom"/>
    </xf>
    <xf borderId="28" fillId="24" fontId="9" numFmtId="0" xfId="0" applyAlignment="1" applyBorder="1" applyFill="1" applyFont="1">
      <alignment horizontal="center" vertical="bottom"/>
    </xf>
    <xf borderId="51" fillId="40" fontId="34" numFmtId="49" xfId="0" applyAlignment="1" applyBorder="1" applyFill="1" applyFont="1" applyNumberFormat="1">
      <alignment horizontal="center" vertical="bottom"/>
    </xf>
    <xf borderId="16" fillId="24" fontId="9" numFmtId="0" xfId="0" applyAlignment="1" applyBorder="1" applyFill="1" applyFont="1">
      <alignment vertical="bottom"/>
    </xf>
    <xf borderId="66" fillId="24" fontId="9" numFmtId="0" xfId="0" applyAlignment="1" applyBorder="1" applyFill="1" applyFont="1">
      <alignment vertical="bottom"/>
    </xf>
    <xf borderId="0" fillId="63" fontId="9" numFmtId="0" xfId="0" applyAlignment="1" applyFill="1" applyFont="1">
      <alignment vertical="bottom"/>
    </xf>
    <xf borderId="51" fillId="24" fontId="95" numFmtId="0" xfId="0" applyAlignment="1" applyBorder="1" applyFill="1" applyFont="1">
      <alignment horizontal="center" vertical="bottom"/>
    </xf>
    <xf borderId="28" fillId="24" fontId="34" numFmtId="0" xfId="0" applyAlignment="1" applyBorder="1" applyFill="1" applyFont="1">
      <alignment horizontal="center" vertical="bottom"/>
    </xf>
    <xf borderId="51" fillId="24" fontId="9" numFmtId="0" xfId="0" applyAlignment="1" applyBorder="1" applyFill="1" applyFont="1">
      <alignment vertical="bottom"/>
    </xf>
    <xf borderId="41" fillId="29" fontId="34" numFmtId="0" xfId="0" applyAlignment="1" applyBorder="1" applyFill="1" applyFont="1">
      <alignment horizontal="center" shrinkToFit="0" wrapText="1"/>
    </xf>
    <xf borderId="50" fillId="33" fontId="96" numFmtId="0" xfId="0" applyAlignment="1" applyBorder="1" applyFill="1" applyFont="1">
      <alignment readingOrder="0" vertical="bottom"/>
    </xf>
    <xf borderId="66" fillId="29" fontId="9" numFmtId="0" xfId="0" applyAlignment="1" applyBorder="1" applyFill="1" applyFont="1">
      <alignment vertical="bottom"/>
    </xf>
    <xf borderId="51" fillId="29" fontId="95" numFmtId="0" xfId="0" applyAlignment="1" applyBorder="1" applyFill="1" applyFont="1">
      <alignment horizontal="center" vertical="bottom"/>
    </xf>
    <xf borderId="0" fillId="63" fontId="97" numFmtId="0" xfId="0" applyAlignment="1" applyFill="1" applyFont="1">
      <alignment vertical="bottom"/>
    </xf>
    <xf borderId="41" fillId="38" fontId="34" numFmtId="0" xfId="0" applyAlignment="1" applyBorder="1" applyFill="1" applyFont="1">
      <alignment horizontal="center" shrinkToFit="0" wrapText="1"/>
    </xf>
    <xf borderId="41" fillId="38" fontId="9" numFmtId="0" xfId="0" applyAlignment="1" applyBorder="1" applyFill="1" applyFont="1">
      <alignment vertical="bottom"/>
    </xf>
    <xf borderId="66" fillId="38" fontId="9" numFmtId="0" xfId="0" applyAlignment="1" applyBorder="1" applyFill="1" applyFont="1">
      <alignment vertical="bottom"/>
    </xf>
    <xf borderId="0" fillId="37" fontId="4" numFmtId="0" xfId="0" applyAlignment="1" applyFill="1" applyFont="1">
      <alignment horizontal="center" readingOrder="0" vertical="bottom"/>
    </xf>
    <xf borderId="51" fillId="38" fontId="89" numFmtId="0" xfId="0" applyAlignment="1" applyBorder="1" applyFill="1" applyFont="1">
      <alignment horizontal="center" vertical="bottom"/>
    </xf>
    <xf borderId="51" fillId="38" fontId="88" numFmtId="0" xfId="0" applyAlignment="1" applyBorder="1" applyFill="1" applyFont="1">
      <alignment horizontal="center" vertical="bottom"/>
    </xf>
    <xf borderId="0" fillId="37" fontId="9" numFmtId="2" xfId="0" applyAlignment="1" applyFill="1" applyFont="1" applyNumberFormat="1">
      <alignment horizontal="center" readingOrder="0" shrinkToFit="0" vertical="bottom" wrapText="1"/>
    </xf>
    <xf borderId="50" fillId="33" fontId="98" numFmtId="0" xfId="0" applyAlignment="1" applyBorder="1" applyFill="1" applyFont="1">
      <alignment vertical="bottom"/>
    </xf>
    <xf borderId="0" fillId="37" fontId="9" numFmtId="0" xfId="0" applyAlignment="1" applyFill="1" applyFont="1">
      <alignment horizontal="center" readingOrder="0" shrinkToFit="0" vertical="bottom" wrapText="1"/>
    </xf>
    <xf borderId="0" fillId="37" fontId="9" numFmtId="3" xfId="0" applyAlignment="1" applyFill="1" applyFont="1" applyNumberFormat="1">
      <alignment horizontal="center" readingOrder="0" shrinkToFit="0" vertical="bottom" wrapText="1"/>
    </xf>
    <xf borderId="41" fillId="33" fontId="34" numFmtId="0" xfId="0" applyAlignment="1" applyBorder="1" applyFill="1" applyFont="1">
      <alignment horizontal="center" shrinkToFit="0" wrapText="1"/>
    </xf>
    <xf borderId="28" fillId="24" fontId="9" numFmtId="0" xfId="0" applyAlignment="1" applyBorder="1" applyFill="1" applyFont="1">
      <alignment horizontal="center" vertical="bottom"/>
    </xf>
    <xf borderId="16" fillId="33" fontId="88" numFmtId="0" xfId="0" applyAlignment="1" applyBorder="1" applyFill="1" applyFont="1">
      <alignment horizontal="center" vertical="bottom"/>
    </xf>
    <xf borderId="16" fillId="37" fontId="9" numFmtId="0" xfId="0" applyAlignment="1" applyBorder="1" applyFill="1" applyFont="1">
      <alignment horizontal="center" readingOrder="0" shrinkToFit="0" vertical="bottom" wrapText="1"/>
    </xf>
    <xf borderId="28" fillId="33" fontId="99" numFmtId="0" xfId="0" applyAlignment="1" applyBorder="1" applyFill="1" applyFont="1">
      <alignment vertical="bottom"/>
    </xf>
    <xf borderId="41" fillId="33" fontId="9" numFmtId="0" xfId="0" applyAlignment="1" applyBorder="1" applyFill="1" applyFont="1">
      <alignment vertical="bottom"/>
    </xf>
    <xf borderId="66" fillId="33" fontId="9" numFmtId="0" xfId="0" applyAlignment="1" applyBorder="1" applyFill="1" applyFont="1">
      <alignment vertical="bottom"/>
    </xf>
    <xf borderId="51" fillId="33" fontId="90" numFmtId="0" xfId="0" applyAlignment="1" applyBorder="1" applyFill="1" applyFont="1">
      <alignment horizontal="center" vertical="bottom"/>
    </xf>
    <xf borderId="16" fillId="55" fontId="95" numFmtId="0" xfId="0" applyAlignment="1" applyBorder="1" applyFill="1" applyFont="1">
      <alignment horizontal="center" vertical="bottom"/>
    </xf>
    <xf borderId="41" fillId="55" fontId="9" numFmtId="0" xfId="0" applyAlignment="1" applyBorder="1" applyFill="1" applyFont="1">
      <alignment vertical="bottom"/>
    </xf>
    <xf borderId="16" fillId="55" fontId="90" numFmtId="0" xfId="0" applyAlignment="1" applyBorder="1" applyFill="1" applyFont="1">
      <alignment horizontal="center" vertical="bottom"/>
    </xf>
    <xf borderId="0" fillId="63" fontId="100" numFmtId="0" xfId="0" applyAlignment="1" applyFill="1" applyFont="1">
      <alignment shrinkToFit="0" vertical="bottom" wrapText="0"/>
    </xf>
    <xf borderId="66" fillId="55" fontId="9" numFmtId="0" xfId="0" applyAlignment="1" applyBorder="1" applyFill="1" applyFont="1">
      <alignment vertical="bottom"/>
    </xf>
    <xf borderId="28" fillId="24" fontId="34" numFmtId="0" xfId="0" applyAlignment="1" applyBorder="1" applyFill="1" applyFont="1">
      <alignment horizontal="center" vertical="bottom"/>
    </xf>
    <xf borderId="16" fillId="40" fontId="90" numFmtId="0" xfId="0" applyAlignment="1" applyBorder="1" applyFill="1" applyFont="1">
      <alignment horizontal="center" vertical="bottom"/>
    </xf>
    <xf borderId="16" fillId="40" fontId="95" numFmtId="0" xfId="0" applyAlignment="1" applyBorder="1" applyFill="1" applyFont="1">
      <alignment horizontal="center" vertical="bottom"/>
    </xf>
    <xf borderId="51" fillId="35" fontId="34" numFmtId="49" xfId="0" applyAlignment="1" applyBorder="1" applyFill="1" applyFont="1" applyNumberFormat="1">
      <alignment horizontal="center" vertical="bottom"/>
    </xf>
    <xf borderId="16" fillId="40" fontId="9" numFmtId="0" xfId="0" applyAlignment="1" applyBorder="1" applyFill="1" applyFont="1">
      <alignment vertical="bottom"/>
    </xf>
    <xf borderId="51" fillId="35" fontId="9" numFmtId="49" xfId="0" applyAlignment="1" applyBorder="1" applyFill="1" applyFont="1" applyNumberFormat="1">
      <alignment horizontal="center" vertical="bottom"/>
    </xf>
    <xf borderId="15" fillId="5" fontId="9" numFmtId="0" xfId="0" applyAlignment="1" applyBorder="1" applyFill="1" applyFont="1">
      <alignment vertical="top"/>
    </xf>
    <xf borderId="51" fillId="40" fontId="88" numFmtId="0" xfId="0" applyAlignment="1" applyBorder="1" applyFill="1" applyFont="1">
      <alignment horizontal="center" vertical="bottom"/>
    </xf>
    <xf borderId="28" fillId="35" fontId="34" numFmtId="0" xfId="0" applyAlignment="1" applyBorder="1" applyFill="1" applyFont="1">
      <alignment horizontal="center" vertical="bottom"/>
    </xf>
    <xf borderId="41" fillId="35" fontId="9" numFmtId="0" xfId="0" applyAlignment="1" applyBorder="1" applyFill="1" applyFont="1">
      <alignment vertical="bottom"/>
    </xf>
    <xf borderId="16" fillId="35" fontId="95" numFmtId="0" xfId="0" applyAlignment="1" applyBorder="1" applyFill="1" applyFont="1">
      <alignment horizontal="center" vertical="bottom"/>
    </xf>
    <xf borderId="46" fillId="35" fontId="9" numFmtId="0" xfId="0" applyAlignment="1" applyBorder="1" applyFill="1" applyFont="1">
      <alignment vertical="bottom"/>
    </xf>
    <xf borderId="47" fillId="35" fontId="88" numFmtId="0" xfId="0" applyAlignment="1" applyBorder="1" applyFill="1" applyFont="1">
      <alignment horizontal="center" vertical="bottom"/>
    </xf>
    <xf borderId="67" fillId="5" fontId="9" numFmtId="0" xfId="0" applyAlignment="1" applyBorder="1" applyFill="1" applyFont="1">
      <alignment vertical="bottom"/>
    </xf>
    <xf borderId="41" fillId="24" fontId="34" numFmtId="0" xfId="0" applyAlignment="1" applyBorder="1" applyFill="1" applyFont="1">
      <alignment horizontal="center" shrinkToFit="0" wrapText="1"/>
    </xf>
    <xf borderId="50" fillId="24" fontId="9" numFmtId="0" xfId="0" applyAlignment="1" applyBorder="1" applyFill="1" applyFont="1">
      <alignment horizontal="center" vertical="bottom"/>
    </xf>
    <xf borderId="16" fillId="24" fontId="95" numFmtId="0" xfId="0" applyAlignment="1" applyBorder="1" applyFill="1" applyFont="1">
      <alignment horizontal="center" vertical="bottom"/>
    </xf>
    <xf borderId="28" fillId="33" fontId="9" numFmtId="49" xfId="0" applyAlignment="1" applyBorder="1" applyFill="1" applyFont="1" applyNumberFormat="1">
      <alignment horizontal="center" vertical="bottom"/>
    </xf>
    <xf borderId="51" fillId="24" fontId="89" numFmtId="0" xfId="0" applyAlignment="1" applyBorder="1" applyFill="1" applyFont="1">
      <alignment horizontal="center" vertical="bottom"/>
    </xf>
    <xf borderId="41" fillId="29" fontId="9" numFmtId="0" xfId="0" applyAlignment="1" applyBorder="1" applyFill="1" applyFont="1">
      <alignment vertical="bottom"/>
    </xf>
    <xf borderId="28" fillId="35" fontId="9" numFmtId="0" xfId="0" applyAlignment="1" applyBorder="1" applyFill="1" applyFont="1">
      <alignment horizontal="center" vertical="bottom"/>
    </xf>
    <xf borderId="51" fillId="24" fontId="34" numFmtId="49" xfId="0" applyAlignment="1" applyBorder="1" applyFill="1" applyFont="1" applyNumberFormat="1">
      <alignment horizontal="center" vertical="bottom"/>
    </xf>
    <xf borderId="66" fillId="55" fontId="34" numFmtId="0" xfId="0" applyAlignment="1" applyBorder="1" applyFill="1" applyFont="1">
      <alignment horizontal="center" shrinkToFit="0" wrapText="1"/>
    </xf>
    <xf borderId="51" fillId="55" fontId="89" numFmtId="0" xfId="0" applyAlignment="1" applyBorder="1" applyFill="1" applyFont="1">
      <alignment horizontal="center" vertical="bottom"/>
    </xf>
    <xf borderId="15" fillId="5" fontId="9" numFmtId="0" xfId="0" applyBorder="1" applyFill="1" applyFont="1"/>
    <xf borderId="16" fillId="40" fontId="101" numFmtId="0" xfId="0" applyAlignment="1" applyBorder="1" applyFill="1" applyFont="1">
      <alignment horizontal="center" vertical="bottom"/>
    </xf>
    <xf borderId="51" fillId="40" fontId="90" numFmtId="0" xfId="0" applyAlignment="1" applyBorder="1" applyFill="1" applyFont="1">
      <alignment horizontal="center" vertical="bottom"/>
    </xf>
    <xf borderId="28" fillId="33" fontId="102" numFmtId="0" xfId="0" applyAlignment="1" applyBorder="1" applyFill="1" applyFont="1">
      <alignment readingOrder="0" shrinkToFit="0" vertical="bottom" wrapText="0"/>
    </xf>
    <xf borderId="16" fillId="35" fontId="101" numFmtId="0" xfId="0" applyAlignment="1" applyBorder="1" applyFill="1" applyFont="1">
      <alignment horizontal="center" vertical="bottom"/>
    </xf>
    <xf borderId="11" fillId="5" fontId="9" numFmtId="0" xfId="0" applyAlignment="1" applyBorder="1" applyFill="1" applyFont="1">
      <alignment vertical="bottom"/>
    </xf>
    <xf borderId="47" fillId="35" fontId="90" numFmtId="0" xfId="0" applyAlignment="1" applyBorder="1" applyFill="1" applyFont="1">
      <alignment horizontal="center" vertical="bottom"/>
    </xf>
    <xf borderId="15" fillId="5" fontId="91" numFmtId="0" xfId="0" applyAlignment="1" applyBorder="1" applyFill="1" applyFont="1">
      <alignment horizontal="center"/>
    </xf>
    <xf borderId="69" fillId="35" fontId="88" numFmtId="0" xfId="0" applyAlignment="1" applyBorder="1" applyFill="1" applyFont="1">
      <alignment horizontal="center" vertical="bottom"/>
    </xf>
    <xf borderId="50" fillId="5" fontId="9" numFmtId="0" xfId="0" applyAlignment="1" applyBorder="1" applyFill="1" applyFont="1">
      <alignment vertical="bottom"/>
    </xf>
    <xf borderId="70" fillId="5" fontId="9" numFmtId="0" xfId="0" applyAlignment="1" applyBorder="1" applyFill="1" applyFont="1">
      <alignment vertical="bottom"/>
    </xf>
    <xf borderId="51" fillId="24" fontId="9" numFmtId="0" xfId="0" applyAlignment="1" applyBorder="1" applyFill="1" applyFont="1">
      <alignment horizontal="center" vertical="bottom"/>
    </xf>
    <xf borderId="71" fillId="0" fontId="87" numFmtId="0" xfId="0" applyAlignment="1" applyBorder="1" applyFont="1">
      <alignment horizontal="center" vertical="bottom"/>
    </xf>
    <xf borderId="47" fillId="0" fontId="87" numFmtId="0" xfId="0" applyAlignment="1" applyBorder="1" applyFont="1">
      <alignment horizontal="center" vertical="bottom"/>
    </xf>
    <xf borderId="28" fillId="33" fontId="103" numFmtId="49" xfId="0" applyAlignment="1" applyBorder="1" applyFill="1" applyFont="1" applyNumberFormat="1">
      <alignment vertical="bottom"/>
    </xf>
    <xf borderId="0" fillId="24" fontId="9" numFmtId="0" xfId="0" applyAlignment="1" applyFill="1" applyFont="1">
      <alignment horizontal="center" vertical="bottom"/>
    </xf>
    <xf borderId="16" fillId="24" fontId="9" numFmtId="0" xfId="0" applyAlignment="1" applyBorder="1" applyFill="1" applyFont="1">
      <alignment horizontal="center" vertical="bottom"/>
    </xf>
    <xf borderId="16" fillId="24" fontId="34" numFmtId="0" xfId="0" applyAlignment="1" applyBorder="1" applyFill="1" applyFont="1">
      <alignment horizontal="center" vertical="bottom"/>
    </xf>
    <xf borderId="66" fillId="29" fontId="34" numFmtId="0" xfId="0" applyAlignment="1" applyBorder="1" applyFill="1" applyFont="1">
      <alignment horizontal="center" shrinkToFit="0" wrapText="1"/>
    </xf>
    <xf borderId="0" fillId="35" fontId="9" numFmtId="0" xfId="0" applyAlignment="1" applyFill="1" applyFont="1">
      <alignment horizontal="center" vertical="bottom"/>
    </xf>
    <xf borderId="51" fillId="29" fontId="9" numFmtId="0" xfId="0" applyAlignment="1" applyBorder="1" applyFill="1" applyFont="1">
      <alignment horizontal="center" vertical="bottom"/>
    </xf>
    <xf borderId="16" fillId="33" fontId="9" numFmtId="0" xfId="0" applyAlignment="1" applyBorder="1" applyFill="1" applyFont="1">
      <alignment horizontal="center" vertical="bottom"/>
    </xf>
    <xf borderId="16" fillId="40" fontId="9" numFmtId="0" xfId="0" applyAlignment="1" applyBorder="1" applyFill="1" applyFont="1">
      <alignment horizontal="center" vertical="bottom"/>
    </xf>
    <xf borderId="51" fillId="40" fontId="9" numFmtId="0" xfId="0" applyAlignment="1" applyBorder="1" applyFill="1" applyFont="1">
      <alignment horizontal="center" vertical="bottom"/>
    </xf>
    <xf borderId="16" fillId="35" fontId="9" numFmtId="0" xfId="0" applyAlignment="1" applyBorder="1" applyFill="1" applyFont="1">
      <alignment horizontal="center" vertical="bottom"/>
    </xf>
    <xf borderId="69" fillId="35" fontId="9" numFmtId="0" xfId="0" applyAlignment="1" applyBorder="1" applyFill="1" applyFont="1">
      <alignment vertical="bottom"/>
    </xf>
    <xf borderId="72" fillId="0" fontId="87" numFmtId="0" xfId="0" applyAlignment="1" applyBorder="1" applyFont="1">
      <alignment horizontal="center" vertical="bottom"/>
    </xf>
    <xf borderId="66" fillId="38" fontId="34" numFmtId="0" xfId="0" applyAlignment="1" applyBorder="1" applyFill="1" applyFont="1">
      <alignment horizontal="center" shrinkToFit="0" wrapText="1"/>
    </xf>
    <xf borderId="16" fillId="33" fontId="95" numFmtId="0" xfId="0" applyAlignment="1" applyBorder="1" applyFill="1" applyFont="1">
      <alignment horizontal="center" vertical="bottom"/>
    </xf>
    <xf borderId="51" fillId="33" fontId="101" numFmtId="0" xfId="0" applyAlignment="1" applyBorder="1" applyFill="1" applyFont="1">
      <alignment horizontal="center" vertical="bottom"/>
    </xf>
    <xf borderId="51" fillId="55" fontId="9" numFmtId="0" xfId="0" applyAlignment="1" applyBorder="1" applyFill="1" applyFont="1">
      <alignment horizontal="center" vertical="bottom"/>
    </xf>
    <xf borderId="16" fillId="33" fontId="34" numFmtId="0" xfId="0" applyAlignment="1" applyBorder="1" applyFill="1" applyFont="1">
      <alignment horizontal="center" vertical="bottom"/>
    </xf>
    <xf borderId="16" fillId="40" fontId="34" numFmtId="0" xfId="0" applyAlignment="1" applyBorder="1" applyFill="1" applyFont="1">
      <alignment horizontal="center" vertical="bottom"/>
    </xf>
    <xf borderId="51" fillId="40" fontId="34" numFmtId="0" xfId="0" applyAlignment="1" applyBorder="1" applyFill="1" applyFont="1">
      <alignment horizontal="center" vertical="bottom"/>
    </xf>
    <xf borderId="16" fillId="35" fontId="34" numFmtId="0" xfId="0" applyAlignment="1" applyBorder="1" applyFill="1" applyFont="1">
      <alignment horizontal="center" vertical="bottom"/>
    </xf>
    <xf borderId="47" fillId="35" fontId="9" numFmtId="0" xfId="0" applyAlignment="1" applyBorder="1" applyFill="1" applyFont="1">
      <alignment horizontal="center" vertical="bottom"/>
    </xf>
    <xf borderId="69" fillId="35" fontId="34" numFmtId="0" xfId="0" applyAlignment="1" applyBorder="1" applyFill="1" applyFont="1">
      <alignment horizontal="center" vertical="bottom"/>
    </xf>
    <xf borderId="16" fillId="29" fontId="90" numFmtId="0" xfId="0" applyAlignment="1" applyBorder="1" applyFill="1" applyFont="1">
      <alignment horizontal="center" vertical="bottom"/>
    </xf>
    <xf borderId="0" fillId="29" fontId="63" numFmtId="0" xfId="0" applyAlignment="1" applyFill="1" applyFont="1">
      <alignment horizontal="center" vertical="bottom"/>
    </xf>
    <xf borderId="0" fillId="37" fontId="4" numFmtId="0" xfId="0" applyAlignment="1" applyFill="1" applyFont="1">
      <alignment horizontal="center" readingOrder="0"/>
    </xf>
    <xf borderId="28" fillId="33" fontId="104" numFmtId="49" xfId="0" applyAlignment="1" applyBorder="1" applyFill="1" applyFont="1" applyNumberFormat="1">
      <alignment shrinkToFit="0" vertical="bottom" wrapText="0"/>
    </xf>
    <xf borderId="16" fillId="38" fontId="34" numFmtId="0" xfId="0" applyAlignment="1" applyBorder="1" applyFill="1" applyFont="1">
      <alignment horizontal="center" vertical="bottom"/>
    </xf>
    <xf borderId="0" fillId="29" fontId="105" numFmtId="0" xfId="0" applyAlignment="1" applyFill="1" applyFont="1">
      <alignment horizontal="center" vertical="bottom"/>
    </xf>
    <xf borderId="51" fillId="35" fontId="9" numFmtId="0" xfId="0" applyAlignment="1" applyBorder="1" applyFill="1" applyFont="1">
      <alignment horizontal="center" vertical="bottom"/>
    </xf>
    <xf borderId="16" fillId="37" fontId="4" numFmtId="2" xfId="0" applyAlignment="1" applyBorder="1" applyFill="1" applyFont="1" applyNumberFormat="1">
      <alignment horizontal="center" readingOrder="0"/>
    </xf>
    <xf borderId="0" fillId="29" fontId="9" numFmtId="0" xfId="0" applyAlignment="1" applyFill="1" applyFont="1">
      <alignment vertical="bottom"/>
    </xf>
    <xf borderId="51" fillId="24" fontId="9" numFmtId="169" xfId="0" applyAlignment="1" applyBorder="1" applyFill="1" applyFont="1" applyNumberFormat="1">
      <alignment horizontal="center" vertical="bottom"/>
    </xf>
    <xf borderId="46" fillId="35" fontId="34" numFmtId="0" xfId="0" applyAlignment="1" applyBorder="1" applyFill="1" applyFont="1">
      <alignment horizontal="center" shrinkToFit="0" wrapText="1"/>
    </xf>
    <xf borderId="73" fillId="0" fontId="87" numFmtId="0" xfId="0" applyAlignment="1" applyBorder="1" applyFont="1">
      <alignment horizontal="center" vertical="bottom"/>
    </xf>
    <xf borderId="28" fillId="33" fontId="106" numFmtId="0" xfId="0" applyAlignment="1" applyBorder="1" applyFill="1" applyFont="1">
      <alignment shrinkToFit="0" vertical="bottom" wrapText="0"/>
    </xf>
    <xf borderId="41" fillId="24" fontId="9" numFmtId="0" xfId="0" applyBorder="1" applyFill="1" applyFont="1"/>
    <xf borderId="16" fillId="29" fontId="9" numFmtId="0" xfId="0" applyAlignment="1" applyBorder="1" applyFill="1" applyFont="1">
      <alignment horizontal="center" vertical="bottom"/>
    </xf>
    <xf borderId="16" fillId="38" fontId="9" numFmtId="0" xfId="0" applyAlignment="1" applyBorder="1" applyFill="1" applyFont="1">
      <alignment horizontal="center" vertical="bottom"/>
    </xf>
    <xf borderId="16" fillId="33" fontId="101" numFmtId="0" xfId="0" applyAlignment="1" applyBorder="1" applyFill="1" applyFont="1">
      <alignment horizontal="center" vertical="bottom"/>
    </xf>
    <xf borderId="16" fillId="55" fontId="9" numFmtId="0" xfId="0" applyAlignment="1" applyBorder="1" applyFill="1" applyFont="1">
      <alignment horizontal="center" vertical="bottom"/>
    </xf>
    <xf borderId="47" fillId="35" fontId="88" numFmtId="0" xfId="0" applyAlignment="1" applyBorder="1" applyFill="1" applyFont="1">
      <alignment horizontal="center" vertical="bottom"/>
    </xf>
    <xf borderId="16" fillId="24" fontId="34" numFmtId="49" xfId="0" applyAlignment="1" applyBorder="1" applyFill="1" applyFont="1" applyNumberFormat="1">
      <alignment horizontal="center" vertical="bottom"/>
    </xf>
    <xf borderId="16" fillId="24" fontId="9" numFmtId="49" xfId="0" applyAlignment="1" applyBorder="1" applyFill="1" applyFont="1" applyNumberFormat="1">
      <alignment horizontal="center" vertical="bottom"/>
    </xf>
    <xf borderId="0" fillId="33" fontId="107" numFmtId="0" xfId="0" applyAlignment="1" applyFill="1" applyFont="1">
      <alignment shrinkToFit="0" vertical="bottom" wrapText="0"/>
    </xf>
    <xf borderId="16" fillId="35" fontId="9" numFmtId="49" xfId="0" applyAlignment="1" applyBorder="1" applyFill="1" applyFont="1" applyNumberFormat="1">
      <alignment horizontal="center" vertical="bottom"/>
    </xf>
    <xf borderId="16" fillId="24" fontId="9" numFmtId="169" xfId="0" applyAlignment="1" applyBorder="1" applyFill="1" applyFont="1" applyNumberFormat="1">
      <alignment horizontal="center" vertical="bottom"/>
    </xf>
    <xf borderId="16" fillId="35" fontId="9" numFmtId="169" xfId="0" applyAlignment="1" applyBorder="1" applyFill="1" applyFont="1" applyNumberFormat="1">
      <alignment horizontal="center" vertical="bottom"/>
    </xf>
    <xf borderId="0" fillId="33" fontId="108" numFmtId="0" xfId="0" applyAlignment="1" applyFill="1" applyFont="1">
      <alignment readingOrder="0" shrinkToFit="0" vertical="bottom" wrapText="0"/>
    </xf>
    <xf borderId="0" fillId="52" fontId="81" numFmtId="0" xfId="0" applyAlignment="1" applyFill="1" applyFont="1">
      <alignment readingOrder="0"/>
    </xf>
    <xf borderId="0" fillId="33" fontId="9" numFmtId="49" xfId="0" applyAlignment="1" applyFill="1" applyFont="1" applyNumberFormat="1">
      <alignment horizontal="center" vertical="bottom"/>
    </xf>
    <xf borderId="0" fillId="10" fontId="81" numFmtId="0" xfId="0" applyAlignment="1" applyFill="1" applyFont="1">
      <alignment readingOrder="0"/>
    </xf>
    <xf borderId="0" fillId="33" fontId="9" numFmtId="20" xfId="0" applyAlignment="1" applyFill="1" applyFont="1" applyNumberFormat="1">
      <alignment horizontal="center" vertical="bottom"/>
    </xf>
    <xf borderId="0" fillId="10" fontId="45" numFmtId="0" xfId="0" applyFill="1" applyFont="1"/>
    <xf borderId="11" fillId="5" fontId="91" numFmtId="0" xfId="0" applyAlignment="1" applyBorder="1" applyFill="1" applyFont="1">
      <alignment horizontal="center"/>
    </xf>
    <xf borderId="28" fillId="0" fontId="34" numFmtId="0" xfId="0" applyAlignment="1" applyBorder="1" applyFont="1">
      <alignment horizontal="center" vertical="bottom"/>
    </xf>
    <xf borderId="51" fillId="0" fontId="9" numFmtId="49" xfId="0" applyAlignment="1" applyBorder="1" applyFont="1" applyNumberFormat="1">
      <alignment horizontal="center" vertical="bottom"/>
    </xf>
    <xf borderId="28" fillId="0" fontId="9" numFmtId="0" xfId="0" applyAlignment="1" applyBorder="1" applyFont="1">
      <alignment horizontal="center" vertical="bottom"/>
    </xf>
    <xf borderId="51" fillId="0" fontId="34" numFmtId="0" xfId="0" applyAlignment="1" applyBorder="1" applyFont="1">
      <alignment horizontal="center" vertical="bottom"/>
    </xf>
    <xf borderId="50" fillId="33" fontId="9" numFmtId="0" xfId="0" applyAlignment="1" applyBorder="1" applyFill="1" applyFont="1">
      <alignment horizontal="center" vertical="bottom"/>
    </xf>
    <xf borderId="15" fillId="5" fontId="9" numFmtId="0" xfId="0" applyAlignment="1" applyBorder="1" applyFill="1" applyFont="1">
      <alignment vertical="bottom"/>
    </xf>
    <xf borderId="58" fillId="5" fontId="9" numFmtId="0" xfId="0" applyAlignment="1" applyBorder="1" applyFill="1" applyFont="1">
      <alignment vertical="bottom"/>
    </xf>
    <xf borderId="58" fillId="5" fontId="9" numFmtId="49" xfId="0" applyAlignment="1" applyBorder="1" applyFill="1" applyFont="1" applyNumberFormat="1">
      <alignment vertical="bottom"/>
    </xf>
    <xf borderId="15" fillId="5" fontId="109" numFmtId="0" xfId="0" applyAlignment="1" applyBorder="1" applyFill="1" applyFont="1">
      <alignment horizontal="center"/>
    </xf>
    <xf borderId="28" fillId="37" fontId="86" numFmtId="0" xfId="0" applyAlignment="1" applyBorder="1" applyFill="1" applyFont="1">
      <alignment horizontal="center" readingOrder="0" vertical="center"/>
    </xf>
    <xf borderId="51" fillId="37" fontId="86" numFmtId="0" xfId="0" applyAlignment="1" applyBorder="1" applyFill="1" applyFont="1">
      <alignment horizontal="center" readingOrder="0" vertical="center"/>
    </xf>
    <xf borderId="11" fillId="5" fontId="109" numFmtId="0" xfId="0" applyAlignment="1" applyBorder="1" applyFill="1" applyFont="1">
      <alignment horizontal="center"/>
    </xf>
    <xf borderId="58" fillId="37" fontId="45" numFmtId="164" xfId="0" applyAlignment="1" applyBorder="1" applyFill="1" applyFont="1" applyNumberFormat="1">
      <alignment horizontal="center" readingOrder="0" vertical="center"/>
    </xf>
    <xf borderId="28" fillId="37" fontId="45" numFmtId="164" xfId="0" applyAlignment="1" applyBorder="1" applyFill="1" applyFont="1" applyNumberFormat="1">
      <alignment horizontal="center" readingOrder="0" vertical="center"/>
    </xf>
    <xf borderId="0" fillId="37" fontId="34" numFmtId="4" xfId="0" applyAlignment="1" applyFill="1" applyFont="1" applyNumberFormat="1">
      <alignment horizontal="center" shrinkToFit="0" vertical="center" wrapText="1"/>
    </xf>
    <xf borderId="0" fillId="37" fontId="4" numFmtId="0" xfId="0" applyAlignment="1" applyFill="1" applyFont="1">
      <alignment readingOrder="0"/>
    </xf>
    <xf borderId="37" fillId="5" fontId="9" numFmtId="49" xfId="0" applyAlignment="1" applyBorder="1" applyFill="1" applyFont="1" applyNumberFormat="1">
      <alignment vertical="bottom"/>
    </xf>
    <xf borderId="51" fillId="0" fontId="34" numFmtId="49" xfId="0" applyAlignment="1" applyBorder="1" applyFont="1" applyNumberFormat="1">
      <alignment horizontal="center" vertical="bottom"/>
    </xf>
    <xf borderId="0" fillId="33" fontId="4" numFmtId="49" xfId="0" applyAlignment="1" applyFill="1" applyFont="1" applyNumberFormat="1">
      <alignment horizontal="center" readingOrder="0"/>
    </xf>
    <xf borderId="0" fillId="37" fontId="4" numFmtId="164" xfId="0" applyAlignment="1" applyFill="1" applyFont="1" applyNumberFormat="1">
      <alignment horizontal="center" readingOrder="0"/>
    </xf>
    <xf borderId="58" fillId="35" fontId="9" numFmtId="0" xfId="0" applyAlignment="1" applyBorder="1" applyFill="1" applyFont="1">
      <alignment horizontal="center" vertical="bottom"/>
    </xf>
    <xf borderId="37" fillId="24" fontId="34" numFmtId="49" xfId="0" applyAlignment="1" applyBorder="1" applyFill="1" applyFont="1" applyNumberFormat="1">
      <alignment horizontal="center" vertical="bottom"/>
    </xf>
    <xf borderId="0" fillId="33" fontId="110" numFmtId="0" xfId="0" applyAlignment="1" applyFill="1" applyFont="1">
      <alignment vertical="bottom"/>
    </xf>
    <xf borderId="51" fillId="5" fontId="9" numFmtId="49" xfId="0" applyAlignment="1" applyBorder="1" applyFill="1" applyFont="1" applyNumberFormat="1">
      <alignment vertical="bottom"/>
    </xf>
    <xf borderId="51" fillId="37" fontId="4" numFmtId="0" xfId="0" applyAlignment="1" applyBorder="1" applyFill="1" applyFont="1">
      <alignment horizontal="center" readingOrder="0"/>
    </xf>
    <xf borderId="28" fillId="33" fontId="9" numFmtId="49" xfId="0" applyAlignment="1" applyBorder="1" applyFill="1" applyFont="1" applyNumberFormat="1">
      <alignment horizontal="center" readingOrder="0" vertical="bottom"/>
    </xf>
    <xf borderId="0" fillId="37" fontId="27" numFmtId="164" xfId="0" applyAlignment="1" applyFill="1" applyFont="1" applyNumberFormat="1">
      <alignment horizontal="center"/>
    </xf>
    <xf borderId="37" fillId="35" fontId="9" numFmtId="49" xfId="0" applyAlignment="1" applyBorder="1" applyFill="1" applyFont="1" applyNumberFormat="1">
      <alignment horizontal="center" vertical="bottom"/>
    </xf>
    <xf borderId="58" fillId="33" fontId="9" numFmtId="49" xfId="0" applyAlignment="1" applyBorder="1" applyFill="1" applyFont="1" applyNumberFormat="1">
      <alignment horizontal="center" vertical="bottom"/>
    </xf>
    <xf borderId="31" fillId="33" fontId="111" numFmtId="0" xfId="0" applyAlignment="1" applyBorder="1" applyFill="1" applyFont="1">
      <alignment vertical="bottom"/>
    </xf>
    <xf borderId="16" fillId="35" fontId="34" numFmtId="49" xfId="0" applyAlignment="1" applyBorder="1" applyFill="1" applyFont="1" applyNumberFormat="1">
      <alignment horizontal="center" vertical="bottom"/>
    </xf>
    <xf borderId="50" fillId="33" fontId="112" numFmtId="0" xfId="0" applyAlignment="1" applyBorder="1" applyFill="1" applyFont="1">
      <alignment vertical="bottom"/>
    </xf>
    <xf borderId="49" fillId="35" fontId="34" numFmtId="0" xfId="0" applyAlignment="1" applyBorder="1" applyFill="1" applyFont="1">
      <alignment horizontal="center" vertical="bottom"/>
    </xf>
    <xf borderId="74" fillId="35" fontId="34" numFmtId="0" xfId="0" applyAlignment="1" applyBorder="1" applyFill="1" applyFont="1">
      <alignment horizontal="center" vertical="bottom"/>
    </xf>
    <xf borderId="37" fillId="24" fontId="9" numFmtId="49" xfId="0" applyAlignment="1" applyBorder="1" applyFill="1" applyFont="1" applyNumberFormat="1">
      <alignment horizontal="center" vertical="bottom"/>
    </xf>
    <xf borderId="49" fillId="24" fontId="9" numFmtId="0" xfId="0" applyAlignment="1" applyBorder="1" applyFill="1" applyFont="1">
      <alignment horizontal="center" vertical="bottom"/>
    </xf>
    <xf borderId="74" fillId="35" fontId="9" numFmtId="0" xfId="0" applyAlignment="1" applyBorder="1" applyFill="1" applyFont="1">
      <alignment horizontal="center" vertical="bottom"/>
    </xf>
    <xf borderId="49" fillId="24" fontId="34" numFmtId="0" xfId="0" applyAlignment="1" applyBorder="1" applyFill="1" applyFont="1">
      <alignment horizontal="center" vertical="bottom"/>
    </xf>
    <xf borderId="74" fillId="24" fontId="34" numFmtId="0" xfId="0" applyAlignment="1" applyBorder="1" applyFill="1" applyFont="1">
      <alignment horizontal="center" vertical="bottom"/>
    </xf>
    <xf borderId="19" fillId="37" fontId="4" numFmtId="0" xfId="0" applyAlignment="1" applyBorder="1" applyFill="1" applyFont="1">
      <alignment horizontal="center" readingOrder="0"/>
    </xf>
    <xf borderId="40" fillId="37" fontId="4" numFmtId="2" xfId="0" applyAlignment="1" applyBorder="1" applyFill="1" applyFont="1" applyNumberFormat="1">
      <alignment horizontal="center" readingOrder="0"/>
    </xf>
    <xf borderId="74" fillId="24" fontId="9" numFmtId="0" xfId="0" applyAlignment="1" applyBorder="1" applyFill="1" applyFont="1">
      <alignment horizontal="center" vertical="bottom"/>
    </xf>
    <xf borderId="37" fillId="35" fontId="34" numFmtId="49" xfId="0" applyAlignment="1" applyBorder="1" applyFill="1" applyFont="1" applyNumberFormat="1">
      <alignment horizontal="center" vertical="bottom"/>
    </xf>
    <xf borderId="28" fillId="5" fontId="9" numFmtId="0" xfId="0" applyAlignment="1" applyBorder="1" applyFill="1" applyFont="1">
      <alignment vertical="bottom"/>
    </xf>
    <xf borderId="11" fillId="35" fontId="34" numFmtId="0" xfId="0" applyAlignment="1" applyBorder="1" applyFill="1" applyFont="1">
      <alignment horizontal="center" vertical="bottom"/>
    </xf>
    <xf borderId="51" fillId="35" fontId="9" numFmtId="49" xfId="0" applyAlignment="1" applyBorder="1" applyFill="1" applyFont="1" applyNumberFormat="1">
      <alignment vertical="bottom"/>
    </xf>
    <xf borderId="28" fillId="37" fontId="27" numFmtId="164" xfId="0" applyBorder="1" applyFill="1" applyFont="1" applyNumberFormat="1"/>
    <xf borderId="0" fillId="33" fontId="79" numFmtId="0" xfId="0" applyAlignment="1" applyFill="1" applyFont="1">
      <alignment horizontal="left" readingOrder="0"/>
    </xf>
    <xf borderId="51" fillId="35" fontId="9" numFmtId="49" xfId="0" applyAlignment="1" applyBorder="1" applyFill="1" applyFont="1" applyNumberFormat="1">
      <alignment horizontal="center" readingOrder="0" vertical="bottom"/>
    </xf>
    <xf borderId="0" fillId="33" fontId="9" numFmtId="49" xfId="0" applyAlignment="1" applyFill="1" applyFont="1" applyNumberFormat="1">
      <alignment horizontal="center" readingOrder="0" vertical="bottom"/>
    </xf>
    <xf borderId="0" fillId="33" fontId="113" numFmtId="0" xfId="0" applyAlignment="1" applyFill="1" applyFont="1">
      <alignment readingOrder="0" vertical="bottom"/>
    </xf>
    <xf borderId="0" fillId="33" fontId="114" numFmtId="0" xfId="0" applyAlignment="1" applyFill="1" applyFont="1">
      <alignment horizontal="left" readingOrder="0"/>
    </xf>
    <xf borderId="16" fillId="24" fontId="9" numFmtId="49" xfId="0" applyAlignment="1" applyBorder="1" applyFill="1" applyFont="1" applyNumberFormat="1">
      <alignment vertical="bottom"/>
    </xf>
    <xf borderId="0" fillId="33" fontId="9" numFmtId="0" xfId="0" applyAlignment="1" applyFill="1" applyFont="1">
      <alignment readingOrder="0" vertical="bottom"/>
    </xf>
    <xf borderId="0" fillId="24" fontId="34" numFmtId="49" xfId="0" applyAlignment="1" applyFill="1" applyFont="1" applyNumberFormat="1">
      <alignment horizontal="center" vertical="bottom"/>
    </xf>
    <xf borderId="36" fillId="24" fontId="9" numFmtId="49" xfId="0" applyAlignment="1" applyBorder="1" applyFill="1" applyFont="1" applyNumberFormat="1">
      <alignment horizontal="center" vertical="bottom"/>
    </xf>
    <xf borderId="0" fillId="5" fontId="9" numFmtId="49" xfId="0" applyAlignment="1" applyFill="1" applyFont="1" applyNumberFormat="1">
      <alignment vertical="bottom"/>
    </xf>
    <xf borderId="0" fillId="63" fontId="9" numFmtId="2" xfId="0" applyAlignment="1" applyFill="1" applyFont="1" applyNumberFormat="1">
      <alignment vertical="bottom"/>
    </xf>
    <xf borderId="0" fillId="5" fontId="109" numFmtId="0" xfId="0" applyAlignment="1" applyFill="1" applyFont="1">
      <alignment horizontal="center"/>
    </xf>
    <xf borderId="0" fillId="37" fontId="115" numFmtId="0" xfId="0" applyAlignment="1" applyFill="1" applyFont="1">
      <alignment horizontal="right" vertical="bottom"/>
    </xf>
    <xf borderId="50" fillId="35" fontId="9" numFmtId="0" xfId="0" applyAlignment="1" applyBorder="1" applyFill="1" applyFont="1">
      <alignment horizontal="center" vertical="bottom"/>
    </xf>
    <xf borderId="57" fillId="35" fontId="34" numFmtId="49" xfId="0" applyAlignment="1" applyBorder="1" applyFill="1" applyFont="1" applyNumberFormat="1">
      <alignment horizontal="center" vertical="bottom"/>
    </xf>
    <xf borderId="0" fillId="24" fontId="9" numFmtId="49" xfId="0" applyAlignment="1" applyFill="1" applyFont="1" applyNumberFormat="1">
      <alignment horizontal="center" vertical="bottom"/>
    </xf>
    <xf borderId="36" fillId="35" fontId="9" numFmtId="49" xfId="0" applyAlignment="1" applyBorder="1" applyFill="1" applyFont="1" applyNumberFormat="1">
      <alignment horizontal="center" vertical="bottom"/>
    </xf>
    <xf borderId="24" fillId="35" fontId="9" numFmtId="0" xfId="0" applyAlignment="1" applyBorder="1" applyFill="1" applyFont="1">
      <alignment horizontal="center" vertical="bottom"/>
    </xf>
    <xf borderId="0" fillId="37" fontId="45" numFmtId="0" xfId="0" applyAlignment="1" applyFill="1" applyFont="1">
      <alignment horizontal="center" readingOrder="0" vertical="bottom"/>
    </xf>
    <xf borderId="24" fillId="37" fontId="34" numFmtId="2" xfId="0" applyAlignment="1" applyBorder="1" applyFill="1" applyFont="1" applyNumberFormat="1">
      <alignment horizontal="center" readingOrder="0" shrinkToFit="0" vertical="bottom" wrapText="1"/>
    </xf>
    <xf borderId="24" fillId="37" fontId="34" numFmtId="0" xfId="0" applyAlignment="1" applyBorder="1" applyFill="1" applyFont="1">
      <alignment horizontal="center" readingOrder="0" shrinkToFit="0" vertical="bottom" wrapText="1"/>
    </xf>
    <xf borderId="24" fillId="37" fontId="34" numFmtId="49" xfId="0" applyAlignment="1" applyBorder="1" applyFill="1" applyFont="1" applyNumberFormat="1">
      <alignment horizontal="center" readingOrder="0" shrinkToFit="0" vertical="bottom" wrapText="1"/>
    </xf>
    <xf borderId="16" fillId="5" fontId="9" numFmtId="49" xfId="0" applyAlignment="1" applyBorder="1" applyFill="1" applyFont="1" applyNumberForma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4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64" fontId="4" numFmtId="0" xfId="0" applyFill="1" applyFont="1"/>
    <xf borderId="0" fillId="0" fontId="116" numFmtId="49" xfId="0" applyAlignment="1" applyFont="1" applyNumberFormat="1">
      <alignment horizontal="right"/>
    </xf>
    <xf borderId="0" fillId="37" fontId="27" numFmtId="49" xfId="0" applyAlignment="1" applyFill="1" applyFont="1" applyNumberFormat="1">
      <alignment horizontal="left"/>
    </xf>
    <xf borderId="0" fillId="37" fontId="27" numFmtId="0" xfId="0" applyAlignment="1" applyFill="1" applyFont="1">
      <alignment horizontal="right"/>
    </xf>
    <xf borderId="0" fillId="37" fontId="117" numFmtId="0" xfId="0" applyAlignment="1" applyFill="1" applyFont="1">
      <alignment horizontal="center"/>
    </xf>
    <xf borderId="0" fillId="37" fontId="116" numFmtId="0" xfId="0" applyAlignment="1" applyFill="1" applyFont="1">
      <alignment horizontal="right"/>
    </xf>
    <xf borderId="16" fillId="0" fontId="4" numFmtId="0" xfId="0" applyBorder="1" applyFont="1"/>
    <xf borderId="16" fillId="37" fontId="118" numFmtId="0" xfId="0" applyAlignment="1" applyBorder="1" applyFill="1" applyFont="1">
      <alignment horizontal="center"/>
    </xf>
    <xf borderId="16" fillId="37" fontId="119" numFmtId="0" xfId="0" applyAlignment="1" applyBorder="1" applyFill="1" applyFont="1">
      <alignment horizontal="center" vertical="center"/>
    </xf>
    <xf borderId="16" fillId="37" fontId="118" numFmtId="0" xfId="0" applyAlignment="1" applyBorder="1" applyFill="1" applyFont="1">
      <alignment horizontal="center"/>
    </xf>
    <xf borderId="0" fillId="37" fontId="34" numFmtId="2" xfId="0" applyAlignment="1" applyFill="1" applyFont="1" applyNumberFormat="1">
      <alignment horizontal="center" readingOrder="0" shrinkToFit="0" vertical="bottom" wrapText="1"/>
    </xf>
    <xf borderId="0" fillId="37" fontId="34" numFmtId="0" xfId="0" applyAlignment="1" applyFill="1" applyFont="1">
      <alignment horizontal="center" readingOrder="0" shrinkToFit="0" vertical="bottom" wrapText="1"/>
    </xf>
    <xf borderId="16" fillId="37" fontId="119" numFmtId="0" xfId="0" applyAlignment="1" applyBorder="1" applyFill="1" applyFont="1">
      <alignment horizontal="center"/>
    </xf>
    <xf borderId="0" fillId="37" fontId="34" numFmtId="49" xfId="0" applyAlignment="1" applyFill="1" applyFont="1" applyNumberFormat="1">
      <alignment horizontal="center" readingOrder="0" shrinkToFit="0" vertical="bottom" wrapText="1"/>
    </xf>
    <xf borderId="0" fillId="37" fontId="118" numFmtId="0" xfId="0" applyAlignment="1" applyFill="1" applyFont="1">
      <alignment horizontal="center"/>
    </xf>
    <xf borderId="75" fillId="44" fontId="34" numFmtId="167" xfId="0" applyAlignment="1" applyBorder="1" applyFill="1" applyFont="1" applyNumberFormat="1">
      <alignment horizontal="center" vertical="bottom"/>
    </xf>
    <xf borderId="26" fillId="44" fontId="34" numFmtId="167" xfId="0" applyAlignment="1" applyBorder="1" applyFill="1" applyFont="1" applyNumberFormat="1">
      <alignment horizontal="center" vertical="bottom"/>
    </xf>
    <xf borderId="0" fillId="37" fontId="120" numFmtId="0" xfId="0" applyAlignment="1" applyFill="1" applyFont="1">
      <alignment horizontal="right" readingOrder="0"/>
    </xf>
    <xf borderId="41" fillId="37" fontId="79" numFmtId="0" xfId="0" applyAlignment="1" applyBorder="1" applyFill="1" applyFont="1">
      <alignment horizontal="center" readingOrder="0"/>
    </xf>
    <xf borderId="0" fillId="37" fontId="57" numFmtId="49" xfId="0" applyAlignment="1" applyFill="1" applyFont="1" applyNumberFormat="1">
      <alignment horizontal="center" readingOrder="0" vertical="bottom"/>
    </xf>
    <xf borderId="26" fillId="40" fontId="121" numFmtId="167" xfId="0" applyAlignment="1" applyBorder="1" applyFill="1" applyFont="1" applyNumberFormat="1">
      <alignment horizontal="center" vertical="bottom"/>
    </xf>
    <xf borderId="46" fillId="37" fontId="4" numFmtId="0" xfId="0" applyAlignment="1" applyBorder="1" applyFill="1" applyFont="1">
      <alignment horizontal="center" readingOrder="0"/>
    </xf>
    <xf borderId="9" fillId="37" fontId="4" numFmtId="0" xfId="0" applyAlignment="1" applyBorder="1" applyFill="1" applyFont="1">
      <alignment horizontal="center" readingOrder="0"/>
    </xf>
    <xf borderId="26" fillId="40" fontId="122" numFmtId="167" xfId="0" applyAlignment="1" applyBorder="1" applyFill="1" applyFont="1" applyNumberFormat="1">
      <alignment horizontal="center" vertical="bottom"/>
    </xf>
    <xf borderId="47" fillId="37" fontId="4" numFmtId="2" xfId="0" applyAlignment="1" applyBorder="1" applyFill="1" applyFont="1" applyNumberFormat="1">
      <alignment horizontal="center" readingOrder="0"/>
    </xf>
    <xf borderId="9" fillId="37" fontId="4" numFmtId="164" xfId="0" applyAlignment="1" applyBorder="1" applyFill="1" applyFont="1" applyNumberFormat="1">
      <alignment horizontal="center" readingOrder="0"/>
    </xf>
    <xf borderId="9" fillId="37" fontId="27" numFmtId="164" xfId="0" applyAlignment="1" applyBorder="1" applyFill="1" applyFont="1" applyNumberFormat="1">
      <alignment horizontal="center"/>
    </xf>
    <xf borderId="9" fillId="37" fontId="4" numFmtId="0" xfId="0" applyAlignment="1" applyBorder="1" applyFill="1" applyFont="1">
      <alignment horizontal="center" readingOrder="0" vertical="bottom"/>
    </xf>
    <xf borderId="11" fillId="37" fontId="4" numFmtId="0" xfId="0" applyAlignment="1" applyBorder="1" applyFill="1" applyFont="1">
      <alignment readingOrder="0"/>
    </xf>
    <xf borderId="9" fillId="37" fontId="9" numFmtId="2" xfId="0" applyAlignment="1" applyBorder="1" applyFill="1" applyFont="1" applyNumberFormat="1">
      <alignment horizontal="center" readingOrder="0" shrinkToFit="0" vertical="bottom" wrapText="1"/>
    </xf>
    <xf borderId="9" fillId="37" fontId="9" numFmtId="0" xfId="0" applyAlignment="1" applyBorder="1" applyFill="1" applyFont="1">
      <alignment horizontal="center" readingOrder="0" shrinkToFit="0" vertical="bottom" wrapText="1"/>
    </xf>
    <xf borderId="9" fillId="37" fontId="9" numFmtId="3" xfId="0" applyAlignment="1" applyBorder="1" applyFill="1" applyFont="1" applyNumberFormat="1">
      <alignment horizontal="center" readingOrder="0" shrinkToFit="0" vertical="bottom" wrapText="1"/>
    </xf>
    <xf borderId="47" fillId="37" fontId="9" numFmtId="0" xfId="0" applyAlignment="1" applyBorder="1" applyFill="1" applyFont="1">
      <alignment horizontal="center" readingOrder="0" shrinkToFit="0" vertical="bottom" wrapText="1"/>
    </xf>
    <xf borderId="26" fillId="34" fontId="63" numFmtId="167" xfId="0" applyAlignment="1" applyBorder="1" applyFill="1" applyFont="1" applyNumberFormat="1">
      <alignment horizontal="center" vertical="bottom"/>
    </xf>
    <xf borderId="16" fillId="37" fontId="4" numFmtId="0" xfId="0" applyAlignment="1" applyBorder="1" applyFill="1" applyFont="1">
      <alignment horizontal="center" readingOrder="0"/>
    </xf>
    <xf borderId="26" fillId="34" fontId="9" numFmtId="167" xfId="0" applyAlignment="1" applyBorder="1" applyFill="1" applyFont="1" applyNumberFormat="1">
      <alignment horizontal="center" vertical="bottom"/>
    </xf>
    <xf borderId="19" fillId="37" fontId="4" numFmtId="3" xfId="0" applyAlignment="1" applyBorder="1" applyFill="1" applyFont="1" applyNumberFormat="1">
      <alignment horizontal="center" readingOrder="0" vertical="bottom"/>
    </xf>
    <xf borderId="0" fillId="37" fontId="4" numFmtId="3" xfId="0" applyAlignment="1" applyFill="1" applyFont="1" applyNumberFormat="1">
      <alignment horizontal="center" readingOrder="0" vertical="bottom"/>
    </xf>
    <xf borderId="26" fillId="46" fontId="121" numFmtId="167" xfId="0" applyAlignment="1" applyBorder="1" applyFill="1" applyFont="1" applyNumberFormat="1">
      <alignment horizontal="center" vertical="bottom"/>
    </xf>
    <xf borderId="26" fillId="46" fontId="122" numFmtId="167" xfId="0" applyAlignment="1" applyBorder="1" applyFill="1" applyFont="1" applyNumberFormat="1">
      <alignment horizontal="center" vertical="bottom"/>
    </xf>
    <xf borderId="26" fillId="47" fontId="63" numFmtId="167" xfId="0" applyAlignment="1" applyBorder="1" applyFill="1" applyFont="1" applyNumberFormat="1">
      <alignment horizontal="center" vertical="bottom"/>
    </xf>
    <xf borderId="26" fillId="47" fontId="9" numFmtId="167" xfId="0" applyAlignment="1" applyBorder="1" applyFill="1" applyFont="1" applyNumberFormat="1">
      <alignment horizontal="center" vertical="bottom"/>
    </xf>
    <xf borderId="49" fillId="37" fontId="4" numFmtId="0" xfId="0" applyAlignment="1" applyBorder="1" applyFill="1" applyFont="1">
      <alignment readingOrder="0"/>
    </xf>
    <xf borderId="26" fillId="48" fontId="121" numFmtId="167" xfId="0" applyAlignment="1" applyBorder="1" applyFill="1" applyFont="1" applyNumberFormat="1">
      <alignment horizontal="center" vertical="bottom"/>
    </xf>
    <xf borderId="26" fillId="48" fontId="122" numFmtId="167" xfId="0" applyAlignment="1" applyBorder="1" applyFill="1" applyFont="1" applyNumberFormat="1">
      <alignment horizontal="center" vertical="bottom"/>
    </xf>
    <xf borderId="26" fillId="49" fontId="34" numFmtId="167" xfId="0" applyAlignment="1" applyBorder="1" applyFill="1" applyFont="1" applyNumberFormat="1">
      <alignment horizontal="center" vertical="bottom"/>
    </xf>
    <xf borderId="28" fillId="37" fontId="45" numFmtId="0" xfId="0" applyAlignment="1" applyBorder="1" applyFill="1" applyFont="1">
      <alignment horizontal="center" readingOrder="0" vertical="bottom"/>
    </xf>
    <xf borderId="41" fillId="50" fontId="123" numFmtId="0" xfId="0" applyAlignment="1" applyBorder="1" applyFill="1" applyFont="1">
      <alignment horizontal="center" readingOrder="0"/>
    </xf>
    <xf borderId="0" fillId="50" fontId="123" numFmtId="0" xfId="0" applyAlignment="1" applyFill="1" applyFont="1">
      <alignment horizontal="center" readingOrder="0"/>
    </xf>
    <xf borderId="24" fillId="37" fontId="45" numFmtId="0" xfId="0" applyAlignment="1" applyBorder="1" applyFill="1" applyFont="1">
      <alignment horizontal="center" readingOrder="0" vertical="bottom"/>
    </xf>
    <xf borderId="24" fillId="37" fontId="34" numFmtId="0" xfId="0" applyAlignment="1" applyBorder="1" applyFill="1" applyFont="1">
      <alignment horizontal="center" shrinkToFit="0" vertical="bottom" wrapText="1"/>
    </xf>
    <xf borderId="0" fillId="64" fontId="4" numFmtId="0" xfId="0" applyAlignment="1" applyFill="1" applyFont="1">
      <alignment readingOrder="0"/>
    </xf>
    <xf borderId="0" fillId="37" fontId="34" numFmtId="0" xfId="0" applyAlignment="1" applyFill="1" applyFont="1">
      <alignment horizontal="center" shrinkToFit="0" vertical="bottom" wrapText="1"/>
    </xf>
    <xf borderId="41" fillId="0" fontId="4" numFmtId="0" xfId="0" applyBorder="1" applyFont="1"/>
    <xf borderId="4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39" fillId="37" fontId="79" numFmtId="0" xfId="0" applyAlignment="1" applyBorder="1" applyFill="1" applyFont="1">
      <alignment horizontal="center" readingOrder="0" vertical="bottom"/>
    </xf>
    <xf borderId="16" fillId="0" fontId="4" numFmtId="0" xfId="0" applyAlignment="1" applyBorder="1" applyFont="1">
      <alignment readingOrder="0"/>
    </xf>
    <xf borderId="0" fillId="37" fontId="27" numFmtId="0" xfId="0" applyAlignment="1" applyFill="1" applyFont="1">
      <alignment horizontal="left" readingOrder="0"/>
    </xf>
    <xf borderId="0" fillId="37" fontId="124" numFmtId="0" xfId="0" applyAlignment="1" applyFill="1" applyFont="1">
      <alignment horizontal="left" readingOrder="0"/>
    </xf>
    <xf borderId="0" fillId="0" fontId="116" numFmtId="49" xfId="0" applyAlignment="1" applyFont="1" applyNumberFormat="1">
      <alignment horizontal="right" readingOrder="0"/>
    </xf>
    <xf borderId="0" fillId="0" fontId="125" numFmtId="0" xfId="0" applyAlignment="1" applyFont="1">
      <alignment readingOrder="0"/>
    </xf>
    <xf borderId="0" fillId="64" fontId="4" numFmtId="49" xfId="0" applyFill="1" applyFont="1" applyNumberFormat="1"/>
    <xf borderId="0" fillId="37" fontId="116" numFmtId="49" xfId="0" applyAlignment="1" applyFill="1" applyFont="1" applyNumberFormat="1">
      <alignment horizontal="right"/>
    </xf>
    <xf borderId="0" fillId="37" fontId="27" numFmtId="1" xfId="0" applyAlignment="1" applyFill="1" applyFont="1" applyNumberFormat="1">
      <alignment horizontal="left"/>
    </xf>
    <xf borderId="0" fillId="37" fontId="126" numFmtId="1" xfId="0" applyAlignment="1" applyFill="1" applyFont="1" applyNumberFormat="1">
      <alignment horizontal="left"/>
    </xf>
    <xf borderId="19" fillId="37" fontId="79" numFmtId="0" xfId="0" applyAlignment="1" applyBorder="1" applyFill="1" applyFont="1">
      <alignment horizontal="center" readingOrder="0" vertical="bottom"/>
    </xf>
    <xf borderId="19" fillId="37" fontId="79" numFmtId="3" xfId="0" applyAlignment="1" applyBorder="1" applyFill="1" applyFont="1" applyNumberFormat="1">
      <alignment horizontal="center" readingOrder="0" shrinkToFit="0" vertical="bottom" wrapText="1"/>
    </xf>
    <xf borderId="19" fillId="37" fontId="79" numFmtId="0" xfId="0" applyAlignment="1" applyBorder="1" applyFill="1" applyFont="1">
      <alignment horizontal="center" readingOrder="0" shrinkToFit="0" vertical="bottom" wrapText="1"/>
    </xf>
    <xf borderId="19" fillId="37" fontId="79" numFmtId="0" xfId="0" applyAlignment="1" applyBorder="1" applyFill="1" applyFont="1">
      <alignment horizontal="center" readingOrder="0" shrinkToFit="0" vertical="bottom" wrapText="1"/>
    </xf>
    <xf borderId="40" fillId="37" fontId="79" numFmtId="0" xfId="0" applyAlignment="1" applyBorder="1" applyFill="1" applyFont="1">
      <alignment horizontal="center" readingOrder="0" vertical="bottom"/>
    </xf>
    <xf borderId="41" fillId="37" fontId="79" numFmtId="0" xfId="0" applyAlignment="1" applyBorder="1" applyFill="1" applyFont="1">
      <alignment horizontal="center" readingOrder="0" vertical="bottom"/>
    </xf>
    <xf borderId="0" fillId="37" fontId="67" numFmtId="0" xfId="0" applyAlignment="1" applyFill="1" applyFont="1">
      <alignment vertical="bottom"/>
    </xf>
    <xf borderId="16" fillId="0" fontId="9" numFmtId="0" xfId="0" applyAlignment="1" applyBorder="1" applyFont="1">
      <alignment vertical="bottom"/>
    </xf>
    <xf borderId="0" fillId="0" fontId="34" numFmtId="0" xfId="0" applyAlignment="1" applyFont="1">
      <alignment horizontal="center" shrinkToFit="0" vertical="bottom" wrapText="0"/>
    </xf>
    <xf borderId="16" fillId="37" fontId="27" numFmtId="0" xfId="0" applyAlignment="1" applyBorder="1" applyFill="1" applyFont="1">
      <alignment horizontal="left"/>
    </xf>
    <xf borderId="0" fillId="37" fontId="79" numFmtId="0" xfId="0" applyAlignment="1" applyFill="1" applyFont="1">
      <alignment horizontal="center" readingOrder="0" vertical="bottom"/>
    </xf>
    <xf borderId="0" fillId="37" fontId="79" numFmtId="3" xfId="0" applyAlignment="1" applyFill="1" applyFont="1" applyNumberFormat="1">
      <alignment horizontal="center" readingOrder="0" shrinkToFit="0" vertical="bottom" wrapText="1"/>
    </xf>
    <xf borderId="0" fillId="37" fontId="79" numFmtId="0" xfId="0" applyAlignment="1" applyFill="1" applyFont="1">
      <alignment horizontal="center" readingOrder="0" shrinkToFit="0" vertical="bottom" wrapText="1"/>
    </xf>
    <xf borderId="0" fillId="37" fontId="79" numFmtId="0" xfId="0" applyAlignment="1" applyFill="1" applyFont="1">
      <alignment horizontal="center" readingOrder="0" shrinkToFit="0" vertical="bottom" wrapText="1"/>
    </xf>
    <xf borderId="0" fillId="64" fontId="4" numFmtId="49" xfId="0" applyAlignment="1" applyFill="1" applyFont="1" applyNumberFormat="1">
      <alignment readingOrder="0"/>
    </xf>
    <xf borderId="16" fillId="37" fontId="79" numFmtId="0" xfId="0" applyAlignment="1" applyBorder="1" applyFill="1" applyFont="1">
      <alignment horizontal="center" readingOrder="0" vertical="bottom"/>
    </xf>
    <xf borderId="16" fillId="5" fontId="4" numFmtId="0" xfId="0" applyBorder="1" applyFill="1" applyFont="1"/>
    <xf borderId="41" fillId="5" fontId="4" numFmtId="0" xfId="0" applyBorder="1" applyFill="1" applyFont="1"/>
    <xf borderId="0" fillId="65" fontId="127" numFmtId="0" xfId="0" applyAlignment="1" applyFill="1" applyFont="1">
      <alignment horizontal="center" readingOrder="0"/>
    </xf>
    <xf borderId="0" fillId="66" fontId="4" numFmtId="0" xfId="0" applyAlignment="1" applyFill="1" applyFont="1">
      <alignment readingOrder="0"/>
    </xf>
    <xf borderId="0" fillId="38" fontId="4" numFmtId="0" xfId="0" applyAlignment="1" applyFill="1" applyFont="1">
      <alignment readingOrder="0"/>
    </xf>
    <xf borderId="0" fillId="33" fontId="4" numFmtId="0" xfId="0" applyAlignment="1" applyFill="1" applyFont="1">
      <alignment readingOrder="0"/>
    </xf>
    <xf borderId="0" fillId="37" fontId="120" numFmtId="164" xfId="0" applyAlignment="1" applyFill="1" applyFont="1" applyNumberFormat="1">
      <alignment horizontal="left" readingOrder="0"/>
    </xf>
    <xf borderId="28" fillId="37" fontId="34" numFmtId="0" xfId="0" applyAlignment="1" applyBorder="1" applyFill="1" applyFont="1">
      <alignment horizontal="center" shrinkToFit="0" vertical="bottom" wrapText="1"/>
    </xf>
    <xf borderId="0" fillId="4" fontId="128" numFmtId="0" xfId="0" applyAlignment="1" applyFill="1" applyFont="1">
      <alignment readingOrder="0"/>
    </xf>
    <xf borderId="0" fillId="38" fontId="129" numFmtId="0" xfId="0" applyAlignment="1" applyFill="1" applyFont="1">
      <alignment readingOrder="0"/>
    </xf>
    <xf borderId="0" fillId="35" fontId="129" numFmtId="0" xfId="0" applyAlignment="1" applyFill="1" applyFont="1">
      <alignment readingOrder="0"/>
    </xf>
    <xf borderId="0" fillId="46" fontId="129" numFmtId="0" xfId="0" applyAlignment="1" applyFill="1" applyFont="1">
      <alignment readingOrder="0"/>
    </xf>
    <xf borderId="19" fillId="37" fontId="4" numFmtId="3" xfId="0" applyAlignment="1" applyBorder="1" applyFill="1" applyFont="1" applyNumberFormat="1">
      <alignment horizontal="center" readingOrder="0"/>
    </xf>
    <xf borderId="76" fillId="60" fontId="8" numFmtId="0" xfId="0" applyAlignment="1" applyBorder="1" applyFill="1" applyFont="1">
      <alignment horizontal="center" vertical="bottom"/>
    </xf>
    <xf borderId="40" fillId="37" fontId="4" numFmtId="0" xfId="0" applyAlignment="1" applyBorder="1" applyFill="1" applyFont="1">
      <alignment horizontal="center" readingOrder="0"/>
    </xf>
    <xf borderId="77" fillId="0" fontId="3" numFmtId="0" xfId="0" applyBorder="1" applyFont="1"/>
    <xf borderId="78" fillId="0" fontId="3" numFmtId="0" xfId="0" applyBorder="1" applyFont="1"/>
    <xf borderId="79" fillId="29" fontId="8" numFmtId="0" xfId="0" applyAlignment="1" applyBorder="1" applyFill="1" applyFont="1">
      <alignment horizontal="center" readingOrder="0"/>
    </xf>
    <xf borderId="0" fillId="29" fontId="26" numFmtId="0" xfId="0" applyAlignment="1" applyFill="1" applyFont="1">
      <alignment horizontal="center" readingOrder="0" vertical="bottom"/>
    </xf>
    <xf borderId="80" fillId="0" fontId="3" numFmtId="0" xfId="0" applyBorder="1" applyFont="1"/>
    <xf borderId="0" fillId="29" fontId="26" numFmtId="0" xfId="0" applyAlignment="1" applyFill="1" applyFont="1">
      <alignment horizontal="center" readingOrder="0" shrinkToFit="0" vertical="bottom" wrapText="1"/>
    </xf>
    <xf borderId="0" fillId="4" fontId="4" numFmtId="0" xfId="0" applyFill="1" applyFont="1"/>
    <xf borderId="0" fillId="38" fontId="4" numFmtId="0" xfId="0" applyFill="1" applyFont="1"/>
    <xf borderId="0" fillId="35" fontId="4" numFmtId="0" xfId="0" applyFill="1" applyFont="1"/>
    <xf borderId="0" fillId="46" fontId="4" numFmtId="0" xfId="0" applyFill="1" applyFont="1"/>
    <xf borderId="81" fillId="29" fontId="8" numFmtId="0" xfId="0" applyAlignment="1" applyBorder="1" applyFill="1" applyFont="1">
      <alignment horizontal="center" readingOrder="0"/>
    </xf>
    <xf borderId="82" fillId="29" fontId="26" numFmtId="0" xfId="0" applyAlignment="1" applyBorder="1" applyFill="1" applyFont="1">
      <alignment horizontal="center" readingOrder="0" shrinkToFit="0" vertical="bottom" wrapText="1"/>
    </xf>
    <xf borderId="82" fillId="0" fontId="3" numFmtId="0" xfId="0" applyBorder="1" applyFont="1"/>
    <xf borderId="83" fillId="0" fontId="3" numFmtId="0" xfId="0" applyBorder="1" applyFont="1"/>
    <xf borderId="84" fillId="29" fontId="29" numFmtId="0" xfId="0" applyAlignment="1" applyBorder="1" applyFill="1" applyFont="1">
      <alignment readingOrder="0"/>
    </xf>
    <xf borderId="0" fillId="29" fontId="83" numFmtId="0" xfId="0" applyAlignment="1" applyFill="1" applyFont="1">
      <alignment readingOrder="0"/>
    </xf>
    <xf borderId="0" fillId="52" fontId="130" numFmtId="0" xfId="0" applyAlignment="1" applyFill="1" applyFont="1">
      <alignment readingOrder="0"/>
    </xf>
    <xf borderId="0" fillId="52" fontId="4" numFmtId="0" xfId="0" applyFill="1" applyFont="1"/>
    <xf borderId="0" fillId="55" fontId="131" numFmtId="0" xfId="0" applyAlignment="1" applyFill="1" applyFont="1">
      <alignment readingOrder="0"/>
    </xf>
    <xf borderId="0" fillId="56" fontId="131" numFmtId="0" xfId="0" applyAlignment="1" applyFill="1" applyFont="1">
      <alignment readingOrder="0"/>
    </xf>
    <xf borderId="0" fillId="57" fontId="131" numFmtId="0" xfId="0" applyAlignment="1" applyFill="1" applyFont="1">
      <alignment readingOrder="0"/>
    </xf>
    <xf borderId="0" fillId="58" fontId="131" numFmtId="0" xfId="0" applyAlignment="1" applyFill="1" applyFont="1">
      <alignment readingOrder="0"/>
    </xf>
    <xf borderId="0" fillId="55" fontId="4" numFmtId="0" xfId="0" applyFill="1" applyFont="1"/>
    <xf borderId="0" fillId="56" fontId="4" numFmtId="0" xfId="0" applyFill="1" applyFont="1"/>
    <xf borderId="0" fillId="57" fontId="4" numFmtId="0" xfId="0" applyFill="1" applyFont="1"/>
    <xf borderId="0" fillId="58" fontId="4" numFmtId="0" xfId="0" applyFill="1" applyFont="1"/>
    <xf borderId="0" fillId="37" fontId="4" numFmtId="3" xfId="0" applyAlignment="1" applyFill="1" applyFont="1" applyNumberFormat="1">
      <alignment horizontal="center" readingOrder="0"/>
    </xf>
    <xf borderId="24" fillId="37" fontId="45" numFmtId="20" xfId="0" applyAlignment="1" applyBorder="1" applyFill="1" applyFont="1" applyNumberFormat="1">
      <alignment horizontal="center" readingOrder="0" vertical="bottom"/>
    </xf>
    <xf borderId="28" fillId="65" fontId="9" numFmtId="0" xfId="0" applyAlignment="1" applyBorder="1" applyFill="1" applyFont="1">
      <alignment horizontal="center" vertical="bottom"/>
    </xf>
    <xf borderId="15" fillId="5" fontId="92" numFmtId="0" xfId="0" applyAlignment="1" applyBorder="1" applyFill="1" applyFont="1">
      <alignment horizontal="center" shrinkToFit="0" vertical="top" wrapText="1"/>
    </xf>
    <xf borderId="0" fillId="0" fontId="132" numFmtId="0" xfId="0" applyAlignment="1" applyFont="1">
      <alignment horizontal="center" shrinkToFit="0" wrapText="1"/>
    </xf>
    <xf borderId="28" fillId="40" fontId="9" numFmtId="0" xfId="0" applyAlignment="1" applyBorder="1" applyFill="1" applyFont="1">
      <alignment vertical="bottom"/>
    </xf>
    <xf borderId="15" fillId="5" fontId="9" numFmtId="0" xfId="0" applyAlignment="1" applyBorder="1" applyFill="1" applyFont="1">
      <alignment vertical="top"/>
    </xf>
    <xf borderId="15" fillId="40" fontId="9" numFmtId="0" xfId="0" applyAlignment="1" applyBorder="1" applyFill="1" applyFont="1">
      <alignment vertical="bottom"/>
    </xf>
    <xf borderId="0" fillId="0" fontId="9" numFmtId="0" xfId="0" applyAlignment="1" applyFont="1">
      <alignment horizontal="center" vertical="bottom"/>
    </xf>
    <xf borderId="28" fillId="29" fontId="9" numFmtId="0" xfId="0" applyAlignment="1" applyBorder="1" applyFill="1" applyFont="1">
      <alignment horizontal="center"/>
    </xf>
    <xf borderId="15" fillId="40" fontId="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shrinkToFit="0" wrapText="1"/>
    </xf>
    <xf borderId="50" fillId="40" fontId="9" numFmtId="0" xfId="0" applyAlignment="1" applyBorder="1" applyFill="1" applyFont="1">
      <alignment vertical="bottom"/>
    </xf>
    <xf borderId="15" fillId="0" fontId="9" numFmtId="0" xfId="0" applyAlignment="1" applyBorder="1" applyFont="1">
      <alignment horizontal="center"/>
    </xf>
    <xf borderId="28" fillId="5" fontId="9" numFmtId="0" xfId="0" applyBorder="1" applyFill="1" applyFont="1"/>
    <xf borderId="0" fillId="40" fontId="9" numFmtId="0" xfId="0" applyAlignment="1" applyFill="1" applyFont="1">
      <alignment horizontal="center" vertical="bottom"/>
    </xf>
    <xf borderId="50" fillId="29" fontId="9" numFmtId="0" xfId="0" applyAlignment="1" applyBorder="1" applyFill="1" applyFont="1">
      <alignment horizontal="center"/>
    </xf>
    <xf borderId="15" fillId="5" fontId="92" numFmtId="0" xfId="0" applyAlignment="1" applyBorder="1" applyFill="1" applyFont="1">
      <alignment horizontal="center" vertical="bottom"/>
    </xf>
    <xf borderId="28" fillId="29" fontId="9" numFmtId="0" xfId="0" applyAlignment="1" applyBorder="1" applyFill="1" applyFont="1">
      <alignment horizontal="center" vertical="bottom"/>
    </xf>
    <xf borderId="50" fillId="0" fontId="9" numFmtId="0" xfId="0" applyAlignment="1" applyBorder="1" applyFont="1">
      <alignment horizontal="center" vertical="bottom"/>
    </xf>
    <xf borderId="0" fillId="40" fontId="9" numFmtId="0" xfId="0" applyFill="1" applyFont="1"/>
    <xf borderId="0" fillId="0" fontId="9" numFmtId="0" xfId="0" applyAlignment="1" applyFont="1">
      <alignment horizontal="center" shrinkToFit="0" vertical="bottom" wrapText="0"/>
    </xf>
    <xf borderId="0" fillId="29" fontId="34" numFmtId="0" xfId="0" applyAlignment="1" applyFill="1" applyFont="1">
      <alignment horizontal="center"/>
    </xf>
    <xf borderId="0" fillId="29" fontId="9" numFmtId="0" xfId="0" applyAlignment="1" applyFill="1" applyFont="1">
      <alignment horizontal="center"/>
    </xf>
    <xf borderId="0" fillId="29" fontId="34" numFmtId="0" xfId="0" applyAlignment="1" applyFill="1" applyFont="1">
      <alignment horizontal="center" vertical="bottom"/>
    </xf>
    <xf borderId="0" fillId="29" fontId="9" numFmtId="0" xfId="0" applyAlignment="1" applyFill="1" applyFont="1">
      <alignment horizontal="center" vertical="bottom"/>
    </xf>
    <xf borderId="0" fillId="29" fontId="133" numFmtId="0" xfId="0" applyAlignment="1" applyFill="1" applyFont="1">
      <alignment horizontal="center" vertical="bottom"/>
    </xf>
    <xf borderId="28" fillId="29" fontId="133" numFmtId="0" xfId="0" applyAlignment="1" applyBorder="1" applyFill="1" applyFont="1">
      <alignment horizontal="center" vertical="bottom"/>
    </xf>
    <xf borderId="28" fillId="29" fontId="9" numFmtId="0" xfId="0" applyAlignment="1" applyBorder="1" applyFill="1" applyFont="1">
      <alignment vertical="bottom"/>
    </xf>
    <xf borderId="0" fillId="29" fontId="63" numFmtId="0" xfId="0" applyAlignment="1" applyFill="1" applyFont="1">
      <alignment horizontal="center" vertical="bottom"/>
    </xf>
    <xf borderId="0" fillId="37" fontId="4" numFmtId="0" xfId="0" applyAlignment="1" applyFill="1" applyFont="1">
      <alignment horizontal="left" vertical="center"/>
    </xf>
    <xf borderId="0" fillId="37" fontId="4" numFmtId="0" xfId="0" applyAlignment="1" applyFill="1" applyFont="1">
      <alignment horizontal="center"/>
    </xf>
    <xf borderId="0" fillId="0" fontId="4" numFmtId="9" xfId="0" applyFont="1" applyNumberFormat="1"/>
    <xf borderId="0" fillId="37" fontId="134" numFmtId="0" xfId="0" applyAlignment="1" applyFill="1" applyFont="1">
      <alignment horizontal="left" vertical="center"/>
    </xf>
    <xf borderId="0" fillId="37" fontId="134" numFmtId="0" xfId="0" applyAlignment="1" applyFill="1" applyFont="1">
      <alignment horizontal="center"/>
    </xf>
    <xf borderId="0" fillId="0" fontId="134" numFmtId="9" xfId="0" applyFont="1" applyNumberFormat="1"/>
    <xf borderId="0" fillId="37" fontId="45" numFmtId="20" xfId="0" applyAlignment="1" applyFill="1" applyFont="1" applyNumberFormat="1">
      <alignment horizontal="center" readingOrder="0" vertical="bottom"/>
    </xf>
    <xf borderId="46" fillId="37" fontId="79" numFmtId="0" xfId="0" applyAlignment="1" applyBorder="1" applyFill="1" applyFont="1">
      <alignment horizontal="center" readingOrder="0" vertical="bottom"/>
    </xf>
    <xf borderId="9" fillId="37" fontId="79" numFmtId="0" xfId="0" applyAlignment="1" applyBorder="1" applyFill="1" applyFont="1">
      <alignment horizontal="center" readingOrder="0" vertical="bottom"/>
    </xf>
    <xf borderId="9" fillId="37" fontId="4" numFmtId="3" xfId="0" applyAlignment="1" applyBorder="1" applyFill="1" applyFont="1" applyNumberFormat="1">
      <alignment horizontal="center" readingOrder="0"/>
    </xf>
    <xf borderId="47" fillId="37" fontId="4" numFmtId="0" xfId="0" applyAlignment="1" applyBorder="1" applyFill="1" applyFont="1">
      <alignment horizontal="center" readingOrder="0"/>
    </xf>
    <xf borderId="23" fillId="37" fontId="4" numFmtId="0" xfId="0" applyAlignment="1" applyBorder="1" applyFill="1" applyFont="1">
      <alignment readingOrder="0"/>
    </xf>
    <xf borderId="24" fillId="37" fontId="34" numFmtId="20" xfId="0" applyAlignment="1" applyBorder="1" applyFill="1" applyFont="1" applyNumberFormat="1">
      <alignment horizontal="center" readingOrder="0" shrinkToFit="0" vertical="bottom" wrapText="1"/>
    </xf>
    <xf borderId="24" fillId="37" fontId="45" numFmtId="0" xfId="0" applyAlignment="1" applyBorder="1" applyFill="1" applyFont="1">
      <alignment horizontal="center" readingOrder="0"/>
    </xf>
    <xf borderId="0" fillId="37" fontId="34" numFmtId="20" xfId="0" applyAlignment="1" applyFill="1" applyFont="1" applyNumberFormat="1">
      <alignment horizontal="center" readingOrder="0" shrinkToFit="0" vertical="bottom" wrapText="1"/>
    </xf>
    <xf borderId="0" fillId="37" fontId="45" numFmtId="0" xfId="0" applyAlignment="1" applyFill="1" applyFont="1">
      <alignment horizontal="center" readingOrder="0"/>
    </xf>
    <xf borderId="24" fillId="37" fontId="4" numFmtId="0" xfId="0" applyAlignment="1" applyBorder="1" applyFill="1" applyFont="1">
      <alignment horizontal="center" readingOrder="0"/>
    </xf>
    <xf borderId="28" fillId="37" fontId="45" numFmtId="0" xfId="0" applyAlignment="1" applyBorder="1" applyFill="1" applyFont="1">
      <alignment horizontal="center" readingOrder="0"/>
    </xf>
    <xf borderId="23" fillId="0" fontId="79" numFmtId="0" xfId="0" applyAlignment="1" applyBorder="1" applyFont="1">
      <alignment readingOrder="0" vertical="bottom"/>
    </xf>
    <xf borderId="16" fillId="0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readingOrder="0"/>
    </xf>
    <xf borderId="24" fillId="0" fontId="79" numFmtId="0" xfId="0" applyAlignment="1" applyBorder="1" applyFont="1">
      <alignment horizontal="right" readingOrder="0" vertical="bottom"/>
    </xf>
    <xf borderId="24" fillId="0" fontId="79" numFmtId="2" xfId="0" applyAlignment="1" applyBorder="1" applyFont="1" applyNumberFormat="1">
      <alignment horizontal="right" readingOrder="0" vertical="bottom"/>
    </xf>
    <xf borderId="11" fillId="0" fontId="79" numFmtId="0" xfId="0" applyAlignment="1" applyBorder="1" applyFont="1">
      <alignment readingOrder="0" vertical="bottom"/>
    </xf>
    <xf borderId="0" fillId="0" fontId="79" numFmtId="0" xfId="0" applyAlignment="1" applyFont="1">
      <alignment horizontal="right" readingOrder="0" vertical="bottom"/>
    </xf>
    <xf borderId="0" fillId="0" fontId="79" numFmtId="2" xfId="0" applyAlignment="1" applyFont="1" applyNumberFormat="1">
      <alignment horizontal="right" readingOrder="0" vertical="bottom"/>
    </xf>
    <xf borderId="49" fillId="0" fontId="79" numFmtId="0" xfId="0" applyAlignment="1" applyBorder="1" applyFont="1">
      <alignment readingOrder="0" vertical="bottom"/>
    </xf>
    <xf borderId="28" fillId="0" fontId="4" numFmtId="0" xfId="0" applyAlignment="1" applyBorder="1" applyFont="1">
      <alignment readingOrder="0"/>
    </xf>
    <xf borderId="28" fillId="0" fontId="79" numFmtId="0" xfId="0" applyAlignment="1" applyBorder="1" applyFont="1">
      <alignment horizontal="right" readingOrder="0" vertical="bottom"/>
    </xf>
    <xf borderId="28" fillId="0" fontId="79" numFmtId="2" xfId="0" applyAlignment="1" applyBorder="1" applyFont="1" applyNumberFormat="1">
      <alignment horizontal="right" readingOrder="0" vertical="bottom"/>
    </xf>
    <xf borderId="23" fillId="0" fontId="4" numFmtId="0" xfId="0" applyAlignment="1" applyBorder="1" applyFont="1">
      <alignment readingOrder="0"/>
    </xf>
    <xf borderId="24" fillId="0" fontId="4" numFmtId="2" xfId="0" applyAlignment="1" applyBorder="1" applyFont="1" applyNumberFormat="1">
      <alignment readingOrder="0"/>
    </xf>
    <xf borderId="11" fillId="0" fontId="4" numFmtId="0" xfId="0" applyAlignment="1" applyBorder="1" applyFont="1">
      <alignment readingOrder="0"/>
    </xf>
    <xf borderId="0" fillId="0" fontId="4" numFmtId="2" xfId="0" applyFont="1" applyNumberFormat="1"/>
    <xf borderId="49" fillId="0" fontId="4" numFmtId="0" xfId="0" applyAlignment="1" applyBorder="1" applyFont="1">
      <alignment readingOrder="0"/>
    </xf>
    <xf borderId="19" fillId="37" fontId="135" numFmtId="0" xfId="0" applyAlignment="1" applyBorder="1" applyFill="1" applyFont="1">
      <alignment horizontal="center" readingOrder="0" shrinkToFit="0" vertical="bottom" wrapText="0"/>
    </xf>
    <xf borderId="19" fillId="37" fontId="135" numFmtId="3" xfId="0" applyAlignment="1" applyBorder="1" applyFill="1" applyFont="1" applyNumberFormat="1">
      <alignment horizontal="center" readingOrder="0" shrinkToFit="0" vertical="bottom" wrapText="0"/>
    </xf>
    <xf borderId="40" fillId="37" fontId="135" numFmtId="0" xfId="0" applyAlignment="1" applyBorder="1" applyFill="1" applyFont="1">
      <alignment horizontal="center" readingOrder="0" shrinkToFit="0" vertical="bottom" wrapText="0"/>
    </xf>
    <xf borderId="28" fillId="0" fontId="4" numFmtId="2" xfId="0" applyAlignment="1" applyBorder="1" applyFont="1" applyNumberFormat="1">
      <alignment readingOrder="0"/>
    </xf>
    <xf borderId="0" fillId="37" fontId="135" numFmtId="0" xfId="0" applyAlignment="1" applyFill="1" applyFont="1">
      <alignment horizontal="center" readingOrder="0" shrinkToFit="0" vertical="bottom" wrapText="0"/>
    </xf>
    <xf borderId="0" fillId="37" fontId="135" numFmtId="3" xfId="0" applyAlignment="1" applyFill="1" applyFont="1" applyNumberFormat="1">
      <alignment horizontal="center" readingOrder="0" shrinkToFit="0" vertical="bottom" wrapText="0"/>
    </xf>
    <xf borderId="16" fillId="37" fontId="135" numFmtId="0" xfId="0" applyAlignment="1" applyBorder="1" applyFill="1" applyFont="1">
      <alignment horizontal="center" readingOrder="0" shrinkToFit="0" vertical="bottom" wrapText="0"/>
    </xf>
    <xf borderId="24" fillId="0" fontId="135" numFmtId="0" xfId="0" applyAlignment="1" applyBorder="1" applyFont="1">
      <alignment horizontal="right" readingOrder="0" shrinkToFit="0" vertical="bottom" wrapText="0"/>
    </xf>
    <xf borderId="24" fillId="0" fontId="135" numFmtId="2" xfId="0" applyAlignment="1" applyBorder="1" applyFont="1" applyNumberFormat="1">
      <alignment horizontal="right" readingOrder="0" shrinkToFit="0" vertical="bottom" wrapText="0"/>
    </xf>
    <xf borderId="0" fillId="0" fontId="135" numFmtId="0" xfId="0" applyAlignment="1" applyFont="1">
      <alignment horizontal="right" readingOrder="0" shrinkToFit="0" vertical="bottom" wrapText="0"/>
    </xf>
    <xf borderId="0" fillId="0" fontId="135" numFmtId="2" xfId="0" applyAlignment="1" applyFont="1" applyNumberFormat="1">
      <alignment horizontal="right" readingOrder="0" shrinkToFit="0" vertical="bottom" wrapText="0"/>
    </xf>
    <xf borderId="28" fillId="0" fontId="135" numFmtId="0" xfId="0" applyAlignment="1" applyBorder="1" applyFont="1">
      <alignment horizontal="right" readingOrder="0" shrinkToFit="0" vertical="bottom" wrapText="0"/>
    </xf>
    <xf borderId="28" fillId="0" fontId="135" numFmtId="2" xfId="0" applyAlignment="1" applyBorder="1" applyFont="1" applyNumberFormat="1">
      <alignment horizontal="right" readingOrder="0" shrinkToFit="0" vertical="bottom" wrapText="0"/>
    </xf>
    <xf borderId="8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26" fillId="0" fontId="4" numFmtId="0" xfId="0" applyAlignment="1" applyBorder="1" applyFont="1">
      <alignment readingOrder="0"/>
    </xf>
    <xf borderId="24" fillId="0" fontId="4" numFmtId="0" xfId="0" applyAlignment="1" applyBorder="1" applyFont="1">
      <alignment readingOrder="0"/>
    </xf>
    <xf borderId="28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37" fontId="27" numFmtId="164" xfId="0" applyFill="1" applyFont="1" applyNumberFormat="1"/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horizontal="center" readingOrder="0"/>
    </xf>
    <xf borderId="47" fillId="0" fontId="4" numFmtId="0" xfId="0" applyAlignment="1" applyBorder="1" applyFont="1">
      <alignment horizontal="center" readingOrder="0"/>
    </xf>
    <xf borderId="9" fillId="0" fontId="4" numFmtId="164" xfId="0" applyAlignment="1" applyBorder="1" applyFont="1" applyNumberFormat="1">
      <alignment horizontal="center" readingOrder="0"/>
    </xf>
    <xf borderId="9" fillId="37" fontId="27" numFmtId="164" xfId="0" applyBorder="1" applyFill="1" applyFont="1" applyNumberFormat="1"/>
    <xf borderId="9" fillId="0" fontId="4" numFmtId="0" xfId="0" applyAlignment="1" applyBorder="1" applyFont="1">
      <alignment readingOrder="0"/>
    </xf>
    <xf borderId="9" fillId="0" fontId="4" numFmtId="2" xfId="0" applyAlignment="1" applyBorder="1" applyFont="1" applyNumberFormat="1">
      <alignment readingOrder="0"/>
    </xf>
    <xf borderId="28" fillId="0" fontId="4" numFmtId="0" xfId="0" applyAlignment="1" applyBorder="1" applyFont="1">
      <alignment horizontal="center" readingOrder="0"/>
    </xf>
    <xf borderId="51" fillId="0" fontId="4" numFmtId="0" xfId="0" applyAlignment="1" applyBorder="1" applyFont="1">
      <alignment horizontal="center" readingOrder="0"/>
    </xf>
    <xf borderId="28" fillId="0" fontId="4" numFmtId="164" xfId="0" applyAlignment="1" applyBorder="1" applyFont="1" applyNumberFormat="1">
      <alignment horizontal="center" readingOrder="0"/>
    </xf>
    <xf borderId="58" fillId="0" fontId="4" numFmtId="0" xfId="0" applyAlignment="1" applyBorder="1" applyFont="1">
      <alignment horizontal="center" readingOrder="0"/>
    </xf>
    <xf borderId="37" fillId="0" fontId="4" numFmtId="0" xfId="0" applyAlignment="1" applyBorder="1" applyFont="1">
      <alignment horizontal="center" readingOrder="0"/>
    </xf>
    <xf borderId="58" fillId="0" fontId="4" numFmtId="164" xfId="0" applyAlignment="1" applyBorder="1" applyFont="1" applyNumberFormat="1">
      <alignment horizontal="center" readingOrder="0"/>
    </xf>
    <xf borderId="58" fillId="37" fontId="27" numFmtId="164" xfId="0" applyBorder="1" applyFill="1" applyFont="1" applyNumberFormat="1"/>
    <xf borderId="58" fillId="37" fontId="27" numFmtId="164" xfId="0" applyAlignment="1" applyBorder="1" applyFill="1" applyFont="1" applyNumberFormat="1">
      <alignment horizontal="center"/>
    </xf>
    <xf borderId="24" fillId="0" fontId="9" numFmtId="0" xfId="0" applyAlignment="1" applyBorder="1" applyFont="1">
      <alignment horizontal="right" vertical="bottom"/>
    </xf>
    <xf borderId="24" fillId="0" fontId="9" numFmtId="2" xfId="0" applyAlignment="1" applyBorder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2" xfId="0" applyAlignment="1" applyFont="1" applyNumberFormat="1">
      <alignment horizontal="right" vertical="bottom"/>
    </xf>
    <xf borderId="28" fillId="0" fontId="9" numFmtId="0" xfId="0" applyAlignment="1" applyBorder="1" applyFont="1">
      <alignment horizontal="right" vertical="bottom"/>
    </xf>
    <xf borderId="28" fillId="0" fontId="9" numFmtId="2" xfId="0" applyAlignment="1" applyBorder="1" applyFont="1" applyNumberFormat="1">
      <alignment horizontal="right" vertical="bottom"/>
    </xf>
    <xf borderId="16" fillId="0" fontId="4" numFmtId="0" xfId="0" applyAlignment="1" applyBorder="1" applyFont="1">
      <alignment horizontal="center"/>
    </xf>
  </cellXfs>
  <cellStyles count="1">
    <cellStyle xfId="0" name="Normal" builtinId="0"/>
  </cellStyles>
  <dxfs count="42">
    <dxf>
      <font/>
      <fill>
        <patternFill patternType="none"/>
      </fill>
      <border/>
    </dxf>
    <dxf>
      <font/>
      <fill>
        <patternFill patternType="solid">
          <fgColor rgb="FF557CAC"/>
          <bgColor rgb="FF557CAC"/>
        </patternFill>
      </fill>
      <border/>
    </dxf>
    <dxf>
      <font/>
      <fill>
        <patternFill patternType="solid">
          <fgColor rgb="FF7796BD"/>
          <bgColor rgb="FF7796BD"/>
        </patternFill>
      </fill>
      <border/>
    </dxf>
    <dxf>
      <font/>
      <fill>
        <patternFill patternType="solid">
          <fgColor rgb="FF656136"/>
          <bgColor rgb="FF656136"/>
        </patternFill>
      </fill>
      <border/>
    </dxf>
    <dxf>
      <font/>
      <fill>
        <patternFill patternType="solid">
          <fgColor rgb="FF84815E"/>
          <bgColor rgb="FF84815E"/>
        </patternFill>
      </fill>
      <border/>
    </dxf>
    <dxf>
      <font/>
      <fill>
        <patternFill patternType="solid">
          <fgColor rgb="FFC3AB92"/>
          <bgColor rgb="FFC3AB92"/>
        </patternFill>
      </fill>
      <border/>
    </dxf>
    <dxf>
      <font/>
      <fill>
        <patternFill patternType="solid">
          <fgColor rgb="FFCFBCA8"/>
          <bgColor rgb="FFCFBCA8"/>
        </patternFill>
      </fill>
      <border/>
    </dxf>
    <dxf>
      <font/>
      <fill>
        <patternFill patternType="solid">
          <fgColor rgb="FF55575C"/>
          <bgColor rgb="FF55575C"/>
        </patternFill>
      </fill>
      <border/>
    </dxf>
    <dxf>
      <font/>
      <fill>
        <patternFill patternType="solid">
          <fgColor rgb="FF77797D"/>
          <bgColor rgb="FF77797D"/>
        </patternFill>
      </fill>
      <border/>
    </dxf>
    <dxf>
      <font/>
      <fill>
        <patternFill patternType="solid">
          <fgColor rgb="FFAAAFB5"/>
          <bgColor rgb="FFAAAFB5"/>
        </patternFill>
      </fill>
      <border/>
    </dxf>
    <dxf>
      <font/>
      <fill>
        <patternFill patternType="solid">
          <fgColor rgb="FFBBBFC4"/>
          <bgColor rgb="FFBBBFC4"/>
        </patternFill>
      </fill>
      <border/>
    </dxf>
    <dxf>
      <font/>
      <fill>
        <patternFill patternType="solid">
          <fgColor rgb="FFD6B05F"/>
          <bgColor rgb="FFD6B05F"/>
        </patternFill>
      </fill>
      <border/>
    </dxf>
    <dxf>
      <font/>
      <fill>
        <patternFill patternType="solid">
          <fgColor rgb="FFDEC07F"/>
          <bgColor rgb="FFDEC07F"/>
        </patternFill>
      </fill>
      <border/>
    </dxf>
    <dxf>
      <font/>
      <fill>
        <patternFill patternType="solid">
          <fgColor rgb="FFDDB4B0"/>
          <bgColor rgb="FFDDB4B0"/>
        </patternFill>
      </fill>
      <border/>
    </dxf>
    <dxf>
      <font/>
      <fill>
        <patternFill patternType="solid">
          <fgColor rgb="FFE4C3C0"/>
          <bgColor rgb="FFE4C3C0"/>
        </patternFill>
      </fill>
      <border/>
    </dxf>
    <dxf>
      <font/>
      <fill>
        <patternFill patternType="solid">
          <fgColor rgb="FF926B5A"/>
          <bgColor rgb="FF926B5A"/>
        </patternFill>
      </fill>
      <border/>
    </dxf>
    <dxf>
      <font/>
      <fill>
        <patternFill patternType="solid">
          <fgColor rgb="FFA8897B"/>
          <bgColor rgb="FFA8897B"/>
        </patternFill>
      </fill>
      <border/>
    </dxf>
    <dxf>
      <font/>
      <fill>
        <patternFill patternType="solid">
          <fgColor rgb="FF44B3CF"/>
          <bgColor rgb="FF44B3CF"/>
        </patternFill>
      </fill>
      <border/>
    </dxf>
    <dxf>
      <font/>
      <fill>
        <patternFill patternType="solid">
          <fgColor rgb="FF69C2D9"/>
          <bgColor rgb="FF69C2D9"/>
        </patternFill>
      </fill>
      <border/>
    </dxf>
    <dxf>
      <font/>
      <fill>
        <patternFill patternType="solid">
          <fgColor rgb="FFF2AC71"/>
          <bgColor rgb="FFF2AC71"/>
        </patternFill>
      </fill>
      <border/>
    </dxf>
    <dxf>
      <font/>
      <fill>
        <patternFill patternType="solid">
          <fgColor rgb="FFF5BD8D"/>
          <bgColor rgb="FFF5BD8D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926B5A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  <tableStyles count="45">
    <tableStyle count="2" pivot="0" name="Team Stats-style">
      <tableStyleElement dxfId="1" type="firstRowStripe"/>
      <tableStyleElement dxfId="2" type="secondRowStripe"/>
    </tableStyle>
    <tableStyle count="2" pivot="0" name="Team Stats-style 2">
      <tableStyleElement dxfId="3" type="firstRowStripe"/>
      <tableStyleElement dxfId="4" type="secondRowStripe"/>
    </tableStyle>
    <tableStyle count="2" pivot="0" name="Team Stats-style 3">
      <tableStyleElement dxfId="5" type="firstRowStripe"/>
      <tableStyleElement dxfId="6" type="secondRowStripe"/>
    </tableStyle>
    <tableStyle count="2" pivot="0" name="Team Stats-style 4">
      <tableStyleElement dxfId="7" type="firstRowStripe"/>
      <tableStyleElement dxfId="8" type="secondRowStripe"/>
    </tableStyle>
    <tableStyle count="2" pivot="0" name="Team Stats-style 5">
      <tableStyleElement dxfId="9" type="firstRowStripe"/>
      <tableStyleElement dxfId="10" type="secondRowStripe"/>
    </tableStyle>
    <tableStyle count="2" pivot="0" name="Team Stats-style 6">
      <tableStyleElement dxfId="11" type="firstRowStripe"/>
      <tableStyleElement dxfId="12" type="secondRowStripe"/>
    </tableStyle>
    <tableStyle count="2" pivot="0" name="Team Stats-style 7">
      <tableStyleElement dxfId="13" type="firstRowStripe"/>
      <tableStyleElement dxfId="14" type="secondRowStripe"/>
    </tableStyle>
    <tableStyle count="2" pivot="0" name="Team Stats-style 8">
      <tableStyleElement dxfId="15" type="firstRowStripe"/>
      <tableStyleElement dxfId="16" type="secondRowStripe"/>
    </tableStyle>
    <tableStyle count="2" pivot="0" name="Team Stats-style 9">
      <tableStyleElement dxfId="17" type="firstRowStripe"/>
      <tableStyleElement dxfId="18" type="secondRowStripe"/>
    </tableStyle>
    <tableStyle count="2" pivot="0" name="Team Stats-style 10">
      <tableStyleElement dxfId="19" type="firstRowStripe"/>
      <tableStyleElement dxfId="20" type="secondRowStripe"/>
    </tableStyle>
    <tableStyle count="2" pivot="0" name="Team Stats-style 11">
      <tableStyleElement dxfId="3" type="firstRowStripe"/>
      <tableStyleElement dxfId="4" type="secondRowStripe"/>
    </tableStyle>
    <tableStyle count="3" pivot="0" name="Season+Playoffs Stats-style">
      <tableStyleElement dxfId="34" type="headerRow"/>
      <tableStyleElement dxfId="35" type="firstRowStripe"/>
      <tableStyleElement dxfId="34" type="secondRowStripe"/>
    </tableStyle>
    <tableStyle count="3" pivot="0" name="Halo Infinite Stats-style">
      <tableStyleElement dxfId="34" type="headerRow"/>
      <tableStyleElement dxfId="35" type="firstRowStripe"/>
      <tableStyleElement dxfId="34" type="secondRowStripe"/>
    </tableStyle>
    <tableStyle count="3" pivot="0" name="Playoff Stats-style">
      <tableStyleElement dxfId="34" type="headerRow"/>
      <tableStyleElement dxfId="35" type="firstRowStripe"/>
      <tableStyleElement dxfId="34" type="secondRowStripe"/>
    </tableStyle>
    <tableStyle count="3" pivot="0" name="Detail2-TJP37-style">
      <tableStyleElement dxfId="36" type="headerRow"/>
      <tableStyleElement dxfId="37" type="firstRowStripe"/>
      <tableStyleElement dxfId="38" type="secondRowStripe"/>
    </tableStyle>
    <tableStyle count="3" pivot="0" name="Playoff Review HI_MatchH-style">
      <tableStyleElement dxfId="34" type="headerRow"/>
      <tableStyleElement dxfId="35" type="firstRowStripe"/>
      <tableStyleElement dxfId="34" type="secondRowStripe"/>
    </tableStyle>
    <tableStyle count="2" pivot="0" name="Playoff Review HI_MatchH-style 2">
      <tableStyleElement dxfId="35" type="firstRowStripe"/>
      <tableStyleElement dxfId="34" type="secondRowStripe"/>
    </tableStyle>
    <tableStyle count="2" pivot="0" name="Playoff Review HI_MatchH-style 3">
      <tableStyleElement dxfId="35" type="firstRowStripe"/>
      <tableStyleElement dxfId="34" type="secondRowStripe"/>
    </tableStyle>
    <tableStyle count="2" pivot="0" name="Playoff Review HI_MatchH-style 4">
      <tableStyleElement dxfId="35" type="firstRowStripe"/>
      <tableStyleElement dxfId="34" type="secondRowStripe"/>
    </tableStyle>
    <tableStyle count="2" pivot="0" name="Playoff Review HI_MatchH-style 5">
      <tableStyleElement dxfId="35" type="firstRowStripe"/>
      <tableStyleElement dxfId="34" type="secondRowStripe"/>
    </tableStyle>
    <tableStyle count="2" pivot="0" name="Playoff Review HI_MatchH-style 6">
      <tableStyleElement dxfId="34" type="firstRowStripe"/>
      <tableStyleElement dxfId="35" type="secondRowStripe"/>
    </tableStyle>
    <tableStyle count="4" pivot="0" name="Playoff Review HI_MatchH-style 7">
      <tableStyleElement dxfId="34" type="headerRow"/>
      <tableStyleElement dxfId="35" type="firstRowStripe"/>
      <tableStyleElement dxfId="34" type="secondRowStripe"/>
      <tableStyleElement dxfId="38" type="totalRow"/>
    </tableStyle>
    <tableStyle count="2" pivot="0" name="Playoff Review HI_MatchH-style 8">
      <tableStyleElement dxfId="34" type="firstRowStripe"/>
      <tableStyleElement dxfId="35" type="secondRowStripe"/>
    </tableStyle>
    <tableStyle count="2" pivot="0" name="Playoff Review HI_MatchH-style 9">
      <tableStyleElement dxfId="35" type="firstRowStripe"/>
      <tableStyleElement dxfId="34" type="secondRowStripe"/>
    </tableStyle>
    <tableStyle count="2" pivot="0" name="Playoff Review HI_MatchH-style 10">
      <tableStyleElement dxfId="35" type="firstRowStripe"/>
      <tableStyleElement dxfId="34" type="secondRowStripe"/>
    </tableStyle>
    <tableStyle count="2" pivot="0" name="Playoff Review HI_MatchH-style 11">
      <tableStyleElement dxfId="34" type="firstRowStripe"/>
      <tableStyleElement dxfId="35" type="secondRowStripe"/>
    </tableStyle>
    <tableStyle count="2" pivot="0" name="Playoff Review HI_MatchH-style 12">
      <tableStyleElement dxfId="34" type="firstRowStripe"/>
      <tableStyleElement dxfId="35" type="secondRowStripe"/>
    </tableStyle>
    <tableStyle count="2" pivot="0" name="Playoff Review HI_MatchH-style 13">
      <tableStyleElement dxfId="34" type="firstRowStripe"/>
      <tableStyleElement dxfId="35" type="secondRowStripe"/>
    </tableStyle>
    <tableStyle count="2" pivot="0" name="Playoff Review HI_MatchH-style 14">
      <tableStyleElement dxfId="34" type="firstRowStripe"/>
      <tableStyleElement dxfId="35" type="secondRowStripe"/>
    </tableStyle>
    <tableStyle count="2" pivot="0" name="Playoff Review HI_MatchH-style 15">
      <tableStyleElement dxfId="34" type="firstRowStripe"/>
      <tableStyleElement dxfId="35" type="secondRowStripe"/>
    </tableStyle>
    <tableStyle count="2" pivot="0" name="Playoff Review HI_MatchH-style 16">
      <tableStyleElement dxfId="35" type="firstRowStripe"/>
      <tableStyleElement dxfId="34" type="secondRowStripe"/>
    </tableStyle>
    <tableStyle count="3" pivot="0" name="Review HI_MatchH-style">
      <tableStyleElement dxfId="34" type="headerRow"/>
      <tableStyleElement dxfId="35" type="firstRowStripe"/>
      <tableStyleElement dxfId="34" type="secondRowStripe"/>
    </tableStyle>
    <tableStyle count="2" pivot="0" name="Review HI_MatchH-style 2">
      <tableStyleElement dxfId="35" type="firstRowStripe"/>
      <tableStyleElement dxfId="34" type="secondRowStripe"/>
    </tableStyle>
    <tableStyle count="2" pivot="0" name="Review HI_MatchH-style 3">
      <tableStyleElement dxfId="35" type="firstRowStripe"/>
      <tableStyleElement dxfId="34" type="secondRowStripe"/>
    </tableStyle>
    <tableStyle count="2" pivot="0" name="Review HI_MatchH-style 4">
      <tableStyleElement dxfId="35" type="firstRowStripe"/>
      <tableStyleElement dxfId="34" type="secondRowStripe"/>
    </tableStyle>
    <tableStyle count="2" pivot="0" name="Review HI_MatchH-style 5">
      <tableStyleElement dxfId="35" type="firstRowStripe"/>
      <tableStyleElement dxfId="34" type="secondRowStripe"/>
    </tableStyle>
    <tableStyle count="2" pivot="0" name="Review HI_MatchH-style 6">
      <tableStyleElement dxfId="34" type="firstRowStripe"/>
      <tableStyleElement dxfId="35" type="secondRowStripe"/>
    </tableStyle>
    <tableStyle count="2" pivot="0" name="Review HI_MatchH-style 7">
      <tableStyleElement dxfId="34" type="firstRowStripe"/>
      <tableStyleElement dxfId="35" type="secondRowStripe"/>
    </tableStyle>
    <tableStyle count="2" pivot="0" name="Review HI_MatchH-style 8">
      <tableStyleElement dxfId="35" type="firstRowStripe"/>
      <tableStyleElement dxfId="34" type="secondRowStripe"/>
    </tableStyle>
    <tableStyle count="2" pivot="0" name="Review HI_MatchH-style 9">
      <tableStyleElement dxfId="35" type="firstRowStripe"/>
      <tableStyleElement dxfId="34" type="secondRowStripe"/>
    </tableStyle>
    <tableStyle count="2" pivot="0" name="Review HI_MatchH-style 10">
      <tableStyleElement dxfId="34" type="firstRowStripe"/>
      <tableStyleElement dxfId="35" type="secondRowStripe"/>
    </tableStyle>
    <tableStyle count="2" pivot="0" name="Review HI_MatchH-style 11">
      <tableStyleElement dxfId="34" type="firstRowStripe"/>
      <tableStyleElement dxfId="35" type="secondRowStripe"/>
    </tableStyle>
    <tableStyle count="2" pivot="0" name="Review HI_MatchH-style 12">
      <tableStyleElement dxfId="34" type="firstRowStripe"/>
      <tableStyleElement dxfId="35" type="secondRowStripe"/>
    </tableStyle>
    <tableStyle count="2" pivot="0" name="Review HI_MatchH-style 13">
      <tableStyleElement dxfId="34" type="firstRowStripe"/>
      <tableStyleElement dxfId="35" type="secondRowStripe"/>
    </tableStyle>
    <tableStyle count="2" pivot="0" name="Review HI_MatchH-style 14">
      <tableStyleElement dxfId="34" type="firstRowStripe"/>
      <tableStyleElement dxfId="3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43" sheet="Halo Infinite Stats"/>
  </cacheSource>
  <cacheFields>
    <cacheField name="Player" numFmtId="0">
      <sharedItems>
        <s v="Ace B S1lentND1"/>
        <s v="Almighty Tycoon"/>
        <s v="Amnatu"/>
        <s v="ASpence501"/>
        <s v="AwareMosquito"/>
        <s v="Beam1n1"/>
        <s v="CaptainSev004"/>
        <s v="Clydrohsun"/>
        <s v="DCleak"/>
        <s v="Deathcrawller"/>
        <s v="Doerstopper"/>
        <s v="Fanciest Pants"/>
        <s v="GeneralCornBeef"/>
        <s v="Grunt Padre"/>
        <s v="Holy Morals"/>
        <s v="ill Shrek u"/>
        <s v="Its Rainin MenZ"/>
        <s v="Itzreelz"/>
        <s v="Jussshhhyyy"/>
        <s v="KDSkill"/>
        <s v="Ken Khaneki"/>
        <s v="Mavbrid"/>
        <s v="Memorized"/>
        <s v="Mr epic beast"/>
        <s v="MuNgO PuNgO"/>
        <s v="MysticalNovice"/>
        <s v="NOPLEX"/>
        <s v="oh zilly"/>
        <s v="OREOTHECAT"/>
        <s v="Pd Craig 69"/>
        <s v="Priest XYZ"/>
        <s v="Ram Osneb"/>
        <s v="Scullen cx"/>
        <s v="SPANKTR0N"/>
        <s v="StarMonster8129"/>
        <s v="xXTHEChickenGod"/>
        <s v="ThePro#1771"/>
        <s v="TJP37"/>
        <s v="TommyWstSide"/>
        <s v="Trespa5s"/>
        <s v="WeirdPG"/>
        <s v="yLuxe"/>
      </sharedItems>
    </cacheField>
    <cacheField name="Games Played" numFmtId="0">
      <sharedItems containsSemiMixedTypes="0" containsString="0" containsNumber="1" containsInteger="1">
        <n v="20.0"/>
        <n v="13.0"/>
        <n v="18.0"/>
        <n v="23.0"/>
        <n v="28.0"/>
        <n v="10.0"/>
        <n v="19.0"/>
        <n v="5.0"/>
        <n v="22.0"/>
        <n v="14.0"/>
        <n v="17.0"/>
        <n v="36.0"/>
        <n v="7.0"/>
        <n v="26.0"/>
        <n v="30.0"/>
        <n v="21.0"/>
        <n v="16.0"/>
        <n v="24.0"/>
        <n v="15.0"/>
        <n v="4.0"/>
        <n v="3.0"/>
        <n v="37.0"/>
      </sharedItems>
    </cacheField>
    <cacheField name="Wins" numFmtId="0">
      <sharedItems containsSemiMixedTypes="0" containsString="0" containsNumber="1" containsInteger="1">
        <n v="6.0"/>
        <n v="11.0"/>
        <n v="17.0"/>
        <n v="13.0"/>
        <n v="2.0"/>
        <n v="0.0"/>
        <n v="15.0"/>
        <n v="8.0"/>
        <n v="1.0"/>
        <n v="9.0"/>
        <n v="16.0"/>
        <n v="10.0"/>
        <n v="12.0"/>
        <n v="18.0"/>
        <n v="23.0"/>
        <n v="7.0"/>
        <n v="22.0"/>
        <n v="3.0"/>
      </sharedItems>
    </cacheField>
    <cacheField name="Losses" numFmtId="0">
      <sharedItems containsSemiMixedTypes="0" containsString="0" containsNumber="1" containsInteger="1">
        <n v="14.0"/>
        <n v="2.0"/>
        <n v="12.0"/>
        <n v="6.0"/>
        <n v="15.0"/>
        <n v="8.0"/>
        <n v="5.0"/>
        <n v="7.0"/>
        <n v="10.0"/>
        <n v="13.0"/>
        <n v="4.0"/>
        <n v="11.0"/>
        <n v="18.0"/>
        <n v="1.0"/>
        <n v="17.0"/>
        <n v="9.0"/>
        <n v="3.0"/>
      </sharedItems>
    </cacheField>
    <cacheField name="Goals" numFmtId="0">
      <sharedItems containsSemiMixedTypes="0" containsString="0" containsNumber="1" containsInteger="1">
        <n v="16.0"/>
        <n v="10.0"/>
        <n v="12.0"/>
        <n v="48.0"/>
        <n v="28.0"/>
        <n v="3.0"/>
        <n v="22.0"/>
        <n v="4.0"/>
        <n v="7.0"/>
        <n v="20.0"/>
        <n v="8.0"/>
        <n v="5.0"/>
        <n v="69.0"/>
        <n v="13.0"/>
        <n v="19.0"/>
        <n v="30.0"/>
        <n v="62.0"/>
        <n v="2.0"/>
        <n v="9.0"/>
        <n v="31.0"/>
        <n v="1.0"/>
        <n v="6.0"/>
        <n v="36.0"/>
        <n v="0.0"/>
        <n v="18.0"/>
        <n v="33.0"/>
      </sharedItems>
    </cacheField>
    <cacheField name="Ball Punches" numFmtId="0">
      <sharedItems containsSemiMixedTypes="0" containsString="0" containsNumber="1" containsInteger="1">
        <n v="60.0"/>
        <n v="6.0"/>
        <n v="33.0"/>
        <n v="222.0"/>
        <n v="154.0"/>
        <n v="8.0"/>
        <n v="85.0"/>
        <n v="22.0"/>
        <n v="29.0"/>
        <n v="65.0"/>
        <n v="13.0"/>
        <n v="24.0"/>
        <n v="46.0"/>
        <n v="268.0"/>
        <n v="32.0"/>
        <n v="25.0"/>
        <n v="86.0"/>
        <n v="177.0"/>
        <n v="17.0"/>
        <n v="355.0"/>
        <n v="95.0"/>
        <n v="135.0"/>
        <n v="82.0"/>
        <n v="23.0"/>
        <n v="16.0"/>
        <n v="2.0"/>
        <n v="15.0"/>
        <n v="249.0"/>
        <n v="51.0"/>
        <n v="7.0"/>
        <n v="1.0"/>
        <n v="72.0"/>
        <n v="62.0"/>
        <n v="12.0"/>
        <n v="88.0"/>
      </sharedItems>
    </cacheField>
    <cacheField name="Kills" numFmtId="0">
      <sharedItems containsSemiMixedTypes="0" containsString="0" containsNumber="1" containsInteger="1">
        <n v="1110.0"/>
        <n v="462.0"/>
        <n v="401.0"/>
        <n v="1135.0"/>
        <n v="1016.0"/>
        <n v="228.0"/>
        <n v="656.0"/>
        <n v="174.0"/>
        <n v="289.0"/>
        <n v="766.0"/>
        <n v="680.0"/>
        <n v="1079.0"/>
        <n v="596.0"/>
        <n v="999.0"/>
        <n v="748.0"/>
        <n v="719.0"/>
        <n v="831.0"/>
        <n v="725.0"/>
        <n v="2042.0"/>
        <n v="248.0"/>
        <n v="1145.0"/>
        <n v="1227.0"/>
        <n v="1053.0"/>
        <n v="739.0"/>
        <n v="599.0"/>
        <n v="906.0"/>
        <n v="946.0"/>
        <n v="818.0"/>
        <n v="371.0"/>
        <n v="145.0"/>
        <n v="1008.0"/>
        <n v="467.0"/>
        <n v="963.0"/>
        <n v="1160.0"/>
        <n v="112.0"/>
        <n v="716.0"/>
        <n v="54.0"/>
        <n v="1031.0"/>
        <n v="1603.0"/>
        <n v="545.0"/>
        <n v="464.0"/>
        <n v="985.0"/>
      </sharedItems>
    </cacheField>
    <cacheField name="Deaths" numFmtId="0">
      <sharedItems containsSemiMixedTypes="0" containsString="0" containsNumber="1" containsInteger="1">
        <n v="951.0"/>
        <n v="584.0"/>
        <n v="872.0"/>
        <n v="1058.0"/>
        <n v="1384.0"/>
        <n v="396.0"/>
        <n v="865.0"/>
        <n v="219.0"/>
        <n v="492.0"/>
        <n v="996.0"/>
        <n v="1250.0"/>
        <n v="955.0"/>
        <n v="833.0"/>
        <n v="1317.0"/>
        <n v="785.0"/>
        <n v="771.0"/>
        <n v="1144.0"/>
        <n v="820.0"/>
        <n v="1484.0"/>
        <n v="296.0"/>
        <n v="1557.0"/>
        <n v="1013.0"/>
        <n v="1071.0"/>
        <n v="956.0"/>
        <n v="866.0"/>
        <n v="734.0"/>
        <n v="1122.0"/>
        <n v="939.0"/>
        <n v="721.0"/>
        <n v="188.0"/>
        <n v="1243.0"/>
        <n v="780.0"/>
        <n v="1023.0"/>
        <n v="1267.0"/>
        <n v="202.0"/>
        <n v="1011.0"/>
        <n v="85.0"/>
        <n v="1116.0"/>
        <n v="1709.0"/>
        <n v="902.0"/>
        <n v="981.0"/>
        <n v="943.0"/>
      </sharedItems>
    </cacheField>
    <cacheField name="Spread" numFmtId="0">
      <sharedItems containsSemiMixedTypes="0" containsString="0" containsNumber="1" containsInteger="1">
        <n v="159.0"/>
        <n v="-122.0"/>
        <n v="-471.0"/>
        <n v="77.0"/>
        <n v="-368.0"/>
        <n v="-168.0"/>
        <n v="-209.0"/>
        <n v="-45.0"/>
        <n v="-203.0"/>
        <n v="-230.0"/>
        <n v="-570.0"/>
        <n v="124.0"/>
        <n v="-237.0"/>
        <n v="-318.0"/>
        <n v="-37.0"/>
        <n v="-52.0"/>
        <n v="-313.0"/>
        <n v="-95.0"/>
        <n v="558.0"/>
        <n v="-48.0"/>
        <n v="-412.0"/>
        <n v="214.0"/>
        <n v="-18.0"/>
        <n v="-217.0"/>
        <n v="-267.0"/>
        <n v="172.0"/>
        <n v="-176.0"/>
        <n v="-121.0"/>
        <n v="-350.0"/>
        <n v="-43.0"/>
        <n v="-235.0"/>
        <n v="-60.0"/>
        <n v="-107.0"/>
        <n v="-90.0"/>
        <n v="-295.0"/>
        <n v="-31.0"/>
        <n v="-85.0"/>
        <n v="-106.0"/>
        <n v="-357.0"/>
        <n v="-517.0"/>
        <n v="42.0"/>
      </sharedItems>
    </cacheField>
    <cacheField name="KD Ratio" numFmtId="4">
      <sharedItems containsSemiMixedTypes="0" containsString="0" containsNumber="1">
        <n v="1.167192429022082"/>
        <n v="0.791095890410959"/>
        <n v="0.4598623853211009"/>
        <n v="1.0727788279773156"/>
        <n v="0.7341040462427746"/>
        <n v="0.5757575757575758"/>
        <n v="0.7583815028901734"/>
        <n v="0.7945205479452054"/>
        <n v="0.5873983739837398"/>
        <n v="0.7690763052208835"/>
        <n v="0.544"/>
        <n v="1.1298429319371728"/>
        <n v="0.7154861944777912"/>
        <n v="0.7585421412300684"/>
        <n v="0.9528662420382166"/>
        <n v="0.9325551232166018"/>
        <n v="0.7263986013986014"/>
        <n v="0.8841463414634146"/>
        <n v="1.376010781671159"/>
        <n v="0.8378378378378378"/>
        <n v="0.7353885677585099"/>
        <n v="1.2112537018756169"/>
        <n v="0.99"/>
        <n v="0.7730125523012552"/>
        <n v="0.6916859122401847"/>
        <n v="1.2343324250681198"/>
        <n v="0.8431372549019608"/>
        <n v="0.8711395101171459"/>
        <n v="0.5145631067961165"/>
        <n v="0.7712765957446809"/>
        <n v="0.8109412711182623"/>
        <n v="0.5987179487179487"/>
        <n v="0.9413489736070382"/>
        <n v="0.9155485398579322"/>
        <n v="0.5544554455445545"/>
        <n v="0.7082096933728981"/>
        <n v="0.6352941176470588"/>
        <n v="0.9238351254480287"/>
        <n v="0.9379754242246928"/>
        <n v="0.6042128603104213"/>
        <n v="0.47298674821610603"/>
        <n v="1.0445387062566278"/>
      </sharedItems>
    </cacheField>
    <cacheField name="Assists" numFmtId="0">
      <sharedItems containsSemiMixedTypes="0" containsString="0" containsNumber="1" containsInteger="1">
        <n v="1.0"/>
        <n v="3.0"/>
        <n v="0.0"/>
        <n v="4.0"/>
        <n v="2.0"/>
        <n v="7.0"/>
        <n v="9.0"/>
      </sharedItems>
    </cacheField>
    <cacheField name="Game Time" numFmtId="4">
      <sharedItems containsSemiMixedTypes="0" containsString="0" containsNumber="1" containsInteger="1">
        <n v="15871.0"/>
        <n v="10940.0"/>
        <n v="15164.0"/>
        <n v="20466.0"/>
        <n v="25336.0"/>
        <n v="5799.0"/>
        <n v="16836.0"/>
        <n v="3731.0"/>
        <n v="6629.0"/>
        <n v="18895.0"/>
        <n v="17697.0"/>
        <n v="15281.0"/>
        <n v="12482.0"/>
        <n v="19214.0"/>
        <n v="17172.0"/>
        <n v="15961.0"/>
        <n v="19424.0"/>
        <n v="15476.0"/>
        <n v="31887.0"/>
        <n v="5255.0"/>
        <n v="23399.0"/>
        <n v="24620.0"/>
        <n v="14768.0"/>
        <n v="16684.0"/>
        <n v="13815.0"/>
        <n v="19600.0"/>
        <n v="14800.0"/>
        <n v="11954.0"/>
        <n v="3189.0"/>
        <n v="20615.0"/>
        <n v="11760.0"/>
        <n v="17400.0"/>
        <n v="19993.0"/>
        <n v="2981.0"/>
        <n v="15851.0"/>
        <n v="1415.0"/>
        <n v="20546.0"/>
        <n v="30348.0"/>
        <n v="12317.0"/>
        <n v="17962.0"/>
      </sharedItems>
    </cacheField>
    <cacheField name="Average Life" numFmtId="1">
      <sharedItems containsSemiMixedTypes="0" containsString="0" containsNumber="1">
        <n v="12.688748685594112"/>
        <n v="14.732876712328768"/>
        <n v="13.389908256880734"/>
        <n v="15.344045368620037"/>
        <n v="14.306358381502891"/>
        <n v="10.643939393939394"/>
        <n v="15.463583815028901"/>
        <n v="13.036529680365296"/>
        <n v="9.473577235772357"/>
        <n v="14.970883534136545"/>
        <n v="10.1576"/>
        <n v="12.001047120418848"/>
        <n v="10.984393757503002"/>
        <n v="10.589217919514047"/>
        <n v="17.87515923566879"/>
        <n v="16.701686121919586"/>
        <n v="12.979020979020978"/>
        <n v="14.873170731707317"/>
        <n v="17.487196765498652"/>
        <n v="13.753378378378379"/>
        <n v="11.028259473346179"/>
        <n v="20.304047384007898"/>
        <n v="12.033613445378151"/>
        <n v="11.447698744769875"/>
        <n v="15.265588914549653"/>
        <n v="14.821525885558582"/>
        <n v="13.468805704099822"/>
        <n v="11.761448349307773"/>
        <n v="12.579750346740639"/>
        <n v="12.962765957446809"/>
        <n v="12.584875301689461"/>
        <n v="11.076923076923077"/>
        <n v="13.008797653958945"/>
        <n v="11.779794790844514"/>
        <n v="10.757425742574258"/>
        <n v="11.678536102868447"/>
        <n v="12.647058823529411"/>
        <n v="14.410394265232975"/>
        <n v="13.757753071971914"/>
        <n v="12.372505543237251"/>
        <n v="8.555555555555555"/>
        <n v="15.047720042417815"/>
      </sharedItems>
    </cacheField>
    <cacheField name="Killing Sprees" numFmtId="0">
      <sharedItems containsSemiMixedTypes="0" containsString="0" containsNumber="1" containsInteger="1">
        <n v="37.0"/>
        <n v="6.0"/>
        <n v="3.0"/>
        <n v="22.0"/>
        <n v="10.0"/>
        <n v="4.0"/>
        <n v="5.0"/>
        <n v="2.0"/>
        <n v="33.0"/>
        <n v="11.0"/>
        <n v="16.0"/>
        <n v="15.0"/>
        <n v="13.0"/>
        <n v="20.0"/>
        <n v="81.0"/>
        <n v="0.0"/>
        <n v="7.0"/>
        <n v="40.0"/>
        <n v="14.0"/>
        <n v="24.0"/>
        <n v="9.0"/>
        <n v="17.0"/>
        <n v="1.0"/>
        <n v="27.0"/>
        <n v="28.0"/>
        <n v="18.0"/>
        <n v="31.0"/>
      </sharedItems>
    </cacheField>
    <cacheField name="Killing Frenzies" numFmtId="0">
      <sharedItems containsSemiMixedTypes="0" containsString="0" containsNumber="1" containsInteger="1">
        <n v="0.0"/>
        <n v="1.0"/>
        <n v="5.0"/>
        <n v="3.0"/>
        <n v="2.0"/>
      </sharedItems>
    </cacheField>
    <cacheField name="Running 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Grand Slam" numFmtId="0">
      <sharedItems containsSemiMixedTypes="0" containsString="0" containsNumber="1" containsInteger="1">
        <n v="35.0"/>
        <n v="1.0"/>
        <n v="8.0"/>
        <n v="10.0"/>
        <n v="12.0"/>
        <n v="7.0"/>
        <n v="3.0"/>
        <n v="16.0"/>
        <n v="17.0"/>
        <n v="15.0"/>
        <n v="5.0"/>
        <n v="9.0"/>
        <n v="6.0"/>
        <n v="27.0"/>
        <n v="0.0"/>
        <n v="4.0"/>
        <n v="14.0"/>
        <n v="11.0"/>
        <n v="24.0"/>
        <n v="22.0"/>
      </sharedItems>
    </cacheField>
    <cacheField name="Double Kills" numFmtId="0">
      <sharedItems containsSemiMixedTypes="0" containsString="0" containsNumber="1" containsInteger="1">
        <n v="252.0"/>
        <n v="69.0"/>
        <n v="47.0"/>
        <n v="184.0"/>
        <n v="135.0"/>
        <n v="35.0"/>
        <n v="96.0"/>
        <n v="26.0"/>
        <n v="110.0"/>
        <n v="95.0"/>
        <n v="231.0"/>
        <n v="85.0"/>
        <n v="165.0"/>
        <n v="119.0"/>
        <n v="124.0"/>
        <n v="105.0"/>
        <n v="423.0"/>
        <n v="38.0"/>
        <n v="173.0"/>
        <n v="215.0"/>
        <n v="180.0"/>
        <n v="107.0"/>
        <n v="86.0"/>
        <n v="188.0"/>
        <n v="137.0"/>
        <n v="151.0"/>
        <n v="24.0"/>
        <n v="18.0"/>
        <n v="159.0"/>
        <n v="43.0"/>
        <n v="179.0"/>
        <n v="232.0"/>
        <n v="13.0"/>
        <n v="99.0"/>
        <n v="9.0"/>
        <n v="272.0"/>
        <n v="75.0"/>
        <n v="55.0"/>
        <n v="174.0"/>
      </sharedItems>
    </cacheField>
    <cacheField name="Triple Kills" numFmtId="0">
      <sharedItems containsSemiMixedTypes="0" containsString="0" containsNumber="1" containsInteger="1">
        <n v="76.0"/>
        <n v="13.0"/>
        <n v="9.0"/>
        <n v="58.0"/>
        <n v="24.0"/>
        <n v="31.0"/>
        <n v="4.0"/>
        <n v="11.0"/>
        <n v="22.0"/>
        <n v="23.0"/>
        <n v="89.0"/>
        <n v="18.0"/>
        <n v="44.0"/>
        <n v="37.0"/>
        <n v="29.0"/>
        <n v="34.0"/>
        <n v="128.0"/>
        <n v="46.0"/>
        <n v="54.0"/>
        <n v="42.0"/>
        <n v="32.0"/>
        <n v="67.0"/>
        <n v="30.0"/>
        <n v="6.0"/>
        <n v="8.0"/>
        <n v="43.0"/>
        <n v="7.0"/>
        <n v="50.0"/>
        <n v="62.0"/>
        <n v="3.0"/>
        <n v="12.0"/>
        <n v="2.0"/>
        <n v="51.0"/>
        <n v="80.0"/>
        <n v="10.0"/>
        <n v="55.0"/>
      </sharedItems>
    </cacheField>
    <cacheField name="Overkills" numFmtId="0">
      <sharedItems containsSemiMixedTypes="0" containsString="0" containsNumber="1" containsInteger="1">
        <n v="29.0"/>
        <n v="5.0"/>
        <n v="2.0"/>
        <n v="21.0"/>
        <n v="3.0"/>
        <n v="1.0"/>
        <n v="8.0"/>
        <n v="37.0"/>
        <n v="7.0"/>
        <n v="12.0"/>
        <n v="10.0"/>
        <n v="44.0"/>
        <n v="14.0"/>
        <n v="9.0"/>
        <n v="4.0"/>
        <n v="24.0"/>
        <n v="19.0"/>
        <n v="0.0"/>
        <n v="26.0"/>
      </sharedItems>
    </cacheField>
    <cacheField name="Killtaculars" numFmtId="0">
      <sharedItems containsSemiMixedTypes="0" containsString="0" containsNumber="1" containsInteger="1">
        <n v="17.0"/>
        <n v="3.0"/>
        <n v="0.0"/>
        <n v="4.0"/>
        <n v="1.0"/>
        <n v="18.0"/>
        <n v="2.0"/>
        <n v="5.0"/>
        <n v="12.0"/>
        <n v="8.0"/>
        <n v="9.0"/>
      </sharedItems>
    </cacheField>
    <cacheField name="Killtrocities" numFmtId="0">
      <sharedItems containsSemiMixedTypes="0" containsString="0" containsNumber="1" containsInteger="1">
        <n v="8.0"/>
        <n v="1.0"/>
        <n v="0.0"/>
        <n v="3.0"/>
        <n v="7.0"/>
        <n v="6.0"/>
        <n v="2.0"/>
        <n v="4.0"/>
      </sharedItems>
    </cacheField>
    <cacheField name="Killamanjaros" numFmtId="0">
      <sharedItems containsSemiMixedTypes="0" containsString="0" containsNumber="1" containsInteger="1">
        <n v="2.0"/>
        <n v="1.0"/>
        <n v="0.0"/>
        <n v="3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  <n v="1.0"/>
      </sharedItems>
    </cacheField>
    <cacheField name="Killionaire" numFmtId="0">
      <sharedItems containsSemiMixedTypes="0" containsString="0" containsNumber="1" containsInteger="1">
        <n v="0.0"/>
        <n v="1.0"/>
      </sharedItems>
    </cacheField>
    <cacheField name="Exterms" numFmtId="0">
      <sharedItems containsSemiMixedTypes="0" containsString="0" containsNumber="1" containsInteger="1">
        <n v="1.0"/>
        <n v="0.0"/>
        <n v="3.0"/>
      </sharedItems>
    </cacheField>
    <cacheField name="Bulltrues" numFmtId="0">
      <sharedItems containsSemiMixedTypes="0" containsString="0" containsNumber="1" containsInteger="1">
        <n v="224.0"/>
        <n v="68.0"/>
        <n v="56.0"/>
        <n v="210.0"/>
        <n v="201.0"/>
        <n v="40.0"/>
        <n v="114.0"/>
        <n v="31.0"/>
        <n v="77.0"/>
        <n v="97.0"/>
        <n v="90.0"/>
        <n v="174.0"/>
        <n v="73.0"/>
        <n v="151.0"/>
        <n v="140.0"/>
        <n v="135.0"/>
        <n v="154.0"/>
        <n v="122.0"/>
        <n v="501.0"/>
        <n v="32.0"/>
        <n v="76.0"/>
        <n v="270.0"/>
        <n v="126.0"/>
        <n v="111.0"/>
        <n v="186.0"/>
        <n v="99.0"/>
        <n v="124.0"/>
        <n v="27.0"/>
        <n v="7.0"/>
        <n v="136.0"/>
        <n v="65.0"/>
        <n v="220.0"/>
        <n v="143.0"/>
        <n v="25.0"/>
        <n v="79.0"/>
        <n v="4.0"/>
        <n v="184.0"/>
        <n v="316.0"/>
        <n v="71.0"/>
        <n v="215.0"/>
      </sharedItems>
    </cacheField>
    <cacheField name="Ninja" numFmtId="0">
      <sharedItems containsSemiMixedTypes="0" containsString="0" containsNumber="1" containsInteger="1">
        <n v="0.0"/>
        <n v="3.0"/>
        <n v="1.0"/>
      </sharedItems>
    </cacheField>
    <cacheField name="Pancake" numFmtId="0">
      <sharedItems containsSemiMixedTypes="0" containsString="0" containsNumber="1" containsInteger="1">
        <n v="0.0"/>
        <n v="6.0"/>
        <n v="1.0"/>
        <n v="2.0"/>
        <n v="3.0"/>
        <n v="4.0"/>
      </sharedItems>
    </cacheField>
    <cacheField name="Whiplash" numFmtId="0">
      <sharedItems containsSemiMixedTypes="0" containsString="0" containsNumber="1" containsInteger="1">
        <n v="0.0"/>
        <n v="1.0"/>
        <n v="2.0"/>
      </sharedItems>
    </cacheField>
    <cacheField name="Killjoys" numFmtId="0">
      <sharedItems containsSemiMixedTypes="0" containsString="0" containsNumber="1" containsInteger="1">
        <n v="20.0"/>
        <n v="2.0"/>
        <n v="7.0"/>
        <n v="21.0"/>
        <n v="8.0"/>
        <n v="14.0"/>
        <n v="3.0"/>
        <n v="6.0"/>
        <n v="12.0"/>
        <n v="9.0"/>
        <n v="11.0"/>
        <n v="19.0"/>
        <n v="17.0"/>
        <n v="4.0"/>
        <n v="13.0"/>
        <n v="1.0"/>
        <n v="15.0"/>
        <n v="16.0"/>
        <n v="0.0"/>
        <n v="10.0"/>
      </sharedItems>
    </cacheField>
    <cacheField name="Harpoons" numFmtId="0">
      <sharedItems containsSemiMixedTypes="0" containsString="0" containsNumber="1" containsInteger="1">
        <n v="1.0"/>
        <n v="2.0"/>
        <n v="9.0"/>
        <n v="4.0"/>
        <n v="0.0"/>
        <n v="10.0"/>
        <n v="3.0"/>
        <n v="5.0"/>
        <n v="45.0"/>
        <n v="17.0"/>
        <n v="12.0"/>
        <n v="19.0"/>
      </sharedItems>
    </cacheField>
    <cacheField name="W Key Warrior" numFmtId="164">
      <sharedItems containsSemiMixedTypes="0" containsString="0" containsNumber="1">
        <n v="7.795350009451201"/>
        <n v="5.753199268738574"/>
        <n v="5.036929570034292"/>
        <n v="6.432131339783054"/>
        <n v="5.693084938427534"/>
        <n v="6.4562855664769785"/>
        <n v="5.424091233071988"/>
        <n v="6.320021441972662"/>
        <n v="7.087041786091416"/>
        <n v="5.607832759989415"/>
        <n v="6.5536531615528055"/>
        <n v="7.990314769975787"/>
        <n v="6.869091491748117"/>
        <n v="7.232226501509316"/>
        <n v="5.35988819007687"/>
        <n v="5.601152809974312"/>
        <n v="6.106878088962109"/>
        <n v="5.9937968467304215"/>
        <n v="6.647850221093235"/>
        <n v="6.234062797335871"/>
        <n v="6.933629642292406"/>
        <n v="5.461413484971568"/>
        <n v="7.435359888190077"/>
        <n v="6.890574214517876"/>
        <n v="5.268520738432031"/>
        <n v="7.127035830618892"/>
        <n v="6.3336734693877546"/>
        <n v="7.127027027027028"/>
        <n v="5.491049021248118"/>
        <n v="6.284101599247413"/>
        <n v="6.554450642735873"/>
        <n v="6.362244897959184"/>
        <n v="6.858620689655172"/>
        <n v="7.292552393337669"/>
        <n v="6.3401543106340155"/>
        <n v="6.544697495426156"/>
        <n v="5.893992932862191"/>
        <n v="6.278594373600701"/>
        <n v="6.565836298932385"/>
        <n v="5.8789274106175515"/>
        <n v="7.039051717138914"/>
        <n v="6.443603162231377"/>
      </sharedItems>
    </cacheField>
    <cacheField name="The Mav Stat" numFmtId="164">
      <sharedItems containsSemiMixedTypes="0" containsString="0" containsNumber="1">
        <n v="0.16119967235838953"/>
        <n v="0.09126142595978062"/>
        <n v="0.06552360854655764"/>
        <n v="0.19161536206391086"/>
        <n v="0.11206188822229239"/>
        <n v="0.07697878944645628"/>
        <n v="0.11318602993585174"/>
        <n v="0.10227820959528278"/>
        <n v="0.11549253281037863"/>
        <n v="0.05601481873511511"/>
        <n v="0.09140532293609087"/>
        <n v="0.11747922256396834"/>
        <n v="0.06325909309405545"/>
        <n v="0.07182262933277818"/>
        <n v="0.25604472396925226"/>
        <n v="0.10450473028005763"/>
        <n v="0.0701812191103789"/>
        <n v="0.1218919617472215"/>
        <n v="0.17047699689528645"/>
        <n v="0.10778306374881068"/>
        <n v="0.03918116158810205"/>
        <n v="0.20763606823720554"/>
        <n v="0.061215932914046124"/>
        <n v="0.08791982665222102"/>
        <n v="0.158810836729801"/>
        <n v="0.212985884907709"/>
        <n v="0.07040816326530612"/>
        <n v="0.10800000000000001"/>
        <n v="0.032725447548937595"/>
        <n v="0.035371589840075254"/>
        <n v="0.0658937666747514"/>
        <n v="0.0642857142857143"/>
        <n v="0.19779310344827586"/>
        <n v="0.07502625919071676"/>
        <n v="0.07648440120764845"/>
        <n v="0.046180051731751944"/>
        <n v="0.023745583038869256"/>
        <n v="0.11073688309159935"/>
        <n v="0.11466982997232107"/>
        <n v="0.03624052004333694"/>
        <n v="0.07774620443289762"/>
        <n v="0.18024718850907473"/>
      </sharedItems>
    </cacheField>
    <cacheField name="Sprees Per Min" numFmtId="164">
      <sharedItems containsSemiMixedTypes="0" containsString="0" containsNumber="1">
        <n v="0.13987776447608846"/>
        <n v="0.03290676416819013"/>
        <n v="0.011870218939593776"/>
        <n v="0.06449721489299325"/>
        <n v="0.02368171771392485"/>
        <n v="0.031039834454216243"/>
        <n v="0.021382751247327154"/>
        <n v="0.04824443848834093"/>
        <n v="0.03620455573993061"/>
        <n v="0.015877216194760516"/>
        <n v="0.006780810306831667"/>
        <n v="0.1295726719455533"/>
        <n v="0.02403460983816696"/>
        <n v="0.03434995315915478"/>
        <n v="0.055904961565338925"/>
        <n v="0.05638744439571456"/>
        <n v="0.04015650741350906"/>
        <n v="0.07753941586973379"/>
        <n v="0.15241320914479253"/>
        <n v="0.0"/>
        <n v="0.01794948502072738"/>
        <n v="0.0974817221770918"/>
        <n v="0.03494060097833683"/>
        <n v="0.05687973997833153"/>
        <n v="0.03955885878686166"/>
        <n v="0.10423452768729642"/>
        <n v="0.027551020408163263"/>
        <n v="0.06891891891891892"/>
        <n v="0.005019240421616195"/>
        <n v="0.05644402634054563"/>
        <n v="0.026194518554450645"/>
        <n v="0.09310344827586207"/>
        <n v="0.08402941029360277"/>
        <n v="0.015141000567787522"/>
        <n v="0.04240282685512368"/>
        <n v="0.05256497615107564"/>
        <n v="0.06128904705417161"/>
        <n v="0.020314192849404118"/>
        <n v="0.014613948201672486"/>
        <n v="0.0734884756708607"/>
      </sharedItems>
    </cacheField>
    <cacheField name="HexaS" numFmtId="164">
      <sharedItems containsSemiMixedTypes="0" containsString="0" containsNumber="1">
        <n v="2.8621090878541575"/>
        <n v="0.05567558584011967"/>
        <n v="-1.190609337905566"/>
        <n v="1.675816993464052"/>
        <n v="-0.004974375166986511"/>
        <n v="-0.8691670977754784"/>
        <n v="0.021382751247327154"/>
        <n v="-0.1447333154650228"/>
        <n v="-0.8309548951576405"/>
        <n v="-0.16387756902178707"/>
        <n v="-0.9307509747414817"/>
        <n v="2.3870296446567636"/>
        <n v="0.46643166159269345"/>
        <n v="-0.09498860784381756"/>
        <n v="1.3831149545772188"/>
        <n v="0.7035812292462879"/>
        <n v="-0.3070977484898407"/>
        <n v="4.145050400620315"/>
        <n v="2.7493649449618967"/>
        <n v="0.2561687281953695"/>
        <n v="-0.340742062883532"/>
        <n v="1.896563416098612"/>
        <n v="0.8286338225017471"/>
        <n v="1.5846695557963164"/>
        <n v="0.1165236154399425"/>
        <n v="2.5761997828447343"/>
        <n v="0.22334933973589433"/>
        <n v="0.7796068796068796"/>
        <n v="-1.191099213652334"/>
        <n v="-0.15051740357478835"/>
        <n v="0.10788584364136147"/>
        <n v="-1.1316326530612246"/>
        <n v="1.5062068965517241"/>
        <n v="1.0252888510978844"/>
        <n v="-1.4894330761489434"/>
        <n v="-0.6362745252665447"/>
        <n v="-0.8056537102473499"/>
        <n v="0.8025728384338333"/>
        <n v="0.8642941874258601"/>
        <n v="-1.0319609967497292"/>
        <n v="-1.5141511731752861"/>
        <n v="1.6233809837862838"/>
      </sharedItems>
    </cacheField>
    <cacheField name="Goals per game" numFmtId="164">
      <sharedItems containsSemiMixedTypes="0" containsString="0" containsNumber="1">
        <n v="0.8"/>
        <n v="0.7692307692307693"/>
        <n v="0.6666666666666666"/>
        <n v="2.0869565217391304"/>
        <n v="1.0"/>
        <n v="0.3"/>
        <n v="1.1578947368421053"/>
        <n v="0.6"/>
        <n v="0.4"/>
        <n v="0.3181818181818182"/>
        <n v="0.8695652173913043"/>
        <n v="0.4444444444444444"/>
        <n v="0.35714285714285715"/>
        <n v="0.22727272727272727"/>
        <n v="3.45"/>
        <n v="0.7647058823529411"/>
        <n v="0.17391304347826086"/>
        <n v="0.8333333333333334"/>
        <n v="0.2692307692307692"/>
        <n v="2.066666666666667"/>
        <n v="0.1"/>
        <n v="0.5"/>
        <n v="1.4761904761904763"/>
        <n v="1.8235294117647058"/>
        <n v="0.5909090909090909"/>
        <n v="0.8125"/>
        <n v="0.25"/>
        <n v="0.2"/>
        <n v="0.2916666666666667"/>
        <n v="1.7142857142857142"/>
        <n v="0.35"/>
        <n v="0.15"/>
        <n v="0.0"/>
        <n v="0.8181818181818182"/>
        <n v="0.5945945945945946"/>
        <n v="1.65"/>
      </sharedItems>
    </cacheField>
    <cacheField name="Multi-    talented" numFmtId="164">
      <sharedItems containsSemiMixedTypes="0" containsString="0" containsNumber="1">
        <n v="0.37747747747747745"/>
        <n v="0.19913419913419914"/>
        <n v="0.14463840399002495"/>
        <n v="0.23788546255506607"/>
        <n v="0.1594488188976378"/>
        <n v="0.19736842105263158"/>
        <n v="0.21189024390243902"/>
        <n v="0.1839080459770115"/>
        <n v="0.20761245674740483"/>
        <n v="0.17493472584856398"/>
        <n v="0.19117647058823528"/>
        <n v="0.3540315106580167"/>
        <n v="0.18959731543624161"/>
        <n v="0.22522522522522523"/>
        <n v="0.22058823529411764"/>
        <n v="0.20305980528511822"/>
        <n v="0.2069795427196149"/>
        <n v="0.2096551724137931"/>
        <n v="0.30264446620959845"/>
        <n v="0.20161290322580644"/>
        <n v="0.20087336244541484"/>
        <n v="0.2371638141809291"/>
        <n v="0.22317188983855651"/>
        <n v="0.1975642760487145"/>
        <n v="0.18196994991652754"/>
        <n v="0.31456953642384106"/>
        <n v="0.18921775898520085"/>
        <n v="0.2616136919315403"/>
        <n v="0.08355795148247978"/>
        <n v="0.2206896551724138"/>
        <n v="0.21428571428571427"/>
        <n v="0.10920770877944326"/>
        <n v="0.25960539979231567"/>
        <n v="0.2810344827586207"/>
        <n v="0.14285714285714285"/>
        <n v="0.1564245810055866"/>
        <n v="0.2037037037037037"/>
        <n v="0.22308438409311349"/>
        <n v="0.24266999376169682"/>
        <n v="0.163302752293578"/>
        <n v="0.15301724137931033"/>
        <n v="0.2609137055837564"/>
      </sharedItems>
    </cacheField>
    <cacheField name="Boxer" numFmtId="164">
      <sharedItems containsSemiMixedTypes="0" containsString="0" containsNumber="1">
        <n v="0.003780480120975364"/>
        <n v="5.484460694698354E-4"/>
        <n v="0.002176206805592192"/>
        <n v="0.010847258868367049"/>
        <n v="0.0060783075465740445"/>
        <n v="0.0013795481979651664"/>
        <n v="0.0050487051556189115"/>
        <n v="0.0058965424819083356"/>
        <n v="0.004374717151908282"/>
        <n v="0.0011643291876157714"/>
        <n v="0.003672938916200486"/>
        <n v="8.507296642889863E-4"/>
        <n v="0.0019227687870533568"/>
        <n v="0.0023940876444259393"/>
        <n v="0.015606801770323782"/>
        <n v="0.0020048869118476286"/>
        <n v="0.0012870675453047775"/>
        <n v="0.005556991470664254"/>
        <n v="0.005550851444162197"/>
        <n v="0.004567078972407232"/>
        <n v="7.265267746484893E-4"/>
        <n v="0.014419171405361494"/>
        <n v="4.658746797111577E-4"/>
        <n v="0.006432827735644637"/>
        <n v="0.008091584751858068"/>
        <n v="0.005935577271082157"/>
        <n v="0.001173469387755102"/>
        <n v="0.0016891891891891893"/>
        <n v="0.0013384641124309855"/>
        <n v="6.271558482282847E-4"/>
        <n v="7.276255154014067E-4"/>
        <n v="0.0012755102040816326"/>
        <n v="0.014310344827586207"/>
        <n v="0.0025508928124843696"/>
        <n v="0.0023482053002348204"/>
        <n v="4.416125165604694E-4"/>
        <n v="7.067137809187279E-4"/>
        <n v="0.0035043317434050422"/>
        <n v="0.0020429682351390537"/>
        <n v="0.0011511375947995666"/>
        <n v="9.742632134448324E-4"/>
        <n v="0.004899231711390714"/>
      </sharedItems>
    </cacheField>
    <cacheField name="K/D Whore" numFmtId="164">
      <sharedItems containsSemiMixedTypes="0" containsString="0" containsNumber="1">
        <n v="0.6048768193560583"/>
        <n v="-0.6526508226691041"/>
        <n v="-1.8636243735162228"/>
        <n v="0.22867194371152152"/>
        <n v="-0.8620145247868646"/>
        <n v="-1.7382307294361097"/>
        <n v="-0.7412687099073414"/>
        <n v="-0.723666577325114"/>
        <n v="-1.819278925931513"/>
        <n v="-0.7176501720031754"/>
        <n v="-1.9223597219867774"/>
        <n v="0.49080557555133825"/>
        <n v="-1.139240506329114"/>
        <n v="-0.9930259186010201"/>
        <n v="-0.12578616352201258"/>
        <n v="-0.1954764739051438"/>
        <n v="-0.960667215815486"/>
        <n v="-0.3644352545877488"/>
        <n v="1.0631291748988616"/>
        <n v="-0.5252140818268316"/>
        <n v="-1.051326979785461"/>
        <n v="0.5239642567018684"/>
        <n v="-0.04891684136967156"/>
        <n v="-0.8775731310942578"/>
        <n v="-0.960201390553824"/>
        <n v="0.751357220412595"/>
        <n v="-0.5357142857142857"/>
        <n v="-0.4864864864864865"/>
        <n v="-1.746695666722436"/>
        <n v="-0.7902163687676388"/>
        <n v="-0.6810574824157167"/>
        <n v="-1.596938775510204"/>
        <n v="-0.19655172413793104"/>
        <n v="-0.3121092382333817"/>
        <n v="-1.7913451861791347"/>
        <n v="-1.109078291590436"/>
        <n v="-1.314487632508834"/>
        <n v="-0.23946266913267789"/>
        <n v="-0.19177540529853696"/>
        <n v="-1.450433369447454"/>
        <n v="-2.5184704067548918"/>
        <n v="0.143636566083955"/>
      </sharedItems>
    </cacheField>
    <cacheField name="Round" numFmtId="164">
      <sharedItems>
        <s v="R1"/>
        <s v="R2"/>
        <s v="C"/>
        <s v="R3"/>
      </sharedItems>
    </cacheField>
    <cacheField name="GPM" formula="Goals/('Game Time'/60)" databaseField="0"/>
    <cacheField name="KDPM" formula="(Kills-Deaths)/('Game Time'/60)" databaseField="0"/>
    <cacheField name="BTPM" formula="Bulltrues/('Game Time'/60)" databaseField="0"/>
    <cacheField name="SPM" formula="'Killing Sprees'/('Game Time'/60)" databaseField="0"/>
    <cacheField name="DPM" formula="'Double Kills'/('Game Time'/60)" databaseField="0"/>
    <cacheField name="TPM" formula="'Triple Kills'/('Game Time'/60)" databaseField="0"/>
    <cacheField name="MKPM" formula="('Grand Slam'+'Double Kills'+'Triple Kills'+Overkills+Killtaculars+Killtrocities+Killamanjaros+Killtastrophe+Killpocalypses+Killionaire)/('Game Time'/60)" databaseField="0"/>
    <cacheField name="X-Fact" formula="(Harpoons+Killjoys+Whiplash+Pancake+Ninja)/('Game Time'/60)" databaseField="0"/>
    <cacheField name="KPM" formula="Kills/('Game Time'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43" sheet="Season+Playoffs Stats"/>
  </cacheSource>
  <cacheFields>
    <cacheField name="Player" numFmtId="0">
      <sharedItems>
        <s v="Ace B S1lentND1"/>
        <s v="Almighty Tycoon"/>
        <s v="Amnatu"/>
        <s v="ASpence501"/>
        <s v="AwareMosquito"/>
        <s v="Beam1n1"/>
        <s v="CaptainSev004"/>
        <s v="Clydrohsun"/>
        <s v="DCleak"/>
        <s v="Deathcrawller"/>
        <s v="Doerstopper"/>
        <s v="Fanciest Pants"/>
        <s v="GeneralCornBeef"/>
        <s v="Grunt Padre"/>
        <s v="Holy Morals"/>
        <s v="ill Shrek u"/>
        <s v="Its Rainin MenZ"/>
        <s v="Itzreelz"/>
        <s v="Jussshhhyyy"/>
        <s v="KDSkill"/>
        <s v="Ken Khaneki"/>
        <s v="Mavbrid"/>
        <s v="Memorized"/>
        <s v="Mr epic beast"/>
        <s v="MuNgO PuNgO"/>
        <s v="MysticalNovice"/>
        <s v="NOPLEX"/>
        <s v="oh zilly"/>
        <s v="OREOTHECAT"/>
        <s v="Pd Craig 69"/>
        <s v="Priest XYZ"/>
        <s v="Ram Osneb"/>
        <s v="Scullen cx"/>
        <s v="SPANKTR0N"/>
        <s v="StarMonster8129"/>
        <s v="xXTHEChickenGod"/>
        <s v="ThePro#1771"/>
        <s v="TJP37"/>
        <s v="TommyWstSide"/>
        <s v="Trespa5s"/>
        <s v="WeirdPG"/>
        <s v="yLuxe"/>
      </sharedItems>
    </cacheField>
    <cacheField name="Games Played" numFmtId="0">
      <sharedItems containsSemiMixedTypes="0" containsString="0" containsNumber="1" containsInteger="1">
        <n v="22.0"/>
        <n v="17.0"/>
        <n v="20.0"/>
        <n v="25.0"/>
        <n v="32.0"/>
        <n v="10.0"/>
        <n v="19.0"/>
        <n v="5.0"/>
        <n v="29.0"/>
        <n v="14.0"/>
        <n v="26.0"/>
        <n v="21.0"/>
        <n v="42.0"/>
        <n v="27.0"/>
        <n v="34.0"/>
        <n v="18.0"/>
        <n v="28.0"/>
        <n v="24.0"/>
        <n v="16.0"/>
        <n v="23.0"/>
        <n v="4.0"/>
        <n v="3.0"/>
        <n v="44.0"/>
      </sharedItems>
    </cacheField>
    <cacheField name="Wins" numFmtId="0">
      <sharedItems containsSemiMixedTypes="0" containsString="0" containsNumber="1" containsInteger="1">
        <n v="6.0"/>
        <n v="13.0"/>
        <n v="17.0"/>
        <n v="15.0"/>
        <n v="2.0"/>
        <n v="0.0"/>
        <n v="19.0"/>
        <n v="8.0"/>
        <n v="1.0"/>
        <n v="9.0"/>
        <n v="16.0"/>
        <n v="12.0"/>
        <n v="20.0"/>
        <n v="25.0"/>
        <n v="11.0"/>
        <n v="10.0"/>
        <n v="18.0"/>
        <n v="29.0"/>
        <n v="3.0"/>
      </sharedItems>
    </cacheField>
    <cacheField name="Losses" numFmtId="0">
      <sharedItems containsSemiMixedTypes="0" containsString="0" containsNumber="1" containsInteger="1">
        <n v="16.0"/>
        <n v="4.0"/>
        <n v="14.0"/>
        <n v="8.0"/>
        <n v="17.0"/>
        <n v="6.0"/>
        <n v="5.0"/>
        <n v="10.0"/>
        <n v="13.0"/>
        <n v="9.0"/>
        <n v="18.0"/>
        <n v="22.0"/>
        <n v="1.0"/>
        <n v="11.0"/>
        <n v="7.0"/>
        <n v="15.0"/>
        <n v="3.0"/>
        <n v="12.0"/>
      </sharedItems>
    </cacheField>
    <cacheField name="Goals" numFmtId="0">
      <sharedItems containsSemiMixedTypes="0" containsString="0" containsNumber="1" containsInteger="1">
        <n v="17.0"/>
        <n v="11.0"/>
        <n v="13.0"/>
        <n v="52.0"/>
        <n v="34.0"/>
        <n v="3.0"/>
        <n v="22.0"/>
        <n v="4.0"/>
        <n v="8.0"/>
        <n v="20.0"/>
        <n v="5.0"/>
        <n v="71.0"/>
        <n v="19.0"/>
        <n v="31.0"/>
        <n v="25.0"/>
        <n v="7.0"/>
        <n v="73.0"/>
        <n v="9.0"/>
        <n v="40.0"/>
        <n v="14.0"/>
        <n v="15.0"/>
        <n v="1.0"/>
        <n v="39.0"/>
        <n v="0.0"/>
        <n v="21.0"/>
        <n v="27.0"/>
        <n v="41.0"/>
      </sharedItems>
    </cacheField>
    <cacheField name="Ball Punches" numFmtId="0">
      <sharedItems containsSemiMixedTypes="0" containsString="0" containsNumber="1" containsInteger="1">
        <n v="62.0"/>
        <n v="6.0"/>
        <n v="39.0"/>
        <n v="255.0"/>
        <n v="187.0"/>
        <n v="8.0"/>
        <n v="85.0"/>
        <n v="22.0"/>
        <n v="29.0"/>
        <n v="24.0"/>
        <n v="70.0"/>
        <n v="19.0"/>
        <n v="47.0"/>
        <n v="311.0"/>
        <n v="43.0"/>
        <n v="25.0"/>
        <n v="86.0"/>
        <n v="203.0"/>
        <n v="81.0"/>
        <n v="18.0"/>
        <n v="415.0"/>
        <n v="95.0"/>
        <n v="152.0"/>
        <n v="87.0"/>
        <n v="27.0"/>
        <n v="16.0"/>
        <n v="2.0"/>
        <n v="17.0"/>
        <n v="272.0"/>
        <n v="51.0"/>
        <n v="7.0"/>
        <n v="1.0"/>
        <n v="79.0"/>
        <n v="69.0"/>
        <n v="12.0"/>
        <n v="129.0"/>
      </sharedItems>
    </cacheField>
    <cacheField name="Kills" numFmtId="0">
      <sharedItems containsSemiMixedTypes="0" containsString="0" containsNumber="1" containsInteger="1">
        <n v="1225.0"/>
        <n v="595.0"/>
        <n v="449.0"/>
        <n v="1286.0"/>
        <n v="1241.0"/>
        <n v="228.0"/>
        <n v="656.0"/>
        <n v="174.0"/>
        <n v="289.0"/>
        <n v="1052.0"/>
        <n v="748.0"/>
        <n v="1500.0"/>
        <n v="596.0"/>
        <n v="1174.0"/>
        <n v="833.0"/>
        <n v="966.0"/>
        <n v="939.0"/>
        <n v="725.0"/>
        <n v="2540.0"/>
        <n v="509.0"/>
        <n v="1276.0"/>
        <n v="1370.0"/>
        <n v="1154.0"/>
        <n v="739.0"/>
        <n v="896.0"/>
        <n v="1160.0"/>
        <n v="1095.0"/>
        <n v="947.0"/>
        <n v="371.0"/>
        <n v="145.0"/>
        <n v="1098.0"/>
        <n v="530.0"/>
        <n v="1073.0"/>
        <n v="1516.0"/>
        <n v="112.0"/>
        <n v="880.0"/>
        <n v="54.0"/>
        <n v="1362.0"/>
        <n v="1966.0"/>
        <n v="545.0"/>
        <n v="464.0"/>
        <n v="1408.0"/>
      </sharedItems>
    </cacheField>
    <cacheField name="Deaths" numFmtId="0">
      <sharedItems containsSemiMixedTypes="0" containsString="0" containsNumber="1" containsInteger="1">
        <n v="1047.0"/>
        <n v="753.0"/>
        <n v="963.0"/>
        <n v="1212.0"/>
        <n v="1646.0"/>
        <n v="396.0"/>
        <n v="865.0"/>
        <n v="219.0"/>
        <n v="492.0"/>
        <n v="1328.0"/>
        <n v="1367.0"/>
        <n v="1331.0"/>
        <n v="833.0"/>
        <n v="1582.0"/>
        <n v="875.0"/>
        <n v="1005.0"/>
        <n v="1282.0"/>
        <n v="820.0"/>
        <n v="1807.0"/>
        <n v="572.0"/>
        <n v="1816.0"/>
        <n v="1143.0"/>
        <n v="1205.0"/>
        <n v="956.0"/>
        <n v="1238.0"/>
        <n v="942.0"/>
        <n v="1335.0"/>
        <n v="1155.0"/>
        <n v="721.0"/>
        <n v="188.0"/>
        <n v="1366.0"/>
        <n v="898.0"/>
        <n v="1156.0"/>
        <n v="1621.0"/>
        <n v="202.0"/>
        <n v="1261.0"/>
        <n v="85.0"/>
        <n v="1511.0"/>
        <n v="2073.0"/>
        <n v="902.0"/>
        <n v="981.0"/>
        <n v="1267.0"/>
      </sharedItems>
    </cacheField>
    <cacheField name="Spread" numFmtId="0">
      <sharedItems containsSemiMixedTypes="0" containsString="0" containsNumber="1" containsInteger="1">
        <n v="178.0"/>
        <n v="-158.0"/>
        <n v="-514.0"/>
        <n v="74.0"/>
        <n v="-405.0"/>
        <n v="-168.0"/>
        <n v="-209.0"/>
        <n v="-45.0"/>
        <n v="-203.0"/>
        <n v="-276.0"/>
        <n v="-619.0"/>
        <n v="169.0"/>
        <n v="-237.0"/>
        <n v="-408.0"/>
        <n v="-42.0"/>
        <n v="-39.0"/>
        <n v="-343.0"/>
        <n v="-95.0"/>
        <n v="733.0"/>
        <n v="-63.0"/>
        <n v="-540.0"/>
        <n v="227.0"/>
        <n v="-51.0"/>
        <n v="-217.0"/>
        <n v="-342.0"/>
        <n v="218.0"/>
        <n v="-240.0"/>
        <n v="-208.0"/>
        <n v="-350.0"/>
        <n v="-43.0"/>
        <n v="-268.0"/>
        <n v="-368.0"/>
        <n v="-83.0"/>
        <n v="-105.0"/>
        <n v="-90.0"/>
        <n v="-381.0"/>
        <n v="-31.0"/>
        <n v="-149.0"/>
        <n v="-107.0"/>
        <n v="-357.0"/>
        <n v="-517.0"/>
        <n v="141.0"/>
      </sharedItems>
    </cacheField>
    <cacheField name="KD Ratio" numFmtId="2">
      <sharedItems containsSemiMixedTypes="0" containsString="0" containsNumber="1">
        <n v="1.1700095510983763"/>
        <n v="0.7901726427622842"/>
        <n v="0.46625129802699894"/>
        <n v="1.061056105610561"/>
        <n v="0.7539489671931956"/>
        <n v="0.5757575757575758"/>
        <n v="0.7583815028901734"/>
        <n v="0.7945205479452054"/>
        <n v="0.5873983739837398"/>
        <n v="0.7921686746987951"/>
        <n v="0.5471836137527433"/>
        <n v="1.1269722013523666"/>
        <n v="0.7154861944777912"/>
        <n v="0.7420986093552465"/>
        <n v="0.952"/>
        <n v="0.9611940298507463"/>
        <n v="0.7324492979719188"/>
        <n v="0.8841463414634146"/>
        <n v="1.405644714997233"/>
        <n v="0.8898601398601399"/>
        <n v="0.7026431718061674"/>
        <n v="1.1986001749781277"/>
        <n v="0.9576763485477179"/>
        <n v="0.7730125523012552"/>
        <n v="0.7237479806138933"/>
        <n v="1.2314225053078556"/>
        <n v="0.8202247191011236"/>
        <n v="0.8199134199134199"/>
        <n v="0.5145631067961165"/>
        <n v="0.7712765957446809"/>
        <n v="0.8038067349926794"/>
        <n v="0.5902004454342984"/>
        <n v="0.9282006920415224"/>
        <n v="0.9352251696483652"/>
        <n v="0.5544554455445545"/>
        <n v="0.6978588421887391"/>
        <n v="0.6352941176470588"/>
        <n v="0.9013898080741231"/>
        <n v="0.9483839845634346"/>
        <n v="0.6042128603104213"/>
        <n v="0.47298674821610603"/>
        <n v="1.111286503551697"/>
      </sharedItems>
    </cacheField>
    <cacheField name="Assists" numFmtId="0">
      <sharedItems containsSemiMixedTypes="0" containsString="0" containsNumber="1" containsInteger="1">
        <n v="1.0"/>
        <n v="4.0"/>
        <n v="0.0"/>
        <n v="5.0"/>
        <n v="2.0"/>
        <n v="3.0"/>
        <n v="8.0"/>
        <n v="11.0"/>
      </sharedItems>
    </cacheField>
    <cacheField name="Game Time" numFmtId="4">
      <sharedItems containsSemiMixedTypes="0" containsString="0" containsNumber="1" containsInteger="1">
        <n v="17482.0"/>
        <n v="14528.0"/>
        <n v="16775.0"/>
        <n v="23695.0"/>
        <n v="30633.0"/>
        <n v="5799.0"/>
        <n v="16836.0"/>
        <n v="3731.0"/>
        <n v="6629.0"/>
        <n v="25898.0"/>
        <n v="19308.0"/>
        <n v="21966.0"/>
        <n v="12482.0"/>
        <n v="22751.0"/>
        <n v="19098.0"/>
        <n v="21258.0"/>
        <n v="21759.0"/>
        <n v="15476.0"/>
        <n v="39519.0"/>
        <n v="11940.0"/>
        <n v="26628.0"/>
        <n v="28208.0"/>
        <n v="14768.0"/>
        <n v="23369.0"/>
        <n v="17403.0"/>
        <n v="22829.0"/>
        <n v="18029.0"/>
        <n v="11954.0"/>
        <n v="3189.0"/>
        <n v="22541.0"/>
        <n v="14095.0"/>
        <n v="19735.0"/>
        <n v="25290.0"/>
        <n v="2981.0"/>
        <n v="19439.0"/>
        <n v="1415.0"/>
        <n v="27549.0"/>
        <n v="37033.0"/>
        <n v="12317.0"/>
        <n v="24965.0"/>
      </sharedItems>
    </cacheField>
    <cacheField name="Average Life" numFmtId="1">
      <sharedItems containsSemiMixedTypes="0" containsString="0" containsNumber="1">
        <n v="12.69723018147087"/>
        <n v="15.293492695883135"/>
        <n v="13.419522326064381"/>
        <n v="15.5503300330033"/>
        <n v="14.610571081409477"/>
        <n v="10.643939393939394"/>
        <n v="15.463583815028901"/>
        <n v="13.036529680365296"/>
        <n v="9.473577235772357"/>
        <n v="15.501506024096386"/>
        <n v="10.124359912216532"/>
        <n v="12.503380916604057"/>
        <n v="10.984393757503002"/>
        <n v="10.381163084702907"/>
        <n v="17.826285714285714"/>
        <n v="17.15223880597015"/>
        <n v="12.972698907956318"/>
        <n v="14.873170731707317"/>
        <n v="17.8699501936912"/>
        <n v="16.874125874125873"/>
        <n v="10.662995594713657"/>
        <n v="20.678915135608047"/>
        <n v="11.84896265560166"/>
        <n v="11.447698744769875"/>
        <n v="14.876413570274636"/>
        <n v="14.47452229299363"/>
        <n v="13.100374531835206"/>
        <n v="11.60952380952381"/>
        <n v="12.579750346740639"/>
        <n v="12.962765957446809"/>
        <n v="12.501464128843338"/>
        <n v="11.695991091314031"/>
        <n v="13.071799307958477"/>
        <n v="11.601480567550894"/>
        <n v="10.757425742574258"/>
        <n v="11.415543219666931"/>
        <n v="12.647058823529411"/>
        <n v="14.232296492389146"/>
        <n v="13.864447660395562"/>
        <n v="12.372505543237251"/>
        <n v="8.555555555555555"/>
        <n v="15.704025256511445"/>
      </sharedItems>
    </cacheField>
    <cacheField name="Killing Sprees" numFmtId="0">
      <sharedItems containsSemiMixedTypes="0" containsString="0" containsNumber="1" containsInteger="1">
        <n v="39.0"/>
        <n v="7.0"/>
        <n v="3.0"/>
        <n v="25.0"/>
        <n v="16.0"/>
        <n v="6.0"/>
        <n v="4.0"/>
        <n v="9.0"/>
        <n v="40.0"/>
        <n v="5.0"/>
        <n v="12.0"/>
        <n v="19.0"/>
        <n v="20.0"/>
        <n v="100.0"/>
        <n v="8.0"/>
        <n v="45.0"/>
        <n v="10.0"/>
        <n v="14.0"/>
        <n v="36.0"/>
        <n v="18.0"/>
        <n v="1.0"/>
        <n v="0.0"/>
        <n v="29.0"/>
        <n v="35.0"/>
        <n v="37.0"/>
        <n v="34.0"/>
      </sharedItems>
    </cacheField>
    <cacheField name="Killing Frenzies" numFmtId="0">
      <sharedItems containsSemiMixedTypes="0" containsString="0" containsNumber="1" containsInteger="1">
        <n v="0.0"/>
        <n v="1.0"/>
        <n v="8.0"/>
        <n v="4.0"/>
        <n v="2.0"/>
      </sharedItems>
    </cacheField>
    <cacheField name="Running 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Grand Slam" numFmtId="0">
      <sharedItems containsSemiMixedTypes="0" containsString="0" containsNumber="1" containsInteger="1">
        <n v="39.0"/>
        <n v="5.0"/>
        <n v="9.0"/>
        <n v="10.0"/>
        <n v="13.0"/>
        <n v="7.0"/>
        <n v="8.0"/>
        <n v="1.0"/>
        <n v="3.0"/>
        <n v="16.0"/>
        <n v="24.0"/>
        <n v="18.0"/>
        <n v="6.0"/>
        <n v="11.0"/>
        <n v="12.0"/>
        <n v="31.0"/>
        <n v="4.0"/>
        <n v="20.0"/>
        <n v="25.0"/>
        <n v="0.0"/>
        <n v="15.0"/>
        <n v="2.0"/>
        <n v="33.0"/>
        <n v="21.0"/>
      </sharedItems>
    </cacheField>
    <cacheField name="Double Kills" numFmtId="0">
      <sharedItems containsSemiMixedTypes="0" containsString="0" containsNumber="1" containsInteger="1">
        <n v="278.0"/>
        <n v="93.0"/>
        <n v="56.0"/>
        <n v="205.0"/>
        <n v="161.0"/>
        <n v="35.0"/>
        <n v="96.0"/>
        <n v="26.0"/>
        <n v="47.0"/>
        <n v="152.0"/>
        <n v="106.0"/>
        <n v="302.0"/>
        <n v="85.0"/>
        <n v="193.0"/>
        <n v="134.0"/>
        <n v="140.0"/>
        <n v="105.0"/>
        <n v="521.0"/>
        <n v="78.0"/>
        <n v="187.0"/>
        <n v="226.0"/>
        <n v="192.0"/>
        <n v="107.0"/>
        <n v="131.0"/>
        <n v="252.0"/>
        <n v="165.0"/>
        <n v="168.0"/>
        <n v="24.0"/>
        <n v="18.0"/>
        <n v="50.0"/>
        <n v="293.0"/>
        <n v="13.0"/>
        <n v="122.0"/>
        <n v="9.0"/>
        <n v="208.0"/>
        <n v="331.0"/>
        <n v="75.0"/>
        <n v="55.0"/>
        <n v="242.0"/>
      </sharedItems>
    </cacheField>
    <cacheField name="Triple Kills" numFmtId="0">
      <sharedItems containsSemiMixedTypes="0" containsString="0" containsNumber="1" containsInteger="1">
        <n v="84.0"/>
        <n v="17.0"/>
        <n v="9.0"/>
        <n v="67.0"/>
        <n v="30.0"/>
        <n v="31.0"/>
        <n v="4.0"/>
        <n v="11.0"/>
        <n v="25.0"/>
        <n v="114.0"/>
        <n v="18.0"/>
        <n v="50.0"/>
        <n v="38.0"/>
        <n v="35.0"/>
        <n v="36.0"/>
        <n v="34.0"/>
        <n v="162.0"/>
        <n v="14.0"/>
        <n v="48.0"/>
        <n v="57.0"/>
        <n v="45.0"/>
        <n v="32.0"/>
        <n v="89.0"/>
        <n v="33.0"/>
        <n v="6.0"/>
        <n v="8.0"/>
        <n v="46.0"/>
        <n v="7.0"/>
        <n v="56.0"/>
        <n v="83.0"/>
        <n v="3.0"/>
        <n v="2.0"/>
        <n v="58.0"/>
        <n v="98.0"/>
        <n v="12.0"/>
        <n v="10.0"/>
        <n v="78.0"/>
      </sharedItems>
    </cacheField>
    <cacheField name="Overkills" numFmtId="0">
      <sharedItems containsSemiMixedTypes="0" containsString="0" containsNumber="1" containsInteger="1">
        <n v="32.0"/>
        <n v="5.0"/>
        <n v="2.0"/>
        <n v="27.0"/>
        <n v="7.0"/>
        <n v="1.0"/>
        <n v="8.0"/>
        <n v="3.0"/>
        <n v="45.0"/>
        <n v="14.0"/>
        <n v="6.0"/>
        <n v="12.0"/>
        <n v="52.0"/>
        <n v="4.0"/>
        <n v="9.0"/>
        <n v="33.0"/>
        <n v="10.0"/>
        <n v="25.0"/>
        <n v="0.0"/>
        <n v="13.0"/>
        <n v="28.0"/>
      </sharedItems>
    </cacheField>
    <cacheField name="Killtaculars" numFmtId="0">
      <sharedItems containsSemiMixedTypes="0" containsString="0" containsNumber="1" containsInteger="1">
        <n v="17.0"/>
        <n v="3.0"/>
        <n v="0.0"/>
        <n v="5.0"/>
        <n v="1.0"/>
        <n v="2.0"/>
        <n v="22.0"/>
        <n v="4.0"/>
        <n v="6.0"/>
        <n v="11.0"/>
        <n v="9.0"/>
      </sharedItems>
    </cacheField>
    <cacheField name="Killtrocities" numFmtId="0">
      <sharedItems containsSemiMixedTypes="0" containsString="0" containsNumber="1" containsInteger="1">
        <n v="8.0"/>
        <n v="1.0"/>
        <n v="0.0"/>
        <n v="3.0"/>
        <n v="9.0"/>
        <n v="7.0"/>
        <n v="2.0"/>
        <n v="5.0"/>
      </sharedItems>
    </cacheField>
    <cacheField name="Killamanjaros" numFmtId="0">
      <sharedItems containsSemiMixedTypes="0" containsString="0" containsNumber="1" containsInteger="1">
        <n v="2.0"/>
        <n v="1.0"/>
        <n v="0.0"/>
        <n v="3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  <n v="1.0"/>
      </sharedItems>
    </cacheField>
    <cacheField name="Killionaire" numFmtId="0">
      <sharedItems containsSemiMixedTypes="0" containsString="0" containsNumber="1" containsInteger="1">
        <n v="0.0"/>
        <n v="1.0"/>
      </sharedItems>
    </cacheField>
    <cacheField name="Exterms" numFmtId="0">
      <sharedItems containsSemiMixedTypes="0" containsString="0" containsNumber="1" containsInteger="1">
        <n v="1.0"/>
        <n v="0.0"/>
        <n v="3.0"/>
        <n v="2.0"/>
      </sharedItems>
    </cacheField>
    <cacheField name="Bulltrues" numFmtId="0">
      <sharedItems containsSemiMixedTypes="0" containsString="0" containsNumber="1" containsInteger="1">
        <n v="244.0"/>
        <n v="79.0"/>
        <n v="59.0"/>
        <n v="225.0"/>
        <n v="239.0"/>
        <n v="40.0"/>
        <n v="114.0"/>
        <n v="31.0"/>
        <n v="77.0"/>
        <n v="138.0"/>
        <n v="102.0"/>
        <n v="73.0"/>
        <n v="182.0"/>
        <n v="160.0"/>
        <n v="180.0"/>
        <n v="169.0"/>
        <n v="122.0"/>
        <n v="630.0"/>
        <n v="92.0"/>
        <n v="88.0"/>
        <n v="299.0"/>
        <n v="140.0"/>
        <n v="111.0"/>
        <n v="193.0"/>
        <n v="224.0"/>
        <n v="120.0"/>
        <n v="136.0"/>
        <n v="27.0"/>
        <n v="7.0"/>
        <n v="150.0"/>
        <n v="76.0"/>
        <n v="238.0"/>
        <n v="203.0"/>
        <n v="25.0"/>
        <n v="104.0"/>
        <n v="4.0"/>
        <n v="241.0"/>
        <n v="378.0"/>
        <n v="71.0"/>
        <n v="287.0"/>
      </sharedItems>
    </cacheField>
    <cacheField name="Ninja" numFmtId="0">
      <sharedItems containsSemiMixedTypes="0" containsString="0" containsNumber="1" containsInteger="1">
        <n v="0.0"/>
        <n v="3.0"/>
        <n v="1.0"/>
      </sharedItems>
    </cacheField>
    <cacheField name="Pancake" numFmtId="0">
      <sharedItems containsSemiMixedTypes="0" containsString="0" containsNumber="1" containsInteger="1">
        <n v="0.0"/>
        <n v="6.0"/>
        <n v="1.0"/>
        <n v="2.0"/>
        <n v="4.0"/>
        <n v="8.0"/>
        <n v="5.0"/>
        <n v="3.0"/>
      </sharedItems>
    </cacheField>
    <cacheField name="Whiplash" numFmtId="0">
      <sharedItems containsSemiMixedTypes="0" containsString="0" containsNumber="1" containsInteger="1">
        <n v="0.0"/>
        <n v="1.0"/>
        <n v="2.0"/>
      </sharedItems>
    </cacheField>
    <cacheField name="Killjoys" numFmtId="0">
      <sharedItems containsSemiMixedTypes="0" containsString="0" containsNumber="1" containsInteger="1">
        <n v="23.0"/>
        <n v="3.0"/>
        <n v="9.0"/>
        <n v="25.0"/>
        <n v="11.0"/>
        <n v="7.0"/>
        <n v="14.0"/>
        <n v="6.0"/>
        <n v="18.0"/>
        <n v="19.0"/>
        <n v="21.0"/>
        <n v="10.0"/>
        <n v="8.0"/>
        <n v="15.0"/>
        <n v="20.0"/>
        <n v="16.0"/>
        <n v="1.0"/>
        <n v="0.0"/>
        <n v="26.0"/>
      </sharedItems>
    </cacheField>
    <cacheField name="Harpoons" numFmtId="0">
      <sharedItems containsSemiMixedTypes="0" containsString="0" containsNumber="1" containsInteger="1">
        <n v="2.0"/>
        <n v="10.0"/>
        <n v="8.0"/>
        <n v="0.0"/>
        <n v="1.0"/>
        <n v="4.0"/>
        <n v="3.0"/>
        <n v="5.0"/>
        <n v="45.0"/>
        <n v="18.0"/>
        <n v="13.0"/>
        <n v="20.0"/>
      </sharedItems>
    </cacheField>
    <cacheField name="W Key Warrior" numFmtId="164">
      <sharedItems containsSemiMixedTypes="0" containsString="0" containsNumber="1">
        <n v="7.80116691454067"/>
        <n v="5.583700440528634"/>
        <n v="5.050372578241431"/>
        <n v="6.32791728212703"/>
        <n v="5.664479482910586"/>
        <n v="6.4562855664769785"/>
        <n v="5.424091233071988"/>
        <n v="6.320021441972662"/>
        <n v="7.087041786091416"/>
        <n v="5.523206425206579"/>
        <n v="6.581727781230578"/>
        <n v="7.735591368478557"/>
        <n v="6.869091491748117"/>
        <n v="7.268251944969452"/>
        <n v="5.369148601947848"/>
        <n v="5.563082133784928"/>
        <n v="6.129877292154971"/>
        <n v="5.9937968467304215"/>
        <n v="6.612009413193654"/>
        <n v="5.442211055276382"/>
        <n v="6.971608832807571"/>
        <n v="5.351673284174702"/>
        <n v="7.423814011938423"/>
        <n v="6.890574214517876"/>
        <n v="5.4790534468740635"/>
        <n v="7.250474056197207"/>
        <n v="6.389241753909501"/>
        <n v="6.9987242775528316"/>
        <n v="5.491049021248118"/>
        <n v="6.284101599247413"/>
        <n v="6.564038862517191"/>
        <n v="6.0787513302589575"/>
        <n v="6.7859133519128445"/>
        <n v="7.449584816132859"/>
        <n v="6.3401543106340155"/>
        <n v="6.614537784865476"/>
        <n v="5.893992932862191"/>
        <n v="6.263748230425787"/>
        <n v="6.5617152269597385"/>
        <n v="5.8789274106175515"/>
        <n v="7.039051717138914"/>
        <n v="6.431403965551773"/>
      </sharedItems>
    </cacheField>
    <cacheField name="The Mav Stat" numFmtId="164">
      <sharedItems containsSemiMixedTypes="0" containsString="0" containsNumber="1">
        <n v="0.15787667314952522"/>
        <n v="0.07780837004405287"/>
        <n v="0.06338002980625931"/>
        <n v="0.1787718928043891"/>
        <n v="0.11195769268436001"/>
        <n v="0.07697878944645628"/>
        <n v="0.11318602993585174"/>
        <n v="0.10227820959528278"/>
        <n v="0.11549253281037863"/>
        <n v="0.05486137925708549"/>
        <n v="0.0885021752641392"/>
        <n v="0.10652827096421742"/>
        <n v="0.06325909309405545"/>
        <n v="0.07067821194672762"/>
        <n v="0.24354382657869936"/>
        <n v="0.10838272650296359"/>
        <n v="0.06827519647042603"/>
        <n v="0.1218919617472215"/>
        <n v="0.16457906323540575"/>
        <n v="0.15758793969849247"/>
        <n v="0.037854889589905356"/>
        <n v="0.20819625638116845"/>
        <n v="0.06283380458686773"/>
        <n v="0.08791982665222102"/>
        <n v="0.14490992340279857"/>
        <n v="0.19637993449405275"/>
        <n v="0.06938543081168688"/>
        <n v="0.0990404348549559"/>
        <n v="0.032725447548937595"/>
        <n v="0.035371589840075254"/>
        <n v="0.06494831640122443"/>
        <n v="0.06606598084427102"/>
        <n v="0.18874081580947555"/>
        <n v="0.07962040332147094"/>
        <n v="0.07648440120764845"/>
        <n v="0.047162919903287207"/>
        <n v="0.023745583038869256"/>
        <n v="0.1030600021779375"/>
        <n v="0.11328274781951232"/>
        <n v="0.03624052004333694"/>
        <n v="0.07774620443289762"/>
        <n v="0.16813939515321452"/>
      </sharedItems>
    </cacheField>
    <cacheField name="Sprees Per Min" numFmtId="164">
      <sharedItems containsSemiMixedTypes="0" containsString="0" containsNumber="1">
        <n v="0.13385196201807573"/>
        <n v="0.02890969162995595"/>
        <n v="0.010730253353204173"/>
        <n v="0.06330449461911795"/>
        <n v="0.03133875232592302"/>
        <n v="0.031039834454216243"/>
        <n v="0.021382751247327154"/>
        <n v="0.04824443848834093"/>
        <n v="0.03620455573993061"/>
        <n v="0.02085103096764229"/>
        <n v="0.009322560596643877"/>
        <n v="0.10925976509150505"/>
        <n v="0.02403460983816696"/>
        <n v="0.03164696057316162"/>
        <n v="0.05969211435752435"/>
        <n v="0.056449336720293536"/>
        <n v="0.0441196746173997"/>
        <n v="0.07753941586973379"/>
        <n v="0.15182570409170273"/>
        <n v="0.020100502512562814"/>
        <n v="0.018026137899954935"/>
        <n v="0.0957175269427113"/>
        <n v="0.031416902293433864"/>
        <n v="0.05687973997833153"/>
        <n v="0.041080063331764304"/>
        <n v="0.12411653163247716"/>
        <n v="0.026282360155942004"/>
        <n v="0.059903488823562036"/>
        <n v="0.005019240421616195"/>
        <n v="0.05644402634054563"/>
        <n v="0.026618162459518212"/>
        <n v="0.0"/>
        <n v="0.0881682290347099"/>
        <n v="0.0830367734282325"/>
        <n v="0.01543289263851021"/>
        <n v="0.04240282685512368"/>
        <n v="0.04355874986387891"/>
        <n v="0.05994653417222477"/>
        <n v="0.020314192849404118"/>
        <n v="0.014613948201672486"/>
        <n v="0.08171440016022431"/>
      </sharedItems>
    </cacheField>
    <cacheField name="HexaS" numFmtId="164">
      <sharedItems containsSemiMixedTypes="0" containsString="0" containsNumber="1">
        <n v="0.799363154482706"/>
        <n v="0.06185191460521858"/>
        <n v="-1.1225534028812718"/>
        <n v="1.6676836761292404"/>
        <n v="0.10664838572780988"/>
        <n v="-0.8691670977754784"/>
        <n v="0.13888919348648504"/>
        <n v="-0.1447333154650228"/>
        <n v="-0.8309548951576405"/>
        <n v="-0.06406347167633349"/>
        <n v="-0.9201367308887507"/>
        <n v="2.1351943913320586"/>
        <n v="0.46643166159269345"/>
        <n v="-0.19480950776278455"/>
        <n v="1.4027371976123155"/>
        <n v="0.8444679650014112"/>
        <n v="-0.2669883726274186"/>
        <n v="4.145050400620315"/>
        <n v="2.7817224626129207"/>
        <n v="0.5755701584847314"/>
        <n v="-0.5350422818969859"/>
        <n v="1.838963131026659"/>
        <n v="0.7035383286207979"/>
        <n v="1.5846695557963164"/>
        <n v="0.0957326573917684"/>
        <n v="2.6754697465954145"/>
        <n v="0.14893646625937598"/>
        <n v="0.49902934161628487"/>
        <n v="-1.191099213652334"/>
        <n v="-0.15051740357478835"/>
        <n v="0.05606790589000784"/>
        <n v="-1.0444365614284026"/>
        <n v="1.4883861160374967"/>
        <n v="1.086437327006722"/>
        <n v="-1.4894330761489434"/>
        <n v="-0.6858394636212425"/>
        <n v="-0.8056537102473499"/>
        <n v="0.6260199473451582"/>
        <n v="0.8699214214349364"/>
        <n v="-1.0319609967497292"/>
        <n v="-1.5141511731752861"/>
        <n v="1.8042035320036285"/>
      </sharedItems>
    </cacheField>
    <cacheField name="Goals per game" numFmtId="164">
      <sharedItems containsSemiMixedTypes="0" containsString="0" containsNumber="1">
        <n v="0.7727272727272727"/>
        <n v="0.6470588235294118"/>
        <n v="0.65"/>
        <n v="2.08"/>
        <n v="1.0625"/>
        <n v="0.3"/>
        <n v="1.1578947368421053"/>
        <n v="0.6"/>
        <n v="0.4"/>
        <n v="0.27586206896551724"/>
        <n v="0.8"/>
        <n v="0.44"/>
        <n v="0.35714285714285715"/>
        <n v="0.19230769230769232"/>
        <n v="3.227272727272727"/>
        <n v="0.9047619047619048"/>
        <n v="0.16"/>
        <n v="1.0"/>
        <n v="0.7380952380952381"/>
        <n v="1.7857142857142858"/>
        <n v="0.25925925925925924"/>
        <n v="2.1470588235294117"/>
        <n v="0.13636363636363635"/>
        <n v="0.5"/>
        <n v="1.4285714285714286"/>
        <n v="1.619047619047619"/>
        <n v="0.5833333333333334"/>
        <n v="0.8333333333333334"/>
        <n v="0.25"/>
        <n v="0.2"/>
        <n v="0.2692307692307692"/>
        <n v="0.47058823529411764"/>
        <n v="1.6956521739130435"/>
        <n v="0.3333333333333333"/>
        <n v="0.125"/>
        <n v="0.0"/>
        <n v="0.7241379310344828"/>
        <n v="0.6136363636363636"/>
        <n v="1.5185185185185186"/>
      </sharedItems>
    </cacheField>
    <cacheField name="Multi-    talented" numFmtId="164">
      <sharedItems containsSemiMixedTypes="0" containsString="0" containsNumber="1">
        <n v="0.37551020408163266"/>
        <n v="0.20168067226890757"/>
        <n v="0.1492204899777283"/>
        <n v="0.23872472783825816"/>
        <n v="0.16035455278001612"/>
        <n v="0.19736842105263158"/>
        <n v="0.21189024390243902"/>
        <n v="0.1839080459770115"/>
        <n v="0.20761245674740483"/>
        <n v="0.17775665399239543"/>
        <n v="0.19117647058823528"/>
        <n v="0.3293333333333333"/>
        <n v="0.18959731543624161"/>
        <n v="0.2223168654173765"/>
        <n v="0.21728691476590636"/>
        <n v="0.20186335403726707"/>
        <n v="0.20766773162939298"/>
        <n v="0.2096551724137931"/>
        <n v="0.30078740157480316"/>
        <n v="0.18860510805500982"/>
        <n v="0.19357366771159876"/>
        <n v="0.22262773722627738"/>
        <n v="0.21663778162911612"/>
        <n v="0.1975642760487145"/>
        <n v="0.18861607142857142"/>
        <n v="0.33017241379310347"/>
        <n v="0.19269406392694063"/>
        <n v="0.24604012671594508"/>
        <n v="0.08355795148247978"/>
        <n v="0.2206896551724138"/>
        <n v="0.20856102003642987"/>
        <n v="0.10943396226415095"/>
        <n v="0.25442684063373716"/>
        <n v="0.2763852242744063"/>
        <n v="0.14285714285714285"/>
        <n v="0.16136363636363638"/>
        <n v="0.2037037037037037"/>
        <n v="0.20631424375917767"/>
        <n v="0.2380467955239064"/>
        <n v="0.163302752293578"/>
        <n v="0.15301724137931033"/>
        <n v="0.25355113636363635"/>
      </sharedItems>
    </cacheField>
    <cacheField name="Boxer" numFmtId="164">
      <sharedItems containsSemiMixedTypes="0" containsString="0" containsNumber="1">
        <n v="0.003546504976547306"/>
        <n v="4.129955947136564E-4"/>
        <n v="0.002324888226527571"/>
        <n v="0.010761764085250054"/>
        <n v="0.006104527796820422"/>
        <n v="0.0013795481979651664"/>
        <n v="0.0050487051556189115"/>
        <n v="0.0058965424819083356"/>
        <n v="0.004374717151908282"/>
        <n v="9.267124874507684E-4"/>
        <n v="0.003625440232028175"/>
        <n v="8.649731403077484E-4"/>
        <n v="0.0019227687870533568"/>
        <n v="0.002065843259636939"/>
        <n v="0.01628442768876322"/>
        <n v="0.002022767899143852"/>
        <n v="0.0011489498598281171"/>
        <n v="0.005556991470664254"/>
        <n v="0.005136769655102609"/>
        <n v="0.0067839195979899495"/>
        <n v="6.759801712483101E-4"/>
        <n v="0.014712138400453772"/>
        <n v="0.0012566760917373547"/>
        <n v="0.006432827735644637"/>
        <n v="0.006504343360862681"/>
        <n v="0.004999138079641441"/>
        <n v="0.0011827062070173902"/>
        <n v="0.001497587220589051"/>
        <n v="0.0013384641124309855"/>
        <n v="6.271558482282847E-4"/>
        <n v="7.541812696863494E-4"/>
        <n v="0.001135154310039021"/>
        <n v="0.013782619711173043"/>
        <n v="0.0020166073546856464"/>
        <n v="0.0023482053002348204"/>
        <n v="4.1154380369360564E-4"/>
        <n v="7.067137809187279E-4"/>
        <n v="0.002867617699372028"/>
        <n v="0.001863203089136716"/>
        <n v="0.0011511375947995666"/>
        <n v="9.742632134448324E-4"/>
        <n v="0.0051672341277788905"/>
      </sharedItems>
    </cacheField>
    <cacheField name="K/D Whore" numFmtId="164">
      <sharedItems containsSemiMixedTypes="0" containsString="0" containsNumber="1">
        <n v="0.6143461846470656"/>
        <n v="-0.6360132158590308"/>
        <n v="-1.8384500745156485"/>
        <n v="0.18991348385735388"/>
        <n v="-0.7834688081480756"/>
        <n v="-1.7382307294361097"/>
        <n v="-0.7412687099073414"/>
        <n v="-0.723666577325114"/>
        <n v="-1.819278925931513"/>
        <n v="-0.6301644914665225"/>
        <n v="-1.9142324425108763"/>
        <n v="0.46435400163889645"/>
        <n v="-1.139240506329114"/>
        <n v="-1.075996659487495"/>
        <n v="-0.12880929940307886"/>
        <n v="-0.11007620660457239"/>
        <n v="-0.9403005652833311"/>
        <n v="-0.3644352545877488"/>
        <n v="1.1250284673195172"/>
        <n v="-0.3065326633165829"/>
        <n v="-1.2122577737719693"/>
        <n v="0.4892229154849688"/>
        <n v="-0.14765944077913917"/>
        <n v="-0.8775731310942578"/>
        <n v="-0.8780863537164619"/>
        <n v="0.7550422340975693"/>
        <n v="-0.6281484077270139"/>
        <n v="-0.6888901214709634"/>
        <n v="-1.746695666722436"/>
        <n v="-0.7902163687676388"/>
        <n v="-0.7080431214231844"/>
        <n v="-1.5665129478538489"/>
        <n v="-0.24322270078540661"/>
        <n v="-0.24199288256227758"/>
        <n v="-1.7913451861791347"/>
        <n v="-1.169813261999074"/>
        <n v="-1.314487632508834"/>
        <n v="-0.317978874006316"/>
        <n v="-0.15553695352793453"/>
        <n v="-1.450433369447454"/>
        <n v="-2.5184704067548918"/>
        <n v="0.34127778890446625"/>
      </sharedItems>
    </cacheField>
    <cacheField name="Round" numFmtId="164">
      <sharedItems>
        <s v="R1"/>
        <s v="R2"/>
        <s v="C"/>
        <s v="R3"/>
      </sharedItems>
    </cacheField>
    <cacheField name="GPM" formula="Goals/('Game Time'/60)" databaseField="0"/>
    <cacheField name="KDPM" formula="(Kills-Deaths)/('Game Time'/60)" databaseField="0"/>
    <cacheField name="BTPM" formula="Bulltrues/('Game Time'/60)" databaseField="0"/>
    <cacheField name="SPM" formula="'Killing Sprees'/('Game Time'/60)" databaseField="0"/>
    <cacheField name="DPM" formula="'Double Kills'/('Game Time'/60)" databaseField="0"/>
    <cacheField name="TPM" formula="'Triple Kills'/('Game Time'/60)" databaseField="0"/>
    <cacheField name="MKPM" formula="('Grand Slam'+'Double Kills'+'Triple Kills'+Overkills+Killtaculars+Killtrocities+Killamanjaros+Killtastrophe+Killpocalypses+Killionaire)/('Game Time'/60)" databaseField="0"/>
    <cacheField name="X-Fact" formula="(Harpoons+Killjoys+Whiplash+Pancake+Ninja)/('Game Time'/60)" databaseField="0"/>
    <cacheField name="KPM" formula="Kills/('Game Time'/60)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121" sheet="Playoff Review HI_MatchH"/>
  </cacheSource>
  <cacheFields>
    <cacheField name="Player" numFmtId="0">
      <sharedItems>
        <s v="yLuxe"/>
        <s v="TJP37"/>
        <s v="Deathcrawller"/>
        <s v="CaptainSev0004"/>
        <s v="Jussshhhyyy"/>
        <s v="Its Rainin Menz"/>
        <s v="Scullen cx"/>
        <s v="Ram Osneb"/>
        <s v="MysticalNovice"/>
        <s v="xXTHEChickenGod"/>
        <s v="Mavbrid"/>
        <s v="Almighty Tycoon"/>
        <s v="ACE B S1lentND1"/>
        <s v="Grunt Padre"/>
        <s v="Doerstopper"/>
        <s v="amnatu"/>
        <s v="Fanciest Pants"/>
        <s v="TommyWstSide"/>
        <s v="KDSkill"/>
        <s v="MuNgO PuNgO"/>
        <s v="Priest XYZ"/>
        <s v="Holy Morals"/>
        <s v="Memorized"/>
        <s v="SPANKTR0N"/>
        <s v="AwareMosquito"/>
        <s v="ill shrek u"/>
        <s v="NOPLEX"/>
        <s v="oh zilly"/>
        <s v="ASpence501"/>
        <s v="Ken Khaneki"/>
      </sharedItems>
    </cacheField>
    <cacheField name="Grade" numFmtId="0">
      <sharedItems>
        <s v="A"/>
        <s v="B-"/>
        <s v="E-"/>
        <s v="D"/>
        <s v="C+"/>
        <s v="E"/>
        <s v="D-"/>
        <s v="E+"/>
        <s v="S-"/>
        <s v="B"/>
        <s v="A-"/>
        <s v="S"/>
        <s v="F"/>
        <s v="C"/>
        <s v="B+"/>
        <s v="A+"/>
        <s v="D+"/>
        <s v="C-"/>
      </sharedItems>
    </cacheField>
    <cacheField name="Math" numFmtId="2">
      <sharedItems containsSemiMixedTypes="0" containsString="0" containsNumber="1">
        <n v="23.262500000000003"/>
        <n v="16.725"/>
        <n v="9.325000000000001"/>
        <n v="13.075"/>
        <n v="15.549999999999999"/>
        <n v="10.524999999999999"/>
        <n v="12.212499999999999"/>
        <n v="11.487499999999999"/>
        <n v="25.2375"/>
        <n v="18.975"/>
        <n v="10.625"/>
        <n v="12.200000000000001"/>
        <n v="22.762499999999996"/>
        <n v="20.95"/>
        <n v="17.475"/>
        <n v="10.024999999999999"/>
        <n v="27.349999999999998"/>
        <n v="15.475"/>
        <n v="18.362499999999997"/>
        <n v="12.625"/>
        <n v="25.8"/>
        <n v="15.6"/>
        <n v="8.75"/>
        <n v="7.25"/>
        <n v="26.999999999999996"/>
        <n v="18.349999999999998"/>
        <n v="23.95"/>
        <n v="12.95"/>
        <n v="22.25"/>
        <n v="18.224999999999998"/>
        <n v="15.049999999999999"/>
        <n v="12.925"/>
        <n v="20.125"/>
        <n v="18.85"/>
        <n v="24.45"/>
        <n v="21.15"/>
        <n v="11.0"/>
        <n v="11.525"/>
        <n v="8.125"/>
        <n v="11.425"/>
        <n v="22.412499999999998"/>
        <n v="19.7625"/>
        <n v="18.337500000000002"/>
        <n v="15.862499999999999"/>
        <n v="15.8"/>
        <n v="12.362499999999999"/>
        <n v="22.2125"/>
        <n v="24.525"/>
        <n v="24.5"/>
        <n v="17.1125"/>
        <n v="16.125"/>
        <n v="17.412499999999998"/>
        <n v="10.875"/>
        <n v="15.3875"/>
        <n v="9.887500000000001"/>
        <n v="22.625"/>
        <n v="21.0875"/>
        <n v="22.750000000000004"/>
        <n v="18.3875"/>
        <n v="21.599999999999998"/>
        <n v="13.200000000000001"/>
        <n v="9.55"/>
        <n v="14.049999999999999"/>
        <n v="26.8"/>
        <n v="14.7125"/>
        <n v="16.625"/>
        <n v="12.4375"/>
        <n v="20.9375"/>
        <n v="11.225000000000001"/>
        <n v="8.950000000000001"/>
        <n v="21.95"/>
        <n v="18.55"/>
        <n v="15.0"/>
        <n v="13.425"/>
        <n v="19.075"/>
        <n v="8.075000000000001"/>
        <n v="15.55"/>
        <n v="11.3625"/>
        <n v="25.200000000000003"/>
        <n v="15.324999999999998"/>
        <n v="11.174999999999999"/>
        <n v="20.025"/>
        <n v="17.875"/>
        <n v="16.025"/>
        <n v="18.125"/>
        <n v="16.7125"/>
        <n v="13.412500000000001"/>
        <n v="13.0375"/>
        <n v="21.549999999999997"/>
        <n v="17.9625"/>
        <n v="9.45"/>
        <n v="13.575000000000001"/>
        <n v="19.8875"/>
        <n v="8.887500000000001"/>
        <n v="12.100000000000001"/>
        <n v="14.0375"/>
        <n v="19.8375"/>
        <n v="9.025"/>
        <n v="10.299999999999999"/>
        <n v="6.7250000000000005"/>
        <n v="22.712500000000002"/>
        <n v="21.1625"/>
        <n v="16.0625"/>
        <n v="14.475"/>
        <n v="14.1625"/>
        <n v="19.200000000000003"/>
        <n v="15.225"/>
        <n v="13.325"/>
        <n v="19.825"/>
        <n v="16.5"/>
        <n v="23.075000000000003"/>
        <n v="18.9125"/>
        <n v="10.475000000000001"/>
        <n v="9.399999999999999"/>
      </sharedItems>
    </cacheField>
    <cacheField name="Goals PM" numFmtId="164">
      <sharedItems containsSemiMixedTypes="0" containsString="0" containsNumber="1">
        <n v="0.14201183431952663"/>
        <n v="0.07100591715976332"/>
        <n v="0.0"/>
        <n v="0.08053691275167786"/>
        <n v="0.12080536912751678"/>
        <n v="0.04026845637583893"/>
        <n v="0.14475271411338964"/>
        <n v="0.21712907117008445"/>
        <n v="0.07237635705669482"/>
        <n v="0.07672634271099744"/>
        <n v="0.3069053708439898"/>
        <n v="0.4466501240694789"/>
        <n v="0.2977667493796526"/>
        <n v="0.11818778726198292"/>
        <n v="0.07879185817465528"/>
        <n v="0.03939592908732764"/>
        <n v="0.10550996483001172"/>
        <n v="0.07033997655334115"/>
        <n v="0.13029315960912052"/>
        <n v="0.06514657980456026"/>
        <n v="0.11363636363636363"/>
        <n v="0.056818181818181816"/>
        <n v="0.17045454545454544"/>
        <n v="0.07481296758104738"/>
        <n v="0.14962593516209477"/>
        <n v="0.04739336492890995"/>
        <n v="0.14218009478672985"/>
        <n v="0.19933554817275748"/>
        <n v="0.13289036544850497"/>
        <n v="0.07177033492822966"/>
        <n v="0.14354066985645933"/>
        <n v="0.31512605042016806"/>
      </sharedItems>
    </cacheField>
    <cacheField name=" " numFmtId="164">
      <sharedItems>
        <s v="S"/>
        <s v="A-"/>
        <s v="F-"/>
        <s v="A"/>
        <s v="A+"/>
        <s v="C-"/>
        <s v="S+"/>
        <s v="S-"/>
        <s v="B+"/>
        <s v="B"/>
        <s v="C"/>
      </sharedItems>
    </cacheField>
    <cacheField name="KD PM" numFmtId="164">
      <sharedItems containsSemiMixedTypes="0" containsString="0" containsNumber="1">
        <n v="0.11752703529891859"/>
        <n v="0.056268840013397346"/>
        <n v="0.0507185122569738"/>
        <n v="0.05039129604886429"/>
        <n v="0.08821947283485744"/>
        <n v="0.04779244424214839"/>
        <n v="0.05012182387747999"/>
        <n v="0.03363438181251946"/>
        <n v="0.04177852348993289"/>
        <n v="0.03425133071048368"/>
        <n v="0.03355704697986577"/>
        <n v="0.024780588538977803"/>
        <n v="0.05950115195832916"/>
        <n v="0.03633982648551318"/>
        <n v="0.03418136413297956"/>
        <n v="0.022651006711409398"/>
        <n v="0.09695700662311946"/>
        <n v="0.043864458822239286"/>
        <n v="0.09553679131483717"/>
        <n v="0.053075995174909525"/>
        <n v="0.10454362685967028"/>
        <n v="0.05332994730493302"/>
        <n v="0.03618817852834741"/>
        <n v="0.0423666480331872"/>
        <n v="0.0879156010230179"/>
        <n v="0.06649616368286446"/>
        <n v="0.12689356679126498"/>
        <n v="0.08294739752540264"/>
        <n v="0.07522190461862494"/>
        <n v="0.05071741297845594"/>
        <n v="0.0421994884910486"/>
        <n v="0.03682864450127877"/>
        <n v="0.15508684863523575"/>
        <n v="0.22770398481973433"/>
        <n v="0.22828784119106701"/>
        <n v="0.10545905707196031"/>
        <n v="0.07231478199220134"/>
        <n v="0.09039347749025167"/>
        <n v="0.10634526763559021"/>
        <n v="0.08337468982630274"/>
        <n v="0.04395756298164979"/>
        <n v="0.0385665411065418"/>
        <n v="0.034526769312489394"/>
        <n v="0.036902515853952475"/>
        <n v="0.031444457161445"/>
        <n v="0.02893683286945305"/>
        <n v="0.030272661298683345"/>
        <n v="0.03996688458134689"/>
        <n v="0.04924491135915955"/>
        <n v="0.061821304106267995"/>
        <n v="0.03473062169540726"/>
        <n v="0.03654115161723144"/>
        <n v="0.029443273317897502"/>
        <n v="0.02471901432930362"/>
        <n v="0.03597019612321219"/>
        <n v="0.01954038082731451"/>
        <n v="0.05526712443476804"/>
        <n v="0.03427583603234844"/>
        <n v="0.03991200916790706"/>
        <n v="0.03565846033606877"/>
        <n v="0.036411281980553066"/>
        <n v="0.023247958352375465"/>
        <n v="0.01810991933649455"/>
        <n v="0.0200530634910841"/>
        <n v="0.1169297586235697"/>
        <n v="0.059000676049413066"/>
        <n v="0.07106899615042937"/>
        <n v="0.03420195439739414"/>
        <n v="0.06897873155776969"/>
        <n v="0.057201874950345594"/>
        <n v="0.038002171552660155"/>
        <n v="0.057908070937386896"/>
        <n v="0.08522727272727272"/>
        <n v="0.053929121725731895"/>
        <n v="0.05026223776223775"/>
        <n v="0.056818181818181816"/>
        <n v="0.07508116883116882"/>
        <n v="0.03284801136363636"/>
        <n v="0.04624735729386892"/>
        <n v="0.029644268774703553"/>
        <n v="0.07939335335131559"/>
        <n v="0.07156022986013227"/>
        <n v="0.07481296758104738"/>
        <n v="0.027060009550591606"/>
        <n v="0.1315676326425316"/>
        <n v="0.07948877805486285"/>
        <n v="0.04655029093931837"/>
        <n v="0.05093018320718681"/>
        <n v="0.04291020878698604"/>
        <n v="0.040810953133228016"/>
        <n v="0.034185377981508815"/>
        <n v="0.07655851257746991"/>
        <n v="0.036060168967648874"/>
        <n v="0.03915104059344735"/>
        <n v="0.051701852649719944"/>
        <n v="0.09302325581395347"/>
        <n v="0.04727830309225658"/>
        <n v="0.04940795638470057"/>
        <n v="0.04286785982209838"/>
        <n v="0.10132890365448503"/>
        <n v="0.058718998686548715"/>
        <n v="0.05610926541159099"/>
        <n v="0.04429678848283499"/>
        <n v="0.08155719878207918"/>
        <n v="0.07017543859649122"/>
        <n v="0.0665188470066519"/>
        <n v="0.06728468899521531"/>
        <n v="0.08846111049293423"/>
        <n v="0.060086792032936466"/>
        <n v="0.06610425585494838"/>
        <n v="0.048934319269247496"/>
        <n v="0.07717372663351055"/>
        <n v="0.06436617200071518"/>
        <n v="0.06302521008403361"/>
        <n v="0.08910460736018545"/>
        <n v="0.05844155844155844"/>
        <n v="0.05018674136321195"/>
        <n v="0.049324077457069786"/>
        <n v="0.04201680672268907"/>
      </sharedItems>
    </cacheField>
    <cacheField name=" 2" numFmtId="164">
      <sharedItems>
        <s v="A+"/>
        <s v="A"/>
      </sharedItems>
    </cacheField>
    <cacheField name="BTPM" numFmtId="164">
      <sharedItems containsSemiMixedTypes="0" containsString="0" containsNumber="1">
        <n v="0.4970414201183432"/>
        <n v="0.35502958579881655"/>
        <n v="0.14201183431952663"/>
        <n v="0.42603550295857984"/>
        <n v="0.28402366863905326"/>
        <n v="0.21301775147928992"/>
        <n v="0.6442953020134229"/>
        <n v="0.6845637583892618"/>
        <n v="0.24161073825503357"/>
        <n v="0.32214765100671144"/>
        <n v="0.8859060402684564"/>
        <n v="0.4429530201342282"/>
        <n v="1.0132689987937273"/>
        <n v="0.5790108564535585"/>
        <n v="0.7961399276236429"/>
        <n v="0.28950542822677927"/>
        <n v="0.5066344993968637"/>
        <n v="0.4342581423401689"/>
        <n v="0.3618817852834741"/>
        <n v="0.21712907117008445"/>
        <n v="0.9207161125319693"/>
        <n v="0.46035805626598464"/>
        <n v="0.5370843989769821"/>
        <n v="0.23017902813299232"/>
        <n v="0.9974424552429667"/>
        <n v="0.0"/>
        <n v="0.4466501240694789"/>
        <n v="0.5955334987593052"/>
        <n v="1.0421836228287842"/>
        <n v="0.1488833746898263"/>
        <n v="0.8273145108338805"/>
        <n v="0.66973079448457"/>
        <n v="0.5909389363099147"/>
        <n v="0.551543007222587"/>
        <n v="0.3939592908732764"/>
        <n v="0.6303348653972423"/>
        <n v="0.43335521996060405"/>
        <n v="0.7485226526592252"/>
        <n v="1.1818778726198294"/>
        <n v="0.2757715036112935"/>
        <n v="0.1969796454366382"/>
        <n v="0.23637557452396585"/>
        <n v="0.15758371634931057"/>
        <n v="1.2309495896834701"/>
        <n v="0.7033997655334114"/>
        <n v="0.5627198124267292"/>
        <n v="0.7737397420867527"/>
        <n v="0.31652989449003516"/>
        <n v="0.3516998827667057"/>
        <n v="0.2813599062133646"/>
        <n v="0.246189917936694"/>
        <n v="0.9771986970684039"/>
        <n v="0.5863192182410424"/>
        <n v="0.32573289902280134"/>
        <n v="0.26058631921824105"/>
        <n v="0.5211726384364821"/>
        <n v="0.13029315960912052"/>
        <n v="0.39087947882736157"/>
        <n v="0.9090909090909091"/>
        <n v="0.5113636363636364"/>
        <n v="0.6818181818181818"/>
        <n v="0.3409090909090909"/>
        <n v="0.22727272727272727"/>
        <n v="0.28409090909090906"/>
        <n v="0.11363636363636363"/>
        <n v="0.6733167082294265"/>
        <n v="0.29925187032418954"/>
        <n v="0.22443890274314213"/>
        <n v="0.8229426433915211"/>
        <n v="0.37406483790523687"/>
        <n v="0.33175355450236965"/>
        <n v="0.42654028436018954"/>
        <n v="0.14218009478672985"/>
        <n v="1.2322274881516586"/>
        <n v="0.6635071090047393"/>
        <n v="0.2843601895734597"/>
        <n v="0.39867109634551495"/>
        <n v="0.19933554817275748"/>
        <n v="0.13289036544850497"/>
        <n v="0.46511627906976744"/>
        <n v="0.33222591362126247"/>
        <n v="0.26578073089700993"/>
        <n v="0.06644518272425248"/>
        <n v="0.7894736842105263"/>
        <n v="0.14354066985645933"/>
        <n v="0.43062200956937796"/>
        <n v="0.3588516746411483"/>
        <n v="0.21531100478468898"/>
        <n v="0.5741626794258373"/>
        <n v="0.5042016806722689"/>
        <n v="0.37815126050420167"/>
        <n v="0.6302521008403361"/>
        <n v="0.6932773109243697"/>
        <n v="0.4411764705882353"/>
        <n v="0.25210084033613445"/>
        <n v="0.06302521008403361"/>
      </sharedItems>
    </cacheField>
    <cacheField name=" 3" numFmtId="164">
      <sharedItems>
        <s v="B-"/>
        <s v="E+"/>
        <s v="F-"/>
        <s v="D+"/>
        <s v="F+"/>
        <s v="F"/>
        <s v="A"/>
        <s v="A+"/>
        <s v="E"/>
        <s v="S"/>
        <s v="C-"/>
        <s v="S+"/>
        <s v="A-"/>
        <s v="S-"/>
        <s v="B+"/>
        <s v="D-"/>
        <s v="D"/>
        <s v="C"/>
        <s v="B"/>
      </sharedItems>
    </cacheField>
    <cacheField name="SPM" numFmtId="164">
      <sharedItems containsSemiMixedTypes="0" containsString="0" containsNumber="1">
        <n v="0.07100591715976332"/>
        <n v="0.0"/>
        <n v="0.12080536912751678"/>
        <n v="0.04026845637583893"/>
        <n v="0.08053691275167786"/>
        <n v="0.14475271411338964"/>
        <n v="0.07237635705669482"/>
        <n v="0.3069053708439898"/>
        <n v="0.1534526854219949"/>
        <n v="0.07672634271099744"/>
        <n v="0.1488833746898263"/>
        <n v="0.07879185817465528"/>
        <n v="0.11818778726198292"/>
        <n v="0.03939592908732764"/>
        <n v="0.1969796454366382"/>
        <n v="0.21101992966002345"/>
        <n v="0.07033997655334115"/>
        <n v="0.035169988276670575"/>
        <n v="0.13029315960912052"/>
        <n v="0.06514657980456026"/>
        <n v="0.17045454545454544"/>
        <n v="0.28409090909090906"/>
        <n v="0.11363636363636363"/>
        <n v="0.07481296758104738"/>
        <n v="0.14962593516209477"/>
        <n v="0.04739336492890995"/>
        <n v="0.0947867298578199"/>
        <n v="0.06644518272425248"/>
        <n v="0.13289036544850497"/>
        <n v="0.07177033492822966"/>
        <n v="0.14354066985645933"/>
        <n v="0.12605042016806722"/>
        <n v="0.06302521008403361"/>
      </sharedItems>
    </cacheField>
    <cacheField name=" 4" numFmtId="164">
      <sharedItems>
        <s v="A-"/>
        <s v="F-"/>
        <s v="S-"/>
        <s v="C"/>
        <s v="A"/>
        <s v="S"/>
        <s v="S+"/>
        <s v="C-"/>
        <s v="C+"/>
        <s v="A+"/>
        <s v="B+"/>
      </sharedItems>
    </cacheField>
    <cacheField name="DPM" numFmtId="164">
      <sharedItems containsSemiMixedTypes="0" containsString="0" containsNumber="1">
        <n v="0.42603550295857984"/>
        <n v="0.4970414201183432"/>
        <n v="0.14201183431952663"/>
        <n v="0.35502958579881655"/>
        <n v="0.21301775147928992"/>
        <n v="0.5234899328859061"/>
        <n v="0.24161073825503357"/>
        <n v="0.2818791946308725"/>
        <n v="0.7651006711409396"/>
        <n v="0.32214765100671144"/>
        <n v="0.20134228187919465"/>
        <n v="1.3751507840772015"/>
        <n v="0.28950542822677927"/>
        <n v="0.14475271411338964"/>
        <n v="0.5066344993968637"/>
        <n v="1.158021712907117"/>
        <n v="0.5790108564535585"/>
        <n v="0.9974424552429667"/>
        <n v="0.690537084398977"/>
        <n v="0.46035805626598464"/>
        <n v="0.6138107416879796"/>
        <n v="0.7672634271099744"/>
        <n v="0.5370843989769821"/>
        <n v="0.3069053708439898"/>
        <n v="0.3836317135549872"/>
        <n v="0.8933002481389578"/>
        <n v="0.7444168734491315"/>
        <n v="0.4466501240694789"/>
        <n v="0.2977667493796526"/>
        <n v="0.1488833746898263"/>
        <n v="0.7485226526592252"/>
        <n v="0.66973079448457"/>
        <n v="0.3939592908732764"/>
        <n v="0.35456336178594877"/>
        <n v="0.551543007222587"/>
        <n v="0.2757715036112935"/>
        <n v="1.0242941562705188"/>
        <n v="0.9061063690085358"/>
        <n v="0.4727511490479317"/>
        <n v="0.31516743269862113"/>
        <n v="0.1969796454366382"/>
        <n v="0.8440797186400938"/>
        <n v="0.5627198124267292"/>
        <n v="0.6682297772567409"/>
        <n v="0.246189917936694"/>
        <n v="0.45720984759671746"/>
        <n v="0.31652989449003516"/>
        <n v="0.17584994138335286"/>
        <n v="0.7166123778501629"/>
        <n v="0.45602605863192186"/>
        <n v="0.5863192182410424"/>
        <n v="0.13029315960912052"/>
        <n v="0.9771986970684039"/>
        <n v="0.32573289902280134"/>
        <n v="0.3977272727272727"/>
        <n v="0.45454545454545453"/>
        <n v="0.5681818181818181"/>
        <n v="0.17045454545454544"/>
        <n v="0.9659090909090908"/>
        <n v="0.28409090909090906"/>
        <n v="0.056818181818181816"/>
        <n v="0.11363636363636363"/>
        <n v="0.7481296758104737"/>
        <n v="0.29925187032418954"/>
        <n v="0.14962593516209477"/>
        <n v="0.07481296758104738"/>
        <n v="0.5985037406483791"/>
        <n v="0.37406483790523687"/>
        <n v="0.22443890274314213"/>
        <n v="0.5687203791469194"/>
        <n v="0.5213270142180094"/>
        <n v="0.42654028436018954"/>
        <n v="0.2843601895734597"/>
        <n v="0.8056872037914692"/>
        <n v="0.33175355450236965"/>
        <n v="0.3791469194312796"/>
        <n v="0.7973421926910299"/>
        <n v="0.19933554817275748"/>
        <n v="0.26578073089700993"/>
        <n v="0.13289036544850497"/>
        <n v="1.0631229235880397"/>
        <n v="0.43062200956937796"/>
        <n v="0.645933014354067"/>
        <n v="0.28708133971291866"/>
        <n v="0.5023923444976076"/>
        <n v="0.5741626794258373"/>
        <n v="0.3588516746411483"/>
        <n v="0.21531100478468898"/>
        <n v="0.5672268907563025"/>
        <n v="0.5042016806722689"/>
        <n v="0.37815126050420167"/>
        <n v="0.4411764705882353"/>
        <n v="0.12605042016806722"/>
        <n v="0.25210084033613445"/>
      </sharedItems>
    </cacheField>
    <cacheField name=" 5" numFmtId="164">
      <sharedItems>
        <s v="C+"/>
        <s v="B"/>
        <s v="F-"/>
        <s v="E+"/>
        <s v="B+"/>
        <s v="F"/>
        <s v="F+"/>
        <s v="S-"/>
        <s v="E-"/>
        <s v="S+"/>
        <s v="A"/>
        <s v="A-"/>
        <s v="D"/>
        <s v="S"/>
        <s v="B-"/>
        <s v="A+"/>
        <s v="D+"/>
        <s v="E"/>
        <s v="D-"/>
      </sharedItems>
    </cacheField>
    <cacheField name="TPM" numFmtId="164">
      <sharedItems containsSemiMixedTypes="0" containsString="0" containsNumber="1">
        <n v="0.14201183431952663"/>
        <n v="0.07100591715976332"/>
        <n v="0.0"/>
        <n v="0.21301775147928992"/>
        <n v="0.24161073825503357"/>
        <n v="0.16107382550335572"/>
        <n v="0.08053691275167786"/>
        <n v="0.04026845637583893"/>
        <n v="0.32214765100671144"/>
        <n v="0.20134228187919465"/>
        <n v="0.4342581423401689"/>
        <n v="0.14475271411338964"/>
        <n v="0.28950542822677927"/>
        <n v="0.07237635705669482"/>
        <n v="0.5370843989769821"/>
        <n v="0.23017902813299232"/>
        <n v="0.1534526854219949"/>
        <n v="0.07672634271099744"/>
        <n v="0.3069053708439898"/>
        <n v="0.4466501240694789"/>
        <n v="0.1488833746898263"/>
        <n v="0.1969796454366382"/>
        <n v="0.07879185817465528"/>
        <n v="0.03939592908732764"/>
        <n v="0.11818778726198292"/>
        <n v="0.3939592908732764"/>
        <n v="0.31516743269862113"/>
        <n v="0.3516998827667057"/>
        <n v="0.246189917936694"/>
        <n v="0.10550996483001172"/>
        <n v="0.07033997655334115"/>
        <n v="0.035169988276670575"/>
        <n v="0.32573289902280134"/>
        <n v="0.06514657980456026"/>
        <n v="0.26058631921824105"/>
        <n v="0.13029315960912052"/>
        <n v="0.11363636363636363"/>
        <n v="0.056818181818181816"/>
        <n v="0.28409090909090906"/>
        <n v="0.29925187032418954"/>
        <n v="0.14962593516209477"/>
        <n v="0.07481296758104738"/>
        <n v="0.14218009478672985"/>
        <n v="0.04739336492890995"/>
        <n v="0.1895734597156398"/>
        <n v="0.0947867298578199"/>
        <n v="0.33222591362126247"/>
        <n v="0.06644518272425248"/>
        <n v="0.14354066985645933"/>
        <n v="0.21531100478468898"/>
        <n v="0.07177033492822966"/>
        <n v="0.25210084033613445"/>
        <n v="0.18907563025210083"/>
        <n v="0.12605042016806722"/>
        <n v="0.06302521008403361"/>
      </sharedItems>
    </cacheField>
    <cacheField name=" 6" numFmtId="164">
      <sharedItems>
        <s v="B"/>
        <s v="E+"/>
        <s v="F-"/>
        <s v="S-"/>
        <s v="A-"/>
        <s v="D-"/>
        <s v="F"/>
        <s v="S"/>
        <s v="S+"/>
        <s v="B+"/>
        <s v="C"/>
        <s v="C-"/>
        <s v="E"/>
        <s v="B-"/>
        <s v="F+"/>
        <s v="D+"/>
        <s v="C+"/>
        <s v="E-"/>
      </sharedItems>
    </cacheField>
    <cacheField name="MKPM" numFmtId="164">
      <sharedItems containsSemiMixedTypes="0" containsString="0" containsNumber="1">
        <n v="0.6390532544378698"/>
        <n v="0.5680473372781065"/>
        <n v="0.14201183431952663"/>
        <n v="0.8520710059171597"/>
        <n v="0.35502958579881655"/>
        <n v="0.42603550295857984"/>
        <n v="0.21301775147928992"/>
        <n v="1.0067114093959733"/>
        <n v="0.7651006711409396"/>
        <n v="0.4026845637583893"/>
        <n v="0.32214765100671144"/>
        <n v="1.12751677852349"/>
        <n v="0.8053691275167786"/>
        <n v="0.8859060402684564"/>
        <n v="0.20134228187919465"/>
        <n v="2.243667068757539"/>
        <n v="0.5066344993968637"/>
        <n v="0.14475271411338964"/>
        <n v="0.7237635705669482"/>
        <n v="1.8094089264173703"/>
        <n v="0.3618817852834741"/>
        <n v="0.28950542822677927"/>
        <n v="1.918158567774936"/>
        <n v="0.9974424552429667"/>
        <n v="0.690537084398977"/>
        <n v="1.227621483375959"/>
        <n v="0.6138107416879796"/>
        <n v="0.46035805626598464"/>
        <n v="1.488833746898263"/>
        <n v="0.7444168734491315"/>
        <n v="0.2977667493796526"/>
        <n v="0.4466501240694789"/>
        <n v="0.1488833746898263"/>
        <n v="1.221273801707157"/>
        <n v="0.7485226526592252"/>
        <n v="0.9848982271831911"/>
        <n v="0.5121470781352594"/>
        <n v="0.4727511490479317"/>
        <n v="0.7091267235718975"/>
        <n v="0.3939592908732764"/>
        <n v="0.6303348653972423"/>
        <n v="1.6152330925804335"/>
        <n v="1.33946158896914"/>
        <n v="0.43335521996060405"/>
        <n v="0.31516743269862113"/>
        <n v="1.477139507620164"/>
        <n v="0.984759671746776"/>
        <n v="0.8792497069167644"/>
        <n v="0.3516998827667057"/>
        <n v="0.9144196951934349"/>
        <n v="0.6330597889800703"/>
        <n v="0.2813599062133646"/>
        <n v="1.1726384364820848"/>
        <n v="0.45602605863192186"/>
        <n v="0.7817589576547231"/>
        <n v="0.13029315960912052"/>
        <n v="1.3680781758957654"/>
        <n v="0.6514657980456027"/>
        <n v="0.32573289902280134"/>
        <n v="0.5113636363636364"/>
        <n v="0.625"/>
        <n v="0.22727272727272727"/>
        <n v="1.534090909090909"/>
        <n v="0.28409090909090906"/>
        <n v="0.11363636363636363"/>
        <n v="0.17045454545454544"/>
        <n v="1.1221945137157108"/>
        <n v="0.5236907730673317"/>
        <n v="0.22443890274314213"/>
        <n v="0.14962593516209477"/>
        <n v="0.8229426433915211"/>
        <n v="0.37406483790523687"/>
        <n v="0.44887780548628425"/>
        <n v="0.7109004739336492"/>
        <n v="0.5213270142180094"/>
        <n v="0.2843601895734597"/>
        <n v="1.0900473933649288"/>
        <n v="0.4739336492890995"/>
        <n v="0.42654028436018954"/>
        <n v="1.5282392026578073"/>
        <n v="0.26578073089700993"/>
        <n v="0.33222591362126247"/>
        <n v="0.13289036544850497"/>
        <n v="0.19933554817275748"/>
        <n v="0.5741626794258373"/>
        <n v="1.1483253588516746"/>
        <n v="0.3588516746411483"/>
        <n v="0.7177033492822966"/>
        <n v="0.21531100478468898"/>
        <n v="1.0714285714285714"/>
        <n v="0.6932773109243697"/>
        <n v="0.5672268907563025"/>
        <n v="0.6302521008403361"/>
        <n v="0.18907563025210083"/>
        <n v="0.31512605042016806"/>
      </sharedItems>
    </cacheField>
    <cacheField name=" 7" numFmtId="164">
      <sharedItems>
        <s v="B-"/>
        <s v="D+"/>
        <s v="F-"/>
        <s v="A"/>
        <s v="F"/>
        <s v="E-"/>
        <s v="A+"/>
        <s v="B+"/>
        <s v="F+"/>
        <s v="S-"/>
        <s v="A-"/>
        <s v="S+"/>
        <s v="E+"/>
        <s v="B"/>
        <s v="E"/>
        <s v="S"/>
        <s v="D-"/>
      </sharedItems>
    </cacheField>
    <cacheField name="XFACT" numFmtId="164">
      <sharedItems containsSemiMixedTypes="0" containsString="0" containsNumber="1">
        <n v="0.07100591715976332"/>
        <n v="0.0"/>
        <n v="0.12080536912751678"/>
        <n v="0.08053691275167786"/>
        <n v="0.04026845637583893"/>
        <n v="0.07237635705669482"/>
        <n v="0.21712907117008445"/>
        <n v="0.07672634271099744"/>
        <n v="0.1534526854219949"/>
        <n v="0.1488833746898263"/>
        <n v="0.11818778726198292"/>
        <n v="0.03939592908732764"/>
        <n v="0.07879185817465528"/>
        <n v="0.15758371634931057"/>
        <n v="0.035169988276670575"/>
        <n v="0.07033997655334115"/>
        <n v="0.10550996483001172"/>
        <n v="0.1406799531066823"/>
        <n v="0.13029315960912052"/>
        <n v="0.19543973941368079"/>
        <n v="0.06514657980456026"/>
        <n v="0.056818181818181816"/>
        <n v="0.22727272727272727"/>
        <n v="0.11363636363636363"/>
        <n v="0.07481296758104738"/>
        <n v="0.14962593516209477"/>
        <n v="0.0947867298578199"/>
        <n v="0.04739336492890995"/>
        <n v="0.06644518272425248"/>
        <n v="0.07177033492822966"/>
        <n v="0.14354066985645933"/>
        <n v="0.06302521008403361"/>
        <n v="0.12605042016806722"/>
      </sharedItems>
    </cacheField>
    <cacheField name=" 8" numFmtId="164">
      <sharedItems>
        <s v="B"/>
        <s v="F-"/>
        <s v="S"/>
        <s v="A"/>
        <s v="E"/>
        <s v="S+"/>
        <s v="B+"/>
        <s v="E-"/>
        <s v="A-"/>
        <s v="F+"/>
        <s v="S-"/>
        <s v="C"/>
        <s v="D"/>
        <s v="B-"/>
      </sharedItems>
    </cacheField>
    <cacheField name="KPM" numFmtId="164">
      <sharedItems containsSemiMixedTypes="0" containsString="0" containsNumber="1">
        <n v="3.4082840236686387"/>
        <n v="2.982248520710059"/>
        <n v="2.130177514792899"/>
        <n v="1.5621301775147929"/>
        <n v="2.9112426035502956"/>
        <n v="2.485207100591716"/>
        <n v="2.556213017751479"/>
        <n v="1.2781065088757395"/>
        <n v="3.342281879194631"/>
        <n v="2.9798657718120807"/>
        <n v="2.61744966442953"/>
        <n v="1.9328859060402686"/>
        <n v="3.986577181208054"/>
        <n v="2.9395973154362416"/>
        <n v="1.8120805369127517"/>
        <n v="5.138721351025332"/>
        <n v="2.8950542822677927"/>
        <n v="2.388419782870929"/>
        <n v="4.704463208685163"/>
        <n v="3.039806996381182"/>
        <n v="2.0989143546441498"/>
        <n v="1.7370325693606756"/>
        <n v="4.21994884910486"/>
        <n v="3.989769820971867"/>
        <n v="3.29923273657289"/>
        <n v="3.0690537084398977"/>
        <n v="3.836317135549872"/>
        <n v="2.9923273657289005"/>
        <n v="2.5319693094629154"/>
        <n v="1.8414322250639386"/>
        <n v="3.7220843672456576"/>
        <n v="3.870967741935484"/>
        <n v="3.424317617866005"/>
        <n v="2.531017369727047"/>
        <n v="2.2332506203473943"/>
        <n v="2.0843672456575684"/>
        <n v="4.17596848325673"/>
        <n v="3.663821405121471"/>
        <n v="3.072882468811556"/>
        <n v="2.915298752462246"/>
        <n v="3.427445830597505"/>
        <n v="3.2698621142481943"/>
        <n v="2.875902823374918"/>
        <n v="2.757715036112935"/>
        <n v="4.727511490479317"/>
        <n v="4.0183847669074195"/>
        <n v="2.639527248850952"/>
        <n v="2.521339461588969"/>
        <n v="2.797110965200263"/>
        <n v="2.4819435325016417"/>
        <n v="2.442547603414314"/>
        <n v="4.25556858147714"/>
        <n v="4.044548651817116"/>
        <n v="3.552168815943728"/>
        <n v="2.5674091441969518"/>
        <n v="3.0949589683470107"/>
        <n v="2.7432590855803047"/>
        <n v="2.4267291910902697"/>
        <n v="2.2860492379835873"/>
        <n v="4.5602605863192185"/>
        <n v="3.1270358306188926"/>
        <n v="2.3452768729641695"/>
        <n v="1.3680781758957654"/>
        <n v="3.5179153094462543"/>
        <n v="2.2801302931596092"/>
        <n v="2.0846905537459284"/>
        <n v="3.2386363636363633"/>
        <n v="3.1818181818181817"/>
        <n v="2.6136363636363633"/>
        <n v="1.9886363636363635"/>
        <n v="4.204545454545454"/>
        <n v="2.102272727272727"/>
        <n v="1.3636363636363635"/>
        <n v="3.8902743142144636"/>
        <n v="3.2917705735660845"/>
        <n v="2.169576059850374"/>
        <n v="1.2718204488778055"/>
        <n v="3.815461346633416"/>
        <n v="2.543640897755611"/>
        <n v="2.0947630922693268"/>
        <n v="3.4123222748815163"/>
        <n v="3.1753554502369665"/>
        <n v="2.9383886255924168"/>
        <n v="2.0853080568720377"/>
        <n v="3.981042654028436"/>
        <n v="3.3175355450236963"/>
        <n v="2.701421800947867"/>
        <n v="2.2748815165876777"/>
        <n v="4.651162790697674"/>
        <n v="2.458471760797342"/>
        <n v="1.9269102990033222"/>
        <n v="1.3289036544850499"/>
        <n v="4.0531561461794015"/>
        <n v="2.5249169435215943"/>
        <n v="1.5946843853820598"/>
        <n v="3.588516746411483"/>
        <n v="3.1578947368421053"/>
        <n v="2.727272727272727"/>
        <n v="2.15311004784689"/>
        <n v="3.803827751196172"/>
        <n v="2.583732057416268"/>
        <n v="2.511961722488038"/>
        <n v="3.7815126050420167"/>
        <n v="3.0252100840336134"/>
        <n v="2.899159663865546"/>
        <n v="2.584033613445378"/>
        <n v="3.214285714285714"/>
        <n v="2.710084033613445"/>
        <n v="2.26890756302521"/>
        <n v="2.0168067226890756"/>
      </sharedItems>
    </cacheField>
    <cacheField name=" 9" numFmtId="164">
      <sharedItems>
        <s v="A+"/>
        <s v="B"/>
        <s v="F-"/>
        <s v="C+"/>
        <s v="D-"/>
        <s v="D"/>
        <s v="S"/>
        <s v="B-"/>
        <s v="S+"/>
        <s v="E"/>
        <s v="B+"/>
        <s v="A-"/>
        <s v="S-"/>
        <s v="F"/>
        <s v="C-"/>
        <s v="E+"/>
        <s v="F+"/>
        <s v="A"/>
        <s v="D+"/>
      </sharedItems>
    </cacheField>
    <cacheField name="Wins" numFmtId="0">
      <sharedItems containsSemiMixedTypes="0" containsString="0" containsNumber="1" containsInteger="1">
        <n v="1.0"/>
        <n v="0.0"/>
      </sharedItems>
    </cacheField>
    <cacheField name="Losses" numFmtId="0">
      <sharedItems containsSemiMixedTypes="0" containsString="0" containsNumber="1" containsInteger="1">
        <n v="0.0"/>
        <n v="1.0"/>
      </sharedItems>
    </cacheField>
    <cacheField name="Goals" numFmtId="0">
      <sharedItems containsSemiMixedTypes="0" containsString="0" containsNumber="1" containsInteger="1">
        <n v="2.0"/>
        <n v="1.0"/>
        <n v="0.0"/>
        <n v="3.0"/>
        <n v="4.0"/>
        <n v="5.0"/>
      </sharedItems>
    </cacheField>
    <cacheField name="Ball Punches" numFmtId="0">
      <sharedItems containsSemiMixedTypes="0" containsString="0" containsNumber="1" containsInteger="1">
        <n v="9.0"/>
        <n v="0.0"/>
        <n v="5.0"/>
        <n v="2.0"/>
        <n v="6.0"/>
        <n v="1.0"/>
        <n v="8.0"/>
        <n v="4.0"/>
        <n v="18.0"/>
        <n v="24.0"/>
        <n v="21.0"/>
        <n v="15.0"/>
        <n v="14.0"/>
        <n v="3.0"/>
        <n v="11.0"/>
        <n v="7.0"/>
        <n v="37.0"/>
        <n v="10.0"/>
        <n v="19.0"/>
        <n v="16.0"/>
        <n v="12.0"/>
        <n v="13.0"/>
      </sharedItems>
    </cacheField>
    <cacheField name="Kills" numFmtId="0">
      <sharedItems containsSemiMixedTypes="0" containsString="0" containsNumber="1" containsInteger="1">
        <n v="48.0"/>
        <n v="42.0"/>
        <n v="30.0"/>
        <n v="22.0"/>
        <n v="41.0"/>
        <n v="35.0"/>
        <n v="36.0"/>
        <n v="18.0"/>
        <n v="83.0"/>
        <n v="74.0"/>
        <n v="65.0"/>
        <n v="99.0"/>
        <n v="73.0"/>
        <n v="45.0"/>
        <n v="71.0"/>
        <n v="40.0"/>
        <n v="33.0"/>
        <n v="29.0"/>
        <n v="24.0"/>
        <n v="55.0"/>
        <n v="52.0"/>
        <n v="43.0"/>
        <n v="50.0"/>
        <n v="39.0"/>
        <n v="25.0"/>
        <n v="26.0"/>
        <n v="23.0"/>
        <n v="17.0"/>
        <n v="15.0"/>
        <n v="14.0"/>
        <n v="106.0"/>
        <n v="93.0"/>
        <n v="78.0"/>
        <n v="87.0"/>
        <n v="70.0"/>
        <n v="120.0"/>
        <n v="102.0"/>
        <n v="67.0"/>
        <n v="64.0"/>
        <n v="63.0"/>
        <n v="62.0"/>
        <n v="121.0"/>
        <n v="115.0"/>
        <n v="101.0"/>
        <n v="88.0"/>
        <n v="69.0"/>
        <n v="21.0"/>
        <n v="54.0"/>
        <n v="32.0"/>
        <n v="57.0"/>
        <n v="56.0"/>
        <n v="46.0"/>
        <n v="37.0"/>
        <n v="44.0"/>
        <n v="51.0"/>
        <n v="34.0"/>
        <n v="28.0"/>
        <n v="72.0"/>
        <n v="84.0"/>
        <n v="20.0"/>
        <n v="61.0"/>
        <n v="38.0"/>
        <n v="53.0"/>
        <n v="60.0"/>
      </sharedItems>
    </cacheField>
    <cacheField name="Deaths" numFmtId="0">
      <sharedItems containsSemiMixedTypes="0" containsString="0" containsNumber="1" containsInteger="1">
        <n v="29.0"/>
        <n v="53.0"/>
        <n v="42.0"/>
        <n v="31.0"/>
        <n v="33.0"/>
        <n v="52.0"/>
        <n v="51.0"/>
        <n v="38.0"/>
        <n v="80.0"/>
        <n v="87.0"/>
        <n v="78.0"/>
        <n v="67.0"/>
        <n v="82.0"/>
        <n v="86.0"/>
        <n v="66.0"/>
        <n v="25.0"/>
        <n v="45.0"/>
        <n v="57.0"/>
        <n v="58.0"/>
        <n v="41.0"/>
        <n v="48.0"/>
        <n v="60.0"/>
        <n v="26.0"/>
        <n v="37.0"/>
        <n v="59.0"/>
        <n v="50.0"/>
        <n v="24.0"/>
        <n v="17.0"/>
        <n v="15.0"/>
        <n v="35.0"/>
        <n v="28.0"/>
        <n v="21.0"/>
        <n v="95.0"/>
        <n v="89.0"/>
        <n v="79.0"/>
        <n v="109.0"/>
        <n v="113.0"/>
        <n v="69.0"/>
        <n v="96.0"/>
        <n v="65.0"/>
        <n v="76.0"/>
        <n v="102.0"/>
        <n v="125.0"/>
        <n v="77.0"/>
        <n v="118.0"/>
        <n v="72.0"/>
        <n v="85.0"/>
        <n v="134.0"/>
        <n v="114.0"/>
        <n v="39.0"/>
        <n v="40.0"/>
        <n v="36.0"/>
        <n v="56.0"/>
        <n v="64.0"/>
        <n v="43.0"/>
        <n v="46.0"/>
        <n v="49.0"/>
        <n v="47.0"/>
        <n v="32.0"/>
        <n v="74.0"/>
        <n v="61.0"/>
        <n v="92.0"/>
        <n v="44.0"/>
        <n v="55.0"/>
        <n v="54.0"/>
      </sharedItems>
    </cacheField>
    <cacheField name="Spread" numFmtId="0">
      <sharedItems containsSemiMixedTypes="0" containsString="0" containsNumber="1" containsInteger="1">
        <n v="19.0"/>
        <n v="-11.0"/>
        <n v="-12.0"/>
        <n v="-9.0"/>
        <n v="8.0"/>
        <n v="-17.0"/>
        <n v="-15.0"/>
        <n v="-20.0"/>
        <n v="3.0"/>
        <n v="-13.0"/>
        <n v="-30.0"/>
        <n v="32.0"/>
        <n v="-8.0"/>
        <n v="-35.0"/>
        <n v="18.0"/>
        <n v="-26.0"/>
        <n v="20.0"/>
        <n v="-29.0"/>
        <n v="7.0"/>
        <n v="17.0"/>
        <n v="-1.0"/>
        <n v="-27.0"/>
        <n v="1.0"/>
        <n v="9.0"/>
        <n v="-7.0"/>
        <n v="-18.0"/>
        <n v="-6.0"/>
        <n v="11.0"/>
        <n v="-2.0"/>
        <n v="-5.0"/>
        <n v="-22.0"/>
        <n v="24.0"/>
        <n v="37.0"/>
        <n v="-24.0"/>
        <n v="-38.0"/>
        <n v="-63.0"/>
        <n v="44.0"/>
        <n v="-3.0"/>
        <n v="12.0"/>
        <n v="-40.0"/>
        <n v="-65.0"/>
        <n v="-49.0"/>
        <n v="31.0"/>
        <n v="-19.0"/>
        <n v="-25.0"/>
        <n v="-4.0"/>
        <n v="0.0"/>
        <n v="22.0"/>
        <n v="2.0"/>
        <n v="5.0"/>
        <n v="-10.0"/>
        <n v="4.0"/>
        <n v="21.0"/>
        <n v="6.0"/>
        <n v="10.0"/>
        <n v="-14.0"/>
        <n v="-16.0"/>
      </sharedItems>
    </cacheField>
    <cacheField name="KD Ratio" numFmtId="2">
      <sharedItems containsSemiMixedTypes="0" containsString="0" containsNumber="1">
        <n v="1.6551724137931034"/>
        <n v="0.7924528301886793"/>
        <n v="0.7142857142857143"/>
        <n v="0.7096774193548387"/>
        <n v="1.2424242424242424"/>
        <n v="0.6730769230769231"/>
        <n v="0.7058823529411765"/>
        <n v="0.47368421052631576"/>
        <n v="1.0375"/>
        <n v="0.8505747126436781"/>
        <n v="0.8333333333333334"/>
        <n v="0.6153846153846154"/>
        <n v="1.4776119402985075"/>
        <n v="0.9024390243902439"/>
        <n v="0.8488372093023255"/>
        <n v="0.5625"/>
        <n v="1.3396226415094339"/>
        <n v="0.6060606060606061"/>
        <n v="1.32"/>
        <n v="0.7333333333333333"/>
        <n v="1.4444444444444444"/>
        <n v="0.7368421052631579"/>
        <n v="0.5"/>
        <n v="0.5853658536585366"/>
        <n v="1.1458333333333333"/>
        <n v="0.8666666666666667"/>
        <n v="1.6538461538461537"/>
        <n v="1.0810810810810811"/>
        <n v="0.9803921568627451"/>
        <n v="0.6610169491525424"/>
        <n v="0.55"/>
        <n v="0.48"/>
        <n v="1.0416666666666667"/>
        <n v="1.5294117647058822"/>
        <n v="1.5333333333333334"/>
        <n v="0.7083333333333334"/>
        <n v="0.4857142857142857"/>
        <n v="0.6071428571428571"/>
        <n v="0.56"/>
        <n v="1.1157894736842104"/>
        <n v="0.9789473684210527"/>
        <n v="0.8764044943820225"/>
        <n v="0.9367088607594937"/>
        <n v="0.7981651376146789"/>
        <n v="0.7345132743362832"/>
        <n v="0.7684210526315789"/>
        <n v="1.0144927536231885"/>
        <n v="1.25"/>
        <n v="1.5692307692307692"/>
        <n v="0.881578947368421"/>
        <n v="0.927536231884058"/>
        <n v="0.7473684210526316"/>
        <n v="0.6274509803921569"/>
        <n v="0.9130434782608695"/>
        <n v="0.496"/>
        <n v="1.5714285714285714"/>
        <n v="0.9745762711864406"/>
        <n v="1.1348314606741574"/>
        <n v="1.0138888888888888"/>
        <n v="1.035294117647059"/>
        <n v="0.5149253731343284"/>
        <n v="0.5701754385964912"/>
        <n v="1.794871794871795"/>
        <n v="0.9056603773584906"/>
        <n v="1.0909090909090908"/>
        <n v="0.525"/>
        <n v="1.0588235294117647"/>
        <n v="0.8780487804878049"/>
        <n v="0.5833333333333334"/>
        <n v="0.8888888888888888"/>
        <n v="1.5"/>
        <n v="0.9491525423728814"/>
        <n v="0.8846153846153846"/>
        <n v="1.0"/>
        <n v="1.3214285714285714"/>
        <n v="0.578125"/>
        <n v="0.813953488372093"/>
        <n v="0.5217391304347826"/>
        <n v="1.0612244897959184"/>
        <n v="0.9565217391304348"/>
        <n v="0.3617021276595745"/>
        <n v="1.7586206896551724"/>
        <n v="1.0625"/>
        <n v="0.6222222222222222"/>
        <n v="1.0746268656716418"/>
        <n v="0.9054054054054054"/>
        <n v="0.8611111111111112"/>
        <n v="0.7213114754098361"/>
        <n v="1.6153846153846154"/>
        <n v="0.7608695652173914"/>
        <n v="0.8260869565217391"/>
        <n v="1.4"/>
        <n v="0.7115384615384616"/>
        <n v="0.7435897435897436"/>
        <n v="0.6451612903225806"/>
        <n v="1.525"/>
        <n v="0.8837209302325582"/>
        <n v="0.8444444444444444"/>
        <n v="0.6666666666666666"/>
        <n v="1.1363636363636365"/>
        <n v="0.9777777777777777"/>
        <n v="0.926829268292683"/>
        <n v="0.9375"/>
        <n v="1.2325581395348837"/>
        <n v="0.8372093023255814"/>
        <n v="0.9210526315789473"/>
        <n v="0.6818181818181818"/>
        <n v="1.2244897959183674"/>
        <n v="1.0212765957446808"/>
        <n v="1.4137931034482758"/>
        <n v="0.9272727272727272"/>
        <n v="0.7962962962962963"/>
        <n v="0.782608695652174"/>
      </sharedItems>
    </cacheField>
    <cacheField name="Assists" numFmtId="0">
      <sharedItems containsSemiMixedTypes="0" containsString="0" containsNumber="1" containsInteger="1">
        <n v="0.0"/>
        <n v="2.0"/>
        <n v="1.0"/>
      </sharedItems>
    </cacheField>
    <cacheField name="Game Time" numFmtId="3">
      <sharedItems containsSemiMixedTypes="0" containsString="0" containsNumber="1" containsInteger="1">
        <n v="845.0"/>
        <n v="1490.0"/>
        <n v="829.0"/>
        <n v="782.0"/>
        <n v="403.0"/>
        <n v="1523.0"/>
        <n v="1706.0"/>
        <n v="921.0"/>
        <n v="1056.0"/>
        <n v="802.0"/>
        <n v="1266.0"/>
        <n v="903.0"/>
        <n v="836.0"/>
        <n v="952.0"/>
      </sharedItems>
    </cacheField>
    <cacheField name="Killing Sprees" numFmtId="0">
      <sharedItems containsSemiMixedTypes="0" containsString="0" containsNumber="1" containsInteger="1">
        <n v="1.0"/>
        <n v="0.0"/>
        <n v="3.0"/>
        <n v="2.0"/>
        <n v="4.0"/>
        <n v="5.0"/>
        <n v="6.0"/>
      </sharedItems>
    </cacheField>
    <cacheField name="Killing Frenzies" numFmtId="0">
      <sharedItems containsSemiMixedTypes="0" containsString="0" containsNumber="1" containsInteger="1">
        <n v="0.0"/>
        <n v="1.0"/>
        <n v="2.0"/>
      </sharedItems>
    </cacheField>
    <cacheField name="Running 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Grand Slam" numFmtId="0">
      <sharedItems containsSemiMixedTypes="0" containsString="0" containsNumber="1" containsInteger="1">
        <n v="0.0"/>
        <n v="1.0"/>
        <n v="2.0"/>
        <n v="3.0"/>
      </sharedItems>
    </cacheField>
    <cacheField name="Double Kills" numFmtId="0">
      <sharedItems containsSemiMixedTypes="0" containsString="0" containsNumber="1" containsInteger="1">
        <n v="6.0"/>
        <n v="7.0"/>
        <n v="2.0"/>
        <n v="5.0"/>
        <n v="3.0"/>
        <n v="13.0"/>
        <n v="19.0"/>
        <n v="8.0"/>
        <n v="4.0"/>
        <n v="16.0"/>
        <n v="9.0"/>
        <n v="10.0"/>
        <n v="1.0"/>
        <n v="17.0"/>
        <n v="14.0"/>
        <n v="26.0"/>
        <n v="23.0"/>
        <n v="12.0"/>
        <n v="24.0"/>
        <n v="11.0"/>
        <n v="15.0"/>
      </sharedItems>
    </cacheField>
    <cacheField name="Triple Kills" numFmtId="0">
      <sharedItems containsSemiMixedTypes="0" containsString="0" containsNumber="1" containsInteger="1">
        <n v="2.0"/>
        <n v="1.0"/>
        <n v="0.0"/>
        <n v="3.0"/>
        <n v="6.0"/>
        <n v="4.0"/>
        <n v="8.0"/>
        <n v="5.0"/>
        <n v="7.0"/>
        <n v="10.0"/>
      </sharedItems>
    </cacheField>
    <cacheField name="Overkills" numFmtId="0">
      <sharedItems containsSemiMixedTypes="0" containsString="0" containsNumber="1" containsInteger="1">
        <n v="1.0"/>
        <n v="0.0"/>
        <n v="2.0"/>
        <n v="3.0"/>
        <n v="4.0"/>
        <n v="5.0"/>
      </sharedItems>
    </cacheField>
    <cacheField name="Killtaculars" numFmtId="0">
      <sharedItems containsSemiMixedTypes="0" containsString="0" containsNumber="1" containsInteger="1">
        <n v="0.0"/>
        <n v="1.0"/>
        <n v="2.0"/>
      </sharedItems>
    </cacheField>
    <cacheField name="Killtrocities" numFmtId="0">
      <sharedItems containsSemiMixedTypes="0" containsString="0" containsNumber="1" containsInteger="1">
        <n v="0.0"/>
        <n v="1.0"/>
      </sharedItems>
    </cacheField>
    <cacheField name="Killamanjaros" numFmtId="0">
      <sharedItems containsSemiMixedTypes="0" containsString="0" containsNumber="1" containsInteger="1">
        <n v="0.0"/>
        <n v="1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Exterms" numFmtId="0">
      <sharedItems containsSemiMixedTypes="0" containsString="0" containsNumber="1" containsInteger="1">
        <n v="0.0"/>
        <n v="1.0"/>
      </sharedItems>
    </cacheField>
    <cacheField name="Bulltrues" numFmtId="0">
      <sharedItems containsSemiMixedTypes="0" containsString="0" containsNumber="1" containsInteger="1">
        <n v="7.0"/>
        <n v="5.0"/>
        <n v="2.0"/>
        <n v="6.0"/>
        <n v="4.0"/>
        <n v="3.0"/>
        <n v="16.0"/>
        <n v="17.0"/>
        <n v="8.0"/>
        <n v="22.0"/>
        <n v="11.0"/>
        <n v="14.0"/>
        <n v="12.0"/>
        <n v="13.0"/>
        <n v="0.0"/>
        <n v="1.0"/>
        <n v="21.0"/>
        <n v="15.0"/>
        <n v="10.0"/>
        <n v="19.0"/>
        <n v="30.0"/>
        <n v="35.0"/>
        <n v="20.0"/>
        <n v="9.0"/>
        <n v="26.0"/>
      </sharedItems>
    </cacheField>
    <cacheField name="Ninja" numFmtId="0">
      <sharedItems containsSemiMixedTypes="0" containsString="0" containsNumber="1" containsInteger="1">
        <n v="0.0"/>
      </sharedItems>
    </cacheField>
    <cacheField name="Pancake" numFmtId="0">
      <sharedItems containsSemiMixedTypes="0" containsString="0" containsNumber="1" containsInteger="1">
        <n v="0.0"/>
        <n v="1.0"/>
        <n v="2.0"/>
      </sharedItems>
    </cacheField>
    <cacheField name="Whiplash" numFmtId="0">
      <sharedItems containsSemiMixedTypes="0" containsString="0" containsNumber="1" containsInteger="1">
        <n v="0.0"/>
        <n v="1.0"/>
      </sharedItems>
    </cacheField>
    <cacheField name="Killjoys" numFmtId="0">
      <sharedItems containsSemiMixedTypes="0" containsString="0" containsNumber="1" containsInteger="1">
        <n v="1.0"/>
        <n v="0.0"/>
        <n v="2.0"/>
        <n v="3.0"/>
        <n v="4.0"/>
      </sharedItems>
    </cacheField>
    <cacheField name="Harpoons" numFmtId="0">
      <sharedItems containsSemiMixedTypes="0" containsString="0" containsNumber="1" containsInteger="1">
        <n v="0.0"/>
        <n v="1.0"/>
        <n v="2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G+ Stats" cacheId="0" dataCaption="" rowGrandTotals="0" compact="0" compactData="0">
  <location ref="A1:AF43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35"/>
        <item x="41"/>
        <item t="default"/>
      </items>
    </pivotField>
    <pivotField name="Games 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all 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KD Rat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ame Tim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erage Lif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Killing Frenz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unning 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dataField="1" compact="0" outline="0" multipleItemSelectionAllowed="1" showAll="0">
      <items>
        <item x="0"/>
        <item x="1"/>
        <item t="default"/>
      </items>
    </pivotField>
    <pivotField name="Killionaire" dataField="1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inja" dataField="1" compact="0" outline="0" multipleItemSelectionAllowed="1" showAll="0">
      <items>
        <item x="0"/>
        <item x="1"/>
        <item x="2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iplash" dataField="1" compact="0" outline="0" multipleItemSelectionAllowed="1" showAll="0">
      <items>
        <item x="0"/>
        <item x="1"/>
        <item x="2"/>
        <item t="default"/>
      </items>
    </pivotField>
    <pivotField name="Killjo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arpo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 Key Warri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he Mav St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es Per Mi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exa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Goals per ga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ulti-    talen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ox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/D Wh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ound" compact="0" numFmtId="164" outline="0" multipleItemSelectionAllowed="1" showAll="0">
      <items>
        <item x="0"/>
        <item x="1"/>
        <item x="2"/>
        <item x="3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PM" fld="43" baseField="0"/>
    <dataField name="SUM of KDPM" fld="44" baseField="0"/>
    <dataField name="SUM of BTPM" fld="45" baseField="0"/>
    <dataField name="SUM of SPM" fld="46" baseField="0"/>
    <dataField name="SUM of DPM" fld="47" baseField="0"/>
    <dataField name="SUM of TPM" fld="48" baseField="0"/>
    <dataField name="SUM of MKPM" fld="49" baseField="0"/>
    <dataField name="SUM of X-Fact" fld="50" baseField="0"/>
    <dataField name="SUM of KPM" fld="51" baseField="0"/>
    <dataField name="Game Time" fld="11" baseField="0"/>
    <dataField name="Ball Punches" fld="5" baseField="0"/>
    <dataField name="Goals" fld="4" baseField="0"/>
    <dataField name="Killing Sprees" fld="13" baseField="0"/>
    <dataField name="Bulltrues" fld="28" baseField="0"/>
    <dataField name="SUM of Grand Slam" fld="17" baseField="0"/>
    <dataField name="SUM of Double Kills" fld="18" baseField="0"/>
    <dataField name="SUM of Triple Kills" fld="19" baseField="0"/>
    <dataField name="SUM of Overkills" fld="20" baseField="0"/>
    <dataField name="SUM of Killtaculars" fld="21" baseField="0"/>
    <dataField name="SUM of Killtrocities" fld="22" baseField="0"/>
    <dataField name="SUM of Killamanjaros" fld="23" baseField="0"/>
    <dataField name="SUM of Killtastrophe" fld="24" baseField="0"/>
    <dataField name="SUM of Killpocalypses" fld="25" baseField="0"/>
    <dataField name="SUM of Killionaire" fld="26" baseField="0"/>
    <dataField name="SUM of Harpoons" fld="33" baseField="0"/>
    <dataField name="SUM of Pancake" fld="30" baseField="0"/>
    <dataField name="SUM of Killjoys" fld="32" baseField="0"/>
    <dataField name="SUM of Whiplash" fld="31" baseField="0"/>
    <dataField name="SUM of Kills" fld="6" baseField="0"/>
    <dataField name="SUM of Deaths" fld="7" baseField="0"/>
    <dataField name="SUM of Ninja" fld="29" baseField="0"/>
  </dataFields>
</pivotTableDefinition>
</file>

<file path=xl/pivotTables/pivotTable2.xml><?xml version="1.0" encoding="utf-8"?>
<pivotTableDefinition xmlns="http://schemas.openxmlformats.org/spreadsheetml/2006/main" name="Full Season PG+ Stats" cacheId="1" dataCaption="" rowGrandTotals="0" compact="0" compactData="0">
  <location ref="A1:AF43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35"/>
        <item x="41"/>
        <item t="default"/>
      </items>
    </pivotField>
    <pivotField name="Games 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Ball 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D Ratio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me Tim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erage Lif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illing Frenz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unning 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dataField="1" compact="0" outline="0" multipleItemSelectionAllowed="1" showAll="0">
      <items>
        <item x="0"/>
        <item x="1"/>
        <item t="default"/>
      </items>
    </pivotField>
    <pivotField name="Killionaire" dataField="1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inja" dataField="1" compact="0" outline="0" multipleItemSelectionAllowed="1" showAll="0">
      <items>
        <item x="0"/>
        <item x="1"/>
        <item x="2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hiplash" dataField="1" compact="0" outline="0" multipleItemSelectionAllowed="1" showAll="0">
      <items>
        <item x="0"/>
        <item x="1"/>
        <item x="2"/>
        <item t="default"/>
      </items>
    </pivotField>
    <pivotField name="Killjo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Harpo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 Key Warri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he Mav St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es Per Mi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Hexa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Goals per ga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Multi-    talen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ox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/D Wh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ound" compact="0" numFmtId="164" outline="0" multipleItemSelectionAllowed="1" showAll="0">
      <items>
        <item x="0"/>
        <item x="1"/>
        <item x="2"/>
        <item x="3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PM" fld="43" baseField="0"/>
    <dataField name="SUM of KDPM" fld="44" baseField="0"/>
    <dataField name="SUM of BTPM" fld="45" baseField="0"/>
    <dataField name="SUM of SPM" fld="46" baseField="0"/>
    <dataField name="SUM of DPM" fld="47" baseField="0"/>
    <dataField name="SUM of TPM" fld="48" baseField="0"/>
    <dataField name="SUM of MKPM" fld="49" baseField="0"/>
    <dataField name="SUM of X-Fact" fld="50" baseField="0"/>
    <dataField name="SUM of KPM" fld="51" baseField="0"/>
    <dataField name="Game Time" fld="11" baseField="0"/>
    <dataField name="Ball Punches" fld="5" baseField="0"/>
    <dataField name="Goals" fld="4" baseField="0"/>
    <dataField name="Killing Sprees" fld="13" baseField="0"/>
    <dataField name="Bulltrues" fld="28" baseField="0"/>
    <dataField name="SUM of Grand Slam" fld="17" baseField="0"/>
    <dataField name="SUM of Double Kills" fld="18" baseField="0"/>
    <dataField name="SUM of Triple Kills" fld="19" baseField="0"/>
    <dataField name="SUM of Overkills" fld="20" baseField="0"/>
    <dataField name="SUM of Killtaculars" fld="21" baseField="0"/>
    <dataField name="SUM of Killtrocities" fld="22" baseField="0"/>
    <dataField name="SUM of Killamanjaros" fld="23" baseField="0"/>
    <dataField name="SUM of Killtastrophe" fld="24" baseField="0"/>
    <dataField name="SUM of Killpocalypses" fld="25" baseField="0"/>
    <dataField name="SUM of Killionaire" fld="26" baseField="0"/>
    <dataField name="SUM of Harpoons" fld="33" baseField="0"/>
    <dataField name="SUM of Pancake" fld="30" baseField="0"/>
    <dataField name="SUM of Killjoys" fld="32" baseField="0"/>
    <dataField name="SUM of Whiplash" fld="31" baseField="0"/>
    <dataField name="SUM of Kills" fld="6" baseField="0"/>
    <dataField name="SUM of Deaths" fld="7" baseField="0"/>
    <dataField name="SUM of Ninja" fld="29" baseField="0"/>
  </dataFields>
</pivotTableDefinition>
</file>

<file path=xl/pivotTables/pivotTable3.xml><?xml version="1.0" encoding="utf-8"?>
<pivotTableDefinition xmlns="http://schemas.openxmlformats.org/spreadsheetml/2006/main" name="Playoff Stats Pivot" cacheId="2" dataCaption="" rowGrandTotals="0" compact="0" compactData="0">
  <location ref="A1:AE31" firstHeaderRow="0" firstDataRow="2" firstDataCol="0"/>
  <pivotFields>
    <pivotField name="Player" axis="axisRow" compact="0" outline="0" multipleItemSelectionAllowed="1" showAll="0" sortType="ascending">
      <items>
        <item x="12"/>
        <item x="11"/>
        <item x="15"/>
        <item x="28"/>
        <item x="24"/>
        <item x="3"/>
        <item x="2"/>
        <item x="14"/>
        <item x="16"/>
        <item x="13"/>
        <item x="21"/>
        <item x="25"/>
        <item x="5"/>
        <item x="4"/>
        <item x="18"/>
        <item x="29"/>
        <item x="10"/>
        <item x="22"/>
        <item x="19"/>
        <item x="8"/>
        <item x="26"/>
        <item x="27"/>
        <item x="20"/>
        <item x="7"/>
        <item x="6"/>
        <item x="23"/>
        <item x="1"/>
        <item x="17"/>
        <item x="9"/>
        <item x="0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th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Goals 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D 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 2" compact="0" numFmtId="164" outline="0" multipleItemSelectionAllowed="1" showAll="0">
      <items>
        <item x="0"/>
        <item x="1"/>
        <item t="default"/>
      </items>
    </pivotField>
    <pivotField name="BT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 3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 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 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6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K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 7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XFAC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 8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P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 9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s" dataField="1" compact="0" outline="0" multipleItemSelectionAllowed="1" showAll="0">
      <items>
        <item x="0"/>
        <item x="1"/>
        <item t="default"/>
      </items>
    </pivotField>
    <pivotField name="Losses" dataField="1" compact="0" outline="0" multipleItemSelectionAllowed="1" showAll="0">
      <items>
        <item x="0"/>
        <item x="1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ll 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KD Ratio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Assists" dataField="1" compact="0" outline="0" multipleItemSelectionAllowed="1" showAll="0">
      <items>
        <item x="0"/>
        <item x="1"/>
        <item x="2"/>
        <item t="default"/>
      </items>
    </pivotField>
    <pivotField name="Game Tim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ing Frenzies" dataField="1" compact="0" outline="0" multipleItemSelectionAllowed="1" showAll="0">
      <items>
        <item x="0"/>
        <item x="1"/>
        <item x="2"/>
        <item t="default"/>
      </items>
    </pivotField>
    <pivotField name="Running Riots" dataField="1" compact="0" outline="0" multipleItemSelectionAllowed="1" showAll="0">
      <items>
        <item x="0"/>
        <item t="default"/>
      </items>
    </pivotField>
    <pivotField name="Rampages" dataField="1" compact="0" outline="0" multipleItemSelectionAllowed="1" showAll="0">
      <items>
        <item x="0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aculars" dataField="1" compact="0" outline="0" multipleItemSelectionAllowed="1" showAll="0">
      <items>
        <item x="0"/>
        <item x="1"/>
        <item x="2"/>
        <item t="default"/>
      </items>
    </pivotField>
    <pivotField name="Killtrocities" dataField="1" compact="0" outline="0" multipleItemSelectionAllowed="1" showAll="0">
      <items>
        <item x="0"/>
        <item x="1"/>
        <item t="default"/>
      </items>
    </pivotField>
    <pivotField name="Killamanjaros" dataField="1" compact="0" outline="0" multipleItemSelectionAllowed="1" showAll="0">
      <items>
        <item x="0"/>
        <item x="1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dataField="1" compact="0" outline="0" multipleItemSelectionAllowed="1" showAll="0">
      <items>
        <item x="0"/>
        <item t="default"/>
      </items>
    </pivotField>
    <pivotField name="Killionaire" dataField="1" compact="0" outline="0" multipleItemSelectionAllowed="1" showAll="0">
      <items>
        <item x="0"/>
        <item t="default"/>
      </items>
    </pivotField>
    <pivotField name="Exterms" dataField="1" compact="0" outline="0" multipleItemSelectionAllowed="1" showAll="0">
      <items>
        <item x="0"/>
        <item x="1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Ninja" dataField="1" compact="0" outline="0" multipleItemSelectionAllowed="1" showAll="0">
      <items>
        <item x="0"/>
        <item t="default"/>
      </items>
    </pivotField>
    <pivotField name="Pancake" dataField="1" compact="0" outline="0" multipleItemSelectionAllowed="1" showAll="0">
      <items>
        <item x="0"/>
        <item x="1"/>
        <item x="2"/>
        <item t="default"/>
      </items>
    </pivotField>
    <pivotField name="Whiplash" dataField="1" compact="0" outline="0" multipleItemSelectionAllowed="1" showAll="0">
      <items>
        <item x="0"/>
        <item x="1"/>
        <item t="default"/>
      </items>
    </pivotField>
    <pivotField name="Killjoy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rpoons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Wins" fld="21" baseField="0"/>
    <dataField name="SUM of Losses" fld="22" baseField="0"/>
    <dataField name="SUM of Goals" fld="23" baseField="0"/>
    <dataField name="SUM of Ball Punches" fld="24" baseField="0"/>
    <dataField name="SUM of Kills" fld="25" baseField="0"/>
    <dataField name="SUM of Deaths" fld="26" baseField="0"/>
    <dataField name="SUM of Spread" fld="27" baseField="0"/>
    <dataField name="SUM of Assists" fld="29" baseField="0"/>
    <dataField name="SUM of Game Time" fld="30" baseField="0"/>
    <dataField name="SUM of Killing Sprees" fld="31" baseField="0"/>
    <dataField name="SUM of Killing Frenzies" fld="32" baseField="0"/>
    <dataField name="SUM of Running Riots" fld="33" baseField="0"/>
    <dataField name="SUM of Rampages" fld="34" baseField="0"/>
    <dataField name="SUM of Grand Slam" fld="35" baseField="0"/>
    <dataField name="SUM of Double Kills" fld="36" baseField="0"/>
    <dataField name="SUM of Triple Kills" fld="37" baseField="0"/>
    <dataField name="SUM of Overkills" fld="38" baseField="0"/>
    <dataField name="SUM of Killtaculars" fld="39" baseField="0"/>
    <dataField name="SUM of Killtrocities" fld="40" baseField="0"/>
    <dataField name="SUM of Killamanjaros" fld="41" baseField="0"/>
    <dataField name="SUM of Killtastrophe" fld="42" baseField="0"/>
    <dataField name="SUM of Killpocalypses" fld="43" baseField="0"/>
    <dataField name="SUM of Killionaire" fld="44" baseField="0"/>
    <dataField name="SUM of Exterms" fld="45" baseField="0"/>
    <dataField name="SUM of Bulltrues" fld="46" baseField="0"/>
    <dataField name="SUM of Ninja" fld="47" baseField="0"/>
    <dataField name="SUM of Pancake" fld="48" baseField="0"/>
    <dataField name="SUM of Whiplash" fld="49" baseField="0"/>
    <dataField name="SUM of Killjoys" fld="50" baseField="0"/>
    <dataField name="SUM of Harpoons" fld="51" baseField="0"/>
  </dataFields>
</pivotTableDefinition>
</file>

<file path=xl/tables/table1.xml><?xml version="1.0" encoding="utf-8"?>
<table xmlns="http://schemas.openxmlformats.org/spreadsheetml/2006/main" headerRowCount="0" ref="A2:T6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" showColumnStripes="0" showFirstColumn="1" showLastColumn="1" showRowStripes="1"/>
</table>
</file>

<file path=xl/tables/table2.xml><?xml version="1.0" encoding="utf-8"?>
<table xmlns="http://schemas.openxmlformats.org/spreadsheetml/2006/main" headerRowCount="0" ref="A8:T12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4:T18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0:T24" displayName="Table_4" name="Table_4" id="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6:T30" displayName="Table_5" name="Table_5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2:T36" displayName="Table_6" name="Table_6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6" showColumnStripes="0" showFirstColumn="1" showLastColumn="1" showRowStripes="1"/>
</table>
</file>

<file path=xl/tables/table7.xml><?xml version="1.0" encoding="utf-8"?>
<table xmlns="http://schemas.openxmlformats.org/spreadsheetml/2006/main" headerRowCount="0" ref="A38:T42" displayName="Table_7" name="Table_7" id="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44:T48" displayName="Table_8" name="Table_8" id="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50:T54" displayName="Table_9" name="Table_9" id="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56:T60" displayName="Table_10" name="Table_10" id="10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62:T66" displayName="Table_11" name="Table_11" id="1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eam Stat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:AR50" displayName="Table_12" name="Table_12" id="1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eason+Playoffs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AR50" displayName="Table_13" name="Table_13" id="1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Halo Infinite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1:AR32" displayName="Table_14" name="Table_14" id="14">
  <tableColumns count="44">
    <tableColumn name="Players" id="1"/>
    <tableColumn name="Games Played" id="2"/>
    <tableColumn name="Wins" id="3"/>
    <tableColumn name="Losses" id="4"/>
    <tableColumn name="Goals" id="5"/>
    <tableColumn name="Ball Punches" id="6"/>
    <tableColumn name="Kills" id="7"/>
    <tableColumn name="Deaths" id="8"/>
    <tableColumn name="Spread" id="9"/>
    <tableColumn name="KD Ratio" id="10"/>
    <tableColumn name="Assists" id="11"/>
    <tableColumn name="Game Time" id="12"/>
    <tableColumn name="Average Life" id="13"/>
    <tableColumn name="Killing Sprees" id="14"/>
    <tableColumn name="Killing Frenzies" id="15"/>
    <tableColumn name="Running Riots" id="16"/>
    <tableColumn name="Rampages" id="17"/>
    <tableColumn name="Grand Slam" id="18"/>
    <tableColumn name="Double Kills" id="19"/>
    <tableColumn name="Triple Kills" id="20"/>
    <tableColumn name="Overkills" id="21"/>
    <tableColumn name="Killtaculars" id="22"/>
    <tableColumn name="Killtrocities" id="23"/>
    <tableColumn name="Killamanjaros" id="24"/>
    <tableColumn name="Killtastrophe" id="25"/>
    <tableColumn name="Killpocalypses" id="26"/>
    <tableColumn name="Killionaire" id="27"/>
    <tableColumn name="Exterms" id="28"/>
    <tableColumn name="Bulltrues" id="29"/>
    <tableColumn name="Ninja" id="30"/>
    <tableColumn name="Pancake" id="31"/>
    <tableColumn name="Whiplash" id="32"/>
    <tableColumn name="Killjoys" id="33"/>
    <tableColumn name="Harpoons" id="34"/>
    <tableColumn name="W Key Warrior" id="35"/>
    <tableColumn name="The Mav Stat" id="36"/>
    <tableColumn name="Sprees Per Min" id="37"/>
    <tableColumn name="HexaS" id="38"/>
    <tableColumn name="Goals per game" id="39"/>
    <tableColumn name="Multi-    talented" id="40"/>
    <tableColumn name="Boxer" id="41"/>
    <tableColumn name="K/D Whore" id="42"/>
    <tableColumn name="Round" id="43"/>
    <tableColumn name="Pick" id="44"/>
  </tableColumns>
  <tableStyleInfo name="Playoff Stats-style" showColumnStripes="0" showFirstColumn="1" showLastColumn="1" showRowStripes="1"/>
</table>
</file>

<file path=xl/tables/table15.xml><?xml version="1.0" encoding="utf-8"?>
<table xmlns="http://schemas.openxmlformats.org/spreadsheetml/2006/main" headerRowCount="0" ref="A1:AZ3" displayName="Table_15" name="Table_15" id="15">
  <tableColumns count="5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</tableColumns>
  <tableStyleInfo name="Detail2-TJP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V1:AZ9" displayName="Table_16" name="Table_16" id="16">
  <tableColumns count="31">
    <tableColumn name="Wins" id="1"/>
    <tableColumn name="Losses" id="2"/>
    <tableColumn name="Goals" id="3"/>
    <tableColumn name="Ball Punches" id="4"/>
    <tableColumn name="Kills" id="5"/>
    <tableColumn name="Deaths" id="6"/>
    <tableColumn name="Spread" id="7"/>
    <tableColumn name="KD Ratio" id="8"/>
    <tableColumn name="Assists" id="9"/>
    <tableColumn name="Game Time" id="10"/>
    <tableColumn name="Killing Sprees" id="11"/>
    <tableColumn name="Killing Frenzies" id="12"/>
    <tableColumn name="Running Riots" id="13"/>
    <tableColumn name="Rampages" id="14"/>
    <tableColumn name="Grand Slam" id="15"/>
    <tableColumn name="Double Kills" id="16"/>
    <tableColumn name="Triple Kills" id="17"/>
    <tableColumn name="Overkills" id="18"/>
    <tableColumn name="Killtaculars" id="19"/>
    <tableColumn name="Killtrocities" id="20"/>
    <tableColumn name="Killamanjaros" id="21"/>
    <tableColumn name="Killtastrophe" id="22"/>
    <tableColumn name="Killpocalypses" id="23"/>
    <tableColumn name="Killionaire" id="24"/>
    <tableColumn name="Exterms" id="25"/>
    <tableColumn name="Bulltrues" id="26"/>
    <tableColumn name="Ninja" id="27"/>
    <tableColumn name="Pancake" id="28"/>
    <tableColumn name="Whiplash" id="29"/>
    <tableColumn name="Killjoys" id="30"/>
    <tableColumn name="Harpoons" id="31"/>
  </tableColumns>
  <tableStyleInfo name="Playoff Review HI_MatchH-style" showColumnStripes="0" showFirstColumn="1" showLastColumn="1" showRowStripes="1"/>
</table>
</file>

<file path=xl/tables/table17.xml><?xml version="1.0" encoding="utf-8"?>
<table xmlns="http://schemas.openxmlformats.org/spreadsheetml/2006/main" headerRowCount="0" ref="V10:AA11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yoff Review HI_MatchH-style 2" showColumnStripes="0" showFirstColumn="1" showLastColumn="1" showRowStripes="1"/>
</table>
</file>

<file path=xl/tables/table18.xml><?xml version="1.0" encoding="utf-8"?>
<table xmlns="http://schemas.openxmlformats.org/spreadsheetml/2006/main" headerRowCount="0" ref="AD10:AF15" displayName="Table_18" name="Table_18" id="18">
  <tableColumns count="3">
    <tableColumn name="Column1" id="1"/>
    <tableColumn name="Column2" id="2"/>
    <tableColumn name="Column3" id="3"/>
  </tableColumns>
  <tableStyleInfo name="Playoff Review HI_MatchH-style 3" showColumnStripes="0" showFirstColumn="1" showLastColumn="1" showRowStripes="1"/>
</table>
</file>

<file path=xl/tables/table19.xml><?xml version="1.0" encoding="utf-8"?>
<table xmlns="http://schemas.openxmlformats.org/spreadsheetml/2006/main" headerRowCount="0" ref="AG10:AZ17" displayName="Table_19" name="Table_19" id="1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layoff Review HI_MatchH-style 4" showColumnStripes="0" showFirstColumn="1" showLastColumn="1" showRowStripes="1"/>
</table>
</file>

<file path=xl/tables/table20.xml><?xml version="1.0" encoding="utf-8"?>
<table xmlns="http://schemas.openxmlformats.org/spreadsheetml/2006/main" headerRowCount="0" ref="V18:AA25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yoff Review HI_MatchH-style 5" showColumnStripes="0" showFirstColumn="1" showLastColumn="1" showRowStripes="1"/>
</table>
</file>

<file path=xl/tables/table21.xml><?xml version="1.0" encoding="utf-8"?>
<table xmlns="http://schemas.openxmlformats.org/spreadsheetml/2006/main" headerRowCount="0" ref="AG18:AZ18" displayName="Table_21" name="Table_21" id="2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layoff Review HI_MatchH-style 6" showColumnStripes="0" showFirstColumn="1" showLastColumn="1" showRowStripes="1"/>
</table>
</file>

<file path=xl/tables/table22.xml><?xml version="1.0" encoding="utf-8"?>
<table xmlns="http://schemas.openxmlformats.org/spreadsheetml/2006/main" totalsRowCount="1" headerRowCount="0" ref="AE19:AF25" displayName="Table_22" name="Table_22" id="22">
  <tableColumns count="2">
    <tableColumn totalsRowLabel="829" name="Column1" id="1"/>
    <tableColumn totalsRowLabel="0" name="Column2" id="2"/>
  </tableColumns>
  <tableStyleInfo name="Playoff Review HI_MatchH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G19:AZ25" displayName="Table_23" name="Table_23" id="2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layoff Review HI_MatchH-style 8" showColumnStripes="0" showFirstColumn="1" showLastColumn="1" showRowStripes="1"/>
</table>
</file>

<file path=xl/tables/table24.xml><?xml version="1.0" encoding="utf-8"?>
<table xmlns="http://schemas.openxmlformats.org/spreadsheetml/2006/main" headerRowCount="0" ref="V26:AA50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yoff Review HI_MatchH-style 9" showColumnStripes="0" showFirstColumn="1" showLastColumn="1" showRowStripes="1"/>
</table>
</file>

<file path=xl/tables/table25.xml><?xml version="1.0" encoding="utf-8"?>
<table xmlns="http://schemas.openxmlformats.org/spreadsheetml/2006/main" headerRowCount="0" ref="AD26:AF27" displayName="Table_25" name="Table_25" id="25">
  <tableColumns count="3">
    <tableColumn name="Column1" id="1"/>
    <tableColumn name="Column2" id="2"/>
    <tableColumn name="Column3" id="3"/>
  </tableColumns>
  <tableStyleInfo name="Playoff Review HI_MatchH-style 10" showColumnStripes="0" showFirstColumn="1" showLastColumn="1" showRowStripes="1"/>
</table>
</file>

<file path=xl/tables/table26.xml><?xml version="1.0" encoding="utf-8"?>
<table xmlns="http://schemas.openxmlformats.org/spreadsheetml/2006/main" headerRowCount="0" ref="AG26:AZ26" displayName="Table_26" name="Table_26" id="2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layoff Review HI_MatchH-style 11" showColumnStripes="0" showFirstColumn="1" showLastColumn="1" showRowStripes="1"/>
</table>
</file>

<file path=xl/tables/table27.xml><?xml version="1.0" encoding="utf-8"?>
<table xmlns="http://schemas.openxmlformats.org/spreadsheetml/2006/main" headerRowCount="0" ref="AG27:AZ27" displayName="Table_27" name="Table_27" id="2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layoff Review HI_MatchH-style 12" showColumnStripes="0" showFirstColumn="1" showLastColumn="1" showRowStripes="1"/>
</table>
</file>

<file path=xl/tables/table28.xml><?xml version="1.0" encoding="utf-8"?>
<table xmlns="http://schemas.openxmlformats.org/spreadsheetml/2006/main" headerRowCount="0" ref="AE29:AF29" displayName="Table_28" name="Table_28" id="28">
  <tableColumns count="2">
    <tableColumn name="Column1" id="1"/>
    <tableColumn name="Column2" id="2"/>
  </tableColumns>
  <tableStyleInfo name="Playoff Review HI_MatchH-style 13" showColumnStripes="0" showFirstColumn="1" showLastColumn="1" showRowStripes="1"/>
</table>
</file>

<file path=xl/tables/table29.xml><?xml version="1.0" encoding="utf-8"?>
<table xmlns="http://schemas.openxmlformats.org/spreadsheetml/2006/main" headerRowCount="0" ref="AE31:AF31" displayName="Table_29" name="Table_29" id="29">
  <tableColumns count="2">
    <tableColumn name="Column1" id="1"/>
    <tableColumn name="Column2" id="2"/>
  </tableColumns>
  <tableStyleInfo name="Playoff Review HI_MatchH-style 14" showColumnStripes="0" showFirstColumn="1" showLastColumn="1" showRowStripes="1"/>
</table>
</file>

<file path=xl/tables/table30.xml><?xml version="1.0" encoding="utf-8"?>
<table xmlns="http://schemas.openxmlformats.org/spreadsheetml/2006/main" headerRowCount="0" ref="AE32:AF32" displayName="Table_30" name="Table_30" id="30">
  <tableColumns count="2">
    <tableColumn name="Column1" id="1"/>
    <tableColumn name="Column2" id="2"/>
  </tableColumns>
  <tableStyleInfo name="Playoff Review HI_MatchH-style 15" showColumnStripes="0" showFirstColumn="1" showLastColumn="1" showRowStripes="1"/>
</table>
</file>

<file path=xl/tables/table31.xml><?xml version="1.0" encoding="utf-8"?>
<table xmlns="http://schemas.openxmlformats.org/spreadsheetml/2006/main" headerRowCount="0" ref="AD34:AG35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Playoff Review HI_MatchH-style 16" showColumnStripes="0" showFirstColumn="1" showLastColumn="1" showRowStripes="1"/>
</table>
</file>

<file path=xl/tables/table32.xml><?xml version="1.0" encoding="utf-8"?>
<table xmlns="http://schemas.openxmlformats.org/spreadsheetml/2006/main" ref="V1:AZ3" displayName="Table_32" name="Table_32" id="32">
  <tableColumns count="31">
    <tableColumn name="Wins" id="1"/>
    <tableColumn name="Losses" id="2"/>
    <tableColumn name="Goals" id="3"/>
    <tableColumn name="Ball Punches" id="4"/>
    <tableColumn name="Kills" id="5"/>
    <tableColumn name="Deaths" id="6"/>
    <tableColumn name="Spread" id="7"/>
    <tableColumn name="KD Ratio" id="8"/>
    <tableColumn name="Assists" id="9"/>
    <tableColumn name="Game Time" id="10"/>
    <tableColumn name="Killing Sprees" id="11"/>
    <tableColumn name="Killing Frenzies" id="12"/>
    <tableColumn name="Running Riots" id="13"/>
    <tableColumn name="Rampages" id="14"/>
    <tableColumn name="Grand Slam" id="15"/>
    <tableColumn name="Double Kills" id="16"/>
    <tableColumn name="Triple Kills" id="17"/>
    <tableColumn name="Overkills" id="18"/>
    <tableColumn name="Killtaculars" id="19"/>
    <tableColumn name="Killtrocities" id="20"/>
    <tableColumn name="Killamanjaros" id="21"/>
    <tableColumn name="Killtastrophe" id="22"/>
    <tableColumn name="Killpocalypses" id="23"/>
    <tableColumn name="Killionaire" id="24"/>
    <tableColumn name="Exterms" id="25"/>
    <tableColumn name="Bulltrues" id="26"/>
    <tableColumn name="Ninja" id="27"/>
    <tableColumn name="Pancake" id="28"/>
    <tableColumn name="Whiplash" id="29"/>
    <tableColumn name="Killjoys" id="30"/>
    <tableColumn name="Harpoons" id="31"/>
  </tableColumns>
  <tableStyleInfo name="Review HI_MatchH-style" showColumnStripes="0" showFirstColumn="1" showLastColumn="1" showRowStripes="1"/>
</table>
</file>

<file path=xl/tables/table33.xml><?xml version="1.0" encoding="utf-8"?>
<table xmlns="http://schemas.openxmlformats.org/spreadsheetml/2006/main" headerRowCount="0" ref="V10:V11" displayName="Table_33" name="Table_33" id="33">
  <tableColumns count="1">
    <tableColumn name="Column1" id="1"/>
  </tableColumns>
  <tableStyleInfo name="Review HI_MatchH-style 2" showColumnStripes="0" showFirstColumn="1" showLastColumn="1" showRowStripes="1"/>
</table>
</file>

<file path=xl/tables/table34.xml><?xml version="1.0" encoding="utf-8"?>
<table xmlns="http://schemas.openxmlformats.org/spreadsheetml/2006/main" headerRowCount="0" ref="AD10:AE11" displayName="Table_34" name="Table_34" id="34">
  <tableColumns count="2">
    <tableColumn name="Column1" id="1"/>
    <tableColumn name="Column2" id="2"/>
  </tableColumns>
  <tableStyleInfo name="Review HI_MatchH-style 3" showColumnStripes="0" showFirstColumn="1" showLastColumn="1" showRowStripes="1"/>
</table>
</file>

<file path=xl/tables/table35.xml><?xml version="1.0" encoding="utf-8"?>
<table xmlns="http://schemas.openxmlformats.org/spreadsheetml/2006/main" headerRowCount="0" ref="AG10:AZ11" displayName="Table_35" name="Table_35" id="3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view HI_MatchH-style 4" showColumnStripes="0" showFirstColumn="1" showLastColumn="1" showRowStripes="1"/>
</table>
</file>

<file path=xl/tables/table36.xml><?xml version="1.0" encoding="utf-8"?>
<table xmlns="http://schemas.openxmlformats.org/spreadsheetml/2006/main" headerRowCount="0" ref="V18:AA19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view HI_MatchH-style 5" showColumnStripes="0" showFirstColumn="1" showLastColumn="1" showRowStripes="1"/>
</table>
</file>

<file path=xl/tables/table37.xml><?xml version="1.0" encoding="utf-8"?>
<table xmlns="http://schemas.openxmlformats.org/spreadsheetml/2006/main" headerRowCount="0" ref="AG18:AZ18" displayName="Table_37" name="Table_37" id="3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view HI_MatchH-style 6" showColumnStripes="0" showFirstColumn="1" showLastColumn="1" showRowStripes="1"/>
</table>
</file>

<file path=xl/tables/table38.xml><?xml version="1.0" encoding="utf-8"?>
<table xmlns="http://schemas.openxmlformats.org/spreadsheetml/2006/main" headerRowCount="0" ref="AG19:AZ19" displayName="Table_38" name="Table_38" id="3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view HI_MatchH-style 7" showColumnStripes="0" showFirstColumn="1" showLastColumn="1" showRowStripes="1"/>
</table>
</file>

<file path=xl/tables/table39.xml><?xml version="1.0" encoding="utf-8"?>
<table xmlns="http://schemas.openxmlformats.org/spreadsheetml/2006/main" headerRowCount="0" ref="V26:AA27" displayName="Table_39" name="Table_39" id="3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view HI_MatchH-style 8" showColumnStripes="0" showFirstColumn="1" showLastColumn="1" showRowStripes="1"/>
</table>
</file>

<file path=xl/tables/table40.xml><?xml version="1.0" encoding="utf-8"?>
<table xmlns="http://schemas.openxmlformats.org/spreadsheetml/2006/main" headerRowCount="0" ref="AD26:AE27" displayName="Table_40" name="Table_40" id="40">
  <tableColumns count="2">
    <tableColumn name="Column1" id="1"/>
    <tableColumn name="Column2" id="2"/>
  </tableColumns>
  <tableStyleInfo name="Review HI_MatchH-style 9" showColumnStripes="0" showFirstColumn="1" showLastColumn="1" showRowStripes="1"/>
</table>
</file>

<file path=xl/tables/table41.xml><?xml version="1.0" encoding="utf-8"?>
<table xmlns="http://schemas.openxmlformats.org/spreadsheetml/2006/main" headerRowCount="0" ref="AG26:AZ26" displayName="Table_41" name="Table_41" id="4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view HI_MatchH-style 10" showColumnStripes="0" showFirstColumn="1" showLastColumn="1" showRowStripes="1"/>
</table>
</file>

<file path=xl/tables/table42.xml><?xml version="1.0" encoding="utf-8"?>
<table xmlns="http://schemas.openxmlformats.org/spreadsheetml/2006/main" headerRowCount="0" ref="AG27:AZ27" displayName="Table_42" name="Table_42" id="4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view HI_MatchH-style 11" showColumnStripes="0" showFirstColumn="1" showLastColumn="1" showRowStripes="1"/>
</table>
</file>

<file path=xl/tables/table43.xml><?xml version="1.0" encoding="utf-8"?>
<table xmlns="http://schemas.openxmlformats.org/spreadsheetml/2006/main" headerRowCount="0" ref="AE29" displayName="Table_43" name="Table_43" id="43">
  <tableColumns count="1">
    <tableColumn name="Column1" id="1"/>
  </tableColumns>
  <tableStyleInfo name="Review HI_MatchH-style 12" showColumnStripes="0" showFirstColumn="1" showLastColumn="1" showRowStripes="1"/>
</table>
</file>

<file path=xl/tables/table44.xml><?xml version="1.0" encoding="utf-8"?>
<table xmlns="http://schemas.openxmlformats.org/spreadsheetml/2006/main" headerRowCount="0" ref="AE31" displayName="Table_44" name="Table_44" id="44">
  <tableColumns count="1">
    <tableColumn name="Column1" id="1"/>
  </tableColumns>
  <tableStyleInfo name="Review HI_MatchH-style 13" showColumnStripes="0" showFirstColumn="1" showLastColumn="1" showRowStripes="1"/>
</table>
</file>

<file path=xl/tables/table45.xml><?xml version="1.0" encoding="utf-8"?>
<table xmlns="http://schemas.openxmlformats.org/spreadsheetml/2006/main" headerRowCount="0" ref="AE32" displayName="Table_45" name="Table_45" id="45">
  <tableColumns count="1">
    <tableColumn name="Column1" id="1"/>
  </tableColumns>
  <tableStyleInfo name="Review HI_MatchH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8.xml"/><Relationship Id="rId31" Type="http://schemas.openxmlformats.org/officeDocument/2006/relationships/table" Target="../tables/table29.xml"/><Relationship Id="rId30" Type="http://schemas.openxmlformats.org/officeDocument/2006/relationships/table" Target="../tables/table28.xml"/><Relationship Id="rId22" Type="http://schemas.openxmlformats.org/officeDocument/2006/relationships/table" Target="../tables/table20.xml"/><Relationship Id="rId33" Type="http://schemas.openxmlformats.org/officeDocument/2006/relationships/table" Target="../tables/table31.xml"/><Relationship Id="rId21" Type="http://schemas.openxmlformats.org/officeDocument/2006/relationships/table" Target="../tables/table19.xml"/><Relationship Id="rId32" Type="http://schemas.openxmlformats.org/officeDocument/2006/relationships/table" Target="../tables/table30.xml"/><Relationship Id="rId24" Type="http://schemas.openxmlformats.org/officeDocument/2006/relationships/table" Target="../tables/table22.xml"/><Relationship Id="rId23" Type="http://schemas.openxmlformats.org/officeDocument/2006/relationships/table" Target="../tables/table21.xml"/><Relationship Id="rId1" Type="http://schemas.openxmlformats.org/officeDocument/2006/relationships/drawing" Target="../drawings/drawing18.xml"/><Relationship Id="rId26" Type="http://schemas.openxmlformats.org/officeDocument/2006/relationships/table" Target="../tables/table24.xml"/><Relationship Id="rId25" Type="http://schemas.openxmlformats.org/officeDocument/2006/relationships/table" Target="../tables/table23.xml"/><Relationship Id="rId28" Type="http://schemas.openxmlformats.org/officeDocument/2006/relationships/table" Target="../tables/table26.xml"/><Relationship Id="rId27" Type="http://schemas.openxmlformats.org/officeDocument/2006/relationships/table" Target="../tables/table25.xml"/><Relationship Id="rId19" Type="http://schemas.openxmlformats.org/officeDocument/2006/relationships/table" Target="../tables/table17.xml"/><Relationship Id="rId18" Type="http://schemas.openxmlformats.org/officeDocument/2006/relationships/table" Target="../tables/table16.xml"/><Relationship Id="rId29" Type="http://schemas.openxmlformats.org/officeDocument/2006/relationships/table" Target="../tables/table2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9ZPWC6CRueg" TargetMode="External"/><Relationship Id="rId42" Type="http://schemas.openxmlformats.org/officeDocument/2006/relationships/hyperlink" Target="https://www.halowaypoint.com/halo-infinite/players/Doerstopper/matches/fc0ed6d8-699b-4033-ae88-6e254e4a4efd" TargetMode="External"/><Relationship Id="rId41" Type="http://schemas.openxmlformats.org/officeDocument/2006/relationships/hyperlink" Target="https://www.halowaypoint.com/halo-infinite/players/Doerstopper/matches/767ce514-6446-4654-87b9-04814af2c5b2" TargetMode="External"/><Relationship Id="rId44" Type="http://schemas.openxmlformats.org/officeDocument/2006/relationships/hyperlink" Target="https://www.youtube.com/watch?v=jbrYcHJdKjE" TargetMode="External"/><Relationship Id="rId43" Type="http://schemas.openxmlformats.org/officeDocument/2006/relationships/hyperlink" Target="https://www.halowaypoint.com/halo-infinite/players/Doerstopper/matches/4a413de5-308a-4dfd-aff2-4e923237b075" TargetMode="External"/><Relationship Id="rId46" Type="http://schemas.openxmlformats.org/officeDocument/2006/relationships/hyperlink" Target="https://www.youtube.com/watch?v=jbrYcHJdKjE" TargetMode="External"/><Relationship Id="rId45" Type="http://schemas.openxmlformats.org/officeDocument/2006/relationships/hyperlink" Target="https://www.halowaypoint.com/halo-infinite/players/Doerstopper/matches/c90e8c17-6de2-4fce-bc9f-6f675a67eca1" TargetMode="External"/><Relationship Id="rId107" Type="http://schemas.openxmlformats.org/officeDocument/2006/relationships/hyperlink" Target="https://www.youtube.com/watch?v=7nS0OPgE2H0" TargetMode="External"/><Relationship Id="rId106" Type="http://schemas.openxmlformats.org/officeDocument/2006/relationships/hyperlink" Target="https://www.halowaypoint.com/halo-infinite/players/ASpence501/matches/78f99be5-814a-4f11-8d45-91fce9bb5a45" TargetMode="External"/><Relationship Id="rId105" Type="http://schemas.openxmlformats.org/officeDocument/2006/relationships/hyperlink" Target="https://www.halowaypoint.com/halo-infinite/players/amnatu/matches/c6382b7e-60d4-45d5-bc85-44c8800fb72c" TargetMode="External"/><Relationship Id="rId104" Type="http://schemas.openxmlformats.org/officeDocument/2006/relationships/hyperlink" Target="https://www.halowaypoint.com/halo-infinite/players/amnatu/matches/44f2be51-2d7e-4af7-9712-6387ba86806f" TargetMode="External"/><Relationship Id="rId109" Type="http://schemas.openxmlformats.org/officeDocument/2006/relationships/hyperlink" Target="https://www.halowaypoint.com/halo-infinite/players/ASpence501/matches/d9502468-c134-4f49-ae6c-7bd3be12a3d1" TargetMode="External"/><Relationship Id="rId108" Type="http://schemas.openxmlformats.org/officeDocument/2006/relationships/hyperlink" Target="https://www.halowaypoint.com/halo-infinite/players/Jussshhhyyy/matches/f4136a9d-d1a1-4358-bd8c-cb54814224bf" TargetMode="External"/><Relationship Id="rId48" Type="http://schemas.openxmlformats.org/officeDocument/2006/relationships/hyperlink" Target="https://www.youtube.com/watch?v=UAQbtocEwuI" TargetMode="External"/><Relationship Id="rId47" Type="http://schemas.openxmlformats.org/officeDocument/2006/relationships/hyperlink" Target="https://www.halowaypoint.com/halo-infinite/players/ASpence501/matches/9a6e8634-abe0-496e-b2af-3d5bf8909ef6" TargetMode="External"/><Relationship Id="rId49" Type="http://schemas.openxmlformats.org/officeDocument/2006/relationships/hyperlink" Target="https://www.youtube.com/watch?v=v_1D1FEu-1A" TargetMode="External"/><Relationship Id="rId103" Type="http://schemas.openxmlformats.org/officeDocument/2006/relationships/hyperlink" Target="https://www.youtube.com/watch?v=g8tgEGDt7wU" TargetMode="External"/><Relationship Id="rId102" Type="http://schemas.openxmlformats.org/officeDocument/2006/relationships/hyperlink" Target="https://www.halowaypoint.com/halo-infinite/players/Deathcrawller/matches/1d8781d1-82dc-4f29-b751-491bd11b36de" TargetMode="External"/><Relationship Id="rId101" Type="http://schemas.openxmlformats.org/officeDocument/2006/relationships/hyperlink" Target="https://www.youtube.com/watch?v=3IYN5I4vY3w" TargetMode="External"/><Relationship Id="rId100" Type="http://schemas.openxmlformats.org/officeDocument/2006/relationships/hyperlink" Target="https://www.youtube.com/watch?v=6i4OG4i3X-4" TargetMode="External"/><Relationship Id="rId31" Type="http://schemas.openxmlformats.org/officeDocument/2006/relationships/hyperlink" Target="https://www.halowaypoint.com/halo-infinite/players/ASpence501/matches/279e0eb8-9d0f-4f2c-98c2-745fe73217ba" TargetMode="External"/><Relationship Id="rId30" Type="http://schemas.openxmlformats.org/officeDocument/2006/relationships/hyperlink" Target="https://www.halowaypoint.com/halo-infinite/players/ASpence501/matches/3f10b5c7-4af1-47df-8c89-042da9a974de" TargetMode="External"/><Relationship Id="rId33" Type="http://schemas.openxmlformats.org/officeDocument/2006/relationships/hyperlink" Target="https://www.halowaypoint.com/halo-infinite/players/Scullen%20cx/matches/87d53590-0d1f-4075-b15d-3805e382160e" TargetMode="External"/><Relationship Id="rId32" Type="http://schemas.openxmlformats.org/officeDocument/2006/relationships/hyperlink" Target="https://www.youtube.com/watch?v=JbwGgL1ewwk" TargetMode="External"/><Relationship Id="rId35" Type="http://schemas.openxmlformats.org/officeDocument/2006/relationships/hyperlink" Target="https://www.halowaypoint.com/halo-infinite/players/ASpence501/matches/3f10b5c7-4af1-47df-8c89-042da9a974de" TargetMode="External"/><Relationship Id="rId34" Type="http://schemas.openxmlformats.org/officeDocument/2006/relationships/hyperlink" Target="https://www.halowaypoint.com/halo-infinite/players/Holy%20Morals/matches/a94047e3-e34a-4ade-9668-d1d031c609bb" TargetMode="External"/><Relationship Id="rId180" Type="http://schemas.openxmlformats.org/officeDocument/2006/relationships/drawing" Target="../drawings/drawing20.xml"/><Relationship Id="rId37" Type="http://schemas.openxmlformats.org/officeDocument/2006/relationships/hyperlink" Target="https://www.halowaypoint.com/halo-infinite/players/Scullen%20cx/matches/87d53590-0d1f-4075-b15d-3805e382160e" TargetMode="External"/><Relationship Id="rId176" Type="http://schemas.openxmlformats.org/officeDocument/2006/relationships/hyperlink" Target="https://www.halowaypoint.com/halo-infinite/players/MuNgO%20PuNgO/matches/6a2497c1-8d23-4853-a4f2-4a2d72e27da8" TargetMode="External"/><Relationship Id="rId36" Type="http://schemas.openxmlformats.org/officeDocument/2006/relationships/hyperlink" Target="https://www.youtube.com/watch?v=YomaAS1aWcQhttps://www.youtube.com/watch?v=YomaAS1aWcQ" TargetMode="External"/><Relationship Id="rId175" Type="http://schemas.openxmlformats.org/officeDocument/2006/relationships/hyperlink" Target="https://www.halowaypoint.com/halo-infinite/players/MuNgO%20PuNgO/matches/4629adb5-6e64-4c56-b7b9-c55cfa634893" TargetMode="External"/><Relationship Id="rId39" Type="http://schemas.openxmlformats.org/officeDocument/2006/relationships/hyperlink" Target="https://www.halowaypoint.com/halo-infinite/players/xXTHEChickenGod/matches/90d0db64-6777-48dd-b418-52101af6906f" TargetMode="External"/><Relationship Id="rId174" Type="http://schemas.openxmlformats.org/officeDocument/2006/relationships/hyperlink" Target="https://www.halowaypoint.com/halo-infinite/players/Deathcrawller/matches/dafed251-003a-4436-8a21-5668003bf923" TargetMode="External"/><Relationship Id="rId38" Type="http://schemas.openxmlformats.org/officeDocument/2006/relationships/hyperlink" Target="https://www.youtube.com/watch?v=sZjgQBynfMg" TargetMode="External"/><Relationship Id="rId173" Type="http://schemas.openxmlformats.org/officeDocument/2006/relationships/hyperlink" Target="https://www.halowaypoint.com/halo-infinite/players/Deathcrawller/matches/c4610155-6ad6-439c-b846-9dfcddeddb61" TargetMode="External"/><Relationship Id="rId179" Type="http://schemas.openxmlformats.org/officeDocument/2006/relationships/hyperlink" Target="https://www.halowaypoint.com/halo-infinite/players/MuNgO%20PuNgO/matches/f6ed6a16-f83c-4f48-97d7-9330a02b581f" TargetMode="External"/><Relationship Id="rId178" Type="http://schemas.openxmlformats.org/officeDocument/2006/relationships/hyperlink" Target="https://www.halowaypoint.com/halo-infinite/players/MuNgO%20PuNgO/matches/84cea91c-392a-4a22-9875-6bb56fd0b4eb" TargetMode="External"/><Relationship Id="rId177" Type="http://schemas.openxmlformats.org/officeDocument/2006/relationships/hyperlink" Target="https://www.halowaypoint.com/halo-infinite/players/MuNgO%20PuNgO/matches/7b9d9c10-ca64-40b2-857e-eccd0347633f" TargetMode="External"/><Relationship Id="rId20" Type="http://schemas.openxmlformats.org/officeDocument/2006/relationships/hyperlink" Target="https://www.youtube.com/watch?v=cX2ifLFQGkw" TargetMode="External"/><Relationship Id="rId22" Type="http://schemas.openxmlformats.org/officeDocument/2006/relationships/hyperlink" Target="https://www.halowaypoint.com/halo-infinite/players/xXTHEChickenGod/matches/9726dc77-9563-4245-9e8f-c7fdc4df3ef5" TargetMode="External"/><Relationship Id="rId21" Type="http://schemas.openxmlformats.org/officeDocument/2006/relationships/hyperlink" Target="https://www.halowaypoint.com/halo-infinite/players/ASpence501/matches/a86ff1e6-a12d-4166-b464-4ff50c32c347" TargetMode="External"/><Relationship Id="rId24" Type="http://schemas.openxmlformats.org/officeDocument/2006/relationships/hyperlink" Target="https://www.halowaypoint.com/halo-infinite/players/ASpence501/matches/279e0eb8-9d0f-4f2c-98c2-745fe73217ba" TargetMode="External"/><Relationship Id="rId23" Type="http://schemas.openxmlformats.org/officeDocument/2006/relationships/hyperlink" Target="https://www.youtube.com/watch?v=aWCbeSvTmqs" TargetMode="External"/><Relationship Id="rId129" Type="http://schemas.openxmlformats.org/officeDocument/2006/relationships/hyperlink" Target="https://www.halowaypoint.com/halo-infinite/players/MuNgO%20PuNgO/matches/971942fe-3091-4fb6-a2b7-0399ef1d5b6e" TargetMode="External"/><Relationship Id="rId128" Type="http://schemas.openxmlformats.org/officeDocument/2006/relationships/hyperlink" Target="https://youtu.be/n_Dv3YVLDHw" TargetMode="External"/><Relationship Id="rId127" Type="http://schemas.openxmlformats.org/officeDocument/2006/relationships/hyperlink" Target="https://www.halowaypoint.com/halo-infinite/players/Jussshhhyyy/matches/a2b5fb4b-b8f9-4c5e-a2c8-6634e68cd233" TargetMode="External"/><Relationship Id="rId126" Type="http://schemas.openxmlformats.org/officeDocument/2006/relationships/hyperlink" Target="https://www.youtube.com/watch?v=HnURrjO7MXg" TargetMode="External"/><Relationship Id="rId26" Type="http://schemas.openxmlformats.org/officeDocument/2006/relationships/hyperlink" Target="https://www.youtube.com/watch?v=lhFy18wtALw" TargetMode="External"/><Relationship Id="rId121" Type="http://schemas.openxmlformats.org/officeDocument/2006/relationships/hyperlink" Target="https://www.halowaypoint.com/halo-infinite/players/Scullen%20cx/matches/b538b6b9-3599-40bf-a3bc-6ecc72bb777a" TargetMode="External"/><Relationship Id="rId25" Type="http://schemas.openxmlformats.org/officeDocument/2006/relationships/hyperlink" Target="https://www.halowaypoint.com/halo-infinite/players/xXTHEChickenGod/matches/3ca8ef11-d06a-4a38-860c-7f110ac275b0" TargetMode="External"/><Relationship Id="rId120" Type="http://schemas.openxmlformats.org/officeDocument/2006/relationships/hyperlink" Target="https://www.halowaypoint.com/halo-infinite/players/Scullen%20cx/matches/007efc97-2ef7-4192-b6fa-ecb058090fd4" TargetMode="External"/><Relationship Id="rId28" Type="http://schemas.openxmlformats.org/officeDocument/2006/relationships/hyperlink" Target="https://www.halowaypoint.com/halo-infinite/players/ASpence501/matches/a86ff1e6-a12d-4166-b464-4ff50c32c347" TargetMode="External"/><Relationship Id="rId27" Type="http://schemas.openxmlformats.org/officeDocument/2006/relationships/hyperlink" Target="https://www.halowaypoint.com/halo-infinite/players/ASpence501/matches/a86ff1e6-a12d-4166-b464-4ff50c32c347" TargetMode="External"/><Relationship Id="rId125" Type="http://schemas.openxmlformats.org/officeDocument/2006/relationships/hyperlink" Target="https://www.youtube.com/watch?v=pp4GxX601TM" TargetMode="External"/><Relationship Id="rId29" Type="http://schemas.openxmlformats.org/officeDocument/2006/relationships/hyperlink" Target="https://www.youtube.com/watch?v=UpmmJi2tnkg" TargetMode="External"/><Relationship Id="rId124" Type="http://schemas.openxmlformats.org/officeDocument/2006/relationships/hyperlink" Target="https://www.halowaypoint.com/halo-infinite/players/ASpence501/matches/ce5941d3-a709-485f-8c80-217e70bd4fdc" TargetMode="External"/><Relationship Id="rId123" Type="http://schemas.openxmlformats.org/officeDocument/2006/relationships/hyperlink" Target="https://www.halowaypoint.com/halo-infinite/players/Jussshhhyyy/matches/266dcf5c-f48d-4ad2-b76c-445e8945e367" TargetMode="External"/><Relationship Id="rId122" Type="http://schemas.openxmlformats.org/officeDocument/2006/relationships/hyperlink" Target="https://www.halowaypoint.com/halo-infinite/players/Scullen%20cx/matches/e0f631c5-a12a-4e27-a7a6-7d28bc7e06e7" TargetMode="External"/><Relationship Id="rId95" Type="http://schemas.openxmlformats.org/officeDocument/2006/relationships/hyperlink" Target="https://www.halowaypoint.com/halo-infinite/players/amnatu/matches/ee4e8e1f-4979-424c-9ef9-9836f17f64cf" TargetMode="External"/><Relationship Id="rId94" Type="http://schemas.openxmlformats.org/officeDocument/2006/relationships/hyperlink" Target="https://www.halowaypoint.com/halo-infinite/players/amnatu/matches/040e0ffb-7208-4941-a589-15d77f750c78" TargetMode="External"/><Relationship Id="rId97" Type="http://schemas.openxmlformats.org/officeDocument/2006/relationships/hyperlink" Target="https://www.halowaypoint.com/halo-infinite/players/amnatu/matches/f601997c-217d-463b-b680-303b4e3cb758" TargetMode="External"/><Relationship Id="rId96" Type="http://schemas.openxmlformats.org/officeDocument/2006/relationships/hyperlink" Target="https://www.halowaypoint.com/halo-infinite/players/amnatu/matches/ebbb1e6a-83e0-4336-aa9d-bf3b610abbaa" TargetMode="External"/><Relationship Id="rId11" Type="http://schemas.openxmlformats.org/officeDocument/2006/relationships/hyperlink" Target="https://www.youtube.com/watch?v=RywRbHhNyXE" TargetMode="External"/><Relationship Id="rId99" Type="http://schemas.openxmlformats.org/officeDocument/2006/relationships/hyperlink" Target="https://www.youtube.com/watch?v=_DBd_rx-26g" TargetMode="External"/><Relationship Id="rId10" Type="http://schemas.openxmlformats.org/officeDocument/2006/relationships/hyperlink" Target="https://www.halowaypoint.com/halo-infinite/players/Deathcrawller/matches/009b6ef9-a399-478f-9af2-9e8a7c456aa5" TargetMode="External"/><Relationship Id="rId98" Type="http://schemas.openxmlformats.org/officeDocument/2006/relationships/hyperlink" Target="https://www.halowaypoint.com/halo-infinite/players/xXTHEChickenGod/matches/e850ee4f-a3ae-48c4-84ae-63fda0ad54b7" TargetMode="External"/><Relationship Id="rId13" Type="http://schemas.openxmlformats.org/officeDocument/2006/relationships/hyperlink" Target="https://www.halowaypoint.com/halo-infinite/players/Deathcrawller/matches/5022bc2a-0cfb-46c8-b99a-866a4df7500a" TargetMode="External"/><Relationship Id="rId12" Type="http://schemas.openxmlformats.org/officeDocument/2006/relationships/hyperlink" Target="https://www.halowaypoint.com/halo-infinite/players/ASpence501/matches/40123278-35e4-4e41-b8fe-9a41210644d0" TargetMode="External"/><Relationship Id="rId91" Type="http://schemas.openxmlformats.org/officeDocument/2006/relationships/hyperlink" Target="https://www.halowaypoint.com/halo-infinite/players/ASpence501/matches/580f66f7-a7cf-4852-9eda-977803ff4a6e" TargetMode="External"/><Relationship Id="rId90" Type="http://schemas.openxmlformats.org/officeDocument/2006/relationships/hyperlink" Target="https://www.halowaypoint.com/halo-infinite/players/Holy%20Morals/matches/ac9697fc-79b0-4095-98ed-3833a38d4be5" TargetMode="External"/><Relationship Id="rId93" Type="http://schemas.openxmlformats.org/officeDocument/2006/relationships/hyperlink" Target="https://www.halowaypoint.com/halo-infinite/players/amnatu/matches/01f25a83-8f47-4478-a93a-726e7872d266" TargetMode="External"/><Relationship Id="rId92" Type="http://schemas.openxmlformats.org/officeDocument/2006/relationships/hyperlink" Target="https://www.youtube.com/watch?v=LNQGCOqbE4o" TargetMode="External"/><Relationship Id="rId118" Type="http://schemas.openxmlformats.org/officeDocument/2006/relationships/hyperlink" Target="https://www.halowaypoint.com/halo-infinite/players/Scullen%20cx/matches/01339d75-5bf3-46f1-b2bc-30dd23506e51" TargetMode="External"/><Relationship Id="rId117" Type="http://schemas.openxmlformats.org/officeDocument/2006/relationships/hyperlink" Target="https://www.youtube.com/watch?v=bztnagsLNn0" TargetMode="External"/><Relationship Id="rId116" Type="http://schemas.openxmlformats.org/officeDocument/2006/relationships/hyperlink" Target="https://www.halowaypoint.com/halo-infinite/players/Deathcrawller/matches/f33eb8af-db92-4957-af4d-bd44c3d46ee1" TargetMode="External"/><Relationship Id="rId115" Type="http://schemas.openxmlformats.org/officeDocument/2006/relationships/hyperlink" Target="https://www.halowaypoint.com/halo-infinite/players/Scullen%20cx/matches/cdaf3190-1a9d-4c6e-9b1d-5df41dd63ff1" TargetMode="External"/><Relationship Id="rId119" Type="http://schemas.openxmlformats.org/officeDocument/2006/relationships/hyperlink" Target="https://www.halowaypoint.com/halo-infinite/players/Scullen%20cx/matches/fb591d1a-96c2-4d78-a6e1-10e6ccedd17f" TargetMode="External"/><Relationship Id="rId15" Type="http://schemas.openxmlformats.org/officeDocument/2006/relationships/hyperlink" Target="https://www.halowaypoint.com/halo-infinite/players/xXTHEChickenGod/matches/9726dc77-9563-4245-9e8f-c7fdc4df3ef5" TargetMode="External"/><Relationship Id="rId110" Type="http://schemas.openxmlformats.org/officeDocument/2006/relationships/hyperlink" Target="https://www.youtube.com/watch?v=6YBzkxnQFC8" TargetMode="External"/><Relationship Id="rId14" Type="http://schemas.openxmlformats.org/officeDocument/2006/relationships/hyperlink" Target="https://www.youtube.com/watch?v=anPXcvQ5EkM" TargetMode="External"/><Relationship Id="rId17" Type="http://schemas.openxmlformats.org/officeDocument/2006/relationships/hyperlink" Target="https://www.halowaypoint.com/halo-infinite/players/xXTHEChickenGod/matches/3ca8ef11-d06a-4a38-860c-7f110ac275b0" TargetMode="External"/><Relationship Id="rId16" Type="http://schemas.openxmlformats.org/officeDocument/2006/relationships/hyperlink" Target="https://www.halowaypoint.com/halo-infinite/players/ASpence501/matches/e7ff616a-4f36-443d-b27c-d26e72764459" TargetMode="External"/><Relationship Id="rId19" Type="http://schemas.openxmlformats.org/officeDocument/2006/relationships/hyperlink" Target="https://www.youtube.com/watch?v=yoWJaPVHlMI" TargetMode="External"/><Relationship Id="rId114" Type="http://schemas.openxmlformats.org/officeDocument/2006/relationships/hyperlink" Target="https://www.halowaypoint.com/halo-infinite/players/amnatu/matches/a7fc3475-f4a1-40b8-aa20-aa5b7d862297" TargetMode="External"/><Relationship Id="rId18" Type="http://schemas.openxmlformats.org/officeDocument/2006/relationships/hyperlink" Target="https://www.halowaypoint.com/halo-infinite/players/ASpence501/matches/40123278-35e4-4e41-b8fe-9a41210644d0" TargetMode="External"/><Relationship Id="rId113" Type="http://schemas.openxmlformats.org/officeDocument/2006/relationships/hyperlink" Target="https://www.halowaypoint.com/halo-infinite/players/Jussshhhyyy/matches/c0f8f7d8-2abb-4605-a4b8-13762f5a7dfe" TargetMode="External"/><Relationship Id="rId112" Type="http://schemas.openxmlformats.org/officeDocument/2006/relationships/hyperlink" Target="https://www.youtube.com/watch?v=OK81b3BZ6Z0" TargetMode="External"/><Relationship Id="rId111" Type="http://schemas.openxmlformats.org/officeDocument/2006/relationships/hyperlink" Target="https://www.halowaypoint.com/halo-infinite/players/ASpence501/matches/f71d4247-efc9-4e97-92f9-358ad408e79c" TargetMode="External"/><Relationship Id="rId84" Type="http://schemas.openxmlformats.org/officeDocument/2006/relationships/hyperlink" Target="https://www.halowaypoint.com/halo-infinite/players/Holy%20Morals/matches/88d6f5b1-d79a-43a2-b805-72da72e187b4" TargetMode="External"/><Relationship Id="rId83" Type="http://schemas.openxmlformats.org/officeDocument/2006/relationships/hyperlink" Target="https://www.halowaypoint.com/halo-infinite/players/Trespa5s/matches/fae6dd05-e237-4e62-9f16-1c7ff9c7e12b" TargetMode="External"/><Relationship Id="rId86" Type="http://schemas.openxmlformats.org/officeDocument/2006/relationships/hyperlink" Target="https://www.youtube.com/watch?v=LWch75KCzMs" TargetMode="External"/><Relationship Id="rId85" Type="http://schemas.openxmlformats.org/officeDocument/2006/relationships/hyperlink" Target="https://www.halowaypoint.com/halo-infinite/players/Doerstopper/matches/0ccf7cb4-e776-4df0-ba0b-0256c1fdcbf8" TargetMode="External"/><Relationship Id="rId88" Type="http://schemas.openxmlformats.org/officeDocument/2006/relationships/hyperlink" Target="https://www.youtube.com/watch?v=b4G6cld2yac" TargetMode="External"/><Relationship Id="rId150" Type="http://schemas.openxmlformats.org/officeDocument/2006/relationships/hyperlink" Target="https://www.youtube.com/watch?v=OQKo5Kp1nW0" TargetMode="External"/><Relationship Id="rId87" Type="http://schemas.openxmlformats.org/officeDocument/2006/relationships/hyperlink" Target="https://www.halowaypoint.com/halo-infinite/players/Doerstopper/matches/8be387c2-fec2-4272-9015-866f1a7c7aa3" TargetMode="External"/><Relationship Id="rId89" Type="http://schemas.openxmlformats.org/officeDocument/2006/relationships/hyperlink" Target="https://www.halowaypoint.com/halo-infinite/players/Holy%20Morals/matches/436723b9-ff66-4584-a983-576ea788dd9f" TargetMode="External"/><Relationship Id="rId80" Type="http://schemas.openxmlformats.org/officeDocument/2006/relationships/hyperlink" Target="https://www.halowaypoint.com/halo-infinite/players/ASpence501/matches/166c73eb-5d80-469b-899c-e91d7d587283" TargetMode="External"/><Relationship Id="rId82" Type="http://schemas.openxmlformats.org/officeDocument/2006/relationships/hyperlink" Target="https://www.halowaypoint.com/halo-infinite/players/Trespa5s/matches/4029e554-7b8f-4759-9fda-e93abde5d004" TargetMode="External"/><Relationship Id="rId81" Type="http://schemas.openxmlformats.org/officeDocument/2006/relationships/hyperlink" Target="https://www.youtube.com/watch?v=a_jlCFXawQI" TargetMode="External"/><Relationship Id="rId1" Type="http://schemas.openxmlformats.org/officeDocument/2006/relationships/hyperlink" Target="https://www.halowaypoint.com/halo-infinite/players/ASpence501/matches/4d98d05b-96e4-4749-9861-e9d4de2e6d0a" TargetMode="External"/><Relationship Id="rId2" Type="http://schemas.openxmlformats.org/officeDocument/2006/relationships/hyperlink" Target="https://www.halowaypoint.com/halo-infinite/players/ASpence501/matches/e7a64b82-69f5-4f8a-a1be-c9a7a6a69ec7" TargetMode="External"/><Relationship Id="rId3" Type="http://schemas.openxmlformats.org/officeDocument/2006/relationships/hyperlink" Target="https://www.halowaypoint.com/halo-infinite/players/ASpence501/matches/1fde4c2a-7935-4fb0-9706-e226f4d13683" TargetMode="External"/><Relationship Id="rId149" Type="http://schemas.openxmlformats.org/officeDocument/2006/relationships/hyperlink" Target="https://www.halowaypoint.com/halo-infinite/players/Mavbrid/matches/f361b8ca-3d76-471a-b71e-04ba1afb1f32" TargetMode="External"/><Relationship Id="rId4" Type="http://schemas.openxmlformats.org/officeDocument/2006/relationships/hyperlink" Target="https://www.halowaypoint.com/halo-infinite/players/Deathcrawller/matches/009b6ef9-a399-478f-9af2-9e8a7c456aa5" TargetMode="External"/><Relationship Id="rId148" Type="http://schemas.openxmlformats.org/officeDocument/2006/relationships/hyperlink" Target="https://www.halowaypoint.com/halo-infinite/players/Mavbrid/matches/117a905f-fe53-4f89-a626-56321b76f3f8" TargetMode="External"/><Relationship Id="rId9" Type="http://schemas.openxmlformats.org/officeDocument/2006/relationships/hyperlink" Target="https://www.halowaypoint.com/halo-infinite/players/ASpence501/matches/e7ff616a-4f36-443d-b27c-d26e72764459" TargetMode="External"/><Relationship Id="rId143" Type="http://schemas.openxmlformats.org/officeDocument/2006/relationships/hyperlink" Target="https://www.halowaypoint.com/halo-infinite/players/Mavbrid/matches/79184f5c-2603-4bc4-bf2b-08f044d7168c" TargetMode="External"/><Relationship Id="rId142" Type="http://schemas.openxmlformats.org/officeDocument/2006/relationships/hyperlink" Target="https://www.halowaypoint.com/halo-infinite/players/ill%20shrek%20u/matches/646dc03a-b594-4d07-9bfc-ba2834a2ede6" TargetMode="External"/><Relationship Id="rId141" Type="http://schemas.openxmlformats.org/officeDocument/2006/relationships/hyperlink" Target="https://www.halowaypoint.com/halo-infinite/players/ill%20shrek%20u/matches/c7dd500a-d165-4ca1-89f8-349d925f00cf" TargetMode="External"/><Relationship Id="rId140" Type="http://schemas.openxmlformats.org/officeDocument/2006/relationships/hyperlink" Target="https://www.halowaypoint.com/halo-infinite/players/Fanciest%20Pants/matches/e49897d7-b954-4198-af6b-6ef3529abd07" TargetMode="External"/><Relationship Id="rId5" Type="http://schemas.openxmlformats.org/officeDocument/2006/relationships/hyperlink" Target="https://www.halowaypoint.com/halo-infinite/players/ASpence501/matches/4d98d05b-96e4-4749-9861-e9d4de2e6d0a" TargetMode="External"/><Relationship Id="rId147" Type="http://schemas.openxmlformats.org/officeDocument/2006/relationships/hyperlink" Target="https://www.youtube.com/watch?v=Nb90zTG8GMQ" TargetMode="External"/><Relationship Id="rId6" Type="http://schemas.openxmlformats.org/officeDocument/2006/relationships/hyperlink" Target="https://www.halowaypoint.com/halo-infinite/players/Deathcrawller/matches/5022bc2a-0cfb-46c8-b99a-866a4df7500a" TargetMode="External"/><Relationship Id="rId146" Type="http://schemas.openxmlformats.org/officeDocument/2006/relationships/hyperlink" Target="https://www.halowaypoint.com/halo-infinite/players/ASpence501/matches/29a1d645-44f2-4ceb-8516-8f2cfbc7f494" TargetMode="External"/><Relationship Id="rId7" Type="http://schemas.openxmlformats.org/officeDocument/2006/relationships/hyperlink" Target="https://www.halowaypoint.com/halo-infinite/players/ASpence501/matches/e7a64b82-69f5-4f8a-a1be-c9a7a6a69ec7" TargetMode="External"/><Relationship Id="rId145" Type="http://schemas.openxmlformats.org/officeDocument/2006/relationships/hyperlink" Target="https://www.halowaypoint.com/halo-infinite/players/Jussshhhyyy/matches/2afcc17c-0ce6-490a-92b5-b87bf674fb7f" TargetMode="External"/><Relationship Id="rId8" Type="http://schemas.openxmlformats.org/officeDocument/2006/relationships/hyperlink" Target="https://www.youtube.com/watch?v=CnH7gClgZOY" TargetMode="External"/><Relationship Id="rId144" Type="http://schemas.openxmlformats.org/officeDocument/2006/relationships/hyperlink" Target="https://youtu.be/bLHbulSXwm4" TargetMode="External"/><Relationship Id="rId73" Type="http://schemas.openxmlformats.org/officeDocument/2006/relationships/hyperlink" Target="https://www.youtube.com/watch?v=o1DD1lBwB6s" TargetMode="External"/><Relationship Id="rId72" Type="http://schemas.openxmlformats.org/officeDocument/2006/relationships/hyperlink" Target="https://www.halowaypoint.com/halo-infinite/players/ASpence501/matches/12e1b9b9-6db5-466e-8042-c8549a092c14" TargetMode="External"/><Relationship Id="rId75" Type="http://schemas.openxmlformats.org/officeDocument/2006/relationships/hyperlink" Target="https://www.halowaypoint.com/halo-infinite/players/Holy%20Morals/matches/dda0c9da-ff09-40c0-8f00-b84ff38f299b" TargetMode="External"/><Relationship Id="rId74" Type="http://schemas.openxmlformats.org/officeDocument/2006/relationships/hyperlink" Target="https://www.halowaypoint.com/halo-infinite/players/Holy%20Morals/matches/a7ebaf06-46f2-439d-8b1d-637c055ba0be" TargetMode="External"/><Relationship Id="rId77" Type="http://schemas.openxmlformats.org/officeDocument/2006/relationships/hyperlink" Target="https://www.youtube.com/watch?v=BqwVEPr72Kc" TargetMode="External"/><Relationship Id="rId76" Type="http://schemas.openxmlformats.org/officeDocument/2006/relationships/hyperlink" Target="https://www.halowaypoint.com/halo-infinite/players/ASpence501/matches/a083ed36-0c90-4544-8738-f148d73f85c4" TargetMode="External"/><Relationship Id="rId79" Type="http://schemas.openxmlformats.org/officeDocument/2006/relationships/hyperlink" Target="https://www.youtube.com/watch?v=VtFWfj1DDvc" TargetMode="External"/><Relationship Id="rId78" Type="http://schemas.openxmlformats.org/officeDocument/2006/relationships/hyperlink" Target="https://www.halowaypoint.com/halo-infinite/players/ASpence501/matches/d4501f7f-eba4-4bad-9916-6d8a470cb7d9" TargetMode="External"/><Relationship Id="rId71" Type="http://schemas.openxmlformats.org/officeDocument/2006/relationships/hyperlink" Target="https://www.halowaypoint.com/halo-infinite/players/Holy%20Morals/matches/29e86ce4-47fc-4185-8fe2-c9ab7f4d43f5" TargetMode="External"/><Relationship Id="rId70" Type="http://schemas.openxmlformats.org/officeDocument/2006/relationships/hyperlink" Target="https://www.halowaypoint.com/halo-infinite/players/Holy%20Morals/matches/26e74234-b7d9-4af1-a714-bed2f5f42101" TargetMode="External"/><Relationship Id="rId139" Type="http://schemas.openxmlformats.org/officeDocument/2006/relationships/hyperlink" Target="https://www.halowaypoint.com/halo-infinite/players/Mavbrid/matches/c1bb1b6c-12c8-4a95-a5bd-212ff26a5c04" TargetMode="External"/><Relationship Id="rId138" Type="http://schemas.openxmlformats.org/officeDocument/2006/relationships/hyperlink" Target="https://www.halowaypoint.com/halo-infinite/players/Mavbrid/matches/ab93f369-2a5e-4dca-be98-b38a44ea2a7e" TargetMode="External"/><Relationship Id="rId137" Type="http://schemas.openxmlformats.org/officeDocument/2006/relationships/hyperlink" Target="https://www.halowaypoint.com/halo-infinite/players/Deathcrawller/matches/f0814473-2d94-4561-95e7-4997024f299f" TargetMode="External"/><Relationship Id="rId132" Type="http://schemas.openxmlformats.org/officeDocument/2006/relationships/hyperlink" Target="https://www.halowaypoint.com/halo-infinite/players/Mavbrid/matches/a4cc8d2f-9bae-47f3-a637-d0ad3e1656d3" TargetMode="External"/><Relationship Id="rId131" Type="http://schemas.openxmlformats.org/officeDocument/2006/relationships/hyperlink" Target="https://www.halowaypoint.com/halo-infinite/players/Mavbrid/matches/006a3d65-03ed-49a9-ba3c-16986081461f" TargetMode="External"/><Relationship Id="rId130" Type="http://schemas.openxmlformats.org/officeDocument/2006/relationships/hyperlink" Target="https://www.halowaypoint.com/halo-infinite/players/MuNgO%20PuNgO/matches/1bb387e9-7466-4410-87b3-40d2462e09a9" TargetMode="External"/><Relationship Id="rId136" Type="http://schemas.openxmlformats.org/officeDocument/2006/relationships/hyperlink" Target="https://www.halowaypoint.com/halo-infinite/players/Deathcrawller/matches/813cb0a4-3f6c-42ed-bdf8-9baa16f97a5b" TargetMode="External"/><Relationship Id="rId135" Type="http://schemas.openxmlformats.org/officeDocument/2006/relationships/hyperlink" Target="https://www.halowaypoint.com/halo-infinite/players/Scullen%20cx/matches/d3b4142f-d3dc-4132-b220-fa34f6d493df" TargetMode="External"/><Relationship Id="rId134" Type="http://schemas.openxmlformats.org/officeDocument/2006/relationships/hyperlink" Target="https://www.halowaypoint.com/halo-infinite/players/ill%20shrek%20u/matches/9327eadf-7d26-4898-b4b0-431cdc4c84ba" TargetMode="External"/><Relationship Id="rId133" Type="http://schemas.openxmlformats.org/officeDocument/2006/relationships/hyperlink" Target="https://www.halowaypoint.com/halo-infinite/players/ill%20shrek%20u/matches/be62fae9-286a-45b1-abd7-b9561e77c419" TargetMode="External"/><Relationship Id="rId62" Type="http://schemas.openxmlformats.org/officeDocument/2006/relationships/hyperlink" Target="https://www.halowaypoint.com/halo-infinite/players/Holy%20Morals/matches/708844aa-92c7-4b69-bb94-6ad56554b609" TargetMode="External"/><Relationship Id="rId61" Type="http://schemas.openxmlformats.org/officeDocument/2006/relationships/hyperlink" Target="https://www.youtube.com/watch?v=lu3fLjYo7yQ" TargetMode="External"/><Relationship Id="rId64" Type="http://schemas.openxmlformats.org/officeDocument/2006/relationships/hyperlink" Target="https://www.halowaypoint.com/halo-infinite/players/xXTHEChickenGod/matches/ac2a1449-7459-4935-a54c-7a15a17a001b" TargetMode="External"/><Relationship Id="rId63" Type="http://schemas.openxmlformats.org/officeDocument/2006/relationships/hyperlink" Target="https://www.halowaypoint.com/halo-infinite/players/Holy%20Morals/matches/ce751138-e0b1-451d-861a-dbbc9338439c" TargetMode="External"/><Relationship Id="rId66" Type="http://schemas.openxmlformats.org/officeDocument/2006/relationships/hyperlink" Target="https://www.halowaypoint.com/halo-infinite/players/xXTHEChickenGod/matches/266240a1-27db-4a86-8b50-a6647f287018" TargetMode="External"/><Relationship Id="rId172" Type="http://schemas.openxmlformats.org/officeDocument/2006/relationships/hyperlink" Target="https://www.youtube.com/watch?v=XnJPTPtcaoU" TargetMode="External"/><Relationship Id="rId65" Type="http://schemas.openxmlformats.org/officeDocument/2006/relationships/hyperlink" Target="https://www.youtube.com/watch?v=HxjZf0YtlAA" TargetMode="External"/><Relationship Id="rId171" Type="http://schemas.openxmlformats.org/officeDocument/2006/relationships/hyperlink" Target="https://www.halowaypoint.com/halo-infinite/players/ASpence501/matches/2373d69c-e76a-4ee1-8193-6639528d8a7f" TargetMode="External"/><Relationship Id="rId68" Type="http://schemas.openxmlformats.org/officeDocument/2006/relationships/hyperlink" Target="https://www.halowaypoint.com/halo-infinite/players/amnatu/matches/89724830-6181-4b06-8799-ba9aed924419" TargetMode="External"/><Relationship Id="rId170" Type="http://schemas.openxmlformats.org/officeDocument/2006/relationships/hyperlink" Target="https://www.youtube.com/watch?v=XnJPTPtcaoU" TargetMode="External"/><Relationship Id="rId67" Type="http://schemas.openxmlformats.org/officeDocument/2006/relationships/hyperlink" Target="https://www.youtube.com/watch?v=j2LpTVf_Fhw" TargetMode="External"/><Relationship Id="rId60" Type="http://schemas.openxmlformats.org/officeDocument/2006/relationships/hyperlink" Target="https://www.halowaypoint.com/halo-infinite/players/MuNgO%20PuNgO/matches/081133d6-47c6-4b87-8de5-02e29d7e4375" TargetMode="External"/><Relationship Id="rId165" Type="http://schemas.openxmlformats.org/officeDocument/2006/relationships/hyperlink" Target="https://www.halowaypoint.com/halo-infinite/players/Holy%20Morals/matches/7d50e644-1b0c-4e5c-b87f-ee087480c4aa" TargetMode="External"/><Relationship Id="rId69" Type="http://schemas.openxmlformats.org/officeDocument/2006/relationships/hyperlink" Target="https://www.halowaypoint.com/halo-infinite/players/Holy%20Morals/matches/87a28842-c099-46c5-8530-d6c848b9a6e4" TargetMode="External"/><Relationship Id="rId164" Type="http://schemas.openxmlformats.org/officeDocument/2006/relationships/hyperlink" Target="https://www.youtube.com/watch?v=kANLC5iYi24" TargetMode="External"/><Relationship Id="rId163" Type="http://schemas.openxmlformats.org/officeDocument/2006/relationships/hyperlink" Target="https://www.halowaypoint.com/halo-infinite/players/amnatu/matches/3a47bcd4-c12c-4af6-a846-198add6f6e76" TargetMode="External"/><Relationship Id="rId162" Type="http://schemas.openxmlformats.org/officeDocument/2006/relationships/hyperlink" Target="https://www.youtube.com/watch?v=kANLC5iYi24" TargetMode="External"/><Relationship Id="rId169" Type="http://schemas.openxmlformats.org/officeDocument/2006/relationships/hyperlink" Target="https://www.halowaypoint.com/halo-infinite/players/ASpence501/matches/dc3bde66-7171-40c5-9dd2-4571b7fb2f32" TargetMode="External"/><Relationship Id="rId168" Type="http://schemas.openxmlformats.org/officeDocument/2006/relationships/hyperlink" Target="https://www.youtube.com/watch?v=XnJPTPtcaoU" TargetMode="External"/><Relationship Id="rId167" Type="http://schemas.openxmlformats.org/officeDocument/2006/relationships/hyperlink" Target="https://www.halowaypoint.com/halo-infinite/players/Holy%20Morals/matches/449171dc-e6d1-421d-8c07-c2593e8bf5ce" TargetMode="External"/><Relationship Id="rId166" Type="http://schemas.openxmlformats.org/officeDocument/2006/relationships/hyperlink" Target="https://www.youtube.com/watch?v=XnJPTPtcaoU" TargetMode="External"/><Relationship Id="rId51" Type="http://schemas.openxmlformats.org/officeDocument/2006/relationships/hyperlink" Target="https://www.youtube.com/watch?v=DpGlAS8dvyA" TargetMode="External"/><Relationship Id="rId50" Type="http://schemas.openxmlformats.org/officeDocument/2006/relationships/hyperlink" Target="https://www.halowaypoint.com/halo-infinite/players/ASpence501/matches/8dc2f516-c52a-40bc-a8a9-a12dbdce0a3a" TargetMode="External"/><Relationship Id="rId53" Type="http://schemas.openxmlformats.org/officeDocument/2006/relationships/hyperlink" Target="https://www.youtube.com/watch?v=RzRDC2vNg7o" TargetMode="External"/><Relationship Id="rId52" Type="http://schemas.openxmlformats.org/officeDocument/2006/relationships/hyperlink" Target="https://www.halowaypoint.com/halo-infinite/players/xXTHEChickenGod/matches/8b848604-1928-4963-9a2b-9fa7e571f5ab" TargetMode="External"/><Relationship Id="rId55" Type="http://schemas.openxmlformats.org/officeDocument/2006/relationships/hyperlink" Target="https://www.youtube.com/watch?v=kAmDZooyEpw" TargetMode="External"/><Relationship Id="rId161" Type="http://schemas.openxmlformats.org/officeDocument/2006/relationships/hyperlink" Target="https://www.halowaypoint.com/halo-infinite/players/amnatu/matches/6167c0cb-db80-4ab5-860d-311aad876648" TargetMode="External"/><Relationship Id="rId54" Type="http://schemas.openxmlformats.org/officeDocument/2006/relationships/hyperlink" Target="https://www.halowaypoint.com/halo-infinite/players/xXTHEChickenGod/matches/7b9a3d31-7172-4a46-bb8b-b51834b3e004" TargetMode="External"/><Relationship Id="rId160" Type="http://schemas.openxmlformats.org/officeDocument/2006/relationships/hyperlink" Target="https://www.youtube.com/watch?v=wq5gBu72EzI" TargetMode="External"/><Relationship Id="rId57" Type="http://schemas.openxmlformats.org/officeDocument/2006/relationships/hyperlink" Target="https://www.youtube.com/watch?v=EPCSrK1psg0" TargetMode="External"/><Relationship Id="rId56" Type="http://schemas.openxmlformats.org/officeDocument/2006/relationships/hyperlink" Target="https://www.halowaypoint.com/halo-infinite/players/ASpence501/matches/7f5d9678-94b1-482e-89d7-51ae88370a0c" TargetMode="External"/><Relationship Id="rId159" Type="http://schemas.openxmlformats.org/officeDocument/2006/relationships/hyperlink" Target="https://www.youtube.com/watch?v=kANLC5iYi24" TargetMode="External"/><Relationship Id="rId59" Type="http://schemas.openxmlformats.org/officeDocument/2006/relationships/hyperlink" Target="https://www.youtube.com/watch?v=NQU25o4EKxM" TargetMode="External"/><Relationship Id="rId154" Type="http://schemas.openxmlformats.org/officeDocument/2006/relationships/hyperlink" Target="https://www.halowaypoint.com/halo-infinite/players/Yluxe/matches/a23806a8-2251-4304-8578-b9e2678c3728" TargetMode="External"/><Relationship Id="rId58" Type="http://schemas.openxmlformats.org/officeDocument/2006/relationships/hyperlink" Target="https://www.halowaypoint.com/halo-infinite/players/MuNgO%20PuNgO/matches/534bf9a2-99a1-4785-942c-78ba741ddb5a" TargetMode="External"/><Relationship Id="rId153" Type="http://schemas.openxmlformats.org/officeDocument/2006/relationships/hyperlink" Target="https://www.halowaypoint.com/halo-infinite/players/Mavbrid/matches/056c8e75-73f1-4759-bdcf-e1015259a1a3" TargetMode="External"/><Relationship Id="rId152" Type="http://schemas.openxmlformats.org/officeDocument/2006/relationships/hyperlink" Target="https://www.halowaypoint.com/halo-infinite/players/mr%20epic%20beast/matches/6688a053-71fe-4ca1-858b-9809b73d7b88" TargetMode="External"/><Relationship Id="rId151" Type="http://schemas.openxmlformats.org/officeDocument/2006/relationships/hyperlink" Target="https://www.halowaypoint.com/halo-infinite/players/Mr%20epic%20beast/matches/24ef34dd-71c7-4448-838b-9e0311686893" TargetMode="External"/><Relationship Id="rId158" Type="http://schemas.openxmlformats.org/officeDocument/2006/relationships/hyperlink" Target="https://www.halowaypoint.com/halo-infinite/players/Scullen%20cx/matches/a6a569de-13d9-4ceb-98e2-6f55cb2f7657" TargetMode="External"/><Relationship Id="rId157" Type="http://schemas.openxmlformats.org/officeDocument/2006/relationships/hyperlink" Target="https://www.youtube.com/watch?v=wq5gBu72EzI" TargetMode="External"/><Relationship Id="rId156" Type="http://schemas.openxmlformats.org/officeDocument/2006/relationships/hyperlink" Target="https://www.youtube.com/watch?v=kANLC5iYi24" TargetMode="External"/><Relationship Id="rId155" Type="http://schemas.openxmlformats.org/officeDocument/2006/relationships/hyperlink" Target="https://www.halowaypoint.com/halo-infinite/players/Scullen%20cx/matches/8cd17a41-de65-406c-b1d4-27190ff1fb31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6.xml"/><Relationship Id="rId22" Type="http://schemas.openxmlformats.org/officeDocument/2006/relationships/table" Target="../tables/table38.xml"/><Relationship Id="rId21" Type="http://schemas.openxmlformats.org/officeDocument/2006/relationships/table" Target="../tables/table37.xml"/><Relationship Id="rId24" Type="http://schemas.openxmlformats.org/officeDocument/2006/relationships/table" Target="../tables/table40.xml"/><Relationship Id="rId23" Type="http://schemas.openxmlformats.org/officeDocument/2006/relationships/table" Target="../tables/table39.xml"/><Relationship Id="rId26" Type="http://schemas.openxmlformats.org/officeDocument/2006/relationships/table" Target="../tables/table42.xml"/><Relationship Id="rId25" Type="http://schemas.openxmlformats.org/officeDocument/2006/relationships/table" Target="../tables/table41.xml"/><Relationship Id="rId28" Type="http://schemas.openxmlformats.org/officeDocument/2006/relationships/table" Target="../tables/table44.xml"/><Relationship Id="rId27" Type="http://schemas.openxmlformats.org/officeDocument/2006/relationships/table" Target="../tables/table43.xml"/><Relationship Id="rId29" Type="http://schemas.openxmlformats.org/officeDocument/2006/relationships/table" Target="../tables/table45.xml"/><Relationship Id="rId17" Type="http://schemas.openxmlformats.org/officeDocument/2006/relationships/table" Target="../tables/table33.xml"/><Relationship Id="rId16" Type="http://schemas.openxmlformats.org/officeDocument/2006/relationships/table" Target="../tables/table32.xml"/><Relationship Id="rId19" Type="http://schemas.openxmlformats.org/officeDocument/2006/relationships/table" Target="../tables/table35.xml"/><Relationship Id="rId18" Type="http://schemas.openxmlformats.org/officeDocument/2006/relationships/table" Target="../tables/table34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4.38"/>
    <col customWidth="1" min="3" max="3" width="23.0"/>
    <col customWidth="1" min="4" max="4" width="14.0"/>
    <col customWidth="1" min="5" max="5" width="16.5"/>
    <col customWidth="1" min="6" max="6" width="15.0"/>
    <col customWidth="1" min="7" max="7" width="15.38"/>
    <col customWidth="1" min="8" max="8" width="16.63"/>
    <col customWidth="1" min="9" max="9" width="26.5"/>
    <col customWidth="1" min="10" max="10" width="18.38"/>
    <col customWidth="1" min="11" max="11" width="13.75"/>
    <col customWidth="1" min="12" max="12" width="20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6"/>
      <c r="L2" s="7"/>
    </row>
    <row r="3">
      <c r="A3" s="6"/>
      <c r="L3" s="7"/>
    </row>
    <row r="4">
      <c r="A4" s="6"/>
      <c r="L4" s="7"/>
    </row>
    <row r="5">
      <c r="A5" s="10" t="s">
        <v>2</v>
      </c>
      <c r="B5" s="13" t="s">
        <v>4</v>
      </c>
      <c r="C5" s="14" t="s">
        <v>6</v>
      </c>
      <c r="D5" s="15" t="s">
        <v>7</v>
      </c>
      <c r="E5" s="17" t="s">
        <v>8</v>
      </c>
      <c r="F5" s="22" t="s">
        <v>9</v>
      </c>
      <c r="G5" s="23" t="s">
        <v>13</v>
      </c>
      <c r="H5" s="26" t="s">
        <v>14</v>
      </c>
      <c r="I5" s="30" t="s">
        <v>15</v>
      </c>
      <c r="J5" s="34" t="s">
        <v>19</v>
      </c>
      <c r="K5" s="38" t="s">
        <v>26</v>
      </c>
      <c r="L5" s="42" t="s">
        <v>28</v>
      </c>
    </row>
    <row r="6">
      <c r="A6" s="45"/>
      <c r="B6" s="48"/>
      <c r="C6" s="48"/>
      <c r="D6" s="45"/>
      <c r="E6" s="48"/>
      <c r="F6" s="45"/>
      <c r="G6" s="48"/>
      <c r="H6" s="48"/>
      <c r="I6" s="48"/>
      <c r="J6" s="48"/>
      <c r="K6" s="48"/>
      <c r="L6" s="48"/>
    </row>
    <row r="7">
      <c r="A7" s="53" t="s">
        <v>37</v>
      </c>
      <c r="B7" s="57" t="s">
        <v>40</v>
      </c>
      <c r="C7" s="61" t="s">
        <v>41</v>
      </c>
      <c r="D7" s="64" t="s">
        <v>42</v>
      </c>
      <c r="E7" s="67" t="s">
        <v>44</v>
      </c>
      <c r="F7" s="70" t="s">
        <v>9</v>
      </c>
      <c r="G7" s="73" t="s">
        <v>46</v>
      </c>
      <c r="H7" s="77" t="s">
        <v>48</v>
      </c>
      <c r="I7" s="80" t="s">
        <v>49</v>
      </c>
      <c r="J7" s="82" t="s">
        <v>51</v>
      </c>
      <c r="K7" s="85" t="s">
        <v>52</v>
      </c>
      <c r="L7" s="90" t="s">
        <v>54</v>
      </c>
    </row>
    <row r="8">
      <c r="A8" s="94" t="s">
        <v>55</v>
      </c>
      <c r="B8" s="96" t="s">
        <v>57</v>
      </c>
      <c r="C8" s="109" t="s">
        <v>62</v>
      </c>
      <c r="D8" s="112" t="s">
        <v>65</v>
      </c>
      <c r="E8" s="115" t="s">
        <v>66</v>
      </c>
      <c r="F8" s="120" t="s">
        <v>68</v>
      </c>
      <c r="G8" s="124" t="s">
        <v>69</v>
      </c>
      <c r="H8" s="128" t="s">
        <v>70</v>
      </c>
      <c r="I8" s="130" t="s">
        <v>72</v>
      </c>
      <c r="J8" s="133" t="s">
        <v>73</v>
      </c>
      <c r="K8" s="136" t="s">
        <v>74</v>
      </c>
      <c r="L8" s="137" t="s">
        <v>75</v>
      </c>
    </row>
    <row r="9">
      <c r="A9" s="94" t="s">
        <v>77</v>
      </c>
      <c r="B9" s="140" t="s">
        <v>78</v>
      </c>
      <c r="C9" s="61" t="s">
        <v>79</v>
      </c>
      <c r="D9" s="145" t="s">
        <v>80</v>
      </c>
      <c r="E9" s="67" t="s">
        <v>81</v>
      </c>
      <c r="F9" s="70" t="s">
        <v>82</v>
      </c>
      <c r="G9" s="149" t="s">
        <v>83</v>
      </c>
      <c r="H9" s="151" t="s">
        <v>84</v>
      </c>
      <c r="I9" s="80" t="s">
        <v>85</v>
      </c>
      <c r="J9" s="82" t="s">
        <v>86</v>
      </c>
      <c r="K9" s="85" t="s">
        <v>87</v>
      </c>
      <c r="L9" s="90" t="s">
        <v>88</v>
      </c>
    </row>
    <row r="10">
      <c r="A10" s="154" t="s">
        <v>89</v>
      </c>
      <c r="B10" s="156" t="s">
        <v>90</v>
      </c>
      <c r="C10" s="109" t="s">
        <v>91</v>
      </c>
      <c r="D10" s="160" t="s">
        <v>92</v>
      </c>
      <c r="E10" s="162" t="s">
        <v>93</v>
      </c>
      <c r="F10" s="165" t="s">
        <v>94</v>
      </c>
      <c r="G10" s="124" t="s">
        <v>95</v>
      </c>
      <c r="H10" s="166" t="s">
        <v>96</v>
      </c>
      <c r="I10" s="168" t="s">
        <v>97</v>
      </c>
      <c r="J10" s="133" t="s">
        <v>98</v>
      </c>
      <c r="K10" s="136" t="s">
        <v>99</v>
      </c>
      <c r="L10" s="137" t="s">
        <v>100</v>
      </c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>
      <c r="A13" s="11"/>
      <c r="B13" s="11"/>
      <c r="C13" s="11"/>
      <c r="D13" s="11"/>
      <c r="E13" s="172" t="s">
        <v>101</v>
      </c>
      <c r="F13" s="125"/>
      <c r="G13" s="176" t="s">
        <v>102</v>
      </c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79" t="s">
        <v>103</v>
      </c>
      <c r="F14" s="125"/>
      <c r="G14" s="182" t="s">
        <v>105</v>
      </c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85" t="s">
        <v>109</v>
      </c>
      <c r="F15" s="125"/>
      <c r="G15" s="182" t="s">
        <v>110</v>
      </c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88" t="s">
        <v>111</v>
      </c>
      <c r="F16" s="125"/>
      <c r="G16" s="190" t="s">
        <v>110</v>
      </c>
      <c r="H16" s="193"/>
      <c r="I16" s="11"/>
      <c r="J16" s="11"/>
      <c r="K16" s="11"/>
      <c r="L16" s="11"/>
    </row>
    <row r="17">
      <c r="A17" s="11"/>
      <c r="B17" s="11"/>
      <c r="C17" s="11"/>
      <c r="D17" s="11"/>
      <c r="E17" s="194" t="s">
        <v>114</v>
      </c>
      <c r="F17" s="125"/>
      <c r="G17" s="182" t="s">
        <v>115</v>
      </c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96" t="s">
        <v>116</v>
      </c>
      <c r="F18" s="125"/>
      <c r="G18" s="182" t="s">
        <v>118</v>
      </c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202" t="s">
        <v>119</v>
      </c>
      <c r="F19" s="125"/>
      <c r="G19" s="182" t="s">
        <v>121</v>
      </c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206" t="s">
        <v>122</v>
      </c>
      <c r="F20" s="125"/>
      <c r="G20" s="182" t="s">
        <v>123</v>
      </c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208" t="s">
        <v>124</v>
      </c>
      <c r="F21" s="125"/>
      <c r="G21" s="182" t="s">
        <v>123</v>
      </c>
      <c r="H21" s="11"/>
      <c r="I21" s="11"/>
      <c r="J21" s="11"/>
      <c r="K21" s="11"/>
      <c r="L21" s="11"/>
    </row>
    <row r="22">
      <c r="A22" s="11"/>
      <c r="B22" s="11"/>
      <c r="C22" s="11"/>
      <c r="D22" s="11"/>
      <c r="E22" s="210" t="s">
        <v>126</v>
      </c>
      <c r="F22" s="125"/>
      <c r="G22" s="182" t="s">
        <v>127</v>
      </c>
      <c r="H22" s="11"/>
      <c r="I22" s="11"/>
      <c r="J22" s="11"/>
      <c r="K22" s="11"/>
      <c r="L22" s="11"/>
    </row>
    <row r="23">
      <c r="A23" s="11"/>
      <c r="B23" s="11"/>
      <c r="C23" s="11"/>
      <c r="D23" s="11"/>
      <c r="E23" s="212" t="s">
        <v>9</v>
      </c>
      <c r="F23" s="125"/>
      <c r="G23" s="182" t="s">
        <v>129</v>
      </c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214" t="s">
        <v>40</v>
      </c>
      <c r="F24" s="125"/>
      <c r="G24" s="182" t="s">
        <v>129</v>
      </c>
      <c r="H24" s="11"/>
      <c r="I24" s="11"/>
      <c r="J24" s="11"/>
      <c r="K24" s="11"/>
      <c r="L24" s="11"/>
    </row>
    <row r="25">
      <c r="A25" s="11"/>
      <c r="B25" s="11"/>
      <c r="C25" s="11"/>
      <c r="D25" s="216"/>
      <c r="E25" s="218" t="s">
        <v>126</v>
      </c>
      <c r="F25" s="125"/>
      <c r="G25" s="221" t="s">
        <v>127</v>
      </c>
      <c r="H25" s="11"/>
      <c r="I25" s="11"/>
      <c r="J25" s="11"/>
      <c r="K25" s="11"/>
      <c r="L25" s="11"/>
    </row>
  </sheetData>
  <mergeCells count="26">
    <mergeCell ref="I5:I6"/>
    <mergeCell ref="J5:J6"/>
    <mergeCell ref="K5:K6"/>
    <mergeCell ref="L5:L6"/>
    <mergeCell ref="A1:L4"/>
    <mergeCell ref="A5:A6"/>
    <mergeCell ref="B5:B6"/>
    <mergeCell ref="C5:C6"/>
    <mergeCell ref="D5:D6"/>
    <mergeCell ref="E5:E6"/>
    <mergeCell ref="F5:F6"/>
    <mergeCell ref="E18:F18"/>
    <mergeCell ref="E19:F19"/>
    <mergeCell ref="E20:F20"/>
    <mergeCell ref="E21:F21"/>
    <mergeCell ref="E22:F22"/>
    <mergeCell ref="E23:F23"/>
    <mergeCell ref="E24:F24"/>
    <mergeCell ref="E25:F25"/>
    <mergeCell ref="G5:G6"/>
    <mergeCell ref="H5:H6"/>
    <mergeCell ref="E13:F13"/>
    <mergeCell ref="E14:F14"/>
    <mergeCell ref="E15:F15"/>
    <mergeCell ref="E16:F16"/>
    <mergeCell ref="E17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5"/>
    <col customWidth="1" min="2" max="2" width="14.88"/>
    <col customWidth="1" min="3" max="3" width="6.75"/>
    <col customWidth="1" min="4" max="4" width="5.75"/>
    <col customWidth="1" min="5" max="5" width="6.38"/>
    <col customWidth="1" min="6" max="6" width="5.63"/>
    <col customWidth="1" min="7" max="7" width="7.88"/>
    <col customWidth="1" min="8" max="8" width="5.25"/>
    <col customWidth="1" min="9" max="9" width="6.75"/>
    <col customWidth="1" min="10" max="10" width="7.75"/>
    <col customWidth="1" min="11" max="11" width="6.13"/>
    <col customWidth="1" min="12" max="12" width="7.63"/>
    <col customWidth="1" min="13" max="13" width="6.5"/>
    <col customWidth="1" min="14" max="14" width="7.63"/>
    <col customWidth="1" min="15" max="15" width="6.38"/>
    <col customWidth="1" min="16" max="16" width="7.25"/>
    <col customWidth="1" min="17" max="17" width="6.38"/>
    <col customWidth="1" min="18" max="18" width="6.75"/>
    <col customWidth="1" min="19" max="19" width="7.75"/>
    <col customWidth="1" min="20" max="20" width="8.63"/>
    <col customWidth="1" min="21" max="21" width="7.0"/>
    <col customWidth="1" min="22" max="22" width="11.63"/>
    <col customWidth="1" hidden="1" min="23" max="23" width="12.5"/>
    <col customWidth="1" hidden="1" min="24" max="24" width="8.88"/>
  </cols>
  <sheetData>
    <row r="1">
      <c r="A1" s="20" t="s">
        <v>11</v>
      </c>
      <c r="B1" s="24" t="s">
        <v>12</v>
      </c>
      <c r="C1" s="29" t="s">
        <v>16</v>
      </c>
      <c r="D1" s="29" t="s">
        <v>17</v>
      </c>
      <c r="E1" s="32" t="s">
        <v>18</v>
      </c>
      <c r="F1" s="29" t="s">
        <v>20</v>
      </c>
      <c r="G1" s="24" t="s">
        <v>21</v>
      </c>
      <c r="H1" s="29" t="s">
        <v>22</v>
      </c>
      <c r="I1" s="29" t="s">
        <v>23</v>
      </c>
      <c r="J1" s="24" t="s">
        <v>24</v>
      </c>
      <c r="K1" s="37" t="s">
        <v>25</v>
      </c>
      <c r="L1" s="39" t="s">
        <v>27</v>
      </c>
      <c r="M1" s="43" t="s">
        <v>29</v>
      </c>
      <c r="N1" s="49" t="s">
        <v>30</v>
      </c>
      <c r="O1" s="49" t="s">
        <v>31</v>
      </c>
      <c r="P1" s="49" t="s">
        <v>32</v>
      </c>
      <c r="Q1" s="43" t="s">
        <v>33</v>
      </c>
      <c r="R1" s="43" t="s">
        <v>34</v>
      </c>
      <c r="S1" s="43" t="s">
        <v>35</v>
      </c>
      <c r="T1" s="51" t="s">
        <v>36</v>
      </c>
      <c r="U1" s="51" t="s">
        <v>38</v>
      </c>
      <c r="V1" s="51" t="s">
        <v>39</v>
      </c>
      <c r="W1" s="55"/>
      <c r="X1" s="55"/>
    </row>
    <row r="2">
      <c r="A2" s="59" t="s">
        <v>6</v>
      </c>
      <c r="B2" s="63" t="s">
        <v>41</v>
      </c>
      <c r="C2" s="69">
        <f>IFERROR(VLOOKUP($B2,'Halo Infinite Stats'!$A:$AM,2,0),)</f>
        <v>22</v>
      </c>
      <c r="D2" s="69">
        <f>IFERROR(VLOOKUP($B2,'Halo Infinite Stats'!$A:$AM,3,0),)</f>
        <v>15</v>
      </c>
      <c r="E2" s="69">
        <f>IFERROR(VLOOKUP($B2,'Halo Infinite Stats'!$A:$AM,4,0),)</f>
        <v>7</v>
      </c>
      <c r="F2" s="69">
        <f>IFERROR(VLOOKUP($B2,'Halo Infinite Stats'!$A:$AM,5,0),)</f>
        <v>7</v>
      </c>
      <c r="G2" s="69">
        <f>IFERROR(VLOOKUP($B2,'Halo Infinite Stats'!$A:$AM,6,0),)</f>
        <v>22</v>
      </c>
      <c r="H2" s="69">
        <f>IFERROR(VLOOKUP($B2,'Halo Infinite Stats'!$A:$AM,7,0),)</f>
        <v>766</v>
      </c>
      <c r="I2" s="69">
        <f>IFERROR(VLOOKUP($B2,'Halo Infinite Stats'!$A:$AM,8,0),)</f>
        <v>996</v>
      </c>
      <c r="J2" s="69">
        <f>IFERROR(VLOOKUP($B2,'Halo Infinite Stats'!$A:$AM,9,0),)</f>
        <v>-230</v>
      </c>
      <c r="K2" s="69">
        <f>IFERROR(VLOOKUP($B2,'Halo Infinite Stats'!$A:$AM,11,0),)</f>
        <v>4</v>
      </c>
      <c r="L2" s="69" t="str">
        <f>IFERROR(TEXT(VLOOKUP($B2,'Halo Infinite Stats'!$A:$AM,12,0)/(24*60*60),"hh:mm:ss"),"")</f>
        <v>05:14:55</v>
      </c>
      <c r="M2" s="69">
        <f>IFERROR(VLOOKUP($B2,'Halo Infinite Stats'!$A:$AM,14,0),)</f>
        <v>5</v>
      </c>
      <c r="N2" s="87">
        <f>IFERROR(VLOOKUP($B2,'Halo Infinite Stats'!$A:$AM,15,0),)+IFERROR(VLOOKUP($B2,'Halo Infinite Stats'!$A:$AM,16,0),)+IFERROR(VLOOKUP($B2,'Halo Infinite Stats'!$A:$AM,17,0),)</f>
        <v>0</v>
      </c>
      <c r="O2" s="69">
        <f>IFERROR(VLOOKUP($B2,'Halo Infinite Stats'!$A:$AM,18,0),)</f>
        <v>10</v>
      </c>
      <c r="P2" s="69">
        <f>IFERROR(VLOOKUP($B2,'Halo Infinite Stats'!$A:$AM,19,0),)</f>
        <v>110</v>
      </c>
      <c r="Q2" s="69">
        <f>IFERROR(VLOOKUP($B2,'Halo Infinite Stats'!$A:$AM,20,0),)</f>
        <v>22</v>
      </c>
      <c r="R2" s="87">
        <f>IFERROR(VLOOKUP($B2,'Halo Infinite Stats'!$A:$AM,21,0),)+IFERROR(VLOOKUP($B2,'Halo Infinite Stats'!$A:$AM,22,0),)+IFERROR(VLOOKUP($B2,'Halo Infinite Stats'!$A:$AM,23,0),)+IFERROR(VLOOKUP($B2,'Halo Infinite Stats'!$A:$AM,24,0),)+IFERROR(VLOOKUP($B2,'Halo Infinite Stats'!$A:$AM,25,0),)+IFERROR(VLOOKUP($B2,'Halo Infinite Stats'!$A:$AM,26,0),)+IFERROR(VLOOKUP($B2,'Halo Infinite Stats'!$A:$AM,27,0),)</f>
        <v>2</v>
      </c>
      <c r="S2" s="69">
        <f>IFERROR(VLOOKUP($B2,'Halo Infinite Stats'!$A:$AM,28,0),)</f>
        <v>0</v>
      </c>
      <c r="T2" s="69">
        <f>IFERROR(VLOOKUP($B2,'Halo Infinite Stats'!$A:$AM,31,0),)</f>
        <v>1</v>
      </c>
      <c r="U2" s="102" t="str">
        <f>IFERROR(VLOOKUP($B2,'PlayerGrades+'!$A:$W,22,0),)</f>
        <v>E</v>
      </c>
      <c r="V2" s="106">
        <f>IFERROR(VLOOKUP($B2,'PlayerGrades+'!$A:$W,23,0),)</f>
        <v>9.925</v>
      </c>
      <c r="W2" s="108"/>
      <c r="X2" s="114">
        <f t="shared" ref="X2:X5" si="1">(HOUR(L2) * 3600) + (MINUTE(L2) * 60) + SECOND(L2)</f>
        <v>18895</v>
      </c>
    </row>
    <row r="3">
      <c r="A3" s="117" t="s">
        <v>6</v>
      </c>
      <c r="B3" s="121" t="s">
        <v>62</v>
      </c>
      <c r="C3" s="127">
        <f>IFERROR(VLOOKUP($B3,'Halo Infinite Stats'!$A:$AM,2,0),)</f>
        <v>20</v>
      </c>
      <c r="D3" s="127">
        <f>IFERROR(VLOOKUP($B3,'Halo Infinite Stats'!$A:$AM,3,0),)</f>
        <v>13</v>
      </c>
      <c r="E3" s="127">
        <f>IFERROR(VLOOKUP($B3,'Halo Infinite Stats'!$A:$AM,4,0),)</f>
        <v>7</v>
      </c>
      <c r="F3" s="127">
        <f>IFERROR(VLOOKUP($B3,'Halo Infinite Stats'!$A:$AM,5,0),)</f>
        <v>33</v>
      </c>
      <c r="G3" s="69">
        <f>IFERROR(VLOOKUP($B3,'Halo Infinite Stats'!$A:$AM,6,0),)</f>
        <v>88</v>
      </c>
      <c r="H3" s="69">
        <f>IFERROR(VLOOKUP($B3,'Halo Infinite Stats'!$A:$AM,7,0),)</f>
        <v>985</v>
      </c>
      <c r="I3" s="69">
        <f>IFERROR(VLOOKUP($B3,'Halo Infinite Stats'!$A:$AM,8,0),)</f>
        <v>943</v>
      </c>
      <c r="J3" s="69">
        <f>IFERROR(VLOOKUP($B3,'Halo Infinite Stats'!$A:$AM,9,0),)</f>
        <v>42</v>
      </c>
      <c r="K3" s="69">
        <f>IFERROR(VLOOKUP($B3,'Halo Infinite Stats'!$A:$AM,11,0),)</f>
        <v>1</v>
      </c>
      <c r="L3" s="69" t="str">
        <f>IFERROR(TEXT(VLOOKUP($B3,'Halo Infinite Stats'!$A:$AM,12,0)/(24*60*60),"hh:mm:ss"),"")</f>
        <v>04:59:22</v>
      </c>
      <c r="M3" s="69">
        <f>IFERROR(VLOOKUP($B3,'Halo Infinite Stats'!$A:$AM,14,0),)</f>
        <v>22</v>
      </c>
      <c r="N3" s="87">
        <f>IFERROR(VLOOKUP($B3,'Halo Infinite Stats'!$A:$AM,15,0),)+IFERROR(VLOOKUP($B3,'Halo Infinite Stats'!$A:$AM,16,0),)+IFERROR(VLOOKUP($B3,'Halo Infinite Stats'!$A:$AM,17,0),)</f>
        <v>2</v>
      </c>
      <c r="O3" s="69">
        <f>IFERROR(VLOOKUP($B3,'Halo Infinite Stats'!$A:$AM,18,0),)</f>
        <v>12</v>
      </c>
      <c r="P3" s="69">
        <f>IFERROR(VLOOKUP($B3,'Halo Infinite Stats'!$A:$AM,19,0),)</f>
        <v>174</v>
      </c>
      <c r="Q3" s="69">
        <f>IFERROR(VLOOKUP($B3,'Halo Infinite Stats'!$A:$AM,20,0),)</f>
        <v>55</v>
      </c>
      <c r="R3" s="87">
        <f>IFERROR(VLOOKUP($B3,'Halo Infinite Stats'!$A:$AM,21,0),)+IFERROR(VLOOKUP($B3,'Halo Infinite Stats'!$A:$AM,22,0),)+IFERROR(VLOOKUP($B3,'Halo Infinite Stats'!$A:$AM,23,0),)+IFERROR(VLOOKUP($B3,'Halo Infinite Stats'!$A:$AM,24,0),)+IFERROR(VLOOKUP($B3,'Halo Infinite Stats'!$A:$AM,25,0),)+IFERROR(VLOOKUP($B3,'Halo Infinite Stats'!$A:$AM,26,0),)+IFERROR(VLOOKUP($B3,'Halo Infinite Stats'!$A:$AM,27,0),)</f>
        <v>28</v>
      </c>
      <c r="S3" s="69">
        <f>IFERROR(VLOOKUP($B3,'Halo Infinite Stats'!$A:$AM,28,0),)</f>
        <v>1</v>
      </c>
      <c r="T3" s="69">
        <f>IFERROR(VLOOKUP($B3,'Halo Infinite Stats'!$A:$AM,31,0),)</f>
        <v>1</v>
      </c>
      <c r="U3" s="102" t="str">
        <f>IFERROR(VLOOKUP($B3,'PlayerGrades+'!$A:$W,22,0),)</f>
        <v>S-</v>
      </c>
      <c r="V3" s="106">
        <f>IFERROR(VLOOKUP($B3,'PlayerGrades+'!$A:$W,23,0),)</f>
        <v>25.375</v>
      </c>
      <c r="W3" s="108"/>
      <c r="X3" s="114">
        <f t="shared" si="1"/>
        <v>17962</v>
      </c>
    </row>
    <row r="4">
      <c r="A4" s="158" t="s">
        <v>6</v>
      </c>
      <c r="B4" s="63" t="s">
        <v>79</v>
      </c>
      <c r="C4" s="69">
        <f>IFERROR(VLOOKUP($B4,'Halo Infinite Stats'!$A:$AM,2,0),)</f>
        <v>19</v>
      </c>
      <c r="D4" s="69">
        <f>IFERROR(VLOOKUP($B4,'Halo Infinite Stats'!$A:$AM,3,0),)</f>
        <v>13</v>
      </c>
      <c r="E4" s="69">
        <f>IFERROR(VLOOKUP($B4,'Halo Infinite Stats'!$A:$AM,4,0),)</f>
        <v>6</v>
      </c>
      <c r="F4" s="69">
        <f>IFERROR(VLOOKUP($B4,'Halo Infinite Stats'!$A:$AM,5,0),)</f>
        <v>22</v>
      </c>
      <c r="G4" s="69">
        <f>IFERROR(VLOOKUP($B4,'Halo Infinite Stats'!$A:$AM,6,0),)</f>
        <v>85</v>
      </c>
      <c r="H4" s="69">
        <f>IFERROR(VLOOKUP($B4,'Halo Infinite Stats'!$A:$AM,7,0),)</f>
        <v>656</v>
      </c>
      <c r="I4" s="69">
        <f>IFERROR(VLOOKUP($B4,'Halo Infinite Stats'!$A:$AM,8,0),)</f>
        <v>865</v>
      </c>
      <c r="J4" s="69">
        <f>IFERROR(VLOOKUP($B4,'Halo Infinite Stats'!$A:$AM,9,0),)</f>
        <v>-209</v>
      </c>
      <c r="K4" s="69">
        <f>IFERROR(VLOOKUP($B4,'Halo Infinite Stats'!$A:$AM,11,0),)</f>
        <v>1</v>
      </c>
      <c r="L4" s="69" t="str">
        <f>IFERROR(TEXT(VLOOKUP($B4,'Halo Infinite Stats'!$A:$AM,12,0)/(24*60*60),"hh:mm:ss"),"")</f>
        <v>04:40:36</v>
      </c>
      <c r="M4" s="69">
        <f>IFERROR(VLOOKUP($B4,'Halo Infinite Stats'!$A:$AM,14,0),)</f>
        <v>6</v>
      </c>
      <c r="N4" s="87">
        <f>IFERROR(VLOOKUP($B4,'Halo Infinite Stats'!$A:$AM,15,0),)+IFERROR(VLOOKUP($B4,'Halo Infinite Stats'!$A:$AM,16,0),)+IFERROR(VLOOKUP($B4,'Halo Infinite Stats'!$A:$AM,17,0),)</f>
        <v>0</v>
      </c>
      <c r="O4" s="69">
        <f>IFERROR(VLOOKUP($B4,'Halo Infinite Stats'!$A:$AM,18,0),)</f>
        <v>8</v>
      </c>
      <c r="P4" s="69">
        <f>IFERROR(VLOOKUP($B4,'Halo Infinite Stats'!$A:$AM,19,0),)</f>
        <v>96</v>
      </c>
      <c r="Q4" s="69">
        <f>IFERROR(VLOOKUP($B4,'Halo Infinite Stats'!$A:$AM,20,0),)</f>
        <v>31</v>
      </c>
      <c r="R4" s="87">
        <f>IFERROR(VLOOKUP($B4,'Halo Infinite Stats'!$A:$AM,21,0),)+IFERROR(VLOOKUP($B4,'Halo Infinite Stats'!$A:$AM,22,0),)+IFERROR(VLOOKUP($B4,'Halo Infinite Stats'!$A:$AM,23,0),)+IFERROR(VLOOKUP($B4,'Halo Infinite Stats'!$A:$AM,24,0),)+IFERROR(VLOOKUP($B4,'Halo Infinite Stats'!$A:$AM,25,0),)+IFERROR(VLOOKUP($B4,'Halo Infinite Stats'!$A:$AM,26,0),)+IFERROR(VLOOKUP($B4,'Halo Infinite Stats'!$A:$AM,27,0),)</f>
        <v>12</v>
      </c>
      <c r="S4" s="69">
        <f>IFERROR(VLOOKUP($B4,'Halo Infinite Stats'!$A:$AM,28,0),)</f>
        <v>0</v>
      </c>
      <c r="T4" s="69">
        <f>IFERROR(VLOOKUP($B4,'Halo Infinite Stats'!$A:$AM,31,0),)</f>
        <v>0</v>
      </c>
      <c r="U4" s="102" t="str">
        <f>IFERROR(VLOOKUP($B4,'PlayerGrades+'!$A:$W,22,0),)</f>
        <v>C</v>
      </c>
      <c r="V4" s="106">
        <f>IFERROR(VLOOKUP($B4,'PlayerGrades+'!$A:$W,23,0),)</f>
        <v>14.725</v>
      </c>
      <c r="W4" s="108"/>
      <c r="X4" s="114">
        <f t="shared" si="1"/>
        <v>16836</v>
      </c>
    </row>
    <row r="5">
      <c r="A5" s="117" t="s">
        <v>6</v>
      </c>
      <c r="B5" s="121" t="s">
        <v>106</v>
      </c>
      <c r="C5" s="127">
        <f>IFERROR(VLOOKUP($B5,'Halo Infinite Stats'!$A:$AM,2,0),)</f>
        <v>22</v>
      </c>
      <c r="D5" s="127">
        <f>IFERROR(VLOOKUP($B5,'Halo Infinite Stats'!$A:$AM,3,0),)</f>
        <v>13</v>
      </c>
      <c r="E5" s="127">
        <f>IFERROR(VLOOKUP($B5,'Halo Infinite Stats'!$A:$AM,4,0),)</f>
        <v>9</v>
      </c>
      <c r="F5" s="127">
        <f>IFERROR(VLOOKUP($B5,'Halo Infinite Stats'!$A:$AM,5,0),)</f>
        <v>18</v>
      </c>
      <c r="G5" s="69">
        <f>IFERROR(VLOOKUP($B5,'Halo Infinite Stats'!$A:$AM,6,0),)</f>
        <v>72</v>
      </c>
      <c r="H5" s="69">
        <f>IFERROR(VLOOKUP($B5,'Halo Infinite Stats'!$A:$AM,7,0),)</f>
        <v>1031</v>
      </c>
      <c r="I5" s="69">
        <f>IFERROR(VLOOKUP($B5,'Halo Infinite Stats'!$A:$AM,8,0),)</f>
        <v>1116</v>
      </c>
      <c r="J5" s="69">
        <f>IFERROR(VLOOKUP($B5,'Halo Infinite Stats'!$A:$AM,9,0),)</f>
        <v>-85</v>
      </c>
      <c r="K5" s="69">
        <f>IFERROR(VLOOKUP($B5,'Halo Infinite Stats'!$A:$AM,11,0),)</f>
        <v>3</v>
      </c>
      <c r="L5" s="69" t="str">
        <f>IFERROR(TEXT(VLOOKUP($B5,'Halo Infinite Stats'!$A:$AM,12,0)/(24*60*60),"hh:mm:ss"),"")</f>
        <v>05:42:26</v>
      </c>
      <c r="M5" s="69">
        <f>IFERROR(VLOOKUP($B5,'Halo Infinite Stats'!$A:$AM,14,0),)</f>
        <v>18</v>
      </c>
      <c r="N5" s="87">
        <f>IFERROR(VLOOKUP($B5,'Halo Infinite Stats'!$A:$AM,15,0),)+IFERROR(VLOOKUP($B5,'Halo Infinite Stats'!$A:$AM,16,0),)+IFERROR(VLOOKUP($B5,'Halo Infinite Stats'!$A:$AM,17,0),)</f>
        <v>1</v>
      </c>
      <c r="O5" s="69">
        <f>IFERROR(VLOOKUP($B5,'Halo Infinite Stats'!$A:$AM,18,0),)</f>
        <v>16</v>
      </c>
      <c r="P5" s="69">
        <f>IFERROR(VLOOKUP($B5,'Halo Infinite Stats'!$A:$AM,19,0),)</f>
        <v>165</v>
      </c>
      <c r="Q5" s="69">
        <f>IFERROR(VLOOKUP($B5,'Halo Infinite Stats'!$A:$AM,20,0),)</f>
        <v>51</v>
      </c>
      <c r="R5" s="87">
        <f>IFERROR(VLOOKUP($B5,'Halo Infinite Stats'!$A:$AM,21,0),)+IFERROR(VLOOKUP($B5,'Halo Infinite Stats'!$A:$AM,22,0),)+IFERROR(VLOOKUP($B5,'Halo Infinite Stats'!$A:$AM,23,0),)+IFERROR(VLOOKUP($B5,'Halo Infinite Stats'!$A:$AM,24,0),)+IFERROR(VLOOKUP($B5,'Halo Infinite Stats'!$A:$AM,25,0),)+IFERROR(VLOOKUP($B5,'Halo Infinite Stats'!$A:$AM,26,0),)+IFERROR(VLOOKUP($B5,'Halo Infinite Stats'!$A:$AM,27,0),)</f>
        <v>14</v>
      </c>
      <c r="S5" s="69">
        <f>IFERROR(VLOOKUP($B5,'Halo Infinite Stats'!$A:$AM,28,0),)</f>
        <v>1</v>
      </c>
      <c r="T5" s="69">
        <f>IFERROR(VLOOKUP($B5,'Halo Infinite Stats'!$A:$AM,31,0),)</f>
        <v>4</v>
      </c>
      <c r="U5" s="102" t="str">
        <f>IFERROR(VLOOKUP($B5,'PlayerGrades+'!$A:$W,22,0),)</f>
        <v>A-</v>
      </c>
      <c r="V5" s="106">
        <f>IFERROR(VLOOKUP($B5,'PlayerGrades+'!$A:$W,23,0),)</f>
        <v>21.0125</v>
      </c>
      <c r="W5" s="108"/>
      <c r="X5" s="114">
        <f t="shared" si="1"/>
        <v>20546</v>
      </c>
    </row>
    <row r="6" ht="16.5" customHeight="1">
      <c r="A6" s="200" t="s">
        <v>6</v>
      </c>
      <c r="B6" s="158" t="s">
        <v>120</v>
      </c>
      <c r="C6" s="158">
        <f t="shared" ref="C6:I6" si="2">SUM(C2:C5)</f>
        <v>83</v>
      </c>
      <c r="D6" s="158">
        <f t="shared" si="2"/>
        <v>54</v>
      </c>
      <c r="E6" s="158">
        <f t="shared" si="2"/>
        <v>29</v>
      </c>
      <c r="F6" s="158">
        <f t="shared" si="2"/>
        <v>80</v>
      </c>
      <c r="G6" s="69">
        <f t="shared" si="2"/>
        <v>267</v>
      </c>
      <c r="H6" s="158">
        <f t="shared" si="2"/>
        <v>3438</v>
      </c>
      <c r="I6" s="158">
        <f t="shared" si="2"/>
        <v>3920</v>
      </c>
      <c r="J6" s="158">
        <f>MINUS(H6,I6)</f>
        <v>-482</v>
      </c>
      <c r="K6" s="158">
        <f>SUM(K2:K5)</f>
        <v>9</v>
      </c>
      <c r="L6" s="158" t="str">
        <f>TEXT(X12/86400, "hh:mm:ss")</f>
        <v>23:41:47</v>
      </c>
      <c r="M6" s="158">
        <f t="shared" ref="M6:T6" si="3">SUM(M2:M5)</f>
        <v>51</v>
      </c>
      <c r="N6" s="158">
        <f t="shared" si="3"/>
        <v>3</v>
      </c>
      <c r="O6" s="158">
        <f t="shared" si="3"/>
        <v>46</v>
      </c>
      <c r="P6" s="158">
        <f t="shared" si="3"/>
        <v>545</v>
      </c>
      <c r="Q6" s="158">
        <f t="shared" si="3"/>
        <v>159</v>
      </c>
      <c r="R6" s="158">
        <f t="shared" si="3"/>
        <v>56</v>
      </c>
      <c r="S6" s="158">
        <f t="shared" si="3"/>
        <v>2</v>
      </c>
      <c r="T6" s="158">
        <f t="shared" si="3"/>
        <v>6</v>
      </c>
      <c r="U6" s="222" t="str">
        <f>IF(((V2+V3+V4+V5)/4)&lt;='PlayerGrades+'!$Y$44,"F-",IF(((V2+V3+V4+V5)/4)&lt;'PlayerGrades+'!$Y$43,"F",IF(((V2+V3+V4+V5)/4)&lt;'PlayerGrades+'!$Y$42,"F+",IF(((V2+V3+V4+V5)/4)&lt;'PlayerGrades+'!$Y$41,"E-",IF(((V2+V3+V4+V5)/4)&lt;'PlayerGrades+'!$Y$40,"E",IF(((V2+V3+V4+V5)/4)&lt;'PlayerGrades+'!$Y$39,"E+",IF(((V2+V3+V4+V5)/4)&lt;'PlayerGrades+'!$Y$38,"D-",IF(((V2+V3+V4+V5)/4)&lt;'PlayerGrades+'!$Y$37,"D",IF(((V2+V3+V4+V5)/4)&lt;'PlayerGrades+'!$Y$36,"D+",IF(((V2+V3+V4+V5)/4)&lt;'PlayerGrades+'!$Y$35,"C-",IF(((V2+V3+V4+V5)/4)&lt;'PlayerGrades+'!$Y$34,"C",IF(((V2+V3+V4+V5)/4)&lt;'PlayerGrades+'!$Y$33,"C+",IF(((V2+V3+V4+V5)/4)&lt;'PlayerGrades+'!$Y$32,"B-",IF(((V2+V3+V4+V5)/4)&lt;'PlayerGrades+'!$Y$31,"B",IF(((V2+V3+V4+V5)/4)&lt;'PlayerGrades+'!$Y$30,"B+",IF(((V2+V3+V4+V5)/4)&lt;'PlayerGrades+'!$Y$29,"A-",IF(((V2+V3+V4+V5)/4)&lt;'PlayerGrades+'!$Y$28,"A",IF(((V2+V3+V4+V5)/4)&lt;'PlayerGrades+'!$Y$27,"A+",IF(((V2+V3+V4+V5)/4)&lt;'PlayerGrades+'!$Y$26,"S-",IF(((V2+V3+V4+V5)/4)&lt;'PlayerGrades+'!$Y$25,"S","S+"))))))))))))))))))))</f>
        <v>B-</v>
      </c>
      <c r="V6" s="226" t="s">
        <v>131</v>
      </c>
      <c r="W6" s="229"/>
      <c r="X6" s="233">
        <f>SUM(X2:X5)</f>
        <v>74239</v>
      </c>
    </row>
    <row r="7">
      <c r="A7" s="237"/>
      <c r="B7" s="241"/>
      <c r="C7" s="237"/>
      <c r="D7" s="237"/>
      <c r="E7" s="237"/>
      <c r="F7" s="237"/>
      <c r="G7" s="237"/>
      <c r="H7" s="237"/>
      <c r="I7" s="237"/>
      <c r="J7" s="237"/>
      <c r="K7" s="245"/>
      <c r="L7" s="247"/>
      <c r="M7" s="248"/>
      <c r="N7" s="248"/>
      <c r="O7" s="248"/>
      <c r="P7" s="248"/>
      <c r="Q7" s="248"/>
      <c r="R7" s="248"/>
      <c r="S7" s="248"/>
      <c r="T7" s="250"/>
      <c r="U7" s="254"/>
      <c r="V7" s="255"/>
      <c r="W7" s="256"/>
      <c r="X7" s="258"/>
    </row>
    <row r="8">
      <c r="A8" s="261" t="s">
        <v>8</v>
      </c>
      <c r="B8" s="264" t="s">
        <v>44</v>
      </c>
      <c r="C8" s="268">
        <f>IFERROR(VLOOKUP($B8,'Halo Infinite Stats'!$A:$AM,2,0),)</f>
        <v>20</v>
      </c>
      <c r="D8" s="268">
        <f>IFERROR(VLOOKUP($B8,'Halo Infinite Stats'!$A:$AM,3,0),)</f>
        <v>16</v>
      </c>
      <c r="E8" s="268">
        <f>IFERROR(VLOOKUP($B8,'Halo Infinite Stats'!$A:$AM,4,0),)</f>
        <v>4</v>
      </c>
      <c r="F8" s="268">
        <f>IFERROR(VLOOKUP($B8,'Halo Infinite Stats'!$A:$AM,5,0),)</f>
        <v>69</v>
      </c>
      <c r="G8" s="69">
        <f>IFERROR(VLOOKUP($B8,'Halo Infinite Stats'!$A:$AM,6,0),)</f>
        <v>268</v>
      </c>
      <c r="H8" s="69">
        <f>IFERROR(VLOOKUP($B8,'Halo Infinite Stats'!$A:$AM,7,0),)</f>
        <v>748</v>
      </c>
      <c r="I8" s="69">
        <f>IFERROR(VLOOKUP($B8,'Halo Infinite Stats'!$A:$AM,8,0),)</f>
        <v>785</v>
      </c>
      <c r="J8" s="69">
        <f>IFERROR(VLOOKUP($B8,'Halo Infinite Stats'!$A:$AM,9,0),)</f>
        <v>-37</v>
      </c>
      <c r="K8" s="69">
        <f>IFERROR(VLOOKUP($B8,'Halo Infinite Stats'!$A:$AM,11,0),)</f>
        <v>1</v>
      </c>
      <c r="L8" s="69" t="str">
        <f>IFERROR(TEXT(VLOOKUP($B8,'Halo Infinite Stats'!$A:$AM,12,0)/(24*60*60),"hh:mm:ss"),"")</f>
        <v>04:46:12</v>
      </c>
      <c r="M8" s="69">
        <f>IFERROR(VLOOKUP($B8,'Halo Infinite Stats'!$A:$AM,14,0),)</f>
        <v>16</v>
      </c>
      <c r="N8" s="87">
        <f>IFERROR(VLOOKUP($B8,'Halo Infinite Stats'!$A:$AM,15,0),)+IFERROR(VLOOKUP($B8,'Halo Infinite Stats'!$A:$AM,16,0),)+IFERROR(VLOOKUP($B8,'Halo Infinite Stats'!$A:$AM,17,0),)</f>
        <v>0</v>
      </c>
      <c r="O8" s="69">
        <f>IFERROR(VLOOKUP($B8,'Halo Infinite Stats'!$A:$AM,18,0),)</f>
        <v>5</v>
      </c>
      <c r="P8" s="69">
        <f>IFERROR(VLOOKUP($B8,'Halo Infinite Stats'!$A:$AM,19,0),)</f>
        <v>119</v>
      </c>
      <c r="Q8" s="69">
        <f>IFERROR(VLOOKUP($B8,'Halo Infinite Stats'!$A:$AM,20,0),)</f>
        <v>37</v>
      </c>
      <c r="R8" s="87">
        <f>IFERROR(VLOOKUP($B8,'Halo Infinite Stats'!$A:$AM,21,0),)+IFERROR(VLOOKUP($B8,'Halo Infinite Stats'!$A:$AM,22,0),)+IFERROR(VLOOKUP($B8,'Halo Infinite Stats'!$A:$AM,23,0),)+IFERROR(VLOOKUP($B8,'Halo Infinite Stats'!$A:$AM,24,0),)+IFERROR(VLOOKUP($B8,'Halo Infinite Stats'!$A:$AM,25,0),)+IFERROR(VLOOKUP($B8,'Halo Infinite Stats'!$A:$AM,26,0),)+IFERROR(VLOOKUP($B8,'Halo Infinite Stats'!$A:$AM,27,0),)</f>
        <v>9</v>
      </c>
      <c r="S8" s="69">
        <f>IFERROR(VLOOKUP($B8,'Halo Infinite Stats'!$A:$AM,28,0),)</f>
        <v>0</v>
      </c>
      <c r="T8" s="69">
        <f>IFERROR(VLOOKUP($B8,'Halo Infinite Stats'!$A:$AM,31,0),)</f>
        <v>2</v>
      </c>
      <c r="U8" s="102" t="str">
        <f>IFERROR(VLOOKUP($B8,'PlayerGrades+'!$A:$W,22,0),)</f>
        <v>B+</v>
      </c>
      <c r="V8" s="279">
        <f>IFERROR(VLOOKUP($B8,'PlayerGrades+'!$A:$W,23,0),)</f>
        <v>20.1125</v>
      </c>
      <c r="W8" s="108"/>
      <c r="X8" s="114">
        <f t="shared" ref="X8:X11" si="4">(HOUR(L8) * 3600) + (MINUTE(L8) * 60) + SECOND(L8)</f>
        <v>17172</v>
      </c>
    </row>
    <row r="9">
      <c r="A9" s="280" t="s">
        <v>8</v>
      </c>
      <c r="B9" s="282" t="s">
        <v>66</v>
      </c>
      <c r="C9" s="285">
        <f>IFERROR(VLOOKUP($B9,'Halo Infinite Stats'!$A:$AM,2,0),)</f>
        <v>20</v>
      </c>
      <c r="D9" s="285">
        <f>IFERROR(VLOOKUP($B9,'Halo Infinite Stats'!$A:$AM,3,0),)</f>
        <v>16</v>
      </c>
      <c r="E9" s="285">
        <f>IFERROR(VLOOKUP($B9,'Halo Infinite Stats'!$A:$AM,4,0),)</f>
        <v>4</v>
      </c>
      <c r="F9" s="268">
        <f>IFERROR(VLOOKUP($B9,'Halo Infinite Stats'!$A:$AM,5,0),)</f>
        <v>2</v>
      </c>
      <c r="G9" s="69">
        <f>IFERROR(VLOOKUP($B9,'Halo Infinite Stats'!$A:$AM,6,0),)</f>
        <v>8</v>
      </c>
      <c r="H9" s="69">
        <f>IFERROR(VLOOKUP($B9,'Halo Infinite Stats'!$A:$AM,7,0),)</f>
        <v>1053</v>
      </c>
      <c r="I9" s="69">
        <f>IFERROR(VLOOKUP($B9,'Halo Infinite Stats'!$A:$AM,8,0),)</f>
        <v>1071</v>
      </c>
      <c r="J9" s="69">
        <f>IFERROR(VLOOKUP($B9,'Halo Infinite Stats'!$A:$AM,9,0),)</f>
        <v>-18</v>
      </c>
      <c r="K9" s="69">
        <f>IFERROR(VLOOKUP($B9,'Halo Infinite Stats'!$A:$AM,11,0),)</f>
        <v>4</v>
      </c>
      <c r="L9" s="69" t="str">
        <f>IFERROR(TEXT(VLOOKUP($B9,'Halo Infinite Stats'!$A:$AM,12,0)/(24*60*60),"hh:mm:ss"),"")</f>
        <v>04:46:12</v>
      </c>
      <c r="M9" s="69">
        <f>IFERROR(VLOOKUP($B9,'Halo Infinite Stats'!$A:$AM,14,0),)</f>
        <v>10</v>
      </c>
      <c r="N9" s="87">
        <f>IFERROR(VLOOKUP($B9,'Halo Infinite Stats'!$A:$AM,15,0),)+IFERROR(VLOOKUP($B9,'Halo Infinite Stats'!$A:$AM,16,0),)+IFERROR(VLOOKUP($B9,'Halo Infinite Stats'!$A:$AM,17,0),)</f>
        <v>0</v>
      </c>
      <c r="O9" s="69">
        <f>IFERROR(VLOOKUP($B9,'Halo Infinite Stats'!$A:$AM,18,0),)</f>
        <v>3</v>
      </c>
      <c r="P9" s="69">
        <f>IFERROR(VLOOKUP($B9,'Halo Infinite Stats'!$A:$AM,19,0),)</f>
        <v>180</v>
      </c>
      <c r="Q9" s="69">
        <f>IFERROR(VLOOKUP($B9,'Halo Infinite Stats'!$A:$AM,20,0),)</f>
        <v>42</v>
      </c>
      <c r="R9" s="87">
        <f>IFERROR(VLOOKUP($B9,'Halo Infinite Stats'!$A:$AM,21,0),)+IFERROR(VLOOKUP($B9,'Halo Infinite Stats'!$A:$AM,22,0),)+IFERROR(VLOOKUP($B9,'Halo Infinite Stats'!$A:$AM,23,0),)+IFERROR(VLOOKUP($B9,'Halo Infinite Stats'!$A:$AM,24,0),)+IFERROR(VLOOKUP($B9,'Halo Infinite Stats'!$A:$AM,25,0),)+IFERROR(VLOOKUP($B9,'Halo Infinite Stats'!$A:$AM,26,0),)+IFERROR(VLOOKUP($B9,'Halo Infinite Stats'!$A:$AM,27,0),)</f>
        <v>13</v>
      </c>
      <c r="S9" s="69">
        <f>IFERROR(VLOOKUP($B9,'Halo Infinite Stats'!$A:$AM,28,0),)</f>
        <v>0</v>
      </c>
      <c r="T9" s="69">
        <f>IFERROR(VLOOKUP($B9,'Halo Infinite Stats'!$A:$AM,31,0),)</f>
        <v>0</v>
      </c>
      <c r="U9" s="102" t="str">
        <f>IFERROR(VLOOKUP($B9,'PlayerGrades+'!$A:$W,22,0),)</f>
        <v>B-</v>
      </c>
      <c r="V9" s="279">
        <f>IFERROR(VLOOKUP($B9,'PlayerGrades+'!$A:$W,23,0),)</f>
        <v>17.95</v>
      </c>
      <c r="W9" s="108"/>
      <c r="X9" s="114">
        <f t="shared" si="4"/>
        <v>17172</v>
      </c>
    </row>
    <row r="10">
      <c r="A10" s="261" t="s">
        <v>8</v>
      </c>
      <c r="B10" s="294" t="s">
        <v>149</v>
      </c>
      <c r="C10" s="268">
        <f>IFERROR(VLOOKUP($B10,'Halo Infinite Stats'!$A:$AM,2,0),)</f>
        <v>37</v>
      </c>
      <c r="D10" s="268">
        <f>IFERROR(VLOOKUP($B10,'Halo Infinite Stats'!$A:$AM,3,0),)</f>
        <v>22</v>
      </c>
      <c r="E10" s="268">
        <f>IFERROR(VLOOKUP($B10,'Halo Infinite Stats'!$A:$AM,4,0),)</f>
        <v>15</v>
      </c>
      <c r="F10" s="268">
        <f>IFERROR(VLOOKUP($B10,'Halo Infinite Stats'!$A:$AM,5,0),)</f>
        <v>22</v>
      </c>
      <c r="G10" s="69">
        <f>IFERROR(VLOOKUP($B10,'Halo Infinite Stats'!$A:$AM,6,0),)</f>
        <v>62</v>
      </c>
      <c r="H10" s="69">
        <f>IFERROR(VLOOKUP($B10,'Halo Infinite Stats'!$A:$AM,7,0),)</f>
        <v>1603</v>
      </c>
      <c r="I10" s="69">
        <f>IFERROR(VLOOKUP($B10,'Halo Infinite Stats'!$A:$AM,8,0),)</f>
        <v>1709</v>
      </c>
      <c r="J10" s="69">
        <f>IFERROR(VLOOKUP($B10,'Halo Infinite Stats'!$A:$AM,9,0),)</f>
        <v>-106</v>
      </c>
      <c r="K10" s="69">
        <f>IFERROR(VLOOKUP($B10,'Halo Infinite Stats'!$A:$AM,11,0),)</f>
        <v>9</v>
      </c>
      <c r="L10" s="69" t="str">
        <f>IFERROR(TEXT(VLOOKUP($B10,'Halo Infinite Stats'!$A:$AM,12,0)/(24*60*60),"hh:mm:ss"),"")</f>
        <v>08:25:48</v>
      </c>
      <c r="M10" s="69">
        <f>IFERROR(VLOOKUP($B10,'Halo Infinite Stats'!$A:$AM,14,0),)</f>
        <v>31</v>
      </c>
      <c r="N10" s="87">
        <f>IFERROR(VLOOKUP($B10,'Halo Infinite Stats'!$A:$AM,15,0),)+IFERROR(VLOOKUP($B10,'Halo Infinite Stats'!$A:$AM,16,0),)+IFERROR(VLOOKUP($B10,'Halo Infinite Stats'!$A:$AM,17,0),)</f>
        <v>0</v>
      </c>
      <c r="O10" s="69">
        <f>IFERROR(VLOOKUP($B10,'Halo Infinite Stats'!$A:$AM,18,0),)</f>
        <v>22</v>
      </c>
      <c r="P10" s="69">
        <f>IFERROR(VLOOKUP($B10,'Halo Infinite Stats'!$A:$AM,19,0),)</f>
        <v>272</v>
      </c>
      <c r="Q10" s="69">
        <f>IFERROR(VLOOKUP($B10,'Halo Infinite Stats'!$A:$AM,20,0),)</f>
        <v>80</v>
      </c>
      <c r="R10" s="87">
        <f>IFERROR(VLOOKUP($B10,'Halo Infinite Stats'!$A:$AM,21,0),)+IFERROR(VLOOKUP($B10,'Halo Infinite Stats'!$A:$AM,22,0),)+IFERROR(VLOOKUP($B10,'Halo Infinite Stats'!$A:$AM,23,0),)+IFERROR(VLOOKUP($B10,'Halo Infinite Stats'!$A:$AM,24,0),)+IFERROR(VLOOKUP($B10,'Halo Infinite Stats'!$A:$AM,25,0),)+IFERROR(VLOOKUP($B10,'Halo Infinite Stats'!$A:$AM,26,0),)+IFERROR(VLOOKUP($B10,'Halo Infinite Stats'!$A:$AM,27,0),)</f>
        <v>37</v>
      </c>
      <c r="S10" s="69">
        <f>IFERROR(VLOOKUP($B10,'Halo Infinite Stats'!$A:$AM,28,0),)</f>
        <v>0</v>
      </c>
      <c r="T10" s="69">
        <f>IFERROR(VLOOKUP($B10,'Halo Infinite Stats'!$A:$AM,31,0),)</f>
        <v>0</v>
      </c>
      <c r="U10" s="102" t="str">
        <f>IFERROR(VLOOKUP($B10,'PlayerGrades+'!$A:$W,22,0),)</f>
        <v>A</v>
      </c>
      <c r="V10" s="279">
        <f>IFERROR(VLOOKUP($B10,'PlayerGrades+'!$A:$W,23,0),)</f>
        <v>21.55</v>
      </c>
      <c r="W10" s="301"/>
      <c r="X10" s="114">
        <f t="shared" si="4"/>
        <v>30348</v>
      </c>
    </row>
    <row r="11">
      <c r="A11" s="280" t="s">
        <v>8</v>
      </c>
      <c r="B11" s="304" t="s">
        <v>93</v>
      </c>
      <c r="C11" s="285">
        <f>IFERROR(VLOOKUP($B11,'Halo Infinite Stats'!$A:$AM,2,0),)</f>
        <v>24</v>
      </c>
      <c r="D11" s="285">
        <f>IFERROR(VLOOKUP($B11,'Halo Infinite Stats'!$A:$AM,3,0),)</f>
        <v>15</v>
      </c>
      <c r="E11" s="285">
        <f>IFERROR(VLOOKUP($B11,'Halo Infinite Stats'!$A:$AM,4,0),)</f>
        <v>9</v>
      </c>
      <c r="F11" s="268">
        <f>IFERROR(VLOOKUP($B11,'Halo Infinite Stats'!$A:$AM,5,0),)</f>
        <v>7</v>
      </c>
      <c r="G11" s="69">
        <f>IFERROR(VLOOKUP($B11,'Halo Infinite Stats'!$A:$AM,6,0),)</f>
        <v>15</v>
      </c>
      <c r="H11" s="69">
        <f>IFERROR(VLOOKUP($B11,'Halo Infinite Stats'!$A:$AM,7,0),)</f>
        <v>1008</v>
      </c>
      <c r="I11" s="69">
        <f>IFERROR(VLOOKUP($B11,'Halo Infinite Stats'!$A:$AM,8,0),)</f>
        <v>1243</v>
      </c>
      <c r="J11" s="69">
        <f>IFERROR(VLOOKUP($B11,'Halo Infinite Stats'!$A:$AM,9,0),)</f>
        <v>-235</v>
      </c>
      <c r="K11" s="69">
        <f>IFERROR(VLOOKUP($B11,'Halo Infinite Stats'!$A:$AM,11,0),)</f>
        <v>1</v>
      </c>
      <c r="L11" s="69" t="str">
        <f>IFERROR(TEXT(VLOOKUP($B11,'Halo Infinite Stats'!$A:$AM,12,0)/(24*60*60),"hh:mm:ss"),"")</f>
        <v>05:43:35</v>
      </c>
      <c r="M11" s="69">
        <f>IFERROR(VLOOKUP($B11,'Halo Infinite Stats'!$A:$AM,14,0),)</f>
        <v>9</v>
      </c>
      <c r="N11" s="87">
        <f>IFERROR(VLOOKUP($B11,'Halo Infinite Stats'!$A:$AM,15,0),)+IFERROR(VLOOKUP($B11,'Halo Infinite Stats'!$A:$AM,16,0),)+IFERROR(VLOOKUP($B11,'Halo Infinite Stats'!$A:$AM,17,0),)</f>
        <v>0</v>
      </c>
      <c r="O11" s="69">
        <f>IFERROR(VLOOKUP($B11,'Halo Infinite Stats'!$A:$AM,18,0),)</f>
        <v>15</v>
      </c>
      <c r="P11" s="69">
        <f>IFERROR(VLOOKUP($B11,'Halo Infinite Stats'!$A:$AM,19,0),)</f>
        <v>159</v>
      </c>
      <c r="Q11" s="69">
        <f>IFERROR(VLOOKUP($B11,'Halo Infinite Stats'!$A:$AM,20,0),)</f>
        <v>43</v>
      </c>
      <c r="R11" s="87">
        <f>IFERROR(VLOOKUP($B11,'Halo Infinite Stats'!$A:$AM,21,0),)+IFERROR(VLOOKUP($B11,'Halo Infinite Stats'!$A:$AM,22,0),)+IFERROR(VLOOKUP($B11,'Halo Infinite Stats'!$A:$AM,23,0),)+IFERROR(VLOOKUP($B11,'Halo Infinite Stats'!$A:$AM,24,0),)+IFERROR(VLOOKUP($B11,'Halo Infinite Stats'!$A:$AM,25,0),)+IFERROR(VLOOKUP($B11,'Halo Infinite Stats'!$A:$AM,26,0),)+IFERROR(VLOOKUP($B11,'Halo Infinite Stats'!$A:$AM,27,0),)</f>
        <v>14</v>
      </c>
      <c r="S11" s="69">
        <f>IFERROR(VLOOKUP($B11,'Halo Infinite Stats'!$A:$AM,28,0),)</f>
        <v>0</v>
      </c>
      <c r="T11" s="69">
        <f>IFERROR(VLOOKUP($B11,'Halo Infinite Stats'!$A:$AM,31,0),)</f>
        <v>0</v>
      </c>
      <c r="U11" s="102" t="str">
        <f>IFERROR(VLOOKUP($B11,'PlayerGrades+'!$A:$W,22,0),)</f>
        <v>C-</v>
      </c>
      <c r="V11" s="279">
        <f>IFERROR(VLOOKUP($B11,'PlayerGrades+'!$A:$W,23,0),)</f>
        <v>14.5125</v>
      </c>
      <c r="W11" s="108"/>
      <c r="X11" s="114">
        <f t="shared" si="4"/>
        <v>20615</v>
      </c>
    </row>
    <row r="12">
      <c r="A12" s="261" t="s">
        <v>8</v>
      </c>
      <c r="B12" s="308" t="s">
        <v>120</v>
      </c>
      <c r="C12" s="261">
        <f t="shared" ref="C12:I12" si="5">SUM(C8:C11)</f>
        <v>101</v>
      </c>
      <c r="D12" s="261">
        <f t="shared" si="5"/>
        <v>69</v>
      </c>
      <c r="E12" s="261">
        <f t="shared" si="5"/>
        <v>32</v>
      </c>
      <c r="F12" s="261">
        <f t="shared" si="5"/>
        <v>100</v>
      </c>
      <c r="G12" s="261">
        <f t="shared" si="5"/>
        <v>353</v>
      </c>
      <c r="H12" s="261">
        <f t="shared" si="5"/>
        <v>4412</v>
      </c>
      <c r="I12" s="261">
        <f t="shared" si="5"/>
        <v>4808</v>
      </c>
      <c r="J12" s="261">
        <f>MINUS(H12,I12)</f>
        <v>-396</v>
      </c>
      <c r="K12" s="261">
        <f>SUM(K8:K11)</f>
        <v>15</v>
      </c>
      <c r="L12" s="261" t="str">
        <f>TEXT(X12/86400, "hh:mm:ss")</f>
        <v>23:41:47</v>
      </c>
      <c r="M12" s="261">
        <f t="shared" ref="M12:T12" si="6">SUM(M8:M11)</f>
        <v>66</v>
      </c>
      <c r="N12" s="261">
        <f t="shared" si="6"/>
        <v>0</v>
      </c>
      <c r="O12" s="261">
        <f t="shared" si="6"/>
        <v>45</v>
      </c>
      <c r="P12" s="261">
        <f t="shared" si="6"/>
        <v>730</v>
      </c>
      <c r="Q12" s="261">
        <f t="shared" si="6"/>
        <v>202</v>
      </c>
      <c r="R12" s="261">
        <f t="shared" si="6"/>
        <v>73</v>
      </c>
      <c r="S12" s="261">
        <f t="shared" si="6"/>
        <v>0</v>
      </c>
      <c r="T12" s="261">
        <f t="shared" si="6"/>
        <v>2</v>
      </c>
      <c r="U12" s="222" t="str">
        <f>IF(((V8+V9+V10+V11)/4)&lt;='PlayerGrades+'!$Y$44,"F-",IF(((V8+V9+V10+V11)/4)&lt;'PlayerGrades+'!$Y$43,"F",IF(((V8+V9+V10+V11)/4)&lt;'PlayerGrades+'!$Y$42,"F+",IF(((V8+V9+V10+V11)/4)&lt;'PlayerGrades+'!$Y$41,"E-",IF(((V8+V9+V10+V11)/4)&lt;'PlayerGrades+'!$Y$40,"E",IF(((V8+V9+V10+V11)/4)&lt;'PlayerGrades+'!$Y$39,"E+",IF(((V8+V9+V10+V11)/4)&lt;'PlayerGrades+'!$Y$38,"D-",IF(((V8+V9+V10+V11)/4)&lt;'PlayerGrades+'!$Y$37,"D",IF(((V8+V9+V10+V11)/4)&lt;'PlayerGrades+'!$Y$36,"D+",IF(((V8+V9+V10+V11)/4)&lt;'PlayerGrades+'!$Y$35,"C-",IF(((V8+V9+V10+V11)/4)&lt;'PlayerGrades+'!$Y$34,"C",IF(((V8+V9+V10+V11)/4)&lt;'PlayerGrades+'!$Y$33,"C+",IF(((V8+V9+V10+V11)/4)&lt;'PlayerGrades+'!$Y$32,"B-",IF(((V8+V9+V10+V11)/4)&lt;'PlayerGrades+'!$Y$31,"B",IF(((V8+V9+V10+V11)/4)&lt;'PlayerGrades+'!$Y$30,"B+",IF(((V8+V9+V10+V11)/4)&lt;'PlayerGrades+'!$Y$29,"A-",IF(((V8+V9+V10+V11)/4)&lt;'PlayerGrades+'!$Y$28,"A",IF(((V8+V9+V10+V11)/4)&lt;'PlayerGrades+'!$Y$27,"A+",IF(((V8+V9+V10+V11)/4)&lt;'PlayerGrades+'!$Y$26,"S-",IF(((V8+V9+V10+V11)/4)&lt;'PlayerGrades+'!$Y$25,"S","S+"))))))))))))))))))))</f>
        <v>B</v>
      </c>
      <c r="V12" s="226" t="s">
        <v>131</v>
      </c>
      <c r="W12" s="108"/>
      <c r="X12" s="310">
        <f>IFERROR(SUM(X8:X11), 0)
</f>
        <v>85307</v>
      </c>
    </row>
    <row r="13">
      <c r="A13" s="237"/>
      <c r="B13" s="241"/>
      <c r="C13" s="237"/>
      <c r="D13" s="237"/>
      <c r="E13" s="237"/>
      <c r="F13" s="237"/>
      <c r="G13" s="237"/>
      <c r="H13" s="237"/>
      <c r="I13" s="237"/>
      <c r="J13" s="237"/>
      <c r="K13" s="245"/>
      <c r="L13" s="247"/>
      <c r="M13" s="248"/>
      <c r="N13" s="248"/>
      <c r="O13" s="248"/>
      <c r="P13" s="248"/>
      <c r="Q13" s="248"/>
      <c r="R13" s="248"/>
      <c r="S13" s="248"/>
      <c r="T13" s="250"/>
      <c r="U13" s="313"/>
      <c r="V13" s="315"/>
      <c r="W13" s="250"/>
      <c r="X13" s="317"/>
    </row>
    <row r="14">
      <c r="A14" s="318" t="s">
        <v>26</v>
      </c>
      <c r="B14" s="319" t="s">
        <v>52</v>
      </c>
      <c r="C14" s="320">
        <f>IFERROR(VLOOKUP($B14,'Halo Infinite Stats'!$A:$AM,2,0),)</f>
        <v>23</v>
      </c>
      <c r="D14" s="320">
        <f>IFERROR(VLOOKUP($B14,'Halo Infinite Stats'!$A:$AM,3,0),)</f>
        <v>17</v>
      </c>
      <c r="E14" s="320">
        <f>IFERROR(VLOOKUP($B14,'Halo Infinite Stats'!$A:$AM,4,0),)</f>
        <v>6</v>
      </c>
      <c r="F14" s="320">
        <f>IFERROR(VLOOKUP($B14,'Halo Infinite Stats'!$A:$AM,5,0),)</f>
        <v>48</v>
      </c>
      <c r="G14" s="323">
        <f>IFERROR(VLOOKUP($B14,'Halo Infinite Stats'!$A:$AM,6,0),)</f>
        <v>222</v>
      </c>
      <c r="H14" s="323">
        <f>IFERROR(VLOOKUP($B14,'Halo Infinite Stats'!$A:$AM,7,0),)</f>
        <v>1135</v>
      </c>
      <c r="I14" s="323">
        <f>IFERROR(VLOOKUP($B14,'Halo Infinite Stats'!$A:$AM,8,0),)</f>
        <v>1058</v>
      </c>
      <c r="J14" s="323">
        <f>IFERROR(VLOOKUP($B14,'Halo Infinite Stats'!$A:$AM,9,0),)</f>
        <v>77</v>
      </c>
      <c r="K14" s="323">
        <f>IFERROR(VLOOKUP($B14,'Halo Infinite Stats'!$A:$AM,11,0),)</f>
        <v>1</v>
      </c>
      <c r="L14" s="323" t="str">
        <f>IFERROR(TEXT(VLOOKUP($B14,'Halo Infinite Stats'!$A:$AM,12,0)/(24*60*60),"hh:mm:ss"),"")</f>
        <v>05:41:06</v>
      </c>
      <c r="M14" s="323">
        <f>IFERROR(VLOOKUP($B14,'Halo Infinite Stats'!$A:$AM,14,0),)</f>
        <v>22</v>
      </c>
      <c r="N14" s="329">
        <f>IFERROR(VLOOKUP($B14,'Halo Infinite Stats'!$A:$AM,15,0),)+IFERROR(VLOOKUP($B14,'Halo Infinite Stats'!$A:$AM,16,0),)+IFERROR(VLOOKUP($B14,'Halo Infinite Stats'!$A:$AM,17,0),)</f>
        <v>0</v>
      </c>
      <c r="O14" s="323">
        <f>IFERROR(VLOOKUP($B14,'Halo Infinite Stats'!$A:$AM,18,0),)</f>
        <v>10</v>
      </c>
      <c r="P14" s="323">
        <f>IFERROR(VLOOKUP($B14,'Halo Infinite Stats'!$A:$AM,19,0),)</f>
        <v>184</v>
      </c>
      <c r="Q14" s="323">
        <f>IFERROR(VLOOKUP($B14,'Halo Infinite Stats'!$A:$AM,20,0),)</f>
        <v>58</v>
      </c>
      <c r="R14" s="329">
        <f>IFERROR(VLOOKUP($B14,'Halo Infinite Stats'!$A:$AM,21,0),)+IFERROR(VLOOKUP($B14,'Halo Infinite Stats'!$A:$AM,22,0),)+IFERROR(VLOOKUP($B14,'Halo Infinite Stats'!$A:$AM,23,0),)+IFERROR(VLOOKUP($B14,'Halo Infinite Stats'!$A:$AM,24,0),)+IFERROR(VLOOKUP($B14,'Halo Infinite Stats'!$A:$AM,25,0),)+IFERROR(VLOOKUP($B14,'Halo Infinite Stats'!$A:$AM,26,0),)+IFERROR(VLOOKUP($B14,'Halo Infinite Stats'!$A:$AM,27,0),)</f>
        <v>28</v>
      </c>
      <c r="S14" s="323">
        <f>IFERROR(VLOOKUP($B14,'Halo Infinite Stats'!$A:$AM,28,0),)</f>
        <v>0</v>
      </c>
      <c r="T14" s="323">
        <f>IFERROR(VLOOKUP($B14,'Halo Infinite Stats'!$A:$AM,31,0),)</f>
        <v>6</v>
      </c>
      <c r="U14" s="102" t="str">
        <f>IFERROR(VLOOKUP($B14,'PlayerGrades+'!$A:$W,22,0),)</f>
        <v>S-</v>
      </c>
      <c r="V14" s="279">
        <f>IFERROR(VLOOKUP($B14,'PlayerGrades+'!$A:$W,23,0),)</f>
        <v>25.25</v>
      </c>
      <c r="W14" s="108"/>
      <c r="X14" s="114">
        <f t="shared" ref="X14:X17" si="7">(HOUR(L14) * 3600) + (MINUTE(L14) * 60) + SECOND(L14)</f>
        <v>20466</v>
      </c>
    </row>
    <row r="15">
      <c r="A15" s="336" t="s">
        <v>26</v>
      </c>
      <c r="B15" s="339" t="s">
        <v>74</v>
      </c>
      <c r="C15" s="320">
        <f>IFERROR(VLOOKUP($B15,'Halo Infinite Stats'!$A:$AM,2,0),)</f>
        <v>16</v>
      </c>
      <c r="D15" s="320">
        <f>IFERROR(VLOOKUP($B15,'Halo Infinite Stats'!$A:$AM,3,0),)</f>
        <v>11</v>
      </c>
      <c r="E15" s="320">
        <f>IFERROR(VLOOKUP($B15,'Halo Infinite Stats'!$A:$AM,4,0),)</f>
        <v>5</v>
      </c>
      <c r="F15" s="320">
        <f>IFERROR(VLOOKUP($B15,'Halo Infinite Stats'!$A:$AM,5,0),)</f>
        <v>13</v>
      </c>
      <c r="G15" s="323">
        <f>IFERROR(VLOOKUP($B15,'Halo Infinite Stats'!$A:$AM,6,0),)</f>
        <v>25</v>
      </c>
      <c r="H15" s="323">
        <f>IFERROR(VLOOKUP($B15,'Halo Infinite Stats'!$A:$AM,7,0),)</f>
        <v>818</v>
      </c>
      <c r="I15" s="323">
        <f>IFERROR(VLOOKUP($B15,'Halo Infinite Stats'!$A:$AM,8,0),)</f>
        <v>939</v>
      </c>
      <c r="J15" s="323">
        <f>IFERROR(VLOOKUP($B15,'Halo Infinite Stats'!$A:$AM,9,0),)</f>
        <v>-121</v>
      </c>
      <c r="K15" s="323">
        <f>IFERROR(VLOOKUP($B15,'Halo Infinite Stats'!$A:$AM,11,0),)</f>
        <v>1</v>
      </c>
      <c r="L15" s="323" t="str">
        <f>IFERROR(TEXT(VLOOKUP($B15,'Halo Infinite Stats'!$A:$AM,12,0)/(24*60*60),"hh:mm:ss"),"")</f>
        <v>04:06:40</v>
      </c>
      <c r="M15" s="323">
        <f>IFERROR(VLOOKUP($B15,'Halo Infinite Stats'!$A:$AM,14,0),)</f>
        <v>17</v>
      </c>
      <c r="N15" s="329">
        <f>IFERROR(VLOOKUP($B15,'Halo Infinite Stats'!$A:$AM,15,0),)+IFERROR(VLOOKUP($B15,'Halo Infinite Stats'!$A:$AM,16,0),)+IFERROR(VLOOKUP($B15,'Halo Infinite Stats'!$A:$AM,17,0),)</f>
        <v>0</v>
      </c>
      <c r="O15" s="323">
        <f>IFERROR(VLOOKUP($B15,'Halo Infinite Stats'!$A:$AM,18,0),)</f>
        <v>24</v>
      </c>
      <c r="P15" s="323">
        <f>IFERROR(VLOOKUP($B15,'Halo Infinite Stats'!$A:$AM,19,0),)</f>
        <v>151</v>
      </c>
      <c r="Q15" s="323">
        <f>IFERROR(VLOOKUP($B15,'Halo Infinite Stats'!$A:$AM,20,0),)</f>
        <v>46</v>
      </c>
      <c r="R15" s="329">
        <f>IFERROR(VLOOKUP($B15,'Halo Infinite Stats'!$A:$AM,21,0),)+IFERROR(VLOOKUP($B15,'Halo Infinite Stats'!$A:$AM,22,0),)+IFERROR(VLOOKUP($B15,'Halo Infinite Stats'!$A:$AM,23,0),)+IFERROR(VLOOKUP($B15,'Halo Infinite Stats'!$A:$AM,24,0),)+IFERROR(VLOOKUP($B15,'Halo Infinite Stats'!$A:$AM,25,0),)+IFERROR(VLOOKUP($B15,'Halo Infinite Stats'!$A:$AM,26,0),)+IFERROR(VLOOKUP($B15,'Halo Infinite Stats'!$A:$AM,27,0),)</f>
        <v>17</v>
      </c>
      <c r="S15" s="323">
        <f>IFERROR(VLOOKUP($B15,'Halo Infinite Stats'!$A:$AM,28,0),)</f>
        <v>0</v>
      </c>
      <c r="T15" s="323">
        <f>IFERROR(VLOOKUP($B15,'Halo Infinite Stats'!$A:$AM,31,0),)</f>
        <v>0</v>
      </c>
      <c r="U15" s="102" t="str">
        <f>IFERROR(VLOOKUP($B15,'PlayerGrades+'!$A:$W,22,0),)</f>
        <v>A-</v>
      </c>
      <c r="V15" s="279">
        <f>IFERROR(VLOOKUP($B15,'PlayerGrades+'!$A:$W,23,0),)</f>
        <v>21.375</v>
      </c>
      <c r="W15" s="108"/>
      <c r="X15" s="114">
        <f t="shared" si="7"/>
        <v>14800</v>
      </c>
    </row>
    <row r="16">
      <c r="A16" s="318" t="s">
        <v>26</v>
      </c>
      <c r="B16" s="319" t="s">
        <v>160</v>
      </c>
      <c r="C16" s="320">
        <f>IFERROR(VLOOKUP($B16,'Halo Infinite Stats'!$A:$AM,2,0),)</f>
        <v>22</v>
      </c>
      <c r="D16" s="320">
        <f>IFERROR(VLOOKUP($B16,'Halo Infinite Stats'!$A:$AM,3,0),)</f>
        <v>17</v>
      </c>
      <c r="E16" s="320">
        <f>IFERROR(VLOOKUP($B16,'Halo Infinite Stats'!$A:$AM,4,0),)</f>
        <v>5</v>
      </c>
      <c r="F16" s="320">
        <f>IFERROR(VLOOKUP($B16,'Halo Infinite Stats'!$A:$AM,5,0),)</f>
        <v>13</v>
      </c>
      <c r="G16" s="323">
        <f>IFERROR(VLOOKUP($B16,'Halo Infinite Stats'!$A:$AM,6,0),)</f>
        <v>23</v>
      </c>
      <c r="H16" s="323">
        <f>IFERROR(VLOOKUP($B16,'Halo Infinite Stats'!$A:$AM,7,0),)</f>
        <v>946</v>
      </c>
      <c r="I16" s="323">
        <f>IFERROR(VLOOKUP($B16,'Halo Infinite Stats'!$A:$AM,8,0),)</f>
        <v>1122</v>
      </c>
      <c r="J16" s="323">
        <f>IFERROR(VLOOKUP($B16,'Halo Infinite Stats'!$A:$AM,9,0),)</f>
        <v>-176</v>
      </c>
      <c r="K16" s="323">
        <f>IFERROR(VLOOKUP($B16,'Halo Infinite Stats'!$A:$AM,11,0),)</f>
        <v>1</v>
      </c>
      <c r="L16" s="323" t="str">
        <f>IFERROR(TEXT(VLOOKUP($B16,'Halo Infinite Stats'!$A:$AM,12,0)/(24*60*60),"hh:mm:ss"),"")</f>
        <v>05:26:40</v>
      </c>
      <c r="M16" s="323">
        <f>IFERROR(VLOOKUP($B16,'Halo Infinite Stats'!$A:$AM,14,0),)</f>
        <v>9</v>
      </c>
      <c r="N16" s="329">
        <f>IFERROR(VLOOKUP($B16,'Halo Infinite Stats'!$A:$AM,15,0),)+IFERROR(VLOOKUP($B16,'Halo Infinite Stats'!$A:$AM,16,0),)+IFERROR(VLOOKUP($B16,'Halo Infinite Stats'!$A:$AM,17,0),)</f>
        <v>0</v>
      </c>
      <c r="O16" s="323">
        <f>IFERROR(VLOOKUP($B16,'Halo Infinite Stats'!$A:$AM,18,0),)</f>
        <v>11</v>
      </c>
      <c r="P16" s="323">
        <f>IFERROR(VLOOKUP($B16,'Halo Infinite Stats'!$A:$AM,19,0),)</f>
        <v>137</v>
      </c>
      <c r="Q16" s="323">
        <f>IFERROR(VLOOKUP($B16,'Halo Infinite Stats'!$A:$AM,20,0),)</f>
        <v>30</v>
      </c>
      <c r="R16" s="329">
        <f>IFERROR(VLOOKUP($B16,'Halo Infinite Stats'!$A:$AM,21,0),)+IFERROR(VLOOKUP($B16,'Halo Infinite Stats'!$A:$AM,22,0),)+IFERROR(VLOOKUP($B16,'Halo Infinite Stats'!$A:$AM,23,0),)+IFERROR(VLOOKUP($B16,'Halo Infinite Stats'!$A:$AM,24,0),)+IFERROR(VLOOKUP($B16,'Halo Infinite Stats'!$A:$AM,25,0),)+IFERROR(VLOOKUP($B16,'Halo Infinite Stats'!$A:$AM,26,0),)+IFERROR(VLOOKUP($B16,'Halo Infinite Stats'!$A:$AM,27,0),)</f>
        <v>12</v>
      </c>
      <c r="S16" s="323">
        <f>IFERROR(VLOOKUP($B16,'Halo Infinite Stats'!$A:$AM,28,0),)</f>
        <v>0</v>
      </c>
      <c r="T16" s="323">
        <f>IFERROR(VLOOKUP($B16,'Halo Infinite Stats'!$A:$AM,31,0),)</f>
        <v>0</v>
      </c>
      <c r="U16" s="102" t="str">
        <f>IFERROR(VLOOKUP($B16,'PlayerGrades+'!$A:$W,22,0),)</f>
        <v>D+</v>
      </c>
      <c r="V16" s="279">
        <f>IFERROR(VLOOKUP($B16,'PlayerGrades+'!$A:$W,23,0),)</f>
        <v>13.925</v>
      </c>
      <c r="W16" s="108"/>
      <c r="X16" s="114">
        <f t="shared" si="7"/>
        <v>19600</v>
      </c>
    </row>
    <row r="17">
      <c r="A17" s="336" t="s">
        <v>26</v>
      </c>
      <c r="B17" s="339" t="s">
        <v>162</v>
      </c>
      <c r="C17" s="320">
        <f>IFERROR(VLOOKUP($B17,'Halo Infinite Stats'!$A:$AM,2,0),)</f>
        <v>26</v>
      </c>
      <c r="D17" s="320">
        <f>IFERROR(VLOOKUP($B17,'Halo Infinite Stats'!$A:$AM,3,0),)</f>
        <v>17</v>
      </c>
      <c r="E17" s="320">
        <f>IFERROR(VLOOKUP($B17,'Halo Infinite Stats'!$A:$AM,4,0),)</f>
        <v>8</v>
      </c>
      <c r="F17" s="320">
        <f>IFERROR(VLOOKUP($B17,'Halo Infinite Stats'!$A:$AM,5,0),)</f>
        <v>7</v>
      </c>
      <c r="G17" s="323">
        <f>IFERROR(VLOOKUP($B17,'Halo Infinite Stats'!$A:$AM,6,0),)</f>
        <v>17</v>
      </c>
      <c r="H17" s="323">
        <f>IFERROR(VLOOKUP($B17,'Halo Infinite Stats'!$A:$AM,7,0),)</f>
        <v>1145</v>
      </c>
      <c r="I17" s="323">
        <f>IFERROR(VLOOKUP($B17,'Halo Infinite Stats'!$A:$AM,8,0),)</f>
        <v>1557</v>
      </c>
      <c r="J17" s="323">
        <f>IFERROR(VLOOKUP($B17,'Halo Infinite Stats'!$A:$AM,9,0),)</f>
        <v>-412</v>
      </c>
      <c r="K17" s="323">
        <f>IFERROR(VLOOKUP($B17,'Halo Infinite Stats'!$A:$AM,11,0),)</f>
        <v>2</v>
      </c>
      <c r="L17" s="323" t="str">
        <f>IFERROR(TEXT(VLOOKUP($B17,'Halo Infinite Stats'!$A:$AM,12,0)/(24*60*60),"hh:mm:ss"),"")</f>
        <v>06:29:59</v>
      </c>
      <c r="M17" s="323">
        <f>IFERROR(VLOOKUP($B17,'Halo Infinite Stats'!$A:$AM,14,0),)</f>
        <v>7</v>
      </c>
      <c r="N17" s="329">
        <f>IFERROR(VLOOKUP($B17,'Halo Infinite Stats'!$A:$AM,15,0),)+IFERROR(VLOOKUP($B17,'Halo Infinite Stats'!$A:$AM,16,0),)+IFERROR(VLOOKUP($B17,'Halo Infinite Stats'!$A:$AM,17,0),)</f>
        <v>0</v>
      </c>
      <c r="O17" s="323">
        <f>IFERROR(VLOOKUP($B17,'Halo Infinite Stats'!$A:$AM,18,0),)</f>
        <v>10</v>
      </c>
      <c r="P17" s="323">
        <f>IFERROR(VLOOKUP($B17,'Halo Infinite Stats'!$A:$AM,19,0),)</f>
        <v>173</v>
      </c>
      <c r="Q17" s="323">
        <f>IFERROR(VLOOKUP($B17,'Halo Infinite Stats'!$A:$AM,20,0),)</f>
        <v>46</v>
      </c>
      <c r="R17" s="329">
        <f>IFERROR(VLOOKUP($B17,'Halo Infinite Stats'!$A:$AM,21,0),)+IFERROR(VLOOKUP($B17,'Halo Infinite Stats'!$A:$AM,22,0),)+IFERROR(VLOOKUP($B17,'Halo Infinite Stats'!$A:$AM,23,0),)+IFERROR(VLOOKUP($B17,'Halo Infinite Stats'!$A:$AM,24,0),)+IFERROR(VLOOKUP($B17,'Halo Infinite Stats'!$A:$AM,25,0),)+IFERROR(VLOOKUP($B17,'Halo Infinite Stats'!$A:$AM,26,0),)+IFERROR(VLOOKUP($B17,'Halo Infinite Stats'!$A:$AM,27,0),)</f>
        <v>11</v>
      </c>
      <c r="S17" s="323">
        <f>IFERROR(VLOOKUP($B17,'Halo Infinite Stats'!$A:$AM,28,0),)</f>
        <v>0</v>
      </c>
      <c r="T17" s="323">
        <f>IFERROR(VLOOKUP($B17,'Halo Infinite Stats'!$A:$AM,31,0),)</f>
        <v>0</v>
      </c>
      <c r="U17" s="102" t="str">
        <f>IFERROR(VLOOKUP($B17,'PlayerGrades+'!$A:$W,22,0),)</f>
        <v>E+</v>
      </c>
      <c r="V17" s="279">
        <f>IFERROR(VLOOKUP($B17,'PlayerGrades+'!$A:$W,23,0),)</f>
        <v>11.55</v>
      </c>
      <c r="W17" s="108"/>
      <c r="X17" s="114">
        <f t="shared" si="7"/>
        <v>23399</v>
      </c>
    </row>
    <row r="18">
      <c r="A18" s="318" t="s">
        <v>26</v>
      </c>
      <c r="B18" s="365" t="s">
        <v>120</v>
      </c>
      <c r="C18" s="318">
        <f t="shared" ref="C18:I18" si="8">SUM(C14:C17)</f>
        <v>87</v>
      </c>
      <c r="D18" s="318">
        <f t="shared" si="8"/>
        <v>62</v>
      </c>
      <c r="E18" s="318">
        <f t="shared" si="8"/>
        <v>24</v>
      </c>
      <c r="F18" s="318">
        <f t="shared" si="8"/>
        <v>81</v>
      </c>
      <c r="G18" s="318">
        <f t="shared" si="8"/>
        <v>287</v>
      </c>
      <c r="H18" s="318">
        <f t="shared" si="8"/>
        <v>4044</v>
      </c>
      <c r="I18" s="318">
        <f t="shared" si="8"/>
        <v>4676</v>
      </c>
      <c r="J18" s="318">
        <f>MINUS(H18,I18)</f>
        <v>-632</v>
      </c>
      <c r="K18" s="318">
        <f>SUM(K14:K17)</f>
        <v>5</v>
      </c>
      <c r="L18" s="318" t="str">
        <f>TEXT(X18/86400, "hh:mm:ss")</f>
        <v>21:44:25</v>
      </c>
      <c r="M18" s="318">
        <f t="shared" ref="M18:T18" si="9">SUM(M14:M17)</f>
        <v>55</v>
      </c>
      <c r="N18" s="318">
        <f t="shared" si="9"/>
        <v>0</v>
      </c>
      <c r="O18" s="318">
        <f t="shared" si="9"/>
        <v>55</v>
      </c>
      <c r="P18" s="318">
        <f t="shared" si="9"/>
        <v>645</v>
      </c>
      <c r="Q18" s="318">
        <f t="shared" si="9"/>
        <v>180</v>
      </c>
      <c r="R18" s="318">
        <f t="shared" si="9"/>
        <v>68</v>
      </c>
      <c r="S18" s="318">
        <f t="shared" si="9"/>
        <v>0</v>
      </c>
      <c r="T18" s="318">
        <f t="shared" si="9"/>
        <v>6</v>
      </c>
      <c r="U18" s="222" t="str">
        <f>IF(((V14+V15+V16+V17)/4)&lt;='PlayerGrades+'!$Y$44,"F-",IF(((V14+V15+V16+V17)/4)&lt;'PlayerGrades+'!$Y$43,"F",IF(((V14+V15+V16+V17)/4)&lt;'PlayerGrades+'!$Y$42,"F+",IF(((V14+V15+V16+V17)/4)&lt;'PlayerGrades+'!$Y$41,"E-",IF(((V14+V15+V16+V17)/4)&lt;'PlayerGrades+'!$Y$40,"E",IF(((V14+V15+V16+V17)/4)&lt;'PlayerGrades+'!$Y$39,"E+",IF(((V14+V15+V16+V17)/4)&lt;'PlayerGrades+'!$Y$38,"D-",IF(((V14+V15+V16+V17)/4)&lt;'PlayerGrades+'!$Y$37,"D",IF(((V14+V15+V16+V17)/4)&lt;'PlayerGrades+'!$Y$36,"D+",IF(((V14+V15+V16+V17)/4)&lt;'PlayerGrades+'!$Y$35,"C-",IF(((V14+V15+V16+V17)/4)&lt;'PlayerGrades+'!$Y$34,"C",IF(((V14+V15+V16+V17)/4)&lt;'PlayerGrades+'!$Y$33,"C+",IF(((V14+V15+V16+V17)/4)&lt;'PlayerGrades+'!$Y$32,"B-",IF(((V14+V15+V16+V17)/4)&lt;'PlayerGrades+'!$Y$31,"B",IF(((V14+V15+V16+V17)/4)&lt;'PlayerGrades+'!$Y$30,"B+",IF(((V14+V15+V16+V17)/4)&lt;'PlayerGrades+'!$Y$29,"A-",IF(((V14+V15+V16+V17)/4)&lt;'PlayerGrades+'!$Y$28,"A",IF(((V14+V15+V16+V17)/4)&lt;'PlayerGrades+'!$Y$27,"A+",IF(((V14+V15+V16+V17)/4)&lt;'PlayerGrades+'!$Y$26,"S-",IF(((V14+V15+V16+V17)/4)&lt;'PlayerGrades+'!$Y$25,"S","S+"))))))))))))))))))))</f>
        <v>B-</v>
      </c>
      <c r="V18" s="226" t="s">
        <v>131</v>
      </c>
      <c r="W18" s="108"/>
      <c r="X18" s="310">
        <f>IFERROR(SUM(X14:X17), 0)
</f>
        <v>78265</v>
      </c>
    </row>
    <row r="19">
      <c r="A19" s="237"/>
      <c r="B19" s="241"/>
      <c r="C19" s="237"/>
      <c r="D19" s="237"/>
      <c r="E19" s="237"/>
      <c r="F19" s="237"/>
      <c r="G19" s="237"/>
      <c r="H19" s="237"/>
      <c r="I19" s="237"/>
      <c r="J19" s="237"/>
      <c r="K19" s="245"/>
      <c r="L19" s="247"/>
      <c r="M19" s="248"/>
      <c r="N19" s="248"/>
      <c r="O19" s="248"/>
      <c r="P19" s="248"/>
      <c r="Q19" s="248"/>
      <c r="R19" s="248"/>
      <c r="S19" s="248"/>
      <c r="T19" s="250"/>
      <c r="U19" s="241"/>
      <c r="V19" s="379"/>
      <c r="W19" s="380"/>
      <c r="X19" s="382"/>
    </row>
    <row r="20">
      <c r="A20" s="383" t="s">
        <v>19</v>
      </c>
      <c r="B20" s="385" t="s">
        <v>167</v>
      </c>
      <c r="C20" s="388" t="str">
        <f>IFERROR(VLOOKUP($B20,'Halo Infinite Stats'!$A:$AM,2,0),)</f>
        <v/>
      </c>
      <c r="D20" s="388" t="str">
        <f>IFERROR(VLOOKUP($B20,'Halo Infinite Stats'!$A:$AM,3,0),)</f>
        <v/>
      </c>
      <c r="E20" s="388" t="str">
        <f>IFERROR(VLOOKUP($B20,'Halo Infinite Stats'!$A:$AM,4,0),)</f>
        <v/>
      </c>
      <c r="F20" s="388" t="str">
        <f>IFERROR(VLOOKUP($B20,'Halo Infinite Stats'!$A:$AM,5,0),)</f>
        <v/>
      </c>
      <c r="G20" s="69" t="str">
        <f>IFERROR(VLOOKUP($B20,'Halo Infinite Stats'!$A:$AM,6,0),)</f>
        <v/>
      </c>
      <c r="H20" s="69" t="str">
        <f>IFERROR(VLOOKUP($B20,'Halo Infinite Stats'!$A:$AM,7,0),)</f>
        <v/>
      </c>
      <c r="I20" s="69" t="str">
        <f>IFERROR(VLOOKUP($B20,'Halo Infinite Stats'!$A:$AM,8,0),)</f>
        <v/>
      </c>
      <c r="J20" s="69" t="str">
        <f>IFERROR(VLOOKUP($B20,'Halo Infinite Stats'!$A:$AM,9,0),)</f>
        <v/>
      </c>
      <c r="K20" s="69" t="str">
        <f>IFERROR(VLOOKUP($B20,'Halo Infinite Stats'!$A:$AM,11,0),)</f>
        <v/>
      </c>
      <c r="L20" s="69" t="str">
        <f>IFERROR(TEXT(VLOOKUP($B20,'Halo Infinite Stats'!$A:$AM,12,0)/(24*60*60),"hh:mm:ss"),"")</f>
        <v/>
      </c>
      <c r="M20" s="69" t="str">
        <f>IFERROR(VLOOKUP($B20,'Halo Infinite Stats'!$A:$AM,14,0),)</f>
        <v/>
      </c>
      <c r="N20" s="87">
        <f>IFERROR(VLOOKUP($B20,'Halo Infinite Stats'!$A:$AM,15,0),)+IFERROR(VLOOKUP($B20,'Halo Infinite Stats'!$A:$AM,16,0),)+IFERROR(VLOOKUP($B20,'Halo Infinite Stats'!$A:$AM,17,0),)</f>
        <v>0</v>
      </c>
      <c r="O20" s="69" t="str">
        <f>IFERROR(VLOOKUP($B20,'Halo Infinite Stats'!$A:$AM,18,0),)</f>
        <v/>
      </c>
      <c r="P20" s="69" t="str">
        <f>IFERROR(VLOOKUP($B20,'Halo Infinite Stats'!$A:$AM,19,0),)</f>
        <v/>
      </c>
      <c r="Q20" s="69" t="str">
        <f>IFERROR(VLOOKUP($B20,'Halo Infinite Stats'!$A:$AM,20,0),)</f>
        <v/>
      </c>
      <c r="R20" s="87">
        <f>IFERROR(VLOOKUP($B20,'Halo Infinite Stats'!$A:$AM,21,0),)+IFERROR(VLOOKUP($B20,'Halo Infinite Stats'!$A:$AM,22,0),)+IFERROR(VLOOKUP($B20,'Halo Infinite Stats'!$A:$AM,23,0),)+IFERROR(VLOOKUP($B20,'Halo Infinite Stats'!$A:$AM,24,0),)+IFERROR(VLOOKUP($B20,'Halo Infinite Stats'!$A:$AM,25,0),)+IFERROR(VLOOKUP($B20,'Halo Infinite Stats'!$A:$AM,26,0),)+IFERROR(VLOOKUP($B20,'Halo Infinite Stats'!$A:$AM,27,0),)</f>
        <v>0</v>
      </c>
      <c r="S20" s="69" t="str">
        <f>IFERROR(VLOOKUP($B20,'Halo Infinite Stats'!$A:$AM,28,0),)</f>
        <v/>
      </c>
      <c r="T20" s="69" t="str">
        <f>IFERROR(VLOOKUP($B20,'Halo Infinite Stats'!$A:$AM,31,0),)</f>
        <v/>
      </c>
      <c r="U20" s="102" t="str">
        <f>IFERROR(VLOOKUP($B20,'PlayerGrades+'!$A:$W,22,0),)</f>
        <v/>
      </c>
      <c r="V20" s="279" t="str">
        <f>IFERROR(VLOOKUP($B20,'PlayerGrades+'!$A:$W,23,0),)</f>
        <v/>
      </c>
      <c r="W20" s="398"/>
      <c r="X20" s="114">
        <f t="shared" ref="X20:X23" si="10">(HOUR(L20) * 3600) + (MINUTE(L20) * 60) + SECOND(L20)</f>
        <v>0</v>
      </c>
    </row>
    <row r="21">
      <c r="A21" s="400" t="s">
        <v>19</v>
      </c>
      <c r="B21" s="403" t="s">
        <v>172</v>
      </c>
      <c r="C21" s="388">
        <f>IFERROR(VLOOKUP($B21,'Halo Infinite Stats'!$A:$AM,2,0),)</f>
        <v>36</v>
      </c>
      <c r="D21" s="388">
        <f>IFERROR(VLOOKUP($B21,'Halo Infinite Stats'!$A:$AM,3,0),)</f>
        <v>18</v>
      </c>
      <c r="E21" s="388">
        <f>IFERROR(VLOOKUP($B21,'Halo Infinite Stats'!$A:$AM,4,0),)</f>
        <v>18</v>
      </c>
      <c r="F21" s="388">
        <f>IFERROR(VLOOKUP($B21,'Halo Infinite Stats'!$A:$AM,5,0),)</f>
        <v>30</v>
      </c>
      <c r="G21" s="323">
        <f>IFERROR(VLOOKUP($B21,'Halo Infinite Stats'!$A:$AM,6,0),)</f>
        <v>177</v>
      </c>
      <c r="H21" s="323">
        <f>IFERROR(VLOOKUP($B21,'Halo Infinite Stats'!$A:$AM,7,0),)</f>
        <v>2042</v>
      </c>
      <c r="I21" s="323">
        <f>IFERROR(VLOOKUP($B21,'Halo Infinite Stats'!$A:$AM,8,0),)</f>
        <v>1484</v>
      </c>
      <c r="J21" s="323">
        <f>IFERROR(VLOOKUP($B21,'Halo Infinite Stats'!$A:$AM,9,0),)</f>
        <v>558</v>
      </c>
      <c r="K21" s="323">
        <f>IFERROR(VLOOKUP($B21,'Halo Infinite Stats'!$A:$AM,11,0),)</f>
        <v>7</v>
      </c>
      <c r="L21" s="323" t="str">
        <f>IFERROR(TEXT(VLOOKUP($B21,'Halo Infinite Stats'!$A:$AM,12,0)/(24*60*60),"hh:mm:ss"),"")</f>
        <v>08:51:27</v>
      </c>
      <c r="M21" s="323">
        <f>IFERROR(VLOOKUP($B21,'Halo Infinite Stats'!$A:$AM,14,0),)</f>
        <v>81</v>
      </c>
      <c r="N21" s="329">
        <f>IFERROR(VLOOKUP($B21,'Halo Infinite Stats'!$A:$AM,15,0),)+IFERROR(VLOOKUP($B21,'Halo Infinite Stats'!$A:$AM,16,0),)+IFERROR(VLOOKUP($B21,'Halo Infinite Stats'!$A:$AM,17,0),)</f>
        <v>5</v>
      </c>
      <c r="O21" s="323">
        <f>IFERROR(VLOOKUP($B21,'Halo Infinite Stats'!$A:$AM,18,0),)</f>
        <v>27</v>
      </c>
      <c r="P21" s="323">
        <f>IFERROR(VLOOKUP($B21,'Halo Infinite Stats'!$A:$AM,19,0),)</f>
        <v>423</v>
      </c>
      <c r="Q21" s="323">
        <f>IFERROR(VLOOKUP($B21,'Halo Infinite Stats'!$A:$AM,20,0),)</f>
        <v>128</v>
      </c>
      <c r="R21" s="329">
        <f>IFERROR(VLOOKUP($B21,'Halo Infinite Stats'!$A:$AM,21,0),)+IFERROR(VLOOKUP($B21,'Halo Infinite Stats'!$A:$AM,22,0),)+IFERROR(VLOOKUP($B21,'Halo Infinite Stats'!$A:$AM,23,0),)+IFERROR(VLOOKUP($B21,'Halo Infinite Stats'!$A:$AM,24,0),)+IFERROR(VLOOKUP($B21,'Halo Infinite Stats'!$A:$AM,25,0),)+IFERROR(VLOOKUP($B21,'Halo Infinite Stats'!$A:$AM,26,0),)+IFERROR(VLOOKUP($B21,'Halo Infinite Stats'!$A:$AM,27,0),)</f>
        <v>67</v>
      </c>
      <c r="S21" s="323">
        <f>IFERROR(VLOOKUP($B21,'Halo Infinite Stats'!$A:$AM,28,0),)</f>
        <v>0</v>
      </c>
      <c r="T21" s="323">
        <f>IFERROR(VLOOKUP($B21,'Halo Infinite Stats'!$A:$AM,31,0),)</f>
        <v>6</v>
      </c>
      <c r="U21" s="102" t="str">
        <f>IFERROR(VLOOKUP($B21,'PlayerGrades+'!$A:$W,22,0),)</f>
        <v>S</v>
      </c>
      <c r="V21" s="279">
        <f>IFERROR(VLOOKUP($B21,'PlayerGrades+'!$A:$W,23,0),)</f>
        <v>27.275</v>
      </c>
      <c r="W21" s="398"/>
      <c r="X21" s="114">
        <f t="shared" si="10"/>
        <v>31887</v>
      </c>
    </row>
    <row r="22">
      <c r="A22" s="383" t="s">
        <v>19</v>
      </c>
      <c r="B22" s="385" t="s">
        <v>174</v>
      </c>
      <c r="C22" s="388">
        <f>IFERROR(VLOOKUP($B22,'Halo Infinite Stats'!$A:$AM,2,0),)</f>
        <v>28</v>
      </c>
      <c r="D22" s="388">
        <f>IFERROR(VLOOKUP($B22,'Halo Infinite Stats'!$A:$AM,3,0),)</f>
        <v>13</v>
      </c>
      <c r="E22" s="388">
        <f>IFERROR(VLOOKUP($B22,'Halo Infinite Stats'!$A:$AM,4,0),)</f>
        <v>15</v>
      </c>
      <c r="F22" s="388">
        <f>IFERROR(VLOOKUP($B22,'Halo Infinite Stats'!$A:$AM,5,0),)</f>
        <v>28</v>
      </c>
      <c r="G22" s="323">
        <f>IFERROR(VLOOKUP($B22,'Halo Infinite Stats'!$A:$AM,6,0),)</f>
        <v>154</v>
      </c>
      <c r="H22" s="323">
        <f>IFERROR(VLOOKUP($B22,'Halo Infinite Stats'!$A:$AM,7,0),)</f>
        <v>1016</v>
      </c>
      <c r="I22" s="323">
        <f>IFERROR(VLOOKUP($B22,'Halo Infinite Stats'!$A:$AM,8,0),)</f>
        <v>1384</v>
      </c>
      <c r="J22" s="323">
        <f>IFERROR(VLOOKUP($B22,'Halo Infinite Stats'!$A:$AM,9,0),)</f>
        <v>-368</v>
      </c>
      <c r="K22" s="323">
        <f>IFERROR(VLOOKUP($B22,'Halo Infinite Stats'!$A:$AM,11,0),)</f>
        <v>4</v>
      </c>
      <c r="L22" s="323" t="str">
        <f>IFERROR(TEXT(VLOOKUP($B22,'Halo Infinite Stats'!$A:$AM,12,0)/(24*60*60),"hh:mm:ss"),"")</f>
        <v>07:02:16</v>
      </c>
      <c r="M22" s="323">
        <f>IFERROR(VLOOKUP($B22,'Halo Infinite Stats'!$A:$AM,14,0),)</f>
        <v>10</v>
      </c>
      <c r="N22" s="329">
        <f>IFERROR(VLOOKUP($B22,'Halo Infinite Stats'!$A:$AM,15,0),)+IFERROR(VLOOKUP($B22,'Halo Infinite Stats'!$A:$AM,16,0),)+IFERROR(VLOOKUP($B22,'Halo Infinite Stats'!$A:$AM,17,0),)</f>
        <v>0</v>
      </c>
      <c r="O22" s="323">
        <f>IFERROR(VLOOKUP($B22,'Halo Infinite Stats'!$A:$AM,18,0),)</f>
        <v>12</v>
      </c>
      <c r="P22" s="323">
        <f>IFERROR(VLOOKUP($B22,'Halo Infinite Stats'!$A:$AM,19,0),)</f>
        <v>135</v>
      </c>
      <c r="Q22" s="323">
        <f>IFERROR(VLOOKUP($B22,'Halo Infinite Stats'!$A:$AM,20,0),)</f>
        <v>24</v>
      </c>
      <c r="R22" s="329">
        <f>IFERROR(VLOOKUP($B22,'Halo Infinite Stats'!$A:$AM,21,0),)+IFERROR(VLOOKUP($B22,'Halo Infinite Stats'!$A:$AM,22,0),)+IFERROR(VLOOKUP($B22,'Halo Infinite Stats'!$A:$AM,23,0),)+IFERROR(VLOOKUP($B22,'Halo Infinite Stats'!$A:$AM,24,0),)+IFERROR(VLOOKUP($B22,'Halo Infinite Stats'!$A:$AM,25,0),)+IFERROR(VLOOKUP($B22,'Halo Infinite Stats'!$A:$AM,26,0),)+IFERROR(VLOOKUP($B22,'Halo Infinite Stats'!$A:$AM,27,0),)</f>
        <v>3</v>
      </c>
      <c r="S22" s="323">
        <f>IFERROR(VLOOKUP($B22,'Halo Infinite Stats'!$A:$AM,28,0),)</f>
        <v>0</v>
      </c>
      <c r="T22" s="323">
        <f>IFERROR(VLOOKUP($B22,'Halo Infinite Stats'!$A:$AM,31,0),)</f>
        <v>0</v>
      </c>
      <c r="U22" s="102" t="str">
        <f>IFERROR(VLOOKUP($B22,'PlayerGrades+'!$A:$W,22,0),)</f>
        <v>D</v>
      </c>
      <c r="V22" s="279">
        <f>IFERROR(VLOOKUP($B22,'PlayerGrades+'!$A:$W,23,0),)</f>
        <v>12.6125</v>
      </c>
      <c r="W22" s="398"/>
      <c r="X22" s="114">
        <f t="shared" si="10"/>
        <v>25336</v>
      </c>
    </row>
    <row r="23">
      <c r="A23" s="400" t="s">
        <v>19</v>
      </c>
      <c r="B23" s="415" t="s">
        <v>176</v>
      </c>
      <c r="C23" s="388">
        <f>IFERROR(VLOOKUP($B23,'Halo Infinite Stats'!$A:$AM,2,0),)</f>
        <v>17</v>
      </c>
      <c r="D23" s="388">
        <f>IFERROR(VLOOKUP($B23,'Halo Infinite Stats'!$A:$AM,3,0),)</f>
        <v>10</v>
      </c>
      <c r="E23" s="388">
        <f>IFERROR(VLOOKUP($B23,'Halo Infinite Stats'!$A:$AM,4,0),)</f>
        <v>7</v>
      </c>
      <c r="F23" s="388">
        <f>IFERROR(VLOOKUP($B23,'Halo Infinite Stats'!$A:$AM,5,0),)</f>
        <v>13</v>
      </c>
      <c r="G23" s="323">
        <f>IFERROR(VLOOKUP($B23,'Halo Infinite Stats'!$A:$AM,6,0),)</f>
        <v>32</v>
      </c>
      <c r="H23" s="323">
        <f>IFERROR(VLOOKUP($B23,'Halo Infinite Stats'!$A:$AM,7,0),)</f>
        <v>719</v>
      </c>
      <c r="I23" s="323">
        <f>IFERROR(VLOOKUP($B23,'Halo Infinite Stats'!$A:$AM,8,0),)</f>
        <v>771</v>
      </c>
      <c r="J23" s="323">
        <f>IFERROR(VLOOKUP($B23,'Halo Infinite Stats'!$A:$AM,9,0),)</f>
        <v>-52</v>
      </c>
      <c r="K23" s="323">
        <f>IFERROR(VLOOKUP($B23,'Halo Infinite Stats'!$A:$AM,11,0),)</f>
        <v>0</v>
      </c>
      <c r="L23" s="323" t="str">
        <f>IFERROR(TEXT(VLOOKUP($B23,'Halo Infinite Stats'!$A:$AM,12,0)/(24*60*60),"hh:mm:ss"),"")</f>
        <v>04:26:01</v>
      </c>
      <c r="M23" s="323">
        <f>IFERROR(VLOOKUP($B23,'Halo Infinite Stats'!$A:$AM,14,0),)</f>
        <v>15</v>
      </c>
      <c r="N23" s="329">
        <f>IFERROR(VLOOKUP($B23,'Halo Infinite Stats'!$A:$AM,15,0),)+IFERROR(VLOOKUP($B23,'Halo Infinite Stats'!$A:$AM,16,0),)+IFERROR(VLOOKUP($B23,'Halo Infinite Stats'!$A:$AM,17,0),)</f>
        <v>0</v>
      </c>
      <c r="O23" s="323">
        <f>IFERROR(VLOOKUP($B23,'Halo Infinite Stats'!$A:$AM,18,0),)</f>
        <v>9</v>
      </c>
      <c r="P23" s="323">
        <f>IFERROR(VLOOKUP($B23,'Halo Infinite Stats'!$A:$AM,19,0),)</f>
        <v>110</v>
      </c>
      <c r="Q23" s="323">
        <f>IFERROR(VLOOKUP($B23,'Halo Infinite Stats'!$A:$AM,20,0),)</f>
        <v>29</v>
      </c>
      <c r="R23" s="329">
        <f>IFERROR(VLOOKUP($B23,'Halo Infinite Stats'!$A:$AM,21,0),)+IFERROR(VLOOKUP($B23,'Halo Infinite Stats'!$A:$AM,22,0),)+IFERROR(VLOOKUP($B23,'Halo Infinite Stats'!$A:$AM,23,0),)+IFERROR(VLOOKUP($B23,'Halo Infinite Stats'!$A:$AM,24,0),)+IFERROR(VLOOKUP($B23,'Halo Infinite Stats'!$A:$AM,25,0),)+IFERROR(VLOOKUP($B23,'Halo Infinite Stats'!$A:$AM,26,0),)+IFERROR(VLOOKUP($B23,'Halo Infinite Stats'!$A:$AM,27,0),)</f>
        <v>7</v>
      </c>
      <c r="S23" s="323">
        <f>IFERROR(VLOOKUP($B23,'Halo Infinite Stats'!$A:$AM,28,0),)</f>
        <v>0</v>
      </c>
      <c r="T23" s="323">
        <f>IFERROR(VLOOKUP($B23,'Halo Infinite Stats'!$A:$AM,31,0),)</f>
        <v>3</v>
      </c>
      <c r="U23" s="102" t="str">
        <f>IFERROR(VLOOKUP($B23,'PlayerGrades+'!$A:$W,22,0),)</f>
        <v>B</v>
      </c>
      <c r="V23" s="279">
        <f>IFERROR(VLOOKUP($B23,'PlayerGrades+'!$A:$W,23,0),)</f>
        <v>18.15</v>
      </c>
      <c r="W23" s="398"/>
      <c r="X23" s="114">
        <f t="shared" si="10"/>
        <v>15961</v>
      </c>
    </row>
    <row r="24">
      <c r="A24" s="383" t="s">
        <v>19</v>
      </c>
      <c r="B24" s="385" t="s">
        <v>120</v>
      </c>
      <c r="C24" s="422">
        <f t="shared" ref="C24:I24" si="11">SUM(C20:C23)</f>
        <v>81</v>
      </c>
      <c r="D24" s="422">
        <f t="shared" si="11"/>
        <v>41</v>
      </c>
      <c r="E24" s="422">
        <f t="shared" si="11"/>
        <v>40</v>
      </c>
      <c r="F24" s="422">
        <f t="shared" si="11"/>
        <v>71</v>
      </c>
      <c r="G24" s="422">
        <f t="shared" si="11"/>
        <v>363</v>
      </c>
      <c r="H24" s="422">
        <f t="shared" si="11"/>
        <v>3777</v>
      </c>
      <c r="I24" s="422">
        <f t="shared" si="11"/>
        <v>3639</v>
      </c>
      <c r="J24" s="422">
        <f>MINUS(H24,I24)</f>
        <v>138</v>
      </c>
      <c r="K24" s="422">
        <f>SUM(K20:K23)</f>
        <v>11</v>
      </c>
      <c r="L24" s="422" t="str">
        <f>TEXT(X24/86400, "hh:mm:ss")</f>
        <v>20:19:44</v>
      </c>
      <c r="M24" s="422">
        <f t="shared" ref="M24:T24" si="12">SUM(M20:M23)</f>
        <v>106</v>
      </c>
      <c r="N24" s="422">
        <f t="shared" si="12"/>
        <v>5</v>
      </c>
      <c r="O24" s="422">
        <f t="shared" si="12"/>
        <v>48</v>
      </c>
      <c r="P24" s="422">
        <f t="shared" si="12"/>
        <v>668</v>
      </c>
      <c r="Q24" s="422">
        <f t="shared" si="12"/>
        <v>181</v>
      </c>
      <c r="R24" s="422">
        <f t="shared" si="12"/>
        <v>77</v>
      </c>
      <c r="S24" s="422">
        <f t="shared" si="12"/>
        <v>0</v>
      </c>
      <c r="T24" s="422">
        <f t="shared" si="12"/>
        <v>9</v>
      </c>
      <c r="U24" s="222" t="str">
        <f>IF(((V20+V21+V22+V23)/4)&lt;='PlayerGrades+'!$Y$44,"F-",IF(((V20+V21+V22+V23)/4)&lt;'PlayerGrades+'!$Y$43,"F",IF(((V20+V21+V22+V23)/4)&lt;'PlayerGrades+'!$Y$42,"F+",IF(((V20+V21+V22+V23)/4)&lt;'PlayerGrades+'!$Y$41,"E-",IF(((V20+V21+V22+V23)/4)&lt;'PlayerGrades+'!$Y$40,"E",IF(((V20+V21+V22+V23)/4)&lt;'PlayerGrades+'!$Y$39,"E+",IF(((V20+V21+V22+V23)/4)&lt;'PlayerGrades+'!$Y$38,"D-",IF(((V20+V21+V22+V23)/4)&lt;'PlayerGrades+'!$Y$37,"D",IF(((V20+V21+V22+V23)/4)&lt;'PlayerGrades+'!$Y$36,"D+",IF(((V20+V21+V22+V23)/4)&lt;'PlayerGrades+'!$Y$35,"C-",IF(((V20+V21+V22+V23)/4)&lt;'PlayerGrades+'!$Y$34,"C",IF(((V20+V21+V22+V23)/4)&lt;'PlayerGrades+'!$Y$33,"C+",IF(((V20+V21+V22+V23)/4)&lt;'PlayerGrades+'!$Y$32,"B-",IF(((V20+V21+V22+V23)/4)&lt;'PlayerGrades+'!$Y$31,"B",IF(((V20+V21+V22+V23)/4)&lt;'PlayerGrades+'!$Y$30,"B+",IF(((V20+V21+V22+V23)/4)&lt;'PlayerGrades+'!$Y$29,"A-",IF(((V20+V21+V22+V23)/4)&lt;'PlayerGrades+'!$Y$28,"A",IF(((V20+V21+V22+V23)/4)&lt;'PlayerGrades+'!$Y$27,"A+",IF(((V20+V21+V22+V23)/4)&lt;'PlayerGrades+'!$Y$26,"S-",IF(((V20+V21+V22+V23)/4)&lt;'PlayerGrades+'!$Y$25,"S","S+"))))))))))))))))))))</f>
        <v>C-</v>
      </c>
      <c r="V24" s="226" t="s">
        <v>131</v>
      </c>
      <c r="W24" s="398"/>
      <c r="X24" s="310">
        <f>IFERROR(SUM(X20:X23), 0)
</f>
        <v>73184</v>
      </c>
    </row>
    <row r="25">
      <c r="A25" s="237"/>
      <c r="B25" s="241"/>
      <c r="C25" s="237"/>
      <c r="D25" s="237"/>
      <c r="E25" s="237"/>
      <c r="F25" s="237"/>
      <c r="G25" s="237"/>
      <c r="H25" s="237"/>
      <c r="I25" s="237"/>
      <c r="J25" s="237"/>
      <c r="K25" s="245"/>
      <c r="L25" s="427"/>
      <c r="M25" s="429"/>
      <c r="N25" s="429"/>
      <c r="O25" s="429"/>
      <c r="P25" s="429"/>
      <c r="Q25" s="429"/>
      <c r="R25" s="429"/>
      <c r="S25" s="429"/>
      <c r="T25" s="430"/>
      <c r="U25" s="431"/>
      <c r="V25" s="432"/>
      <c r="W25" s="434"/>
      <c r="X25" s="435"/>
    </row>
    <row r="26">
      <c r="A26" s="436" t="s">
        <v>15</v>
      </c>
      <c r="B26" s="437" t="s">
        <v>49</v>
      </c>
      <c r="C26" s="438">
        <f>IFERROR(VLOOKUP($B26,'Halo Infinite Stats'!$A:$AM,2,0),)</f>
        <v>21</v>
      </c>
      <c r="D26" s="438">
        <f>IFERROR(VLOOKUP($B26,'Halo Infinite Stats'!$A:$AM,3,0),)</f>
        <v>10</v>
      </c>
      <c r="E26" s="438">
        <f>IFERROR(VLOOKUP($B26,'Halo Infinite Stats'!$A:$AM,4,0),)</f>
        <v>11</v>
      </c>
      <c r="F26" s="438">
        <f>IFERROR(VLOOKUP($B26,'Halo Infinite Stats'!$A:$AM,5,0),)</f>
        <v>36</v>
      </c>
      <c r="G26" s="69">
        <f>IFERROR(VLOOKUP($B26,'Halo Infinite Stats'!$A:$AM,6,0),)</f>
        <v>249</v>
      </c>
      <c r="H26" s="69">
        <f>IFERROR(VLOOKUP($B26,'Halo Infinite Stats'!$A:$AM,7,0),)</f>
        <v>963</v>
      </c>
      <c r="I26" s="69">
        <f>IFERROR(VLOOKUP($B26,'Halo Infinite Stats'!$A:$AM,8,0),)</f>
        <v>1023</v>
      </c>
      <c r="J26" s="69">
        <f>IFERROR(VLOOKUP($B26,'Halo Infinite Stats'!$A:$AM,9,0),)</f>
        <v>-60</v>
      </c>
      <c r="K26" s="69">
        <f>IFERROR(VLOOKUP($B26,'Halo Infinite Stats'!$A:$AM,11,0),)</f>
        <v>3</v>
      </c>
      <c r="L26" s="69" t="str">
        <f>IFERROR(TEXT(VLOOKUP($B26,'Halo Infinite Stats'!$A:$AM,12,0)/(24*60*60),"hh:mm:ss"),"")</f>
        <v>04:50:00</v>
      </c>
      <c r="M26" s="69">
        <f>IFERROR(VLOOKUP($B26,'Halo Infinite Stats'!$A:$AM,14,0),)</f>
        <v>27</v>
      </c>
      <c r="N26" s="87">
        <f>IFERROR(VLOOKUP($B26,'Halo Infinite Stats'!$A:$AM,15,0),)+IFERROR(VLOOKUP($B26,'Halo Infinite Stats'!$A:$AM,16,0),)+IFERROR(VLOOKUP($B26,'Halo Infinite Stats'!$A:$AM,17,0),)</f>
        <v>2</v>
      </c>
      <c r="O26" s="69">
        <f>IFERROR(VLOOKUP($B26,'Halo Infinite Stats'!$A:$AM,18,0),)</f>
        <v>10</v>
      </c>
      <c r="P26" s="69">
        <f>IFERROR(VLOOKUP($B26,'Halo Infinite Stats'!$A:$AM,19,0),)</f>
        <v>179</v>
      </c>
      <c r="Q26" s="69">
        <f>IFERROR(VLOOKUP($B26,'Halo Infinite Stats'!$A:$AM,20,0),)</f>
        <v>50</v>
      </c>
      <c r="R26" s="87">
        <f>IFERROR(VLOOKUP($B26,'Halo Infinite Stats'!$A:$AM,21,0),)+IFERROR(VLOOKUP($B26,'Halo Infinite Stats'!$A:$AM,22,0),)+IFERROR(VLOOKUP($B26,'Halo Infinite Stats'!$A:$AM,23,0),)+IFERROR(VLOOKUP($B26,'Halo Infinite Stats'!$A:$AM,24,0),)+IFERROR(VLOOKUP($B26,'Halo Infinite Stats'!$A:$AM,25,0),)+IFERROR(VLOOKUP($B26,'Halo Infinite Stats'!$A:$AM,26,0),)+IFERROR(VLOOKUP($B26,'Halo Infinite Stats'!$A:$AM,27,0),)</f>
        <v>21</v>
      </c>
      <c r="S26" s="69">
        <f>IFERROR(VLOOKUP($B26,'Halo Infinite Stats'!$A:$AM,28,0),)</f>
        <v>1</v>
      </c>
      <c r="T26" s="69">
        <f>IFERROR(VLOOKUP($B26,'Halo Infinite Stats'!$A:$AM,31,0),)</f>
        <v>2</v>
      </c>
      <c r="U26" s="102" t="str">
        <f>IFERROR(VLOOKUP($B26,'PlayerGrades+'!$A:$W,22,0),)</f>
        <v>A+</v>
      </c>
      <c r="V26" s="279">
        <f>IFERROR(VLOOKUP($B26,'PlayerGrades+'!$A:$W,23,0),)</f>
        <v>25.0875</v>
      </c>
      <c r="W26" s="108"/>
      <c r="X26" s="114">
        <f t="shared" ref="X26:X29" si="13">(HOUR(L26) * 3600) + (MINUTE(L26) * 60) + SECOND(L26)</f>
        <v>17400</v>
      </c>
    </row>
    <row r="27">
      <c r="A27" s="443" t="s">
        <v>15</v>
      </c>
      <c r="B27" s="444" t="s">
        <v>172</v>
      </c>
      <c r="C27" s="438">
        <f>IFERROR(VLOOKUP($B27,'Halo Infinite Stats'!$A:$AM,2,0),)</f>
        <v>36</v>
      </c>
      <c r="D27" s="438">
        <f>IFERROR(VLOOKUP($B27,'Halo Infinite Stats'!$A:$AM,3,0),)</f>
        <v>18</v>
      </c>
      <c r="E27" s="438">
        <f>IFERROR(VLOOKUP($B27,'Halo Infinite Stats'!$A:$AM,4,0),)</f>
        <v>18</v>
      </c>
      <c r="F27" s="438">
        <f>IFERROR(VLOOKUP($B27,'Halo Infinite Stats'!$A:$AM,5,0),)</f>
        <v>30</v>
      </c>
      <c r="G27" s="69">
        <f>IFERROR(VLOOKUP($B27,'Halo Infinite Stats'!$A:$AM,6,0),)</f>
        <v>177</v>
      </c>
      <c r="H27" s="69">
        <f>IFERROR(VLOOKUP($B27,'Halo Infinite Stats'!$A:$AM,7,0),)</f>
        <v>2042</v>
      </c>
      <c r="I27" s="69">
        <f>IFERROR(VLOOKUP($B27,'Halo Infinite Stats'!$A:$AM,8,0),)</f>
        <v>1484</v>
      </c>
      <c r="J27" s="69">
        <f>IFERROR(VLOOKUP($B27,'Halo Infinite Stats'!$A:$AM,9,0),)</f>
        <v>558</v>
      </c>
      <c r="K27" s="69">
        <f>IFERROR(VLOOKUP($B27,'Halo Infinite Stats'!$A:$AM,11,0),)</f>
        <v>7</v>
      </c>
      <c r="L27" s="69" t="str">
        <f>IFERROR(TEXT(VLOOKUP($B27,'Halo Infinite Stats'!$A:$AM,12,0)/(24*60*60),"hh:mm:ss"),"")</f>
        <v>08:51:27</v>
      </c>
      <c r="M27" s="69">
        <f>IFERROR(VLOOKUP($B27,'Halo Infinite Stats'!$A:$AM,14,0),)</f>
        <v>81</v>
      </c>
      <c r="N27" s="87">
        <f>IFERROR(VLOOKUP($B27,'Halo Infinite Stats'!$A:$AM,15,0),)+IFERROR(VLOOKUP($B27,'Halo Infinite Stats'!$A:$AM,16,0),)+IFERROR(VLOOKUP($B27,'Halo Infinite Stats'!$A:$AM,17,0),)</f>
        <v>5</v>
      </c>
      <c r="O27" s="69">
        <f>IFERROR(VLOOKUP($B27,'Halo Infinite Stats'!$A:$AM,18,0),)</f>
        <v>27</v>
      </c>
      <c r="P27" s="69">
        <f>IFERROR(VLOOKUP($B27,'Halo Infinite Stats'!$A:$AM,19,0),)</f>
        <v>423</v>
      </c>
      <c r="Q27" s="69">
        <f>IFERROR(VLOOKUP($B27,'Halo Infinite Stats'!$A:$AM,20,0),)</f>
        <v>128</v>
      </c>
      <c r="R27" s="87">
        <f>IFERROR(VLOOKUP($B27,'Halo Infinite Stats'!$A:$AM,21,0),)+IFERROR(VLOOKUP($B27,'Halo Infinite Stats'!$A:$AM,22,0),)+IFERROR(VLOOKUP($B27,'Halo Infinite Stats'!$A:$AM,23,0),)+IFERROR(VLOOKUP($B27,'Halo Infinite Stats'!$A:$AM,24,0),)+IFERROR(VLOOKUP($B27,'Halo Infinite Stats'!$A:$AM,25,0),)+IFERROR(VLOOKUP($B27,'Halo Infinite Stats'!$A:$AM,26,0),)+IFERROR(VLOOKUP($B27,'Halo Infinite Stats'!$A:$AM,27,0),)</f>
        <v>67</v>
      </c>
      <c r="S27" s="69">
        <f>IFERROR(VLOOKUP($B27,'Halo Infinite Stats'!$A:$AM,28,0),)</f>
        <v>0</v>
      </c>
      <c r="T27" s="69">
        <f>IFERROR(VLOOKUP($B27,'Halo Infinite Stats'!$A:$AM,31,0),)</f>
        <v>6</v>
      </c>
      <c r="U27" s="102" t="str">
        <f>IFERROR(VLOOKUP($B27,'PlayerGrades+'!$A:$W,22,0),)</f>
        <v>S</v>
      </c>
      <c r="V27" s="279">
        <f>IFERROR(VLOOKUP($B27,'PlayerGrades+'!$A:$W,23,0),)</f>
        <v>27.275</v>
      </c>
      <c r="W27" s="108"/>
      <c r="X27" s="114">
        <f t="shared" si="13"/>
        <v>31887</v>
      </c>
    </row>
    <row r="28">
      <c r="A28" s="436" t="s">
        <v>15</v>
      </c>
      <c r="B28" s="437" t="s">
        <v>185</v>
      </c>
      <c r="C28" s="438">
        <f>IFERROR(VLOOKUP($B28,'Halo Infinite Stats'!$A:$AM,2,0),)</f>
        <v>23</v>
      </c>
      <c r="D28" s="438">
        <f>IFERROR(VLOOKUP($B28,'Halo Infinite Stats'!$A:$AM,3,0),)</f>
        <v>12</v>
      </c>
      <c r="E28" s="438">
        <f>IFERROR(VLOOKUP($B28,'Halo Infinite Stats'!$A:$AM,4,0),)</f>
        <v>11</v>
      </c>
      <c r="F28" s="438">
        <f>IFERROR(VLOOKUP($B28,'Halo Infinite Stats'!$A:$AM,5,0),)</f>
        <v>4</v>
      </c>
      <c r="G28" s="69">
        <f>IFERROR(VLOOKUP($B28,'Halo Infinite Stats'!$A:$AM,6,0),)</f>
        <v>25</v>
      </c>
      <c r="H28" s="69">
        <f>IFERROR(VLOOKUP($B28,'Halo Infinite Stats'!$A:$AM,7,0),)</f>
        <v>831</v>
      </c>
      <c r="I28" s="69">
        <f>IFERROR(VLOOKUP($B28,'Halo Infinite Stats'!$A:$AM,8,0),)</f>
        <v>1144</v>
      </c>
      <c r="J28" s="69">
        <f>IFERROR(VLOOKUP($B28,'Halo Infinite Stats'!$A:$AM,9,0),)</f>
        <v>-313</v>
      </c>
      <c r="K28" s="69">
        <f>IFERROR(VLOOKUP($B28,'Halo Infinite Stats'!$A:$AM,11,0),)</f>
        <v>2</v>
      </c>
      <c r="L28" s="69" t="str">
        <f>IFERROR(TEXT(VLOOKUP($B28,'Halo Infinite Stats'!$A:$AM,12,0)/(24*60*60),"hh:mm:ss"),"")</f>
        <v>05:23:44</v>
      </c>
      <c r="M28" s="69">
        <f>IFERROR(VLOOKUP($B28,'Halo Infinite Stats'!$A:$AM,14,0),)</f>
        <v>13</v>
      </c>
      <c r="N28" s="87">
        <f>IFERROR(VLOOKUP($B28,'Halo Infinite Stats'!$A:$AM,15,0),)+IFERROR(VLOOKUP($B28,'Halo Infinite Stats'!$A:$AM,16,0),)+IFERROR(VLOOKUP($B28,'Halo Infinite Stats'!$A:$AM,17,0),)</f>
        <v>0</v>
      </c>
      <c r="O28" s="69">
        <f>IFERROR(VLOOKUP($B28,'Halo Infinite Stats'!$A:$AM,18,0),)</f>
        <v>6</v>
      </c>
      <c r="P28" s="69">
        <f>IFERROR(VLOOKUP($B28,'Halo Infinite Stats'!$A:$AM,19,0),)</f>
        <v>124</v>
      </c>
      <c r="Q28" s="69">
        <f>IFERROR(VLOOKUP($B28,'Halo Infinite Stats'!$A:$AM,20,0),)</f>
        <v>31</v>
      </c>
      <c r="R28" s="87">
        <f>IFERROR(VLOOKUP($B28,'Halo Infinite Stats'!$A:$AM,21,0),)+IFERROR(VLOOKUP($B28,'Halo Infinite Stats'!$A:$AM,22,0),)+IFERROR(VLOOKUP($B28,'Halo Infinite Stats'!$A:$AM,23,0),)+IFERROR(VLOOKUP($B28,'Halo Infinite Stats'!$A:$AM,24,0),)+IFERROR(VLOOKUP($B28,'Halo Infinite Stats'!$A:$AM,25,0),)+IFERROR(VLOOKUP($B28,'Halo Infinite Stats'!$A:$AM,26,0),)+IFERROR(VLOOKUP($B28,'Halo Infinite Stats'!$A:$AM,27,0),)</f>
        <v>17</v>
      </c>
      <c r="S28" s="69">
        <f>IFERROR(VLOOKUP($B28,'Halo Infinite Stats'!$A:$AM,28,0),)</f>
        <v>1</v>
      </c>
      <c r="T28" s="69">
        <f>IFERROR(VLOOKUP($B28,'Halo Infinite Stats'!$A:$AM,31,0),)</f>
        <v>0</v>
      </c>
      <c r="U28" s="102" t="str">
        <f>IFERROR(VLOOKUP($B28,'PlayerGrades+'!$A:$W,22,0),)</f>
        <v>E+</v>
      </c>
      <c r="V28" s="279">
        <f>IFERROR(VLOOKUP($B28,'PlayerGrades+'!$A:$W,23,0),)</f>
        <v>11.8875</v>
      </c>
      <c r="W28" s="108"/>
      <c r="X28" s="114">
        <f t="shared" si="13"/>
        <v>19424</v>
      </c>
    </row>
    <row r="29">
      <c r="A29" s="443" t="s">
        <v>15</v>
      </c>
      <c r="B29" s="453" t="s">
        <v>187</v>
      </c>
      <c r="C29" s="455">
        <f>IFERROR(VLOOKUP($B29,'Halo Infinite Stats'!$A:$AM,2,0),)</f>
        <v>15</v>
      </c>
      <c r="D29" s="455">
        <f>IFERROR(VLOOKUP($B29,'Halo Infinite Stats'!$A:$AM,3,0),)</f>
        <v>6</v>
      </c>
      <c r="E29" s="455">
        <f>IFERROR(VLOOKUP($B29,'Halo Infinite Stats'!$A:$AM,4,0),)</f>
        <v>9</v>
      </c>
      <c r="F29" s="455">
        <f>IFERROR(VLOOKUP($B29,'Halo Infinite Stats'!$A:$AM,5,0),)</f>
        <v>6</v>
      </c>
      <c r="G29" s="455">
        <f>IFERROR(VLOOKUP($B29,'Halo Infinite Stats'!$A:$AM,6,0),)</f>
        <v>15</v>
      </c>
      <c r="H29" s="455">
        <f>IFERROR(VLOOKUP($B29,'Halo Infinite Stats'!$A:$AM,7,0),)</f>
        <v>467</v>
      </c>
      <c r="I29" s="455">
        <f>IFERROR(VLOOKUP($B29,'Halo Infinite Stats'!$A:$AM,8,0),)</f>
        <v>780</v>
      </c>
      <c r="J29" s="455">
        <f>IFERROR(VLOOKUP($B29,'Halo Infinite Stats'!$A:$AM,9,0),)</f>
        <v>-313</v>
      </c>
      <c r="K29" s="455">
        <f>IFERROR(VLOOKUP($B29,'Halo Infinite Stats'!$A:$AM,11,0),)</f>
        <v>0</v>
      </c>
      <c r="L29" s="455" t="str">
        <f>IFERROR(TEXT(VLOOKUP($B29,'Halo Infinite Stats'!$A:$AM,12,0)/(24*60*60),"hh:mm:ss"),"")</f>
        <v>03:16:00</v>
      </c>
      <c r="M29" s="455">
        <f>IFERROR(VLOOKUP($B29,'Halo Infinite Stats'!$A:$AM,14,0),)</f>
        <v>0</v>
      </c>
      <c r="N29" s="459">
        <f>IFERROR(VLOOKUP($B29,'Halo Infinite Stats'!$A:$AM,15,0),)+IFERROR(VLOOKUP($B29,'Halo Infinite Stats'!$A:$AM,16,0),)+IFERROR(VLOOKUP($B29,'Halo Infinite Stats'!$A:$AM,17,0),)</f>
        <v>0</v>
      </c>
      <c r="O29" s="455">
        <f>IFERROR(VLOOKUP($B29,'Halo Infinite Stats'!$A:$AM,18,0),)</f>
        <v>1</v>
      </c>
      <c r="P29" s="455">
        <f>IFERROR(VLOOKUP($B29,'Halo Infinite Stats'!$A:$AM,19,0),)</f>
        <v>43</v>
      </c>
      <c r="Q29" s="455">
        <f>IFERROR(VLOOKUP($B29,'Halo Infinite Stats'!$A:$AM,20,0),)</f>
        <v>7</v>
      </c>
      <c r="R29" s="459">
        <f>IFERROR(VLOOKUP($B29,'Halo Infinite Stats'!$A:$AM,21,0),)+IFERROR(VLOOKUP($B29,'Halo Infinite Stats'!$A:$AM,22,0),)+IFERROR(VLOOKUP($B29,'Halo Infinite Stats'!$A:$AM,23,0),)+IFERROR(VLOOKUP($B29,'Halo Infinite Stats'!$A:$AM,24,0),)+IFERROR(VLOOKUP($B29,'Halo Infinite Stats'!$A:$AM,25,0),)+IFERROR(VLOOKUP($B29,'Halo Infinite Stats'!$A:$AM,26,0),)+IFERROR(VLOOKUP($B29,'Halo Infinite Stats'!$A:$AM,27,0),)</f>
        <v>1</v>
      </c>
      <c r="S29" s="455">
        <f>IFERROR(VLOOKUP($B29,'Halo Infinite Stats'!$A:$AM,28,0),)</f>
        <v>0</v>
      </c>
      <c r="T29" s="455">
        <f>IFERROR(VLOOKUP($B29,'Halo Infinite Stats'!$A:$AM,31,0),)</f>
        <v>0</v>
      </c>
      <c r="U29" s="463" t="str">
        <f>IFERROR(VLOOKUP($B29,'PlayerGrades+'!$A:$W,22,0),)</f>
        <v>F+</v>
      </c>
      <c r="V29" s="464">
        <f>IFERROR(VLOOKUP($B29,'PlayerGrades+'!$A:$W,23,0),)</f>
        <v>7.5625</v>
      </c>
      <c r="W29" s="108"/>
      <c r="X29" s="114">
        <f t="shared" si="13"/>
        <v>11760</v>
      </c>
    </row>
    <row r="30">
      <c r="A30" s="436" t="s">
        <v>15</v>
      </c>
      <c r="B30" s="465" t="s">
        <v>120</v>
      </c>
      <c r="C30" s="465">
        <f t="shared" ref="C30:F30" si="14">SUM(C26:C29)</f>
        <v>95</v>
      </c>
      <c r="D30" s="465">
        <f t="shared" si="14"/>
        <v>46</v>
      </c>
      <c r="E30" s="465">
        <f t="shared" si="14"/>
        <v>49</v>
      </c>
      <c r="F30" s="465">
        <f t="shared" si="14"/>
        <v>76</v>
      </c>
      <c r="G30" s="465">
        <f>SUM(G26:G28)</f>
        <v>451</v>
      </c>
      <c r="H30" s="465">
        <f t="shared" ref="H30:I30" si="15">SUM(H26:H29)</f>
        <v>4303</v>
      </c>
      <c r="I30" s="465">
        <f t="shared" si="15"/>
        <v>4431</v>
      </c>
      <c r="J30" s="465">
        <f>MINUS(H30,I30)</f>
        <v>-128</v>
      </c>
      <c r="K30" s="465">
        <f>SUM(K26:K29)</f>
        <v>12</v>
      </c>
      <c r="L30" s="465" t="str">
        <f>TEXT(X30/86400, "hh:mm:ss")</f>
        <v>22:21:11</v>
      </c>
      <c r="M30" s="465">
        <f t="shared" ref="M30:T30" si="16">SUM(M26:M29)</f>
        <v>121</v>
      </c>
      <c r="N30" s="465">
        <f t="shared" si="16"/>
        <v>7</v>
      </c>
      <c r="O30" s="465">
        <f t="shared" si="16"/>
        <v>44</v>
      </c>
      <c r="P30" s="465">
        <f t="shared" si="16"/>
        <v>769</v>
      </c>
      <c r="Q30" s="465">
        <f t="shared" si="16"/>
        <v>216</v>
      </c>
      <c r="R30" s="465">
        <f t="shared" si="16"/>
        <v>106</v>
      </c>
      <c r="S30" s="465">
        <f t="shared" si="16"/>
        <v>2</v>
      </c>
      <c r="T30" s="465">
        <f t="shared" si="16"/>
        <v>8</v>
      </c>
      <c r="U30" s="222" t="str">
        <f>IF(((V26+V27+V28+V29)/4)&lt;='PlayerGrades+'!$Y$44,"F-",IF(((V26+V27+V28+V29)/4)&lt;'PlayerGrades+'!$Y$43,"F",IF(((V26+V27+V28+V29)/4)&lt;'PlayerGrades+'!$Y$42,"F+",IF(((V26+V27+V28+V29)/4)&lt;'PlayerGrades+'!$Y$41,"E-",IF(((V26+V27+V28+V29)/4)&lt;'PlayerGrades+'!$Y$40,"E",IF(((V26+V27+V28+V29)/4)&lt;'PlayerGrades+'!$Y$39,"E+",IF(((V26+V27+V28+V29)/4)&lt;'PlayerGrades+'!$Y$38,"D-",IF(((V26+V27+V28+V29)/4)&lt;'PlayerGrades+'!$Y$37,"D",IF(((V26+V27+V28+V29)/4)&lt;'PlayerGrades+'!$Y$36,"D+",IF(((V26+V27+V28+V29)/4)&lt;'PlayerGrades+'!$Y$35,"C-",IF(((V26+V27+V28+V29)/4)&lt;'PlayerGrades+'!$Y$34,"C",IF(((V26+V27+V28+V29)/4)&lt;'PlayerGrades+'!$Y$33,"C+",IF(((V26+V27+V28+V29)/4)&lt;'PlayerGrades+'!$Y$32,"B-",IF(((V26+V27+V28+V29)/4)&lt;'PlayerGrades+'!$Y$31,"B",IF(((V26+V27+V28+V29)/4)&lt;'PlayerGrades+'!$Y$30,"B+",IF(((V26+V27+V28+V29)/4)&lt;'PlayerGrades+'!$Y$29,"A-",IF(((V26+V27+V28+V29)/4)&lt;'PlayerGrades+'!$Y$28,"A",IF(((V26+V27+V28+V29)/4)&lt;'PlayerGrades+'!$Y$27,"A+",IF(((V26+V27+V28+V29)/4)&lt;'PlayerGrades+'!$Y$26,"S-",IF(((V26+V27+V28+V29)/4)&lt;'PlayerGrades+'!$Y$25,"S","S+"))))))))))))))))))))</f>
        <v>B-</v>
      </c>
      <c r="V30" s="226" t="s">
        <v>131</v>
      </c>
      <c r="W30" s="108"/>
      <c r="X30" s="310">
        <f>IFERROR(SUM(X26:X29), 0)
</f>
        <v>80471</v>
      </c>
    </row>
    <row r="31">
      <c r="A31" s="237"/>
      <c r="B31" s="241"/>
      <c r="C31" s="237"/>
      <c r="D31" s="237"/>
      <c r="E31" s="237"/>
      <c r="F31" s="237"/>
      <c r="G31" s="237"/>
      <c r="H31" s="237"/>
      <c r="I31" s="237"/>
      <c r="J31" s="237"/>
      <c r="K31" s="245"/>
      <c r="L31" s="247"/>
      <c r="M31" s="248"/>
      <c r="N31" s="248"/>
      <c r="O31" s="248"/>
      <c r="P31" s="248"/>
      <c r="Q31" s="248"/>
      <c r="R31" s="248"/>
      <c r="S31" s="248"/>
      <c r="T31" s="250"/>
      <c r="U31" s="468"/>
      <c r="V31" s="470"/>
      <c r="W31" s="471"/>
      <c r="X31" s="472"/>
    </row>
    <row r="32">
      <c r="A32" s="473" t="s">
        <v>193</v>
      </c>
      <c r="B32" s="475" t="s">
        <v>9</v>
      </c>
      <c r="C32" s="477">
        <f>IFERROR(VLOOKUP($B32,'Halo Infinite Stats'!$A:$AM,2,0),)</f>
        <v>18</v>
      </c>
      <c r="D32" s="477">
        <f>IFERROR(VLOOKUP($B32,'Halo Infinite Stats'!$A:$AM,3,0),)</f>
        <v>1</v>
      </c>
      <c r="E32" s="477">
        <f>IFERROR(VLOOKUP($B32,'Halo Infinite Stats'!$A:$AM,4,0),)</f>
        <v>17</v>
      </c>
      <c r="F32" s="477">
        <f>IFERROR(VLOOKUP($B32,'Halo Infinite Stats'!$A:$AM,5,0),)</f>
        <v>0</v>
      </c>
      <c r="G32" s="69">
        <f>IFERROR(VLOOKUP($B32,'Halo Infinite Stats'!$A:$AM,6,0),)</f>
        <v>17</v>
      </c>
      <c r="H32" s="69">
        <f>IFERROR(VLOOKUP($B32,'Halo Infinite Stats'!$A:$AM,7,0),)</f>
        <v>545</v>
      </c>
      <c r="I32" s="69">
        <f>IFERROR(VLOOKUP($B32,'Halo Infinite Stats'!$A:$AM,8,0),)</f>
        <v>902</v>
      </c>
      <c r="J32" s="69">
        <f>IFERROR(VLOOKUP($B32,'Halo Infinite Stats'!$A:$AM,9,0),)</f>
        <v>-357</v>
      </c>
      <c r="K32" s="69">
        <f>IFERROR(VLOOKUP($B32,'Halo Infinite Stats'!$A:$AM,11,0),)</f>
        <v>0</v>
      </c>
      <c r="L32" s="69" t="str">
        <f>IFERROR(TEXT(VLOOKUP($B32,'Halo Infinite Stats'!$A:$AM,12,0)/(24*60*60),"hh:mm:ss"),"")</f>
        <v>04:06:08</v>
      </c>
      <c r="M32" s="69">
        <f>IFERROR(VLOOKUP($B32,'Halo Infinite Stats'!$A:$AM,14,0),)</f>
        <v>5</v>
      </c>
      <c r="N32" s="87">
        <f>IFERROR(VLOOKUP($B32,'Halo Infinite Stats'!$A:$AM,15,0),)+IFERROR(VLOOKUP($B32,'Halo Infinite Stats'!$A:$AM,16,0),)+IFERROR(VLOOKUP($B32,'Halo Infinite Stats'!$A:$AM,17,0),)</f>
        <v>0</v>
      </c>
      <c r="O32" s="69">
        <f>IFERROR(VLOOKUP($B32,'Halo Infinite Stats'!$A:$AM,18,0),)</f>
        <v>9</v>
      </c>
      <c r="P32" s="69">
        <f>IFERROR(VLOOKUP($B32,'Halo Infinite Stats'!$A:$AM,19,0),)</f>
        <v>75</v>
      </c>
      <c r="Q32" s="69">
        <f>IFERROR(VLOOKUP($B32,'Halo Infinite Stats'!$A:$AM,20,0),)</f>
        <v>12</v>
      </c>
      <c r="R32" s="87">
        <f>IFERROR(VLOOKUP($B32,'Halo Infinite Stats'!$A:$AM,21,0),)+IFERROR(VLOOKUP($B32,'Halo Infinite Stats'!$A:$AM,22,0),)+IFERROR(VLOOKUP($B32,'Halo Infinite Stats'!$A:$AM,23,0),)+IFERROR(VLOOKUP($B32,'Halo Infinite Stats'!$A:$AM,24,0),)+IFERROR(VLOOKUP($B32,'Halo Infinite Stats'!$A:$AM,25,0),)+IFERROR(VLOOKUP($B32,'Halo Infinite Stats'!$A:$AM,26,0),)+IFERROR(VLOOKUP($B32,'Halo Infinite Stats'!$A:$AM,27,0),)</f>
        <v>2</v>
      </c>
      <c r="S32" s="69">
        <f>IFERROR(VLOOKUP($B32,'Halo Infinite Stats'!$A:$AM,28,0),)</f>
        <v>0</v>
      </c>
      <c r="T32" s="69">
        <f>IFERROR(VLOOKUP($B32,'Halo Infinite Stats'!$A:$AM,31,0),)</f>
        <v>0</v>
      </c>
      <c r="U32" s="102" t="str">
        <f>IFERROR(VLOOKUP($B32,'PlayerGrades+'!$A:$W,22,0),)</f>
        <v>F-</v>
      </c>
      <c r="V32" s="279">
        <f>IFERROR(VLOOKUP($B32,'PlayerGrades+'!$A:$W,23,0),)</f>
        <v>5.675</v>
      </c>
      <c r="W32" s="108"/>
      <c r="X32" s="114">
        <f t="shared" ref="X32:X35" si="17">(HOUR(L32) * 3600) + (MINUTE(L32) * 60) + SECOND(L32)</f>
        <v>14768</v>
      </c>
    </row>
    <row r="33">
      <c r="A33" s="492" t="s">
        <v>193</v>
      </c>
      <c r="B33" s="493" t="s">
        <v>68</v>
      </c>
      <c r="C33" s="477">
        <f>IFERROR(VLOOKUP($B33,'Halo Infinite Stats'!$A:$AM,2,0),)</f>
        <v>19</v>
      </c>
      <c r="D33" s="477">
        <f>IFERROR(VLOOKUP($B33,'Halo Infinite Stats'!$A:$AM,3,0),)</f>
        <v>1</v>
      </c>
      <c r="E33" s="477">
        <f>IFERROR(VLOOKUP($B33,'Halo Infinite Stats'!$A:$AM,4,0),)</f>
        <v>18</v>
      </c>
      <c r="F33" s="477">
        <f>IFERROR(VLOOKUP($B33,'Halo Infinite Stats'!$A:$AM,5,0),)</f>
        <v>19</v>
      </c>
      <c r="G33" s="69">
        <f>IFERROR(VLOOKUP($B33,'Halo Infinite Stats'!$A:$AM,6,0),)</f>
        <v>86</v>
      </c>
      <c r="H33" s="69">
        <f>IFERROR(VLOOKUP($B33,'Halo Infinite Stats'!$A:$AM,7,0),)</f>
        <v>725</v>
      </c>
      <c r="I33" s="69">
        <f>IFERROR(VLOOKUP($B33,'Halo Infinite Stats'!$A:$AM,8,0),)</f>
        <v>820</v>
      </c>
      <c r="J33" s="69">
        <f>IFERROR(VLOOKUP($B33,'Halo Infinite Stats'!$A:$AM,9,0),)</f>
        <v>-95</v>
      </c>
      <c r="K33" s="69">
        <f>IFERROR(VLOOKUP($B33,'Halo Infinite Stats'!$A:$AM,11,0),)</f>
        <v>1</v>
      </c>
      <c r="L33" s="69" t="str">
        <f>IFERROR(TEXT(VLOOKUP($B33,'Halo Infinite Stats'!$A:$AM,12,0)/(24*60*60),"hh:mm:ss"),"")</f>
        <v>04:17:56</v>
      </c>
      <c r="M33" s="69">
        <f>IFERROR(VLOOKUP($B33,'Halo Infinite Stats'!$A:$AM,14,0),)</f>
        <v>20</v>
      </c>
      <c r="N33" s="87">
        <f>IFERROR(VLOOKUP($B33,'Halo Infinite Stats'!$A:$AM,15,0),)+IFERROR(VLOOKUP($B33,'Halo Infinite Stats'!$A:$AM,16,0),)+IFERROR(VLOOKUP($B33,'Halo Infinite Stats'!$A:$AM,17,0),)</f>
        <v>0</v>
      </c>
      <c r="O33" s="69">
        <f>IFERROR(VLOOKUP($B33,'Halo Infinite Stats'!$A:$AM,18,0),)</f>
        <v>12</v>
      </c>
      <c r="P33" s="69">
        <f>IFERROR(VLOOKUP($B33,'Halo Infinite Stats'!$A:$AM,19,0),)</f>
        <v>105</v>
      </c>
      <c r="Q33" s="69">
        <f>IFERROR(VLOOKUP($B33,'Halo Infinite Stats'!$A:$AM,20,0),)</f>
        <v>34</v>
      </c>
      <c r="R33" s="87">
        <f>IFERROR(VLOOKUP($B33,'Halo Infinite Stats'!$A:$AM,21,0),)+IFERROR(VLOOKUP($B33,'Halo Infinite Stats'!$A:$AM,22,0),)+IFERROR(VLOOKUP($B33,'Halo Infinite Stats'!$A:$AM,23,0),)+IFERROR(VLOOKUP($B33,'Halo Infinite Stats'!$A:$AM,24,0),)+IFERROR(VLOOKUP($B33,'Halo Infinite Stats'!$A:$AM,25,0),)+IFERROR(VLOOKUP($B33,'Halo Infinite Stats'!$A:$AM,26,0),)+IFERROR(VLOOKUP($B33,'Halo Infinite Stats'!$A:$AM,27,0),)</f>
        <v>13</v>
      </c>
      <c r="S33" s="69">
        <f>IFERROR(VLOOKUP($B33,'Halo Infinite Stats'!$A:$AM,28,0),)</f>
        <v>0</v>
      </c>
      <c r="T33" s="69">
        <f>IFERROR(VLOOKUP($B33,'Halo Infinite Stats'!$A:$AM,31,0),)</f>
        <v>0</v>
      </c>
      <c r="U33" s="102" t="str">
        <f>IFERROR(VLOOKUP($B33,'PlayerGrades+'!$A:$W,22,0),)</f>
        <v>B</v>
      </c>
      <c r="V33" s="279">
        <f>IFERROR(VLOOKUP($B33,'PlayerGrades+'!$A:$W,23,0),)</f>
        <v>19.7625</v>
      </c>
      <c r="W33" s="108"/>
      <c r="X33" s="114">
        <f t="shared" si="17"/>
        <v>15476</v>
      </c>
    </row>
    <row r="34">
      <c r="A34" s="473" t="s">
        <v>193</v>
      </c>
      <c r="B34" s="475" t="s">
        <v>82</v>
      </c>
      <c r="C34" s="477">
        <f>IFERROR(VLOOKUP($B34,'Halo Infinite Stats'!$A:$AM,2,0),)</f>
        <v>18</v>
      </c>
      <c r="D34" s="477">
        <f>IFERROR(VLOOKUP($B34,'Halo Infinite Stats'!$A:$AM,3,0),)</f>
        <v>1</v>
      </c>
      <c r="E34" s="477">
        <f>IFERROR(VLOOKUP($B34,'Halo Infinite Stats'!$A:$AM,4,0),)</f>
        <v>17</v>
      </c>
      <c r="F34" s="477">
        <f>IFERROR(VLOOKUP($B34,'Halo Infinite Stats'!$A:$AM,5,0),)</f>
        <v>9</v>
      </c>
      <c r="G34" s="69">
        <f>IFERROR(VLOOKUP($B34,'Halo Infinite Stats'!$A:$AM,6,0),)</f>
        <v>95</v>
      </c>
      <c r="H34" s="69">
        <f>IFERROR(VLOOKUP($B34,'Halo Infinite Stats'!$A:$AM,7,0),)</f>
        <v>739</v>
      </c>
      <c r="I34" s="69">
        <f>IFERROR(VLOOKUP($B34,'Halo Infinite Stats'!$A:$AM,8,0),)</f>
        <v>956</v>
      </c>
      <c r="J34" s="69">
        <f>IFERROR(VLOOKUP($B34,'Halo Infinite Stats'!$A:$AM,9,0),)</f>
        <v>-217</v>
      </c>
      <c r="K34" s="69">
        <f>IFERROR(VLOOKUP($B34,'Halo Infinite Stats'!$A:$AM,11,0),)</f>
        <v>1</v>
      </c>
      <c r="L34" s="69" t="str">
        <f>IFERROR(TEXT(VLOOKUP($B34,'Halo Infinite Stats'!$A:$AM,12,0)/(24*60*60),"hh:mm:ss"),"")</f>
        <v>04:06:08</v>
      </c>
      <c r="M34" s="69">
        <f>IFERROR(VLOOKUP($B34,'Halo Infinite Stats'!$A:$AM,14,0),)</f>
        <v>14</v>
      </c>
      <c r="N34" s="87">
        <f>IFERROR(VLOOKUP($B34,'Halo Infinite Stats'!$A:$AM,15,0),)+IFERROR(VLOOKUP($B34,'Halo Infinite Stats'!$A:$AM,16,0),)+IFERROR(VLOOKUP($B34,'Halo Infinite Stats'!$A:$AM,17,0),)</f>
        <v>0</v>
      </c>
      <c r="O34" s="69">
        <f>IFERROR(VLOOKUP($B34,'Halo Infinite Stats'!$A:$AM,18,0),)</f>
        <v>4</v>
      </c>
      <c r="P34" s="69">
        <f>IFERROR(VLOOKUP($B34,'Halo Infinite Stats'!$A:$AM,19,0),)</f>
        <v>107</v>
      </c>
      <c r="Q34" s="69">
        <f>IFERROR(VLOOKUP($B34,'Halo Infinite Stats'!$A:$AM,20,0),)</f>
        <v>32</v>
      </c>
      <c r="R34" s="87">
        <f>IFERROR(VLOOKUP($B34,'Halo Infinite Stats'!$A:$AM,21,0),)+IFERROR(VLOOKUP($B34,'Halo Infinite Stats'!$A:$AM,22,0),)+IFERROR(VLOOKUP($B34,'Halo Infinite Stats'!$A:$AM,23,0),)+IFERROR(VLOOKUP($B34,'Halo Infinite Stats'!$A:$AM,24,0),)+IFERROR(VLOOKUP($B34,'Halo Infinite Stats'!$A:$AM,25,0),)+IFERROR(VLOOKUP($B34,'Halo Infinite Stats'!$A:$AM,26,0),)+IFERROR(VLOOKUP($B34,'Halo Infinite Stats'!$A:$AM,27,0),)</f>
        <v>7</v>
      </c>
      <c r="S34" s="69">
        <f>IFERROR(VLOOKUP($B34,'Halo Infinite Stats'!$A:$AM,28,0),)</f>
        <v>0</v>
      </c>
      <c r="T34" s="69">
        <f>IFERROR(VLOOKUP($B34,'Halo Infinite Stats'!$A:$AM,31,0),)</f>
        <v>1</v>
      </c>
      <c r="U34" s="102" t="str">
        <f>IFERROR(VLOOKUP($B34,'PlayerGrades+'!$A:$W,22,0),)</f>
        <v>B-</v>
      </c>
      <c r="V34" s="279">
        <f>IFERROR(VLOOKUP($B34,'PlayerGrades+'!$A:$W,23,0),)</f>
        <v>16.5625</v>
      </c>
      <c r="W34" s="108"/>
      <c r="X34" s="114">
        <f t="shared" si="17"/>
        <v>14768</v>
      </c>
    </row>
    <row r="35">
      <c r="A35" s="492" t="s">
        <v>193</v>
      </c>
      <c r="B35" s="493" t="s">
        <v>195</v>
      </c>
      <c r="C35" s="477">
        <f>IFERROR(VLOOKUP($B35,'Halo Infinite Stats'!$A:$AM,2,0),)</f>
        <v>14</v>
      </c>
      <c r="D35" s="477">
        <f>IFERROR(VLOOKUP($B35,'Halo Infinite Stats'!$A:$AM,3,0),)</f>
        <v>1</v>
      </c>
      <c r="E35" s="477">
        <f>IFERROR(VLOOKUP($B35,'Halo Infinite Stats'!$A:$AM,4,0),)</f>
        <v>13</v>
      </c>
      <c r="F35" s="477">
        <f>IFERROR(VLOOKUP($B35,'Halo Infinite Stats'!$A:$AM,5,0),)</f>
        <v>5</v>
      </c>
      <c r="G35" s="69">
        <f>IFERROR(VLOOKUP($B35,'Halo Infinite Stats'!$A:$AM,6,0),)</f>
        <v>24</v>
      </c>
      <c r="H35" s="69">
        <f>IFERROR(VLOOKUP($B35,'Halo Infinite Stats'!$A:$AM,7,0),)</f>
        <v>596</v>
      </c>
      <c r="I35" s="69">
        <f>IFERROR(VLOOKUP($B35,'Halo Infinite Stats'!$A:$AM,8,0),)</f>
        <v>833</v>
      </c>
      <c r="J35" s="69">
        <f>IFERROR(VLOOKUP($B35,'Halo Infinite Stats'!$A:$AM,9,0),)</f>
        <v>-237</v>
      </c>
      <c r="K35" s="69">
        <f>IFERROR(VLOOKUP($B35,'Halo Infinite Stats'!$A:$AM,11,0),)</f>
        <v>0</v>
      </c>
      <c r="L35" s="69" t="str">
        <f>IFERROR(TEXT(VLOOKUP($B35,'Halo Infinite Stats'!$A:$AM,12,0)/(24*60*60),"hh:mm:ss"),"")</f>
        <v>03:28:02</v>
      </c>
      <c r="M35" s="69">
        <f>IFERROR(VLOOKUP($B35,'Halo Infinite Stats'!$A:$AM,14,0),)</f>
        <v>5</v>
      </c>
      <c r="N35" s="87">
        <f>IFERROR(VLOOKUP($B35,'Halo Infinite Stats'!$A:$AM,15,0),)+IFERROR(VLOOKUP($B35,'Halo Infinite Stats'!$A:$AM,16,0),)+IFERROR(VLOOKUP($B35,'Halo Infinite Stats'!$A:$AM,17,0),)</f>
        <v>0</v>
      </c>
      <c r="O35" s="69">
        <f>IFERROR(VLOOKUP($B35,'Halo Infinite Stats'!$A:$AM,18,0),)</f>
        <v>8</v>
      </c>
      <c r="P35" s="69">
        <f>IFERROR(VLOOKUP($B35,'Halo Infinite Stats'!$A:$AM,19,0),)</f>
        <v>85</v>
      </c>
      <c r="Q35" s="69">
        <f>IFERROR(VLOOKUP($B35,'Halo Infinite Stats'!$A:$AM,20,0),)</f>
        <v>18</v>
      </c>
      <c r="R35" s="87">
        <f>IFERROR(VLOOKUP($B35,'Halo Infinite Stats'!$A:$AM,21,0),)+IFERROR(VLOOKUP($B35,'Halo Infinite Stats'!$A:$AM,22,0),)+IFERROR(VLOOKUP($B35,'Halo Infinite Stats'!$A:$AM,23,0),)+IFERROR(VLOOKUP($B35,'Halo Infinite Stats'!$A:$AM,24,0),)+IFERROR(VLOOKUP($B35,'Halo Infinite Stats'!$A:$AM,25,0),)+IFERROR(VLOOKUP($B35,'Halo Infinite Stats'!$A:$AM,26,0),)+IFERROR(VLOOKUP($B35,'Halo Infinite Stats'!$A:$AM,27,0),)</f>
        <v>10</v>
      </c>
      <c r="S35" s="69">
        <f>IFERROR(VLOOKUP($B35,'Halo Infinite Stats'!$A:$AM,28,0),)</f>
        <v>0</v>
      </c>
      <c r="T35" s="69">
        <f>IFERROR(VLOOKUP($B35,'Halo Infinite Stats'!$A:$AM,31,0),)</f>
        <v>0</v>
      </c>
      <c r="U35" s="102" t="str">
        <f>IFERROR(VLOOKUP($B35,'PlayerGrades+'!$A:$W,22,0),)</f>
        <v>D-</v>
      </c>
      <c r="V35" s="279">
        <f>IFERROR(VLOOKUP($B35,'PlayerGrades+'!$A:$W,23,0),)</f>
        <v>12.3375</v>
      </c>
      <c r="W35" s="108"/>
      <c r="X35" s="114">
        <f t="shared" si="17"/>
        <v>12482</v>
      </c>
    </row>
    <row r="36">
      <c r="A36" s="473" t="s">
        <v>193</v>
      </c>
      <c r="B36" s="475" t="s">
        <v>120</v>
      </c>
      <c r="C36" s="473">
        <f t="shared" ref="C36:I36" si="18">SUM(C32:C35)</f>
        <v>69</v>
      </c>
      <c r="D36" s="473">
        <f t="shared" si="18"/>
        <v>4</v>
      </c>
      <c r="E36" s="473">
        <f t="shared" si="18"/>
        <v>65</v>
      </c>
      <c r="F36" s="473">
        <f t="shared" si="18"/>
        <v>33</v>
      </c>
      <c r="G36" s="473">
        <f t="shared" si="18"/>
        <v>222</v>
      </c>
      <c r="H36" s="473">
        <f t="shared" si="18"/>
        <v>2605</v>
      </c>
      <c r="I36" s="473">
        <f t="shared" si="18"/>
        <v>3511</v>
      </c>
      <c r="J36" s="473">
        <f>MINUS(H36,I36)</f>
        <v>-906</v>
      </c>
      <c r="K36" s="473">
        <f>SUM(K32:K35)</f>
        <v>2</v>
      </c>
      <c r="L36" s="473" t="str">
        <f>TEXT(X36/86400, "hh:mm:ss")</f>
        <v>15:58:14</v>
      </c>
      <c r="M36" s="473">
        <f t="shared" ref="M36:T36" si="19">SUM(M32:M35)</f>
        <v>44</v>
      </c>
      <c r="N36" s="473">
        <f t="shared" si="19"/>
        <v>0</v>
      </c>
      <c r="O36" s="473">
        <f t="shared" si="19"/>
        <v>33</v>
      </c>
      <c r="P36" s="473">
        <f t="shared" si="19"/>
        <v>372</v>
      </c>
      <c r="Q36" s="473">
        <f t="shared" si="19"/>
        <v>96</v>
      </c>
      <c r="R36" s="473">
        <f t="shared" si="19"/>
        <v>32</v>
      </c>
      <c r="S36" s="473">
        <f t="shared" si="19"/>
        <v>0</v>
      </c>
      <c r="T36" s="473">
        <f t="shared" si="19"/>
        <v>1</v>
      </c>
      <c r="U36" s="222" t="str">
        <f>IF(((V32+V33+V34+V35)/4)&lt;='PlayerGrades+'!$Y$44,"F-",IF(((V32+V33+V34+V35)/4)&lt;'PlayerGrades+'!$Y$43,"F",IF(((V32+V33+V34+V35)/4)&lt;'PlayerGrades+'!$Y$42,"F+",IF(((V32+V33+V34+V35)/4)&lt;'PlayerGrades+'!$Y$41,"E-",IF(((V32+V33+V34+V35)/4)&lt;'PlayerGrades+'!$Y$40,"E",IF(((V32+V33+V34+V35)/4)&lt;'PlayerGrades+'!$Y$39,"E+",IF(((V32+V33+V34+V35)/4)&lt;'PlayerGrades+'!$Y$38,"D-",IF(((V32+V33+V34+V35)/4)&lt;'PlayerGrades+'!$Y$37,"D",IF(((V32+V33+V34+V35)/4)&lt;'PlayerGrades+'!$Y$36,"D+",IF(((V32+V33+V34+V35)/4)&lt;'PlayerGrades+'!$Y$35,"C-",IF(((V32+V33+V34+V35)/4)&lt;'PlayerGrades+'!$Y$34,"C",IF(((V32+V33+V34+V35)/4)&lt;'PlayerGrades+'!$Y$33,"C+",IF(((V32+V33+V34+V35)/4)&lt;'PlayerGrades+'!$Y$32,"B-",IF(((V32+V33+V34+V35)/4)&lt;'PlayerGrades+'!$Y$31,"B",IF(((V32+V33+V34+V35)/4)&lt;'PlayerGrades+'!$Y$30,"B+",IF(((V32+V33+V34+V35)/4)&lt;'PlayerGrades+'!$Y$29,"A-",IF(((V32+V33+V34+V35)/4)&lt;'PlayerGrades+'!$Y$28,"A",IF(((V32+V33+V34+V35)/4)&lt;'PlayerGrades+'!$Y$27,"A+",IF(((V32+V33+V34+V35)/4)&lt;'PlayerGrades+'!$Y$26,"S-",IF(((V32+V33+V34+V35)/4)&lt;'PlayerGrades+'!$Y$25,"S","S+"))))))))))))))))))))</f>
        <v>D</v>
      </c>
      <c r="V36" s="226" t="s">
        <v>131</v>
      </c>
      <c r="W36" s="108"/>
      <c r="X36" s="310">
        <f>IFERROR(SUM(X32:X35), 0)
</f>
        <v>57494</v>
      </c>
    </row>
    <row r="37">
      <c r="A37" s="237"/>
      <c r="B37" s="241"/>
      <c r="C37" s="237"/>
      <c r="D37" s="237"/>
      <c r="E37" s="237"/>
      <c r="F37" s="237"/>
      <c r="G37" s="237"/>
      <c r="H37" s="237"/>
      <c r="I37" s="237"/>
      <c r="J37" s="237"/>
      <c r="K37" s="245"/>
      <c r="L37" s="247"/>
      <c r="M37" s="248"/>
      <c r="N37" s="248"/>
      <c r="O37" s="248"/>
      <c r="P37" s="248"/>
      <c r="Q37" s="248"/>
      <c r="R37" s="248"/>
      <c r="S37" s="248"/>
      <c r="T37" s="250"/>
      <c r="U37" s="241"/>
      <c r="V37" s="379"/>
      <c r="W37" s="380"/>
      <c r="X37" s="382"/>
    </row>
    <row r="38">
      <c r="A38" s="516" t="s">
        <v>14</v>
      </c>
      <c r="B38" s="517" t="s">
        <v>48</v>
      </c>
      <c r="C38" s="519">
        <f>IFERROR(VLOOKUP($B38,'Halo Infinite Stats'!$A:$AM,2,0),)</f>
        <v>21</v>
      </c>
      <c r="D38" s="519">
        <f>IFERROR(VLOOKUP($B38,'Halo Infinite Stats'!$A:$AM,3,0),)</f>
        <v>10</v>
      </c>
      <c r="E38" s="519">
        <f>IFERROR(VLOOKUP($B38,'Halo Infinite Stats'!$A:$AM,4,0),)</f>
        <v>11</v>
      </c>
      <c r="F38" s="519">
        <f>IFERROR(VLOOKUP($B38,'Halo Infinite Stats'!$A:$AM,5,0),)</f>
        <v>31</v>
      </c>
      <c r="G38" s="69">
        <f>IFERROR(VLOOKUP($B38,'Halo Infinite Stats'!$A:$AM,6,0),)</f>
        <v>135</v>
      </c>
      <c r="H38" s="69">
        <f>IFERROR(VLOOKUP($B38,'Halo Infinite Stats'!$A:$AM,7,0),)</f>
        <v>599</v>
      </c>
      <c r="I38" s="69">
        <f>IFERROR(VLOOKUP($B38,'Halo Infinite Stats'!$A:$AM,8,0),)</f>
        <v>866</v>
      </c>
      <c r="J38" s="69">
        <f>IFERROR(VLOOKUP($B38,'Halo Infinite Stats'!$A:$AM,9,0),)</f>
        <v>-267</v>
      </c>
      <c r="K38" s="69">
        <f>IFERROR(VLOOKUP($B38,'Halo Infinite Stats'!$A:$AM,11,0),)</f>
        <v>0</v>
      </c>
      <c r="L38" s="69" t="str">
        <f>IFERROR(TEXT(VLOOKUP($B38,'Halo Infinite Stats'!$A:$AM,12,0)/(24*60*60),"hh:mm:ss"),"")</f>
        <v>04:38:04</v>
      </c>
      <c r="M38" s="69">
        <f>IFERROR(VLOOKUP($B38,'Halo Infinite Stats'!$A:$AM,14,0),)</f>
        <v>11</v>
      </c>
      <c r="N38" s="87">
        <f>IFERROR(VLOOKUP($B38,'Halo Infinite Stats'!$A:$AM,15,0),)+IFERROR(VLOOKUP($B38,'Halo Infinite Stats'!$A:$AM,16,0),)+IFERROR(VLOOKUP($B38,'Halo Infinite Stats'!$A:$AM,17,0),)</f>
        <v>0</v>
      </c>
      <c r="O38" s="69">
        <f>IFERROR(VLOOKUP($B38,'Halo Infinite Stats'!$A:$AM,18,0),)</f>
        <v>7</v>
      </c>
      <c r="P38" s="69">
        <f>IFERROR(VLOOKUP($B38,'Halo Infinite Stats'!$A:$AM,19,0),)</f>
        <v>86</v>
      </c>
      <c r="Q38" s="69">
        <f>IFERROR(VLOOKUP($B38,'Halo Infinite Stats'!$A:$AM,20,0),)</f>
        <v>18</v>
      </c>
      <c r="R38" s="87">
        <f>IFERROR(VLOOKUP($B38,'Halo Infinite Stats'!$A:$AM,21,0),)+IFERROR(VLOOKUP($B38,'Halo Infinite Stats'!$A:$AM,22,0),)+IFERROR(VLOOKUP($B38,'Halo Infinite Stats'!$A:$AM,23,0),)+IFERROR(VLOOKUP($B38,'Halo Infinite Stats'!$A:$AM,24,0),)+IFERROR(VLOOKUP($B38,'Halo Infinite Stats'!$A:$AM,25,0),)+IFERROR(VLOOKUP($B38,'Halo Infinite Stats'!$A:$AM,26,0),)+IFERROR(VLOOKUP($B38,'Halo Infinite Stats'!$A:$AM,27,0),)</f>
        <v>5</v>
      </c>
      <c r="S38" s="69">
        <f>IFERROR(VLOOKUP($B38,'Halo Infinite Stats'!$A:$AM,28,0),)</f>
        <v>0</v>
      </c>
      <c r="T38" s="69">
        <f>IFERROR(VLOOKUP($B38,'Halo Infinite Stats'!$A:$AM,31,0),)</f>
        <v>0</v>
      </c>
      <c r="U38" s="102" t="str">
        <f>IFERROR(VLOOKUP($B38,'PlayerGrades+'!$A:$W,22,0),)</f>
        <v>D+</v>
      </c>
      <c r="V38" s="279">
        <f>IFERROR(VLOOKUP($B38,'PlayerGrades+'!$A:$W,23,0),)</f>
        <v>14.1375</v>
      </c>
      <c r="W38" s="108"/>
      <c r="X38" s="114">
        <f t="shared" ref="X38:X41" si="20">(HOUR(L38) * 3600) + (MINUTE(L38) * 60) + SECOND(L38)</f>
        <v>16684</v>
      </c>
    </row>
    <row r="39">
      <c r="A39" s="524" t="s">
        <v>14</v>
      </c>
      <c r="B39" s="526" t="s">
        <v>197</v>
      </c>
      <c r="C39" s="519">
        <f>IFERROR(VLOOKUP($B39,'Halo Infinite Stats'!$A:$AM,2,0),)</f>
        <v>18</v>
      </c>
      <c r="D39" s="519">
        <f>IFERROR(VLOOKUP($B39,'Halo Infinite Stats'!$A:$AM,3,0),)</f>
        <v>8</v>
      </c>
      <c r="E39" s="519">
        <f>IFERROR(VLOOKUP($B39,'Halo Infinite Stats'!$A:$AM,4,0),)</f>
        <v>10</v>
      </c>
      <c r="F39" s="519">
        <f>IFERROR(VLOOKUP($B39,'Halo Infinite Stats'!$A:$AM,5,0),)</f>
        <v>8</v>
      </c>
      <c r="G39" s="69">
        <f>IFERROR(VLOOKUP($B39,'Halo Infinite Stats'!$A:$AM,6,0),)</f>
        <v>13</v>
      </c>
      <c r="H39" s="69">
        <f>IFERROR(VLOOKUP($B39,'Halo Infinite Stats'!$A:$AM,7,0),)</f>
        <v>1079</v>
      </c>
      <c r="I39" s="69">
        <f>IFERROR(VLOOKUP($B39,'Halo Infinite Stats'!$A:$AM,8,0),)</f>
        <v>955</v>
      </c>
      <c r="J39" s="69">
        <f>IFERROR(VLOOKUP($B39,'Halo Infinite Stats'!$A:$AM,9,0),)</f>
        <v>124</v>
      </c>
      <c r="K39" s="69">
        <f>IFERROR(VLOOKUP($B39,'Halo Infinite Stats'!$A:$AM,11,0),)</f>
        <v>1</v>
      </c>
      <c r="L39" s="69" t="str">
        <f>IFERROR(TEXT(VLOOKUP($B39,'Halo Infinite Stats'!$A:$AM,12,0)/(24*60*60),"hh:mm:ss"),"")</f>
        <v>04:14:41</v>
      </c>
      <c r="M39" s="69">
        <f>IFERROR(VLOOKUP($B39,'Halo Infinite Stats'!$A:$AM,14,0),)</f>
        <v>33</v>
      </c>
      <c r="N39" s="87">
        <f>IFERROR(VLOOKUP($B39,'Halo Infinite Stats'!$A:$AM,15,0),)+IFERROR(VLOOKUP($B39,'Halo Infinite Stats'!$A:$AM,16,0),)+IFERROR(VLOOKUP($B39,'Halo Infinite Stats'!$A:$AM,17,0),)</f>
        <v>1</v>
      </c>
      <c r="O39" s="69">
        <f>IFERROR(VLOOKUP($B39,'Halo Infinite Stats'!$A:$AM,18,0),)</f>
        <v>17</v>
      </c>
      <c r="P39" s="69">
        <f>IFERROR(VLOOKUP($B39,'Halo Infinite Stats'!$A:$AM,19,0),)</f>
        <v>231</v>
      </c>
      <c r="Q39" s="69">
        <f>IFERROR(VLOOKUP($B39,'Halo Infinite Stats'!$A:$AM,20,0),)</f>
        <v>89</v>
      </c>
      <c r="R39" s="87">
        <f>IFERROR(VLOOKUP($B39,'Halo Infinite Stats'!$A:$AM,21,0),)+IFERROR(VLOOKUP($B39,'Halo Infinite Stats'!$A:$AM,22,0),)+IFERROR(VLOOKUP($B39,'Halo Infinite Stats'!$A:$AM,23,0),)+IFERROR(VLOOKUP($B39,'Halo Infinite Stats'!$A:$AM,24,0),)+IFERROR(VLOOKUP($B39,'Halo Infinite Stats'!$A:$AM,25,0),)+IFERROR(VLOOKUP($B39,'Halo Infinite Stats'!$A:$AM,26,0),)+IFERROR(VLOOKUP($B39,'Halo Infinite Stats'!$A:$AM,27,0),)</f>
        <v>62</v>
      </c>
      <c r="S39" s="69">
        <f>IFERROR(VLOOKUP($B39,'Halo Infinite Stats'!$A:$AM,28,0),)</f>
        <v>1</v>
      </c>
      <c r="T39" s="69">
        <f>IFERROR(VLOOKUP($B39,'Halo Infinite Stats'!$A:$AM,31,0),)</f>
        <v>1</v>
      </c>
      <c r="U39" s="102" t="str">
        <f>IFERROR(VLOOKUP($B39,'PlayerGrades+'!$A:$W,22,0),)</f>
        <v>A+</v>
      </c>
      <c r="V39" s="279">
        <f>IFERROR(VLOOKUP($B39,'PlayerGrades+'!$A:$W,23,0),)</f>
        <v>24.4625</v>
      </c>
      <c r="W39" s="108"/>
      <c r="X39" s="114">
        <f t="shared" si="20"/>
        <v>15281</v>
      </c>
    </row>
    <row r="40">
      <c r="A40" s="516" t="s">
        <v>14</v>
      </c>
      <c r="B40" s="528" t="s">
        <v>149</v>
      </c>
      <c r="C40" s="519">
        <f>IFERROR(VLOOKUP($B40,'Halo Infinite Stats'!$A:$AM,2,0),)</f>
        <v>37</v>
      </c>
      <c r="D40" s="519">
        <f>IFERROR(VLOOKUP($B40,'Halo Infinite Stats'!$A:$AM,3,0),)</f>
        <v>22</v>
      </c>
      <c r="E40" s="519">
        <f>IFERROR(VLOOKUP($B40,'Halo Infinite Stats'!$A:$AM,4,0),)</f>
        <v>15</v>
      </c>
      <c r="F40" s="519">
        <f>IFERROR(VLOOKUP($B40,'Halo Infinite Stats'!$A:$AM,5,0),)</f>
        <v>22</v>
      </c>
      <c r="G40" s="69">
        <f>IFERROR(VLOOKUP($B40,'Halo Infinite Stats'!$A:$AM,6,0),)</f>
        <v>62</v>
      </c>
      <c r="H40" s="69">
        <f>IFERROR(VLOOKUP($B40,'Halo Infinite Stats'!$A:$AM,7,0),)</f>
        <v>1603</v>
      </c>
      <c r="I40" s="69">
        <f>IFERROR(VLOOKUP($B40,'Halo Infinite Stats'!$A:$AM,8,0),)</f>
        <v>1709</v>
      </c>
      <c r="J40" s="69">
        <f>IFERROR(VLOOKUP($B40,'Halo Infinite Stats'!$A:$AM,9,0),)</f>
        <v>-106</v>
      </c>
      <c r="K40" s="69">
        <f>IFERROR(VLOOKUP($B40,'Halo Infinite Stats'!$A:$AM,11,0),)</f>
        <v>9</v>
      </c>
      <c r="L40" s="69" t="str">
        <f>IFERROR(TEXT(VLOOKUP($B40,'Halo Infinite Stats'!$A:$AM,12,0)/(24*60*60),"hh:mm:ss"),"")</f>
        <v>08:25:48</v>
      </c>
      <c r="M40" s="69">
        <f>IFERROR(VLOOKUP($B40,'Halo Infinite Stats'!$A:$AM,14,0),)</f>
        <v>31</v>
      </c>
      <c r="N40" s="87">
        <f>IFERROR(VLOOKUP($B40,'Halo Infinite Stats'!$A:$AM,15,0),)+IFERROR(VLOOKUP($B40,'Halo Infinite Stats'!$A:$AM,16,0),)+IFERROR(VLOOKUP($B40,'Halo Infinite Stats'!$A:$AM,17,0),)</f>
        <v>0</v>
      </c>
      <c r="O40" s="69">
        <f>IFERROR(VLOOKUP($B40,'Halo Infinite Stats'!$A:$AM,18,0),)</f>
        <v>22</v>
      </c>
      <c r="P40" s="69">
        <f>IFERROR(VLOOKUP($B40,'Halo Infinite Stats'!$A:$AM,19,0),)</f>
        <v>272</v>
      </c>
      <c r="Q40" s="69">
        <f>IFERROR(VLOOKUP($B40,'Halo Infinite Stats'!$A:$AM,20,0),)</f>
        <v>80</v>
      </c>
      <c r="R40" s="87">
        <f>IFERROR(VLOOKUP($B40,'Halo Infinite Stats'!$A:$AM,21,0),)+IFERROR(VLOOKUP($B40,'Halo Infinite Stats'!$A:$AM,22,0),)+IFERROR(VLOOKUP($B40,'Halo Infinite Stats'!$A:$AM,23,0),)+IFERROR(VLOOKUP($B40,'Halo Infinite Stats'!$A:$AM,24,0),)+IFERROR(VLOOKUP($B40,'Halo Infinite Stats'!$A:$AM,25,0),)+IFERROR(VLOOKUP($B40,'Halo Infinite Stats'!$A:$AM,26,0),)+IFERROR(VLOOKUP($B40,'Halo Infinite Stats'!$A:$AM,27,0),)</f>
        <v>37</v>
      </c>
      <c r="S40" s="69">
        <f>IFERROR(VLOOKUP($B40,'Halo Infinite Stats'!$A:$AM,28,0),)</f>
        <v>0</v>
      </c>
      <c r="T40" s="69">
        <f>IFERROR(VLOOKUP($B40,'Halo Infinite Stats'!$A:$AM,31,0),)</f>
        <v>0</v>
      </c>
      <c r="U40" s="102" t="str">
        <f>IFERROR(VLOOKUP($B40,'PlayerGrades+'!$A:$W,22,0),)</f>
        <v>A</v>
      </c>
      <c r="V40" s="279">
        <f>IFERROR(VLOOKUP($B40,'PlayerGrades+'!$A:$W,23,0),)</f>
        <v>21.55</v>
      </c>
      <c r="W40" s="108"/>
      <c r="X40" s="114">
        <f t="shared" si="20"/>
        <v>30348</v>
      </c>
    </row>
    <row r="41">
      <c r="A41" s="532" t="s">
        <v>14</v>
      </c>
      <c r="B41" s="533" t="s">
        <v>96</v>
      </c>
      <c r="C41" s="519">
        <f>IFERROR(VLOOKUP($B41,'Halo Infinite Stats'!$A:$AM,2,0),)</f>
        <v>7</v>
      </c>
      <c r="D41" s="519">
        <f>IFERROR(VLOOKUP($B41,'Halo Infinite Stats'!$A:$AM,3,0),)</f>
        <v>6</v>
      </c>
      <c r="E41" s="519">
        <f>IFERROR(VLOOKUP($B41,'Halo Infinite Stats'!$A:$AM,4,0),)</f>
        <v>1</v>
      </c>
      <c r="F41" s="519">
        <f>IFERROR(VLOOKUP($B41,'Halo Infinite Stats'!$A:$AM,5,0),)</f>
        <v>7</v>
      </c>
      <c r="G41" s="69">
        <f>IFERROR(VLOOKUP($B41,'Halo Infinite Stats'!$A:$AM,6,0),)</f>
        <v>24</v>
      </c>
      <c r="H41" s="69">
        <f>IFERROR(VLOOKUP($B41,'Halo Infinite Stats'!$A:$AM,7,0),)</f>
        <v>248</v>
      </c>
      <c r="I41" s="69">
        <f>IFERROR(VLOOKUP($B41,'Halo Infinite Stats'!$A:$AM,8,0),)</f>
        <v>296</v>
      </c>
      <c r="J41" s="69">
        <f>IFERROR(VLOOKUP($B41,'Halo Infinite Stats'!$A:$AM,9,0),)</f>
        <v>-48</v>
      </c>
      <c r="K41" s="69">
        <f>IFERROR(VLOOKUP($B41,'Halo Infinite Stats'!$A:$AM,11,0),)</f>
        <v>2</v>
      </c>
      <c r="L41" s="69" t="str">
        <f>IFERROR(TEXT(VLOOKUP($B41,'Halo Infinite Stats'!$A:$AM,12,0)/(24*60*60),"hh:mm:ss"),"")</f>
        <v>01:27:35</v>
      </c>
      <c r="M41" s="69">
        <f>IFERROR(VLOOKUP($B41,'Halo Infinite Stats'!$A:$AM,14,0),)</f>
        <v>0</v>
      </c>
      <c r="N41" s="87">
        <f>IFERROR(VLOOKUP($B41,'Halo Infinite Stats'!$A:$AM,15,0),)+IFERROR(VLOOKUP($B41,'Halo Infinite Stats'!$A:$AM,16,0),)+IFERROR(VLOOKUP($B41,'Halo Infinite Stats'!$A:$AM,17,0),)</f>
        <v>0</v>
      </c>
      <c r="O41" s="69">
        <f>IFERROR(VLOOKUP($B41,'Halo Infinite Stats'!$A:$AM,18,0),)</f>
        <v>0</v>
      </c>
      <c r="P41" s="69">
        <f>IFERROR(VLOOKUP($B41,'Halo Infinite Stats'!$A:$AM,19,0),)</f>
        <v>38</v>
      </c>
      <c r="Q41" s="69">
        <f>IFERROR(VLOOKUP($B41,'Halo Infinite Stats'!$A:$AM,20,0),)</f>
        <v>9</v>
      </c>
      <c r="R41" s="87">
        <f>IFERROR(VLOOKUP($B41,'Halo Infinite Stats'!$A:$AM,21,0),)+IFERROR(VLOOKUP($B41,'Halo Infinite Stats'!$A:$AM,22,0),)+IFERROR(VLOOKUP($B41,'Halo Infinite Stats'!$A:$AM,23,0),)+IFERROR(VLOOKUP($B41,'Halo Infinite Stats'!$A:$AM,24,0),)+IFERROR(VLOOKUP($B41,'Halo Infinite Stats'!$A:$AM,25,0),)+IFERROR(VLOOKUP($B41,'Halo Infinite Stats'!$A:$AM,26,0),)+IFERROR(VLOOKUP($B41,'Halo Infinite Stats'!$A:$AM,27,0),)</f>
        <v>3</v>
      </c>
      <c r="S41" s="69">
        <f>IFERROR(VLOOKUP($B41,'Halo Infinite Stats'!$A:$AM,28,0),)</f>
        <v>0</v>
      </c>
      <c r="T41" s="69">
        <f>IFERROR(VLOOKUP($B41,'Halo Infinite Stats'!$A:$AM,31,0),)</f>
        <v>0</v>
      </c>
      <c r="U41" s="102" t="str">
        <f>IFERROR(VLOOKUP($B41,'PlayerGrades+'!$A:$W,22,0),)</f>
        <v>C+</v>
      </c>
      <c r="V41" s="279">
        <f>IFERROR(VLOOKUP($B41,'PlayerGrades+'!$A:$W,23,0),)</f>
        <v>15.6125</v>
      </c>
      <c r="W41" s="108"/>
      <c r="X41" s="114">
        <f t="shared" si="20"/>
        <v>5255</v>
      </c>
    </row>
    <row r="42">
      <c r="A42" s="516" t="s">
        <v>14</v>
      </c>
      <c r="B42" s="528" t="s">
        <v>120</v>
      </c>
      <c r="C42" s="537">
        <f t="shared" ref="C42:I42" si="21">SUM(C38:C41)</f>
        <v>83</v>
      </c>
      <c r="D42" s="537">
        <f t="shared" si="21"/>
        <v>46</v>
      </c>
      <c r="E42" s="537">
        <f t="shared" si="21"/>
        <v>37</v>
      </c>
      <c r="F42" s="537">
        <f t="shared" si="21"/>
        <v>68</v>
      </c>
      <c r="G42" s="537">
        <f t="shared" si="21"/>
        <v>234</v>
      </c>
      <c r="H42" s="537">
        <f t="shared" si="21"/>
        <v>3529</v>
      </c>
      <c r="I42" s="537">
        <f t="shared" si="21"/>
        <v>3826</v>
      </c>
      <c r="J42" s="537">
        <f>MINUS(H42,I42)</f>
        <v>-297</v>
      </c>
      <c r="K42" s="537">
        <f>SUM(K38:K41)</f>
        <v>12</v>
      </c>
      <c r="L42" s="537" t="str">
        <f>TEXT(X42/86400, "hh:mm:ss")</f>
        <v>18:46:08</v>
      </c>
      <c r="M42" s="537">
        <f t="shared" ref="M42:T42" si="22">SUM(M38:M41)</f>
        <v>75</v>
      </c>
      <c r="N42" s="537">
        <f t="shared" si="22"/>
        <v>1</v>
      </c>
      <c r="O42" s="537">
        <f t="shared" si="22"/>
        <v>46</v>
      </c>
      <c r="P42" s="537">
        <f t="shared" si="22"/>
        <v>627</v>
      </c>
      <c r="Q42" s="537">
        <f t="shared" si="22"/>
        <v>196</v>
      </c>
      <c r="R42" s="537">
        <f t="shared" si="22"/>
        <v>107</v>
      </c>
      <c r="S42" s="537">
        <f t="shared" si="22"/>
        <v>1</v>
      </c>
      <c r="T42" s="537">
        <f t="shared" si="22"/>
        <v>1</v>
      </c>
      <c r="U42" s="222" t="str">
        <f>IF(((V38+V39+V40+V41)/4)&lt;='PlayerGrades+'!$Y$44,"F-",IF(((V38+V39+V40+V41)/4)&lt;'PlayerGrades+'!$Y$43,"F",IF(((V38+V39+V40+V41)/4)&lt;'PlayerGrades+'!$Y$42,"F+",IF(((V38+V39+V40+V41)/4)&lt;'PlayerGrades+'!$Y$41,"E-",IF(((V38+V39+V40+V41)/4)&lt;'PlayerGrades+'!$Y$40,"E",IF(((V38+V39+V40+V41)/4)&lt;'PlayerGrades+'!$Y$39,"E+",IF(((V38+V39+V40+V41)/4)&lt;'PlayerGrades+'!$Y$38,"D-",IF(((V38+V39+V40+V41)/4)&lt;'PlayerGrades+'!$Y$37,"D",IF(((V38+V39+V40+V41)/4)&lt;'PlayerGrades+'!$Y$36,"D+",IF(((V38+V39+V40+V41)/4)&lt;'PlayerGrades+'!$Y$35,"C-",IF(((V38+V39+V40+V41)/4)&lt;'PlayerGrades+'!$Y$34,"C",IF(((V38+V39+V40+V41)/4)&lt;'PlayerGrades+'!$Y$33,"C+",IF(((V38+V39+V40+V41)/4)&lt;'PlayerGrades+'!$Y$32,"B-",IF(((V38+V39+V40+V41)/4)&lt;'PlayerGrades+'!$Y$31,"B",IF(((V38+V39+V40+V41)/4)&lt;'PlayerGrades+'!$Y$30,"B+",IF(((V38+V39+V40+V41)/4)&lt;'PlayerGrades+'!$Y$29,"A-",IF(((V38+V39+V40+V41)/4)&lt;'PlayerGrades+'!$Y$28,"A",IF(((V38+V39+V40+V41)/4)&lt;'PlayerGrades+'!$Y$27,"A+",IF(((V38+V39+V40+V41)/4)&lt;'PlayerGrades+'!$Y$26,"S-",IF(((V38+V39+V40+V41)/4)&lt;'PlayerGrades+'!$Y$25,"S","S+"))))))))))))))))))))</f>
        <v>B</v>
      </c>
      <c r="V42" s="226" t="s">
        <v>131</v>
      </c>
      <c r="W42" s="108"/>
      <c r="X42" s="310">
        <f>IFERROR(SUM(X38:X41), 0)
</f>
        <v>67568</v>
      </c>
    </row>
    <row r="43">
      <c r="A43" s="237"/>
      <c r="B43" s="241"/>
      <c r="C43" s="237"/>
      <c r="D43" s="237"/>
      <c r="E43" s="237"/>
      <c r="F43" s="237"/>
      <c r="G43" s="237"/>
      <c r="H43" s="237"/>
      <c r="I43" s="237"/>
      <c r="J43" s="237"/>
      <c r="K43" s="245"/>
      <c r="L43" s="247"/>
      <c r="M43" s="248"/>
      <c r="N43" s="248"/>
      <c r="O43" s="248"/>
      <c r="P43" s="248"/>
      <c r="Q43" s="248"/>
      <c r="R43" s="248"/>
      <c r="S43" s="248"/>
      <c r="T43" s="250"/>
      <c r="U43" s="241"/>
      <c r="V43" s="379"/>
      <c r="W43" s="380"/>
      <c r="X43" s="382"/>
    </row>
    <row r="44">
      <c r="A44" s="541" t="s">
        <v>199</v>
      </c>
      <c r="B44" s="542" t="s">
        <v>40</v>
      </c>
      <c r="C44" s="543">
        <f>IFERROR(VLOOKUP($B44,'Halo Infinite Stats'!$A:$AM,2,0),)</f>
        <v>16</v>
      </c>
      <c r="D44" s="543">
        <f>IFERROR(VLOOKUP($B44,'Halo Infinite Stats'!$A:$AM,3,0),)</f>
        <v>2</v>
      </c>
      <c r="E44" s="543">
        <f>IFERROR(VLOOKUP($B44,'Halo Infinite Stats'!$A:$AM,4,0),)</f>
        <v>14</v>
      </c>
      <c r="F44" s="543">
        <f>IFERROR(VLOOKUP($B44,'Halo Infinite Stats'!$A:$AM,5,0),)</f>
        <v>4</v>
      </c>
      <c r="G44" s="69">
        <f>IFERROR(VLOOKUP($B44,'Halo Infinite Stats'!$A:$AM,6,0),)</f>
        <v>16</v>
      </c>
      <c r="H44" s="69">
        <f>IFERROR(VLOOKUP($B44,'Halo Infinite Stats'!$A:$AM,7,0),)</f>
        <v>371</v>
      </c>
      <c r="I44" s="69">
        <f>IFERROR(VLOOKUP($B44,'Halo Infinite Stats'!$A:$AM,8,0),)</f>
        <v>721</v>
      </c>
      <c r="J44" s="69">
        <f>IFERROR(VLOOKUP($B44,'Halo Infinite Stats'!$A:$AM,9,0),)</f>
        <v>-350</v>
      </c>
      <c r="K44" s="69">
        <f>IFERROR(VLOOKUP($B44,'Halo Infinite Stats'!$A:$AM,11,0),)</f>
        <v>2</v>
      </c>
      <c r="L44" s="69" t="str">
        <f>IFERROR(TEXT(VLOOKUP($B44,'Halo Infinite Stats'!$A:$AM,12,0)/(24*60*60),"hh:mm:ss"),"")</f>
        <v>03:19:14</v>
      </c>
      <c r="M44" s="69">
        <f>IFERROR(VLOOKUP($B44,'Halo Infinite Stats'!$A:$AM,14,0),)</f>
        <v>1</v>
      </c>
      <c r="N44" s="87">
        <f>IFERROR(VLOOKUP($B44,'Halo Infinite Stats'!$A:$AM,15,0),)+IFERROR(VLOOKUP($B44,'Halo Infinite Stats'!$A:$AM,16,0),)+IFERROR(VLOOKUP($B44,'Halo Infinite Stats'!$A:$AM,17,0),)</f>
        <v>0</v>
      </c>
      <c r="O44" s="69">
        <f>IFERROR(VLOOKUP($B44,'Halo Infinite Stats'!$A:$AM,18,0),)</f>
        <v>1</v>
      </c>
      <c r="P44" s="69">
        <f>IFERROR(VLOOKUP($B44,'Halo Infinite Stats'!$A:$AM,19,0),)</f>
        <v>24</v>
      </c>
      <c r="Q44" s="69">
        <f>IFERROR(VLOOKUP($B44,'Halo Infinite Stats'!$A:$AM,20,0),)</f>
        <v>6</v>
      </c>
      <c r="R44" s="87">
        <f>IFERROR(VLOOKUP($B44,'Halo Infinite Stats'!$A:$AM,21,0),)+IFERROR(VLOOKUP($B44,'Halo Infinite Stats'!$A:$AM,22,0),)+IFERROR(VLOOKUP($B44,'Halo Infinite Stats'!$A:$AM,23,0),)+IFERROR(VLOOKUP($B44,'Halo Infinite Stats'!$A:$AM,24,0),)+IFERROR(VLOOKUP($B44,'Halo Infinite Stats'!$A:$AM,25,0),)+IFERROR(VLOOKUP($B44,'Halo Infinite Stats'!$A:$AM,26,0),)+IFERROR(VLOOKUP($B44,'Halo Infinite Stats'!$A:$AM,27,0),)</f>
        <v>1</v>
      </c>
      <c r="S44" s="69">
        <f>IFERROR(VLOOKUP($B44,'Halo Infinite Stats'!$A:$AM,28,0),)</f>
        <v>0</v>
      </c>
      <c r="T44" s="69">
        <f>IFERROR(VLOOKUP($B44,'Halo Infinite Stats'!$A:$AM,31,0),)</f>
        <v>0</v>
      </c>
      <c r="U44" s="102" t="str">
        <f>IFERROR(VLOOKUP($B44,'PlayerGrades+'!$A:$W,22,0),)</f>
        <v>F-</v>
      </c>
      <c r="V44" s="279">
        <f>IFERROR(VLOOKUP($B44,'PlayerGrades+'!$A:$W,23,0),)</f>
        <v>4.475</v>
      </c>
      <c r="W44" s="546"/>
      <c r="X44" s="114">
        <f t="shared" ref="X44:X47" si="23">(HOUR(L44) * 3600) + (MINUTE(L44) * 60) + SECOND(L44)</f>
        <v>11954</v>
      </c>
    </row>
    <row r="45">
      <c r="A45" s="548" t="s">
        <v>199</v>
      </c>
      <c r="B45" s="549" t="s">
        <v>57</v>
      </c>
      <c r="C45" s="543">
        <f>IFERROR(VLOOKUP($B45,'Halo Infinite Stats'!$A:$AM,2,0),)</f>
        <v>5</v>
      </c>
      <c r="D45" s="543">
        <f>IFERROR(VLOOKUP($B45,'Halo Infinite Stats'!$A:$AM,3,0),)</f>
        <v>0</v>
      </c>
      <c r="E45" s="543">
        <f>IFERROR(VLOOKUP($B45,'Halo Infinite Stats'!$A:$AM,4,0),)</f>
        <v>5</v>
      </c>
      <c r="F45" s="543">
        <f>IFERROR(VLOOKUP($B45,'Halo Infinite Stats'!$A:$AM,5,0),)</f>
        <v>3</v>
      </c>
      <c r="G45" s="69">
        <f>IFERROR(VLOOKUP($B45,'Halo Infinite Stats'!$A:$AM,6,0),)</f>
        <v>22</v>
      </c>
      <c r="H45" s="69">
        <f>IFERROR(VLOOKUP($B45,'Halo Infinite Stats'!$A:$AM,7,0),)</f>
        <v>174</v>
      </c>
      <c r="I45" s="69">
        <f>IFERROR(VLOOKUP($B45,'Halo Infinite Stats'!$A:$AM,8,0),)</f>
        <v>219</v>
      </c>
      <c r="J45" s="69">
        <f>IFERROR(VLOOKUP($B45,'Halo Infinite Stats'!$A:$AM,9,0),)</f>
        <v>-45</v>
      </c>
      <c r="K45" s="69">
        <f>IFERROR(VLOOKUP($B45,'Halo Infinite Stats'!$A:$AM,11,0),)</f>
        <v>0</v>
      </c>
      <c r="L45" s="69" t="str">
        <f>IFERROR(TEXT(VLOOKUP($B45,'Halo Infinite Stats'!$A:$AM,12,0)/(24*60*60),"hh:mm:ss"),"")</f>
        <v>01:02:11</v>
      </c>
      <c r="M45" s="69">
        <f>IFERROR(VLOOKUP($B45,'Halo Infinite Stats'!$A:$AM,14,0),)</f>
        <v>3</v>
      </c>
      <c r="N45" s="87">
        <f>IFERROR(VLOOKUP($B45,'Halo Infinite Stats'!$A:$AM,15,0),)+IFERROR(VLOOKUP($B45,'Halo Infinite Stats'!$A:$AM,16,0),)+IFERROR(VLOOKUP($B45,'Halo Infinite Stats'!$A:$AM,17,0),)</f>
        <v>0</v>
      </c>
      <c r="O45" s="69">
        <f>IFERROR(VLOOKUP($B45,'Halo Infinite Stats'!$A:$AM,18,0),)</f>
        <v>1</v>
      </c>
      <c r="P45" s="69">
        <f>IFERROR(VLOOKUP($B45,'Halo Infinite Stats'!$A:$AM,19,0),)</f>
        <v>26</v>
      </c>
      <c r="Q45" s="69">
        <f>IFERROR(VLOOKUP($B45,'Halo Infinite Stats'!$A:$AM,20,0),)</f>
        <v>4</v>
      </c>
      <c r="R45" s="87">
        <f>IFERROR(VLOOKUP($B45,'Halo Infinite Stats'!$A:$AM,21,0),)+IFERROR(VLOOKUP($B45,'Halo Infinite Stats'!$A:$AM,22,0),)+IFERROR(VLOOKUP($B45,'Halo Infinite Stats'!$A:$AM,23,0),)+IFERROR(VLOOKUP($B45,'Halo Infinite Stats'!$A:$AM,24,0),)+IFERROR(VLOOKUP($B45,'Halo Infinite Stats'!$A:$AM,25,0),)+IFERROR(VLOOKUP($B45,'Halo Infinite Stats'!$A:$AM,26,0),)+IFERROR(VLOOKUP($B45,'Halo Infinite Stats'!$A:$AM,27,0),)</f>
        <v>2</v>
      </c>
      <c r="S45" s="69">
        <f>IFERROR(VLOOKUP($B45,'Halo Infinite Stats'!$A:$AM,28,0),)</f>
        <v>0</v>
      </c>
      <c r="T45" s="69">
        <f>IFERROR(VLOOKUP($B45,'Halo Infinite Stats'!$A:$AM,31,0),)</f>
        <v>0</v>
      </c>
      <c r="U45" s="102" t="str">
        <f>IFERROR(VLOOKUP($B45,'PlayerGrades+'!$A:$W,22,0),)</f>
        <v>C+</v>
      </c>
      <c r="V45" s="279">
        <f>IFERROR(VLOOKUP($B45,'PlayerGrades+'!$A:$W,23,0),)</f>
        <v>16.15</v>
      </c>
      <c r="W45" s="553"/>
      <c r="X45" s="114">
        <f t="shared" si="23"/>
        <v>3731</v>
      </c>
    </row>
    <row r="46">
      <c r="A46" s="541" t="s">
        <v>199</v>
      </c>
      <c r="B46" s="554" t="s">
        <v>78</v>
      </c>
      <c r="C46" s="543">
        <f>IFERROR(VLOOKUP($B46,'Halo Infinite Stats'!$A:$AM,2,0),)</f>
        <v>5</v>
      </c>
      <c r="D46" s="543">
        <f>IFERROR(VLOOKUP($B46,'Halo Infinite Stats'!$A:$AM,3,0),)</f>
        <v>0</v>
      </c>
      <c r="E46" s="543">
        <f>IFERROR(VLOOKUP($B46,'Halo Infinite Stats'!$A:$AM,4,0),)</f>
        <v>5</v>
      </c>
      <c r="F46" s="543">
        <f>IFERROR(VLOOKUP($B46,'Halo Infinite Stats'!$A:$AM,5,0),)</f>
        <v>1</v>
      </c>
      <c r="G46" s="69">
        <f>IFERROR(VLOOKUP($B46,'Halo Infinite Stats'!$A:$AM,6,0),)</f>
        <v>2</v>
      </c>
      <c r="H46" s="69">
        <f>IFERROR(VLOOKUP($B46,'Halo Infinite Stats'!$A:$AM,7,0),)</f>
        <v>145</v>
      </c>
      <c r="I46" s="69">
        <f>IFERROR(VLOOKUP($B46,'Halo Infinite Stats'!$A:$AM,8,0),)</f>
        <v>188</v>
      </c>
      <c r="J46" s="69">
        <f>IFERROR(VLOOKUP($B46,'Halo Infinite Stats'!$A:$AM,9,0),)</f>
        <v>-43</v>
      </c>
      <c r="K46" s="69">
        <f>IFERROR(VLOOKUP($B46,'Halo Infinite Stats'!$A:$AM,11,0),)</f>
        <v>1</v>
      </c>
      <c r="L46" s="69" t="str">
        <f>IFERROR(TEXT(VLOOKUP($B46,'Halo Infinite Stats'!$A:$AM,12,0)/(24*60*60),"hh:mm:ss"),"")</f>
        <v>00:53:09</v>
      </c>
      <c r="M46" s="69">
        <f>IFERROR(VLOOKUP($B46,'Halo Infinite Stats'!$A:$AM,14,0),)</f>
        <v>3</v>
      </c>
      <c r="N46" s="87">
        <f>IFERROR(VLOOKUP($B46,'Halo Infinite Stats'!$A:$AM,15,0),)+IFERROR(VLOOKUP($B46,'Halo Infinite Stats'!$A:$AM,16,0),)+IFERROR(VLOOKUP($B46,'Halo Infinite Stats'!$A:$AM,17,0),)</f>
        <v>0</v>
      </c>
      <c r="O46" s="69">
        <f>IFERROR(VLOOKUP($B46,'Halo Infinite Stats'!$A:$AM,18,0),)</f>
        <v>0</v>
      </c>
      <c r="P46" s="69">
        <f>IFERROR(VLOOKUP($B46,'Halo Infinite Stats'!$A:$AM,19,0),)</f>
        <v>18</v>
      </c>
      <c r="Q46" s="69">
        <f>IFERROR(VLOOKUP($B46,'Halo Infinite Stats'!$A:$AM,20,0),)</f>
        <v>8</v>
      </c>
      <c r="R46" s="87">
        <f>IFERROR(VLOOKUP($B46,'Halo Infinite Stats'!$A:$AM,21,0),)+IFERROR(VLOOKUP($B46,'Halo Infinite Stats'!$A:$AM,22,0),)+IFERROR(VLOOKUP($B46,'Halo Infinite Stats'!$A:$AM,23,0),)+IFERROR(VLOOKUP($B46,'Halo Infinite Stats'!$A:$AM,24,0),)+IFERROR(VLOOKUP($B46,'Halo Infinite Stats'!$A:$AM,25,0),)+IFERROR(VLOOKUP($B46,'Halo Infinite Stats'!$A:$AM,26,0),)+IFERROR(VLOOKUP($B46,'Halo Infinite Stats'!$A:$AM,27,0),)</f>
        <v>6</v>
      </c>
      <c r="S46" s="69">
        <f>IFERROR(VLOOKUP($B46,'Halo Infinite Stats'!$A:$AM,28,0),)</f>
        <v>0</v>
      </c>
      <c r="T46" s="69">
        <f>IFERROR(VLOOKUP($B46,'Halo Infinite Stats'!$A:$AM,31,0),)</f>
        <v>0</v>
      </c>
      <c r="U46" s="102" t="str">
        <f>IFERROR(VLOOKUP($B46,'PlayerGrades+'!$A:$W,22,0),)</f>
        <v>D-</v>
      </c>
      <c r="V46" s="279">
        <f>IFERROR(VLOOKUP($B46,'PlayerGrades+'!$A:$W,23,0),)</f>
        <v>12.2875</v>
      </c>
      <c r="W46" s="553"/>
      <c r="X46" s="114">
        <f t="shared" si="23"/>
        <v>3189</v>
      </c>
    </row>
    <row r="47">
      <c r="A47" s="548" t="s">
        <v>199</v>
      </c>
      <c r="B47" s="558" t="s">
        <v>200</v>
      </c>
      <c r="C47" s="543">
        <f>IFERROR(VLOOKUP($B47,'Halo Infinite Stats'!$A:$AM,2,0),)</f>
        <v>3</v>
      </c>
      <c r="D47" s="543">
        <f>IFERROR(VLOOKUP($B47,'Halo Infinite Stats'!$A:$AM,3,0),)</f>
        <v>0</v>
      </c>
      <c r="E47" s="543">
        <f>IFERROR(VLOOKUP($B47,'Halo Infinite Stats'!$A:$AM,4,0),)</f>
        <v>3</v>
      </c>
      <c r="F47" s="543">
        <f>IFERROR(VLOOKUP($B47,'Halo Infinite Stats'!$A:$AM,5,0),)</f>
        <v>0</v>
      </c>
      <c r="G47" s="69">
        <f>IFERROR(VLOOKUP($B47,'Halo Infinite Stats'!$A:$AM,6,0),)</f>
        <v>1</v>
      </c>
      <c r="H47" s="69">
        <f>IFERROR(VLOOKUP($B47,'Halo Infinite Stats'!$A:$AM,7,0),)</f>
        <v>54</v>
      </c>
      <c r="I47" s="69">
        <f>IFERROR(VLOOKUP($B47,'Halo Infinite Stats'!$A:$AM,8,0),)</f>
        <v>85</v>
      </c>
      <c r="J47" s="69">
        <f>IFERROR(VLOOKUP($B47,'Halo Infinite Stats'!$A:$AM,9,0),)</f>
        <v>-31</v>
      </c>
      <c r="K47" s="69">
        <f>IFERROR(VLOOKUP($B47,'Halo Infinite Stats'!$A:$AM,11,0),)</f>
        <v>0</v>
      </c>
      <c r="L47" s="69" t="str">
        <f>IFERROR(TEXT(VLOOKUP($B47,'Halo Infinite Stats'!$A:$AM,12,0)/(24*60*60),"hh:mm:ss"),"")</f>
        <v>00:23:35</v>
      </c>
      <c r="M47" s="69">
        <f>IFERROR(VLOOKUP($B47,'Halo Infinite Stats'!$A:$AM,14,0),)</f>
        <v>1</v>
      </c>
      <c r="N47" s="87">
        <f>IFERROR(VLOOKUP($B47,'Halo Infinite Stats'!$A:$AM,15,0),)+IFERROR(VLOOKUP($B47,'Halo Infinite Stats'!$A:$AM,16,0),)+IFERROR(VLOOKUP($B47,'Halo Infinite Stats'!$A:$AM,17,0),)</f>
        <v>0</v>
      </c>
      <c r="O47" s="69">
        <f>IFERROR(VLOOKUP($B47,'Halo Infinite Stats'!$A:$AM,18,0),)</f>
        <v>0</v>
      </c>
      <c r="P47" s="69">
        <f>IFERROR(VLOOKUP($B47,'Halo Infinite Stats'!$A:$AM,19,0),)</f>
        <v>9</v>
      </c>
      <c r="Q47" s="69">
        <f>IFERROR(VLOOKUP($B47,'Halo Infinite Stats'!$A:$AM,20,0),)</f>
        <v>2</v>
      </c>
      <c r="R47" s="87">
        <f>IFERROR(VLOOKUP($B47,'Halo Infinite Stats'!$A:$AM,21,0),)+IFERROR(VLOOKUP($B47,'Halo Infinite Stats'!$A:$AM,22,0),)+IFERROR(VLOOKUP($B47,'Halo Infinite Stats'!$A:$AM,23,0),)+IFERROR(VLOOKUP($B47,'Halo Infinite Stats'!$A:$AM,24,0),)+IFERROR(VLOOKUP($B47,'Halo Infinite Stats'!$A:$AM,25,0),)+IFERROR(VLOOKUP($B47,'Halo Infinite Stats'!$A:$AM,26,0),)+IFERROR(VLOOKUP($B47,'Halo Infinite Stats'!$A:$AM,27,0),)</f>
        <v>0</v>
      </c>
      <c r="S47" s="69">
        <f>IFERROR(VLOOKUP($B47,'Halo Infinite Stats'!$A:$AM,28,0),)</f>
        <v>0</v>
      </c>
      <c r="T47" s="69">
        <f>IFERROR(VLOOKUP($B47,'Halo Infinite Stats'!$A:$AM,31,0),)</f>
        <v>0</v>
      </c>
      <c r="U47" s="102" t="str">
        <f>IFERROR(VLOOKUP($B47,'PlayerGrades+'!$A:$W,22,0),)</f>
        <v>F</v>
      </c>
      <c r="V47" s="279">
        <f>IFERROR(VLOOKUP($B47,'PlayerGrades+'!$A:$W,23,0),)</f>
        <v>7.2</v>
      </c>
      <c r="W47" s="553"/>
      <c r="X47" s="114">
        <f t="shared" si="23"/>
        <v>1415</v>
      </c>
    </row>
    <row r="48">
      <c r="A48" s="541" t="s">
        <v>199</v>
      </c>
      <c r="B48" s="554" t="s">
        <v>120</v>
      </c>
      <c r="C48" s="541">
        <f t="shared" ref="C48:I48" si="24">SUM(C44:C47)</f>
        <v>29</v>
      </c>
      <c r="D48" s="541">
        <f t="shared" si="24"/>
        <v>2</v>
      </c>
      <c r="E48" s="541">
        <f t="shared" si="24"/>
        <v>27</v>
      </c>
      <c r="F48" s="541">
        <f t="shared" si="24"/>
        <v>8</v>
      </c>
      <c r="G48" s="541">
        <f t="shared" si="24"/>
        <v>41</v>
      </c>
      <c r="H48" s="541">
        <f t="shared" si="24"/>
        <v>744</v>
      </c>
      <c r="I48" s="541">
        <f t="shared" si="24"/>
        <v>1213</v>
      </c>
      <c r="J48" s="541">
        <f>MINUS(H48,I48)</f>
        <v>-469</v>
      </c>
      <c r="K48" s="541">
        <f>SUM(K44:K47)</f>
        <v>3</v>
      </c>
      <c r="L48" s="541" t="str">
        <f>TEXT(X48/86400, "hh:mm:ss")</f>
        <v>05:38:09</v>
      </c>
      <c r="M48" s="541">
        <f t="shared" ref="M48:T48" si="25">SUM(M44:M47)</f>
        <v>8</v>
      </c>
      <c r="N48" s="541">
        <f t="shared" si="25"/>
        <v>0</v>
      </c>
      <c r="O48" s="541">
        <f t="shared" si="25"/>
        <v>2</v>
      </c>
      <c r="P48" s="541">
        <f t="shared" si="25"/>
        <v>77</v>
      </c>
      <c r="Q48" s="541">
        <f t="shared" si="25"/>
        <v>20</v>
      </c>
      <c r="R48" s="541">
        <f t="shared" si="25"/>
        <v>9</v>
      </c>
      <c r="S48" s="541">
        <f t="shared" si="25"/>
        <v>0</v>
      </c>
      <c r="T48" s="541">
        <f t="shared" si="25"/>
        <v>0</v>
      </c>
      <c r="U48" s="222" t="str">
        <f>IF(((V44+V45+V46+V47)/4)&lt;='PlayerGrades+'!$Y$44,"F-",IF(((V44+V45+V46+V47)/4)&lt;'PlayerGrades+'!$Y$43,"F",IF(((V44+V45+V46+V47)/4)&lt;'PlayerGrades+'!$Y$42,"F+",IF(((V44+V45+V46+V47)/4)&lt;'PlayerGrades+'!$Y$41,"E-",IF(((V44+V45+V46+V47)/4)&lt;'PlayerGrades+'!$Y$40,"E",IF(((V44+V45+V46+V47)/4)&lt;'PlayerGrades+'!$Y$39,"E+",IF(((V44+V45+V46+V47)/4)&lt;'PlayerGrades+'!$Y$38,"D-",IF(((V44+V45+V46+V47)/4)&lt;'PlayerGrades+'!$Y$37,"D",IF(((V44+V45+V46+V47)/4)&lt;'PlayerGrades+'!$Y$36,"D+",IF(((V44+V45+V46+V47)/4)&lt;'PlayerGrades+'!$Y$35,"C-",IF(((V44+V45+V46+V47)/4)&lt;'PlayerGrades+'!$Y$34,"C",IF(((V44+V45+V46+V47)/4)&lt;'PlayerGrades+'!$Y$33,"C+",IF(((V44+V45+V46+V47)/4)&lt;'PlayerGrades+'!$Y$32,"B-",IF(((V44+V45+V46+V47)/4)&lt;'PlayerGrades+'!$Y$31,"B",IF(((V44+V45+V46+V47)/4)&lt;'PlayerGrades+'!$Y$30,"B+",IF(((V44+V45+V46+V47)/4)&lt;'PlayerGrades+'!$Y$29,"A-",IF(((V44+V45+V46+V47)/4)&lt;'PlayerGrades+'!$Y$28,"A",IF(((V44+V45+V46+V47)/4)&lt;'PlayerGrades+'!$Y$27,"A+",IF(((V44+V45+V46+V47)/4)&lt;'PlayerGrades+'!$Y$26,"S-",IF(((V44+V45+V46+V47)/4)&lt;'PlayerGrades+'!$Y$25,"S","S+"))))))))))))))))))))</f>
        <v>E</v>
      </c>
      <c r="V48" s="226" t="s">
        <v>131</v>
      </c>
      <c r="W48" s="553"/>
      <c r="X48" s="310">
        <f>IFERROR(SUM(X44:X47), 0)
</f>
        <v>20289</v>
      </c>
    </row>
    <row r="49">
      <c r="A49" s="237"/>
      <c r="B49" s="241"/>
      <c r="C49" s="237"/>
      <c r="D49" s="237"/>
      <c r="E49" s="237"/>
      <c r="F49" s="237"/>
      <c r="G49" s="237"/>
      <c r="H49" s="237"/>
      <c r="I49" s="237"/>
      <c r="J49" s="237"/>
      <c r="K49" s="245"/>
      <c r="L49" s="247"/>
      <c r="M49" s="248"/>
      <c r="N49" s="248"/>
      <c r="O49" s="248"/>
      <c r="P49" s="248"/>
      <c r="Q49" s="248"/>
      <c r="R49" s="248"/>
      <c r="S49" s="248"/>
      <c r="T49" s="250"/>
      <c r="U49" s="241"/>
      <c r="V49" s="379"/>
      <c r="W49" s="380"/>
      <c r="X49" s="382"/>
    </row>
    <row r="50">
      <c r="A50" s="570" t="s">
        <v>7</v>
      </c>
      <c r="B50" s="572" t="s">
        <v>42</v>
      </c>
      <c r="C50" s="574">
        <f>IFERROR(VLOOKUP($B50,'Halo Infinite Stats'!$A:$AM,2,0),)</f>
        <v>18</v>
      </c>
      <c r="D50" s="574">
        <f>IFERROR(VLOOKUP($B50,'Halo Infinite Stats'!$A:$AM,3,0),)</f>
        <v>6</v>
      </c>
      <c r="E50" s="574">
        <f>IFERROR(VLOOKUP($B50,'Halo Infinite Stats'!$A:$AM,4,0),)</f>
        <v>12</v>
      </c>
      <c r="F50" s="574">
        <f>IFERROR(VLOOKUP($B50,'Halo Infinite Stats'!$A:$AM,5,0),)</f>
        <v>12</v>
      </c>
      <c r="G50" s="69">
        <f>IFERROR(VLOOKUP($B50,'Halo Infinite Stats'!$A:$AM,6,0),)</f>
        <v>33</v>
      </c>
      <c r="H50" s="69">
        <f>IFERROR(VLOOKUP($B50,'Halo Infinite Stats'!$A:$AM,7,0),)</f>
        <v>401</v>
      </c>
      <c r="I50" s="69">
        <f>IFERROR(VLOOKUP($B50,'Halo Infinite Stats'!$A:$AM,8,0),)</f>
        <v>872</v>
      </c>
      <c r="J50" s="69">
        <f>IFERROR(VLOOKUP($B50,'Halo Infinite Stats'!$A:$AM,9,0),)</f>
        <v>-471</v>
      </c>
      <c r="K50" s="69">
        <f>IFERROR(VLOOKUP($B50,'Halo Infinite Stats'!$A:$AM,11,0),)</f>
        <v>0</v>
      </c>
      <c r="L50" s="69" t="str">
        <f>IFERROR(TEXT(VLOOKUP($B50,'Halo Infinite Stats'!$A:$AM,12,0)/(24*60*60),"hh:mm:ss"),"")</f>
        <v>04:12:44</v>
      </c>
      <c r="M50" s="69">
        <f>IFERROR(VLOOKUP($B50,'Halo Infinite Stats'!$A:$AM,14,0),)</f>
        <v>3</v>
      </c>
      <c r="N50" s="87">
        <f>IFERROR(VLOOKUP($B50,'Halo Infinite Stats'!$A:$AM,15,0),)+IFERROR(VLOOKUP($B50,'Halo Infinite Stats'!$A:$AM,16,0),)+IFERROR(VLOOKUP($B50,'Halo Infinite Stats'!$A:$AM,17,0),)</f>
        <v>0</v>
      </c>
      <c r="O50" s="69">
        <f>IFERROR(VLOOKUP($B50,'Halo Infinite Stats'!$A:$AM,18,0),)</f>
        <v>8</v>
      </c>
      <c r="P50" s="69">
        <f>IFERROR(VLOOKUP($B50,'Halo Infinite Stats'!$A:$AM,19,0),)</f>
        <v>47</v>
      </c>
      <c r="Q50" s="69">
        <f>IFERROR(VLOOKUP($B50,'Halo Infinite Stats'!$A:$AM,20,0),)</f>
        <v>9</v>
      </c>
      <c r="R50" s="87">
        <f>IFERROR(VLOOKUP($B50,'Halo Infinite Stats'!$A:$AM,21,0),)+IFERROR(VLOOKUP($B50,'Halo Infinite Stats'!$A:$AM,22,0),)+IFERROR(VLOOKUP($B50,'Halo Infinite Stats'!$A:$AM,23,0),)+IFERROR(VLOOKUP($B50,'Halo Infinite Stats'!$A:$AM,24,0),)+IFERROR(VLOOKUP($B50,'Halo Infinite Stats'!$A:$AM,25,0),)+IFERROR(VLOOKUP($B50,'Halo Infinite Stats'!$A:$AM,26,0),)+IFERROR(VLOOKUP($B50,'Halo Infinite Stats'!$A:$AM,27,0),)</f>
        <v>2</v>
      </c>
      <c r="S50" s="69">
        <f>IFERROR(VLOOKUP($B50,'Halo Infinite Stats'!$A:$AM,28,0),)</f>
        <v>0</v>
      </c>
      <c r="T50" s="69">
        <f>IFERROR(VLOOKUP($B50,'Halo Infinite Stats'!$A:$AM,31,0),)</f>
        <v>0</v>
      </c>
      <c r="U50" s="102" t="str">
        <f>IFERROR(VLOOKUP($B50,'PlayerGrades+'!$A:$W,22,0),)</f>
        <v>F-</v>
      </c>
      <c r="V50" s="279">
        <f>IFERROR(VLOOKUP($B50,'PlayerGrades+'!$A:$W,23,0),)</f>
        <v>5.8</v>
      </c>
      <c r="W50" s="590"/>
      <c r="X50" s="114">
        <f t="shared" ref="X50:X53" si="26">(HOUR(L50) * 3600) + (MINUTE(L50) * 60) + SECOND(L50)</f>
        <v>15164</v>
      </c>
    </row>
    <row r="51">
      <c r="A51" s="593" t="s">
        <v>7</v>
      </c>
      <c r="B51" s="595" t="s">
        <v>206</v>
      </c>
      <c r="C51" s="574">
        <f>IFERROR(VLOOKUP($B51,'Halo Infinite Stats'!$A:$AM,2,0),)</f>
        <v>20</v>
      </c>
      <c r="D51" s="574">
        <f>IFERROR(VLOOKUP($B51,'Halo Infinite Stats'!$A:$AM,3,0),)</f>
        <v>6</v>
      </c>
      <c r="E51" s="574">
        <f>IFERROR(VLOOKUP($B51,'Halo Infinite Stats'!$A:$AM,4,0),)</f>
        <v>14</v>
      </c>
      <c r="F51" s="574">
        <f>IFERROR(VLOOKUP($B51,'Halo Infinite Stats'!$A:$AM,5,0),)</f>
        <v>16</v>
      </c>
      <c r="G51" s="69">
        <f>IFERROR(VLOOKUP($B51,'Halo Infinite Stats'!$A:$AM,6,0),)</f>
        <v>60</v>
      </c>
      <c r="H51" s="69">
        <f>IFERROR(VLOOKUP($B51,'Halo Infinite Stats'!$A:$AM,7,0),)</f>
        <v>1110</v>
      </c>
      <c r="I51" s="69">
        <f>IFERROR(VLOOKUP($B51,'Halo Infinite Stats'!$A:$AM,8,0),)</f>
        <v>951</v>
      </c>
      <c r="J51" s="69">
        <f>IFERROR(VLOOKUP($B51,'Halo Infinite Stats'!$A:$AM,9,0),)</f>
        <v>159</v>
      </c>
      <c r="K51" s="69">
        <f>IFERROR(VLOOKUP($B51,'Halo Infinite Stats'!$A:$AM,11,0),)</f>
        <v>1</v>
      </c>
      <c r="L51" s="69" t="str">
        <f>IFERROR(TEXT(VLOOKUP($B51,'Halo Infinite Stats'!$A:$AM,12,0)/(24*60*60),"hh:mm:ss"),"")</f>
        <v>04:24:31</v>
      </c>
      <c r="M51" s="69">
        <f>IFERROR(VLOOKUP($B51,'Halo Infinite Stats'!$A:$AM,14,0),)</f>
        <v>37</v>
      </c>
      <c r="N51" s="87">
        <f>IFERROR(VLOOKUP($B51,'Halo Infinite Stats'!$A:$AM,15,0),)+IFERROR(VLOOKUP($B51,'Halo Infinite Stats'!$A:$AM,16,0),)+IFERROR(VLOOKUP($B51,'Halo Infinite Stats'!$A:$AM,17,0),)</f>
        <v>0</v>
      </c>
      <c r="O51" s="69">
        <f>IFERROR(VLOOKUP($B51,'Halo Infinite Stats'!$A:$AM,18,0),)</f>
        <v>35</v>
      </c>
      <c r="P51" s="69">
        <f>IFERROR(VLOOKUP($B51,'Halo Infinite Stats'!$A:$AM,19,0),)</f>
        <v>252</v>
      </c>
      <c r="Q51" s="69">
        <f>IFERROR(VLOOKUP($B51,'Halo Infinite Stats'!$A:$AM,20,0),)</f>
        <v>76</v>
      </c>
      <c r="R51" s="87">
        <f>IFERROR(VLOOKUP($B51,'Halo Infinite Stats'!$A:$AM,21,0),)+IFERROR(VLOOKUP($B51,'Halo Infinite Stats'!$A:$AM,22,0),)+IFERROR(VLOOKUP($B51,'Halo Infinite Stats'!$A:$AM,23,0),)+IFERROR(VLOOKUP($B51,'Halo Infinite Stats'!$A:$AM,24,0),)+IFERROR(VLOOKUP($B51,'Halo Infinite Stats'!$A:$AM,25,0),)+IFERROR(VLOOKUP($B51,'Halo Infinite Stats'!$A:$AM,26,0),)+IFERROR(VLOOKUP($B51,'Halo Infinite Stats'!$A:$AM,27,0),)</f>
        <v>56</v>
      </c>
      <c r="S51" s="69">
        <f>IFERROR(VLOOKUP($B51,'Halo Infinite Stats'!$A:$AM,28,0),)</f>
        <v>1</v>
      </c>
      <c r="T51" s="69">
        <f>IFERROR(VLOOKUP($B51,'Halo Infinite Stats'!$A:$AM,31,0),)</f>
        <v>0</v>
      </c>
      <c r="U51" s="102" t="str">
        <f>IFERROR(VLOOKUP($B51,'PlayerGrades+'!$A:$W,22,0),)</f>
        <v>S</v>
      </c>
      <c r="V51" s="279">
        <f>IFERROR(VLOOKUP($B51,'PlayerGrades+'!$A:$W,23,0),)</f>
        <v>27.3375</v>
      </c>
      <c r="W51" s="606"/>
      <c r="X51" s="114">
        <f t="shared" si="26"/>
        <v>15871</v>
      </c>
    </row>
    <row r="52">
      <c r="A52" s="570" t="s">
        <v>7</v>
      </c>
      <c r="B52" s="607" t="s">
        <v>80</v>
      </c>
      <c r="C52" s="574">
        <f>IFERROR(VLOOKUP($B52,'Halo Infinite Stats'!$A:$AM,2,0),)</f>
        <v>22</v>
      </c>
      <c r="D52" s="574">
        <f>IFERROR(VLOOKUP($B52,'Halo Infinite Stats'!$A:$AM,3,0),)</f>
        <v>9</v>
      </c>
      <c r="E52" s="574">
        <f>IFERROR(VLOOKUP($B52,'Halo Infinite Stats'!$A:$AM,4,0),)</f>
        <v>13</v>
      </c>
      <c r="F52" s="574">
        <f>IFERROR(VLOOKUP($B52,'Halo Infinite Stats'!$A:$AM,5,0),)</f>
        <v>5</v>
      </c>
      <c r="G52" s="69">
        <f>IFERROR(VLOOKUP($B52,'Halo Infinite Stats'!$A:$AM,6,0),)</f>
        <v>46</v>
      </c>
      <c r="H52" s="69">
        <f>IFERROR(VLOOKUP($B52,'Halo Infinite Stats'!$A:$AM,7,0),)</f>
        <v>999</v>
      </c>
      <c r="I52" s="69">
        <f>IFERROR(VLOOKUP($B52,'Halo Infinite Stats'!$A:$AM,8,0),)</f>
        <v>1317</v>
      </c>
      <c r="J52" s="69">
        <f>IFERROR(VLOOKUP($B52,'Halo Infinite Stats'!$A:$AM,9,0),)</f>
        <v>-318</v>
      </c>
      <c r="K52" s="69">
        <f>IFERROR(VLOOKUP($B52,'Halo Infinite Stats'!$A:$AM,11,0),)</f>
        <v>0</v>
      </c>
      <c r="L52" s="69" t="str">
        <f>IFERROR(TEXT(VLOOKUP($B52,'Halo Infinite Stats'!$A:$AM,12,0)/(24*60*60),"hh:mm:ss"),"")</f>
        <v>05:20:14</v>
      </c>
      <c r="M52" s="69">
        <f>IFERROR(VLOOKUP($B52,'Halo Infinite Stats'!$A:$AM,14,0),)</f>
        <v>11</v>
      </c>
      <c r="N52" s="87">
        <f>IFERROR(VLOOKUP($B52,'Halo Infinite Stats'!$A:$AM,15,0),)+IFERROR(VLOOKUP($B52,'Halo Infinite Stats'!$A:$AM,16,0),)+IFERROR(VLOOKUP($B52,'Halo Infinite Stats'!$A:$AM,17,0),)</f>
        <v>0</v>
      </c>
      <c r="O52" s="69">
        <f>IFERROR(VLOOKUP($B52,'Halo Infinite Stats'!$A:$AM,18,0),)</f>
        <v>15</v>
      </c>
      <c r="P52" s="69">
        <f>IFERROR(VLOOKUP($B52,'Halo Infinite Stats'!$A:$AM,19,0),)</f>
        <v>165</v>
      </c>
      <c r="Q52" s="69">
        <f>IFERROR(VLOOKUP($B52,'Halo Infinite Stats'!$A:$AM,20,0),)</f>
        <v>44</v>
      </c>
      <c r="R52" s="87">
        <f>IFERROR(VLOOKUP($B52,'Halo Infinite Stats'!$A:$AM,21,0),)+IFERROR(VLOOKUP($B52,'Halo Infinite Stats'!$A:$AM,22,0),)+IFERROR(VLOOKUP($B52,'Halo Infinite Stats'!$A:$AM,23,0),)+IFERROR(VLOOKUP($B52,'Halo Infinite Stats'!$A:$AM,24,0),)+IFERROR(VLOOKUP($B52,'Halo Infinite Stats'!$A:$AM,25,0),)+IFERROR(VLOOKUP($B52,'Halo Infinite Stats'!$A:$AM,26,0),)+IFERROR(VLOOKUP($B52,'Halo Infinite Stats'!$A:$AM,27,0),)</f>
        <v>16</v>
      </c>
      <c r="S52" s="69">
        <f>IFERROR(VLOOKUP($B52,'Halo Infinite Stats'!$A:$AM,28,0),)</f>
        <v>1</v>
      </c>
      <c r="T52" s="69">
        <f>IFERROR(VLOOKUP($B52,'Halo Infinite Stats'!$A:$AM,31,0),)</f>
        <v>0</v>
      </c>
      <c r="U52" s="102" t="str">
        <f>IFERROR(VLOOKUP($B52,'PlayerGrades+'!$A:$W,22,0),)</f>
        <v>C</v>
      </c>
      <c r="V52" s="279">
        <f>IFERROR(VLOOKUP($B52,'PlayerGrades+'!$A:$W,23,0),)</f>
        <v>14.8375</v>
      </c>
      <c r="W52" s="590"/>
      <c r="X52" s="114">
        <f t="shared" si="26"/>
        <v>19214</v>
      </c>
    </row>
    <row r="53">
      <c r="A53" s="608" t="s">
        <v>7</v>
      </c>
      <c r="B53" s="609" t="s">
        <v>209</v>
      </c>
      <c r="C53" s="574" t="str">
        <f>IFERROR(VLOOKUP($B53,'Halo Infinite Stats'!$A:$AM,2,0),)</f>
        <v/>
      </c>
      <c r="D53" s="574" t="str">
        <f>IFERROR(VLOOKUP($B53,'Halo Infinite Stats'!$A:$AM,3,0),)</f>
        <v/>
      </c>
      <c r="E53" s="574" t="str">
        <f>IFERROR(VLOOKUP($B53,'Halo Infinite Stats'!$A:$AM,4,0),)</f>
        <v/>
      </c>
      <c r="F53" s="574" t="str">
        <f>IFERROR(VLOOKUP($B53,'Halo Infinite Stats'!$A:$AM,5,0),)</f>
        <v/>
      </c>
      <c r="G53" s="69" t="str">
        <f>IFERROR(VLOOKUP($B53,'Halo Infinite Stats'!$A:$AM,6,0),)</f>
        <v/>
      </c>
      <c r="H53" s="69" t="str">
        <f>IFERROR(VLOOKUP($B53,'Halo Infinite Stats'!$A:$AM,7,0),)</f>
        <v/>
      </c>
      <c r="I53" s="69" t="str">
        <f>IFERROR(VLOOKUP($B53,'Halo Infinite Stats'!$A:$AM,8,0),)</f>
        <v/>
      </c>
      <c r="J53" s="69" t="str">
        <f>IFERROR(VLOOKUP($B53,'Halo Infinite Stats'!$A:$AM,9,0),)</f>
        <v/>
      </c>
      <c r="K53" s="69" t="str">
        <f>IFERROR(VLOOKUP($B53,'Halo Infinite Stats'!$A:$AM,11,0),)</f>
        <v/>
      </c>
      <c r="L53" s="69" t="str">
        <f>IFERROR(TEXT(VLOOKUP($B53,'Halo Infinite Stats'!$A:$AM,12,0)/(24*60*60),"hh:mm:ss"),"")</f>
        <v/>
      </c>
      <c r="M53" s="69" t="str">
        <f>IFERROR(VLOOKUP($B53,'Halo Infinite Stats'!$A:$AM,14,0),)</f>
        <v/>
      </c>
      <c r="N53" s="87">
        <f>IFERROR(VLOOKUP($B53,'Halo Infinite Stats'!$A:$AM,15,0),)+IFERROR(VLOOKUP($B53,'Halo Infinite Stats'!$A:$AM,16,0),)+IFERROR(VLOOKUP($B53,'Halo Infinite Stats'!$A:$AM,17,0),)</f>
        <v>0</v>
      </c>
      <c r="O53" s="69" t="str">
        <f>IFERROR(VLOOKUP($B53,'Halo Infinite Stats'!$A:$AM,18,0),)</f>
        <v/>
      </c>
      <c r="P53" s="69" t="str">
        <f>IFERROR(VLOOKUP($B53,'Halo Infinite Stats'!$A:$AM,19,0),)</f>
        <v/>
      </c>
      <c r="Q53" s="69" t="str">
        <f>IFERROR(VLOOKUP($B53,'Halo Infinite Stats'!$A:$AM,20,0),)</f>
        <v/>
      </c>
      <c r="R53" s="87">
        <f>IFERROR(VLOOKUP($B53,'Halo Infinite Stats'!$A:$AM,21,0),)+IFERROR(VLOOKUP($B53,'Halo Infinite Stats'!$A:$AM,22,0),)+IFERROR(VLOOKUP($B53,'Halo Infinite Stats'!$A:$AM,23,0),)+IFERROR(VLOOKUP($B53,'Halo Infinite Stats'!$A:$AM,24,0),)+IFERROR(VLOOKUP($B53,'Halo Infinite Stats'!$A:$AM,25,0),)+IFERROR(VLOOKUP($B53,'Halo Infinite Stats'!$A:$AM,26,0),)+IFERROR(VLOOKUP($B53,'Halo Infinite Stats'!$A:$AM,27,0),)</f>
        <v>0</v>
      </c>
      <c r="S53" s="69" t="str">
        <f>IFERROR(VLOOKUP($B53,'Halo Infinite Stats'!$A:$AM,28,0),)</f>
        <v/>
      </c>
      <c r="T53" s="69" t="str">
        <f>IFERROR(VLOOKUP($B53,'Halo Infinite Stats'!$A:$AM,31,0),)</f>
        <v/>
      </c>
      <c r="U53" s="102" t="str">
        <f>IFERROR(VLOOKUP($B53,'PlayerGrades+'!$A:$W,22,0),)</f>
        <v/>
      </c>
      <c r="V53" s="279" t="str">
        <f>IFERROR(VLOOKUP($B53,'PlayerGrades+'!$A:$W,23,0),)</f>
        <v/>
      </c>
      <c r="W53" s="590"/>
      <c r="X53" s="114">
        <f t="shared" si="26"/>
        <v>0</v>
      </c>
    </row>
    <row r="54">
      <c r="A54" s="570" t="s">
        <v>7</v>
      </c>
      <c r="B54" s="616" t="s">
        <v>120</v>
      </c>
      <c r="C54" s="570">
        <f t="shared" ref="C54:F54" si="27">SUM(C50:C53)</f>
        <v>60</v>
      </c>
      <c r="D54" s="570">
        <f t="shared" si="27"/>
        <v>21</v>
      </c>
      <c r="E54" s="570">
        <f t="shared" si="27"/>
        <v>39</v>
      </c>
      <c r="F54" s="570">
        <f t="shared" si="27"/>
        <v>33</v>
      </c>
      <c r="G54" s="570"/>
      <c r="H54" s="570">
        <f t="shared" ref="H54:I54" si="28">SUM(H50:H53)</f>
        <v>2510</v>
      </c>
      <c r="I54" s="570">
        <f t="shared" si="28"/>
        <v>3140</v>
      </c>
      <c r="J54" s="570">
        <f>MINUS(H54,I54)</f>
        <v>-630</v>
      </c>
      <c r="K54" s="570">
        <f>SUM(K50:K53)</f>
        <v>1</v>
      </c>
      <c r="L54" s="570" t="str">
        <f>TEXT(X54/86400, "hh:mm:ss")</f>
        <v>13:57:29</v>
      </c>
      <c r="M54" s="570">
        <f t="shared" ref="M54:T54" si="29">SUM(M50:M53)</f>
        <v>51</v>
      </c>
      <c r="N54" s="570">
        <f t="shared" si="29"/>
        <v>0</v>
      </c>
      <c r="O54" s="570">
        <f t="shared" si="29"/>
        <v>58</v>
      </c>
      <c r="P54" s="570">
        <f t="shared" si="29"/>
        <v>464</v>
      </c>
      <c r="Q54" s="570">
        <f t="shared" si="29"/>
        <v>129</v>
      </c>
      <c r="R54" s="570">
        <f t="shared" si="29"/>
        <v>74</v>
      </c>
      <c r="S54" s="570">
        <f t="shared" si="29"/>
        <v>2</v>
      </c>
      <c r="T54" s="570">
        <f t="shared" si="29"/>
        <v>0</v>
      </c>
      <c r="U54" s="222" t="str">
        <f>IF(((V50+V51+V52+V53)/3)&lt;='PlayerGrades+'!$Y$44,"F-",IF(((V50+V51+V52+V53)/3)&lt;'PlayerGrades+'!$Y$43,"F",IF(((V50+V51+V52+V53)/3)&lt;'PlayerGrades+'!$Y$42,"F+",IF(((V50+V51+V52+V53)/3)&lt;'PlayerGrades+'!$Y$41,"E-",IF(((V50+V51+V52+V53)/3)&lt;'PlayerGrades+'!$Y$40,"E",IF(((V50+V51+V52+V53)/3)&lt;'PlayerGrades+'!$Y$39,"E+",IF(((V50+V51+V52+V53)/3)&lt;'PlayerGrades+'!$Y$38,"D-",IF(((V50+V51+V52+V53)/3)&lt;'PlayerGrades+'!$Y$37,"D",IF(((V50+V51+V52+V53)/3)&lt;'PlayerGrades+'!$Y$36,"D+",IF(((V50+V51+V52+V53)/3)&lt;'PlayerGrades+'!$Y$35,"C-",IF(((V50+V51+V52+V53)/3)&lt;'PlayerGrades+'!$Y$34,"C",IF(((V50+V51+V52+V53)/3)&lt;'PlayerGrades+'!$Y$33,"C+",IF(((V50+V51+V52+V53)/3)&lt;'PlayerGrades+'!$Y$32,"B-",IF(((V50+V51+V52+V53)/3)&lt;'PlayerGrades+'!$Y$31,"B",IF(((V50+V51+V52+V53)/3)&lt;'PlayerGrades+'!$Y$30,"B+",IF(((V50+V51+V52+V53)/3)&lt;'PlayerGrades+'!$Y$29,"A-",IF(((V50+V51+V52+V53)/3)&lt;'PlayerGrades+'!$Y$28,"A",IF(((V50+V51+V52+V53)/3)&lt;'PlayerGrades+'!$Y$27,"A+",IF(((V50+V51+V52+V53)/3)&lt;'PlayerGrades+'!$Y$26,"S-",IF(((V50+V51+V52+V53)/3)&lt;'PlayerGrades+'!$Y$25,"S","S+"))))))))))))))))))))</f>
        <v>C+</v>
      </c>
      <c r="V54" s="226" t="s">
        <v>131</v>
      </c>
      <c r="W54" s="590"/>
      <c r="X54" s="310">
        <f>IFERROR(SUM(X50:X53), 0)
</f>
        <v>50249</v>
      </c>
    </row>
    <row r="55">
      <c r="A55" s="237"/>
      <c r="B55" s="241"/>
      <c r="C55" s="237"/>
      <c r="D55" s="237"/>
      <c r="E55" s="237"/>
      <c r="F55" s="237"/>
      <c r="G55" s="237"/>
      <c r="H55" s="237"/>
      <c r="I55" s="237"/>
      <c r="J55" s="237"/>
      <c r="K55" s="245"/>
      <c r="L55" s="247"/>
      <c r="M55" s="248"/>
      <c r="N55" s="248"/>
      <c r="O55" s="248"/>
      <c r="P55" s="248"/>
      <c r="Q55" s="248"/>
      <c r="R55" s="248"/>
      <c r="S55" s="248"/>
      <c r="T55" s="250"/>
      <c r="U55" s="241"/>
      <c r="V55" s="379"/>
      <c r="W55" s="380"/>
      <c r="X55" s="382"/>
    </row>
    <row r="56">
      <c r="A56" s="620" t="s">
        <v>28</v>
      </c>
      <c r="B56" s="621" t="s">
        <v>54</v>
      </c>
      <c r="C56" s="622">
        <f>IFERROR(VLOOKUP($B56,'Halo Infinite Stats'!$A:$AM,2,0),)</f>
        <v>17</v>
      </c>
      <c r="D56" s="622">
        <f>IFERROR(VLOOKUP($B56,'Halo Infinite Stats'!$A:$AM,3,0),)</f>
        <v>15</v>
      </c>
      <c r="E56" s="622">
        <f>IFERROR(VLOOKUP($B56,'Halo Infinite Stats'!$A:$AM,4,0),)</f>
        <v>2</v>
      </c>
      <c r="F56" s="622">
        <f>IFERROR(VLOOKUP($B56,'Halo Infinite Stats'!$A:$AM,5,0),)</f>
        <v>31</v>
      </c>
      <c r="G56" s="69">
        <f>IFERROR(VLOOKUP($B56,'Halo Infinite Stats'!$A:$AM,6,0),)</f>
        <v>82</v>
      </c>
      <c r="H56" s="69">
        <f>IFERROR(VLOOKUP($B56,'Halo Infinite Stats'!$A:$AM,7,0),)</f>
        <v>906</v>
      </c>
      <c r="I56" s="69">
        <f>IFERROR(VLOOKUP($B56,'Halo Infinite Stats'!$A:$AM,8,0),)</f>
        <v>734</v>
      </c>
      <c r="J56" s="69">
        <f>IFERROR(VLOOKUP($B56,'Halo Infinite Stats'!$A:$AM,9,0),)</f>
        <v>172</v>
      </c>
      <c r="K56" s="69">
        <f>IFERROR(VLOOKUP($B56,'Halo Infinite Stats'!$A:$AM,11,0),)</f>
        <v>1</v>
      </c>
      <c r="L56" s="69" t="str">
        <f>IFERROR(TEXT(VLOOKUP($B56,'Halo Infinite Stats'!$A:$AM,12,0)/(24*60*60),"hh:mm:ss"),"")</f>
        <v>03:50:15</v>
      </c>
      <c r="M56" s="69">
        <f>IFERROR(VLOOKUP($B56,'Halo Infinite Stats'!$A:$AM,14,0),)</f>
        <v>24</v>
      </c>
      <c r="N56" s="87">
        <f>IFERROR(VLOOKUP($B56,'Halo Infinite Stats'!$A:$AM,15,0),)+IFERROR(VLOOKUP($B56,'Halo Infinite Stats'!$A:$AM,16,0),)+IFERROR(VLOOKUP($B56,'Halo Infinite Stats'!$A:$AM,17,0),)</f>
        <v>0</v>
      </c>
      <c r="O56" s="69">
        <f>IFERROR(VLOOKUP($B56,'Halo Infinite Stats'!$A:$AM,18,0),)</f>
        <v>14</v>
      </c>
      <c r="P56" s="69">
        <f>IFERROR(VLOOKUP($B56,'Halo Infinite Stats'!$A:$AM,19,0),)</f>
        <v>188</v>
      </c>
      <c r="Q56" s="69">
        <f>IFERROR(VLOOKUP($B56,'Halo Infinite Stats'!$A:$AM,20,0),)</f>
        <v>67</v>
      </c>
      <c r="R56" s="87">
        <f>IFERROR(VLOOKUP($B56,'Halo Infinite Stats'!$A:$AM,21,0),)+IFERROR(VLOOKUP($B56,'Halo Infinite Stats'!$A:$AM,22,0),)+IFERROR(VLOOKUP($B56,'Halo Infinite Stats'!$A:$AM,23,0),)+IFERROR(VLOOKUP($B56,'Halo Infinite Stats'!$A:$AM,24,0),)+IFERROR(VLOOKUP($B56,'Halo Infinite Stats'!$A:$AM,25,0),)+IFERROR(VLOOKUP($B56,'Halo Infinite Stats'!$A:$AM,26,0),)+IFERROR(VLOOKUP($B56,'Halo Infinite Stats'!$A:$AM,27,0),)</f>
        <v>30</v>
      </c>
      <c r="S56" s="69">
        <f>IFERROR(VLOOKUP($B56,'Halo Infinite Stats'!$A:$AM,28,0),)</f>
        <v>3</v>
      </c>
      <c r="T56" s="69">
        <f>IFERROR(VLOOKUP($B56,'Halo Infinite Stats'!$A:$AM,31,0),)</f>
        <v>0</v>
      </c>
      <c r="U56" s="102" t="str">
        <f>IFERROR(VLOOKUP($B56,'PlayerGrades+'!$A:$W,22,0),)</f>
        <v>S+</v>
      </c>
      <c r="V56" s="279">
        <f>IFERROR(VLOOKUP($B56,'PlayerGrades+'!$A:$W,23,0),)</f>
        <v>27.3625</v>
      </c>
      <c r="W56" s="624"/>
      <c r="X56" s="114">
        <f t="shared" ref="X56:X59" si="30">(HOUR(L56) * 3600) + (MINUTE(L56) * 60) + SECOND(L56)</f>
        <v>13815</v>
      </c>
    </row>
    <row r="57">
      <c r="A57" s="625" t="s">
        <v>28</v>
      </c>
      <c r="B57" s="626" t="s">
        <v>75</v>
      </c>
      <c r="C57" s="622">
        <f>IFERROR(VLOOKUP($B57,'Halo Infinite Stats'!$A:$AM,2,0),)</f>
        <v>30</v>
      </c>
      <c r="D57" s="622">
        <f>IFERROR(VLOOKUP($B57,'Halo Infinite Stats'!$A:$AM,3,0),)</f>
        <v>23</v>
      </c>
      <c r="E57" s="622">
        <f>IFERROR(VLOOKUP($B57,'Halo Infinite Stats'!$A:$AM,4,0),)</f>
        <v>7</v>
      </c>
      <c r="F57" s="622">
        <f>IFERROR(VLOOKUP($B57,'Halo Infinite Stats'!$A:$AM,5,0),)</f>
        <v>62</v>
      </c>
      <c r="G57" s="69">
        <f>IFERROR(VLOOKUP($B57,'Halo Infinite Stats'!$A:$AM,6,0),)</f>
        <v>355</v>
      </c>
      <c r="H57" s="69">
        <f>IFERROR(VLOOKUP($B57,'Halo Infinite Stats'!$A:$AM,7,0),)</f>
        <v>1227</v>
      </c>
      <c r="I57" s="69">
        <f>IFERROR(VLOOKUP($B57,'Halo Infinite Stats'!$A:$AM,8,0),)</f>
        <v>1013</v>
      </c>
      <c r="J57" s="69">
        <f>IFERROR(VLOOKUP($B57,'Halo Infinite Stats'!$A:$AM,9,0),)</f>
        <v>214</v>
      </c>
      <c r="K57" s="69">
        <f>IFERROR(VLOOKUP($B57,'Halo Infinite Stats'!$A:$AM,11,0),)</f>
        <v>1</v>
      </c>
      <c r="L57" s="69" t="str">
        <f>IFERROR(TEXT(VLOOKUP($B57,'Halo Infinite Stats'!$A:$AM,12,0)/(24*60*60),"hh:mm:ss"),"")</f>
        <v>06:50:20</v>
      </c>
      <c r="M57" s="69">
        <f>IFERROR(VLOOKUP($B57,'Halo Infinite Stats'!$A:$AM,14,0),)</f>
        <v>40</v>
      </c>
      <c r="N57" s="87">
        <f>IFERROR(VLOOKUP($B57,'Halo Infinite Stats'!$A:$AM,15,0),)+IFERROR(VLOOKUP($B57,'Halo Infinite Stats'!$A:$AM,16,0),)+IFERROR(VLOOKUP($B57,'Halo Infinite Stats'!$A:$AM,17,0),)</f>
        <v>3</v>
      </c>
      <c r="O57" s="69">
        <f>IFERROR(VLOOKUP($B57,'Halo Infinite Stats'!$A:$AM,18,0),)</f>
        <v>12</v>
      </c>
      <c r="P57" s="69">
        <f>IFERROR(VLOOKUP($B57,'Halo Infinite Stats'!$A:$AM,19,0),)</f>
        <v>215</v>
      </c>
      <c r="Q57" s="69">
        <f>IFERROR(VLOOKUP($B57,'Halo Infinite Stats'!$A:$AM,20,0),)</f>
        <v>54</v>
      </c>
      <c r="R57" s="87">
        <f>IFERROR(VLOOKUP($B57,'Halo Infinite Stats'!$A:$AM,21,0),)+IFERROR(VLOOKUP($B57,'Halo Infinite Stats'!$A:$AM,22,0),)+IFERROR(VLOOKUP($B57,'Halo Infinite Stats'!$A:$AM,23,0),)+IFERROR(VLOOKUP($B57,'Halo Infinite Stats'!$A:$AM,24,0),)+IFERROR(VLOOKUP($B57,'Halo Infinite Stats'!$A:$AM,25,0),)+IFERROR(VLOOKUP($B57,'Halo Infinite Stats'!$A:$AM,26,0),)+IFERROR(VLOOKUP($B57,'Halo Infinite Stats'!$A:$AM,27,0),)</f>
        <v>22</v>
      </c>
      <c r="S57" s="69">
        <f>IFERROR(VLOOKUP($B57,'Halo Infinite Stats'!$A:$AM,28,0),)</f>
        <v>0</v>
      </c>
      <c r="T57" s="69">
        <f>IFERROR(VLOOKUP($B57,'Halo Infinite Stats'!$A:$AM,31,0),)</f>
        <v>0</v>
      </c>
      <c r="U57" s="102" t="str">
        <f>IFERROR(VLOOKUP($B57,'PlayerGrades+'!$A:$W,22,0),)</f>
        <v>A</v>
      </c>
      <c r="V57" s="279">
        <f>IFERROR(VLOOKUP($B57,'PlayerGrades+'!$A:$W,23,0),)</f>
        <v>24.35</v>
      </c>
      <c r="W57" s="624"/>
      <c r="X57" s="114">
        <f t="shared" si="30"/>
        <v>24620</v>
      </c>
    </row>
    <row r="58">
      <c r="A58" s="620" t="s">
        <v>28</v>
      </c>
      <c r="B58" s="621" t="s">
        <v>220</v>
      </c>
      <c r="C58" s="622">
        <f>IFERROR(VLOOKUP($B58,'Halo Infinite Stats'!$A:$AM,2,0),)</f>
        <v>13</v>
      </c>
      <c r="D58" s="622">
        <f>IFERROR(VLOOKUP($B58,'Halo Infinite Stats'!$A:$AM,3,0),)</f>
        <v>11</v>
      </c>
      <c r="E58" s="622">
        <f>IFERROR(VLOOKUP($B58,'Halo Infinite Stats'!$A:$AM,4,0),)</f>
        <v>2</v>
      </c>
      <c r="F58" s="622">
        <f>IFERROR(VLOOKUP($B58,'Halo Infinite Stats'!$A:$AM,5,0),)</f>
        <v>10</v>
      </c>
      <c r="G58" s="69">
        <f>IFERROR(VLOOKUP($B58,'Halo Infinite Stats'!$A:$AM,6,0),)</f>
        <v>6</v>
      </c>
      <c r="H58" s="69">
        <f>IFERROR(VLOOKUP($B58,'Halo Infinite Stats'!$A:$AM,7,0),)</f>
        <v>462</v>
      </c>
      <c r="I58" s="69">
        <f>IFERROR(VLOOKUP($B58,'Halo Infinite Stats'!$A:$AM,8,0),)</f>
        <v>584</v>
      </c>
      <c r="J58" s="69">
        <f>IFERROR(VLOOKUP($B58,'Halo Infinite Stats'!$A:$AM,9,0),)</f>
        <v>-122</v>
      </c>
      <c r="K58" s="69">
        <f>IFERROR(VLOOKUP($B58,'Halo Infinite Stats'!$A:$AM,11,0),)</f>
        <v>3</v>
      </c>
      <c r="L58" s="69" t="str">
        <f>IFERROR(TEXT(VLOOKUP($B58,'Halo Infinite Stats'!$A:$AM,12,0)/(24*60*60),"hh:mm:ss"),"")</f>
        <v>03:02:20</v>
      </c>
      <c r="M58" s="69">
        <f>IFERROR(VLOOKUP($B58,'Halo Infinite Stats'!$A:$AM,14,0),)</f>
        <v>6</v>
      </c>
      <c r="N58" s="87">
        <f>IFERROR(VLOOKUP($B58,'Halo Infinite Stats'!$A:$AM,15,0),)+IFERROR(VLOOKUP($B58,'Halo Infinite Stats'!$A:$AM,16,0),)+IFERROR(VLOOKUP($B58,'Halo Infinite Stats'!$A:$AM,17,0),)</f>
        <v>0</v>
      </c>
      <c r="O58" s="69">
        <f>IFERROR(VLOOKUP($B58,'Halo Infinite Stats'!$A:$AM,18,0),)</f>
        <v>1</v>
      </c>
      <c r="P58" s="69">
        <f>IFERROR(VLOOKUP($B58,'Halo Infinite Stats'!$A:$AM,19,0),)</f>
        <v>69</v>
      </c>
      <c r="Q58" s="69">
        <f>IFERROR(VLOOKUP($B58,'Halo Infinite Stats'!$A:$AM,20,0),)</f>
        <v>13</v>
      </c>
      <c r="R58" s="87">
        <f>IFERROR(VLOOKUP($B58,'Halo Infinite Stats'!$A:$AM,21,0),)+IFERROR(VLOOKUP($B58,'Halo Infinite Stats'!$A:$AM,22,0),)+IFERROR(VLOOKUP($B58,'Halo Infinite Stats'!$A:$AM,23,0),)+IFERROR(VLOOKUP($B58,'Halo Infinite Stats'!$A:$AM,24,0),)+IFERROR(VLOOKUP($B58,'Halo Infinite Stats'!$A:$AM,25,0),)+IFERROR(VLOOKUP($B58,'Halo Infinite Stats'!$A:$AM,26,0),)+IFERROR(VLOOKUP($B58,'Halo Infinite Stats'!$A:$AM,27,0),)</f>
        <v>10</v>
      </c>
      <c r="S58" s="69">
        <f>IFERROR(VLOOKUP($B58,'Halo Infinite Stats'!$A:$AM,28,0),)</f>
        <v>0</v>
      </c>
      <c r="T58" s="69">
        <f>IFERROR(VLOOKUP($B58,'Halo Infinite Stats'!$A:$AM,31,0),)</f>
        <v>0</v>
      </c>
      <c r="U58" s="102" t="str">
        <f>IFERROR(VLOOKUP($B58,'PlayerGrades+'!$A:$W,22,0),)</f>
        <v>D</v>
      </c>
      <c r="V58" s="279">
        <f>IFERROR(VLOOKUP($B58,'PlayerGrades+'!$A:$W,23,0),)</f>
        <v>13.6125</v>
      </c>
      <c r="W58" s="624"/>
      <c r="X58" s="114">
        <f t="shared" si="30"/>
        <v>10940</v>
      </c>
    </row>
    <row r="59">
      <c r="A59" s="625" t="s">
        <v>28</v>
      </c>
      <c r="B59" s="626" t="s">
        <v>221</v>
      </c>
      <c r="C59" s="622">
        <f>IFERROR(VLOOKUP($B59,'Halo Infinite Stats'!$A:$AM,2,0),)</f>
        <v>20</v>
      </c>
      <c r="D59" s="622">
        <f>IFERROR(VLOOKUP($B59,'Halo Infinite Stats'!$A:$AM,3,0),)</f>
        <v>16</v>
      </c>
      <c r="E59" s="622">
        <f>IFERROR(VLOOKUP($B59,'Halo Infinite Stats'!$A:$AM,4,0),)</f>
        <v>4</v>
      </c>
      <c r="F59" s="622">
        <f>IFERROR(VLOOKUP($B59,'Halo Infinite Stats'!$A:$AM,5,0),)</f>
        <v>3</v>
      </c>
      <c r="G59" s="69">
        <f>IFERROR(VLOOKUP($B59,'Halo Infinite Stats'!$A:$AM,6,0),)</f>
        <v>7</v>
      </c>
      <c r="H59" s="69">
        <f>IFERROR(VLOOKUP($B59,'Halo Infinite Stats'!$A:$AM,7,0),)</f>
        <v>716</v>
      </c>
      <c r="I59" s="69">
        <f>IFERROR(VLOOKUP($B59,'Halo Infinite Stats'!$A:$AM,8,0),)</f>
        <v>1011</v>
      </c>
      <c r="J59" s="69">
        <f>IFERROR(VLOOKUP($B59,'Halo Infinite Stats'!$A:$AM,9,0),)</f>
        <v>-295</v>
      </c>
      <c r="K59" s="69">
        <f>IFERROR(VLOOKUP($B59,'Halo Infinite Stats'!$A:$AM,11,0),)</f>
        <v>2</v>
      </c>
      <c r="L59" s="69" t="str">
        <f>IFERROR(TEXT(VLOOKUP($B59,'Halo Infinite Stats'!$A:$AM,12,0)/(24*60*60),"hh:mm:ss"),"")</f>
        <v>04:24:11</v>
      </c>
      <c r="M59" s="69">
        <f>IFERROR(VLOOKUP($B59,'Halo Infinite Stats'!$A:$AM,14,0),)</f>
        <v>4</v>
      </c>
      <c r="N59" s="87">
        <f>IFERROR(VLOOKUP($B59,'Halo Infinite Stats'!$A:$AM,15,0),)+IFERROR(VLOOKUP($B59,'Halo Infinite Stats'!$A:$AM,16,0),)+IFERROR(VLOOKUP($B59,'Halo Infinite Stats'!$A:$AM,17,0),)</f>
        <v>0</v>
      </c>
      <c r="O59" s="69">
        <f>IFERROR(VLOOKUP($B59,'Halo Infinite Stats'!$A:$AM,18,0),)</f>
        <v>1</v>
      </c>
      <c r="P59" s="69">
        <f>IFERROR(VLOOKUP($B59,'Halo Infinite Stats'!$A:$AM,19,0),)</f>
        <v>99</v>
      </c>
      <c r="Q59" s="69">
        <f>IFERROR(VLOOKUP($B59,'Halo Infinite Stats'!$A:$AM,20,0),)</f>
        <v>12</v>
      </c>
      <c r="R59" s="87">
        <f>IFERROR(VLOOKUP($B59,'Halo Infinite Stats'!$A:$AM,21,0),)+IFERROR(VLOOKUP($B59,'Halo Infinite Stats'!$A:$AM,22,0),)+IFERROR(VLOOKUP($B59,'Halo Infinite Stats'!$A:$AM,23,0),)+IFERROR(VLOOKUP($B59,'Halo Infinite Stats'!$A:$AM,24,0),)+IFERROR(VLOOKUP($B59,'Halo Infinite Stats'!$A:$AM,25,0),)+IFERROR(VLOOKUP($B59,'Halo Infinite Stats'!$A:$AM,26,0),)+IFERROR(VLOOKUP($B59,'Halo Infinite Stats'!$A:$AM,27,0),)</f>
        <v>1</v>
      </c>
      <c r="S59" s="69">
        <f>IFERROR(VLOOKUP($B59,'Halo Infinite Stats'!$A:$AM,28,0),)</f>
        <v>0</v>
      </c>
      <c r="T59" s="69">
        <f>IFERROR(VLOOKUP($B59,'Halo Infinite Stats'!$A:$AM,31,0),)</f>
        <v>0</v>
      </c>
      <c r="U59" s="102" t="str">
        <f>IFERROR(VLOOKUP($B59,'PlayerGrades+'!$A:$W,22,0),)</f>
        <v>F</v>
      </c>
      <c r="V59" s="279">
        <f>IFERROR(VLOOKUP($B59,'PlayerGrades+'!$A:$W,23,0),)</f>
        <v>7.275</v>
      </c>
      <c r="W59" s="624"/>
      <c r="X59" s="114">
        <f t="shared" si="30"/>
        <v>15851</v>
      </c>
    </row>
    <row r="60">
      <c r="A60" s="620" t="s">
        <v>28</v>
      </c>
      <c r="B60" s="621" t="s">
        <v>120</v>
      </c>
      <c r="C60" s="620">
        <f t="shared" ref="C60:I60" si="31">SUM(C56:C59)</f>
        <v>80</v>
      </c>
      <c r="D60" s="620">
        <f t="shared" si="31"/>
        <v>65</v>
      </c>
      <c r="E60" s="620">
        <f t="shared" si="31"/>
        <v>15</v>
      </c>
      <c r="F60" s="620">
        <f t="shared" si="31"/>
        <v>106</v>
      </c>
      <c r="G60" s="620">
        <f t="shared" si="31"/>
        <v>450</v>
      </c>
      <c r="H60" s="620">
        <f t="shared" si="31"/>
        <v>3311</v>
      </c>
      <c r="I60" s="620">
        <f t="shared" si="31"/>
        <v>3342</v>
      </c>
      <c r="J60" s="620">
        <f>MINUS(H60,I60)</f>
        <v>-31</v>
      </c>
      <c r="K60" s="620">
        <f>SUM(K56:K59)</f>
        <v>7</v>
      </c>
      <c r="L60" s="620" t="str">
        <f>TEXT(X60/86400, "hh:mm:ss")</f>
        <v>18:07:06</v>
      </c>
      <c r="M60" s="620">
        <f t="shared" ref="M60:T60" si="32">SUM(M56:M59)</f>
        <v>74</v>
      </c>
      <c r="N60" s="620">
        <f t="shared" si="32"/>
        <v>3</v>
      </c>
      <c r="O60" s="620">
        <f t="shared" si="32"/>
        <v>28</v>
      </c>
      <c r="P60" s="620">
        <f t="shared" si="32"/>
        <v>571</v>
      </c>
      <c r="Q60" s="620">
        <f t="shared" si="32"/>
        <v>146</v>
      </c>
      <c r="R60" s="620">
        <f t="shared" si="32"/>
        <v>63</v>
      </c>
      <c r="S60" s="620">
        <f t="shared" si="32"/>
        <v>3</v>
      </c>
      <c r="T60" s="620">
        <f t="shared" si="32"/>
        <v>0</v>
      </c>
      <c r="U60" s="222" t="str">
        <f>IF(((V56+V57+V58+V59)/4)&lt;='PlayerGrades+'!$Y$44,"F-",IF(((V56+V57+V58+V59)/4)&lt;'PlayerGrades+'!$Y$43,"F",IF(((V56+V57+V58+V59)/4)&lt;'PlayerGrades+'!$Y$42,"F+",IF(((V56+V57+V58+V59)/4)&lt;'PlayerGrades+'!$Y$41,"E-",IF(((V56+V57+V58+V59)/4)&lt;'PlayerGrades+'!$Y$40,"E",IF(((V56+V57+V58+V59)/4)&lt;'PlayerGrades+'!$Y$39,"E+",IF(((V56+V57+V58+V59)/4)&lt;'PlayerGrades+'!$Y$38,"D-",IF(((V56+V57+V58+V59)/4)&lt;'PlayerGrades+'!$Y$37,"D",IF(((V56+V57+V58+V59)/4)&lt;'PlayerGrades+'!$Y$36,"D+",IF(((V56+V57+V58+V59)/4)&lt;'PlayerGrades+'!$Y$35,"C-",IF(((V56+V57+V58+V59)/4)&lt;'PlayerGrades+'!$Y$34,"C",IF(((V56+V57+V58+V59)/4)&lt;'PlayerGrades+'!$Y$33,"C+",IF(((V56+V57+V58+V59)/4)&lt;'PlayerGrades+'!$Y$32,"B-",IF(((V56+V57+V58+V59)/4)&lt;'PlayerGrades+'!$Y$31,"B",IF(((V56+V57+V58+V59)/4)&lt;'PlayerGrades+'!$Y$30,"B+",IF(((V56+V57+V58+V59)/4)&lt;'PlayerGrades+'!$Y$29,"A-",IF(((V56+V57+V58+V59)/4)&lt;'PlayerGrades+'!$Y$28,"A",IF(((V56+V57+V58+V59)/4)&lt;'PlayerGrades+'!$Y$27,"A+",IF(((V56+V57+V58+V59)/4)&lt;'PlayerGrades+'!$Y$26,"S-",IF(((V56+V57+V58+V59)/4)&lt;'PlayerGrades+'!$Y$25,"S","S+"))))))))))))))))))))</f>
        <v>B</v>
      </c>
      <c r="V60" s="226" t="s">
        <v>131</v>
      </c>
      <c r="W60" s="624"/>
      <c r="X60" s="310">
        <f>IFERROR(SUM(X56:X59), 0)
</f>
        <v>65226</v>
      </c>
    </row>
    <row r="61">
      <c r="A61" s="237"/>
      <c r="B61" s="241"/>
      <c r="C61" s="237"/>
      <c r="D61" s="237"/>
      <c r="E61" s="237"/>
      <c r="F61" s="237"/>
      <c r="G61" s="237"/>
      <c r="H61" s="237"/>
      <c r="I61" s="237"/>
      <c r="J61" s="237"/>
      <c r="K61" s="245"/>
      <c r="L61" s="665"/>
      <c r="M61" s="248"/>
      <c r="N61" s="248"/>
      <c r="O61" s="248"/>
      <c r="P61" s="248"/>
      <c r="Q61" s="248"/>
      <c r="R61" s="248"/>
      <c r="S61" s="248"/>
      <c r="T61" s="250"/>
      <c r="U61" s="241"/>
      <c r="V61" s="379"/>
      <c r="W61" s="380"/>
      <c r="X61" s="382"/>
    </row>
    <row r="62">
      <c r="A62" s="666" t="s">
        <v>13</v>
      </c>
      <c r="B62" s="667" t="s">
        <v>46</v>
      </c>
      <c r="C62" s="669">
        <f>IFERROR(VLOOKUP($B62,'Halo Infinite Stats'!$A:$AM,2,0),)</f>
        <v>23</v>
      </c>
      <c r="D62" s="669">
        <f>IFERROR(VLOOKUP($B62,'Halo Infinite Stats'!$A:$AM,3,0),)</f>
        <v>8</v>
      </c>
      <c r="E62" s="669">
        <f>IFERROR(VLOOKUP($B62,'Halo Infinite Stats'!$A:$AM,4,0),)</f>
        <v>15</v>
      </c>
      <c r="F62" s="669">
        <f>IFERROR(VLOOKUP($B62,'Halo Infinite Stats'!$A:$AM,5,0),)</f>
        <v>20</v>
      </c>
      <c r="G62" s="69">
        <f>IFERROR(VLOOKUP($B62,'Halo Infinite Stats'!$A:$AM,6,0),)</f>
        <v>65</v>
      </c>
      <c r="H62" s="69">
        <f>IFERROR(VLOOKUP($B62,'Halo Infinite Stats'!$A:$AM,7,0),)</f>
        <v>680</v>
      </c>
      <c r="I62" s="69">
        <f>IFERROR(VLOOKUP($B62,'Halo Infinite Stats'!$A:$AM,8,0),)</f>
        <v>1250</v>
      </c>
      <c r="J62" s="69">
        <f>IFERROR(VLOOKUP($B62,'Halo Infinite Stats'!$A:$AM,9,0),)</f>
        <v>-570</v>
      </c>
      <c r="K62" s="69">
        <f>IFERROR(VLOOKUP($B62,'Halo Infinite Stats'!$A:$AM,11,0),)</f>
        <v>3</v>
      </c>
      <c r="L62" s="69" t="str">
        <f>IFERROR(TEXT(VLOOKUP($B62,'Halo Infinite Stats'!$A:$AM,12,0)/(24*60*60),"hh:mm:ss"),"")</f>
        <v>04:54:57</v>
      </c>
      <c r="M62" s="69">
        <f>IFERROR(VLOOKUP($B62,'Halo Infinite Stats'!$A:$AM,14,0),)</f>
        <v>2</v>
      </c>
      <c r="N62" s="87">
        <f>IFERROR(VLOOKUP($B62,'Halo Infinite Stats'!$A:$AM,15,0),)+IFERROR(VLOOKUP($B62,'Halo Infinite Stats'!$A:$AM,16,0),)+IFERROR(VLOOKUP($B62,'Halo Infinite Stats'!$A:$AM,17,0),)</f>
        <v>1</v>
      </c>
      <c r="O62" s="69">
        <f>IFERROR(VLOOKUP($B62,'Halo Infinite Stats'!$A:$AM,18,0),)</f>
        <v>16</v>
      </c>
      <c r="P62" s="69">
        <f>IFERROR(VLOOKUP($B62,'Halo Infinite Stats'!$A:$AM,19,0),)</f>
        <v>95</v>
      </c>
      <c r="Q62" s="69">
        <f>IFERROR(VLOOKUP($B62,'Halo Infinite Stats'!$A:$AM,20,0),)</f>
        <v>23</v>
      </c>
      <c r="R62" s="87">
        <f>IFERROR(VLOOKUP($B62,'Halo Infinite Stats'!$A:$AM,21,0),)+IFERROR(VLOOKUP($B62,'Halo Infinite Stats'!$A:$AM,22,0),)+IFERROR(VLOOKUP($B62,'Halo Infinite Stats'!$A:$AM,23,0),)+IFERROR(VLOOKUP($B62,'Halo Infinite Stats'!$A:$AM,24,0),)+IFERROR(VLOOKUP($B62,'Halo Infinite Stats'!$A:$AM,25,0),)+IFERROR(VLOOKUP($B62,'Halo Infinite Stats'!$A:$AM,26,0),)+IFERROR(VLOOKUP($B62,'Halo Infinite Stats'!$A:$AM,27,0),)</f>
        <v>12</v>
      </c>
      <c r="S62" s="69">
        <f>IFERROR(VLOOKUP($B62,'Halo Infinite Stats'!$A:$AM,28,0),)</f>
        <v>0</v>
      </c>
      <c r="T62" s="69">
        <f>IFERROR(VLOOKUP($B62,'Halo Infinite Stats'!$A:$AM,31,0),)</f>
        <v>0</v>
      </c>
      <c r="U62" s="102" t="str">
        <f>IFERROR(VLOOKUP($B62,'PlayerGrades+'!$A:$W,22,0),)</f>
        <v>E-</v>
      </c>
      <c r="V62" s="279">
        <f>IFERROR(VLOOKUP($B62,'PlayerGrades+'!$A:$W,23,0),)</f>
        <v>9.2</v>
      </c>
      <c r="W62" s="590"/>
      <c r="X62" s="114">
        <f t="shared" ref="X62:X65" si="33">(HOUR(L62) * 3600) + (MINUTE(L62) * 60) + SECOND(L62)</f>
        <v>17697</v>
      </c>
    </row>
    <row r="63">
      <c r="A63" s="678" t="s">
        <v>13</v>
      </c>
      <c r="B63" s="678" t="s">
        <v>69</v>
      </c>
      <c r="C63" s="669">
        <f>IFERROR(VLOOKUP($B63,'Halo Infinite Stats'!$A:$AM,2,0),)</f>
        <v>10</v>
      </c>
      <c r="D63" s="669">
        <f>IFERROR(VLOOKUP($B63,'Halo Infinite Stats'!$A:$AM,3,0),)</f>
        <v>2</v>
      </c>
      <c r="E63" s="669">
        <f>IFERROR(VLOOKUP($B63,'Halo Infinite Stats'!$A:$AM,4,0),)</f>
        <v>8</v>
      </c>
      <c r="F63" s="669">
        <f>IFERROR(VLOOKUP($B63,'Halo Infinite Stats'!$A:$AM,5,0),)</f>
        <v>4</v>
      </c>
      <c r="G63" s="69">
        <f>IFERROR(VLOOKUP($B63,'Halo Infinite Stats'!$A:$AM,6,0),)</f>
        <v>29</v>
      </c>
      <c r="H63" s="69">
        <f>IFERROR(VLOOKUP($B63,'Halo Infinite Stats'!$A:$AM,7,0),)</f>
        <v>289</v>
      </c>
      <c r="I63" s="69">
        <f>IFERROR(VLOOKUP($B63,'Halo Infinite Stats'!$A:$AM,8,0),)</f>
        <v>492</v>
      </c>
      <c r="J63" s="69">
        <f>IFERROR(VLOOKUP($B63,'Halo Infinite Stats'!$A:$AM,9,0),)</f>
        <v>-203</v>
      </c>
      <c r="K63" s="69">
        <f>IFERROR(VLOOKUP($B63,'Halo Infinite Stats'!$A:$AM,11,0),)</f>
        <v>2</v>
      </c>
      <c r="L63" s="69" t="str">
        <f>IFERROR(TEXT(VLOOKUP($B63,'Halo Infinite Stats'!$A:$AM,12,0)/(24*60*60),"hh:mm:ss"),"")</f>
        <v>01:50:29</v>
      </c>
      <c r="M63" s="69">
        <f>IFERROR(VLOOKUP($B63,'Halo Infinite Stats'!$A:$AM,14,0),)</f>
        <v>4</v>
      </c>
      <c r="N63" s="87">
        <f>IFERROR(VLOOKUP($B63,'Halo Infinite Stats'!$A:$AM,15,0),)+IFERROR(VLOOKUP($B63,'Halo Infinite Stats'!$A:$AM,16,0),)+IFERROR(VLOOKUP($B63,'Halo Infinite Stats'!$A:$AM,17,0),)</f>
        <v>0</v>
      </c>
      <c r="O63" s="69">
        <f>IFERROR(VLOOKUP($B63,'Halo Infinite Stats'!$A:$AM,18,0),)</f>
        <v>3</v>
      </c>
      <c r="P63" s="69">
        <f>IFERROR(VLOOKUP($B63,'Halo Infinite Stats'!$A:$AM,19,0),)</f>
        <v>47</v>
      </c>
      <c r="Q63" s="69">
        <f>IFERROR(VLOOKUP($B63,'Halo Infinite Stats'!$A:$AM,20,0),)</f>
        <v>11</v>
      </c>
      <c r="R63" s="87">
        <f>IFERROR(VLOOKUP($B63,'Halo Infinite Stats'!$A:$AM,21,0),)+IFERROR(VLOOKUP($B63,'Halo Infinite Stats'!$A:$AM,22,0),)+IFERROR(VLOOKUP($B63,'Halo Infinite Stats'!$A:$AM,23,0),)+IFERROR(VLOOKUP($B63,'Halo Infinite Stats'!$A:$AM,24,0),)+IFERROR(VLOOKUP($B63,'Halo Infinite Stats'!$A:$AM,25,0),)+IFERROR(VLOOKUP($B63,'Halo Infinite Stats'!$A:$AM,26,0),)+IFERROR(VLOOKUP($B63,'Halo Infinite Stats'!$A:$AM,27,0),)</f>
        <v>2</v>
      </c>
      <c r="S63" s="69">
        <f>IFERROR(VLOOKUP($B63,'Halo Infinite Stats'!$A:$AM,28,0),)</f>
        <v>0</v>
      </c>
      <c r="T63" s="69">
        <f>IFERROR(VLOOKUP($B63,'Halo Infinite Stats'!$A:$AM,31,0),)</f>
        <v>0</v>
      </c>
      <c r="U63" s="102" t="str">
        <f>IFERROR(VLOOKUP($B63,'PlayerGrades+'!$A:$W,22,0),)</f>
        <v>C-</v>
      </c>
      <c r="V63" s="279">
        <f>IFERROR(VLOOKUP($B63,'PlayerGrades+'!$A:$W,23,0),)</f>
        <v>14.2</v>
      </c>
      <c r="W63" s="590"/>
      <c r="X63" s="114">
        <f t="shared" si="33"/>
        <v>6629</v>
      </c>
    </row>
    <row r="64">
      <c r="A64" s="686" t="s">
        <v>13</v>
      </c>
      <c r="B64" s="686" t="s">
        <v>83</v>
      </c>
      <c r="C64" s="669">
        <f>IFERROR(VLOOKUP($B64,'Halo Infinite Stats'!$A:$AM,2,0),)</f>
        <v>10</v>
      </c>
      <c r="D64" s="669">
        <f>IFERROR(VLOOKUP($B64,'Halo Infinite Stats'!$A:$AM,3,0),)</f>
        <v>2</v>
      </c>
      <c r="E64" s="669">
        <f>IFERROR(VLOOKUP($B64,'Halo Infinite Stats'!$A:$AM,4,0),)</f>
        <v>8</v>
      </c>
      <c r="F64" s="669">
        <f>IFERROR(VLOOKUP($B64,'Halo Infinite Stats'!$A:$AM,5,0),)</f>
        <v>3</v>
      </c>
      <c r="G64" s="69">
        <f>IFERROR(VLOOKUP($B64,'Halo Infinite Stats'!$A:$AM,6,0),)</f>
        <v>8</v>
      </c>
      <c r="H64" s="69">
        <f>IFERROR(VLOOKUP($B64,'Halo Infinite Stats'!$A:$AM,7,0),)</f>
        <v>228</v>
      </c>
      <c r="I64" s="69">
        <f>IFERROR(VLOOKUP($B64,'Halo Infinite Stats'!$A:$AM,8,0),)</f>
        <v>396</v>
      </c>
      <c r="J64" s="69">
        <f>IFERROR(VLOOKUP($B64,'Halo Infinite Stats'!$A:$AM,9,0),)</f>
        <v>-168</v>
      </c>
      <c r="K64" s="69">
        <f>IFERROR(VLOOKUP($B64,'Halo Infinite Stats'!$A:$AM,11,0),)</f>
        <v>0</v>
      </c>
      <c r="L64" s="69" t="str">
        <f>IFERROR(TEXT(VLOOKUP($B64,'Halo Infinite Stats'!$A:$AM,12,0)/(24*60*60),"hh:mm:ss"),"")</f>
        <v>01:36:39</v>
      </c>
      <c r="M64" s="69">
        <f>IFERROR(VLOOKUP($B64,'Halo Infinite Stats'!$A:$AM,14,0),)</f>
        <v>3</v>
      </c>
      <c r="N64" s="87">
        <f>IFERROR(VLOOKUP($B64,'Halo Infinite Stats'!$A:$AM,15,0),)+IFERROR(VLOOKUP($B64,'Halo Infinite Stats'!$A:$AM,16,0),)+IFERROR(VLOOKUP($B64,'Halo Infinite Stats'!$A:$AM,17,0),)</f>
        <v>0</v>
      </c>
      <c r="O64" s="69">
        <f>IFERROR(VLOOKUP($B64,'Halo Infinite Stats'!$A:$AM,18,0),)</f>
        <v>7</v>
      </c>
      <c r="P64" s="69">
        <f>IFERROR(VLOOKUP($B64,'Halo Infinite Stats'!$A:$AM,19,0),)</f>
        <v>35</v>
      </c>
      <c r="Q64" s="69">
        <f>IFERROR(VLOOKUP($B64,'Halo Infinite Stats'!$A:$AM,20,0),)</f>
        <v>9</v>
      </c>
      <c r="R64" s="87">
        <f>IFERROR(VLOOKUP($B64,'Halo Infinite Stats'!$A:$AM,21,0),)+IFERROR(VLOOKUP($B64,'Halo Infinite Stats'!$A:$AM,22,0),)+IFERROR(VLOOKUP($B64,'Halo Infinite Stats'!$A:$AM,23,0),)+IFERROR(VLOOKUP($B64,'Halo Infinite Stats'!$A:$AM,24,0),)+IFERROR(VLOOKUP($B64,'Halo Infinite Stats'!$A:$AM,25,0),)+IFERROR(VLOOKUP($B64,'Halo Infinite Stats'!$A:$AM,26,0),)+IFERROR(VLOOKUP($B64,'Halo Infinite Stats'!$A:$AM,27,0),)</f>
        <v>1</v>
      </c>
      <c r="S64" s="69">
        <f>IFERROR(VLOOKUP($B64,'Halo Infinite Stats'!$A:$AM,28,0),)</f>
        <v>0</v>
      </c>
      <c r="T64" s="69">
        <f>IFERROR(VLOOKUP($B64,'Halo Infinite Stats'!$A:$AM,31,0),)</f>
        <v>0</v>
      </c>
      <c r="U64" s="102" t="str">
        <f>IFERROR(VLOOKUP($B64,'PlayerGrades+'!$A:$W,22,0),)</f>
        <v>E</v>
      </c>
      <c r="V64" s="279">
        <f>IFERROR(VLOOKUP($B64,'PlayerGrades+'!$A:$W,23,0),)</f>
        <v>10.9375</v>
      </c>
      <c r="W64" s="590"/>
      <c r="X64" s="114">
        <f t="shared" si="33"/>
        <v>5799</v>
      </c>
    </row>
    <row r="65">
      <c r="A65" s="678" t="s">
        <v>13</v>
      </c>
      <c r="B65" s="692" t="s">
        <v>222</v>
      </c>
      <c r="C65" s="669">
        <f>IFERROR(VLOOKUP($B65,'Halo Infinite Stats'!$A:$AM,2,0),)</f>
        <v>18</v>
      </c>
      <c r="D65" s="669">
        <f>IFERROR(VLOOKUP($B65,'Halo Infinite Stats'!$A:$AM,3,0),)</f>
        <v>3</v>
      </c>
      <c r="E65" s="669">
        <f>IFERROR(VLOOKUP($B65,'Halo Infinite Stats'!$A:$AM,4,0),)</f>
        <v>15</v>
      </c>
      <c r="F65" s="669">
        <f>IFERROR(VLOOKUP($B65,'Halo Infinite Stats'!$A:$AM,5,0),)</f>
        <v>9</v>
      </c>
      <c r="G65" s="69">
        <f>IFERROR(VLOOKUP($B65,'Halo Infinite Stats'!$A:$AM,6,0),)</f>
        <v>12</v>
      </c>
      <c r="H65" s="69">
        <f>IFERROR(VLOOKUP($B65,'Halo Infinite Stats'!$A:$AM,7,0),)</f>
        <v>464</v>
      </c>
      <c r="I65" s="69">
        <f>IFERROR(VLOOKUP($B65,'Halo Infinite Stats'!$A:$AM,8,0),)</f>
        <v>981</v>
      </c>
      <c r="J65" s="69">
        <f>IFERROR(VLOOKUP($B65,'Halo Infinite Stats'!$A:$AM,9,0),)</f>
        <v>-517</v>
      </c>
      <c r="K65" s="69">
        <f>IFERROR(VLOOKUP($B65,'Halo Infinite Stats'!$A:$AM,11,0),)</f>
        <v>0</v>
      </c>
      <c r="L65" s="69" t="str">
        <f>IFERROR(TEXT(VLOOKUP($B65,'Halo Infinite Stats'!$A:$AM,12,0)/(24*60*60),"hh:mm:ss"),"")</f>
        <v>03:25:17</v>
      </c>
      <c r="M65" s="69">
        <f>IFERROR(VLOOKUP($B65,'Halo Infinite Stats'!$A:$AM,14,0),)</f>
        <v>3</v>
      </c>
      <c r="N65" s="87">
        <f>IFERROR(VLOOKUP($B65,'Halo Infinite Stats'!$A:$AM,15,0),)+IFERROR(VLOOKUP($B65,'Halo Infinite Stats'!$A:$AM,16,0),)+IFERROR(VLOOKUP($B65,'Halo Infinite Stats'!$A:$AM,17,0),)</f>
        <v>0</v>
      </c>
      <c r="O65" s="69">
        <f>IFERROR(VLOOKUP($B65,'Halo Infinite Stats'!$A:$AM,18,0),)</f>
        <v>9</v>
      </c>
      <c r="P65" s="69">
        <f>IFERROR(VLOOKUP($B65,'Halo Infinite Stats'!$A:$AM,19,0),)</f>
        <v>55</v>
      </c>
      <c r="Q65" s="69">
        <f>IFERROR(VLOOKUP($B65,'Halo Infinite Stats'!$A:$AM,20,0),)</f>
        <v>10</v>
      </c>
      <c r="R65" s="87">
        <f>IFERROR(VLOOKUP($B65,'Halo Infinite Stats'!$A:$AM,21,0),)+IFERROR(VLOOKUP($B65,'Halo Infinite Stats'!$A:$AM,22,0),)+IFERROR(VLOOKUP($B65,'Halo Infinite Stats'!$A:$AM,23,0),)+IFERROR(VLOOKUP($B65,'Halo Infinite Stats'!$A:$AM,24,0),)+IFERROR(VLOOKUP($B65,'Halo Infinite Stats'!$A:$AM,25,0),)+IFERROR(VLOOKUP($B65,'Halo Infinite Stats'!$A:$AM,26,0),)+IFERROR(VLOOKUP($B65,'Halo Infinite Stats'!$A:$AM,27,0),)</f>
        <v>6</v>
      </c>
      <c r="S65" s="69">
        <f>IFERROR(VLOOKUP($B65,'Halo Infinite Stats'!$A:$AM,28,0),)</f>
        <v>0</v>
      </c>
      <c r="T65" s="69">
        <f>IFERROR(VLOOKUP($B65,'Halo Infinite Stats'!$A:$AM,31,0),)</f>
        <v>0</v>
      </c>
      <c r="U65" s="102" t="str">
        <f>IFERROR(VLOOKUP($B65,'PlayerGrades+'!$A:$W,22,0),)</f>
        <v>E-</v>
      </c>
      <c r="V65" s="279">
        <f>IFERROR(VLOOKUP($B65,'PlayerGrades+'!$A:$W,23,0),)</f>
        <v>8.1625</v>
      </c>
      <c r="W65" s="590"/>
      <c r="X65" s="114">
        <f t="shared" si="33"/>
        <v>12317</v>
      </c>
    </row>
    <row r="66">
      <c r="A66" s="686" t="s">
        <v>13</v>
      </c>
      <c r="B66" s="698" t="s">
        <v>120</v>
      </c>
      <c r="C66" s="700">
        <f t="shared" ref="C66:I66" si="34">SUM(C62:C65)</f>
        <v>61</v>
      </c>
      <c r="D66" s="700">
        <f t="shared" si="34"/>
        <v>15</v>
      </c>
      <c r="E66" s="700">
        <f t="shared" si="34"/>
        <v>46</v>
      </c>
      <c r="F66" s="700">
        <f t="shared" si="34"/>
        <v>36</v>
      </c>
      <c r="G66" s="700">
        <f t="shared" si="34"/>
        <v>114</v>
      </c>
      <c r="H66" s="700">
        <f t="shared" si="34"/>
        <v>1661</v>
      </c>
      <c r="I66" s="700">
        <f t="shared" si="34"/>
        <v>3119</v>
      </c>
      <c r="J66" s="700">
        <f>MINUS(H66,I66)</f>
        <v>-1458</v>
      </c>
      <c r="K66" s="700">
        <f>SUM(K62:K65)</f>
        <v>5</v>
      </c>
      <c r="L66" s="700" t="str">
        <f>TEXT(X66/86400, "hh:mm:ss")</f>
        <v>11:47:22</v>
      </c>
      <c r="M66" s="700">
        <f t="shared" ref="M66:T66" si="35">SUM(M62:M65)</f>
        <v>12</v>
      </c>
      <c r="N66" s="700">
        <f t="shared" si="35"/>
        <v>1</v>
      </c>
      <c r="O66" s="700">
        <f t="shared" si="35"/>
        <v>35</v>
      </c>
      <c r="P66" s="700">
        <f t="shared" si="35"/>
        <v>232</v>
      </c>
      <c r="Q66" s="700">
        <f t="shared" si="35"/>
        <v>53</v>
      </c>
      <c r="R66" s="700">
        <f t="shared" si="35"/>
        <v>21</v>
      </c>
      <c r="S66" s="700">
        <f t="shared" si="35"/>
        <v>0</v>
      </c>
      <c r="T66" s="700">
        <f t="shared" si="35"/>
        <v>0</v>
      </c>
      <c r="U66" s="222" t="str">
        <f>IF(((V62+V63+V64+V65)/4)&lt;='PlayerGrades+'!$Y$44,"F-",IF(((V62+V63+V64+V65)/4)&lt;'PlayerGrades+'!$Y$43,"F",IF(((V62+V63+V64+V65)/4)&lt;'PlayerGrades+'!$Y$42,"F+",IF(((V62+V63+V64+V65)/4)&lt;'PlayerGrades+'!$Y$41,"E-",IF(((V62+V63+V64+V65)/4)&lt;'PlayerGrades+'!$Y$40,"E",IF(((V62+V63+V64+V65)/4)&lt;'PlayerGrades+'!$Y$39,"E+",IF(((V62+V63+V64+V65)/4)&lt;'PlayerGrades+'!$Y$38,"D-",IF(((V62+V63+V64+V65)/4)&lt;'PlayerGrades+'!$Y$37,"D",IF(((V62+V63+V64+V65)/4)&lt;'PlayerGrades+'!$Y$36,"D+",IF(((V62+V63+V64+V65)/4)&lt;'PlayerGrades+'!$Y$35,"C-",IF(((V62+V63+V64+V65)/4)&lt;'PlayerGrades+'!$Y$34,"C",IF(((V62+V63+V64+V65)/4)&lt;'PlayerGrades+'!$Y$33,"C+",IF(((V62+V63+V64+V65)/4)&lt;'PlayerGrades+'!$Y$32,"B-",IF(((V62+V63+V64+V65)/4)&lt;'PlayerGrades+'!$Y$31,"B",IF(((V62+V63+V64+V65)/4)&lt;'PlayerGrades+'!$Y$30,"B+",IF(((V62+V63+V64+V65)/4)&lt;'PlayerGrades+'!$Y$29,"A-",IF(((V62+V63+V64+V65)/4)&lt;'PlayerGrades+'!$Y$28,"A",IF(((V62+V63+V64+V65)/4)&lt;'PlayerGrades+'!$Y$27,"A+",IF(((V62+V63+V64+V65)/4)&lt;'PlayerGrades+'!$Y$26,"S-",IF(((V62+V63+V64+V65)/4)&lt;'PlayerGrades+'!$Y$25,"S","S+"))))))))))))))))))))</f>
        <v>E</v>
      </c>
      <c r="V66" s="226" t="s">
        <v>131</v>
      </c>
      <c r="W66" s="590"/>
      <c r="X66" s="310">
        <f>IFERROR(SUM(X62:X65), 0)
</f>
        <v>42442</v>
      </c>
    </row>
    <row r="67">
      <c r="A67" s="713"/>
      <c r="B67" s="714"/>
      <c r="C67" s="713"/>
      <c r="D67" s="713"/>
      <c r="E67" s="713"/>
      <c r="F67" s="713"/>
      <c r="G67" s="713"/>
      <c r="H67" s="713"/>
      <c r="I67" s="713"/>
      <c r="J67" s="713"/>
      <c r="K67" s="715"/>
      <c r="L67" s="716"/>
      <c r="M67" s="717"/>
      <c r="N67" s="717"/>
      <c r="O67" s="717"/>
      <c r="P67" s="717"/>
      <c r="Q67" s="717"/>
      <c r="R67" s="717"/>
      <c r="S67" s="717"/>
      <c r="T67" s="719"/>
      <c r="U67" s="720"/>
      <c r="V67" s="722"/>
      <c r="W67" s="722"/>
      <c r="X67" s="722"/>
    </row>
  </sheetData>
  <conditionalFormatting sqref="A1:X67">
    <cfRule type="cellIs" dxfId="21" priority="1" operator="equal">
      <formula>"S+"</formula>
    </cfRule>
  </conditionalFormatting>
  <conditionalFormatting sqref="A1:X67">
    <cfRule type="cellIs" dxfId="21" priority="2" operator="equal">
      <formula>"S"</formula>
    </cfRule>
  </conditionalFormatting>
  <conditionalFormatting sqref="A1:X67">
    <cfRule type="cellIs" dxfId="21" priority="3" operator="equal">
      <formula>"S-"</formula>
    </cfRule>
  </conditionalFormatting>
  <conditionalFormatting sqref="A1:X67">
    <cfRule type="cellIs" dxfId="22" priority="4" operator="equal">
      <formula>"A-"</formula>
    </cfRule>
  </conditionalFormatting>
  <conditionalFormatting sqref="A1:X67">
    <cfRule type="cellIs" dxfId="28" priority="5" operator="equal">
      <formula>"A"</formula>
    </cfRule>
  </conditionalFormatting>
  <conditionalFormatting sqref="A1:X67">
    <cfRule type="cellIs" dxfId="28" priority="6" operator="equal">
      <formula>"A+"</formula>
    </cfRule>
  </conditionalFormatting>
  <conditionalFormatting sqref="A1:X67">
    <cfRule type="cellIs" dxfId="28" priority="7" operator="equal">
      <formula>"A-"</formula>
    </cfRule>
  </conditionalFormatting>
  <conditionalFormatting sqref="A1:X67">
    <cfRule type="cellIs" dxfId="23" priority="8" operator="equal">
      <formula>"B-"</formula>
    </cfRule>
  </conditionalFormatting>
  <conditionalFormatting sqref="A1:X67">
    <cfRule type="cellIs" dxfId="23" priority="9" operator="equal">
      <formula>"B"</formula>
    </cfRule>
  </conditionalFormatting>
  <conditionalFormatting sqref="A1:X67">
    <cfRule type="cellIs" dxfId="23" priority="10" operator="equal">
      <formula>"B+"</formula>
    </cfRule>
  </conditionalFormatting>
  <conditionalFormatting sqref="A1:X67">
    <cfRule type="cellIs" dxfId="24" priority="11" operator="equal">
      <formula>"C+"</formula>
    </cfRule>
  </conditionalFormatting>
  <conditionalFormatting sqref="A1:X67">
    <cfRule type="cellIs" dxfId="24" priority="12" operator="equal">
      <formula>"C"</formula>
    </cfRule>
  </conditionalFormatting>
  <conditionalFormatting sqref="A1:X67">
    <cfRule type="cellIs" dxfId="24" priority="13" operator="equal">
      <formula>"C-"</formula>
    </cfRule>
  </conditionalFormatting>
  <conditionalFormatting sqref="A1:X67">
    <cfRule type="cellIs" dxfId="25" priority="14" operator="equal">
      <formula>"D-"</formula>
    </cfRule>
  </conditionalFormatting>
  <conditionalFormatting sqref="A1:X67">
    <cfRule type="cellIs" dxfId="25" priority="15" operator="equal">
      <formula>"D"</formula>
    </cfRule>
  </conditionalFormatting>
  <conditionalFormatting sqref="A1:X67">
    <cfRule type="cellIs" dxfId="25" priority="16" operator="equal">
      <formula>"D+"</formula>
    </cfRule>
  </conditionalFormatting>
  <conditionalFormatting sqref="A1:X67">
    <cfRule type="cellIs" dxfId="26" priority="17" operator="equal">
      <formula>"E+"</formula>
    </cfRule>
  </conditionalFormatting>
  <conditionalFormatting sqref="A1:X67">
    <cfRule type="cellIs" dxfId="26" priority="18" operator="equal">
      <formula>"E"</formula>
    </cfRule>
  </conditionalFormatting>
  <conditionalFormatting sqref="A1:X67">
    <cfRule type="cellIs" dxfId="26" priority="19" operator="equal">
      <formula>"E-"</formula>
    </cfRule>
  </conditionalFormatting>
  <conditionalFormatting sqref="A1:X67">
    <cfRule type="cellIs" dxfId="27" priority="20" operator="equal">
      <formula>"F"</formula>
    </cfRule>
  </conditionalFormatting>
  <conditionalFormatting sqref="A1:X67">
    <cfRule type="cellIs" dxfId="27" priority="21" operator="equal">
      <formula>"F+"</formula>
    </cfRule>
  </conditionalFormatting>
  <conditionalFormatting sqref="A1:X67">
    <cfRule type="cellIs" dxfId="27" priority="22" operator="equal">
      <formula>"F-"</formula>
    </cfRule>
  </conditionalFormatting>
  <conditionalFormatting sqref="A1:X67">
    <cfRule type="cellIs" dxfId="27" priority="23" operator="equal">
      <formula>"F-"</formula>
    </cfRule>
  </conditionalFormatting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6.38"/>
    <col customWidth="1" min="3" max="3" width="16.38"/>
    <col customWidth="1" min="4" max="4" width="8.88"/>
    <col customWidth="1" min="5" max="5" width="4.25"/>
    <col customWidth="1" min="6" max="6" width="6.38"/>
    <col customWidth="1" min="7" max="7" width="16.38"/>
    <col customWidth="1" min="8" max="8" width="8.88"/>
    <col customWidth="1" min="9" max="9" width="4.25"/>
    <col customWidth="1" min="10" max="10" width="6.38"/>
    <col customWidth="1" min="11" max="11" width="16.38"/>
    <col customWidth="1" min="12" max="12" width="8.88"/>
    <col customWidth="1" min="13" max="13" width="4.25"/>
  </cols>
  <sheetData>
    <row r="1">
      <c r="A1" s="2" t="s">
        <v>0</v>
      </c>
    </row>
    <row r="2">
      <c r="A2" s="5"/>
      <c r="B2" s="8" t="s">
        <v>1</v>
      </c>
      <c r="E2" s="9"/>
      <c r="F2" s="8" t="s">
        <v>3</v>
      </c>
      <c r="I2" s="11"/>
      <c r="J2" s="8" t="s">
        <v>5</v>
      </c>
      <c r="M2" s="12"/>
    </row>
    <row r="3">
      <c r="A3" s="5"/>
      <c r="B3" s="19" t="s">
        <v>10</v>
      </c>
      <c r="C3" s="19" t="str">
        <f>IFERROR(__xludf.DUMMYFUNCTION("QUERY('Halo Infinite Stats'!A:I, ""SELECT A,I where not A contains 'Average Efficiency' ORDER BY I DESC LIMIT 10"", 1)"),"Player")</f>
        <v>Player</v>
      </c>
      <c r="D3" s="19" t="str">
        <f>IFERROR(__xludf.DUMMYFUNCTION("""COMPUTED_VALUE"""),"Spread")</f>
        <v>Spread</v>
      </c>
      <c r="E3" s="27"/>
      <c r="F3" s="28" t="s">
        <v>10</v>
      </c>
      <c r="G3" s="28" t="str">
        <f>IFERROR(__xludf.DUMMYFUNCTION("QUERY('Halo Infinite Stats'!A:G, ""SELECT A,G ORDER BY G DESC LIMIT 10"", 1)"),"Player")</f>
        <v>Player</v>
      </c>
      <c r="H3" s="28" t="str">
        <f>IFERROR(__xludf.DUMMYFUNCTION("""COMPUTED_VALUE"""),"Kills")</f>
        <v>Kills</v>
      </c>
      <c r="I3" s="11"/>
      <c r="J3" s="28" t="s">
        <v>10</v>
      </c>
      <c r="K3" s="33" t="str">
        <f>IFERROR(__xludf.DUMMYFUNCTION("QUERY('Halo Infinite Stats'!A:E, ""SELECT A,E ORDER BY E DESC LIMIT 10"", 1)"),"Player")</f>
        <v>Player</v>
      </c>
      <c r="L3" s="33" t="str">
        <f>IFERROR(__xludf.DUMMYFUNCTION("""COMPUTED_VALUE"""),"Goals")</f>
        <v>Goals</v>
      </c>
      <c r="M3" s="36"/>
    </row>
    <row r="4" ht="54.75" customHeight="1">
      <c r="A4" s="5"/>
      <c r="B4" s="41">
        <v>1.0</v>
      </c>
      <c r="C4" s="46" t="str">
        <f>IFERROR(__xludf.DUMMYFUNCTION("""COMPUTED_VALUE"""),"Jussshhhyyy")</f>
        <v>Jussshhhyyy</v>
      </c>
      <c r="D4" s="50">
        <f>IFERROR(__xludf.DUMMYFUNCTION("""COMPUTED_VALUE"""),558.0)</f>
        <v>558</v>
      </c>
      <c r="E4" s="27"/>
      <c r="F4" s="41">
        <v>1.0</v>
      </c>
      <c r="G4" s="46" t="str">
        <f>IFERROR(__xludf.DUMMYFUNCTION("""COMPUTED_VALUE"""),"Jussshhhyyy")</f>
        <v>Jussshhhyyy</v>
      </c>
      <c r="H4" s="52">
        <f>IFERROR(__xludf.DUMMYFUNCTION("""COMPUTED_VALUE"""),2042.0)</f>
        <v>2042</v>
      </c>
      <c r="I4" s="11"/>
      <c r="J4" s="41">
        <v>1.0</v>
      </c>
      <c r="K4" s="56" t="str">
        <f>IFERROR(__xludf.DUMMYFUNCTION("""COMPUTED_VALUE"""),"Holy Morals")</f>
        <v>Holy Morals</v>
      </c>
      <c r="L4" s="58">
        <f>IFERROR(__xludf.DUMMYFUNCTION("""COMPUTED_VALUE"""),69.0)</f>
        <v>69</v>
      </c>
      <c r="M4" s="62"/>
    </row>
    <row r="5" ht="22.5" customHeight="1">
      <c r="A5" s="5"/>
      <c r="B5" s="41">
        <v>2.0</v>
      </c>
      <c r="C5" s="41" t="str">
        <f>IFERROR(__xludf.DUMMYFUNCTION("""COMPUTED_VALUE"""),"Mavbrid")</f>
        <v>Mavbrid</v>
      </c>
      <c r="D5" s="65">
        <f>IFERROR(__xludf.DUMMYFUNCTION("""COMPUTED_VALUE"""),214.0)</f>
        <v>214</v>
      </c>
      <c r="E5" s="27"/>
      <c r="F5" s="41">
        <v>2.0</v>
      </c>
      <c r="G5" s="41" t="str">
        <f>IFERROR(__xludf.DUMMYFUNCTION("""COMPUTED_VALUE"""),"TommyWstSide")</f>
        <v>TommyWstSide</v>
      </c>
      <c r="H5" s="41">
        <f>IFERROR(__xludf.DUMMYFUNCTION("""COMPUTED_VALUE"""),1603.0)</f>
        <v>1603</v>
      </c>
      <c r="I5" s="11"/>
      <c r="J5" s="41">
        <v>2.0</v>
      </c>
      <c r="K5" s="68" t="str">
        <f>IFERROR(__xludf.DUMMYFUNCTION("""COMPUTED_VALUE"""),"Mavbrid")</f>
        <v>Mavbrid</v>
      </c>
      <c r="L5" s="41">
        <f>IFERROR(__xludf.DUMMYFUNCTION("""COMPUTED_VALUE"""),62.0)</f>
        <v>62</v>
      </c>
      <c r="M5" s="71"/>
    </row>
    <row r="6" ht="22.5" customHeight="1">
      <c r="A6" s="5"/>
      <c r="B6" s="41">
        <v>3.0</v>
      </c>
      <c r="C6" s="41" t="str">
        <f>IFERROR(__xludf.DUMMYFUNCTION("""COMPUTED_VALUE"""),"MysticalNovice")</f>
        <v>MysticalNovice</v>
      </c>
      <c r="D6" s="65">
        <f>IFERROR(__xludf.DUMMYFUNCTION("""COMPUTED_VALUE"""),172.0)</f>
        <v>172</v>
      </c>
      <c r="E6" s="27"/>
      <c r="F6" s="41">
        <v>3.0</v>
      </c>
      <c r="G6" s="41" t="str">
        <f>IFERROR(__xludf.DUMMYFUNCTION("""COMPUTED_VALUE"""),"Mavbrid")</f>
        <v>Mavbrid</v>
      </c>
      <c r="H6" s="41">
        <f>IFERROR(__xludf.DUMMYFUNCTION("""COMPUTED_VALUE"""),1227.0)</f>
        <v>1227</v>
      </c>
      <c r="I6" s="11"/>
      <c r="J6" s="41">
        <v>3.0</v>
      </c>
      <c r="K6" s="68" t="str">
        <f>IFERROR(__xludf.DUMMYFUNCTION("""COMPUTED_VALUE"""),"ASpence501")</f>
        <v>ASpence501</v>
      </c>
      <c r="L6" s="41">
        <f>IFERROR(__xludf.DUMMYFUNCTION("""COMPUTED_VALUE"""),48.0)</f>
        <v>48</v>
      </c>
      <c r="M6" s="74"/>
    </row>
    <row r="7" ht="22.5" customHeight="1">
      <c r="A7" s="5"/>
      <c r="B7" s="41">
        <v>4.0</v>
      </c>
      <c r="C7" s="41" t="str">
        <f>IFERROR(__xludf.DUMMYFUNCTION("""COMPUTED_VALUE"""),"Ace B S1lentND1")</f>
        <v>Ace B S1lentND1</v>
      </c>
      <c r="D7" s="65">
        <f>IFERROR(__xludf.DUMMYFUNCTION("""COMPUTED_VALUE"""),159.0)</f>
        <v>159</v>
      </c>
      <c r="E7" s="27"/>
      <c r="F7" s="41">
        <v>4.0</v>
      </c>
      <c r="G7" s="76" t="str">
        <f>IFERROR(__xludf.DUMMYFUNCTION("""COMPUTED_VALUE"""),"SPANKTR0N")</f>
        <v>SPANKTR0N</v>
      </c>
      <c r="H7" s="76">
        <f>IFERROR(__xludf.DUMMYFUNCTION("""COMPUTED_VALUE"""),1160.0)</f>
        <v>1160</v>
      </c>
      <c r="I7" s="11"/>
      <c r="J7" s="41">
        <v>4.0</v>
      </c>
      <c r="K7" s="79" t="str">
        <f>IFERROR(__xludf.DUMMYFUNCTION("""COMPUTED_VALUE"""),"Scullen cx")</f>
        <v>Scullen cx</v>
      </c>
      <c r="L7" s="76">
        <f>IFERROR(__xludf.DUMMYFUNCTION("""COMPUTED_VALUE"""),36.0)</f>
        <v>36</v>
      </c>
      <c r="M7" s="62"/>
    </row>
    <row r="8" ht="22.5" customHeight="1">
      <c r="A8" s="5"/>
      <c r="B8" s="41">
        <v>5.0</v>
      </c>
      <c r="C8" s="41" t="str">
        <f>IFERROR(__xludf.DUMMYFUNCTION("""COMPUTED_VALUE"""),"Fanciest Pants")</f>
        <v>Fanciest Pants</v>
      </c>
      <c r="D8" s="65">
        <f>IFERROR(__xludf.DUMMYFUNCTION("""COMPUTED_VALUE"""),124.0)</f>
        <v>124</v>
      </c>
      <c r="E8" s="83"/>
      <c r="F8" s="41">
        <v>5.0</v>
      </c>
      <c r="G8" s="41" t="str">
        <f>IFERROR(__xludf.DUMMYFUNCTION("""COMPUTED_VALUE"""),"Ken Khaneki")</f>
        <v>Ken Khaneki</v>
      </c>
      <c r="H8" s="41">
        <f>IFERROR(__xludf.DUMMYFUNCTION("""COMPUTED_VALUE"""),1145.0)</f>
        <v>1145</v>
      </c>
      <c r="I8" s="11"/>
      <c r="J8" s="41">
        <v>5.0</v>
      </c>
      <c r="K8" s="68" t="str">
        <f>IFERROR(__xludf.DUMMYFUNCTION("""COMPUTED_VALUE"""),"yLuxe")</f>
        <v>yLuxe</v>
      </c>
      <c r="L8" s="41">
        <f>IFERROR(__xludf.DUMMYFUNCTION("""COMPUTED_VALUE"""),33.0)</f>
        <v>33</v>
      </c>
      <c r="M8" s="86"/>
    </row>
    <row r="9" ht="22.5" customHeight="1">
      <c r="A9" s="5"/>
      <c r="B9" s="41">
        <v>6.0</v>
      </c>
      <c r="C9" s="76" t="str">
        <f>IFERROR(__xludf.DUMMYFUNCTION("""COMPUTED_VALUE"""),"ASpence501")</f>
        <v>ASpence501</v>
      </c>
      <c r="D9" s="89">
        <f>IFERROR(__xludf.DUMMYFUNCTION("""COMPUTED_VALUE"""),77.0)</f>
        <v>77</v>
      </c>
      <c r="E9" s="92"/>
      <c r="F9" s="41">
        <v>6.0</v>
      </c>
      <c r="G9" s="41" t="str">
        <f>IFERROR(__xludf.DUMMYFUNCTION("""COMPUTED_VALUE"""),"ASpence501")</f>
        <v>ASpence501</v>
      </c>
      <c r="H9" s="41">
        <f>IFERROR(__xludf.DUMMYFUNCTION("""COMPUTED_VALUE"""),1135.0)</f>
        <v>1135</v>
      </c>
      <c r="I9" s="11"/>
      <c r="J9" s="41">
        <v>6.0</v>
      </c>
      <c r="K9" s="68" t="str">
        <f>IFERROR(__xludf.DUMMYFUNCTION("""COMPUTED_VALUE"""),"MuNgO PuNgO")</f>
        <v>MuNgO PuNgO</v>
      </c>
      <c r="L9" s="41">
        <f>IFERROR(__xludf.DUMMYFUNCTION("""COMPUTED_VALUE"""),31.0)</f>
        <v>31</v>
      </c>
      <c r="M9" s="36"/>
    </row>
    <row r="10" ht="22.5" customHeight="1">
      <c r="A10" s="5"/>
      <c r="B10" s="41">
        <v>7.0</v>
      </c>
      <c r="C10" s="41" t="str">
        <f>IFERROR(__xludf.DUMMYFUNCTION("""COMPUTED_VALUE"""),"yLuxe")</f>
        <v>yLuxe</v>
      </c>
      <c r="D10" s="65">
        <f>IFERROR(__xludf.DUMMYFUNCTION("""COMPUTED_VALUE"""),42.0)</f>
        <v>42</v>
      </c>
      <c r="E10" s="27"/>
      <c r="F10" s="41">
        <v>7.0</v>
      </c>
      <c r="G10" s="41" t="str">
        <f>IFERROR(__xludf.DUMMYFUNCTION("""COMPUTED_VALUE"""),"Ace B S1lentND1")</f>
        <v>Ace B S1lentND1</v>
      </c>
      <c r="H10" s="41">
        <f>IFERROR(__xludf.DUMMYFUNCTION("""COMPUTED_VALUE"""),1110.0)</f>
        <v>1110</v>
      </c>
      <c r="I10" s="11"/>
      <c r="J10" s="41">
        <v>7.0</v>
      </c>
      <c r="K10" s="68" t="str">
        <f>IFERROR(__xludf.DUMMYFUNCTION("""COMPUTED_VALUE"""),"MysticalNovice")</f>
        <v>MysticalNovice</v>
      </c>
      <c r="L10" s="41">
        <f>IFERROR(__xludf.DUMMYFUNCTION("""COMPUTED_VALUE"""),31.0)</f>
        <v>31</v>
      </c>
      <c r="M10" s="62"/>
    </row>
    <row r="11" ht="22.5" customHeight="1">
      <c r="A11" s="5"/>
      <c r="B11" s="41">
        <v>8.0</v>
      </c>
      <c r="C11" s="41" t="str">
        <f>IFERROR(__xludf.DUMMYFUNCTION("""COMPUTED_VALUE"""),"Memorized")</f>
        <v>Memorized</v>
      </c>
      <c r="D11" s="65">
        <f>IFERROR(__xludf.DUMMYFUNCTION("""COMPUTED_VALUE"""),-18.0)</f>
        <v>-18</v>
      </c>
      <c r="E11" s="27"/>
      <c r="F11" s="41">
        <v>8.0</v>
      </c>
      <c r="G11" s="41" t="str">
        <f>IFERROR(__xludf.DUMMYFUNCTION("""COMPUTED_VALUE"""),"Fanciest Pants")</f>
        <v>Fanciest Pants</v>
      </c>
      <c r="H11" s="41">
        <f>IFERROR(__xludf.DUMMYFUNCTION("""COMPUTED_VALUE"""),1079.0)</f>
        <v>1079</v>
      </c>
      <c r="I11" s="11"/>
      <c r="J11" s="41">
        <v>8.0</v>
      </c>
      <c r="K11" s="68" t="str">
        <f>IFERROR(__xludf.DUMMYFUNCTION("""COMPUTED_VALUE"""),"Jussshhhyyy")</f>
        <v>Jussshhhyyy</v>
      </c>
      <c r="L11" s="41">
        <f>IFERROR(__xludf.DUMMYFUNCTION("""COMPUTED_VALUE"""),30.0)</f>
        <v>30</v>
      </c>
      <c r="M11" s="86"/>
    </row>
    <row r="12" ht="22.5" customHeight="1">
      <c r="A12" s="5"/>
      <c r="B12" s="41">
        <v>9.0</v>
      </c>
      <c r="C12" s="41" t="str">
        <f>IFERROR(__xludf.DUMMYFUNCTION("""COMPUTED_VALUE"""),"ThePro#1771")</f>
        <v>ThePro#1771</v>
      </c>
      <c r="D12" s="65">
        <f>IFERROR(__xludf.DUMMYFUNCTION("""COMPUTED_VALUE"""),-31.0)</f>
        <v>-31</v>
      </c>
      <c r="E12" s="27"/>
      <c r="F12" s="41">
        <v>9.0</v>
      </c>
      <c r="G12" s="41" t="str">
        <f>IFERROR(__xludf.DUMMYFUNCTION("""COMPUTED_VALUE"""),"Memorized")</f>
        <v>Memorized</v>
      </c>
      <c r="H12" s="41">
        <f>IFERROR(__xludf.DUMMYFUNCTION("""COMPUTED_VALUE"""),1053.0)</f>
        <v>1053</v>
      </c>
      <c r="I12" s="11"/>
      <c r="J12" s="41">
        <v>9.0</v>
      </c>
      <c r="K12" s="68" t="str">
        <f>IFERROR(__xludf.DUMMYFUNCTION("""COMPUTED_VALUE"""),"AwareMosquito")</f>
        <v>AwareMosquito</v>
      </c>
      <c r="L12" s="41">
        <f>IFERROR(__xludf.DUMMYFUNCTION("""COMPUTED_VALUE"""),28.0)</f>
        <v>28</v>
      </c>
      <c r="M12" s="36"/>
    </row>
    <row r="13" ht="22.5" customHeight="1">
      <c r="A13" s="5"/>
      <c r="B13" s="41">
        <v>10.0</v>
      </c>
      <c r="C13" s="41" t="str">
        <f>IFERROR(__xludf.DUMMYFUNCTION("""COMPUTED_VALUE"""),"Holy Morals")</f>
        <v>Holy Morals</v>
      </c>
      <c r="D13" s="65">
        <f>IFERROR(__xludf.DUMMYFUNCTION("""COMPUTED_VALUE"""),-37.0)</f>
        <v>-37</v>
      </c>
      <c r="E13" s="27"/>
      <c r="F13" s="41">
        <v>10.0</v>
      </c>
      <c r="G13" s="41" t="str">
        <f>IFERROR(__xludf.DUMMYFUNCTION("""COMPUTED_VALUE"""),"TJP37")</f>
        <v>TJP37</v>
      </c>
      <c r="H13" s="41">
        <f>IFERROR(__xludf.DUMMYFUNCTION("""COMPUTED_VALUE"""),1031.0)</f>
        <v>1031</v>
      </c>
      <c r="I13" s="11"/>
      <c r="J13" s="41">
        <v>10.0</v>
      </c>
      <c r="K13" s="68" t="str">
        <f>IFERROR(__xludf.DUMMYFUNCTION("""COMPUTED_VALUE"""),"CaptainSev004")</f>
        <v>CaptainSev004</v>
      </c>
      <c r="L13" s="41">
        <f>IFERROR(__xludf.DUMMYFUNCTION("""COMPUTED_VALUE"""),22.0)</f>
        <v>22</v>
      </c>
      <c r="M13" s="36"/>
    </row>
    <row r="14" ht="15.75" customHeight="1">
      <c r="A14" s="5"/>
      <c r="B14" s="97"/>
      <c r="C14" s="97"/>
      <c r="D14" s="97"/>
      <c r="E14" s="27"/>
      <c r="F14" s="99"/>
      <c r="G14" s="99"/>
      <c r="I14" s="11"/>
      <c r="J14" s="100"/>
      <c r="K14" s="101"/>
      <c r="L14" s="104"/>
      <c r="M14" s="5"/>
    </row>
    <row r="15">
      <c r="A15" s="5"/>
      <c r="B15" s="8" t="s">
        <v>60</v>
      </c>
      <c r="E15" s="9"/>
      <c r="F15" s="107" t="s">
        <v>61</v>
      </c>
      <c r="I15" s="11"/>
      <c r="J15" s="107" t="s">
        <v>64</v>
      </c>
      <c r="M15" s="12"/>
    </row>
    <row r="16">
      <c r="A16" s="5"/>
      <c r="B16" s="28" t="s">
        <v>10</v>
      </c>
      <c r="C16" s="28" t="str">
        <f>IFERROR(__xludf.DUMMYFUNCTION("QUERY('Halo Infinite Stats'!A:J, ""SELECT A,J ORDER BY J DESC LIMIT 10"", 1)"),"Player")</f>
        <v>Player</v>
      </c>
      <c r="D16" s="113" t="str">
        <f>IFERROR(__xludf.DUMMYFUNCTION("""COMPUTED_VALUE"""),"KD Ratio")</f>
        <v>KD Ratio</v>
      </c>
      <c r="E16" s="27"/>
      <c r="F16" s="116" t="s">
        <v>10</v>
      </c>
      <c r="G16" s="118" t="str">
        <f>IFERROR(__xludf.DUMMYFUNCTION("QUERY('Halo Infinite Stats'!A:L, ""SELECT A,L ORDER BY L DESC LIMIT 10"", 1)"),"Player")</f>
        <v>Player</v>
      </c>
      <c r="H16" s="123" t="str">
        <f>IFERROR(__xludf.DUMMYFUNCTION("""COMPUTED_VALUE"""),"Game Time")</f>
        <v>Game Time</v>
      </c>
      <c r="I16" s="11"/>
      <c r="J16" s="116" t="s">
        <v>10</v>
      </c>
      <c r="K16" s="118" t="str">
        <f>IFERROR(__xludf.DUMMYFUNCTION("QUERY('Halo Infinite Stats'!A:N, ""SELECT A,N ORDER BY N DESC LIMIT 10"", 1)"),"Player")</f>
        <v>Player</v>
      </c>
      <c r="L16" s="126" t="str">
        <f>IFERROR(__xludf.DUMMYFUNCTION("""COMPUTED_VALUE"""),"Killing Sprees")</f>
        <v>Killing Sprees</v>
      </c>
      <c r="M16" s="36"/>
    </row>
    <row r="17" ht="54.75" customHeight="1">
      <c r="A17" s="129"/>
      <c r="B17" s="132">
        <v>1.0</v>
      </c>
      <c r="C17" s="134" t="str">
        <f>IFERROR(__xludf.DUMMYFUNCTION("""COMPUTED_VALUE"""),"Jussshhhyyy")</f>
        <v>Jussshhhyyy</v>
      </c>
      <c r="D17" s="138">
        <f>IFERROR(__xludf.DUMMYFUNCTION("""COMPUTED_VALUE"""),1.376010781671159)</f>
        <v>1.376010782</v>
      </c>
      <c r="E17" s="141"/>
      <c r="F17" s="143">
        <v>1.0</v>
      </c>
      <c r="G17" s="146" t="str">
        <f>IFERROR(__xludf.DUMMYFUNCTION("""COMPUTED_VALUE"""),"Jussshhhyyy")</f>
        <v>Jussshhhyyy</v>
      </c>
      <c r="H17" s="148">
        <f>IFERROR(__xludf.DUMMYFUNCTION("""COMPUTED_VALUE"""),31887.0)</f>
        <v>31887</v>
      </c>
      <c r="I17" s="150"/>
      <c r="J17" s="143">
        <v>1.0</v>
      </c>
      <c r="K17" s="146" t="str">
        <f>IFERROR(__xludf.DUMMYFUNCTION("""COMPUTED_VALUE"""),"Jussshhhyyy")</f>
        <v>Jussshhhyyy</v>
      </c>
      <c r="L17" s="152">
        <f>IFERROR(__xludf.DUMMYFUNCTION("""COMPUTED_VALUE"""),81.0)</f>
        <v>81</v>
      </c>
      <c r="M17" s="62"/>
    </row>
    <row r="18" ht="22.5" customHeight="1">
      <c r="A18" s="129"/>
      <c r="B18" s="132">
        <v>2.0</v>
      </c>
      <c r="C18" s="41" t="str">
        <f>IFERROR(__xludf.DUMMYFUNCTION("""COMPUTED_VALUE"""),"MysticalNovice")</f>
        <v>MysticalNovice</v>
      </c>
      <c r="D18" s="68">
        <f>IFERROR(__xludf.DUMMYFUNCTION("""COMPUTED_VALUE"""),1.2343324250681198)</f>
        <v>1.234332425</v>
      </c>
      <c r="E18" s="141"/>
      <c r="F18" s="143">
        <v>2.0</v>
      </c>
      <c r="G18" s="41" t="str">
        <f>IFERROR(__xludf.DUMMYFUNCTION("""COMPUTED_VALUE"""),"TommyWstSide")</f>
        <v>TommyWstSide</v>
      </c>
      <c r="H18" s="155">
        <f>IFERROR(__xludf.DUMMYFUNCTION("""COMPUTED_VALUE"""),30348.0)</f>
        <v>30348</v>
      </c>
      <c r="I18" s="150"/>
      <c r="J18" s="143">
        <v>2.0</v>
      </c>
      <c r="K18" s="41" t="str">
        <f>IFERROR(__xludf.DUMMYFUNCTION("""COMPUTED_VALUE"""),"Mavbrid")</f>
        <v>Mavbrid</v>
      </c>
      <c r="L18" s="41">
        <f>IFERROR(__xludf.DUMMYFUNCTION("""COMPUTED_VALUE"""),40.0)</f>
        <v>40</v>
      </c>
      <c r="M18" s="71"/>
    </row>
    <row r="19" ht="22.5" customHeight="1">
      <c r="A19" s="129"/>
      <c r="B19" s="132">
        <v>3.0</v>
      </c>
      <c r="C19" s="41" t="str">
        <f>IFERROR(__xludf.DUMMYFUNCTION("""COMPUTED_VALUE"""),"Mavbrid")</f>
        <v>Mavbrid</v>
      </c>
      <c r="D19" s="68">
        <f>IFERROR(__xludf.DUMMYFUNCTION("""COMPUTED_VALUE"""),1.2112537018756169)</f>
        <v>1.211253702</v>
      </c>
      <c r="E19" s="141"/>
      <c r="F19" s="143">
        <v>3.0</v>
      </c>
      <c r="G19" s="41" t="str">
        <f>IFERROR(__xludf.DUMMYFUNCTION("""COMPUTED_VALUE"""),"AwareMosquito")</f>
        <v>AwareMosquito</v>
      </c>
      <c r="H19" s="155">
        <f>IFERROR(__xludf.DUMMYFUNCTION("""COMPUTED_VALUE"""),25336.0)</f>
        <v>25336</v>
      </c>
      <c r="I19" s="150"/>
      <c r="J19" s="143">
        <v>3.0</v>
      </c>
      <c r="K19" s="41" t="str">
        <f>IFERROR(__xludf.DUMMYFUNCTION("""COMPUTED_VALUE"""),"Ace B S1lentND1")</f>
        <v>Ace B S1lentND1</v>
      </c>
      <c r="L19" s="41">
        <f>IFERROR(__xludf.DUMMYFUNCTION("""COMPUTED_VALUE"""),37.0)</f>
        <v>37</v>
      </c>
      <c r="M19" s="74"/>
    </row>
    <row r="20" ht="22.5" customHeight="1">
      <c r="A20" s="129"/>
      <c r="B20" s="132">
        <v>4.0</v>
      </c>
      <c r="C20" s="76" t="str">
        <f>IFERROR(__xludf.DUMMYFUNCTION("""COMPUTED_VALUE"""),"Ace B S1lentND1")</f>
        <v>Ace B S1lentND1</v>
      </c>
      <c r="D20" s="79">
        <f>IFERROR(__xludf.DUMMYFUNCTION("""COMPUTED_VALUE"""),1.167192429022082)</f>
        <v>1.167192429</v>
      </c>
      <c r="E20" s="141"/>
      <c r="F20" s="143">
        <v>4.0</v>
      </c>
      <c r="G20" s="76" t="str">
        <f>IFERROR(__xludf.DUMMYFUNCTION("""COMPUTED_VALUE"""),"Mavbrid")</f>
        <v>Mavbrid</v>
      </c>
      <c r="H20" s="159">
        <f>IFERROR(__xludf.DUMMYFUNCTION("""COMPUTED_VALUE"""),24620.0)</f>
        <v>24620</v>
      </c>
      <c r="I20" s="150"/>
      <c r="J20" s="143">
        <v>4.0</v>
      </c>
      <c r="K20" s="76" t="str">
        <f>IFERROR(__xludf.DUMMYFUNCTION("""COMPUTED_VALUE"""),"Fanciest Pants")</f>
        <v>Fanciest Pants</v>
      </c>
      <c r="L20" s="76">
        <f>IFERROR(__xludf.DUMMYFUNCTION("""COMPUTED_VALUE"""),33.0)</f>
        <v>33</v>
      </c>
      <c r="M20" s="62"/>
    </row>
    <row r="21" ht="22.5" customHeight="1">
      <c r="A21" s="129"/>
      <c r="B21" s="132">
        <v>5.0</v>
      </c>
      <c r="C21" s="41" t="str">
        <f>IFERROR(__xludf.DUMMYFUNCTION("""COMPUTED_VALUE"""),"Fanciest Pants")</f>
        <v>Fanciest Pants</v>
      </c>
      <c r="D21" s="68">
        <f>IFERROR(__xludf.DUMMYFUNCTION("""COMPUTED_VALUE"""),1.1298429319371728)</f>
        <v>1.129842932</v>
      </c>
      <c r="E21" s="141"/>
      <c r="F21" s="143">
        <v>5.0</v>
      </c>
      <c r="G21" s="41" t="str">
        <f>IFERROR(__xludf.DUMMYFUNCTION("""COMPUTED_VALUE"""),"Ken Khaneki")</f>
        <v>Ken Khaneki</v>
      </c>
      <c r="H21" s="155">
        <f>IFERROR(__xludf.DUMMYFUNCTION("""COMPUTED_VALUE"""),23399.0)</f>
        <v>23399</v>
      </c>
      <c r="I21" s="150"/>
      <c r="J21" s="143">
        <v>5.0</v>
      </c>
      <c r="K21" s="41" t="str">
        <f>IFERROR(__xludf.DUMMYFUNCTION("""COMPUTED_VALUE"""),"TommyWstSide")</f>
        <v>TommyWstSide</v>
      </c>
      <c r="L21" s="41">
        <f>IFERROR(__xludf.DUMMYFUNCTION("""COMPUTED_VALUE"""),31.0)</f>
        <v>31</v>
      </c>
      <c r="M21" s="86"/>
    </row>
    <row r="22" ht="22.5" customHeight="1">
      <c r="A22" s="129"/>
      <c r="B22" s="132">
        <v>6.0</v>
      </c>
      <c r="C22" s="132" t="str">
        <f>IFERROR(__xludf.DUMMYFUNCTION("""COMPUTED_VALUE"""),"ASpence501")</f>
        <v>ASpence501</v>
      </c>
      <c r="D22" s="164">
        <f>IFERROR(__xludf.DUMMYFUNCTION("""COMPUTED_VALUE"""),1.0727788279773156)</f>
        <v>1.072778828</v>
      </c>
      <c r="E22" s="141"/>
      <c r="F22" s="143">
        <v>6.0</v>
      </c>
      <c r="G22" s="41" t="str">
        <f>IFERROR(__xludf.DUMMYFUNCTION("""COMPUTED_VALUE"""),"Priest XYZ")</f>
        <v>Priest XYZ</v>
      </c>
      <c r="H22" s="155">
        <f>IFERROR(__xludf.DUMMYFUNCTION("""COMPUTED_VALUE"""),20615.0)</f>
        <v>20615</v>
      </c>
      <c r="I22" s="150"/>
      <c r="J22" s="143">
        <v>6.0</v>
      </c>
      <c r="K22" s="41" t="str">
        <f>IFERROR(__xludf.DUMMYFUNCTION("""COMPUTED_VALUE"""),"SPANKTR0N")</f>
        <v>SPANKTR0N</v>
      </c>
      <c r="L22" s="41">
        <f>IFERROR(__xludf.DUMMYFUNCTION("""COMPUTED_VALUE"""),28.0)</f>
        <v>28</v>
      </c>
      <c r="M22" s="36"/>
    </row>
    <row r="23" ht="22.5" customHeight="1">
      <c r="A23" s="129"/>
      <c r="B23" s="132">
        <v>7.0</v>
      </c>
      <c r="C23" s="132" t="str">
        <f>IFERROR(__xludf.DUMMYFUNCTION("""COMPUTED_VALUE"""),"yLuxe")</f>
        <v>yLuxe</v>
      </c>
      <c r="D23" s="164">
        <f>IFERROR(__xludf.DUMMYFUNCTION("""COMPUTED_VALUE"""),1.0445387062566278)</f>
        <v>1.044538706</v>
      </c>
      <c r="E23" s="141"/>
      <c r="F23" s="143">
        <v>7.0</v>
      </c>
      <c r="G23" s="41" t="str">
        <f>IFERROR(__xludf.DUMMYFUNCTION("""COMPUTED_VALUE"""),"TJP37")</f>
        <v>TJP37</v>
      </c>
      <c r="H23" s="155">
        <f>IFERROR(__xludf.DUMMYFUNCTION("""COMPUTED_VALUE"""),20546.0)</f>
        <v>20546</v>
      </c>
      <c r="I23" s="150"/>
      <c r="J23" s="143">
        <v>7.0</v>
      </c>
      <c r="K23" s="41" t="str">
        <f>IFERROR(__xludf.DUMMYFUNCTION("""COMPUTED_VALUE"""),"Scullen cx")</f>
        <v>Scullen cx</v>
      </c>
      <c r="L23" s="41">
        <f>IFERROR(__xludf.DUMMYFUNCTION("""COMPUTED_VALUE"""),27.0)</f>
        <v>27</v>
      </c>
      <c r="M23" s="62"/>
    </row>
    <row r="24" ht="22.5" customHeight="1">
      <c r="A24" s="129"/>
      <c r="B24" s="132">
        <v>8.0</v>
      </c>
      <c r="C24" s="132" t="str">
        <f>IFERROR(__xludf.DUMMYFUNCTION("""COMPUTED_VALUE"""),"Memorized")</f>
        <v>Memorized</v>
      </c>
      <c r="D24" s="164">
        <f>IFERROR(__xludf.DUMMYFUNCTION("""COMPUTED_VALUE"""),0.99)</f>
        <v>0.99</v>
      </c>
      <c r="E24" s="141"/>
      <c r="F24" s="143">
        <v>8.0</v>
      </c>
      <c r="G24" s="41" t="str">
        <f>IFERROR(__xludf.DUMMYFUNCTION("""COMPUTED_VALUE"""),"ASpence501")</f>
        <v>ASpence501</v>
      </c>
      <c r="H24" s="155">
        <f>IFERROR(__xludf.DUMMYFUNCTION("""COMPUTED_VALUE"""),20466.0)</f>
        <v>20466</v>
      </c>
      <c r="I24" s="150"/>
      <c r="J24" s="143">
        <v>8.0</v>
      </c>
      <c r="K24" s="41" t="str">
        <f>IFERROR(__xludf.DUMMYFUNCTION("""COMPUTED_VALUE"""),"MysticalNovice")</f>
        <v>MysticalNovice</v>
      </c>
      <c r="L24" s="41">
        <f>IFERROR(__xludf.DUMMYFUNCTION("""COMPUTED_VALUE"""),24.0)</f>
        <v>24</v>
      </c>
      <c r="M24" s="86"/>
    </row>
    <row r="25" ht="22.5" customHeight="1">
      <c r="A25" s="129"/>
      <c r="B25" s="132">
        <v>9.0</v>
      </c>
      <c r="C25" s="132" t="str">
        <f>IFERROR(__xludf.DUMMYFUNCTION("""COMPUTED_VALUE"""),"Holy Morals")</f>
        <v>Holy Morals</v>
      </c>
      <c r="D25" s="164">
        <f>IFERROR(__xludf.DUMMYFUNCTION("""COMPUTED_VALUE"""),0.9528662420382166)</f>
        <v>0.952866242</v>
      </c>
      <c r="E25" s="141"/>
      <c r="F25" s="143">
        <v>9.0</v>
      </c>
      <c r="G25" s="41" t="str">
        <f>IFERROR(__xludf.DUMMYFUNCTION("""COMPUTED_VALUE"""),"SPANKTR0N")</f>
        <v>SPANKTR0N</v>
      </c>
      <c r="H25" s="155">
        <f>IFERROR(__xludf.DUMMYFUNCTION("""COMPUTED_VALUE"""),19993.0)</f>
        <v>19993</v>
      </c>
      <c r="I25" s="150"/>
      <c r="J25" s="143">
        <v>9.0</v>
      </c>
      <c r="K25" s="41" t="str">
        <f>IFERROR(__xludf.DUMMYFUNCTION("""COMPUTED_VALUE"""),"ASpence501")</f>
        <v>ASpence501</v>
      </c>
      <c r="L25" s="41">
        <f>IFERROR(__xludf.DUMMYFUNCTION("""COMPUTED_VALUE"""),22.0)</f>
        <v>22</v>
      </c>
      <c r="M25" s="36"/>
    </row>
    <row r="26" ht="22.5" customHeight="1">
      <c r="A26" s="129"/>
      <c r="B26" s="132">
        <v>10.0</v>
      </c>
      <c r="C26" s="132" t="str">
        <f>IFERROR(__xludf.DUMMYFUNCTION("""COMPUTED_VALUE"""),"Scullen cx")</f>
        <v>Scullen cx</v>
      </c>
      <c r="D26" s="164">
        <f>IFERROR(__xludf.DUMMYFUNCTION("""COMPUTED_VALUE"""),0.9413489736070382)</f>
        <v>0.9413489736</v>
      </c>
      <c r="E26" s="141"/>
      <c r="F26" s="143">
        <v>10.0</v>
      </c>
      <c r="G26" s="41" t="str">
        <f>IFERROR(__xludf.DUMMYFUNCTION("""COMPUTED_VALUE"""),"NOPLEX")</f>
        <v>NOPLEX</v>
      </c>
      <c r="H26" s="155">
        <f>IFERROR(__xludf.DUMMYFUNCTION("""COMPUTED_VALUE"""),19600.0)</f>
        <v>19600</v>
      </c>
      <c r="I26" s="150"/>
      <c r="J26" s="143">
        <v>10.0</v>
      </c>
      <c r="K26" s="41" t="str">
        <f>IFERROR(__xludf.DUMMYFUNCTION("""COMPUTED_VALUE"""),"yLuxe")</f>
        <v>yLuxe</v>
      </c>
      <c r="L26" s="41">
        <f>IFERROR(__xludf.DUMMYFUNCTION("""COMPUTED_VALUE"""),22.0)</f>
        <v>22</v>
      </c>
      <c r="M26" s="36"/>
    </row>
    <row r="27" ht="15.75" customHeight="1">
      <c r="A27" s="5"/>
      <c r="B27" s="5"/>
      <c r="C27" s="169"/>
      <c r="D27" s="171"/>
      <c r="E27" s="169"/>
      <c r="F27" s="173"/>
      <c r="G27" s="175"/>
      <c r="H27" s="169"/>
      <c r="I27" s="173"/>
      <c r="J27" s="169"/>
      <c r="K27" s="178"/>
      <c r="M27" s="11"/>
    </row>
    <row r="28" ht="15.75" customHeight="1">
      <c r="A28" s="40"/>
      <c r="B28" s="107" t="s">
        <v>104</v>
      </c>
      <c r="E28" s="180"/>
      <c r="F28" s="107" t="s">
        <v>107</v>
      </c>
      <c r="I28" s="183"/>
      <c r="J28" s="107" t="s">
        <v>108</v>
      </c>
      <c r="M28" s="180"/>
    </row>
    <row r="29" ht="15.75" customHeight="1">
      <c r="A29" s="40"/>
      <c r="B29" s="116" t="s">
        <v>10</v>
      </c>
      <c r="C29" s="118" t="str">
        <f>IFERROR(__xludf.DUMMYFUNCTION("QUERY('Halo Infinite Stats'!A:B, ""SELECT A,B ORDER BY B DESC LIMIT 10"", 1)"),"Player")</f>
        <v>Player</v>
      </c>
      <c r="D29" s="126" t="str">
        <f>IFERROR(__xludf.DUMMYFUNCTION("""COMPUTED_VALUE"""),"Games Played")</f>
        <v>Games Played</v>
      </c>
      <c r="E29" s="186"/>
      <c r="F29" s="116" t="s">
        <v>10</v>
      </c>
      <c r="G29" s="118" t="str">
        <f>IFERROR(__xludf.DUMMYFUNCTION("QUERY('Halo Infinite Stats'!A:M, ""SELECT A,M ORDER BY M DESC LIMIT 10"", 1)"),"Player")</f>
        <v>Player</v>
      </c>
      <c r="H29" s="189" t="str">
        <f>IFERROR(__xludf.DUMMYFUNCTION("""COMPUTED_VALUE"""),"Average Life")</f>
        <v>Average Life</v>
      </c>
      <c r="I29" s="186"/>
      <c r="J29" s="116" t="s">
        <v>10</v>
      </c>
      <c r="K29" s="118" t="str">
        <f>IFERROR(__xludf.DUMMYFUNCTION("QUERY('Halo Infinite Stats'!A:F, ""SELECT A,F ORDER BY F DESC LIMIT 10"", 1)"),"Player")</f>
        <v>Player</v>
      </c>
      <c r="L29" s="126" t="str">
        <f>IFERROR(__xludf.DUMMYFUNCTION("""COMPUTED_VALUE"""),"Ball Punches")</f>
        <v>Ball Punches</v>
      </c>
      <c r="M29" s="180"/>
    </row>
    <row r="30" ht="54.75" customHeight="1">
      <c r="A30" s="40"/>
      <c r="B30" s="143">
        <v>1.0</v>
      </c>
      <c r="C30" s="146" t="str">
        <f>IFERROR(__xludf.DUMMYFUNCTION("""COMPUTED_VALUE"""),"TommyWstSide")</f>
        <v>TommyWstSide</v>
      </c>
      <c r="D30" s="152">
        <f>IFERROR(__xludf.DUMMYFUNCTION("""COMPUTED_VALUE"""),37.0)</f>
        <v>37</v>
      </c>
      <c r="E30" s="186"/>
      <c r="F30" s="143">
        <v>1.0</v>
      </c>
      <c r="G30" s="146" t="str">
        <f>IFERROR(__xludf.DUMMYFUNCTION("""COMPUTED_VALUE"""),"Mavbrid")</f>
        <v>Mavbrid</v>
      </c>
      <c r="H30" s="192">
        <f>IFERROR(__xludf.DUMMYFUNCTION("""COMPUTED_VALUE"""),20.304047384007898)</f>
        <v>20.30404738</v>
      </c>
      <c r="I30" s="186"/>
      <c r="J30" s="143">
        <v>1.0</v>
      </c>
      <c r="K30" s="146" t="str">
        <f>IFERROR(__xludf.DUMMYFUNCTION("""COMPUTED_VALUE"""),"Mavbrid")</f>
        <v>Mavbrid</v>
      </c>
      <c r="L30" s="152">
        <f>IFERROR(__xludf.DUMMYFUNCTION("""COMPUTED_VALUE"""),355.0)</f>
        <v>355</v>
      </c>
      <c r="M30" s="40"/>
    </row>
    <row r="31" ht="22.5" customHeight="1">
      <c r="A31" s="40"/>
      <c r="B31" s="143">
        <v>2.0</v>
      </c>
      <c r="C31" s="41" t="str">
        <f>IFERROR(__xludf.DUMMYFUNCTION("""COMPUTED_VALUE"""),"Jussshhhyyy")</f>
        <v>Jussshhhyyy</v>
      </c>
      <c r="D31" s="41">
        <f>IFERROR(__xludf.DUMMYFUNCTION("""COMPUTED_VALUE"""),36.0)</f>
        <v>36</v>
      </c>
      <c r="E31" s="186"/>
      <c r="F31" s="143">
        <v>2.0</v>
      </c>
      <c r="G31" s="41" t="str">
        <f>IFERROR(__xludf.DUMMYFUNCTION("""COMPUTED_VALUE"""),"Holy Morals")</f>
        <v>Holy Morals</v>
      </c>
      <c r="H31" s="195">
        <f>IFERROR(__xludf.DUMMYFUNCTION("""COMPUTED_VALUE"""),17.87515923566879)</f>
        <v>17.87515924</v>
      </c>
      <c r="I31" s="186"/>
      <c r="J31" s="143">
        <v>2.0</v>
      </c>
      <c r="K31" s="41" t="str">
        <f>IFERROR(__xludf.DUMMYFUNCTION("""COMPUTED_VALUE"""),"Holy Morals")</f>
        <v>Holy Morals</v>
      </c>
      <c r="L31" s="41">
        <f>IFERROR(__xludf.DUMMYFUNCTION("""COMPUTED_VALUE"""),268.0)</f>
        <v>268</v>
      </c>
      <c r="M31" s="180"/>
    </row>
    <row r="32" ht="22.5" customHeight="1">
      <c r="A32" s="40"/>
      <c r="B32" s="143">
        <v>3.0</v>
      </c>
      <c r="C32" s="41" t="str">
        <f>IFERROR(__xludf.DUMMYFUNCTION("""COMPUTED_VALUE"""),"Mavbrid")</f>
        <v>Mavbrid</v>
      </c>
      <c r="D32" s="41">
        <f>IFERROR(__xludf.DUMMYFUNCTION("""COMPUTED_VALUE"""),30.0)</f>
        <v>30</v>
      </c>
      <c r="E32" s="186"/>
      <c r="F32" s="143">
        <v>3.0</v>
      </c>
      <c r="G32" s="41" t="str">
        <f>IFERROR(__xludf.DUMMYFUNCTION("""COMPUTED_VALUE"""),"Jussshhhyyy")</f>
        <v>Jussshhhyyy</v>
      </c>
      <c r="H32" s="195">
        <f>IFERROR(__xludf.DUMMYFUNCTION("""COMPUTED_VALUE"""),17.487196765498652)</f>
        <v>17.48719677</v>
      </c>
      <c r="I32" s="186"/>
      <c r="J32" s="143">
        <v>3.0</v>
      </c>
      <c r="K32" s="41" t="str">
        <f>IFERROR(__xludf.DUMMYFUNCTION("""COMPUTED_VALUE"""),"Scullen cx")</f>
        <v>Scullen cx</v>
      </c>
      <c r="L32" s="41">
        <f>IFERROR(__xludf.DUMMYFUNCTION("""COMPUTED_VALUE"""),249.0)</f>
        <v>249</v>
      </c>
      <c r="M32" s="180"/>
    </row>
    <row r="33" ht="22.5" customHeight="1">
      <c r="A33" s="40"/>
      <c r="B33" s="143">
        <v>4.0</v>
      </c>
      <c r="C33" s="76" t="str">
        <f>IFERROR(__xludf.DUMMYFUNCTION("""COMPUTED_VALUE"""),"AwareMosquito")</f>
        <v>AwareMosquito</v>
      </c>
      <c r="D33" s="76">
        <f>IFERROR(__xludf.DUMMYFUNCTION("""COMPUTED_VALUE"""),28.0)</f>
        <v>28</v>
      </c>
      <c r="E33" s="186"/>
      <c r="F33" s="143">
        <v>4.0</v>
      </c>
      <c r="G33" s="76" t="str">
        <f>IFERROR(__xludf.DUMMYFUNCTION("""COMPUTED_VALUE"""),"ill Shrek u")</f>
        <v>ill Shrek u</v>
      </c>
      <c r="H33" s="198">
        <f>IFERROR(__xludf.DUMMYFUNCTION("""COMPUTED_VALUE"""),16.701686121919586)</f>
        <v>16.70168612</v>
      </c>
      <c r="I33" s="186"/>
      <c r="J33" s="143">
        <v>4.0</v>
      </c>
      <c r="K33" s="76" t="str">
        <f>IFERROR(__xludf.DUMMYFUNCTION("""COMPUTED_VALUE"""),"ASpence501")</f>
        <v>ASpence501</v>
      </c>
      <c r="L33" s="76">
        <f>IFERROR(__xludf.DUMMYFUNCTION("""COMPUTED_VALUE"""),222.0)</f>
        <v>222</v>
      </c>
      <c r="M33" s="40"/>
    </row>
    <row r="34" ht="22.5" customHeight="1">
      <c r="A34" s="40"/>
      <c r="B34" s="143">
        <v>5.0</v>
      </c>
      <c r="C34" s="41" t="str">
        <f>IFERROR(__xludf.DUMMYFUNCTION("""COMPUTED_VALUE"""),"Ken Khaneki")</f>
        <v>Ken Khaneki</v>
      </c>
      <c r="D34" s="41">
        <f>IFERROR(__xludf.DUMMYFUNCTION("""COMPUTED_VALUE"""),26.0)</f>
        <v>26</v>
      </c>
      <c r="E34" s="186"/>
      <c r="F34" s="143">
        <v>5.0</v>
      </c>
      <c r="G34" s="41" t="str">
        <f>IFERROR(__xludf.DUMMYFUNCTION("""COMPUTED_VALUE"""),"CaptainSev004")</f>
        <v>CaptainSev004</v>
      </c>
      <c r="H34" s="195">
        <f>IFERROR(__xludf.DUMMYFUNCTION("""COMPUTED_VALUE"""),15.463583815028901)</f>
        <v>15.46358382</v>
      </c>
      <c r="I34" s="186"/>
      <c r="J34" s="143">
        <v>5.0</v>
      </c>
      <c r="K34" s="41" t="str">
        <f>IFERROR(__xludf.DUMMYFUNCTION("""COMPUTED_VALUE"""),"Jussshhhyyy")</f>
        <v>Jussshhhyyy</v>
      </c>
      <c r="L34" s="41">
        <f>IFERROR(__xludf.DUMMYFUNCTION("""COMPUTED_VALUE"""),177.0)</f>
        <v>177</v>
      </c>
      <c r="M34" s="180"/>
    </row>
    <row r="35" ht="22.5" customHeight="1">
      <c r="A35" s="40"/>
      <c r="B35" s="143">
        <v>6.0</v>
      </c>
      <c r="C35" s="41" t="str">
        <f>IFERROR(__xludf.DUMMYFUNCTION("""COMPUTED_VALUE"""),"Priest XYZ")</f>
        <v>Priest XYZ</v>
      </c>
      <c r="D35" s="41">
        <f>IFERROR(__xludf.DUMMYFUNCTION("""COMPUTED_VALUE"""),24.0)</f>
        <v>24</v>
      </c>
      <c r="E35" s="186"/>
      <c r="F35" s="143">
        <v>6.0</v>
      </c>
      <c r="G35" s="41" t="str">
        <f>IFERROR(__xludf.DUMMYFUNCTION("""COMPUTED_VALUE"""),"ASpence501")</f>
        <v>ASpence501</v>
      </c>
      <c r="H35" s="195">
        <f>IFERROR(__xludf.DUMMYFUNCTION("""COMPUTED_VALUE"""),15.344045368620037)</f>
        <v>15.34404537</v>
      </c>
      <c r="I35" s="186"/>
      <c r="J35" s="143">
        <v>6.0</v>
      </c>
      <c r="K35" s="41" t="str">
        <f>IFERROR(__xludf.DUMMYFUNCTION("""COMPUTED_VALUE"""),"AwareMosquito")</f>
        <v>AwareMosquito</v>
      </c>
      <c r="L35" s="41">
        <f>IFERROR(__xludf.DUMMYFUNCTION("""COMPUTED_VALUE"""),154.0)</f>
        <v>154</v>
      </c>
      <c r="M35" s="180"/>
    </row>
    <row r="36" ht="22.5" customHeight="1">
      <c r="A36" s="40"/>
      <c r="B36" s="143">
        <v>7.0</v>
      </c>
      <c r="C36" s="41" t="str">
        <f>IFERROR(__xludf.DUMMYFUNCTION("""COMPUTED_VALUE"""),"ASpence501")</f>
        <v>ASpence501</v>
      </c>
      <c r="D36" s="41">
        <f>IFERROR(__xludf.DUMMYFUNCTION("""COMPUTED_VALUE"""),23.0)</f>
        <v>23</v>
      </c>
      <c r="E36" s="186"/>
      <c r="F36" s="143">
        <v>7.0</v>
      </c>
      <c r="G36" s="41" t="str">
        <f>IFERROR(__xludf.DUMMYFUNCTION("""COMPUTED_VALUE"""),"MuNgO PuNgO")</f>
        <v>MuNgO PuNgO</v>
      </c>
      <c r="H36" s="195">
        <f>IFERROR(__xludf.DUMMYFUNCTION("""COMPUTED_VALUE"""),15.265588914549653)</f>
        <v>15.26558891</v>
      </c>
      <c r="I36" s="186"/>
      <c r="J36" s="143">
        <v>7.0</v>
      </c>
      <c r="K36" s="41" t="str">
        <f>IFERROR(__xludf.DUMMYFUNCTION("""COMPUTED_VALUE"""),"MuNgO PuNgO")</f>
        <v>MuNgO PuNgO</v>
      </c>
      <c r="L36" s="41">
        <f>IFERROR(__xludf.DUMMYFUNCTION("""COMPUTED_VALUE"""),135.0)</f>
        <v>135</v>
      </c>
      <c r="M36" s="40"/>
    </row>
    <row r="37" ht="22.5" customHeight="1">
      <c r="A37" s="40"/>
      <c r="B37" s="143">
        <v>8.0</v>
      </c>
      <c r="C37" s="41" t="str">
        <f>IFERROR(__xludf.DUMMYFUNCTION("""COMPUTED_VALUE"""),"Doerstopper")</f>
        <v>Doerstopper</v>
      </c>
      <c r="D37" s="41">
        <f>IFERROR(__xludf.DUMMYFUNCTION("""COMPUTED_VALUE"""),23.0)</f>
        <v>23</v>
      </c>
      <c r="E37" s="186"/>
      <c r="F37" s="143">
        <v>8.0</v>
      </c>
      <c r="G37" s="41" t="str">
        <f>IFERROR(__xludf.DUMMYFUNCTION("""COMPUTED_VALUE"""),"yLuxe")</f>
        <v>yLuxe</v>
      </c>
      <c r="H37" s="195">
        <f>IFERROR(__xludf.DUMMYFUNCTION("""COMPUTED_VALUE"""),15.047720042417815)</f>
        <v>15.04772004</v>
      </c>
      <c r="I37" s="186"/>
      <c r="J37" s="143">
        <v>8.0</v>
      </c>
      <c r="K37" s="41" t="str">
        <f>IFERROR(__xludf.DUMMYFUNCTION("""COMPUTED_VALUE"""),"Mr epic beast")</f>
        <v>Mr epic beast</v>
      </c>
      <c r="L37" s="41">
        <f>IFERROR(__xludf.DUMMYFUNCTION("""COMPUTED_VALUE"""),95.0)</f>
        <v>95</v>
      </c>
      <c r="M37" s="180"/>
    </row>
    <row r="38" ht="22.5" customHeight="1">
      <c r="A38" s="40"/>
      <c r="B38" s="143">
        <v>9.0</v>
      </c>
      <c r="C38" s="41" t="str">
        <f>IFERROR(__xludf.DUMMYFUNCTION("""COMPUTED_VALUE"""),"Its Rainin MenZ")</f>
        <v>Its Rainin MenZ</v>
      </c>
      <c r="D38" s="41">
        <f>IFERROR(__xludf.DUMMYFUNCTION("""COMPUTED_VALUE"""),23.0)</f>
        <v>23</v>
      </c>
      <c r="E38" s="186"/>
      <c r="F38" s="143">
        <v>9.0</v>
      </c>
      <c r="G38" s="41" t="str">
        <f>IFERROR(__xludf.DUMMYFUNCTION("""COMPUTED_VALUE"""),"Deathcrawller")</f>
        <v>Deathcrawller</v>
      </c>
      <c r="H38" s="195">
        <f>IFERROR(__xludf.DUMMYFUNCTION("""COMPUTED_VALUE"""),14.970883534136545)</f>
        <v>14.97088353</v>
      </c>
      <c r="I38" s="186"/>
      <c r="J38" s="143">
        <v>9.0</v>
      </c>
      <c r="K38" s="41" t="str">
        <f>IFERROR(__xludf.DUMMYFUNCTION("""COMPUTED_VALUE"""),"yLuxe")</f>
        <v>yLuxe</v>
      </c>
      <c r="L38" s="41">
        <f>IFERROR(__xludf.DUMMYFUNCTION("""COMPUTED_VALUE"""),88.0)</f>
        <v>88</v>
      </c>
      <c r="M38" s="180"/>
    </row>
    <row r="39" ht="22.5" customHeight="1">
      <c r="A39" s="40"/>
      <c r="B39" s="143">
        <v>10.0</v>
      </c>
      <c r="C39" s="41" t="str">
        <f>IFERROR(__xludf.DUMMYFUNCTION("""COMPUTED_VALUE"""),"Deathcrawller")</f>
        <v>Deathcrawller</v>
      </c>
      <c r="D39" s="41">
        <f>IFERROR(__xludf.DUMMYFUNCTION("""COMPUTED_VALUE"""),22.0)</f>
        <v>22</v>
      </c>
      <c r="E39" s="186"/>
      <c r="F39" s="143">
        <v>10.0</v>
      </c>
      <c r="G39" s="41" t="str">
        <f>IFERROR(__xludf.DUMMYFUNCTION("""COMPUTED_VALUE"""),"Itzreelz")</f>
        <v>Itzreelz</v>
      </c>
      <c r="H39" s="195">
        <f>IFERROR(__xludf.DUMMYFUNCTION("""COMPUTED_VALUE"""),14.873170731707317)</f>
        <v>14.87317073</v>
      </c>
      <c r="I39" s="186"/>
      <c r="J39" s="143">
        <v>10.0</v>
      </c>
      <c r="K39" s="41" t="str">
        <f>IFERROR(__xludf.DUMMYFUNCTION("""COMPUTED_VALUE"""),"Itzreelz")</f>
        <v>Itzreelz</v>
      </c>
      <c r="L39" s="41">
        <f>IFERROR(__xludf.DUMMYFUNCTION("""COMPUTED_VALUE"""),86.0)</f>
        <v>86</v>
      </c>
      <c r="M39" s="180"/>
    </row>
    <row r="40">
      <c r="A40" s="5"/>
      <c r="B40" s="11"/>
      <c r="C40" s="11"/>
      <c r="D40" s="11"/>
      <c r="E40" s="11"/>
      <c r="F40" s="11"/>
      <c r="G40" s="193"/>
      <c r="H40" s="11"/>
      <c r="I40" s="11"/>
      <c r="J40" s="11"/>
      <c r="K40" s="11"/>
      <c r="L40" s="11"/>
      <c r="M40" s="11"/>
    </row>
    <row r="41" ht="15.75" customHeight="1">
      <c r="A41" s="40"/>
      <c r="B41" s="204"/>
      <c r="E41" s="180"/>
      <c r="F41" s="204"/>
      <c r="I41" s="183"/>
      <c r="J41" s="204"/>
      <c r="M41" s="180"/>
    </row>
  </sheetData>
  <mergeCells count="15">
    <mergeCell ref="J15:L15"/>
    <mergeCell ref="K27:L27"/>
    <mergeCell ref="B28:D28"/>
    <mergeCell ref="F28:H28"/>
    <mergeCell ref="J28:L28"/>
    <mergeCell ref="B41:D41"/>
    <mergeCell ref="F41:H41"/>
    <mergeCell ref="J41:L41"/>
    <mergeCell ref="A1:M1"/>
    <mergeCell ref="B2:D2"/>
    <mergeCell ref="F2:H2"/>
    <mergeCell ref="J2:L2"/>
    <mergeCell ref="G14:H14"/>
    <mergeCell ref="B15:D15"/>
    <mergeCell ref="F15:H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5.25"/>
    <col customWidth="1" min="3" max="3" width="8.25"/>
    <col customWidth="1" min="4" max="4" width="5.63"/>
    <col customWidth="1" min="5" max="5" width="15.88"/>
    <col customWidth="1" min="6" max="6" width="8.38"/>
    <col customWidth="1" min="7" max="7" width="5.63"/>
    <col customWidth="1" min="8" max="8" width="15.25"/>
    <col customWidth="1" min="9" max="9" width="6.63"/>
    <col customWidth="1" min="10" max="10" width="5.63"/>
    <col customWidth="1" min="11" max="11" width="14.0"/>
    <col customWidth="1" min="12" max="12" width="8.5"/>
    <col customWidth="1" min="13" max="13" width="5.63"/>
    <col customWidth="1" min="14" max="14" width="15.25"/>
    <col customWidth="1" min="15" max="15" width="9.13"/>
    <col customWidth="1" min="16" max="16" width="5.63"/>
    <col customWidth="1" min="17" max="17" width="15.25"/>
    <col customWidth="1" min="18" max="18" width="7.88"/>
    <col customWidth="1" min="19" max="19" width="5.63"/>
    <col customWidth="1" min="20" max="20" width="4.75"/>
    <col customWidth="1" min="21" max="21" width="4.88"/>
    <col customWidth="1" min="22" max="22" width="15.88"/>
    <col customWidth="1" min="23" max="23" width="6.5"/>
    <col customWidth="1" min="24" max="24" width="6.75"/>
    <col customWidth="1" min="25" max="25" width="7.63"/>
    <col customWidth="1" min="26" max="26" width="5.88"/>
    <col customWidth="1" min="27" max="27" width="5.5"/>
    <col customWidth="1" min="28" max="28" width="4.88"/>
    <col customWidth="1" min="29" max="29" width="16.63"/>
    <col customWidth="1" min="30" max="30" width="6.5"/>
    <col customWidth="1" min="31" max="31" width="6.75"/>
    <col customWidth="1" min="32" max="32" width="6.0"/>
    <col customWidth="1" min="33" max="33" width="4.63"/>
    <col customWidth="1" min="34" max="34" width="4.88"/>
    <col customWidth="1" min="35" max="35" width="17.25"/>
    <col customWidth="1" min="36" max="36" width="6.5"/>
    <col customWidth="1" min="37" max="37" width="7.13"/>
    <col customWidth="1" min="38" max="38" width="7.63"/>
    <col customWidth="1" min="39" max="39" width="1.63"/>
    <col customWidth="1" min="40" max="40" width="1.38"/>
    <col customWidth="1" min="41" max="42" width="13.5"/>
    <col customWidth="1" min="43" max="43" width="17.0"/>
    <col customWidth="1" min="45" max="45" width="16.5"/>
    <col customWidth="1" min="46" max="46" width="8.88"/>
  </cols>
  <sheetData>
    <row r="1">
      <c r="A1" s="16"/>
      <c r="B1" s="18"/>
      <c r="C1" s="21"/>
      <c r="D1" s="18"/>
      <c r="E1" s="18"/>
      <c r="F1" s="25"/>
      <c r="G1" s="18"/>
      <c r="H1" s="18"/>
      <c r="I1" s="25"/>
      <c r="J1" s="18"/>
      <c r="K1" s="18"/>
      <c r="L1" s="25"/>
      <c r="M1" s="18"/>
      <c r="N1" s="18"/>
      <c r="O1" s="25"/>
      <c r="P1" s="18"/>
      <c r="Q1" s="18"/>
      <c r="R1" s="25"/>
      <c r="S1" s="18"/>
      <c r="T1" s="18"/>
      <c r="U1" s="31"/>
      <c r="V1" s="18"/>
      <c r="W1" s="25"/>
      <c r="X1" s="18"/>
      <c r="Y1" s="35"/>
      <c r="Z1" s="18"/>
      <c r="AA1" s="40"/>
      <c r="AB1" s="40"/>
      <c r="AC1" s="44"/>
      <c r="AD1" s="47"/>
      <c r="AE1" s="40"/>
      <c r="AF1" s="40"/>
      <c r="AG1" s="40"/>
      <c r="AH1" s="40"/>
      <c r="AI1" s="40"/>
      <c r="AJ1" s="54"/>
      <c r="AK1" s="40"/>
      <c r="AL1" s="40"/>
      <c r="AM1" s="40"/>
      <c r="AN1" s="40"/>
      <c r="AO1" s="21"/>
      <c r="AP1" s="40"/>
      <c r="AQ1" s="40"/>
      <c r="AR1" s="21"/>
      <c r="AS1" s="40"/>
      <c r="AT1" s="40"/>
      <c r="AU1" s="21"/>
    </row>
    <row r="2">
      <c r="A2" s="60"/>
      <c r="B2" s="66" t="s">
        <v>43</v>
      </c>
      <c r="C2" s="72" t="s">
        <v>45</v>
      </c>
      <c r="D2" s="75" t="s">
        <v>47</v>
      </c>
      <c r="E2" s="78" t="s">
        <v>12</v>
      </c>
      <c r="F2" s="81" t="s">
        <v>50</v>
      </c>
      <c r="G2" s="75" t="s">
        <v>47</v>
      </c>
      <c r="H2" s="84" t="s">
        <v>12</v>
      </c>
      <c r="I2" s="88" t="s">
        <v>53</v>
      </c>
      <c r="J2" s="75" t="s">
        <v>47</v>
      </c>
      <c r="K2" s="91" t="s">
        <v>12</v>
      </c>
      <c r="L2" s="93" t="s">
        <v>56</v>
      </c>
      <c r="M2" s="75" t="s">
        <v>47</v>
      </c>
      <c r="N2" s="95" t="s">
        <v>12</v>
      </c>
      <c r="O2" s="98" t="s">
        <v>58</v>
      </c>
      <c r="P2" s="75" t="s">
        <v>47</v>
      </c>
      <c r="Q2" s="103" t="s">
        <v>12</v>
      </c>
      <c r="R2" s="105" t="s">
        <v>59</v>
      </c>
      <c r="S2" s="75" t="s">
        <v>47</v>
      </c>
      <c r="T2" s="110" t="s">
        <v>63</v>
      </c>
      <c r="U2" s="111"/>
      <c r="V2" s="111"/>
      <c r="W2" s="111"/>
      <c r="X2" s="111"/>
      <c r="Y2" s="111"/>
      <c r="Z2" s="75" t="s">
        <v>47</v>
      </c>
      <c r="AA2" s="119" t="s">
        <v>67</v>
      </c>
      <c r="AB2" s="122"/>
      <c r="AC2" s="122"/>
      <c r="AD2" s="122"/>
      <c r="AE2" s="125"/>
      <c r="AF2" s="75" t="s">
        <v>47</v>
      </c>
      <c r="AG2" s="110" t="s">
        <v>71</v>
      </c>
      <c r="AH2" s="111"/>
      <c r="AI2" s="111"/>
      <c r="AJ2" s="131"/>
      <c r="AK2" s="111"/>
      <c r="AL2" s="111"/>
      <c r="AM2" s="135"/>
      <c r="AN2" s="135"/>
      <c r="AO2" s="139" t="s">
        <v>76</v>
      </c>
      <c r="AP2" s="142"/>
      <c r="AQ2" s="142"/>
      <c r="AR2" s="142"/>
      <c r="AS2" s="142"/>
      <c r="AT2" s="142"/>
      <c r="AU2" s="144"/>
    </row>
    <row r="3">
      <c r="A3" s="147"/>
      <c r="B3" s="153" t="str">
        <f>IFERROR(__xludf.DUMMYFUNCTION("Query('Season+Playoffs Stats'!A2:AP44,""Select A,AP where A&lt;&gt;'' Order by AP Desc"")"),"Jussshhhyyy")</f>
        <v>Jussshhhyyy</v>
      </c>
      <c r="C3" s="157">
        <f>IFERROR(__xludf.DUMMYFUNCTION("""COMPUTED_VALUE"""),1.1250284673195172)</f>
        <v>1.125028467</v>
      </c>
      <c r="E3" s="161" t="str">
        <f>IFERROR(__xludf.DUMMYFUNCTION("Query('Season+Playoffs Stats'!A2:AN44,""Select A,AI where A&lt;&gt;'' Order by AI Desc"")"),"Ace B S1lentND1")</f>
        <v>Ace B S1lentND1</v>
      </c>
      <c r="F3" s="163">
        <f>IFERROR(__xludf.DUMMYFUNCTION("""COMPUTED_VALUE"""),7.80116691454067)</f>
        <v>7.801166915</v>
      </c>
      <c r="H3" s="167" t="str">
        <f>IFERROR(__xludf.DUMMYFUNCTION("Query('Season+Playoffs Stats'!A2:AN44,""Select A,AK where A&lt;&gt;'' Order by AK Desc"")"),"Jussshhhyyy")</f>
        <v>Jussshhhyyy</v>
      </c>
      <c r="I3" s="170">
        <f>IFERROR(__xludf.DUMMYFUNCTION("""COMPUTED_VALUE"""),0.15182570409170273)</f>
        <v>0.1518257041</v>
      </c>
      <c r="K3" s="174" t="str">
        <f>IFERROR(__xludf.DUMMYFUNCTION("Query('Season+Playoffs Stats'!A2:AN44,""Select A,AJ where A&lt;&gt;'' Order by AJ Desc"")"),"Holy Morals")</f>
        <v>Holy Morals</v>
      </c>
      <c r="L3" s="177">
        <f>IFERROR(__xludf.DUMMYFUNCTION("""COMPUTED_VALUE"""),0.24354382657869936)</f>
        <v>0.2435438266</v>
      </c>
      <c r="N3" s="181" t="str">
        <f>IFERROR(__xludf.DUMMYFUNCTION("Query('PlayerGrades+'!A2:W44,""Select A,H where A&lt;&gt;'' Order by H Desc"")"),"Ace B S1lentND1")</f>
        <v>Ace B S1lentND1</v>
      </c>
      <c r="O3" s="184">
        <f>IFERROR(__xludf.DUMMYFUNCTION("""COMPUTED_VALUE"""),1.5840211706886775)</f>
        <v>1.584021171</v>
      </c>
      <c r="Q3" s="187" t="str">
        <f>IFERROR(__xludf.DUMMYFUNCTION("Query('Season+Playoffs Stats'!A2:AN44,""Select A,AL where A&lt;&gt;'' Order by AL Desc"")"),"Itzreelz")</f>
        <v>Itzreelz</v>
      </c>
      <c r="R3" s="191">
        <f>IFERROR(__xludf.DUMMYFUNCTION("""COMPUTED_VALUE"""),4.145050400620315)</f>
        <v>4.145050401</v>
      </c>
      <c r="T3" s="110" t="s">
        <v>112</v>
      </c>
      <c r="U3" s="110" t="s">
        <v>113</v>
      </c>
      <c r="V3" s="197" t="str">
        <f>IFERROR(__xludf.DUMMYFUNCTION("Query('PlayerGrades+'!L:W,""Select L,V,W where L&lt;&gt;'' Order by W Desc Label W 'Grade', V 'Letter'"")"),"Players")</f>
        <v>Players</v>
      </c>
      <c r="W3" s="199" t="str">
        <f>IFERROR(__xludf.DUMMYFUNCTION("""COMPUTED_VALUE"""),"Letter")</f>
        <v>Letter</v>
      </c>
      <c r="X3" s="199" t="str">
        <f>IFERROR(__xludf.DUMMYFUNCTION("""COMPUTED_VALUE"""),"Grade")</f>
        <v>Grade</v>
      </c>
      <c r="Y3" s="199" t="s">
        <v>117</v>
      </c>
      <c r="AA3" s="201" t="s">
        <v>112</v>
      </c>
      <c r="AB3" s="201" t="s">
        <v>113</v>
      </c>
      <c r="AC3" s="203" t="str">
        <f>IFERROR(__xludf.DUMMYFUNCTION("Query('Runner Stats'!A2:N44,""Select A,M,N where A&lt;&gt;'' Order by N Desc Label N 'Grade', M 'Letter', A 'Players'"")"),"Players")</f>
        <v>Players</v>
      </c>
      <c r="AD3" s="205" t="str">
        <f>IFERROR(__xludf.DUMMYFUNCTION("""COMPUTED_VALUE"""),"Letter")</f>
        <v>Letter</v>
      </c>
      <c r="AE3" s="205" t="str">
        <f>IFERROR(__xludf.DUMMYFUNCTION("""COMPUTED_VALUE"""),"Grade")</f>
        <v>Grade</v>
      </c>
      <c r="AG3" s="110" t="s">
        <v>112</v>
      </c>
      <c r="AH3" s="110" t="s">
        <v>113</v>
      </c>
      <c r="AI3" s="197" t="str">
        <f>IFERROR(__xludf.DUMMYFUNCTION("Query('Full Season PlayerGrades+'!L:W,""Select L,V,W where L&lt;&gt;'' Order by W Desc Label W 'Grade', V 'Letter'"")"),"Players")</f>
        <v>Players</v>
      </c>
      <c r="AJ3" s="199" t="str">
        <f>IFERROR(__xludf.DUMMYFUNCTION("""COMPUTED_VALUE"""),"Letter")</f>
        <v>Letter</v>
      </c>
      <c r="AK3" s="199" t="str">
        <f>IFERROR(__xludf.DUMMYFUNCTION("""COMPUTED_VALUE"""),"Grade")</f>
        <v>Grade</v>
      </c>
      <c r="AL3" s="199" t="s">
        <v>117</v>
      </c>
      <c r="AM3" s="207"/>
      <c r="AN3" s="207"/>
      <c r="AO3" s="209" t="s">
        <v>125</v>
      </c>
      <c r="AP3" s="211" t="s">
        <v>128</v>
      </c>
      <c r="AQ3" s="142"/>
      <c r="AR3" s="142"/>
      <c r="AS3" s="142"/>
      <c r="AT3" s="142"/>
      <c r="AU3" s="144"/>
    </row>
    <row r="4">
      <c r="A4" s="213"/>
      <c r="B4" s="215" t="str">
        <f>IFERROR(__xludf.DUMMYFUNCTION("""COMPUTED_VALUE"""),"MysticalNovice")</f>
        <v>MysticalNovice</v>
      </c>
      <c r="C4" s="217">
        <f>IFERROR(__xludf.DUMMYFUNCTION("""COMPUTED_VALUE"""),0.7550422340975693)</f>
        <v>0.7550422341</v>
      </c>
      <c r="E4" s="219" t="str">
        <f>IFERROR(__xludf.DUMMYFUNCTION("""COMPUTED_VALUE"""),"Fanciest Pants")</f>
        <v>Fanciest Pants</v>
      </c>
      <c r="F4" s="223">
        <f>IFERROR(__xludf.DUMMYFUNCTION("""COMPUTED_VALUE"""),7.735591368478557)</f>
        <v>7.735591368</v>
      </c>
      <c r="H4" s="225" t="str">
        <f>IFERROR(__xludf.DUMMYFUNCTION("""COMPUTED_VALUE"""),"Ace B S1lentND1")</f>
        <v>Ace B S1lentND1</v>
      </c>
      <c r="I4" s="228">
        <f>IFERROR(__xludf.DUMMYFUNCTION("""COMPUTED_VALUE"""),0.13385196201807573)</f>
        <v>0.133851962</v>
      </c>
      <c r="K4" s="230" t="str">
        <f>IFERROR(__xludf.DUMMYFUNCTION("""COMPUTED_VALUE"""),"Mavbrid")</f>
        <v>Mavbrid</v>
      </c>
      <c r="L4" s="232">
        <f>IFERROR(__xludf.DUMMYFUNCTION("""COMPUTED_VALUE"""),0.20819625638116845)</f>
        <v>0.2081962564</v>
      </c>
      <c r="N4" s="235" t="str">
        <f>IFERROR(__xludf.DUMMYFUNCTION("""COMPUTED_VALUE"""),"Fanciest Pants")</f>
        <v>Fanciest Pants</v>
      </c>
      <c r="O4" s="238">
        <f>IFERROR(__xludf.DUMMYFUNCTION("""COMPUTED_VALUE"""),1.5666513971598717)</f>
        <v>1.566651397</v>
      </c>
      <c r="Q4" s="240" t="str">
        <f>IFERROR(__xludf.DUMMYFUNCTION("""COMPUTED_VALUE"""),"Jussshhhyyy")</f>
        <v>Jussshhhyyy</v>
      </c>
      <c r="R4" s="244">
        <f>IFERROR(__xludf.DUMMYFUNCTION("""COMPUTED_VALUE"""),2.7817224626129207)</f>
        <v>2.781722463</v>
      </c>
      <c r="T4" s="251" t="str">
        <f>IFERROR(VLOOKUP($V4,'Halo Infinite Stats'!$A:AR,44,0),)</f>
        <v>11th</v>
      </c>
      <c r="U4" s="251" t="str">
        <f>IFERROR(VLOOKUP($V4,'Halo Infinite Stats'!$A:AQ,43,0),)</f>
        <v>C</v>
      </c>
      <c r="V4" s="263" t="str">
        <f>IFERROR(__xludf.DUMMYFUNCTION("""COMPUTED_VALUE"""),"MysticalNovice")</f>
        <v>MysticalNovice</v>
      </c>
      <c r="W4" s="266" t="str">
        <f>IFERROR(__xludf.DUMMYFUNCTION("""COMPUTED_VALUE"""),"S+")</f>
        <v>S+</v>
      </c>
      <c r="X4" s="269">
        <f>IFERROR(__xludf.DUMMYFUNCTION("""COMPUTED_VALUE"""),27.3625)</f>
        <v>27.3625</v>
      </c>
      <c r="Y4" s="271">
        <f>IFERROR(VLOOKUP($V4,'Halo Infinite Stats'!$A:$AM,2,0),)</f>
        <v>17</v>
      </c>
      <c r="AA4" s="274" t="str">
        <f>IFERROR(VLOOKUP($AC4,'Halo Infinite Stats'!$A:AR,44,0),)</f>
        <v>4th</v>
      </c>
      <c r="AB4" s="276" t="str">
        <f>IFERROR(VLOOKUP($AC4,'Halo Infinite Stats'!$A:AX,43,0),)</f>
        <v>C</v>
      </c>
      <c r="AC4" s="277" t="str">
        <f>IFERROR(__xludf.DUMMYFUNCTION("""COMPUTED_VALUE"""),"Holy Morals")</f>
        <v>Holy Morals</v>
      </c>
      <c r="AD4" s="278" t="str">
        <f>IFERROR(__xludf.DUMMYFUNCTION("""COMPUTED_VALUE"""),"S+")</f>
        <v>S+</v>
      </c>
      <c r="AE4" s="278">
        <f>IFERROR(__xludf.DUMMYFUNCTION("""COMPUTED_VALUE"""),14.3)</f>
        <v>14.3</v>
      </c>
      <c r="AG4" s="251" t="str">
        <f>IFERROR(VLOOKUP($AI4,'Halo Infinite Stats'!$A:AR,44,0),)</f>
        <v>P3</v>
      </c>
      <c r="AH4" s="251" t="str">
        <f>IFERROR(VLOOKUP($AI4,'Halo Infinite Stats'!$A:AQ,43,0),)</f>
        <v>R1</v>
      </c>
      <c r="AI4" s="281" t="str">
        <f>IFERROR(__xludf.DUMMYFUNCTION("""COMPUTED_VALUE"""),"Ace B S1lentND1")</f>
        <v>Ace B S1lentND1</v>
      </c>
      <c r="AJ4" s="283" t="str">
        <f>IFERROR(__xludf.DUMMYFUNCTION("""COMPUTED_VALUE"""),"S+")</f>
        <v>S+</v>
      </c>
      <c r="AK4" s="281">
        <f>IFERROR(__xludf.DUMMYFUNCTION("""COMPUTED_VALUE"""),27.675)</f>
        <v>27.675</v>
      </c>
      <c r="AL4" s="286">
        <f>IFERROR(VLOOKUP($AI4,'Season+Playoffs Stats'!$A:$AM,2,0),)</f>
        <v>22</v>
      </c>
      <c r="AM4" s="287"/>
      <c r="AN4" s="287"/>
      <c r="AO4" s="209" t="s">
        <v>53</v>
      </c>
      <c r="AP4" s="211" t="s">
        <v>146</v>
      </c>
      <c r="AQ4" s="142"/>
      <c r="AR4" s="142"/>
      <c r="AS4" s="142"/>
      <c r="AT4" s="142"/>
      <c r="AU4" s="144"/>
    </row>
    <row r="5">
      <c r="A5" s="207"/>
      <c r="B5" s="215" t="str">
        <f>IFERROR(__xludf.DUMMYFUNCTION("""COMPUTED_VALUE"""),"Ace B S1lentND1")</f>
        <v>Ace B S1lentND1</v>
      </c>
      <c r="C5" s="217">
        <f>IFERROR(__xludf.DUMMYFUNCTION("""COMPUTED_VALUE"""),0.6143461846470656)</f>
        <v>0.6143461846</v>
      </c>
      <c r="E5" s="219" t="str">
        <f>IFERROR(__xludf.DUMMYFUNCTION("""COMPUTED_VALUE"""),"SPANKTR0N")</f>
        <v>SPANKTR0N</v>
      </c>
      <c r="F5" s="223">
        <f>IFERROR(__xludf.DUMMYFUNCTION("""COMPUTED_VALUE"""),7.449584816132859)</f>
        <v>7.449584816</v>
      </c>
      <c r="H5" s="225" t="str">
        <f>IFERROR(__xludf.DUMMYFUNCTION("""COMPUTED_VALUE"""),"MysticalNovice")</f>
        <v>MysticalNovice</v>
      </c>
      <c r="I5" s="228">
        <f>IFERROR(__xludf.DUMMYFUNCTION("""COMPUTED_VALUE"""),0.12411653163247716)</f>
        <v>0.1241165316</v>
      </c>
      <c r="K5" s="230" t="str">
        <f>IFERROR(__xludf.DUMMYFUNCTION("""COMPUTED_VALUE"""),"MysticalNovice")</f>
        <v>MysticalNovice</v>
      </c>
      <c r="L5" s="232">
        <f>IFERROR(__xludf.DUMMYFUNCTION("""COMPUTED_VALUE"""),0.19637993449405275)</f>
        <v>0.1963799345</v>
      </c>
      <c r="N5" s="235" t="str">
        <f>IFERROR(__xludf.DUMMYFUNCTION("""COMPUTED_VALUE"""),"MysticalNovice")</f>
        <v>MysticalNovice</v>
      </c>
      <c r="O5" s="238">
        <f>IFERROR(__xludf.DUMMYFUNCTION("""COMPUTED_VALUE"""),1.298588490770901)</f>
        <v>1.298588491</v>
      </c>
      <c r="Q5" s="240" t="str">
        <f>IFERROR(__xludf.DUMMYFUNCTION("""COMPUTED_VALUE"""),"MysticalNovice")</f>
        <v>MysticalNovice</v>
      </c>
      <c r="R5" s="244">
        <f>IFERROR(__xludf.DUMMYFUNCTION("""COMPUTED_VALUE"""),2.6754697465954145)</f>
        <v>2.675469747</v>
      </c>
      <c r="T5" s="251" t="str">
        <f>IFERROR(VLOOKUP($V5,'Halo Infinite Stats'!$A:AR,44,0),)</f>
        <v>P3</v>
      </c>
      <c r="U5" s="251" t="str">
        <f>IFERROR(VLOOKUP($V5,'Halo Infinite Stats'!$A:AQ,43,0),)</f>
        <v>R1</v>
      </c>
      <c r="V5" s="295" t="str">
        <f>IFERROR(__xludf.DUMMYFUNCTION("""COMPUTED_VALUE"""),"Ace B S1lentND1")</f>
        <v>Ace B S1lentND1</v>
      </c>
      <c r="W5" s="296" t="str">
        <f>IFERROR(__xludf.DUMMYFUNCTION("""COMPUTED_VALUE"""),"S")</f>
        <v>S</v>
      </c>
      <c r="X5" s="297">
        <f>IFERROR(__xludf.DUMMYFUNCTION("""COMPUTED_VALUE"""),27.3375)</f>
        <v>27.3375</v>
      </c>
      <c r="Y5" s="271">
        <f>IFERROR(VLOOKUP($V5,'Halo Infinite Stats'!$A:$AM,2,0),)</f>
        <v>20</v>
      </c>
      <c r="AA5" s="274" t="str">
        <f>IFERROR(VLOOKUP($AC5,'Halo Infinite Stats'!$A:AR,44,0),)</f>
        <v>P11</v>
      </c>
      <c r="AB5" s="276" t="str">
        <f>IFERROR(VLOOKUP($AC5,'Halo Infinite Stats'!$A:AX,43,0),)</f>
        <v>R1</v>
      </c>
      <c r="AC5" s="298" t="str">
        <f>IFERROR(__xludf.DUMMYFUNCTION("""COMPUTED_VALUE"""),"Mavbrid")</f>
        <v>Mavbrid</v>
      </c>
      <c r="AD5" s="299" t="str">
        <f>IFERROR(__xludf.DUMMYFUNCTION("""COMPUTED_VALUE"""),"S")</f>
        <v>S</v>
      </c>
      <c r="AE5" s="278">
        <f>IFERROR(__xludf.DUMMYFUNCTION("""COMPUTED_VALUE"""),14.075000000000001)</f>
        <v>14.075</v>
      </c>
      <c r="AG5" s="251" t="str">
        <f>IFERROR(VLOOKUP($AI5,'Halo Infinite Stats'!$A:AR,44,0),)</f>
        <v>11th</v>
      </c>
      <c r="AH5" s="251" t="str">
        <f>IFERROR(VLOOKUP($AI5,'Halo Infinite Stats'!$A:AQ,43,0),)</f>
        <v>C</v>
      </c>
      <c r="AI5" s="300" t="str">
        <f>IFERROR(__xludf.DUMMYFUNCTION("""COMPUTED_VALUE"""),"MysticalNovice")</f>
        <v>MysticalNovice</v>
      </c>
      <c r="AJ5" s="302" t="str">
        <f>IFERROR(__xludf.DUMMYFUNCTION("""COMPUTED_VALUE"""),"S")</f>
        <v>S</v>
      </c>
      <c r="AK5" s="300">
        <f>IFERROR(__xludf.DUMMYFUNCTION("""COMPUTED_VALUE"""),27.2375)</f>
        <v>27.2375</v>
      </c>
      <c r="AL5" s="286">
        <f>IFERROR(VLOOKUP($AI5,'Season+Playoffs Stats'!$A:$AM,2,0),)</f>
        <v>21</v>
      </c>
      <c r="AM5" s="207"/>
      <c r="AN5" s="207"/>
      <c r="AO5" s="209" t="s">
        <v>50</v>
      </c>
      <c r="AP5" s="211" t="s">
        <v>151</v>
      </c>
      <c r="AQ5" s="142"/>
      <c r="AR5" s="142"/>
      <c r="AS5" s="142"/>
      <c r="AT5" s="142"/>
      <c r="AU5" s="144"/>
    </row>
    <row r="6">
      <c r="A6" s="207"/>
      <c r="B6" s="215" t="str">
        <f>IFERROR(__xludf.DUMMYFUNCTION("""COMPUTED_VALUE"""),"Mavbrid")</f>
        <v>Mavbrid</v>
      </c>
      <c r="C6" s="217">
        <f>IFERROR(__xludf.DUMMYFUNCTION("""COMPUTED_VALUE"""),0.4892229154849688)</f>
        <v>0.4892229155</v>
      </c>
      <c r="E6" s="219" t="str">
        <f>IFERROR(__xludf.DUMMYFUNCTION("""COMPUTED_VALUE"""),"Memorized")</f>
        <v>Memorized</v>
      </c>
      <c r="F6" s="223">
        <f>IFERROR(__xludf.DUMMYFUNCTION("""COMPUTED_VALUE"""),7.423814011938423)</f>
        <v>7.423814012</v>
      </c>
      <c r="H6" s="225" t="str">
        <f>IFERROR(__xludf.DUMMYFUNCTION("""COMPUTED_VALUE"""),"Fanciest Pants")</f>
        <v>Fanciest Pants</v>
      </c>
      <c r="I6" s="228">
        <f>IFERROR(__xludf.DUMMYFUNCTION("""COMPUTED_VALUE"""),0.10925976509150505)</f>
        <v>0.1092597651</v>
      </c>
      <c r="K6" s="230" t="str">
        <f>IFERROR(__xludf.DUMMYFUNCTION("""COMPUTED_VALUE"""),"Scullen cx")</f>
        <v>Scullen cx</v>
      </c>
      <c r="L6" s="232">
        <f>IFERROR(__xludf.DUMMYFUNCTION("""COMPUTED_VALUE"""),0.18874081580947555)</f>
        <v>0.1887408158</v>
      </c>
      <c r="N6" s="235" t="str">
        <f>IFERROR(__xludf.DUMMYFUNCTION("""COMPUTED_VALUE"""),"Jussshhhyyy")</f>
        <v>Jussshhhyyy</v>
      </c>
      <c r="O6" s="238">
        <f>IFERROR(__xludf.DUMMYFUNCTION("""COMPUTED_VALUE"""),1.213660739486311)</f>
        <v>1.213660739</v>
      </c>
      <c r="Q6" s="240" t="str">
        <f>IFERROR(__xludf.DUMMYFUNCTION("""COMPUTED_VALUE"""),"Fanciest Pants")</f>
        <v>Fanciest Pants</v>
      </c>
      <c r="R6" s="244">
        <f>IFERROR(__xludf.DUMMYFUNCTION("""COMPUTED_VALUE"""),2.1351943913320586)</f>
        <v>2.135194391</v>
      </c>
      <c r="T6" s="251" t="str">
        <f>IFERROR(VLOOKUP($V6,'Halo Infinite Stats'!$A:AR,44,0),)</f>
        <v>P8</v>
      </c>
      <c r="U6" s="251" t="str">
        <f>IFERROR(VLOOKUP($V6,'Halo Infinite Stats'!$A:AQ,43,0),)</f>
        <v>R1</v>
      </c>
      <c r="V6" s="295" t="str">
        <f>IFERROR(__xludf.DUMMYFUNCTION("""COMPUTED_VALUE"""),"Jussshhhyyy")</f>
        <v>Jussshhhyyy</v>
      </c>
      <c r="W6" s="296" t="str">
        <f>IFERROR(__xludf.DUMMYFUNCTION("""COMPUTED_VALUE"""),"S")</f>
        <v>S</v>
      </c>
      <c r="X6" s="297">
        <f>IFERROR(__xludf.DUMMYFUNCTION("""COMPUTED_VALUE"""),27.275)</f>
        <v>27.275</v>
      </c>
      <c r="Y6" s="271">
        <f>IFERROR(VLOOKUP($V6,'Halo Infinite Stats'!$A:$AM,2,0),)</f>
        <v>36</v>
      </c>
      <c r="AA6" s="274" t="str">
        <f>IFERROR(VLOOKUP($AC6,'Halo Infinite Stats'!$A:AR,44,0),)</f>
        <v>10th</v>
      </c>
      <c r="AB6" s="276" t="str">
        <f>IFERROR(VLOOKUP($AC6,'Halo Infinite Stats'!$A:AX,43,0),)</f>
        <v>C</v>
      </c>
      <c r="AC6" s="298" t="str">
        <f>IFERROR(__xludf.DUMMYFUNCTION("""COMPUTED_VALUE"""),"ASpence501")</f>
        <v>ASpence501</v>
      </c>
      <c r="AD6" s="299" t="str">
        <f>IFERROR(__xludf.DUMMYFUNCTION("""COMPUTED_VALUE"""),"S")</f>
        <v>S</v>
      </c>
      <c r="AE6" s="278">
        <f>IFERROR(__xludf.DUMMYFUNCTION("""COMPUTED_VALUE"""),13.7)</f>
        <v>13.7</v>
      </c>
      <c r="AG6" s="251" t="str">
        <f>IFERROR(VLOOKUP($AI6,'Halo Infinite Stats'!$A:AR,44,0),)</f>
        <v>P8</v>
      </c>
      <c r="AH6" s="251" t="str">
        <f>IFERROR(VLOOKUP($AI6,'Halo Infinite Stats'!$A:AQ,43,0),)</f>
        <v>R1</v>
      </c>
      <c r="AI6" s="300" t="str">
        <f>IFERROR(__xludf.DUMMYFUNCTION("""COMPUTED_VALUE"""),"Jussshhhyyy")</f>
        <v>Jussshhhyyy</v>
      </c>
      <c r="AJ6" s="309" t="str">
        <f>IFERROR(__xludf.DUMMYFUNCTION("""COMPUTED_VALUE"""),"S")</f>
        <v>S</v>
      </c>
      <c r="AK6" s="300">
        <f>IFERROR(__xludf.DUMMYFUNCTION("""COMPUTED_VALUE"""),26.9625)</f>
        <v>26.9625</v>
      </c>
      <c r="AL6" s="286">
        <f>IFERROR(VLOOKUP($AI6,'Season+Playoffs Stats'!$A:$AM,2,0),)</f>
        <v>42</v>
      </c>
      <c r="AM6" s="207"/>
      <c r="AN6" s="207"/>
      <c r="AO6" s="209" t="s">
        <v>56</v>
      </c>
      <c r="AP6" s="211" t="s">
        <v>153</v>
      </c>
      <c r="AQ6" s="142"/>
      <c r="AR6" s="142"/>
      <c r="AS6" s="142"/>
      <c r="AT6" s="142"/>
      <c r="AU6" s="144"/>
    </row>
    <row r="7">
      <c r="A7" s="207"/>
      <c r="B7" s="215" t="str">
        <f>IFERROR(__xludf.DUMMYFUNCTION("""COMPUTED_VALUE"""),"Fanciest Pants")</f>
        <v>Fanciest Pants</v>
      </c>
      <c r="C7" s="217">
        <f>IFERROR(__xludf.DUMMYFUNCTION("""COMPUTED_VALUE"""),0.46435400163889645)</f>
        <v>0.4643540016</v>
      </c>
      <c r="E7" s="219" t="str">
        <f>IFERROR(__xludf.DUMMYFUNCTION("""COMPUTED_VALUE"""),"Grunt Padre")</f>
        <v>Grunt Padre</v>
      </c>
      <c r="F7" s="223">
        <f>IFERROR(__xludf.DUMMYFUNCTION("""COMPUTED_VALUE"""),7.268251944969452)</f>
        <v>7.268251945</v>
      </c>
      <c r="H7" s="225" t="str">
        <f>IFERROR(__xludf.DUMMYFUNCTION("""COMPUTED_VALUE"""),"Mavbrid")</f>
        <v>Mavbrid</v>
      </c>
      <c r="I7" s="228">
        <f>IFERROR(__xludf.DUMMYFUNCTION("""COMPUTED_VALUE"""),0.0957175269427113)</f>
        <v>0.09571752694</v>
      </c>
      <c r="K7" s="230" t="str">
        <f>IFERROR(__xludf.DUMMYFUNCTION("""COMPUTED_VALUE"""),"ASpence501")</f>
        <v>ASpence501</v>
      </c>
      <c r="L7" s="232">
        <f>IFERROR(__xludf.DUMMYFUNCTION("""COMPUTED_VALUE"""),0.1787718928043891)</f>
        <v>0.1787718928</v>
      </c>
      <c r="N7" s="235" t="str">
        <f>IFERROR(__xludf.DUMMYFUNCTION("""COMPUTED_VALUE"""),"SPANKTR0N")</f>
        <v>SPANKTR0N</v>
      </c>
      <c r="O7" s="238">
        <f>IFERROR(__xludf.DUMMYFUNCTION("""COMPUTED_VALUE"""),1.0593707797729206)</f>
        <v>1.05937078</v>
      </c>
      <c r="Q7" s="240" t="str">
        <f>IFERROR(__xludf.DUMMYFUNCTION("""COMPUTED_VALUE"""),"Mavbrid")</f>
        <v>Mavbrid</v>
      </c>
      <c r="R7" s="244">
        <f>IFERROR(__xludf.DUMMYFUNCTION("""COMPUTED_VALUE"""),1.838963131026659)</f>
        <v>1.838963131</v>
      </c>
      <c r="T7" s="251" t="str">
        <f>IFERROR(VLOOKUP($V7,'Halo Infinite Stats'!$A:AR,44,0),)</f>
        <v>P2</v>
      </c>
      <c r="U7" s="251" t="str">
        <f>IFERROR(VLOOKUP($V7,'Halo Infinite Stats'!$A:AQ,43,0),)</f>
        <v>R1</v>
      </c>
      <c r="V7" s="295" t="str">
        <f>IFERROR(__xludf.DUMMYFUNCTION("""COMPUTED_VALUE"""),"yLuxe")</f>
        <v>yLuxe</v>
      </c>
      <c r="W7" s="296" t="str">
        <f>IFERROR(__xludf.DUMMYFUNCTION("""COMPUTED_VALUE"""),"S-")</f>
        <v>S-</v>
      </c>
      <c r="X7" s="297">
        <f>IFERROR(__xludf.DUMMYFUNCTION("""COMPUTED_VALUE"""),25.375)</f>
        <v>25.375</v>
      </c>
      <c r="Y7" s="271">
        <f>IFERROR(VLOOKUP($V7,'Halo Infinite Stats'!$A:$AM,2,0),)</f>
        <v>20</v>
      </c>
      <c r="AA7" s="274" t="str">
        <f>IFERROR(VLOOKUP($AC7,'Halo Infinite Stats'!$A:AR,44,0),)</f>
        <v>8th</v>
      </c>
      <c r="AB7" s="276" t="str">
        <f>IFERROR(VLOOKUP($AC7,'Halo Infinite Stats'!$A:AX,43,0),)</f>
        <v>C</v>
      </c>
      <c r="AC7" s="314" t="str">
        <f>IFERROR(__xludf.DUMMYFUNCTION("""COMPUTED_VALUE"""),"Scullen cx")</f>
        <v>Scullen cx</v>
      </c>
      <c r="AD7" s="316" t="str">
        <f>IFERROR(__xludf.DUMMYFUNCTION("""COMPUTED_VALUE"""),"S-")</f>
        <v>S-</v>
      </c>
      <c r="AE7" s="278">
        <f>IFERROR(__xludf.DUMMYFUNCTION("""COMPUTED_VALUE"""),13.649999999999999)</f>
        <v>13.65</v>
      </c>
      <c r="AG7" s="251" t="str">
        <f>IFERROR(VLOOKUP($AI7,'Halo Infinite Stats'!$A:AR,44,0),)</f>
        <v>10th</v>
      </c>
      <c r="AH7" s="251" t="str">
        <f>IFERROR(VLOOKUP($AI7,'Halo Infinite Stats'!$A:AQ,43,0),)</f>
        <v>C</v>
      </c>
      <c r="AI7" s="300" t="str">
        <f>IFERROR(__xludf.DUMMYFUNCTION("""COMPUTED_VALUE"""),"ASpence501")</f>
        <v>ASpence501</v>
      </c>
      <c r="AJ7" s="302" t="str">
        <f>IFERROR(__xludf.DUMMYFUNCTION("""COMPUTED_VALUE"""),"S-")</f>
        <v>S-</v>
      </c>
      <c r="AK7" s="300">
        <f>IFERROR(__xludf.DUMMYFUNCTION("""COMPUTED_VALUE"""),25.225)</f>
        <v>25.225</v>
      </c>
      <c r="AL7" s="286">
        <f>IFERROR(VLOOKUP($AI7,'Season+Playoffs Stats'!$A:$AM,2,0),)</f>
        <v>25</v>
      </c>
      <c r="AM7" s="207"/>
      <c r="AN7" s="207"/>
      <c r="AO7" s="209" t="s">
        <v>58</v>
      </c>
      <c r="AP7" s="211" t="s">
        <v>155</v>
      </c>
      <c r="AQ7" s="142"/>
      <c r="AR7" s="142"/>
      <c r="AS7" s="142"/>
      <c r="AT7" s="142"/>
      <c r="AU7" s="144"/>
    </row>
    <row r="8" ht="20.25" customHeight="1">
      <c r="A8" s="322"/>
      <c r="B8" s="325" t="str">
        <f>IFERROR(__xludf.DUMMYFUNCTION("""COMPUTED_VALUE"""),"yLuxe")</f>
        <v>yLuxe</v>
      </c>
      <c r="C8" s="326">
        <f>IFERROR(__xludf.DUMMYFUNCTION("""COMPUTED_VALUE"""),0.34127778890446625)</f>
        <v>0.3412777889</v>
      </c>
      <c r="D8" s="328" t="s">
        <v>157</v>
      </c>
      <c r="E8" s="330" t="str">
        <f>IFERROR(__xludf.DUMMYFUNCTION("""COMPUTED_VALUE"""),"MysticalNovice")</f>
        <v>MysticalNovice</v>
      </c>
      <c r="F8" s="331">
        <f>IFERROR(__xludf.DUMMYFUNCTION("""COMPUTED_VALUE"""),7.250474056197207)</f>
        <v>7.250474056</v>
      </c>
      <c r="G8" s="328" t="s">
        <v>157</v>
      </c>
      <c r="H8" s="332" t="str">
        <f>IFERROR(__xludf.DUMMYFUNCTION("""COMPUTED_VALUE"""),"Scullen cx")</f>
        <v>Scullen cx</v>
      </c>
      <c r="I8" s="333">
        <f>IFERROR(__xludf.DUMMYFUNCTION("""COMPUTED_VALUE"""),0.0881682290347099)</f>
        <v>0.08816822903</v>
      </c>
      <c r="J8" s="328" t="s">
        <v>157</v>
      </c>
      <c r="K8" s="334" t="str">
        <f>IFERROR(__xludf.DUMMYFUNCTION("""COMPUTED_VALUE"""),"yLuxe")</f>
        <v>yLuxe</v>
      </c>
      <c r="L8" s="335">
        <f>IFERROR(__xludf.DUMMYFUNCTION("""COMPUTED_VALUE"""),0.16813939515321452)</f>
        <v>0.1681393952</v>
      </c>
      <c r="M8" s="328" t="s">
        <v>157</v>
      </c>
      <c r="N8" s="337" t="str">
        <f>IFERROR(__xludf.DUMMYFUNCTION("""COMPUTED_VALUE"""),"oh zilly")</f>
        <v>oh zilly</v>
      </c>
      <c r="O8" s="341">
        <f>IFERROR(__xludf.DUMMYFUNCTION("""COMPUTED_VALUE"""),0.9648648648648649)</f>
        <v>0.9648648649</v>
      </c>
      <c r="P8" s="328" t="s">
        <v>157</v>
      </c>
      <c r="Q8" s="342" t="str">
        <f>IFERROR(__xludf.DUMMYFUNCTION("""COMPUTED_VALUE"""),"yLuxe")</f>
        <v>yLuxe</v>
      </c>
      <c r="R8" s="343">
        <f>IFERROR(__xludf.DUMMYFUNCTION("""COMPUTED_VALUE"""),1.8042035320036285)</f>
        <v>1.804203532</v>
      </c>
      <c r="S8" s="328" t="s">
        <v>157</v>
      </c>
      <c r="T8" s="251" t="str">
        <f>IFERROR(VLOOKUP($V8,'Halo Infinite Stats'!$A:AR,44,0),)</f>
        <v>10th</v>
      </c>
      <c r="U8" s="344" t="str">
        <f>IFERROR(VLOOKUP($V8,'Halo Infinite Stats'!$A:AQ,43,0),)</f>
        <v>C</v>
      </c>
      <c r="V8" s="345" t="str">
        <f>IFERROR(__xludf.DUMMYFUNCTION("""COMPUTED_VALUE"""),"ASpence501")</f>
        <v>ASpence501</v>
      </c>
      <c r="W8" s="296" t="str">
        <f>IFERROR(__xludf.DUMMYFUNCTION("""COMPUTED_VALUE"""),"S-")</f>
        <v>S-</v>
      </c>
      <c r="X8" s="297">
        <f>IFERROR(__xludf.DUMMYFUNCTION("""COMPUTED_VALUE"""),25.250000000000004)</f>
        <v>25.25</v>
      </c>
      <c r="Y8" s="271">
        <f>IFERROR(VLOOKUP($V8,'Halo Infinite Stats'!$A:$AM,2,0),)</f>
        <v>23</v>
      </c>
      <c r="Z8" s="328" t="s">
        <v>157</v>
      </c>
      <c r="AA8" s="274" t="str">
        <f>IFERROR(VLOOKUP($AC8,'Halo Infinite Stats'!$A:AR,44,0),)</f>
        <v>11th</v>
      </c>
      <c r="AB8" s="276" t="str">
        <f>IFERROR(VLOOKUP($AC8,'Halo Infinite Stats'!$A:AX,43,0),)</f>
        <v>C</v>
      </c>
      <c r="AC8" s="347" t="str">
        <f>IFERROR(__xludf.DUMMYFUNCTION("""COMPUTED_VALUE"""),"MysticalNovice")</f>
        <v>MysticalNovice</v>
      </c>
      <c r="AD8" s="348" t="str">
        <f>IFERROR(__xludf.DUMMYFUNCTION("""COMPUTED_VALUE"""),"S-")</f>
        <v>S-</v>
      </c>
      <c r="AE8" s="349">
        <f>IFERROR(__xludf.DUMMYFUNCTION("""COMPUTED_VALUE"""),13.125)</f>
        <v>13.125</v>
      </c>
      <c r="AF8" s="328" t="s">
        <v>157</v>
      </c>
      <c r="AG8" s="251" t="str">
        <f>IFERROR(VLOOKUP($AI8,'Halo Infinite Stats'!$A:AR,44,0),)</f>
        <v>P2</v>
      </c>
      <c r="AH8" s="251" t="str">
        <f>IFERROR(VLOOKUP($AI8,'Halo Infinite Stats'!$A:AQ,43,0),)</f>
        <v>R1</v>
      </c>
      <c r="AI8" s="300" t="str">
        <f>IFERROR(__xludf.DUMMYFUNCTION("""COMPUTED_VALUE"""),"yLuxe")</f>
        <v>yLuxe</v>
      </c>
      <c r="AJ8" s="309" t="str">
        <f>IFERROR(__xludf.DUMMYFUNCTION("""COMPUTED_VALUE"""),"S-")</f>
        <v>S-</v>
      </c>
      <c r="AK8" s="300">
        <f>IFERROR(__xludf.DUMMYFUNCTION("""COMPUTED_VALUE"""),25.1625)</f>
        <v>25.1625</v>
      </c>
      <c r="AL8" s="286">
        <f>IFERROR(VLOOKUP($AI8,'Season+Playoffs Stats'!$A:$AM,2,0),)</f>
        <v>27</v>
      </c>
      <c r="AM8" s="350"/>
      <c r="AN8" s="350"/>
      <c r="AO8" s="209" t="s">
        <v>59</v>
      </c>
      <c r="AP8" s="211" t="s">
        <v>163</v>
      </c>
      <c r="AQ8" s="142"/>
      <c r="AR8" s="142"/>
      <c r="AS8" s="142"/>
      <c r="AT8" s="142"/>
      <c r="AU8" s="144"/>
    </row>
    <row r="9">
      <c r="A9" s="354"/>
      <c r="B9" s="356" t="str">
        <f>IFERROR(__xludf.DUMMYFUNCTION("""COMPUTED_VALUE"""),"ASpence501")</f>
        <v>ASpence501</v>
      </c>
      <c r="C9" s="357">
        <f>IFERROR(__xludf.DUMMYFUNCTION("""COMPUTED_VALUE"""),0.18991348385735388)</f>
        <v>0.1899134839</v>
      </c>
      <c r="E9" s="358" t="str">
        <f>IFERROR(__xludf.DUMMYFUNCTION("""COMPUTED_VALUE"""),"DCleak")</f>
        <v>DCleak</v>
      </c>
      <c r="F9" s="359">
        <f>IFERROR(__xludf.DUMMYFUNCTION("""COMPUTED_VALUE"""),7.087041786091416)</f>
        <v>7.087041786</v>
      </c>
      <c r="H9" s="360" t="str">
        <f>IFERROR(__xludf.DUMMYFUNCTION("""COMPUTED_VALUE"""),"SPANKTR0N")</f>
        <v>SPANKTR0N</v>
      </c>
      <c r="I9" s="361">
        <f>IFERROR(__xludf.DUMMYFUNCTION("""COMPUTED_VALUE"""),0.0830367734282325)</f>
        <v>0.08303677343</v>
      </c>
      <c r="K9" s="362" t="str">
        <f>IFERROR(__xludf.DUMMYFUNCTION("""COMPUTED_VALUE"""),"Jussshhhyyy")</f>
        <v>Jussshhhyyy</v>
      </c>
      <c r="L9" s="363">
        <f>IFERROR(__xludf.DUMMYFUNCTION("""COMPUTED_VALUE"""),0.16457906323540575)</f>
        <v>0.1645790632</v>
      </c>
      <c r="N9" s="364" t="str">
        <f>IFERROR(__xludf.DUMMYFUNCTION("""COMPUTED_VALUE"""),"yLuxe")</f>
        <v>yLuxe</v>
      </c>
      <c r="O9" s="367">
        <f>IFERROR(__xludf.DUMMYFUNCTION("""COMPUTED_VALUE"""),0.8985636343391604)</f>
        <v>0.8985636343</v>
      </c>
      <c r="Q9" s="369" t="str">
        <f>IFERROR(__xludf.DUMMYFUNCTION("""COMPUTED_VALUE"""),"ASpence501")</f>
        <v>ASpence501</v>
      </c>
      <c r="R9" s="370">
        <f>IFERROR(__xludf.DUMMYFUNCTION("""COMPUTED_VALUE"""),1.6676836761292404)</f>
        <v>1.667683676</v>
      </c>
      <c r="T9" s="371" t="str">
        <f>IFERROR(VLOOKUP($V9,'Halo Infinite Stats'!$A:AR,44,0),)</f>
        <v>8th</v>
      </c>
      <c r="U9" s="372" t="str">
        <f>IFERROR(VLOOKUP($V9,'Halo Infinite Stats'!$A:AQ,43,0),)</f>
        <v>C</v>
      </c>
      <c r="V9" s="373" t="str">
        <f>IFERROR(__xludf.DUMMYFUNCTION("""COMPUTED_VALUE"""),"Scullen cx")</f>
        <v>Scullen cx</v>
      </c>
      <c r="W9" s="374" t="str">
        <f>IFERROR(__xludf.DUMMYFUNCTION("""COMPUTED_VALUE"""),"A+")</f>
        <v>A+</v>
      </c>
      <c r="X9" s="376">
        <f>IFERROR(__xludf.DUMMYFUNCTION("""COMPUTED_VALUE"""),25.0875)</f>
        <v>25.0875</v>
      </c>
      <c r="Y9" s="378">
        <f>IFERROR(VLOOKUP($V9,'Halo Infinite Stats'!$A:$AM,2,0),)</f>
        <v>21</v>
      </c>
      <c r="AA9" s="381" t="str">
        <f>IFERROR(VLOOKUP($AC9,'Halo Infinite Stats'!$A:AR,44,0),)</f>
        <v>7th</v>
      </c>
      <c r="AB9" s="384" t="str">
        <f>IFERROR(VLOOKUP($AC9,'Halo Infinite Stats'!$A:AX,43,0),)</f>
        <v>C</v>
      </c>
      <c r="AC9" s="386" t="str">
        <f>IFERROR(__xludf.DUMMYFUNCTION("""COMPUTED_VALUE"""),"MuNgO PuNgO")</f>
        <v>MuNgO PuNgO</v>
      </c>
      <c r="AD9" s="387" t="str">
        <f>IFERROR(__xludf.DUMMYFUNCTION("""COMPUTED_VALUE"""),"A+")</f>
        <v>A+</v>
      </c>
      <c r="AE9" s="390">
        <f>IFERROR(__xludf.DUMMYFUNCTION("""COMPUTED_VALUE"""),12.625000000000002)</f>
        <v>12.625</v>
      </c>
      <c r="AG9" s="371" t="str">
        <f>IFERROR(VLOOKUP($AI9,'Halo Infinite Stats'!$A:AR,44,0),)</f>
        <v>8th</v>
      </c>
      <c r="AH9" s="372" t="str">
        <f>IFERROR(VLOOKUP($AI9,'Halo Infinite Stats'!$A:AQ,43,0),)</f>
        <v>C</v>
      </c>
      <c r="AI9" s="393" t="str">
        <f>IFERROR(__xludf.DUMMYFUNCTION("""COMPUTED_VALUE"""),"Scullen cx")</f>
        <v>Scullen cx</v>
      </c>
      <c r="AJ9" s="394" t="str">
        <f>IFERROR(__xludf.DUMMYFUNCTION("""COMPUTED_VALUE"""),"A+")</f>
        <v>A+</v>
      </c>
      <c r="AK9" s="395">
        <f>IFERROR(__xludf.DUMMYFUNCTION("""COMPUTED_VALUE"""),24.999999999999996)</f>
        <v>25</v>
      </c>
      <c r="AL9" s="397">
        <f>IFERROR(VLOOKUP($AI9,'Season+Playoffs Stats'!$A:$AM,2,0),)</f>
        <v>23</v>
      </c>
      <c r="AM9" s="350"/>
      <c r="AN9" s="350"/>
      <c r="AO9" s="399" t="s">
        <v>169</v>
      </c>
      <c r="AP9" s="211" t="s">
        <v>170</v>
      </c>
      <c r="AQ9" s="142"/>
      <c r="AR9" s="142"/>
      <c r="AS9" s="142"/>
      <c r="AT9" s="142"/>
      <c r="AU9" s="144"/>
    </row>
    <row r="10" ht="18.0" customHeight="1">
      <c r="A10" s="402"/>
      <c r="B10" s="356" t="str">
        <f>IFERROR(__xludf.DUMMYFUNCTION("""COMPUTED_VALUE"""),"ill Shrek u")</f>
        <v>ill Shrek u</v>
      </c>
      <c r="C10" s="357">
        <f>IFERROR(__xludf.DUMMYFUNCTION("""COMPUTED_VALUE"""),-0.11007620660457239)</f>
        <v>-0.1100762066</v>
      </c>
      <c r="E10" s="358" t="str">
        <f>IFERROR(__xludf.DUMMYFUNCTION("""COMPUTED_VALUE"""),"WeirdPG")</f>
        <v>WeirdPG</v>
      </c>
      <c r="F10" s="359">
        <f>IFERROR(__xludf.DUMMYFUNCTION("""COMPUTED_VALUE"""),7.039051717138914)</f>
        <v>7.039051717</v>
      </c>
      <c r="H10" s="360" t="str">
        <f>IFERROR(__xludf.DUMMYFUNCTION("""COMPUTED_VALUE"""),"yLuxe")</f>
        <v>yLuxe</v>
      </c>
      <c r="I10" s="361">
        <f>IFERROR(__xludf.DUMMYFUNCTION("""COMPUTED_VALUE"""),0.08171440016022431)</f>
        <v>0.08171440016</v>
      </c>
      <c r="K10" s="362" t="str">
        <f>IFERROR(__xludf.DUMMYFUNCTION("""COMPUTED_VALUE"""),"Ace B S1lentND1")</f>
        <v>Ace B S1lentND1</v>
      </c>
      <c r="L10" s="363">
        <f>IFERROR(__xludf.DUMMYFUNCTION("""COMPUTED_VALUE"""),0.15787667314952522)</f>
        <v>0.1578766731</v>
      </c>
      <c r="N10" s="364" t="str">
        <f>IFERROR(__xludf.DUMMYFUNCTION("""COMPUTED_VALUE"""),"Scullen cx")</f>
        <v>Scullen cx</v>
      </c>
      <c r="O10" s="367">
        <f>IFERROR(__xludf.DUMMYFUNCTION("""COMPUTED_VALUE"""),0.896551724137931)</f>
        <v>0.8965517241</v>
      </c>
      <c r="Q10" s="369" t="str">
        <f>IFERROR(__xludf.DUMMYFUNCTION("""COMPUTED_VALUE"""),"Mr epic beast")</f>
        <v>Mr epic beast</v>
      </c>
      <c r="R10" s="370">
        <f>IFERROR(__xludf.DUMMYFUNCTION("""COMPUTED_VALUE"""),1.5846695557963164)</f>
        <v>1.584669556</v>
      </c>
      <c r="T10" s="405" t="str">
        <f>IFERROR(VLOOKUP($V10,'Halo Infinite Stats'!$A:AR,44,0),)</f>
        <v>P7</v>
      </c>
      <c r="U10" s="251" t="str">
        <f>IFERROR(VLOOKUP($V10,'Halo Infinite Stats'!$A:AQ,43,0),)</f>
        <v>R1</v>
      </c>
      <c r="V10" s="406" t="str">
        <f>IFERROR(__xludf.DUMMYFUNCTION("""COMPUTED_VALUE"""),"Fanciest Pants")</f>
        <v>Fanciest Pants</v>
      </c>
      <c r="W10" s="407" t="str">
        <f>IFERROR(__xludf.DUMMYFUNCTION("""COMPUTED_VALUE"""),"A+")</f>
        <v>A+</v>
      </c>
      <c r="X10" s="297">
        <f>IFERROR(__xludf.DUMMYFUNCTION("""COMPUTED_VALUE"""),24.462500000000002)</f>
        <v>24.4625</v>
      </c>
      <c r="Y10" s="408">
        <f>IFERROR(VLOOKUP($V10,'Halo Infinite Stats'!$A:$AM,2,0),)</f>
        <v>18</v>
      </c>
      <c r="AA10" s="410" t="str">
        <f>IFERROR(VLOOKUP($AC10,'Halo Infinite Stats'!$A:AR,44,0),)</f>
        <v>P2</v>
      </c>
      <c r="AB10" s="276" t="str">
        <f>IFERROR(VLOOKUP($AC10,'Halo Infinite Stats'!$A:AX,43,0),)</f>
        <v>R1</v>
      </c>
      <c r="AC10" s="411" t="str">
        <f>IFERROR(__xludf.DUMMYFUNCTION("""COMPUTED_VALUE"""),"yLuxe")</f>
        <v>yLuxe</v>
      </c>
      <c r="AD10" s="316" t="str">
        <f>IFERROR(__xludf.DUMMYFUNCTION("""COMPUTED_VALUE"""),"A+")</f>
        <v>A+</v>
      </c>
      <c r="AE10" s="412">
        <f>IFERROR(__xludf.DUMMYFUNCTION("""COMPUTED_VALUE"""),12.200000000000001)</f>
        <v>12.2</v>
      </c>
      <c r="AG10" s="405" t="str">
        <f>IFERROR(VLOOKUP($AI10,'Halo Infinite Stats'!$A:AR,44,0),)</f>
        <v>P11</v>
      </c>
      <c r="AH10" s="251" t="str">
        <f>IFERROR(VLOOKUP($AI10,'Halo Infinite Stats'!$A:AQ,43,0),)</f>
        <v>R1</v>
      </c>
      <c r="AI10" s="416" t="str">
        <f>IFERROR(__xludf.DUMMYFUNCTION("""COMPUTED_VALUE"""),"Mavbrid")</f>
        <v>Mavbrid</v>
      </c>
      <c r="AJ10" s="309" t="str">
        <f>IFERROR(__xludf.DUMMYFUNCTION("""COMPUTED_VALUE"""),"A+")</f>
        <v>A+</v>
      </c>
      <c r="AK10" s="300">
        <f>IFERROR(__xludf.DUMMYFUNCTION("""COMPUTED_VALUE"""),24.362500000000004)</f>
        <v>24.3625</v>
      </c>
      <c r="AL10" s="419">
        <f>IFERROR(VLOOKUP($AI10,'Season+Playoffs Stats'!$A:$AM,2,0),)</f>
        <v>34</v>
      </c>
      <c r="AM10" s="350"/>
      <c r="AN10" s="350"/>
      <c r="AO10" s="420" t="s">
        <v>177</v>
      </c>
      <c r="AP10" s="421" t="s">
        <v>178</v>
      </c>
    </row>
    <row r="11" ht="17.25" customHeight="1">
      <c r="A11" s="402"/>
      <c r="B11" s="356" t="str">
        <f>IFERROR(__xludf.DUMMYFUNCTION("""COMPUTED_VALUE"""),"Holy Morals")</f>
        <v>Holy Morals</v>
      </c>
      <c r="C11" s="357">
        <f>IFERROR(__xludf.DUMMYFUNCTION("""COMPUTED_VALUE"""),-0.12880929940307886)</f>
        <v>-0.1288092994</v>
      </c>
      <c r="E11" s="358" t="str">
        <f>IFERROR(__xludf.DUMMYFUNCTION("""COMPUTED_VALUE"""),"oh zilly")</f>
        <v>oh zilly</v>
      </c>
      <c r="F11" s="359">
        <f>IFERROR(__xludf.DUMMYFUNCTION("""COMPUTED_VALUE"""),6.9987242775528316)</f>
        <v>6.998724278</v>
      </c>
      <c r="H11" s="360" t="str">
        <f>IFERROR(__xludf.DUMMYFUNCTION("""COMPUTED_VALUE"""),"Itzreelz")</f>
        <v>Itzreelz</v>
      </c>
      <c r="I11" s="361">
        <f>IFERROR(__xludf.DUMMYFUNCTION("""COMPUTED_VALUE"""),0.07753941586973379)</f>
        <v>0.07753941587</v>
      </c>
      <c r="K11" s="362" t="str">
        <f>IFERROR(__xludf.DUMMYFUNCTION("""COMPUTED_VALUE"""),"KDSkill")</f>
        <v>KDSkill</v>
      </c>
      <c r="L11" s="363">
        <f>IFERROR(__xludf.DUMMYFUNCTION("""COMPUTED_VALUE"""),0.15758793969849247)</f>
        <v>0.1575879397</v>
      </c>
      <c r="N11" s="364" t="str">
        <f>IFERROR(__xludf.DUMMYFUNCTION("""COMPUTED_VALUE"""),"Memorized")</f>
        <v>Memorized</v>
      </c>
      <c r="O11" s="367">
        <f>IFERROR(__xludf.DUMMYFUNCTION("""COMPUTED_VALUE"""),0.8315863032844165)</f>
        <v>0.8315863033</v>
      </c>
      <c r="Q11" s="369" t="str">
        <f>IFERROR(__xludf.DUMMYFUNCTION("""COMPUTED_VALUE"""),"Scullen cx")</f>
        <v>Scullen cx</v>
      </c>
      <c r="R11" s="370">
        <f>IFERROR(__xludf.DUMMYFUNCTION("""COMPUTED_VALUE"""),1.4883861160374967)</f>
        <v>1.488386116</v>
      </c>
      <c r="T11" s="405" t="str">
        <f>IFERROR(VLOOKUP($V11,'Halo Infinite Stats'!$A:AR,44,0),)</f>
        <v>P11</v>
      </c>
      <c r="U11" s="251" t="str">
        <f>IFERROR(VLOOKUP($V11,'Halo Infinite Stats'!$A:AQ,43,0),)</f>
        <v>R1</v>
      </c>
      <c r="V11" s="406" t="str">
        <f>IFERROR(__xludf.DUMMYFUNCTION("""COMPUTED_VALUE"""),"Mavbrid")</f>
        <v>Mavbrid</v>
      </c>
      <c r="W11" s="407" t="str">
        <f>IFERROR(__xludf.DUMMYFUNCTION("""COMPUTED_VALUE"""),"A")</f>
        <v>A</v>
      </c>
      <c r="X11" s="297">
        <f>IFERROR(__xludf.DUMMYFUNCTION("""COMPUTED_VALUE"""),24.35)</f>
        <v>24.35</v>
      </c>
      <c r="Y11" s="408">
        <f>IFERROR(VLOOKUP($V11,'Halo Infinite Stats'!$A:$AM,2,0),)</f>
        <v>30</v>
      </c>
      <c r="AA11" s="410" t="str">
        <f>IFERROR(VLOOKUP($AC11,'Halo Infinite Stats'!$A:AR,44,0),)</f>
        <v>P5</v>
      </c>
      <c r="AB11" s="276" t="str">
        <f>IFERROR(VLOOKUP($AC11,'Halo Infinite Stats'!$A:AX,43,0),)</f>
        <v>R1</v>
      </c>
      <c r="AC11" s="411" t="str">
        <f>IFERROR(__xludf.DUMMYFUNCTION("""COMPUTED_VALUE"""),"Itzreelz")</f>
        <v>Itzreelz</v>
      </c>
      <c r="AD11" s="316" t="str">
        <f>IFERROR(__xludf.DUMMYFUNCTION("""COMPUTED_VALUE"""),"A+")</f>
        <v>A+</v>
      </c>
      <c r="AE11" s="412">
        <f>IFERROR(__xludf.DUMMYFUNCTION("""COMPUTED_VALUE"""),11.825000000000001)</f>
        <v>11.825</v>
      </c>
      <c r="AG11" s="405" t="str">
        <f>IFERROR(VLOOKUP($AI11,'Halo Infinite Stats'!$A:AR,44,0),)</f>
        <v>P7</v>
      </c>
      <c r="AH11" s="251" t="str">
        <f>IFERROR(VLOOKUP($AI11,'Halo Infinite Stats'!$A:AQ,43,0),)</f>
        <v>R1</v>
      </c>
      <c r="AI11" s="416" t="str">
        <f>IFERROR(__xludf.DUMMYFUNCTION("""COMPUTED_VALUE"""),"Fanciest Pants")</f>
        <v>Fanciest Pants</v>
      </c>
      <c r="AJ11" s="302" t="str">
        <f>IFERROR(__xludf.DUMMYFUNCTION("""COMPUTED_VALUE"""),"A")</f>
        <v>A</v>
      </c>
      <c r="AK11" s="300">
        <f>IFERROR(__xludf.DUMMYFUNCTION("""COMPUTED_VALUE"""),23.924999999999997)</f>
        <v>23.925</v>
      </c>
      <c r="AL11" s="419">
        <f>IFERROR(VLOOKUP($AI11,'Season+Playoffs Stats'!$A:$AM,2,0),)</f>
        <v>25</v>
      </c>
      <c r="AM11" s="350"/>
      <c r="AN11" s="350"/>
      <c r="AO11" s="433" t="s">
        <v>182</v>
      </c>
    </row>
    <row r="12">
      <c r="A12" s="402"/>
      <c r="B12" s="356" t="str">
        <f>IFERROR(__xludf.DUMMYFUNCTION("""COMPUTED_VALUE"""),"Memorized")</f>
        <v>Memorized</v>
      </c>
      <c r="C12" s="357">
        <f>IFERROR(__xludf.DUMMYFUNCTION("""COMPUTED_VALUE"""),-0.14765944077913917)</f>
        <v>-0.1476594408</v>
      </c>
      <c r="E12" s="358" t="str">
        <f>IFERROR(__xludf.DUMMYFUNCTION("""COMPUTED_VALUE"""),"Ken Khaneki")</f>
        <v>Ken Khaneki</v>
      </c>
      <c r="F12" s="359">
        <f>IFERROR(__xludf.DUMMYFUNCTION("""COMPUTED_VALUE"""),6.971608832807571)</f>
        <v>6.971608833</v>
      </c>
      <c r="H12" s="360" t="str">
        <f>IFERROR(__xludf.DUMMYFUNCTION("""COMPUTED_VALUE"""),"ASpence501")</f>
        <v>ASpence501</v>
      </c>
      <c r="I12" s="361">
        <f>IFERROR(__xludf.DUMMYFUNCTION("""COMPUTED_VALUE"""),0.06330449461911795)</f>
        <v>0.06330449462</v>
      </c>
      <c r="K12" s="362" t="str">
        <f>IFERROR(__xludf.DUMMYFUNCTION("""COMPUTED_VALUE"""),"MuNgO PuNgO")</f>
        <v>MuNgO PuNgO</v>
      </c>
      <c r="L12" s="363">
        <f>IFERROR(__xludf.DUMMYFUNCTION("""COMPUTED_VALUE"""),0.14490992340279857)</f>
        <v>0.1449099234</v>
      </c>
      <c r="N12" s="364" t="str">
        <f>IFERROR(__xludf.DUMMYFUNCTION("""COMPUTED_VALUE"""),"ASpence501")</f>
        <v>ASpence501</v>
      </c>
      <c r="O12" s="367">
        <f>IFERROR(__xludf.DUMMYFUNCTION("""COMPUTED_VALUE"""),0.8208736440926414)</f>
        <v>0.8208736441</v>
      </c>
      <c r="Q12" s="369" t="str">
        <f>IFERROR(__xludf.DUMMYFUNCTION("""COMPUTED_VALUE"""),"Holy Morals")</f>
        <v>Holy Morals</v>
      </c>
      <c r="R12" s="370">
        <f>IFERROR(__xludf.DUMMYFUNCTION("""COMPUTED_VALUE"""),1.4027371976123155)</f>
        <v>1.402737198</v>
      </c>
      <c r="T12" s="405" t="str">
        <f>IFERROR(VLOOKUP($V12,'Halo Infinite Stats'!$A:AR,44,0),)</f>
        <v>P18</v>
      </c>
      <c r="U12" s="251" t="str">
        <f>IFERROR(VLOOKUP($V12,'Halo Infinite Stats'!$A:AQ,43,0),)</f>
        <v>R2</v>
      </c>
      <c r="V12" s="406" t="str">
        <f>IFERROR(__xludf.DUMMYFUNCTION("""COMPUTED_VALUE"""),"TommyWstSide")</f>
        <v>TommyWstSide</v>
      </c>
      <c r="W12" s="407" t="str">
        <f>IFERROR(__xludf.DUMMYFUNCTION("""COMPUTED_VALUE"""),"A")</f>
        <v>A</v>
      </c>
      <c r="X12" s="297">
        <f>IFERROR(__xludf.DUMMYFUNCTION("""COMPUTED_VALUE"""),21.55)</f>
        <v>21.55</v>
      </c>
      <c r="Y12" s="408">
        <f>IFERROR(VLOOKUP($V12,'Halo Infinite Stats'!$A:$AM,2,0),)</f>
        <v>37</v>
      </c>
      <c r="AA12" s="410" t="str">
        <f>IFERROR(VLOOKUP($AC12,'Halo Infinite Stats'!$A:AR,44,0),)</f>
        <v>P8</v>
      </c>
      <c r="AB12" s="276" t="str">
        <f>IFERROR(VLOOKUP($AC12,'Halo Infinite Stats'!$A:AX,43,0),)</f>
        <v>R1</v>
      </c>
      <c r="AC12" s="411" t="str">
        <f>IFERROR(__xludf.DUMMYFUNCTION("""COMPUTED_VALUE"""),"Jussshhhyyy")</f>
        <v>Jussshhhyyy</v>
      </c>
      <c r="AD12" s="316" t="str">
        <f>IFERROR(__xludf.DUMMYFUNCTION("""COMPUTED_VALUE"""),"A")</f>
        <v>A</v>
      </c>
      <c r="AE12" s="412">
        <f>IFERROR(__xludf.DUMMYFUNCTION("""COMPUTED_VALUE"""),11.450000000000001)</f>
        <v>11.45</v>
      </c>
      <c r="AG12" s="405" t="str">
        <f>IFERROR(VLOOKUP($AI12,'Halo Infinite Stats'!$A:AR,44,0),)</f>
        <v>P18</v>
      </c>
      <c r="AH12" s="251" t="str">
        <f>IFERROR(VLOOKUP($AI12,'Halo Infinite Stats'!$A:AQ,43,0),)</f>
        <v>R2</v>
      </c>
      <c r="AI12" s="416" t="str">
        <f>IFERROR(__xludf.DUMMYFUNCTION("""COMPUTED_VALUE"""),"TommyWstSide")</f>
        <v>TommyWstSide</v>
      </c>
      <c r="AJ12" s="309" t="str">
        <f>IFERROR(__xludf.DUMMYFUNCTION("""COMPUTED_VALUE"""),"A")</f>
        <v>A</v>
      </c>
      <c r="AK12" s="300">
        <f>IFERROR(__xludf.DUMMYFUNCTION("""COMPUTED_VALUE"""),21.8625)</f>
        <v>21.8625</v>
      </c>
      <c r="AL12" s="419">
        <f>IFERROR(VLOOKUP($AI12,'Season+Playoffs Stats'!$A:$AM,2,0),)</f>
        <v>44</v>
      </c>
      <c r="AM12" s="350"/>
      <c r="AN12" s="350"/>
      <c r="AO12" s="6"/>
    </row>
    <row r="13">
      <c r="A13" s="402"/>
      <c r="B13" s="356" t="str">
        <f>IFERROR(__xludf.DUMMYFUNCTION("""COMPUTED_VALUE"""),"TommyWstSide")</f>
        <v>TommyWstSide</v>
      </c>
      <c r="C13" s="357">
        <f>IFERROR(__xludf.DUMMYFUNCTION("""COMPUTED_VALUE"""),-0.15553695352793453)</f>
        <v>-0.1555369535</v>
      </c>
      <c r="E13" s="358" t="str">
        <f>IFERROR(__xludf.DUMMYFUNCTION("""COMPUTED_VALUE"""),"Mr epic beast")</f>
        <v>Mr epic beast</v>
      </c>
      <c r="F13" s="359">
        <f>IFERROR(__xludf.DUMMYFUNCTION("""COMPUTED_VALUE"""),6.890574214517876)</f>
        <v>6.890574215</v>
      </c>
      <c r="H13" s="360" t="str">
        <f>IFERROR(__xludf.DUMMYFUNCTION("""COMPUTED_VALUE"""),"TommyWstSide")</f>
        <v>TommyWstSide</v>
      </c>
      <c r="I13" s="361">
        <f>IFERROR(__xludf.DUMMYFUNCTION("""COMPUTED_VALUE"""),0.05994653417222477)</f>
        <v>0.05994653417</v>
      </c>
      <c r="K13" s="362" t="str">
        <f>IFERROR(__xludf.DUMMYFUNCTION("""COMPUTED_VALUE"""),"Itzreelz")</f>
        <v>Itzreelz</v>
      </c>
      <c r="L13" s="363">
        <f>IFERROR(__xludf.DUMMYFUNCTION("""COMPUTED_VALUE"""),0.1218919617472215)</f>
        <v>0.1218919617</v>
      </c>
      <c r="N13" s="364" t="str">
        <f>IFERROR(__xludf.DUMMYFUNCTION("""COMPUTED_VALUE"""),"TommyWstSide")</f>
        <v>TommyWstSide</v>
      </c>
      <c r="O13" s="367">
        <f>IFERROR(__xludf.DUMMYFUNCTION("""COMPUTED_VALUE"""),0.8125741399762751)</f>
        <v>0.81257414</v>
      </c>
      <c r="Q13" s="369" t="str">
        <f>IFERROR(__xludf.DUMMYFUNCTION("""COMPUTED_VALUE"""),"SPANKTR0N")</f>
        <v>SPANKTR0N</v>
      </c>
      <c r="R13" s="370">
        <f>IFERROR(__xludf.DUMMYFUNCTION("""COMPUTED_VALUE"""),1.086437327006722)</f>
        <v>1.086437327</v>
      </c>
      <c r="T13" s="405" t="str">
        <f>IFERROR(VLOOKUP($V13,'Halo Infinite Stats'!$A:AR,44,0),)</f>
        <v>P10</v>
      </c>
      <c r="U13" s="251" t="str">
        <f>IFERROR(VLOOKUP($V13,'Halo Infinite Stats'!$A:AQ,43,0),)</f>
        <v>R1</v>
      </c>
      <c r="V13" s="406" t="str">
        <f>IFERROR(__xludf.DUMMYFUNCTION("""COMPUTED_VALUE"""),"oh zilly")</f>
        <v>oh zilly</v>
      </c>
      <c r="W13" s="407" t="str">
        <f>IFERROR(__xludf.DUMMYFUNCTION("""COMPUTED_VALUE"""),"A-")</f>
        <v>A-</v>
      </c>
      <c r="X13" s="297">
        <f>IFERROR(__xludf.DUMMYFUNCTION("""COMPUTED_VALUE"""),21.375)</f>
        <v>21.375</v>
      </c>
      <c r="Y13" s="408">
        <f>IFERROR(VLOOKUP($V13,'Halo Infinite Stats'!$A:$AM,2,0),)</f>
        <v>16</v>
      </c>
      <c r="AA13" s="410" t="str">
        <f>IFERROR(VLOOKUP($AC13,'Halo Infinite Stats'!$A:AR,44,0),)</f>
        <v>P20</v>
      </c>
      <c r="AB13" s="276" t="str">
        <f>IFERROR(VLOOKUP($AC13,'Halo Infinite Stats'!$A:AX,43,0),)</f>
        <v>R2</v>
      </c>
      <c r="AC13" s="411" t="str">
        <f>IFERROR(__xludf.DUMMYFUNCTION("""COMPUTED_VALUE"""),"AwareMosquito")</f>
        <v>AwareMosquito</v>
      </c>
      <c r="AD13" s="316" t="str">
        <f>IFERROR(__xludf.DUMMYFUNCTION("""COMPUTED_VALUE"""),"A")</f>
        <v>A</v>
      </c>
      <c r="AE13" s="412">
        <f>IFERROR(__xludf.DUMMYFUNCTION("""COMPUTED_VALUE"""),11.350000000000001)</f>
        <v>11.35</v>
      </c>
      <c r="AG13" s="405" t="str">
        <f>IFERROR(VLOOKUP($AI13,'Halo Infinite Stats'!$A:AR,44,0),)</f>
        <v>4th</v>
      </c>
      <c r="AH13" s="251" t="str">
        <f>IFERROR(VLOOKUP($AI13,'Halo Infinite Stats'!$A:AQ,43,0),)</f>
        <v>C</v>
      </c>
      <c r="AI13" s="416" t="str">
        <f>IFERROR(__xludf.DUMMYFUNCTION("""COMPUTED_VALUE"""),"Holy Morals")</f>
        <v>Holy Morals</v>
      </c>
      <c r="AJ13" s="302" t="str">
        <f>IFERROR(__xludf.DUMMYFUNCTION("""COMPUTED_VALUE"""),"A-")</f>
        <v>A-</v>
      </c>
      <c r="AK13" s="300">
        <f>IFERROR(__xludf.DUMMYFUNCTION("""COMPUTED_VALUE"""),21.0)</f>
        <v>21</v>
      </c>
      <c r="AL13" s="419">
        <f>IFERROR(VLOOKUP($AI13,'Season+Playoffs Stats'!$A:$AM,2,0),)</f>
        <v>22</v>
      </c>
      <c r="AM13" s="447"/>
      <c r="AN13" s="447"/>
      <c r="AO13" s="449"/>
      <c r="AP13" s="450"/>
      <c r="AQ13" s="450"/>
      <c r="AR13" s="450"/>
      <c r="AS13" s="450"/>
      <c r="AT13" s="47"/>
      <c r="AU13" s="21"/>
    </row>
    <row r="14">
      <c r="A14" s="402"/>
      <c r="B14" s="356" t="str">
        <f>IFERROR(__xludf.DUMMYFUNCTION("""COMPUTED_VALUE"""),"SPANKTR0N")</f>
        <v>SPANKTR0N</v>
      </c>
      <c r="C14" s="357">
        <f>IFERROR(__xludf.DUMMYFUNCTION("""COMPUTED_VALUE"""),-0.24199288256227758)</f>
        <v>-0.2419928826</v>
      </c>
      <c r="E14" s="358" t="str">
        <f>IFERROR(__xludf.DUMMYFUNCTION("""COMPUTED_VALUE"""),"GeneralCornBeef")</f>
        <v>GeneralCornBeef</v>
      </c>
      <c r="F14" s="359">
        <f>IFERROR(__xludf.DUMMYFUNCTION("""COMPUTED_VALUE"""),6.869091491748117)</f>
        <v>6.869091492</v>
      </c>
      <c r="H14" s="360" t="str">
        <f>IFERROR(__xludf.DUMMYFUNCTION("""COMPUTED_VALUE"""),"oh zilly")</f>
        <v>oh zilly</v>
      </c>
      <c r="I14" s="361">
        <f>IFERROR(__xludf.DUMMYFUNCTION("""COMPUTED_VALUE"""),0.059903488823562036)</f>
        <v>0.05990348882</v>
      </c>
      <c r="K14" s="362" t="str">
        <f>IFERROR(__xludf.DUMMYFUNCTION("""COMPUTED_VALUE"""),"DCleak")</f>
        <v>DCleak</v>
      </c>
      <c r="L14" s="363">
        <f>IFERROR(__xludf.DUMMYFUNCTION("""COMPUTED_VALUE"""),0.11549253281037863)</f>
        <v>0.1154925328</v>
      </c>
      <c r="N14" s="364" t="str">
        <f>IFERROR(__xludf.DUMMYFUNCTION("""COMPUTED_VALUE"""),"Grunt Padre")</f>
        <v>Grunt Padre</v>
      </c>
      <c r="O14" s="367">
        <f>IFERROR(__xludf.DUMMYFUNCTION("""COMPUTED_VALUE"""),0.749453523472468)</f>
        <v>0.7494535235</v>
      </c>
      <c r="Q14" s="369" t="str">
        <f>IFERROR(__xludf.DUMMYFUNCTION("""COMPUTED_VALUE"""),"TommyWstSide")</f>
        <v>TommyWstSide</v>
      </c>
      <c r="R14" s="370">
        <f>IFERROR(__xludf.DUMMYFUNCTION("""COMPUTED_VALUE"""),0.8699214214349364)</f>
        <v>0.8699214214</v>
      </c>
      <c r="T14" s="405" t="str">
        <f>IFERROR(VLOOKUP($V14,'Halo Infinite Stats'!$A:AR,44,0),)</f>
        <v>P24</v>
      </c>
      <c r="U14" s="251" t="str">
        <f>IFERROR(VLOOKUP($V14,'Halo Infinite Stats'!$A:AQ,43,0),)</f>
        <v>R3</v>
      </c>
      <c r="V14" s="406" t="str">
        <f>IFERROR(__xludf.DUMMYFUNCTION("""COMPUTED_VALUE"""),"TJP37")</f>
        <v>TJP37</v>
      </c>
      <c r="W14" s="452" t="str">
        <f>IFERROR(__xludf.DUMMYFUNCTION("""COMPUTED_VALUE"""),"A-")</f>
        <v>A-</v>
      </c>
      <c r="X14" s="297">
        <f>IFERROR(__xludf.DUMMYFUNCTION("""COMPUTED_VALUE"""),21.012499999999996)</f>
        <v>21.0125</v>
      </c>
      <c r="Y14" s="408">
        <f>IFERROR(VLOOKUP($V14,'Halo Infinite Stats'!$A:$AM,2,0),)</f>
        <v>22</v>
      </c>
      <c r="AA14" s="410" t="str">
        <f>IFERROR(VLOOKUP($AC14,'Halo Infinite Stats'!$A:AR,44,0),)</f>
        <v>PD</v>
      </c>
      <c r="AB14" s="276" t="str">
        <f>IFERROR(VLOOKUP($AC14,'Halo Infinite Stats'!$A:AX,43,0),)</f>
        <v>R3</v>
      </c>
      <c r="AC14" s="411" t="str">
        <f>IFERROR(__xludf.DUMMYFUNCTION("""COMPUTED_VALUE"""),"KDSkill")</f>
        <v>KDSkill</v>
      </c>
      <c r="AD14" s="316" t="str">
        <f>IFERROR(__xludf.DUMMYFUNCTION("""COMPUTED_VALUE"""),"A-")</f>
        <v>A-</v>
      </c>
      <c r="AE14" s="412">
        <f>IFERROR(__xludf.DUMMYFUNCTION("""COMPUTED_VALUE"""),11.15)</f>
        <v>11.15</v>
      </c>
      <c r="AG14" s="405" t="str">
        <f>IFERROR(VLOOKUP($AI14,'Halo Infinite Stats'!$A:AR,44,0),)</f>
        <v>9th</v>
      </c>
      <c r="AH14" s="251" t="str">
        <f>IFERROR(VLOOKUP($AI14,'Halo Infinite Stats'!$A:AQ,43,0),)</f>
        <v>C</v>
      </c>
      <c r="AI14" s="416" t="str">
        <f>IFERROR(__xludf.DUMMYFUNCTION("""COMPUTED_VALUE"""),"SPANKTR0N")</f>
        <v>SPANKTR0N</v>
      </c>
      <c r="AJ14" s="309" t="str">
        <f>IFERROR(__xludf.DUMMYFUNCTION("""COMPUTED_VALUE"""),"A-")</f>
        <v>A-</v>
      </c>
      <c r="AK14" s="300">
        <f>IFERROR(__xludf.DUMMYFUNCTION("""COMPUTED_VALUE"""),20.587500000000002)</f>
        <v>20.5875</v>
      </c>
      <c r="AL14" s="419">
        <f>IFERROR(VLOOKUP($AI14,'Season+Playoffs Stats'!$A:$AM,2,0),)</f>
        <v>24</v>
      </c>
      <c r="AM14" s="350"/>
      <c r="AN14" s="350"/>
      <c r="AO14" s="457"/>
      <c r="AP14" s="402"/>
      <c r="AQ14" s="458"/>
      <c r="AR14" s="460"/>
      <c r="AS14" s="460"/>
      <c r="AT14" s="47"/>
      <c r="AU14" s="21"/>
    </row>
    <row r="15" ht="19.5" customHeight="1">
      <c r="A15" s="402"/>
      <c r="B15" s="356" t="str">
        <f>IFERROR(__xludf.DUMMYFUNCTION("""COMPUTED_VALUE"""),"Scullen cx")</f>
        <v>Scullen cx</v>
      </c>
      <c r="C15" s="357">
        <f>IFERROR(__xludf.DUMMYFUNCTION("""COMPUTED_VALUE"""),-0.24322270078540661)</f>
        <v>-0.2432227008</v>
      </c>
      <c r="E15" s="358" t="str">
        <f>IFERROR(__xludf.DUMMYFUNCTION("""COMPUTED_VALUE"""),"Scullen cx")</f>
        <v>Scullen cx</v>
      </c>
      <c r="F15" s="359">
        <f>IFERROR(__xludf.DUMMYFUNCTION("""COMPUTED_VALUE"""),6.7859133519128445)</f>
        <v>6.785913352</v>
      </c>
      <c r="H15" s="360" t="str">
        <f>IFERROR(__xludf.DUMMYFUNCTION("""COMPUTED_VALUE"""),"Holy Morals")</f>
        <v>Holy Morals</v>
      </c>
      <c r="I15" s="361">
        <f>IFERROR(__xludf.DUMMYFUNCTION("""COMPUTED_VALUE"""),0.05969211435752435)</f>
        <v>0.05969211436</v>
      </c>
      <c r="K15" s="362" t="str">
        <f>IFERROR(__xludf.DUMMYFUNCTION("""COMPUTED_VALUE"""),"TommyWstSide")</f>
        <v>TommyWstSide</v>
      </c>
      <c r="L15" s="363">
        <f>IFERROR(__xludf.DUMMYFUNCTION("""COMPUTED_VALUE"""),0.11328274781951232)</f>
        <v>0.1132827478</v>
      </c>
      <c r="N15" s="364" t="str">
        <f>IFERROR(__xludf.DUMMYFUNCTION("""COMPUTED_VALUE"""),"Mavbrid")</f>
        <v>Mavbrid</v>
      </c>
      <c r="O15" s="367">
        <f>IFERROR(__xludf.DUMMYFUNCTION("""COMPUTED_VALUE"""),0.7384240454914703)</f>
        <v>0.7384240455</v>
      </c>
      <c r="Q15" s="369" t="str">
        <f>IFERROR(__xludf.DUMMYFUNCTION("""COMPUTED_VALUE"""),"ill Shrek u")</f>
        <v>ill Shrek u</v>
      </c>
      <c r="R15" s="370">
        <f>IFERROR(__xludf.DUMMYFUNCTION("""COMPUTED_VALUE"""),0.8444679650014112)</f>
        <v>0.844467965</v>
      </c>
      <c r="T15" s="405" t="str">
        <f>IFERROR(VLOOKUP($V15,'Halo Infinite Stats'!$A:AR,44,0),)</f>
        <v>4th</v>
      </c>
      <c r="U15" s="251" t="str">
        <f>IFERROR(VLOOKUP($V15,'Halo Infinite Stats'!$A:AQ,43,0),)</f>
        <v>C</v>
      </c>
      <c r="V15" s="406" t="str">
        <f>IFERROR(__xludf.DUMMYFUNCTION("""COMPUTED_VALUE"""),"Holy Morals")</f>
        <v>Holy Morals</v>
      </c>
      <c r="W15" s="452" t="str">
        <f>IFERROR(__xludf.DUMMYFUNCTION("""COMPUTED_VALUE"""),"B+")</f>
        <v>B+</v>
      </c>
      <c r="X15" s="297">
        <f>IFERROR(__xludf.DUMMYFUNCTION("""COMPUTED_VALUE"""),20.1125)</f>
        <v>20.1125</v>
      </c>
      <c r="Y15" s="408">
        <f>IFERROR(VLOOKUP($V15,'Halo Infinite Stats'!$A:$AM,2,0),)</f>
        <v>20</v>
      </c>
      <c r="AA15" s="410" t="str">
        <f>IFERROR(VLOOKUP($AC15,'Halo Infinite Stats'!$A:AR,44,0),)</f>
        <v>P13</v>
      </c>
      <c r="AB15" s="276" t="str">
        <f>IFERROR(VLOOKUP($AC15,'Halo Infinite Stats'!$A:AX,43,0),)</f>
        <v>R2</v>
      </c>
      <c r="AC15" s="411" t="str">
        <f>IFERROR(__xludf.DUMMYFUNCTION("""COMPUTED_VALUE"""),"CaptainSev004")</f>
        <v>CaptainSev004</v>
      </c>
      <c r="AD15" s="316" t="str">
        <f>IFERROR(__xludf.DUMMYFUNCTION("""COMPUTED_VALUE"""),"A-")</f>
        <v>A-</v>
      </c>
      <c r="AE15" s="412">
        <f>IFERROR(__xludf.DUMMYFUNCTION("""COMPUTED_VALUE"""),11.0)</f>
        <v>11</v>
      </c>
      <c r="AG15" s="405" t="str">
        <f>IFERROR(VLOOKUP($AI15,'Halo Infinite Stats'!$A:AR,44,0),)</f>
        <v>P24</v>
      </c>
      <c r="AH15" s="251" t="str">
        <f>IFERROR(VLOOKUP($AI15,'Halo Infinite Stats'!$A:AQ,43,0),)</f>
        <v>R3</v>
      </c>
      <c r="AI15" s="416" t="str">
        <f>IFERROR(__xludf.DUMMYFUNCTION("""COMPUTED_VALUE"""),"TJP37")</f>
        <v>TJP37</v>
      </c>
      <c r="AJ15" s="302" t="str">
        <f>IFERROR(__xludf.DUMMYFUNCTION("""COMPUTED_VALUE"""),"B+")</f>
        <v>B+</v>
      </c>
      <c r="AK15" s="300">
        <f>IFERROR(__xludf.DUMMYFUNCTION("""COMPUTED_VALUE"""),20.1125)</f>
        <v>20.1125</v>
      </c>
      <c r="AL15" s="419">
        <f>IFERROR(VLOOKUP($AI15,'Season+Playoffs Stats'!$A:$AM,2,0),)</f>
        <v>29</v>
      </c>
      <c r="AM15" s="350"/>
      <c r="AN15" s="467"/>
      <c r="AO15" s="457"/>
      <c r="AP15" s="402"/>
      <c r="AQ15" s="458"/>
      <c r="AR15" s="460"/>
      <c r="AS15" s="460"/>
      <c r="AT15" s="47"/>
      <c r="AU15" s="21"/>
    </row>
    <row r="16">
      <c r="A16" s="402"/>
      <c r="B16" s="356" t="str">
        <f>IFERROR(__xludf.DUMMYFUNCTION("""COMPUTED_VALUE"""),"KDSkill")</f>
        <v>KDSkill</v>
      </c>
      <c r="C16" s="357">
        <f>IFERROR(__xludf.DUMMYFUNCTION("""COMPUTED_VALUE"""),-0.3065326633165829)</f>
        <v>-0.3065326633</v>
      </c>
      <c r="E16" s="358" t="str">
        <f>IFERROR(__xludf.DUMMYFUNCTION("""COMPUTED_VALUE"""),"xXTHEChickenGod")</f>
        <v>xXTHEChickenGod</v>
      </c>
      <c r="F16" s="359">
        <f>IFERROR(__xludf.DUMMYFUNCTION("""COMPUTED_VALUE"""),6.614537784865476)</f>
        <v>6.614537785</v>
      </c>
      <c r="H16" s="360" t="str">
        <f>IFERROR(__xludf.DUMMYFUNCTION("""COMPUTED_VALUE"""),"Mr epic beast")</f>
        <v>Mr epic beast</v>
      </c>
      <c r="I16" s="361">
        <f>IFERROR(__xludf.DUMMYFUNCTION("""COMPUTED_VALUE"""),0.05687973997833153)</f>
        <v>0.05687973998</v>
      </c>
      <c r="K16" s="362" t="str">
        <f>IFERROR(__xludf.DUMMYFUNCTION("""COMPUTED_VALUE"""),"CaptainSev004")</f>
        <v>CaptainSev004</v>
      </c>
      <c r="L16" s="363">
        <f>IFERROR(__xludf.DUMMYFUNCTION("""COMPUTED_VALUE"""),0.11318602993585174)</f>
        <v>0.1131860299</v>
      </c>
      <c r="N16" s="364" t="str">
        <f>IFERROR(__xludf.DUMMYFUNCTION("""COMPUTED_VALUE"""),"TJP37")</f>
        <v>TJP37</v>
      </c>
      <c r="O16" s="367">
        <f>IFERROR(__xludf.DUMMYFUNCTION("""COMPUTED_VALUE"""),0.7183880073980337)</f>
        <v>0.7183880074</v>
      </c>
      <c r="Q16" s="369" t="str">
        <f>IFERROR(__xludf.DUMMYFUNCTION("""COMPUTED_VALUE"""),"Ace B S1lentND1")</f>
        <v>Ace B S1lentND1</v>
      </c>
      <c r="R16" s="370">
        <f>IFERROR(__xludf.DUMMYFUNCTION("""COMPUTED_VALUE"""),0.799363154482706)</f>
        <v>0.7993631545</v>
      </c>
      <c r="T16" s="405" t="str">
        <f>IFERROR(VLOOKUP($V16,'Halo Infinite Stats'!$A:AR,44,0),)</f>
        <v>9th</v>
      </c>
      <c r="U16" s="251" t="str">
        <f>IFERROR(VLOOKUP($V16,'Halo Infinite Stats'!$A:AQ,43,0),)</f>
        <v>C</v>
      </c>
      <c r="V16" s="406" t="str">
        <f>IFERROR(__xludf.DUMMYFUNCTION("""COMPUTED_VALUE"""),"SPANKTR0N")</f>
        <v>SPANKTR0N</v>
      </c>
      <c r="W16" s="452" t="str">
        <f>IFERROR(__xludf.DUMMYFUNCTION("""COMPUTED_VALUE"""),"B+")</f>
        <v>B+</v>
      </c>
      <c r="X16" s="297">
        <f>IFERROR(__xludf.DUMMYFUNCTION("""COMPUTED_VALUE"""),19.875)</f>
        <v>19.875</v>
      </c>
      <c r="Y16" s="408">
        <f>IFERROR(VLOOKUP($V16,'Halo Infinite Stats'!$A:$AM,2,0),)</f>
        <v>20</v>
      </c>
      <c r="AA16" s="410" t="str">
        <f>IFERROR(VLOOKUP($AC16,'Halo Infinite Stats'!$A:AR,44,0),)</f>
        <v>P3</v>
      </c>
      <c r="AB16" s="276" t="str">
        <f>IFERROR(VLOOKUP($AC16,'Halo Infinite Stats'!$A:AX,43,0),)</f>
        <v>R1</v>
      </c>
      <c r="AC16" s="411" t="str">
        <f>IFERROR(__xludf.DUMMYFUNCTION("""COMPUTED_VALUE"""),"Ace B S1lentND1")</f>
        <v>Ace B S1lentND1</v>
      </c>
      <c r="AD16" s="316" t="str">
        <f>IFERROR(__xludf.DUMMYFUNCTION("""COMPUTED_VALUE"""),"B+")</f>
        <v>B+</v>
      </c>
      <c r="AE16" s="412">
        <f>IFERROR(__xludf.DUMMYFUNCTION("""COMPUTED_VALUE"""),10.975000000000001)</f>
        <v>10.975</v>
      </c>
      <c r="AG16" s="405" t="str">
        <f>IFERROR(VLOOKUP($AI16,'Halo Infinite Stats'!$A:AR,44,0),)</f>
        <v>P10</v>
      </c>
      <c r="AH16" s="251" t="str">
        <f>IFERROR(VLOOKUP($AI16,'Halo Infinite Stats'!$A:AQ,43,0),)</f>
        <v>R1</v>
      </c>
      <c r="AI16" s="416" t="str">
        <f>IFERROR(__xludf.DUMMYFUNCTION("""COMPUTED_VALUE"""),"oh zilly")</f>
        <v>oh zilly</v>
      </c>
      <c r="AJ16" s="309" t="str">
        <f>IFERROR(__xludf.DUMMYFUNCTION("""COMPUTED_VALUE"""),"B+")</f>
        <v>B+</v>
      </c>
      <c r="AK16" s="300">
        <f>IFERROR(__xludf.DUMMYFUNCTION("""COMPUTED_VALUE"""),20.0375)</f>
        <v>20.0375</v>
      </c>
      <c r="AL16" s="419">
        <f>IFERROR(VLOOKUP($AI16,'Season+Playoffs Stats'!$A:$AM,2,0),)</f>
        <v>18</v>
      </c>
      <c r="AM16" s="350"/>
      <c r="AN16" s="350"/>
      <c r="AO16" s="457"/>
      <c r="AP16" s="402"/>
      <c r="AQ16" s="458"/>
      <c r="AR16" s="460"/>
      <c r="AS16" s="460"/>
      <c r="AT16" s="47"/>
      <c r="AU16" s="21"/>
    </row>
    <row r="17">
      <c r="A17" s="354"/>
      <c r="B17" s="474" t="str">
        <f>IFERROR(__xludf.DUMMYFUNCTION("""COMPUTED_VALUE"""),"TJP37")</f>
        <v>TJP37</v>
      </c>
      <c r="C17" s="476">
        <f>IFERROR(__xludf.DUMMYFUNCTION("""COMPUTED_VALUE"""),-0.317978874006316)</f>
        <v>-0.317978874</v>
      </c>
      <c r="D17" s="478"/>
      <c r="E17" s="479" t="str">
        <f>IFERROR(__xludf.DUMMYFUNCTION("""COMPUTED_VALUE"""),"Jussshhhyyy")</f>
        <v>Jussshhhyyy</v>
      </c>
      <c r="F17" s="481">
        <f>IFERROR(__xludf.DUMMYFUNCTION("""COMPUTED_VALUE"""),6.612009413193654)</f>
        <v>6.612009413</v>
      </c>
      <c r="G17" s="478"/>
      <c r="H17" s="483" t="str">
        <f>IFERROR(__xludf.DUMMYFUNCTION("""COMPUTED_VALUE"""),"ill Shrek u")</f>
        <v>ill Shrek u</v>
      </c>
      <c r="I17" s="484">
        <f>IFERROR(__xludf.DUMMYFUNCTION("""COMPUTED_VALUE"""),0.056449336720293536)</f>
        <v>0.05644933672</v>
      </c>
      <c r="J17" s="478"/>
      <c r="K17" s="485" t="str">
        <f>IFERROR(__xludf.DUMMYFUNCTION("""COMPUTED_VALUE"""),"AwareMosquito")</f>
        <v>AwareMosquito</v>
      </c>
      <c r="L17" s="486">
        <f>IFERROR(__xludf.DUMMYFUNCTION("""COMPUTED_VALUE"""),0.11195769268436001)</f>
        <v>0.1119576927</v>
      </c>
      <c r="M17" s="478"/>
      <c r="N17" s="487" t="str">
        <f>IFERROR(__xludf.DUMMYFUNCTION("""COMPUTED_VALUE"""),"Priest XYZ")</f>
        <v>Priest XYZ</v>
      </c>
      <c r="O17" s="488">
        <f>IFERROR(__xludf.DUMMYFUNCTION("""COMPUTED_VALUE"""),0.6723259762308998)</f>
        <v>0.6723259762</v>
      </c>
      <c r="P17" s="478"/>
      <c r="Q17" s="489" t="str">
        <f>IFERROR(__xludf.DUMMYFUNCTION("""COMPUTED_VALUE"""),"Memorized")</f>
        <v>Memorized</v>
      </c>
      <c r="R17" s="490">
        <f>IFERROR(__xludf.DUMMYFUNCTION("""COMPUTED_VALUE"""),0.7035383286207979)</f>
        <v>0.7035383286</v>
      </c>
      <c r="S17" s="478"/>
      <c r="T17" s="405" t="str">
        <f>IFERROR(VLOOKUP($V17,'Halo Infinite Stats'!$A:AR,44,0),)</f>
        <v>P5</v>
      </c>
      <c r="U17" s="251" t="str">
        <f>IFERROR(VLOOKUP($V17,'Halo Infinite Stats'!$A:AQ,43,0),)</f>
        <v>R1</v>
      </c>
      <c r="V17" s="406" t="str">
        <f>IFERROR(__xludf.DUMMYFUNCTION("""COMPUTED_VALUE"""),"Itzreelz")</f>
        <v>Itzreelz</v>
      </c>
      <c r="W17" s="452" t="str">
        <f>IFERROR(__xludf.DUMMYFUNCTION("""COMPUTED_VALUE"""),"B")</f>
        <v>B</v>
      </c>
      <c r="X17" s="297">
        <f>IFERROR(__xludf.DUMMYFUNCTION("""COMPUTED_VALUE"""),19.7625)</f>
        <v>19.7625</v>
      </c>
      <c r="Y17" s="408">
        <f>IFERROR(VLOOKUP($V17,'Halo Infinite Stats'!$A:$AM,2,0),)</f>
        <v>19</v>
      </c>
      <c r="Z17" s="478"/>
      <c r="AA17" s="410" t="str">
        <f>IFERROR(VLOOKUP($AC17,'Halo Infinite Stats'!$A:AR,44,0),)</f>
        <v>6th</v>
      </c>
      <c r="AB17" s="276" t="str">
        <f>IFERROR(VLOOKUP($AC17,'Halo Infinite Stats'!$A:AX,43,0),)</f>
        <v>C</v>
      </c>
      <c r="AC17" s="411" t="str">
        <f>IFERROR(__xludf.DUMMYFUNCTION("""COMPUTED_VALUE"""),"Doerstopper")</f>
        <v>Doerstopper</v>
      </c>
      <c r="AD17" s="316" t="str">
        <f>IFERROR(__xludf.DUMMYFUNCTION("""COMPUTED_VALUE"""),"B+")</f>
        <v>B+</v>
      </c>
      <c r="AE17" s="412">
        <f>IFERROR(__xludf.DUMMYFUNCTION("""COMPUTED_VALUE"""),9.950000000000001)</f>
        <v>9.95</v>
      </c>
      <c r="AF17" s="478"/>
      <c r="AG17" s="405" t="str">
        <f>IFERROR(VLOOKUP($AI17,'Halo Infinite Stats'!$A:AR,44,0),)</f>
        <v>P5</v>
      </c>
      <c r="AH17" s="251" t="str">
        <f>IFERROR(VLOOKUP($AI17,'Halo Infinite Stats'!$A:AQ,43,0),)</f>
        <v>R1</v>
      </c>
      <c r="AI17" s="416" t="str">
        <f>IFERROR(__xludf.DUMMYFUNCTION("""COMPUTED_VALUE"""),"Itzreelz")</f>
        <v>Itzreelz</v>
      </c>
      <c r="AJ17" s="302" t="str">
        <f>IFERROR(__xludf.DUMMYFUNCTION("""COMPUTED_VALUE"""),"B")</f>
        <v>B</v>
      </c>
      <c r="AK17" s="300">
        <f>IFERROR(__xludf.DUMMYFUNCTION("""COMPUTED_VALUE"""),19.650000000000002)</f>
        <v>19.65</v>
      </c>
      <c r="AL17" s="419">
        <f>IFERROR(VLOOKUP($AI17,'Season+Playoffs Stats'!$A:$AM,2,0),)</f>
        <v>19</v>
      </c>
      <c r="AM17" s="447"/>
      <c r="AN17" s="495" t="s">
        <v>194</v>
      </c>
      <c r="AT17" s="496"/>
      <c r="AU17" s="21"/>
    </row>
    <row r="18">
      <c r="A18" s="40"/>
      <c r="B18" s="356" t="str">
        <f>IFERROR(__xludf.DUMMYFUNCTION("""COMPUTED_VALUE"""),"Itzreelz")</f>
        <v>Itzreelz</v>
      </c>
      <c r="C18" s="357">
        <f>IFERROR(__xludf.DUMMYFUNCTION("""COMPUTED_VALUE"""),-0.3644352545877488)</f>
        <v>-0.3644352546</v>
      </c>
      <c r="D18" s="40"/>
      <c r="E18" s="358" t="str">
        <f>IFERROR(__xludf.DUMMYFUNCTION("""COMPUTED_VALUE"""),"Doerstopper")</f>
        <v>Doerstopper</v>
      </c>
      <c r="F18" s="359">
        <f>IFERROR(__xludf.DUMMYFUNCTION("""COMPUTED_VALUE"""),6.581727781230578)</f>
        <v>6.581727781</v>
      </c>
      <c r="G18" s="40"/>
      <c r="H18" s="360" t="str">
        <f>IFERROR(__xludf.DUMMYFUNCTION("""COMPUTED_VALUE"""),"Pd Craig 69")</f>
        <v>Pd Craig 69</v>
      </c>
      <c r="I18" s="361">
        <f>IFERROR(__xludf.DUMMYFUNCTION("""COMPUTED_VALUE"""),0.05644402634054563)</f>
        <v>0.05644402634</v>
      </c>
      <c r="J18" s="40"/>
      <c r="K18" s="362" t="str">
        <f>IFERROR(__xludf.DUMMYFUNCTION("""COMPUTED_VALUE"""),"ill Shrek u")</f>
        <v>ill Shrek u</v>
      </c>
      <c r="L18" s="363">
        <f>IFERROR(__xludf.DUMMYFUNCTION("""COMPUTED_VALUE"""),0.10838272650296359)</f>
        <v>0.1083827265</v>
      </c>
      <c r="M18" s="40"/>
      <c r="N18" s="364" t="str">
        <f>IFERROR(__xludf.DUMMYFUNCTION("""COMPUTED_VALUE"""),"Itzreelz")</f>
        <v>Itzreelz</v>
      </c>
      <c r="O18" s="367">
        <f>IFERROR(__xludf.DUMMYFUNCTION("""COMPUTED_VALUE"""),0.635823210131817)</f>
        <v>0.6358232101</v>
      </c>
      <c r="P18" s="40"/>
      <c r="Q18" s="369" t="str">
        <f>IFERROR(__xludf.DUMMYFUNCTION("""COMPUTED_VALUE"""),"TJP37")</f>
        <v>TJP37</v>
      </c>
      <c r="R18" s="370">
        <f>IFERROR(__xludf.DUMMYFUNCTION("""COMPUTED_VALUE"""),0.6260199473451582)</f>
        <v>0.6260199473</v>
      </c>
      <c r="S18" s="40"/>
      <c r="T18" s="497" t="str">
        <f>IFERROR(VLOOKUP($V18,'Halo Infinite Stats'!$A:AR,44,0),)</f>
        <v>PD</v>
      </c>
      <c r="U18" s="344" t="str">
        <f>IFERROR(VLOOKUP($V18,'Halo Infinite Stats'!$A:AQ,43,0),)</f>
        <v>R3</v>
      </c>
      <c r="V18" s="498" t="str">
        <f>IFERROR(__xludf.DUMMYFUNCTION("""COMPUTED_VALUE"""),"ill Shrek u")</f>
        <v>ill Shrek u</v>
      </c>
      <c r="W18" s="499" t="str">
        <f>IFERROR(__xludf.DUMMYFUNCTION("""COMPUTED_VALUE"""),"B")</f>
        <v>B</v>
      </c>
      <c r="X18" s="500">
        <f>IFERROR(__xludf.DUMMYFUNCTION("""COMPUTED_VALUE"""),18.15)</f>
        <v>18.15</v>
      </c>
      <c r="Y18" s="502">
        <f>IFERROR(VLOOKUP($V18,'Halo Infinite Stats'!$A:$AM,2,0),)</f>
        <v>17</v>
      </c>
      <c r="Z18" s="11"/>
      <c r="AA18" s="504" t="str">
        <f>IFERROR(VLOOKUP($AC18,'Halo Infinite Stats'!$A:AR,44,0),)</f>
        <v>P1</v>
      </c>
      <c r="AB18" s="505" t="str">
        <f>IFERROR(VLOOKUP($AC18,'Halo Infinite Stats'!$A:AX,43,0),)</f>
        <v>R1</v>
      </c>
      <c r="AC18" s="506" t="str">
        <f>IFERROR(__xludf.DUMMYFUNCTION("""COMPUTED_VALUE"""),"Clydrohsun")</f>
        <v>Clydrohsun</v>
      </c>
      <c r="AD18" s="348" t="str">
        <f>IFERROR(__xludf.DUMMYFUNCTION("""COMPUTED_VALUE"""),"B")</f>
        <v>B</v>
      </c>
      <c r="AE18" s="507">
        <f>IFERROR(__xludf.DUMMYFUNCTION("""COMPUTED_VALUE"""),9.875)</f>
        <v>9.875</v>
      </c>
      <c r="AF18" s="11"/>
      <c r="AG18" s="497" t="str">
        <f>IFERROR(VLOOKUP($AI18,'Halo Infinite Stats'!$A:AR,44,0),)</f>
        <v>PD</v>
      </c>
      <c r="AH18" s="344" t="str">
        <f>IFERROR(VLOOKUP($AI18,'Halo Infinite Stats'!$A:AQ,43,0),)</f>
        <v>R3</v>
      </c>
      <c r="AI18" s="510" t="str">
        <f>IFERROR(__xludf.DUMMYFUNCTION("""COMPUTED_VALUE"""),"ill Shrek u")</f>
        <v>ill Shrek u</v>
      </c>
      <c r="AJ18" s="511" t="str">
        <f>IFERROR(__xludf.DUMMYFUNCTION("""COMPUTED_VALUE"""),"B")</f>
        <v>B</v>
      </c>
      <c r="AK18" s="512">
        <f>IFERROR(__xludf.DUMMYFUNCTION("""COMPUTED_VALUE"""),18.9)</f>
        <v>18.9</v>
      </c>
      <c r="AL18" s="513">
        <f>IFERROR(VLOOKUP($AI18,'Season+Playoffs Stats'!$A:$AM,2,0),)</f>
        <v>21</v>
      </c>
      <c r="AM18" s="514"/>
      <c r="AT18" s="40"/>
      <c r="AU18" s="21"/>
    </row>
    <row r="19">
      <c r="A19" s="40"/>
      <c r="B19" s="356" t="str">
        <f>IFERROR(__xludf.DUMMYFUNCTION("""COMPUTED_VALUE"""),"NOPLEX")</f>
        <v>NOPLEX</v>
      </c>
      <c r="C19" s="357">
        <f>IFERROR(__xludf.DUMMYFUNCTION("""COMPUTED_VALUE"""),-0.6281484077270139)</f>
        <v>-0.6281484077</v>
      </c>
      <c r="D19" s="40"/>
      <c r="E19" s="358" t="str">
        <f>IFERROR(__xludf.DUMMYFUNCTION("""COMPUTED_VALUE"""),"Priest XYZ")</f>
        <v>Priest XYZ</v>
      </c>
      <c r="F19" s="359">
        <f>IFERROR(__xludf.DUMMYFUNCTION("""COMPUTED_VALUE"""),6.564038862517191)</f>
        <v>6.564038863</v>
      </c>
      <c r="G19" s="40"/>
      <c r="H19" s="360" t="str">
        <f>IFERROR(__xludf.DUMMYFUNCTION("""COMPUTED_VALUE"""),"Clydrohsun")</f>
        <v>Clydrohsun</v>
      </c>
      <c r="I19" s="361">
        <f>IFERROR(__xludf.DUMMYFUNCTION("""COMPUTED_VALUE"""),0.04824443848834093)</f>
        <v>0.04824443849</v>
      </c>
      <c r="J19" s="40"/>
      <c r="K19" s="362" t="str">
        <f>IFERROR(__xludf.DUMMYFUNCTION("""COMPUTED_VALUE"""),"Fanciest Pants")</f>
        <v>Fanciest Pants</v>
      </c>
      <c r="L19" s="363">
        <f>IFERROR(__xludf.DUMMYFUNCTION("""COMPUTED_VALUE"""),0.10652827096421742)</f>
        <v>0.106528271</v>
      </c>
      <c r="M19" s="40"/>
      <c r="N19" s="364" t="str">
        <f>IFERROR(__xludf.DUMMYFUNCTION("""COMPUTED_VALUE"""),"Ken Khaneki")</f>
        <v>Ken Khaneki</v>
      </c>
      <c r="O19" s="367">
        <f>IFERROR(__xludf.DUMMYFUNCTION("""COMPUTED_VALUE"""),0.6154109149963674)</f>
        <v>0.615410915</v>
      </c>
      <c r="P19" s="40"/>
      <c r="Q19" s="369" t="str">
        <f>IFERROR(__xludf.DUMMYFUNCTION("""COMPUTED_VALUE"""),"KDSkill")</f>
        <v>KDSkill</v>
      </c>
      <c r="R19" s="370">
        <f>IFERROR(__xludf.DUMMYFUNCTION("""COMPUTED_VALUE"""),0.5755701584847314)</f>
        <v>0.5755701585</v>
      </c>
      <c r="S19" s="40"/>
      <c r="T19" s="251" t="str">
        <f>IFERROR(VLOOKUP($V19,'Halo Infinite Stats'!$A:AR,44,0),)</f>
        <v>P4</v>
      </c>
      <c r="U19" s="251" t="str">
        <f>IFERROR(VLOOKUP($V19,'Halo Infinite Stats'!$A:AQ,43,0),)</f>
        <v>R1</v>
      </c>
      <c r="V19" s="406" t="str">
        <f>IFERROR(__xludf.DUMMYFUNCTION("""COMPUTED_VALUE"""),"Memorized")</f>
        <v>Memorized</v>
      </c>
      <c r="W19" s="452" t="str">
        <f>IFERROR(__xludf.DUMMYFUNCTION("""COMPUTED_VALUE"""),"B-")</f>
        <v>B-</v>
      </c>
      <c r="X19" s="297">
        <f>IFERROR(__xludf.DUMMYFUNCTION("""COMPUTED_VALUE"""),17.95)</f>
        <v>17.95</v>
      </c>
      <c r="Y19" s="271">
        <f>IFERROR(VLOOKUP($V19,'Halo Infinite Stats'!$A:$AM,2,0),)</f>
        <v>20</v>
      </c>
      <c r="Z19" s="514"/>
      <c r="AA19" s="274" t="str">
        <f>IFERROR(VLOOKUP($AC19,'Halo Infinite Stats'!$A:AR,44,0),)</f>
        <v>P24</v>
      </c>
      <c r="AB19" s="276" t="str">
        <f>IFERROR(VLOOKUP($AC19,'Halo Infinite Stats'!$A:AX,43,0),)</f>
        <v>R3</v>
      </c>
      <c r="AC19" s="411" t="str">
        <f>IFERROR(__xludf.DUMMYFUNCTION("""COMPUTED_VALUE"""),"TJP37")</f>
        <v>TJP37</v>
      </c>
      <c r="AD19" s="316" t="str">
        <f>IFERROR(__xludf.DUMMYFUNCTION("""COMPUTED_VALUE"""),"B")</f>
        <v>B</v>
      </c>
      <c r="AE19" s="278">
        <f>IFERROR(__xludf.DUMMYFUNCTION("""COMPUTED_VALUE"""),9.525)</f>
        <v>9.525</v>
      </c>
      <c r="AF19" s="514"/>
      <c r="AG19" s="251" t="str">
        <f>IFERROR(VLOOKUP($AI19,'Halo Infinite Stats'!$A:AR,44,0),)</f>
        <v>P4</v>
      </c>
      <c r="AH19" s="251" t="str">
        <f>IFERROR(VLOOKUP($AI19,'Halo Infinite Stats'!$A:AQ,43,0),)</f>
        <v>R1</v>
      </c>
      <c r="AI19" s="416" t="str">
        <f>IFERROR(__xludf.DUMMYFUNCTION("""COMPUTED_VALUE"""),"Memorized")</f>
        <v>Memorized</v>
      </c>
      <c r="AJ19" s="302" t="str">
        <f>IFERROR(__xludf.DUMMYFUNCTION("""COMPUTED_VALUE"""),"B-")</f>
        <v>B-</v>
      </c>
      <c r="AK19" s="300">
        <f>IFERROR(__xludf.DUMMYFUNCTION("""COMPUTED_VALUE"""),17.5625)</f>
        <v>17.5625</v>
      </c>
      <c r="AL19" s="286">
        <f>IFERROR(VLOOKUP($AI19,'Season+Playoffs Stats'!$A:$AM,2,0),)</f>
        <v>22</v>
      </c>
      <c r="AM19" s="514"/>
      <c r="AT19" s="40"/>
      <c r="AU19" s="21"/>
    </row>
    <row r="20">
      <c r="A20" s="40"/>
      <c r="B20" s="356" t="str">
        <f>IFERROR(__xludf.DUMMYFUNCTION("""COMPUTED_VALUE"""),"Deathcrawller")</f>
        <v>Deathcrawller</v>
      </c>
      <c r="C20" s="357">
        <f>IFERROR(__xludf.DUMMYFUNCTION("""COMPUTED_VALUE"""),-0.6301644914665225)</f>
        <v>-0.6301644915</v>
      </c>
      <c r="D20" s="40"/>
      <c r="E20" s="358" t="str">
        <f>IFERROR(__xludf.DUMMYFUNCTION("""COMPUTED_VALUE"""),"TommyWstSide")</f>
        <v>TommyWstSide</v>
      </c>
      <c r="F20" s="359">
        <f>IFERROR(__xludf.DUMMYFUNCTION("""COMPUTED_VALUE"""),6.5617152269597385)</f>
        <v>6.561715227</v>
      </c>
      <c r="G20" s="40"/>
      <c r="H20" s="360" t="str">
        <f>IFERROR(__xludf.DUMMYFUNCTION("""COMPUTED_VALUE"""),"Its Rainin MenZ")</f>
        <v>Its Rainin MenZ</v>
      </c>
      <c r="I20" s="361">
        <f>IFERROR(__xludf.DUMMYFUNCTION("""COMPUTED_VALUE"""),0.0441196746173997)</f>
        <v>0.04411967462</v>
      </c>
      <c r="J20" s="40"/>
      <c r="K20" s="362" t="str">
        <f>IFERROR(__xludf.DUMMYFUNCTION("""COMPUTED_VALUE"""),"TJP37")</f>
        <v>TJP37</v>
      </c>
      <c r="L20" s="363">
        <f>IFERROR(__xludf.DUMMYFUNCTION("""COMPUTED_VALUE"""),0.1030600021779375)</f>
        <v>0.1030600022</v>
      </c>
      <c r="M20" s="40"/>
      <c r="N20" s="364" t="str">
        <f>IFERROR(__xludf.DUMMYFUNCTION("""COMPUTED_VALUE"""),"Mr epic beast")</f>
        <v>Mr epic beast</v>
      </c>
      <c r="O20" s="367">
        <f>IFERROR(__xludf.DUMMYFUNCTION("""COMPUTED_VALUE"""),0.6094257854821236)</f>
        <v>0.6094257855</v>
      </c>
      <c r="P20" s="40"/>
      <c r="Q20" s="369" t="str">
        <f>IFERROR(__xludf.DUMMYFUNCTION("""COMPUTED_VALUE"""),"oh zilly")</f>
        <v>oh zilly</v>
      </c>
      <c r="R20" s="370">
        <f>IFERROR(__xludf.DUMMYFUNCTION("""COMPUTED_VALUE"""),0.49902934161628487)</f>
        <v>0.4990293416</v>
      </c>
      <c r="S20" s="40"/>
      <c r="T20" s="251" t="str">
        <f>IFERROR(VLOOKUP($V20,'Halo Infinite Stats'!$A:AR,44,0),)</f>
        <v>P16</v>
      </c>
      <c r="U20" s="251" t="str">
        <f>IFERROR(VLOOKUP($V20,'Halo Infinite Stats'!$A:AQ,43,0),)</f>
        <v>R2</v>
      </c>
      <c r="V20" s="406" t="str">
        <f>IFERROR(__xludf.DUMMYFUNCTION("""COMPUTED_VALUE"""),"Mr epic beast")</f>
        <v>Mr epic beast</v>
      </c>
      <c r="W20" s="521" t="str">
        <f>IFERROR(__xludf.DUMMYFUNCTION("""COMPUTED_VALUE"""),"B-")</f>
        <v>B-</v>
      </c>
      <c r="X20" s="297">
        <f>IFERROR(__xludf.DUMMYFUNCTION("""COMPUTED_VALUE"""),16.5625)</f>
        <v>16.5625</v>
      </c>
      <c r="Y20" s="271">
        <f>IFERROR(VLOOKUP($V20,'Halo Infinite Stats'!$A:$AM,2,0),)</f>
        <v>18</v>
      </c>
      <c r="Z20" s="514"/>
      <c r="AA20" s="274" t="str">
        <f>IFERROR(VLOOKUP($AC20,'Halo Infinite Stats'!$A:AR,44,0),)</f>
        <v>P16</v>
      </c>
      <c r="AB20" s="276" t="str">
        <f>IFERROR(VLOOKUP($AC20,'Halo Infinite Stats'!$A:AX,43,0),)</f>
        <v>R2</v>
      </c>
      <c r="AC20" s="411" t="str">
        <f>IFERROR(__xludf.DUMMYFUNCTION("""COMPUTED_VALUE"""),"Mr epic beast")</f>
        <v>Mr epic beast</v>
      </c>
      <c r="AD20" s="316" t="str">
        <f>IFERROR(__xludf.DUMMYFUNCTION("""COMPUTED_VALUE"""),"B-")</f>
        <v>B-</v>
      </c>
      <c r="AE20" s="278">
        <f>IFERROR(__xludf.DUMMYFUNCTION("""COMPUTED_VALUE"""),9.300000000000002)</f>
        <v>9.3</v>
      </c>
      <c r="AF20" s="514"/>
      <c r="AG20" s="251" t="str">
        <f>IFERROR(VLOOKUP($AI20,'Halo Infinite Stats'!$A:AR,44,0),)</f>
        <v>P1</v>
      </c>
      <c r="AH20" s="251" t="str">
        <f>IFERROR(VLOOKUP($AI20,'Halo Infinite Stats'!$A:AQ,43,0),)</f>
        <v>R1</v>
      </c>
      <c r="AI20" s="416" t="str">
        <f>IFERROR(__xludf.DUMMYFUNCTION("""COMPUTED_VALUE"""),"Clydrohsun")</f>
        <v>Clydrohsun</v>
      </c>
      <c r="AJ20" s="309" t="str">
        <f>IFERROR(__xludf.DUMMYFUNCTION("""COMPUTED_VALUE"""),"B-")</f>
        <v>B-</v>
      </c>
      <c r="AK20" s="300">
        <f>IFERROR(__xludf.DUMMYFUNCTION("""COMPUTED_VALUE"""),16.65)</f>
        <v>16.65</v>
      </c>
      <c r="AL20" s="286">
        <f>IFERROR(VLOOKUP($AI20,'Season+Playoffs Stats'!$A:$AM,2,0),)</f>
        <v>5</v>
      </c>
      <c r="AM20" s="514"/>
      <c r="AN20" s="514"/>
      <c r="AO20" s="514"/>
      <c r="AP20" s="514"/>
      <c r="AQ20" s="514"/>
      <c r="AR20" s="514"/>
      <c r="AS20" s="460"/>
      <c r="AT20" s="40"/>
      <c r="AU20" s="21"/>
    </row>
    <row r="21">
      <c r="A21" s="40"/>
      <c r="B21" s="356" t="str">
        <f>IFERROR(__xludf.DUMMYFUNCTION("""COMPUTED_VALUE"""),"Almighty Tycoon")</f>
        <v>Almighty Tycoon</v>
      </c>
      <c r="C21" s="357">
        <f>IFERROR(__xludf.DUMMYFUNCTION("""COMPUTED_VALUE"""),-0.6360132158590308)</f>
        <v>-0.6360132159</v>
      </c>
      <c r="D21" s="40"/>
      <c r="E21" s="358" t="str">
        <f>IFERROR(__xludf.DUMMYFUNCTION("""COMPUTED_VALUE"""),"Beam1n1")</f>
        <v>Beam1n1</v>
      </c>
      <c r="F21" s="359">
        <f>IFERROR(__xludf.DUMMYFUNCTION("""COMPUTED_VALUE"""),6.4562855664769785)</f>
        <v>6.456285566</v>
      </c>
      <c r="G21" s="40"/>
      <c r="H21" s="360" t="str">
        <f>IFERROR(__xludf.DUMMYFUNCTION("""COMPUTED_VALUE"""),"TJP37")</f>
        <v>TJP37</v>
      </c>
      <c r="I21" s="361">
        <f>IFERROR(__xludf.DUMMYFUNCTION("""COMPUTED_VALUE"""),0.04355874986387891)</f>
        <v>0.04355874986</v>
      </c>
      <c r="J21" s="40"/>
      <c r="K21" s="362" t="str">
        <f>IFERROR(__xludf.DUMMYFUNCTION("""COMPUTED_VALUE"""),"Clydrohsun")</f>
        <v>Clydrohsun</v>
      </c>
      <c r="L21" s="363">
        <f>IFERROR(__xludf.DUMMYFUNCTION("""COMPUTED_VALUE"""),0.10227820959528278)</f>
        <v>0.1022782096</v>
      </c>
      <c r="M21" s="40"/>
      <c r="N21" s="364" t="str">
        <f>IFERROR(__xludf.DUMMYFUNCTION("""COMPUTED_VALUE"""),"Pd Craig 69")</f>
        <v>Pd Craig 69</v>
      </c>
      <c r="O21" s="367">
        <f>IFERROR(__xludf.DUMMYFUNCTION("""COMPUTED_VALUE"""),0.6020696142991534)</f>
        <v>0.6020696143</v>
      </c>
      <c r="P21" s="40"/>
      <c r="Q21" s="369" t="str">
        <f>IFERROR(__xludf.DUMMYFUNCTION("""COMPUTED_VALUE"""),"GeneralCornBeef")</f>
        <v>GeneralCornBeef</v>
      </c>
      <c r="R21" s="370">
        <f>IFERROR(__xludf.DUMMYFUNCTION("""COMPUTED_VALUE"""),0.46643166159269345)</f>
        <v>0.4664316616</v>
      </c>
      <c r="S21" s="40"/>
      <c r="T21" s="251" t="str">
        <f>IFERROR(VLOOKUP($V21,'Halo Infinite Stats'!$A:AR,44,0),)</f>
        <v>P1</v>
      </c>
      <c r="U21" s="251" t="str">
        <f>IFERROR(VLOOKUP($V21,'Halo Infinite Stats'!$A:AQ,43,0),)</f>
        <v>R1</v>
      </c>
      <c r="V21" s="406" t="str">
        <f>IFERROR(__xludf.DUMMYFUNCTION("""COMPUTED_VALUE"""),"Clydrohsun")</f>
        <v>Clydrohsun</v>
      </c>
      <c r="W21" s="521" t="str">
        <f>IFERROR(__xludf.DUMMYFUNCTION("""COMPUTED_VALUE"""),"C+")</f>
        <v>C+</v>
      </c>
      <c r="X21" s="297">
        <f>IFERROR(__xludf.DUMMYFUNCTION("""COMPUTED_VALUE"""),16.15)</f>
        <v>16.15</v>
      </c>
      <c r="Y21" s="271">
        <f>IFERROR(VLOOKUP($V21,'Halo Infinite Stats'!$A:$AM,2,0),)</f>
        <v>5</v>
      </c>
      <c r="Z21" s="40"/>
      <c r="AA21" s="274" t="str">
        <f>IFERROR(VLOOKUP($AC21,'Halo Infinite Stats'!$A:AR,44,0),)</f>
        <v>P10</v>
      </c>
      <c r="AB21" s="276" t="str">
        <f>IFERROR(VLOOKUP($AC21,'Halo Infinite Stats'!$A:AX,43,0),)</f>
        <v>R1</v>
      </c>
      <c r="AC21" s="411" t="str">
        <f>IFERROR(__xludf.DUMMYFUNCTION("""COMPUTED_VALUE"""),"oh zilly")</f>
        <v>oh zilly</v>
      </c>
      <c r="AD21" s="316" t="str">
        <f>IFERROR(__xludf.DUMMYFUNCTION("""COMPUTED_VALUE"""),"B-")</f>
        <v>B-</v>
      </c>
      <c r="AE21" s="278">
        <f>IFERROR(__xludf.DUMMYFUNCTION("""COMPUTED_VALUE"""),9.275)</f>
        <v>9.275</v>
      </c>
      <c r="AF21" s="40"/>
      <c r="AG21" s="251" t="str">
        <f>IFERROR(VLOOKUP($AI21,'Halo Infinite Stats'!$A:AR,44,0),)</f>
        <v>P16</v>
      </c>
      <c r="AH21" s="251" t="str">
        <f>IFERROR(VLOOKUP($AI21,'Halo Infinite Stats'!$A:AQ,43,0),)</f>
        <v>R2</v>
      </c>
      <c r="AI21" s="416" t="str">
        <f>IFERROR(__xludf.DUMMYFUNCTION("""COMPUTED_VALUE"""),"Mr epic beast")</f>
        <v>Mr epic beast</v>
      </c>
      <c r="AJ21" s="302" t="str">
        <f>IFERROR(__xludf.DUMMYFUNCTION("""COMPUTED_VALUE"""),"C+")</f>
        <v>C+</v>
      </c>
      <c r="AK21" s="300">
        <f>IFERROR(__xludf.DUMMYFUNCTION("""COMPUTED_VALUE"""),16.6125)</f>
        <v>16.6125</v>
      </c>
      <c r="AL21" s="286">
        <f>IFERROR(VLOOKUP($AI21,'Season+Playoffs Stats'!$A:$AM,2,0),)</f>
        <v>18</v>
      </c>
      <c r="AM21" s="40"/>
      <c r="AN21" s="40"/>
      <c r="AO21" s="21"/>
      <c r="AP21" s="40"/>
      <c r="AQ21" s="458"/>
      <c r="AR21" s="460"/>
      <c r="AS21" s="460"/>
      <c r="AT21" s="40"/>
      <c r="AU21" s="21"/>
    </row>
    <row r="22">
      <c r="A22" s="40"/>
      <c r="B22" s="356" t="str">
        <f>IFERROR(__xludf.DUMMYFUNCTION("""COMPUTED_VALUE"""),"oh zilly")</f>
        <v>oh zilly</v>
      </c>
      <c r="C22" s="357">
        <f>IFERROR(__xludf.DUMMYFUNCTION("""COMPUTED_VALUE"""),-0.6888901214709634)</f>
        <v>-0.6888901215</v>
      </c>
      <c r="D22" s="40"/>
      <c r="E22" s="358" t="str">
        <f>IFERROR(__xludf.DUMMYFUNCTION("""COMPUTED_VALUE"""),"yLuxe")</f>
        <v>yLuxe</v>
      </c>
      <c r="F22" s="359">
        <f>IFERROR(__xludf.DUMMYFUNCTION("""COMPUTED_VALUE"""),6.431403965551773)</f>
        <v>6.431403966</v>
      </c>
      <c r="G22" s="40"/>
      <c r="H22" s="360" t="str">
        <f>IFERROR(__xludf.DUMMYFUNCTION("""COMPUTED_VALUE"""),"ThePro#1771")</f>
        <v>ThePro#1771</v>
      </c>
      <c r="I22" s="361">
        <f>IFERROR(__xludf.DUMMYFUNCTION("""COMPUTED_VALUE"""),0.04240282685512368)</f>
        <v>0.04240282686</v>
      </c>
      <c r="J22" s="40"/>
      <c r="K22" s="362" t="str">
        <f>IFERROR(__xludf.DUMMYFUNCTION("""COMPUTED_VALUE"""),"oh zilly")</f>
        <v>oh zilly</v>
      </c>
      <c r="L22" s="363">
        <f>IFERROR(__xludf.DUMMYFUNCTION("""COMPUTED_VALUE"""),0.0990404348549559)</f>
        <v>0.09904043485</v>
      </c>
      <c r="M22" s="40"/>
      <c r="N22" s="364" t="str">
        <f>IFERROR(__xludf.DUMMYFUNCTION("""COMPUTED_VALUE"""),"Holy Morals")</f>
        <v>Holy Morals</v>
      </c>
      <c r="O22" s="367">
        <f>IFERROR(__xludf.DUMMYFUNCTION("""COMPUTED_VALUE"""),0.5939902166317261)</f>
        <v>0.5939902166</v>
      </c>
      <c r="P22" s="40"/>
      <c r="Q22" s="369" t="str">
        <f>IFERROR(__xludf.DUMMYFUNCTION("""COMPUTED_VALUE"""),"NOPLEX")</f>
        <v>NOPLEX</v>
      </c>
      <c r="R22" s="370">
        <f>IFERROR(__xludf.DUMMYFUNCTION("""COMPUTED_VALUE"""),0.14893646625937598)</f>
        <v>0.1489364663</v>
      </c>
      <c r="S22" s="40"/>
      <c r="T22" s="251" t="str">
        <f>IFERROR(VLOOKUP($V22,'Halo Infinite Stats'!$A:AR,44,0),)</f>
        <v>PD</v>
      </c>
      <c r="U22" s="251" t="str">
        <f>IFERROR(VLOOKUP($V22,'Halo Infinite Stats'!$A:AQ,43,0),)</f>
        <v>R3</v>
      </c>
      <c r="V22" s="406" t="str">
        <f>IFERROR(__xludf.DUMMYFUNCTION("""COMPUTED_VALUE"""),"KDSkill")</f>
        <v>KDSkill</v>
      </c>
      <c r="W22" s="521" t="str">
        <f>IFERROR(__xludf.DUMMYFUNCTION("""COMPUTED_VALUE"""),"C+")</f>
        <v>C+</v>
      </c>
      <c r="X22" s="297">
        <f>IFERROR(__xludf.DUMMYFUNCTION("""COMPUTED_VALUE"""),15.6125)</f>
        <v>15.6125</v>
      </c>
      <c r="Y22" s="271">
        <f>IFERROR(VLOOKUP($V22,'Halo Infinite Stats'!$A:$AM,2,0),)</f>
        <v>7</v>
      </c>
      <c r="Z22" s="40"/>
      <c r="AA22" s="274" t="str">
        <f>IFERROR(VLOOKUP($AC22,'Halo Infinite Stats'!$A:AR,44,0),)</f>
        <v>PD</v>
      </c>
      <c r="AB22" s="276" t="str">
        <f>IFERROR(VLOOKUP($AC22,'Halo Infinite Stats'!$A:AX,43,0),)</f>
        <v>R3</v>
      </c>
      <c r="AC22" s="411" t="str">
        <f>IFERROR(__xludf.DUMMYFUNCTION("""COMPUTED_VALUE"""),"ill Shrek u")</f>
        <v>ill Shrek u</v>
      </c>
      <c r="AD22" s="316" t="str">
        <f>IFERROR(__xludf.DUMMYFUNCTION("""COMPUTED_VALUE"""),"C+")</f>
        <v>C+</v>
      </c>
      <c r="AE22" s="278">
        <f>IFERROR(__xludf.DUMMYFUNCTION("""COMPUTED_VALUE"""),8.950000000000001)</f>
        <v>8.95</v>
      </c>
      <c r="AF22" s="40"/>
      <c r="AG22" s="251" t="str">
        <f>IFERROR(VLOOKUP($AI22,'Halo Infinite Stats'!$A:AR,44,0),)</f>
        <v>PD</v>
      </c>
      <c r="AH22" s="251" t="str">
        <f>IFERROR(VLOOKUP($AI22,'Halo Infinite Stats'!$A:AQ,43,0),)</f>
        <v>R3</v>
      </c>
      <c r="AI22" s="416" t="str">
        <f>IFERROR(__xludf.DUMMYFUNCTION("""COMPUTED_VALUE"""),"KDSkill")</f>
        <v>KDSkill</v>
      </c>
      <c r="AJ22" s="309" t="str">
        <f>IFERROR(__xludf.DUMMYFUNCTION("""COMPUTED_VALUE"""),"C+")</f>
        <v>C+</v>
      </c>
      <c r="AK22" s="300">
        <f>IFERROR(__xludf.DUMMYFUNCTION("""COMPUTED_VALUE"""),15.724999999999998)</f>
        <v>15.725</v>
      </c>
      <c r="AL22" s="286">
        <f>IFERROR(VLOOKUP($AI22,'Season+Playoffs Stats'!$A:$AM,2,0),)</f>
        <v>14</v>
      </c>
      <c r="AM22" s="40"/>
      <c r="AN22" s="40"/>
      <c r="AO22" s="21"/>
      <c r="AP22" s="40"/>
      <c r="AQ22" s="458"/>
      <c r="AR22" s="460"/>
      <c r="AS22" s="460"/>
      <c r="AT22" s="40"/>
      <c r="AU22" s="21"/>
    </row>
    <row r="23">
      <c r="A23" s="40"/>
      <c r="B23" s="356" t="str">
        <f>IFERROR(__xludf.DUMMYFUNCTION("""COMPUTED_VALUE"""),"Priest XYZ")</f>
        <v>Priest XYZ</v>
      </c>
      <c r="C23" s="357">
        <f>IFERROR(__xludf.DUMMYFUNCTION("""COMPUTED_VALUE"""),-0.7080431214231844)</f>
        <v>-0.7080431214</v>
      </c>
      <c r="D23" s="40"/>
      <c r="E23" s="358" t="str">
        <f>IFERROR(__xludf.DUMMYFUNCTION("""COMPUTED_VALUE"""),"NOPLEX")</f>
        <v>NOPLEX</v>
      </c>
      <c r="F23" s="359">
        <f>IFERROR(__xludf.DUMMYFUNCTION("""COMPUTED_VALUE"""),6.389241753909501)</f>
        <v>6.389241754</v>
      </c>
      <c r="G23" s="40"/>
      <c r="H23" s="360" t="str">
        <f>IFERROR(__xludf.DUMMYFUNCTION("""COMPUTED_VALUE"""),"MuNgO PuNgO")</f>
        <v>MuNgO PuNgO</v>
      </c>
      <c r="I23" s="361">
        <f>IFERROR(__xludf.DUMMYFUNCTION("""COMPUTED_VALUE"""),0.041080063331764304)</f>
        <v>0.04108006333</v>
      </c>
      <c r="J23" s="40"/>
      <c r="K23" s="362" t="str">
        <f>IFERROR(__xludf.DUMMYFUNCTION("""COMPUTED_VALUE"""),"Doerstopper")</f>
        <v>Doerstopper</v>
      </c>
      <c r="L23" s="363">
        <f>IFERROR(__xludf.DUMMYFUNCTION("""COMPUTED_VALUE"""),0.0885021752641392)</f>
        <v>0.08850217526</v>
      </c>
      <c r="M23" s="40"/>
      <c r="N23" s="364" t="str">
        <f>IFERROR(__xludf.DUMMYFUNCTION("""COMPUTED_VALUE"""),"ill Shrek u")</f>
        <v>ill Shrek u</v>
      </c>
      <c r="O23" s="367">
        <f>IFERROR(__xludf.DUMMYFUNCTION("""COMPUTED_VALUE"""),0.5826702587557171)</f>
        <v>0.5826702588</v>
      </c>
      <c r="P23" s="40"/>
      <c r="Q23" s="369" t="str">
        <f>IFERROR(__xludf.DUMMYFUNCTION("""COMPUTED_VALUE"""),"CaptainSev004")</f>
        <v>CaptainSev004</v>
      </c>
      <c r="R23" s="370">
        <f>IFERROR(__xludf.DUMMYFUNCTION("""COMPUTED_VALUE"""),0.13888919348648504)</f>
        <v>0.1388891935</v>
      </c>
      <c r="S23" s="40"/>
      <c r="T23" s="251" t="str">
        <f>IFERROR(VLOOKUP($V23,'Halo Infinite Stats'!$A:AR,44,0),)</f>
        <v>P14</v>
      </c>
      <c r="U23" s="251" t="str">
        <f>IFERROR(VLOOKUP($V23,'Halo Infinite Stats'!$A:AQ,43,0),)</f>
        <v>R2</v>
      </c>
      <c r="V23" s="406" t="str">
        <f>IFERROR(__xludf.DUMMYFUNCTION("""COMPUTED_VALUE"""),"Grunt Padre")</f>
        <v>Grunt Padre</v>
      </c>
      <c r="W23" s="521" t="str">
        <f>IFERROR(__xludf.DUMMYFUNCTION("""COMPUTED_VALUE"""),"C")</f>
        <v>C</v>
      </c>
      <c r="X23" s="297">
        <f>IFERROR(__xludf.DUMMYFUNCTION("""COMPUTED_VALUE"""),14.8375)</f>
        <v>14.8375</v>
      </c>
      <c r="Y23" s="271">
        <f>IFERROR(VLOOKUP($V23,'Halo Infinite Stats'!$A:$AM,2,0),)</f>
        <v>22</v>
      </c>
      <c r="Z23" s="40"/>
      <c r="AA23" s="274" t="str">
        <f>IFERROR(VLOOKUP($AC23,'Halo Infinite Stats'!$A:AR,44,0),)</f>
        <v>P18</v>
      </c>
      <c r="AB23" s="276" t="str">
        <f>IFERROR(VLOOKUP($AC23,'Halo Infinite Stats'!$A:AX,43,0),)</f>
        <v>R2</v>
      </c>
      <c r="AC23" s="411" t="str">
        <f>IFERROR(__xludf.DUMMYFUNCTION("""COMPUTED_VALUE"""),"TommyWstSide")</f>
        <v>TommyWstSide</v>
      </c>
      <c r="AD23" s="316" t="str">
        <f>IFERROR(__xludf.DUMMYFUNCTION("""COMPUTED_VALUE"""),"C+")</f>
        <v>C+</v>
      </c>
      <c r="AE23" s="278">
        <f>IFERROR(__xludf.DUMMYFUNCTION("""COMPUTED_VALUE"""),8.3)</f>
        <v>8.3</v>
      </c>
      <c r="AF23" s="40"/>
      <c r="AG23" s="251" t="str">
        <f>IFERROR(VLOOKUP($AI23,'Halo Infinite Stats'!$A:AR,44,0),)</f>
        <v>P14</v>
      </c>
      <c r="AH23" s="251" t="str">
        <f>IFERROR(VLOOKUP($AI23,'Halo Infinite Stats'!$A:AQ,43,0),)</f>
        <v>R2</v>
      </c>
      <c r="AI23" s="416" t="str">
        <f>IFERROR(__xludf.DUMMYFUNCTION("""COMPUTED_VALUE"""),"Grunt Padre")</f>
        <v>Grunt Padre</v>
      </c>
      <c r="AJ23" s="302" t="str">
        <f>IFERROR(__xludf.DUMMYFUNCTION("""COMPUTED_VALUE"""),"C")</f>
        <v>C</v>
      </c>
      <c r="AK23" s="300">
        <f>IFERROR(__xludf.DUMMYFUNCTION("""COMPUTED_VALUE"""),15.3875)</f>
        <v>15.3875</v>
      </c>
      <c r="AL23" s="286">
        <f>IFERROR(VLOOKUP($AI23,'Season+Playoffs Stats'!$A:$AM,2,0),)</f>
        <v>26</v>
      </c>
      <c r="AM23" s="40"/>
      <c r="AN23" s="40"/>
      <c r="AO23" s="21"/>
      <c r="AP23" s="40"/>
      <c r="AQ23" s="458"/>
      <c r="AR23" s="460"/>
      <c r="AS23" s="460"/>
      <c r="AT23" s="40"/>
      <c r="AU23" s="21"/>
    </row>
    <row r="24">
      <c r="A24" s="40"/>
      <c r="B24" s="356" t="str">
        <f>IFERROR(__xludf.DUMMYFUNCTION("""COMPUTED_VALUE"""),"Clydrohsun")</f>
        <v>Clydrohsun</v>
      </c>
      <c r="C24" s="357">
        <f>IFERROR(__xludf.DUMMYFUNCTION("""COMPUTED_VALUE"""),-0.723666577325114)</f>
        <v>-0.7236665773</v>
      </c>
      <c r="D24" s="40"/>
      <c r="E24" s="358" t="str">
        <f>IFERROR(__xludf.DUMMYFUNCTION("""COMPUTED_VALUE"""),"StarMonster8129")</f>
        <v>StarMonster8129</v>
      </c>
      <c r="F24" s="359">
        <f>IFERROR(__xludf.DUMMYFUNCTION("""COMPUTED_VALUE"""),6.3401543106340155)</f>
        <v>6.340154311</v>
      </c>
      <c r="G24" s="40"/>
      <c r="H24" s="360" t="str">
        <f>IFERROR(__xludf.DUMMYFUNCTION("""COMPUTED_VALUE"""),"DCleak")</f>
        <v>DCleak</v>
      </c>
      <c r="I24" s="361">
        <f>IFERROR(__xludf.DUMMYFUNCTION("""COMPUTED_VALUE"""),0.03620455573993061)</f>
        <v>0.03620455574</v>
      </c>
      <c r="J24" s="40"/>
      <c r="K24" s="362" t="str">
        <f>IFERROR(__xludf.DUMMYFUNCTION("""COMPUTED_VALUE"""),"Mr epic beast")</f>
        <v>Mr epic beast</v>
      </c>
      <c r="L24" s="363">
        <f>IFERROR(__xludf.DUMMYFUNCTION("""COMPUTED_VALUE"""),0.08791982665222102)</f>
        <v>0.08791982665</v>
      </c>
      <c r="M24" s="40"/>
      <c r="N24" s="364" t="str">
        <f>IFERROR(__xludf.DUMMYFUNCTION("""COMPUTED_VALUE"""),"GeneralCornBeef")</f>
        <v>GeneralCornBeef</v>
      </c>
      <c r="O24" s="367">
        <f>IFERROR(__xludf.DUMMYFUNCTION("""COMPUTED_VALUE"""),0.5816375580836405)</f>
        <v>0.5816375581</v>
      </c>
      <c r="P24" s="40"/>
      <c r="Q24" s="369" t="str">
        <f>IFERROR(__xludf.DUMMYFUNCTION("""COMPUTED_VALUE"""),"AwareMosquito")</f>
        <v>AwareMosquito</v>
      </c>
      <c r="R24" s="370">
        <f>IFERROR(__xludf.DUMMYFUNCTION("""COMPUTED_VALUE"""),0.10664838572780988)</f>
        <v>0.1066483857</v>
      </c>
      <c r="S24" s="40"/>
      <c r="T24" s="251" t="str">
        <f>IFERROR(VLOOKUP($V24,'Halo Infinite Stats'!$A:AR,44,0),)</f>
        <v>P13</v>
      </c>
      <c r="U24" s="251" t="str">
        <f>IFERROR(VLOOKUP($V24,'Halo Infinite Stats'!$A:AQ,43,0),)</f>
        <v>R2</v>
      </c>
      <c r="V24" s="406" t="str">
        <f>IFERROR(__xludf.DUMMYFUNCTION("""COMPUTED_VALUE"""),"CaptainSev004")</f>
        <v>CaptainSev004</v>
      </c>
      <c r="W24" s="521" t="str">
        <f>IFERROR(__xludf.DUMMYFUNCTION("""COMPUTED_VALUE"""),"C")</f>
        <v>C</v>
      </c>
      <c r="X24" s="297">
        <f>IFERROR(__xludf.DUMMYFUNCTION("""COMPUTED_VALUE"""),14.725000000000001)</f>
        <v>14.725</v>
      </c>
      <c r="Y24" s="271">
        <f>IFERROR(VLOOKUP($V24,'Halo Infinite Stats'!$A:$AM,2,0),)</f>
        <v>19</v>
      </c>
      <c r="Z24" s="40"/>
      <c r="AA24" s="274" t="str">
        <f>IFERROR(VLOOKUP($AC24,'Halo Infinite Stats'!$A:AR,44,0),)</f>
        <v>P6</v>
      </c>
      <c r="AB24" s="276" t="str">
        <f>IFERROR(VLOOKUP($AC24,'Halo Infinite Stats'!$A:AX,43,0),)</f>
        <v>R1</v>
      </c>
      <c r="AC24" s="411" t="str">
        <f>IFERROR(__xludf.DUMMYFUNCTION("""COMPUTED_VALUE"""),"DCleak")</f>
        <v>DCleak</v>
      </c>
      <c r="AD24" s="316" t="str">
        <f>IFERROR(__xludf.DUMMYFUNCTION("""COMPUTED_VALUE"""),"C")</f>
        <v>C</v>
      </c>
      <c r="AE24" s="278">
        <f>IFERROR(__xludf.DUMMYFUNCTION("""COMPUTED_VALUE"""),8.1)</f>
        <v>8.1</v>
      </c>
      <c r="AF24" s="40"/>
      <c r="AG24" s="251" t="str">
        <f>IFERROR(VLOOKUP($AI24,'Halo Infinite Stats'!$A:AR,44,0),)</f>
        <v>P13</v>
      </c>
      <c r="AH24" s="251" t="str">
        <f>IFERROR(VLOOKUP($AI24,'Halo Infinite Stats'!$A:AQ,43,0),)</f>
        <v>R2</v>
      </c>
      <c r="AI24" s="416" t="str">
        <f>IFERROR(__xludf.DUMMYFUNCTION("""COMPUTED_VALUE"""),"CaptainSev004")</f>
        <v>CaptainSev004</v>
      </c>
      <c r="AJ24" s="309" t="str">
        <f>IFERROR(__xludf.DUMMYFUNCTION("""COMPUTED_VALUE"""),"C")</f>
        <v>C</v>
      </c>
      <c r="AK24" s="300">
        <f>IFERROR(__xludf.DUMMYFUNCTION("""COMPUTED_VALUE"""),14.812500000000002)</f>
        <v>14.8125</v>
      </c>
      <c r="AL24" s="286">
        <f>IFERROR(VLOOKUP($AI24,'Season+Playoffs Stats'!$A:$AM,2,0),)</f>
        <v>19</v>
      </c>
      <c r="AM24" s="40"/>
      <c r="AN24" s="40"/>
      <c r="AO24" s="21"/>
      <c r="AP24" s="40"/>
      <c r="AQ24" s="458"/>
      <c r="AR24" s="460"/>
      <c r="AS24" s="460"/>
      <c r="AT24" s="40"/>
      <c r="AU24" s="21"/>
    </row>
    <row r="25">
      <c r="A25" s="40"/>
      <c r="B25" s="356" t="str">
        <f>IFERROR(__xludf.DUMMYFUNCTION("""COMPUTED_VALUE"""),"CaptainSev004")</f>
        <v>CaptainSev004</v>
      </c>
      <c r="C25" s="357">
        <f>IFERROR(__xludf.DUMMYFUNCTION("""COMPUTED_VALUE"""),-0.7412687099073414)</f>
        <v>-0.7412687099</v>
      </c>
      <c r="D25" s="40"/>
      <c r="E25" s="358" t="str">
        <f>IFERROR(__xludf.DUMMYFUNCTION("""COMPUTED_VALUE"""),"ASpence501")</f>
        <v>ASpence501</v>
      </c>
      <c r="F25" s="359">
        <f>IFERROR(__xludf.DUMMYFUNCTION("""COMPUTED_VALUE"""),6.32791728212703)</f>
        <v>6.327917282</v>
      </c>
      <c r="G25" s="40"/>
      <c r="H25" s="360" t="str">
        <f>IFERROR(__xludf.DUMMYFUNCTION("""COMPUTED_VALUE"""),"Grunt Padre")</f>
        <v>Grunt Padre</v>
      </c>
      <c r="I25" s="361">
        <f>IFERROR(__xludf.DUMMYFUNCTION("""COMPUTED_VALUE"""),0.03164696057316162)</f>
        <v>0.03164696057</v>
      </c>
      <c r="J25" s="40"/>
      <c r="K25" s="362" t="str">
        <f>IFERROR(__xludf.DUMMYFUNCTION("""COMPUTED_VALUE"""),"SPANKTR0N")</f>
        <v>SPANKTR0N</v>
      </c>
      <c r="L25" s="363">
        <f>IFERROR(__xludf.DUMMYFUNCTION("""COMPUTED_VALUE"""),0.07962040332147094)</f>
        <v>0.07962040332</v>
      </c>
      <c r="M25" s="40"/>
      <c r="N25" s="364" t="str">
        <f>IFERROR(__xludf.DUMMYFUNCTION("""COMPUTED_VALUE"""),"NOPLEX")</f>
        <v>NOPLEX</v>
      </c>
      <c r="O25" s="367">
        <f>IFERROR(__xludf.DUMMYFUNCTION("""COMPUTED_VALUE"""),0.5816326530612245)</f>
        <v>0.5816326531</v>
      </c>
      <c r="P25" s="40"/>
      <c r="Q25" s="369" t="str">
        <f>IFERROR(__xludf.DUMMYFUNCTION("""COMPUTED_VALUE"""),"MuNgO PuNgO")</f>
        <v>MuNgO PuNgO</v>
      </c>
      <c r="R25" s="370">
        <f>IFERROR(__xludf.DUMMYFUNCTION("""COMPUTED_VALUE"""),0.0957326573917684)</f>
        <v>0.09573265739</v>
      </c>
      <c r="S25" s="40"/>
      <c r="T25" s="251" t="str">
        <f>IFERROR(VLOOKUP($V25,'Halo Infinite Stats'!$A:AR,44,0),)</f>
        <v>PD</v>
      </c>
      <c r="U25" s="251" t="str">
        <f>IFERROR(VLOOKUP($V25,'Halo Infinite Stats'!$A:AQ,43,0),)</f>
        <v>R3</v>
      </c>
      <c r="V25" s="406" t="str">
        <f>IFERROR(__xludf.DUMMYFUNCTION("""COMPUTED_VALUE"""),"Priest XYZ")</f>
        <v>Priest XYZ</v>
      </c>
      <c r="W25" s="521" t="str">
        <f>IFERROR(__xludf.DUMMYFUNCTION("""COMPUTED_VALUE"""),"C-")</f>
        <v>C-</v>
      </c>
      <c r="X25" s="297">
        <f>IFERROR(__xludf.DUMMYFUNCTION("""COMPUTED_VALUE"""),14.512500000000001)</f>
        <v>14.5125</v>
      </c>
      <c r="Y25" s="271">
        <f>IFERROR(VLOOKUP($V25,'Halo Infinite Stats'!$A:$AM,2,0),)</f>
        <v>24</v>
      </c>
      <c r="Z25" s="40"/>
      <c r="AA25" s="274" t="str">
        <f>IFERROR(VLOOKUP($AC25,'Halo Infinite Stats'!$A:AR,44,0),)</f>
        <v>3rd</v>
      </c>
      <c r="AB25" s="276" t="str">
        <f>IFERROR(VLOOKUP($AC25,'Halo Infinite Stats'!$A:AX,43,0),)</f>
        <v>C</v>
      </c>
      <c r="AC25" s="411" t="str">
        <f>IFERROR(__xludf.DUMMYFUNCTION("""COMPUTED_VALUE"""),"Amnatu")</f>
        <v>Amnatu</v>
      </c>
      <c r="AD25" s="316" t="str">
        <f>IFERROR(__xludf.DUMMYFUNCTION("""COMPUTED_VALUE"""),"C")</f>
        <v>C</v>
      </c>
      <c r="AE25" s="278">
        <f>IFERROR(__xludf.DUMMYFUNCTION("""COMPUTED_VALUE"""),7.9)</f>
        <v>7.9</v>
      </c>
      <c r="AF25" s="40"/>
      <c r="AG25" s="251" t="str">
        <f>IFERROR(VLOOKUP($AI25,'Halo Infinite Stats'!$A:AR,44,0),)</f>
        <v>P6</v>
      </c>
      <c r="AH25" s="251" t="str">
        <f>IFERROR(VLOOKUP($AI25,'Halo Infinite Stats'!$A:AQ,43,0),)</f>
        <v>R1</v>
      </c>
      <c r="AI25" s="416" t="str">
        <f>IFERROR(__xludf.DUMMYFUNCTION("""COMPUTED_VALUE"""),"DCleak")</f>
        <v>DCleak</v>
      </c>
      <c r="AJ25" s="302" t="str">
        <f>IFERROR(__xludf.DUMMYFUNCTION("""COMPUTED_VALUE"""),"C-")</f>
        <v>C-</v>
      </c>
      <c r="AK25" s="300">
        <f>IFERROR(__xludf.DUMMYFUNCTION("""COMPUTED_VALUE"""),14.5)</f>
        <v>14.5</v>
      </c>
      <c r="AL25" s="286">
        <f>IFERROR(VLOOKUP($AI25,'Season+Playoffs Stats'!$A:$AM,2,0),)</f>
        <v>10</v>
      </c>
      <c r="AM25" s="40"/>
      <c r="AN25" s="40"/>
      <c r="AO25" s="21"/>
      <c r="AP25" s="40"/>
      <c r="AQ25" s="458"/>
      <c r="AR25" s="460"/>
      <c r="AS25" s="460"/>
      <c r="AT25" s="40"/>
      <c r="AU25" s="21"/>
    </row>
    <row r="26">
      <c r="A26" s="40"/>
      <c r="B26" s="356" t="str">
        <f>IFERROR(__xludf.DUMMYFUNCTION("""COMPUTED_VALUE"""),"AwareMosquito")</f>
        <v>AwareMosquito</v>
      </c>
      <c r="C26" s="357">
        <f>IFERROR(__xludf.DUMMYFUNCTION("""COMPUTED_VALUE"""),-0.7834688081480756)</f>
        <v>-0.7834688081</v>
      </c>
      <c r="D26" s="40"/>
      <c r="E26" s="358" t="str">
        <f>IFERROR(__xludf.DUMMYFUNCTION("""COMPUTED_VALUE"""),"Clydrohsun")</f>
        <v>Clydrohsun</v>
      </c>
      <c r="F26" s="359">
        <f>IFERROR(__xludf.DUMMYFUNCTION("""COMPUTED_VALUE"""),6.320021441972662)</f>
        <v>6.320021442</v>
      </c>
      <c r="G26" s="40"/>
      <c r="H26" s="360" t="str">
        <f>IFERROR(__xludf.DUMMYFUNCTION("""COMPUTED_VALUE"""),"Memorized")</f>
        <v>Memorized</v>
      </c>
      <c r="I26" s="361">
        <f>IFERROR(__xludf.DUMMYFUNCTION("""COMPUTED_VALUE"""),0.031416902293433864)</f>
        <v>0.03141690229</v>
      </c>
      <c r="J26" s="40"/>
      <c r="K26" s="362" t="str">
        <f>IFERROR(__xludf.DUMMYFUNCTION("""COMPUTED_VALUE"""),"Almighty Tycoon")</f>
        <v>Almighty Tycoon</v>
      </c>
      <c r="L26" s="363">
        <f>IFERROR(__xludf.DUMMYFUNCTION("""COMPUTED_VALUE"""),0.07780837004405287)</f>
        <v>0.07780837004</v>
      </c>
      <c r="M26" s="40"/>
      <c r="N26" s="364" t="str">
        <f>IFERROR(__xludf.DUMMYFUNCTION("""COMPUTED_VALUE"""),"KDSkill")</f>
        <v>KDSkill</v>
      </c>
      <c r="O26" s="367">
        <f>IFERROR(__xludf.DUMMYFUNCTION("""COMPUTED_VALUE"""),0.570884871550904)</f>
        <v>0.5708848716</v>
      </c>
      <c r="P26" s="40"/>
      <c r="Q26" s="369" t="str">
        <f>IFERROR(__xludf.DUMMYFUNCTION("""COMPUTED_VALUE"""),"Almighty Tycoon")</f>
        <v>Almighty Tycoon</v>
      </c>
      <c r="R26" s="370">
        <f>IFERROR(__xludf.DUMMYFUNCTION("""COMPUTED_VALUE"""),0.06185191460521858)</f>
        <v>0.06185191461</v>
      </c>
      <c r="S26" s="40"/>
      <c r="T26" s="251" t="str">
        <f>IFERROR(VLOOKUP($V26,'Halo Infinite Stats'!$A:AR,44,0),)</f>
        <v>P6</v>
      </c>
      <c r="U26" s="251" t="str">
        <f>IFERROR(VLOOKUP($V26,'Halo Infinite Stats'!$A:AQ,43,0),)</f>
        <v>R1</v>
      </c>
      <c r="V26" s="406" t="str">
        <f>IFERROR(__xludf.DUMMYFUNCTION("""COMPUTED_VALUE"""),"DCleak")</f>
        <v>DCleak</v>
      </c>
      <c r="W26" s="521" t="str">
        <f>IFERROR(__xludf.DUMMYFUNCTION("""COMPUTED_VALUE"""),"C-")</f>
        <v>C-</v>
      </c>
      <c r="X26" s="297">
        <f>IFERROR(__xludf.DUMMYFUNCTION("""COMPUTED_VALUE"""),14.200000000000001)</f>
        <v>14.2</v>
      </c>
      <c r="Y26" s="271">
        <f>IFERROR(VLOOKUP($V26,'Halo Infinite Stats'!$A:$AM,2,0),)</f>
        <v>10</v>
      </c>
      <c r="Z26" s="40"/>
      <c r="AA26" s="274" t="str">
        <f>IFERROR(VLOOKUP($AC26,'Halo Infinite Stats'!$A:AR,44,0),)</f>
        <v>P22</v>
      </c>
      <c r="AB26" s="276" t="str">
        <f>IFERROR(VLOOKUP($AC26,'Halo Infinite Stats'!$A:AX,43,0),)</f>
        <v>R2</v>
      </c>
      <c r="AC26" s="411" t="str">
        <f>IFERROR(__xludf.DUMMYFUNCTION("""COMPUTED_VALUE"""),"Almighty Tycoon")</f>
        <v>Almighty Tycoon</v>
      </c>
      <c r="AD26" s="316" t="str">
        <f>IFERROR(__xludf.DUMMYFUNCTION("""COMPUTED_VALUE"""),"C-")</f>
        <v>C-</v>
      </c>
      <c r="AE26" s="278">
        <f>IFERROR(__xludf.DUMMYFUNCTION("""COMPUTED_VALUE"""),7.324999999999999)</f>
        <v>7.325</v>
      </c>
      <c r="AF26" s="40"/>
      <c r="AG26" s="251" t="str">
        <f>IFERROR(VLOOKUP($AI26,'Halo Infinite Stats'!$A:AR,44,0),)</f>
        <v>P21</v>
      </c>
      <c r="AH26" s="251" t="str">
        <f>IFERROR(VLOOKUP($AI26,'Halo Infinite Stats'!$A:AQ,43,0),)</f>
        <v>R2</v>
      </c>
      <c r="AI26" s="416" t="str">
        <f>IFERROR(__xludf.DUMMYFUNCTION("""COMPUTED_VALUE"""),"NOPLEX")</f>
        <v>NOPLEX</v>
      </c>
      <c r="AJ26" s="309" t="str">
        <f>IFERROR(__xludf.DUMMYFUNCTION("""COMPUTED_VALUE"""),"C-")</f>
        <v>C-</v>
      </c>
      <c r="AK26" s="300">
        <f>IFERROR(__xludf.DUMMYFUNCTION("""COMPUTED_VALUE"""),14.262500000000001)</f>
        <v>14.2625</v>
      </c>
      <c r="AL26" s="286">
        <f>IFERROR(VLOOKUP($AI26,'Season+Playoffs Stats'!$A:$AM,2,0),)</f>
        <v>24</v>
      </c>
      <c r="AM26" s="40"/>
      <c r="AN26" s="40"/>
      <c r="AO26" s="21"/>
      <c r="AP26" s="40"/>
      <c r="AQ26" s="458"/>
      <c r="AR26" s="460"/>
      <c r="AS26" s="460"/>
      <c r="AT26" s="40"/>
      <c r="AU26" s="21"/>
    </row>
    <row r="27">
      <c r="A27" s="40"/>
      <c r="B27" s="356" t="str">
        <f>IFERROR(__xludf.DUMMYFUNCTION("""COMPUTED_VALUE"""),"Pd Craig 69")</f>
        <v>Pd Craig 69</v>
      </c>
      <c r="C27" s="357">
        <f>IFERROR(__xludf.DUMMYFUNCTION("""COMPUTED_VALUE"""),-0.7902163687676388)</f>
        <v>-0.7902163688</v>
      </c>
      <c r="D27" s="40"/>
      <c r="E27" s="358" t="str">
        <f>IFERROR(__xludf.DUMMYFUNCTION("""COMPUTED_VALUE"""),"Pd Craig 69")</f>
        <v>Pd Craig 69</v>
      </c>
      <c r="F27" s="359">
        <f>IFERROR(__xludf.DUMMYFUNCTION("""COMPUTED_VALUE"""),6.284101599247413)</f>
        <v>6.284101599</v>
      </c>
      <c r="G27" s="40"/>
      <c r="H27" s="360" t="str">
        <f>IFERROR(__xludf.DUMMYFUNCTION("""COMPUTED_VALUE"""),"AwareMosquito")</f>
        <v>AwareMosquito</v>
      </c>
      <c r="I27" s="361">
        <f>IFERROR(__xludf.DUMMYFUNCTION("""COMPUTED_VALUE"""),0.03133875232592302)</f>
        <v>0.03133875233</v>
      </c>
      <c r="J27" s="40"/>
      <c r="K27" s="362" t="str">
        <f>IFERROR(__xludf.DUMMYFUNCTION("""COMPUTED_VALUE"""),"WeirdPG")</f>
        <v>WeirdPG</v>
      </c>
      <c r="L27" s="363">
        <f>IFERROR(__xludf.DUMMYFUNCTION("""COMPUTED_VALUE"""),0.07774620443289762)</f>
        <v>0.07774620443</v>
      </c>
      <c r="M27" s="40"/>
      <c r="N27" s="364" t="str">
        <f>IFERROR(__xludf.DUMMYFUNCTION("""COMPUTED_VALUE"""),"DCleak")</f>
        <v>DCleak</v>
      </c>
      <c r="O27" s="367">
        <f>IFERROR(__xludf.DUMMYFUNCTION("""COMPUTED_VALUE"""),0.5702217529039071)</f>
        <v>0.5702217529</v>
      </c>
      <c r="P27" s="40"/>
      <c r="Q27" s="369" t="str">
        <f>IFERROR(__xludf.DUMMYFUNCTION("""COMPUTED_VALUE"""),"Priest XYZ")</f>
        <v>Priest XYZ</v>
      </c>
      <c r="R27" s="370">
        <f>IFERROR(__xludf.DUMMYFUNCTION("""COMPUTED_VALUE"""),0.05606790589000784)</f>
        <v>0.05606790589</v>
      </c>
      <c r="S27" s="40"/>
      <c r="T27" s="251" t="str">
        <f>IFERROR(VLOOKUP($V27,'Halo Infinite Stats'!$A:AR,44,0),)</f>
        <v>7th</v>
      </c>
      <c r="U27" s="251" t="str">
        <f>IFERROR(VLOOKUP($V27,'Halo Infinite Stats'!$A:AQ,43,0),)</f>
        <v>C</v>
      </c>
      <c r="V27" s="406" t="str">
        <f>IFERROR(__xludf.DUMMYFUNCTION("""COMPUTED_VALUE"""),"MuNgO PuNgO")</f>
        <v>MuNgO PuNgO</v>
      </c>
      <c r="W27" s="521" t="str">
        <f>IFERROR(__xludf.DUMMYFUNCTION("""COMPUTED_VALUE"""),"D+")</f>
        <v>D+</v>
      </c>
      <c r="X27" s="297">
        <f>IFERROR(__xludf.DUMMYFUNCTION("""COMPUTED_VALUE"""),14.137500000000001)</f>
        <v>14.1375</v>
      </c>
      <c r="Y27" s="271">
        <f>IFERROR(VLOOKUP($V27,'Halo Infinite Stats'!$A:$AM,2,0),)</f>
        <v>21</v>
      </c>
      <c r="Z27" s="40"/>
      <c r="AA27" s="274" t="str">
        <f>IFERROR(VLOOKUP($AC27,'Halo Infinite Stats'!$A:AR,44,0),)</f>
        <v>9th</v>
      </c>
      <c r="AB27" s="276" t="str">
        <f>IFERROR(VLOOKUP($AC27,'Halo Infinite Stats'!$A:AX,43,0),)</f>
        <v>C</v>
      </c>
      <c r="AC27" s="411" t="str">
        <f>IFERROR(__xludf.DUMMYFUNCTION("""COMPUTED_VALUE"""),"SPANKTR0N")</f>
        <v>SPANKTR0N</v>
      </c>
      <c r="AD27" s="316" t="str">
        <f>IFERROR(__xludf.DUMMYFUNCTION("""COMPUTED_VALUE"""),"C-")</f>
        <v>C-</v>
      </c>
      <c r="AE27" s="278">
        <f>IFERROR(__xludf.DUMMYFUNCTION("""COMPUTED_VALUE"""),6.625000000000001)</f>
        <v>6.625</v>
      </c>
      <c r="AF27" s="40"/>
      <c r="AG27" s="251" t="str">
        <f>IFERROR(VLOOKUP($AI27,'Halo Infinite Stats'!$A:AR,44,0),)</f>
        <v>PD</v>
      </c>
      <c r="AH27" s="251" t="str">
        <f>IFERROR(VLOOKUP($AI27,'Halo Infinite Stats'!$A:AQ,43,0),)</f>
        <v>R3</v>
      </c>
      <c r="AI27" s="416" t="str">
        <f>IFERROR(__xludf.DUMMYFUNCTION("""COMPUTED_VALUE"""),"Priest XYZ")</f>
        <v>Priest XYZ</v>
      </c>
      <c r="AJ27" s="302" t="str">
        <f>IFERROR(__xludf.DUMMYFUNCTION("""COMPUTED_VALUE"""),"D+")</f>
        <v>D+</v>
      </c>
      <c r="AK27" s="300">
        <f>IFERROR(__xludf.DUMMYFUNCTION("""COMPUTED_VALUE"""),14.25)</f>
        <v>14.25</v>
      </c>
      <c r="AL27" s="286">
        <f>IFERROR(VLOOKUP($AI27,'Season+Playoffs Stats'!$A:$AM,2,0),)</f>
        <v>26</v>
      </c>
      <c r="AM27" s="40"/>
      <c r="AN27" s="40"/>
      <c r="AO27" s="21"/>
      <c r="AP27" s="40"/>
      <c r="AQ27" s="458"/>
      <c r="AR27" s="460"/>
      <c r="AS27" s="460"/>
      <c r="AT27" s="40"/>
      <c r="AU27" s="21"/>
    </row>
    <row r="28">
      <c r="A28" s="40"/>
      <c r="B28" s="356" t="str">
        <f>IFERROR(__xludf.DUMMYFUNCTION("""COMPUTED_VALUE"""),"Mr epic beast")</f>
        <v>Mr epic beast</v>
      </c>
      <c r="C28" s="357">
        <f>IFERROR(__xludf.DUMMYFUNCTION("""COMPUTED_VALUE"""),-0.8775731310942578)</f>
        <v>-0.8775731311</v>
      </c>
      <c r="D28" s="40"/>
      <c r="E28" s="358" t="str">
        <f>IFERROR(__xludf.DUMMYFUNCTION("""COMPUTED_VALUE"""),"TJP37")</f>
        <v>TJP37</v>
      </c>
      <c r="F28" s="359">
        <f>IFERROR(__xludf.DUMMYFUNCTION("""COMPUTED_VALUE"""),6.263748230425787)</f>
        <v>6.26374823</v>
      </c>
      <c r="G28" s="40"/>
      <c r="H28" s="360" t="str">
        <f>IFERROR(__xludf.DUMMYFUNCTION("""COMPUTED_VALUE"""),"Beam1n1")</f>
        <v>Beam1n1</v>
      </c>
      <c r="I28" s="361">
        <f>IFERROR(__xludf.DUMMYFUNCTION("""COMPUTED_VALUE"""),0.031039834454216243)</f>
        <v>0.03103983445</v>
      </c>
      <c r="J28" s="40"/>
      <c r="K28" s="362" t="str">
        <f>IFERROR(__xludf.DUMMYFUNCTION("""COMPUTED_VALUE"""),"Beam1n1")</f>
        <v>Beam1n1</v>
      </c>
      <c r="L28" s="363">
        <f>IFERROR(__xludf.DUMMYFUNCTION("""COMPUTED_VALUE"""),0.07697878944645628)</f>
        <v>0.07697878945</v>
      </c>
      <c r="M28" s="40"/>
      <c r="N28" s="364" t="str">
        <f>IFERROR(__xludf.DUMMYFUNCTION("""COMPUTED_VALUE"""),"Its Rainin MenZ")</f>
        <v>Its Rainin MenZ</v>
      </c>
      <c r="O28" s="367">
        <f>IFERROR(__xludf.DUMMYFUNCTION("""COMPUTED_VALUE"""),0.549835255354201)</f>
        <v>0.5498352554</v>
      </c>
      <c r="P28" s="40"/>
      <c r="Q28" s="369" t="str">
        <f>IFERROR(__xludf.DUMMYFUNCTION("""COMPUTED_VALUE"""),"Deathcrawller")</f>
        <v>Deathcrawller</v>
      </c>
      <c r="R28" s="370">
        <f>IFERROR(__xludf.DUMMYFUNCTION("""COMPUTED_VALUE"""),-0.06406347167633349)</f>
        <v>-0.06406347168</v>
      </c>
      <c r="S28" s="40"/>
      <c r="T28" s="251" t="str">
        <f>IFERROR(VLOOKUP($V28,'Halo Infinite Stats'!$A:AR,44,0),)</f>
        <v>P21</v>
      </c>
      <c r="U28" s="251" t="str">
        <f>IFERROR(VLOOKUP($V28,'Halo Infinite Stats'!$A:AQ,43,0),)</f>
        <v>R2</v>
      </c>
      <c r="V28" s="406" t="str">
        <f>IFERROR(__xludf.DUMMYFUNCTION("""COMPUTED_VALUE"""),"NOPLEX")</f>
        <v>NOPLEX</v>
      </c>
      <c r="W28" s="555" t="str">
        <f>IFERROR(__xludf.DUMMYFUNCTION("""COMPUTED_VALUE"""),"D+")</f>
        <v>D+</v>
      </c>
      <c r="X28" s="297">
        <f>IFERROR(__xludf.DUMMYFUNCTION("""COMPUTED_VALUE"""),13.924999999999999)</f>
        <v>13.925</v>
      </c>
      <c r="Y28" s="271">
        <f>IFERROR(VLOOKUP($V28,'Halo Infinite Stats'!$A:$AM,2,0),)</f>
        <v>22</v>
      </c>
      <c r="Z28" s="40"/>
      <c r="AA28" s="274" t="str">
        <f>IFERROR(VLOOKUP($AC28,'Halo Infinite Stats'!$A:AR,44,0),)</f>
        <v>P7</v>
      </c>
      <c r="AB28" s="276" t="str">
        <f>IFERROR(VLOOKUP($AC28,'Halo Infinite Stats'!$A:AX,43,0),)</f>
        <v>R1</v>
      </c>
      <c r="AC28" s="411" t="str">
        <f>IFERROR(__xludf.DUMMYFUNCTION("""COMPUTED_VALUE"""),"Fanciest Pants")</f>
        <v>Fanciest Pants</v>
      </c>
      <c r="AD28" s="316" t="str">
        <f>IFERROR(__xludf.DUMMYFUNCTION("""COMPUTED_VALUE"""),"D+")</f>
        <v>D+</v>
      </c>
      <c r="AE28" s="278">
        <f>IFERROR(__xludf.DUMMYFUNCTION("""COMPUTED_VALUE"""),6.5249999999999995)</f>
        <v>6.525</v>
      </c>
      <c r="AF28" s="40"/>
      <c r="AG28" s="251" t="str">
        <f>IFERROR(VLOOKUP($AI28,'Halo Infinite Stats'!$A:AR,44,0),)</f>
        <v>7th</v>
      </c>
      <c r="AH28" s="251" t="str">
        <f>IFERROR(VLOOKUP($AI28,'Halo Infinite Stats'!$A:AQ,43,0),)</f>
        <v>C</v>
      </c>
      <c r="AI28" s="416" t="str">
        <f>IFERROR(__xludf.DUMMYFUNCTION("""COMPUTED_VALUE"""),"MuNgO PuNgO")</f>
        <v>MuNgO PuNgO</v>
      </c>
      <c r="AJ28" s="309" t="str">
        <f>IFERROR(__xludf.DUMMYFUNCTION("""COMPUTED_VALUE"""),"D+")</f>
        <v>D+</v>
      </c>
      <c r="AK28" s="300">
        <f>IFERROR(__xludf.DUMMYFUNCTION("""COMPUTED_VALUE"""),14.225000000000001)</f>
        <v>14.225</v>
      </c>
      <c r="AL28" s="286">
        <f>IFERROR(VLOOKUP($AI28,'Season+Playoffs Stats'!$A:$AM,2,0),)</f>
        <v>28</v>
      </c>
      <c r="AM28" s="40"/>
      <c r="AN28" s="40"/>
      <c r="AO28" s="21"/>
      <c r="AP28" s="40"/>
      <c r="AQ28" s="458"/>
      <c r="AR28" s="460"/>
      <c r="AS28" s="460"/>
      <c r="AT28" s="40"/>
      <c r="AU28" s="21"/>
    </row>
    <row r="29">
      <c r="A29" s="40"/>
      <c r="B29" s="356" t="str">
        <f>IFERROR(__xludf.DUMMYFUNCTION("""COMPUTED_VALUE"""),"MuNgO PuNgO")</f>
        <v>MuNgO PuNgO</v>
      </c>
      <c r="C29" s="357">
        <f>IFERROR(__xludf.DUMMYFUNCTION("""COMPUTED_VALUE"""),-0.8780863537164619)</f>
        <v>-0.8780863537</v>
      </c>
      <c r="D29" s="40"/>
      <c r="E29" s="358" t="str">
        <f>IFERROR(__xludf.DUMMYFUNCTION("""COMPUTED_VALUE"""),"Its Rainin MenZ")</f>
        <v>Its Rainin MenZ</v>
      </c>
      <c r="F29" s="359">
        <f>IFERROR(__xludf.DUMMYFUNCTION("""COMPUTED_VALUE"""),6.129877292154971)</f>
        <v>6.129877292</v>
      </c>
      <c r="G29" s="40"/>
      <c r="H29" s="360" t="str">
        <f>IFERROR(__xludf.DUMMYFUNCTION("""COMPUTED_VALUE"""),"Almighty Tycoon")</f>
        <v>Almighty Tycoon</v>
      </c>
      <c r="I29" s="361">
        <f>IFERROR(__xludf.DUMMYFUNCTION("""COMPUTED_VALUE"""),0.02890969162995595)</f>
        <v>0.02890969163</v>
      </c>
      <c r="J29" s="40"/>
      <c r="K29" s="362" t="str">
        <f>IFERROR(__xludf.DUMMYFUNCTION("""COMPUTED_VALUE"""),"StarMonster8129")</f>
        <v>StarMonster8129</v>
      </c>
      <c r="L29" s="363">
        <f>IFERROR(__xludf.DUMMYFUNCTION("""COMPUTED_VALUE"""),0.07648440120764845)</f>
        <v>0.07648440121</v>
      </c>
      <c r="M29" s="40"/>
      <c r="N29" s="364" t="str">
        <f>IFERROR(__xludf.DUMMYFUNCTION("""COMPUTED_VALUE"""),"Beam1n1")</f>
        <v>Beam1n1</v>
      </c>
      <c r="O29" s="367">
        <f>IFERROR(__xludf.DUMMYFUNCTION("""COMPUTED_VALUE"""),0.5380237972064149)</f>
        <v>0.5380237972</v>
      </c>
      <c r="P29" s="40"/>
      <c r="Q29" s="369" t="str">
        <f>IFERROR(__xludf.DUMMYFUNCTION("""COMPUTED_VALUE"""),"Clydrohsun")</f>
        <v>Clydrohsun</v>
      </c>
      <c r="R29" s="370">
        <f>IFERROR(__xludf.DUMMYFUNCTION("""COMPUTED_VALUE"""),-0.1447333154650228)</f>
        <v>-0.1447333155</v>
      </c>
      <c r="S29" s="40"/>
      <c r="T29" s="251" t="str">
        <f>IFERROR(VLOOKUP($V29,'Halo Infinite Stats'!$A:AR,44,0),)</f>
        <v>P22</v>
      </c>
      <c r="U29" s="251" t="str">
        <f>IFERROR(VLOOKUP($V29,'Halo Infinite Stats'!$A:AQ,43,0),)</f>
        <v>R2</v>
      </c>
      <c r="V29" s="406" t="str">
        <f>IFERROR(__xludf.DUMMYFUNCTION("""COMPUTED_VALUE"""),"Almighty Tycoon")</f>
        <v>Almighty Tycoon</v>
      </c>
      <c r="W29" s="555" t="str">
        <f>IFERROR(__xludf.DUMMYFUNCTION("""COMPUTED_VALUE"""),"D")</f>
        <v>D</v>
      </c>
      <c r="X29" s="297">
        <f>IFERROR(__xludf.DUMMYFUNCTION("""COMPUTED_VALUE"""),13.612499999999999)</f>
        <v>13.6125</v>
      </c>
      <c r="Y29" s="271">
        <f>IFERROR(VLOOKUP($V29,'Halo Infinite Stats'!$A:$AM,2,0),)</f>
        <v>13</v>
      </c>
      <c r="Z29" s="40"/>
      <c r="AA29" s="274" t="str">
        <f>IFERROR(VLOOKUP($AC29,'Halo Infinite Stats'!$A:AR,44,0),)</f>
        <v>P39</v>
      </c>
      <c r="AB29" s="276" t="str">
        <f>IFERROR(VLOOKUP($AC29,'Halo Infinite Stats'!$A:AX,43,0),)</f>
        <v>R3</v>
      </c>
      <c r="AC29" s="411" t="str">
        <f>IFERROR(__xludf.DUMMYFUNCTION("""COMPUTED_VALUE"""),"WeirdPG")</f>
        <v>WeirdPG</v>
      </c>
      <c r="AD29" s="316" t="str">
        <f>IFERROR(__xludf.DUMMYFUNCTION("""COMPUTED_VALUE"""),"D+")</f>
        <v>D+</v>
      </c>
      <c r="AE29" s="278">
        <f>IFERROR(__xludf.DUMMYFUNCTION("""COMPUTED_VALUE"""),6.425000000000001)</f>
        <v>6.425</v>
      </c>
      <c r="AF29" s="40"/>
      <c r="AG29" s="251" t="str">
        <f>IFERROR(VLOOKUP($AI29,'Halo Infinite Stats'!$A:AR,44,0),)</f>
        <v>P20</v>
      </c>
      <c r="AH29" s="251" t="str">
        <f>IFERROR(VLOOKUP($AI29,'Halo Infinite Stats'!$A:AQ,43,0),)</f>
        <v>R2</v>
      </c>
      <c r="AI29" s="416" t="str">
        <f>IFERROR(__xludf.DUMMYFUNCTION("""COMPUTED_VALUE"""),"AwareMosquito")</f>
        <v>AwareMosquito</v>
      </c>
      <c r="AJ29" s="302" t="str">
        <f>IFERROR(__xludf.DUMMYFUNCTION("""COMPUTED_VALUE"""),"D")</f>
        <v>D</v>
      </c>
      <c r="AK29" s="300">
        <f>IFERROR(__xludf.DUMMYFUNCTION("""COMPUTED_VALUE"""),13.062500000000002)</f>
        <v>13.0625</v>
      </c>
      <c r="AL29" s="286">
        <f>IFERROR(VLOOKUP($AI29,'Season+Playoffs Stats'!$A:$AM,2,0),)</f>
        <v>32</v>
      </c>
      <c r="AM29" s="40"/>
      <c r="AN29" s="40"/>
      <c r="AO29" s="21"/>
      <c r="AP29" s="40"/>
      <c r="AQ29" s="458"/>
      <c r="AR29" s="460"/>
      <c r="AS29" s="460"/>
      <c r="AT29" s="40"/>
      <c r="AU29" s="21"/>
    </row>
    <row r="30">
      <c r="A30" s="40"/>
      <c r="B30" s="356" t="str">
        <f>IFERROR(__xludf.DUMMYFUNCTION("""COMPUTED_VALUE"""),"Its Rainin MenZ")</f>
        <v>Its Rainin MenZ</v>
      </c>
      <c r="C30" s="357">
        <f>IFERROR(__xludf.DUMMYFUNCTION("""COMPUTED_VALUE"""),-0.9403005652833311)</f>
        <v>-0.9403005653</v>
      </c>
      <c r="D30" s="40"/>
      <c r="E30" s="358" t="str">
        <f>IFERROR(__xludf.DUMMYFUNCTION("""COMPUTED_VALUE"""),"Ram Osneb")</f>
        <v>Ram Osneb</v>
      </c>
      <c r="F30" s="359">
        <f>IFERROR(__xludf.DUMMYFUNCTION("""COMPUTED_VALUE"""),6.0787513302589575)</f>
        <v>6.07875133</v>
      </c>
      <c r="G30" s="40"/>
      <c r="H30" s="360" t="str">
        <f>IFERROR(__xludf.DUMMYFUNCTION("""COMPUTED_VALUE"""),"Priest XYZ")</f>
        <v>Priest XYZ</v>
      </c>
      <c r="I30" s="361">
        <f>IFERROR(__xludf.DUMMYFUNCTION("""COMPUTED_VALUE"""),0.026618162459518212)</f>
        <v>0.02661816246</v>
      </c>
      <c r="J30" s="40"/>
      <c r="K30" s="362" t="str">
        <f>IFERROR(__xludf.DUMMYFUNCTION("""COMPUTED_VALUE"""),"Grunt Padre")</f>
        <v>Grunt Padre</v>
      </c>
      <c r="L30" s="363">
        <f>IFERROR(__xludf.DUMMYFUNCTION("""COMPUTED_VALUE"""),0.07067821194672762)</f>
        <v>0.07067821195</v>
      </c>
      <c r="M30" s="40"/>
      <c r="N30" s="364" t="str">
        <f>IFERROR(__xludf.DUMMYFUNCTION("""COMPUTED_VALUE"""),"Clydrohsun")</f>
        <v>Clydrohsun</v>
      </c>
      <c r="O30" s="367">
        <f>IFERROR(__xludf.DUMMYFUNCTION("""COMPUTED_VALUE"""),0.5306888233717503)</f>
        <v>0.5306888234</v>
      </c>
      <c r="P30" s="40"/>
      <c r="Q30" s="369" t="str">
        <f>IFERROR(__xludf.DUMMYFUNCTION("""COMPUTED_VALUE"""),"Pd Craig 69")</f>
        <v>Pd Craig 69</v>
      </c>
      <c r="R30" s="370">
        <f>IFERROR(__xludf.DUMMYFUNCTION("""COMPUTED_VALUE"""),-0.15051740357478835)</f>
        <v>-0.1505174036</v>
      </c>
      <c r="S30" s="40"/>
      <c r="T30" s="251" t="str">
        <f>IFERROR(VLOOKUP($V30,'Halo Infinite Stats'!$A:AR,44,0),)</f>
        <v>P20</v>
      </c>
      <c r="U30" s="251" t="str">
        <f>IFERROR(VLOOKUP($V30,'Halo Infinite Stats'!$A:AQ,43,0),)</f>
        <v>R2</v>
      </c>
      <c r="V30" s="406" t="str">
        <f>IFERROR(__xludf.DUMMYFUNCTION("""COMPUTED_VALUE"""),"AwareMosquito")</f>
        <v>AwareMosquito</v>
      </c>
      <c r="W30" s="555" t="str">
        <f>IFERROR(__xludf.DUMMYFUNCTION("""COMPUTED_VALUE"""),"D")</f>
        <v>D</v>
      </c>
      <c r="X30" s="297">
        <f>IFERROR(__xludf.DUMMYFUNCTION("""COMPUTED_VALUE"""),12.6125)</f>
        <v>12.6125</v>
      </c>
      <c r="Y30" s="271">
        <f>IFERROR(VLOOKUP($V30,'Halo Infinite Stats'!$A:$AM,2,0),)</f>
        <v>28</v>
      </c>
      <c r="Z30" s="40"/>
      <c r="AA30" s="274" t="str">
        <f>IFERROR(VLOOKUP($AC30,'Halo Infinite Stats'!$A:AR,44,0),)</f>
        <v>P21</v>
      </c>
      <c r="AB30" s="276" t="str">
        <f>IFERROR(VLOOKUP($AC30,'Halo Infinite Stats'!$A:AX,43,0),)</f>
        <v>R2</v>
      </c>
      <c r="AC30" s="411" t="str">
        <f>IFERROR(__xludf.DUMMYFUNCTION("""COMPUTED_VALUE"""),"NOPLEX")</f>
        <v>NOPLEX</v>
      </c>
      <c r="AD30" s="316" t="str">
        <f>IFERROR(__xludf.DUMMYFUNCTION("""COMPUTED_VALUE"""),"D")</f>
        <v>D</v>
      </c>
      <c r="AE30" s="278">
        <f>IFERROR(__xludf.DUMMYFUNCTION("""COMPUTED_VALUE"""),6.375000000000001)</f>
        <v>6.375</v>
      </c>
      <c r="AF30" s="40"/>
      <c r="AG30" s="251" t="str">
        <f>IFERROR(VLOOKUP($AI30,'Halo Infinite Stats'!$A:AR,44,0),)</f>
        <v>P44</v>
      </c>
      <c r="AH30" s="251" t="str">
        <f>IFERROR(VLOOKUP($AI30,'Halo Infinite Stats'!$A:AQ,43,0),)</f>
        <v>R3</v>
      </c>
      <c r="AI30" s="416" t="str">
        <f>IFERROR(__xludf.DUMMYFUNCTION("""COMPUTED_VALUE"""),"GeneralCornBeef")</f>
        <v>GeneralCornBeef</v>
      </c>
      <c r="AJ30" s="309" t="str">
        <f>IFERROR(__xludf.DUMMYFUNCTION("""COMPUTED_VALUE"""),"D")</f>
        <v>D</v>
      </c>
      <c r="AK30" s="300">
        <f>IFERROR(__xludf.DUMMYFUNCTION("""COMPUTED_VALUE"""),12.987499999999999)</f>
        <v>12.9875</v>
      </c>
      <c r="AL30" s="286">
        <f>IFERROR(VLOOKUP($AI30,'Season+Playoffs Stats'!$A:$AM,2,0),)</f>
        <v>14</v>
      </c>
      <c r="AM30" s="40"/>
      <c r="AN30" s="40"/>
      <c r="AO30" s="21"/>
      <c r="AP30" s="40"/>
      <c r="AQ30" s="458"/>
      <c r="AR30" s="460"/>
      <c r="AS30" s="460"/>
      <c r="AT30" s="40"/>
      <c r="AU30" s="21"/>
    </row>
    <row r="31">
      <c r="A31" s="40"/>
      <c r="B31" s="356" t="str">
        <f>IFERROR(__xludf.DUMMYFUNCTION("""COMPUTED_VALUE"""),"Grunt Padre")</f>
        <v>Grunt Padre</v>
      </c>
      <c r="C31" s="357">
        <f>IFERROR(__xludf.DUMMYFUNCTION("""COMPUTED_VALUE"""),-1.075996659487495)</f>
        <v>-1.075996659</v>
      </c>
      <c r="D31" s="40"/>
      <c r="E31" s="358" t="str">
        <f>IFERROR(__xludf.DUMMYFUNCTION("""COMPUTED_VALUE"""),"Itzreelz")</f>
        <v>Itzreelz</v>
      </c>
      <c r="F31" s="359">
        <f>IFERROR(__xludf.DUMMYFUNCTION("""COMPUTED_VALUE"""),5.9937968467304215)</f>
        <v>5.993796847</v>
      </c>
      <c r="G31" s="40"/>
      <c r="H31" s="360" t="str">
        <f>IFERROR(__xludf.DUMMYFUNCTION("""COMPUTED_VALUE"""),"NOPLEX")</f>
        <v>NOPLEX</v>
      </c>
      <c r="I31" s="361">
        <f>IFERROR(__xludf.DUMMYFUNCTION("""COMPUTED_VALUE"""),0.026282360155942004)</f>
        <v>0.02628236016</v>
      </c>
      <c r="J31" s="40"/>
      <c r="K31" s="362" t="str">
        <f>IFERROR(__xludf.DUMMYFUNCTION("""COMPUTED_VALUE"""),"NOPLEX")</f>
        <v>NOPLEX</v>
      </c>
      <c r="L31" s="363">
        <f>IFERROR(__xludf.DUMMYFUNCTION("""COMPUTED_VALUE"""),0.06938543081168688)</f>
        <v>0.06938543081</v>
      </c>
      <c r="M31" s="40"/>
      <c r="N31" s="364" t="str">
        <f>IFERROR(__xludf.DUMMYFUNCTION("""COMPUTED_VALUE"""),"CaptainSev004")</f>
        <v>CaptainSev004</v>
      </c>
      <c r="O31" s="367">
        <f>IFERROR(__xludf.DUMMYFUNCTION("""COMPUTED_VALUE"""),0.5238774055595152)</f>
        <v>0.5238774056</v>
      </c>
      <c r="P31" s="40"/>
      <c r="Q31" s="369" t="str">
        <f>IFERROR(__xludf.DUMMYFUNCTION("""COMPUTED_VALUE"""),"Grunt Padre")</f>
        <v>Grunt Padre</v>
      </c>
      <c r="R31" s="370">
        <f>IFERROR(__xludf.DUMMYFUNCTION("""COMPUTED_VALUE"""),-0.19480950776278455)</f>
        <v>-0.1948095078</v>
      </c>
      <c r="S31" s="40"/>
      <c r="T31" s="251" t="str">
        <f>IFERROR(VLOOKUP($V31,'Halo Infinite Stats'!$A:AR,44,0),)</f>
        <v>P44</v>
      </c>
      <c r="U31" s="251" t="str">
        <f>IFERROR(VLOOKUP($V31,'Halo Infinite Stats'!$A:AQ,43,0),)</f>
        <v>R3</v>
      </c>
      <c r="V31" s="406" t="str">
        <f>IFERROR(__xludf.DUMMYFUNCTION("""COMPUTED_VALUE"""),"GeneralCornBeef")</f>
        <v>GeneralCornBeef</v>
      </c>
      <c r="W31" s="555" t="str">
        <f>IFERROR(__xludf.DUMMYFUNCTION("""COMPUTED_VALUE"""),"D-")</f>
        <v>D-</v>
      </c>
      <c r="X31" s="297">
        <f>IFERROR(__xludf.DUMMYFUNCTION("""COMPUTED_VALUE"""),12.337499999999999)</f>
        <v>12.3375</v>
      </c>
      <c r="Y31" s="271">
        <f>IFERROR(VLOOKUP($V31,'Halo Infinite Stats'!$A:$AM,2,0),)</f>
        <v>14</v>
      </c>
      <c r="Z31" s="40"/>
      <c r="AA31" s="274" t="str">
        <f>IFERROR(VLOOKUP($AC31,'Halo Infinite Stats'!$A:AR,44,0),)</f>
        <v>P17</v>
      </c>
      <c r="AB31" s="276" t="str">
        <f>IFERROR(VLOOKUP($AC31,'Halo Infinite Stats'!$A:AX,43,0),)</f>
        <v>R2</v>
      </c>
      <c r="AC31" s="411" t="str">
        <f>IFERROR(__xludf.DUMMYFUNCTION("""COMPUTED_VALUE"""),"Beam1n1")</f>
        <v>Beam1n1</v>
      </c>
      <c r="AD31" s="316" t="str">
        <f>IFERROR(__xludf.DUMMYFUNCTION("""COMPUTED_VALUE"""),"D")</f>
        <v>D</v>
      </c>
      <c r="AE31" s="278">
        <f>IFERROR(__xludf.DUMMYFUNCTION("""COMPUTED_VALUE"""),6.15)</f>
        <v>6.15</v>
      </c>
      <c r="AF31" s="40"/>
      <c r="AG31" s="251" t="str">
        <f>IFERROR(VLOOKUP($AI31,'Halo Infinite Stats'!$A:AR,44,0),)</f>
        <v>P22</v>
      </c>
      <c r="AH31" s="251" t="str">
        <f>IFERROR(VLOOKUP($AI31,'Halo Infinite Stats'!$A:AQ,43,0),)</f>
        <v>R2</v>
      </c>
      <c r="AI31" s="416" t="str">
        <f>IFERROR(__xludf.DUMMYFUNCTION("""COMPUTED_VALUE"""),"Almighty Tycoon")</f>
        <v>Almighty Tycoon</v>
      </c>
      <c r="AJ31" s="302" t="str">
        <f>IFERROR(__xludf.DUMMYFUNCTION("""COMPUTED_VALUE"""),"D-")</f>
        <v>D-</v>
      </c>
      <c r="AK31" s="300">
        <f>IFERROR(__xludf.DUMMYFUNCTION("""COMPUTED_VALUE"""),12.6)</f>
        <v>12.6</v>
      </c>
      <c r="AL31" s="286">
        <f>IFERROR(VLOOKUP($AI31,'Season+Playoffs Stats'!$A:$AM,2,0),)</f>
        <v>17</v>
      </c>
      <c r="AM31" s="40"/>
      <c r="AN31" s="40"/>
      <c r="AO31" s="21"/>
      <c r="AP31" s="40"/>
      <c r="AQ31" s="458"/>
      <c r="AR31" s="460"/>
      <c r="AS31" s="460"/>
      <c r="AT31" s="40"/>
      <c r="AU31" s="21"/>
    </row>
    <row r="32">
      <c r="A32" s="40"/>
      <c r="B32" s="356" t="str">
        <f>IFERROR(__xludf.DUMMYFUNCTION("""COMPUTED_VALUE"""),"GeneralCornBeef")</f>
        <v>GeneralCornBeef</v>
      </c>
      <c r="C32" s="357">
        <f>IFERROR(__xludf.DUMMYFUNCTION("""COMPUTED_VALUE"""),-1.139240506329114)</f>
        <v>-1.139240506</v>
      </c>
      <c r="D32" s="40"/>
      <c r="E32" s="358" t="str">
        <f>IFERROR(__xludf.DUMMYFUNCTION("""COMPUTED_VALUE"""),"ThePro#1771")</f>
        <v>ThePro#1771</v>
      </c>
      <c r="F32" s="359">
        <f>IFERROR(__xludf.DUMMYFUNCTION("""COMPUTED_VALUE"""),5.893992932862191)</f>
        <v>5.893992933</v>
      </c>
      <c r="G32" s="40"/>
      <c r="H32" s="360" t="str">
        <f>IFERROR(__xludf.DUMMYFUNCTION("""COMPUTED_VALUE"""),"GeneralCornBeef")</f>
        <v>GeneralCornBeef</v>
      </c>
      <c r="I32" s="361">
        <f>IFERROR(__xludf.DUMMYFUNCTION("""COMPUTED_VALUE"""),0.02403460983816696)</f>
        <v>0.02403460984</v>
      </c>
      <c r="J32" s="40"/>
      <c r="K32" s="362" t="str">
        <f>IFERROR(__xludf.DUMMYFUNCTION("""COMPUTED_VALUE"""),"Its Rainin MenZ")</f>
        <v>Its Rainin MenZ</v>
      </c>
      <c r="L32" s="363">
        <f>IFERROR(__xludf.DUMMYFUNCTION("""COMPUTED_VALUE"""),0.06827519647042603)</f>
        <v>0.06827519647</v>
      </c>
      <c r="M32" s="40"/>
      <c r="N32" s="364" t="str">
        <f>IFERROR(__xludf.DUMMYFUNCTION("""COMPUTED_VALUE"""),"Almighty Tycoon")</f>
        <v>Almighty Tycoon</v>
      </c>
      <c r="O32" s="367">
        <f>IFERROR(__xludf.DUMMYFUNCTION("""COMPUTED_VALUE"""),0.5100548446069469)</f>
        <v>0.5100548446</v>
      </c>
      <c r="P32" s="40"/>
      <c r="Q32" s="369" t="str">
        <f>IFERROR(__xludf.DUMMYFUNCTION("""COMPUTED_VALUE"""),"Its Rainin MenZ")</f>
        <v>Its Rainin MenZ</v>
      </c>
      <c r="R32" s="370">
        <f>IFERROR(__xludf.DUMMYFUNCTION("""COMPUTED_VALUE"""),-0.2669883726274186)</f>
        <v>-0.2669883726</v>
      </c>
      <c r="S32" s="40"/>
      <c r="T32" s="251" t="str">
        <f>IFERROR(VLOOKUP($V32,'Halo Infinite Stats'!$A:AR,44,0),)</f>
        <v>P12</v>
      </c>
      <c r="U32" s="251" t="str">
        <f>IFERROR(VLOOKUP($V32,'Halo Infinite Stats'!$A:AQ,43,0),)</f>
        <v>R2</v>
      </c>
      <c r="V32" s="406" t="str">
        <f>IFERROR(__xludf.DUMMYFUNCTION("""COMPUTED_VALUE"""),"Pd Craig 69")</f>
        <v>Pd Craig 69</v>
      </c>
      <c r="W32" s="555" t="str">
        <f>IFERROR(__xludf.DUMMYFUNCTION("""COMPUTED_VALUE"""),"D-")</f>
        <v>D-</v>
      </c>
      <c r="X32" s="297">
        <f>IFERROR(__xludf.DUMMYFUNCTION("""COMPUTED_VALUE"""),12.2875)</f>
        <v>12.2875</v>
      </c>
      <c r="Y32" s="271">
        <f>IFERROR(VLOOKUP($V32,'Halo Infinite Stats'!$A:$AM,2,0),)</f>
        <v>5</v>
      </c>
      <c r="Z32" s="40"/>
      <c r="AA32" s="274" t="str">
        <f>IFERROR(VLOOKUP($AC32,'Halo Infinite Stats'!$A:AR,44,0),)</f>
        <v>P44</v>
      </c>
      <c r="AB32" s="276" t="str">
        <f>IFERROR(VLOOKUP($AC32,'Halo Infinite Stats'!$A:AX,43,0),)</f>
        <v>R3</v>
      </c>
      <c r="AC32" s="411" t="str">
        <f>IFERROR(__xludf.DUMMYFUNCTION("""COMPUTED_VALUE"""),"GeneralCornBeef")</f>
        <v>GeneralCornBeef</v>
      </c>
      <c r="AD32" s="316" t="str">
        <f>IFERROR(__xludf.DUMMYFUNCTION("""COMPUTED_VALUE"""),"D-")</f>
        <v>D-</v>
      </c>
      <c r="AE32" s="278">
        <f>IFERROR(__xludf.DUMMYFUNCTION("""COMPUTED_VALUE"""),5.800000000000001)</f>
        <v>5.8</v>
      </c>
      <c r="AF32" s="40"/>
      <c r="AG32" s="251" t="str">
        <f>IFERROR(VLOOKUP($AI32,'Halo Infinite Stats'!$A:AR,44,0),)</f>
        <v>P12</v>
      </c>
      <c r="AH32" s="251" t="str">
        <f>IFERROR(VLOOKUP($AI32,'Halo Infinite Stats'!$A:AQ,43,0),)</f>
        <v>R2</v>
      </c>
      <c r="AI32" s="416" t="str">
        <f>IFERROR(__xludf.DUMMYFUNCTION("""COMPUTED_VALUE"""),"Pd Craig 69")</f>
        <v>Pd Craig 69</v>
      </c>
      <c r="AJ32" s="309" t="str">
        <f>IFERROR(__xludf.DUMMYFUNCTION("""COMPUTED_VALUE"""),"D-")</f>
        <v>D-</v>
      </c>
      <c r="AK32" s="300">
        <f>IFERROR(__xludf.DUMMYFUNCTION("""COMPUTED_VALUE"""),12.35)</f>
        <v>12.35</v>
      </c>
      <c r="AL32" s="286">
        <f>IFERROR(VLOOKUP($AI32,'Season+Playoffs Stats'!$A:$AM,2,0),)</f>
        <v>5</v>
      </c>
      <c r="AM32" s="40"/>
      <c r="AN32" s="40"/>
      <c r="AO32" s="21"/>
      <c r="AP32" s="40"/>
      <c r="AQ32" s="458"/>
      <c r="AR32" s="460"/>
      <c r="AS32" s="460"/>
      <c r="AT32" s="40"/>
      <c r="AU32" s="21"/>
    </row>
    <row r="33">
      <c r="A33" s="40"/>
      <c r="B33" s="356" t="str">
        <f>IFERROR(__xludf.DUMMYFUNCTION("""COMPUTED_VALUE"""),"xXTHEChickenGod")</f>
        <v>xXTHEChickenGod</v>
      </c>
      <c r="C33" s="357">
        <f>IFERROR(__xludf.DUMMYFUNCTION("""COMPUTED_VALUE"""),-1.169813261999074)</f>
        <v>-1.169813262</v>
      </c>
      <c r="D33" s="40"/>
      <c r="E33" s="358" t="str">
        <f>IFERROR(__xludf.DUMMYFUNCTION("""COMPUTED_VALUE"""),"Trespa5s")</f>
        <v>Trespa5s</v>
      </c>
      <c r="F33" s="359">
        <f>IFERROR(__xludf.DUMMYFUNCTION("""COMPUTED_VALUE"""),5.8789274106175515)</f>
        <v>5.878927411</v>
      </c>
      <c r="G33" s="40"/>
      <c r="H33" s="360" t="str">
        <f>IFERROR(__xludf.DUMMYFUNCTION("""COMPUTED_VALUE"""),"CaptainSev004")</f>
        <v>CaptainSev004</v>
      </c>
      <c r="I33" s="361">
        <f>IFERROR(__xludf.DUMMYFUNCTION("""COMPUTED_VALUE"""),0.021382751247327154)</f>
        <v>0.02138275125</v>
      </c>
      <c r="J33" s="40"/>
      <c r="K33" s="362" t="str">
        <f>IFERROR(__xludf.DUMMYFUNCTION("""COMPUTED_VALUE"""),"Ram Osneb")</f>
        <v>Ram Osneb</v>
      </c>
      <c r="L33" s="363">
        <f>IFERROR(__xludf.DUMMYFUNCTION("""COMPUTED_VALUE"""),0.06606598084427102)</f>
        <v>0.06606598084</v>
      </c>
      <c r="M33" s="40"/>
      <c r="N33" s="364" t="str">
        <f>IFERROR(__xludf.DUMMYFUNCTION("""COMPUTED_VALUE"""),"Doerstopper")</f>
        <v>Doerstopper</v>
      </c>
      <c r="O33" s="367">
        <f>IFERROR(__xludf.DUMMYFUNCTION("""COMPUTED_VALUE"""),0.4949991523987117)</f>
        <v>0.4949991524</v>
      </c>
      <c r="P33" s="40"/>
      <c r="Q33" s="369" t="str">
        <f>IFERROR(__xludf.DUMMYFUNCTION("""COMPUTED_VALUE"""),"Ken Khaneki")</f>
        <v>Ken Khaneki</v>
      </c>
      <c r="R33" s="370">
        <f>IFERROR(__xludf.DUMMYFUNCTION("""COMPUTED_VALUE"""),-0.5350422818969859)</f>
        <v>-0.5350422819</v>
      </c>
      <c r="S33" s="40"/>
      <c r="T33" s="251" t="str">
        <f>IFERROR(VLOOKUP($V33,'Halo Infinite Stats'!$A:AR,44,0),)</f>
        <v>P19</v>
      </c>
      <c r="U33" s="251" t="str">
        <f>IFERROR(VLOOKUP($V33,'Halo Infinite Stats'!$A:AQ,43,0),)</f>
        <v>R2</v>
      </c>
      <c r="V33" s="406" t="str">
        <f>IFERROR(__xludf.DUMMYFUNCTION("""COMPUTED_VALUE"""),"Its Rainin MenZ")</f>
        <v>Its Rainin MenZ</v>
      </c>
      <c r="W33" s="555" t="str">
        <f>IFERROR(__xludf.DUMMYFUNCTION("""COMPUTED_VALUE"""),"E+")</f>
        <v>E+</v>
      </c>
      <c r="X33" s="297">
        <f>IFERROR(__xludf.DUMMYFUNCTION("""COMPUTED_VALUE"""),11.8875)</f>
        <v>11.8875</v>
      </c>
      <c r="Y33" s="271">
        <f>IFERROR(VLOOKUP($V33,'Halo Infinite Stats'!$A:$AM,2,0),)</f>
        <v>23</v>
      </c>
      <c r="Z33" s="40"/>
      <c r="AA33" s="274" t="str">
        <f>IFERROR(VLOOKUP($AC33,'Halo Infinite Stats'!$A:AR,44,0),)</f>
        <v>P40</v>
      </c>
      <c r="AB33" s="276" t="str">
        <f>IFERROR(VLOOKUP($AC33,'Halo Infinite Stats'!$A:AX,43,0),)</f>
        <v>R3</v>
      </c>
      <c r="AC33" s="411" t="str">
        <f>IFERROR(__xludf.DUMMYFUNCTION("""COMPUTED_VALUE"""),"Ram Osneb")</f>
        <v>Ram Osneb</v>
      </c>
      <c r="AD33" s="316" t="str">
        <f>IFERROR(__xludf.DUMMYFUNCTION("""COMPUTED_VALUE"""),"D-")</f>
        <v>D-</v>
      </c>
      <c r="AE33" s="278">
        <f>IFERROR(__xludf.DUMMYFUNCTION("""COMPUTED_VALUE"""),5.525)</f>
        <v>5.525</v>
      </c>
      <c r="AF33" s="40"/>
      <c r="AG33" s="251" t="str">
        <f>IFERROR(VLOOKUP($AI33,'Halo Infinite Stats'!$A:AR,44,0),)</f>
        <v>P19</v>
      </c>
      <c r="AH33" s="251" t="str">
        <f>IFERROR(VLOOKUP($AI33,'Halo Infinite Stats'!$A:AQ,43,0),)</f>
        <v>R2</v>
      </c>
      <c r="AI33" s="416" t="str">
        <f>IFERROR(__xludf.DUMMYFUNCTION("""COMPUTED_VALUE"""),"Its Rainin MenZ")</f>
        <v>Its Rainin MenZ</v>
      </c>
      <c r="AJ33" s="302" t="str">
        <f>IFERROR(__xludf.DUMMYFUNCTION("""COMPUTED_VALUE"""),"E+")</f>
        <v>E+</v>
      </c>
      <c r="AK33" s="300">
        <f>IFERROR(__xludf.DUMMYFUNCTION("""COMPUTED_VALUE"""),12.0)</f>
        <v>12</v>
      </c>
      <c r="AL33" s="286">
        <f>IFERROR(VLOOKUP($AI33,'Season+Playoffs Stats'!$A:$AM,2,0),)</f>
        <v>25</v>
      </c>
      <c r="AM33" s="40"/>
      <c r="AN33" s="605" t="s">
        <v>208</v>
      </c>
      <c r="AO33" s="21"/>
      <c r="AP33" s="40"/>
      <c r="AQ33" s="458"/>
      <c r="AR33" s="460"/>
      <c r="AS33" s="460"/>
      <c r="AT33" s="40"/>
      <c r="AU33" s="21"/>
    </row>
    <row r="34">
      <c r="A34" s="40"/>
      <c r="B34" s="356" t="str">
        <f>IFERROR(__xludf.DUMMYFUNCTION("""COMPUTED_VALUE"""),"Ken Khaneki")</f>
        <v>Ken Khaneki</v>
      </c>
      <c r="C34" s="357">
        <f>IFERROR(__xludf.DUMMYFUNCTION("""COMPUTED_VALUE"""),-1.2122577737719693)</f>
        <v>-1.212257774</v>
      </c>
      <c r="D34" s="40"/>
      <c r="E34" s="358" t="str">
        <f>IFERROR(__xludf.DUMMYFUNCTION("""COMPUTED_VALUE"""),"AwareMosquito")</f>
        <v>AwareMosquito</v>
      </c>
      <c r="F34" s="359">
        <f>IFERROR(__xludf.DUMMYFUNCTION("""COMPUTED_VALUE"""),5.664479482910586)</f>
        <v>5.664479483</v>
      </c>
      <c r="G34" s="40"/>
      <c r="H34" s="360" t="str">
        <f>IFERROR(__xludf.DUMMYFUNCTION("""COMPUTED_VALUE"""),"Deathcrawller")</f>
        <v>Deathcrawller</v>
      </c>
      <c r="I34" s="361">
        <f>IFERROR(__xludf.DUMMYFUNCTION("""COMPUTED_VALUE"""),0.02085103096764229)</f>
        <v>0.02085103097</v>
      </c>
      <c r="J34" s="40"/>
      <c r="K34" s="362" t="str">
        <f>IFERROR(__xludf.DUMMYFUNCTION("""COMPUTED_VALUE"""),"Priest XYZ")</f>
        <v>Priest XYZ</v>
      </c>
      <c r="L34" s="363">
        <f>IFERROR(__xludf.DUMMYFUNCTION("""COMPUTED_VALUE"""),0.06494831640122443)</f>
        <v>0.0649483164</v>
      </c>
      <c r="M34" s="40"/>
      <c r="N34" s="364" t="str">
        <f>IFERROR(__xludf.DUMMYFUNCTION("""COMPUTED_VALUE"""),"ThePro#1771")</f>
        <v>ThePro#1771</v>
      </c>
      <c r="O34" s="367">
        <f>IFERROR(__xludf.DUMMYFUNCTION("""COMPUTED_VALUE"""),0.46643109540636046)</f>
        <v>0.4664310954</v>
      </c>
      <c r="P34" s="40"/>
      <c r="Q34" s="369" t="str">
        <f>IFERROR(__xludf.DUMMYFUNCTION("""COMPUTED_VALUE"""),"xXTHEChickenGod")</f>
        <v>xXTHEChickenGod</v>
      </c>
      <c r="R34" s="370">
        <f>IFERROR(__xludf.DUMMYFUNCTION("""COMPUTED_VALUE"""),-0.6858394636212425)</f>
        <v>-0.6858394636</v>
      </c>
      <c r="S34" s="40"/>
      <c r="T34" s="251" t="str">
        <f>IFERROR(VLOOKUP($V34,'Halo Infinite Stats'!$A:AR,44,0),)</f>
        <v>P43</v>
      </c>
      <c r="U34" s="251" t="str">
        <f>IFERROR(VLOOKUP($V34,'Halo Infinite Stats'!$A:AQ,43,0),)</f>
        <v>R3</v>
      </c>
      <c r="V34" s="406" t="str">
        <f>IFERROR(__xludf.DUMMYFUNCTION("""COMPUTED_VALUE"""),"Ken Khaneki")</f>
        <v>Ken Khaneki</v>
      </c>
      <c r="W34" s="555" t="str">
        <f>IFERROR(__xludf.DUMMYFUNCTION("""COMPUTED_VALUE"""),"E+")</f>
        <v>E+</v>
      </c>
      <c r="X34" s="297">
        <f>IFERROR(__xludf.DUMMYFUNCTION("""COMPUTED_VALUE"""),11.549999999999999)</f>
        <v>11.55</v>
      </c>
      <c r="Y34" s="271">
        <f>IFERROR(VLOOKUP($V34,'Halo Infinite Stats'!$A:$AM,2,0),)</f>
        <v>26</v>
      </c>
      <c r="Z34" s="40"/>
      <c r="AA34" s="274" t="str">
        <f>IFERROR(VLOOKUP($AC34,'Halo Infinite Stats'!$A:AR,44,0),)</f>
        <v>P42</v>
      </c>
      <c r="AB34" s="276" t="str">
        <f>IFERROR(VLOOKUP($AC34,'Halo Infinite Stats'!$A:AX,43,0),)</f>
        <v>R3</v>
      </c>
      <c r="AC34" s="411" t="str">
        <f>IFERROR(__xludf.DUMMYFUNCTION("""COMPUTED_VALUE"""),"StarMonster8129")</f>
        <v>StarMonster8129</v>
      </c>
      <c r="AD34" s="316" t="str">
        <f>IFERROR(__xludf.DUMMYFUNCTION("""COMPUTED_VALUE"""),"E+")</f>
        <v>E+</v>
      </c>
      <c r="AE34" s="278">
        <f>IFERROR(__xludf.DUMMYFUNCTION("""COMPUTED_VALUE"""),5.350000000000001)</f>
        <v>5.35</v>
      </c>
      <c r="AF34" s="40"/>
      <c r="AG34" s="251" t="str">
        <f>IFERROR(VLOOKUP($AI34,'Halo Infinite Stats'!$A:AR,44,0),)</f>
        <v>P17</v>
      </c>
      <c r="AH34" s="251" t="str">
        <f>IFERROR(VLOOKUP($AI34,'Halo Infinite Stats'!$A:AQ,43,0),)</f>
        <v>R2</v>
      </c>
      <c r="AI34" s="416" t="str">
        <f>IFERROR(__xludf.DUMMYFUNCTION("""COMPUTED_VALUE"""),"Beam1n1")</f>
        <v>Beam1n1</v>
      </c>
      <c r="AJ34" s="309" t="str">
        <f>IFERROR(__xludf.DUMMYFUNCTION("""COMPUTED_VALUE"""),"E+")</f>
        <v>E+</v>
      </c>
      <c r="AK34" s="300">
        <f>IFERROR(__xludf.DUMMYFUNCTION("""COMPUTED_VALUE"""),10.9)</f>
        <v>10.9</v>
      </c>
      <c r="AL34" s="286">
        <f>IFERROR(VLOOKUP($AI34,'Season+Playoffs Stats'!$A:$AM,2,0),)</f>
        <v>10</v>
      </c>
      <c r="AM34" s="40"/>
      <c r="AN34" s="40"/>
      <c r="AO34" s="21"/>
      <c r="AP34" s="40"/>
      <c r="AQ34" s="458"/>
      <c r="AR34" s="460"/>
      <c r="AS34" s="460"/>
      <c r="AT34" s="40"/>
      <c r="AU34" s="21"/>
    </row>
    <row r="35">
      <c r="A35" s="40"/>
      <c r="B35" s="356" t="str">
        <f>IFERROR(__xludf.DUMMYFUNCTION("""COMPUTED_VALUE"""),"ThePro#1771")</f>
        <v>ThePro#1771</v>
      </c>
      <c r="C35" s="357">
        <f>IFERROR(__xludf.DUMMYFUNCTION("""COMPUTED_VALUE"""),-1.314487632508834)</f>
        <v>-1.314487633</v>
      </c>
      <c r="D35" s="40"/>
      <c r="E35" s="358" t="str">
        <f>IFERROR(__xludf.DUMMYFUNCTION("""COMPUTED_VALUE"""),"Almighty Tycoon")</f>
        <v>Almighty Tycoon</v>
      </c>
      <c r="F35" s="359">
        <f>IFERROR(__xludf.DUMMYFUNCTION("""COMPUTED_VALUE"""),5.583700440528634)</f>
        <v>5.583700441</v>
      </c>
      <c r="G35" s="40"/>
      <c r="H35" s="360" t="str">
        <f>IFERROR(__xludf.DUMMYFUNCTION("""COMPUTED_VALUE"""),"Trespa5s")</f>
        <v>Trespa5s</v>
      </c>
      <c r="I35" s="361">
        <f>IFERROR(__xludf.DUMMYFUNCTION("""COMPUTED_VALUE"""),0.020314192849404118)</f>
        <v>0.02031419285</v>
      </c>
      <c r="J35" s="40"/>
      <c r="K35" s="362" t="str">
        <f>IFERROR(__xludf.DUMMYFUNCTION("""COMPUTED_VALUE"""),"Amnatu")</f>
        <v>Amnatu</v>
      </c>
      <c r="L35" s="363">
        <f>IFERROR(__xludf.DUMMYFUNCTION("""COMPUTED_VALUE"""),0.06338002980625931)</f>
        <v>0.06338002981</v>
      </c>
      <c r="M35" s="40"/>
      <c r="N35" s="364" t="str">
        <f>IFERROR(__xludf.DUMMYFUNCTION("""COMPUTED_VALUE"""),"Deathcrawller")</f>
        <v>Deathcrawller</v>
      </c>
      <c r="O35" s="367">
        <f>IFERROR(__xludf.DUMMYFUNCTION("""COMPUTED_VALUE"""),0.4572638264091029)</f>
        <v>0.4572638264</v>
      </c>
      <c r="P35" s="40"/>
      <c r="Q35" s="369" t="str">
        <f>IFERROR(__xludf.DUMMYFUNCTION("""COMPUTED_VALUE"""),"ThePro#1771")</f>
        <v>ThePro#1771</v>
      </c>
      <c r="R35" s="370">
        <f>IFERROR(__xludf.DUMMYFUNCTION("""COMPUTED_VALUE"""),-0.8056537102473499)</f>
        <v>-0.8056537102</v>
      </c>
      <c r="S35" s="40"/>
      <c r="T35" s="251" t="str">
        <f>IFERROR(VLOOKUP($V35,'Halo Infinite Stats'!$A:AR,44,0),)</f>
        <v>P17</v>
      </c>
      <c r="U35" s="251" t="str">
        <f>IFERROR(VLOOKUP($V35,'Halo Infinite Stats'!$A:AQ,43,0),)</f>
        <v>R2</v>
      </c>
      <c r="V35" s="406" t="str">
        <f>IFERROR(__xludf.DUMMYFUNCTION("""COMPUTED_VALUE"""),"Beam1n1")</f>
        <v>Beam1n1</v>
      </c>
      <c r="W35" s="610" t="str">
        <f>IFERROR(__xludf.DUMMYFUNCTION("""COMPUTED_VALUE"""),"E")</f>
        <v>E</v>
      </c>
      <c r="X35" s="297">
        <f>IFERROR(__xludf.DUMMYFUNCTION("""COMPUTED_VALUE"""),10.937500000000002)</f>
        <v>10.9375</v>
      </c>
      <c r="Y35" s="271">
        <f>IFERROR(VLOOKUP($V35,'Halo Infinite Stats'!$A:$AM,2,0),)</f>
        <v>10</v>
      </c>
      <c r="Z35" s="40"/>
      <c r="AA35" s="274" t="str">
        <f>IFERROR(VLOOKUP($AC35,'Halo Infinite Stats'!$A:AR,44,0),)</f>
        <v>2th</v>
      </c>
      <c r="AB35" s="276" t="str">
        <f>IFERROR(VLOOKUP($AC35,'Halo Infinite Stats'!$A:AX,43,0),)</f>
        <v>C</v>
      </c>
      <c r="AC35" s="411" t="str">
        <f>IFERROR(__xludf.DUMMYFUNCTION("""COMPUTED_VALUE"""),"Deathcrawller")</f>
        <v>Deathcrawller</v>
      </c>
      <c r="AD35" s="316" t="str">
        <f>IFERROR(__xludf.DUMMYFUNCTION("""COMPUTED_VALUE"""),"E+")</f>
        <v>E+</v>
      </c>
      <c r="AE35" s="278">
        <f>IFERROR(__xludf.DUMMYFUNCTION("""COMPUTED_VALUE"""),5.050000000000001)</f>
        <v>5.05</v>
      </c>
      <c r="AF35" s="40"/>
      <c r="AG35" s="251" t="str">
        <f>IFERROR(VLOOKUP($AI35,'Halo Infinite Stats'!$A:AR,44,0),)</f>
        <v>P43</v>
      </c>
      <c r="AH35" s="251" t="str">
        <f>IFERROR(VLOOKUP($AI35,'Halo Infinite Stats'!$A:AQ,43,0),)</f>
        <v>R3</v>
      </c>
      <c r="AI35" s="416" t="str">
        <f>IFERROR(__xludf.DUMMYFUNCTION("""COMPUTED_VALUE"""),"Ken Khaneki")</f>
        <v>Ken Khaneki</v>
      </c>
      <c r="AJ35" s="302" t="str">
        <f>IFERROR(__xludf.DUMMYFUNCTION("""COMPUTED_VALUE"""),"E")</f>
        <v>E</v>
      </c>
      <c r="AK35" s="300">
        <f>IFERROR(__xludf.DUMMYFUNCTION("""COMPUTED_VALUE"""),10.575)</f>
        <v>10.575</v>
      </c>
      <c r="AL35" s="286">
        <f>IFERROR(VLOOKUP($AI35,'Season+Playoffs Stats'!$A:$AM,2,0),)</f>
        <v>27</v>
      </c>
      <c r="AM35" s="40"/>
      <c r="AN35" s="40"/>
      <c r="AO35" s="21"/>
      <c r="AP35" s="40"/>
      <c r="AQ35" s="458"/>
      <c r="AR35" s="460"/>
      <c r="AS35" s="460"/>
      <c r="AT35" s="40"/>
      <c r="AU35" s="21"/>
    </row>
    <row r="36">
      <c r="A36" s="40"/>
      <c r="B36" s="356" t="str">
        <f>IFERROR(__xludf.DUMMYFUNCTION("""COMPUTED_VALUE"""),"Trespa5s")</f>
        <v>Trespa5s</v>
      </c>
      <c r="C36" s="357">
        <f>IFERROR(__xludf.DUMMYFUNCTION("""COMPUTED_VALUE"""),-1.450433369447454)</f>
        <v>-1.450433369</v>
      </c>
      <c r="D36" s="40"/>
      <c r="E36" s="358" t="str">
        <f>IFERROR(__xludf.DUMMYFUNCTION("""COMPUTED_VALUE"""),"ill Shrek u")</f>
        <v>ill Shrek u</v>
      </c>
      <c r="F36" s="359">
        <f>IFERROR(__xludf.DUMMYFUNCTION("""COMPUTED_VALUE"""),5.563082133784928)</f>
        <v>5.563082134</v>
      </c>
      <c r="G36" s="40"/>
      <c r="H36" s="360" t="str">
        <f>IFERROR(__xludf.DUMMYFUNCTION("""COMPUTED_VALUE"""),"KDSkill")</f>
        <v>KDSkill</v>
      </c>
      <c r="I36" s="361">
        <f>IFERROR(__xludf.DUMMYFUNCTION("""COMPUTED_VALUE"""),0.020100502512562814)</f>
        <v>0.02010050251</v>
      </c>
      <c r="J36" s="40"/>
      <c r="K36" s="362" t="str">
        <f>IFERROR(__xludf.DUMMYFUNCTION("""COMPUTED_VALUE"""),"GeneralCornBeef")</f>
        <v>GeneralCornBeef</v>
      </c>
      <c r="L36" s="363">
        <f>IFERROR(__xludf.DUMMYFUNCTION("""COMPUTED_VALUE"""),0.06325909309405545)</f>
        <v>0.06325909309</v>
      </c>
      <c r="M36" s="40"/>
      <c r="N36" s="364" t="str">
        <f>IFERROR(__xludf.DUMMYFUNCTION("""COMPUTED_VALUE"""),"xXTHEChickenGod")</f>
        <v>xXTHEChickenGod</v>
      </c>
      <c r="O36" s="367">
        <f>IFERROR(__xludf.DUMMYFUNCTION("""COMPUTED_VALUE"""),0.42773326603999745)</f>
        <v>0.427733266</v>
      </c>
      <c r="P36" s="40"/>
      <c r="Q36" s="369" t="str">
        <f>IFERROR(__xludf.DUMMYFUNCTION("""COMPUTED_VALUE"""),"DCleak")</f>
        <v>DCleak</v>
      </c>
      <c r="R36" s="370">
        <f>IFERROR(__xludf.DUMMYFUNCTION("""COMPUTED_VALUE"""),-0.8309548951576405)</f>
        <v>-0.8309548952</v>
      </c>
      <c r="S36" s="40"/>
      <c r="T36" s="251" t="str">
        <f>IFERROR(VLOOKUP($V36,'Halo Infinite Stats'!$A:AR,44,0),)</f>
        <v>2th</v>
      </c>
      <c r="U36" s="251" t="str">
        <f>IFERROR(VLOOKUP($V36,'Halo Infinite Stats'!$A:AQ,43,0),)</f>
        <v>C</v>
      </c>
      <c r="V36" s="406" t="str">
        <f>IFERROR(__xludf.DUMMYFUNCTION("""COMPUTED_VALUE"""),"Deathcrawller")</f>
        <v>Deathcrawller</v>
      </c>
      <c r="W36" s="610" t="str">
        <f>IFERROR(__xludf.DUMMYFUNCTION("""COMPUTED_VALUE"""),"E")</f>
        <v>E</v>
      </c>
      <c r="X36" s="297">
        <f>IFERROR(__xludf.DUMMYFUNCTION("""COMPUTED_VALUE"""),9.925)</f>
        <v>9.925</v>
      </c>
      <c r="Y36" s="271">
        <f>IFERROR(VLOOKUP($V36,'Halo Infinite Stats'!$A:$AM,2,0),)</f>
        <v>22</v>
      </c>
      <c r="Z36" s="40"/>
      <c r="AA36" s="274" t="str">
        <f>IFERROR(VLOOKUP($AC36,'Halo Infinite Stats'!$A:AR,44,0),)</f>
        <v>P14</v>
      </c>
      <c r="AB36" s="276" t="str">
        <f>IFERROR(VLOOKUP($AC36,'Halo Infinite Stats'!$A:AX,43,0),)</f>
        <v>R2</v>
      </c>
      <c r="AC36" s="411" t="str">
        <f>IFERROR(__xludf.DUMMYFUNCTION("""COMPUTED_VALUE"""),"Grunt Padre")</f>
        <v>Grunt Padre</v>
      </c>
      <c r="AD36" s="316" t="str">
        <f>IFERROR(__xludf.DUMMYFUNCTION("""COMPUTED_VALUE"""),"E+")</f>
        <v>E+</v>
      </c>
      <c r="AE36" s="278">
        <f>IFERROR(__xludf.DUMMYFUNCTION("""COMPUTED_VALUE"""),5.05)</f>
        <v>5.05</v>
      </c>
      <c r="AF36" s="40"/>
      <c r="AG36" s="251" t="str">
        <f>IFERROR(VLOOKUP($AI36,'Halo Infinite Stats'!$A:AR,44,0),)</f>
        <v>2th</v>
      </c>
      <c r="AH36" s="251" t="str">
        <f>IFERROR(VLOOKUP($AI36,'Halo Infinite Stats'!$A:AQ,43,0),)</f>
        <v>C</v>
      </c>
      <c r="AI36" s="416" t="str">
        <f>IFERROR(__xludf.DUMMYFUNCTION("""COMPUTED_VALUE"""),"Deathcrawller")</f>
        <v>Deathcrawller</v>
      </c>
      <c r="AJ36" s="309" t="str">
        <f>IFERROR(__xludf.DUMMYFUNCTION("""COMPUTED_VALUE"""),"E")</f>
        <v>E</v>
      </c>
      <c r="AK36" s="300">
        <f>IFERROR(__xludf.DUMMYFUNCTION("""COMPUTED_VALUE"""),9.787500000000001)</f>
        <v>9.7875</v>
      </c>
      <c r="AL36" s="286">
        <f>IFERROR(VLOOKUP($AI36,'Season+Playoffs Stats'!$A:$AM,2,0),)</f>
        <v>29</v>
      </c>
      <c r="AM36" s="40"/>
      <c r="AN36" s="40"/>
      <c r="AO36" s="21"/>
      <c r="AP36" s="40"/>
      <c r="AQ36" s="458"/>
      <c r="AR36" s="460"/>
      <c r="AS36" s="460"/>
      <c r="AT36" s="40"/>
      <c r="AU36" s="21"/>
    </row>
    <row r="37">
      <c r="A37" s="40"/>
      <c r="B37" s="356" t="str">
        <f>IFERROR(__xludf.DUMMYFUNCTION("""COMPUTED_VALUE"""),"Ram Osneb")</f>
        <v>Ram Osneb</v>
      </c>
      <c r="C37" s="357">
        <f>IFERROR(__xludf.DUMMYFUNCTION("""COMPUTED_VALUE"""),-1.5665129478538489)</f>
        <v>-1.566512948</v>
      </c>
      <c r="D37" s="40"/>
      <c r="E37" s="358" t="str">
        <f>IFERROR(__xludf.DUMMYFUNCTION("""COMPUTED_VALUE"""),"Deathcrawller")</f>
        <v>Deathcrawller</v>
      </c>
      <c r="F37" s="359">
        <f>IFERROR(__xludf.DUMMYFUNCTION("""COMPUTED_VALUE"""),5.523206425206579)</f>
        <v>5.523206425</v>
      </c>
      <c r="G37" s="40"/>
      <c r="H37" s="360" t="str">
        <f>IFERROR(__xludf.DUMMYFUNCTION("""COMPUTED_VALUE"""),"Ken Khaneki")</f>
        <v>Ken Khaneki</v>
      </c>
      <c r="I37" s="361">
        <f>IFERROR(__xludf.DUMMYFUNCTION("""COMPUTED_VALUE"""),0.018026137899954935)</f>
        <v>0.0180261379</v>
      </c>
      <c r="J37" s="40"/>
      <c r="K37" s="362" t="str">
        <f>IFERROR(__xludf.DUMMYFUNCTION("""COMPUTED_VALUE"""),"Memorized")</f>
        <v>Memorized</v>
      </c>
      <c r="L37" s="363">
        <f>IFERROR(__xludf.DUMMYFUNCTION("""COMPUTED_VALUE"""),0.06283380458686773)</f>
        <v>0.06283380459</v>
      </c>
      <c r="M37" s="40"/>
      <c r="N37" s="364" t="str">
        <f>IFERROR(__xludf.DUMMYFUNCTION("""COMPUTED_VALUE"""),"MuNgO PuNgO")</f>
        <v>MuNgO PuNgO</v>
      </c>
      <c r="O37" s="367">
        <f>IFERROR(__xludf.DUMMYFUNCTION("""COMPUTED_VALUE"""),0.4171661472069048)</f>
        <v>0.4171661472</v>
      </c>
      <c r="P37" s="40"/>
      <c r="Q37" s="369" t="str">
        <f>IFERROR(__xludf.DUMMYFUNCTION("""COMPUTED_VALUE"""),"Beam1n1")</f>
        <v>Beam1n1</v>
      </c>
      <c r="R37" s="370">
        <f>IFERROR(__xludf.DUMMYFUNCTION("""COMPUTED_VALUE"""),-0.8691670977754784)</f>
        <v>-0.8691670978</v>
      </c>
      <c r="S37" s="40"/>
      <c r="T37" s="251" t="str">
        <f>IFERROR(VLOOKUP($V37,'Halo Infinite Stats'!$A:AR,44,0),)</f>
        <v>6th</v>
      </c>
      <c r="U37" s="251" t="str">
        <f>IFERROR(VLOOKUP($V37,'Halo Infinite Stats'!$A:AQ,43,0),)</f>
        <v>C</v>
      </c>
      <c r="V37" s="406" t="str">
        <f>IFERROR(__xludf.DUMMYFUNCTION("""COMPUTED_VALUE"""),"Doerstopper")</f>
        <v>Doerstopper</v>
      </c>
      <c r="W37" s="610" t="str">
        <f>IFERROR(__xludf.DUMMYFUNCTION("""COMPUTED_VALUE"""),"E-")</f>
        <v>E-</v>
      </c>
      <c r="X37" s="297">
        <f>IFERROR(__xludf.DUMMYFUNCTION("""COMPUTED_VALUE"""),9.2)</f>
        <v>9.2</v>
      </c>
      <c r="Y37" s="271">
        <f>IFERROR(VLOOKUP($V37,'Halo Infinite Stats'!$A:$AM,2,0),)</f>
        <v>23</v>
      </c>
      <c r="Z37" s="40"/>
      <c r="AA37" s="274" t="str">
        <f>IFERROR(VLOOKUP($AC37,'Halo Infinite Stats'!$A:AR,44,0),)</f>
        <v>PD</v>
      </c>
      <c r="AB37" s="276" t="str">
        <f>IFERROR(VLOOKUP($AC37,'Halo Infinite Stats'!$A:AX,43,0),)</f>
        <v>R3</v>
      </c>
      <c r="AC37" s="411" t="str">
        <f>IFERROR(__xludf.DUMMYFUNCTION("""COMPUTED_VALUE"""),"Priest XYZ")</f>
        <v>Priest XYZ</v>
      </c>
      <c r="AD37" s="316" t="str">
        <f>IFERROR(__xludf.DUMMYFUNCTION("""COMPUTED_VALUE"""),"E")</f>
        <v>E</v>
      </c>
      <c r="AE37" s="278">
        <f>IFERROR(__xludf.DUMMYFUNCTION("""COMPUTED_VALUE"""),4.4750000000000005)</f>
        <v>4.475</v>
      </c>
      <c r="AF37" s="40"/>
      <c r="AG37" s="251" t="str">
        <f>IFERROR(VLOOKUP($AI37,'Halo Infinite Stats'!$A:AR,44,0),)</f>
        <v>6th</v>
      </c>
      <c r="AH37" s="251" t="str">
        <f>IFERROR(VLOOKUP($AI37,'Halo Infinite Stats'!$A:AQ,43,0),)</f>
        <v>C</v>
      </c>
      <c r="AI37" s="416" t="str">
        <f>IFERROR(__xludf.DUMMYFUNCTION("""COMPUTED_VALUE"""),"Doerstopper")</f>
        <v>Doerstopper</v>
      </c>
      <c r="AJ37" s="302" t="str">
        <f>IFERROR(__xludf.DUMMYFUNCTION("""COMPUTED_VALUE"""),"E-")</f>
        <v>E-</v>
      </c>
      <c r="AK37" s="300">
        <f>IFERROR(__xludf.DUMMYFUNCTION("""COMPUTED_VALUE"""),8.8875)</f>
        <v>8.8875</v>
      </c>
      <c r="AL37" s="286">
        <f>IFERROR(VLOOKUP($AI37,'Season+Playoffs Stats'!$A:$AM,2,0),)</f>
        <v>25</v>
      </c>
      <c r="AM37" s="40"/>
      <c r="AN37" s="40"/>
      <c r="AO37" s="21"/>
      <c r="AP37" s="40"/>
      <c r="AQ37" s="458"/>
      <c r="AR37" s="460"/>
      <c r="AS37" s="460"/>
      <c r="AT37" s="40"/>
      <c r="AU37" s="21"/>
    </row>
    <row r="38">
      <c r="A38" s="40"/>
      <c r="B38" s="356" t="str">
        <f>IFERROR(__xludf.DUMMYFUNCTION("""COMPUTED_VALUE"""),"Beam1n1")</f>
        <v>Beam1n1</v>
      </c>
      <c r="C38" s="357">
        <f>IFERROR(__xludf.DUMMYFUNCTION("""COMPUTED_VALUE"""),-1.7382307294361097)</f>
        <v>-1.738230729</v>
      </c>
      <c r="D38" s="40"/>
      <c r="E38" s="358" t="str">
        <f>IFERROR(__xludf.DUMMYFUNCTION("""COMPUTED_VALUE"""),"OREOTHECAT")</f>
        <v>OREOTHECAT</v>
      </c>
      <c r="F38" s="359">
        <f>IFERROR(__xludf.DUMMYFUNCTION("""COMPUTED_VALUE"""),5.491049021248118)</f>
        <v>5.491049021</v>
      </c>
      <c r="G38" s="40"/>
      <c r="H38" s="360" t="str">
        <f>IFERROR(__xludf.DUMMYFUNCTION("""COMPUTED_VALUE"""),"xXTHEChickenGod")</f>
        <v>xXTHEChickenGod</v>
      </c>
      <c r="I38" s="361">
        <f>IFERROR(__xludf.DUMMYFUNCTION("""COMPUTED_VALUE"""),0.01543289263851021)</f>
        <v>0.01543289264</v>
      </c>
      <c r="J38" s="40"/>
      <c r="K38" s="362" t="str">
        <f>IFERROR(__xludf.DUMMYFUNCTION("""COMPUTED_VALUE"""),"Deathcrawller")</f>
        <v>Deathcrawller</v>
      </c>
      <c r="L38" s="363">
        <f>IFERROR(__xludf.DUMMYFUNCTION("""COMPUTED_VALUE"""),0.05486137925708549)</f>
        <v>0.05486137926</v>
      </c>
      <c r="M38" s="40"/>
      <c r="N38" s="364" t="str">
        <f>IFERROR(__xludf.DUMMYFUNCTION("""COMPUTED_VALUE"""),"AwareMosquito")</f>
        <v>AwareMosquito</v>
      </c>
      <c r="O38" s="367">
        <f>IFERROR(__xludf.DUMMYFUNCTION("""COMPUTED_VALUE"""),0.4120618882222924)</f>
        <v>0.4120618882</v>
      </c>
      <c r="P38" s="40"/>
      <c r="Q38" s="369" t="str">
        <f>IFERROR(__xludf.DUMMYFUNCTION("""COMPUTED_VALUE"""),"Doerstopper")</f>
        <v>Doerstopper</v>
      </c>
      <c r="R38" s="370">
        <f>IFERROR(__xludf.DUMMYFUNCTION("""COMPUTED_VALUE"""),-0.9201367308887507)</f>
        <v>-0.9201367309</v>
      </c>
      <c r="S38" s="40"/>
      <c r="T38" s="251" t="str">
        <f>IFERROR(VLOOKUP($V38,'Halo Infinite Stats'!$A:AR,44,0),)</f>
        <v>P39</v>
      </c>
      <c r="U38" s="251" t="str">
        <f>IFERROR(VLOOKUP($V38,'Halo Infinite Stats'!$A:AQ,43,0),)</f>
        <v>R3</v>
      </c>
      <c r="V38" s="406" t="str">
        <f>IFERROR(__xludf.DUMMYFUNCTION("""COMPUTED_VALUE"""),"WeirdPG")</f>
        <v>WeirdPG</v>
      </c>
      <c r="W38" s="610" t="str">
        <f>IFERROR(__xludf.DUMMYFUNCTION("""COMPUTED_VALUE"""),"E-")</f>
        <v>E-</v>
      </c>
      <c r="X38" s="297">
        <f>IFERROR(__xludf.DUMMYFUNCTION("""COMPUTED_VALUE"""),8.1625)</f>
        <v>8.1625</v>
      </c>
      <c r="Y38" s="271">
        <f>IFERROR(VLOOKUP($V38,'Halo Infinite Stats'!$A:$AM,2,0),)</f>
        <v>18</v>
      </c>
      <c r="Z38" s="40"/>
      <c r="AA38" s="274" t="str">
        <f>IFERROR(VLOOKUP($AC38,'Halo Infinite Stats'!$A:AR,44,0),)</f>
        <v>1st</v>
      </c>
      <c r="AB38" s="276" t="str">
        <f>IFERROR(VLOOKUP($AC38,'Halo Infinite Stats'!$A:AX,43,0),)</f>
        <v>C</v>
      </c>
      <c r="AC38" s="411" t="str">
        <f>IFERROR(__xludf.DUMMYFUNCTION("""COMPUTED_VALUE"""),"OREOTHECAT")</f>
        <v>OREOTHECAT</v>
      </c>
      <c r="AD38" s="316" t="str">
        <f>IFERROR(__xludf.DUMMYFUNCTION("""COMPUTED_VALUE"""),"E-")</f>
        <v>E-</v>
      </c>
      <c r="AE38" s="278">
        <f>IFERROR(__xludf.DUMMYFUNCTION("""COMPUTED_VALUE"""),4.4)</f>
        <v>4.4</v>
      </c>
      <c r="AF38" s="40"/>
      <c r="AG38" s="251" t="str">
        <f>IFERROR(VLOOKUP($AI38,'Halo Infinite Stats'!$A:AR,44,0),)</f>
        <v>P42</v>
      </c>
      <c r="AH38" s="251" t="str">
        <f>IFERROR(VLOOKUP($AI38,'Halo Infinite Stats'!$A:AQ,43,0),)</f>
        <v>R3</v>
      </c>
      <c r="AI38" s="416" t="str">
        <f>IFERROR(__xludf.DUMMYFUNCTION("""COMPUTED_VALUE"""),"StarMonster8129")</f>
        <v>StarMonster8129</v>
      </c>
      <c r="AJ38" s="309" t="str">
        <f>IFERROR(__xludf.DUMMYFUNCTION("""COMPUTED_VALUE"""),"E-")</f>
        <v>E-</v>
      </c>
      <c r="AK38" s="300">
        <f>IFERROR(__xludf.DUMMYFUNCTION("""COMPUTED_VALUE"""),8.45)</f>
        <v>8.45</v>
      </c>
      <c r="AL38" s="286">
        <f>IFERROR(VLOOKUP($AI38,'Season+Playoffs Stats'!$A:$AM,2,0),)</f>
        <v>4</v>
      </c>
      <c r="AM38" s="40"/>
      <c r="AN38" s="40"/>
      <c r="AO38" s="21"/>
      <c r="AP38" s="40"/>
      <c r="AQ38" s="458"/>
      <c r="AR38" s="460"/>
      <c r="AS38" s="460"/>
      <c r="AT38" s="40"/>
      <c r="AU38" s="21"/>
    </row>
    <row r="39">
      <c r="A39" s="40"/>
      <c r="B39" s="356" t="str">
        <f>IFERROR(__xludf.DUMMYFUNCTION("""COMPUTED_VALUE"""),"OREOTHECAT")</f>
        <v>OREOTHECAT</v>
      </c>
      <c r="C39" s="357">
        <f>IFERROR(__xludf.DUMMYFUNCTION("""COMPUTED_VALUE"""),-1.746695666722436)</f>
        <v>-1.746695667</v>
      </c>
      <c r="D39" s="40"/>
      <c r="E39" s="358" t="str">
        <f>IFERROR(__xludf.DUMMYFUNCTION("""COMPUTED_VALUE"""),"MuNgO PuNgO")</f>
        <v>MuNgO PuNgO</v>
      </c>
      <c r="F39" s="359">
        <f>IFERROR(__xludf.DUMMYFUNCTION("""COMPUTED_VALUE"""),5.4790534468740635)</f>
        <v>5.479053447</v>
      </c>
      <c r="G39" s="40"/>
      <c r="H39" s="360" t="str">
        <f>IFERROR(__xludf.DUMMYFUNCTION("""COMPUTED_VALUE"""),"WeirdPG")</f>
        <v>WeirdPG</v>
      </c>
      <c r="I39" s="361">
        <f>IFERROR(__xludf.DUMMYFUNCTION("""COMPUTED_VALUE"""),0.014613948201672486)</f>
        <v>0.0146139482</v>
      </c>
      <c r="J39" s="40"/>
      <c r="K39" s="362" t="str">
        <f>IFERROR(__xludf.DUMMYFUNCTION("""COMPUTED_VALUE"""),"xXTHEChickenGod")</f>
        <v>xXTHEChickenGod</v>
      </c>
      <c r="L39" s="363">
        <f>IFERROR(__xludf.DUMMYFUNCTION("""COMPUTED_VALUE"""),0.047162919903287207)</f>
        <v>0.0471629199</v>
      </c>
      <c r="M39" s="40"/>
      <c r="N39" s="364" t="str">
        <f>IFERROR(__xludf.DUMMYFUNCTION("""COMPUTED_VALUE"""),"Trespa5s")</f>
        <v>Trespa5s</v>
      </c>
      <c r="O39" s="367">
        <f>IFERROR(__xludf.DUMMYFUNCTION("""COMPUTED_VALUE"""),0.3981581798483207)</f>
        <v>0.3981581798</v>
      </c>
      <c r="P39" s="40"/>
      <c r="Q39" s="369" t="str">
        <f>IFERROR(__xludf.DUMMYFUNCTION("""COMPUTED_VALUE"""),"Trespa5s")</f>
        <v>Trespa5s</v>
      </c>
      <c r="R39" s="370">
        <f>IFERROR(__xludf.DUMMYFUNCTION("""COMPUTED_VALUE"""),-1.0319609967497292)</f>
        <v>-1.031960997</v>
      </c>
      <c r="S39" s="40"/>
      <c r="T39" s="251" t="str">
        <f>IFERROR(VLOOKUP($V39,'Halo Infinite Stats'!$A:AR,44,0),)</f>
        <v>P42</v>
      </c>
      <c r="U39" s="251" t="str">
        <f>IFERROR(VLOOKUP($V39,'Halo Infinite Stats'!$A:AQ,43,0),)</f>
        <v>R3</v>
      </c>
      <c r="V39" s="406" t="str">
        <f>IFERROR(__xludf.DUMMYFUNCTION("""COMPUTED_VALUE"""),"StarMonster8129")</f>
        <v>StarMonster8129</v>
      </c>
      <c r="W39" s="610" t="str">
        <f>IFERROR(__xludf.DUMMYFUNCTION("""COMPUTED_VALUE"""),"F+")</f>
        <v>F+</v>
      </c>
      <c r="X39" s="297">
        <f>IFERROR(__xludf.DUMMYFUNCTION("""COMPUTED_VALUE"""),8.0)</f>
        <v>8</v>
      </c>
      <c r="Y39" s="271">
        <f>IFERROR(VLOOKUP($V39,'Halo Infinite Stats'!$A:$AM,2,0),)</f>
        <v>4</v>
      </c>
      <c r="Z39" s="40"/>
      <c r="AA39" s="274" t="str">
        <f>IFERROR(VLOOKUP($AC39,'Halo Infinite Stats'!$A:AR,44,0),)</f>
        <v>P19</v>
      </c>
      <c r="AB39" s="276" t="str">
        <f>IFERROR(VLOOKUP($AC39,'Halo Infinite Stats'!$A:AX,43,0),)</f>
        <v>R2</v>
      </c>
      <c r="AC39" s="411" t="str">
        <f>IFERROR(__xludf.DUMMYFUNCTION("""COMPUTED_VALUE"""),"Its Rainin MenZ")</f>
        <v>Its Rainin MenZ</v>
      </c>
      <c r="AD39" s="316" t="str">
        <f>IFERROR(__xludf.DUMMYFUNCTION("""COMPUTED_VALUE"""),"E-")</f>
        <v>E-</v>
      </c>
      <c r="AE39" s="278">
        <f>IFERROR(__xludf.DUMMYFUNCTION("""COMPUTED_VALUE"""),4.175000000000001)</f>
        <v>4.175</v>
      </c>
      <c r="AF39" s="40"/>
      <c r="AG39" s="251" t="str">
        <f>IFERROR(VLOOKUP($AI39,'Halo Infinite Stats'!$A:AR,44,0),)</f>
        <v>P39</v>
      </c>
      <c r="AH39" s="251" t="str">
        <f>IFERROR(VLOOKUP($AI39,'Halo Infinite Stats'!$A:AQ,43,0),)</f>
        <v>R3</v>
      </c>
      <c r="AI39" s="416" t="str">
        <f>IFERROR(__xludf.DUMMYFUNCTION("""COMPUTED_VALUE"""),"WeirdPG")</f>
        <v>WeirdPG</v>
      </c>
      <c r="AJ39" s="302" t="str">
        <f>IFERROR(__xludf.DUMMYFUNCTION("""COMPUTED_VALUE"""),"F+")</f>
        <v>F+</v>
      </c>
      <c r="AK39" s="300">
        <f>IFERROR(__xludf.DUMMYFUNCTION("""COMPUTED_VALUE"""),8.1625)</f>
        <v>8.1625</v>
      </c>
      <c r="AL39" s="286">
        <f>IFERROR(VLOOKUP($AI39,'Season+Playoffs Stats'!$A:$AM,2,0),)</f>
        <v>18</v>
      </c>
      <c r="AM39" s="40"/>
      <c r="AN39" s="40"/>
      <c r="AO39" s="21"/>
      <c r="AP39" s="40"/>
      <c r="AQ39" s="458"/>
      <c r="AR39" s="460"/>
      <c r="AS39" s="460"/>
      <c r="AT39" s="40"/>
      <c r="AU39" s="21"/>
    </row>
    <row r="40">
      <c r="A40" s="40"/>
      <c r="B40" s="356" t="str">
        <f>IFERROR(__xludf.DUMMYFUNCTION("""COMPUTED_VALUE"""),"StarMonster8129")</f>
        <v>StarMonster8129</v>
      </c>
      <c r="C40" s="357">
        <f>IFERROR(__xludf.DUMMYFUNCTION("""COMPUTED_VALUE"""),-1.7913451861791347)</f>
        <v>-1.791345186</v>
      </c>
      <c r="D40" s="40"/>
      <c r="E40" s="358" t="str">
        <f>IFERROR(__xludf.DUMMYFUNCTION("""COMPUTED_VALUE"""),"KDSkill")</f>
        <v>KDSkill</v>
      </c>
      <c r="F40" s="359">
        <f>IFERROR(__xludf.DUMMYFUNCTION("""COMPUTED_VALUE"""),5.442211055276382)</f>
        <v>5.442211055</v>
      </c>
      <c r="G40" s="40"/>
      <c r="H40" s="360" t="str">
        <f>IFERROR(__xludf.DUMMYFUNCTION("""COMPUTED_VALUE"""),"Amnatu")</f>
        <v>Amnatu</v>
      </c>
      <c r="I40" s="361">
        <f>IFERROR(__xludf.DUMMYFUNCTION("""COMPUTED_VALUE"""),0.010730253353204173)</f>
        <v>0.01073025335</v>
      </c>
      <c r="J40" s="40"/>
      <c r="K40" s="362" t="str">
        <f>IFERROR(__xludf.DUMMYFUNCTION("""COMPUTED_VALUE"""),"Ken Khaneki")</f>
        <v>Ken Khaneki</v>
      </c>
      <c r="L40" s="363">
        <f>IFERROR(__xludf.DUMMYFUNCTION("""COMPUTED_VALUE"""),0.037854889589905356)</f>
        <v>0.03785488959</v>
      </c>
      <c r="M40" s="40"/>
      <c r="N40" s="364" t="str">
        <f>IFERROR(__xludf.DUMMYFUNCTION("""COMPUTED_VALUE"""),"WeirdPG")</f>
        <v>WeirdPG</v>
      </c>
      <c r="O40" s="367">
        <f>IFERROR(__xludf.DUMMYFUNCTION("""COMPUTED_VALUE"""),0.3897052853779329)</f>
        <v>0.3897052854</v>
      </c>
      <c r="P40" s="40"/>
      <c r="Q40" s="369" t="str">
        <f>IFERROR(__xludf.DUMMYFUNCTION("""COMPUTED_VALUE"""),"Ram Osneb")</f>
        <v>Ram Osneb</v>
      </c>
      <c r="R40" s="370">
        <f>IFERROR(__xludf.DUMMYFUNCTION("""COMPUTED_VALUE"""),-1.0444365614284026)</f>
        <v>-1.044436561</v>
      </c>
      <c r="S40" s="40"/>
      <c r="T40" s="251" t="str">
        <f>IFERROR(VLOOKUP($V40,'Halo Infinite Stats'!$A:AR,44,0),)</f>
        <v>P40</v>
      </c>
      <c r="U40" s="251" t="str">
        <f>IFERROR(VLOOKUP($V40,'Halo Infinite Stats'!$A:AQ,43,0),)</f>
        <v>R3</v>
      </c>
      <c r="V40" s="406" t="str">
        <f>IFERROR(__xludf.DUMMYFUNCTION("""COMPUTED_VALUE"""),"Ram Osneb")</f>
        <v>Ram Osneb</v>
      </c>
      <c r="W40" s="610" t="str">
        <f>IFERROR(__xludf.DUMMYFUNCTION("""COMPUTED_VALUE"""),"F+")</f>
        <v>F+</v>
      </c>
      <c r="X40" s="297">
        <f>IFERROR(__xludf.DUMMYFUNCTION("""COMPUTED_VALUE"""),7.5625)</f>
        <v>7.5625</v>
      </c>
      <c r="Y40" s="271">
        <f>IFERROR(VLOOKUP($V40,'Halo Infinite Stats'!$A:$AM,2,0),)</f>
        <v>15</v>
      </c>
      <c r="Z40" s="40"/>
      <c r="AA40" s="274" t="str">
        <f>IFERROR(VLOOKUP($AC40,'Halo Infinite Stats'!$A:AR,44,0),)</f>
        <v>P12</v>
      </c>
      <c r="AB40" s="276" t="str">
        <f>IFERROR(VLOOKUP($AC40,'Halo Infinite Stats'!$A:AX,43,0),)</f>
        <v>R2</v>
      </c>
      <c r="AC40" s="411" t="str">
        <f>IFERROR(__xludf.DUMMYFUNCTION("""COMPUTED_VALUE"""),"Pd Craig 69")</f>
        <v>Pd Craig 69</v>
      </c>
      <c r="AD40" s="316" t="str">
        <f>IFERROR(__xludf.DUMMYFUNCTION("""COMPUTED_VALUE"""),"F+")</f>
        <v>F+</v>
      </c>
      <c r="AE40" s="278">
        <f>IFERROR(__xludf.DUMMYFUNCTION("""COMPUTED_VALUE"""),3.45)</f>
        <v>3.45</v>
      </c>
      <c r="AF40" s="40"/>
      <c r="AG40" s="251" t="str">
        <f>IFERROR(VLOOKUP($AI40,'Halo Infinite Stats'!$A:AR,44,0),)</f>
        <v>P40</v>
      </c>
      <c r="AH40" s="251" t="str">
        <f>IFERROR(VLOOKUP($AI40,'Halo Infinite Stats'!$A:AQ,43,0),)</f>
        <v>R3</v>
      </c>
      <c r="AI40" s="416" t="str">
        <f>IFERROR(__xludf.DUMMYFUNCTION("""COMPUTED_VALUE"""),"Ram Osneb")</f>
        <v>Ram Osneb</v>
      </c>
      <c r="AJ40" s="309" t="str">
        <f>IFERROR(__xludf.DUMMYFUNCTION("""COMPUTED_VALUE"""),"F+")</f>
        <v>F+</v>
      </c>
      <c r="AK40" s="300">
        <f>IFERROR(__xludf.DUMMYFUNCTION("""COMPUTED_VALUE"""),7.425000000000001)</f>
        <v>7.425</v>
      </c>
      <c r="AL40" s="286">
        <f>IFERROR(VLOOKUP($AI40,'Season+Playoffs Stats'!$A:$AM,2,0),)</f>
        <v>17</v>
      </c>
      <c r="AM40" s="40"/>
      <c r="AN40" s="40"/>
      <c r="AO40" s="21"/>
      <c r="AP40" s="40"/>
      <c r="AQ40" s="645"/>
      <c r="AR40" s="648"/>
      <c r="AS40" s="460"/>
      <c r="AT40" s="40"/>
      <c r="AU40" s="21"/>
    </row>
    <row r="41">
      <c r="A41" s="40"/>
      <c r="B41" s="356" t="str">
        <f>IFERROR(__xludf.DUMMYFUNCTION("""COMPUTED_VALUE"""),"DCleak")</f>
        <v>DCleak</v>
      </c>
      <c r="C41" s="357">
        <f>IFERROR(__xludf.DUMMYFUNCTION("""COMPUTED_VALUE"""),-1.819278925931513)</f>
        <v>-1.819278926</v>
      </c>
      <c r="D41" s="40"/>
      <c r="E41" s="358" t="str">
        <f>IFERROR(__xludf.DUMMYFUNCTION("""COMPUTED_VALUE"""),"CaptainSev004")</f>
        <v>CaptainSev004</v>
      </c>
      <c r="F41" s="359">
        <f>IFERROR(__xludf.DUMMYFUNCTION("""COMPUTED_VALUE"""),5.424091233071988)</f>
        <v>5.424091233</v>
      </c>
      <c r="G41" s="40"/>
      <c r="H41" s="360" t="str">
        <f>IFERROR(__xludf.DUMMYFUNCTION("""COMPUTED_VALUE"""),"Doerstopper")</f>
        <v>Doerstopper</v>
      </c>
      <c r="I41" s="361">
        <f>IFERROR(__xludf.DUMMYFUNCTION("""COMPUTED_VALUE"""),0.009322560596643877)</f>
        <v>0.009322560597</v>
      </c>
      <c r="J41" s="40"/>
      <c r="K41" s="362" t="str">
        <f>IFERROR(__xludf.DUMMYFUNCTION("""COMPUTED_VALUE"""),"Trespa5s")</f>
        <v>Trespa5s</v>
      </c>
      <c r="L41" s="363">
        <f>IFERROR(__xludf.DUMMYFUNCTION("""COMPUTED_VALUE"""),0.03624052004333694)</f>
        <v>0.03624052004</v>
      </c>
      <c r="M41" s="40"/>
      <c r="N41" s="364" t="str">
        <f>IFERROR(__xludf.DUMMYFUNCTION("""COMPUTED_VALUE"""),"StarMonster8129")</f>
        <v>StarMonster8129</v>
      </c>
      <c r="O41" s="367">
        <f>IFERROR(__xludf.DUMMYFUNCTION("""COMPUTED_VALUE"""),0.322039584032204)</f>
        <v>0.322039584</v>
      </c>
      <c r="P41" s="40"/>
      <c r="Q41" s="369" t="str">
        <f>IFERROR(__xludf.DUMMYFUNCTION("""COMPUTED_VALUE"""),"Amnatu")</f>
        <v>Amnatu</v>
      </c>
      <c r="R41" s="370">
        <f>IFERROR(__xludf.DUMMYFUNCTION("""COMPUTED_VALUE"""),-1.1225534028812718)</f>
        <v>-1.122553403</v>
      </c>
      <c r="S41" s="40"/>
      <c r="T41" s="251" t="str">
        <f>IFERROR(VLOOKUP($V41,'Halo Infinite Stats'!$A:AR,44,0),)</f>
        <v>P38</v>
      </c>
      <c r="U41" s="251" t="str">
        <f>IFERROR(VLOOKUP($V41,'Halo Infinite Stats'!$A:AQ,43,0),)</f>
        <v>R3</v>
      </c>
      <c r="V41" s="654" t="str">
        <f>IFERROR(__xludf.DUMMYFUNCTION("""COMPUTED_VALUE"""),"xXTHEChickenGod")</f>
        <v>xXTHEChickenGod</v>
      </c>
      <c r="W41" s="656" t="str">
        <f>IFERROR(__xludf.DUMMYFUNCTION("""COMPUTED_VALUE"""),"F")</f>
        <v>F</v>
      </c>
      <c r="X41" s="297">
        <f>IFERROR(__xludf.DUMMYFUNCTION("""COMPUTED_VALUE"""),7.2749999999999995)</f>
        <v>7.275</v>
      </c>
      <c r="Y41" s="271">
        <f>IFERROR(VLOOKUP($V41,'Halo Infinite Stats'!$A:$AM,2,0),)</f>
        <v>20</v>
      </c>
      <c r="Z41" s="11"/>
      <c r="AA41" s="274" t="str">
        <f>IFERROR(VLOOKUP($AC41,'Halo Infinite Stats'!$A:AR,44,0),)</f>
        <v>P43</v>
      </c>
      <c r="AB41" s="276" t="str">
        <f>IFERROR(VLOOKUP($AC41,'Halo Infinite Stats'!$A:AX,43,0),)</f>
        <v>R3</v>
      </c>
      <c r="AC41" s="411" t="str">
        <f>IFERROR(__xludf.DUMMYFUNCTION("""COMPUTED_VALUE"""),"Ken Khaneki")</f>
        <v>Ken Khaneki</v>
      </c>
      <c r="AD41" s="316" t="str">
        <f>IFERROR(__xludf.DUMMYFUNCTION("""COMPUTED_VALUE"""),"F+")</f>
        <v>F+</v>
      </c>
      <c r="AE41" s="278">
        <f>IFERROR(__xludf.DUMMYFUNCTION("""COMPUTED_VALUE"""),3.175)</f>
        <v>3.175</v>
      </c>
      <c r="AF41" s="11"/>
      <c r="AG41" s="251" t="str">
        <f>IFERROR(VLOOKUP($AI41,'Halo Infinite Stats'!$A:AR,44,0),)</f>
        <v>P38</v>
      </c>
      <c r="AH41" s="251" t="str">
        <f>IFERROR(VLOOKUP($AI41,'Halo Infinite Stats'!$A:AQ,43,0),)</f>
        <v>R3</v>
      </c>
      <c r="AI41" s="416" t="str">
        <f>IFERROR(__xludf.DUMMYFUNCTION("""COMPUTED_VALUE"""),"xXTHEChickenGod")</f>
        <v>xXTHEChickenGod</v>
      </c>
      <c r="AJ41" s="302" t="str">
        <f>IFERROR(__xludf.DUMMYFUNCTION("""COMPUTED_VALUE"""),"F")</f>
        <v>F</v>
      </c>
      <c r="AK41" s="300">
        <f>IFERROR(__xludf.DUMMYFUNCTION("""COMPUTED_VALUE"""),7.4)</f>
        <v>7.4</v>
      </c>
      <c r="AL41" s="286">
        <f>IFERROR(VLOOKUP($AI41,'Season+Playoffs Stats'!$A:$AM,2,0),)</f>
        <v>24</v>
      </c>
      <c r="AM41" s="663"/>
      <c r="AN41" s="663"/>
      <c r="AO41" s="663"/>
      <c r="AP41" s="663"/>
      <c r="AQ41" s="663"/>
      <c r="AR41" s="663"/>
      <c r="AS41" s="663"/>
      <c r="AT41" s="40"/>
      <c r="AU41" s="21"/>
    </row>
    <row r="42">
      <c r="A42" s="40"/>
      <c r="B42" s="356" t="str">
        <f>IFERROR(__xludf.DUMMYFUNCTION("""COMPUTED_VALUE"""),"Amnatu")</f>
        <v>Amnatu</v>
      </c>
      <c r="C42" s="357">
        <f>IFERROR(__xludf.DUMMYFUNCTION("""COMPUTED_VALUE"""),-1.8384500745156485)</f>
        <v>-1.838450075</v>
      </c>
      <c r="D42" s="40"/>
      <c r="E42" s="358" t="str">
        <f>IFERROR(__xludf.DUMMYFUNCTION("""COMPUTED_VALUE"""),"Holy Morals")</f>
        <v>Holy Morals</v>
      </c>
      <c r="F42" s="359">
        <f>IFERROR(__xludf.DUMMYFUNCTION("""COMPUTED_VALUE"""),5.369148601947848)</f>
        <v>5.369148602</v>
      </c>
      <c r="G42" s="40"/>
      <c r="H42" s="360" t="str">
        <f>IFERROR(__xludf.DUMMYFUNCTION("""COMPUTED_VALUE"""),"OREOTHECAT")</f>
        <v>OREOTHECAT</v>
      </c>
      <c r="I42" s="361">
        <f>IFERROR(__xludf.DUMMYFUNCTION("""COMPUTED_VALUE"""),0.005019240421616195)</f>
        <v>0.005019240422</v>
      </c>
      <c r="J42" s="40"/>
      <c r="K42" s="362" t="str">
        <f>IFERROR(__xludf.DUMMYFUNCTION("""COMPUTED_VALUE"""),"Pd Craig 69")</f>
        <v>Pd Craig 69</v>
      </c>
      <c r="L42" s="363">
        <f>IFERROR(__xludf.DUMMYFUNCTION("""COMPUTED_VALUE"""),0.035371589840075254)</f>
        <v>0.03537158984</v>
      </c>
      <c r="M42" s="40"/>
      <c r="N42" s="364" t="str">
        <f>IFERROR(__xludf.DUMMYFUNCTION("""COMPUTED_VALUE"""),"Ram Osneb")</f>
        <v>Ram Osneb</v>
      </c>
      <c r="O42" s="367">
        <f>IFERROR(__xludf.DUMMYFUNCTION("""COMPUTED_VALUE"""),0.2653061224489796)</f>
        <v>0.2653061224</v>
      </c>
      <c r="P42" s="40"/>
      <c r="Q42" s="369" t="str">
        <f>IFERROR(__xludf.DUMMYFUNCTION("""COMPUTED_VALUE"""),"OREOTHECAT")</f>
        <v>OREOTHECAT</v>
      </c>
      <c r="R42" s="370">
        <f>IFERROR(__xludf.DUMMYFUNCTION("""COMPUTED_VALUE"""),-1.191099213652334)</f>
        <v>-1.191099214</v>
      </c>
      <c r="S42" s="40"/>
      <c r="T42" s="251" t="str">
        <f>IFERROR(VLOOKUP($V42,'Halo Infinite Stats'!$A:AR,44,0),)</f>
        <v>P23</v>
      </c>
      <c r="U42" s="251" t="str">
        <f>IFERROR(VLOOKUP($V42,'Halo Infinite Stats'!$A:AQ,43,0),)</f>
        <v>R3</v>
      </c>
      <c r="V42" s="654" t="str">
        <f>IFERROR(__xludf.DUMMYFUNCTION("""COMPUTED_VALUE"""),"ThePro#1771")</f>
        <v>ThePro#1771</v>
      </c>
      <c r="W42" s="656" t="str">
        <f>IFERROR(__xludf.DUMMYFUNCTION("""COMPUTED_VALUE"""),"F")</f>
        <v>F</v>
      </c>
      <c r="X42" s="297">
        <f>IFERROR(__xludf.DUMMYFUNCTION("""COMPUTED_VALUE"""),7.2)</f>
        <v>7.2</v>
      </c>
      <c r="Y42" s="271">
        <f>IFERROR(VLOOKUP($V42,'Halo Infinite Stats'!$A:$AM,2,0),)</f>
        <v>3</v>
      </c>
      <c r="Z42" s="663"/>
      <c r="AA42" s="274" t="str">
        <f>IFERROR(VLOOKUP($AC42,'Halo Infinite Stats'!$A:AR,44,0),)</f>
        <v>5th</v>
      </c>
      <c r="AB42" s="276" t="str">
        <f>IFERROR(VLOOKUP($AC42,'Halo Infinite Stats'!$A:AX,43,0),)</f>
        <v>C</v>
      </c>
      <c r="AC42" s="411" t="str">
        <f>IFERROR(__xludf.DUMMYFUNCTION("""COMPUTED_VALUE"""),"Trespa5s")</f>
        <v>Trespa5s</v>
      </c>
      <c r="AD42" s="316" t="str">
        <f>IFERROR(__xludf.DUMMYFUNCTION("""COMPUTED_VALUE"""),"F")</f>
        <v>F</v>
      </c>
      <c r="AE42" s="278">
        <f>IFERROR(__xludf.DUMMYFUNCTION("""COMPUTED_VALUE"""),2.45)</f>
        <v>2.45</v>
      </c>
      <c r="AF42" s="663"/>
      <c r="AG42" s="251" t="str">
        <f>IFERROR(VLOOKUP($AI42,'Halo Infinite Stats'!$A:AR,44,0),)</f>
        <v>P23</v>
      </c>
      <c r="AH42" s="251" t="str">
        <f>IFERROR(VLOOKUP($AI42,'Halo Infinite Stats'!$A:AQ,43,0),)</f>
        <v>R3</v>
      </c>
      <c r="AI42" s="416" t="str">
        <f>IFERROR(__xludf.DUMMYFUNCTION("""COMPUTED_VALUE"""),"ThePro#1771")</f>
        <v>ThePro#1771</v>
      </c>
      <c r="AJ42" s="309" t="str">
        <f>IFERROR(__xludf.DUMMYFUNCTION("""COMPUTED_VALUE"""),"F")</f>
        <v>F</v>
      </c>
      <c r="AK42" s="300">
        <f>IFERROR(__xludf.DUMMYFUNCTION("""COMPUTED_VALUE"""),6.975)</f>
        <v>6.975</v>
      </c>
      <c r="AL42" s="286">
        <f>IFERROR(VLOOKUP($AI42,'Season+Playoffs Stats'!$A:$AM,2,0),)</f>
        <v>3</v>
      </c>
      <c r="AM42" s="663"/>
      <c r="AN42" s="663"/>
      <c r="AO42" s="663"/>
      <c r="AP42" s="663"/>
      <c r="AQ42" s="663"/>
      <c r="AR42" s="663"/>
      <c r="AS42" s="663"/>
      <c r="AT42" s="40"/>
      <c r="AU42" s="21"/>
    </row>
    <row r="43">
      <c r="A43" s="40"/>
      <c r="B43" s="356" t="str">
        <f>IFERROR(__xludf.DUMMYFUNCTION("""COMPUTED_VALUE"""),"Doerstopper")</f>
        <v>Doerstopper</v>
      </c>
      <c r="C43" s="357">
        <f>IFERROR(__xludf.DUMMYFUNCTION("""COMPUTED_VALUE"""),-1.9142324425108763)</f>
        <v>-1.914232443</v>
      </c>
      <c r="D43" s="40"/>
      <c r="E43" s="358" t="str">
        <f>IFERROR(__xludf.DUMMYFUNCTION("""COMPUTED_VALUE"""),"Mavbrid")</f>
        <v>Mavbrid</v>
      </c>
      <c r="F43" s="359">
        <f>IFERROR(__xludf.DUMMYFUNCTION("""COMPUTED_VALUE"""),5.351673284174702)</f>
        <v>5.351673284</v>
      </c>
      <c r="G43" s="40"/>
      <c r="H43" s="360" t="str">
        <f>IFERROR(__xludf.DUMMYFUNCTION("""COMPUTED_VALUE"""),"Ram Osneb")</f>
        <v>Ram Osneb</v>
      </c>
      <c r="I43" s="361">
        <f>IFERROR(__xludf.DUMMYFUNCTION("""COMPUTED_VALUE"""),0.0)</f>
        <v>0</v>
      </c>
      <c r="J43" s="40"/>
      <c r="K43" s="362" t="str">
        <f>IFERROR(__xludf.DUMMYFUNCTION("""COMPUTED_VALUE"""),"OREOTHECAT")</f>
        <v>OREOTHECAT</v>
      </c>
      <c r="L43" s="363">
        <f>IFERROR(__xludf.DUMMYFUNCTION("""COMPUTED_VALUE"""),0.032725447548937595)</f>
        <v>0.03272544755</v>
      </c>
      <c r="M43" s="40"/>
      <c r="N43" s="364" t="str">
        <f>IFERROR(__xludf.DUMMYFUNCTION("""COMPUTED_VALUE"""),"Amnatu")</f>
        <v>Amnatu</v>
      </c>
      <c r="O43" s="367">
        <f>IFERROR(__xludf.DUMMYFUNCTION("""COMPUTED_VALUE"""),0.26114481667106304)</f>
        <v>0.2611448167</v>
      </c>
      <c r="P43" s="40"/>
      <c r="Q43" s="369" t="str">
        <f>IFERROR(__xludf.DUMMYFUNCTION("""COMPUTED_VALUE"""),"StarMonster8129")</f>
        <v>StarMonster8129</v>
      </c>
      <c r="R43" s="370">
        <f>IFERROR(__xludf.DUMMYFUNCTION("""COMPUTED_VALUE"""),-1.4894330761489434)</f>
        <v>-1.489433076</v>
      </c>
      <c r="S43" s="40"/>
      <c r="T43" s="251" t="str">
        <f>IFERROR(VLOOKUP($V43,'Halo Infinite Stats'!$A:AR,44,0),)</f>
        <v>3rd</v>
      </c>
      <c r="U43" s="251" t="str">
        <f>IFERROR(VLOOKUP($V43,'Halo Infinite Stats'!$A:AQ,43,0),)</f>
        <v>C</v>
      </c>
      <c r="V43" s="654" t="str">
        <f>IFERROR(__xludf.DUMMYFUNCTION("""COMPUTED_VALUE"""),"Amnatu")</f>
        <v>Amnatu</v>
      </c>
      <c r="W43" s="656" t="str">
        <f>IFERROR(__xludf.DUMMYFUNCTION("""COMPUTED_VALUE"""),"F-")</f>
        <v>F-</v>
      </c>
      <c r="X43" s="297">
        <f>IFERROR(__xludf.DUMMYFUNCTION("""COMPUTED_VALUE"""),5.8)</f>
        <v>5.8</v>
      </c>
      <c r="Y43" s="271">
        <f>IFERROR(VLOOKUP($V43,'Halo Infinite Stats'!$A:$AM,2,0),)</f>
        <v>18</v>
      </c>
      <c r="Z43" s="663"/>
      <c r="AA43" s="274" t="str">
        <f>IFERROR(VLOOKUP($AC43,'Halo Infinite Stats'!$A:AR,44,0),)</f>
        <v>P4</v>
      </c>
      <c r="AB43" s="276" t="str">
        <f>IFERROR(VLOOKUP($AC43,'Halo Infinite Stats'!$A:AX,43,0),)</f>
        <v>R1</v>
      </c>
      <c r="AC43" s="411" t="str">
        <f>IFERROR(__xludf.DUMMYFUNCTION("""COMPUTED_VALUE"""),"Memorized")</f>
        <v>Memorized</v>
      </c>
      <c r="AD43" s="316" t="str">
        <f>IFERROR(__xludf.DUMMYFUNCTION("""COMPUTED_VALUE"""),"F")</f>
        <v>F</v>
      </c>
      <c r="AE43" s="278">
        <f>IFERROR(__xludf.DUMMYFUNCTION("""COMPUTED_VALUE"""),2.425)</f>
        <v>2.425</v>
      </c>
      <c r="AF43" s="663"/>
      <c r="AG43" s="251" t="str">
        <f>IFERROR(VLOOKUP($AI43,'Halo Infinite Stats'!$A:AR,44,0),)</f>
        <v>3rd</v>
      </c>
      <c r="AH43" s="251" t="str">
        <f>IFERROR(VLOOKUP($AI43,'Halo Infinite Stats'!$A:AQ,43,0),)</f>
        <v>C</v>
      </c>
      <c r="AI43" s="416" t="str">
        <f>IFERROR(__xludf.DUMMYFUNCTION("""COMPUTED_VALUE"""),"Amnatu")</f>
        <v>Amnatu</v>
      </c>
      <c r="AJ43" s="302" t="str">
        <f>IFERROR(__xludf.DUMMYFUNCTION("""COMPUTED_VALUE"""),"F-")</f>
        <v>F-</v>
      </c>
      <c r="AK43" s="300">
        <f>IFERROR(__xludf.DUMMYFUNCTION("""COMPUTED_VALUE"""),5.9875)</f>
        <v>5.9875</v>
      </c>
      <c r="AL43" s="286">
        <f>IFERROR(VLOOKUP($AI43,'Season+Playoffs Stats'!$A:$AM,2,0),)</f>
        <v>20</v>
      </c>
      <c r="AM43" s="663"/>
      <c r="AN43" s="663"/>
      <c r="AO43" s="663"/>
      <c r="AP43" s="663"/>
      <c r="AQ43" s="663"/>
      <c r="AR43" s="663"/>
      <c r="AS43" s="663"/>
      <c r="AT43" s="40"/>
      <c r="AU43" s="21"/>
    </row>
    <row r="44">
      <c r="A44" s="40"/>
      <c r="B44" s="356" t="str">
        <f>IFERROR(__xludf.DUMMYFUNCTION("""COMPUTED_VALUE"""),"WeirdPG")</f>
        <v>WeirdPG</v>
      </c>
      <c r="C44" s="357">
        <f>IFERROR(__xludf.DUMMYFUNCTION("""COMPUTED_VALUE"""),-2.5184704067548918)</f>
        <v>-2.518470407</v>
      </c>
      <c r="D44" s="40"/>
      <c r="E44" s="358" t="str">
        <f>IFERROR(__xludf.DUMMYFUNCTION("""COMPUTED_VALUE"""),"Amnatu")</f>
        <v>Amnatu</v>
      </c>
      <c r="F44" s="359">
        <f>IFERROR(__xludf.DUMMYFUNCTION("""COMPUTED_VALUE"""),5.050372578241431)</f>
        <v>5.050372578</v>
      </c>
      <c r="G44" s="40"/>
      <c r="H44" s="360" t="str">
        <f>IFERROR(__xludf.DUMMYFUNCTION("""COMPUTED_VALUE"""),"StarMonster8129")</f>
        <v>StarMonster8129</v>
      </c>
      <c r="I44" s="361">
        <f>IFERROR(__xludf.DUMMYFUNCTION("""COMPUTED_VALUE"""),0.0)</f>
        <v>0</v>
      </c>
      <c r="J44" s="40"/>
      <c r="K44" s="362" t="str">
        <f>IFERROR(__xludf.DUMMYFUNCTION("""COMPUTED_VALUE"""),"ThePro#1771")</f>
        <v>ThePro#1771</v>
      </c>
      <c r="L44" s="363">
        <f>IFERROR(__xludf.DUMMYFUNCTION("""COMPUTED_VALUE"""),0.023745583038869256)</f>
        <v>0.02374558304</v>
      </c>
      <c r="M44" s="40"/>
      <c r="N44" s="364" t="str">
        <f>IFERROR(__xludf.DUMMYFUNCTION("""COMPUTED_VALUE"""),"OREOTHECAT")</f>
        <v>OREOTHECAT</v>
      </c>
      <c r="O44" s="367">
        <f>IFERROR(__xludf.DUMMYFUNCTION("""COMPUTED_VALUE"""),0.16061569349171825)</f>
        <v>0.1606156935</v>
      </c>
      <c r="P44" s="40"/>
      <c r="Q44" s="369" t="str">
        <f>IFERROR(__xludf.DUMMYFUNCTION("""COMPUTED_VALUE"""),"WeirdPG")</f>
        <v>WeirdPG</v>
      </c>
      <c r="R44" s="370">
        <f>IFERROR(__xludf.DUMMYFUNCTION("""COMPUTED_VALUE"""),-1.5141511731752861)</f>
        <v>-1.514151173</v>
      </c>
      <c r="S44" s="40"/>
      <c r="T44" s="251" t="str">
        <f>IFERROR(VLOOKUP($V44,'Halo Infinite Stats'!$A:AR,44,0),)</f>
        <v>5th</v>
      </c>
      <c r="U44" s="251" t="str">
        <f>IFERROR(VLOOKUP($V44,'Halo Infinite Stats'!$A:AQ,43,0),)</f>
        <v>C</v>
      </c>
      <c r="V44" s="654" t="str">
        <f>IFERROR(__xludf.DUMMYFUNCTION("""COMPUTED_VALUE"""),"Trespa5s")</f>
        <v>Trespa5s</v>
      </c>
      <c r="W44" s="656" t="str">
        <f>IFERROR(__xludf.DUMMYFUNCTION("""COMPUTED_VALUE"""),"F-")</f>
        <v>F-</v>
      </c>
      <c r="X44" s="297">
        <f>IFERROR(__xludf.DUMMYFUNCTION("""COMPUTED_VALUE"""),5.675)</f>
        <v>5.675</v>
      </c>
      <c r="Y44" s="271">
        <f>IFERROR(VLOOKUP($V44,'Halo Infinite Stats'!$A:$AM,2,0),)</f>
        <v>18</v>
      </c>
      <c r="Z44" s="663"/>
      <c r="AA44" s="274" t="str">
        <f>IFERROR(VLOOKUP($AC44,'Halo Infinite Stats'!$A:AR,44,0),)</f>
        <v>P23</v>
      </c>
      <c r="AB44" s="276" t="str">
        <f>IFERROR(VLOOKUP($AC44,'Halo Infinite Stats'!$A:AX,43,0),)</f>
        <v>R3</v>
      </c>
      <c r="AC44" s="411" t="str">
        <f>IFERROR(__xludf.DUMMYFUNCTION("""COMPUTED_VALUE"""),"ThePro#1771")</f>
        <v>ThePro#1771</v>
      </c>
      <c r="AD44" s="316" t="str">
        <f>IFERROR(__xludf.DUMMYFUNCTION("""COMPUTED_VALUE"""),"F-")</f>
        <v>F-</v>
      </c>
      <c r="AE44" s="278">
        <f>IFERROR(__xludf.DUMMYFUNCTION("""COMPUTED_VALUE"""),2.325)</f>
        <v>2.325</v>
      </c>
      <c r="AF44" s="663"/>
      <c r="AG44" s="251" t="str">
        <f>IFERROR(VLOOKUP($AI44,'Halo Infinite Stats'!$A:AR,44,0),)</f>
        <v>5th</v>
      </c>
      <c r="AH44" s="251" t="str">
        <f>IFERROR(VLOOKUP($AI44,'Halo Infinite Stats'!$A:AQ,43,0),)</f>
        <v>C</v>
      </c>
      <c r="AI44" s="416" t="str">
        <f>IFERROR(__xludf.DUMMYFUNCTION("""COMPUTED_VALUE"""),"Trespa5s")</f>
        <v>Trespa5s</v>
      </c>
      <c r="AJ44" s="309" t="str">
        <f>IFERROR(__xludf.DUMMYFUNCTION("""COMPUTED_VALUE"""),"F-")</f>
        <v>F-</v>
      </c>
      <c r="AK44" s="300">
        <f>IFERROR(__xludf.DUMMYFUNCTION("""COMPUTED_VALUE"""),5.3625)</f>
        <v>5.3625</v>
      </c>
      <c r="AL44" s="286">
        <f>IFERROR(VLOOKUP($AI44,'Season+Playoffs Stats'!$A:$AM,2,0),)</f>
        <v>18</v>
      </c>
      <c r="AM44" s="663"/>
      <c r="AN44" s="663"/>
      <c r="AO44" s="663"/>
      <c r="AP44" s="663"/>
      <c r="AQ44" s="663"/>
      <c r="AR44" s="663"/>
      <c r="AS44" s="663"/>
      <c r="AT44" s="40"/>
      <c r="AU44" s="21"/>
    </row>
    <row r="45">
      <c r="A45" s="40"/>
      <c r="B45" s="356"/>
      <c r="C45" s="357"/>
      <c r="D45" s="40"/>
      <c r="E45" s="358"/>
      <c r="F45" s="359"/>
      <c r="G45" s="40"/>
      <c r="H45" s="360"/>
      <c r="I45" s="361"/>
      <c r="J45" s="40"/>
      <c r="K45" s="362"/>
      <c r="L45" s="363"/>
      <c r="M45" s="40"/>
      <c r="N45" s="689"/>
      <c r="O45" s="367"/>
      <c r="P45" s="40"/>
      <c r="Q45" s="369"/>
      <c r="R45" s="370"/>
      <c r="S45" s="40"/>
      <c r="T45" s="251" t="str">
        <f>IFERROR(VLOOKUP($V45,'Halo Infinite Stats'!$A:AR,44,0),)</f>
        <v>1st</v>
      </c>
      <c r="U45" s="251" t="str">
        <f>IFERROR(VLOOKUP($V45,'Halo Infinite Stats'!$A:AQ,43,0),)</f>
        <v>C</v>
      </c>
      <c r="V45" s="654" t="str">
        <f>IFERROR(__xludf.DUMMYFUNCTION("""COMPUTED_VALUE"""),"OREOTHECAT")</f>
        <v>OREOTHECAT</v>
      </c>
      <c r="W45" s="656" t="str">
        <f>IFERROR(__xludf.DUMMYFUNCTION("""COMPUTED_VALUE"""),"F-")</f>
        <v>F-</v>
      </c>
      <c r="X45" s="690">
        <f>IFERROR(__xludf.DUMMYFUNCTION("""COMPUTED_VALUE"""),4.4750000000000005)</f>
        <v>4.475</v>
      </c>
      <c r="Y45" s="271">
        <f>IFERROR(VLOOKUP($V45,'Halo Infinite Stats'!$A:$AM,2,0),)</f>
        <v>16</v>
      </c>
      <c r="Z45" s="691"/>
      <c r="AA45" s="274" t="str">
        <f>IFERROR(VLOOKUP($AC45,'Halo Infinite Stats'!$A:AR,44,0),)</f>
        <v>P38</v>
      </c>
      <c r="AB45" s="276" t="str">
        <f>IFERROR(VLOOKUP($AC45,'Halo Infinite Stats'!$A:AX,43,0),)</f>
        <v>R3</v>
      </c>
      <c r="AC45" s="411" t="str">
        <f>IFERROR(__xludf.DUMMYFUNCTION("""COMPUTED_VALUE"""),"xXTHEChickenGod")</f>
        <v>xXTHEChickenGod</v>
      </c>
      <c r="AD45" s="316" t="str">
        <f>IFERROR(__xludf.DUMMYFUNCTION("""COMPUTED_VALUE"""),"F-")</f>
        <v>F-</v>
      </c>
      <c r="AE45" s="693">
        <f>IFERROR(__xludf.DUMMYFUNCTION("""COMPUTED_VALUE"""),1.975)</f>
        <v>1.975</v>
      </c>
      <c r="AF45" s="691"/>
      <c r="AG45" s="251" t="str">
        <f>IFERROR(VLOOKUP($AI45,'Halo Infinite Stats'!$A:AR,44,0),)</f>
        <v>1st</v>
      </c>
      <c r="AH45" s="251" t="str">
        <f>IFERROR(VLOOKUP($AI45,'Halo Infinite Stats'!$A:AQ,43,0),)</f>
        <v>C</v>
      </c>
      <c r="AI45" s="416" t="str">
        <f>IFERROR(__xludf.DUMMYFUNCTION("""COMPUTED_VALUE"""),"OREOTHECAT")</f>
        <v>OREOTHECAT</v>
      </c>
      <c r="AJ45" s="302" t="str">
        <f>IFERROR(__xludf.DUMMYFUNCTION("""COMPUTED_VALUE"""),"F-")</f>
        <v>F-</v>
      </c>
      <c r="AK45" s="300">
        <f>IFERROR(__xludf.DUMMYFUNCTION("""COMPUTED_VALUE"""),4.8500000000000005)</f>
        <v>4.85</v>
      </c>
      <c r="AL45" s="286">
        <f>IFERROR(VLOOKUP($AI45,'Season+Playoffs Stats'!$A:$AM,2,0),)</f>
        <v>16</v>
      </c>
      <c r="AM45" s="691"/>
      <c r="AN45" s="691"/>
      <c r="AO45" s="694"/>
      <c r="AP45" s="691"/>
      <c r="AQ45" s="695"/>
      <c r="AR45" s="696"/>
      <c r="AS45" s="695"/>
      <c r="AT45" s="40"/>
      <c r="AU45" s="21"/>
    </row>
    <row r="46">
      <c r="A46" s="40"/>
      <c r="B46" s="40"/>
      <c r="C46" s="21"/>
      <c r="D46" s="40"/>
      <c r="E46" s="40"/>
      <c r="F46" s="21"/>
      <c r="G46" s="40"/>
      <c r="H46" s="40"/>
      <c r="I46" s="21"/>
      <c r="J46" s="40"/>
      <c r="K46" s="40"/>
      <c r="L46" s="21"/>
      <c r="M46" s="40"/>
      <c r="N46" s="40"/>
      <c r="O46" s="21"/>
      <c r="P46" s="40"/>
      <c r="Q46" s="40"/>
      <c r="R46" s="21"/>
      <c r="S46" s="40"/>
      <c r="T46" s="40"/>
      <c r="U46" s="697"/>
      <c r="V46" s="40"/>
      <c r="W46" s="21"/>
      <c r="X46" s="40"/>
      <c r="Y46" s="699"/>
      <c r="Z46" s="40"/>
      <c r="AA46" s="40"/>
      <c r="AB46" s="701" t="str">
        <f>IFERROR(VLOOKUP($V46,'Halo Infinite Stats'!$A:AX,43,0),)</f>
        <v/>
      </c>
      <c r="AC46" s="702"/>
      <c r="AD46" s="703"/>
      <c r="AE46" s="704"/>
      <c r="AF46" s="704"/>
      <c r="AG46" s="704"/>
      <c r="AH46" s="704"/>
      <c r="AI46" s="704"/>
      <c r="AJ46" s="704"/>
      <c r="AK46" s="704"/>
      <c r="AL46" s="704"/>
      <c r="AM46" s="40"/>
      <c r="AN46" s="40"/>
      <c r="AO46" s="21"/>
      <c r="AP46" s="40"/>
      <c r="AQ46" s="40"/>
      <c r="AR46" s="21"/>
      <c r="AS46" s="40"/>
      <c r="AT46" s="40"/>
      <c r="AU46" s="21"/>
    </row>
    <row r="47">
      <c r="A47" s="40"/>
      <c r="B47" s="706" t="s">
        <v>12</v>
      </c>
      <c r="C47" s="707" t="s">
        <v>223</v>
      </c>
      <c r="D47" s="40"/>
      <c r="E47" s="709" t="s">
        <v>12</v>
      </c>
      <c r="F47" s="710" t="s">
        <v>169</v>
      </c>
      <c r="G47" s="40"/>
      <c r="H47" s="711" t="s">
        <v>12</v>
      </c>
      <c r="I47" s="712" t="s">
        <v>177</v>
      </c>
      <c r="J47" s="40"/>
      <c r="K47" s="11"/>
      <c r="L47" s="11"/>
      <c r="M47" s="11"/>
      <c r="N47" s="40"/>
      <c r="O47" s="21"/>
      <c r="P47" s="40"/>
      <c r="Q47" s="40"/>
      <c r="R47" s="21"/>
      <c r="S47" s="40"/>
      <c r="T47" s="40"/>
      <c r="U47" s="697"/>
      <c r="V47" s="40"/>
      <c r="W47" s="21"/>
      <c r="X47" s="40"/>
      <c r="Y47" s="699"/>
      <c r="Z47" s="40"/>
      <c r="AA47" s="40"/>
      <c r="AB47" s="697"/>
      <c r="AC47" s="44"/>
      <c r="AD47" s="47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21"/>
      <c r="AP47" s="40"/>
      <c r="AQ47" s="40"/>
      <c r="AR47" s="21"/>
      <c r="AS47" s="40"/>
      <c r="AT47" s="40"/>
      <c r="AU47" s="21"/>
    </row>
    <row r="48">
      <c r="A48" s="40"/>
      <c r="B48" s="111"/>
      <c r="C48" s="111"/>
      <c r="D48" s="40"/>
      <c r="E48" s="111"/>
      <c r="F48" s="111"/>
      <c r="G48" s="40"/>
      <c r="H48" s="111"/>
      <c r="I48" s="111"/>
      <c r="J48" s="40"/>
      <c r="K48" s="11"/>
      <c r="L48" s="11"/>
      <c r="M48" s="11"/>
      <c r="N48" s="40"/>
      <c r="O48" s="21"/>
      <c r="P48" s="40"/>
      <c r="Q48" s="40"/>
      <c r="R48" s="21"/>
      <c r="S48" s="40"/>
      <c r="T48" s="40"/>
      <c r="U48" s="697"/>
      <c r="V48" s="40"/>
      <c r="W48" s="21"/>
      <c r="X48" s="40"/>
      <c r="Y48" s="699"/>
      <c r="Z48" s="40"/>
      <c r="AA48" s="40"/>
      <c r="AB48" s="697"/>
      <c r="AC48" s="44"/>
      <c r="AD48" s="47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21"/>
      <c r="AP48" s="40"/>
      <c r="AQ48" s="40"/>
      <c r="AR48" s="21"/>
      <c r="AS48" s="40"/>
      <c r="AT48" s="40"/>
      <c r="AU48" s="21"/>
    </row>
    <row r="49">
      <c r="A49" s="40"/>
      <c r="B49" s="718" t="str">
        <f>IFERROR(__xludf.DUMMYFUNCTION("Query('Season+Playoffs Stats'!A2:AN44,""Select A,AM where A&lt;&gt;'' Order by AM Desc"")"),"Holy Morals")</f>
        <v>Holy Morals</v>
      </c>
      <c r="C49" s="721">
        <f>IFERROR(__xludf.DUMMYFUNCTION("""COMPUTED_VALUE"""),3.227272727272727)</f>
        <v>3.227272727</v>
      </c>
      <c r="D49" s="147" t="s">
        <v>224</v>
      </c>
      <c r="E49" s="723" t="str">
        <f>IFERROR(__xludf.DUMMYFUNCTION("Query('Season+Playoffs Stats'!A2:AN44,""Select A,AN where A&lt;&gt;'' Order by AN Desc"")"),"Ace B S1lentND1")</f>
        <v>Ace B S1lentND1</v>
      </c>
      <c r="F49" s="724">
        <f>IFERROR(__xludf.DUMMYFUNCTION("""COMPUTED_VALUE"""),0.37551020408163266)</f>
        <v>0.3755102041</v>
      </c>
      <c r="G49" s="147" t="s">
        <v>224</v>
      </c>
      <c r="H49" s="725" t="str">
        <f>IFERROR(__xludf.DUMMYFUNCTION("Query('Season+Playoffs Stats'!A2:AO44,""Select A,AO where A&lt;&gt;'' Order by AO Desc"")"),"Holy Morals")</f>
        <v>Holy Morals</v>
      </c>
      <c r="I49" s="693">
        <f>IFERROR(__xludf.DUMMYFUNCTION("""COMPUTED_VALUE"""),0.01628442768876322)</f>
        <v>0.01628442769</v>
      </c>
      <c r="J49" s="40"/>
      <c r="K49" s="11"/>
      <c r="L49" s="11"/>
      <c r="M49" s="11"/>
      <c r="N49" s="40"/>
      <c r="O49" s="21"/>
      <c r="P49" s="40"/>
      <c r="Q49" s="40"/>
      <c r="R49" s="21"/>
      <c r="S49" s="40"/>
      <c r="T49" s="40"/>
      <c r="U49" s="697"/>
      <c r="V49" s="40"/>
      <c r="W49" s="21"/>
      <c r="X49" s="40"/>
      <c r="Y49" s="699"/>
      <c r="Z49" s="40"/>
      <c r="AA49" s="40"/>
      <c r="AB49" s="697"/>
      <c r="AC49" s="44"/>
      <c r="AD49" s="47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21"/>
      <c r="AP49" s="40"/>
      <c r="AQ49" s="40"/>
      <c r="AR49" s="21"/>
      <c r="AS49" s="40"/>
      <c r="AT49" s="40"/>
      <c r="AU49" s="21"/>
    </row>
    <row r="50">
      <c r="A50" s="40"/>
      <c r="B50" s="726" t="str">
        <f>IFERROR(__xludf.DUMMYFUNCTION("""COMPUTED_VALUE"""),"Mavbrid")</f>
        <v>Mavbrid</v>
      </c>
      <c r="C50" s="727">
        <f>IFERROR(__xludf.DUMMYFUNCTION("""COMPUTED_VALUE"""),2.1470588235294117)</f>
        <v>2.147058824</v>
      </c>
      <c r="D50" s="213" t="s">
        <v>225</v>
      </c>
      <c r="E50" s="728" t="str">
        <f>IFERROR(__xludf.DUMMYFUNCTION("""COMPUTED_VALUE"""),"MysticalNovice")</f>
        <v>MysticalNovice</v>
      </c>
      <c r="F50" s="729">
        <f>IFERROR(__xludf.DUMMYFUNCTION("""COMPUTED_VALUE"""),0.33017241379310347)</f>
        <v>0.3301724138</v>
      </c>
      <c r="G50" s="213" t="s">
        <v>225</v>
      </c>
      <c r="H50" s="298" t="str">
        <f>IFERROR(__xludf.DUMMYFUNCTION("""COMPUTED_VALUE"""),"Mavbrid")</f>
        <v>Mavbrid</v>
      </c>
      <c r="I50" s="299">
        <f>IFERROR(__xludf.DUMMYFUNCTION("""COMPUTED_VALUE"""),0.014712138400453772)</f>
        <v>0.0147121384</v>
      </c>
      <c r="J50" s="40"/>
      <c r="K50" s="11"/>
      <c r="L50" s="11"/>
      <c r="M50" s="11"/>
      <c r="N50" s="40"/>
      <c r="O50" s="21"/>
      <c r="P50" s="40"/>
      <c r="Q50" s="40"/>
      <c r="R50" s="21"/>
      <c r="S50" s="40"/>
      <c r="T50" s="40"/>
      <c r="U50" s="697"/>
      <c r="V50" s="40"/>
      <c r="W50" s="21"/>
      <c r="X50" s="40"/>
      <c r="Y50" s="699"/>
      <c r="Z50" s="40"/>
      <c r="AA50" s="40"/>
      <c r="AB50" s="697"/>
      <c r="AC50" s="44"/>
      <c r="AD50" s="47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21"/>
      <c r="AP50" s="40"/>
      <c r="AQ50" s="40"/>
      <c r="AR50" s="21"/>
      <c r="AS50" s="40"/>
      <c r="AT50" s="40"/>
      <c r="AU50" s="21"/>
    </row>
    <row r="51">
      <c r="A51" s="40"/>
      <c r="B51" s="726" t="str">
        <f>IFERROR(__xludf.DUMMYFUNCTION("""COMPUTED_VALUE"""),"ASpence501")</f>
        <v>ASpence501</v>
      </c>
      <c r="C51" s="727">
        <f>IFERROR(__xludf.DUMMYFUNCTION("""COMPUTED_VALUE"""),2.08)</f>
        <v>2.08</v>
      </c>
      <c r="D51" s="207"/>
      <c r="E51" s="728" t="str">
        <f>IFERROR(__xludf.DUMMYFUNCTION("""COMPUTED_VALUE"""),"Fanciest Pants")</f>
        <v>Fanciest Pants</v>
      </c>
      <c r="F51" s="729">
        <f>IFERROR(__xludf.DUMMYFUNCTION("""COMPUTED_VALUE"""),0.3293333333333333)</f>
        <v>0.3293333333</v>
      </c>
      <c r="G51" s="207"/>
      <c r="H51" s="298" t="str">
        <f>IFERROR(__xludf.DUMMYFUNCTION("""COMPUTED_VALUE"""),"Scullen cx")</f>
        <v>Scullen cx</v>
      </c>
      <c r="I51" s="299">
        <f>IFERROR(__xludf.DUMMYFUNCTION("""COMPUTED_VALUE"""),0.013782619711173043)</f>
        <v>0.01378261971</v>
      </c>
      <c r="J51" s="40"/>
      <c r="K51" s="11"/>
      <c r="L51" s="11"/>
      <c r="M51" s="11"/>
      <c r="N51" s="40"/>
      <c r="O51" s="21"/>
      <c r="P51" s="40"/>
      <c r="Q51" s="40"/>
      <c r="R51" s="21"/>
      <c r="S51" s="40"/>
      <c r="T51" s="40"/>
      <c r="U51" s="697"/>
      <c r="V51" s="40"/>
      <c r="W51" s="21"/>
      <c r="X51" s="40"/>
      <c r="Y51" s="699"/>
      <c r="Z51" s="40"/>
      <c r="AA51" s="40"/>
      <c r="AB51" s="697"/>
      <c r="AC51" s="44"/>
      <c r="AD51" s="47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21"/>
      <c r="AP51" s="40"/>
      <c r="AQ51" s="40"/>
      <c r="AR51" s="21"/>
      <c r="AS51" s="40"/>
      <c r="AT51" s="40"/>
      <c r="AU51" s="21"/>
    </row>
    <row r="52">
      <c r="A52" s="40"/>
      <c r="B52" s="726" t="str">
        <f>IFERROR(__xludf.DUMMYFUNCTION("""COMPUTED_VALUE"""),"KDSkill")</f>
        <v>KDSkill</v>
      </c>
      <c r="C52" s="727">
        <f>IFERROR(__xludf.DUMMYFUNCTION("""COMPUTED_VALUE"""),1.7857142857142858)</f>
        <v>1.785714286</v>
      </c>
      <c r="D52" s="207"/>
      <c r="E52" s="730" t="str">
        <f>IFERROR(__xludf.DUMMYFUNCTION("""COMPUTED_VALUE"""),"Jussshhhyyy")</f>
        <v>Jussshhhyyy</v>
      </c>
      <c r="F52" s="731">
        <f>IFERROR(__xludf.DUMMYFUNCTION("""COMPUTED_VALUE"""),0.30078740157480316)</f>
        <v>0.3007874016</v>
      </c>
      <c r="G52" s="207"/>
      <c r="H52" s="314" t="str">
        <f>IFERROR(__xludf.DUMMYFUNCTION("""COMPUTED_VALUE"""),"ASpence501")</f>
        <v>ASpence501</v>
      </c>
      <c r="I52" s="316">
        <f>IFERROR(__xludf.DUMMYFUNCTION("""COMPUTED_VALUE"""),0.010761764085250054)</f>
        <v>0.01076176409</v>
      </c>
      <c r="J52" s="40"/>
      <c r="K52" s="11"/>
      <c r="L52" s="11"/>
      <c r="M52" s="11"/>
      <c r="N52" s="40"/>
      <c r="O52" s="21"/>
      <c r="P52" s="40"/>
      <c r="Q52" s="40"/>
      <c r="R52" s="21"/>
      <c r="S52" s="40"/>
      <c r="T52" s="40"/>
      <c r="U52" s="697"/>
      <c r="V52" s="40"/>
      <c r="W52" s="21"/>
      <c r="X52" s="40"/>
      <c r="Y52" s="699"/>
      <c r="Z52" s="40"/>
      <c r="AA52" s="40"/>
      <c r="AB52" s="697"/>
      <c r="AC52" s="44"/>
      <c r="AD52" s="47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21"/>
      <c r="AP52" s="40"/>
      <c r="AQ52" s="40"/>
      <c r="AR52" s="21"/>
      <c r="AS52" s="40"/>
      <c r="AT52" s="40"/>
      <c r="AU52" s="21"/>
    </row>
    <row r="53">
      <c r="A53" s="40"/>
      <c r="B53" s="732" t="str">
        <f>IFERROR(__xludf.DUMMYFUNCTION("""COMPUTED_VALUE"""),"Scullen cx")</f>
        <v>Scullen cx</v>
      </c>
      <c r="C53" s="733">
        <f>IFERROR(__xludf.DUMMYFUNCTION("""COMPUTED_VALUE"""),1.6956521739130435)</f>
        <v>1.695652174</v>
      </c>
      <c r="D53" s="207"/>
      <c r="E53" s="734" t="str">
        <f>IFERROR(__xludf.DUMMYFUNCTION("""COMPUTED_VALUE"""),"SPANKTR0N")</f>
        <v>SPANKTR0N</v>
      </c>
      <c r="F53" s="735">
        <f>IFERROR(__xludf.DUMMYFUNCTION("""COMPUTED_VALUE"""),0.2763852242744063)</f>
        <v>0.2763852243</v>
      </c>
      <c r="G53" s="207"/>
      <c r="H53" s="347" t="str">
        <f>IFERROR(__xludf.DUMMYFUNCTION("""COMPUTED_VALUE"""),"KDSkill")</f>
        <v>KDSkill</v>
      </c>
      <c r="I53" s="348">
        <f>IFERROR(__xludf.DUMMYFUNCTION("""COMPUTED_VALUE"""),0.0067839195979899495)</f>
        <v>0.006783919598</v>
      </c>
      <c r="J53" s="40"/>
      <c r="K53" s="11"/>
      <c r="L53" s="11"/>
      <c r="M53" s="11"/>
      <c r="N53" s="40"/>
      <c r="O53" s="21"/>
      <c r="P53" s="40"/>
      <c r="Q53" s="40"/>
      <c r="R53" s="21"/>
      <c r="S53" s="40"/>
      <c r="T53" s="40"/>
      <c r="U53" s="697"/>
      <c r="V53" s="40"/>
      <c r="W53" s="21"/>
      <c r="X53" s="40"/>
      <c r="Y53" s="699"/>
      <c r="Z53" s="40"/>
      <c r="AA53" s="40"/>
      <c r="AB53" s="697"/>
      <c r="AC53" s="44"/>
      <c r="AD53" s="47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21"/>
      <c r="AP53" s="40"/>
      <c r="AQ53" s="40"/>
      <c r="AR53" s="21"/>
      <c r="AS53" s="40"/>
      <c r="AT53" s="40"/>
      <c r="AU53" s="21"/>
    </row>
    <row r="54">
      <c r="A54" s="40"/>
      <c r="B54" s="736" t="str">
        <f>IFERROR(__xludf.DUMMYFUNCTION("""COMPUTED_VALUE"""),"MysticalNovice")</f>
        <v>MysticalNovice</v>
      </c>
      <c r="C54" s="727">
        <f>IFERROR(__xludf.DUMMYFUNCTION("""COMPUTED_VALUE"""),1.619047619047619)</f>
        <v>1.619047619</v>
      </c>
      <c r="D54" s="350" t="s">
        <v>157</v>
      </c>
      <c r="E54" s="737" t="str">
        <f>IFERROR(__xludf.DUMMYFUNCTION("""COMPUTED_VALUE"""),"Scullen cx")</f>
        <v>Scullen cx</v>
      </c>
      <c r="F54" s="731">
        <f>IFERROR(__xludf.DUMMYFUNCTION("""COMPUTED_VALUE"""),0.25442684063373716)</f>
        <v>0.2544268406</v>
      </c>
      <c r="G54" s="350" t="s">
        <v>157</v>
      </c>
      <c r="H54" s="738" t="str">
        <f>IFERROR(__xludf.DUMMYFUNCTION("""COMPUTED_VALUE"""),"MuNgO PuNgO")</f>
        <v>MuNgO PuNgO</v>
      </c>
      <c r="I54" s="316">
        <f>IFERROR(__xludf.DUMMYFUNCTION("""COMPUTED_VALUE"""),0.006504343360862681)</f>
        <v>0.006504343361</v>
      </c>
      <c r="J54" s="40"/>
      <c r="K54" s="11"/>
      <c r="L54" s="11"/>
      <c r="M54" s="11"/>
      <c r="N54" s="40"/>
      <c r="O54" s="21"/>
      <c r="P54" s="40"/>
      <c r="Q54" s="40"/>
      <c r="R54" s="21"/>
      <c r="S54" s="40"/>
      <c r="T54" s="40"/>
      <c r="U54" s="697"/>
      <c r="V54" s="40"/>
      <c r="W54" s="21"/>
      <c r="X54" s="40"/>
      <c r="Y54" s="699"/>
      <c r="Z54" s="40"/>
      <c r="AA54" s="40"/>
      <c r="AB54" s="697"/>
      <c r="AC54" s="44"/>
      <c r="AD54" s="47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21"/>
      <c r="AP54" s="40"/>
      <c r="AQ54" s="40"/>
      <c r="AR54" s="21"/>
      <c r="AS54" s="40"/>
      <c r="AT54" s="40"/>
      <c r="AU54" s="21"/>
    </row>
    <row r="55">
      <c r="A55" s="40"/>
      <c r="B55" s="736" t="str">
        <f>IFERROR(__xludf.DUMMYFUNCTION("""COMPUTED_VALUE"""),"yLuxe")</f>
        <v>yLuxe</v>
      </c>
      <c r="C55" s="727">
        <f>IFERROR(__xludf.DUMMYFUNCTION("""COMPUTED_VALUE"""),1.5185185185185186)</f>
        <v>1.518518519</v>
      </c>
      <c r="E55" s="737" t="str">
        <f>IFERROR(__xludf.DUMMYFUNCTION("""COMPUTED_VALUE"""),"yLuxe")</f>
        <v>yLuxe</v>
      </c>
      <c r="F55" s="731">
        <f>IFERROR(__xludf.DUMMYFUNCTION("""COMPUTED_VALUE"""),0.25355113636363635)</f>
        <v>0.2535511364</v>
      </c>
      <c r="H55" s="738" t="str">
        <f>IFERROR(__xludf.DUMMYFUNCTION("""COMPUTED_VALUE"""),"Mr epic beast")</f>
        <v>Mr epic beast</v>
      </c>
      <c r="I55" s="316">
        <f>IFERROR(__xludf.DUMMYFUNCTION("""COMPUTED_VALUE"""),0.006432827735644637)</f>
        <v>0.006432827736</v>
      </c>
      <c r="J55" s="40"/>
      <c r="K55" s="11"/>
      <c r="L55" s="11"/>
      <c r="M55" s="11"/>
      <c r="N55" s="40"/>
      <c r="O55" s="21"/>
      <c r="P55" s="40"/>
      <c r="Q55" s="40"/>
      <c r="R55" s="21"/>
      <c r="S55" s="40"/>
      <c r="T55" s="40"/>
      <c r="U55" s="697"/>
      <c r="V55" s="40"/>
      <c r="W55" s="21"/>
      <c r="X55" s="40"/>
      <c r="Y55" s="699"/>
      <c r="Z55" s="40"/>
      <c r="AA55" s="40"/>
      <c r="AB55" s="697"/>
      <c r="AC55" s="44"/>
      <c r="AD55" s="47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21"/>
      <c r="AP55" s="40"/>
      <c r="AQ55" s="40"/>
      <c r="AR55" s="21"/>
      <c r="AS55" s="40"/>
      <c r="AT55" s="40"/>
      <c r="AU55" s="21"/>
    </row>
    <row r="56">
      <c r="A56" s="40"/>
      <c r="B56" s="736" t="str">
        <f>IFERROR(__xludf.DUMMYFUNCTION("""COMPUTED_VALUE"""),"MuNgO PuNgO")</f>
        <v>MuNgO PuNgO</v>
      </c>
      <c r="C56" s="727">
        <f>IFERROR(__xludf.DUMMYFUNCTION("""COMPUTED_VALUE"""),1.4285714285714286)</f>
        <v>1.428571429</v>
      </c>
      <c r="E56" s="737" t="str">
        <f>IFERROR(__xludf.DUMMYFUNCTION("""COMPUTED_VALUE"""),"oh zilly")</f>
        <v>oh zilly</v>
      </c>
      <c r="F56" s="731">
        <f>IFERROR(__xludf.DUMMYFUNCTION("""COMPUTED_VALUE"""),0.24604012671594508)</f>
        <v>0.2460401267</v>
      </c>
      <c r="H56" s="738" t="str">
        <f>IFERROR(__xludf.DUMMYFUNCTION("""COMPUTED_VALUE"""),"AwareMosquito")</f>
        <v>AwareMosquito</v>
      </c>
      <c r="I56" s="316">
        <f>IFERROR(__xludf.DUMMYFUNCTION("""COMPUTED_VALUE"""),0.006104527796820422)</f>
        <v>0.006104527797</v>
      </c>
      <c r="J56" s="40"/>
      <c r="K56" s="11"/>
      <c r="L56" s="11"/>
      <c r="M56" s="11"/>
      <c r="N56" s="40"/>
      <c r="O56" s="21"/>
      <c r="P56" s="40"/>
      <c r="Q56" s="40"/>
      <c r="R56" s="21"/>
      <c r="S56" s="40"/>
      <c r="T56" s="40"/>
      <c r="U56" s="697"/>
      <c r="V56" s="40"/>
      <c r="W56" s="21"/>
      <c r="X56" s="40"/>
      <c r="Y56" s="699"/>
      <c r="Z56" s="40"/>
      <c r="AA56" s="40"/>
      <c r="AB56" s="697"/>
      <c r="AC56" s="44"/>
      <c r="AD56" s="47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21"/>
      <c r="AP56" s="40"/>
      <c r="AQ56" s="40"/>
      <c r="AR56" s="21"/>
      <c r="AS56" s="40"/>
      <c r="AT56" s="40"/>
      <c r="AU56" s="21"/>
    </row>
    <row r="57">
      <c r="A57" s="40"/>
      <c r="B57" s="736" t="str">
        <f>IFERROR(__xludf.DUMMYFUNCTION("""COMPUTED_VALUE"""),"CaptainSev004")</f>
        <v>CaptainSev004</v>
      </c>
      <c r="C57" s="727">
        <f>IFERROR(__xludf.DUMMYFUNCTION("""COMPUTED_VALUE"""),1.1578947368421053)</f>
        <v>1.157894737</v>
      </c>
      <c r="E57" s="737" t="str">
        <f>IFERROR(__xludf.DUMMYFUNCTION("""COMPUTED_VALUE"""),"ASpence501")</f>
        <v>ASpence501</v>
      </c>
      <c r="F57" s="731">
        <f>IFERROR(__xludf.DUMMYFUNCTION("""COMPUTED_VALUE"""),0.23872472783825816)</f>
        <v>0.2387247278</v>
      </c>
      <c r="H57" s="738" t="str">
        <f>IFERROR(__xludf.DUMMYFUNCTION("""COMPUTED_VALUE"""),"Clydrohsun")</f>
        <v>Clydrohsun</v>
      </c>
      <c r="I57" s="316">
        <f>IFERROR(__xludf.DUMMYFUNCTION("""COMPUTED_VALUE"""),0.0058965424819083356)</f>
        <v>0.005896542482</v>
      </c>
      <c r="J57" s="40"/>
      <c r="K57" s="11"/>
      <c r="L57" s="11"/>
      <c r="M57" s="11"/>
      <c r="N57" s="40"/>
      <c r="O57" s="21"/>
      <c r="P57" s="40"/>
      <c r="Q57" s="40"/>
      <c r="R57" s="21"/>
      <c r="S57" s="40"/>
      <c r="T57" s="40"/>
      <c r="U57" s="697"/>
      <c r="V57" s="40"/>
      <c r="W57" s="21"/>
      <c r="X57" s="40"/>
      <c r="Y57" s="699"/>
      <c r="Z57" s="40"/>
      <c r="AA57" s="40"/>
      <c r="AB57" s="697"/>
      <c r="AC57" s="44"/>
      <c r="AD57" s="47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21"/>
      <c r="AP57" s="40"/>
      <c r="AQ57" s="40"/>
      <c r="AR57" s="21"/>
      <c r="AS57" s="40"/>
      <c r="AT57" s="40"/>
      <c r="AU57" s="21"/>
    </row>
    <row r="58">
      <c r="A58" s="40"/>
      <c r="B58" s="736" t="str">
        <f>IFERROR(__xludf.DUMMYFUNCTION("""COMPUTED_VALUE"""),"AwareMosquito")</f>
        <v>AwareMosquito</v>
      </c>
      <c r="C58" s="727">
        <f>IFERROR(__xludf.DUMMYFUNCTION("""COMPUTED_VALUE"""),1.0625)</f>
        <v>1.0625</v>
      </c>
      <c r="E58" s="737" t="str">
        <f>IFERROR(__xludf.DUMMYFUNCTION("""COMPUTED_VALUE"""),"TommyWstSide")</f>
        <v>TommyWstSide</v>
      </c>
      <c r="F58" s="731">
        <f>IFERROR(__xludf.DUMMYFUNCTION("""COMPUTED_VALUE"""),0.2380467955239064)</f>
        <v>0.2380467955</v>
      </c>
      <c r="H58" s="738" t="str">
        <f>IFERROR(__xludf.DUMMYFUNCTION("""COMPUTED_VALUE"""),"Itzreelz")</f>
        <v>Itzreelz</v>
      </c>
      <c r="I58" s="316">
        <f>IFERROR(__xludf.DUMMYFUNCTION("""COMPUTED_VALUE"""),0.005556991470664254)</f>
        <v>0.005556991471</v>
      </c>
      <c r="J58" s="40"/>
      <c r="K58" s="11"/>
      <c r="L58" s="11"/>
      <c r="M58" s="11"/>
      <c r="N58" s="40"/>
      <c r="O58" s="21"/>
      <c r="P58" s="40"/>
      <c r="Q58" s="40"/>
      <c r="R58" s="21"/>
      <c r="S58" s="40"/>
      <c r="T58" s="40"/>
      <c r="U58" s="697"/>
      <c r="V58" s="40"/>
      <c r="W58" s="21"/>
      <c r="X58" s="40"/>
      <c r="Y58" s="699"/>
      <c r="Z58" s="40"/>
      <c r="AA58" s="40"/>
      <c r="AB58" s="697"/>
      <c r="AC58" s="44"/>
      <c r="AD58" s="47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21"/>
      <c r="AP58" s="40"/>
      <c r="AQ58" s="40"/>
      <c r="AR58" s="21"/>
      <c r="AS58" s="40"/>
      <c r="AT58" s="40"/>
      <c r="AU58" s="21"/>
    </row>
    <row r="59">
      <c r="A59" s="40"/>
      <c r="B59" s="736" t="str">
        <f>IFERROR(__xludf.DUMMYFUNCTION("""COMPUTED_VALUE"""),"Itzreelz")</f>
        <v>Itzreelz</v>
      </c>
      <c r="C59" s="727">
        <f>IFERROR(__xludf.DUMMYFUNCTION("""COMPUTED_VALUE"""),1.0)</f>
        <v>1</v>
      </c>
      <c r="E59" s="737" t="str">
        <f>IFERROR(__xludf.DUMMYFUNCTION("""COMPUTED_VALUE"""),"Mavbrid")</f>
        <v>Mavbrid</v>
      </c>
      <c r="F59" s="731">
        <f>IFERROR(__xludf.DUMMYFUNCTION("""COMPUTED_VALUE"""),0.22262773722627738)</f>
        <v>0.2226277372</v>
      </c>
      <c r="H59" s="738" t="str">
        <f>IFERROR(__xludf.DUMMYFUNCTION("""COMPUTED_VALUE"""),"yLuxe")</f>
        <v>yLuxe</v>
      </c>
      <c r="I59" s="316">
        <f>IFERROR(__xludf.DUMMYFUNCTION("""COMPUTED_VALUE"""),0.0051672341277788905)</f>
        <v>0.005167234128</v>
      </c>
      <c r="J59" s="40"/>
      <c r="K59" s="11"/>
      <c r="L59" s="11"/>
      <c r="M59" s="11"/>
      <c r="N59" s="40"/>
      <c r="O59" s="21"/>
      <c r="P59" s="40"/>
      <c r="Q59" s="40"/>
      <c r="R59" s="21"/>
      <c r="S59" s="40"/>
      <c r="T59" s="40"/>
      <c r="U59" s="697"/>
      <c r="V59" s="40"/>
      <c r="W59" s="21"/>
      <c r="X59" s="40"/>
      <c r="Y59" s="699"/>
      <c r="Z59" s="40"/>
      <c r="AA59" s="40"/>
      <c r="AB59" s="697"/>
      <c r="AC59" s="44"/>
      <c r="AD59" s="47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21"/>
      <c r="AP59" s="40"/>
      <c r="AQ59" s="40"/>
      <c r="AR59" s="21"/>
      <c r="AS59" s="40"/>
      <c r="AT59" s="40"/>
      <c r="AU59" s="21"/>
    </row>
    <row r="60">
      <c r="A60" s="40"/>
      <c r="B60" s="736" t="str">
        <f>IFERROR(__xludf.DUMMYFUNCTION("""COMPUTED_VALUE"""),"ill Shrek u")</f>
        <v>ill Shrek u</v>
      </c>
      <c r="C60" s="727">
        <f>IFERROR(__xludf.DUMMYFUNCTION("""COMPUTED_VALUE"""),0.9047619047619048)</f>
        <v>0.9047619048</v>
      </c>
      <c r="E60" s="737" t="str">
        <f>IFERROR(__xludf.DUMMYFUNCTION("""COMPUTED_VALUE"""),"Grunt Padre")</f>
        <v>Grunt Padre</v>
      </c>
      <c r="F60" s="731">
        <f>IFERROR(__xludf.DUMMYFUNCTION("""COMPUTED_VALUE"""),0.2223168654173765)</f>
        <v>0.2223168654</v>
      </c>
      <c r="H60" s="738" t="str">
        <f>IFERROR(__xludf.DUMMYFUNCTION("""COMPUTED_VALUE"""),"Jussshhhyyy")</f>
        <v>Jussshhhyyy</v>
      </c>
      <c r="I60" s="316">
        <f>IFERROR(__xludf.DUMMYFUNCTION("""COMPUTED_VALUE"""),0.005136769655102609)</f>
        <v>0.005136769655</v>
      </c>
      <c r="J60" s="40"/>
      <c r="K60" s="11"/>
      <c r="L60" s="11"/>
      <c r="M60" s="11"/>
      <c r="N60" s="40"/>
      <c r="O60" s="21"/>
      <c r="P60" s="40"/>
      <c r="Q60" s="40"/>
      <c r="R60" s="21"/>
      <c r="S60" s="40"/>
      <c r="T60" s="40"/>
      <c r="U60" s="697"/>
      <c r="V60" s="40"/>
      <c r="W60" s="21"/>
      <c r="X60" s="40"/>
      <c r="Y60" s="699"/>
      <c r="Z60" s="40"/>
      <c r="AA60" s="40"/>
      <c r="AB60" s="697"/>
      <c r="AC60" s="44"/>
      <c r="AD60" s="47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21"/>
      <c r="AP60" s="40"/>
      <c r="AQ60" s="40"/>
      <c r="AR60" s="21"/>
      <c r="AS60" s="40"/>
      <c r="AT60" s="40"/>
      <c r="AU60" s="21"/>
    </row>
    <row r="61">
      <c r="A61" s="40"/>
      <c r="B61" s="736" t="str">
        <f>IFERROR(__xludf.DUMMYFUNCTION("""COMPUTED_VALUE"""),"oh zilly")</f>
        <v>oh zilly</v>
      </c>
      <c r="C61" s="727">
        <f>IFERROR(__xludf.DUMMYFUNCTION("""COMPUTED_VALUE"""),0.8333333333333334)</f>
        <v>0.8333333333</v>
      </c>
      <c r="E61" s="737" t="str">
        <f>IFERROR(__xludf.DUMMYFUNCTION("""COMPUTED_VALUE"""),"Pd Craig 69")</f>
        <v>Pd Craig 69</v>
      </c>
      <c r="F61" s="731">
        <f>IFERROR(__xludf.DUMMYFUNCTION("""COMPUTED_VALUE"""),0.2206896551724138)</f>
        <v>0.2206896552</v>
      </c>
      <c r="H61" s="738" t="str">
        <f>IFERROR(__xludf.DUMMYFUNCTION("""COMPUTED_VALUE"""),"CaptainSev004")</f>
        <v>CaptainSev004</v>
      </c>
      <c r="I61" s="316">
        <f>IFERROR(__xludf.DUMMYFUNCTION("""COMPUTED_VALUE"""),0.0050487051556189115)</f>
        <v>0.005048705156</v>
      </c>
      <c r="J61" s="40"/>
      <c r="K61" s="11"/>
      <c r="L61" s="11"/>
      <c r="M61" s="11"/>
      <c r="N61" s="40"/>
      <c r="O61" s="21"/>
      <c r="P61" s="40"/>
      <c r="Q61" s="40"/>
      <c r="R61" s="21"/>
      <c r="S61" s="40"/>
      <c r="T61" s="40"/>
      <c r="U61" s="697"/>
      <c r="V61" s="40"/>
      <c r="W61" s="21"/>
      <c r="X61" s="40"/>
      <c r="Y61" s="699"/>
      <c r="Z61" s="40"/>
      <c r="AA61" s="40"/>
      <c r="AB61" s="697"/>
      <c r="AC61" s="44"/>
      <c r="AD61" s="47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21"/>
      <c r="AP61" s="40"/>
      <c r="AQ61" s="40"/>
      <c r="AR61" s="21"/>
      <c r="AS61" s="40"/>
      <c r="AT61" s="40"/>
      <c r="AU61" s="21"/>
    </row>
    <row r="62">
      <c r="A62" s="40"/>
      <c r="B62" s="736" t="str">
        <f>IFERROR(__xludf.DUMMYFUNCTION("""COMPUTED_VALUE"""),"Doerstopper")</f>
        <v>Doerstopper</v>
      </c>
      <c r="C62" s="727">
        <f>IFERROR(__xludf.DUMMYFUNCTION("""COMPUTED_VALUE"""),0.8)</f>
        <v>0.8</v>
      </c>
      <c r="E62" s="737" t="str">
        <f>IFERROR(__xludf.DUMMYFUNCTION("""COMPUTED_VALUE"""),"Holy Morals")</f>
        <v>Holy Morals</v>
      </c>
      <c r="F62" s="731">
        <f>IFERROR(__xludf.DUMMYFUNCTION("""COMPUTED_VALUE"""),0.21728691476590636)</f>
        <v>0.2172869148</v>
      </c>
      <c r="H62" s="738" t="str">
        <f>IFERROR(__xludf.DUMMYFUNCTION("""COMPUTED_VALUE"""),"MysticalNovice")</f>
        <v>MysticalNovice</v>
      </c>
      <c r="I62" s="316">
        <f>IFERROR(__xludf.DUMMYFUNCTION("""COMPUTED_VALUE"""),0.004999138079641441)</f>
        <v>0.00499913808</v>
      </c>
      <c r="J62" s="40"/>
      <c r="K62" s="11"/>
      <c r="L62" s="11"/>
      <c r="M62" s="11"/>
      <c r="N62" s="40"/>
      <c r="O62" s="21"/>
      <c r="P62" s="40"/>
      <c r="Q62" s="40"/>
      <c r="R62" s="21"/>
      <c r="S62" s="40"/>
      <c r="T62" s="40"/>
      <c r="U62" s="697"/>
      <c r="V62" s="40"/>
      <c r="W62" s="21"/>
      <c r="X62" s="40"/>
      <c r="Y62" s="699"/>
      <c r="Z62" s="40"/>
      <c r="AA62" s="40"/>
      <c r="AB62" s="697"/>
      <c r="AC62" s="44"/>
      <c r="AD62" s="47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21"/>
      <c r="AP62" s="40"/>
      <c r="AQ62" s="40"/>
      <c r="AR62" s="21"/>
      <c r="AS62" s="40"/>
      <c r="AT62" s="40"/>
      <c r="AU62" s="21"/>
    </row>
    <row r="63">
      <c r="A63" s="40"/>
      <c r="B63" s="740" t="str">
        <f>IFERROR(__xludf.DUMMYFUNCTION("""COMPUTED_VALUE"""),"Ace B S1lentND1")</f>
        <v>Ace B S1lentND1</v>
      </c>
      <c r="C63" s="733">
        <f>IFERROR(__xludf.DUMMYFUNCTION("""COMPUTED_VALUE"""),0.7727272727272727)</f>
        <v>0.7727272727</v>
      </c>
      <c r="D63" s="478"/>
      <c r="E63" s="741" t="str">
        <f>IFERROR(__xludf.DUMMYFUNCTION("""COMPUTED_VALUE"""),"Memorized")</f>
        <v>Memorized</v>
      </c>
      <c r="F63" s="735">
        <f>IFERROR(__xludf.DUMMYFUNCTION("""COMPUTED_VALUE"""),0.21663778162911612)</f>
        <v>0.2166377816</v>
      </c>
      <c r="G63" s="478"/>
      <c r="H63" s="742" t="str">
        <f>IFERROR(__xludf.DUMMYFUNCTION("""COMPUTED_VALUE"""),"DCleak")</f>
        <v>DCleak</v>
      </c>
      <c r="I63" s="348">
        <f>IFERROR(__xludf.DUMMYFUNCTION("""COMPUTED_VALUE"""),0.004374717151908282)</f>
        <v>0.004374717152</v>
      </c>
      <c r="J63" s="40"/>
      <c r="K63" s="11"/>
      <c r="L63" s="11"/>
      <c r="M63" s="11"/>
      <c r="N63" s="40"/>
      <c r="O63" s="21"/>
      <c r="P63" s="40"/>
      <c r="Q63" s="40"/>
      <c r="R63" s="21"/>
      <c r="S63" s="40"/>
      <c r="T63" s="40"/>
      <c r="U63" s="697"/>
      <c r="V63" s="40"/>
      <c r="W63" s="21"/>
      <c r="X63" s="40"/>
      <c r="Y63" s="699"/>
      <c r="Z63" s="40"/>
      <c r="AA63" s="40"/>
      <c r="AB63" s="697"/>
      <c r="AC63" s="44"/>
      <c r="AD63" s="47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21"/>
      <c r="AP63" s="40"/>
      <c r="AQ63" s="40"/>
      <c r="AR63" s="21"/>
      <c r="AS63" s="40"/>
      <c r="AT63" s="40"/>
      <c r="AU63" s="21"/>
    </row>
    <row r="64">
      <c r="A64" s="40"/>
      <c r="B64" s="736" t="str">
        <f>IFERROR(__xludf.DUMMYFUNCTION("""COMPUTED_VALUE"""),"Jussshhhyyy")</f>
        <v>Jussshhhyyy</v>
      </c>
      <c r="C64" s="727">
        <f>IFERROR(__xludf.DUMMYFUNCTION("""COMPUTED_VALUE"""),0.7380952380952381)</f>
        <v>0.7380952381</v>
      </c>
      <c r="D64" s="40"/>
      <c r="E64" s="737" t="str">
        <f>IFERROR(__xludf.DUMMYFUNCTION("""COMPUTED_VALUE"""),"CaptainSev004")</f>
        <v>CaptainSev004</v>
      </c>
      <c r="F64" s="731">
        <f>IFERROR(__xludf.DUMMYFUNCTION("""COMPUTED_VALUE"""),0.21189024390243902)</f>
        <v>0.2118902439</v>
      </c>
      <c r="G64" s="40"/>
      <c r="H64" s="738" t="str">
        <f>IFERROR(__xludf.DUMMYFUNCTION("""COMPUTED_VALUE"""),"Doerstopper")</f>
        <v>Doerstopper</v>
      </c>
      <c r="I64" s="316">
        <f>IFERROR(__xludf.DUMMYFUNCTION("""COMPUTED_VALUE"""),0.003625440232028175)</f>
        <v>0.003625440232</v>
      </c>
      <c r="J64" s="40"/>
      <c r="K64" s="11"/>
      <c r="L64" s="11"/>
      <c r="M64" s="11"/>
      <c r="N64" s="40"/>
      <c r="O64" s="21"/>
      <c r="P64" s="40"/>
      <c r="Q64" s="40"/>
      <c r="R64" s="21"/>
      <c r="S64" s="40"/>
      <c r="T64" s="40"/>
      <c r="U64" s="697"/>
      <c r="V64" s="40"/>
      <c r="W64" s="21"/>
      <c r="X64" s="40"/>
      <c r="Y64" s="699"/>
      <c r="Z64" s="40"/>
      <c r="AA64" s="40"/>
      <c r="AB64" s="697"/>
      <c r="AC64" s="44"/>
      <c r="AD64" s="47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21"/>
      <c r="AP64" s="40"/>
      <c r="AQ64" s="40"/>
      <c r="AR64" s="21"/>
      <c r="AS64" s="40"/>
      <c r="AT64" s="40"/>
      <c r="AU64" s="21"/>
    </row>
    <row r="65">
      <c r="A65" s="40"/>
      <c r="B65" s="736" t="str">
        <f>IFERROR(__xludf.DUMMYFUNCTION("""COMPUTED_VALUE"""),"TJP37")</f>
        <v>TJP37</v>
      </c>
      <c r="C65" s="727">
        <f>IFERROR(__xludf.DUMMYFUNCTION("""COMPUTED_VALUE"""),0.7241379310344828)</f>
        <v>0.724137931</v>
      </c>
      <c r="D65" s="40"/>
      <c r="E65" s="737" t="str">
        <f>IFERROR(__xludf.DUMMYFUNCTION("""COMPUTED_VALUE"""),"Itzreelz")</f>
        <v>Itzreelz</v>
      </c>
      <c r="F65" s="731">
        <f>IFERROR(__xludf.DUMMYFUNCTION("""COMPUTED_VALUE"""),0.2096551724137931)</f>
        <v>0.2096551724</v>
      </c>
      <c r="G65" s="40"/>
      <c r="H65" s="738" t="str">
        <f>IFERROR(__xludf.DUMMYFUNCTION("""COMPUTED_VALUE"""),"Ace B S1lentND1")</f>
        <v>Ace B S1lentND1</v>
      </c>
      <c r="I65" s="316">
        <f>IFERROR(__xludf.DUMMYFUNCTION("""COMPUTED_VALUE"""),0.003546504976547306)</f>
        <v>0.003546504977</v>
      </c>
      <c r="J65" s="40"/>
      <c r="K65" s="11"/>
      <c r="L65" s="11"/>
      <c r="M65" s="11"/>
      <c r="N65" s="40"/>
      <c r="O65" s="21"/>
      <c r="P65" s="40"/>
      <c r="Q65" s="40"/>
      <c r="R65" s="21"/>
      <c r="S65" s="40"/>
      <c r="T65" s="40"/>
      <c r="U65" s="697"/>
      <c r="V65" s="40"/>
      <c r="W65" s="21"/>
      <c r="X65" s="40"/>
      <c r="Y65" s="699"/>
      <c r="Z65" s="40"/>
      <c r="AA65" s="40"/>
      <c r="AB65" s="697"/>
      <c r="AC65" s="44"/>
      <c r="AD65" s="47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21"/>
      <c r="AP65" s="40"/>
      <c r="AQ65" s="40"/>
      <c r="AR65" s="21"/>
      <c r="AS65" s="40"/>
      <c r="AT65" s="40"/>
      <c r="AU65" s="21"/>
    </row>
    <row r="66">
      <c r="A66" s="40"/>
      <c r="B66" s="736" t="str">
        <f>IFERROR(__xludf.DUMMYFUNCTION("""COMPUTED_VALUE"""),"Amnatu")</f>
        <v>Amnatu</v>
      </c>
      <c r="C66" s="727">
        <f>IFERROR(__xludf.DUMMYFUNCTION("""COMPUTED_VALUE"""),0.65)</f>
        <v>0.65</v>
      </c>
      <c r="D66" s="40"/>
      <c r="E66" s="737" t="str">
        <f>IFERROR(__xludf.DUMMYFUNCTION("""COMPUTED_VALUE"""),"Priest XYZ")</f>
        <v>Priest XYZ</v>
      </c>
      <c r="F66" s="731">
        <f>IFERROR(__xludf.DUMMYFUNCTION("""COMPUTED_VALUE"""),0.20856102003642987)</f>
        <v>0.20856102</v>
      </c>
      <c r="G66" s="40"/>
      <c r="H66" s="738" t="str">
        <f>IFERROR(__xludf.DUMMYFUNCTION("""COMPUTED_VALUE"""),"TJP37")</f>
        <v>TJP37</v>
      </c>
      <c r="I66" s="316">
        <f>IFERROR(__xludf.DUMMYFUNCTION("""COMPUTED_VALUE"""),0.002867617699372028)</f>
        <v>0.002867617699</v>
      </c>
      <c r="J66" s="40"/>
      <c r="K66" s="11"/>
      <c r="L66" s="11"/>
      <c r="M66" s="11"/>
      <c r="N66" s="40"/>
      <c r="O66" s="21"/>
      <c r="P66" s="40"/>
      <c r="Q66" s="40"/>
      <c r="R66" s="21"/>
      <c r="S66" s="40"/>
      <c r="T66" s="40"/>
      <c r="U66" s="697"/>
      <c r="V66" s="40"/>
      <c r="W66" s="21"/>
      <c r="X66" s="40"/>
      <c r="Y66" s="699"/>
      <c r="Z66" s="40"/>
      <c r="AA66" s="40"/>
      <c r="AB66" s="697"/>
      <c r="AC66" s="44"/>
      <c r="AD66" s="47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21"/>
      <c r="AP66" s="40"/>
      <c r="AQ66" s="40"/>
      <c r="AR66" s="21"/>
      <c r="AS66" s="40"/>
      <c r="AT66" s="40"/>
      <c r="AU66" s="21"/>
    </row>
    <row r="67">
      <c r="A67" s="40"/>
      <c r="B67" s="736" t="str">
        <f>IFERROR(__xludf.DUMMYFUNCTION("""COMPUTED_VALUE"""),"Almighty Tycoon")</f>
        <v>Almighty Tycoon</v>
      </c>
      <c r="C67" s="727">
        <f>IFERROR(__xludf.DUMMYFUNCTION("""COMPUTED_VALUE"""),0.6470588235294118)</f>
        <v>0.6470588235</v>
      </c>
      <c r="D67" s="40"/>
      <c r="E67" s="737" t="str">
        <f>IFERROR(__xludf.DUMMYFUNCTION("""COMPUTED_VALUE"""),"Its Rainin MenZ")</f>
        <v>Its Rainin MenZ</v>
      </c>
      <c r="F67" s="731">
        <f>IFERROR(__xludf.DUMMYFUNCTION("""COMPUTED_VALUE"""),0.20766773162939298)</f>
        <v>0.2076677316</v>
      </c>
      <c r="G67" s="40"/>
      <c r="H67" s="738" t="str">
        <f>IFERROR(__xludf.DUMMYFUNCTION("""COMPUTED_VALUE"""),"StarMonster8129")</f>
        <v>StarMonster8129</v>
      </c>
      <c r="I67" s="316">
        <f>IFERROR(__xludf.DUMMYFUNCTION("""COMPUTED_VALUE"""),0.0023482053002348204)</f>
        <v>0.0023482053</v>
      </c>
      <c r="J67" s="40"/>
      <c r="K67" s="11"/>
      <c r="L67" s="11"/>
      <c r="M67" s="11"/>
      <c r="N67" s="40"/>
      <c r="O67" s="21"/>
      <c r="P67" s="40"/>
      <c r="Q67" s="40"/>
      <c r="R67" s="21"/>
      <c r="S67" s="40"/>
      <c r="T67" s="40"/>
      <c r="U67" s="697"/>
      <c r="V67" s="40"/>
      <c r="W67" s="21"/>
      <c r="X67" s="40"/>
      <c r="Y67" s="699"/>
      <c r="Z67" s="40"/>
      <c r="AA67" s="40"/>
      <c r="AB67" s="697"/>
      <c r="AC67" s="44"/>
      <c r="AD67" s="47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21"/>
      <c r="AP67" s="40"/>
      <c r="AQ67" s="40"/>
      <c r="AR67" s="21"/>
      <c r="AS67" s="40"/>
      <c r="AT67" s="40"/>
      <c r="AU67" s="21"/>
    </row>
    <row r="68">
      <c r="A68" s="40"/>
      <c r="B68" s="736" t="str">
        <f>IFERROR(__xludf.DUMMYFUNCTION("""COMPUTED_VALUE"""),"TommyWstSide")</f>
        <v>TommyWstSide</v>
      </c>
      <c r="C68" s="727">
        <f>IFERROR(__xludf.DUMMYFUNCTION("""COMPUTED_VALUE"""),0.6136363636363636)</f>
        <v>0.6136363636</v>
      </c>
      <c r="D68" s="40"/>
      <c r="E68" s="737" t="str">
        <f>IFERROR(__xludf.DUMMYFUNCTION("""COMPUTED_VALUE"""),"DCleak")</f>
        <v>DCleak</v>
      </c>
      <c r="F68" s="731">
        <f>IFERROR(__xludf.DUMMYFUNCTION("""COMPUTED_VALUE"""),0.20761245674740483)</f>
        <v>0.2076124567</v>
      </c>
      <c r="G68" s="40"/>
      <c r="H68" s="738" t="str">
        <f>IFERROR(__xludf.DUMMYFUNCTION("""COMPUTED_VALUE"""),"Amnatu")</f>
        <v>Amnatu</v>
      </c>
      <c r="I68" s="316">
        <f>IFERROR(__xludf.DUMMYFUNCTION("""COMPUTED_VALUE"""),0.002324888226527571)</f>
        <v>0.002324888227</v>
      </c>
      <c r="J68" s="40"/>
      <c r="K68" s="11"/>
      <c r="L68" s="11"/>
      <c r="M68" s="11"/>
      <c r="N68" s="40"/>
      <c r="O68" s="21"/>
      <c r="P68" s="40"/>
      <c r="Q68" s="40"/>
      <c r="R68" s="21"/>
      <c r="S68" s="40"/>
      <c r="T68" s="40"/>
      <c r="U68" s="697"/>
      <c r="V68" s="40"/>
      <c r="W68" s="21"/>
      <c r="X68" s="40"/>
      <c r="Y68" s="699"/>
      <c r="Z68" s="40"/>
      <c r="AA68" s="40"/>
      <c r="AB68" s="697"/>
      <c r="AC68" s="44"/>
      <c r="AD68" s="47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21"/>
      <c r="AP68" s="40"/>
      <c r="AQ68" s="40"/>
      <c r="AR68" s="21"/>
      <c r="AS68" s="40"/>
      <c r="AT68" s="40"/>
      <c r="AU68" s="21"/>
    </row>
    <row r="69">
      <c r="A69" s="40"/>
      <c r="B69" s="736" t="str">
        <f>IFERROR(__xludf.DUMMYFUNCTION("""COMPUTED_VALUE"""),"Clydrohsun")</f>
        <v>Clydrohsun</v>
      </c>
      <c r="C69" s="727">
        <f>IFERROR(__xludf.DUMMYFUNCTION("""COMPUTED_VALUE"""),0.6)</f>
        <v>0.6</v>
      </c>
      <c r="D69" s="40"/>
      <c r="E69" s="737" t="str">
        <f>IFERROR(__xludf.DUMMYFUNCTION("""COMPUTED_VALUE"""),"TJP37")</f>
        <v>TJP37</v>
      </c>
      <c r="F69" s="731">
        <f>IFERROR(__xludf.DUMMYFUNCTION("""COMPUTED_VALUE"""),0.20631424375917767)</f>
        <v>0.2063142438</v>
      </c>
      <c r="G69" s="40"/>
      <c r="H69" s="738" t="str">
        <f>IFERROR(__xludf.DUMMYFUNCTION("""COMPUTED_VALUE"""),"Grunt Padre")</f>
        <v>Grunt Padre</v>
      </c>
      <c r="I69" s="316">
        <f>IFERROR(__xludf.DUMMYFUNCTION("""COMPUTED_VALUE"""),0.002065843259636939)</f>
        <v>0.00206584326</v>
      </c>
      <c r="J69" s="40"/>
      <c r="K69" s="11"/>
      <c r="L69" s="11"/>
      <c r="M69" s="11"/>
      <c r="N69" s="40"/>
      <c r="O69" s="21"/>
      <c r="P69" s="40"/>
      <c r="Q69" s="40"/>
      <c r="R69" s="21"/>
      <c r="S69" s="40"/>
      <c r="T69" s="40"/>
      <c r="U69" s="697"/>
      <c r="V69" s="40"/>
      <c r="W69" s="21"/>
      <c r="X69" s="40"/>
      <c r="Y69" s="699"/>
      <c r="Z69" s="40"/>
      <c r="AA69" s="40"/>
      <c r="AB69" s="697"/>
      <c r="AC69" s="44"/>
      <c r="AD69" s="47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21"/>
      <c r="AP69" s="40"/>
      <c r="AQ69" s="40"/>
      <c r="AR69" s="21"/>
      <c r="AS69" s="40"/>
      <c r="AT69" s="40"/>
      <c r="AU69" s="21"/>
    </row>
    <row r="70">
      <c r="A70" s="40"/>
      <c r="B70" s="736" t="str">
        <f>IFERROR(__xludf.DUMMYFUNCTION("""COMPUTED_VALUE"""),"NOPLEX")</f>
        <v>NOPLEX</v>
      </c>
      <c r="C70" s="727">
        <f>IFERROR(__xludf.DUMMYFUNCTION("""COMPUTED_VALUE"""),0.5833333333333334)</f>
        <v>0.5833333333</v>
      </c>
      <c r="D70" s="40"/>
      <c r="E70" s="737" t="str">
        <f>IFERROR(__xludf.DUMMYFUNCTION("""COMPUTED_VALUE"""),"ThePro#1771")</f>
        <v>ThePro#1771</v>
      </c>
      <c r="F70" s="731">
        <f>IFERROR(__xludf.DUMMYFUNCTION("""COMPUTED_VALUE"""),0.2037037037037037)</f>
        <v>0.2037037037</v>
      </c>
      <c r="G70" s="40"/>
      <c r="H70" s="738" t="str">
        <f>IFERROR(__xludf.DUMMYFUNCTION("""COMPUTED_VALUE"""),"ill Shrek u")</f>
        <v>ill Shrek u</v>
      </c>
      <c r="I70" s="316">
        <f>IFERROR(__xludf.DUMMYFUNCTION("""COMPUTED_VALUE"""),0.002022767899143852)</f>
        <v>0.002022767899</v>
      </c>
      <c r="J70" s="40"/>
      <c r="K70" s="11"/>
      <c r="L70" s="11"/>
      <c r="M70" s="11"/>
      <c r="N70" s="40"/>
      <c r="O70" s="21"/>
      <c r="P70" s="40"/>
      <c r="Q70" s="40"/>
      <c r="R70" s="21"/>
      <c r="S70" s="40"/>
      <c r="T70" s="40"/>
      <c r="U70" s="697"/>
      <c r="V70" s="40"/>
      <c r="W70" s="21"/>
      <c r="X70" s="40"/>
      <c r="Y70" s="699"/>
      <c r="Z70" s="40"/>
      <c r="AA70" s="40"/>
      <c r="AB70" s="697"/>
      <c r="AC70" s="44"/>
      <c r="AD70" s="47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21"/>
      <c r="AP70" s="40"/>
      <c r="AQ70" s="40"/>
      <c r="AR70" s="21"/>
      <c r="AS70" s="40"/>
      <c r="AT70" s="40"/>
      <c r="AU70" s="21"/>
    </row>
    <row r="71">
      <c r="A71" s="40"/>
      <c r="B71" s="736" t="str">
        <f>IFERROR(__xludf.DUMMYFUNCTION("""COMPUTED_VALUE"""),"Mr epic beast")</f>
        <v>Mr epic beast</v>
      </c>
      <c r="C71" s="727">
        <f>IFERROR(__xludf.DUMMYFUNCTION("""COMPUTED_VALUE"""),0.5)</f>
        <v>0.5</v>
      </c>
      <c r="D71" s="40"/>
      <c r="E71" s="737" t="str">
        <f>IFERROR(__xludf.DUMMYFUNCTION("""COMPUTED_VALUE"""),"ill Shrek u")</f>
        <v>ill Shrek u</v>
      </c>
      <c r="F71" s="731">
        <f>IFERROR(__xludf.DUMMYFUNCTION("""COMPUTED_VALUE"""),0.20186335403726707)</f>
        <v>0.201863354</v>
      </c>
      <c r="G71" s="40"/>
      <c r="H71" s="738" t="str">
        <f>IFERROR(__xludf.DUMMYFUNCTION("""COMPUTED_VALUE"""),"SPANKTR0N")</f>
        <v>SPANKTR0N</v>
      </c>
      <c r="I71" s="316">
        <f>IFERROR(__xludf.DUMMYFUNCTION("""COMPUTED_VALUE"""),0.0020166073546856464)</f>
        <v>0.002016607355</v>
      </c>
      <c r="J71" s="40"/>
      <c r="K71" s="11"/>
      <c r="L71" s="11"/>
      <c r="M71" s="11"/>
      <c r="N71" s="40"/>
      <c r="O71" s="21"/>
      <c r="P71" s="40"/>
      <c r="Q71" s="40"/>
      <c r="R71" s="21"/>
      <c r="S71" s="40"/>
      <c r="T71" s="40"/>
      <c r="U71" s="697"/>
      <c r="V71" s="40"/>
      <c r="W71" s="21"/>
      <c r="X71" s="40"/>
      <c r="Y71" s="699"/>
      <c r="Z71" s="40"/>
      <c r="AA71" s="40"/>
      <c r="AB71" s="697"/>
      <c r="AC71" s="44"/>
      <c r="AD71" s="47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21"/>
      <c r="AP71" s="40"/>
      <c r="AQ71" s="40"/>
      <c r="AR71" s="21"/>
      <c r="AS71" s="40"/>
      <c r="AT71" s="40"/>
      <c r="AU71" s="21"/>
    </row>
    <row r="72">
      <c r="A72" s="40"/>
      <c r="B72" s="736" t="str">
        <f>IFERROR(__xludf.DUMMYFUNCTION("""COMPUTED_VALUE"""),"WeirdPG")</f>
        <v>WeirdPG</v>
      </c>
      <c r="C72" s="727">
        <f>IFERROR(__xludf.DUMMYFUNCTION("""COMPUTED_VALUE"""),0.5)</f>
        <v>0.5</v>
      </c>
      <c r="D72" s="40"/>
      <c r="E72" s="737" t="str">
        <f>IFERROR(__xludf.DUMMYFUNCTION("""COMPUTED_VALUE"""),"Almighty Tycoon")</f>
        <v>Almighty Tycoon</v>
      </c>
      <c r="F72" s="731">
        <f>IFERROR(__xludf.DUMMYFUNCTION("""COMPUTED_VALUE"""),0.20168067226890757)</f>
        <v>0.2016806723</v>
      </c>
      <c r="G72" s="40"/>
      <c r="H72" s="738" t="str">
        <f>IFERROR(__xludf.DUMMYFUNCTION("""COMPUTED_VALUE"""),"GeneralCornBeef")</f>
        <v>GeneralCornBeef</v>
      </c>
      <c r="I72" s="316">
        <f>IFERROR(__xludf.DUMMYFUNCTION("""COMPUTED_VALUE"""),0.0019227687870533568)</f>
        <v>0.001922768787</v>
      </c>
      <c r="J72" s="40"/>
      <c r="K72" s="11"/>
      <c r="L72" s="11"/>
      <c r="M72" s="11"/>
      <c r="N72" s="40"/>
      <c r="O72" s="21"/>
      <c r="P72" s="40"/>
      <c r="Q72" s="40"/>
      <c r="R72" s="21"/>
      <c r="S72" s="40"/>
      <c r="T72" s="40"/>
      <c r="U72" s="697"/>
      <c r="V72" s="40"/>
      <c r="W72" s="21"/>
      <c r="X72" s="40"/>
      <c r="Y72" s="699"/>
      <c r="Z72" s="40"/>
      <c r="AA72" s="40"/>
      <c r="AB72" s="697"/>
      <c r="AC72" s="44"/>
      <c r="AD72" s="47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21"/>
      <c r="AP72" s="40"/>
      <c r="AQ72" s="40"/>
      <c r="AR72" s="21"/>
      <c r="AS72" s="40"/>
      <c r="AT72" s="40"/>
      <c r="AU72" s="21"/>
    </row>
    <row r="73">
      <c r="A73" s="40"/>
      <c r="B73" s="736" t="str">
        <f>IFERROR(__xludf.DUMMYFUNCTION("""COMPUTED_VALUE"""),"Ram Osneb")</f>
        <v>Ram Osneb</v>
      </c>
      <c r="C73" s="727">
        <f>IFERROR(__xludf.DUMMYFUNCTION("""COMPUTED_VALUE"""),0.47058823529411764)</f>
        <v>0.4705882353</v>
      </c>
      <c r="D73" s="40"/>
      <c r="E73" s="737" t="str">
        <f>IFERROR(__xludf.DUMMYFUNCTION("""COMPUTED_VALUE"""),"Mr epic beast")</f>
        <v>Mr epic beast</v>
      </c>
      <c r="F73" s="731">
        <f>IFERROR(__xludf.DUMMYFUNCTION("""COMPUTED_VALUE"""),0.1975642760487145)</f>
        <v>0.197564276</v>
      </c>
      <c r="G73" s="40"/>
      <c r="H73" s="738" t="str">
        <f>IFERROR(__xludf.DUMMYFUNCTION("""COMPUTED_VALUE"""),"TommyWstSide")</f>
        <v>TommyWstSide</v>
      </c>
      <c r="I73" s="316">
        <f>IFERROR(__xludf.DUMMYFUNCTION("""COMPUTED_VALUE"""),0.001863203089136716)</f>
        <v>0.001863203089</v>
      </c>
      <c r="J73" s="40"/>
      <c r="K73" s="11"/>
      <c r="L73" s="11"/>
      <c r="M73" s="11"/>
      <c r="N73" s="40"/>
      <c r="O73" s="21"/>
      <c r="P73" s="40"/>
      <c r="Q73" s="40"/>
      <c r="R73" s="21"/>
      <c r="S73" s="40"/>
      <c r="T73" s="40"/>
      <c r="U73" s="697"/>
      <c r="V73" s="40"/>
      <c r="W73" s="21"/>
      <c r="X73" s="40"/>
      <c r="Y73" s="699"/>
      <c r="Z73" s="40"/>
      <c r="AA73" s="40"/>
      <c r="AB73" s="697"/>
      <c r="AC73" s="44"/>
      <c r="AD73" s="47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21"/>
      <c r="AP73" s="40"/>
      <c r="AQ73" s="40"/>
      <c r="AR73" s="21"/>
      <c r="AS73" s="40"/>
      <c r="AT73" s="40"/>
      <c r="AU73" s="21"/>
    </row>
    <row r="74">
      <c r="A74" s="40"/>
      <c r="B74" s="736" t="str">
        <f>IFERROR(__xludf.DUMMYFUNCTION("""COMPUTED_VALUE"""),"Fanciest Pants")</f>
        <v>Fanciest Pants</v>
      </c>
      <c r="C74" s="727">
        <f>IFERROR(__xludf.DUMMYFUNCTION("""COMPUTED_VALUE"""),0.44)</f>
        <v>0.44</v>
      </c>
      <c r="D74" s="40"/>
      <c r="E74" s="737" t="str">
        <f>IFERROR(__xludf.DUMMYFUNCTION("""COMPUTED_VALUE"""),"Beam1n1")</f>
        <v>Beam1n1</v>
      </c>
      <c r="F74" s="731">
        <f>IFERROR(__xludf.DUMMYFUNCTION("""COMPUTED_VALUE"""),0.19736842105263158)</f>
        <v>0.1973684211</v>
      </c>
      <c r="G74" s="40"/>
      <c r="H74" s="738" t="str">
        <f>IFERROR(__xludf.DUMMYFUNCTION("""COMPUTED_VALUE"""),"oh zilly")</f>
        <v>oh zilly</v>
      </c>
      <c r="I74" s="316">
        <f>IFERROR(__xludf.DUMMYFUNCTION("""COMPUTED_VALUE"""),0.001497587220589051)</f>
        <v>0.001497587221</v>
      </c>
      <c r="J74" s="40"/>
      <c r="K74" s="11"/>
      <c r="L74" s="11"/>
      <c r="M74" s="11"/>
      <c r="N74" s="40"/>
      <c r="O74" s="21"/>
      <c r="P74" s="40"/>
      <c r="Q74" s="40"/>
      <c r="R74" s="21"/>
      <c r="S74" s="40"/>
      <c r="T74" s="40"/>
      <c r="U74" s="697"/>
      <c r="V74" s="40"/>
      <c r="W74" s="21"/>
      <c r="X74" s="40"/>
      <c r="Y74" s="699"/>
      <c r="Z74" s="40"/>
      <c r="AA74" s="40"/>
      <c r="AB74" s="697"/>
      <c r="AC74" s="44"/>
      <c r="AD74" s="47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21"/>
      <c r="AP74" s="40"/>
      <c r="AQ74" s="40"/>
      <c r="AR74" s="21"/>
      <c r="AS74" s="40"/>
      <c r="AT74" s="40"/>
      <c r="AU74" s="21"/>
    </row>
    <row r="75">
      <c r="A75" s="40"/>
      <c r="B75" s="736" t="str">
        <f>IFERROR(__xludf.DUMMYFUNCTION("""COMPUTED_VALUE"""),"DCleak")</f>
        <v>DCleak</v>
      </c>
      <c r="C75" s="727">
        <f>IFERROR(__xludf.DUMMYFUNCTION("""COMPUTED_VALUE"""),0.4)</f>
        <v>0.4</v>
      </c>
      <c r="D75" s="40"/>
      <c r="E75" s="737" t="str">
        <f>IFERROR(__xludf.DUMMYFUNCTION("""COMPUTED_VALUE"""),"Ken Khaneki")</f>
        <v>Ken Khaneki</v>
      </c>
      <c r="F75" s="731">
        <f>IFERROR(__xludf.DUMMYFUNCTION("""COMPUTED_VALUE"""),0.19357366771159876)</f>
        <v>0.1935736677</v>
      </c>
      <c r="G75" s="40"/>
      <c r="H75" s="738" t="str">
        <f>IFERROR(__xludf.DUMMYFUNCTION("""COMPUTED_VALUE"""),"Beam1n1")</f>
        <v>Beam1n1</v>
      </c>
      <c r="I75" s="316">
        <f>IFERROR(__xludf.DUMMYFUNCTION("""COMPUTED_VALUE"""),0.0013795481979651664)</f>
        <v>0.001379548198</v>
      </c>
      <c r="J75" s="40"/>
      <c r="K75" s="11"/>
      <c r="L75" s="11"/>
      <c r="M75" s="11"/>
      <c r="N75" s="40"/>
      <c r="O75" s="21"/>
      <c r="P75" s="40"/>
      <c r="Q75" s="40"/>
      <c r="R75" s="21"/>
      <c r="S75" s="40"/>
      <c r="T75" s="40"/>
      <c r="U75" s="697"/>
      <c r="V75" s="40"/>
      <c r="W75" s="21"/>
      <c r="X75" s="40"/>
      <c r="Y75" s="699"/>
      <c r="Z75" s="40"/>
      <c r="AA75" s="40"/>
      <c r="AB75" s="697"/>
      <c r="AC75" s="44"/>
      <c r="AD75" s="47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21"/>
      <c r="AP75" s="40"/>
      <c r="AQ75" s="40"/>
      <c r="AR75" s="21"/>
      <c r="AS75" s="40"/>
      <c r="AT75" s="40"/>
      <c r="AU75" s="21"/>
    </row>
    <row r="76">
      <c r="A76" s="40"/>
      <c r="B76" s="736" t="str">
        <f>IFERROR(__xludf.DUMMYFUNCTION("""COMPUTED_VALUE"""),"GeneralCornBeef")</f>
        <v>GeneralCornBeef</v>
      </c>
      <c r="C76" s="727">
        <f>IFERROR(__xludf.DUMMYFUNCTION("""COMPUTED_VALUE"""),0.35714285714285715)</f>
        <v>0.3571428571</v>
      </c>
      <c r="D76" s="40"/>
      <c r="E76" s="737" t="str">
        <f>IFERROR(__xludf.DUMMYFUNCTION("""COMPUTED_VALUE"""),"NOPLEX")</f>
        <v>NOPLEX</v>
      </c>
      <c r="F76" s="731">
        <f>IFERROR(__xludf.DUMMYFUNCTION("""COMPUTED_VALUE"""),0.19269406392694063)</f>
        <v>0.1926940639</v>
      </c>
      <c r="G76" s="40"/>
      <c r="H76" s="738" t="str">
        <f>IFERROR(__xludf.DUMMYFUNCTION("""COMPUTED_VALUE"""),"OREOTHECAT")</f>
        <v>OREOTHECAT</v>
      </c>
      <c r="I76" s="316">
        <f>IFERROR(__xludf.DUMMYFUNCTION("""COMPUTED_VALUE"""),0.0013384641124309855)</f>
        <v>0.001338464112</v>
      </c>
      <c r="J76" s="40"/>
      <c r="K76" s="11"/>
      <c r="L76" s="11"/>
      <c r="M76" s="11"/>
      <c r="N76" s="40"/>
      <c r="O76" s="21"/>
      <c r="P76" s="40"/>
      <c r="Q76" s="40"/>
      <c r="R76" s="21"/>
      <c r="S76" s="40"/>
      <c r="T76" s="40"/>
      <c r="U76" s="697"/>
      <c r="V76" s="40"/>
      <c r="W76" s="21"/>
      <c r="X76" s="40"/>
      <c r="Y76" s="699"/>
      <c r="Z76" s="40"/>
      <c r="AA76" s="40"/>
      <c r="AB76" s="697"/>
      <c r="AC76" s="44"/>
      <c r="AD76" s="47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21"/>
      <c r="AP76" s="40"/>
      <c r="AQ76" s="40"/>
      <c r="AR76" s="21"/>
      <c r="AS76" s="40"/>
      <c r="AT76" s="40"/>
      <c r="AU76" s="21"/>
    </row>
    <row r="77">
      <c r="A77" s="40"/>
      <c r="B77" s="736" t="str">
        <f>IFERROR(__xludf.DUMMYFUNCTION("""COMPUTED_VALUE"""),"SPANKTR0N")</f>
        <v>SPANKTR0N</v>
      </c>
      <c r="C77" s="727">
        <f>IFERROR(__xludf.DUMMYFUNCTION("""COMPUTED_VALUE"""),0.3333333333333333)</f>
        <v>0.3333333333</v>
      </c>
      <c r="D77" s="40"/>
      <c r="E77" s="737" t="str">
        <f>IFERROR(__xludf.DUMMYFUNCTION("""COMPUTED_VALUE"""),"Doerstopper")</f>
        <v>Doerstopper</v>
      </c>
      <c r="F77" s="731">
        <f>IFERROR(__xludf.DUMMYFUNCTION("""COMPUTED_VALUE"""),0.19117647058823528)</f>
        <v>0.1911764706</v>
      </c>
      <c r="G77" s="40"/>
      <c r="H77" s="738" t="str">
        <f>IFERROR(__xludf.DUMMYFUNCTION("""COMPUTED_VALUE"""),"Memorized")</f>
        <v>Memorized</v>
      </c>
      <c r="I77" s="316">
        <f>IFERROR(__xludf.DUMMYFUNCTION("""COMPUTED_VALUE"""),0.0012566760917373547)</f>
        <v>0.001256676092</v>
      </c>
      <c r="J77" s="40"/>
      <c r="K77" s="11"/>
      <c r="L77" s="11"/>
      <c r="M77" s="11"/>
      <c r="N77" s="40"/>
      <c r="O77" s="21"/>
      <c r="P77" s="40"/>
      <c r="Q77" s="40"/>
      <c r="R77" s="21"/>
      <c r="S77" s="40"/>
      <c r="T77" s="40"/>
      <c r="U77" s="697"/>
      <c r="V77" s="40"/>
      <c r="W77" s="21"/>
      <c r="X77" s="40"/>
      <c r="Y77" s="699"/>
      <c r="Z77" s="40"/>
      <c r="AA77" s="40"/>
      <c r="AB77" s="697"/>
      <c r="AC77" s="44"/>
      <c r="AD77" s="47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21"/>
      <c r="AP77" s="40"/>
      <c r="AQ77" s="40"/>
      <c r="AR77" s="21"/>
      <c r="AS77" s="40"/>
      <c r="AT77" s="40"/>
      <c r="AU77" s="21"/>
    </row>
    <row r="78">
      <c r="A78" s="40"/>
      <c r="B78" s="736" t="str">
        <f>IFERROR(__xludf.DUMMYFUNCTION("""COMPUTED_VALUE"""),"Beam1n1")</f>
        <v>Beam1n1</v>
      </c>
      <c r="C78" s="727">
        <f>IFERROR(__xludf.DUMMYFUNCTION("""COMPUTED_VALUE"""),0.3)</f>
        <v>0.3</v>
      </c>
      <c r="D78" s="40"/>
      <c r="E78" s="737" t="str">
        <f>IFERROR(__xludf.DUMMYFUNCTION("""COMPUTED_VALUE"""),"GeneralCornBeef")</f>
        <v>GeneralCornBeef</v>
      </c>
      <c r="F78" s="731">
        <f>IFERROR(__xludf.DUMMYFUNCTION("""COMPUTED_VALUE"""),0.18959731543624161)</f>
        <v>0.1895973154</v>
      </c>
      <c r="G78" s="40"/>
      <c r="H78" s="738" t="str">
        <f>IFERROR(__xludf.DUMMYFUNCTION("""COMPUTED_VALUE"""),"NOPLEX")</f>
        <v>NOPLEX</v>
      </c>
      <c r="I78" s="316">
        <f>IFERROR(__xludf.DUMMYFUNCTION("""COMPUTED_VALUE"""),0.0011827062070173902)</f>
        <v>0.001182706207</v>
      </c>
      <c r="J78" s="40"/>
      <c r="K78" s="11"/>
      <c r="L78" s="11"/>
      <c r="M78" s="11"/>
      <c r="N78" s="40"/>
      <c r="O78" s="21"/>
      <c r="P78" s="40"/>
      <c r="Q78" s="40"/>
      <c r="R78" s="21"/>
      <c r="S78" s="40"/>
      <c r="T78" s="40"/>
      <c r="U78" s="697"/>
      <c r="V78" s="40"/>
      <c r="W78" s="21"/>
      <c r="X78" s="40"/>
      <c r="Y78" s="699"/>
      <c r="Z78" s="40"/>
      <c r="AA78" s="40"/>
      <c r="AB78" s="697"/>
      <c r="AC78" s="44"/>
      <c r="AD78" s="47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21"/>
      <c r="AP78" s="40"/>
      <c r="AQ78" s="40"/>
      <c r="AR78" s="21"/>
      <c r="AS78" s="40"/>
      <c r="AT78" s="40"/>
      <c r="AU78" s="21"/>
    </row>
    <row r="79">
      <c r="A79" s="40"/>
      <c r="B79" s="736" t="str">
        <f>IFERROR(__xludf.DUMMYFUNCTION("""COMPUTED_VALUE"""),"Deathcrawller")</f>
        <v>Deathcrawller</v>
      </c>
      <c r="C79" s="727">
        <f>IFERROR(__xludf.DUMMYFUNCTION("""COMPUTED_VALUE"""),0.27586206896551724)</f>
        <v>0.275862069</v>
      </c>
      <c r="D79" s="40"/>
      <c r="E79" s="737" t="str">
        <f>IFERROR(__xludf.DUMMYFUNCTION("""COMPUTED_VALUE"""),"MuNgO PuNgO")</f>
        <v>MuNgO PuNgO</v>
      </c>
      <c r="F79" s="731">
        <f>IFERROR(__xludf.DUMMYFUNCTION("""COMPUTED_VALUE"""),0.18861607142857142)</f>
        <v>0.1886160714</v>
      </c>
      <c r="G79" s="40"/>
      <c r="H79" s="738" t="str">
        <f>IFERROR(__xludf.DUMMYFUNCTION("""COMPUTED_VALUE"""),"Trespa5s")</f>
        <v>Trespa5s</v>
      </c>
      <c r="I79" s="316">
        <f>IFERROR(__xludf.DUMMYFUNCTION("""COMPUTED_VALUE"""),0.0011511375947995666)</f>
        <v>0.001151137595</v>
      </c>
      <c r="J79" s="40"/>
      <c r="K79" s="11"/>
      <c r="L79" s="11"/>
      <c r="M79" s="11"/>
      <c r="N79" s="40"/>
      <c r="O79" s="21"/>
      <c r="P79" s="40"/>
      <c r="Q79" s="40"/>
      <c r="R79" s="21"/>
      <c r="S79" s="40"/>
      <c r="T79" s="40"/>
      <c r="U79" s="697"/>
      <c r="V79" s="40"/>
      <c r="W79" s="21"/>
      <c r="X79" s="40"/>
      <c r="Y79" s="699"/>
      <c r="Z79" s="40"/>
      <c r="AA79" s="40"/>
      <c r="AB79" s="697"/>
      <c r="AC79" s="44"/>
      <c r="AD79" s="47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21"/>
      <c r="AP79" s="40"/>
      <c r="AQ79" s="40"/>
      <c r="AR79" s="21"/>
      <c r="AS79" s="40"/>
      <c r="AT79" s="40"/>
      <c r="AU79" s="21"/>
    </row>
    <row r="80">
      <c r="A80" s="40"/>
      <c r="B80" s="736" t="str">
        <f>IFERROR(__xludf.DUMMYFUNCTION("""COMPUTED_VALUE"""),"Priest XYZ")</f>
        <v>Priest XYZ</v>
      </c>
      <c r="C80" s="727">
        <f>IFERROR(__xludf.DUMMYFUNCTION("""COMPUTED_VALUE"""),0.2692307692307692)</f>
        <v>0.2692307692</v>
      </c>
      <c r="D80" s="40"/>
      <c r="E80" s="737" t="str">
        <f>IFERROR(__xludf.DUMMYFUNCTION("""COMPUTED_VALUE"""),"KDSkill")</f>
        <v>KDSkill</v>
      </c>
      <c r="F80" s="731">
        <f>IFERROR(__xludf.DUMMYFUNCTION("""COMPUTED_VALUE"""),0.18860510805500982)</f>
        <v>0.1886051081</v>
      </c>
      <c r="G80" s="40"/>
      <c r="H80" s="738" t="str">
        <f>IFERROR(__xludf.DUMMYFUNCTION("""COMPUTED_VALUE"""),"Its Rainin MenZ")</f>
        <v>Its Rainin MenZ</v>
      </c>
      <c r="I80" s="316">
        <f>IFERROR(__xludf.DUMMYFUNCTION("""COMPUTED_VALUE"""),0.0011489498598281171)</f>
        <v>0.00114894986</v>
      </c>
      <c r="J80" s="40"/>
      <c r="K80" s="11"/>
      <c r="L80" s="11"/>
      <c r="M80" s="11"/>
      <c r="N80" s="40"/>
      <c r="O80" s="21"/>
      <c r="P80" s="40"/>
      <c r="Q80" s="40"/>
      <c r="R80" s="21"/>
      <c r="S80" s="40"/>
      <c r="T80" s="40"/>
      <c r="U80" s="697"/>
      <c r="V80" s="40"/>
      <c r="W80" s="21"/>
      <c r="X80" s="40"/>
      <c r="Y80" s="699"/>
      <c r="Z80" s="40"/>
      <c r="AA80" s="40"/>
      <c r="AB80" s="697"/>
      <c r="AC80" s="44"/>
      <c r="AD80" s="47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21"/>
      <c r="AP80" s="40"/>
      <c r="AQ80" s="40"/>
      <c r="AR80" s="21"/>
      <c r="AS80" s="40"/>
      <c r="AT80" s="40"/>
      <c r="AU80" s="21"/>
    </row>
    <row r="81">
      <c r="A81" s="40"/>
      <c r="B81" s="736" t="str">
        <f>IFERROR(__xludf.DUMMYFUNCTION("""COMPUTED_VALUE"""),"Ken Khaneki")</f>
        <v>Ken Khaneki</v>
      </c>
      <c r="C81" s="727">
        <f>IFERROR(__xludf.DUMMYFUNCTION("""COMPUTED_VALUE"""),0.25925925925925924)</f>
        <v>0.2592592593</v>
      </c>
      <c r="D81" s="40"/>
      <c r="E81" s="737" t="str">
        <f>IFERROR(__xludf.DUMMYFUNCTION("""COMPUTED_VALUE"""),"Clydrohsun")</f>
        <v>Clydrohsun</v>
      </c>
      <c r="F81" s="731">
        <f>IFERROR(__xludf.DUMMYFUNCTION("""COMPUTED_VALUE"""),0.1839080459770115)</f>
        <v>0.183908046</v>
      </c>
      <c r="G81" s="40"/>
      <c r="H81" s="738" t="str">
        <f>IFERROR(__xludf.DUMMYFUNCTION("""COMPUTED_VALUE"""),"Ram Osneb")</f>
        <v>Ram Osneb</v>
      </c>
      <c r="I81" s="316">
        <f>IFERROR(__xludf.DUMMYFUNCTION("""COMPUTED_VALUE"""),0.001135154310039021)</f>
        <v>0.00113515431</v>
      </c>
      <c r="J81" s="40"/>
      <c r="K81" s="11"/>
      <c r="L81" s="11"/>
      <c r="M81" s="11"/>
      <c r="N81" s="40"/>
      <c r="O81" s="21"/>
      <c r="P81" s="40"/>
      <c r="Q81" s="40"/>
      <c r="R81" s="21"/>
      <c r="S81" s="40"/>
      <c r="T81" s="40"/>
      <c r="U81" s="697"/>
      <c r="V81" s="40"/>
      <c r="W81" s="21"/>
      <c r="X81" s="40"/>
      <c r="Y81" s="699"/>
      <c r="Z81" s="40"/>
      <c r="AA81" s="40"/>
      <c r="AB81" s="697"/>
      <c r="AC81" s="44"/>
      <c r="AD81" s="47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21"/>
      <c r="AP81" s="40"/>
      <c r="AQ81" s="40"/>
      <c r="AR81" s="21"/>
      <c r="AS81" s="40"/>
      <c r="AT81" s="40"/>
      <c r="AU81" s="21"/>
    </row>
    <row r="82">
      <c r="A82" s="40"/>
      <c r="B82" s="736" t="str">
        <f>IFERROR(__xludf.DUMMYFUNCTION("""COMPUTED_VALUE"""),"OREOTHECAT")</f>
        <v>OREOTHECAT</v>
      </c>
      <c r="C82" s="727">
        <f>IFERROR(__xludf.DUMMYFUNCTION("""COMPUTED_VALUE"""),0.25)</f>
        <v>0.25</v>
      </c>
      <c r="D82" s="40"/>
      <c r="E82" s="737" t="str">
        <f>IFERROR(__xludf.DUMMYFUNCTION("""COMPUTED_VALUE"""),"Deathcrawller")</f>
        <v>Deathcrawller</v>
      </c>
      <c r="F82" s="731">
        <f>IFERROR(__xludf.DUMMYFUNCTION("""COMPUTED_VALUE"""),0.17775665399239543)</f>
        <v>0.177756654</v>
      </c>
      <c r="G82" s="40"/>
      <c r="H82" s="738" t="str">
        <f>IFERROR(__xludf.DUMMYFUNCTION("""COMPUTED_VALUE"""),"WeirdPG")</f>
        <v>WeirdPG</v>
      </c>
      <c r="I82" s="316">
        <f>IFERROR(__xludf.DUMMYFUNCTION("""COMPUTED_VALUE"""),9.742632134448324E-4)</f>
        <v>0.0009742632134</v>
      </c>
      <c r="J82" s="40"/>
      <c r="K82" s="11"/>
      <c r="L82" s="11"/>
      <c r="M82" s="11"/>
      <c r="N82" s="40"/>
      <c r="O82" s="21"/>
      <c r="P82" s="40"/>
      <c r="Q82" s="40"/>
      <c r="R82" s="21"/>
      <c r="S82" s="40"/>
      <c r="T82" s="40"/>
      <c r="U82" s="697"/>
      <c r="V82" s="40"/>
      <c r="W82" s="21"/>
      <c r="X82" s="40"/>
      <c r="Y82" s="699"/>
      <c r="Z82" s="40"/>
      <c r="AA82" s="40"/>
      <c r="AB82" s="697"/>
      <c r="AC82" s="44"/>
      <c r="AD82" s="47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21"/>
      <c r="AP82" s="40"/>
      <c r="AQ82" s="40"/>
      <c r="AR82" s="21"/>
      <c r="AS82" s="40"/>
      <c r="AT82" s="40"/>
      <c r="AU82" s="21"/>
    </row>
    <row r="83">
      <c r="A83" s="40"/>
      <c r="B83" s="736" t="str">
        <f>IFERROR(__xludf.DUMMYFUNCTION("""COMPUTED_VALUE"""),"StarMonster8129")</f>
        <v>StarMonster8129</v>
      </c>
      <c r="C83" s="727">
        <f>IFERROR(__xludf.DUMMYFUNCTION("""COMPUTED_VALUE"""),0.25)</f>
        <v>0.25</v>
      </c>
      <c r="D83" s="40"/>
      <c r="E83" s="737" t="str">
        <f>IFERROR(__xludf.DUMMYFUNCTION("""COMPUTED_VALUE"""),"Trespa5s")</f>
        <v>Trespa5s</v>
      </c>
      <c r="F83" s="731">
        <f>IFERROR(__xludf.DUMMYFUNCTION("""COMPUTED_VALUE"""),0.163302752293578)</f>
        <v>0.1633027523</v>
      </c>
      <c r="G83" s="40"/>
      <c r="H83" s="738" t="str">
        <f>IFERROR(__xludf.DUMMYFUNCTION("""COMPUTED_VALUE"""),"Deathcrawller")</f>
        <v>Deathcrawller</v>
      </c>
      <c r="I83" s="316">
        <f>IFERROR(__xludf.DUMMYFUNCTION("""COMPUTED_VALUE"""),9.267124874507684E-4)</f>
        <v>0.0009267124875</v>
      </c>
      <c r="J83" s="40"/>
      <c r="K83" s="11"/>
      <c r="L83" s="11"/>
      <c r="M83" s="11"/>
      <c r="N83" s="40"/>
      <c r="O83" s="21"/>
      <c r="P83" s="40"/>
      <c r="Q83" s="40"/>
      <c r="R83" s="21"/>
      <c r="S83" s="40"/>
      <c r="T83" s="40"/>
      <c r="U83" s="697"/>
      <c r="V83" s="40"/>
      <c r="W83" s="21"/>
      <c r="X83" s="40"/>
      <c r="Y83" s="699"/>
      <c r="Z83" s="40"/>
      <c r="AA83" s="40"/>
      <c r="AB83" s="697"/>
      <c r="AC83" s="44"/>
      <c r="AD83" s="47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21"/>
      <c r="AP83" s="40"/>
      <c r="AQ83" s="40"/>
      <c r="AR83" s="21"/>
      <c r="AS83" s="40"/>
      <c r="AT83" s="40"/>
      <c r="AU83" s="21"/>
    </row>
    <row r="84">
      <c r="A84" s="40"/>
      <c r="B84" s="736" t="str">
        <f>IFERROR(__xludf.DUMMYFUNCTION("""COMPUTED_VALUE"""),"Pd Craig 69")</f>
        <v>Pd Craig 69</v>
      </c>
      <c r="C84" s="727">
        <f>IFERROR(__xludf.DUMMYFUNCTION("""COMPUTED_VALUE"""),0.2)</f>
        <v>0.2</v>
      </c>
      <c r="D84" s="40"/>
      <c r="E84" s="737" t="str">
        <f>IFERROR(__xludf.DUMMYFUNCTION("""COMPUTED_VALUE"""),"xXTHEChickenGod")</f>
        <v>xXTHEChickenGod</v>
      </c>
      <c r="F84" s="731">
        <f>IFERROR(__xludf.DUMMYFUNCTION("""COMPUTED_VALUE"""),0.16136363636363638)</f>
        <v>0.1613636364</v>
      </c>
      <c r="G84" s="40"/>
      <c r="H84" s="738" t="str">
        <f>IFERROR(__xludf.DUMMYFUNCTION("""COMPUTED_VALUE"""),"Fanciest Pants")</f>
        <v>Fanciest Pants</v>
      </c>
      <c r="I84" s="316">
        <f>IFERROR(__xludf.DUMMYFUNCTION("""COMPUTED_VALUE"""),8.649731403077484E-4)</f>
        <v>0.0008649731403</v>
      </c>
      <c r="J84" s="40"/>
      <c r="K84" s="11"/>
      <c r="L84" s="11"/>
      <c r="M84" s="11"/>
      <c r="N84" s="40"/>
      <c r="O84" s="21"/>
      <c r="P84" s="40"/>
      <c r="Q84" s="40"/>
      <c r="R84" s="21"/>
      <c r="S84" s="40"/>
      <c r="T84" s="40"/>
      <c r="U84" s="697"/>
      <c r="V84" s="40"/>
      <c r="W84" s="21"/>
      <c r="X84" s="40"/>
      <c r="Y84" s="699"/>
      <c r="Z84" s="40"/>
      <c r="AA84" s="40"/>
      <c r="AB84" s="697"/>
      <c r="AC84" s="44"/>
      <c r="AD84" s="47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21"/>
      <c r="AP84" s="40"/>
      <c r="AQ84" s="40"/>
      <c r="AR84" s="21"/>
      <c r="AS84" s="40"/>
      <c r="AT84" s="40"/>
      <c r="AU84" s="21"/>
    </row>
    <row r="85">
      <c r="A85" s="40"/>
      <c r="B85" s="736" t="str">
        <f>IFERROR(__xludf.DUMMYFUNCTION("""COMPUTED_VALUE"""),"Grunt Padre")</f>
        <v>Grunt Padre</v>
      </c>
      <c r="C85" s="727">
        <f>IFERROR(__xludf.DUMMYFUNCTION("""COMPUTED_VALUE"""),0.19230769230769232)</f>
        <v>0.1923076923</v>
      </c>
      <c r="D85" s="40"/>
      <c r="E85" s="737" t="str">
        <f>IFERROR(__xludf.DUMMYFUNCTION("""COMPUTED_VALUE"""),"AwareMosquito")</f>
        <v>AwareMosquito</v>
      </c>
      <c r="F85" s="731">
        <f>IFERROR(__xludf.DUMMYFUNCTION("""COMPUTED_VALUE"""),0.16035455278001612)</f>
        <v>0.1603545528</v>
      </c>
      <c r="G85" s="40"/>
      <c r="H85" s="738" t="str">
        <f>IFERROR(__xludf.DUMMYFUNCTION("""COMPUTED_VALUE"""),"Priest XYZ")</f>
        <v>Priest XYZ</v>
      </c>
      <c r="I85" s="316">
        <f>IFERROR(__xludf.DUMMYFUNCTION("""COMPUTED_VALUE"""),7.541812696863494E-4)</f>
        <v>0.0007541812697</v>
      </c>
      <c r="J85" s="40"/>
      <c r="K85" s="11"/>
      <c r="L85" s="11"/>
      <c r="M85" s="11"/>
      <c r="N85" s="40"/>
      <c r="O85" s="21"/>
      <c r="P85" s="40"/>
      <c r="Q85" s="40"/>
      <c r="R85" s="21"/>
      <c r="S85" s="40"/>
      <c r="T85" s="40"/>
      <c r="U85" s="697"/>
      <c r="V85" s="40"/>
      <c r="W85" s="21"/>
      <c r="X85" s="40"/>
      <c r="Y85" s="699"/>
      <c r="Z85" s="40"/>
      <c r="AA85" s="40"/>
      <c r="AB85" s="697"/>
      <c r="AC85" s="44"/>
      <c r="AD85" s="47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21"/>
      <c r="AP85" s="40"/>
      <c r="AQ85" s="40"/>
      <c r="AR85" s="21"/>
      <c r="AS85" s="40"/>
      <c r="AT85" s="40"/>
      <c r="AU85" s="21"/>
    </row>
    <row r="86">
      <c r="A86" s="40"/>
      <c r="B86" s="736" t="str">
        <f>IFERROR(__xludf.DUMMYFUNCTION("""COMPUTED_VALUE"""),"Its Rainin MenZ")</f>
        <v>Its Rainin MenZ</v>
      </c>
      <c r="C86" s="727">
        <f>IFERROR(__xludf.DUMMYFUNCTION("""COMPUTED_VALUE"""),0.16)</f>
        <v>0.16</v>
      </c>
      <c r="D86" s="40"/>
      <c r="E86" s="737" t="str">
        <f>IFERROR(__xludf.DUMMYFUNCTION("""COMPUTED_VALUE"""),"WeirdPG")</f>
        <v>WeirdPG</v>
      </c>
      <c r="F86" s="731">
        <f>IFERROR(__xludf.DUMMYFUNCTION("""COMPUTED_VALUE"""),0.15301724137931033)</f>
        <v>0.1530172414</v>
      </c>
      <c r="G86" s="40"/>
      <c r="H86" s="738" t="str">
        <f>IFERROR(__xludf.DUMMYFUNCTION("""COMPUTED_VALUE"""),"ThePro#1771")</f>
        <v>ThePro#1771</v>
      </c>
      <c r="I86" s="316">
        <f>IFERROR(__xludf.DUMMYFUNCTION("""COMPUTED_VALUE"""),7.067137809187279E-4)</f>
        <v>0.0007067137809</v>
      </c>
      <c r="J86" s="40"/>
      <c r="K86" s="11"/>
      <c r="L86" s="11"/>
      <c r="M86" s="11"/>
      <c r="N86" s="40"/>
      <c r="O86" s="21"/>
      <c r="P86" s="40"/>
      <c r="Q86" s="40"/>
      <c r="R86" s="21"/>
      <c r="S86" s="40"/>
      <c r="T86" s="40"/>
      <c r="U86" s="697"/>
      <c r="V86" s="40"/>
      <c r="W86" s="21"/>
      <c r="X86" s="40"/>
      <c r="Y86" s="699"/>
      <c r="Z86" s="40"/>
      <c r="AA86" s="40"/>
      <c r="AB86" s="697"/>
      <c r="AC86" s="44"/>
      <c r="AD86" s="47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21"/>
      <c r="AP86" s="40"/>
      <c r="AQ86" s="40"/>
      <c r="AR86" s="21"/>
      <c r="AS86" s="40"/>
      <c r="AT86" s="40"/>
      <c r="AU86" s="21"/>
    </row>
    <row r="87">
      <c r="A87" s="40"/>
      <c r="B87" s="736" t="str">
        <f>IFERROR(__xludf.DUMMYFUNCTION("""COMPUTED_VALUE"""),"Memorized")</f>
        <v>Memorized</v>
      </c>
      <c r="C87" s="727">
        <f>IFERROR(__xludf.DUMMYFUNCTION("""COMPUTED_VALUE"""),0.13636363636363635)</f>
        <v>0.1363636364</v>
      </c>
      <c r="D87" s="40"/>
      <c r="E87" s="737" t="str">
        <f>IFERROR(__xludf.DUMMYFUNCTION("""COMPUTED_VALUE"""),"Amnatu")</f>
        <v>Amnatu</v>
      </c>
      <c r="F87" s="731">
        <f>IFERROR(__xludf.DUMMYFUNCTION("""COMPUTED_VALUE"""),0.1492204899777283)</f>
        <v>0.14922049</v>
      </c>
      <c r="G87" s="40"/>
      <c r="H87" s="738" t="str">
        <f>IFERROR(__xludf.DUMMYFUNCTION("""COMPUTED_VALUE"""),"Ken Khaneki")</f>
        <v>Ken Khaneki</v>
      </c>
      <c r="I87" s="316">
        <f>IFERROR(__xludf.DUMMYFUNCTION("""COMPUTED_VALUE"""),6.759801712483101E-4)</f>
        <v>0.0006759801712</v>
      </c>
      <c r="J87" s="40"/>
      <c r="K87" s="11"/>
      <c r="L87" s="11"/>
      <c r="M87" s="11"/>
      <c r="N87" s="40"/>
      <c r="O87" s="21"/>
      <c r="P87" s="40"/>
      <c r="Q87" s="40"/>
      <c r="R87" s="21"/>
      <c r="S87" s="40"/>
      <c r="T87" s="40"/>
      <c r="U87" s="697"/>
      <c r="V87" s="40"/>
      <c r="W87" s="21"/>
      <c r="X87" s="40"/>
      <c r="Y87" s="699"/>
      <c r="Z87" s="40"/>
      <c r="AA87" s="40"/>
      <c r="AB87" s="697"/>
      <c r="AC87" s="44"/>
      <c r="AD87" s="47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21"/>
      <c r="AP87" s="40"/>
      <c r="AQ87" s="40"/>
      <c r="AR87" s="21"/>
      <c r="AS87" s="40"/>
      <c r="AT87" s="40"/>
      <c r="AU87" s="21"/>
    </row>
    <row r="88">
      <c r="A88" s="40"/>
      <c r="B88" s="736" t="str">
        <f>IFERROR(__xludf.DUMMYFUNCTION("""COMPUTED_VALUE"""),"xXTHEChickenGod")</f>
        <v>xXTHEChickenGod</v>
      </c>
      <c r="C88" s="727">
        <f>IFERROR(__xludf.DUMMYFUNCTION("""COMPUTED_VALUE"""),0.125)</f>
        <v>0.125</v>
      </c>
      <c r="D88" s="40"/>
      <c r="E88" s="737" t="str">
        <f>IFERROR(__xludf.DUMMYFUNCTION("""COMPUTED_VALUE"""),"StarMonster8129")</f>
        <v>StarMonster8129</v>
      </c>
      <c r="F88" s="731">
        <f>IFERROR(__xludf.DUMMYFUNCTION("""COMPUTED_VALUE"""),0.14285714285714285)</f>
        <v>0.1428571429</v>
      </c>
      <c r="G88" s="40"/>
      <c r="H88" s="738" t="str">
        <f>IFERROR(__xludf.DUMMYFUNCTION("""COMPUTED_VALUE"""),"Pd Craig 69")</f>
        <v>Pd Craig 69</v>
      </c>
      <c r="I88" s="316">
        <f>IFERROR(__xludf.DUMMYFUNCTION("""COMPUTED_VALUE"""),6.271558482282847E-4)</f>
        <v>0.0006271558482</v>
      </c>
      <c r="J88" s="40"/>
      <c r="K88" s="11"/>
      <c r="L88" s="11"/>
      <c r="M88" s="11"/>
      <c r="N88" s="40"/>
      <c r="O88" s="21"/>
      <c r="P88" s="40"/>
      <c r="Q88" s="40"/>
      <c r="R88" s="21"/>
      <c r="S88" s="40"/>
      <c r="T88" s="40"/>
      <c r="U88" s="697"/>
      <c r="V88" s="40"/>
      <c r="W88" s="21"/>
      <c r="X88" s="40"/>
      <c r="Y88" s="699"/>
      <c r="Z88" s="40"/>
      <c r="AA88" s="40"/>
      <c r="AB88" s="697"/>
      <c r="AC88" s="44"/>
      <c r="AD88" s="47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21"/>
      <c r="AP88" s="40"/>
      <c r="AQ88" s="40"/>
      <c r="AR88" s="21"/>
      <c r="AS88" s="40"/>
      <c r="AT88" s="40"/>
      <c r="AU88" s="21"/>
    </row>
    <row r="89">
      <c r="A89" s="40"/>
      <c r="B89" s="736" t="str">
        <f>IFERROR(__xludf.DUMMYFUNCTION("""COMPUTED_VALUE"""),"ThePro#1771")</f>
        <v>ThePro#1771</v>
      </c>
      <c r="C89" s="727">
        <f>IFERROR(__xludf.DUMMYFUNCTION("""COMPUTED_VALUE"""),0.0)</f>
        <v>0</v>
      </c>
      <c r="D89" s="40"/>
      <c r="E89" s="737" t="str">
        <f>IFERROR(__xludf.DUMMYFUNCTION("""COMPUTED_VALUE"""),"Ram Osneb")</f>
        <v>Ram Osneb</v>
      </c>
      <c r="F89" s="731">
        <f>IFERROR(__xludf.DUMMYFUNCTION("""COMPUTED_VALUE"""),0.10943396226415095)</f>
        <v>0.1094339623</v>
      </c>
      <c r="G89" s="40"/>
      <c r="H89" s="738" t="str">
        <f>IFERROR(__xludf.DUMMYFUNCTION("""COMPUTED_VALUE"""),"Almighty Tycoon")</f>
        <v>Almighty Tycoon</v>
      </c>
      <c r="I89" s="316">
        <f>IFERROR(__xludf.DUMMYFUNCTION("""COMPUTED_VALUE"""),4.129955947136564E-4)</f>
        <v>0.0004129955947</v>
      </c>
      <c r="J89" s="40"/>
      <c r="K89" s="11"/>
      <c r="L89" s="11"/>
      <c r="M89" s="11"/>
      <c r="N89" s="40"/>
      <c r="O89" s="21"/>
      <c r="P89" s="40"/>
      <c r="Q89" s="40"/>
      <c r="R89" s="21"/>
      <c r="S89" s="40"/>
      <c r="T89" s="40"/>
      <c r="U89" s="697"/>
      <c r="V89" s="40"/>
      <c r="W89" s="21"/>
      <c r="X89" s="40"/>
      <c r="Y89" s="699"/>
      <c r="Z89" s="40"/>
      <c r="AA89" s="40"/>
      <c r="AB89" s="697"/>
      <c r="AC89" s="44"/>
      <c r="AD89" s="47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21"/>
      <c r="AP89" s="40"/>
      <c r="AQ89" s="40"/>
      <c r="AR89" s="21"/>
      <c r="AS89" s="40"/>
      <c r="AT89" s="40"/>
      <c r="AU89" s="21"/>
    </row>
    <row r="90">
      <c r="A90" s="40"/>
      <c r="B90" s="736" t="str">
        <f>IFERROR(__xludf.DUMMYFUNCTION("""COMPUTED_VALUE"""),"Trespa5s")</f>
        <v>Trespa5s</v>
      </c>
      <c r="C90" s="727">
        <f>IFERROR(__xludf.DUMMYFUNCTION("""COMPUTED_VALUE"""),0.0)</f>
        <v>0</v>
      </c>
      <c r="D90" s="40"/>
      <c r="E90" s="737" t="str">
        <f>IFERROR(__xludf.DUMMYFUNCTION("""COMPUTED_VALUE"""),"OREOTHECAT")</f>
        <v>OREOTHECAT</v>
      </c>
      <c r="F90" s="731">
        <f>IFERROR(__xludf.DUMMYFUNCTION("""COMPUTED_VALUE"""),0.08355795148247978)</f>
        <v>0.08355795148</v>
      </c>
      <c r="G90" s="40"/>
      <c r="H90" s="738" t="str">
        <f>IFERROR(__xludf.DUMMYFUNCTION("""COMPUTED_VALUE"""),"xXTHEChickenGod")</f>
        <v>xXTHEChickenGod</v>
      </c>
      <c r="I90" s="316">
        <f>IFERROR(__xludf.DUMMYFUNCTION("""COMPUTED_VALUE"""),4.1154380369360564E-4)</f>
        <v>0.0004115438037</v>
      </c>
      <c r="J90" s="40"/>
      <c r="K90" s="11"/>
      <c r="L90" s="11"/>
      <c r="M90" s="11"/>
      <c r="N90" s="40"/>
      <c r="O90" s="21"/>
      <c r="P90" s="40"/>
      <c r="Q90" s="40"/>
      <c r="R90" s="21"/>
      <c r="S90" s="40"/>
      <c r="T90" s="40"/>
      <c r="U90" s="697"/>
      <c r="V90" s="40"/>
      <c r="W90" s="21"/>
      <c r="X90" s="40"/>
      <c r="Y90" s="699"/>
      <c r="Z90" s="40"/>
      <c r="AA90" s="40"/>
      <c r="AB90" s="697"/>
      <c r="AC90" s="44"/>
      <c r="AD90" s="47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21"/>
      <c r="AP90" s="40"/>
      <c r="AQ90" s="40"/>
      <c r="AR90" s="21"/>
      <c r="AS90" s="40"/>
      <c r="AT90" s="40"/>
      <c r="AU90" s="21"/>
    </row>
    <row r="91">
      <c r="A91" s="40"/>
      <c r="B91" s="736"/>
      <c r="C91" s="727"/>
      <c r="D91" s="40"/>
      <c r="E91" s="737"/>
      <c r="F91" s="731"/>
      <c r="G91" s="40"/>
      <c r="H91" s="738"/>
      <c r="I91" s="316"/>
      <c r="J91" s="40"/>
      <c r="K91" s="11"/>
      <c r="L91" s="11"/>
      <c r="M91" s="11"/>
      <c r="N91" s="40"/>
      <c r="O91" s="21"/>
      <c r="P91" s="40"/>
      <c r="Q91" s="40"/>
      <c r="R91" s="21"/>
      <c r="S91" s="40"/>
      <c r="T91" s="40"/>
      <c r="U91" s="697"/>
      <c r="V91" s="40"/>
      <c r="W91" s="21"/>
      <c r="X91" s="40"/>
      <c r="Y91" s="699"/>
      <c r="Z91" s="40"/>
      <c r="AA91" s="40"/>
      <c r="AB91" s="697"/>
      <c r="AC91" s="44"/>
      <c r="AD91" s="47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21"/>
      <c r="AP91" s="40"/>
      <c r="AQ91" s="40"/>
      <c r="AR91" s="21"/>
      <c r="AS91" s="40"/>
      <c r="AT91" s="40"/>
      <c r="AU91" s="21"/>
    </row>
    <row r="92">
      <c r="A92" s="40"/>
      <c r="B92" s="40"/>
      <c r="C92" s="40"/>
      <c r="D92" s="40"/>
      <c r="E92" s="40"/>
      <c r="F92" s="21"/>
      <c r="G92" s="40"/>
      <c r="H92" s="40"/>
      <c r="I92" s="21"/>
      <c r="J92" s="40"/>
      <c r="K92" s="40"/>
      <c r="L92" s="21"/>
      <c r="M92" s="40"/>
      <c r="N92" s="40"/>
      <c r="O92" s="21"/>
      <c r="P92" s="40"/>
      <c r="Q92" s="40"/>
      <c r="R92" s="21"/>
      <c r="S92" s="40"/>
      <c r="T92" s="40"/>
      <c r="U92" s="697"/>
      <c r="V92" s="40"/>
      <c r="W92" s="21"/>
      <c r="X92" s="40"/>
      <c r="Y92" s="699"/>
      <c r="Z92" s="40"/>
      <c r="AA92" s="40"/>
      <c r="AB92" s="697"/>
      <c r="AC92" s="44"/>
      <c r="AD92" s="47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21"/>
      <c r="AP92" s="40"/>
      <c r="AQ92" s="40"/>
      <c r="AR92" s="21"/>
      <c r="AS92" s="40"/>
      <c r="AT92" s="40"/>
      <c r="AU92" s="21"/>
    </row>
    <row r="93">
      <c r="A93" s="40"/>
      <c r="B93" s="40"/>
      <c r="C93" s="40"/>
      <c r="D93" s="40"/>
      <c r="E93" s="40"/>
      <c r="F93" s="21"/>
      <c r="G93" s="40"/>
      <c r="H93" s="40"/>
      <c r="I93" s="21"/>
      <c r="J93" s="40"/>
      <c r="K93" s="40"/>
      <c r="L93" s="21"/>
      <c r="M93" s="40"/>
      <c r="N93" s="40"/>
      <c r="O93" s="21"/>
      <c r="P93" s="40"/>
      <c r="Q93" s="40"/>
      <c r="R93" s="21"/>
      <c r="S93" s="40"/>
      <c r="T93" s="40"/>
      <c r="U93" s="697"/>
      <c r="V93" s="40"/>
      <c r="W93" s="21"/>
      <c r="X93" s="40"/>
      <c r="Y93" s="699"/>
      <c r="Z93" s="40"/>
      <c r="AA93" s="40"/>
      <c r="AB93" s="697"/>
      <c r="AC93" s="44"/>
      <c r="AD93" s="47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21"/>
      <c r="AP93" s="40"/>
      <c r="AQ93" s="40"/>
      <c r="AR93" s="21"/>
      <c r="AS93" s="40"/>
      <c r="AT93" s="40"/>
      <c r="AU93" s="21"/>
    </row>
    <row r="94">
      <c r="A94" s="40"/>
      <c r="B94" s="40"/>
      <c r="C94" s="40"/>
      <c r="D94" s="40"/>
      <c r="E94" s="40"/>
      <c r="F94" s="21"/>
      <c r="G94" s="40"/>
      <c r="H94" s="40"/>
      <c r="I94" s="21"/>
      <c r="J94" s="40"/>
      <c r="K94" s="40"/>
      <c r="L94" s="21"/>
      <c r="M94" s="40"/>
      <c r="N94" s="40"/>
      <c r="O94" s="21"/>
      <c r="P94" s="40"/>
      <c r="Q94" s="40"/>
      <c r="R94" s="21"/>
      <c r="S94" s="40"/>
      <c r="T94" s="40"/>
      <c r="U94" s="697"/>
      <c r="V94" s="40"/>
      <c r="W94" s="21"/>
      <c r="X94" s="40"/>
      <c r="Y94" s="699"/>
      <c r="Z94" s="40"/>
      <c r="AA94" s="40"/>
      <c r="AB94" s="697"/>
      <c r="AC94" s="44"/>
      <c r="AD94" s="47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21"/>
      <c r="AP94" s="40"/>
      <c r="AQ94" s="40"/>
      <c r="AR94" s="21"/>
      <c r="AS94" s="40"/>
      <c r="AT94" s="40"/>
      <c r="AU94" s="21"/>
    </row>
    <row r="95">
      <c r="A95" s="40"/>
      <c r="B95" s="40"/>
      <c r="C95" s="40"/>
      <c r="D95" s="40"/>
      <c r="E95" s="40"/>
      <c r="F95" s="21"/>
      <c r="G95" s="40"/>
      <c r="H95" s="40"/>
      <c r="I95" s="21"/>
      <c r="J95" s="40"/>
      <c r="K95" s="40"/>
      <c r="L95" s="21"/>
      <c r="M95" s="40"/>
      <c r="N95" s="40"/>
      <c r="O95" s="21"/>
      <c r="P95" s="40"/>
      <c r="Q95" s="40"/>
      <c r="R95" s="21"/>
      <c r="S95" s="40"/>
      <c r="T95" s="40"/>
      <c r="U95" s="697"/>
      <c r="V95" s="40"/>
      <c r="W95" s="21"/>
      <c r="X95" s="40"/>
      <c r="Y95" s="699"/>
      <c r="Z95" s="40"/>
      <c r="AA95" s="40"/>
      <c r="AB95" s="697"/>
      <c r="AC95" s="44"/>
      <c r="AD95" s="47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21"/>
      <c r="AP95" s="40"/>
      <c r="AQ95" s="40"/>
      <c r="AR95" s="21"/>
      <c r="AS95" s="40"/>
      <c r="AT95" s="40"/>
      <c r="AU95" s="21"/>
    </row>
  </sheetData>
  <mergeCells count="38">
    <mergeCell ref="AP6:AU6"/>
    <mergeCell ref="AP7:AU7"/>
    <mergeCell ref="AP8:AU8"/>
    <mergeCell ref="AP9:AU9"/>
    <mergeCell ref="AP10:AU10"/>
    <mergeCell ref="AO11:AU12"/>
    <mergeCell ref="AN17:AS19"/>
    <mergeCell ref="T2:Y2"/>
    <mergeCell ref="AA2:AE2"/>
    <mergeCell ref="AG2:AL2"/>
    <mergeCell ref="AO2:AU2"/>
    <mergeCell ref="AP3:AU3"/>
    <mergeCell ref="AP4:AU4"/>
    <mergeCell ref="AP5:AU5"/>
    <mergeCell ref="G2:G7"/>
    <mergeCell ref="J2:J7"/>
    <mergeCell ref="M2:M7"/>
    <mergeCell ref="P2:P7"/>
    <mergeCell ref="S2:S7"/>
    <mergeCell ref="Z2:Z7"/>
    <mergeCell ref="AF2:AF7"/>
    <mergeCell ref="Z8:Z17"/>
    <mergeCell ref="AF8:AF17"/>
    <mergeCell ref="B47:B48"/>
    <mergeCell ref="C47:C48"/>
    <mergeCell ref="E47:E48"/>
    <mergeCell ref="F47:F48"/>
    <mergeCell ref="H47:H48"/>
    <mergeCell ref="I47:I48"/>
    <mergeCell ref="D54:D63"/>
    <mergeCell ref="G54:G63"/>
    <mergeCell ref="D2:D7"/>
    <mergeCell ref="D8:D17"/>
    <mergeCell ref="G8:G17"/>
    <mergeCell ref="J8:J17"/>
    <mergeCell ref="M8:M17"/>
    <mergeCell ref="P8:P17"/>
    <mergeCell ref="S8:S17"/>
  </mergeCells>
  <conditionalFormatting sqref="A1:AN95 AO1:AS1 AO14:AS95">
    <cfRule type="cellIs" dxfId="29" priority="1" operator="equal">
      <formula>"s+"</formula>
    </cfRule>
  </conditionalFormatting>
  <conditionalFormatting sqref="A1:AN95 AO1:AS1 AO14:AS95">
    <cfRule type="cellIs" dxfId="29" priority="2" operator="equal">
      <formula>"s"</formula>
    </cfRule>
  </conditionalFormatting>
  <conditionalFormatting sqref="A1:AN95 AO1:AS1 AO14:AS95">
    <cfRule type="cellIs" dxfId="29" priority="3" operator="equal">
      <formula>"s-"</formula>
    </cfRule>
  </conditionalFormatting>
  <conditionalFormatting sqref="A1:AN95 AO1:AS1 AO14:AS95">
    <cfRule type="cellIs" dxfId="22" priority="4" operator="equal">
      <formula>"A+"</formula>
    </cfRule>
  </conditionalFormatting>
  <conditionalFormatting sqref="A1:AN95 AO1:AS1 AO14:AS95">
    <cfRule type="cellIs" dxfId="22" priority="5" operator="equal">
      <formula>"A"</formula>
    </cfRule>
  </conditionalFormatting>
  <conditionalFormatting sqref="A1:AN95 AO1:AS1 AO14:AS95">
    <cfRule type="cellIs" dxfId="22" priority="6" operator="equal">
      <formula>"A-"</formula>
    </cfRule>
  </conditionalFormatting>
  <conditionalFormatting sqref="A1:AN95 AO1:AS1 AO14:AS95">
    <cfRule type="cellIs" dxfId="23" priority="7" operator="equal">
      <formula>"B+"</formula>
    </cfRule>
  </conditionalFormatting>
  <conditionalFormatting sqref="A1:AN95 AO1:AS1 AO14:AS95">
    <cfRule type="cellIs" dxfId="23" priority="8" operator="equal">
      <formula>"B"</formula>
    </cfRule>
  </conditionalFormatting>
  <conditionalFormatting sqref="A1:AN95 AO1:AS1 AO14:AS95">
    <cfRule type="cellIs" dxfId="23" priority="9" operator="equal">
      <formula>"B-"</formula>
    </cfRule>
  </conditionalFormatting>
  <conditionalFormatting sqref="A1:AN95 AO1:AS1 AO14:AS95">
    <cfRule type="cellIs" dxfId="24" priority="10" operator="equal">
      <formula>"C+"</formula>
    </cfRule>
  </conditionalFormatting>
  <conditionalFormatting sqref="A1:AN95 AO1:AS1 AO14:AS95">
    <cfRule type="cellIs" dxfId="24" priority="11" operator="equal">
      <formula>"C"</formula>
    </cfRule>
  </conditionalFormatting>
  <conditionalFormatting sqref="A1:AN95 AO1:AS1 AO14:AS95">
    <cfRule type="cellIs" dxfId="24" priority="12" operator="equal">
      <formula>"C-"</formula>
    </cfRule>
  </conditionalFormatting>
  <conditionalFormatting sqref="A1:AN95 AO1:AS1 AO14:AS95">
    <cfRule type="cellIs" dxfId="30" priority="13" operator="equal">
      <formula>"D+"</formula>
    </cfRule>
  </conditionalFormatting>
  <conditionalFormatting sqref="A1:AN95 AO1:AS1 AO14:AS95">
    <cfRule type="cellIs" dxfId="30" priority="14" operator="equal">
      <formula>"D"</formula>
    </cfRule>
  </conditionalFormatting>
  <conditionalFormatting sqref="A1:AN95 AO1:AS1 AO14:AS95">
    <cfRule type="cellIs" dxfId="30" priority="15" operator="equal">
      <formula>"D-"</formula>
    </cfRule>
  </conditionalFormatting>
  <conditionalFormatting sqref="A1:AN95 AO1:AS1 AO14:AS95">
    <cfRule type="cellIs" dxfId="26" priority="16" operator="equal">
      <formula>"E+"</formula>
    </cfRule>
  </conditionalFormatting>
  <conditionalFormatting sqref="A1:AN95 AO1:AS1 AO14:AS95">
    <cfRule type="cellIs" dxfId="26" priority="17" operator="equal">
      <formula>"E"</formula>
    </cfRule>
  </conditionalFormatting>
  <conditionalFormatting sqref="A1:AN95 AO1:AS1 AO14:AS95">
    <cfRule type="cellIs" dxfId="26" priority="18" operator="equal">
      <formula>"E-"</formula>
    </cfRule>
  </conditionalFormatting>
  <conditionalFormatting sqref="A1:AN95 AO1:AS1 AO14:AS95">
    <cfRule type="cellIs" dxfId="27" priority="19" operator="equal">
      <formula>"F+"</formula>
    </cfRule>
  </conditionalFormatting>
  <conditionalFormatting sqref="A1:AN95 AO1:AS1 AO14:AS95">
    <cfRule type="cellIs" dxfId="27" priority="20" operator="equal">
      <formula>"F"</formula>
    </cfRule>
  </conditionalFormatting>
  <conditionalFormatting sqref="A1:AN95 AO1:AS1 AO14:AS95">
    <cfRule type="cellIs" dxfId="27" priority="21" operator="equal">
      <formula>"F-"</formula>
    </cfRule>
  </conditionalFormatting>
  <conditionalFormatting sqref="A1:AN95 AO1:AS1 AO14:AS95">
    <cfRule type="cellIs" dxfId="27" priority="22" operator="equal">
      <formula>"F-"</formula>
    </cfRule>
  </conditionalFormatting>
  <conditionalFormatting sqref="T2:T45 AG2:AG45 U3:U45 Y3:Y45 AH3:AH45 AB4:AB46">
    <cfRule type="cellIs" dxfId="31" priority="23" operator="lessThan">
      <formula>6</formula>
    </cfRule>
  </conditionalFormatting>
  <conditionalFormatting sqref="T1:T95 AG2:AG45">
    <cfRule type="cellIs" dxfId="32" priority="24" operator="equal">
      <formula>"PD"</formula>
    </cfRule>
  </conditionalFormatting>
  <conditionalFormatting sqref="AL3:AL45">
    <cfRule type="cellIs" dxfId="33" priority="25" operator="lessThanOrEqual">
      <formula>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.5"/>
    <col customWidth="1" min="3" max="3" width="5.63"/>
    <col customWidth="1" min="4" max="4" width="8.0"/>
    <col customWidth="1" min="5" max="5" width="9.0"/>
    <col customWidth="1" min="6" max="6" width="5.13"/>
    <col customWidth="1" min="7" max="7" width="7.0"/>
    <col customWidth="1" min="8" max="8" width="7.25"/>
    <col customWidth="1" min="9" max="9" width="6.5"/>
    <col customWidth="1" min="10" max="10" width="4.75"/>
    <col customWidth="1" min="11" max="11" width="8.13"/>
    <col customWidth="1" min="12" max="12" width="7.0"/>
    <col customWidth="1" min="13" max="13" width="10.0"/>
    <col customWidth="1" min="14" max="14" width="9.63"/>
    <col customWidth="1" min="15" max="15" width="9.0"/>
    <col customWidth="1" min="16" max="16" width="5.63"/>
    <col customWidth="1" min="17" max="17" width="9.13"/>
    <col customWidth="1" min="18" max="18" width="8.75"/>
    <col customWidth="1" min="19" max="20" width="9.88"/>
  </cols>
  <sheetData>
    <row r="1">
      <c r="A1" s="220" t="s">
        <v>12</v>
      </c>
      <c r="B1" s="220" t="s">
        <v>117</v>
      </c>
      <c r="C1" s="220" t="s">
        <v>20</v>
      </c>
      <c r="D1" s="224" t="s">
        <v>130</v>
      </c>
      <c r="E1" s="227" t="s">
        <v>132</v>
      </c>
      <c r="F1" s="227" t="s">
        <v>133</v>
      </c>
      <c r="G1" s="231" t="s">
        <v>134</v>
      </c>
      <c r="H1" s="231" t="s">
        <v>135</v>
      </c>
      <c r="I1" s="227" t="s">
        <v>132</v>
      </c>
      <c r="J1" s="227" t="s">
        <v>133</v>
      </c>
      <c r="K1" s="231" t="s">
        <v>134</v>
      </c>
      <c r="L1" s="231" t="s">
        <v>135</v>
      </c>
      <c r="M1" s="234" t="s">
        <v>136</v>
      </c>
      <c r="N1" s="236" t="s">
        <v>137</v>
      </c>
      <c r="O1" s="239"/>
      <c r="P1" s="242"/>
      <c r="Q1" s="227" t="s">
        <v>132</v>
      </c>
      <c r="R1" s="227" t="s">
        <v>133</v>
      </c>
      <c r="S1" s="231" t="s">
        <v>134</v>
      </c>
      <c r="T1" s="231" t="s">
        <v>135</v>
      </c>
    </row>
    <row r="2">
      <c r="A2" s="253" t="str">
        <f>'Halo Infinite Stats'!A2</f>
        <v>Ace B S1lentND1</v>
      </c>
      <c r="B2" s="259">
        <f>IFERROR(VLOOKUP($A2,'Halo Infinite Stats'!$A:$AR,2,0),)</f>
        <v>20</v>
      </c>
      <c r="C2" s="259">
        <f>IFERROR(VLOOKUP($A2,'Halo Infinite Stats'!$A:$AR,5,0),)</f>
        <v>16</v>
      </c>
      <c r="D2" s="259">
        <f>IFERROR(VLOOKUP($A2,'Halo Infinite Stats'!$A:$AR,6,0),)</f>
        <v>60</v>
      </c>
      <c r="E2" s="270">
        <f>IFERROR(VLOOKUP($A2,'Halo Infinite Stats'!$A:$W,6,0),)/(IFERROR(VLOOKUP($A2,'Halo Infinite Stats'!$A:$W,12,0),)/60)</f>
        <v>0.2268288073</v>
      </c>
      <c r="F2" s="273">
        <f>IFERROR(VLOOKUP($A2,'PG+ Stats'!$A:$W,2,0),)</f>
        <v>0.06048768194</v>
      </c>
      <c r="G2" s="273">
        <f>IFERROR(VLOOKUP($A2,'PG+ Stats'!$A:$W,4,0),)</f>
        <v>0.8468275471</v>
      </c>
      <c r="H2" s="273">
        <f>IFERROR(VLOOKUP($A2,'PG+ Stats'!$A:$W,5,0),)</f>
        <v>0.1398777645</v>
      </c>
      <c r="I2" s="273" t="str">
        <f t="shared" ref="I2:L2" si="1">IF(E2&lt;Q$21,"F-",IF(E2&lt;Q$20,"F",IF(E2&lt;Q$19,"F+",IF(E2&lt;Q$18,"E-",IF(E2&lt;Q$17,"E",IF(E2&lt;Q$16,"E+",IF(E2&lt;Q$15,"D-",IF(E2&lt;Q$14,"D",IF(E2&lt;Q$13,"D+",IF(E2&lt;Q$12,"C-",IF(E2&lt;Q$11,"C",IF(E2&lt;Q$10,"C+",IF(E2&lt;Q$9,"B-",IF(E2&lt;Q$8,"B",IF(E2&lt;Q$7,"B+",IF(E2&lt;Q$6,"A-",IF(E2&lt;Q$5,"A",IF(E2&lt;Q$4,"A+",IF(E2&lt;Q$3,"S-",IF(E2&lt;Q$2,"S","S+"))))))))))))))))))))</f>
        <v>B</v>
      </c>
      <c r="J2" s="273" t="str">
        <f t="shared" si="1"/>
        <v>B+</v>
      </c>
      <c r="K2" s="273" t="str">
        <f t="shared" si="1"/>
        <v>S</v>
      </c>
      <c r="L2" s="273" t="str">
        <f t="shared" si="1"/>
        <v>S</v>
      </c>
      <c r="M2" s="288" t="str">
        <f t="shared" ref="M2:M43" si="4">IF(N2&lt;$P$44,"F-",IF(N2&lt;$P$43,"F",IF(N2&lt;$P$42,"F+",IF(N2&lt;$P$41,"E-",IF(N2&lt;$P$40,"E",IF(N2&lt;$P$39,"E+",IF(N2&lt;$P$38,"D-",IF(N2&lt;$P$37,"D",IF(N2&lt;$P$36,"D+",IF(N2&lt;$P$35,"C-",IF(N2&lt;$P$34,"C",IF(N2&lt;$P$33,"C+",IF(N2&lt;$P$32,"B-",IF(N2&lt;$P$31,"B",IF(N2&lt;$P$30,"B+",IF(N2&lt;$P$29,"A-",IF(N2&lt;$P$28,"A",IF(N2&lt;$P$27,"A+",IF(N2&lt;$P$26,"S-",IF(N2&lt;$P$25,"S","S+"))))))))))))))))))))</f>
        <v>B+</v>
      </c>
      <c r="N2" s="289">
        <f t="shared" ref="N2:N43" si="5">($P$47*(VLOOKUP(I2, $O$3:$P$23, 2, FALSE)))+($P$48*(VLOOKUP(J2, $O$3:$P$23, 2, FALSE)))+($P$49*(VLOOKUP(K2, $O$3:$P$23, 2, FALSE)))+($P$50*(VLOOKUP(L2, $O$3:$P$23, 2, FALSE)))</f>
        <v>10.975</v>
      </c>
      <c r="O2" s="291" t="s">
        <v>147</v>
      </c>
      <c r="P2" s="292" t="s">
        <v>148</v>
      </c>
      <c r="Q2" s="293">
        <f t="shared" ref="Q2:T2" si="2">PERCENTILE(E2:E42,1)</f>
        <v>0.9364081062</v>
      </c>
      <c r="R2" s="293">
        <f t="shared" si="2"/>
        <v>0.2410901468</v>
      </c>
      <c r="S2" s="293">
        <f t="shared" si="2"/>
        <v>0.9427039232</v>
      </c>
      <c r="T2" s="293">
        <f t="shared" si="2"/>
        <v>0.1524132091</v>
      </c>
    </row>
    <row r="3">
      <c r="A3" s="253" t="str">
        <f>'Halo Infinite Stats'!A3</f>
        <v>Almighty Tycoon</v>
      </c>
      <c r="B3" s="259">
        <f>IFERROR(VLOOKUP($A3,'Halo Infinite Stats'!$A:$AR,2,0),)</f>
        <v>13</v>
      </c>
      <c r="C3" s="259">
        <f>IFERROR(VLOOKUP($A3,'Halo Infinite Stats'!$A:$AR,5,0),)</f>
        <v>10</v>
      </c>
      <c r="D3" s="259">
        <f>IFERROR(VLOOKUP($A3,'Halo Infinite Stats'!$A:$AR,6,0),)</f>
        <v>6</v>
      </c>
      <c r="E3" s="270">
        <f>IFERROR(VLOOKUP($A3,'Halo Infinite Stats'!$A:$W,6,0),)/(IFERROR(VLOOKUP($A3,'Halo Infinite Stats'!$A:$W,12,0),)/60)</f>
        <v>0.03290676417</v>
      </c>
      <c r="F3" s="273">
        <f>IFERROR(VLOOKUP($A3,'PG+ Stats'!$A:$W,2,0),)</f>
        <v>0.05484460695</v>
      </c>
      <c r="G3" s="273">
        <f>IFERROR(VLOOKUP($A3,'PG+ Stats'!$A:$W,4,0),)</f>
        <v>0.3729433272</v>
      </c>
      <c r="H3" s="273">
        <f>IFERROR(VLOOKUP($A3,'PG+ Stats'!$A:$W,5,0),)</f>
        <v>0.03290676417</v>
      </c>
      <c r="I3" s="273" t="str">
        <f t="shared" ref="I3:L3" si="3">IF(E3&lt;Q$21,"F-",IF(E3&lt;Q$20,"F",IF(E3&lt;Q$19,"F+",IF(E3&lt;Q$18,"E-",IF(E3&lt;Q$17,"E",IF(E3&lt;Q$16,"E+",IF(E3&lt;Q$15,"D-",IF(E3&lt;Q$14,"D",IF(E3&lt;Q$13,"D+",IF(E3&lt;Q$12,"C-",IF(E3&lt;Q$11,"C",IF(E3&lt;Q$10,"C+",IF(E3&lt;Q$9,"B-",IF(E3&lt;Q$8,"B",IF(E3&lt;Q$7,"B+",IF(E3&lt;Q$6,"A-",IF(E3&lt;Q$5,"A",IF(E3&lt;Q$4,"A+",IF(E3&lt;Q$3,"S-",IF(E3&lt;Q$2,"S","S+"))))))))))))))))))))</f>
        <v>F</v>
      </c>
      <c r="J3" s="273" t="str">
        <f t="shared" si="3"/>
        <v>B</v>
      </c>
      <c r="K3" s="273" t="str">
        <f t="shared" si="3"/>
        <v>D</v>
      </c>
      <c r="L3" s="273" t="str">
        <f t="shared" si="3"/>
        <v>D+</v>
      </c>
      <c r="M3" s="288" t="str">
        <f t="shared" si="4"/>
        <v>C-</v>
      </c>
      <c r="N3" s="289">
        <f t="shared" si="5"/>
        <v>7.325</v>
      </c>
      <c r="O3" s="303" t="s">
        <v>150</v>
      </c>
      <c r="P3" s="305">
        <v>11.0</v>
      </c>
      <c r="Q3" s="293">
        <f t="shared" ref="Q3:T3" si="6">PERCENTILE(E2:E42,0.95)</f>
        <v>0.8586206897</v>
      </c>
      <c r="R3" s="293">
        <f t="shared" si="6"/>
        <v>0.1407211961</v>
      </c>
      <c r="S3" s="293">
        <f t="shared" si="6"/>
        <v>0.8078175896</v>
      </c>
      <c r="T3" s="293">
        <f t="shared" si="6"/>
        <v>0.1295726719</v>
      </c>
    </row>
    <row r="4">
      <c r="A4" s="253" t="str">
        <f>'Halo Infinite Stats'!A4</f>
        <v>Amnatu</v>
      </c>
      <c r="B4" s="259">
        <f>IFERROR(VLOOKUP($A4,'Halo Infinite Stats'!$A:$AR,2,0),)</f>
        <v>18</v>
      </c>
      <c r="C4" s="259">
        <f>IFERROR(VLOOKUP($A4,'Halo Infinite Stats'!$A:$AR,5,0),)</f>
        <v>12</v>
      </c>
      <c r="D4" s="259">
        <f>IFERROR(VLOOKUP($A4,'Halo Infinite Stats'!$A:$AR,6,0),)</f>
        <v>33</v>
      </c>
      <c r="E4" s="270">
        <f>IFERROR(VLOOKUP($A4,'Halo Infinite Stats'!$A:$W,6,0),)/(IFERROR(VLOOKUP($A4,'Halo Infinite Stats'!$A:$W,12,0),)/60)</f>
        <v>0.1305724083</v>
      </c>
      <c r="F4" s="273">
        <f>IFERROR(VLOOKUP($A4,'PG+ Stats'!$A:$W,2,0),)</f>
        <v>0.04748087576</v>
      </c>
      <c r="G4" s="273">
        <f>IFERROR(VLOOKUP($A4,'PG+ Stats'!$A:$W,4,0),)</f>
        <v>0.2215774202</v>
      </c>
      <c r="H4" s="273">
        <f>IFERROR(VLOOKUP($A4,'PG+ Stats'!$A:$W,5,0),)</f>
        <v>0.01187021894</v>
      </c>
      <c r="I4" s="273" t="str">
        <f t="shared" ref="I4:L4" si="7">IF(E4&lt;Q$21,"F-",IF(E4&lt;Q$20,"F",IF(E4&lt;Q$19,"F+",IF(E4&lt;Q$18,"E-",IF(E4&lt;Q$17,"E",IF(E4&lt;Q$16,"E+",IF(E4&lt;Q$15,"D-",IF(E4&lt;Q$14,"D",IF(E4&lt;Q$13,"D+",IF(E4&lt;Q$12,"C-",IF(E4&lt;Q$11,"C",IF(E4&lt;Q$10,"C+",IF(E4&lt;Q$9,"B-",IF(E4&lt;Q$8,"B",IF(E4&lt;Q$7,"B+",IF(E4&lt;Q$6,"A-",IF(E4&lt;Q$5,"A",IF(E4&lt;Q$4,"A+",IF(E4&lt;Q$3,"S-",IF(E4&lt;Q$2,"S","S+"))))))))))))))))))))</f>
        <v>C</v>
      </c>
      <c r="J4" s="273" t="str">
        <f t="shared" si="7"/>
        <v>C+</v>
      </c>
      <c r="K4" s="273" t="str">
        <f t="shared" si="7"/>
        <v>F+</v>
      </c>
      <c r="L4" s="273" t="str">
        <f t="shared" si="7"/>
        <v>F+</v>
      </c>
      <c r="M4" s="288" t="str">
        <f t="shared" si="4"/>
        <v>C</v>
      </c>
      <c r="N4" s="289">
        <f t="shared" si="5"/>
        <v>7.9</v>
      </c>
      <c r="O4" s="307" t="s">
        <v>152</v>
      </c>
      <c r="P4" s="305">
        <v>10.5</v>
      </c>
      <c r="Q4" s="293">
        <f t="shared" ref="Q4:T4" si="8">PERCENTILE(E2:E42,0.9)</f>
        <v>0.4854950851</v>
      </c>
      <c r="R4" s="293">
        <f t="shared" si="8"/>
        <v>0.124137931</v>
      </c>
      <c r="S4" s="293">
        <f t="shared" si="8"/>
        <v>0.696937698</v>
      </c>
      <c r="T4" s="293">
        <f t="shared" si="8"/>
        <v>0.09748172218</v>
      </c>
    </row>
    <row r="5">
      <c r="A5" s="253" t="str">
        <f>'Halo Infinite Stats'!A5</f>
        <v>ASpence501</v>
      </c>
      <c r="B5" s="259">
        <f>IFERROR(VLOOKUP($A5,'Halo Infinite Stats'!$A:$AR,2,0),)</f>
        <v>23</v>
      </c>
      <c r="C5" s="259">
        <f>IFERROR(VLOOKUP($A5,'Halo Infinite Stats'!$A:$AR,5,0),)</f>
        <v>48</v>
      </c>
      <c r="D5" s="259">
        <f>IFERROR(VLOOKUP($A5,'Halo Infinite Stats'!$A:$AR,6,0),)</f>
        <v>222</v>
      </c>
      <c r="E5" s="270">
        <f>IFERROR(VLOOKUP($A5,'Halo Infinite Stats'!$A:$W,6,0),)/(IFERROR(VLOOKUP($A5,'Halo Infinite Stats'!$A:$W,12,0),)/60)</f>
        <v>0.6508355321</v>
      </c>
      <c r="F5" s="273">
        <f>IFERROR(VLOOKUP($A5,'PG+ Stats'!$A:$W,2,0),)</f>
        <v>0.1407211961</v>
      </c>
      <c r="G5" s="273">
        <f>IFERROR(VLOOKUP($A5,'PG+ Stats'!$A:$W,4,0),)</f>
        <v>0.6156552331</v>
      </c>
      <c r="H5" s="273">
        <f>IFERROR(VLOOKUP($A5,'PG+ Stats'!$A:$W,5,0),)</f>
        <v>0.06449721489</v>
      </c>
      <c r="I5" s="273" t="str">
        <f t="shared" ref="I5:L5" si="9">IF(E5&lt;Q$21,"F-",IF(E5&lt;Q$20,"F",IF(E5&lt;Q$19,"F+",IF(E5&lt;Q$18,"E-",IF(E5&lt;Q$17,"E",IF(E5&lt;Q$16,"E+",IF(E5&lt;Q$15,"D-",IF(E5&lt;Q$14,"D",IF(E5&lt;Q$13,"D+",IF(E5&lt;Q$12,"C-",IF(E5&lt;Q$11,"C",IF(E5&lt;Q$10,"C+",IF(E5&lt;Q$9,"B-",IF(E5&lt;Q$8,"B",IF(E5&lt;Q$7,"B+",IF(E5&lt;Q$6,"A-",IF(E5&lt;Q$5,"A",IF(E5&lt;Q$4,"A+",IF(E5&lt;Q$3,"S-",IF(E5&lt;Q$2,"S","S+"))))))))))))))))))))</f>
        <v>S-</v>
      </c>
      <c r="J5" s="273" t="str">
        <f t="shared" si="9"/>
        <v>S</v>
      </c>
      <c r="K5" s="273" t="str">
        <f t="shared" si="9"/>
        <v>A</v>
      </c>
      <c r="L5" s="273" t="str">
        <f t="shared" si="9"/>
        <v>A-</v>
      </c>
      <c r="M5" s="288" t="str">
        <f t="shared" si="4"/>
        <v>S</v>
      </c>
      <c r="N5" s="289">
        <f t="shared" si="5"/>
        <v>13.7</v>
      </c>
      <c r="O5" s="303" t="s">
        <v>154</v>
      </c>
      <c r="P5" s="305">
        <v>10.0</v>
      </c>
      <c r="Q5" s="312">
        <f t="shared" ref="Q5:T5" si="10">PERCENTILE(E2:E42,0.85)</f>
        <v>0.3646984528</v>
      </c>
      <c r="R5" s="312">
        <f t="shared" si="10"/>
        <v>0.07992388202</v>
      </c>
      <c r="S5" s="312">
        <f t="shared" si="10"/>
        <v>0.6580016247</v>
      </c>
      <c r="T5" s="312">
        <f t="shared" si="10"/>
        <v>0.08402941029</v>
      </c>
    </row>
    <row r="6">
      <c r="A6" s="253" t="str">
        <f>'Halo Infinite Stats'!A6</f>
        <v>AwareMosquito</v>
      </c>
      <c r="B6" s="259">
        <f>IFERROR(VLOOKUP($A6,'Halo Infinite Stats'!$A:$AR,2,0),)</f>
        <v>28</v>
      </c>
      <c r="C6" s="259">
        <f>IFERROR(VLOOKUP($A6,'Halo Infinite Stats'!$A:$AR,5,0),)</f>
        <v>28</v>
      </c>
      <c r="D6" s="259">
        <f>IFERROR(VLOOKUP($A6,'Halo Infinite Stats'!$A:$AR,6,0),)</f>
        <v>154</v>
      </c>
      <c r="E6" s="270">
        <f>IFERROR(VLOOKUP($A6,'Halo Infinite Stats'!$A:$W,6,0),)/(IFERROR(VLOOKUP($A6,'Halo Infinite Stats'!$A:$W,12,0),)/60)</f>
        <v>0.3646984528</v>
      </c>
      <c r="F6" s="273">
        <f>IFERROR(VLOOKUP($A6,'PG+ Stats'!$A:$W,2,0),)</f>
        <v>0.0663088096</v>
      </c>
      <c r="G6" s="273">
        <f>IFERROR(VLOOKUP($A6,'PG+ Stats'!$A:$W,4,0),)</f>
        <v>0.476002526</v>
      </c>
      <c r="H6" s="273">
        <f>IFERROR(VLOOKUP($A6,'PG+ Stats'!$A:$W,5,0),)</f>
        <v>0.02368171771</v>
      </c>
      <c r="I6" s="273" t="str">
        <f t="shared" ref="I6:L6" si="11">IF(E6&lt;Q$21,"F-",IF(E6&lt;Q$20,"F",IF(E6&lt;Q$19,"F+",IF(E6&lt;Q$18,"E-",IF(E6&lt;Q$17,"E",IF(E6&lt;Q$16,"E+",IF(E6&lt;Q$15,"D-",IF(E6&lt;Q$14,"D",IF(E6&lt;Q$13,"D+",IF(E6&lt;Q$12,"C-",IF(E6&lt;Q$11,"C",IF(E6&lt;Q$10,"C+",IF(E6&lt;Q$9,"B-",IF(E6&lt;Q$8,"B",IF(E6&lt;Q$7,"B+",IF(E6&lt;Q$6,"A-",IF(E6&lt;Q$5,"A",IF(E6&lt;Q$4,"A+",IF(E6&lt;Q$3,"S-",IF(E6&lt;Q$2,"S","S+"))))))))))))))))))))</f>
        <v>A+</v>
      </c>
      <c r="J6" s="273" t="str">
        <f t="shared" si="11"/>
        <v>A-</v>
      </c>
      <c r="K6" s="273" t="str">
        <f t="shared" si="11"/>
        <v>B-</v>
      </c>
      <c r="L6" s="273" t="str">
        <f t="shared" si="11"/>
        <v>D-</v>
      </c>
      <c r="M6" s="288" t="str">
        <f t="shared" si="4"/>
        <v>A</v>
      </c>
      <c r="N6" s="289">
        <f t="shared" si="5"/>
        <v>11.35</v>
      </c>
      <c r="O6" s="321" t="s">
        <v>156</v>
      </c>
      <c r="P6" s="324">
        <v>9.5</v>
      </c>
      <c r="Q6" s="327">
        <f t="shared" ref="Q6:T6" si="12">PERCENTILE(E2:E42,0.8)</f>
        <v>0.3537925489</v>
      </c>
      <c r="R6" s="327">
        <f t="shared" si="12"/>
        <v>0.07366244508</v>
      </c>
      <c r="S6" s="327">
        <f t="shared" si="12"/>
        <v>0.6156552331</v>
      </c>
      <c r="T6" s="327">
        <f t="shared" si="12"/>
        <v>0.06891891892</v>
      </c>
    </row>
    <row r="7">
      <c r="A7" s="253" t="str">
        <f>'Halo Infinite Stats'!A7</f>
        <v>Beam1n1</v>
      </c>
      <c r="B7" s="259">
        <f>IFERROR(VLOOKUP($A7,'Halo Infinite Stats'!$A:$AR,2,0),)</f>
        <v>10</v>
      </c>
      <c r="C7" s="259">
        <f>IFERROR(VLOOKUP($A7,'Halo Infinite Stats'!$A:$AR,5,0),)</f>
        <v>3</v>
      </c>
      <c r="D7" s="259">
        <f>IFERROR(VLOOKUP($A7,'Halo Infinite Stats'!$A:$AR,6,0),)</f>
        <v>8</v>
      </c>
      <c r="E7" s="270">
        <f>IFERROR(VLOOKUP($A7,'Halo Infinite Stats'!$A:$W,6,0),)/(IFERROR(VLOOKUP($A7,'Halo Infinite Stats'!$A:$W,12,0),)/60)</f>
        <v>0.08277289188</v>
      </c>
      <c r="F7" s="273">
        <f>IFERROR(VLOOKUP($A7,'PG+ Stats'!$A:$W,2,0),)</f>
        <v>0.03103983445</v>
      </c>
      <c r="G7" s="273">
        <f>IFERROR(VLOOKUP($A7,'PG+ Stats'!$A:$W,4,0),)</f>
        <v>0.4138644594</v>
      </c>
      <c r="H7" s="273">
        <f>IFERROR(VLOOKUP($A7,'PG+ Stats'!$A:$W,5,0),)</f>
        <v>0.03103983445</v>
      </c>
      <c r="I7" s="273" t="str">
        <f t="shared" ref="I7:L7" si="13">IF(E7&lt;Q$21,"F-",IF(E7&lt;Q$20,"F",IF(E7&lt;Q$19,"F+",IF(E7&lt;Q$18,"E-",IF(E7&lt;Q$17,"E",IF(E7&lt;Q$16,"E+",IF(E7&lt;Q$15,"D-",IF(E7&lt;Q$14,"D",IF(E7&lt;Q$13,"D+",IF(E7&lt;Q$12,"C-",IF(E7&lt;Q$11,"C",IF(E7&lt;Q$10,"C+",IF(E7&lt;Q$9,"B-",IF(E7&lt;Q$8,"B",IF(E7&lt;Q$7,"B+",IF(E7&lt;Q$6,"A-",IF(E7&lt;Q$5,"A",IF(E7&lt;Q$4,"A+",IF(E7&lt;Q$3,"S-",IF(E7&lt;Q$2,"S","S+"))))))))))))))))))))</f>
        <v>D</v>
      </c>
      <c r="J7" s="273" t="str">
        <f t="shared" si="13"/>
        <v>D</v>
      </c>
      <c r="K7" s="273" t="str">
        <f t="shared" si="13"/>
        <v>D+</v>
      </c>
      <c r="L7" s="273" t="str">
        <f t="shared" si="13"/>
        <v>D+</v>
      </c>
      <c r="M7" s="288" t="str">
        <f t="shared" si="4"/>
        <v>D</v>
      </c>
      <c r="N7" s="289">
        <f t="shared" si="5"/>
        <v>6.15</v>
      </c>
      <c r="O7" s="338" t="s">
        <v>158</v>
      </c>
      <c r="P7" s="340">
        <v>9.0</v>
      </c>
      <c r="Q7" s="312">
        <f t="shared" ref="Q7:T7" si="14">PERCENTILE(E2:E42,0.75)</f>
        <v>0.3330510866</v>
      </c>
      <c r="R7" s="312">
        <f t="shared" si="14"/>
        <v>0.0663088096</v>
      </c>
      <c r="S7" s="312">
        <f t="shared" si="14"/>
        <v>0.5373308673</v>
      </c>
      <c r="T7" s="312">
        <f t="shared" si="14"/>
        <v>0.06128904705</v>
      </c>
    </row>
    <row r="8">
      <c r="A8" s="253" t="str">
        <f>'Halo Infinite Stats'!A8</f>
        <v>CaptainSev004</v>
      </c>
      <c r="B8" s="259">
        <f>IFERROR(VLOOKUP($A8,'Halo Infinite Stats'!$A:$AR,2,0),)</f>
        <v>19</v>
      </c>
      <c r="C8" s="259">
        <f>IFERROR(VLOOKUP($A8,'Halo Infinite Stats'!$A:$AR,5,0),)</f>
        <v>22</v>
      </c>
      <c r="D8" s="259">
        <f>IFERROR(VLOOKUP($A8,'Halo Infinite Stats'!$A:$AR,6,0),)</f>
        <v>85</v>
      </c>
      <c r="E8" s="270">
        <f>IFERROR(VLOOKUP($A8,'Halo Infinite Stats'!$A:$W,6,0),)/(IFERROR(VLOOKUP($A8,'Halo Infinite Stats'!$A:$W,12,0),)/60)</f>
        <v>0.3029223093</v>
      </c>
      <c r="F8" s="273">
        <f>IFERROR(VLOOKUP($A8,'PG+ Stats'!$A:$W,2,0),)</f>
        <v>0.07840342124</v>
      </c>
      <c r="G8" s="273">
        <f>IFERROR(VLOOKUP($A8,'PG+ Stats'!$A:$W,4,0),)</f>
        <v>0.4062722737</v>
      </c>
      <c r="H8" s="273">
        <f>IFERROR(VLOOKUP($A8,'PG+ Stats'!$A:$W,5,0),)</f>
        <v>0.02138275125</v>
      </c>
      <c r="I8" s="273" t="str">
        <f t="shared" ref="I8:L8" si="15">IF(E8&lt;Q$21,"F-",IF(E8&lt;Q$20,"F",IF(E8&lt;Q$19,"F+",IF(E8&lt;Q$18,"E-",IF(E8&lt;Q$17,"E",IF(E8&lt;Q$16,"E+",IF(E8&lt;Q$15,"D-",IF(E8&lt;Q$14,"D",IF(E8&lt;Q$13,"D+",IF(E8&lt;Q$12,"C-",IF(E8&lt;Q$11,"C",IF(E8&lt;Q$10,"C+",IF(E8&lt;Q$9,"B-",IF(E8&lt;Q$8,"B",IF(E8&lt;Q$7,"B+",IF(E8&lt;Q$6,"A-",IF(E8&lt;Q$5,"A",IF(E8&lt;Q$4,"A+",IF(E8&lt;Q$3,"S-",IF(E8&lt;Q$2,"S","S+"))))))))))))))))))))</f>
        <v>B+</v>
      </c>
      <c r="J8" s="273" t="str">
        <f t="shared" si="15"/>
        <v>A</v>
      </c>
      <c r="K8" s="273" t="str">
        <f t="shared" si="15"/>
        <v>D+</v>
      </c>
      <c r="L8" s="273" t="str">
        <f t="shared" si="15"/>
        <v>E+</v>
      </c>
      <c r="M8" s="288" t="str">
        <f t="shared" si="4"/>
        <v>A-</v>
      </c>
      <c r="N8" s="289">
        <f t="shared" si="5"/>
        <v>11</v>
      </c>
      <c r="O8" s="321" t="s">
        <v>159</v>
      </c>
      <c r="P8" s="324">
        <v>8.5</v>
      </c>
      <c r="Q8" s="346">
        <f t="shared" ref="Q8:T8" si="16">PERCENTILE(E2:E42,0.7)</f>
        <v>0.2740247383</v>
      </c>
      <c r="R8" s="346">
        <f t="shared" si="16"/>
        <v>0.05644933672</v>
      </c>
      <c r="S8" s="346">
        <f t="shared" si="16"/>
        <v>0.5031868501</v>
      </c>
      <c r="T8" s="346">
        <f t="shared" si="16"/>
        <v>0.05644402634</v>
      </c>
    </row>
    <row r="9">
      <c r="A9" s="253" t="str">
        <f>'Halo Infinite Stats'!A9</f>
        <v>Clydrohsun</v>
      </c>
      <c r="B9" s="259">
        <f>IFERROR(VLOOKUP($A9,'Halo Infinite Stats'!$A:$AR,2,0),)</f>
        <v>5</v>
      </c>
      <c r="C9" s="259">
        <f>IFERROR(VLOOKUP($A9,'Halo Infinite Stats'!$A:$AR,5,0),)</f>
        <v>3</v>
      </c>
      <c r="D9" s="259">
        <f>IFERROR(VLOOKUP($A9,'Halo Infinite Stats'!$A:$AR,6,0),)</f>
        <v>22</v>
      </c>
      <c r="E9" s="270">
        <f>IFERROR(VLOOKUP($A9,'Halo Infinite Stats'!$A:$W,6,0),)/(IFERROR(VLOOKUP($A9,'Halo Infinite Stats'!$A:$W,12,0),)/60)</f>
        <v>0.3537925489</v>
      </c>
      <c r="F9" s="273">
        <f>IFERROR(VLOOKUP($A9,'PG+ Stats'!$A:$W,2,0),)</f>
        <v>0.04824443849</v>
      </c>
      <c r="G9" s="273">
        <f>IFERROR(VLOOKUP($A9,'PG+ Stats'!$A:$W,4,0),)</f>
        <v>0.4985258644</v>
      </c>
      <c r="H9" s="273">
        <f>IFERROR(VLOOKUP($A9,'PG+ Stats'!$A:$W,5,0),)</f>
        <v>0.04824443849</v>
      </c>
      <c r="I9" s="273" t="str">
        <f t="shared" ref="I9:L9" si="17">IF(E9&lt;Q$21,"F-",IF(E9&lt;Q$20,"F",IF(E9&lt;Q$19,"F+",IF(E9&lt;Q$18,"E-",IF(E9&lt;Q$17,"E",IF(E9&lt;Q$16,"E+",IF(E9&lt;Q$15,"D-",IF(E9&lt;Q$14,"D",IF(E9&lt;Q$13,"D+",IF(E9&lt;Q$12,"C-",IF(E9&lt;Q$11,"C",IF(E9&lt;Q$10,"C+",IF(E9&lt;Q$9,"B-",IF(E9&lt;Q$8,"B",IF(E9&lt;Q$7,"B+",IF(E9&lt;Q$6,"A-",IF(E9&lt;Q$5,"A",IF(E9&lt;Q$4,"A+",IF(E9&lt;Q$3,"S-",IF(E9&lt;Q$2,"S","S+"))))))))))))))))))))</f>
        <v>A</v>
      </c>
      <c r="J9" s="273" t="str">
        <f t="shared" si="17"/>
        <v>C+</v>
      </c>
      <c r="K9" s="273" t="str">
        <f t="shared" si="17"/>
        <v>B</v>
      </c>
      <c r="L9" s="273" t="str">
        <f t="shared" si="17"/>
        <v>B-</v>
      </c>
      <c r="M9" s="288" t="str">
        <f t="shared" si="4"/>
        <v>B</v>
      </c>
      <c r="N9" s="289">
        <f t="shared" si="5"/>
        <v>9.875</v>
      </c>
      <c r="O9" s="351" t="s">
        <v>161</v>
      </c>
      <c r="P9" s="352">
        <v>8.0</v>
      </c>
      <c r="Q9" s="355">
        <f t="shared" ref="Q9:T9" si="18">PERCENTILE(E2:E42,0.65)</f>
        <v>0.2268288073</v>
      </c>
      <c r="R9" s="355">
        <f t="shared" si="18"/>
        <v>0.0527027027</v>
      </c>
      <c r="S9" s="355">
        <f t="shared" si="18"/>
        <v>0.4985258644</v>
      </c>
      <c r="T9" s="355">
        <f t="shared" si="18"/>
        <v>0.05590496157</v>
      </c>
    </row>
    <row r="10">
      <c r="A10" s="253" t="str">
        <f>'Halo Infinite Stats'!A10</f>
        <v>DCleak</v>
      </c>
      <c r="B10" s="259">
        <f>IFERROR(VLOOKUP($A10,'Halo Infinite Stats'!$A:$AR,2,0),)</f>
        <v>10</v>
      </c>
      <c r="C10" s="259">
        <f>IFERROR(VLOOKUP($A10,'Halo Infinite Stats'!$A:$AR,5,0),)</f>
        <v>4</v>
      </c>
      <c r="D10" s="259">
        <f>IFERROR(VLOOKUP($A10,'Halo Infinite Stats'!$A:$AR,6,0),)</f>
        <v>29</v>
      </c>
      <c r="E10" s="270">
        <f>IFERROR(VLOOKUP($A10,'Halo Infinite Stats'!$A:$W,6,0),)/(IFERROR(VLOOKUP($A10,'Halo Infinite Stats'!$A:$W,12,0),)/60)</f>
        <v>0.2624830291</v>
      </c>
      <c r="F10" s="273">
        <f>IFERROR(VLOOKUP($A10,'PG+ Stats'!$A:$W,2,0),)</f>
        <v>0.03620455574</v>
      </c>
      <c r="G10" s="273">
        <f>IFERROR(VLOOKUP($A10,'PG+ Stats'!$A:$W,4,0),)</f>
        <v>0.696937698</v>
      </c>
      <c r="H10" s="273">
        <f>IFERROR(VLOOKUP($A10,'PG+ Stats'!$A:$W,5,0),)</f>
        <v>0.03620455574</v>
      </c>
      <c r="I10" s="273" t="str">
        <f t="shared" ref="I10:L10" si="19">IF(E10&lt;Q$21,"F-",IF(E10&lt;Q$20,"F",IF(E10&lt;Q$19,"F+",IF(E10&lt;Q$18,"E-",IF(E10&lt;Q$17,"E",IF(E10&lt;Q$16,"E+",IF(E10&lt;Q$15,"D-",IF(E10&lt;Q$14,"D",IF(E10&lt;Q$13,"D+",IF(E10&lt;Q$12,"C-",IF(E10&lt;Q$11,"C",IF(E10&lt;Q$10,"C+",IF(E10&lt;Q$9,"B-",IF(E10&lt;Q$8,"B",IF(E10&lt;Q$7,"B+",IF(E10&lt;Q$6,"A-",IF(E10&lt;Q$5,"A",IF(E10&lt;Q$4,"A+",IF(E10&lt;Q$3,"S-",IF(E10&lt;Q$2,"S","S+"))))))))))))))))))))</f>
        <v>B</v>
      </c>
      <c r="J10" s="273" t="str">
        <f t="shared" si="19"/>
        <v>D+</v>
      </c>
      <c r="K10" s="273" t="str">
        <f t="shared" si="19"/>
        <v>S-</v>
      </c>
      <c r="L10" s="273" t="str">
        <f t="shared" si="19"/>
        <v>C</v>
      </c>
      <c r="M10" s="288" t="str">
        <f t="shared" si="4"/>
        <v>C</v>
      </c>
      <c r="N10" s="289">
        <f t="shared" si="5"/>
        <v>8.1</v>
      </c>
      <c r="O10" s="366" t="s">
        <v>164</v>
      </c>
      <c r="P10" s="368">
        <v>7.5</v>
      </c>
      <c r="Q10" s="346">
        <f t="shared" ref="Q10:T10" si="20">PERCENTILE(E2:E42,0.6)</f>
        <v>0.2102599046</v>
      </c>
      <c r="R10" s="346">
        <f t="shared" si="20"/>
        <v>0.04886911848</v>
      </c>
      <c r="S10" s="346">
        <f t="shared" si="20"/>
        <v>0.476002526</v>
      </c>
      <c r="T10" s="346">
        <f t="shared" si="20"/>
        <v>0.04824443849</v>
      </c>
    </row>
    <row r="11">
      <c r="A11" s="253" t="str">
        <f>'Halo Infinite Stats'!A11</f>
        <v>Deathcrawller</v>
      </c>
      <c r="B11" s="259">
        <f>IFERROR(VLOOKUP($A11,'Halo Infinite Stats'!$A:$AR,2,0),)</f>
        <v>22</v>
      </c>
      <c r="C11" s="259">
        <f>IFERROR(VLOOKUP($A11,'Halo Infinite Stats'!$A:$AR,5,0),)</f>
        <v>7</v>
      </c>
      <c r="D11" s="259">
        <f>IFERROR(VLOOKUP($A11,'Halo Infinite Stats'!$A:$AR,6,0),)</f>
        <v>22</v>
      </c>
      <c r="E11" s="270">
        <f>IFERROR(VLOOKUP($A11,'Halo Infinite Stats'!$A:$W,6,0),)/(IFERROR(VLOOKUP($A11,'Halo Infinite Stats'!$A:$W,12,0),)/60)</f>
        <v>0.06985975126</v>
      </c>
      <c r="F11" s="273">
        <f>IFERROR(VLOOKUP($A11,'PG+ Stats'!$A:$W,2,0),)</f>
        <v>0.02222810267</v>
      </c>
      <c r="G11" s="273">
        <f>IFERROR(VLOOKUP($A11,'PG+ Stats'!$A:$W,4,0),)</f>
        <v>0.3080179942</v>
      </c>
      <c r="H11" s="273">
        <f>IFERROR(VLOOKUP($A11,'PG+ Stats'!$A:$W,5,0),)</f>
        <v>0.01587721619</v>
      </c>
      <c r="I11" s="273" t="str">
        <f t="shared" ref="I11:L11" si="21">IF(E11&lt;Q$21,"F-",IF(E11&lt;Q$20,"F",IF(E11&lt;Q$19,"F+",IF(E11&lt;Q$18,"E-",IF(E11&lt;Q$17,"E",IF(E11&lt;Q$16,"E+",IF(E11&lt;Q$15,"D-",IF(E11&lt;Q$14,"D",IF(E11&lt;Q$13,"D+",IF(E11&lt;Q$12,"C-",IF(E11&lt;Q$11,"C",IF(E11&lt;Q$10,"C+",IF(E11&lt;Q$9,"B-",IF(E11&lt;Q$8,"B",IF(E11&lt;Q$7,"B+",IF(E11&lt;Q$6,"A-",IF(E11&lt;Q$5,"A",IF(E11&lt;Q$4,"A+",IF(E11&lt;Q$3,"S-",IF(E11&lt;Q$2,"S","S+"))))))))))))))))))))</f>
        <v>E+</v>
      </c>
      <c r="J11" s="273" t="str">
        <f t="shared" si="21"/>
        <v>D-</v>
      </c>
      <c r="K11" s="273" t="str">
        <f t="shared" si="21"/>
        <v>E</v>
      </c>
      <c r="L11" s="273" t="str">
        <f t="shared" si="21"/>
        <v>E</v>
      </c>
      <c r="M11" s="288" t="str">
        <f t="shared" si="4"/>
        <v>E+</v>
      </c>
      <c r="N11" s="289">
        <f t="shared" si="5"/>
        <v>5.05</v>
      </c>
      <c r="O11" s="351" t="s">
        <v>166</v>
      </c>
      <c r="P11" s="352">
        <v>7.0</v>
      </c>
      <c r="Q11" s="377">
        <f t="shared" ref="Q11:T11" si="22">PERCENTILE(E2:E42,0.55)</f>
        <v>0.1436452587</v>
      </c>
      <c r="R11" s="377">
        <f t="shared" si="22"/>
        <v>0.04748087576</v>
      </c>
      <c r="S11" s="377">
        <f t="shared" si="22"/>
        <v>0.4729904368</v>
      </c>
      <c r="T11" s="377">
        <f t="shared" si="22"/>
        <v>0.04015650741</v>
      </c>
    </row>
    <row r="12">
      <c r="A12" s="253" t="str">
        <f>'Halo Infinite Stats'!A12</f>
        <v>Doerstopper</v>
      </c>
      <c r="B12" s="259">
        <f>IFERROR(VLOOKUP($A12,'Halo Infinite Stats'!$A:$AR,2,0),)</f>
        <v>23</v>
      </c>
      <c r="C12" s="259">
        <f>IFERROR(VLOOKUP($A12,'Halo Infinite Stats'!$A:$AR,5,0),)</f>
        <v>20</v>
      </c>
      <c r="D12" s="259">
        <f>IFERROR(VLOOKUP($A12,'Halo Infinite Stats'!$A:$AR,6,0),)</f>
        <v>65</v>
      </c>
      <c r="E12" s="270">
        <f>IFERROR(VLOOKUP($A12,'Halo Infinite Stats'!$A:$W,6,0),)/(IFERROR(VLOOKUP($A12,'Halo Infinite Stats'!$A:$W,12,0),)/60)</f>
        <v>0.220376335</v>
      </c>
      <c r="F12" s="273">
        <f>IFERROR(VLOOKUP($A12,'PG+ Stats'!$A:$W,2,0),)</f>
        <v>0.06780810307</v>
      </c>
      <c r="G12" s="273">
        <f>IFERROR(VLOOKUP($A12,'PG+ Stats'!$A:$W,4,0),)</f>
        <v>0.3051364638</v>
      </c>
      <c r="H12" s="273">
        <f>IFERROR(VLOOKUP($A12,'PG+ Stats'!$A:$W,5,0),)</f>
        <v>0.006780810307</v>
      </c>
      <c r="I12" s="273" t="str">
        <f t="shared" ref="I12:L12" si="23">IF(E12&lt;Q$21,"F-",IF(E12&lt;Q$20,"F",IF(E12&lt;Q$19,"F+",IF(E12&lt;Q$18,"E-",IF(E12&lt;Q$17,"E",IF(E12&lt;Q$16,"E+",IF(E12&lt;Q$15,"D-",IF(E12&lt;Q$14,"D",IF(E12&lt;Q$13,"D+",IF(E12&lt;Q$12,"C-",IF(E12&lt;Q$11,"C",IF(E12&lt;Q$10,"C+",IF(E12&lt;Q$9,"B-",IF(E12&lt;Q$8,"B",IF(E12&lt;Q$7,"B+",IF(E12&lt;Q$6,"A-",IF(E12&lt;Q$5,"A",IF(E12&lt;Q$4,"A+",IF(E12&lt;Q$3,"S-",IF(E12&lt;Q$2,"S","S+"))))))))))))))))))))</f>
        <v>B-</v>
      </c>
      <c r="J12" s="273" t="str">
        <f t="shared" si="23"/>
        <v>A-</v>
      </c>
      <c r="K12" s="273" t="str">
        <f t="shared" si="23"/>
        <v>E</v>
      </c>
      <c r="L12" s="273" t="str">
        <f t="shared" si="23"/>
        <v>F+</v>
      </c>
      <c r="M12" s="288" t="str">
        <f t="shared" si="4"/>
        <v>B+</v>
      </c>
      <c r="N12" s="289">
        <f t="shared" si="5"/>
        <v>9.95</v>
      </c>
      <c r="O12" s="389" t="s">
        <v>168</v>
      </c>
      <c r="P12" s="391">
        <v>6.5</v>
      </c>
      <c r="Q12" s="392">
        <f t="shared" ref="Q12:T12" si="24">PERCENTILE(E2:E42,0.5)</f>
        <v>0.1305724083</v>
      </c>
      <c r="R12" s="392">
        <f t="shared" si="24"/>
        <v>0.04349545275</v>
      </c>
      <c r="S12" s="392">
        <f t="shared" si="24"/>
        <v>0.4509750813</v>
      </c>
      <c r="T12" s="392">
        <f t="shared" si="24"/>
        <v>0.03620455574</v>
      </c>
    </row>
    <row r="13">
      <c r="A13" s="253" t="str">
        <f>'Halo Infinite Stats'!A13</f>
        <v>Fanciest Pants</v>
      </c>
      <c r="B13" s="259">
        <f>IFERROR(VLOOKUP($A13,'Halo Infinite Stats'!$A:$AR,2,0),)</f>
        <v>18</v>
      </c>
      <c r="C13" s="259">
        <f>IFERROR(VLOOKUP($A13,'Halo Infinite Stats'!$A:$AR,5,0),)</f>
        <v>8</v>
      </c>
      <c r="D13" s="259">
        <f>IFERROR(VLOOKUP($A13,'Halo Infinite Stats'!$A:$AR,6,0),)</f>
        <v>13</v>
      </c>
      <c r="E13" s="270">
        <f>IFERROR(VLOOKUP($A13,'Halo Infinite Stats'!$A:$W,6,0),)/(IFERROR(VLOOKUP($A13,'Halo Infinite Stats'!$A:$W,12,0),)/60)</f>
        <v>0.05104377986</v>
      </c>
      <c r="F13" s="273">
        <f>IFERROR(VLOOKUP($A13,'PG+ Stats'!$A:$W,2,0),)</f>
        <v>0.03141155684</v>
      </c>
      <c r="G13" s="273">
        <f>IFERROR(VLOOKUP($A13,'PG+ Stats'!$A:$W,4,0),)</f>
        <v>0.6832013612</v>
      </c>
      <c r="H13" s="273">
        <f>IFERROR(VLOOKUP($A13,'PG+ Stats'!$A:$W,5,0),)</f>
        <v>0.1295726719</v>
      </c>
      <c r="I13" s="273" t="str">
        <f t="shared" ref="I13:L13" si="25">IF(E13&lt;Q$21,"F-",IF(E13&lt;Q$20,"F",IF(E13&lt;Q$19,"F+",IF(E13&lt;Q$18,"E-",IF(E13&lt;Q$17,"E",IF(E13&lt;Q$16,"E+",IF(E13&lt;Q$15,"D-",IF(E13&lt;Q$14,"D",IF(E13&lt;Q$13,"D+",IF(E13&lt;Q$12,"C-",IF(E13&lt;Q$11,"C",IF(E13&lt;Q$10,"C+",IF(E13&lt;Q$9,"B-",IF(E13&lt;Q$8,"B",IF(E13&lt;Q$7,"B+",IF(E13&lt;Q$6,"A-",IF(E13&lt;Q$5,"A",IF(E13&lt;Q$4,"A+",IF(E13&lt;Q$3,"S-",IF(E13&lt;Q$2,"S","S+"))))))))))))))))))))</f>
        <v>E-</v>
      </c>
      <c r="J13" s="273" t="str">
        <f t="shared" si="25"/>
        <v>D+</v>
      </c>
      <c r="K13" s="273" t="str">
        <f t="shared" si="25"/>
        <v>A+</v>
      </c>
      <c r="L13" s="273" t="str">
        <f t="shared" si="25"/>
        <v>S</v>
      </c>
      <c r="M13" s="288" t="str">
        <f t="shared" si="4"/>
        <v>D+</v>
      </c>
      <c r="N13" s="289">
        <f t="shared" si="5"/>
        <v>6.525</v>
      </c>
      <c r="O13" s="401" t="s">
        <v>171</v>
      </c>
      <c r="P13" s="404">
        <v>6.0</v>
      </c>
      <c r="Q13" s="377">
        <f t="shared" ref="Q13:T13" si="26">PERCENTILE(E2:E42,0.45)</f>
        <v>0.1202932147</v>
      </c>
      <c r="R13" s="377">
        <f t="shared" si="26"/>
        <v>0.03656554713</v>
      </c>
      <c r="S13" s="377">
        <f t="shared" si="26"/>
        <v>0.4291502026</v>
      </c>
      <c r="T13" s="377">
        <f t="shared" si="26"/>
        <v>0.03434995316</v>
      </c>
    </row>
    <row r="14">
      <c r="A14" s="253" t="str">
        <f>'Halo Infinite Stats'!A14</f>
        <v>GeneralCornBeef</v>
      </c>
      <c r="B14" s="259">
        <f>IFERROR(VLOOKUP($A14,'Halo Infinite Stats'!$A:$AR,2,0),)</f>
        <v>14</v>
      </c>
      <c r="C14" s="259">
        <f>IFERROR(VLOOKUP($A14,'Halo Infinite Stats'!$A:$AR,5,0),)</f>
        <v>5</v>
      </c>
      <c r="D14" s="259">
        <f>IFERROR(VLOOKUP($A14,'Halo Infinite Stats'!$A:$AR,6,0),)</f>
        <v>24</v>
      </c>
      <c r="E14" s="270">
        <f>IFERROR(VLOOKUP($A14,'Halo Infinite Stats'!$A:$W,6,0),)/(IFERROR(VLOOKUP($A14,'Halo Infinite Stats'!$A:$W,12,0),)/60)</f>
        <v>0.1153661272</v>
      </c>
      <c r="F14" s="273">
        <f>IFERROR(VLOOKUP($A14,'PG+ Stats'!$A:$W,2,0),)</f>
        <v>0.02403460984</v>
      </c>
      <c r="G14" s="273">
        <f>IFERROR(VLOOKUP($A14,'PG+ Stats'!$A:$W,4,0),)</f>
        <v>0.3509053036</v>
      </c>
      <c r="H14" s="273">
        <f>IFERROR(VLOOKUP($A14,'PG+ Stats'!$A:$W,5,0),)</f>
        <v>0.02403460984</v>
      </c>
      <c r="I14" s="273" t="str">
        <f t="shared" ref="I14:L14" si="27">IF(E14&lt;Q$21,"F-",IF(E14&lt;Q$20,"F",IF(E14&lt;Q$19,"F+",IF(E14&lt;Q$18,"E-",IF(E14&lt;Q$17,"E",IF(E14&lt;Q$16,"E+",IF(E14&lt;Q$15,"D-",IF(E14&lt;Q$14,"D",IF(E14&lt;Q$13,"D+",IF(E14&lt;Q$12,"C-",IF(E14&lt;Q$11,"C",IF(E14&lt;Q$10,"C+",IF(E14&lt;Q$9,"B-",IF(E14&lt;Q$8,"B",IF(E14&lt;Q$7,"B+",IF(E14&lt;Q$6,"A-",IF(E14&lt;Q$5,"A",IF(E14&lt;Q$4,"A+",IF(E14&lt;Q$3,"S-",IF(E14&lt;Q$2,"S","S+"))))))))))))))))))))</f>
        <v>D+</v>
      </c>
      <c r="J14" s="273" t="str">
        <f t="shared" si="27"/>
        <v>D-</v>
      </c>
      <c r="K14" s="273" t="str">
        <f t="shared" si="27"/>
        <v>D-</v>
      </c>
      <c r="L14" s="273" t="str">
        <f t="shared" si="27"/>
        <v>D-</v>
      </c>
      <c r="M14" s="288" t="str">
        <f t="shared" si="4"/>
        <v>D-</v>
      </c>
      <c r="N14" s="289">
        <f t="shared" si="5"/>
        <v>5.8</v>
      </c>
      <c r="O14" s="389" t="s">
        <v>173</v>
      </c>
      <c r="P14" s="391">
        <v>5.5</v>
      </c>
      <c r="Q14" s="409">
        <f t="shared" ref="Q14:T14" si="28">PERCENTILE(E2:E42,0.4)</f>
        <v>0.1013513514</v>
      </c>
      <c r="R14" s="409">
        <f t="shared" si="28"/>
        <v>0.03141155684</v>
      </c>
      <c r="S14" s="409">
        <f t="shared" si="28"/>
        <v>0.4062722737</v>
      </c>
      <c r="T14" s="409">
        <f t="shared" si="28"/>
        <v>0.03103983445</v>
      </c>
    </row>
    <row r="15">
      <c r="A15" s="253" t="str">
        <f>'Halo Infinite Stats'!A15</f>
        <v>Grunt Padre</v>
      </c>
      <c r="B15" s="259">
        <f>IFERROR(VLOOKUP($A15,'Halo Infinite Stats'!$A:$AR,2,0),)</f>
        <v>22</v>
      </c>
      <c r="C15" s="259">
        <f>IFERROR(VLOOKUP($A15,'Halo Infinite Stats'!$A:$AR,5,0),)</f>
        <v>5</v>
      </c>
      <c r="D15" s="259">
        <f>IFERROR(VLOOKUP($A15,'Halo Infinite Stats'!$A:$AR,6,0),)</f>
        <v>46</v>
      </c>
      <c r="E15" s="270">
        <f>IFERROR(VLOOKUP($A15,'Halo Infinite Stats'!$A:$W,6,0),)/(IFERROR(VLOOKUP($A15,'Halo Infinite Stats'!$A:$W,12,0),)/60)</f>
        <v>0.1436452587</v>
      </c>
      <c r="F15" s="273">
        <f>IFERROR(VLOOKUP($A15,'PG+ Stats'!$A:$W,2,0),)</f>
        <v>0.01561361507</v>
      </c>
      <c r="G15" s="273">
        <f>IFERROR(VLOOKUP($A15,'PG+ Stats'!$A:$W,4,0),)</f>
        <v>0.4715311752</v>
      </c>
      <c r="H15" s="273">
        <f>IFERROR(VLOOKUP($A15,'PG+ Stats'!$A:$W,5,0),)</f>
        <v>0.03434995316</v>
      </c>
      <c r="I15" s="273" t="str">
        <f t="shared" ref="I15:L15" si="29">IF(E15&lt;Q$21,"F-",IF(E15&lt;Q$20,"F",IF(E15&lt;Q$19,"F+",IF(E15&lt;Q$18,"E-",IF(E15&lt;Q$17,"E",IF(E15&lt;Q$16,"E+",IF(E15&lt;Q$15,"D-",IF(E15&lt;Q$14,"D",IF(E15&lt;Q$13,"D+",IF(E15&lt;Q$12,"C-",IF(E15&lt;Q$11,"C",IF(E15&lt;Q$10,"C+",IF(E15&lt;Q$9,"B-",IF(E15&lt;Q$8,"B",IF(E15&lt;Q$7,"B+",IF(E15&lt;Q$6,"A-",IF(E15&lt;Q$5,"A",IF(E15&lt;Q$4,"A+",IF(E15&lt;Q$3,"S-",IF(E15&lt;Q$2,"S","S+"))))))))))))))))))))</f>
        <v>C+</v>
      </c>
      <c r="J15" s="273" t="str">
        <f t="shared" si="29"/>
        <v>F+</v>
      </c>
      <c r="K15" s="273" t="str">
        <f t="shared" si="29"/>
        <v>C</v>
      </c>
      <c r="L15" s="273" t="str">
        <f t="shared" si="29"/>
        <v>C-</v>
      </c>
      <c r="M15" s="288" t="str">
        <f t="shared" si="4"/>
        <v>E+</v>
      </c>
      <c r="N15" s="289">
        <f t="shared" si="5"/>
        <v>5.05</v>
      </c>
      <c r="O15" s="414" t="s">
        <v>175</v>
      </c>
      <c r="P15" s="417">
        <v>5.0</v>
      </c>
      <c r="Q15" s="418">
        <f t="shared" ref="Q15:T15" si="30">PERCENTILE(E2:E42,0.35)</f>
        <v>0.08030784675</v>
      </c>
      <c r="R15" s="418">
        <f t="shared" si="30"/>
        <v>0.0306122449</v>
      </c>
      <c r="S15" s="418">
        <f t="shared" si="30"/>
        <v>0.3729433272</v>
      </c>
      <c r="T15" s="418">
        <f t="shared" si="30"/>
        <v>0.02619451855</v>
      </c>
    </row>
    <row r="16">
      <c r="A16" s="253" t="str">
        <f>'Halo Infinite Stats'!A16</f>
        <v>Holy Morals</v>
      </c>
      <c r="B16" s="259">
        <f>IFERROR(VLOOKUP($A16,'Halo Infinite Stats'!$A:$AR,2,0),)</f>
        <v>20</v>
      </c>
      <c r="C16" s="259">
        <f>IFERROR(VLOOKUP($A16,'Halo Infinite Stats'!$A:$AR,5,0),)</f>
        <v>69</v>
      </c>
      <c r="D16" s="259">
        <f>IFERROR(VLOOKUP($A16,'Halo Infinite Stats'!$A:$AR,6,0),)</f>
        <v>268</v>
      </c>
      <c r="E16" s="270">
        <f>IFERROR(VLOOKUP($A16,'Halo Infinite Stats'!$A:$W,6,0),)/(IFERROR(VLOOKUP($A16,'Halo Infinite Stats'!$A:$W,12,0),)/60)</f>
        <v>0.9364081062</v>
      </c>
      <c r="F16" s="273">
        <f>IFERROR(VLOOKUP($A16,'PG+ Stats'!$A:$W,2,0),)</f>
        <v>0.2410901468</v>
      </c>
      <c r="G16" s="273">
        <f>IFERROR(VLOOKUP($A16,'PG+ Stats'!$A:$W,4,0),)</f>
        <v>0.4891684137</v>
      </c>
      <c r="H16" s="273">
        <f>IFERROR(VLOOKUP($A16,'PG+ Stats'!$A:$W,5,0),)</f>
        <v>0.05590496157</v>
      </c>
      <c r="I16" s="273" t="str">
        <f t="shared" ref="I16:L16" si="31">IF(E16&lt;Q$21,"F-",IF(E16&lt;Q$20,"F",IF(E16&lt;Q$19,"F+",IF(E16&lt;Q$18,"E-",IF(E16&lt;Q$17,"E",IF(E16&lt;Q$16,"E+",IF(E16&lt;Q$15,"D-",IF(E16&lt;Q$14,"D",IF(E16&lt;Q$13,"D+",IF(E16&lt;Q$12,"C-",IF(E16&lt;Q$11,"C",IF(E16&lt;Q$10,"C+",IF(E16&lt;Q$9,"B-",IF(E16&lt;Q$8,"B",IF(E16&lt;Q$7,"B+",IF(E16&lt;Q$6,"A-",IF(E16&lt;Q$5,"A",IF(E16&lt;Q$4,"A+",IF(E16&lt;Q$3,"S-",IF(E16&lt;Q$2,"S","S+"))))))))))))))))))))</f>
        <v>S+</v>
      </c>
      <c r="J16" s="273" t="str">
        <f t="shared" si="31"/>
        <v>S+</v>
      </c>
      <c r="K16" s="273" t="str">
        <f t="shared" si="31"/>
        <v>B-</v>
      </c>
      <c r="L16" s="273" t="str">
        <f t="shared" si="31"/>
        <v>B</v>
      </c>
      <c r="M16" s="288" t="str">
        <f t="shared" si="4"/>
        <v>S+</v>
      </c>
      <c r="N16" s="289">
        <f t="shared" si="5"/>
        <v>14.3</v>
      </c>
      <c r="O16" s="423" t="s">
        <v>179</v>
      </c>
      <c r="P16" s="424">
        <v>4.5</v>
      </c>
      <c r="Q16" s="425">
        <f t="shared" ref="Q16:T16" si="32">PERCENTILE(E2:E42,0.3)</f>
        <v>0.07653061224</v>
      </c>
      <c r="R16" s="425">
        <f t="shared" si="32"/>
        <v>0.02222810267</v>
      </c>
      <c r="S16" s="425">
        <f t="shared" si="32"/>
        <v>0.3509053036</v>
      </c>
      <c r="T16" s="425">
        <f t="shared" si="32"/>
        <v>0.02368171771</v>
      </c>
    </row>
    <row r="17">
      <c r="A17" s="253" t="str">
        <f>'Halo Infinite Stats'!A17</f>
        <v>ill Shrek u</v>
      </c>
      <c r="B17" s="259">
        <f>IFERROR(VLOOKUP($A17,'Halo Infinite Stats'!$A:$AR,2,0),)</f>
        <v>17</v>
      </c>
      <c r="C17" s="259">
        <f>IFERROR(VLOOKUP($A17,'Halo Infinite Stats'!$A:$AR,5,0),)</f>
        <v>13</v>
      </c>
      <c r="D17" s="259">
        <f>IFERROR(VLOOKUP($A17,'Halo Infinite Stats'!$A:$AR,6,0),)</f>
        <v>32</v>
      </c>
      <c r="E17" s="270">
        <f>IFERROR(VLOOKUP($A17,'Halo Infinite Stats'!$A:$W,6,0),)/(IFERROR(VLOOKUP($A17,'Halo Infinite Stats'!$A:$W,12,0),)/60)</f>
        <v>0.1202932147</v>
      </c>
      <c r="F17" s="273">
        <f>IFERROR(VLOOKUP($A17,'PG+ Stats'!$A:$W,2,0),)</f>
        <v>0.04886911848</v>
      </c>
      <c r="G17" s="273">
        <f>IFERROR(VLOOKUP($A17,'PG+ Stats'!$A:$W,4,0),)</f>
        <v>0.5074869996</v>
      </c>
      <c r="H17" s="273">
        <f>IFERROR(VLOOKUP($A17,'PG+ Stats'!$A:$W,5,0),)</f>
        <v>0.0563874444</v>
      </c>
      <c r="I17" s="273" t="str">
        <f t="shared" ref="I17:L17" si="33">IF(E17&lt;Q$21,"F-",IF(E17&lt;Q$20,"F",IF(E17&lt;Q$19,"F+",IF(E17&lt;Q$18,"E-",IF(E17&lt;Q$17,"E",IF(E17&lt;Q$16,"E+",IF(E17&lt;Q$15,"D-",IF(E17&lt;Q$14,"D",IF(E17&lt;Q$13,"D+",IF(E17&lt;Q$12,"C-",IF(E17&lt;Q$11,"C",IF(E17&lt;Q$10,"C+",IF(E17&lt;Q$9,"B-",IF(E17&lt;Q$8,"B",IF(E17&lt;Q$7,"B+",IF(E17&lt;Q$6,"A-",IF(E17&lt;Q$5,"A",IF(E17&lt;Q$4,"A+",IF(E17&lt;Q$3,"S-",IF(E17&lt;Q$2,"S","S+"))))))))))))))))))))</f>
        <v>C-</v>
      </c>
      <c r="J17" s="273" t="str">
        <f t="shared" si="33"/>
        <v>B-</v>
      </c>
      <c r="K17" s="273" t="str">
        <f t="shared" si="33"/>
        <v>B+</v>
      </c>
      <c r="L17" s="273" t="str">
        <f t="shared" si="33"/>
        <v>B</v>
      </c>
      <c r="M17" s="288" t="str">
        <f t="shared" si="4"/>
        <v>C+</v>
      </c>
      <c r="N17" s="289">
        <f t="shared" si="5"/>
        <v>8.95</v>
      </c>
      <c r="O17" s="414" t="s">
        <v>181</v>
      </c>
      <c r="P17" s="417">
        <v>4.0</v>
      </c>
      <c r="Q17" s="428">
        <f t="shared" ref="Q17:T17" si="34">PERCENTILE(E2:E42,0.25)</f>
        <v>0.06985975126</v>
      </c>
      <c r="R17" s="428">
        <f t="shared" si="34"/>
        <v>0.02037351443</v>
      </c>
      <c r="S17" s="428">
        <f t="shared" si="34"/>
        <v>0.3316326531</v>
      </c>
      <c r="T17" s="428">
        <f t="shared" si="34"/>
        <v>0.02031419285</v>
      </c>
    </row>
    <row r="18">
      <c r="A18" s="253" t="str">
        <f>'Halo Infinite Stats'!A18</f>
        <v>Its Rainin MenZ</v>
      </c>
      <c r="B18" s="259">
        <f>IFERROR(VLOOKUP($A18,'Halo Infinite Stats'!$A:$AR,2,0),)</f>
        <v>23</v>
      </c>
      <c r="C18" s="259">
        <f>IFERROR(VLOOKUP($A18,'Halo Infinite Stats'!$A:$AR,5,0),)</f>
        <v>4</v>
      </c>
      <c r="D18" s="259">
        <f>IFERROR(VLOOKUP($A18,'Halo Infinite Stats'!$A:$AR,6,0),)</f>
        <v>25</v>
      </c>
      <c r="E18" s="270">
        <f>IFERROR(VLOOKUP($A18,'Halo Infinite Stats'!$A:$W,6,0),)/(IFERROR(VLOOKUP($A18,'Halo Infinite Stats'!$A:$W,12,0),)/60)</f>
        <v>0.07722405272</v>
      </c>
      <c r="F18" s="273">
        <f>IFERROR(VLOOKUP($A18,'PG+ Stats'!$A:$W,2,0),)</f>
        <v>0.01235584843</v>
      </c>
      <c r="G18" s="273">
        <f>IFERROR(VLOOKUP($A18,'PG+ Stats'!$A:$W,4,0),)</f>
        <v>0.4757001647</v>
      </c>
      <c r="H18" s="273">
        <f>IFERROR(VLOOKUP($A18,'PG+ Stats'!$A:$W,5,0),)</f>
        <v>0.04015650741</v>
      </c>
      <c r="I18" s="273" t="str">
        <f t="shared" ref="I18:L18" si="35">IF(E18&lt;Q$21,"F-",IF(E18&lt;Q$20,"F",IF(E18&lt;Q$19,"F+",IF(E18&lt;Q$18,"E-",IF(E18&lt;Q$17,"E",IF(E18&lt;Q$16,"E+",IF(E18&lt;Q$15,"D-",IF(E18&lt;Q$14,"D",IF(E18&lt;Q$13,"D+",IF(E18&lt;Q$12,"C-",IF(E18&lt;Q$11,"C",IF(E18&lt;Q$10,"C+",IF(E18&lt;Q$9,"B-",IF(E18&lt;Q$8,"B",IF(E18&lt;Q$7,"B+",IF(E18&lt;Q$6,"A-",IF(E18&lt;Q$5,"A",IF(E18&lt;Q$4,"A+",IF(E18&lt;Q$3,"S-",IF(E18&lt;Q$2,"S","S+"))))))))))))))))))))</f>
        <v>D-</v>
      </c>
      <c r="J18" s="273" t="str">
        <f t="shared" si="35"/>
        <v>F+</v>
      </c>
      <c r="K18" s="273" t="str">
        <f t="shared" si="35"/>
        <v>C+</v>
      </c>
      <c r="L18" s="273" t="str">
        <f t="shared" si="35"/>
        <v>C+</v>
      </c>
      <c r="M18" s="288" t="str">
        <f t="shared" si="4"/>
        <v>E-</v>
      </c>
      <c r="N18" s="289">
        <f t="shared" si="5"/>
        <v>4.175</v>
      </c>
      <c r="O18" s="439" t="s">
        <v>183</v>
      </c>
      <c r="P18" s="440">
        <v>3.5</v>
      </c>
      <c r="Q18" s="442">
        <f t="shared" ref="Q18:T18" si="36">PERCENTILE(E2:E42,0.2)</f>
        <v>0.05845579281</v>
      </c>
      <c r="R18" s="442">
        <f t="shared" si="36"/>
        <v>0.02007696169</v>
      </c>
      <c r="S18" s="442">
        <f t="shared" si="36"/>
        <v>0.3051364638</v>
      </c>
      <c r="T18" s="442">
        <f t="shared" si="36"/>
        <v>0.01587721619</v>
      </c>
    </row>
    <row r="19">
      <c r="A19" s="253" t="str">
        <f>'Halo Infinite Stats'!A19</f>
        <v>Itzreelz</v>
      </c>
      <c r="B19" s="259">
        <f>IFERROR(VLOOKUP($A19,'Halo Infinite Stats'!$A:$AR,2,0),)</f>
        <v>19</v>
      </c>
      <c r="C19" s="259">
        <f>IFERROR(VLOOKUP($A19,'Halo Infinite Stats'!$A:$AR,5,0),)</f>
        <v>19</v>
      </c>
      <c r="D19" s="259">
        <f>IFERROR(VLOOKUP($A19,'Halo Infinite Stats'!$A:$AR,6,0),)</f>
        <v>86</v>
      </c>
      <c r="E19" s="270">
        <f>IFERROR(VLOOKUP($A19,'Halo Infinite Stats'!$A:$W,6,0),)/(IFERROR(VLOOKUP($A19,'Halo Infinite Stats'!$A:$W,12,0),)/60)</f>
        <v>0.3334194882</v>
      </c>
      <c r="F19" s="273">
        <f>IFERROR(VLOOKUP($A19,'PG+ Stats'!$A:$W,2,0),)</f>
        <v>0.07366244508</v>
      </c>
      <c r="G19" s="273">
        <f>IFERROR(VLOOKUP($A19,'PG+ Stats'!$A:$W,4,0),)</f>
        <v>0.4729904368</v>
      </c>
      <c r="H19" s="273">
        <f>IFERROR(VLOOKUP($A19,'PG+ Stats'!$A:$W,5,0),)</f>
        <v>0.07753941587</v>
      </c>
      <c r="I19" s="273" t="str">
        <f t="shared" ref="I19:L19" si="37">IF(E19&lt;Q$21,"F-",IF(E19&lt;Q$20,"F",IF(E19&lt;Q$19,"F+",IF(E19&lt;Q$18,"E-",IF(E19&lt;Q$17,"E",IF(E19&lt;Q$16,"E+",IF(E19&lt;Q$15,"D-",IF(E19&lt;Q$14,"D",IF(E19&lt;Q$13,"D+",IF(E19&lt;Q$12,"C-",IF(E19&lt;Q$11,"C",IF(E19&lt;Q$10,"C+",IF(E19&lt;Q$9,"B-",IF(E19&lt;Q$8,"B",IF(E19&lt;Q$7,"B+",IF(E19&lt;Q$6,"A-",IF(E19&lt;Q$5,"A",IF(E19&lt;Q$4,"A+",IF(E19&lt;Q$3,"S-",IF(E19&lt;Q$2,"S","S+"))))))))))))))))))))</f>
        <v>A-</v>
      </c>
      <c r="J19" s="273" t="str">
        <f t="shared" si="37"/>
        <v>A</v>
      </c>
      <c r="K19" s="273" t="str">
        <f t="shared" si="37"/>
        <v>C+</v>
      </c>
      <c r="L19" s="273" t="str">
        <f t="shared" si="37"/>
        <v>A</v>
      </c>
      <c r="M19" s="288" t="str">
        <f t="shared" si="4"/>
        <v>A+</v>
      </c>
      <c r="N19" s="289">
        <f t="shared" si="5"/>
        <v>11.825</v>
      </c>
      <c r="O19" s="445" t="s">
        <v>184</v>
      </c>
      <c r="P19" s="446">
        <v>3.0</v>
      </c>
      <c r="Q19" s="428">
        <f t="shared" ref="Q19:T19" si="38">PERCENTILE(E2:E42,0.15)</f>
        <v>0.04365753092</v>
      </c>
      <c r="R19" s="428">
        <f t="shared" si="38"/>
        <v>0.01794948502</v>
      </c>
      <c r="S19" s="428">
        <f t="shared" si="38"/>
        <v>0.2990347612</v>
      </c>
      <c r="T19" s="428">
        <f t="shared" si="38"/>
        <v>0.0146139482</v>
      </c>
    </row>
    <row r="20">
      <c r="A20" s="253" t="str">
        <f>'Halo Infinite Stats'!A20</f>
        <v>Jussshhhyyy</v>
      </c>
      <c r="B20" s="259">
        <f>IFERROR(VLOOKUP($A20,'Halo Infinite Stats'!$A:$AR,2,0),)</f>
        <v>36</v>
      </c>
      <c r="C20" s="259">
        <f>IFERROR(VLOOKUP($A20,'Halo Infinite Stats'!$A:$AR,5,0),)</f>
        <v>30</v>
      </c>
      <c r="D20" s="259">
        <f>IFERROR(VLOOKUP($A20,'Halo Infinite Stats'!$A:$AR,6,0),)</f>
        <v>177</v>
      </c>
      <c r="E20" s="270">
        <f>IFERROR(VLOOKUP($A20,'Halo Infinite Stats'!$A:$W,6,0),)/(IFERROR(VLOOKUP($A20,'Halo Infinite Stats'!$A:$W,12,0),)/60)</f>
        <v>0.3330510866</v>
      </c>
      <c r="F20" s="273">
        <f>IFERROR(VLOOKUP($A20,'PG+ Stats'!$A:$W,2,0),)</f>
        <v>0.05644933672</v>
      </c>
      <c r="G20" s="273">
        <f>IFERROR(VLOOKUP($A20,'PG+ Stats'!$A:$W,4,0),)</f>
        <v>0.9427039232</v>
      </c>
      <c r="H20" s="273">
        <f>IFERROR(VLOOKUP($A20,'PG+ Stats'!$A:$W,5,0),)</f>
        <v>0.1524132091</v>
      </c>
      <c r="I20" s="273" t="str">
        <f t="shared" ref="I20:L20" si="39">IF(E20&lt;Q$21,"F-",IF(E20&lt;Q$20,"F",IF(E20&lt;Q$19,"F+",IF(E20&lt;Q$18,"E-",IF(E20&lt;Q$17,"E",IF(E20&lt;Q$16,"E+",IF(E20&lt;Q$15,"D-",IF(E20&lt;Q$14,"D",IF(E20&lt;Q$13,"D+",IF(E20&lt;Q$12,"C-",IF(E20&lt;Q$11,"C",IF(E20&lt;Q$10,"C+",IF(E20&lt;Q$9,"B-",IF(E20&lt;Q$8,"B",IF(E20&lt;Q$7,"B+",IF(E20&lt;Q$6,"A-",IF(E20&lt;Q$5,"A",IF(E20&lt;Q$4,"A+",IF(E20&lt;Q$3,"S-",IF(E20&lt;Q$2,"S","S+"))))))))))))))))))))</f>
        <v>A-</v>
      </c>
      <c r="J20" s="273" t="str">
        <f t="shared" si="39"/>
        <v>B+</v>
      </c>
      <c r="K20" s="273" t="str">
        <f t="shared" si="39"/>
        <v>S+</v>
      </c>
      <c r="L20" s="273" t="str">
        <f t="shared" si="39"/>
        <v>S+</v>
      </c>
      <c r="M20" s="288" t="str">
        <f t="shared" si="4"/>
        <v>A</v>
      </c>
      <c r="N20" s="289">
        <f t="shared" si="5"/>
        <v>11.45</v>
      </c>
      <c r="O20" s="439" t="s">
        <v>186</v>
      </c>
      <c r="P20" s="440">
        <v>2.5</v>
      </c>
      <c r="Q20" s="451">
        <f t="shared" ref="Q20:T20" si="40">PERCENTILE(E2:E42,0.1)</f>
        <v>0.04240282686</v>
      </c>
      <c r="R20" s="451">
        <f t="shared" si="40"/>
        <v>0.01235584843</v>
      </c>
      <c r="S20" s="451">
        <f t="shared" si="40"/>
        <v>0.2215774202</v>
      </c>
      <c r="T20" s="451">
        <f t="shared" si="40"/>
        <v>0.006780810307</v>
      </c>
    </row>
    <row r="21">
      <c r="A21" s="253" t="str">
        <f>'Halo Infinite Stats'!A21</f>
        <v>KDSkill</v>
      </c>
      <c r="B21" s="259">
        <f>IFERROR(VLOOKUP($A21,'Halo Infinite Stats'!$A:$AR,2,0),)</f>
        <v>7</v>
      </c>
      <c r="C21" s="259">
        <f>IFERROR(VLOOKUP($A21,'Halo Infinite Stats'!$A:$AR,5,0),)</f>
        <v>7</v>
      </c>
      <c r="D21" s="259">
        <f>IFERROR(VLOOKUP($A21,'Halo Infinite Stats'!$A:$AR,6,0),)</f>
        <v>24</v>
      </c>
      <c r="E21" s="270">
        <f>IFERROR(VLOOKUP($A21,'Halo Infinite Stats'!$A:$W,6,0),)/(IFERROR(VLOOKUP($A21,'Halo Infinite Stats'!$A:$W,12,0),)/60)</f>
        <v>0.2740247383</v>
      </c>
      <c r="F21" s="273">
        <f>IFERROR(VLOOKUP($A21,'PG+ Stats'!$A:$W,2,0),)</f>
        <v>0.07992388202</v>
      </c>
      <c r="G21" s="273">
        <f>IFERROR(VLOOKUP($A21,'PG+ Stats'!$A:$W,4,0),)</f>
        <v>0.3653663178</v>
      </c>
      <c r="H21" s="273">
        <f>IFERROR(VLOOKUP($A21,'PG+ Stats'!$A:$W,5,0),)</f>
        <v>0</v>
      </c>
      <c r="I21" s="273" t="str">
        <f t="shared" ref="I21:L21" si="41">IF(E21&lt;Q$21,"F-",IF(E21&lt;Q$20,"F",IF(E21&lt;Q$19,"F+",IF(E21&lt;Q$18,"E-",IF(E21&lt;Q$17,"E",IF(E21&lt;Q$16,"E+",IF(E21&lt;Q$15,"D-",IF(E21&lt;Q$14,"D",IF(E21&lt;Q$13,"D+",IF(E21&lt;Q$12,"C-",IF(E21&lt;Q$11,"C",IF(E21&lt;Q$10,"C+",IF(E21&lt;Q$9,"B-",IF(E21&lt;Q$8,"B",IF(E21&lt;Q$7,"B+",IF(E21&lt;Q$6,"A-",IF(E21&lt;Q$5,"A",IF(E21&lt;Q$4,"A+",IF(E21&lt;Q$3,"S-",IF(E21&lt;Q$2,"S","S+"))))))))))))))))))))</f>
        <v>B+</v>
      </c>
      <c r="J21" s="273" t="str">
        <f t="shared" si="41"/>
        <v>A+</v>
      </c>
      <c r="K21" s="273" t="str">
        <f t="shared" si="41"/>
        <v>D-</v>
      </c>
      <c r="L21" s="273" t="str">
        <f t="shared" si="41"/>
        <v>F</v>
      </c>
      <c r="M21" s="288" t="str">
        <f t="shared" si="4"/>
        <v>A-</v>
      </c>
      <c r="N21" s="289">
        <f t="shared" si="5"/>
        <v>11.15</v>
      </c>
      <c r="O21" s="454" t="s">
        <v>188</v>
      </c>
      <c r="P21" s="456">
        <v>2.0</v>
      </c>
      <c r="Q21" s="451">
        <f t="shared" ref="Q21:T21" si="42">PERCENTILE(E2:E42,0.05)</f>
        <v>0.03290676417</v>
      </c>
      <c r="R21" s="451">
        <f t="shared" si="42"/>
        <v>0.006988120196</v>
      </c>
      <c r="S21" s="451">
        <f t="shared" si="42"/>
        <v>0.1696113074</v>
      </c>
      <c r="T21" s="451">
        <f t="shared" si="42"/>
        <v>0</v>
      </c>
    </row>
    <row r="22">
      <c r="A22" s="253" t="str">
        <f>'Halo Infinite Stats'!A22</f>
        <v>Ken Khaneki</v>
      </c>
      <c r="B22" s="259">
        <f>IFERROR(VLOOKUP($A22,'Halo Infinite Stats'!$A:$AR,2,0),)</f>
        <v>26</v>
      </c>
      <c r="C22" s="259">
        <f>IFERROR(VLOOKUP($A22,'Halo Infinite Stats'!$A:$AR,5,0),)</f>
        <v>7</v>
      </c>
      <c r="D22" s="259">
        <f>IFERROR(VLOOKUP($A22,'Halo Infinite Stats'!$A:$AR,6,0),)</f>
        <v>17</v>
      </c>
      <c r="E22" s="270">
        <f>IFERROR(VLOOKUP($A22,'Halo Infinite Stats'!$A:$W,6,0),)/(IFERROR(VLOOKUP($A22,'Halo Infinite Stats'!$A:$W,12,0),)/60)</f>
        <v>0.04359160648</v>
      </c>
      <c r="F22" s="273">
        <f>IFERROR(VLOOKUP($A22,'PG+ Stats'!$A:$W,2,0),)</f>
        <v>0.01794948502</v>
      </c>
      <c r="G22" s="273">
        <f>IFERROR(VLOOKUP($A22,'PG+ Stats'!$A:$W,4,0),)</f>
        <v>0.1948801231</v>
      </c>
      <c r="H22" s="273">
        <f>IFERROR(VLOOKUP($A22,'PG+ Stats'!$A:$W,5,0),)</f>
        <v>0.01794948502</v>
      </c>
      <c r="I22" s="273" t="str">
        <f t="shared" ref="I22:L22" si="43">IF(E22&lt;Q$21,"F-",IF(E22&lt;Q$20,"F",IF(E22&lt;Q$19,"F+",IF(E22&lt;Q$18,"E-",IF(E22&lt;Q$17,"E",IF(E22&lt;Q$16,"E+",IF(E22&lt;Q$15,"D-",IF(E22&lt;Q$14,"D",IF(E22&lt;Q$13,"D+",IF(E22&lt;Q$12,"C-",IF(E22&lt;Q$11,"C",IF(E22&lt;Q$10,"C+",IF(E22&lt;Q$9,"B-",IF(E22&lt;Q$8,"B",IF(E22&lt;Q$7,"B+",IF(E22&lt;Q$6,"A-",IF(E22&lt;Q$5,"A",IF(E22&lt;Q$4,"A+",IF(E22&lt;Q$3,"S-",IF(E22&lt;Q$2,"S","S+"))))))))))))))))))))</f>
        <v>F+</v>
      </c>
      <c r="J22" s="273" t="str">
        <f t="shared" si="43"/>
        <v>E-</v>
      </c>
      <c r="K22" s="273" t="str">
        <f t="shared" si="43"/>
        <v>F</v>
      </c>
      <c r="L22" s="273" t="str">
        <f t="shared" si="43"/>
        <v>E</v>
      </c>
      <c r="M22" s="288" t="str">
        <f t="shared" si="4"/>
        <v>F+</v>
      </c>
      <c r="N22" s="289">
        <f t="shared" si="5"/>
        <v>3.175</v>
      </c>
      <c r="O22" s="462" t="s">
        <v>190</v>
      </c>
      <c r="P22" s="456">
        <v>1.5</v>
      </c>
      <c r="Q22" s="451">
        <f t="shared" ref="Q22:T22" si="44">PERCENTILE(E2:E42,0)</f>
        <v>0.02649675099</v>
      </c>
      <c r="R22" s="451">
        <f t="shared" si="44"/>
        <v>0</v>
      </c>
      <c r="S22" s="451">
        <f t="shared" si="44"/>
        <v>0.1317027281</v>
      </c>
      <c r="T22" s="451">
        <f t="shared" si="44"/>
        <v>0</v>
      </c>
    </row>
    <row r="23">
      <c r="A23" s="253" t="str">
        <f>'Halo Infinite Stats'!A23</f>
        <v>Mavbrid</v>
      </c>
      <c r="B23" s="259">
        <f>IFERROR(VLOOKUP($A23,'Halo Infinite Stats'!$A:$AR,2,0),)</f>
        <v>30</v>
      </c>
      <c r="C23" s="259">
        <f>IFERROR(VLOOKUP($A23,'Halo Infinite Stats'!$A:$AR,5,0),)</f>
        <v>62</v>
      </c>
      <c r="D23" s="259">
        <f>IFERROR(VLOOKUP($A23,'Halo Infinite Stats'!$A:$AR,6,0),)</f>
        <v>355</v>
      </c>
      <c r="E23" s="270">
        <f>IFERROR(VLOOKUP($A23,'Halo Infinite Stats'!$A:$W,6,0),)/(IFERROR(VLOOKUP($A23,'Halo Infinite Stats'!$A:$W,12,0),)/60)</f>
        <v>0.8651502843</v>
      </c>
      <c r="F23" s="273">
        <f>IFERROR(VLOOKUP($A23,'PG+ Stats'!$A:$W,2,0),)</f>
        <v>0.1510966694</v>
      </c>
      <c r="G23" s="273">
        <f>IFERROR(VLOOKUP($A23,'PG+ Stats'!$A:$W,4,0),)</f>
        <v>0.6580016247</v>
      </c>
      <c r="H23" s="273">
        <f>IFERROR(VLOOKUP($A23,'PG+ Stats'!$A:$W,5,0),)</f>
        <v>0.09748172218</v>
      </c>
      <c r="I23" s="273" t="str">
        <f t="shared" ref="I23:L23" si="45">IF(E23&lt;Q$21,"F-",IF(E23&lt;Q$20,"F",IF(E23&lt;Q$19,"F+",IF(E23&lt;Q$18,"E-",IF(E23&lt;Q$17,"E",IF(E23&lt;Q$16,"E+",IF(E23&lt;Q$15,"D-",IF(E23&lt;Q$14,"D",IF(E23&lt;Q$13,"D+",IF(E23&lt;Q$12,"C-",IF(E23&lt;Q$11,"C",IF(E23&lt;Q$10,"C+",IF(E23&lt;Q$9,"B-",IF(E23&lt;Q$8,"B",IF(E23&lt;Q$7,"B+",IF(E23&lt;Q$6,"A-",IF(E23&lt;Q$5,"A",IF(E23&lt;Q$4,"A+",IF(E23&lt;Q$3,"S-",IF(E23&lt;Q$2,"S","S+"))))))))))))))))))))</f>
        <v>S</v>
      </c>
      <c r="J23" s="273" t="str">
        <f t="shared" si="45"/>
        <v>S</v>
      </c>
      <c r="K23" s="273" t="str">
        <f t="shared" si="45"/>
        <v>A+</v>
      </c>
      <c r="L23" s="273" t="str">
        <f t="shared" si="45"/>
        <v>S-</v>
      </c>
      <c r="M23" s="288" t="str">
        <f t="shared" si="4"/>
        <v>S</v>
      </c>
      <c r="N23" s="289">
        <f t="shared" si="5"/>
        <v>14.075</v>
      </c>
      <c r="O23" s="454" t="s">
        <v>191</v>
      </c>
      <c r="P23" s="456">
        <v>1.0</v>
      </c>
      <c r="Q23" s="466" t="s">
        <v>192</v>
      </c>
      <c r="R23" s="284"/>
      <c r="S23" s="284"/>
      <c r="T23" s="284"/>
    </row>
    <row r="24">
      <c r="A24" s="253" t="str">
        <f>'Halo Infinite Stats'!A24</f>
        <v>Memorized</v>
      </c>
      <c r="B24" s="259">
        <f>IFERROR(VLOOKUP($A24,'Halo Infinite Stats'!$A:$AR,2,0),)</f>
        <v>20</v>
      </c>
      <c r="C24" s="259">
        <f>IFERROR(VLOOKUP($A24,'Halo Infinite Stats'!$A:$AR,5,0),)</f>
        <v>2</v>
      </c>
      <c r="D24" s="259">
        <f>IFERROR(VLOOKUP($A24,'Halo Infinite Stats'!$A:$AR,6,0),)</f>
        <v>8</v>
      </c>
      <c r="E24" s="270">
        <f>IFERROR(VLOOKUP($A24,'Halo Infinite Stats'!$A:$W,6,0),)/(IFERROR(VLOOKUP($A24,'Halo Infinite Stats'!$A:$W,12,0),)/60)</f>
        <v>0.02795248078</v>
      </c>
      <c r="F24" s="273">
        <f>IFERROR(VLOOKUP($A24,'PG+ Stats'!$A:$W,2,0),)</f>
        <v>0.006988120196</v>
      </c>
      <c r="G24" s="273">
        <f>IFERROR(VLOOKUP($A24,'PG+ Stats'!$A:$W,4,0),)</f>
        <v>0.4402515723</v>
      </c>
      <c r="H24" s="273">
        <f>IFERROR(VLOOKUP($A24,'PG+ Stats'!$A:$W,5,0),)</f>
        <v>0.03494060098</v>
      </c>
      <c r="I24" s="273" t="str">
        <f t="shared" ref="I24:L24" si="46">IF(E24&lt;Q$21,"F-",IF(E24&lt;Q$20,"F",IF(E24&lt;Q$19,"F+",IF(E24&lt;Q$18,"E-",IF(E24&lt;Q$17,"E",IF(E24&lt;Q$16,"E+",IF(E24&lt;Q$15,"D-",IF(E24&lt;Q$14,"D",IF(E24&lt;Q$13,"D+",IF(E24&lt;Q$12,"C-",IF(E24&lt;Q$11,"C",IF(E24&lt;Q$10,"C+",IF(E24&lt;Q$9,"B-",IF(E24&lt;Q$8,"B",IF(E24&lt;Q$7,"B+",IF(E24&lt;Q$6,"A-",IF(E24&lt;Q$5,"A",IF(E24&lt;Q$4,"A+",IF(E24&lt;Q$3,"S-",IF(E24&lt;Q$2,"S","S+"))))))))))))))))))))</f>
        <v>F-</v>
      </c>
      <c r="J24" s="273" t="str">
        <f t="shared" si="46"/>
        <v>F</v>
      </c>
      <c r="K24" s="273" t="str">
        <f t="shared" si="46"/>
        <v>C-</v>
      </c>
      <c r="L24" s="273" t="str">
        <f t="shared" si="46"/>
        <v>C-</v>
      </c>
      <c r="M24" s="288" t="str">
        <f t="shared" si="4"/>
        <v>F</v>
      </c>
      <c r="N24" s="289">
        <f t="shared" si="5"/>
        <v>2.425</v>
      </c>
      <c r="O24" s="11"/>
      <c r="P24" s="11"/>
      <c r="Q24" s="284"/>
      <c r="R24" s="284"/>
      <c r="S24" s="284"/>
      <c r="T24" s="284"/>
    </row>
    <row r="25">
      <c r="A25" s="253" t="str">
        <f>'Halo Infinite Stats'!A25</f>
        <v>Mr epic beast</v>
      </c>
      <c r="B25" s="259">
        <f>IFERROR(VLOOKUP($A25,'Halo Infinite Stats'!$A:$AR,2,0),)</f>
        <v>18</v>
      </c>
      <c r="C25" s="259">
        <f>IFERROR(VLOOKUP($A25,'Halo Infinite Stats'!$A:$AR,5,0),)</f>
        <v>9</v>
      </c>
      <c r="D25" s="259">
        <f>IFERROR(VLOOKUP($A25,'Halo Infinite Stats'!$A:$AR,6,0),)</f>
        <v>95</v>
      </c>
      <c r="E25" s="270">
        <f>IFERROR(VLOOKUP($A25,'Halo Infinite Stats'!$A:$W,6,0),)/(IFERROR(VLOOKUP($A25,'Halo Infinite Stats'!$A:$W,12,0),)/60)</f>
        <v>0.3859696641</v>
      </c>
      <c r="F25" s="273">
        <f>IFERROR(VLOOKUP($A25,'PG+ Stats'!$A:$W,2,0),)</f>
        <v>0.03656554713</v>
      </c>
      <c r="G25" s="273">
        <f>IFERROR(VLOOKUP($A25,'PG+ Stats'!$A:$W,4,0),)</f>
        <v>0.4509750813</v>
      </c>
      <c r="H25" s="273">
        <f>IFERROR(VLOOKUP($A25,'PG+ Stats'!$A:$W,5,0),)</f>
        <v>0.05687973998</v>
      </c>
      <c r="I25" s="273" t="str">
        <f t="shared" ref="I25:L25" si="47">IF(E25&lt;Q$21,"F-",IF(E25&lt;Q$20,"F",IF(E25&lt;Q$19,"F+",IF(E25&lt;Q$18,"E-",IF(E25&lt;Q$17,"E",IF(E25&lt;Q$16,"E+",IF(E25&lt;Q$15,"D-",IF(E25&lt;Q$14,"D",IF(E25&lt;Q$13,"D+",IF(E25&lt;Q$12,"C-",IF(E25&lt;Q$11,"C",IF(E25&lt;Q$10,"C+",IF(E25&lt;Q$9,"B-",IF(E25&lt;Q$8,"B",IF(E25&lt;Q$7,"B+",IF(E25&lt;Q$6,"A-",IF(E25&lt;Q$5,"A",IF(E25&lt;Q$4,"A+",IF(E25&lt;Q$3,"S-",IF(E25&lt;Q$2,"S","S+"))))))))))))))))))))</f>
        <v>A+</v>
      </c>
      <c r="J25" s="273" t="str">
        <f t="shared" si="47"/>
        <v>C-</v>
      </c>
      <c r="K25" s="273" t="str">
        <f t="shared" si="47"/>
        <v>C</v>
      </c>
      <c r="L25" s="273" t="str">
        <f t="shared" si="47"/>
        <v>B+</v>
      </c>
      <c r="M25" s="288" t="str">
        <f t="shared" si="4"/>
        <v>B-</v>
      </c>
      <c r="N25" s="289">
        <f t="shared" si="5"/>
        <v>9.3</v>
      </c>
      <c r="O25" s="480" t="s">
        <v>150</v>
      </c>
      <c r="P25" s="482">
        <f>PERCENTILE($N$2:$N$42,1)</f>
        <v>14.3</v>
      </c>
      <c r="Q25" s="284"/>
      <c r="R25" s="284"/>
      <c r="S25" s="284"/>
      <c r="T25" s="284"/>
    </row>
    <row r="26">
      <c r="A26" s="253" t="str">
        <f>'Halo Infinite Stats'!A26</f>
        <v>MuNgO PuNgO</v>
      </c>
      <c r="B26" s="259">
        <f>IFERROR(VLOOKUP($A26,'Halo Infinite Stats'!$A:$AR,2,0),)</f>
        <v>21</v>
      </c>
      <c r="C26" s="259">
        <f>IFERROR(VLOOKUP($A26,'Halo Infinite Stats'!$A:$AR,5,0),)</f>
        <v>31</v>
      </c>
      <c r="D26" s="259">
        <f>IFERROR(VLOOKUP($A26,'Halo Infinite Stats'!$A:$AR,6,0),)</f>
        <v>135</v>
      </c>
      <c r="E26" s="270">
        <f>IFERROR(VLOOKUP($A26,'Halo Infinite Stats'!$A:$W,6,0),)/(IFERROR(VLOOKUP($A26,'Halo Infinite Stats'!$A:$W,12,0),)/60)</f>
        <v>0.4854950851</v>
      </c>
      <c r="F26" s="273">
        <f>IFERROR(VLOOKUP($A26,'PG+ Stats'!$A:$W,2,0),)</f>
        <v>0.1114840566</v>
      </c>
      <c r="G26" s="273">
        <f>IFERROR(VLOOKUP($A26,'PG+ Stats'!$A:$W,4,0),)</f>
        <v>0.553824023</v>
      </c>
      <c r="H26" s="273">
        <f>IFERROR(VLOOKUP($A26,'PG+ Stats'!$A:$W,5,0),)</f>
        <v>0.03955885879</v>
      </c>
      <c r="I26" s="273" t="str">
        <f t="shared" ref="I26:L26" si="48">IF(E26&lt;Q$21,"F-",IF(E26&lt;Q$20,"F",IF(E26&lt;Q$19,"F+",IF(E26&lt;Q$18,"E-",IF(E26&lt;Q$17,"E",IF(E26&lt;Q$16,"E+",IF(E26&lt;Q$15,"D-",IF(E26&lt;Q$14,"D",IF(E26&lt;Q$13,"D+",IF(E26&lt;Q$12,"C-",IF(E26&lt;Q$11,"C",IF(E26&lt;Q$10,"C+",IF(E26&lt;Q$9,"B-",IF(E26&lt;Q$8,"B",IF(E26&lt;Q$7,"B+",IF(E26&lt;Q$6,"A-",IF(E26&lt;Q$5,"A",IF(E26&lt;Q$4,"A+",IF(E26&lt;Q$3,"S-",IF(E26&lt;Q$2,"S","S+"))))))))))))))))))))</f>
        <v>S-</v>
      </c>
      <c r="J26" s="273" t="str">
        <f t="shared" si="48"/>
        <v>A+</v>
      </c>
      <c r="K26" s="273" t="str">
        <f t="shared" si="48"/>
        <v>A-</v>
      </c>
      <c r="L26" s="273" t="str">
        <f t="shared" si="48"/>
        <v>C</v>
      </c>
      <c r="M26" s="288" t="str">
        <f t="shared" si="4"/>
        <v>A+</v>
      </c>
      <c r="N26" s="289">
        <f t="shared" si="5"/>
        <v>12.625</v>
      </c>
      <c r="O26" s="491" t="s">
        <v>152</v>
      </c>
      <c r="P26" s="482">
        <f>PERCENTILE($N$2:$N$42,0.95)</f>
        <v>13.7</v>
      </c>
      <c r="Q26" s="284"/>
      <c r="R26" s="284"/>
      <c r="S26" s="284"/>
      <c r="T26" s="284"/>
    </row>
    <row r="27">
      <c r="A27" s="253" t="str">
        <f>'Halo Infinite Stats'!A27</f>
        <v>MysticalNovice</v>
      </c>
      <c r="B27" s="259">
        <f>IFERROR(VLOOKUP($A27,'Halo Infinite Stats'!$A:$AR,2,0),)</f>
        <v>17</v>
      </c>
      <c r="C27" s="259">
        <f>IFERROR(VLOOKUP($A27,'Halo Infinite Stats'!$A:$AR,5,0),)</f>
        <v>31</v>
      </c>
      <c r="D27" s="259">
        <f>IFERROR(VLOOKUP($A27,'Halo Infinite Stats'!$A:$AR,6,0),)</f>
        <v>82</v>
      </c>
      <c r="E27" s="270">
        <f>IFERROR(VLOOKUP($A27,'Halo Infinite Stats'!$A:$W,6,0),)/(IFERROR(VLOOKUP($A27,'Halo Infinite Stats'!$A:$W,12,0),)/60)</f>
        <v>0.3561346363</v>
      </c>
      <c r="F27" s="273">
        <f>IFERROR(VLOOKUP($A27,'PG+ Stats'!$A:$W,2,0),)</f>
        <v>0.1346362649</v>
      </c>
      <c r="G27" s="273">
        <f>IFERROR(VLOOKUP($A27,'PG+ Stats'!$A:$W,4,0),)</f>
        <v>0.8078175896</v>
      </c>
      <c r="H27" s="273">
        <f>IFERROR(VLOOKUP($A27,'PG+ Stats'!$A:$W,5,0),)</f>
        <v>0.1042345277</v>
      </c>
      <c r="I27" s="273" t="str">
        <f t="shared" ref="I27:L27" si="49">IF(E27&lt;Q$21,"F-",IF(E27&lt;Q$20,"F",IF(E27&lt;Q$19,"F+",IF(E27&lt;Q$18,"E-",IF(E27&lt;Q$17,"E",IF(E27&lt;Q$16,"E+",IF(E27&lt;Q$15,"D-",IF(E27&lt;Q$14,"D",IF(E27&lt;Q$13,"D+",IF(E27&lt;Q$12,"C-",IF(E27&lt;Q$11,"C",IF(E27&lt;Q$10,"C+",IF(E27&lt;Q$9,"B-",IF(E27&lt;Q$8,"B",IF(E27&lt;Q$7,"B+",IF(E27&lt;Q$6,"A-",IF(E27&lt;Q$5,"A",IF(E27&lt;Q$4,"A+",IF(E27&lt;Q$3,"S-",IF(E27&lt;Q$2,"S","S+"))))))))))))))))))))</f>
        <v>A</v>
      </c>
      <c r="J27" s="273" t="str">
        <f t="shared" si="49"/>
        <v>S-</v>
      </c>
      <c r="K27" s="273" t="str">
        <f t="shared" si="49"/>
        <v>S</v>
      </c>
      <c r="L27" s="273" t="str">
        <f t="shared" si="49"/>
        <v>S-</v>
      </c>
      <c r="M27" s="288" t="str">
        <f t="shared" si="4"/>
        <v>S-</v>
      </c>
      <c r="N27" s="289">
        <f t="shared" si="5"/>
        <v>13.125</v>
      </c>
      <c r="O27" s="480" t="s">
        <v>154</v>
      </c>
      <c r="P27" s="482">
        <f>PERCENTILE($N$2:$N$42,0.9)</f>
        <v>13.125</v>
      </c>
      <c r="Q27" s="284"/>
      <c r="R27" s="284"/>
      <c r="S27" s="284"/>
      <c r="T27" s="284"/>
    </row>
    <row r="28">
      <c r="A28" s="253" t="str">
        <f>'Halo Infinite Stats'!A28</f>
        <v>NOPLEX</v>
      </c>
      <c r="B28" s="259">
        <f>IFERROR(VLOOKUP($A28,'Halo Infinite Stats'!$A:$AR,2,0),)</f>
        <v>22</v>
      </c>
      <c r="C28" s="259">
        <f>IFERROR(VLOOKUP($A28,'Halo Infinite Stats'!$A:$AR,5,0),)</f>
        <v>13</v>
      </c>
      <c r="D28" s="259">
        <f>IFERROR(VLOOKUP($A28,'Halo Infinite Stats'!$A:$AR,6,0),)</f>
        <v>23</v>
      </c>
      <c r="E28" s="270">
        <f>IFERROR(VLOOKUP($A28,'Halo Infinite Stats'!$A:$W,6,0),)/(IFERROR(VLOOKUP($A28,'Halo Infinite Stats'!$A:$W,12,0),)/60)</f>
        <v>0.07040816327</v>
      </c>
      <c r="F28" s="273">
        <f>IFERROR(VLOOKUP($A28,'PG+ Stats'!$A:$W,2,0),)</f>
        <v>0.03979591837</v>
      </c>
      <c r="G28" s="273">
        <f>IFERROR(VLOOKUP($A28,'PG+ Stats'!$A:$W,4,0),)</f>
        <v>0.3030612245</v>
      </c>
      <c r="H28" s="273">
        <f>IFERROR(VLOOKUP($A28,'PG+ Stats'!$A:$W,5,0),)</f>
        <v>0.02755102041</v>
      </c>
      <c r="I28" s="273" t="str">
        <f t="shared" ref="I28:L28" si="50">IF(E28&lt;Q$21,"F-",IF(E28&lt;Q$20,"F",IF(E28&lt;Q$19,"F+",IF(E28&lt;Q$18,"E-",IF(E28&lt;Q$17,"E",IF(E28&lt;Q$16,"E+",IF(E28&lt;Q$15,"D-",IF(E28&lt;Q$14,"D",IF(E28&lt;Q$13,"D+",IF(E28&lt;Q$12,"C-",IF(E28&lt;Q$11,"C",IF(E28&lt;Q$10,"C+",IF(E28&lt;Q$9,"B-",IF(E28&lt;Q$8,"B",IF(E28&lt;Q$7,"B+",IF(E28&lt;Q$6,"A-",IF(E28&lt;Q$5,"A",IF(E28&lt;Q$4,"A+",IF(E28&lt;Q$3,"S-",IF(E28&lt;Q$2,"S","S+"))))))))))))))))))))</f>
        <v>E+</v>
      </c>
      <c r="J28" s="273" t="str">
        <f t="shared" si="50"/>
        <v>C-</v>
      </c>
      <c r="K28" s="273" t="str">
        <f t="shared" si="50"/>
        <v>E-</v>
      </c>
      <c r="L28" s="273" t="str">
        <f t="shared" si="50"/>
        <v>D</v>
      </c>
      <c r="M28" s="288" t="str">
        <f t="shared" si="4"/>
        <v>D</v>
      </c>
      <c r="N28" s="289">
        <f t="shared" si="5"/>
        <v>6.375</v>
      </c>
      <c r="O28" s="501" t="s">
        <v>156</v>
      </c>
      <c r="P28" s="503">
        <f>PERCENTILE($N$2:$N$42,0.85)</f>
        <v>11.825</v>
      </c>
      <c r="Q28" s="284"/>
      <c r="R28" s="284"/>
      <c r="S28" s="284"/>
      <c r="T28" s="284"/>
    </row>
    <row r="29">
      <c r="A29" s="253" t="str">
        <f>'Halo Infinite Stats'!A29</f>
        <v>oh zilly</v>
      </c>
      <c r="B29" s="259">
        <f>IFERROR(VLOOKUP($A29,'Halo Infinite Stats'!$A:$AR,2,0),)</f>
        <v>16</v>
      </c>
      <c r="C29" s="259">
        <f>IFERROR(VLOOKUP($A29,'Halo Infinite Stats'!$A:$AR,5,0),)</f>
        <v>13</v>
      </c>
      <c r="D29" s="259">
        <f>IFERROR(VLOOKUP($A29,'Halo Infinite Stats'!$A:$AR,6,0),)</f>
        <v>25</v>
      </c>
      <c r="E29" s="270">
        <f>IFERROR(VLOOKUP($A29,'Halo Infinite Stats'!$A:$W,6,0),)/(IFERROR(VLOOKUP($A29,'Halo Infinite Stats'!$A:$W,12,0),)/60)</f>
        <v>0.1013513514</v>
      </c>
      <c r="F29" s="273">
        <f>IFERROR(VLOOKUP($A29,'PG+ Stats'!$A:$W,2,0),)</f>
        <v>0.0527027027</v>
      </c>
      <c r="G29" s="273">
        <f>IFERROR(VLOOKUP($A29,'PG+ Stats'!$A:$W,4,0),)</f>
        <v>0.5027027027</v>
      </c>
      <c r="H29" s="273">
        <f>IFERROR(VLOOKUP($A29,'PG+ Stats'!$A:$W,5,0),)</f>
        <v>0.06891891892</v>
      </c>
      <c r="I29" s="273" t="str">
        <f t="shared" ref="I29:L29" si="51">IF(E29&lt;Q$21,"F-",IF(E29&lt;Q$20,"F",IF(E29&lt;Q$19,"F+",IF(E29&lt;Q$18,"E-",IF(E29&lt;Q$17,"E",IF(E29&lt;Q$16,"E+",IF(E29&lt;Q$15,"D-",IF(E29&lt;Q$14,"D",IF(E29&lt;Q$13,"D+",IF(E29&lt;Q$12,"C-",IF(E29&lt;Q$11,"C",IF(E29&lt;Q$10,"C+",IF(E29&lt;Q$9,"B-",IF(E29&lt;Q$8,"B",IF(E29&lt;Q$7,"B+",IF(E29&lt;Q$6,"A-",IF(E29&lt;Q$5,"A",IF(E29&lt;Q$4,"A+",IF(E29&lt;Q$3,"S-",IF(E29&lt;Q$2,"S","S+"))))))))))))))))))))</f>
        <v>D+</v>
      </c>
      <c r="J29" s="273" t="str">
        <f t="shared" si="51"/>
        <v>B</v>
      </c>
      <c r="K29" s="273" t="str">
        <f t="shared" si="51"/>
        <v>B</v>
      </c>
      <c r="L29" s="273" t="str">
        <f t="shared" si="51"/>
        <v>A</v>
      </c>
      <c r="M29" s="288" t="str">
        <f t="shared" si="4"/>
        <v>B-</v>
      </c>
      <c r="N29" s="289">
        <f t="shared" si="5"/>
        <v>9.275</v>
      </c>
      <c r="O29" s="508" t="s">
        <v>158</v>
      </c>
      <c r="P29" s="509">
        <f>PERCENTILE($N$2:$N$42,0.8)</f>
        <v>11.35</v>
      </c>
      <c r="Q29" s="284"/>
      <c r="R29" s="284"/>
      <c r="S29" s="284"/>
      <c r="T29" s="284"/>
    </row>
    <row r="30">
      <c r="A30" s="253" t="str">
        <f>'Halo Infinite Stats'!A30</f>
        <v>OREOTHECAT</v>
      </c>
      <c r="B30" s="259">
        <f>IFERROR(VLOOKUP($A30,'Halo Infinite Stats'!$A:$AR,2,0),)</f>
        <v>16</v>
      </c>
      <c r="C30" s="259">
        <f>IFERROR(VLOOKUP($A30,'Halo Infinite Stats'!$A:$AR,5,0),)</f>
        <v>4</v>
      </c>
      <c r="D30" s="259">
        <f>IFERROR(VLOOKUP($A30,'Halo Infinite Stats'!$A:$AR,6,0),)</f>
        <v>16</v>
      </c>
      <c r="E30" s="270">
        <f>IFERROR(VLOOKUP($A30,'Halo Infinite Stats'!$A:$W,6,0),)/(IFERROR(VLOOKUP($A30,'Halo Infinite Stats'!$A:$W,12,0),)/60)</f>
        <v>0.08030784675</v>
      </c>
      <c r="F30" s="273">
        <f>IFERROR(VLOOKUP($A30,'PG+ Stats'!$A:$W,2,0),)</f>
        <v>0.02007696169</v>
      </c>
      <c r="G30" s="273">
        <f>IFERROR(VLOOKUP($A30,'PG+ Stats'!$A:$W,4,0),)</f>
        <v>0.1355194914</v>
      </c>
      <c r="H30" s="273">
        <f>IFERROR(VLOOKUP($A30,'PG+ Stats'!$A:$W,5,0),)</f>
        <v>0.005019240422</v>
      </c>
      <c r="I30" s="273" t="str">
        <f t="shared" ref="I30:L30" si="52">IF(E30&lt;Q$21,"F-",IF(E30&lt;Q$20,"F",IF(E30&lt;Q$19,"F+",IF(E30&lt;Q$18,"E-",IF(E30&lt;Q$17,"E",IF(E30&lt;Q$16,"E+",IF(E30&lt;Q$15,"D-",IF(E30&lt;Q$14,"D",IF(E30&lt;Q$13,"D+",IF(E30&lt;Q$12,"C-",IF(E30&lt;Q$11,"C",IF(E30&lt;Q$10,"C+",IF(E30&lt;Q$9,"B-",IF(E30&lt;Q$8,"B",IF(E30&lt;Q$7,"B+",IF(E30&lt;Q$6,"A-",IF(E30&lt;Q$5,"A",IF(E30&lt;Q$4,"A+",IF(E30&lt;Q$3,"S-",IF(E30&lt;Q$2,"S","S+"))))))))))))))))))))</f>
        <v>D</v>
      </c>
      <c r="J30" s="273" t="str">
        <f t="shared" si="52"/>
        <v>E</v>
      </c>
      <c r="K30" s="273" t="str">
        <f t="shared" si="52"/>
        <v>F-</v>
      </c>
      <c r="L30" s="273" t="str">
        <f t="shared" si="52"/>
        <v>F</v>
      </c>
      <c r="M30" s="288" t="str">
        <f t="shared" si="4"/>
        <v>E-</v>
      </c>
      <c r="N30" s="289">
        <f t="shared" si="5"/>
        <v>4.4</v>
      </c>
      <c r="O30" s="501" t="s">
        <v>159</v>
      </c>
      <c r="P30" s="503">
        <f>PERCENTILE($N$2:$N$42,0.75)</f>
        <v>11</v>
      </c>
      <c r="Q30" s="284"/>
      <c r="R30" s="284"/>
      <c r="S30" s="284"/>
      <c r="T30" s="284"/>
    </row>
    <row r="31">
      <c r="A31" s="253" t="str">
        <f>'Halo Infinite Stats'!A31</f>
        <v>Pd Craig 69</v>
      </c>
      <c r="B31" s="259">
        <f>IFERROR(VLOOKUP($A31,'Halo Infinite Stats'!$A:$AR,2,0),)</f>
        <v>5</v>
      </c>
      <c r="C31" s="259">
        <f>IFERROR(VLOOKUP($A31,'Halo Infinite Stats'!$A:$AR,5,0),)</f>
        <v>1</v>
      </c>
      <c r="D31" s="259">
        <f>IFERROR(VLOOKUP($A31,'Halo Infinite Stats'!$A:$AR,6,0),)</f>
        <v>2</v>
      </c>
      <c r="E31" s="270">
        <f>IFERROR(VLOOKUP($A31,'Halo Infinite Stats'!$A:$W,6,0),)/(IFERROR(VLOOKUP($A31,'Halo Infinite Stats'!$A:$W,12,0),)/60)</f>
        <v>0.03762935089</v>
      </c>
      <c r="F31" s="273">
        <f>IFERROR(VLOOKUP($A31,'PG+ Stats'!$A:$W,2,0),)</f>
        <v>0.01881467545</v>
      </c>
      <c r="G31" s="273">
        <f>IFERROR(VLOOKUP($A31,'PG+ Stats'!$A:$W,4,0),)</f>
        <v>0.1317027281</v>
      </c>
      <c r="H31" s="273">
        <f>IFERROR(VLOOKUP($A31,'PG+ Stats'!$A:$W,5,0),)</f>
        <v>0.05644402634</v>
      </c>
      <c r="I31" s="273" t="str">
        <f t="shared" ref="I31:L31" si="53">IF(E31&lt;Q$21,"F-",IF(E31&lt;Q$20,"F",IF(E31&lt;Q$19,"F+",IF(E31&lt;Q$18,"E-",IF(E31&lt;Q$17,"E",IF(E31&lt;Q$16,"E+",IF(E31&lt;Q$15,"D-",IF(E31&lt;Q$14,"D",IF(E31&lt;Q$13,"D+",IF(E31&lt;Q$12,"C-",IF(E31&lt;Q$11,"C",IF(E31&lt;Q$10,"C+",IF(E31&lt;Q$9,"B-",IF(E31&lt;Q$8,"B",IF(E31&lt;Q$7,"B+",IF(E31&lt;Q$6,"A-",IF(E31&lt;Q$5,"A",IF(E31&lt;Q$4,"A+",IF(E31&lt;Q$3,"S-",IF(E31&lt;Q$2,"S","S+"))))))))))))))))))))</f>
        <v>F</v>
      </c>
      <c r="J31" s="273" t="str">
        <f t="shared" si="53"/>
        <v>E-</v>
      </c>
      <c r="K31" s="273" t="str">
        <f t="shared" si="53"/>
        <v>F-</v>
      </c>
      <c r="L31" s="273" t="str">
        <f t="shared" si="53"/>
        <v>B+</v>
      </c>
      <c r="M31" s="288" t="str">
        <f t="shared" si="4"/>
        <v>F+</v>
      </c>
      <c r="N31" s="289">
        <f t="shared" si="5"/>
        <v>3.45</v>
      </c>
      <c r="O31" s="518" t="s">
        <v>161</v>
      </c>
      <c r="P31" s="520">
        <f>PERCENTILE($N$2:$N$42,0.7)</f>
        <v>9.95</v>
      </c>
      <c r="Q31" s="284"/>
      <c r="R31" s="284"/>
      <c r="S31" s="284"/>
      <c r="T31" s="284"/>
    </row>
    <row r="32">
      <c r="A32" s="253" t="str">
        <f>'Halo Infinite Stats'!A32</f>
        <v>Priest XYZ</v>
      </c>
      <c r="B32" s="259">
        <f>IFERROR(VLOOKUP($A32,'Halo Infinite Stats'!$A:$AR,2,0),)</f>
        <v>24</v>
      </c>
      <c r="C32" s="259">
        <f>IFERROR(VLOOKUP($A32,'Halo Infinite Stats'!$A:$AR,5,0),)</f>
        <v>7</v>
      </c>
      <c r="D32" s="259">
        <f>IFERROR(VLOOKUP($A32,'Halo Infinite Stats'!$A:$AR,6,0),)</f>
        <v>15</v>
      </c>
      <c r="E32" s="270">
        <f>IFERROR(VLOOKUP($A32,'Halo Infinite Stats'!$A:$W,6,0),)/(IFERROR(VLOOKUP($A32,'Halo Infinite Stats'!$A:$W,12,0),)/60)</f>
        <v>0.04365753092</v>
      </c>
      <c r="F32" s="273">
        <f>IFERROR(VLOOKUP($A32,'PG+ Stats'!$A:$W,2,0),)</f>
        <v>0.02037351443</v>
      </c>
      <c r="G32" s="273">
        <f>IFERROR(VLOOKUP($A32,'PG+ Stats'!$A:$W,4,0),)</f>
        <v>0.3958282804</v>
      </c>
      <c r="H32" s="273">
        <f>IFERROR(VLOOKUP($A32,'PG+ Stats'!$A:$W,5,0),)</f>
        <v>0.02619451855</v>
      </c>
      <c r="I32" s="273" t="str">
        <f t="shared" ref="I32:L32" si="54">IF(E32&lt;Q$21,"F-",IF(E32&lt;Q$20,"F",IF(E32&lt;Q$19,"F+",IF(E32&lt;Q$18,"E-",IF(E32&lt;Q$17,"E",IF(E32&lt;Q$16,"E+",IF(E32&lt;Q$15,"D-",IF(E32&lt;Q$14,"D",IF(E32&lt;Q$13,"D+",IF(E32&lt;Q$12,"C-",IF(E32&lt;Q$11,"C",IF(E32&lt;Q$10,"C+",IF(E32&lt;Q$9,"B-",IF(E32&lt;Q$8,"B",IF(E32&lt;Q$7,"B+",IF(E32&lt;Q$6,"A-",IF(E32&lt;Q$5,"A",IF(E32&lt;Q$4,"A+",IF(E32&lt;Q$3,"S-",IF(E32&lt;Q$2,"S","S+"))))))))))))))))))))</f>
        <v>E-</v>
      </c>
      <c r="J32" s="273" t="str">
        <f t="shared" si="54"/>
        <v>E+</v>
      </c>
      <c r="K32" s="273" t="str">
        <f t="shared" si="54"/>
        <v>D</v>
      </c>
      <c r="L32" s="273" t="str">
        <f t="shared" si="54"/>
        <v>D</v>
      </c>
      <c r="M32" s="288" t="str">
        <f t="shared" si="4"/>
        <v>E</v>
      </c>
      <c r="N32" s="289">
        <f t="shared" si="5"/>
        <v>4.475</v>
      </c>
      <c r="O32" s="522" t="s">
        <v>164</v>
      </c>
      <c r="P32" s="523">
        <f>PERCENTILE($N$2:$N$42,0.65)</f>
        <v>9.525</v>
      </c>
      <c r="Q32" s="284"/>
      <c r="R32" s="284"/>
      <c r="S32" s="284"/>
      <c r="T32" s="284"/>
    </row>
    <row r="33">
      <c r="A33" s="253" t="str">
        <f>'Halo Infinite Stats'!A33</f>
        <v>Ram Osneb</v>
      </c>
      <c r="B33" s="259">
        <f>IFERROR(VLOOKUP($A33,'Halo Infinite Stats'!$A:$AR,2,0),)</f>
        <v>15</v>
      </c>
      <c r="C33" s="259">
        <f>IFERROR(VLOOKUP($A33,'Halo Infinite Stats'!$A:$AR,5,0),)</f>
        <v>6</v>
      </c>
      <c r="D33" s="259">
        <f>IFERROR(VLOOKUP($A33,'Halo Infinite Stats'!$A:$AR,6,0),)</f>
        <v>15</v>
      </c>
      <c r="E33" s="270">
        <f>IFERROR(VLOOKUP($A33,'Halo Infinite Stats'!$A:$W,6,0),)/(IFERROR(VLOOKUP($A33,'Halo Infinite Stats'!$A:$W,12,0),)/60)</f>
        <v>0.07653061224</v>
      </c>
      <c r="F33" s="273">
        <f>IFERROR(VLOOKUP($A33,'PG+ Stats'!$A:$W,2,0),)</f>
        <v>0.0306122449</v>
      </c>
      <c r="G33" s="273">
        <f>IFERROR(VLOOKUP($A33,'PG+ Stats'!$A:$W,4,0),)</f>
        <v>0.3316326531</v>
      </c>
      <c r="H33" s="273">
        <f>IFERROR(VLOOKUP($A33,'PG+ Stats'!$A:$W,5,0),)</f>
        <v>0</v>
      </c>
      <c r="I33" s="273" t="str">
        <f t="shared" ref="I33:L33" si="55">IF(E33&lt;Q$21,"F-",IF(E33&lt;Q$20,"F",IF(E33&lt;Q$19,"F+",IF(E33&lt;Q$18,"E-",IF(E33&lt;Q$17,"E",IF(E33&lt;Q$16,"E+",IF(E33&lt;Q$15,"D-",IF(E33&lt;Q$14,"D",IF(E33&lt;Q$13,"D+",IF(E33&lt;Q$12,"C-",IF(E33&lt;Q$11,"C",IF(E33&lt;Q$10,"C+",IF(E33&lt;Q$9,"B-",IF(E33&lt;Q$8,"B",IF(E33&lt;Q$7,"B+",IF(E33&lt;Q$6,"A-",IF(E33&lt;Q$5,"A",IF(E33&lt;Q$4,"A+",IF(E33&lt;Q$3,"S-",IF(E33&lt;Q$2,"S","S+"))))))))))))))))))))</f>
        <v>D-</v>
      </c>
      <c r="J33" s="273" t="str">
        <f t="shared" si="55"/>
        <v>D</v>
      </c>
      <c r="K33" s="273" t="str">
        <f t="shared" si="55"/>
        <v>E+</v>
      </c>
      <c r="L33" s="273" t="str">
        <f t="shared" si="55"/>
        <v>F</v>
      </c>
      <c r="M33" s="288" t="str">
        <f t="shared" si="4"/>
        <v>D-</v>
      </c>
      <c r="N33" s="289">
        <f t="shared" si="5"/>
        <v>5.525</v>
      </c>
      <c r="O33" s="518" t="s">
        <v>166</v>
      </c>
      <c r="P33" s="527">
        <f>PERCENTILE($N$2:$N$42,0.6)</f>
        <v>9.275</v>
      </c>
      <c r="Q33" s="284"/>
      <c r="R33" s="284"/>
      <c r="S33" s="284"/>
      <c r="T33" s="284"/>
    </row>
    <row r="34">
      <c r="A34" s="253" t="str">
        <f>'Halo Infinite Stats'!A34</f>
        <v>Scullen cx</v>
      </c>
      <c r="B34" s="259">
        <f>IFERROR(VLOOKUP($A34,'Halo Infinite Stats'!$A:$AR,2,0),)</f>
        <v>21</v>
      </c>
      <c r="C34" s="259">
        <f>IFERROR(VLOOKUP($A34,'Halo Infinite Stats'!$A:$AR,5,0),)</f>
        <v>36</v>
      </c>
      <c r="D34" s="259">
        <f>IFERROR(VLOOKUP($A34,'Halo Infinite Stats'!$A:$AR,6,0),)</f>
        <v>249</v>
      </c>
      <c r="E34" s="270">
        <f>IFERROR(VLOOKUP($A34,'Halo Infinite Stats'!$A:$W,6,0),)/(IFERROR(VLOOKUP($A34,'Halo Infinite Stats'!$A:$W,12,0),)/60)</f>
        <v>0.8586206897</v>
      </c>
      <c r="F34" s="273">
        <f>IFERROR(VLOOKUP($A34,'PG+ Stats'!$A:$W,2,0),)</f>
        <v>0.124137931</v>
      </c>
      <c r="G34" s="273">
        <f>IFERROR(VLOOKUP($A34,'PG+ Stats'!$A:$W,4,0),)</f>
        <v>0.7586206897</v>
      </c>
      <c r="H34" s="273">
        <f>IFERROR(VLOOKUP($A34,'PG+ Stats'!$A:$W,5,0),)</f>
        <v>0.09310344828</v>
      </c>
      <c r="I34" s="273" t="str">
        <f t="shared" ref="I34:L34" si="56">IF(E34&lt;Q$21,"F-",IF(E34&lt;Q$20,"F",IF(E34&lt;Q$19,"F+",IF(E34&lt;Q$18,"E-",IF(E34&lt;Q$17,"E",IF(E34&lt;Q$16,"E+",IF(E34&lt;Q$15,"D-",IF(E34&lt;Q$14,"D",IF(E34&lt;Q$13,"D+",IF(E34&lt;Q$12,"C-",IF(E34&lt;Q$11,"C",IF(E34&lt;Q$10,"C+",IF(E34&lt;Q$9,"B-",IF(E34&lt;Q$8,"B",IF(E34&lt;Q$7,"B+",IF(E34&lt;Q$6,"A-",IF(E34&lt;Q$5,"A",IF(E34&lt;Q$4,"A+",IF(E34&lt;Q$3,"S-",IF(E34&lt;Q$2,"S","S+"))))))))))))))))))))</f>
        <v>S</v>
      </c>
      <c r="J34" s="273" t="str">
        <f t="shared" si="56"/>
        <v>S-</v>
      </c>
      <c r="K34" s="273" t="str">
        <f t="shared" si="56"/>
        <v>S-</v>
      </c>
      <c r="L34" s="273" t="str">
        <f t="shared" si="56"/>
        <v>A+</v>
      </c>
      <c r="M34" s="288" t="str">
        <f t="shared" si="4"/>
        <v>S-</v>
      </c>
      <c r="N34" s="289">
        <f t="shared" si="5"/>
        <v>13.65</v>
      </c>
      <c r="O34" s="529" t="s">
        <v>168</v>
      </c>
      <c r="P34" s="530">
        <f>PERCENTILE($N$2:$N$42,0.55)</f>
        <v>8.3</v>
      </c>
      <c r="Q34" s="284"/>
      <c r="R34" s="284"/>
      <c r="S34" s="284"/>
      <c r="T34" s="284"/>
    </row>
    <row r="35">
      <c r="A35" s="253" t="str">
        <f>'Halo Infinite Stats'!A35</f>
        <v>SPANKTR0N</v>
      </c>
      <c r="B35" s="259">
        <f>IFERROR(VLOOKUP($A35,'Halo Infinite Stats'!$A:$AR,2,0),)</f>
        <v>20</v>
      </c>
      <c r="C35" s="259">
        <f>IFERROR(VLOOKUP($A35,'Halo Infinite Stats'!$A:$AR,5,0),)</f>
        <v>7</v>
      </c>
      <c r="D35" s="259">
        <f>IFERROR(VLOOKUP($A35,'Halo Infinite Stats'!$A:$AR,6,0),)</f>
        <v>51</v>
      </c>
      <c r="E35" s="270">
        <f>IFERROR(VLOOKUP($A35,'Halo Infinite Stats'!$A:$W,6,0),)/(IFERROR(VLOOKUP($A35,'Halo Infinite Stats'!$A:$W,12,0),)/60)</f>
        <v>0.1530535687</v>
      </c>
      <c r="F35" s="273">
        <f>IFERROR(VLOOKUP($A35,'PG+ Stats'!$A:$W,2,0),)</f>
        <v>0.02100735257</v>
      </c>
      <c r="G35" s="273">
        <f>IFERROR(VLOOKUP($A35,'PG+ Stats'!$A:$W,4,0),)</f>
        <v>0.4291502026</v>
      </c>
      <c r="H35" s="273">
        <f>IFERROR(VLOOKUP($A35,'PG+ Stats'!$A:$W,5,0),)</f>
        <v>0.08402941029</v>
      </c>
      <c r="I35" s="273" t="str">
        <f t="shared" ref="I35:L35" si="57">IF(E35&lt;Q$21,"F-",IF(E35&lt;Q$20,"F",IF(E35&lt;Q$19,"F+",IF(E35&lt;Q$18,"E-",IF(E35&lt;Q$17,"E",IF(E35&lt;Q$16,"E+",IF(E35&lt;Q$15,"D-",IF(E35&lt;Q$14,"D",IF(E35&lt;Q$13,"D+",IF(E35&lt;Q$12,"C-",IF(E35&lt;Q$11,"C",IF(E35&lt;Q$10,"C+",IF(E35&lt;Q$9,"B-",IF(E35&lt;Q$8,"B",IF(E35&lt;Q$7,"B+",IF(E35&lt;Q$6,"A-",IF(E35&lt;Q$5,"A",IF(E35&lt;Q$4,"A+",IF(E35&lt;Q$3,"S-",IF(E35&lt;Q$2,"S","S+"))))))))))))))))))))</f>
        <v>C+</v>
      </c>
      <c r="J35" s="273" t="str">
        <f t="shared" si="57"/>
        <v>E+</v>
      </c>
      <c r="K35" s="273" t="str">
        <f t="shared" si="57"/>
        <v>C-</v>
      </c>
      <c r="L35" s="273" t="str">
        <f t="shared" si="57"/>
        <v>A+</v>
      </c>
      <c r="M35" s="288" t="str">
        <f t="shared" si="4"/>
        <v>C-</v>
      </c>
      <c r="N35" s="289">
        <f t="shared" si="5"/>
        <v>6.625</v>
      </c>
      <c r="O35" s="534" t="s">
        <v>171</v>
      </c>
      <c r="P35" s="535">
        <f>PERCENTILE($N$2:$N$42,0.5)</f>
        <v>7.9</v>
      </c>
      <c r="Q35" s="284"/>
      <c r="R35" s="284"/>
      <c r="S35" s="284"/>
      <c r="T35" s="284"/>
    </row>
    <row r="36">
      <c r="A36" s="253" t="str">
        <f>'Halo Infinite Stats'!A36</f>
        <v>StarMonster8129</v>
      </c>
      <c r="B36" s="259">
        <f>IFERROR(VLOOKUP($A36,'Halo Infinite Stats'!$A:$AR,2,0),)</f>
        <v>4</v>
      </c>
      <c r="C36" s="259">
        <f>IFERROR(VLOOKUP($A36,'Halo Infinite Stats'!$A:$AR,5,0),)</f>
        <v>1</v>
      </c>
      <c r="D36" s="259">
        <f>IFERROR(VLOOKUP($A36,'Halo Infinite Stats'!$A:$AR,6,0),)</f>
        <v>7</v>
      </c>
      <c r="E36" s="270">
        <f>IFERROR(VLOOKUP($A36,'Halo Infinite Stats'!$A:$W,6,0),)/(IFERROR(VLOOKUP($A36,'Halo Infinite Stats'!$A:$W,12,0),)/60)</f>
        <v>0.140892318</v>
      </c>
      <c r="F36" s="273">
        <f>IFERROR(VLOOKUP($A36,'PG+ Stats'!$A:$W,2,0),)</f>
        <v>0.020127474</v>
      </c>
      <c r="G36" s="273">
        <f>IFERROR(VLOOKUP($A36,'PG+ Stats'!$A:$W,4,0),)</f>
        <v>0.5031868501</v>
      </c>
      <c r="H36" s="273">
        <f>IFERROR(VLOOKUP($A36,'PG+ Stats'!$A:$W,5,0),)</f>
        <v>0</v>
      </c>
      <c r="I36" s="273" t="str">
        <f t="shared" ref="I36:L36" si="58">IF(E36&lt;Q$21,"F-",IF(E36&lt;Q$20,"F",IF(E36&lt;Q$19,"F+",IF(E36&lt;Q$18,"E-",IF(E36&lt;Q$17,"E",IF(E36&lt;Q$16,"E+",IF(E36&lt;Q$15,"D-",IF(E36&lt;Q$14,"D",IF(E36&lt;Q$13,"D+",IF(E36&lt;Q$12,"C-",IF(E36&lt;Q$11,"C",IF(E36&lt;Q$10,"C+",IF(E36&lt;Q$9,"B-",IF(E36&lt;Q$8,"B",IF(E36&lt;Q$7,"B+",IF(E36&lt;Q$6,"A-",IF(E36&lt;Q$5,"A",IF(E36&lt;Q$4,"A+",IF(E36&lt;Q$3,"S-",IF(E36&lt;Q$2,"S","S+"))))))))))))))))))))</f>
        <v>C</v>
      </c>
      <c r="J36" s="273" t="str">
        <f t="shared" si="58"/>
        <v>E</v>
      </c>
      <c r="K36" s="273" t="str">
        <f t="shared" si="58"/>
        <v>B+</v>
      </c>
      <c r="L36" s="273" t="str">
        <f t="shared" si="58"/>
        <v>F</v>
      </c>
      <c r="M36" s="288" t="str">
        <f t="shared" si="4"/>
        <v>E+</v>
      </c>
      <c r="N36" s="289">
        <f t="shared" si="5"/>
        <v>5.35</v>
      </c>
      <c r="O36" s="529" t="s">
        <v>173</v>
      </c>
      <c r="P36" s="536">
        <f>PERCENTILE($N$2:$N$42,0.45)</f>
        <v>6.625</v>
      </c>
      <c r="Q36" s="284"/>
      <c r="R36" s="284"/>
      <c r="S36" s="284"/>
      <c r="T36" s="284"/>
    </row>
    <row r="37">
      <c r="A37" s="253" t="str">
        <f>'Halo Infinite Stats'!A37</f>
        <v>xXTHEChickenGod</v>
      </c>
      <c r="B37" s="259">
        <f>IFERROR(VLOOKUP($A37,'Halo Infinite Stats'!$A:$AR,2,0),)</f>
        <v>20</v>
      </c>
      <c r="C37" s="259">
        <f>IFERROR(VLOOKUP($A37,'Halo Infinite Stats'!$A:$AR,5,0),)</f>
        <v>3</v>
      </c>
      <c r="D37" s="259">
        <f>IFERROR(VLOOKUP($A37,'Halo Infinite Stats'!$A:$AR,6,0),)</f>
        <v>7</v>
      </c>
      <c r="E37" s="270">
        <f>IFERROR(VLOOKUP($A37,'Halo Infinite Stats'!$A:$W,6,0),)/(IFERROR(VLOOKUP($A37,'Halo Infinite Stats'!$A:$W,12,0),)/60)</f>
        <v>0.02649675099</v>
      </c>
      <c r="F37" s="273">
        <f>IFERROR(VLOOKUP($A37,'PG+ Stats'!$A:$W,2,0),)</f>
        <v>0.01135575043</v>
      </c>
      <c r="G37" s="273">
        <f>IFERROR(VLOOKUP($A37,'PG+ Stats'!$A:$W,4,0),)</f>
        <v>0.2990347612</v>
      </c>
      <c r="H37" s="273">
        <f>IFERROR(VLOOKUP($A37,'PG+ Stats'!$A:$W,5,0),)</f>
        <v>0.01514100057</v>
      </c>
      <c r="I37" s="273" t="str">
        <f t="shared" ref="I37:L37" si="59">IF(E37&lt;Q$21,"F-",IF(E37&lt;Q$20,"F",IF(E37&lt;Q$19,"F+",IF(E37&lt;Q$18,"E-",IF(E37&lt;Q$17,"E",IF(E37&lt;Q$16,"E+",IF(E37&lt;Q$15,"D-",IF(E37&lt;Q$14,"D",IF(E37&lt;Q$13,"D+",IF(E37&lt;Q$12,"C-",IF(E37&lt;Q$11,"C",IF(E37&lt;Q$10,"C+",IF(E37&lt;Q$9,"B-",IF(E37&lt;Q$8,"B",IF(E37&lt;Q$7,"B+",IF(E37&lt;Q$6,"A-",IF(E37&lt;Q$5,"A",IF(E37&lt;Q$4,"A+",IF(E37&lt;Q$3,"S-",IF(E37&lt;Q$2,"S","S+"))))))))))))))))))))</f>
        <v>F-</v>
      </c>
      <c r="J37" s="273" t="str">
        <f t="shared" si="59"/>
        <v>F</v>
      </c>
      <c r="K37" s="273" t="str">
        <f t="shared" si="59"/>
        <v>E-</v>
      </c>
      <c r="L37" s="273" t="str">
        <f t="shared" si="59"/>
        <v>E-</v>
      </c>
      <c r="M37" s="288" t="str">
        <f t="shared" si="4"/>
        <v>F-</v>
      </c>
      <c r="N37" s="289">
        <f t="shared" si="5"/>
        <v>1.975</v>
      </c>
      <c r="O37" s="538" t="s">
        <v>175</v>
      </c>
      <c r="P37" s="539">
        <f>PERCENTILE($N$2:$N$42,0.4)</f>
        <v>6.425</v>
      </c>
      <c r="Q37" s="284"/>
      <c r="R37" s="284"/>
      <c r="S37" s="284"/>
      <c r="T37" s="284"/>
    </row>
    <row r="38">
      <c r="A38" s="253" t="str">
        <f>'Halo Infinite Stats'!A38</f>
        <v>ThePro#1771</v>
      </c>
      <c r="B38" s="259">
        <f>IFERROR(VLOOKUP($A38,'Halo Infinite Stats'!$A:$AR,2,0),)</f>
        <v>3</v>
      </c>
      <c r="C38" s="259">
        <f>IFERROR(VLOOKUP($A38,'Halo Infinite Stats'!$A:$AR,5,0),)</f>
        <v>0</v>
      </c>
      <c r="D38" s="259">
        <f>IFERROR(VLOOKUP($A38,'Halo Infinite Stats'!$A:$AR,6,0),)</f>
        <v>1</v>
      </c>
      <c r="E38" s="270">
        <f>IFERROR(VLOOKUP($A38,'Halo Infinite Stats'!$A:$W,6,0),)/(IFERROR(VLOOKUP($A38,'Halo Infinite Stats'!$A:$W,12,0),)/60)</f>
        <v>0.04240282686</v>
      </c>
      <c r="F38" s="273">
        <f>IFERROR(VLOOKUP($A38,'PG+ Stats'!$A:$W,2,0),)</f>
        <v>0</v>
      </c>
      <c r="G38" s="273">
        <f>IFERROR(VLOOKUP($A38,'PG+ Stats'!$A:$W,4,0),)</f>
        <v>0.1696113074</v>
      </c>
      <c r="H38" s="273">
        <f>IFERROR(VLOOKUP($A38,'PG+ Stats'!$A:$W,5,0),)</f>
        <v>0.04240282686</v>
      </c>
      <c r="I38" s="273" t="str">
        <f t="shared" ref="I38:L38" si="60">IF(E38&lt;Q$21,"F-",IF(E38&lt;Q$20,"F",IF(E38&lt;Q$19,"F+",IF(E38&lt;Q$18,"E-",IF(E38&lt;Q$17,"E",IF(E38&lt;Q$16,"E+",IF(E38&lt;Q$15,"D-",IF(E38&lt;Q$14,"D",IF(E38&lt;Q$13,"D+",IF(E38&lt;Q$12,"C-",IF(E38&lt;Q$11,"C",IF(E38&lt;Q$10,"C+",IF(E38&lt;Q$9,"B-",IF(E38&lt;Q$8,"B",IF(E38&lt;Q$7,"B+",IF(E38&lt;Q$6,"A-",IF(E38&lt;Q$5,"A",IF(E38&lt;Q$4,"A+",IF(E38&lt;Q$3,"S-",IF(E38&lt;Q$2,"S","S+"))))))))))))))))))))</f>
        <v>F+</v>
      </c>
      <c r="J38" s="273" t="str">
        <f t="shared" si="60"/>
        <v>F-</v>
      </c>
      <c r="K38" s="273" t="str">
        <f t="shared" si="60"/>
        <v>F</v>
      </c>
      <c r="L38" s="273" t="str">
        <f t="shared" si="60"/>
        <v>C+</v>
      </c>
      <c r="M38" s="288" t="str">
        <f t="shared" si="4"/>
        <v>F-</v>
      </c>
      <c r="N38" s="289">
        <f t="shared" si="5"/>
        <v>2.325</v>
      </c>
      <c r="O38" s="544" t="s">
        <v>179</v>
      </c>
      <c r="P38" s="545">
        <f>PERCENTILE($N$2:$N$42,0.35)</f>
        <v>6.15</v>
      </c>
      <c r="Q38" s="284"/>
      <c r="R38" s="284"/>
      <c r="S38" s="284"/>
      <c r="T38" s="284"/>
    </row>
    <row r="39">
      <c r="A39" s="253" t="str">
        <f>'Halo Infinite Stats'!A39</f>
        <v>TJP37</v>
      </c>
      <c r="B39" s="259">
        <f>IFERROR(VLOOKUP($A39,'Halo Infinite Stats'!$A:$AR,2,0),)</f>
        <v>22</v>
      </c>
      <c r="C39" s="259">
        <f>IFERROR(VLOOKUP($A39,'Halo Infinite Stats'!$A:$AR,5,0),)</f>
        <v>18</v>
      </c>
      <c r="D39" s="259">
        <f>IFERROR(VLOOKUP($A39,'Halo Infinite Stats'!$A:$AR,6,0),)</f>
        <v>72</v>
      </c>
      <c r="E39" s="270">
        <f>IFERROR(VLOOKUP($A39,'Halo Infinite Stats'!$A:$W,6,0),)/(IFERROR(VLOOKUP($A39,'Halo Infinite Stats'!$A:$W,12,0),)/60)</f>
        <v>0.2102599046</v>
      </c>
      <c r="F39" s="273">
        <f>IFERROR(VLOOKUP($A39,'PG+ Stats'!$A:$W,2,0),)</f>
        <v>0.05256497615</v>
      </c>
      <c r="G39" s="273">
        <f>IFERROR(VLOOKUP($A39,'PG+ Stats'!$A:$W,4,0),)</f>
        <v>0.5373308673</v>
      </c>
      <c r="H39" s="273">
        <f>IFERROR(VLOOKUP($A39,'PG+ Stats'!$A:$W,5,0),)</f>
        <v>0.05256497615</v>
      </c>
      <c r="I39" s="273" t="str">
        <f t="shared" ref="I39:L39" si="61">IF(E39&lt;Q$21,"F-",IF(E39&lt;Q$20,"F",IF(E39&lt;Q$19,"F+",IF(E39&lt;Q$18,"E-",IF(E39&lt;Q$17,"E",IF(E39&lt;Q$16,"E+",IF(E39&lt;Q$15,"D-",IF(E39&lt;Q$14,"D",IF(E39&lt;Q$13,"D+",IF(E39&lt;Q$12,"C-",IF(E39&lt;Q$11,"C",IF(E39&lt;Q$10,"C+",IF(E39&lt;Q$9,"B-",IF(E39&lt;Q$8,"B",IF(E39&lt;Q$7,"B+",IF(E39&lt;Q$6,"A-",IF(E39&lt;Q$5,"A",IF(E39&lt;Q$4,"A+",IF(E39&lt;Q$3,"S-",IF(E39&lt;Q$2,"S","S+"))))))))))))))))))))</f>
        <v>B-</v>
      </c>
      <c r="J39" s="273" t="str">
        <f t="shared" si="61"/>
        <v>B-</v>
      </c>
      <c r="K39" s="273" t="str">
        <f t="shared" si="61"/>
        <v>A-</v>
      </c>
      <c r="L39" s="273" t="str">
        <f t="shared" si="61"/>
        <v>B-</v>
      </c>
      <c r="M39" s="288" t="str">
        <f t="shared" si="4"/>
        <v>B</v>
      </c>
      <c r="N39" s="289">
        <f t="shared" si="5"/>
        <v>9.525</v>
      </c>
      <c r="O39" s="538" t="s">
        <v>181</v>
      </c>
      <c r="P39" s="547">
        <f>PERCENTILE($N$2:$N$42,0.3)</f>
        <v>5.525</v>
      </c>
      <c r="Q39" s="284"/>
      <c r="R39" s="284"/>
      <c r="S39" s="284"/>
      <c r="T39" s="284"/>
    </row>
    <row r="40">
      <c r="A40" s="253" t="str">
        <f>'Halo Infinite Stats'!A40</f>
        <v>TommyWstSide</v>
      </c>
      <c r="B40" s="259">
        <f>IFERROR(VLOOKUP($A40,'Halo Infinite Stats'!$A:$AR,2,0),)</f>
        <v>37</v>
      </c>
      <c r="C40" s="259">
        <f>IFERROR(VLOOKUP($A40,'Halo Infinite Stats'!$A:$AR,5,0),)</f>
        <v>22</v>
      </c>
      <c r="D40" s="259">
        <f>IFERROR(VLOOKUP($A40,'Halo Infinite Stats'!$A:$AR,6,0),)</f>
        <v>62</v>
      </c>
      <c r="E40" s="270">
        <f>IFERROR(VLOOKUP($A40,'Halo Infinite Stats'!$A:$W,6,0),)/(IFERROR(VLOOKUP($A40,'Halo Infinite Stats'!$A:$W,12,0),)/60)</f>
        <v>0.1225780941</v>
      </c>
      <c r="F40" s="273">
        <f>IFERROR(VLOOKUP($A40,'PG+ Stats'!$A:$W,2,0),)</f>
        <v>0.04349545275</v>
      </c>
      <c r="G40" s="273">
        <f>IFERROR(VLOOKUP($A40,'PG+ Stats'!$A:$W,4,0),)</f>
        <v>0.6247528667</v>
      </c>
      <c r="H40" s="273">
        <f>IFERROR(VLOOKUP($A40,'PG+ Stats'!$A:$W,5,0),)</f>
        <v>0.06128904705</v>
      </c>
      <c r="I40" s="273" t="str">
        <f t="shared" ref="I40:L40" si="62">IF(E40&lt;Q$21,"F-",IF(E40&lt;Q$20,"F",IF(E40&lt;Q$19,"F+",IF(E40&lt;Q$18,"E-",IF(E40&lt;Q$17,"E",IF(E40&lt;Q$16,"E+",IF(E40&lt;Q$15,"D-",IF(E40&lt;Q$14,"D",IF(E40&lt;Q$13,"D+",IF(E40&lt;Q$12,"C-",IF(E40&lt;Q$11,"C",IF(E40&lt;Q$10,"C+",IF(E40&lt;Q$9,"B-",IF(E40&lt;Q$8,"B",IF(E40&lt;Q$7,"B+",IF(E40&lt;Q$6,"A-",IF(E40&lt;Q$5,"A",IF(E40&lt;Q$4,"A+",IF(E40&lt;Q$3,"S-",IF(E40&lt;Q$2,"S","S+"))))))))))))))))))))</f>
        <v>C-</v>
      </c>
      <c r="J40" s="273" t="str">
        <f t="shared" si="62"/>
        <v>C</v>
      </c>
      <c r="K40" s="273" t="str">
        <f t="shared" si="62"/>
        <v>A</v>
      </c>
      <c r="L40" s="273" t="str">
        <f t="shared" si="62"/>
        <v>A-</v>
      </c>
      <c r="M40" s="288" t="str">
        <f t="shared" si="4"/>
        <v>C+</v>
      </c>
      <c r="N40" s="289">
        <f t="shared" si="5"/>
        <v>8.3</v>
      </c>
      <c r="O40" s="550" t="s">
        <v>183</v>
      </c>
      <c r="P40" s="551">
        <f>PERCENTILE($N$2:$N$42,0.25)</f>
        <v>5.05</v>
      </c>
      <c r="Q40" s="284"/>
      <c r="R40" s="284"/>
      <c r="S40" s="284"/>
      <c r="T40" s="284"/>
    </row>
    <row r="41">
      <c r="A41" s="253" t="str">
        <f>'Halo Infinite Stats'!A41</f>
        <v>Trespa5s</v>
      </c>
      <c r="B41" s="259">
        <f>IFERROR(VLOOKUP($A41,'Halo Infinite Stats'!$A:$AR,2,0),)</f>
        <v>18</v>
      </c>
      <c r="C41" s="259">
        <f>IFERROR(VLOOKUP($A41,'Halo Infinite Stats'!$A:$AR,5,0),)</f>
        <v>0</v>
      </c>
      <c r="D41" s="259">
        <f>IFERROR(VLOOKUP($A41,'Halo Infinite Stats'!$A:$AR,6,0),)</f>
        <v>17</v>
      </c>
      <c r="E41" s="270">
        <f>IFERROR(VLOOKUP($A41,'Halo Infinite Stats'!$A:$W,6,0),)/(IFERROR(VLOOKUP($A41,'Halo Infinite Stats'!$A:$W,12,0),)/60)</f>
        <v>0.06906825569</v>
      </c>
      <c r="F41" s="273">
        <f>IFERROR(VLOOKUP($A41,'PG+ Stats'!$A:$W,2,0),)</f>
        <v>0</v>
      </c>
      <c r="G41" s="273">
        <f>IFERROR(VLOOKUP($A41,'PG+ Stats'!$A:$W,4,0),)</f>
        <v>0.2884615385</v>
      </c>
      <c r="H41" s="273">
        <f>IFERROR(VLOOKUP($A41,'PG+ Stats'!$A:$W,5,0),)</f>
        <v>0.02031419285</v>
      </c>
      <c r="I41" s="273" t="str">
        <f t="shared" ref="I41:L41" si="63">IF(E41&lt;Q$21,"F-",IF(E41&lt;Q$20,"F",IF(E41&lt;Q$19,"F+",IF(E41&lt;Q$18,"E-",IF(E41&lt;Q$17,"E",IF(E41&lt;Q$16,"E+",IF(E41&lt;Q$15,"D-",IF(E41&lt;Q$14,"D",IF(E41&lt;Q$13,"D+",IF(E41&lt;Q$12,"C-",IF(E41&lt;Q$11,"C",IF(E41&lt;Q$10,"C+",IF(E41&lt;Q$9,"B-",IF(E41&lt;Q$8,"B",IF(E41&lt;Q$7,"B+",IF(E41&lt;Q$6,"A-",IF(E41&lt;Q$5,"A",IF(E41&lt;Q$4,"A+",IF(E41&lt;Q$3,"S-",IF(E41&lt;Q$2,"S","S+"))))))))))))))))))))</f>
        <v>E</v>
      </c>
      <c r="J41" s="273" t="str">
        <f t="shared" si="63"/>
        <v>F-</v>
      </c>
      <c r="K41" s="273" t="str">
        <f t="shared" si="63"/>
        <v>F+</v>
      </c>
      <c r="L41" s="273" t="str">
        <f t="shared" si="63"/>
        <v>E+</v>
      </c>
      <c r="M41" s="288" t="str">
        <f t="shared" si="4"/>
        <v>F</v>
      </c>
      <c r="N41" s="289">
        <f t="shared" si="5"/>
        <v>2.45</v>
      </c>
      <c r="O41" s="556" t="s">
        <v>184</v>
      </c>
      <c r="P41" s="557">
        <f>PERCENTILE($N$2:$N$42,0.2)</f>
        <v>4.475</v>
      </c>
      <c r="Q41" s="284"/>
      <c r="R41" s="284"/>
      <c r="S41" s="284"/>
      <c r="T41" s="284"/>
    </row>
    <row r="42">
      <c r="A42" s="253" t="str">
        <f>'Halo Infinite Stats'!A42</f>
        <v>WeirdPG</v>
      </c>
      <c r="B42" s="259">
        <f>IFERROR(VLOOKUP($A42,'Halo Infinite Stats'!$A:$AR,2,0),)</f>
        <v>18</v>
      </c>
      <c r="C42" s="259">
        <f>IFERROR(VLOOKUP($A42,'Halo Infinite Stats'!$A:$AR,5,0),)</f>
        <v>9</v>
      </c>
      <c r="D42" s="259">
        <f>IFERROR(VLOOKUP($A42,'Halo Infinite Stats'!$A:$AR,6,0),)</f>
        <v>12</v>
      </c>
      <c r="E42" s="270">
        <f>IFERROR(VLOOKUP($A42,'Halo Infinite Stats'!$A:$W,6,0),)/(IFERROR(VLOOKUP($A42,'Halo Infinite Stats'!$A:$W,12,0),)/60)</f>
        <v>0.05845579281</v>
      </c>
      <c r="F42" s="273">
        <f>IFERROR(VLOOKUP($A42,'PG+ Stats'!$A:$W,2,0),)</f>
        <v>0.04384184461</v>
      </c>
      <c r="G42" s="273">
        <f>IFERROR(VLOOKUP($A42,'PG+ Stats'!$A:$W,4,0),)</f>
        <v>0.3458634408</v>
      </c>
      <c r="H42" s="273">
        <f>IFERROR(VLOOKUP($A42,'PG+ Stats'!$A:$W,5,0),)</f>
        <v>0.0146139482</v>
      </c>
      <c r="I42" s="273" t="str">
        <f t="shared" ref="I42:L42" si="64">IF(E42&lt;Q$21,"F-",IF(E42&lt;Q$20,"F",IF(E42&lt;Q$19,"F+",IF(E42&lt;Q$18,"E-",IF(E42&lt;Q$17,"E",IF(E42&lt;Q$16,"E+",IF(E42&lt;Q$15,"D-",IF(E42&lt;Q$14,"D",IF(E42&lt;Q$13,"D+",IF(E42&lt;Q$12,"C-",IF(E42&lt;Q$11,"C",IF(E42&lt;Q$10,"C+",IF(E42&lt;Q$9,"B-",IF(E42&lt;Q$8,"B",IF(E42&lt;Q$7,"B+",IF(E42&lt;Q$6,"A-",IF(E42&lt;Q$5,"A",IF(E42&lt;Q$4,"A+",IF(E42&lt;Q$3,"S-",IF(E42&lt;Q$2,"S","S+"))))))))))))))))))))</f>
        <v>E</v>
      </c>
      <c r="J42" s="273" t="str">
        <f t="shared" si="64"/>
        <v>C</v>
      </c>
      <c r="K42" s="273" t="str">
        <f t="shared" si="64"/>
        <v>E+</v>
      </c>
      <c r="L42" s="273" t="str">
        <f t="shared" si="64"/>
        <v>E-</v>
      </c>
      <c r="M42" s="288" t="str">
        <f t="shared" si="4"/>
        <v>D+</v>
      </c>
      <c r="N42" s="289">
        <f t="shared" si="5"/>
        <v>6.425</v>
      </c>
      <c r="O42" s="550" t="s">
        <v>186</v>
      </c>
      <c r="P42" s="559">
        <f>PERCENTILE($N$2:$N$42,0.15)</f>
        <v>4.175</v>
      </c>
      <c r="Q42" s="284"/>
      <c r="R42" s="284"/>
      <c r="S42" s="284"/>
      <c r="T42" s="284"/>
    </row>
    <row r="43">
      <c r="A43" s="253" t="str">
        <f>'Halo Infinite Stats'!A43</f>
        <v>yLuxe</v>
      </c>
      <c r="B43" s="259">
        <f>IFERROR(VLOOKUP($A43,'Halo Infinite Stats'!$A:$AR,2,0),)</f>
        <v>20</v>
      </c>
      <c r="C43" s="259">
        <f>IFERROR(VLOOKUP($A43,'Halo Infinite Stats'!$A:$AR,5,0),)</f>
        <v>33</v>
      </c>
      <c r="D43" s="259">
        <f>IFERROR(VLOOKUP($A43,'Halo Infinite Stats'!$A:$AR,6,0),)</f>
        <v>88</v>
      </c>
      <c r="E43" s="270">
        <f>IFERROR(VLOOKUP($A43,'Halo Infinite Stats'!$A:$W,6,0),)/(IFERROR(VLOOKUP($A43,'Halo Infinite Stats'!$A:$W,12,0),)/60)</f>
        <v>0.2939539027</v>
      </c>
      <c r="F43" s="273">
        <f>IFERROR(VLOOKUP($A43,'PG+ Stats'!$A:$W,2,0),)</f>
        <v>0.1102327135</v>
      </c>
      <c r="G43" s="273">
        <f>IFERROR(VLOOKUP($A43,'PG+ Stats'!$A:$W,4,0),)</f>
        <v>0.7181828304</v>
      </c>
      <c r="H43" s="273">
        <f>IFERROR(VLOOKUP($A43,'PG+ Stats'!$A:$W,5,0),)</f>
        <v>0.07348847567</v>
      </c>
      <c r="I43" s="273" t="str">
        <f t="shared" ref="I43:L43" si="65">IF(E43&lt;Q$21,"F-",IF(E43&lt;Q$20,"F",IF(E43&lt;Q$19,"F+",IF(E43&lt;Q$18,"E-",IF(E43&lt;Q$17,"E",IF(E43&lt;Q$16,"E+",IF(E43&lt;Q$15,"D-",IF(E43&lt;Q$14,"D",IF(E43&lt;Q$13,"D+",IF(E43&lt;Q$12,"C-",IF(E43&lt;Q$11,"C",IF(E43&lt;Q$10,"C+",IF(E43&lt;Q$9,"B-",IF(E43&lt;Q$8,"B",IF(E43&lt;Q$7,"B+",IF(E43&lt;Q$6,"A-",IF(E43&lt;Q$5,"A",IF(E43&lt;Q$4,"A+",IF(E43&lt;Q$3,"S-",IF(E43&lt;Q$2,"S","S+"))))))))))))))))))))</f>
        <v>B+</v>
      </c>
      <c r="J43" s="273" t="str">
        <f t="shared" si="65"/>
        <v>A+</v>
      </c>
      <c r="K43" s="273" t="str">
        <f t="shared" si="65"/>
        <v>S-</v>
      </c>
      <c r="L43" s="273" t="str">
        <f t="shared" si="65"/>
        <v>A</v>
      </c>
      <c r="M43" s="288" t="str">
        <f t="shared" si="4"/>
        <v>A+</v>
      </c>
      <c r="N43" s="289">
        <f t="shared" si="5"/>
        <v>12.2</v>
      </c>
      <c r="O43" s="560" t="s">
        <v>188</v>
      </c>
      <c r="P43" s="561">
        <f>PERCENTILE($N$2:$N$42,0.1)</f>
        <v>3.175</v>
      </c>
      <c r="Q43" s="562"/>
      <c r="R43" s="284"/>
      <c r="S43" s="284"/>
      <c r="T43" s="284"/>
    </row>
    <row r="44">
      <c r="A44" s="253" t="str">
        <f>'Halo Infinite Stats'!A44</f>
        <v/>
      </c>
      <c r="B44" s="259" t="str">
        <f>IFERROR(VLOOKUP($A44,'Halo Infinite Stats'!$A:$AR,2,0),)</f>
        <v/>
      </c>
      <c r="C44" s="259" t="str">
        <f>IFERROR(VLOOKUP($A44,'Halo Infinite Stats'!$A:$AR,5,0),)</f>
        <v/>
      </c>
      <c r="D44" s="259" t="str">
        <f>IFERROR(VLOOKUP($A44,'Halo Infinite Stats'!$A:$AR,6,0),)</f>
        <v/>
      </c>
      <c r="E44" s="270"/>
      <c r="F44" s="273"/>
      <c r="G44" s="273"/>
      <c r="H44" s="273"/>
      <c r="I44" s="273"/>
      <c r="J44" s="273"/>
      <c r="K44" s="273"/>
      <c r="L44" s="273"/>
      <c r="M44" s="288"/>
      <c r="N44" s="289"/>
      <c r="O44" s="563" t="s">
        <v>190</v>
      </c>
      <c r="P44" s="561">
        <f>PERCENTILE($N$2:$N$42,0.05)</f>
        <v>2.425</v>
      </c>
      <c r="Q44" s="562"/>
      <c r="R44" s="284"/>
      <c r="S44" s="284"/>
      <c r="T44" s="284"/>
    </row>
    <row r="45">
      <c r="A45" s="564"/>
      <c r="B45" s="566"/>
      <c r="C45" s="566"/>
      <c r="D45" s="193"/>
      <c r="E45" s="567"/>
      <c r="F45" s="568"/>
      <c r="G45" s="568"/>
      <c r="H45" s="568"/>
      <c r="I45" s="568"/>
      <c r="J45" s="568"/>
      <c r="K45" s="568"/>
      <c r="L45" s="568"/>
      <c r="M45" s="569"/>
      <c r="N45" s="571"/>
      <c r="O45" s="560" t="s">
        <v>191</v>
      </c>
      <c r="P45" s="573">
        <f>PERCENTILE($N$2:$N$42,0)</f>
        <v>1.975</v>
      </c>
      <c r="Q45" s="562"/>
      <c r="R45" s="284"/>
      <c r="S45" s="284"/>
      <c r="T45" s="284"/>
    </row>
    <row r="46">
      <c r="A46" s="564"/>
      <c r="B46" s="566"/>
      <c r="C46" s="566"/>
      <c r="D46" s="193"/>
      <c r="E46" s="567"/>
      <c r="F46" s="568"/>
      <c r="G46" s="568"/>
      <c r="H46" s="568"/>
      <c r="I46" s="568"/>
      <c r="J46" s="568"/>
      <c r="K46" s="568"/>
      <c r="L46" s="568"/>
      <c r="M46" s="575"/>
      <c r="N46" s="576"/>
      <c r="O46" s="577"/>
      <c r="P46" s="577"/>
      <c r="Q46" s="578"/>
      <c r="R46" s="284"/>
      <c r="S46" s="284"/>
      <c r="T46" s="284"/>
    </row>
    <row r="47">
      <c r="A47" s="564"/>
      <c r="B47" s="566"/>
      <c r="C47" s="566"/>
      <c r="D47" s="193"/>
      <c r="E47" s="567"/>
      <c r="F47" s="568"/>
      <c r="G47" s="568"/>
      <c r="H47" s="568"/>
      <c r="I47" s="568"/>
      <c r="J47" s="568"/>
      <c r="K47" s="568"/>
      <c r="L47" s="568"/>
      <c r="M47" s="575"/>
      <c r="N47" s="576"/>
      <c r="O47" s="579" t="s">
        <v>132</v>
      </c>
      <c r="P47" s="580">
        <v>0.4</v>
      </c>
      <c r="Q47" s="581" t="s">
        <v>201</v>
      </c>
      <c r="R47" s="142"/>
      <c r="S47" s="142"/>
      <c r="T47" s="582"/>
    </row>
    <row r="48">
      <c r="A48" s="564"/>
      <c r="B48" s="566"/>
      <c r="C48" s="566"/>
      <c r="D48" s="193"/>
      <c r="E48" s="567"/>
      <c r="F48" s="568"/>
      <c r="G48" s="568"/>
      <c r="H48" s="568"/>
      <c r="I48" s="568"/>
      <c r="J48" s="568"/>
      <c r="K48" s="568"/>
      <c r="L48" s="568"/>
      <c r="M48" s="575"/>
      <c r="N48" s="576"/>
      <c r="O48" s="583" t="s">
        <v>202</v>
      </c>
      <c r="P48" s="584">
        <v>0.8</v>
      </c>
      <c r="Q48" s="585" t="s">
        <v>203</v>
      </c>
      <c r="R48" s="586"/>
      <c r="S48" s="586"/>
      <c r="T48" s="587"/>
    </row>
    <row r="49">
      <c r="A49" s="564"/>
      <c r="B49" s="566"/>
      <c r="C49" s="566"/>
      <c r="D49" s="193"/>
      <c r="E49" s="567"/>
      <c r="F49" s="568"/>
      <c r="G49" s="568"/>
      <c r="H49" s="568"/>
      <c r="I49" s="568"/>
      <c r="J49" s="568"/>
      <c r="K49" s="568"/>
      <c r="L49" s="568"/>
      <c r="M49" s="575"/>
      <c r="N49" s="576"/>
      <c r="O49" s="588" t="s">
        <v>134</v>
      </c>
      <c r="P49" s="580">
        <v>0.05</v>
      </c>
      <c r="Q49" s="589" t="s">
        <v>204</v>
      </c>
      <c r="R49" s="142"/>
      <c r="S49" s="142"/>
      <c r="T49" s="582"/>
    </row>
    <row r="50">
      <c r="A50" s="564"/>
      <c r="B50" s="566"/>
      <c r="C50" s="566"/>
      <c r="D50" s="193"/>
      <c r="E50" s="567"/>
      <c r="F50" s="568"/>
      <c r="G50" s="568"/>
      <c r="H50" s="568"/>
      <c r="I50" s="568"/>
      <c r="J50" s="568"/>
      <c r="K50" s="568"/>
      <c r="L50" s="568"/>
      <c r="M50" s="575"/>
      <c r="N50" s="576"/>
      <c r="O50" s="591" t="s">
        <v>135</v>
      </c>
      <c r="P50" s="592">
        <v>0.1</v>
      </c>
      <c r="Q50" s="594" t="s">
        <v>205</v>
      </c>
      <c r="R50" s="586"/>
      <c r="S50" s="586"/>
      <c r="T50" s="587"/>
    </row>
    <row r="51">
      <c r="A51" s="564"/>
      <c r="B51" s="566"/>
      <c r="C51" s="566"/>
      <c r="D51" s="193"/>
      <c r="E51" s="567"/>
      <c r="F51" s="568"/>
      <c r="G51" s="568"/>
      <c r="H51" s="568"/>
      <c r="I51" s="568"/>
      <c r="J51" s="568"/>
      <c r="K51" s="568"/>
      <c r="L51" s="568"/>
      <c r="M51" s="575"/>
      <c r="N51" s="576"/>
      <c r="O51" s="596" t="s">
        <v>207</v>
      </c>
      <c r="Q51" s="597"/>
      <c r="R51" s="284"/>
      <c r="S51" s="284"/>
      <c r="T51" s="284"/>
    </row>
    <row r="52">
      <c r="A52" s="564"/>
      <c r="B52" s="566"/>
      <c r="C52" s="566"/>
      <c r="D52" s="193"/>
      <c r="E52" s="567"/>
      <c r="F52" s="568"/>
      <c r="G52" s="568"/>
      <c r="H52" s="568"/>
      <c r="I52" s="568"/>
      <c r="J52" s="568"/>
      <c r="K52" s="568"/>
      <c r="L52" s="568"/>
      <c r="M52" s="575"/>
      <c r="N52" s="576"/>
      <c r="O52" s="598"/>
      <c r="P52" s="599"/>
      <c r="Q52" s="600"/>
      <c r="R52" s="284"/>
      <c r="S52" s="284"/>
      <c r="T52" s="284"/>
    </row>
    <row r="53">
      <c r="A53" s="564"/>
      <c r="B53" s="566"/>
      <c r="C53" s="566"/>
      <c r="D53" s="193"/>
      <c r="E53" s="567"/>
      <c r="F53" s="568"/>
      <c r="G53" s="568"/>
      <c r="H53" s="568"/>
      <c r="I53" s="568"/>
      <c r="J53" s="568"/>
      <c r="K53" s="568"/>
      <c r="L53" s="568"/>
      <c r="M53" s="569"/>
      <c r="N53" s="601"/>
      <c r="O53" s="602"/>
      <c r="P53" s="603"/>
      <c r="Q53" s="284"/>
      <c r="R53" s="284"/>
      <c r="S53" s="284"/>
      <c r="T53" s="284"/>
    </row>
  </sheetData>
  <mergeCells count="5">
    <mergeCell ref="Q47:T47"/>
    <mergeCell ref="Q48:T48"/>
    <mergeCell ref="Q49:T49"/>
    <mergeCell ref="Q50:T50"/>
    <mergeCell ref="O51:P51"/>
  </mergeCells>
  <conditionalFormatting sqref="M2:N53">
    <cfRule type="cellIs" dxfId="21" priority="1" operator="equal">
      <formula>"S+"</formula>
    </cfRule>
  </conditionalFormatting>
  <conditionalFormatting sqref="M2:N53">
    <cfRule type="cellIs" dxfId="22" priority="2" operator="equal">
      <formula>"A+"</formula>
    </cfRule>
  </conditionalFormatting>
  <conditionalFormatting sqref="M2:N53">
    <cfRule type="cellIs" dxfId="22" priority="3" operator="equal">
      <formula>"A"</formula>
    </cfRule>
  </conditionalFormatting>
  <conditionalFormatting sqref="M2:N53">
    <cfRule type="cellIs" dxfId="22" priority="4" operator="equal">
      <formula>"A-"</formula>
    </cfRule>
  </conditionalFormatting>
  <conditionalFormatting sqref="M2:N53">
    <cfRule type="cellIs" dxfId="23" priority="5" operator="equal">
      <formula>"B+"</formula>
    </cfRule>
  </conditionalFormatting>
  <conditionalFormatting sqref="M2:N53">
    <cfRule type="cellIs" dxfId="23" priority="6" operator="equal">
      <formula>"B"</formula>
    </cfRule>
  </conditionalFormatting>
  <conditionalFormatting sqref="M2:N53">
    <cfRule type="cellIs" dxfId="23" priority="7" operator="equal">
      <formula>"B-"</formula>
    </cfRule>
  </conditionalFormatting>
  <conditionalFormatting sqref="M2:N53">
    <cfRule type="cellIs" dxfId="24" priority="8" operator="equal">
      <formula>"C+"</formula>
    </cfRule>
  </conditionalFormatting>
  <conditionalFormatting sqref="M2:N53">
    <cfRule type="cellIs" dxfId="24" priority="9" operator="equal">
      <formula>"C"</formula>
    </cfRule>
  </conditionalFormatting>
  <conditionalFormatting sqref="M2:N53">
    <cfRule type="cellIs" dxfId="24" priority="10" operator="equal">
      <formula>"C-"</formula>
    </cfRule>
  </conditionalFormatting>
  <conditionalFormatting sqref="M2:N53">
    <cfRule type="cellIs" dxfId="25" priority="11" operator="equal">
      <formula>"D+"</formula>
    </cfRule>
  </conditionalFormatting>
  <conditionalFormatting sqref="M2:N53">
    <cfRule type="cellIs" dxfId="25" priority="12" operator="equal">
      <formula>"D"</formula>
    </cfRule>
  </conditionalFormatting>
  <conditionalFormatting sqref="M2:N53">
    <cfRule type="cellIs" dxfId="25" priority="13" operator="equal">
      <formula>"D-"</formula>
    </cfRule>
  </conditionalFormatting>
  <conditionalFormatting sqref="M2:N53">
    <cfRule type="cellIs" dxfId="26" priority="14" operator="equal">
      <formula>"E+"</formula>
    </cfRule>
  </conditionalFormatting>
  <conditionalFormatting sqref="M2:N53">
    <cfRule type="cellIs" dxfId="26" priority="15" operator="equal">
      <formula>"E"</formula>
    </cfRule>
  </conditionalFormatting>
  <conditionalFormatting sqref="M2:N53">
    <cfRule type="cellIs" dxfId="26" priority="16" operator="equal">
      <formula>"E-"</formula>
    </cfRule>
  </conditionalFormatting>
  <conditionalFormatting sqref="M2:N53">
    <cfRule type="cellIs" dxfId="27" priority="17" operator="equal">
      <formula>"F+"</formula>
    </cfRule>
  </conditionalFormatting>
  <conditionalFormatting sqref="M2:N53">
    <cfRule type="cellIs" dxfId="21" priority="18" operator="equal">
      <formula>"S"</formula>
    </cfRule>
  </conditionalFormatting>
  <conditionalFormatting sqref="M2:N53">
    <cfRule type="cellIs" dxfId="21" priority="19" operator="equal">
      <formula>"S-"</formula>
    </cfRule>
  </conditionalFormatting>
  <conditionalFormatting sqref="M2:N53">
    <cfRule type="cellIs" dxfId="27" priority="20" operator="equal">
      <formula>"F"</formula>
    </cfRule>
  </conditionalFormatting>
  <conditionalFormatting sqref="M2:N53">
    <cfRule type="cellIs" dxfId="27" priority="21" operator="equal">
      <formula>"F-"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63"/>
    <col customWidth="1" min="3" max="3" width="6.38"/>
    <col customWidth="1" min="4" max="4" width="10.25"/>
    <col customWidth="1" min="5" max="5" width="9.5"/>
    <col customWidth="1" min="6" max="7" width="5.63"/>
    <col customWidth="1" min="8" max="8" width="6.13"/>
    <col customWidth="1" min="9" max="9" width="6.5"/>
    <col customWidth="1" min="10" max="10" width="5.63"/>
    <col customWidth="1" min="11" max="11" width="1.38"/>
    <col customWidth="1" min="12" max="12" width="14.0"/>
    <col customWidth="1" min="13" max="13" width="8.63"/>
    <col customWidth="1" min="14" max="14" width="6.38"/>
    <col customWidth="1" min="15" max="15" width="10.25"/>
    <col customWidth="1" min="16" max="16" width="9.5"/>
    <col customWidth="1" min="17" max="17" width="4.75"/>
    <col customWidth="1" min="18" max="18" width="4.5"/>
    <col customWidth="1" min="19" max="19" width="6.13"/>
    <col customWidth="1" min="20" max="20" width="6.5"/>
    <col customWidth="1" min="21" max="21" width="4.75"/>
    <col customWidth="1" min="22" max="22" width="10.0"/>
    <col customWidth="1" min="23" max="23" width="9.63"/>
    <col customWidth="1" min="24" max="24" width="9.0"/>
    <col customWidth="1" min="25" max="25" width="5.63"/>
    <col customWidth="1" min="26" max="26" width="9.75"/>
    <col customWidth="1" min="27" max="27" width="8.63"/>
    <col customWidth="1" min="28" max="28" width="7.88"/>
    <col customWidth="1" min="29" max="29" width="10.5"/>
    <col customWidth="1" min="30" max="30" width="10.25"/>
    <col customWidth="1" min="31" max="31" width="11.38"/>
    <col customWidth="1" min="32" max="32" width="9.5"/>
    <col customWidth="1" min="33" max="35" width="10.5"/>
  </cols>
  <sheetData>
    <row r="1">
      <c r="A1" s="243" t="s">
        <v>138</v>
      </c>
      <c r="B1" s="246" t="s">
        <v>139</v>
      </c>
      <c r="C1" s="246" t="s">
        <v>140</v>
      </c>
      <c r="D1" s="246" t="s">
        <v>134</v>
      </c>
      <c r="E1" s="246" t="s">
        <v>135</v>
      </c>
      <c r="F1" s="246" t="s">
        <v>141</v>
      </c>
      <c r="G1" s="246" t="s">
        <v>142</v>
      </c>
      <c r="H1" s="246" t="s">
        <v>143</v>
      </c>
      <c r="I1" s="246" t="s">
        <v>144</v>
      </c>
      <c r="J1" s="249" t="s">
        <v>145</v>
      </c>
      <c r="K1" s="252"/>
      <c r="L1" s="243" t="s">
        <v>138</v>
      </c>
      <c r="M1" s="246" t="s">
        <v>139</v>
      </c>
      <c r="N1" s="246" t="s">
        <v>140</v>
      </c>
      <c r="O1" s="246" t="s">
        <v>134</v>
      </c>
      <c r="P1" s="246" t="s">
        <v>135</v>
      </c>
      <c r="Q1" s="246" t="s">
        <v>141</v>
      </c>
      <c r="R1" s="246" t="s">
        <v>142</v>
      </c>
      <c r="S1" s="246" t="s">
        <v>143</v>
      </c>
      <c r="T1" s="246" t="s">
        <v>144</v>
      </c>
      <c r="U1" s="257" t="s">
        <v>145</v>
      </c>
      <c r="V1" s="260" t="s">
        <v>136</v>
      </c>
      <c r="W1" s="262" t="s">
        <v>137</v>
      </c>
      <c r="X1" s="265"/>
      <c r="Y1" s="267"/>
      <c r="Z1" s="265"/>
      <c r="AA1" s="246" t="s">
        <v>139</v>
      </c>
      <c r="AB1" s="246" t="s">
        <v>140</v>
      </c>
      <c r="AC1" s="246" t="s">
        <v>134</v>
      </c>
      <c r="AD1" s="246" t="s">
        <v>135</v>
      </c>
      <c r="AE1" s="246" t="s">
        <v>141</v>
      </c>
      <c r="AF1" s="246" t="s">
        <v>142</v>
      </c>
      <c r="AG1" s="246" t="s">
        <v>143</v>
      </c>
      <c r="AH1" s="246" t="s">
        <v>144</v>
      </c>
      <c r="AI1" s="257" t="s">
        <v>145</v>
      </c>
    </row>
    <row r="2">
      <c r="A2" s="272" t="str">
        <f>'Halo Infinite Stats'!$A2</f>
        <v>Ace B S1lentND1</v>
      </c>
      <c r="B2" s="275">
        <f>IFERROR(VLOOKUP($A2,'PG+ Stats'!$A:$W,2,0),)</f>
        <v>0.06048768194</v>
      </c>
      <c r="C2" s="275">
        <f>IFERROR(VLOOKUP($A2,'PG+ Stats'!$A:$W,3,0),)</f>
        <v>0.6010963392</v>
      </c>
      <c r="D2" s="275">
        <f>IFERROR(VLOOKUP($A2,'PG+ Stats'!$A:$W,4,0),)</f>
        <v>0.8468275471</v>
      </c>
      <c r="E2" s="275">
        <f>IFERROR(VLOOKUP($A2,'PG+ Stats'!$A:$W,5,0),)</f>
        <v>0.1398777645</v>
      </c>
      <c r="F2" s="275">
        <f>IFERROR(VLOOKUP($A2,'PG+ Stats'!$A:$W,6,0),)</f>
        <v>0.9526809905</v>
      </c>
      <c r="G2" s="275">
        <f>IFERROR(VLOOKUP($A2,'PG+ Stats'!$A:$W,7,0),)</f>
        <v>0.2873164892</v>
      </c>
      <c r="H2" s="275">
        <f>IFERROR(VLOOKUP($A2,'PG+ Stats'!$A:$W,8,0),)</f>
        <v>1.584021171</v>
      </c>
      <c r="I2" s="275">
        <f>IFERROR(VLOOKUP($A2,'PG+ Stats'!$A:$W,9,0),)</f>
        <v>0.07939008254</v>
      </c>
      <c r="J2" s="275">
        <f>IFERROR(VLOOKUP($A2,'PG+ Stats'!$A:$X,10,0),)</f>
        <v>4.196332934</v>
      </c>
      <c r="K2" s="284"/>
      <c r="L2" s="272" t="str">
        <f>'Halo Infinite Stats'!$A2</f>
        <v>Ace B S1lentND1</v>
      </c>
      <c r="M2" s="290" t="str">
        <f t="shared" ref="M2:M43" si="3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B+</v>
      </c>
      <c r="N2" s="29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S</v>
      </c>
      <c r="O2" s="290" t="str">
        <f t="shared" si="1"/>
        <v>S</v>
      </c>
      <c r="P2" s="290" t="str">
        <f t="shared" si="1"/>
        <v>S</v>
      </c>
      <c r="Q2" s="290" t="str">
        <f t="shared" si="1"/>
        <v>S+</v>
      </c>
      <c r="R2" s="290" t="str">
        <f t="shared" si="1"/>
        <v>S</v>
      </c>
      <c r="S2" s="290" t="str">
        <f t="shared" si="1"/>
        <v>S+</v>
      </c>
      <c r="T2" s="290" t="str">
        <f t="shared" si="1"/>
        <v>A-</v>
      </c>
      <c r="U2" s="290" t="str">
        <f t="shared" si="1"/>
        <v>S</v>
      </c>
      <c r="V2" s="288" t="str">
        <f t="shared" ref="V2:V43" si="5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S</v>
      </c>
      <c r="W2" s="289">
        <f t="shared" ref="W2:W43" si="6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27.3375</v>
      </c>
      <c r="X2" s="291" t="s">
        <v>147</v>
      </c>
      <c r="Y2" s="292" t="s">
        <v>148</v>
      </c>
      <c r="Z2" s="306" t="s">
        <v>150</v>
      </c>
      <c r="AA2" s="293">
        <f t="shared" ref="AA2:AI2" si="2">PERCENTILE(B2:B55,1)</f>
        <v>0.2410901468</v>
      </c>
      <c r="AB2" s="293">
        <f t="shared" si="2"/>
        <v>1.049957663</v>
      </c>
      <c r="AC2" s="293">
        <f t="shared" si="2"/>
        <v>0.9427039232</v>
      </c>
      <c r="AD2" s="293">
        <f t="shared" si="2"/>
        <v>0.1524132091</v>
      </c>
      <c r="AE2" s="293">
        <f t="shared" si="2"/>
        <v>0.9526809905</v>
      </c>
      <c r="AF2" s="293">
        <f t="shared" si="2"/>
        <v>0.3494535698</v>
      </c>
      <c r="AG2" s="293">
        <f t="shared" si="2"/>
        <v>1.584021171</v>
      </c>
      <c r="AH2" s="293">
        <f t="shared" si="2"/>
        <v>0.1354784081</v>
      </c>
      <c r="AI2" s="293">
        <f t="shared" si="2"/>
        <v>4.236633728</v>
      </c>
    </row>
    <row r="3">
      <c r="A3" s="272" t="str">
        <f>'Halo Infinite Stats'!$A3</f>
        <v>Almighty Tycoon</v>
      </c>
      <c r="B3" s="275">
        <f>IFERROR(VLOOKUP($A3,'PG+ Stats'!$A:$W,2,0),)</f>
        <v>0.05484460695</v>
      </c>
      <c r="C3" s="275">
        <f>IFERROR(VLOOKUP($A3,'PG+ Stats'!$A:$W,3,0),)</f>
        <v>-0.6691042048</v>
      </c>
      <c r="D3" s="275">
        <f>IFERROR(VLOOKUP($A3,'PG+ Stats'!$A:$W,4,0),)</f>
        <v>0.3729433272</v>
      </c>
      <c r="E3" s="275">
        <f>IFERROR(VLOOKUP($A3,'PG+ Stats'!$A:$W,5,0),)</f>
        <v>0.03290676417</v>
      </c>
      <c r="F3" s="275">
        <f>IFERROR(VLOOKUP($A3,'PG+ Stats'!$A:$W,6,0),)</f>
        <v>0.3784277879</v>
      </c>
      <c r="G3" s="275">
        <f>IFERROR(VLOOKUP($A3,'PG+ Stats'!$A:$W,7,0),)</f>
        <v>0.07129798903</v>
      </c>
      <c r="H3" s="275">
        <f>IFERROR(VLOOKUP($A3,'PG+ Stats'!$A:$W,8,0),)</f>
        <v>0.5100548446</v>
      </c>
      <c r="I3" s="275">
        <f>IFERROR(VLOOKUP($A3,'PG+ Stats'!$A:$W,9,0),)</f>
        <v>0.01645338208</v>
      </c>
      <c r="J3" s="275">
        <f>IFERROR(VLOOKUP($A3,'PG+ Stats'!$A:$X,10,0),)</f>
        <v>2.533820841</v>
      </c>
      <c r="K3" s="284"/>
      <c r="L3" s="272" t="str">
        <f>'Halo Infinite Stats'!$A3</f>
        <v>Almighty Tycoon</v>
      </c>
      <c r="M3" s="290" t="str">
        <f t="shared" si="3"/>
        <v>B</v>
      </c>
      <c r="N3" s="290" t="str">
        <f t="shared" ref="N3:U3" si="4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C+</v>
      </c>
      <c r="O3" s="290" t="str">
        <f t="shared" si="4"/>
        <v>D-</v>
      </c>
      <c r="P3" s="290" t="str">
        <f t="shared" si="4"/>
        <v>D+</v>
      </c>
      <c r="Q3" s="290" t="str">
        <f t="shared" si="4"/>
        <v>D-</v>
      </c>
      <c r="R3" s="290" t="str">
        <f t="shared" si="4"/>
        <v>E+</v>
      </c>
      <c r="S3" s="290" t="str">
        <f t="shared" si="4"/>
        <v>E+</v>
      </c>
      <c r="T3" s="290" t="str">
        <f t="shared" si="4"/>
        <v>F</v>
      </c>
      <c r="U3" s="290" t="str">
        <f t="shared" si="4"/>
        <v>D-</v>
      </c>
      <c r="V3" s="288" t="str">
        <f t="shared" si="5"/>
        <v>D</v>
      </c>
      <c r="W3" s="289">
        <f t="shared" si="6"/>
        <v>13.6125</v>
      </c>
      <c r="X3" s="303" t="s">
        <v>150</v>
      </c>
      <c r="Y3" s="305">
        <v>11.0</v>
      </c>
      <c r="Z3" s="311" t="s">
        <v>152</v>
      </c>
      <c r="AA3" s="293">
        <f t="shared" ref="AA3:AI3" si="7">PERCENTILE(B2:B55,0.95)</f>
        <v>0.1404169496</v>
      </c>
      <c r="AB3" s="293">
        <f t="shared" si="7"/>
        <v>0.597117883</v>
      </c>
      <c r="AC3" s="293">
        <f t="shared" si="7"/>
        <v>0.8053577446</v>
      </c>
      <c r="AD3" s="293">
        <f t="shared" si="7"/>
        <v>0.1283057647</v>
      </c>
      <c r="AE3" s="293">
        <f t="shared" si="7"/>
        <v>0.8154753926</v>
      </c>
      <c r="AF3" s="293">
        <f t="shared" si="7"/>
        <v>0.2849931899</v>
      </c>
      <c r="AG3" s="293">
        <f t="shared" si="7"/>
        <v>1.294342103</v>
      </c>
      <c r="AH3" s="293">
        <f t="shared" si="7"/>
        <v>0.105741714</v>
      </c>
      <c r="AI3" s="293">
        <f t="shared" si="7"/>
        <v>3.930226658</v>
      </c>
    </row>
    <row r="4">
      <c r="A4" s="272" t="str">
        <f>'Halo Infinite Stats'!$A4</f>
        <v>Amnatu</v>
      </c>
      <c r="B4" s="275">
        <f>IFERROR(VLOOKUP($A4,'PG+ Stats'!$A:$W,2,0),)</f>
        <v>0.04748087576</v>
      </c>
      <c r="C4" s="275">
        <f>IFERROR(VLOOKUP($A4,'PG+ Stats'!$A:$W,3,0),)</f>
        <v>-1.863624374</v>
      </c>
      <c r="D4" s="275">
        <f>IFERROR(VLOOKUP($A4,'PG+ Stats'!$A:$W,4,0),)</f>
        <v>0.2215774202</v>
      </c>
      <c r="E4" s="275">
        <f>IFERROR(VLOOKUP($A4,'PG+ Stats'!$A:$W,5,0),)</f>
        <v>0.01187021894</v>
      </c>
      <c r="F4" s="275">
        <f>IFERROR(VLOOKUP($A4,'PG+ Stats'!$A:$W,6,0),)</f>
        <v>0.1859667634</v>
      </c>
      <c r="G4" s="275">
        <f>IFERROR(VLOOKUP($A4,'PG+ Stats'!$A:$W,7,0),)</f>
        <v>0.03561065682</v>
      </c>
      <c r="H4" s="275">
        <f>IFERROR(VLOOKUP($A4,'PG+ Stats'!$A:$W,8,0),)</f>
        <v>0.2611448167</v>
      </c>
      <c r="I4" s="275">
        <f>IFERROR(VLOOKUP($A4,'PG+ Stats'!$A:$W,9,0),)</f>
        <v>0.03561065682</v>
      </c>
      <c r="J4" s="275">
        <f>IFERROR(VLOOKUP($A4,'PG+ Stats'!$A:$X,10,0),)</f>
        <v>1.586652598</v>
      </c>
      <c r="K4" s="284"/>
      <c r="L4" s="272" t="str">
        <f>'Halo Infinite Stats'!$A4</f>
        <v>Amnatu</v>
      </c>
      <c r="M4" s="290" t="str">
        <f t="shared" si="3"/>
        <v>C</v>
      </c>
      <c r="N4" s="290" t="str">
        <f t="shared" ref="N4:U4" si="8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F-</v>
      </c>
      <c r="O4" s="290" t="str">
        <f t="shared" si="8"/>
        <v>F</v>
      </c>
      <c r="P4" s="290" t="str">
        <f t="shared" si="8"/>
        <v>F+</v>
      </c>
      <c r="Q4" s="290" t="str">
        <f t="shared" si="8"/>
        <v>F-</v>
      </c>
      <c r="R4" s="290" t="str">
        <f t="shared" si="8"/>
        <v>F-</v>
      </c>
      <c r="S4" s="290" t="str">
        <f t="shared" si="8"/>
        <v>F-</v>
      </c>
      <c r="T4" s="290" t="str">
        <f t="shared" si="8"/>
        <v>F+</v>
      </c>
      <c r="U4" s="290" t="str">
        <f t="shared" si="8"/>
        <v>F-</v>
      </c>
      <c r="V4" s="288" t="str">
        <f t="shared" si="5"/>
        <v>F-</v>
      </c>
      <c r="W4" s="289">
        <f t="shared" si="6"/>
        <v>5.8</v>
      </c>
      <c r="X4" s="307" t="s">
        <v>152</v>
      </c>
      <c r="Y4" s="305">
        <v>10.5</v>
      </c>
      <c r="Z4" s="306" t="s">
        <v>154</v>
      </c>
      <c r="AA4" s="293">
        <f t="shared" ref="AA4:AI4" si="9">PERCENTILE(B2:B55,0.9)</f>
        <v>0.1228725436</v>
      </c>
      <c r="AB4" s="293">
        <f t="shared" si="9"/>
        <v>0.4607652431</v>
      </c>
      <c r="AC4" s="293">
        <f t="shared" si="9"/>
        <v>0.7160583172</v>
      </c>
      <c r="AD4" s="293">
        <f t="shared" si="9"/>
        <v>0.09704389479</v>
      </c>
      <c r="AE4" s="293">
        <f t="shared" si="9"/>
        <v>0.6895123985</v>
      </c>
      <c r="AF4" s="293">
        <f t="shared" si="9"/>
        <v>0.1864443501</v>
      </c>
      <c r="AG4" s="293">
        <f t="shared" si="9"/>
        <v>1.049920188</v>
      </c>
      <c r="AH4" s="293">
        <f t="shared" si="9"/>
        <v>0.0852591418</v>
      </c>
      <c r="AI4" s="293">
        <f t="shared" si="9"/>
        <v>3.659442597</v>
      </c>
    </row>
    <row r="5">
      <c r="A5" s="272" t="str">
        <f>'Halo Infinite Stats'!$A5</f>
        <v>ASpence501</v>
      </c>
      <c r="B5" s="275">
        <f>IFERROR(VLOOKUP($A5,'PG+ Stats'!$A:$W,2,0),)</f>
        <v>0.1407211961</v>
      </c>
      <c r="C5" s="275">
        <f>IFERROR(VLOOKUP($A5,'PG+ Stats'!$A:$W,3,0),)</f>
        <v>0.2257402521</v>
      </c>
      <c r="D5" s="275">
        <f>IFERROR(VLOOKUP($A5,'PG+ Stats'!$A:$W,4,0),)</f>
        <v>0.6156552331</v>
      </c>
      <c r="E5" s="275">
        <f>IFERROR(VLOOKUP($A5,'PG+ Stats'!$A:$W,5,0),)</f>
        <v>0.06449721489</v>
      </c>
      <c r="F5" s="275">
        <f>IFERROR(VLOOKUP($A5,'PG+ Stats'!$A:$W,6,0),)</f>
        <v>0.5394312518</v>
      </c>
      <c r="G5" s="275">
        <f>IFERROR(VLOOKUP($A5,'PG+ Stats'!$A:$W,7,0),)</f>
        <v>0.170038112</v>
      </c>
      <c r="H5" s="275">
        <f>IFERROR(VLOOKUP($A5,'PG+ Stats'!$A:$W,8,0),)</f>
        <v>0.8208736441</v>
      </c>
      <c r="I5" s="275">
        <f>IFERROR(VLOOKUP($A5,'PG+ Stats'!$A:$W,9,0),)</f>
        <v>0.1055408971</v>
      </c>
      <c r="J5" s="275">
        <f>IFERROR(VLOOKUP($A5,'PG+ Stats'!$A:$X,10,0),)</f>
        <v>3.32746995</v>
      </c>
      <c r="K5" s="284"/>
      <c r="L5" s="272" t="str">
        <f>'Halo Infinite Stats'!$A5</f>
        <v>ASpence501</v>
      </c>
      <c r="M5" s="290" t="str">
        <f t="shared" si="3"/>
        <v>S</v>
      </c>
      <c r="N5" s="290" t="str">
        <f t="shared" ref="N5:U5" si="10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A+</v>
      </c>
      <c r="O5" s="290" t="str">
        <f t="shared" si="10"/>
        <v>A-</v>
      </c>
      <c r="P5" s="290" t="str">
        <f t="shared" si="10"/>
        <v>A-</v>
      </c>
      <c r="Q5" s="290" t="str">
        <f t="shared" si="10"/>
        <v>A-</v>
      </c>
      <c r="R5" s="290" t="str">
        <f t="shared" si="10"/>
        <v>A</v>
      </c>
      <c r="S5" s="290" t="str">
        <f t="shared" si="10"/>
        <v>A-</v>
      </c>
      <c r="T5" s="290" t="str">
        <f t="shared" si="10"/>
        <v>S-</v>
      </c>
      <c r="U5" s="290" t="str">
        <f t="shared" si="10"/>
        <v>A+</v>
      </c>
      <c r="V5" s="288" t="str">
        <f t="shared" si="5"/>
        <v>S-</v>
      </c>
      <c r="W5" s="289">
        <f t="shared" si="6"/>
        <v>25.25</v>
      </c>
      <c r="X5" s="303" t="s">
        <v>154</v>
      </c>
      <c r="Y5" s="305">
        <v>10.0</v>
      </c>
      <c r="Z5" s="353" t="s">
        <v>156</v>
      </c>
      <c r="AA5" s="312">
        <f t="shared" ref="AA5:AI5" si="11">PERCENTILE(B2:B55,0.85)</f>
        <v>0.1056863888</v>
      </c>
      <c r="AB5" s="312">
        <f t="shared" si="11"/>
        <v>0.1098177914</v>
      </c>
      <c r="AC5" s="312">
        <f t="shared" si="11"/>
        <v>0.6794214007</v>
      </c>
      <c r="AD5" s="312">
        <f t="shared" si="11"/>
        <v>0.08305591113</v>
      </c>
      <c r="AE5" s="312">
        <f t="shared" si="11"/>
        <v>0.6164794967</v>
      </c>
      <c r="AF5" s="312">
        <f t="shared" si="11"/>
        <v>0.1820250798</v>
      </c>
      <c r="AG5" s="312">
        <f t="shared" si="11"/>
        <v>0.8982618478</v>
      </c>
      <c r="AH5" s="312">
        <f t="shared" si="11"/>
        <v>0.08166153569</v>
      </c>
      <c r="AI5" s="312">
        <f t="shared" si="11"/>
        <v>3.326452906</v>
      </c>
    </row>
    <row r="6">
      <c r="A6" s="272" t="str">
        <f>'Halo Infinite Stats'!$A6</f>
        <v>AwareMosquito</v>
      </c>
      <c r="B6" s="275">
        <f>IFERROR(VLOOKUP($A6,'PG+ Stats'!$A:$W,2,0),)</f>
        <v>0.0663088096</v>
      </c>
      <c r="C6" s="275">
        <f>IFERROR(VLOOKUP($A6,'PG+ Stats'!$A:$W,3,0),)</f>
        <v>-0.8714872119</v>
      </c>
      <c r="D6" s="275">
        <f>IFERROR(VLOOKUP($A6,'PG+ Stats'!$A:$W,4,0),)</f>
        <v>0.476002526</v>
      </c>
      <c r="E6" s="275">
        <f>IFERROR(VLOOKUP($A6,'PG+ Stats'!$A:$W,5,0),)</f>
        <v>0.02368171771</v>
      </c>
      <c r="F6" s="275">
        <f>IFERROR(VLOOKUP($A6,'PG+ Stats'!$A:$W,6,0),)</f>
        <v>0.3197031891</v>
      </c>
      <c r="G6" s="275">
        <f>IFERROR(VLOOKUP($A6,'PG+ Stats'!$A:$W,7,0),)</f>
        <v>0.05683612251</v>
      </c>
      <c r="H6" s="275">
        <f>IFERROR(VLOOKUP($A6,'PG+ Stats'!$A:$W,8,0),)</f>
        <v>0.4120618882</v>
      </c>
      <c r="I6" s="275">
        <f>IFERROR(VLOOKUP($A6,'PG+ Stats'!$A:$W,9,0),)</f>
        <v>0.02841806126</v>
      </c>
      <c r="J6" s="275">
        <f>IFERROR(VLOOKUP($A6,'PG+ Stats'!$A:$X,10,0),)</f>
        <v>2.40606252</v>
      </c>
      <c r="K6" s="284"/>
      <c r="L6" s="272" t="str">
        <f>'Halo Infinite Stats'!$A6</f>
        <v>AwareMosquito</v>
      </c>
      <c r="M6" s="290" t="str">
        <f t="shared" si="3"/>
        <v>B+</v>
      </c>
      <c r="N6" s="290" t="str">
        <f t="shared" ref="N6:U6" si="12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D+</v>
      </c>
      <c r="O6" s="290" t="str">
        <f t="shared" si="12"/>
        <v>C+</v>
      </c>
      <c r="P6" s="290" t="str">
        <f t="shared" si="12"/>
        <v>E+</v>
      </c>
      <c r="Q6" s="290" t="str">
        <f t="shared" si="12"/>
        <v>E-</v>
      </c>
      <c r="R6" s="290" t="str">
        <f t="shared" si="12"/>
        <v>F+</v>
      </c>
      <c r="S6" s="290" t="str">
        <f t="shared" si="12"/>
        <v>F+</v>
      </c>
      <c r="T6" s="290" t="str">
        <f t="shared" si="12"/>
        <v>F</v>
      </c>
      <c r="U6" s="290" t="str">
        <f t="shared" si="12"/>
        <v>E+</v>
      </c>
      <c r="V6" s="288" t="str">
        <f t="shared" si="5"/>
        <v>D</v>
      </c>
      <c r="W6" s="289">
        <f t="shared" si="6"/>
        <v>12.6125</v>
      </c>
      <c r="X6" s="321" t="s">
        <v>156</v>
      </c>
      <c r="Y6" s="324">
        <v>9.5</v>
      </c>
      <c r="Z6" s="375" t="s">
        <v>165</v>
      </c>
      <c r="AA6" s="327">
        <f t="shared" ref="AA6:AI6" si="13">PERCENTILE(B2:B55,0.8)</f>
        <v>0.07745522601</v>
      </c>
      <c r="AB6" s="327">
        <f t="shared" si="13"/>
        <v>-0.1425194737</v>
      </c>
      <c r="AC6" s="327">
        <f t="shared" si="13"/>
        <v>0.62293334</v>
      </c>
      <c r="AD6" s="327">
        <f t="shared" si="13"/>
        <v>0.07257456432</v>
      </c>
      <c r="AE6" s="327">
        <f t="shared" si="13"/>
        <v>0.5728678782</v>
      </c>
      <c r="AF6" s="327">
        <f t="shared" si="13"/>
        <v>0.1676635461</v>
      </c>
      <c r="AG6" s="327">
        <f t="shared" si="13"/>
        <v>0.8294437714</v>
      </c>
      <c r="AH6" s="327">
        <f t="shared" si="13"/>
        <v>0.08020393449</v>
      </c>
      <c r="AI6" s="327">
        <f t="shared" si="13"/>
        <v>3.311028869</v>
      </c>
    </row>
    <row r="7">
      <c r="A7" s="272" t="str">
        <f>'Halo Infinite Stats'!$A7</f>
        <v>Beam1n1</v>
      </c>
      <c r="B7" s="275">
        <f>IFERROR(VLOOKUP($A7,'PG+ Stats'!$A:$W,2,0),)</f>
        <v>0.03103983445</v>
      </c>
      <c r="C7" s="275">
        <f>IFERROR(VLOOKUP($A7,'PG+ Stats'!$A:$W,3,0),)</f>
        <v>-1.738230729</v>
      </c>
      <c r="D7" s="275">
        <f>IFERROR(VLOOKUP($A7,'PG+ Stats'!$A:$W,4,0),)</f>
        <v>0.4138644594</v>
      </c>
      <c r="E7" s="275">
        <f>IFERROR(VLOOKUP($A7,'PG+ Stats'!$A:$W,5,0),)</f>
        <v>0.03103983445</v>
      </c>
      <c r="F7" s="275">
        <f>IFERROR(VLOOKUP($A7,'PG+ Stats'!$A:$W,6,0),)</f>
        <v>0.362131402</v>
      </c>
      <c r="G7" s="275">
        <f>IFERROR(VLOOKUP($A7,'PG+ Stats'!$A:$W,7,0),)</f>
        <v>0.09311950336</v>
      </c>
      <c r="H7" s="275">
        <f>IFERROR(VLOOKUP($A7,'PG+ Stats'!$A:$W,8,0),)</f>
        <v>0.5380237972</v>
      </c>
      <c r="I7" s="275">
        <f>IFERROR(VLOOKUP($A7,'PG+ Stats'!$A:$W,9,0),)</f>
        <v>0.07242628039</v>
      </c>
      <c r="J7" s="275">
        <f>IFERROR(VLOOKUP($A7,'PG+ Stats'!$A:$X,10,0),)</f>
        <v>2.359027419</v>
      </c>
      <c r="K7" s="284"/>
      <c r="L7" s="272" t="str">
        <f>'Halo Infinite Stats'!$A7</f>
        <v>Beam1n1</v>
      </c>
      <c r="M7" s="290" t="str">
        <f t="shared" si="3"/>
        <v>D</v>
      </c>
      <c r="N7" s="290" t="str">
        <f t="shared" ref="N7:U7" si="14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F+</v>
      </c>
      <c r="O7" s="290" t="str">
        <f t="shared" si="14"/>
        <v>D+</v>
      </c>
      <c r="P7" s="290" t="str">
        <f t="shared" si="14"/>
        <v>D</v>
      </c>
      <c r="Q7" s="290" t="str">
        <f t="shared" si="14"/>
        <v>E+</v>
      </c>
      <c r="R7" s="290" t="str">
        <f t="shared" si="14"/>
        <v>D</v>
      </c>
      <c r="S7" s="290" t="str">
        <f t="shared" si="14"/>
        <v>D</v>
      </c>
      <c r="T7" s="290" t="str">
        <f t="shared" si="14"/>
        <v>B</v>
      </c>
      <c r="U7" s="290" t="str">
        <f t="shared" si="14"/>
        <v>E</v>
      </c>
      <c r="V7" s="288" t="str">
        <f t="shared" si="5"/>
        <v>E</v>
      </c>
      <c r="W7" s="289">
        <f t="shared" si="6"/>
        <v>10.9375</v>
      </c>
      <c r="X7" s="338" t="s">
        <v>158</v>
      </c>
      <c r="Y7" s="340">
        <v>9.0</v>
      </c>
      <c r="Z7" s="396" t="s">
        <v>159</v>
      </c>
      <c r="AA7" s="312">
        <f t="shared" ref="AA7:AI7" si="15">PERCENTILE(B2:B55,0.75)</f>
        <v>0.0674332797</v>
      </c>
      <c r="AB7" s="312">
        <f t="shared" si="15"/>
        <v>-0.2075646637</v>
      </c>
      <c r="AC7" s="312">
        <f t="shared" si="15"/>
        <v>0.5497007341</v>
      </c>
      <c r="AD7" s="312">
        <f t="shared" si="15"/>
        <v>0.06369517293</v>
      </c>
      <c r="AE7" s="312">
        <f t="shared" si="15"/>
        <v>0.5343125351</v>
      </c>
      <c r="AF7" s="312">
        <f t="shared" si="15"/>
        <v>0.1501215775</v>
      </c>
      <c r="AG7" s="312">
        <f t="shared" si="15"/>
        <v>0.7967939859</v>
      </c>
      <c r="AH7" s="312">
        <f t="shared" si="15"/>
        <v>0.077386153</v>
      </c>
      <c r="AI7" s="312">
        <f t="shared" si="15"/>
        <v>3.156827712</v>
      </c>
    </row>
    <row r="8">
      <c r="A8" s="272" t="str">
        <f>'Halo Infinite Stats'!$A8</f>
        <v>CaptainSev004</v>
      </c>
      <c r="B8" s="275">
        <f>IFERROR(VLOOKUP($A8,'PG+ Stats'!$A:$W,2,0),)</f>
        <v>0.07840342124</v>
      </c>
      <c r="C8" s="275">
        <f>IFERROR(VLOOKUP($A8,'PG+ Stats'!$A:$W,3,0),)</f>
        <v>-0.7448325018</v>
      </c>
      <c r="D8" s="275">
        <f>IFERROR(VLOOKUP($A8,'PG+ Stats'!$A:$W,4,0),)</f>
        <v>0.4062722737</v>
      </c>
      <c r="E8" s="275">
        <f>IFERROR(VLOOKUP($A8,'PG+ Stats'!$A:$W,5,0),)</f>
        <v>0.02138275125</v>
      </c>
      <c r="F8" s="275">
        <f>IFERROR(VLOOKUP($A8,'PG+ Stats'!$A:$W,6,0),)</f>
        <v>0.34212402</v>
      </c>
      <c r="G8" s="275">
        <f>IFERROR(VLOOKUP($A8,'PG+ Stats'!$A:$W,7,0),)</f>
        <v>0.1104775481</v>
      </c>
      <c r="H8" s="275">
        <f>IFERROR(VLOOKUP($A8,'PG+ Stats'!$A:$W,8,0),)</f>
        <v>0.5238774056</v>
      </c>
      <c r="I8" s="275">
        <f>IFERROR(VLOOKUP($A8,'PG+ Stats'!$A:$W,9,0),)</f>
        <v>0.08553100499</v>
      </c>
      <c r="J8" s="275">
        <f>IFERROR(VLOOKUP($A8,'PG+ Stats'!$A:$X,10,0),)</f>
        <v>2.33784747</v>
      </c>
      <c r="K8" s="284"/>
      <c r="L8" s="272" t="str">
        <f>'Halo Infinite Stats'!$A8</f>
        <v>CaptainSev004</v>
      </c>
      <c r="M8" s="290" t="str">
        <f t="shared" si="3"/>
        <v>A</v>
      </c>
      <c r="N8" s="290" t="str">
        <f t="shared" ref="N8:U8" si="16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C-</v>
      </c>
      <c r="O8" s="290" t="str">
        <f t="shared" si="16"/>
        <v>D</v>
      </c>
      <c r="P8" s="290" t="str">
        <f t="shared" si="16"/>
        <v>E+</v>
      </c>
      <c r="Q8" s="290" t="str">
        <f t="shared" si="16"/>
        <v>E</v>
      </c>
      <c r="R8" s="290" t="str">
        <f t="shared" si="16"/>
        <v>C</v>
      </c>
      <c r="S8" s="290" t="str">
        <f t="shared" si="16"/>
        <v>D-</v>
      </c>
      <c r="T8" s="290" t="str">
        <f t="shared" si="16"/>
        <v>S-</v>
      </c>
      <c r="U8" s="290" t="str">
        <f t="shared" si="16"/>
        <v>E-</v>
      </c>
      <c r="V8" s="288" t="str">
        <f t="shared" si="5"/>
        <v>C</v>
      </c>
      <c r="W8" s="289">
        <f t="shared" si="6"/>
        <v>14.725</v>
      </c>
      <c r="X8" s="321" t="s">
        <v>159</v>
      </c>
      <c r="Y8" s="324">
        <v>8.5</v>
      </c>
      <c r="Z8" s="413" t="s">
        <v>161</v>
      </c>
      <c r="AA8" s="346">
        <f t="shared" ref="AA8:AI8" si="17">PERCENTILE(B2:B55,0.7)</f>
        <v>0.05927617837</v>
      </c>
      <c r="AB8" s="346">
        <f t="shared" si="17"/>
        <v>-0.2700901657</v>
      </c>
      <c r="AC8" s="346">
        <f t="shared" si="17"/>
        <v>0.5061969547</v>
      </c>
      <c r="AD8" s="346">
        <f t="shared" si="17"/>
        <v>0.05674902589</v>
      </c>
      <c r="AE8" s="346">
        <f t="shared" si="17"/>
        <v>0.5052281926</v>
      </c>
      <c r="AF8" s="346">
        <f t="shared" si="17"/>
        <v>0.1439453107</v>
      </c>
      <c r="AG8" s="346">
        <f t="shared" si="17"/>
        <v>0.7324132341</v>
      </c>
      <c r="AH8" s="346">
        <f t="shared" si="17"/>
        <v>0.07316981709</v>
      </c>
      <c r="AI8" s="346">
        <f t="shared" si="17"/>
        <v>3.008294827</v>
      </c>
    </row>
    <row r="9">
      <c r="A9" s="272" t="str">
        <f>'Halo Infinite Stats'!$A9</f>
        <v>Clydrohsun</v>
      </c>
      <c r="B9" s="275">
        <f>IFERROR(VLOOKUP($A9,'PG+ Stats'!$A:$W,2,0),)</f>
        <v>0.04824443849</v>
      </c>
      <c r="C9" s="275">
        <f>IFERROR(VLOOKUP($A9,'PG+ Stats'!$A:$W,3,0),)</f>
        <v>-0.7236665773</v>
      </c>
      <c r="D9" s="275">
        <f>IFERROR(VLOOKUP($A9,'PG+ Stats'!$A:$W,4,0),)</f>
        <v>0.4985258644</v>
      </c>
      <c r="E9" s="275">
        <f>IFERROR(VLOOKUP($A9,'PG+ Stats'!$A:$W,5,0),)</f>
        <v>0.04824443849</v>
      </c>
      <c r="F9" s="275">
        <f>IFERROR(VLOOKUP($A9,'PG+ Stats'!$A:$W,6,0),)</f>
        <v>0.4181184669</v>
      </c>
      <c r="G9" s="275">
        <f>IFERROR(VLOOKUP($A9,'PG+ Stats'!$A:$W,7,0),)</f>
        <v>0.06432591798</v>
      </c>
      <c r="H9" s="275">
        <f>IFERROR(VLOOKUP($A9,'PG+ Stats'!$A:$W,8,0),)</f>
        <v>0.5306888234</v>
      </c>
      <c r="I9" s="275">
        <f>IFERROR(VLOOKUP($A9,'PG+ Stats'!$A:$W,9,0),)</f>
        <v>0.08040739748</v>
      </c>
      <c r="J9" s="275">
        <f>IFERROR(VLOOKUP($A9,'PG+ Stats'!$A:$X,10,0),)</f>
        <v>2.798177432</v>
      </c>
      <c r="K9" s="284"/>
      <c r="L9" s="272" t="str">
        <f>'Halo Infinite Stats'!$A9</f>
        <v>Clydrohsun</v>
      </c>
      <c r="M9" s="290" t="str">
        <f t="shared" si="3"/>
        <v>C+</v>
      </c>
      <c r="N9" s="290" t="str">
        <f t="shared" ref="N9:U9" si="18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C</v>
      </c>
      <c r="O9" s="290" t="str">
        <f t="shared" si="18"/>
        <v>B-</v>
      </c>
      <c r="P9" s="290" t="str">
        <f t="shared" si="18"/>
        <v>C+</v>
      </c>
      <c r="Q9" s="290" t="str">
        <f t="shared" si="18"/>
        <v>C</v>
      </c>
      <c r="R9" s="290" t="str">
        <f t="shared" si="18"/>
        <v>E-</v>
      </c>
      <c r="S9" s="290" t="str">
        <f t="shared" si="18"/>
        <v>D-</v>
      </c>
      <c r="T9" s="290" t="str">
        <f t="shared" si="18"/>
        <v>A</v>
      </c>
      <c r="U9" s="290" t="str">
        <f t="shared" si="18"/>
        <v>C-</v>
      </c>
      <c r="V9" s="288" t="str">
        <f t="shared" si="5"/>
        <v>C+</v>
      </c>
      <c r="W9" s="289">
        <f t="shared" si="6"/>
        <v>16.15</v>
      </c>
      <c r="X9" s="351" t="s">
        <v>161</v>
      </c>
      <c r="Y9" s="352">
        <v>8.0</v>
      </c>
      <c r="Z9" s="426" t="s">
        <v>180</v>
      </c>
      <c r="AA9" s="355">
        <f t="shared" ref="AA9:AI9" si="19">PERCENTILE(B2:B55,0.65)</f>
        <v>0.05409494046</v>
      </c>
      <c r="AB9" s="355">
        <f t="shared" si="19"/>
        <v>-0.4110921357</v>
      </c>
      <c r="AC9" s="355">
        <f t="shared" si="19"/>
        <v>0.5012408093</v>
      </c>
      <c r="AD9" s="355">
        <f t="shared" si="19"/>
        <v>0.05621857541</v>
      </c>
      <c r="AE9" s="355">
        <f t="shared" si="19"/>
        <v>0.4560634335</v>
      </c>
      <c r="AF9" s="355">
        <f t="shared" si="19"/>
        <v>0.1317411683</v>
      </c>
      <c r="AG9" s="355">
        <f t="shared" si="19"/>
        <v>0.6595500081</v>
      </c>
      <c r="AH9" s="355">
        <f t="shared" si="19"/>
        <v>0.06442881152</v>
      </c>
      <c r="AI9" s="355">
        <f t="shared" si="19"/>
        <v>2.971271705</v>
      </c>
    </row>
    <row r="10">
      <c r="A10" s="272" t="str">
        <f>'Halo Infinite Stats'!$A10</f>
        <v>DCleak</v>
      </c>
      <c r="B10" s="275">
        <f>IFERROR(VLOOKUP($A10,'PG+ Stats'!$A:$W,2,0),)</f>
        <v>0.03620455574</v>
      </c>
      <c r="C10" s="275">
        <f>IFERROR(VLOOKUP($A10,'PG+ Stats'!$A:$W,3,0),)</f>
        <v>-1.837381204</v>
      </c>
      <c r="D10" s="275">
        <f>IFERROR(VLOOKUP($A10,'PG+ Stats'!$A:$W,4,0),)</f>
        <v>0.696937698</v>
      </c>
      <c r="E10" s="275">
        <f>IFERROR(VLOOKUP($A10,'PG+ Stats'!$A:$W,5,0),)</f>
        <v>0.03620455574</v>
      </c>
      <c r="F10" s="275">
        <f>IFERROR(VLOOKUP($A10,'PG+ Stats'!$A:$W,6,0),)</f>
        <v>0.4254035299</v>
      </c>
      <c r="G10" s="275">
        <f>IFERROR(VLOOKUP($A10,'PG+ Stats'!$A:$W,7,0),)</f>
        <v>0.09956252828</v>
      </c>
      <c r="H10" s="275">
        <f>IFERROR(VLOOKUP($A10,'PG+ Stats'!$A:$W,8,0),)</f>
        <v>0.5702217529</v>
      </c>
      <c r="I10" s="275">
        <f>IFERROR(VLOOKUP($A10,'PG+ Stats'!$A:$W,9,0),)</f>
        <v>0.06335797254</v>
      </c>
      <c r="J10" s="275">
        <f>IFERROR(VLOOKUP($A10,'PG+ Stats'!$A:$X,10,0),)</f>
        <v>2.615779152</v>
      </c>
      <c r="K10" s="284"/>
      <c r="L10" s="272" t="str">
        <f>'Halo Infinite Stats'!$A10</f>
        <v>DCleak</v>
      </c>
      <c r="M10" s="290" t="str">
        <f t="shared" si="3"/>
        <v>D+</v>
      </c>
      <c r="N10" s="290" t="str">
        <f t="shared" ref="N10:U10" si="20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F</v>
      </c>
      <c r="O10" s="290" t="str">
        <f t="shared" si="20"/>
        <v>A+</v>
      </c>
      <c r="P10" s="290" t="str">
        <f t="shared" si="20"/>
        <v>C-</v>
      </c>
      <c r="Q10" s="290" t="str">
        <f t="shared" si="20"/>
        <v>C+</v>
      </c>
      <c r="R10" s="290" t="str">
        <f t="shared" si="20"/>
        <v>D+</v>
      </c>
      <c r="S10" s="290" t="str">
        <f t="shared" si="20"/>
        <v>D+</v>
      </c>
      <c r="T10" s="290" t="str">
        <f t="shared" si="20"/>
        <v>B-</v>
      </c>
      <c r="U10" s="290" t="str">
        <f t="shared" si="20"/>
        <v>D</v>
      </c>
      <c r="V10" s="288" t="str">
        <f t="shared" si="5"/>
        <v>C-</v>
      </c>
      <c r="W10" s="289">
        <f t="shared" si="6"/>
        <v>14.2</v>
      </c>
      <c r="X10" s="366" t="s">
        <v>164</v>
      </c>
      <c r="Y10" s="368">
        <v>7.5</v>
      </c>
      <c r="Z10" s="441" t="s">
        <v>166</v>
      </c>
      <c r="AA10" s="346">
        <f t="shared" ref="AA10:AI10" si="21">PERCENTILE(B2:B55,0.6)</f>
        <v>0.05108663308</v>
      </c>
      <c r="AB10" s="346">
        <f t="shared" si="21"/>
        <v>-0.5424850968</v>
      </c>
      <c r="AC10" s="346">
        <f t="shared" si="21"/>
        <v>0.4839020586</v>
      </c>
      <c r="AD10" s="346">
        <f t="shared" si="21"/>
        <v>0.05083676109</v>
      </c>
      <c r="AE10" s="346">
        <f t="shared" si="21"/>
        <v>0.4343832371</v>
      </c>
      <c r="AF10" s="346">
        <f t="shared" si="21"/>
        <v>0.12971859</v>
      </c>
      <c r="AG10" s="346">
        <f t="shared" si="21"/>
        <v>0.6130168632</v>
      </c>
      <c r="AH10" s="346">
        <f t="shared" si="21"/>
        <v>0.05970556523</v>
      </c>
      <c r="AI10" s="346">
        <f t="shared" si="21"/>
        <v>2.918638994</v>
      </c>
    </row>
    <row r="11">
      <c r="A11" s="272" t="str">
        <f>'Halo Infinite Stats'!$A11</f>
        <v>Deathcrawller</v>
      </c>
      <c r="B11" s="275">
        <f>IFERROR(VLOOKUP($A11,'PG+ Stats'!$A:$W,2,0),)</f>
        <v>0.02222810267</v>
      </c>
      <c r="C11" s="275">
        <f>IFERROR(VLOOKUP($A11,'PG+ Stats'!$A:$W,3,0),)</f>
        <v>-0.730351945</v>
      </c>
      <c r="D11" s="275">
        <f>IFERROR(VLOOKUP($A11,'PG+ Stats'!$A:$W,4,0),)</f>
        <v>0.3080179942</v>
      </c>
      <c r="E11" s="275">
        <f>IFERROR(VLOOKUP($A11,'PG+ Stats'!$A:$W,5,0),)</f>
        <v>0.01587721619</v>
      </c>
      <c r="F11" s="275">
        <f>IFERROR(VLOOKUP($A11,'PG+ Stats'!$A:$W,6,0),)</f>
        <v>0.3492987563</v>
      </c>
      <c r="G11" s="275">
        <f>IFERROR(VLOOKUP($A11,'PG+ Stats'!$A:$W,7,0),)</f>
        <v>0.06985975126</v>
      </c>
      <c r="H11" s="275">
        <f>IFERROR(VLOOKUP($A11,'PG+ Stats'!$A:$W,8,0),)</f>
        <v>0.4572638264</v>
      </c>
      <c r="I11" s="275">
        <f>IFERROR(VLOOKUP($A11,'PG+ Stats'!$A:$W,9,0),)</f>
        <v>0.04445620535</v>
      </c>
      <c r="J11" s="275">
        <f>IFERROR(VLOOKUP($A11,'PG+ Stats'!$A:$X,10,0),)</f>
        <v>2.432389521</v>
      </c>
      <c r="K11" s="284"/>
      <c r="L11" s="272" t="str">
        <f>'Halo Infinite Stats'!$A11</f>
        <v>Deathcrawller</v>
      </c>
      <c r="M11" s="290" t="str">
        <f t="shared" si="3"/>
        <v>E+</v>
      </c>
      <c r="N11" s="290" t="str">
        <f t="shared" ref="N11:U11" si="22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C-</v>
      </c>
      <c r="O11" s="290" t="str">
        <f t="shared" si="22"/>
        <v>E</v>
      </c>
      <c r="P11" s="290" t="str">
        <f t="shared" si="22"/>
        <v>E-</v>
      </c>
      <c r="Q11" s="290" t="str">
        <f t="shared" si="22"/>
        <v>E+</v>
      </c>
      <c r="R11" s="290" t="str">
        <f t="shared" si="22"/>
        <v>E</v>
      </c>
      <c r="S11" s="290" t="str">
        <f t="shared" si="22"/>
        <v>E</v>
      </c>
      <c r="T11" s="290" t="str">
        <f t="shared" si="22"/>
        <v>D-</v>
      </c>
      <c r="U11" s="290" t="str">
        <f t="shared" si="22"/>
        <v>E+</v>
      </c>
      <c r="V11" s="288" t="str">
        <f t="shared" si="5"/>
        <v>E</v>
      </c>
      <c r="W11" s="289">
        <f t="shared" si="6"/>
        <v>9.925</v>
      </c>
      <c r="X11" s="351" t="s">
        <v>166</v>
      </c>
      <c r="Y11" s="352">
        <v>7.0</v>
      </c>
      <c r="Z11" s="448" t="s">
        <v>168</v>
      </c>
      <c r="AA11" s="377">
        <f t="shared" ref="AA11:AI11" si="23">PERCENTILE(B2:B55,0.55)</f>
        <v>0.04790083526</v>
      </c>
      <c r="AB11" s="377">
        <f t="shared" si="23"/>
        <v>-0.6757929056</v>
      </c>
      <c r="AC11" s="377">
        <f t="shared" si="23"/>
        <v>0.4744807872</v>
      </c>
      <c r="AD11" s="377">
        <f t="shared" si="23"/>
        <v>0.04139198311</v>
      </c>
      <c r="AE11" s="377">
        <f t="shared" si="23"/>
        <v>0.4226964313</v>
      </c>
      <c r="AF11" s="377">
        <f t="shared" si="23"/>
        <v>0.1219125652</v>
      </c>
      <c r="AG11" s="377">
        <f t="shared" si="23"/>
        <v>0.5984338853</v>
      </c>
      <c r="AH11" s="377">
        <f t="shared" si="23"/>
        <v>0.0585614443</v>
      </c>
      <c r="AI11" s="377">
        <f t="shared" si="23"/>
        <v>2.849924054</v>
      </c>
    </row>
    <row r="12">
      <c r="A12" s="272" t="str">
        <f>'Halo Infinite Stats'!$A12</f>
        <v>Doerstopper</v>
      </c>
      <c r="B12" s="275">
        <f>IFERROR(VLOOKUP($A12,'PG+ Stats'!$A:$W,2,0),)</f>
        <v>0.06780810307</v>
      </c>
      <c r="C12" s="275">
        <f>IFERROR(VLOOKUP($A12,'PG+ Stats'!$A:$W,3,0),)</f>
        <v>-1.932530937</v>
      </c>
      <c r="D12" s="275">
        <f>IFERROR(VLOOKUP($A12,'PG+ Stats'!$A:$W,4,0),)</f>
        <v>0.3051364638</v>
      </c>
      <c r="E12" s="275">
        <f>IFERROR(VLOOKUP($A12,'PG+ Stats'!$A:$W,5,0),)</f>
        <v>0.006780810307</v>
      </c>
      <c r="F12" s="275">
        <f>IFERROR(VLOOKUP($A12,'PG+ Stats'!$A:$W,6,0),)</f>
        <v>0.3220884896</v>
      </c>
      <c r="G12" s="275">
        <f>IFERROR(VLOOKUP($A12,'PG+ Stats'!$A:$W,7,0),)</f>
        <v>0.07797931853</v>
      </c>
      <c r="H12" s="275">
        <f>IFERROR(VLOOKUP($A12,'PG+ Stats'!$A:$W,8,0),)</f>
        <v>0.4949991524</v>
      </c>
      <c r="I12" s="275">
        <f>IFERROR(VLOOKUP($A12,'PG+ Stats'!$A:$W,9,0),)</f>
        <v>0.03051364638</v>
      </c>
      <c r="J12" s="275">
        <f>IFERROR(VLOOKUP($A12,'PG+ Stats'!$A:$X,10,0),)</f>
        <v>2.305475504</v>
      </c>
      <c r="K12" s="284"/>
      <c r="L12" s="272" t="str">
        <f>'Halo Infinite Stats'!$A12</f>
        <v>Doerstopper</v>
      </c>
      <c r="M12" s="290" t="str">
        <f t="shared" si="3"/>
        <v>A-</v>
      </c>
      <c r="N12" s="290" t="str">
        <f t="shared" ref="N12:U12" si="2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F-</v>
      </c>
      <c r="O12" s="290" t="str">
        <f t="shared" si="24"/>
        <v>E-</v>
      </c>
      <c r="P12" s="290" t="str">
        <f t="shared" si="24"/>
        <v>F</v>
      </c>
      <c r="Q12" s="290" t="str">
        <f t="shared" si="24"/>
        <v>E-</v>
      </c>
      <c r="R12" s="290" t="str">
        <f t="shared" si="24"/>
        <v>E+</v>
      </c>
      <c r="S12" s="290" t="str">
        <f t="shared" si="24"/>
        <v>E+</v>
      </c>
      <c r="T12" s="290" t="str">
        <f t="shared" si="24"/>
        <v>F+</v>
      </c>
      <c r="U12" s="290" t="str">
        <f t="shared" si="24"/>
        <v>E-</v>
      </c>
      <c r="V12" s="288" t="str">
        <f t="shared" si="5"/>
        <v>E-</v>
      </c>
      <c r="W12" s="289">
        <f t="shared" si="6"/>
        <v>9.2</v>
      </c>
      <c r="X12" s="389" t="s">
        <v>168</v>
      </c>
      <c r="Y12" s="391">
        <v>6.5</v>
      </c>
      <c r="Z12" s="461" t="s">
        <v>189</v>
      </c>
      <c r="AA12" s="392">
        <f t="shared" ref="AA12:AI12" si="25">PERCENTILE(B2:B55,0.5)</f>
        <v>0.04366864868</v>
      </c>
      <c r="AB12" s="392">
        <f t="shared" si="25"/>
        <v>-0.7270092611</v>
      </c>
      <c r="AC12" s="392">
        <f t="shared" si="25"/>
        <v>0.4612531282</v>
      </c>
      <c r="AD12" s="392">
        <f t="shared" si="25"/>
        <v>0.03788170726</v>
      </c>
      <c r="AE12" s="392">
        <f t="shared" si="25"/>
        <v>0.4169558093</v>
      </c>
      <c r="AF12" s="392">
        <f t="shared" si="25"/>
        <v>0.109746637</v>
      </c>
      <c r="AG12" s="392">
        <f t="shared" si="25"/>
        <v>0.5821539084</v>
      </c>
      <c r="AH12" s="392">
        <f t="shared" si="25"/>
        <v>0.05673199166</v>
      </c>
      <c r="AI12" s="392">
        <f t="shared" si="25"/>
        <v>2.804490629</v>
      </c>
    </row>
    <row r="13">
      <c r="A13" s="272" t="str">
        <f>'Halo Infinite Stats'!$A13</f>
        <v>Fanciest Pants</v>
      </c>
      <c r="B13" s="275">
        <f>IFERROR(VLOOKUP($A13,'PG+ Stats'!$A:$W,2,0),)</f>
        <v>0.03141155684</v>
      </c>
      <c r="C13" s="275">
        <f>IFERROR(VLOOKUP($A13,'PG+ Stats'!$A:$W,3,0),)</f>
        <v>0.4868791309</v>
      </c>
      <c r="D13" s="275">
        <f>IFERROR(VLOOKUP($A13,'PG+ Stats'!$A:$W,4,0),)</f>
        <v>0.6832013612</v>
      </c>
      <c r="E13" s="275">
        <f>IFERROR(VLOOKUP($A13,'PG+ Stats'!$A:$W,5,0),)</f>
        <v>0.1295726719</v>
      </c>
      <c r="F13" s="275">
        <f>IFERROR(VLOOKUP($A13,'PG+ Stats'!$A:$W,6,0),)</f>
        <v>0.9070087036</v>
      </c>
      <c r="G13" s="275">
        <f>IFERROR(VLOOKUP($A13,'PG+ Stats'!$A:$W,7,0),)</f>
        <v>0.3494535698</v>
      </c>
      <c r="H13" s="275">
        <f>IFERROR(VLOOKUP($A13,'PG+ Stats'!$A:$W,8,0),)</f>
        <v>1.566651397</v>
      </c>
      <c r="I13" s="275">
        <f>IFERROR(VLOOKUP($A13,'PG+ Stats'!$A:$W,9,0),)</f>
        <v>0.04711733525</v>
      </c>
      <c r="J13" s="275">
        <f>IFERROR(VLOOKUP($A13,'PG+ Stats'!$A:$X,10,0),)</f>
        <v>4.236633728</v>
      </c>
      <c r="K13" s="284"/>
      <c r="L13" s="272" t="str">
        <f>'Halo Infinite Stats'!$A13</f>
        <v>Fanciest Pants</v>
      </c>
      <c r="M13" s="290" t="str">
        <f t="shared" si="3"/>
        <v>D</v>
      </c>
      <c r="N13" s="290" t="str">
        <f t="shared" ref="N13:U13" si="26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S-</v>
      </c>
      <c r="O13" s="290" t="str">
        <f t="shared" si="26"/>
        <v>A+</v>
      </c>
      <c r="P13" s="290" t="str">
        <f t="shared" si="26"/>
        <v>S</v>
      </c>
      <c r="Q13" s="290" t="str">
        <f t="shared" si="26"/>
        <v>S</v>
      </c>
      <c r="R13" s="290" t="str">
        <f t="shared" si="26"/>
        <v>S+</v>
      </c>
      <c r="S13" s="290" t="str">
        <f t="shared" si="26"/>
        <v>S</v>
      </c>
      <c r="T13" s="290" t="str">
        <f t="shared" si="26"/>
        <v>D</v>
      </c>
      <c r="U13" s="290" t="str">
        <f t="shared" si="26"/>
        <v>S+</v>
      </c>
      <c r="V13" s="288" t="str">
        <f t="shared" si="5"/>
        <v>A+</v>
      </c>
      <c r="W13" s="289">
        <f t="shared" si="6"/>
        <v>24.4625</v>
      </c>
      <c r="X13" s="401" t="s">
        <v>171</v>
      </c>
      <c r="Y13" s="404">
        <v>6.0</v>
      </c>
      <c r="Z13" s="469" t="s">
        <v>173</v>
      </c>
      <c r="AA13" s="377">
        <f t="shared" ref="AA13:AI13" si="27">PERCENTILE(B2:B55,0.45)</f>
        <v>0.03801921419</v>
      </c>
      <c r="AB13" s="377">
        <f t="shared" si="27"/>
        <v>-0.7801417001</v>
      </c>
      <c r="AC13" s="377">
        <f t="shared" si="27"/>
        <v>0.434145819</v>
      </c>
      <c r="AD13" s="377">
        <f t="shared" si="27"/>
        <v>0.03461574468</v>
      </c>
      <c r="AE13" s="377">
        <f t="shared" si="27"/>
        <v>0.4108021685</v>
      </c>
      <c r="AF13" s="377">
        <f t="shared" si="27"/>
        <v>0.1010010652</v>
      </c>
      <c r="AG13" s="377">
        <f t="shared" si="27"/>
        <v>0.5757213732</v>
      </c>
      <c r="AH13" s="377">
        <f t="shared" si="27"/>
        <v>0.05604178528</v>
      </c>
      <c r="AI13" s="377">
        <f t="shared" si="27"/>
        <v>2.718289079</v>
      </c>
    </row>
    <row r="14">
      <c r="A14" s="272" t="str">
        <f>'Halo Infinite Stats'!$A14</f>
        <v>GeneralCornBeef</v>
      </c>
      <c r="B14" s="275">
        <f>IFERROR(VLOOKUP($A14,'PG+ Stats'!$A:$W,2,0),)</f>
        <v>0.02403460984</v>
      </c>
      <c r="C14" s="275">
        <f>IFERROR(VLOOKUP($A14,'PG+ Stats'!$A:$W,3,0),)</f>
        <v>-1.139240506</v>
      </c>
      <c r="D14" s="275">
        <f>IFERROR(VLOOKUP($A14,'PG+ Stats'!$A:$W,4,0),)</f>
        <v>0.3509053036</v>
      </c>
      <c r="E14" s="275">
        <f>IFERROR(VLOOKUP($A14,'PG+ Stats'!$A:$W,5,0),)</f>
        <v>0.02403460984</v>
      </c>
      <c r="F14" s="275">
        <f>IFERROR(VLOOKUP($A14,'PG+ Stats'!$A:$W,6,0),)</f>
        <v>0.4085883672</v>
      </c>
      <c r="G14" s="275">
        <f>IFERROR(VLOOKUP($A14,'PG+ Stats'!$A:$W,7,0),)</f>
        <v>0.08652459542</v>
      </c>
      <c r="H14" s="275">
        <f>IFERROR(VLOOKUP($A14,'PG+ Stats'!$A:$W,8,0),)</f>
        <v>0.5816375581</v>
      </c>
      <c r="I14" s="275">
        <f>IFERROR(VLOOKUP($A14,'PG+ Stats'!$A:$W,9,0),)</f>
        <v>0.1057522833</v>
      </c>
      <c r="J14" s="275">
        <f>IFERROR(VLOOKUP($A14,'PG+ Stats'!$A:$X,10,0),)</f>
        <v>2.864925493</v>
      </c>
      <c r="K14" s="284"/>
      <c r="L14" s="272" t="str">
        <f>'Halo Infinite Stats'!$A14</f>
        <v>GeneralCornBeef</v>
      </c>
      <c r="M14" s="290" t="str">
        <f t="shared" si="3"/>
        <v>D-</v>
      </c>
      <c r="N14" s="290" t="str">
        <f t="shared" ref="N14:U14" si="28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E</v>
      </c>
      <c r="O14" s="290" t="str">
        <f t="shared" si="28"/>
        <v>E+</v>
      </c>
      <c r="P14" s="290" t="str">
        <f t="shared" si="28"/>
        <v>D-</v>
      </c>
      <c r="Q14" s="290" t="str">
        <f t="shared" si="28"/>
        <v>D+</v>
      </c>
      <c r="R14" s="290" t="str">
        <f t="shared" si="28"/>
        <v>D-</v>
      </c>
      <c r="S14" s="290" t="str">
        <f t="shared" si="28"/>
        <v>C-</v>
      </c>
      <c r="T14" s="290" t="str">
        <f t="shared" si="28"/>
        <v>S</v>
      </c>
      <c r="U14" s="290" t="str">
        <f t="shared" si="28"/>
        <v>C+</v>
      </c>
      <c r="V14" s="288" t="str">
        <f t="shared" si="5"/>
        <v>D-</v>
      </c>
      <c r="W14" s="289">
        <f t="shared" si="6"/>
        <v>12.3375</v>
      </c>
      <c r="X14" s="389" t="s">
        <v>173</v>
      </c>
      <c r="Y14" s="391">
        <v>5.5</v>
      </c>
      <c r="Z14" s="494" t="s">
        <v>175</v>
      </c>
      <c r="AA14" s="409">
        <f t="shared" ref="AA14:AI14" si="29">PERCENTILE(B2:B55,0.4)</f>
        <v>0.0333287564</v>
      </c>
      <c r="AB14" s="409">
        <f t="shared" si="29"/>
        <v>-0.8775764665</v>
      </c>
      <c r="AC14" s="409">
        <f t="shared" si="29"/>
        <v>0.409309148</v>
      </c>
      <c r="AD14" s="409">
        <f t="shared" si="29"/>
        <v>0.03178660634</v>
      </c>
      <c r="AE14" s="409">
        <f t="shared" si="29"/>
        <v>0.3926515542</v>
      </c>
      <c r="AF14" s="409">
        <f t="shared" si="29"/>
        <v>0.09417483217</v>
      </c>
      <c r="AG14" s="409">
        <f t="shared" si="29"/>
        <v>0.5579898544</v>
      </c>
      <c r="AH14" s="409">
        <f t="shared" si="29"/>
        <v>0.04939716172</v>
      </c>
      <c r="AI14" s="409">
        <f t="shared" si="29"/>
        <v>2.650602759</v>
      </c>
    </row>
    <row r="15">
      <c r="A15" s="272" t="str">
        <f>'Halo Infinite Stats'!$A15</f>
        <v>Grunt Padre</v>
      </c>
      <c r="B15" s="275">
        <f>IFERROR(VLOOKUP($A15,'PG+ Stats'!$A:$W,2,0),)</f>
        <v>0.01561361507</v>
      </c>
      <c r="C15" s="275">
        <f>IFERROR(VLOOKUP($A15,'PG+ Stats'!$A:$W,3,0),)</f>
        <v>-0.9930259186</v>
      </c>
      <c r="D15" s="275">
        <f>IFERROR(VLOOKUP($A15,'PG+ Stats'!$A:$W,4,0),)</f>
        <v>0.4715311752</v>
      </c>
      <c r="E15" s="275">
        <f>IFERROR(VLOOKUP($A15,'PG+ Stats'!$A:$W,5,0),)</f>
        <v>0.03434995316</v>
      </c>
      <c r="F15" s="275">
        <f>IFERROR(VLOOKUP($A15,'PG+ Stats'!$A:$W,6,0),)</f>
        <v>0.5152492974</v>
      </c>
      <c r="G15" s="275">
        <f>IFERROR(VLOOKUP($A15,'PG+ Stats'!$A:$W,7,0),)</f>
        <v>0.1373998126</v>
      </c>
      <c r="H15" s="275">
        <f>IFERROR(VLOOKUP($A15,'PG+ Stats'!$A:$W,8,0),)</f>
        <v>0.7494535235</v>
      </c>
      <c r="I15" s="275">
        <f>IFERROR(VLOOKUP($A15,'PG+ Stats'!$A:$W,9,0),)</f>
        <v>0.05620901426</v>
      </c>
      <c r="J15" s="275">
        <f>IFERROR(VLOOKUP($A15,'PG+ Stats'!$A:$X,10,0),)</f>
        <v>3.119600291</v>
      </c>
      <c r="K15" s="284"/>
      <c r="L15" s="272" t="str">
        <f>'Halo Infinite Stats'!$A15</f>
        <v>Grunt Padre</v>
      </c>
      <c r="M15" s="290" t="str">
        <f t="shared" si="3"/>
        <v>F+</v>
      </c>
      <c r="N15" s="290" t="str">
        <f t="shared" ref="N15:U15" si="30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D-</v>
      </c>
      <c r="O15" s="290" t="str">
        <f t="shared" si="30"/>
        <v>C</v>
      </c>
      <c r="P15" s="290" t="str">
        <f t="shared" si="30"/>
        <v>D+</v>
      </c>
      <c r="Q15" s="290" t="str">
        <f t="shared" si="30"/>
        <v>B+</v>
      </c>
      <c r="R15" s="290" t="str">
        <f t="shared" si="30"/>
        <v>B</v>
      </c>
      <c r="S15" s="290" t="str">
        <f t="shared" si="30"/>
        <v>B+</v>
      </c>
      <c r="T15" s="290" t="str">
        <f t="shared" si="30"/>
        <v>C-</v>
      </c>
      <c r="U15" s="290" t="str">
        <f t="shared" si="30"/>
        <v>B+</v>
      </c>
      <c r="V15" s="288" t="str">
        <f t="shared" si="5"/>
        <v>C</v>
      </c>
      <c r="W15" s="289">
        <f t="shared" si="6"/>
        <v>14.8375</v>
      </c>
      <c r="X15" s="414" t="s">
        <v>175</v>
      </c>
      <c r="Y15" s="417">
        <v>5.0</v>
      </c>
      <c r="Z15" s="515" t="s">
        <v>196</v>
      </c>
      <c r="AA15" s="418">
        <f t="shared" ref="AA15:AI15" si="31">PERCENTILE(B2:B55,0.35)</f>
        <v>0.03076190124</v>
      </c>
      <c r="AB15" s="418">
        <f t="shared" si="31"/>
        <v>-0.9645198277</v>
      </c>
      <c r="AC15" s="418">
        <f t="shared" si="31"/>
        <v>0.3809530608</v>
      </c>
      <c r="AD15" s="418">
        <f t="shared" si="31"/>
        <v>0.0266692942</v>
      </c>
      <c r="AE15" s="418">
        <f t="shared" si="31"/>
        <v>0.3795469668</v>
      </c>
      <c r="AF15" s="418">
        <f t="shared" si="31"/>
        <v>0.08838384416</v>
      </c>
      <c r="AG15" s="418">
        <f t="shared" si="31"/>
        <v>0.5332560642</v>
      </c>
      <c r="AH15" s="418">
        <f t="shared" si="31"/>
        <v>0.04534733287</v>
      </c>
      <c r="AI15" s="418">
        <f t="shared" si="31"/>
        <v>2.583247817</v>
      </c>
    </row>
    <row r="16">
      <c r="A16" s="272" t="str">
        <f>'Halo Infinite Stats'!$A16</f>
        <v>Holy Morals</v>
      </c>
      <c r="B16" s="275">
        <f>IFERROR(VLOOKUP($A16,'PG+ Stats'!$A:$W,2,0),)</f>
        <v>0.2410901468</v>
      </c>
      <c r="C16" s="275">
        <f>IFERROR(VLOOKUP($A16,'PG+ Stats'!$A:$W,3,0),)</f>
        <v>-0.1292802236</v>
      </c>
      <c r="D16" s="275">
        <f>IFERROR(VLOOKUP($A16,'PG+ Stats'!$A:$W,4,0),)</f>
        <v>0.4891684137</v>
      </c>
      <c r="E16" s="275">
        <f>IFERROR(VLOOKUP($A16,'PG+ Stats'!$A:$W,5,0),)</f>
        <v>0.05590496157</v>
      </c>
      <c r="F16" s="275">
        <f>IFERROR(VLOOKUP($A16,'PG+ Stats'!$A:$W,6,0),)</f>
        <v>0.4157931516</v>
      </c>
      <c r="G16" s="275">
        <f>IFERROR(VLOOKUP($A16,'PG+ Stats'!$A:$W,7,0),)</f>
        <v>0.1292802236</v>
      </c>
      <c r="H16" s="275">
        <f>IFERROR(VLOOKUP($A16,'PG+ Stats'!$A:$W,8,0),)</f>
        <v>0.5939902166</v>
      </c>
      <c r="I16" s="275">
        <f>IFERROR(VLOOKUP($A16,'PG+ Stats'!$A:$W,9,0),)</f>
        <v>0.03843466108</v>
      </c>
      <c r="J16" s="275">
        <f>IFERROR(VLOOKUP($A16,'PG+ Stats'!$A:$X,10,0),)</f>
        <v>2.613556953</v>
      </c>
      <c r="K16" s="284"/>
      <c r="L16" s="272" t="str">
        <f>'Halo Infinite Stats'!$A16</f>
        <v>Holy Morals</v>
      </c>
      <c r="M16" s="290" t="str">
        <f t="shared" si="3"/>
        <v>S+</v>
      </c>
      <c r="N16" s="290" t="str">
        <f t="shared" ref="N16:U16" si="32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A</v>
      </c>
      <c r="O16" s="290" t="str">
        <f t="shared" si="32"/>
        <v>B-</v>
      </c>
      <c r="P16" s="290" t="str">
        <f t="shared" si="32"/>
        <v>B-</v>
      </c>
      <c r="Q16" s="290" t="str">
        <f t="shared" si="32"/>
        <v>C-</v>
      </c>
      <c r="R16" s="290" t="str">
        <f t="shared" si="32"/>
        <v>C+</v>
      </c>
      <c r="S16" s="290" t="str">
        <f t="shared" si="32"/>
        <v>C</v>
      </c>
      <c r="T16" s="290" t="str">
        <f t="shared" si="32"/>
        <v>E-</v>
      </c>
      <c r="U16" s="290" t="str">
        <f t="shared" si="32"/>
        <v>D</v>
      </c>
      <c r="V16" s="288" t="str">
        <f t="shared" si="5"/>
        <v>B+</v>
      </c>
      <c r="W16" s="289">
        <f t="shared" si="6"/>
        <v>20.1125</v>
      </c>
      <c r="X16" s="423" t="s">
        <v>179</v>
      </c>
      <c r="Y16" s="424">
        <v>4.5</v>
      </c>
      <c r="Z16" s="525" t="s">
        <v>181</v>
      </c>
      <c r="AA16" s="425">
        <f t="shared" ref="AA16:AI16" si="33">PERCENTILE(B2:B55,0.3)</f>
        <v>0.02277005482</v>
      </c>
      <c r="AB16" s="425">
        <f t="shared" si="33"/>
        <v>-1.037426558</v>
      </c>
      <c r="AC16" s="425">
        <f t="shared" si="33"/>
        <v>0.3552436079</v>
      </c>
      <c r="AD16" s="425">
        <f t="shared" si="33"/>
        <v>0.02378758535</v>
      </c>
      <c r="AE16" s="425">
        <f t="shared" si="33"/>
        <v>0.3659139106</v>
      </c>
      <c r="AF16" s="425">
        <f t="shared" si="33"/>
        <v>0.08002721908</v>
      </c>
      <c r="AG16" s="425">
        <f t="shared" si="33"/>
        <v>0.5142016129</v>
      </c>
      <c r="AH16" s="425">
        <f t="shared" si="33"/>
        <v>0.04389713325</v>
      </c>
      <c r="AI16" s="425">
        <f t="shared" si="33"/>
        <v>2.462818917</v>
      </c>
    </row>
    <row r="17">
      <c r="A17" s="272" t="str">
        <f>'Halo Infinite Stats'!$A17</f>
        <v>ill Shrek u</v>
      </c>
      <c r="B17" s="275">
        <f>IFERROR(VLOOKUP($A17,'PG+ Stats'!$A:$W,2,0),)</f>
        <v>0.04886911848</v>
      </c>
      <c r="C17" s="275">
        <f>IFERROR(VLOOKUP($A17,'PG+ Stats'!$A:$W,3,0),)</f>
        <v>-0.1954764739</v>
      </c>
      <c r="D17" s="275">
        <f>IFERROR(VLOOKUP($A17,'PG+ Stats'!$A:$W,4,0),)</f>
        <v>0.5074869996</v>
      </c>
      <c r="E17" s="275">
        <f>IFERROR(VLOOKUP($A17,'PG+ Stats'!$A:$W,5,0),)</f>
        <v>0.0563874444</v>
      </c>
      <c r="F17" s="275">
        <f>IFERROR(VLOOKUP($A17,'PG+ Stats'!$A:$W,6,0),)</f>
        <v>0.4135079256</v>
      </c>
      <c r="G17" s="275">
        <f>IFERROR(VLOOKUP($A17,'PG+ Stats'!$A:$W,7,0),)</f>
        <v>0.1090157258</v>
      </c>
      <c r="H17" s="275">
        <f>IFERROR(VLOOKUP($A17,'PG+ Stats'!$A:$W,8,0),)</f>
        <v>0.5826702588</v>
      </c>
      <c r="I17" s="275">
        <f>IFERROR(VLOOKUP($A17,'PG+ Stats'!$A:$W,9,0),)</f>
        <v>0.04135079256</v>
      </c>
      <c r="J17" s="275">
        <f>IFERROR(VLOOKUP($A17,'PG+ Stats'!$A:$X,10,0),)</f>
        <v>2.702838168</v>
      </c>
      <c r="K17" s="284"/>
      <c r="L17" s="272" t="str">
        <f>'Halo Infinite Stats'!$A17</f>
        <v>ill Shrek u</v>
      </c>
      <c r="M17" s="290" t="str">
        <f t="shared" si="3"/>
        <v>C+</v>
      </c>
      <c r="N17" s="290" t="str">
        <f t="shared" ref="N17:U17" si="34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A-</v>
      </c>
      <c r="O17" s="290" t="str">
        <f t="shared" si="34"/>
        <v>B+</v>
      </c>
      <c r="P17" s="290" t="str">
        <f t="shared" si="34"/>
        <v>B</v>
      </c>
      <c r="Q17" s="290" t="str">
        <f t="shared" si="34"/>
        <v>C-</v>
      </c>
      <c r="R17" s="290" t="str">
        <f t="shared" si="34"/>
        <v>C-</v>
      </c>
      <c r="S17" s="290" t="str">
        <f t="shared" si="34"/>
        <v>C</v>
      </c>
      <c r="T17" s="290" t="str">
        <f t="shared" si="34"/>
        <v>E</v>
      </c>
      <c r="U17" s="290" t="str">
        <f t="shared" si="34"/>
        <v>D+</v>
      </c>
      <c r="V17" s="288" t="str">
        <f t="shared" si="5"/>
        <v>B</v>
      </c>
      <c r="W17" s="289">
        <f t="shared" si="6"/>
        <v>18.15</v>
      </c>
      <c r="X17" s="414" t="s">
        <v>181</v>
      </c>
      <c r="Y17" s="417">
        <v>4.0</v>
      </c>
      <c r="Z17" s="531" t="s">
        <v>183</v>
      </c>
      <c r="AA17" s="428">
        <f t="shared" ref="AA17:AI17" si="35">PERCENTILE(B2:B55,0.25)</f>
        <v>0.02053197397</v>
      </c>
      <c r="AB17" s="428">
        <f t="shared" si="35"/>
        <v>-1.133592578</v>
      </c>
      <c r="AC17" s="428">
        <f t="shared" si="35"/>
        <v>0.33519035</v>
      </c>
      <c r="AD17" s="428">
        <f t="shared" si="35"/>
        <v>0.02058133245</v>
      </c>
      <c r="AE17" s="428">
        <f t="shared" si="35"/>
        <v>0.343917704</v>
      </c>
      <c r="AF17" s="428">
        <f t="shared" si="35"/>
        <v>0.0702193107</v>
      </c>
      <c r="AG17" s="428">
        <f t="shared" si="35"/>
        <v>0.4735731097</v>
      </c>
      <c r="AH17" s="428">
        <f t="shared" si="35"/>
        <v>0.04187085772</v>
      </c>
      <c r="AI17" s="428">
        <f t="shared" si="35"/>
        <v>2.388505426</v>
      </c>
    </row>
    <row r="18">
      <c r="A18" s="272" t="str">
        <f>'Halo Infinite Stats'!$A18</f>
        <v>Its Rainin MenZ</v>
      </c>
      <c r="B18" s="275">
        <f>IFERROR(VLOOKUP($A18,'PG+ Stats'!$A:$W,2,0),)</f>
        <v>0.01235584843</v>
      </c>
      <c r="C18" s="275">
        <f>IFERROR(VLOOKUP($A18,'PG+ Stats'!$A:$W,3,0),)</f>
        <v>-0.96684514</v>
      </c>
      <c r="D18" s="275">
        <f>IFERROR(VLOOKUP($A18,'PG+ Stats'!$A:$W,4,0),)</f>
        <v>0.4757001647</v>
      </c>
      <c r="E18" s="275">
        <f>IFERROR(VLOOKUP($A18,'PG+ Stats'!$A:$W,5,0),)</f>
        <v>0.04015650741</v>
      </c>
      <c r="F18" s="275">
        <f>IFERROR(VLOOKUP($A18,'PG+ Stats'!$A:$W,6,0),)</f>
        <v>0.3830313015</v>
      </c>
      <c r="G18" s="275">
        <f>IFERROR(VLOOKUP($A18,'PG+ Stats'!$A:$W,7,0),)</f>
        <v>0.09575782537</v>
      </c>
      <c r="H18" s="275">
        <f>IFERROR(VLOOKUP($A18,'PG+ Stats'!$A:$W,8,0),)</f>
        <v>0.5498352554</v>
      </c>
      <c r="I18" s="275">
        <f>IFERROR(VLOOKUP($A18,'PG+ Stats'!$A:$W,9,0),)</f>
        <v>0.05869028007</v>
      </c>
      <c r="J18" s="275">
        <f>IFERROR(VLOOKUP($A18,'PG+ Stats'!$A:$X,10,0),)</f>
        <v>2.566927512</v>
      </c>
      <c r="K18" s="284"/>
      <c r="L18" s="272" t="str">
        <f>'Halo Infinite Stats'!$A18</f>
        <v>Its Rainin MenZ</v>
      </c>
      <c r="M18" s="290" t="str">
        <f t="shared" si="3"/>
        <v>F</v>
      </c>
      <c r="N18" s="290" t="str">
        <f t="shared" ref="N18:U18" si="36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D-</v>
      </c>
      <c r="O18" s="290" t="str">
        <f t="shared" si="36"/>
        <v>C+</v>
      </c>
      <c r="P18" s="290" t="str">
        <f t="shared" si="36"/>
        <v>C</v>
      </c>
      <c r="Q18" s="290" t="str">
        <f t="shared" si="36"/>
        <v>D</v>
      </c>
      <c r="R18" s="290" t="str">
        <f t="shared" si="36"/>
        <v>D+</v>
      </c>
      <c r="S18" s="290" t="str">
        <f t="shared" si="36"/>
        <v>D</v>
      </c>
      <c r="T18" s="290" t="str">
        <f t="shared" si="36"/>
        <v>C+</v>
      </c>
      <c r="U18" s="290" t="str">
        <f t="shared" si="36"/>
        <v>D-</v>
      </c>
      <c r="V18" s="288" t="str">
        <f t="shared" si="5"/>
        <v>E+</v>
      </c>
      <c r="W18" s="289">
        <f t="shared" si="6"/>
        <v>11.8875</v>
      </c>
      <c r="X18" s="439" t="s">
        <v>183</v>
      </c>
      <c r="Y18" s="440">
        <v>3.5</v>
      </c>
      <c r="Z18" s="540" t="s">
        <v>198</v>
      </c>
      <c r="AA18" s="442">
        <f t="shared" ref="AA18:AI18" si="37">PERCENTILE(B2:B55,0.2)</f>
        <v>0.02008706415</v>
      </c>
      <c r="AB18" s="442">
        <f t="shared" si="37"/>
        <v>-1.423244222</v>
      </c>
      <c r="AC18" s="442">
        <f t="shared" si="37"/>
        <v>0.3057127699</v>
      </c>
      <c r="AD18" s="442">
        <f t="shared" si="37"/>
        <v>0.01629166996</v>
      </c>
      <c r="AE18" s="442">
        <f t="shared" si="37"/>
        <v>0.3254036233</v>
      </c>
      <c r="AF18" s="442">
        <f t="shared" si="37"/>
        <v>0.06440726999</v>
      </c>
      <c r="AG18" s="442">
        <f t="shared" si="37"/>
        <v>0.4336393781</v>
      </c>
      <c r="AH18" s="442">
        <f t="shared" si="37"/>
        <v>0.03975519514</v>
      </c>
      <c r="AI18" s="442">
        <f t="shared" si="37"/>
        <v>2.342083459</v>
      </c>
    </row>
    <row r="19">
      <c r="A19" s="272" t="str">
        <f>'Halo Infinite Stats'!$A19</f>
        <v>Itzreelz</v>
      </c>
      <c r="B19" s="275">
        <f>IFERROR(VLOOKUP($A19,'PG+ Stats'!$A:$W,2,0),)</f>
        <v>0.07366244508</v>
      </c>
      <c r="C19" s="275">
        <f>IFERROR(VLOOKUP($A19,'PG+ Stats'!$A:$W,3,0),)</f>
        <v>-0.3683122254</v>
      </c>
      <c r="D19" s="275">
        <f>IFERROR(VLOOKUP($A19,'PG+ Stats'!$A:$W,4,0),)</f>
        <v>0.4729904368</v>
      </c>
      <c r="E19" s="275">
        <f>IFERROR(VLOOKUP($A19,'PG+ Stats'!$A:$W,5,0),)</f>
        <v>0.07753941587</v>
      </c>
      <c r="F19" s="275">
        <f>IFERROR(VLOOKUP($A19,'PG+ Stats'!$A:$W,6,0),)</f>
        <v>0.4070819333</v>
      </c>
      <c r="G19" s="275">
        <f>IFERROR(VLOOKUP($A19,'PG+ Stats'!$A:$W,7,0),)</f>
        <v>0.131817007</v>
      </c>
      <c r="H19" s="275">
        <f>IFERROR(VLOOKUP($A19,'PG+ Stats'!$A:$W,8,0),)</f>
        <v>0.6358232101</v>
      </c>
      <c r="I19" s="275">
        <f>IFERROR(VLOOKUP($A19,'PG+ Stats'!$A:$W,9,0),)</f>
        <v>0.07753941587</v>
      </c>
      <c r="J19" s="275">
        <f>IFERROR(VLOOKUP($A19,'PG+ Stats'!$A:$X,10,0),)</f>
        <v>2.810803825</v>
      </c>
      <c r="K19" s="284"/>
      <c r="L19" s="272" t="str">
        <f>'Halo Infinite Stats'!$A19</f>
        <v>Itzreelz</v>
      </c>
      <c r="M19" s="290" t="str">
        <f t="shared" si="3"/>
        <v>A-</v>
      </c>
      <c r="N19" s="290" t="str">
        <f t="shared" ref="N19:U19" si="38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B</v>
      </c>
      <c r="O19" s="290" t="str">
        <f t="shared" si="38"/>
        <v>C</v>
      </c>
      <c r="P19" s="290" t="str">
        <f t="shared" si="38"/>
        <v>A</v>
      </c>
      <c r="Q19" s="290" t="str">
        <f t="shared" si="38"/>
        <v>D+</v>
      </c>
      <c r="R19" s="290" t="str">
        <f t="shared" si="38"/>
        <v>B</v>
      </c>
      <c r="S19" s="290" t="str">
        <f t="shared" si="38"/>
        <v>B-</v>
      </c>
      <c r="T19" s="290" t="str">
        <f t="shared" si="38"/>
        <v>A-</v>
      </c>
      <c r="U19" s="290" t="str">
        <f t="shared" si="38"/>
        <v>C</v>
      </c>
      <c r="V19" s="288" t="str">
        <f t="shared" si="5"/>
        <v>B</v>
      </c>
      <c r="W19" s="289">
        <f t="shared" si="6"/>
        <v>19.7625</v>
      </c>
      <c r="X19" s="445" t="s">
        <v>184</v>
      </c>
      <c r="Y19" s="446">
        <v>3.0</v>
      </c>
      <c r="Z19" s="552" t="s">
        <v>186</v>
      </c>
      <c r="AA19" s="428">
        <f t="shared" ref="AA19:AI19" si="39">PERCENTILE(B2:B55,0.15)</f>
        <v>0.01807926358</v>
      </c>
      <c r="AB19" s="428">
        <f t="shared" si="39"/>
        <v>-1.717036936</v>
      </c>
      <c r="AC19" s="428">
        <f t="shared" si="39"/>
        <v>0.2996387307</v>
      </c>
      <c r="AD19" s="428">
        <f t="shared" si="39"/>
        <v>0.01469300606</v>
      </c>
      <c r="AE19" s="428">
        <f t="shared" si="39"/>
        <v>0.3108420763</v>
      </c>
      <c r="AF19" s="428">
        <f t="shared" si="39"/>
        <v>0.05736806744</v>
      </c>
      <c r="AG19" s="428">
        <f t="shared" si="39"/>
        <v>0.4128275271</v>
      </c>
      <c r="AH19" s="428">
        <f t="shared" si="39"/>
        <v>0.03603425746</v>
      </c>
      <c r="AI19" s="428">
        <f t="shared" si="39"/>
        <v>2.292111078</v>
      </c>
    </row>
    <row r="20">
      <c r="A20" s="272" t="str">
        <f>'Halo Infinite Stats'!$A20</f>
        <v>Jussshhhyyy</v>
      </c>
      <c r="B20" s="275">
        <f>IFERROR(VLOOKUP($A20,'PG+ Stats'!$A:$W,2,0),)</f>
        <v>0.05644933672</v>
      </c>
      <c r="C20" s="275">
        <f>IFERROR(VLOOKUP($A20,'PG+ Stats'!$A:$W,3,0),)</f>
        <v>1.049957663</v>
      </c>
      <c r="D20" s="275">
        <f>IFERROR(VLOOKUP($A20,'PG+ Stats'!$A:$W,4,0),)</f>
        <v>0.9427039232</v>
      </c>
      <c r="E20" s="275">
        <f>IFERROR(VLOOKUP($A20,'PG+ Stats'!$A:$W,5,0),)</f>
        <v>0.1524132091</v>
      </c>
      <c r="F20" s="275">
        <f>IFERROR(VLOOKUP($A20,'PG+ Stats'!$A:$W,6,0),)</f>
        <v>0.7959356478</v>
      </c>
      <c r="G20" s="275">
        <f>IFERROR(VLOOKUP($A20,'PG+ Stats'!$A:$W,7,0),)</f>
        <v>0.2408505033</v>
      </c>
      <c r="H20" s="275">
        <f>IFERROR(VLOOKUP($A20,'PG+ Stats'!$A:$W,8,0),)</f>
        <v>1.213660739</v>
      </c>
      <c r="I20" s="275">
        <f>IFERROR(VLOOKUP($A20,'PG+ Stats'!$A:$W,9,0),)</f>
        <v>0.1354784081</v>
      </c>
      <c r="J20" s="275">
        <f>IFERROR(VLOOKUP($A20,'PG+ Stats'!$A:$X,10,0),)</f>
        <v>3.842318186</v>
      </c>
      <c r="K20" s="284"/>
      <c r="L20" s="272" t="str">
        <f>'Halo Infinite Stats'!$A20</f>
        <v>Jussshhhyyy</v>
      </c>
      <c r="M20" s="290" t="str">
        <f t="shared" si="3"/>
        <v>B</v>
      </c>
      <c r="N20" s="290" t="str">
        <f t="shared" ref="N20:U20" si="40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S+</v>
      </c>
      <c r="O20" s="290" t="str">
        <f t="shared" si="40"/>
        <v>S+</v>
      </c>
      <c r="P20" s="290" t="str">
        <f t="shared" si="40"/>
        <v>S+</v>
      </c>
      <c r="Q20" s="290" t="str">
        <f t="shared" si="40"/>
        <v>S-</v>
      </c>
      <c r="R20" s="290" t="str">
        <f t="shared" si="40"/>
        <v>S-</v>
      </c>
      <c r="S20" s="290" t="str">
        <f t="shared" si="40"/>
        <v>S-</v>
      </c>
      <c r="T20" s="290" t="str">
        <f t="shared" si="40"/>
        <v>S+</v>
      </c>
      <c r="U20" s="290" t="str">
        <f t="shared" si="40"/>
        <v>S-</v>
      </c>
      <c r="V20" s="288" t="str">
        <f t="shared" si="5"/>
        <v>S</v>
      </c>
      <c r="W20" s="289">
        <f t="shared" si="6"/>
        <v>27.275</v>
      </c>
      <c r="X20" s="439" t="s">
        <v>186</v>
      </c>
      <c r="Y20" s="440">
        <v>2.5</v>
      </c>
      <c r="Z20" s="565" t="s">
        <v>188</v>
      </c>
      <c r="AA20" s="451">
        <f t="shared" ref="AA20:AI20" si="41">PERCENTILE(B2:B55,0.1)</f>
        <v>0.0126816251</v>
      </c>
      <c r="AB20" s="451">
        <f t="shared" si="41"/>
        <v>-1.805998809</v>
      </c>
      <c r="AC20" s="451">
        <f t="shared" si="41"/>
        <v>0.228265832</v>
      </c>
      <c r="AD20" s="451">
        <f t="shared" si="41"/>
        <v>0.00728975117</v>
      </c>
      <c r="AE20" s="451">
        <f t="shared" si="41"/>
        <v>0.2716014346</v>
      </c>
      <c r="AF20" s="451">
        <f t="shared" si="41"/>
        <v>0.04871725089</v>
      </c>
      <c r="AG20" s="451">
        <f t="shared" si="41"/>
        <v>0.3905505748</v>
      </c>
      <c r="AH20" s="451">
        <f t="shared" si="41"/>
        <v>0.02862761977</v>
      </c>
      <c r="AI20" s="451">
        <f t="shared" si="41"/>
        <v>2.254878445</v>
      </c>
    </row>
    <row r="21">
      <c r="A21" s="272" t="str">
        <f>'Halo Infinite Stats'!$A21</f>
        <v>KDSkill</v>
      </c>
      <c r="B21" s="275">
        <f>IFERROR(VLOOKUP($A21,'PG+ Stats'!$A:$W,2,0),)</f>
        <v>0.07992388202</v>
      </c>
      <c r="C21" s="275">
        <f>IFERROR(VLOOKUP($A21,'PG+ Stats'!$A:$W,3,0),)</f>
        <v>-0.5480494767</v>
      </c>
      <c r="D21" s="275">
        <f>IFERROR(VLOOKUP($A21,'PG+ Stats'!$A:$W,4,0),)</f>
        <v>0.3653663178</v>
      </c>
      <c r="E21" s="275">
        <f>IFERROR(VLOOKUP($A21,'PG+ Stats'!$A:$W,5,0),)</f>
        <v>0</v>
      </c>
      <c r="F21" s="275">
        <f>IFERROR(VLOOKUP($A21,'PG+ Stats'!$A:$W,6,0),)</f>
        <v>0.4338725024</v>
      </c>
      <c r="G21" s="275">
        <f>IFERROR(VLOOKUP($A21,'PG+ Stats'!$A:$W,7,0),)</f>
        <v>0.1027592769</v>
      </c>
      <c r="H21" s="275">
        <f>IFERROR(VLOOKUP($A21,'PG+ Stats'!$A:$W,8,0),)</f>
        <v>0.5708848716</v>
      </c>
      <c r="I21" s="275">
        <f>IFERROR(VLOOKUP($A21,'PG+ Stats'!$A:$W,9,0),)</f>
        <v>0.04567078972</v>
      </c>
      <c r="J21" s="275">
        <f>IFERROR(VLOOKUP($A21,'PG+ Stats'!$A:$X,10,0),)</f>
        <v>2.831588963</v>
      </c>
      <c r="K21" s="284"/>
      <c r="L21" s="272" t="str">
        <f>'Halo Infinite Stats'!$A21</f>
        <v>KDSkill</v>
      </c>
      <c r="M21" s="290" t="str">
        <f t="shared" si="3"/>
        <v>A</v>
      </c>
      <c r="N21" s="290" t="str">
        <f t="shared" ref="N21:U21" si="42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C+</v>
      </c>
      <c r="O21" s="290" t="str">
        <f t="shared" si="42"/>
        <v>D-</v>
      </c>
      <c r="P21" s="290" t="str">
        <f t="shared" si="42"/>
        <v>F-</v>
      </c>
      <c r="Q21" s="290" t="str">
        <f t="shared" si="42"/>
        <v>C+</v>
      </c>
      <c r="R21" s="290" t="str">
        <f t="shared" si="42"/>
        <v>C-</v>
      </c>
      <c r="S21" s="290" t="str">
        <f t="shared" si="42"/>
        <v>D+</v>
      </c>
      <c r="T21" s="290" t="str">
        <f t="shared" si="42"/>
        <v>D</v>
      </c>
      <c r="U21" s="290" t="str">
        <f t="shared" si="42"/>
        <v>C</v>
      </c>
      <c r="V21" s="288" t="str">
        <f t="shared" si="5"/>
        <v>C+</v>
      </c>
      <c r="W21" s="289">
        <f t="shared" si="6"/>
        <v>15.6125</v>
      </c>
      <c r="X21" s="454" t="s">
        <v>188</v>
      </c>
      <c r="Y21" s="456">
        <v>2.0</v>
      </c>
      <c r="Z21" s="604" t="s">
        <v>190</v>
      </c>
      <c r="AA21" s="451">
        <f t="shared" ref="AA21:AI21" si="43">PERCENTILE(B2:B55,0.05)</f>
        <v>0.007206501707</v>
      </c>
      <c r="AB21" s="451">
        <f t="shared" si="43"/>
        <v>-1.862312215</v>
      </c>
      <c r="AC21" s="451">
        <f t="shared" si="43"/>
        <v>0.1708747482</v>
      </c>
      <c r="AD21" s="451">
        <f t="shared" si="43"/>
        <v>0.0002509620211</v>
      </c>
      <c r="AE21" s="451">
        <f t="shared" si="43"/>
        <v>0.2215012254</v>
      </c>
      <c r="AF21" s="451">
        <f t="shared" si="43"/>
        <v>0.03619972151</v>
      </c>
      <c r="AG21" s="451">
        <f t="shared" si="43"/>
        <v>0.2681427955</v>
      </c>
      <c r="AH21" s="451">
        <f t="shared" si="43"/>
        <v>0.01536348543</v>
      </c>
      <c r="AI21" s="451">
        <f t="shared" si="43"/>
        <v>2.157164041</v>
      </c>
    </row>
    <row r="22">
      <c r="A22" s="272" t="str">
        <f>'Halo Infinite Stats'!$A22</f>
        <v>Ken Khaneki</v>
      </c>
      <c r="B22" s="275">
        <f>IFERROR(VLOOKUP($A22,'PG+ Stats'!$A:$W,2,0),)</f>
        <v>0.01794948502</v>
      </c>
      <c r="C22" s="275">
        <f>IFERROR(VLOOKUP($A22,'PG+ Stats'!$A:$W,3,0),)</f>
        <v>-1.056455404</v>
      </c>
      <c r="D22" s="275">
        <f>IFERROR(VLOOKUP($A22,'PG+ Stats'!$A:$W,4,0),)</f>
        <v>0.1948801231</v>
      </c>
      <c r="E22" s="275">
        <f>IFERROR(VLOOKUP($A22,'PG+ Stats'!$A:$W,5,0),)</f>
        <v>0.01794948502</v>
      </c>
      <c r="F22" s="275">
        <f>IFERROR(VLOOKUP($A22,'PG+ Stats'!$A:$W,6,0),)</f>
        <v>0.4436087012</v>
      </c>
      <c r="G22" s="275">
        <f>IFERROR(VLOOKUP($A22,'PG+ Stats'!$A:$W,7,0),)</f>
        <v>0.1179537587</v>
      </c>
      <c r="H22" s="275">
        <f>IFERROR(VLOOKUP($A22,'PG+ Stats'!$A:$W,8,0),)</f>
        <v>0.615410915</v>
      </c>
      <c r="I22" s="275">
        <f>IFERROR(VLOOKUP($A22,'PG+ Stats'!$A:$W,9,0),)</f>
        <v>0.07692636437</v>
      </c>
      <c r="J22" s="275">
        <f>IFERROR(VLOOKUP($A22,'PG+ Stats'!$A:$X,10,0),)</f>
        <v>2.936022907</v>
      </c>
      <c r="K22" s="284"/>
      <c r="L22" s="272" t="str">
        <f>'Halo Infinite Stats'!$A22</f>
        <v>Ken Khaneki</v>
      </c>
      <c r="M22" s="290" t="str">
        <f t="shared" si="3"/>
        <v>F+</v>
      </c>
      <c r="N22" s="290" t="str">
        <f t="shared" ref="N22:U22" si="4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E+</v>
      </c>
      <c r="O22" s="290" t="str">
        <f t="shared" si="44"/>
        <v>F</v>
      </c>
      <c r="P22" s="290" t="str">
        <f t="shared" si="44"/>
        <v>E</v>
      </c>
      <c r="Q22" s="290" t="str">
        <f t="shared" si="44"/>
        <v>B-</v>
      </c>
      <c r="R22" s="290" t="str">
        <f t="shared" si="44"/>
        <v>C</v>
      </c>
      <c r="S22" s="290" t="str">
        <f t="shared" si="44"/>
        <v>B-</v>
      </c>
      <c r="T22" s="290" t="str">
        <f t="shared" si="44"/>
        <v>B+</v>
      </c>
      <c r="U22" s="290" t="str">
        <f t="shared" si="44"/>
        <v>B-</v>
      </c>
      <c r="V22" s="288" t="str">
        <f t="shared" si="5"/>
        <v>E+</v>
      </c>
      <c r="W22" s="289">
        <f t="shared" si="6"/>
        <v>11.55</v>
      </c>
      <c r="X22" s="462" t="s">
        <v>190</v>
      </c>
      <c r="Y22" s="456">
        <v>1.5</v>
      </c>
      <c r="Z22" s="565" t="s">
        <v>191</v>
      </c>
      <c r="AA22" s="451">
        <f t="shared" ref="AA22:AI22" si="45">PERCENTILE(B2:B55,0)</f>
        <v>0</v>
      </c>
      <c r="AB22" s="451">
        <f t="shared" si="45"/>
        <v>-2.518470407</v>
      </c>
      <c r="AC22" s="451">
        <f t="shared" si="45"/>
        <v>0.1317027281</v>
      </c>
      <c r="AD22" s="451">
        <f t="shared" si="45"/>
        <v>0</v>
      </c>
      <c r="AE22" s="451">
        <f t="shared" si="45"/>
        <v>0.1204617701</v>
      </c>
      <c r="AF22" s="451">
        <f t="shared" si="45"/>
        <v>0.03011544253</v>
      </c>
      <c r="AG22" s="451">
        <f t="shared" si="45"/>
        <v>0.1606156935</v>
      </c>
      <c r="AH22" s="451">
        <f t="shared" si="45"/>
        <v>0</v>
      </c>
      <c r="AI22" s="451">
        <f t="shared" si="45"/>
        <v>1.586652598</v>
      </c>
    </row>
    <row r="23">
      <c r="A23" s="272" t="str">
        <f>'Halo Infinite Stats'!$A23</f>
        <v>Mavbrid</v>
      </c>
      <c r="B23" s="275">
        <f>IFERROR(VLOOKUP($A23,'PG+ Stats'!$A:$W,2,0),)</f>
        <v>0.1510966694</v>
      </c>
      <c r="C23" s="275">
        <f>IFERROR(VLOOKUP($A23,'PG+ Stats'!$A:$W,3,0),)</f>
        <v>0.5215272136</v>
      </c>
      <c r="D23" s="275">
        <f>IFERROR(VLOOKUP($A23,'PG+ Stats'!$A:$W,4,0),)</f>
        <v>0.6580016247</v>
      </c>
      <c r="E23" s="275">
        <f>IFERROR(VLOOKUP($A23,'PG+ Stats'!$A:$W,5,0),)</f>
        <v>0.09748172218</v>
      </c>
      <c r="F23" s="275">
        <f>IFERROR(VLOOKUP($A23,'PG+ Stats'!$A:$W,6,0),)</f>
        <v>0.5239642567</v>
      </c>
      <c r="G23" s="275">
        <f>IFERROR(VLOOKUP($A23,'PG+ Stats'!$A:$W,7,0),)</f>
        <v>0.1316003249</v>
      </c>
      <c r="H23" s="275">
        <f>IFERROR(VLOOKUP($A23,'PG+ Stats'!$A:$W,8,0),)</f>
        <v>0.7384240455</v>
      </c>
      <c r="I23" s="275">
        <f>IFERROR(VLOOKUP($A23,'PG+ Stats'!$A:$W,9,0),)</f>
        <v>0.05848903331</v>
      </c>
      <c r="J23" s="275">
        <f>IFERROR(VLOOKUP($A23,'PG+ Stats'!$A:$X,10,0),)</f>
        <v>2.990251828</v>
      </c>
      <c r="K23" s="284"/>
      <c r="L23" s="272" t="str">
        <f>'Halo Infinite Stats'!$A23</f>
        <v>Mavbrid</v>
      </c>
      <c r="M23" s="290" t="str">
        <f t="shared" si="3"/>
        <v>S</v>
      </c>
      <c r="N23" s="290" t="str">
        <f t="shared" ref="N23:U23" si="46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S-</v>
      </c>
      <c r="O23" s="290" t="str">
        <f t="shared" si="46"/>
        <v>A</v>
      </c>
      <c r="P23" s="290" t="str">
        <f t="shared" si="46"/>
        <v>S-</v>
      </c>
      <c r="Q23" s="290" t="str">
        <f t="shared" si="46"/>
        <v>B+</v>
      </c>
      <c r="R23" s="290" t="str">
        <f t="shared" si="46"/>
        <v>B-</v>
      </c>
      <c r="S23" s="290" t="str">
        <f t="shared" si="46"/>
        <v>B+</v>
      </c>
      <c r="T23" s="290" t="str">
        <f t="shared" si="46"/>
        <v>C</v>
      </c>
      <c r="U23" s="290" t="str">
        <f t="shared" si="46"/>
        <v>B</v>
      </c>
      <c r="V23" s="288" t="str">
        <f t="shared" si="5"/>
        <v>A</v>
      </c>
      <c r="W23" s="289">
        <f t="shared" si="6"/>
        <v>24.35</v>
      </c>
      <c r="X23" s="454" t="s">
        <v>191</v>
      </c>
      <c r="Y23" s="456">
        <v>1.0</v>
      </c>
      <c r="Z23" s="284"/>
      <c r="AA23" s="623"/>
      <c r="AB23" s="284"/>
      <c r="AC23" s="284"/>
      <c r="AD23" s="284"/>
      <c r="AE23" s="284"/>
      <c r="AF23" s="466" t="s">
        <v>192</v>
      </c>
      <c r="AG23" s="284"/>
      <c r="AH23" s="284"/>
      <c r="AI23" s="284"/>
    </row>
    <row r="24">
      <c r="A24" s="272" t="str">
        <f>'Halo Infinite Stats'!$A24</f>
        <v>Memorized</v>
      </c>
      <c r="B24" s="275">
        <f>IFERROR(VLOOKUP($A24,'PG+ Stats'!$A:$W,2,0),)</f>
        <v>0.006988120196</v>
      </c>
      <c r="C24" s="275">
        <f>IFERROR(VLOOKUP($A24,'PG+ Stats'!$A:$W,3,0),)</f>
        <v>-0.06289308176</v>
      </c>
      <c r="D24" s="275">
        <f>IFERROR(VLOOKUP($A24,'PG+ Stats'!$A:$W,4,0),)</f>
        <v>0.4402515723</v>
      </c>
      <c r="E24" s="275">
        <f>IFERROR(VLOOKUP($A24,'PG+ Stats'!$A:$W,5,0),)</f>
        <v>0.03494060098</v>
      </c>
      <c r="F24" s="275">
        <f>IFERROR(VLOOKUP($A24,'PG+ Stats'!$A:$W,6,0),)</f>
        <v>0.6289308176</v>
      </c>
      <c r="G24" s="275">
        <f>IFERROR(VLOOKUP($A24,'PG+ Stats'!$A:$W,7,0),)</f>
        <v>0.1467505241</v>
      </c>
      <c r="H24" s="275">
        <f>IFERROR(VLOOKUP($A24,'PG+ Stats'!$A:$W,8,0),)</f>
        <v>0.8315863033</v>
      </c>
      <c r="I24" s="275">
        <f>IFERROR(VLOOKUP($A24,'PG+ Stats'!$A:$W,9,0),)</f>
        <v>0.05590496157</v>
      </c>
      <c r="J24" s="275">
        <f>IFERROR(VLOOKUP($A24,'PG+ Stats'!$A:$X,10,0),)</f>
        <v>3.679245283</v>
      </c>
      <c r="K24" s="284"/>
      <c r="L24" s="272" t="str">
        <f>'Halo Infinite Stats'!$A24</f>
        <v>Memorized</v>
      </c>
      <c r="M24" s="290" t="str">
        <f t="shared" si="3"/>
        <v>F-</v>
      </c>
      <c r="N24" s="290" t="str">
        <f t="shared" ref="N24:U24" si="47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A</v>
      </c>
      <c r="O24" s="290" t="str">
        <f t="shared" si="47"/>
        <v>C-</v>
      </c>
      <c r="P24" s="290" t="str">
        <f t="shared" si="47"/>
        <v>C-</v>
      </c>
      <c r="Q24" s="290" t="str">
        <f t="shared" si="47"/>
        <v>A+</v>
      </c>
      <c r="R24" s="290" t="str">
        <f t="shared" si="47"/>
        <v>B+</v>
      </c>
      <c r="S24" s="290" t="str">
        <f t="shared" si="47"/>
        <v>A</v>
      </c>
      <c r="T24" s="290" t="str">
        <f t="shared" si="47"/>
        <v>D+</v>
      </c>
      <c r="U24" s="290" t="str">
        <f t="shared" si="47"/>
        <v>S-</v>
      </c>
      <c r="V24" s="288" t="str">
        <f t="shared" si="5"/>
        <v>B-</v>
      </c>
      <c r="W24" s="289">
        <f t="shared" si="6"/>
        <v>17.95</v>
      </c>
      <c r="X24" s="11"/>
      <c r="Y24" s="11"/>
      <c r="Z24" s="284"/>
      <c r="AA24" s="623"/>
      <c r="AB24" s="284"/>
      <c r="AC24" s="284"/>
      <c r="AD24" s="284"/>
      <c r="AE24" s="284"/>
      <c r="AF24" s="284"/>
      <c r="AG24" s="284"/>
      <c r="AH24" s="284"/>
      <c r="AI24" s="284"/>
    </row>
    <row r="25">
      <c r="A25" s="272" t="str">
        <f>'Halo Infinite Stats'!$A25</f>
        <v>Mr epic beast</v>
      </c>
      <c r="B25" s="275">
        <f>IFERROR(VLOOKUP($A25,'PG+ Stats'!$A:$W,2,0),)</f>
        <v>0.03656554713</v>
      </c>
      <c r="C25" s="275">
        <f>IFERROR(VLOOKUP($A25,'PG+ Stats'!$A:$W,3,0),)</f>
        <v>-0.8816359697</v>
      </c>
      <c r="D25" s="275">
        <f>IFERROR(VLOOKUP($A25,'PG+ Stats'!$A:$W,4,0),)</f>
        <v>0.4509750813</v>
      </c>
      <c r="E25" s="275">
        <f>IFERROR(VLOOKUP($A25,'PG+ Stats'!$A:$W,5,0),)</f>
        <v>0.05687973998</v>
      </c>
      <c r="F25" s="275">
        <f>IFERROR(VLOOKUP($A25,'PG+ Stats'!$A:$W,6,0),)</f>
        <v>0.434723727</v>
      </c>
      <c r="G25" s="275">
        <f>IFERROR(VLOOKUP($A25,'PG+ Stats'!$A:$W,7,0),)</f>
        <v>0.1300108342</v>
      </c>
      <c r="H25" s="275">
        <f>IFERROR(VLOOKUP($A25,'PG+ Stats'!$A:$W,8,0),)</f>
        <v>0.6094257855</v>
      </c>
      <c r="I25" s="275">
        <f>IFERROR(VLOOKUP($A25,'PG+ Stats'!$A:$W,9,0),)</f>
        <v>0.06500541712</v>
      </c>
      <c r="J25" s="275">
        <f>IFERROR(VLOOKUP($A25,'PG+ Stats'!$A:$X,10,0),)</f>
        <v>3.002437703</v>
      </c>
      <c r="K25" s="284"/>
      <c r="L25" s="272" t="str">
        <f>'Halo Infinite Stats'!$A25</f>
        <v>Mr epic beast</v>
      </c>
      <c r="M25" s="290" t="str">
        <f t="shared" si="3"/>
        <v>D+</v>
      </c>
      <c r="N25" s="290" t="str">
        <f t="shared" ref="N25:U25" si="48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D</v>
      </c>
      <c r="O25" s="290" t="str">
        <f t="shared" si="48"/>
        <v>C-</v>
      </c>
      <c r="P25" s="290" t="str">
        <f t="shared" si="48"/>
        <v>B+</v>
      </c>
      <c r="Q25" s="290" t="str">
        <f t="shared" si="48"/>
        <v>B-</v>
      </c>
      <c r="R25" s="290" t="str">
        <f t="shared" si="48"/>
        <v>B-</v>
      </c>
      <c r="S25" s="290" t="str">
        <f t="shared" si="48"/>
        <v>C+</v>
      </c>
      <c r="T25" s="290" t="str">
        <f t="shared" si="48"/>
        <v>B</v>
      </c>
      <c r="U25" s="290" t="str">
        <f t="shared" si="48"/>
        <v>B</v>
      </c>
      <c r="V25" s="288" t="str">
        <f t="shared" si="5"/>
        <v>B-</v>
      </c>
      <c r="W25" s="289">
        <f t="shared" si="6"/>
        <v>16.5625</v>
      </c>
      <c r="X25" s="480" t="s">
        <v>150</v>
      </c>
      <c r="Y25" s="482">
        <f>PERCENTILE($W$2:$W$50,1)</f>
        <v>27.3625</v>
      </c>
      <c r="Z25" s="284"/>
      <c r="AA25" s="623"/>
      <c r="AB25" s="284"/>
      <c r="AC25" s="284"/>
      <c r="AD25" s="284"/>
      <c r="AE25" s="284"/>
      <c r="AF25" s="284"/>
      <c r="AG25" s="284"/>
      <c r="AH25" s="284"/>
      <c r="AI25" s="284"/>
    </row>
    <row r="26">
      <c r="A26" s="272" t="str">
        <f>'Halo Infinite Stats'!$A26</f>
        <v>MuNgO PuNgO</v>
      </c>
      <c r="B26" s="275">
        <f>IFERROR(VLOOKUP($A26,'PG+ Stats'!$A:$W,2,0),)</f>
        <v>0.1114840566</v>
      </c>
      <c r="C26" s="275">
        <f>IFERROR(VLOOKUP($A26,'PG+ Stats'!$A:$W,3,0),)</f>
        <v>-0.9602013906</v>
      </c>
      <c r="D26" s="275">
        <f>IFERROR(VLOOKUP($A26,'PG+ Stats'!$A:$W,4,0),)</f>
        <v>0.553824023</v>
      </c>
      <c r="E26" s="275">
        <f>IFERROR(VLOOKUP($A26,'PG+ Stats'!$A:$W,5,0),)</f>
        <v>0.03955885879</v>
      </c>
      <c r="F26" s="275">
        <f>IFERROR(VLOOKUP($A26,'PG+ Stats'!$A:$W,6,0),)</f>
        <v>0.3092783505</v>
      </c>
      <c r="G26" s="275">
        <f>IFERROR(VLOOKUP($A26,'PG+ Stats'!$A:$W,7,0),)</f>
        <v>0.06473267801</v>
      </c>
      <c r="H26" s="275">
        <f>IFERROR(VLOOKUP($A26,'PG+ Stats'!$A:$W,8,0),)</f>
        <v>0.4171661472</v>
      </c>
      <c r="I26" s="275">
        <f>IFERROR(VLOOKUP($A26,'PG+ Stats'!$A:$W,9,0),)</f>
        <v>0.03955885879</v>
      </c>
      <c r="J26" s="275">
        <f>IFERROR(VLOOKUP($A26,'PG+ Stats'!$A:$X,10,0),)</f>
        <v>2.154159674</v>
      </c>
      <c r="K26" s="284"/>
      <c r="L26" s="272" t="str">
        <f>'Halo Infinite Stats'!$A26</f>
        <v>MuNgO PuNgO</v>
      </c>
      <c r="M26" s="290" t="str">
        <f t="shared" si="3"/>
        <v>A+</v>
      </c>
      <c r="N26" s="290" t="str">
        <f t="shared" ref="N26:U26" si="49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D</v>
      </c>
      <c r="O26" s="290" t="str">
        <f t="shared" si="49"/>
        <v>A-</v>
      </c>
      <c r="P26" s="290" t="str">
        <f t="shared" si="49"/>
        <v>C</v>
      </c>
      <c r="Q26" s="290" t="str">
        <f t="shared" si="49"/>
        <v>F+</v>
      </c>
      <c r="R26" s="290" t="str">
        <f t="shared" si="49"/>
        <v>E</v>
      </c>
      <c r="S26" s="290" t="str">
        <f t="shared" si="49"/>
        <v>E-</v>
      </c>
      <c r="T26" s="290" t="str">
        <f t="shared" si="49"/>
        <v>E-</v>
      </c>
      <c r="U26" s="290" t="str">
        <f t="shared" si="49"/>
        <v>F-</v>
      </c>
      <c r="V26" s="288" t="str">
        <f t="shared" si="5"/>
        <v>D+</v>
      </c>
      <c r="W26" s="289">
        <f t="shared" si="6"/>
        <v>14.1375</v>
      </c>
      <c r="X26" s="491" t="s">
        <v>152</v>
      </c>
      <c r="Y26" s="482">
        <f>PERCENTILE($W$2:$W$50,0.95)</f>
        <v>27.18</v>
      </c>
      <c r="Z26" s="284"/>
      <c r="AA26" s="623"/>
      <c r="AB26" s="284"/>
      <c r="AC26" s="284"/>
      <c r="AD26" s="284"/>
      <c r="AE26" s="284"/>
      <c r="AF26" s="284"/>
      <c r="AG26" s="284"/>
      <c r="AH26" s="284"/>
      <c r="AI26" s="284"/>
    </row>
    <row r="27">
      <c r="A27" s="272" t="str">
        <f>'Halo Infinite Stats'!$A27</f>
        <v>MysticalNovice</v>
      </c>
      <c r="B27" s="275">
        <f>IFERROR(VLOOKUP($A27,'PG+ Stats'!$A:$W,2,0),)</f>
        <v>0.1346362649</v>
      </c>
      <c r="C27" s="275">
        <f>IFERROR(VLOOKUP($A27,'PG+ Stats'!$A:$W,3,0),)</f>
        <v>0.7470141151</v>
      </c>
      <c r="D27" s="275">
        <f>IFERROR(VLOOKUP($A27,'PG+ Stats'!$A:$W,4,0),)</f>
        <v>0.8078175896</v>
      </c>
      <c r="E27" s="275">
        <f>IFERROR(VLOOKUP($A27,'PG+ Stats'!$A:$W,5,0),)</f>
        <v>0.1042345277</v>
      </c>
      <c r="F27" s="275">
        <f>IFERROR(VLOOKUP($A27,'PG+ Stats'!$A:$W,6,0),)</f>
        <v>0.8165038002</v>
      </c>
      <c r="G27" s="275">
        <f>IFERROR(VLOOKUP($A27,'PG+ Stats'!$A:$W,7,0),)</f>
        <v>0.2909880565</v>
      </c>
      <c r="H27" s="275">
        <f>IFERROR(VLOOKUP($A27,'PG+ Stats'!$A:$W,8,0),)</f>
        <v>1.298588491</v>
      </c>
      <c r="I27" s="275">
        <f>IFERROR(VLOOKUP($A27,'PG+ Stats'!$A:$W,9,0),)</f>
        <v>0.0434310532</v>
      </c>
      <c r="J27" s="275">
        <f>IFERROR(VLOOKUP($A27,'PG+ Stats'!$A:$X,10,0),)</f>
        <v>3.93485342</v>
      </c>
      <c r="K27" s="284"/>
      <c r="L27" s="272" t="str">
        <f>'Halo Infinite Stats'!$A27</f>
        <v>MysticalNovice</v>
      </c>
      <c r="M27" s="290" t="str">
        <f t="shared" si="3"/>
        <v>S-</v>
      </c>
      <c r="N27" s="290" t="str">
        <f t="shared" ref="N27:U27" si="50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S</v>
      </c>
      <c r="O27" s="290" t="str">
        <f t="shared" si="50"/>
        <v>S</v>
      </c>
      <c r="P27" s="290" t="str">
        <f t="shared" si="50"/>
        <v>S-</v>
      </c>
      <c r="Q27" s="290" t="str">
        <f t="shared" si="50"/>
        <v>S</v>
      </c>
      <c r="R27" s="290" t="str">
        <f t="shared" si="50"/>
        <v>S</v>
      </c>
      <c r="S27" s="290" t="str">
        <f t="shared" si="50"/>
        <v>S</v>
      </c>
      <c r="T27" s="290" t="str">
        <f t="shared" si="50"/>
        <v>E+</v>
      </c>
      <c r="U27" s="290" t="str">
        <f t="shared" si="50"/>
        <v>S</v>
      </c>
      <c r="V27" s="288" t="str">
        <f t="shared" si="5"/>
        <v>S+</v>
      </c>
      <c r="W27" s="289">
        <f t="shared" si="6"/>
        <v>27.3625</v>
      </c>
      <c r="X27" s="480" t="s">
        <v>154</v>
      </c>
      <c r="Y27" s="482">
        <f>PERCENTILE($W$2:$W$50,0.9)</f>
        <v>25.23375</v>
      </c>
      <c r="Z27" s="284"/>
      <c r="AA27" s="623"/>
      <c r="AB27" s="284"/>
      <c r="AC27" s="284"/>
      <c r="AD27" s="284"/>
      <c r="AE27" s="284"/>
      <c r="AF27" s="284"/>
      <c r="AG27" s="284"/>
      <c r="AH27" s="284"/>
      <c r="AI27" s="284"/>
    </row>
    <row r="28">
      <c r="A28" s="272" t="str">
        <f>'Halo Infinite Stats'!$A28</f>
        <v>NOPLEX</v>
      </c>
      <c r="B28" s="275">
        <f>IFERROR(VLOOKUP($A28,'PG+ Stats'!$A:$W,2,0),)</f>
        <v>0.03979591837</v>
      </c>
      <c r="C28" s="275">
        <f>IFERROR(VLOOKUP($A28,'PG+ Stats'!$A:$W,3,0),)</f>
        <v>-0.5387755102</v>
      </c>
      <c r="D28" s="275">
        <f>IFERROR(VLOOKUP($A28,'PG+ Stats'!$A:$W,4,0),)</f>
        <v>0.3030612245</v>
      </c>
      <c r="E28" s="275">
        <f>IFERROR(VLOOKUP($A28,'PG+ Stats'!$A:$W,5,0),)</f>
        <v>0.02755102041</v>
      </c>
      <c r="F28" s="275">
        <f>IFERROR(VLOOKUP($A28,'PG+ Stats'!$A:$W,6,0),)</f>
        <v>0.4193877551</v>
      </c>
      <c r="G28" s="275">
        <f>IFERROR(VLOOKUP($A28,'PG+ Stats'!$A:$W,7,0),)</f>
        <v>0.09183673469</v>
      </c>
      <c r="H28" s="275">
        <f>IFERROR(VLOOKUP($A28,'PG+ Stats'!$A:$W,8,0),)</f>
        <v>0.5816326531</v>
      </c>
      <c r="I28" s="275">
        <f>IFERROR(VLOOKUP($A28,'PG+ Stats'!$A:$W,9,0),)</f>
        <v>0.01530612245</v>
      </c>
      <c r="J28" s="275">
        <f>IFERROR(VLOOKUP($A28,'PG+ Stats'!$A:$X,10,0),)</f>
        <v>2.895918367</v>
      </c>
      <c r="K28" s="284"/>
      <c r="L28" s="272" t="str">
        <f>'Halo Infinite Stats'!$A28</f>
        <v>NOPLEX</v>
      </c>
      <c r="M28" s="290" t="str">
        <f t="shared" si="3"/>
        <v>C-</v>
      </c>
      <c r="N28" s="290" t="str">
        <f t="shared" ref="N28:U28" si="51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B-</v>
      </c>
      <c r="O28" s="290" t="str">
        <f t="shared" si="51"/>
        <v>E-</v>
      </c>
      <c r="P28" s="290" t="str">
        <f t="shared" si="51"/>
        <v>D</v>
      </c>
      <c r="Q28" s="290" t="str">
        <f t="shared" si="51"/>
        <v>C</v>
      </c>
      <c r="R28" s="290" t="str">
        <f t="shared" si="51"/>
        <v>D</v>
      </c>
      <c r="S28" s="290" t="str">
        <f t="shared" si="51"/>
        <v>C-</v>
      </c>
      <c r="T28" s="290" t="str">
        <f t="shared" si="51"/>
        <v>F-</v>
      </c>
      <c r="U28" s="290" t="str">
        <f t="shared" si="51"/>
        <v>C+</v>
      </c>
      <c r="V28" s="288" t="str">
        <f t="shared" si="5"/>
        <v>D+</v>
      </c>
      <c r="W28" s="289">
        <f t="shared" si="6"/>
        <v>13.925</v>
      </c>
      <c r="X28" s="501" t="s">
        <v>156</v>
      </c>
      <c r="Y28" s="503">
        <f>PERCENTILE($W$2:$W$50,0.85)</f>
        <v>24.445625</v>
      </c>
      <c r="Z28" s="284"/>
      <c r="AA28" s="623"/>
      <c r="AB28" s="284"/>
      <c r="AC28" s="284"/>
      <c r="AD28" s="284"/>
      <c r="AE28" s="284"/>
      <c r="AF28" s="284"/>
      <c r="AG28" s="284"/>
      <c r="AH28" s="284"/>
      <c r="AI28" s="284"/>
    </row>
    <row r="29">
      <c r="A29" s="272" t="str">
        <f>'Halo Infinite Stats'!$A29</f>
        <v>oh zilly</v>
      </c>
      <c r="B29" s="275">
        <f>IFERROR(VLOOKUP($A29,'PG+ Stats'!$A:$W,2,0),)</f>
        <v>0.0527027027</v>
      </c>
      <c r="C29" s="275">
        <f>IFERROR(VLOOKUP($A29,'PG+ Stats'!$A:$W,3,0),)</f>
        <v>-0.4905405405</v>
      </c>
      <c r="D29" s="275">
        <f>IFERROR(VLOOKUP($A29,'PG+ Stats'!$A:$W,4,0),)</f>
        <v>0.5027027027</v>
      </c>
      <c r="E29" s="275">
        <f>IFERROR(VLOOKUP($A29,'PG+ Stats'!$A:$W,5,0),)</f>
        <v>0.06891891892</v>
      </c>
      <c r="F29" s="275">
        <f>IFERROR(VLOOKUP($A29,'PG+ Stats'!$A:$W,6,0),)</f>
        <v>0.6121621622</v>
      </c>
      <c r="G29" s="275">
        <f>IFERROR(VLOOKUP($A29,'PG+ Stats'!$A:$W,7,0),)</f>
        <v>0.1864864865</v>
      </c>
      <c r="H29" s="275">
        <f>IFERROR(VLOOKUP($A29,'PG+ Stats'!$A:$W,8,0),)</f>
        <v>0.9648648649</v>
      </c>
      <c r="I29" s="275">
        <f>IFERROR(VLOOKUP($A29,'PG+ Stats'!$A:$W,9,0),)</f>
        <v>0.04054054054</v>
      </c>
      <c r="J29" s="275">
        <f>IFERROR(VLOOKUP($A29,'PG+ Stats'!$A:$X,10,0),)</f>
        <v>3.316216216</v>
      </c>
      <c r="K29" s="284"/>
      <c r="L29" s="272" t="str">
        <f>'Halo Infinite Stats'!$A29</f>
        <v>oh zilly</v>
      </c>
      <c r="M29" s="290" t="str">
        <f t="shared" si="3"/>
        <v>B-</v>
      </c>
      <c r="N29" s="290" t="str">
        <f t="shared" ref="N29:U29" si="52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B-</v>
      </c>
      <c r="O29" s="290" t="str">
        <f t="shared" si="52"/>
        <v>B</v>
      </c>
      <c r="P29" s="290" t="str">
        <f t="shared" si="52"/>
        <v>A-</v>
      </c>
      <c r="Q29" s="290" t="str">
        <f t="shared" si="52"/>
        <v>A</v>
      </c>
      <c r="R29" s="290" t="str">
        <f t="shared" si="52"/>
        <v>S-</v>
      </c>
      <c r="S29" s="290" t="str">
        <f t="shared" si="52"/>
        <v>A+</v>
      </c>
      <c r="T29" s="290" t="str">
        <f t="shared" si="52"/>
        <v>E</v>
      </c>
      <c r="U29" s="290" t="str">
        <f t="shared" si="52"/>
        <v>A</v>
      </c>
      <c r="V29" s="288" t="str">
        <f t="shared" si="5"/>
        <v>A-</v>
      </c>
      <c r="W29" s="289">
        <f t="shared" si="6"/>
        <v>21.375</v>
      </c>
      <c r="X29" s="508" t="s">
        <v>158</v>
      </c>
      <c r="Y29" s="509">
        <f>PERCENTILE($W$2:$W$50,0.8)</f>
        <v>21.515</v>
      </c>
      <c r="Z29" s="284"/>
      <c r="AA29" s="623"/>
      <c r="AB29" s="284"/>
      <c r="AC29" s="284"/>
      <c r="AD29" s="284"/>
      <c r="AE29" s="284"/>
      <c r="AF29" s="284"/>
      <c r="AG29" s="284"/>
      <c r="AH29" s="284"/>
      <c r="AI29" s="284"/>
    </row>
    <row r="30">
      <c r="A30" s="272" t="str">
        <f>'Halo Infinite Stats'!$A30</f>
        <v>OREOTHECAT</v>
      </c>
      <c r="B30" s="275">
        <f>IFERROR(VLOOKUP($A30,'PG+ Stats'!$A:$W,2,0),)</f>
        <v>0.02007696169</v>
      </c>
      <c r="C30" s="275">
        <f>IFERROR(VLOOKUP($A30,'PG+ Stats'!$A:$W,3,0),)</f>
        <v>-1.756734148</v>
      </c>
      <c r="D30" s="275">
        <f>IFERROR(VLOOKUP($A30,'PG+ Stats'!$A:$W,4,0),)</f>
        <v>0.1355194914</v>
      </c>
      <c r="E30" s="275">
        <f>IFERROR(VLOOKUP($A30,'PG+ Stats'!$A:$W,5,0),)</f>
        <v>0.005019240422</v>
      </c>
      <c r="F30" s="275">
        <f>IFERROR(VLOOKUP($A30,'PG+ Stats'!$A:$W,6,0),)</f>
        <v>0.1204617701</v>
      </c>
      <c r="G30" s="275">
        <f>IFERROR(VLOOKUP($A30,'PG+ Stats'!$A:$W,7,0),)</f>
        <v>0.03011544253</v>
      </c>
      <c r="H30" s="275">
        <f>IFERROR(VLOOKUP($A30,'PG+ Stats'!$A:$W,8,0),)</f>
        <v>0.1606156935</v>
      </c>
      <c r="I30" s="275">
        <f>IFERROR(VLOOKUP($A30,'PG+ Stats'!$A:$W,9,0),)</f>
        <v>0.04517316379</v>
      </c>
      <c r="J30" s="275">
        <f>IFERROR(VLOOKUP($A30,'PG+ Stats'!$A:$X,10,0),)</f>
        <v>1.862138196</v>
      </c>
      <c r="K30" s="284"/>
      <c r="L30" s="272" t="str">
        <f>'Halo Infinite Stats'!$A30</f>
        <v>OREOTHECAT</v>
      </c>
      <c r="M30" s="290" t="str">
        <f t="shared" si="3"/>
        <v>E-</v>
      </c>
      <c r="N30" s="290" t="str">
        <f t="shared" ref="N30:U30" si="53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F+</v>
      </c>
      <c r="O30" s="290" t="str">
        <f t="shared" si="53"/>
        <v>F-</v>
      </c>
      <c r="P30" s="290" t="str">
        <f t="shared" si="53"/>
        <v>F</v>
      </c>
      <c r="Q30" s="290" t="str">
        <f t="shared" si="53"/>
        <v>F-</v>
      </c>
      <c r="R30" s="290" t="str">
        <f t="shared" si="53"/>
        <v>F-</v>
      </c>
      <c r="S30" s="290" t="str">
        <f t="shared" si="53"/>
        <v>F-</v>
      </c>
      <c r="T30" s="290" t="str">
        <f t="shared" si="53"/>
        <v>D-</v>
      </c>
      <c r="U30" s="290" t="str">
        <f t="shared" si="53"/>
        <v>F-</v>
      </c>
      <c r="V30" s="288" t="str">
        <f t="shared" si="5"/>
        <v>F-</v>
      </c>
      <c r="W30" s="289">
        <f t="shared" si="6"/>
        <v>4.475</v>
      </c>
      <c r="X30" s="501" t="s">
        <v>159</v>
      </c>
      <c r="Y30" s="503">
        <f>PERCENTILE($W$2:$W$50,0.75)</f>
        <v>20.7875</v>
      </c>
      <c r="Z30" s="284"/>
      <c r="AA30" s="623"/>
      <c r="AB30" s="284"/>
      <c r="AC30" s="284"/>
      <c r="AD30" s="284"/>
      <c r="AE30" s="284"/>
      <c r="AF30" s="284"/>
      <c r="AG30" s="284"/>
      <c r="AH30" s="284"/>
      <c r="AI30" s="284"/>
    </row>
    <row r="31">
      <c r="A31" s="272" t="str">
        <f>'Halo Infinite Stats'!$A31</f>
        <v>Pd Craig 69</v>
      </c>
      <c r="B31" s="275">
        <f>IFERROR(VLOOKUP($A31,'PG+ Stats'!$A:$W,2,0),)</f>
        <v>0.01881467545</v>
      </c>
      <c r="C31" s="275">
        <f>IFERROR(VLOOKUP($A31,'PG+ Stats'!$A:$W,3,0),)</f>
        <v>-0.8090310442</v>
      </c>
      <c r="D31" s="275">
        <f>IFERROR(VLOOKUP($A31,'PG+ Stats'!$A:$W,4,0),)</f>
        <v>0.1317027281</v>
      </c>
      <c r="E31" s="275">
        <f>IFERROR(VLOOKUP($A31,'PG+ Stats'!$A:$W,5,0),)</f>
        <v>0.05644402634</v>
      </c>
      <c r="F31" s="275">
        <f>IFERROR(VLOOKUP($A31,'PG+ Stats'!$A:$W,6,0),)</f>
        <v>0.338664158</v>
      </c>
      <c r="G31" s="275">
        <f>IFERROR(VLOOKUP($A31,'PG+ Stats'!$A:$W,7,0),)</f>
        <v>0.1505174036</v>
      </c>
      <c r="H31" s="275">
        <f>IFERROR(VLOOKUP($A31,'PG+ Stats'!$A:$W,8,0),)</f>
        <v>0.6020696143</v>
      </c>
      <c r="I31" s="275">
        <f>IFERROR(VLOOKUP($A31,'PG+ Stats'!$A:$W,9,0),)</f>
        <v>0.05644402634</v>
      </c>
      <c r="J31" s="275">
        <f>IFERROR(VLOOKUP($A31,'PG+ Stats'!$A:$X,10,0),)</f>
        <v>2.72812794</v>
      </c>
      <c r="K31" s="284"/>
      <c r="L31" s="272" t="str">
        <f>'Halo Infinite Stats'!$A31</f>
        <v>Pd Craig 69</v>
      </c>
      <c r="M31" s="290" t="str">
        <f t="shared" si="3"/>
        <v>E-</v>
      </c>
      <c r="N31" s="290" t="str">
        <f t="shared" ref="N31:U31" si="54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D+</v>
      </c>
      <c r="O31" s="290" t="str">
        <f t="shared" si="54"/>
        <v>F-</v>
      </c>
      <c r="P31" s="290" t="str">
        <f t="shared" si="54"/>
        <v>B</v>
      </c>
      <c r="Q31" s="290" t="str">
        <f t="shared" si="54"/>
        <v>E</v>
      </c>
      <c r="R31" s="290" t="str">
        <f t="shared" si="54"/>
        <v>A-</v>
      </c>
      <c r="S31" s="290" t="str">
        <f t="shared" si="54"/>
        <v>C+</v>
      </c>
      <c r="T31" s="290" t="str">
        <f t="shared" si="54"/>
        <v>C-</v>
      </c>
      <c r="U31" s="290" t="str">
        <f t="shared" si="54"/>
        <v>C-</v>
      </c>
      <c r="V31" s="288" t="str">
        <f t="shared" si="5"/>
        <v>D-</v>
      </c>
      <c r="W31" s="289">
        <f t="shared" si="6"/>
        <v>12.2875</v>
      </c>
      <c r="X31" s="518" t="s">
        <v>161</v>
      </c>
      <c r="Y31" s="520">
        <f>PERCENTILE($W$2:$W$50,0.7)</f>
        <v>19.84125</v>
      </c>
      <c r="Z31" s="739"/>
      <c r="AA31" s="623"/>
      <c r="AB31" s="284"/>
      <c r="AC31" s="284"/>
      <c r="AD31" s="284"/>
      <c r="AE31" s="284"/>
      <c r="AF31" s="284"/>
      <c r="AG31" s="284"/>
      <c r="AH31" s="284"/>
      <c r="AI31" s="284"/>
    </row>
    <row r="32">
      <c r="A32" s="272" t="str">
        <f>'Halo Infinite Stats'!$A32</f>
        <v>Priest XYZ</v>
      </c>
      <c r="B32" s="275">
        <f>IFERROR(VLOOKUP($A32,'PG+ Stats'!$A:$W,2,0),)</f>
        <v>0.02037351443</v>
      </c>
      <c r="C32" s="275">
        <f>IFERROR(VLOOKUP($A32,'PG+ Stats'!$A:$W,3,0),)</f>
        <v>-0.6839679845</v>
      </c>
      <c r="D32" s="275">
        <f>IFERROR(VLOOKUP($A32,'PG+ Stats'!$A:$W,4,0),)</f>
        <v>0.3958282804</v>
      </c>
      <c r="E32" s="275">
        <f>IFERROR(VLOOKUP($A32,'PG+ Stats'!$A:$W,5,0),)</f>
        <v>0.02619451855</v>
      </c>
      <c r="F32" s="275">
        <f>IFERROR(VLOOKUP($A32,'PG+ Stats'!$A:$W,6,0),)</f>
        <v>0.4627698278</v>
      </c>
      <c r="G32" s="275">
        <f>IFERROR(VLOOKUP($A32,'PG+ Stats'!$A:$W,7,0),)</f>
        <v>0.1251515886</v>
      </c>
      <c r="H32" s="275">
        <f>IFERROR(VLOOKUP($A32,'PG+ Stats'!$A:$W,8,0),)</f>
        <v>0.6723259762</v>
      </c>
      <c r="I32" s="275">
        <f>IFERROR(VLOOKUP($A32,'PG+ Stats'!$A:$W,9,0),)</f>
        <v>0.04365753092</v>
      </c>
      <c r="J32" s="275">
        <f>IFERROR(VLOOKUP($A32,'PG+ Stats'!$A:$X,10,0),)</f>
        <v>2.933786078</v>
      </c>
      <c r="K32" s="284"/>
      <c r="L32" s="272" t="str">
        <f>'Halo Infinite Stats'!$A32</f>
        <v>Priest XYZ</v>
      </c>
      <c r="M32" s="290" t="str">
        <f t="shared" si="3"/>
        <v>E</v>
      </c>
      <c r="N32" s="290" t="str">
        <f t="shared" ref="N32:U32" si="55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C</v>
      </c>
      <c r="O32" s="290" t="str">
        <f t="shared" si="55"/>
        <v>D</v>
      </c>
      <c r="P32" s="290" t="str">
        <f t="shared" si="55"/>
        <v>D-</v>
      </c>
      <c r="Q32" s="290" t="str">
        <f t="shared" si="55"/>
        <v>B</v>
      </c>
      <c r="R32" s="290" t="str">
        <f t="shared" si="55"/>
        <v>C+</v>
      </c>
      <c r="S32" s="290" t="str">
        <f t="shared" si="55"/>
        <v>B</v>
      </c>
      <c r="T32" s="290" t="str">
        <f t="shared" si="55"/>
        <v>E+</v>
      </c>
      <c r="U32" s="290" t="str">
        <f t="shared" si="55"/>
        <v>B-</v>
      </c>
      <c r="V32" s="288" t="str">
        <f t="shared" si="5"/>
        <v>C-</v>
      </c>
      <c r="W32" s="289">
        <f t="shared" si="6"/>
        <v>14.5125</v>
      </c>
      <c r="X32" s="522" t="s">
        <v>164</v>
      </c>
      <c r="Y32" s="523">
        <f>PERCENTILE($W$2:$W$50,0.65)</f>
        <v>18.08</v>
      </c>
      <c r="Z32" s="284"/>
      <c r="AA32" s="623"/>
      <c r="AB32" s="284"/>
      <c r="AC32" s="284"/>
      <c r="AD32" s="284"/>
      <c r="AE32" s="284"/>
      <c r="AF32" s="284"/>
      <c r="AG32" s="284"/>
      <c r="AH32" s="284"/>
      <c r="AI32" s="284"/>
    </row>
    <row r="33">
      <c r="A33" s="272" t="str">
        <f>'Halo Infinite Stats'!$A33</f>
        <v>Ram Osneb</v>
      </c>
      <c r="B33" s="275">
        <f>IFERROR(VLOOKUP($A33,'PG+ Stats'!$A:$W,2,0),)</f>
        <v>0.0306122449</v>
      </c>
      <c r="C33" s="275">
        <f>IFERROR(VLOOKUP($A33,'PG+ Stats'!$A:$W,3,0),)</f>
        <v>-1.596938776</v>
      </c>
      <c r="D33" s="275">
        <f>IFERROR(VLOOKUP($A33,'PG+ Stats'!$A:$W,4,0),)</f>
        <v>0.3316326531</v>
      </c>
      <c r="E33" s="275">
        <f>IFERROR(VLOOKUP($A33,'PG+ Stats'!$A:$W,5,0),)</f>
        <v>0</v>
      </c>
      <c r="F33" s="275">
        <f>IFERROR(VLOOKUP($A33,'PG+ Stats'!$A:$W,6,0),)</f>
        <v>0.2193877551</v>
      </c>
      <c r="G33" s="275">
        <f>IFERROR(VLOOKUP($A33,'PG+ Stats'!$A:$W,7,0),)</f>
        <v>0.03571428571</v>
      </c>
      <c r="H33" s="275">
        <f>IFERROR(VLOOKUP($A33,'PG+ Stats'!$A:$W,8,0),)</f>
        <v>0.2653061224</v>
      </c>
      <c r="I33" s="275">
        <f>IFERROR(VLOOKUP($A33,'PG+ Stats'!$A:$W,9,0),)</f>
        <v>0.1326530612</v>
      </c>
      <c r="J33" s="275">
        <f>IFERROR(VLOOKUP($A33,'PG+ Stats'!$A:$X,10,0),)</f>
        <v>2.382653061</v>
      </c>
      <c r="K33" s="284"/>
      <c r="L33" s="272" t="str">
        <f>'Halo Infinite Stats'!$A33</f>
        <v>Ram Osneb</v>
      </c>
      <c r="M33" s="290" t="str">
        <f t="shared" si="3"/>
        <v>D-</v>
      </c>
      <c r="N33" s="290" t="str">
        <f t="shared" ref="N33:U33" si="56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E-</v>
      </c>
      <c r="O33" s="290" t="str">
        <f t="shared" si="56"/>
        <v>E</v>
      </c>
      <c r="P33" s="290" t="str">
        <f t="shared" si="56"/>
        <v>F-</v>
      </c>
      <c r="Q33" s="290" t="str">
        <f t="shared" si="56"/>
        <v>F-</v>
      </c>
      <c r="R33" s="290" t="str">
        <f t="shared" si="56"/>
        <v>F-</v>
      </c>
      <c r="S33" s="290" t="str">
        <f t="shared" si="56"/>
        <v>F-</v>
      </c>
      <c r="T33" s="290" t="str">
        <f t="shared" si="56"/>
        <v>S</v>
      </c>
      <c r="U33" s="290" t="str">
        <f t="shared" si="56"/>
        <v>E</v>
      </c>
      <c r="V33" s="288" t="str">
        <f t="shared" si="5"/>
        <v>F+</v>
      </c>
      <c r="W33" s="289">
        <f t="shared" si="6"/>
        <v>7.5625</v>
      </c>
      <c r="X33" s="518" t="s">
        <v>166</v>
      </c>
      <c r="Y33" s="527">
        <f>PERCENTILE($W$2:$W$50,0.6)</f>
        <v>16.3975</v>
      </c>
      <c r="Z33" s="284"/>
      <c r="AA33" s="623"/>
      <c r="AB33" s="284"/>
      <c r="AC33" s="284"/>
      <c r="AD33" s="284"/>
      <c r="AE33" s="284"/>
      <c r="AF33" s="284"/>
      <c r="AG33" s="284"/>
      <c r="AH33" s="284"/>
      <c r="AI33" s="284"/>
    </row>
    <row r="34">
      <c r="A34" s="272" t="str">
        <f>'Halo Infinite Stats'!$A34</f>
        <v>Scullen cx</v>
      </c>
      <c r="B34" s="275">
        <f>IFERROR(VLOOKUP($A34,'PG+ Stats'!$A:$W,2,0),)</f>
        <v>0.124137931</v>
      </c>
      <c r="C34" s="275">
        <f>IFERROR(VLOOKUP($A34,'PG+ Stats'!$A:$W,3,0),)</f>
        <v>-0.2068965517</v>
      </c>
      <c r="D34" s="275">
        <f>IFERROR(VLOOKUP($A34,'PG+ Stats'!$A:$W,4,0),)</f>
        <v>0.7586206897</v>
      </c>
      <c r="E34" s="275">
        <f>IFERROR(VLOOKUP($A34,'PG+ Stats'!$A:$W,5,0),)</f>
        <v>0.09310344828</v>
      </c>
      <c r="F34" s="275">
        <f>IFERROR(VLOOKUP($A34,'PG+ Stats'!$A:$W,6,0),)</f>
        <v>0.6172413793</v>
      </c>
      <c r="G34" s="275">
        <f>IFERROR(VLOOKUP($A34,'PG+ Stats'!$A:$W,7,0),)</f>
        <v>0.1724137931</v>
      </c>
      <c r="H34" s="275">
        <f>IFERROR(VLOOKUP($A34,'PG+ Stats'!$A:$W,8,0),)</f>
        <v>0.8965517241</v>
      </c>
      <c r="I34" s="275">
        <f>IFERROR(VLOOKUP($A34,'PG+ Stats'!$A:$W,9,0),)</f>
        <v>0.05862068966</v>
      </c>
      <c r="J34" s="275">
        <f>IFERROR(VLOOKUP($A34,'PG+ Stats'!$A:$X,10,0),)</f>
        <v>3.320689655</v>
      </c>
      <c r="K34" s="284"/>
      <c r="L34" s="272" t="str">
        <f>'Halo Infinite Stats'!$A34</f>
        <v>Scullen cx</v>
      </c>
      <c r="M34" s="290" t="str">
        <f t="shared" si="3"/>
        <v>S-</v>
      </c>
      <c r="N34" s="290" t="str">
        <f t="shared" ref="N34:U34" si="57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A-</v>
      </c>
      <c r="O34" s="290" t="str">
        <f t="shared" si="57"/>
        <v>S-</v>
      </c>
      <c r="P34" s="290" t="str">
        <f t="shared" si="57"/>
        <v>A+</v>
      </c>
      <c r="Q34" s="290" t="str">
        <f t="shared" si="57"/>
        <v>A+</v>
      </c>
      <c r="R34" s="290" t="str">
        <f t="shared" si="57"/>
        <v>A</v>
      </c>
      <c r="S34" s="290" t="str">
        <f t="shared" si="57"/>
        <v>A</v>
      </c>
      <c r="T34" s="290" t="str">
        <f t="shared" si="57"/>
        <v>C+</v>
      </c>
      <c r="U34" s="290" t="str">
        <f t="shared" si="57"/>
        <v>A</v>
      </c>
      <c r="V34" s="288" t="str">
        <f t="shared" si="5"/>
        <v>A+</v>
      </c>
      <c r="W34" s="289">
        <f t="shared" si="6"/>
        <v>25.0875</v>
      </c>
      <c r="X34" s="529" t="s">
        <v>168</v>
      </c>
      <c r="Y34" s="530">
        <f>PERCENTILE($W$2:$W$50,0.55)</f>
        <v>15.26375</v>
      </c>
      <c r="Z34" s="284"/>
      <c r="AA34" s="623"/>
      <c r="AB34" s="284"/>
      <c r="AC34" s="284"/>
      <c r="AD34" s="284"/>
      <c r="AE34" s="284"/>
      <c r="AF34" s="284"/>
      <c r="AG34" s="284"/>
      <c r="AH34" s="284"/>
      <c r="AI34" s="284"/>
    </row>
    <row r="35">
      <c r="A35" s="272" t="str">
        <f>'Halo Infinite Stats'!$A35</f>
        <v>SPANKTR0N</v>
      </c>
      <c r="B35" s="275">
        <f>IFERROR(VLOOKUP($A35,'PG+ Stats'!$A:$W,2,0),)</f>
        <v>0.02100735257</v>
      </c>
      <c r="C35" s="275">
        <f>IFERROR(VLOOKUP($A35,'PG+ Stats'!$A:$W,3,0),)</f>
        <v>-0.3211123893</v>
      </c>
      <c r="D35" s="275">
        <f>IFERROR(VLOOKUP($A35,'PG+ Stats'!$A:$W,4,0),)</f>
        <v>0.4291502026</v>
      </c>
      <c r="E35" s="275">
        <f>IFERROR(VLOOKUP($A35,'PG+ Stats'!$A:$W,5,0),)</f>
        <v>0.08402941029</v>
      </c>
      <c r="F35" s="275">
        <f>IFERROR(VLOOKUP($A35,'PG+ Stats'!$A:$W,6,0),)</f>
        <v>0.6962436853</v>
      </c>
      <c r="G35" s="275">
        <f>IFERROR(VLOOKUP($A35,'PG+ Stats'!$A:$W,7,0),)</f>
        <v>0.1860651228</v>
      </c>
      <c r="H35" s="275">
        <f>IFERROR(VLOOKUP($A35,'PG+ Stats'!$A:$W,8,0),)</f>
        <v>1.05937078</v>
      </c>
      <c r="I35" s="275">
        <f>IFERROR(VLOOKUP($A35,'PG+ Stats'!$A:$W,9,0),)</f>
        <v>0.05701995698</v>
      </c>
      <c r="J35" s="275">
        <f>IFERROR(VLOOKUP($A35,'PG+ Stats'!$A:$X,10,0),)</f>
        <v>3.481218426</v>
      </c>
      <c r="K35" s="284"/>
      <c r="L35" s="272" t="str">
        <f>'Halo Infinite Stats'!$A35</f>
        <v>SPANKTR0N</v>
      </c>
      <c r="M35" s="290" t="str">
        <f t="shared" si="3"/>
        <v>E+</v>
      </c>
      <c r="N35" s="290" t="str">
        <f t="shared" ref="N35:U35" si="58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B</v>
      </c>
      <c r="O35" s="290" t="str">
        <f t="shared" si="58"/>
        <v>D+</v>
      </c>
      <c r="P35" s="290" t="str">
        <f t="shared" si="58"/>
        <v>A+</v>
      </c>
      <c r="Q35" s="290" t="str">
        <f t="shared" si="58"/>
        <v>S-</v>
      </c>
      <c r="R35" s="290" t="str">
        <f t="shared" si="58"/>
        <v>A+</v>
      </c>
      <c r="S35" s="290" t="str">
        <f t="shared" si="58"/>
        <v>S-</v>
      </c>
      <c r="T35" s="290" t="str">
        <f t="shared" si="58"/>
        <v>C</v>
      </c>
      <c r="U35" s="290" t="str">
        <f t="shared" si="58"/>
        <v>A+</v>
      </c>
      <c r="V35" s="288" t="str">
        <f t="shared" si="5"/>
        <v>B+</v>
      </c>
      <c r="W35" s="289">
        <f t="shared" si="6"/>
        <v>19.875</v>
      </c>
      <c r="X35" s="534" t="s">
        <v>171</v>
      </c>
      <c r="Y35" s="535">
        <f>PERCENTILE($W$2:$W$50,0.5)</f>
        <v>14.61875</v>
      </c>
      <c r="Z35" s="284"/>
      <c r="AA35" s="623"/>
      <c r="AB35" s="284"/>
      <c r="AC35" s="284"/>
      <c r="AD35" s="284"/>
      <c r="AE35" s="284"/>
      <c r="AF35" s="284"/>
      <c r="AG35" s="284"/>
      <c r="AH35" s="284"/>
      <c r="AI35" s="284"/>
    </row>
    <row r="36">
      <c r="A36" s="272" t="str">
        <f>'Halo Infinite Stats'!$A36</f>
        <v>StarMonster8129</v>
      </c>
      <c r="B36" s="275">
        <f>IFERROR(VLOOKUP($A36,'PG+ Stats'!$A:$W,2,0),)</f>
        <v>0.020127474</v>
      </c>
      <c r="C36" s="275">
        <f>IFERROR(VLOOKUP($A36,'PG+ Stats'!$A:$W,3,0),)</f>
        <v>-1.81147266</v>
      </c>
      <c r="D36" s="275">
        <f>IFERROR(VLOOKUP($A36,'PG+ Stats'!$A:$W,4,0),)</f>
        <v>0.5031868501</v>
      </c>
      <c r="E36" s="275">
        <f>IFERROR(VLOOKUP($A36,'PG+ Stats'!$A:$W,5,0),)</f>
        <v>0</v>
      </c>
      <c r="F36" s="275">
        <f>IFERROR(VLOOKUP($A36,'PG+ Stats'!$A:$W,6,0),)</f>
        <v>0.261657162</v>
      </c>
      <c r="G36" s="275">
        <f>IFERROR(VLOOKUP($A36,'PG+ Stats'!$A:$W,7,0),)</f>
        <v>0.06038242201</v>
      </c>
      <c r="H36" s="275">
        <f>IFERROR(VLOOKUP($A36,'PG+ Stats'!$A:$W,8,0),)</f>
        <v>0.322039584</v>
      </c>
      <c r="I36" s="275">
        <f>IFERROR(VLOOKUP($A36,'PG+ Stats'!$A:$W,9,0),)</f>
        <v>0.06038242201</v>
      </c>
      <c r="J36" s="275">
        <f>IFERROR(VLOOKUP($A36,'PG+ Stats'!$A:$X,10,0),)</f>
        <v>2.254277088</v>
      </c>
      <c r="K36" s="284"/>
      <c r="L36" s="272" t="str">
        <f>'Halo Infinite Stats'!$A36</f>
        <v>StarMonster8129</v>
      </c>
      <c r="M36" s="290" t="str">
        <f t="shared" si="3"/>
        <v>E</v>
      </c>
      <c r="N36" s="290" t="str">
        <f t="shared" ref="N36:U36" si="59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F</v>
      </c>
      <c r="O36" s="290" t="str">
        <f t="shared" si="59"/>
        <v>B</v>
      </c>
      <c r="P36" s="290" t="str">
        <f t="shared" si="59"/>
        <v>F-</v>
      </c>
      <c r="Q36" s="290" t="str">
        <f t="shared" si="59"/>
        <v>F</v>
      </c>
      <c r="R36" s="290" t="str">
        <f t="shared" si="59"/>
        <v>E-</v>
      </c>
      <c r="S36" s="290" t="str">
        <f t="shared" si="59"/>
        <v>F</v>
      </c>
      <c r="T36" s="290" t="str">
        <f t="shared" si="59"/>
        <v>B-</v>
      </c>
      <c r="U36" s="290" t="str">
        <f t="shared" si="59"/>
        <v>F</v>
      </c>
      <c r="V36" s="288" t="str">
        <f t="shared" si="5"/>
        <v>F+</v>
      </c>
      <c r="W36" s="289">
        <f t="shared" si="6"/>
        <v>8</v>
      </c>
      <c r="X36" s="529" t="s">
        <v>173</v>
      </c>
      <c r="Y36" s="536">
        <f>PERCENTILE($W$2:$W$50,0.45)</f>
        <v>14.165625</v>
      </c>
      <c r="Z36" s="284"/>
      <c r="AA36" s="623"/>
      <c r="AB36" s="284"/>
      <c r="AC36" s="284"/>
      <c r="AD36" s="284"/>
      <c r="AE36" s="284"/>
      <c r="AF36" s="284"/>
      <c r="AG36" s="284"/>
      <c r="AH36" s="284"/>
      <c r="AI36" s="284"/>
    </row>
    <row r="37">
      <c r="A37" s="272" t="str">
        <f>'Halo Infinite Stats'!$A37</f>
        <v>xXTHEChickenGod</v>
      </c>
      <c r="B37" s="275">
        <f>IFERROR(VLOOKUP($A37,'PG+ Stats'!$A:$W,2,0),)</f>
        <v>0.01135575043</v>
      </c>
      <c r="C37" s="275">
        <f>IFERROR(VLOOKUP($A37,'PG+ Stats'!$A:$W,3,0),)</f>
        <v>-1.116648792</v>
      </c>
      <c r="D37" s="275">
        <f>IFERROR(VLOOKUP($A37,'PG+ Stats'!$A:$W,4,0),)</f>
        <v>0.2990347612</v>
      </c>
      <c r="E37" s="275">
        <f>IFERROR(VLOOKUP($A37,'PG+ Stats'!$A:$W,5,0),)</f>
        <v>0.01514100057</v>
      </c>
      <c r="F37" s="275">
        <f>IFERROR(VLOOKUP($A37,'PG+ Stats'!$A:$W,6,0),)</f>
        <v>0.3747397641</v>
      </c>
      <c r="G37" s="275">
        <f>IFERROR(VLOOKUP($A37,'PG+ Stats'!$A:$W,7,0),)</f>
        <v>0.0454230017</v>
      </c>
      <c r="H37" s="275">
        <f>IFERROR(VLOOKUP($A37,'PG+ Stats'!$A:$W,8,0),)</f>
        <v>0.427733266</v>
      </c>
      <c r="I37" s="275">
        <f>IFERROR(VLOOKUP($A37,'PG+ Stats'!$A:$W,9,0),)</f>
        <v>0.01514100057</v>
      </c>
      <c r="J37" s="275">
        <f>IFERROR(VLOOKUP($A37,'PG+ Stats'!$A:$X,10,0),)</f>
        <v>2.710239102</v>
      </c>
      <c r="K37" s="284"/>
      <c r="L37" s="272" t="str">
        <f>'Halo Infinite Stats'!$A37</f>
        <v>xXTHEChickenGod</v>
      </c>
      <c r="M37" s="290" t="str">
        <f t="shared" si="3"/>
        <v>F</v>
      </c>
      <c r="N37" s="290" t="str">
        <f t="shared" ref="N37:U37" si="60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E+</v>
      </c>
      <c r="O37" s="290" t="str">
        <f t="shared" si="60"/>
        <v>F+</v>
      </c>
      <c r="P37" s="290" t="str">
        <f t="shared" si="60"/>
        <v>E-</v>
      </c>
      <c r="Q37" s="290" t="str">
        <f t="shared" si="60"/>
        <v>D-</v>
      </c>
      <c r="R37" s="290" t="str">
        <f t="shared" si="60"/>
        <v>F</v>
      </c>
      <c r="S37" s="290" t="str">
        <f t="shared" si="60"/>
        <v>E-</v>
      </c>
      <c r="T37" s="290" t="str">
        <f t="shared" si="60"/>
        <v>F-</v>
      </c>
      <c r="U37" s="290" t="str">
        <f t="shared" si="60"/>
        <v>D+</v>
      </c>
      <c r="V37" s="288" t="str">
        <f t="shared" si="5"/>
        <v>F</v>
      </c>
      <c r="W37" s="289">
        <f t="shared" si="6"/>
        <v>7.275</v>
      </c>
      <c r="X37" s="538" t="s">
        <v>175</v>
      </c>
      <c r="Y37" s="539">
        <f>PERCENTILE($W$2:$W$50,0.4)</f>
        <v>13.7375</v>
      </c>
      <c r="Z37" s="284"/>
      <c r="AA37" s="623"/>
      <c r="AB37" s="284"/>
      <c r="AC37" s="284"/>
      <c r="AD37" s="284"/>
      <c r="AE37" s="284"/>
      <c r="AF37" s="284"/>
      <c r="AG37" s="284"/>
      <c r="AH37" s="284"/>
      <c r="AI37" s="284"/>
    </row>
    <row r="38">
      <c r="A38" s="272" t="str">
        <f>'Halo Infinite Stats'!$A38</f>
        <v>ThePro#1771</v>
      </c>
      <c r="B38" s="275">
        <f>IFERROR(VLOOKUP($A38,'PG+ Stats'!$A:$W,2,0),)</f>
        <v>0</v>
      </c>
      <c r="C38" s="275">
        <f>IFERROR(VLOOKUP($A38,'PG+ Stats'!$A:$W,3,0),)</f>
        <v>-1.314487633</v>
      </c>
      <c r="D38" s="275">
        <f>IFERROR(VLOOKUP($A38,'PG+ Stats'!$A:$W,4,0),)</f>
        <v>0.1696113074</v>
      </c>
      <c r="E38" s="275">
        <f>IFERROR(VLOOKUP($A38,'PG+ Stats'!$A:$W,5,0),)</f>
        <v>0.04240282686</v>
      </c>
      <c r="F38" s="275">
        <f>IFERROR(VLOOKUP($A38,'PG+ Stats'!$A:$W,6,0),)</f>
        <v>0.3816254417</v>
      </c>
      <c r="G38" s="275">
        <f>IFERROR(VLOOKUP($A38,'PG+ Stats'!$A:$W,7,0),)</f>
        <v>0.08480565371</v>
      </c>
      <c r="H38" s="275">
        <f>IFERROR(VLOOKUP($A38,'PG+ Stats'!$A:$W,8,0),)</f>
        <v>0.4664310954</v>
      </c>
      <c r="I38" s="275">
        <f>IFERROR(VLOOKUP($A38,'PG+ Stats'!$A:$W,9,0),)</f>
        <v>0</v>
      </c>
      <c r="J38" s="275">
        <f>IFERROR(VLOOKUP($A38,'PG+ Stats'!$A:$X,10,0),)</f>
        <v>2.28975265</v>
      </c>
      <c r="K38" s="284"/>
      <c r="L38" s="272" t="str">
        <f>'Halo Infinite Stats'!$A38</f>
        <v>ThePro#1771</v>
      </c>
      <c r="M38" s="290" t="str">
        <f t="shared" si="3"/>
        <v>F-</v>
      </c>
      <c r="N38" s="290" t="str">
        <f t="shared" ref="N38:U38" si="61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E</v>
      </c>
      <c r="O38" s="290" t="str">
        <f t="shared" si="61"/>
        <v>F-</v>
      </c>
      <c r="P38" s="290" t="str">
        <f t="shared" si="61"/>
        <v>C+</v>
      </c>
      <c r="Q38" s="290" t="str">
        <f t="shared" si="61"/>
        <v>D</v>
      </c>
      <c r="R38" s="290" t="str">
        <f t="shared" si="61"/>
        <v>D-</v>
      </c>
      <c r="S38" s="290" t="str">
        <f t="shared" si="61"/>
        <v>E</v>
      </c>
      <c r="T38" s="290" t="str">
        <f t="shared" si="61"/>
        <v>F-</v>
      </c>
      <c r="U38" s="290" t="str">
        <f t="shared" si="61"/>
        <v>F+</v>
      </c>
      <c r="V38" s="288" t="str">
        <f t="shared" si="5"/>
        <v>F</v>
      </c>
      <c r="W38" s="289">
        <f t="shared" si="6"/>
        <v>7.2</v>
      </c>
      <c r="X38" s="544" t="s">
        <v>179</v>
      </c>
      <c r="Y38" s="545">
        <f>PERCENTILE($W$2:$W$50,0.35)</f>
        <v>12.43375</v>
      </c>
      <c r="Z38" s="284"/>
      <c r="AA38" s="623"/>
      <c r="AB38" s="284"/>
      <c r="AC38" s="284"/>
      <c r="AD38" s="284"/>
      <c r="AE38" s="284"/>
      <c r="AF38" s="284"/>
      <c r="AG38" s="284"/>
      <c r="AH38" s="284"/>
      <c r="AI38" s="284"/>
    </row>
    <row r="39">
      <c r="A39" s="272" t="str">
        <f>'Halo Infinite Stats'!$A39</f>
        <v>TJP37</v>
      </c>
      <c r="B39" s="275">
        <f>IFERROR(VLOOKUP($A39,'PG+ Stats'!$A:$W,2,0),)</f>
        <v>0.05256497615</v>
      </c>
      <c r="C39" s="275">
        <f>IFERROR(VLOOKUP($A39,'PG+ Stats'!$A:$W,3,0),)</f>
        <v>-0.2482234985</v>
      </c>
      <c r="D39" s="275">
        <f>IFERROR(VLOOKUP($A39,'PG+ Stats'!$A:$W,4,0),)</f>
        <v>0.5373308673</v>
      </c>
      <c r="E39" s="275">
        <f>IFERROR(VLOOKUP($A39,'PG+ Stats'!$A:$W,5,0),)</f>
        <v>0.05256497615</v>
      </c>
      <c r="F39" s="275">
        <f>IFERROR(VLOOKUP($A39,'PG+ Stats'!$A:$W,6,0),)</f>
        <v>0.4818456147</v>
      </c>
      <c r="G39" s="275">
        <f>IFERROR(VLOOKUP($A39,'PG+ Stats'!$A:$W,7,0),)</f>
        <v>0.1489340991</v>
      </c>
      <c r="H39" s="275">
        <f>IFERROR(VLOOKUP($A39,'PG+ Stats'!$A:$W,8,0),)</f>
        <v>0.7183880074</v>
      </c>
      <c r="I39" s="275">
        <f>IFERROR(VLOOKUP($A39,'PG+ Stats'!$A:$W,9,0),)</f>
        <v>0.08176774068</v>
      </c>
      <c r="J39" s="275">
        <f>IFERROR(VLOOKUP($A39,'PG+ Stats'!$A:$X,10,0),)</f>
        <v>3.010805023</v>
      </c>
      <c r="K39" s="284"/>
      <c r="L39" s="272" t="str">
        <f>'Halo Infinite Stats'!$A39</f>
        <v>TJP37</v>
      </c>
      <c r="M39" s="290" t="str">
        <f t="shared" si="3"/>
        <v>B-</v>
      </c>
      <c r="N39" s="290" t="str">
        <f t="shared" ref="N39:U39" si="62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B+</v>
      </c>
      <c r="O39" s="290" t="str">
        <f t="shared" si="62"/>
        <v>B+</v>
      </c>
      <c r="P39" s="290" t="str">
        <f t="shared" si="62"/>
        <v>B-</v>
      </c>
      <c r="Q39" s="290" t="str">
        <f t="shared" si="62"/>
        <v>B</v>
      </c>
      <c r="R39" s="290" t="str">
        <f t="shared" si="62"/>
        <v>B+</v>
      </c>
      <c r="S39" s="290" t="str">
        <f t="shared" si="62"/>
        <v>B</v>
      </c>
      <c r="T39" s="290" t="str">
        <f t="shared" si="62"/>
        <v>A+</v>
      </c>
      <c r="U39" s="290" t="str">
        <f t="shared" si="62"/>
        <v>B+</v>
      </c>
      <c r="V39" s="288" t="str">
        <f t="shared" si="5"/>
        <v>A-</v>
      </c>
      <c r="W39" s="289">
        <f t="shared" si="6"/>
        <v>21.0125</v>
      </c>
      <c r="X39" s="538" t="s">
        <v>181</v>
      </c>
      <c r="Y39" s="547">
        <f>PERCENTILE($W$2:$W$50,0.3)</f>
        <v>12.0075</v>
      </c>
      <c r="Z39" s="284"/>
      <c r="AA39" s="623"/>
      <c r="AB39" s="284"/>
      <c r="AC39" s="284"/>
      <c r="AD39" s="284"/>
      <c r="AE39" s="284"/>
      <c r="AF39" s="284"/>
      <c r="AG39" s="284"/>
      <c r="AH39" s="284"/>
      <c r="AI39" s="284"/>
    </row>
    <row r="40">
      <c r="A40" s="272" t="str">
        <f>'Halo Infinite Stats'!$A40</f>
        <v>TommyWstSide</v>
      </c>
      <c r="B40" s="275">
        <f>IFERROR(VLOOKUP($A40,'PG+ Stats'!$A:$W,2,0),)</f>
        <v>0.04349545275</v>
      </c>
      <c r="C40" s="275">
        <f>IFERROR(VLOOKUP($A40,'PG+ Stats'!$A:$W,3,0),)</f>
        <v>-0.2095689996</v>
      </c>
      <c r="D40" s="275">
        <f>IFERROR(VLOOKUP($A40,'PG+ Stats'!$A:$W,4,0),)</f>
        <v>0.6247528667</v>
      </c>
      <c r="E40" s="275">
        <f>IFERROR(VLOOKUP($A40,'PG+ Stats'!$A:$W,5,0),)</f>
        <v>0.06128904705</v>
      </c>
      <c r="F40" s="275">
        <f>IFERROR(VLOOKUP($A40,'PG+ Stats'!$A:$W,6,0),)</f>
        <v>0.5377619612</v>
      </c>
      <c r="G40" s="275">
        <f>IFERROR(VLOOKUP($A40,'PG+ Stats'!$A:$W,7,0),)</f>
        <v>0.1581652827</v>
      </c>
      <c r="H40" s="275">
        <f>IFERROR(VLOOKUP($A40,'PG+ Stats'!$A:$W,8,0),)</f>
        <v>0.81257414</v>
      </c>
      <c r="I40" s="275">
        <f>IFERROR(VLOOKUP($A40,'PG+ Stats'!$A:$W,9,0),)</f>
        <v>0.08105970739</v>
      </c>
      <c r="J40" s="275">
        <f>IFERROR(VLOOKUP($A40,'PG+ Stats'!$A:$X,10,0),)</f>
        <v>3.169236853</v>
      </c>
      <c r="K40" s="284"/>
      <c r="L40" s="272" t="str">
        <f>'Halo Infinite Stats'!$A40</f>
        <v>TommyWstSide</v>
      </c>
      <c r="M40" s="290" t="str">
        <f t="shared" si="3"/>
        <v>C-</v>
      </c>
      <c r="N40" s="290" t="str">
        <f t="shared" ref="N40:U40" si="63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B+</v>
      </c>
      <c r="O40" s="290" t="str">
        <f t="shared" si="63"/>
        <v>A</v>
      </c>
      <c r="P40" s="290" t="str">
        <f t="shared" si="63"/>
        <v>B+</v>
      </c>
      <c r="Q40" s="290" t="str">
        <f t="shared" si="63"/>
        <v>A-</v>
      </c>
      <c r="R40" s="290" t="str">
        <f t="shared" si="63"/>
        <v>A-</v>
      </c>
      <c r="S40" s="290" t="str">
        <f t="shared" si="63"/>
        <v>A-</v>
      </c>
      <c r="T40" s="290" t="str">
        <f t="shared" si="63"/>
        <v>A</v>
      </c>
      <c r="U40" s="290" t="str">
        <f t="shared" si="63"/>
        <v>A-</v>
      </c>
      <c r="V40" s="288" t="str">
        <f t="shared" si="5"/>
        <v>A</v>
      </c>
      <c r="W40" s="289">
        <f t="shared" si="6"/>
        <v>21.55</v>
      </c>
      <c r="X40" s="550" t="s">
        <v>183</v>
      </c>
      <c r="Y40" s="551">
        <f>PERCENTILE($W$2:$W$50,0.25)</f>
        <v>11.090625</v>
      </c>
      <c r="Z40" s="284"/>
      <c r="AA40" s="623"/>
      <c r="AB40" s="284"/>
      <c r="AC40" s="284"/>
      <c r="AD40" s="284"/>
      <c r="AE40" s="284"/>
      <c r="AF40" s="284"/>
      <c r="AG40" s="284"/>
      <c r="AH40" s="284"/>
      <c r="AI40" s="284"/>
    </row>
    <row r="41">
      <c r="A41" s="272" t="str">
        <f>'Halo Infinite Stats'!$A41</f>
        <v>Trespa5s</v>
      </c>
      <c r="B41" s="275">
        <f>IFERROR(VLOOKUP($A41,'PG+ Stats'!$A:$W,2,0),)</f>
        <v>0</v>
      </c>
      <c r="C41" s="275">
        <f>IFERROR(VLOOKUP($A41,'PG+ Stats'!$A:$W,3,0),)</f>
        <v>-1.450433369</v>
      </c>
      <c r="D41" s="275">
        <f>IFERROR(VLOOKUP($A41,'PG+ Stats'!$A:$W,4,0),)</f>
        <v>0.2884615385</v>
      </c>
      <c r="E41" s="275">
        <f>IFERROR(VLOOKUP($A41,'PG+ Stats'!$A:$W,5,0),)</f>
        <v>0.02031419285</v>
      </c>
      <c r="F41" s="275">
        <f>IFERROR(VLOOKUP($A41,'PG+ Stats'!$A:$W,6,0),)</f>
        <v>0.3047128927</v>
      </c>
      <c r="G41" s="275">
        <f>IFERROR(VLOOKUP($A41,'PG+ Stats'!$A:$W,7,0),)</f>
        <v>0.04875406284</v>
      </c>
      <c r="H41" s="275">
        <f>IFERROR(VLOOKUP($A41,'PG+ Stats'!$A:$W,8,0),)</f>
        <v>0.3981581798</v>
      </c>
      <c r="I41" s="275">
        <f>IFERROR(VLOOKUP($A41,'PG+ Stats'!$A:$W,9,0),)</f>
        <v>0.05281690141</v>
      </c>
      <c r="J41" s="275">
        <f>IFERROR(VLOOKUP($A41,'PG+ Stats'!$A:$X,10,0),)</f>
        <v>2.214247021</v>
      </c>
      <c r="K41" s="284"/>
      <c r="L41" s="272" t="str">
        <f>'Halo Infinite Stats'!$A41</f>
        <v>Trespa5s</v>
      </c>
      <c r="M41" s="290" t="str">
        <f t="shared" si="3"/>
        <v>F-</v>
      </c>
      <c r="N41" s="290" t="str">
        <f t="shared" ref="N41:U41" si="64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E-</v>
      </c>
      <c r="O41" s="290" t="str">
        <f t="shared" si="64"/>
        <v>F+</v>
      </c>
      <c r="P41" s="290" t="str">
        <f t="shared" si="64"/>
        <v>E</v>
      </c>
      <c r="Q41" s="290" t="str">
        <f t="shared" si="64"/>
        <v>F+</v>
      </c>
      <c r="R41" s="290" t="str">
        <f t="shared" si="64"/>
        <v>F+</v>
      </c>
      <c r="S41" s="290" t="str">
        <f t="shared" si="64"/>
        <v>F+</v>
      </c>
      <c r="T41" s="290" t="str">
        <f t="shared" si="64"/>
        <v>D+</v>
      </c>
      <c r="U41" s="290" t="str">
        <f t="shared" si="64"/>
        <v>F</v>
      </c>
      <c r="V41" s="288" t="str">
        <f t="shared" si="5"/>
        <v>F-</v>
      </c>
      <c r="W41" s="289">
        <f t="shared" si="6"/>
        <v>5.675</v>
      </c>
      <c r="X41" s="556" t="s">
        <v>184</v>
      </c>
      <c r="Y41" s="557">
        <f>PERCENTILE($W$2:$W$50,0.2)</f>
        <v>9.345</v>
      </c>
      <c r="Z41" s="284"/>
      <c r="AA41" s="623"/>
      <c r="AB41" s="284"/>
      <c r="AC41" s="284"/>
      <c r="AD41" s="284"/>
      <c r="AE41" s="284"/>
      <c r="AF41" s="284"/>
      <c r="AG41" s="284"/>
      <c r="AH41" s="284"/>
      <c r="AI41" s="284"/>
    </row>
    <row r="42">
      <c r="A42" s="272" t="str">
        <f>'Halo Infinite Stats'!$A42</f>
        <v>WeirdPG</v>
      </c>
      <c r="B42" s="275">
        <f>IFERROR(VLOOKUP($A42,'PG+ Stats'!$A:$W,2,0),)</f>
        <v>0.04384184461</v>
      </c>
      <c r="C42" s="275">
        <f>IFERROR(VLOOKUP($A42,'PG+ Stats'!$A:$W,3,0),)</f>
        <v>-2.518470407</v>
      </c>
      <c r="D42" s="275">
        <f>IFERROR(VLOOKUP($A42,'PG+ Stats'!$A:$W,4,0),)</f>
        <v>0.3458634408</v>
      </c>
      <c r="E42" s="275">
        <f>IFERROR(VLOOKUP($A42,'PG+ Stats'!$A:$W,5,0),)</f>
        <v>0.0146139482</v>
      </c>
      <c r="F42" s="275">
        <f>IFERROR(VLOOKUP($A42,'PG+ Stats'!$A:$W,6,0),)</f>
        <v>0.2679223837</v>
      </c>
      <c r="G42" s="275">
        <f>IFERROR(VLOOKUP($A42,'PG+ Stats'!$A:$W,7,0),)</f>
        <v>0.04871316067</v>
      </c>
      <c r="H42" s="275">
        <f>IFERROR(VLOOKUP($A42,'PG+ Stats'!$A:$W,8,0),)</f>
        <v>0.3897052854</v>
      </c>
      <c r="I42" s="275">
        <f>IFERROR(VLOOKUP($A42,'PG+ Stats'!$A:$W,9,0),)</f>
        <v>0.08281237314</v>
      </c>
      <c r="J42" s="275">
        <f>IFERROR(VLOOKUP($A42,'PG+ Stats'!$A:$X,10,0),)</f>
        <v>2.260290655</v>
      </c>
      <c r="K42" s="284"/>
      <c r="L42" s="272" t="str">
        <f>'Halo Infinite Stats'!$A42</f>
        <v>WeirdPG</v>
      </c>
      <c r="M42" s="290" t="str">
        <f t="shared" si="3"/>
        <v>C</v>
      </c>
      <c r="N42" s="290" t="str">
        <f t="shared" ref="N42:U42" si="65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F-</v>
      </c>
      <c r="O42" s="290" t="str">
        <f t="shared" si="65"/>
        <v>E+</v>
      </c>
      <c r="P42" s="290" t="str">
        <f t="shared" si="65"/>
        <v>F+</v>
      </c>
      <c r="Q42" s="290" t="str">
        <f t="shared" si="65"/>
        <v>F</v>
      </c>
      <c r="R42" s="290" t="str">
        <f t="shared" si="65"/>
        <v>F</v>
      </c>
      <c r="S42" s="290" t="str">
        <f t="shared" si="65"/>
        <v>F</v>
      </c>
      <c r="T42" s="290" t="str">
        <f t="shared" si="65"/>
        <v>A+</v>
      </c>
      <c r="U42" s="290" t="str">
        <f t="shared" si="65"/>
        <v>F+</v>
      </c>
      <c r="V42" s="288" t="str">
        <f t="shared" si="5"/>
        <v>E-</v>
      </c>
      <c r="W42" s="289">
        <f t="shared" si="6"/>
        <v>8.1625</v>
      </c>
      <c r="X42" s="550" t="s">
        <v>186</v>
      </c>
      <c r="Y42" s="559">
        <f>PERCENTILE($W$2:$W$50,0.15)</f>
        <v>8.024375</v>
      </c>
      <c r="Z42" s="284"/>
      <c r="AA42" s="623"/>
      <c r="AB42" s="284"/>
      <c r="AC42" s="284"/>
      <c r="AD42" s="284"/>
      <c r="AE42" s="284"/>
      <c r="AF42" s="284"/>
      <c r="AG42" s="284"/>
      <c r="AH42" s="284"/>
      <c r="AI42" s="284"/>
    </row>
    <row r="43">
      <c r="A43" s="272" t="str">
        <f>'Halo Infinite Stats'!$A43</f>
        <v>yLuxe</v>
      </c>
      <c r="B43" s="275">
        <f>IFERROR(VLOOKUP($A43,'PG+ Stats'!$A:$W,2,0),)</f>
        <v>0.1102327135</v>
      </c>
      <c r="C43" s="275">
        <f>IFERROR(VLOOKUP($A43,'PG+ Stats'!$A:$W,3,0),)</f>
        <v>0.1402961808</v>
      </c>
      <c r="D43" s="275">
        <f>IFERROR(VLOOKUP($A43,'PG+ Stats'!$A:$W,4,0),)</f>
        <v>0.7181828304</v>
      </c>
      <c r="E43" s="275">
        <f>IFERROR(VLOOKUP($A43,'PG+ Stats'!$A:$W,5,0),)</f>
        <v>0.07348847567</v>
      </c>
      <c r="F43" s="275">
        <f>IFERROR(VLOOKUP($A43,'PG+ Stats'!$A:$W,6,0),)</f>
        <v>0.5812270349</v>
      </c>
      <c r="G43" s="275">
        <f>IFERROR(VLOOKUP($A43,'PG+ Stats'!$A:$W,7,0),)</f>
        <v>0.1837211892</v>
      </c>
      <c r="H43" s="275">
        <f>IFERROR(VLOOKUP($A43,'PG+ Stats'!$A:$W,8,0),)</f>
        <v>0.8985636343</v>
      </c>
      <c r="I43" s="275">
        <f>IFERROR(VLOOKUP($A43,'PG+ Stats'!$A:$W,9,0),)</f>
        <v>0.07348847567</v>
      </c>
      <c r="J43" s="275">
        <f>IFERROR(VLOOKUP($A43,'PG+ Stats'!$A:$X,10,0),)</f>
        <v>3.290279479</v>
      </c>
      <c r="K43" s="284"/>
      <c r="L43" s="272" t="str">
        <f>'Halo Infinite Stats'!$A43</f>
        <v>yLuxe</v>
      </c>
      <c r="M43" s="290" t="str">
        <f t="shared" si="3"/>
        <v>A+</v>
      </c>
      <c r="N43" s="290" t="str">
        <f t="shared" ref="N43:U43" si="66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A+</v>
      </c>
      <c r="O43" s="290" t="str">
        <f t="shared" si="66"/>
        <v>S-</v>
      </c>
      <c r="P43" s="290" t="str">
        <f t="shared" si="66"/>
        <v>A</v>
      </c>
      <c r="Q43" s="290" t="str">
        <f t="shared" si="66"/>
        <v>A</v>
      </c>
      <c r="R43" s="290" t="str">
        <f t="shared" si="66"/>
        <v>A+</v>
      </c>
      <c r="S43" s="290" t="str">
        <f t="shared" si="66"/>
        <v>A+</v>
      </c>
      <c r="T43" s="290" t="str">
        <f t="shared" si="66"/>
        <v>B+</v>
      </c>
      <c r="U43" s="290" t="str">
        <f t="shared" si="66"/>
        <v>A-</v>
      </c>
      <c r="V43" s="288" t="str">
        <f t="shared" si="5"/>
        <v>S-</v>
      </c>
      <c r="W43" s="289">
        <f t="shared" si="6"/>
        <v>25.375</v>
      </c>
      <c r="X43" s="560" t="s">
        <v>188</v>
      </c>
      <c r="Y43" s="561">
        <f>PERCENTILE($W$2:$W$50,0.1)</f>
        <v>7.30375</v>
      </c>
      <c r="Z43" s="284"/>
      <c r="AA43" s="746" t="s">
        <v>252</v>
      </c>
      <c r="AB43" s="747" t="s">
        <v>253</v>
      </c>
      <c r="AC43" s="747"/>
      <c r="AD43" s="747"/>
      <c r="AE43" s="747"/>
      <c r="AF43" s="747"/>
      <c r="AG43" s="284"/>
      <c r="AH43" s="284"/>
      <c r="AI43" s="284"/>
    </row>
    <row r="44">
      <c r="A44" s="272" t="str">
        <f>'Halo Infinite Stats'!$A44</f>
        <v/>
      </c>
      <c r="B44" s="275" t="str">
        <f>IFERROR(VLOOKUP($A44,'PG+ Stats'!$A:$W,2,0),)</f>
        <v/>
      </c>
      <c r="C44" s="275" t="str">
        <f>IFERROR(VLOOKUP($A44,'PG+ Stats'!$A:$W,3,0),)</f>
        <v/>
      </c>
      <c r="D44" s="275" t="str">
        <f>IFERROR(VLOOKUP($A44,'PG+ Stats'!$A:$W,4,0),)</f>
        <v/>
      </c>
      <c r="E44" s="275" t="str">
        <f>IFERROR(VLOOKUP($A44,'PG+ Stats'!$A:$W,5,0),)</f>
        <v/>
      </c>
      <c r="F44" s="275" t="str">
        <f>IFERROR(VLOOKUP($A44,'PG+ Stats'!$A:$W,6,0),)</f>
        <v/>
      </c>
      <c r="G44" s="275" t="str">
        <f>IFERROR(VLOOKUP($A44,'PG+ Stats'!$A:$W,7,0),)</f>
        <v/>
      </c>
      <c r="H44" s="275" t="str">
        <f>IFERROR(VLOOKUP($A44,'PG+ Stats'!$A:$W,8,0),)</f>
        <v/>
      </c>
      <c r="I44" s="275" t="str">
        <f>IFERROR(VLOOKUP($A44,'PG+ Stats'!$A:$W,9,0),)</f>
        <v/>
      </c>
      <c r="J44" s="275" t="str">
        <f>IFERROR(VLOOKUP($A44,'PG+ Stats'!$A:$X,10,0),)</f>
        <v/>
      </c>
      <c r="K44" s="284"/>
      <c r="L44" s="272" t="str">
        <f>'Halo Infinite Stats'!$A44</f>
        <v/>
      </c>
      <c r="M44" s="290"/>
      <c r="N44" s="290"/>
      <c r="O44" s="290"/>
      <c r="P44" s="290"/>
      <c r="Q44" s="290"/>
      <c r="R44" s="290"/>
      <c r="S44" s="290"/>
      <c r="T44" s="290"/>
      <c r="U44" s="290"/>
      <c r="V44" s="288"/>
      <c r="W44" s="748"/>
      <c r="X44" s="563" t="s">
        <v>190</v>
      </c>
      <c r="Y44" s="561">
        <f>PERCENTILE($W$2:$W$50,0.05)</f>
        <v>5.87</v>
      </c>
      <c r="Z44" s="284"/>
      <c r="AA44" s="746" t="s">
        <v>254</v>
      </c>
      <c r="AB44" s="747" t="s">
        <v>255</v>
      </c>
      <c r="AC44" s="747"/>
      <c r="AD44" s="747"/>
      <c r="AE44" s="747"/>
      <c r="AF44" s="747"/>
      <c r="AG44" s="284"/>
      <c r="AH44" s="284"/>
      <c r="AI44" s="284"/>
    </row>
    <row r="45">
      <c r="A45" s="272" t="str">
        <f>'Halo Infinite Stats'!$A45</f>
        <v/>
      </c>
      <c r="B45" s="275" t="str">
        <f>IFERROR(VLOOKUP($A45,'PG+ Stats'!$A:$W,2,0),)</f>
        <v/>
      </c>
      <c r="C45" s="275" t="str">
        <f>IFERROR(VLOOKUP($A45,'PG+ Stats'!$A:$W,3,0),)</f>
        <v/>
      </c>
      <c r="D45" s="275" t="str">
        <f>IFERROR(VLOOKUP($A45,'PG+ Stats'!$A:$W,4,0),)</f>
        <v/>
      </c>
      <c r="E45" s="275" t="str">
        <f>IFERROR(VLOOKUP($A45,'PG+ Stats'!$A:$W,5,0),)</f>
        <v/>
      </c>
      <c r="F45" s="275" t="str">
        <f>IFERROR(VLOOKUP($A45,'PG+ Stats'!$A:$W,6,0),)</f>
        <v/>
      </c>
      <c r="G45" s="275" t="str">
        <f>IFERROR(VLOOKUP($A45,'PG+ Stats'!$A:$W,7,0),)</f>
        <v/>
      </c>
      <c r="H45" s="275" t="str">
        <f>IFERROR(VLOOKUP($A45,'PG+ Stats'!$A:$W,8,0),)</f>
        <v/>
      </c>
      <c r="I45" s="275" t="str">
        <f>IFERROR(VLOOKUP($A45,'PG+ Stats'!$A:$W,9,0),)</f>
        <v/>
      </c>
      <c r="J45" s="275" t="str">
        <f>IFERROR(VLOOKUP($A45,'PG+ Stats'!$A:$X,10,0),)</f>
        <v/>
      </c>
      <c r="K45" s="284"/>
      <c r="L45" s="272" t="str">
        <f>'Halo Infinite Stats'!$A45</f>
        <v/>
      </c>
      <c r="M45" s="290"/>
      <c r="N45" s="290"/>
      <c r="O45" s="290"/>
      <c r="P45" s="290"/>
      <c r="Q45" s="290"/>
      <c r="R45" s="290"/>
      <c r="S45" s="290"/>
      <c r="T45" s="290"/>
      <c r="U45" s="290"/>
      <c r="V45" s="288"/>
      <c r="W45" s="748"/>
      <c r="X45" s="560" t="s">
        <v>191</v>
      </c>
      <c r="Y45" s="561">
        <f>PERCENTILE($W$2:$W$50,0)</f>
        <v>4.475</v>
      </c>
      <c r="Z45" s="284"/>
      <c r="AA45" s="746" t="s">
        <v>256</v>
      </c>
      <c r="AB45" s="747" t="s">
        <v>257</v>
      </c>
      <c r="AC45" s="747"/>
      <c r="AD45" s="747"/>
      <c r="AE45" s="747"/>
      <c r="AF45" s="747"/>
      <c r="AG45" s="284"/>
      <c r="AH45" s="284"/>
      <c r="AI45" s="284"/>
    </row>
    <row r="46">
      <c r="A46" s="272"/>
      <c r="B46" s="275" t="str">
        <f>IFERROR(VLOOKUP($A46,'PG+ Stats'!$A:$W,2,0),)</f>
        <v/>
      </c>
      <c r="C46" s="275" t="str">
        <f>IFERROR(VLOOKUP($A46,'PG+ Stats'!$A:$W,3,0),)</f>
        <v/>
      </c>
      <c r="D46" s="275" t="str">
        <f>IFERROR(VLOOKUP($A46,'PG+ Stats'!$A:$W,4,0),)</f>
        <v/>
      </c>
      <c r="E46" s="275" t="str">
        <f>IFERROR(VLOOKUP($A46,'PG+ Stats'!$A:$W,5,0),)</f>
        <v/>
      </c>
      <c r="F46" s="275" t="str">
        <f>IFERROR(VLOOKUP($A46,'PG+ Stats'!$A:$W,6,0),)</f>
        <v/>
      </c>
      <c r="G46" s="275" t="str">
        <f>IFERROR(VLOOKUP($A46,'PG+ Stats'!$A:$W,7,0),)</f>
        <v/>
      </c>
      <c r="H46" s="275" t="str">
        <f>IFERROR(VLOOKUP($A46,'PG+ Stats'!$A:$W,8,0),)</f>
        <v/>
      </c>
      <c r="I46" s="275" t="str">
        <f>IFERROR(VLOOKUP($A46,'PG+ Stats'!$A:$W,9,0),)</f>
        <v/>
      </c>
      <c r="J46" s="275" t="str">
        <f>IFERROR(VLOOKUP($A46,'PG+ Stats'!$A:$X,10,0),)</f>
        <v/>
      </c>
      <c r="K46" s="284"/>
      <c r="L46" s="272" t="str">
        <f>'Halo Infinite Stats'!$A46</f>
        <v/>
      </c>
      <c r="M46" s="290"/>
      <c r="N46" s="290"/>
      <c r="O46" s="290"/>
      <c r="P46" s="290"/>
      <c r="Q46" s="290"/>
      <c r="R46" s="290"/>
      <c r="S46" s="290"/>
      <c r="T46" s="290"/>
      <c r="U46" s="290"/>
      <c r="V46" s="288"/>
      <c r="W46" s="289"/>
      <c r="X46" s="11"/>
      <c r="Y46" s="11"/>
      <c r="Z46" s="284"/>
      <c r="AA46" s="746" t="s">
        <v>258</v>
      </c>
      <c r="AB46" s="747" t="s">
        <v>259</v>
      </c>
      <c r="AC46" s="747"/>
      <c r="AD46" s="747"/>
      <c r="AE46" s="747"/>
      <c r="AF46" s="747"/>
      <c r="AG46" s="284"/>
      <c r="AH46" s="284"/>
      <c r="AI46" s="284"/>
    </row>
    <row r="47">
      <c r="A47" s="272"/>
      <c r="B47" s="275" t="str">
        <f>IFERROR(VLOOKUP($A47,'PG+ Stats'!$A:$W,2,0),)</f>
        <v/>
      </c>
      <c r="C47" s="275" t="str">
        <f>IFERROR(VLOOKUP($A47,'PG+ Stats'!$A:$W,3,0),)</f>
        <v/>
      </c>
      <c r="D47" s="275" t="str">
        <f>IFERROR(VLOOKUP($A47,'PG+ Stats'!$A:$W,4,0),)</f>
        <v/>
      </c>
      <c r="E47" s="275" t="str">
        <f>IFERROR(VLOOKUP($A47,'PG+ Stats'!$A:$W,5,0),)</f>
        <v/>
      </c>
      <c r="F47" s="275" t="str">
        <f>IFERROR(VLOOKUP($A47,'PG+ Stats'!$A:$W,6,0),)</f>
        <v/>
      </c>
      <c r="G47" s="275" t="str">
        <f>IFERROR(VLOOKUP($A47,'PG+ Stats'!$A:$W,7,0),)</f>
        <v/>
      </c>
      <c r="H47" s="275" t="str">
        <f>IFERROR(VLOOKUP($A47,'PG+ Stats'!$A:$W,8,0),)</f>
        <v/>
      </c>
      <c r="I47" s="275" t="str">
        <f>IFERROR(VLOOKUP($A47,'PG+ Stats'!$A:$W,9,0),)</f>
        <v/>
      </c>
      <c r="J47" s="275" t="str">
        <f>IFERROR(VLOOKUP($A47,'PG+ Stats'!$A:$X,10,0),)</f>
        <v/>
      </c>
      <c r="K47" s="284"/>
      <c r="L47" s="272" t="str">
        <f>'Halo Infinite Stats'!$A47</f>
        <v/>
      </c>
      <c r="M47" s="290"/>
      <c r="N47" s="290"/>
      <c r="O47" s="290"/>
      <c r="P47" s="290"/>
      <c r="Q47" s="749"/>
      <c r="R47" s="749"/>
      <c r="S47" s="749"/>
      <c r="T47" s="749"/>
      <c r="U47" s="749"/>
      <c r="V47" s="288"/>
      <c r="W47" s="289"/>
      <c r="X47" s="750" t="s">
        <v>139</v>
      </c>
      <c r="Y47" s="751">
        <v>0.5</v>
      </c>
      <c r="Z47" s="752">
        <v>0.1</v>
      </c>
      <c r="AA47" s="746" t="s">
        <v>260</v>
      </c>
      <c r="AB47" s="747" t="s">
        <v>261</v>
      </c>
      <c r="AC47" s="747"/>
      <c r="AD47" s="747"/>
      <c r="AE47" s="747"/>
      <c r="AF47" s="747"/>
      <c r="AG47" s="284"/>
      <c r="AH47" s="284"/>
      <c r="AI47" s="284"/>
    </row>
    <row r="48">
      <c r="A48" s="272"/>
      <c r="B48" s="275" t="str">
        <f>IFERROR(VLOOKUP($A48,'PG+ Stats'!$A:$W,2,0),)</f>
        <v/>
      </c>
      <c r="C48" s="275" t="str">
        <f>IFERROR(VLOOKUP($A48,'PG+ Stats'!$A:$W,3,0),)</f>
        <v/>
      </c>
      <c r="D48" s="275" t="str">
        <f>IFERROR(VLOOKUP($A48,'PG+ Stats'!$A:$W,4,0),)</f>
        <v/>
      </c>
      <c r="E48" s="275" t="str">
        <f>IFERROR(VLOOKUP($A48,'PG+ Stats'!$A:$W,5,0),)</f>
        <v/>
      </c>
      <c r="F48" s="275" t="str">
        <f>IFERROR(VLOOKUP($A48,'PG+ Stats'!$A:$W,6,0),)</f>
        <v/>
      </c>
      <c r="G48" s="275" t="str">
        <f>IFERROR(VLOOKUP($A48,'PG+ Stats'!$A:$W,7,0),)</f>
        <v/>
      </c>
      <c r="H48" s="275" t="str">
        <f>IFERROR(VLOOKUP($A48,'PG+ Stats'!$A:$W,8,0),)</f>
        <v/>
      </c>
      <c r="I48" s="275" t="str">
        <f>IFERROR(VLOOKUP($A48,'PG+ Stats'!$A:$W,9,0),)</f>
        <v/>
      </c>
      <c r="J48" s="275" t="str">
        <f>IFERROR(VLOOKUP($A48,'PG+ Stats'!$A:$X,10,0),)</f>
        <v/>
      </c>
      <c r="K48" s="284"/>
      <c r="L48" s="272" t="str">
        <f>'Halo Infinite Stats'!$A48</f>
        <v/>
      </c>
      <c r="M48" s="290"/>
      <c r="N48" s="290"/>
      <c r="O48" s="290"/>
      <c r="P48" s="290"/>
      <c r="Q48" s="290"/>
      <c r="R48" s="753"/>
      <c r="S48" s="290"/>
      <c r="T48" s="290"/>
      <c r="U48" s="290"/>
      <c r="V48" s="288"/>
      <c r="W48" s="289"/>
      <c r="X48" s="754" t="s">
        <v>226</v>
      </c>
      <c r="Y48" s="755">
        <v>0.5</v>
      </c>
      <c r="Z48" s="756"/>
      <c r="AA48" s="757" t="s">
        <v>262</v>
      </c>
      <c r="AB48" s="758" t="s">
        <v>263</v>
      </c>
      <c r="AC48" s="759"/>
      <c r="AD48" s="759"/>
      <c r="AE48" s="759"/>
      <c r="AF48" s="759"/>
      <c r="AG48" s="284"/>
      <c r="AH48" s="284"/>
      <c r="AI48" s="284"/>
    </row>
    <row r="49">
      <c r="A49" s="272"/>
      <c r="B49" s="275"/>
      <c r="C49" s="275"/>
      <c r="D49" s="275"/>
      <c r="E49" s="275"/>
      <c r="F49" s="275"/>
      <c r="G49" s="275"/>
      <c r="H49" s="275"/>
      <c r="I49" s="275"/>
      <c r="J49" s="275"/>
      <c r="K49" s="284"/>
      <c r="L49" s="272"/>
      <c r="M49" s="290"/>
      <c r="N49" s="290"/>
      <c r="O49" s="290"/>
      <c r="P49" s="290"/>
      <c r="Q49" s="290"/>
      <c r="R49" s="290"/>
      <c r="S49" s="290"/>
      <c r="T49" s="290"/>
      <c r="U49" s="290"/>
      <c r="V49" s="288"/>
      <c r="W49" s="289"/>
      <c r="X49" s="754" t="s">
        <v>227</v>
      </c>
      <c r="Y49" s="755">
        <v>0.4</v>
      </c>
      <c r="Z49" s="760">
        <v>0.0</v>
      </c>
      <c r="AA49" s="758" t="s">
        <v>143</v>
      </c>
      <c r="AB49" s="758" t="s">
        <v>264</v>
      </c>
      <c r="AC49" s="761"/>
      <c r="AD49" s="761"/>
      <c r="AE49" s="761"/>
      <c r="AF49" s="761"/>
      <c r="AG49" s="284"/>
      <c r="AH49" s="284"/>
      <c r="AI49" s="284"/>
    </row>
    <row r="50">
      <c r="A50" s="272"/>
      <c r="B50" s="275"/>
      <c r="C50" s="275"/>
      <c r="D50" s="275"/>
      <c r="E50" s="275"/>
      <c r="F50" s="275"/>
      <c r="G50" s="275"/>
      <c r="H50" s="275"/>
      <c r="I50" s="275"/>
      <c r="J50" s="275"/>
      <c r="K50" s="284"/>
      <c r="L50" s="272"/>
      <c r="M50" s="290"/>
      <c r="N50" s="290"/>
      <c r="O50" s="290"/>
      <c r="P50" s="290"/>
      <c r="Q50" s="290"/>
      <c r="R50" s="290"/>
      <c r="S50" s="290"/>
      <c r="T50" s="290"/>
      <c r="U50" s="290"/>
      <c r="V50" s="288"/>
      <c r="W50" s="289"/>
      <c r="X50" s="754" t="s">
        <v>228</v>
      </c>
      <c r="Y50" s="755">
        <v>0.25</v>
      </c>
      <c r="Z50" s="756"/>
      <c r="AA50" s="762" t="s">
        <v>265</v>
      </c>
      <c r="AB50" s="747" t="s">
        <v>266</v>
      </c>
      <c r="AC50" s="761"/>
      <c r="AD50" s="761"/>
      <c r="AE50" s="761"/>
      <c r="AF50" s="761"/>
      <c r="AG50" s="284"/>
      <c r="AH50" s="284"/>
      <c r="AI50" s="284"/>
    </row>
    <row r="51">
      <c r="A51" s="272"/>
      <c r="B51" s="275"/>
      <c r="C51" s="275"/>
      <c r="D51" s="275"/>
      <c r="E51" s="275"/>
      <c r="F51" s="275"/>
      <c r="G51" s="275"/>
      <c r="H51" s="275"/>
      <c r="I51" s="275"/>
      <c r="J51" s="275"/>
      <c r="K51" s="284"/>
      <c r="L51" s="272"/>
      <c r="M51" s="290"/>
      <c r="N51" s="290"/>
      <c r="O51" s="749"/>
      <c r="P51" s="290"/>
      <c r="Q51" s="290"/>
      <c r="R51" s="749"/>
      <c r="S51" s="290"/>
      <c r="T51" s="290"/>
      <c r="U51" s="290"/>
      <c r="V51" s="288"/>
      <c r="W51" s="289"/>
      <c r="X51" s="754" t="s">
        <v>141</v>
      </c>
      <c r="Y51" s="755">
        <v>0.2</v>
      </c>
      <c r="Z51" s="756"/>
      <c r="AA51" s="762" t="s">
        <v>267</v>
      </c>
      <c r="AB51" s="747" t="s">
        <v>268</v>
      </c>
      <c r="AC51" s="759"/>
      <c r="AD51" s="759"/>
      <c r="AE51" s="759"/>
      <c r="AF51" s="759"/>
      <c r="AG51" s="284"/>
      <c r="AH51" s="284"/>
      <c r="AI51" s="284"/>
    </row>
    <row r="52">
      <c r="A52" s="272"/>
      <c r="B52" s="275"/>
      <c r="C52" s="275"/>
      <c r="D52" s="275"/>
      <c r="E52" s="275"/>
      <c r="F52" s="275"/>
      <c r="G52" s="275"/>
      <c r="H52" s="275"/>
      <c r="I52" s="275"/>
      <c r="J52" s="275"/>
      <c r="K52" s="284"/>
      <c r="L52" s="272"/>
      <c r="M52" s="290"/>
      <c r="N52" s="290"/>
      <c r="O52" s="290"/>
      <c r="P52" s="290"/>
      <c r="Q52" s="290"/>
      <c r="R52" s="749"/>
      <c r="S52" s="290"/>
      <c r="T52" s="290"/>
      <c r="U52" s="290"/>
      <c r="V52" s="288"/>
      <c r="W52" s="289"/>
      <c r="X52" s="754" t="s">
        <v>142</v>
      </c>
      <c r="Y52" s="755">
        <v>0.2</v>
      </c>
      <c r="Z52" s="756"/>
      <c r="AA52" s="623"/>
      <c r="AB52" s="284"/>
      <c r="AC52" s="284"/>
      <c r="AD52" s="284"/>
      <c r="AE52" s="284"/>
      <c r="AF52" s="284"/>
      <c r="AG52" s="284"/>
      <c r="AH52" s="284"/>
      <c r="AI52" s="284"/>
    </row>
    <row r="53">
      <c r="A53" s="272"/>
      <c r="B53" s="275"/>
      <c r="C53" s="275"/>
      <c r="D53" s="275"/>
      <c r="E53" s="275"/>
      <c r="F53" s="275"/>
      <c r="G53" s="275"/>
      <c r="H53" s="275"/>
      <c r="I53" s="275"/>
      <c r="J53" s="275"/>
      <c r="K53" s="284"/>
      <c r="L53" s="272"/>
      <c r="M53" s="290"/>
      <c r="N53" s="290"/>
      <c r="O53" s="749"/>
      <c r="P53" s="290"/>
      <c r="Q53" s="290"/>
      <c r="R53" s="749"/>
      <c r="S53" s="290"/>
      <c r="T53" s="290"/>
      <c r="U53" s="290"/>
      <c r="V53" s="288"/>
      <c r="W53" s="289"/>
      <c r="X53" s="763" t="s">
        <v>143</v>
      </c>
      <c r="Y53" s="764">
        <v>0.25</v>
      </c>
      <c r="Z53" s="756"/>
      <c r="AA53" s="765"/>
      <c r="AB53" s="766"/>
      <c r="AC53" s="284"/>
      <c r="AD53" s="284"/>
      <c r="AE53" s="284"/>
      <c r="AF53" s="284"/>
      <c r="AG53" s="284"/>
      <c r="AH53" s="284"/>
      <c r="AI53" s="284"/>
    </row>
    <row r="54">
      <c r="A54" s="272"/>
      <c r="B54" s="275"/>
      <c r="C54" s="275"/>
      <c r="D54" s="275"/>
      <c r="E54" s="275"/>
      <c r="F54" s="275"/>
      <c r="G54" s="275"/>
      <c r="H54" s="275"/>
      <c r="I54" s="275"/>
      <c r="J54" s="275"/>
      <c r="K54" s="284"/>
      <c r="L54" s="272"/>
      <c r="M54" s="290"/>
      <c r="N54" s="290"/>
      <c r="O54" s="753"/>
      <c r="P54" s="290"/>
      <c r="Q54" s="290"/>
      <c r="R54" s="749"/>
      <c r="S54" s="290"/>
      <c r="T54" s="290"/>
      <c r="U54" s="290"/>
      <c r="V54" s="288"/>
      <c r="W54" s="289"/>
      <c r="X54" s="763" t="s">
        <v>144</v>
      </c>
      <c r="Y54" s="764">
        <v>0.125</v>
      </c>
      <c r="Z54" s="756"/>
      <c r="AA54" s="767"/>
      <c r="AB54" s="768"/>
      <c r="AC54" s="284"/>
      <c r="AD54" s="284"/>
      <c r="AE54" s="284"/>
      <c r="AF54" s="284"/>
      <c r="AG54" s="284"/>
      <c r="AH54" s="284"/>
      <c r="AI54" s="284"/>
    </row>
    <row r="55">
      <c r="A55" s="769"/>
      <c r="B55" s="275"/>
      <c r="C55" s="275"/>
      <c r="D55" s="275"/>
      <c r="E55" s="275"/>
      <c r="F55" s="275"/>
      <c r="G55" s="275"/>
      <c r="H55" s="275"/>
      <c r="I55" s="275"/>
      <c r="J55" s="275"/>
      <c r="K55" s="284"/>
      <c r="L55" s="272"/>
      <c r="M55" s="290"/>
      <c r="N55" s="290"/>
      <c r="O55" s="749"/>
      <c r="P55" s="290"/>
      <c r="Q55" s="290"/>
      <c r="R55" s="749"/>
      <c r="S55" s="290"/>
      <c r="T55" s="290"/>
      <c r="U55" s="290"/>
      <c r="V55" s="288"/>
      <c r="W55" s="289"/>
      <c r="X55" s="763" t="s">
        <v>145</v>
      </c>
      <c r="Y55" s="764">
        <v>0.3</v>
      </c>
      <c r="Z55" s="756"/>
      <c r="AA55" s="767"/>
      <c r="AB55" s="768"/>
      <c r="AC55" s="284"/>
      <c r="AD55" s="284"/>
      <c r="AE55" s="284"/>
      <c r="AF55" s="284"/>
      <c r="AG55" s="284"/>
      <c r="AH55" s="284"/>
      <c r="AI55" s="284"/>
    </row>
    <row r="56">
      <c r="A56" s="769"/>
      <c r="B56" s="275"/>
      <c r="C56" s="275"/>
      <c r="D56" s="275"/>
      <c r="E56" s="275"/>
      <c r="F56" s="275"/>
      <c r="G56" s="275"/>
      <c r="H56" s="275"/>
      <c r="I56" s="275"/>
      <c r="J56" s="275"/>
      <c r="K56" s="284"/>
      <c r="L56" s="272"/>
      <c r="M56" s="290"/>
      <c r="N56" s="290"/>
      <c r="O56" s="753"/>
      <c r="P56" s="290"/>
      <c r="Q56" s="290"/>
      <c r="R56" s="749"/>
      <c r="S56" s="290"/>
      <c r="T56" s="290"/>
      <c r="U56" s="290"/>
      <c r="V56" s="288"/>
      <c r="W56" s="289"/>
      <c r="X56" s="596" t="s">
        <v>207</v>
      </c>
      <c r="Z56" s="752" t="s">
        <v>269</v>
      </c>
      <c r="AA56" s="754"/>
      <c r="AB56" s="770"/>
      <c r="AC56" s="284"/>
      <c r="AD56" s="284"/>
      <c r="AE56" s="284"/>
      <c r="AF56" s="284"/>
      <c r="AG56" s="284"/>
      <c r="AH56" s="284"/>
      <c r="AI56" s="284"/>
    </row>
    <row r="57">
      <c r="A57" s="769"/>
      <c r="B57" s="275"/>
      <c r="C57" s="275"/>
      <c r="D57" s="275"/>
      <c r="E57" s="275"/>
      <c r="F57" s="275"/>
      <c r="G57" s="275"/>
      <c r="H57" s="275"/>
      <c r="I57" s="275"/>
      <c r="J57" s="275"/>
      <c r="K57" s="284"/>
      <c r="L57" s="272"/>
      <c r="M57" s="290"/>
      <c r="N57" s="290"/>
      <c r="O57" s="749"/>
      <c r="P57" s="290"/>
      <c r="Q57" s="290"/>
      <c r="R57" s="749"/>
      <c r="S57" s="290"/>
      <c r="T57" s="290"/>
      <c r="U57" s="290"/>
      <c r="V57" s="288"/>
      <c r="W57" s="748"/>
      <c r="X57" s="771" t="s">
        <v>270</v>
      </c>
      <c r="Y57" s="772"/>
      <c r="Z57" s="773"/>
      <c r="AA57" s="774"/>
      <c r="AB57" s="775"/>
      <c r="AC57" s="773"/>
      <c r="AD57" s="773"/>
      <c r="AE57" s="773"/>
      <c r="AF57" s="284"/>
      <c r="AG57" s="284"/>
      <c r="AH57" s="284"/>
      <c r="AI57" s="284"/>
    </row>
    <row r="58">
      <c r="A58" s="769"/>
      <c r="B58" s="275"/>
      <c r="C58" s="275"/>
      <c r="D58" s="275"/>
      <c r="E58" s="275"/>
      <c r="F58" s="275"/>
      <c r="G58" s="275"/>
      <c r="H58" s="275"/>
      <c r="I58" s="275"/>
      <c r="J58" s="275"/>
      <c r="K58" s="284"/>
      <c r="L58" s="272"/>
      <c r="M58" s="290"/>
      <c r="N58" s="290"/>
      <c r="O58" s="290"/>
      <c r="P58" s="290"/>
      <c r="Q58" s="290"/>
      <c r="R58" s="290"/>
      <c r="S58" s="290"/>
      <c r="T58" s="290"/>
      <c r="U58" s="290"/>
      <c r="V58" s="776"/>
      <c r="W58" s="777"/>
      <c r="X58" s="778" t="s">
        <v>271</v>
      </c>
      <c r="Y58" s="773"/>
      <c r="Z58" s="773"/>
      <c r="AA58" s="774"/>
      <c r="AB58" s="775"/>
      <c r="AC58" s="773"/>
      <c r="AD58" s="773"/>
      <c r="AE58" s="773"/>
      <c r="AF58" s="284"/>
      <c r="AG58" s="284"/>
      <c r="AH58" s="284"/>
      <c r="AI58" s="284"/>
    </row>
    <row r="59">
      <c r="A59" s="769"/>
      <c r="B59" s="275"/>
      <c r="C59" s="275"/>
      <c r="D59" s="275"/>
      <c r="E59" s="275"/>
      <c r="F59" s="275"/>
      <c r="G59" s="275"/>
      <c r="H59" s="275"/>
      <c r="I59" s="275"/>
      <c r="J59" s="275"/>
      <c r="K59" s="284"/>
      <c r="L59" s="272"/>
      <c r="M59" s="290"/>
      <c r="N59" s="290"/>
      <c r="O59" s="290"/>
      <c r="P59" s="290"/>
      <c r="Q59" s="290"/>
      <c r="R59" s="290"/>
      <c r="S59" s="290"/>
      <c r="T59" s="290"/>
      <c r="U59" s="290"/>
      <c r="V59" s="776"/>
      <c r="W59" s="777"/>
      <c r="X59" s="778" t="s">
        <v>272</v>
      </c>
      <c r="Y59" s="773"/>
      <c r="Z59" s="773"/>
      <c r="AA59" s="779"/>
      <c r="AB59" s="780"/>
      <c r="AC59" s="773"/>
      <c r="AD59" s="773"/>
      <c r="AE59" s="773"/>
      <c r="AF59" s="284"/>
      <c r="AG59" s="284"/>
      <c r="AH59" s="284"/>
      <c r="AI59" s="284"/>
    </row>
    <row r="60">
      <c r="A60" s="769"/>
      <c r="B60" s="275"/>
      <c r="C60" s="275"/>
      <c r="D60" s="275"/>
      <c r="E60" s="275"/>
      <c r="F60" s="275"/>
      <c r="G60" s="275"/>
      <c r="H60" s="275"/>
      <c r="I60" s="275"/>
      <c r="J60" s="275"/>
      <c r="K60" s="284"/>
      <c r="L60" s="272"/>
      <c r="M60" s="290"/>
      <c r="N60" s="290"/>
      <c r="O60" s="290"/>
      <c r="P60" s="290"/>
      <c r="Q60" s="290"/>
      <c r="R60" s="290"/>
      <c r="S60" s="290"/>
      <c r="T60" s="290"/>
      <c r="U60" s="290"/>
      <c r="V60" s="776"/>
      <c r="W60" s="777"/>
      <c r="X60" s="778" t="s">
        <v>273</v>
      </c>
      <c r="Y60" s="773"/>
      <c r="Z60" s="773"/>
      <c r="AA60" s="779"/>
      <c r="AB60" s="775"/>
      <c r="AC60" s="773"/>
      <c r="AD60" s="773"/>
      <c r="AE60" s="773"/>
      <c r="AF60" s="284"/>
      <c r="AG60" s="284"/>
      <c r="AH60" s="284"/>
      <c r="AI60" s="284"/>
    </row>
    <row r="61">
      <c r="A61" s="769"/>
      <c r="B61" s="275"/>
      <c r="C61" s="275"/>
      <c r="D61" s="275"/>
      <c r="E61" s="275"/>
      <c r="F61" s="275"/>
      <c r="G61" s="275"/>
      <c r="H61" s="275"/>
      <c r="I61" s="275"/>
      <c r="J61" s="275"/>
      <c r="K61" s="284"/>
      <c r="L61" s="272"/>
      <c r="M61" s="290"/>
      <c r="N61" s="290"/>
      <c r="O61" s="290"/>
      <c r="P61" s="290"/>
      <c r="Q61" s="290"/>
      <c r="R61" s="290"/>
      <c r="S61" s="290"/>
      <c r="T61" s="290"/>
      <c r="U61" s="290"/>
      <c r="V61" s="776"/>
      <c r="W61" s="777"/>
      <c r="X61" s="778" t="s">
        <v>274</v>
      </c>
      <c r="Y61" s="773"/>
      <c r="Z61" s="773"/>
      <c r="AA61" s="779"/>
      <c r="AB61" s="775"/>
      <c r="AC61" s="773"/>
      <c r="AD61" s="773"/>
      <c r="AE61" s="773"/>
      <c r="AF61" s="284"/>
      <c r="AG61" s="284"/>
      <c r="AH61" s="284"/>
      <c r="AI61" s="284"/>
    </row>
  </sheetData>
  <mergeCells count="1">
    <mergeCell ref="X56:Y56"/>
  </mergeCells>
  <conditionalFormatting sqref="M2:W61">
    <cfRule type="cellIs" dxfId="21" priority="1" operator="equal">
      <formula>"S+"</formula>
    </cfRule>
  </conditionalFormatting>
  <conditionalFormatting sqref="M2:W61">
    <cfRule type="cellIs" dxfId="22" priority="2" operator="equal">
      <formula>"A+"</formula>
    </cfRule>
  </conditionalFormatting>
  <conditionalFormatting sqref="M2:W61">
    <cfRule type="cellIs" dxfId="22" priority="3" operator="equal">
      <formula>"A"</formula>
    </cfRule>
  </conditionalFormatting>
  <conditionalFormatting sqref="M2:W61">
    <cfRule type="cellIs" dxfId="22" priority="4" operator="equal">
      <formula>"A-"</formula>
    </cfRule>
  </conditionalFormatting>
  <conditionalFormatting sqref="M2:W61">
    <cfRule type="cellIs" dxfId="23" priority="5" operator="equal">
      <formula>"B+"</formula>
    </cfRule>
  </conditionalFormatting>
  <conditionalFormatting sqref="M2:W61">
    <cfRule type="cellIs" dxfId="23" priority="6" operator="equal">
      <formula>"B"</formula>
    </cfRule>
  </conditionalFormatting>
  <conditionalFormatting sqref="M2:W61">
    <cfRule type="cellIs" dxfId="23" priority="7" operator="equal">
      <formula>"B-"</formula>
    </cfRule>
  </conditionalFormatting>
  <conditionalFormatting sqref="M2:W61">
    <cfRule type="cellIs" dxfId="24" priority="8" operator="equal">
      <formula>"C+"</formula>
    </cfRule>
  </conditionalFormatting>
  <conditionalFormatting sqref="M2:W61">
    <cfRule type="cellIs" dxfId="24" priority="9" operator="equal">
      <formula>"C"</formula>
    </cfRule>
  </conditionalFormatting>
  <conditionalFormatting sqref="M2:W61">
    <cfRule type="cellIs" dxfId="24" priority="10" operator="equal">
      <formula>"C-"</formula>
    </cfRule>
  </conditionalFormatting>
  <conditionalFormatting sqref="M2:W61">
    <cfRule type="cellIs" dxfId="25" priority="11" operator="equal">
      <formula>"D+"</formula>
    </cfRule>
  </conditionalFormatting>
  <conditionalFormatting sqref="M2:W61">
    <cfRule type="cellIs" dxfId="25" priority="12" operator="equal">
      <formula>"D"</formula>
    </cfRule>
  </conditionalFormatting>
  <conditionalFormatting sqref="M2:W61">
    <cfRule type="cellIs" dxfId="25" priority="13" operator="equal">
      <formula>"D-"</formula>
    </cfRule>
  </conditionalFormatting>
  <conditionalFormatting sqref="M2:W61">
    <cfRule type="cellIs" dxfId="26" priority="14" operator="equal">
      <formula>"E+"</formula>
    </cfRule>
  </conditionalFormatting>
  <conditionalFormatting sqref="M2:W61">
    <cfRule type="cellIs" dxfId="26" priority="15" operator="equal">
      <formula>"E"</formula>
    </cfRule>
  </conditionalFormatting>
  <conditionalFormatting sqref="M2:W61">
    <cfRule type="cellIs" dxfId="26" priority="16" operator="equal">
      <formula>"E-"</formula>
    </cfRule>
  </conditionalFormatting>
  <conditionalFormatting sqref="M2:W61">
    <cfRule type="cellIs" dxfId="27" priority="17" operator="equal">
      <formula>"F+"</formula>
    </cfRule>
  </conditionalFormatting>
  <conditionalFormatting sqref="M2:W61">
    <cfRule type="cellIs" dxfId="21" priority="18" operator="equal">
      <formula>"S"</formula>
    </cfRule>
  </conditionalFormatting>
  <conditionalFormatting sqref="M2:W61">
    <cfRule type="cellIs" dxfId="21" priority="19" operator="equal">
      <formula>"S-"</formula>
    </cfRule>
  </conditionalFormatting>
  <conditionalFormatting sqref="M2:W61">
    <cfRule type="cellIs" dxfId="27" priority="20" operator="equal">
      <formula>"F"</formula>
    </cfRule>
  </conditionalFormatting>
  <conditionalFormatting sqref="M2:W61">
    <cfRule type="cellIs" dxfId="27" priority="21" operator="equal">
      <formula>"F-"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.63"/>
    <col customWidth="1" min="3" max="3" width="6.38"/>
    <col customWidth="1" min="4" max="4" width="5.13"/>
    <col customWidth="1" min="6" max="6" width="7.25"/>
    <col customWidth="1" min="7" max="7" width="8.0"/>
    <col customWidth="1" min="8" max="8" width="8.75"/>
    <col customWidth="1" min="9" max="9" width="14.13"/>
    <col customWidth="1" min="10" max="10" width="9.75"/>
    <col customWidth="1" min="11" max="11" width="12.25"/>
    <col customWidth="1" min="12" max="12" width="9.88"/>
    <col customWidth="1" min="13" max="13" width="12.63"/>
    <col customWidth="1" min="14" max="14" width="9.88"/>
    <col customWidth="1" min="15" max="15" width="14.0"/>
    <col customWidth="1" min="16" max="16" width="9.88"/>
    <col customWidth="1" min="17" max="17" width="12.5"/>
    <col customWidth="1" min="18" max="18" width="9.88"/>
    <col customWidth="1" min="19" max="19" width="12.63"/>
    <col customWidth="1" min="20" max="20" width="9.75"/>
    <col customWidth="1" min="21" max="21" width="13.75"/>
    <col customWidth="1" min="22" max="22" width="9.75"/>
  </cols>
  <sheetData>
    <row r="1">
      <c r="A1" s="611" t="s">
        <v>12</v>
      </c>
      <c r="B1" s="611" t="s">
        <v>210</v>
      </c>
      <c r="C1" s="611" t="s">
        <v>211</v>
      </c>
      <c r="D1" s="611" t="s">
        <v>212</v>
      </c>
      <c r="E1" s="612"/>
      <c r="F1" s="612"/>
      <c r="G1" s="611" t="s">
        <v>213</v>
      </c>
      <c r="H1" s="611" t="s">
        <v>214</v>
      </c>
      <c r="I1" s="612"/>
      <c r="J1" s="612"/>
      <c r="K1" s="613"/>
      <c r="L1" s="612"/>
      <c r="M1" s="612"/>
      <c r="N1" s="612"/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</row>
    <row r="2">
      <c r="A2" s="614" t="str">
        <f>'Halo Infinite Stats'!A2</f>
        <v>Ace B S1lentND1</v>
      </c>
      <c r="B2" s="615" t="str">
        <f>IFERROR(VLOOKUP($A2,'Halo Infinite Stats'!$A:AX,43,0),)</f>
        <v>R1</v>
      </c>
      <c r="C2" s="615">
        <f>IFERROR(VLOOKUP($A2,'PlayerGrades+'!$A:Y,23,0),)</f>
        <v>27.3375</v>
      </c>
      <c r="D2" s="615" t="str">
        <f>IFERROR(VLOOKUP($A2,'PlayerGrades+'!$A:Y,22,0),)</f>
        <v>S</v>
      </c>
      <c r="G2" s="614" t="str">
        <f>IFERROR(__xludf.DUMMYFUNCTION("QUERY(B2:C42, ""select avg(C) where B='C'"")"),"avg ")</f>
        <v>avg </v>
      </c>
      <c r="H2" s="612"/>
      <c r="J2" s="617" t="s">
        <v>215</v>
      </c>
    </row>
    <row r="3">
      <c r="A3" s="614" t="str">
        <f>'Halo Infinite Stats'!A3</f>
        <v>Almighty Tycoon</v>
      </c>
      <c r="B3" s="615" t="str">
        <f>IFERROR(VLOOKUP($A3,'Halo Infinite Stats'!$A:AX,43,0),)</f>
        <v>R2</v>
      </c>
      <c r="C3" s="615">
        <f>IFERROR(VLOOKUP($A3,'PlayerGrades+'!$A:Y,23,0),)</f>
        <v>13.6125</v>
      </c>
      <c r="D3" s="615" t="str">
        <f>IFERROR(VLOOKUP($A3,'PlayerGrades+'!$A:Y,22,0),)</f>
        <v>D</v>
      </c>
      <c r="F3" s="618" t="s">
        <v>216</v>
      </c>
      <c r="G3" s="614">
        <f>IFERROR(__xludf.DUMMYFUNCTION("""COMPUTED_VALUE"""),15.172727272727274)</f>
        <v>15.17272727</v>
      </c>
      <c r="H3" s="612" t="str">
        <f>IF(G3&lt;'PlayerGrades+'!$Y$44,"F-",IF(G3&lt;'PlayerGrades+'!$Y$43,"F",IF(G3&lt;'PlayerGrades+'!$Y$42,"F+",IF(G3&lt;'PlayerGrades+'!$Y$41,"E-",IF(G3&lt;'PlayerGrades+'!$Y$40,"E",IF(G3&lt;'PlayerGrades+'!$Y$39,"E+",IF(G3&lt;'PlayerGrades+'!$Y$38,"D-",IF(G3&lt;'PlayerGrades+'!$Y$37,"D",IF(G3&lt;'PlayerGrades+'!$Y$36,"D+",IF(G3&lt;'PlayerGrades+'!$Y$35,"C-",IF(G3&lt;'PlayerGrades+'!$Y$34,"C",IF(G3&lt;'PlayerGrades+'!$Y$33,"C+",IF(G3&lt;'PlayerGrades+'!$Y$32,"B-",IF(G3&lt;'PlayerGrades+'!$Y$31,"B",IF(G3&lt;'PlayerGrades+'!$Y$30,"B+",IF(G3&lt;'PlayerGrades+'!$Y$29,"A-",IF(G3&lt;'PlayerGrades+'!$Y$28,"A",IF(G3&lt;'PlayerGrades+'!$Y$27,"A+",IF(G3&lt;'PlayerGrades+'!$Y$26,"S-",IF(G3&lt;'PlayerGrades+'!$Y$25,"S","S+"))))))))))))))))))))</f>
        <v>C</v>
      </c>
      <c r="I3" s="619"/>
    </row>
    <row r="4">
      <c r="A4" s="614" t="str">
        <f>'Halo Infinite Stats'!A4</f>
        <v>Amnatu</v>
      </c>
      <c r="B4" s="615" t="str">
        <f>IFERROR(VLOOKUP($A4,'Halo Infinite Stats'!$A:AX,43,0),)</f>
        <v>C</v>
      </c>
      <c r="C4" s="615">
        <f>IFERROR(VLOOKUP($A4,'PlayerGrades+'!$A:Y,23,0),)</f>
        <v>5.8</v>
      </c>
      <c r="D4" s="615" t="str">
        <f>IFERROR(VLOOKUP($A4,'PlayerGrades+'!$A:Y,22,0),)</f>
        <v>F-</v>
      </c>
      <c r="G4" s="614" t="str">
        <f>IFERROR(__xludf.DUMMYFUNCTION("QUERY(B2:C42, ""select avg(C) where B='R1'"")"),"avg ")</f>
        <v>avg </v>
      </c>
      <c r="H4" s="612"/>
      <c r="K4" s="613"/>
    </row>
    <row r="5">
      <c r="A5" s="614" t="str">
        <f>'Halo Infinite Stats'!A5</f>
        <v>ASpence501</v>
      </c>
      <c r="B5" s="615" t="str">
        <f>IFERROR(VLOOKUP($A5,'Halo Infinite Stats'!$A:AX,43,0),)</f>
        <v>C</v>
      </c>
      <c r="C5" s="615">
        <f>IFERROR(VLOOKUP($A5,'PlayerGrades+'!$A:Y,23,0),)</f>
        <v>25.25</v>
      </c>
      <c r="D5" s="615" t="str">
        <f>IFERROR(VLOOKUP($A5,'PlayerGrades+'!$A:Y,22,0),)</f>
        <v>S-</v>
      </c>
      <c r="F5" s="618" t="s">
        <v>217</v>
      </c>
      <c r="G5" s="614">
        <f>IFERROR(__xludf.DUMMYFUNCTION("""COMPUTED_VALUE"""),21.429166666666664)</f>
        <v>21.42916667</v>
      </c>
      <c r="H5" s="612" t="str">
        <f>IF(G5&lt;'PlayerGrades+'!$Y$44,"F-",IF(G5&lt;'PlayerGrades+'!$Y$43,"F",IF(G5&lt;'PlayerGrades+'!$Y$42,"F+",IF(G5&lt;'PlayerGrades+'!$Y$41,"E-",IF(G5&lt;'PlayerGrades+'!$Y$40,"E",IF(G5&lt;'PlayerGrades+'!$Y$39,"E+",IF(G5&lt;'PlayerGrades+'!$Y$38,"D-",IF(G5&lt;'PlayerGrades+'!$Y$37,"D",IF(G5&lt;'PlayerGrades+'!$Y$36,"D+",IF(G5&lt;'PlayerGrades+'!$Y$35,"C-",IF(G5&lt;'PlayerGrades+'!$Y$34,"C",IF(G5&lt;'PlayerGrades+'!$Y$33,"C+",IF(G5&lt;'PlayerGrades+'!$Y$32,"B-",IF(G5&lt;'PlayerGrades+'!$Y$31,"B",IF(G5&lt;'PlayerGrades+'!$Y$30,"B+",IF(G5&lt;'PlayerGrades+'!$Y$29,"A-",IF(G5&lt;'PlayerGrades+'!$Y$28,"A",IF(G5&lt;'PlayerGrades+'!$Y$27,"A+",IF(G5&lt;'PlayerGrades+'!$Y$26,"S-",IF(G5&lt;'PlayerGrades+'!$Y$25,"S","S+"))))))))))))))))))))</f>
        <v>A-</v>
      </c>
    </row>
    <row r="6">
      <c r="A6" s="614" t="str">
        <f>'Halo Infinite Stats'!A6</f>
        <v>AwareMosquito</v>
      </c>
      <c r="B6" s="615" t="str">
        <f>IFERROR(VLOOKUP($A6,'Halo Infinite Stats'!$A:AX,43,0),)</f>
        <v>R2</v>
      </c>
      <c r="C6" s="615">
        <f>IFERROR(VLOOKUP($A6,'PlayerGrades+'!$A:Y,23,0),)</f>
        <v>12.6125</v>
      </c>
      <c r="D6" s="615" t="str">
        <f>IFERROR(VLOOKUP($A6,'PlayerGrades+'!$A:Y,22,0),)</f>
        <v>D</v>
      </c>
      <c r="G6" s="614" t="str">
        <f>IFERROR(__xludf.DUMMYFUNCTION("QUERY(B2:C42, ""select avg(C) where B='R2'"")"),"avg ")</f>
        <v>avg </v>
      </c>
      <c r="H6" s="612"/>
    </row>
    <row r="7">
      <c r="A7" s="614" t="str">
        <f>'Halo Infinite Stats'!A7</f>
        <v>Beam1n1</v>
      </c>
      <c r="B7" s="615" t="str">
        <f>IFERROR(VLOOKUP($A7,'Halo Infinite Stats'!$A:AX,43,0),)</f>
        <v>R2</v>
      </c>
      <c r="C7" s="615">
        <f>IFERROR(VLOOKUP($A7,'PlayerGrades+'!$A:Y,23,0),)</f>
        <v>10.9375</v>
      </c>
      <c r="D7" s="615" t="str">
        <f>IFERROR(VLOOKUP($A7,'PlayerGrades+'!$A:Y,22,0),)</f>
        <v>E</v>
      </c>
      <c r="F7" s="618" t="s">
        <v>218</v>
      </c>
      <c r="G7" s="614">
        <f>IFERROR(__xludf.DUMMYFUNCTION("""COMPUTED_VALUE"""),14.29375)</f>
        <v>14.29375</v>
      </c>
      <c r="H7" s="612" t="str">
        <f>IF(G7&lt;'PlayerGrades+'!$Y$44,"F-",IF(G7&lt;'PlayerGrades+'!$Y$43,"F",IF(G7&lt;'PlayerGrades+'!$Y$42,"F+",IF(G7&lt;'PlayerGrades+'!$Y$41,"E-",IF(G7&lt;'PlayerGrades+'!$Y$40,"E",IF(G7&lt;'PlayerGrades+'!$Y$39,"E+",IF(G7&lt;'PlayerGrades+'!$Y$38,"D-",IF(G7&lt;'PlayerGrades+'!$Y$37,"D",IF(G7&lt;'PlayerGrades+'!$Y$36,"D+",IF(G7&lt;'PlayerGrades+'!$Y$35,"C-",IF(G7&lt;'PlayerGrades+'!$Y$34,"C",IF(G7&lt;'PlayerGrades+'!$Y$33,"C+",IF(G7&lt;'PlayerGrades+'!$Y$32,"B-",IF(G7&lt;'PlayerGrades+'!$Y$31,"B",IF(G7&lt;'PlayerGrades+'!$Y$30,"B+",IF(G7&lt;'PlayerGrades+'!$Y$29,"A-",IF(G7&lt;'PlayerGrades+'!$Y$28,"A",IF(G7&lt;'PlayerGrades+'!$Y$27,"A+",IF(G7&lt;'PlayerGrades+'!$Y$26,"S-",IF(G7&lt;'PlayerGrades+'!$Y$25,"S","S+"))))))))))))))))))))</f>
        <v>C-</v>
      </c>
    </row>
    <row r="8">
      <c r="A8" s="614" t="str">
        <f>'Halo Infinite Stats'!A8</f>
        <v>CaptainSev004</v>
      </c>
      <c r="B8" s="615" t="str">
        <f>IFERROR(VLOOKUP($A8,'Halo Infinite Stats'!$A:AX,43,0),)</f>
        <v>R2</v>
      </c>
      <c r="C8" s="615">
        <f>IFERROR(VLOOKUP($A8,'PlayerGrades+'!$A:Y,23,0),)</f>
        <v>14.725</v>
      </c>
      <c r="D8" s="615" t="str">
        <f>IFERROR(VLOOKUP($A8,'PlayerGrades+'!$A:Y,22,0),)</f>
        <v>C</v>
      </c>
      <c r="G8" s="614" t="str">
        <f>IFERROR(__xludf.DUMMYFUNCTION("QUERY(B2:C42, ""select avg(C) where B='R3'"")"),"avg ")</f>
        <v>avg </v>
      </c>
      <c r="H8" s="612"/>
    </row>
    <row r="9">
      <c r="A9" s="614" t="str">
        <f>'Halo Infinite Stats'!A9</f>
        <v>Clydrohsun</v>
      </c>
      <c r="B9" s="615" t="str">
        <f>IFERROR(VLOOKUP($A9,'Halo Infinite Stats'!$A:AX,43,0),)</f>
        <v>R1</v>
      </c>
      <c r="C9" s="615">
        <f>IFERROR(VLOOKUP($A9,'PlayerGrades+'!$A:Y,23,0),)</f>
        <v>16.15</v>
      </c>
      <c r="D9" s="615" t="str">
        <f>IFERROR(VLOOKUP($A9,'PlayerGrades+'!$A:Y,22,0),)</f>
        <v>C+</v>
      </c>
      <c r="F9" s="618" t="s">
        <v>219</v>
      </c>
      <c r="G9" s="614">
        <f>IFERROR(__xludf.DUMMYFUNCTION("""COMPUTED_VALUE"""),11.943181818181818)</f>
        <v>11.94318182</v>
      </c>
      <c r="H9" s="612" t="str">
        <f>IF(G9&lt;'PlayerGrades+'!$Y$44,"F-",IF(G9&lt;'PlayerGrades+'!$Y$43,"F",IF(G9&lt;'PlayerGrades+'!$Y$42,"F+",IF(G9&lt;'PlayerGrades+'!$Y$41,"E-",IF(G9&lt;'PlayerGrades+'!$Y$40,"E",IF(G9&lt;'PlayerGrades+'!$Y$39,"E+",IF(G9&lt;'PlayerGrades+'!$Y$38,"D-",IF(G9&lt;'PlayerGrades+'!$Y$37,"D",IF(G9&lt;'PlayerGrades+'!$Y$36,"D+",IF(G9&lt;'PlayerGrades+'!$Y$35,"C-",IF(G9&lt;'PlayerGrades+'!$Y$34,"C",IF(G9&lt;'PlayerGrades+'!$Y$33,"C+",IF(G9&lt;'PlayerGrades+'!$Y$32,"B-",IF(G9&lt;'PlayerGrades+'!$Y$31,"B",IF(G9&lt;'PlayerGrades+'!$Y$30,"B+",IF(G9&lt;'PlayerGrades+'!$Y$29,"A-",IF(G9&lt;'PlayerGrades+'!$Y$28,"A",IF(G9&lt;'PlayerGrades+'!$Y$27,"A+",IF(G9&lt;'PlayerGrades+'!$Y$26,"S-",IF(G9&lt;'PlayerGrades+'!$Y$25,"S","S+"))))))))))))))))))))</f>
        <v>E+</v>
      </c>
    </row>
    <row r="10">
      <c r="A10" s="614" t="str">
        <f>'Halo Infinite Stats'!A10</f>
        <v>DCleak</v>
      </c>
      <c r="B10" s="615" t="str">
        <f>IFERROR(VLOOKUP($A10,'Halo Infinite Stats'!$A:AX,43,0),)</f>
        <v>R1</v>
      </c>
      <c r="C10" s="615">
        <f>IFERROR(VLOOKUP($A10,'PlayerGrades+'!$A:Y,23,0),)</f>
        <v>14.2</v>
      </c>
      <c r="D10" s="615" t="str">
        <f>IFERROR(VLOOKUP($A10,'PlayerGrades+'!$A:Y,22,0),)</f>
        <v>C-</v>
      </c>
      <c r="H10" s="612"/>
      <c r="I10" s="627" t="s">
        <v>152</v>
      </c>
      <c r="J10" s="628"/>
      <c r="K10" s="629" t="s">
        <v>158</v>
      </c>
      <c r="L10" s="628"/>
      <c r="M10" s="630" t="s">
        <v>164</v>
      </c>
      <c r="N10" s="631"/>
      <c r="O10" s="632" t="s">
        <v>171</v>
      </c>
      <c r="P10" s="631"/>
      <c r="Q10" s="633" t="s">
        <v>179</v>
      </c>
      <c r="R10" s="631"/>
      <c r="S10" s="634" t="s">
        <v>184</v>
      </c>
      <c r="T10" s="628"/>
      <c r="U10" s="635" t="s">
        <v>190</v>
      </c>
      <c r="V10" s="628"/>
    </row>
    <row r="11">
      <c r="A11" s="614" t="str">
        <f>'Halo Infinite Stats'!A11</f>
        <v>Deathcrawller</v>
      </c>
      <c r="B11" s="615" t="str">
        <f>IFERROR(VLOOKUP($A11,'Halo Infinite Stats'!$A:AX,43,0),)</f>
        <v>C</v>
      </c>
      <c r="C11" s="615">
        <f>IFERROR(VLOOKUP($A11,'PlayerGrades+'!$A:Y,23,0),)</f>
        <v>9.925</v>
      </c>
      <c r="D11" s="615" t="str">
        <f>IFERROR(VLOOKUP($A11,'PlayerGrades+'!$A:Y,22,0),)</f>
        <v>E</v>
      </c>
      <c r="H11" s="612"/>
      <c r="I11" s="636" t="str">
        <f>IFERROR(__xludf.DUMMYFUNCTION("QUERY('PlayerGrades+'!L:Y, ""Select L,V where V CONTAINS 'S+' OR V='S' OR V='S-' ORDER BY V LABEL(L) 'Players', V 'S Grades'"")"),"Players")</f>
        <v>Players</v>
      </c>
      <c r="J11" s="637" t="str">
        <f>IFERROR(__xludf.DUMMYFUNCTION("""COMPUTED_VALUE"""),"S Grades")</f>
        <v>S Grades</v>
      </c>
      <c r="K11" s="638" t="str">
        <f>IFERROR(__xludf.DUMMYFUNCTION("QUERY('PlayerGrades+'!L:V,""Select L,V where V CONTAINS 'A+' OR V='A' OR V='A-' LABEL (V) 'A Grades', L 'Players'"")"),"Players")</f>
        <v>Players</v>
      </c>
      <c r="L11" s="638" t="str">
        <f>IFERROR(__xludf.DUMMYFUNCTION("""COMPUTED_VALUE"""),"A Grades")</f>
        <v>A Grades</v>
      </c>
      <c r="M11" s="639" t="str">
        <f>IFERROR(__xludf.DUMMYFUNCTION("QUERY('PlayerGrades+'!L:V,""Select L,V where V CONTAINS 'B+' OR V='B' OR V='B-' LABEL (V) 'B Grades', L 'Players'"")"),"Players")</f>
        <v>Players</v>
      </c>
      <c r="N11" s="639" t="str">
        <f>IFERROR(__xludf.DUMMYFUNCTION("""COMPUTED_VALUE"""),"B Grades")</f>
        <v>B Grades</v>
      </c>
      <c r="O11" s="640" t="str">
        <f>IFERROR(__xludf.DUMMYFUNCTION("QUERY('PlayerGrades+'!L:V,""Select L,V where V CONTAINS 'C+' OR V='C' OR V='C-' LABEL (V) 'C Grades', L 'Players'"")"),"Players")</f>
        <v>Players</v>
      </c>
      <c r="P11" s="641" t="str">
        <f>IFERROR(__xludf.DUMMYFUNCTION("""COMPUTED_VALUE"""),"C Grades")</f>
        <v>C Grades</v>
      </c>
      <c r="Q11" s="642" t="str">
        <f>IFERROR(__xludf.DUMMYFUNCTION("QUERY('PlayerGrades+'!L:V,""Select L,V where V CONTAINS 'D+' OR V='D' OR V='D-' LABEL (V) 'D Grades', L 'Players'"")"),"Players")</f>
        <v>Players</v>
      </c>
      <c r="R11" s="642" t="str">
        <f>IFERROR(__xludf.DUMMYFUNCTION("""COMPUTED_VALUE"""),"D Grades")</f>
        <v>D Grades</v>
      </c>
      <c r="S11" s="643" t="str">
        <f>IFERROR(__xludf.DUMMYFUNCTION("QUERY('PlayerGrades+'!L:V,""Select L,V where V CONTAINS 'E+' OR V='E' OR V='E-' LABEL (V) 'E Grades', L 'Players'"")"),"Players")</f>
        <v>Players</v>
      </c>
      <c r="T11" s="643" t="str">
        <f>IFERROR(__xludf.DUMMYFUNCTION("""COMPUTED_VALUE"""),"E Grades")</f>
        <v>E Grades</v>
      </c>
      <c r="U11" s="644" t="str">
        <f>IFERROR(__xludf.DUMMYFUNCTION("QUERY('PlayerGrades+'!L:V,""Select L,V where V CONTAINS 'F+' OR V='F' OR V='F-' LABEL (V) 'F Grades', L 'Players'"")"),"Players")</f>
        <v>Players</v>
      </c>
      <c r="V11" s="646" t="str">
        <f>IFERROR(__xludf.DUMMYFUNCTION("""COMPUTED_VALUE"""),"F Grades")</f>
        <v>F Grades</v>
      </c>
      <c r="W11" s="647"/>
      <c r="X11" s="647"/>
    </row>
    <row r="12">
      <c r="A12" s="614" t="str">
        <f>'Halo Infinite Stats'!A12</f>
        <v>Doerstopper</v>
      </c>
      <c r="B12" s="615" t="str">
        <f>IFERROR(VLOOKUP($A12,'Halo Infinite Stats'!$A:AX,43,0),)</f>
        <v>C</v>
      </c>
      <c r="C12" s="615">
        <f>IFERROR(VLOOKUP($A12,'PlayerGrades+'!$A:Y,23,0),)</f>
        <v>9.2</v>
      </c>
      <c r="D12" s="615" t="str">
        <f>IFERROR(VLOOKUP($A12,'PlayerGrades+'!$A:Y,22,0),)</f>
        <v>E-</v>
      </c>
      <c r="H12" s="649"/>
      <c r="I12" s="650" t="str">
        <f>IFERROR(__xludf.DUMMYFUNCTION("""COMPUTED_VALUE"""),"Ace B S1lentND1")</f>
        <v>Ace B S1lentND1</v>
      </c>
      <c r="J12" s="651" t="str">
        <f>IFERROR(__xludf.DUMMYFUNCTION("""COMPUTED_VALUE"""),"S")</f>
        <v>S</v>
      </c>
      <c r="K12" s="652" t="str">
        <f>IFERROR(__xludf.DUMMYFUNCTION("""COMPUTED_VALUE"""),"Fanciest Pants")</f>
        <v>Fanciest Pants</v>
      </c>
      <c r="L12" s="652" t="str">
        <f>IFERROR(__xludf.DUMMYFUNCTION("""COMPUTED_VALUE"""),"A+")</f>
        <v>A+</v>
      </c>
      <c r="M12" s="653" t="str">
        <f>IFERROR(__xludf.DUMMYFUNCTION("""COMPUTED_VALUE"""),"Holy Morals")</f>
        <v>Holy Morals</v>
      </c>
      <c r="N12" s="653" t="str">
        <f>IFERROR(__xludf.DUMMYFUNCTION("""COMPUTED_VALUE"""),"B+")</f>
        <v>B+</v>
      </c>
      <c r="O12" s="655" t="str">
        <f>IFERROR(__xludf.DUMMYFUNCTION("""COMPUTED_VALUE"""),"CaptainSev004")</f>
        <v>CaptainSev004</v>
      </c>
      <c r="P12" s="657" t="str">
        <f>IFERROR(__xludf.DUMMYFUNCTION("""COMPUTED_VALUE"""),"C")</f>
        <v>C</v>
      </c>
      <c r="Q12" s="658" t="str">
        <f>IFERROR(__xludf.DUMMYFUNCTION("""COMPUTED_VALUE"""),"Almighty Tycoon")</f>
        <v>Almighty Tycoon</v>
      </c>
      <c r="R12" s="658" t="str">
        <f>IFERROR(__xludf.DUMMYFUNCTION("""COMPUTED_VALUE"""),"D")</f>
        <v>D</v>
      </c>
      <c r="S12" s="659" t="str">
        <f>IFERROR(__xludf.DUMMYFUNCTION("""COMPUTED_VALUE"""),"Beam1n1")</f>
        <v>Beam1n1</v>
      </c>
      <c r="T12" s="659" t="str">
        <f>IFERROR(__xludf.DUMMYFUNCTION("""COMPUTED_VALUE"""),"E")</f>
        <v>E</v>
      </c>
      <c r="U12" s="660" t="str">
        <f>IFERROR(__xludf.DUMMYFUNCTION("""COMPUTED_VALUE"""),"Amnatu")</f>
        <v>Amnatu</v>
      </c>
      <c r="V12" s="661" t="str">
        <f>IFERROR(__xludf.DUMMYFUNCTION("""COMPUTED_VALUE"""),"F-")</f>
        <v>F-</v>
      </c>
      <c r="W12" s="662"/>
      <c r="X12" s="662"/>
    </row>
    <row r="13">
      <c r="A13" s="614" t="str">
        <f>'Halo Infinite Stats'!A13</f>
        <v>Fanciest Pants</v>
      </c>
      <c r="B13" s="615" t="str">
        <f>IFERROR(VLOOKUP($A13,'Halo Infinite Stats'!$A:AX,43,0),)</f>
        <v>R1</v>
      </c>
      <c r="C13" s="615">
        <f>IFERROR(VLOOKUP($A13,'PlayerGrades+'!$A:Y,23,0),)</f>
        <v>24.4625</v>
      </c>
      <c r="D13" s="615" t="str">
        <f>IFERROR(VLOOKUP($A13,'PlayerGrades+'!$A:Y,22,0),)</f>
        <v>A+</v>
      </c>
      <c r="H13" s="612"/>
      <c r="I13" s="650" t="str">
        <f>IFERROR(__xludf.DUMMYFUNCTION("""COMPUTED_VALUE"""),"Jussshhhyyy")</f>
        <v>Jussshhhyyy</v>
      </c>
      <c r="J13" s="651" t="str">
        <f>IFERROR(__xludf.DUMMYFUNCTION("""COMPUTED_VALUE"""),"S")</f>
        <v>S</v>
      </c>
      <c r="K13" s="652" t="str">
        <f>IFERROR(__xludf.DUMMYFUNCTION("""COMPUTED_VALUE"""),"Mavbrid")</f>
        <v>Mavbrid</v>
      </c>
      <c r="L13" s="652" t="str">
        <f>IFERROR(__xludf.DUMMYFUNCTION("""COMPUTED_VALUE"""),"A")</f>
        <v>A</v>
      </c>
      <c r="M13" s="653" t="str">
        <f>IFERROR(__xludf.DUMMYFUNCTION("""COMPUTED_VALUE"""),"ill Shrek u")</f>
        <v>ill Shrek u</v>
      </c>
      <c r="N13" s="653" t="str">
        <f>IFERROR(__xludf.DUMMYFUNCTION("""COMPUTED_VALUE"""),"B")</f>
        <v>B</v>
      </c>
      <c r="O13" s="655" t="str">
        <f>IFERROR(__xludf.DUMMYFUNCTION("""COMPUTED_VALUE"""),"Clydrohsun")</f>
        <v>Clydrohsun</v>
      </c>
      <c r="P13" s="657" t="str">
        <f>IFERROR(__xludf.DUMMYFUNCTION("""COMPUTED_VALUE"""),"C+")</f>
        <v>C+</v>
      </c>
      <c r="Q13" s="658" t="str">
        <f>IFERROR(__xludf.DUMMYFUNCTION("""COMPUTED_VALUE"""),"AwareMosquito")</f>
        <v>AwareMosquito</v>
      </c>
      <c r="R13" s="658" t="str">
        <f>IFERROR(__xludf.DUMMYFUNCTION("""COMPUTED_VALUE"""),"D")</f>
        <v>D</v>
      </c>
      <c r="S13" s="659" t="str">
        <f>IFERROR(__xludf.DUMMYFUNCTION("""COMPUTED_VALUE"""),"Deathcrawller")</f>
        <v>Deathcrawller</v>
      </c>
      <c r="T13" s="659" t="str">
        <f>IFERROR(__xludf.DUMMYFUNCTION("""COMPUTED_VALUE"""),"E")</f>
        <v>E</v>
      </c>
      <c r="U13" s="660" t="str">
        <f>IFERROR(__xludf.DUMMYFUNCTION("""COMPUTED_VALUE"""),"OREOTHECAT")</f>
        <v>OREOTHECAT</v>
      </c>
      <c r="V13" s="661" t="str">
        <f>IFERROR(__xludf.DUMMYFUNCTION("""COMPUTED_VALUE"""),"F-")</f>
        <v>F-</v>
      </c>
      <c r="W13" s="662"/>
      <c r="X13" s="662"/>
    </row>
    <row r="14">
      <c r="A14" s="614" t="str">
        <f>'Halo Infinite Stats'!A14</f>
        <v>GeneralCornBeef</v>
      </c>
      <c r="B14" s="615" t="str">
        <f>IFERROR(VLOOKUP($A14,'Halo Infinite Stats'!$A:AX,43,0),)</f>
        <v>R3</v>
      </c>
      <c r="C14" s="615">
        <f>IFERROR(VLOOKUP($A14,'PlayerGrades+'!$A:Y,23,0),)</f>
        <v>12.3375</v>
      </c>
      <c r="D14" s="615" t="str">
        <f>IFERROR(VLOOKUP($A14,'PlayerGrades+'!$A:Y,22,0),)</f>
        <v>D-</v>
      </c>
      <c r="H14" s="612"/>
      <c r="I14" s="650" t="str">
        <f>IFERROR(__xludf.DUMMYFUNCTION("""COMPUTED_VALUE"""),"MysticalNovice")</f>
        <v>MysticalNovice</v>
      </c>
      <c r="J14" s="651" t="str">
        <f>IFERROR(__xludf.DUMMYFUNCTION("""COMPUTED_VALUE"""),"S+")</f>
        <v>S+</v>
      </c>
      <c r="K14" s="652" t="str">
        <f>IFERROR(__xludf.DUMMYFUNCTION("""COMPUTED_VALUE"""),"oh zilly")</f>
        <v>oh zilly</v>
      </c>
      <c r="L14" s="652" t="str">
        <f>IFERROR(__xludf.DUMMYFUNCTION("""COMPUTED_VALUE"""),"A-")</f>
        <v>A-</v>
      </c>
      <c r="M14" s="653" t="str">
        <f>IFERROR(__xludf.DUMMYFUNCTION("""COMPUTED_VALUE"""),"Itzreelz")</f>
        <v>Itzreelz</v>
      </c>
      <c r="N14" s="653" t="str">
        <f>IFERROR(__xludf.DUMMYFUNCTION("""COMPUTED_VALUE"""),"B")</f>
        <v>B</v>
      </c>
      <c r="O14" s="655" t="str">
        <f>IFERROR(__xludf.DUMMYFUNCTION("""COMPUTED_VALUE"""),"DCleak")</f>
        <v>DCleak</v>
      </c>
      <c r="P14" s="657" t="str">
        <f>IFERROR(__xludf.DUMMYFUNCTION("""COMPUTED_VALUE"""),"C-")</f>
        <v>C-</v>
      </c>
      <c r="Q14" s="658" t="str">
        <f>IFERROR(__xludf.DUMMYFUNCTION("""COMPUTED_VALUE"""),"GeneralCornBeef")</f>
        <v>GeneralCornBeef</v>
      </c>
      <c r="R14" s="658" t="str">
        <f>IFERROR(__xludf.DUMMYFUNCTION("""COMPUTED_VALUE"""),"D-")</f>
        <v>D-</v>
      </c>
      <c r="S14" s="659" t="str">
        <f>IFERROR(__xludf.DUMMYFUNCTION("""COMPUTED_VALUE"""),"Doerstopper")</f>
        <v>Doerstopper</v>
      </c>
      <c r="T14" s="659" t="str">
        <f>IFERROR(__xludf.DUMMYFUNCTION("""COMPUTED_VALUE"""),"E-")</f>
        <v>E-</v>
      </c>
      <c r="U14" s="660" t="str">
        <f>IFERROR(__xludf.DUMMYFUNCTION("""COMPUTED_VALUE"""),"Ram Osneb")</f>
        <v>Ram Osneb</v>
      </c>
      <c r="V14" s="661" t="str">
        <f>IFERROR(__xludf.DUMMYFUNCTION("""COMPUTED_VALUE"""),"F+")</f>
        <v>F+</v>
      </c>
      <c r="W14" s="662"/>
      <c r="X14" s="662"/>
    </row>
    <row r="15">
      <c r="A15" s="614" t="str">
        <f>'Halo Infinite Stats'!A15</f>
        <v>Grunt Padre</v>
      </c>
      <c r="B15" s="615" t="str">
        <f>IFERROR(VLOOKUP($A15,'Halo Infinite Stats'!$A:AX,43,0),)</f>
        <v>R2</v>
      </c>
      <c r="C15" s="615">
        <f>IFERROR(VLOOKUP($A15,'PlayerGrades+'!$A:Y,23,0),)</f>
        <v>14.8375</v>
      </c>
      <c r="D15" s="615" t="str">
        <f>IFERROR(VLOOKUP($A15,'PlayerGrades+'!$A:Y,22,0),)</f>
        <v>C</v>
      </c>
      <c r="H15" s="612"/>
      <c r="I15" s="650" t="str">
        <f>IFERROR(__xludf.DUMMYFUNCTION("""COMPUTED_VALUE"""),"ASpence501")</f>
        <v>ASpence501</v>
      </c>
      <c r="J15" s="651" t="str">
        <f>IFERROR(__xludf.DUMMYFUNCTION("""COMPUTED_VALUE"""),"S-")</f>
        <v>S-</v>
      </c>
      <c r="K15" s="652" t="str">
        <f>IFERROR(__xludf.DUMMYFUNCTION("""COMPUTED_VALUE"""),"Scullen cx")</f>
        <v>Scullen cx</v>
      </c>
      <c r="L15" s="652" t="str">
        <f>IFERROR(__xludf.DUMMYFUNCTION("""COMPUTED_VALUE"""),"A+")</f>
        <v>A+</v>
      </c>
      <c r="M15" s="653" t="str">
        <f>IFERROR(__xludf.DUMMYFUNCTION("""COMPUTED_VALUE"""),"Memorized")</f>
        <v>Memorized</v>
      </c>
      <c r="N15" s="653" t="str">
        <f>IFERROR(__xludf.DUMMYFUNCTION("""COMPUTED_VALUE"""),"B-")</f>
        <v>B-</v>
      </c>
      <c r="O15" s="655" t="str">
        <f>IFERROR(__xludf.DUMMYFUNCTION("""COMPUTED_VALUE"""),"Grunt Padre")</f>
        <v>Grunt Padre</v>
      </c>
      <c r="P15" s="657" t="str">
        <f>IFERROR(__xludf.DUMMYFUNCTION("""COMPUTED_VALUE"""),"C")</f>
        <v>C</v>
      </c>
      <c r="Q15" s="658" t="str">
        <f>IFERROR(__xludf.DUMMYFUNCTION("""COMPUTED_VALUE"""),"MuNgO PuNgO")</f>
        <v>MuNgO PuNgO</v>
      </c>
      <c r="R15" s="658" t="str">
        <f>IFERROR(__xludf.DUMMYFUNCTION("""COMPUTED_VALUE"""),"D+")</f>
        <v>D+</v>
      </c>
      <c r="S15" s="659" t="str">
        <f>IFERROR(__xludf.DUMMYFUNCTION("""COMPUTED_VALUE"""),"Its Rainin MenZ")</f>
        <v>Its Rainin MenZ</v>
      </c>
      <c r="T15" s="659" t="str">
        <f>IFERROR(__xludf.DUMMYFUNCTION("""COMPUTED_VALUE"""),"E+")</f>
        <v>E+</v>
      </c>
      <c r="U15" s="660" t="str">
        <f>IFERROR(__xludf.DUMMYFUNCTION("""COMPUTED_VALUE"""),"StarMonster8129")</f>
        <v>StarMonster8129</v>
      </c>
      <c r="V15" s="661" t="str">
        <f>IFERROR(__xludf.DUMMYFUNCTION("""COMPUTED_VALUE"""),"F+")</f>
        <v>F+</v>
      </c>
      <c r="W15" s="664"/>
      <c r="X15" s="664"/>
    </row>
    <row r="16">
      <c r="A16" s="614" t="str">
        <f>'Halo Infinite Stats'!A16</f>
        <v>Holy Morals</v>
      </c>
      <c r="B16" s="615" t="str">
        <f>IFERROR(VLOOKUP($A16,'Halo Infinite Stats'!$A:AX,43,0),)</f>
        <v>C</v>
      </c>
      <c r="C16" s="615">
        <f>IFERROR(VLOOKUP($A16,'PlayerGrades+'!$A:Y,23,0),)</f>
        <v>20.1125</v>
      </c>
      <c r="D16" s="615" t="str">
        <f>IFERROR(VLOOKUP($A16,'PlayerGrades+'!$A:Y,22,0),)</f>
        <v>B+</v>
      </c>
      <c r="H16" s="612"/>
      <c r="I16" s="650" t="str">
        <f>IFERROR(__xludf.DUMMYFUNCTION("""COMPUTED_VALUE"""),"yLuxe")</f>
        <v>yLuxe</v>
      </c>
      <c r="J16" s="651" t="str">
        <f>IFERROR(__xludf.DUMMYFUNCTION("""COMPUTED_VALUE"""),"S-")</f>
        <v>S-</v>
      </c>
      <c r="K16" s="652" t="str">
        <f>IFERROR(__xludf.DUMMYFUNCTION("""COMPUTED_VALUE"""),"TJP37")</f>
        <v>TJP37</v>
      </c>
      <c r="L16" s="652" t="str">
        <f>IFERROR(__xludf.DUMMYFUNCTION("""COMPUTED_VALUE"""),"A-")</f>
        <v>A-</v>
      </c>
      <c r="M16" s="653" t="str">
        <f>IFERROR(__xludf.DUMMYFUNCTION("""COMPUTED_VALUE"""),"Mr epic beast")</f>
        <v>Mr epic beast</v>
      </c>
      <c r="N16" s="653" t="str">
        <f>IFERROR(__xludf.DUMMYFUNCTION("""COMPUTED_VALUE"""),"B-")</f>
        <v>B-</v>
      </c>
      <c r="O16" s="655" t="str">
        <f>IFERROR(__xludf.DUMMYFUNCTION("""COMPUTED_VALUE"""),"KDSkill")</f>
        <v>KDSkill</v>
      </c>
      <c r="P16" s="655" t="str">
        <f>IFERROR(__xludf.DUMMYFUNCTION("""COMPUTED_VALUE"""),"C+")</f>
        <v>C+</v>
      </c>
      <c r="Q16" s="658" t="str">
        <f>IFERROR(__xludf.DUMMYFUNCTION("""COMPUTED_VALUE"""),"NOPLEX")</f>
        <v>NOPLEX</v>
      </c>
      <c r="R16" s="658" t="str">
        <f>IFERROR(__xludf.DUMMYFUNCTION("""COMPUTED_VALUE"""),"D+")</f>
        <v>D+</v>
      </c>
      <c r="S16" s="659" t="str">
        <f>IFERROR(__xludf.DUMMYFUNCTION("""COMPUTED_VALUE"""),"Ken Khaneki")</f>
        <v>Ken Khaneki</v>
      </c>
      <c r="T16" s="659" t="str">
        <f>IFERROR(__xludf.DUMMYFUNCTION("""COMPUTED_VALUE"""),"E+")</f>
        <v>E+</v>
      </c>
      <c r="U16" s="660" t="str">
        <f>IFERROR(__xludf.DUMMYFUNCTION("""COMPUTED_VALUE"""),"xXTHEChickenGod")</f>
        <v>xXTHEChickenGod</v>
      </c>
      <c r="V16" s="661" t="str">
        <f>IFERROR(__xludf.DUMMYFUNCTION("""COMPUTED_VALUE"""),"F")</f>
        <v>F</v>
      </c>
      <c r="W16" s="664"/>
      <c r="X16" s="664"/>
    </row>
    <row r="17">
      <c r="A17" s="614" t="str">
        <f>'Halo Infinite Stats'!A17</f>
        <v>ill Shrek u</v>
      </c>
      <c r="B17" s="615" t="str">
        <f>IFERROR(VLOOKUP($A17,'Halo Infinite Stats'!$A:AX,43,0),)</f>
        <v>R3</v>
      </c>
      <c r="C17" s="615">
        <f>IFERROR(VLOOKUP($A17,'PlayerGrades+'!$A:Y,23,0),)</f>
        <v>18.15</v>
      </c>
      <c r="D17" s="615" t="str">
        <f>IFERROR(VLOOKUP($A17,'PlayerGrades+'!$A:Y,22,0),)</f>
        <v>B</v>
      </c>
      <c r="H17" s="612"/>
      <c r="I17" s="668"/>
      <c r="J17" s="670"/>
      <c r="K17" s="652" t="str">
        <f>IFERROR(__xludf.DUMMYFUNCTION("""COMPUTED_VALUE"""),"TommyWstSide")</f>
        <v>TommyWstSide</v>
      </c>
      <c r="L17" s="652" t="str">
        <f>IFERROR(__xludf.DUMMYFUNCTION("""COMPUTED_VALUE"""),"A")</f>
        <v>A</v>
      </c>
      <c r="M17" s="653" t="str">
        <f>IFERROR(__xludf.DUMMYFUNCTION("""COMPUTED_VALUE"""),"SPANKTR0N")</f>
        <v>SPANKTR0N</v>
      </c>
      <c r="N17" s="653" t="str">
        <f>IFERROR(__xludf.DUMMYFUNCTION("""COMPUTED_VALUE"""),"B+")</f>
        <v>B+</v>
      </c>
      <c r="O17" s="655" t="str">
        <f>IFERROR(__xludf.DUMMYFUNCTION("""COMPUTED_VALUE"""),"Priest XYZ")</f>
        <v>Priest XYZ</v>
      </c>
      <c r="P17" s="657" t="str">
        <f>IFERROR(__xludf.DUMMYFUNCTION("""COMPUTED_VALUE"""),"C-")</f>
        <v>C-</v>
      </c>
      <c r="Q17" s="658" t="str">
        <f>IFERROR(__xludf.DUMMYFUNCTION("""COMPUTED_VALUE"""),"Pd Craig 69")</f>
        <v>Pd Craig 69</v>
      </c>
      <c r="R17" s="658" t="str">
        <f>IFERROR(__xludf.DUMMYFUNCTION("""COMPUTED_VALUE"""),"D-")</f>
        <v>D-</v>
      </c>
      <c r="S17" s="659" t="str">
        <f>IFERROR(__xludf.DUMMYFUNCTION("""COMPUTED_VALUE"""),"WeirdPG")</f>
        <v>WeirdPG</v>
      </c>
      <c r="T17" s="659" t="str">
        <f>IFERROR(__xludf.DUMMYFUNCTION("""COMPUTED_VALUE"""),"E-")</f>
        <v>E-</v>
      </c>
      <c r="U17" s="660" t="str">
        <f>IFERROR(__xludf.DUMMYFUNCTION("""COMPUTED_VALUE"""),"ThePro#1771")</f>
        <v>ThePro#1771</v>
      </c>
      <c r="V17" s="661" t="str">
        <f>IFERROR(__xludf.DUMMYFUNCTION("""COMPUTED_VALUE"""),"F")</f>
        <v>F</v>
      </c>
      <c r="W17" s="664"/>
      <c r="X17" s="664"/>
    </row>
    <row r="18">
      <c r="A18" s="614" t="str">
        <f>'Halo Infinite Stats'!A18</f>
        <v>Its Rainin MenZ</v>
      </c>
      <c r="B18" s="615" t="str">
        <f>IFERROR(VLOOKUP($A18,'Halo Infinite Stats'!$A:AX,43,0),)</f>
        <v>R2</v>
      </c>
      <c r="C18" s="615">
        <f>IFERROR(VLOOKUP($A18,'PlayerGrades+'!$A:Y,23,0),)</f>
        <v>11.8875</v>
      </c>
      <c r="D18" s="615" t="str">
        <f>IFERROR(VLOOKUP($A18,'PlayerGrades+'!$A:Y,22,0),)</f>
        <v>E+</v>
      </c>
      <c r="H18" s="612"/>
      <c r="I18" s="668"/>
      <c r="J18" s="670"/>
      <c r="K18" s="652"/>
      <c r="L18" s="652"/>
      <c r="M18" s="653"/>
      <c r="N18" s="653"/>
      <c r="O18" s="655"/>
      <c r="P18" s="655"/>
      <c r="Q18" s="658"/>
      <c r="R18" s="658"/>
      <c r="S18" s="659"/>
      <c r="T18" s="659"/>
      <c r="U18" s="671" t="str">
        <f>IFERROR(__xludf.DUMMYFUNCTION("""COMPUTED_VALUE"""),"Trespa5s")</f>
        <v>Trespa5s</v>
      </c>
      <c r="V18" s="672" t="str">
        <f>IFERROR(__xludf.DUMMYFUNCTION("""COMPUTED_VALUE"""),"F-")</f>
        <v>F-</v>
      </c>
      <c r="W18" s="664"/>
      <c r="X18" s="664"/>
    </row>
    <row r="19">
      <c r="A19" s="614" t="str">
        <f>'Halo Infinite Stats'!A19</f>
        <v>Itzreelz</v>
      </c>
      <c r="B19" s="615" t="str">
        <f>IFERROR(VLOOKUP($A19,'Halo Infinite Stats'!$A:AX,43,0),)</f>
        <v>R1</v>
      </c>
      <c r="C19" s="615">
        <f>IFERROR(VLOOKUP($A19,'PlayerGrades+'!$A:Y,23,0),)</f>
        <v>19.7625</v>
      </c>
      <c r="D19" s="615" t="str">
        <f>IFERROR(VLOOKUP($A19,'PlayerGrades+'!$A:Y,22,0),)</f>
        <v>B</v>
      </c>
      <c r="H19" s="612"/>
      <c r="I19" s="668"/>
      <c r="J19" s="670"/>
      <c r="K19" s="673"/>
      <c r="L19" s="673"/>
      <c r="M19" s="674"/>
      <c r="N19" s="674"/>
      <c r="O19" s="655"/>
      <c r="P19" s="655"/>
      <c r="Q19" s="658"/>
      <c r="R19" s="658"/>
      <c r="S19" s="675"/>
      <c r="T19" s="675"/>
      <c r="U19" s="671"/>
      <c r="V19" s="672"/>
      <c r="W19" s="664"/>
      <c r="X19" s="664"/>
    </row>
    <row r="20">
      <c r="A20" s="614" t="str">
        <f>'Halo Infinite Stats'!A20</f>
        <v>Jussshhhyyy</v>
      </c>
      <c r="B20" s="615" t="str">
        <f>IFERROR(VLOOKUP($A20,'Halo Infinite Stats'!$A:AX,43,0),)</f>
        <v>R1</v>
      </c>
      <c r="C20" s="615">
        <f>IFERROR(VLOOKUP($A20,'PlayerGrades+'!$A:Y,23,0),)</f>
        <v>27.275</v>
      </c>
      <c r="D20" s="615" t="str">
        <f>IFERROR(VLOOKUP($A20,'PlayerGrades+'!$A:Y,22,0),)</f>
        <v>S</v>
      </c>
      <c r="H20" s="612"/>
      <c r="I20" s="668"/>
      <c r="J20" s="670"/>
      <c r="K20" s="673"/>
      <c r="L20" s="673"/>
      <c r="M20" s="674"/>
      <c r="N20" s="674"/>
      <c r="O20" s="676"/>
      <c r="P20" s="676"/>
      <c r="Q20" s="677"/>
      <c r="R20" s="677"/>
      <c r="S20" s="675"/>
      <c r="T20" s="675"/>
      <c r="U20" s="671"/>
      <c r="V20" s="672"/>
      <c r="W20" s="664"/>
      <c r="X20" s="664"/>
    </row>
    <row r="21">
      <c r="A21" s="614" t="str">
        <f>'Halo Infinite Stats'!A21</f>
        <v>KDSkill</v>
      </c>
      <c r="B21" s="615" t="str">
        <f>IFERROR(VLOOKUP($A21,'Halo Infinite Stats'!$A:AX,43,0),)</f>
        <v>R3</v>
      </c>
      <c r="C21" s="615">
        <f>IFERROR(VLOOKUP($A21,'PlayerGrades+'!$A:Y,23,0),)</f>
        <v>15.6125</v>
      </c>
      <c r="D21" s="615" t="str">
        <f>IFERROR(VLOOKUP($A21,'PlayerGrades+'!$A:Y,22,0),)</f>
        <v>C+</v>
      </c>
      <c r="H21" s="612"/>
      <c r="I21" s="668"/>
      <c r="J21" s="670"/>
      <c r="K21" s="673"/>
      <c r="L21" s="673"/>
      <c r="M21" s="674"/>
      <c r="N21" s="674"/>
      <c r="O21" s="676"/>
      <c r="P21" s="676"/>
      <c r="Q21" s="677"/>
      <c r="R21" s="677"/>
      <c r="S21" s="675"/>
      <c r="T21" s="675"/>
      <c r="U21" s="671"/>
      <c r="V21" s="672"/>
      <c r="W21" s="664"/>
      <c r="X21" s="664"/>
    </row>
    <row r="22">
      <c r="A22" s="614" t="str">
        <f>'Halo Infinite Stats'!A22</f>
        <v>Ken Khaneki</v>
      </c>
      <c r="B22" s="615" t="str">
        <f>IFERROR(VLOOKUP($A22,'Halo Infinite Stats'!$A:AX,43,0),)</f>
        <v>R3</v>
      </c>
      <c r="C22" s="615">
        <f>IFERROR(VLOOKUP($A22,'PlayerGrades+'!$A:Y,23,0),)</f>
        <v>11.55</v>
      </c>
      <c r="D22" s="615" t="str">
        <f>IFERROR(VLOOKUP($A22,'PlayerGrades+'!$A:Y,22,0),)</f>
        <v>E+</v>
      </c>
      <c r="H22" s="612"/>
      <c r="I22" s="668"/>
      <c r="J22" s="670"/>
      <c r="K22" s="673"/>
      <c r="L22" s="673"/>
      <c r="M22" s="674"/>
      <c r="N22" s="674"/>
      <c r="O22" s="676"/>
      <c r="P22" s="676"/>
      <c r="Q22" s="677"/>
      <c r="R22" s="677"/>
      <c r="S22" s="675"/>
      <c r="T22" s="675"/>
      <c r="U22" s="671"/>
      <c r="V22" s="672"/>
      <c r="W22" s="664"/>
      <c r="X22" s="664"/>
    </row>
    <row r="23">
      <c r="A23" s="614" t="str">
        <f>'Halo Infinite Stats'!A23</f>
        <v>Mavbrid</v>
      </c>
      <c r="B23" s="615" t="str">
        <f>IFERROR(VLOOKUP($A23,'Halo Infinite Stats'!$A:AX,43,0),)</f>
        <v>R1</v>
      </c>
      <c r="C23" s="615">
        <f>IFERROR(VLOOKUP($A23,'PlayerGrades+'!$A:Y,23,0),)</f>
        <v>24.35</v>
      </c>
      <c r="D23" s="615" t="str">
        <f>IFERROR(VLOOKUP($A23,'PlayerGrades+'!$A:Y,22,0),)</f>
        <v>A</v>
      </c>
      <c r="H23" s="612"/>
      <c r="I23" s="668"/>
      <c r="J23" s="670"/>
      <c r="K23" s="673"/>
      <c r="L23" s="673"/>
      <c r="M23" s="674"/>
      <c r="N23" s="674"/>
      <c r="O23" s="676"/>
      <c r="P23" s="676"/>
      <c r="Q23" s="677"/>
      <c r="R23" s="677"/>
      <c r="S23" s="675"/>
      <c r="T23" s="675"/>
      <c r="U23" s="671"/>
      <c r="V23" s="672"/>
      <c r="W23" s="664"/>
      <c r="X23" s="664"/>
    </row>
    <row r="24">
      <c r="A24" s="614" t="str">
        <f>'Halo Infinite Stats'!A24</f>
        <v>Memorized</v>
      </c>
      <c r="B24" s="615" t="str">
        <f>IFERROR(VLOOKUP($A24,'Halo Infinite Stats'!$A:AX,43,0),)</f>
        <v>R1</v>
      </c>
      <c r="C24" s="615">
        <f>IFERROR(VLOOKUP($A24,'PlayerGrades+'!$A:Y,23,0),)</f>
        <v>17.95</v>
      </c>
      <c r="D24" s="615" t="str">
        <f>IFERROR(VLOOKUP($A24,'PlayerGrades+'!$A:Y,22,0),)</f>
        <v>B-</v>
      </c>
      <c r="H24" s="612"/>
      <c r="I24" s="668"/>
      <c r="J24" s="670"/>
      <c r="K24" s="673"/>
      <c r="L24" s="673"/>
      <c r="M24" s="674"/>
      <c r="N24" s="674"/>
      <c r="O24" s="676"/>
      <c r="P24" s="676"/>
      <c r="Q24" s="677"/>
      <c r="R24" s="677"/>
      <c r="S24" s="675"/>
      <c r="T24" s="675"/>
      <c r="U24" s="671"/>
      <c r="V24" s="672"/>
      <c r="W24" s="664"/>
      <c r="X24" s="664"/>
    </row>
    <row r="25">
      <c r="A25" s="614" t="str">
        <f>'Halo Infinite Stats'!A25</f>
        <v>Mr epic beast</v>
      </c>
      <c r="B25" s="615" t="str">
        <f>IFERROR(VLOOKUP($A25,'Halo Infinite Stats'!$A:AX,43,0),)</f>
        <v>R2</v>
      </c>
      <c r="C25" s="615">
        <f>IFERROR(VLOOKUP($A25,'PlayerGrades+'!$A:Y,23,0),)</f>
        <v>16.5625</v>
      </c>
      <c r="D25" s="615" t="str">
        <f>IFERROR(VLOOKUP($A25,'PlayerGrades+'!$A:Y,22,0),)</f>
        <v>B-</v>
      </c>
      <c r="H25" s="612"/>
      <c r="I25" s="668"/>
      <c r="J25" s="670"/>
      <c r="K25" s="673"/>
      <c r="L25" s="673"/>
      <c r="M25" s="674"/>
      <c r="N25" s="674"/>
      <c r="O25" s="676"/>
      <c r="P25" s="676"/>
      <c r="Q25" s="677"/>
      <c r="R25" s="677"/>
      <c r="S25" s="675"/>
      <c r="T25" s="675"/>
      <c r="U25" s="671"/>
      <c r="V25" s="672"/>
      <c r="W25" s="664"/>
      <c r="X25" s="664"/>
    </row>
    <row r="26">
      <c r="A26" s="614" t="str">
        <f>'Halo Infinite Stats'!A26</f>
        <v>MuNgO PuNgO</v>
      </c>
      <c r="B26" s="615" t="str">
        <f>IFERROR(VLOOKUP($A26,'Halo Infinite Stats'!$A:AX,43,0),)</f>
        <v>C</v>
      </c>
      <c r="C26" s="615">
        <f>IFERROR(VLOOKUP($A26,'PlayerGrades+'!$A:Y,23,0),)</f>
        <v>14.1375</v>
      </c>
      <c r="D26" s="615" t="str">
        <f>IFERROR(VLOOKUP($A26,'PlayerGrades+'!$A:Y,22,0),)</f>
        <v>D+</v>
      </c>
      <c r="H26" s="612"/>
      <c r="I26" s="679"/>
      <c r="J26" s="680"/>
      <c r="K26" s="681"/>
      <c r="L26" s="681"/>
      <c r="M26" s="682"/>
      <c r="N26" s="682"/>
      <c r="O26" s="683"/>
      <c r="P26" s="683"/>
      <c r="Q26" s="684"/>
      <c r="R26" s="684"/>
      <c r="S26" s="685"/>
      <c r="T26" s="685"/>
      <c r="U26" s="687"/>
      <c r="V26" s="688"/>
      <c r="W26" s="664"/>
      <c r="X26" s="664"/>
    </row>
    <row r="27">
      <c r="A27" s="614" t="str">
        <f>'Halo Infinite Stats'!A27</f>
        <v>MysticalNovice</v>
      </c>
      <c r="B27" s="615" t="str">
        <f>IFERROR(VLOOKUP($A27,'Halo Infinite Stats'!$A:AX,43,0),)</f>
        <v>C</v>
      </c>
      <c r="C27" s="615">
        <f>IFERROR(VLOOKUP($A27,'PlayerGrades+'!$A:Y,23,0),)</f>
        <v>27.3625</v>
      </c>
      <c r="D27" s="615" t="str">
        <f>IFERROR(VLOOKUP($A27,'PlayerGrades+'!$A:Y,22,0),)</f>
        <v>S+</v>
      </c>
      <c r="H27" s="612"/>
    </row>
    <row r="28">
      <c r="A28" s="614" t="str">
        <f>'Halo Infinite Stats'!A28</f>
        <v>NOPLEX</v>
      </c>
      <c r="B28" s="615" t="str">
        <f>IFERROR(VLOOKUP($A28,'Halo Infinite Stats'!$A:AX,43,0),)</f>
        <v>R2</v>
      </c>
      <c r="C28" s="615">
        <f>IFERROR(VLOOKUP($A28,'PlayerGrades+'!$A:Y,23,0),)</f>
        <v>13.925</v>
      </c>
      <c r="D28" s="615" t="str">
        <f>IFERROR(VLOOKUP($A28,'PlayerGrades+'!$A:Y,22,0),)</f>
        <v>D+</v>
      </c>
      <c r="H28" s="612"/>
      <c r="I28" s="705">
        <f t="array" ref="I28:I48">hlookup('PlayerGrades+'!X3:X23, {"S+","S","S-","A+","A","A-","B+","B","B-","C+","C","C-","D+","D","D-","E+","E","E-","F+","F","F-"; 1,2,3,4,5,6,7,8,9,10,11,12,13,14,15,16,17,18,19,20,21}, 2, false)</f>
        <v>1</v>
      </c>
    </row>
    <row r="29">
      <c r="A29" s="614" t="str">
        <f>'Halo Infinite Stats'!A29</f>
        <v>oh zilly</v>
      </c>
      <c r="B29" s="615" t="str">
        <f>IFERROR(VLOOKUP($A29,'Halo Infinite Stats'!$A:AX,43,0),)</f>
        <v>R1</v>
      </c>
      <c r="C29" s="615">
        <f>IFERROR(VLOOKUP($A29,'PlayerGrades+'!$A:Y,23,0),)</f>
        <v>21.375</v>
      </c>
      <c r="D29" s="615" t="str">
        <f>IFERROR(VLOOKUP($A29,'PlayerGrades+'!$A:Y,22,0),)</f>
        <v>A-</v>
      </c>
      <c r="H29" s="612"/>
      <c r="I29" s="708">
        <v>2.0</v>
      </c>
    </row>
    <row r="30">
      <c r="A30" s="614" t="str">
        <f>'Halo Infinite Stats'!A30</f>
        <v>OREOTHECAT</v>
      </c>
      <c r="B30" s="615" t="str">
        <f>IFERROR(VLOOKUP($A30,'Halo Infinite Stats'!$A:AX,43,0),)</f>
        <v>C</v>
      </c>
      <c r="C30" s="615">
        <f>IFERROR(VLOOKUP($A30,'PlayerGrades+'!$A:Y,23,0),)</f>
        <v>4.475</v>
      </c>
      <c r="D30" s="615" t="str">
        <f>IFERROR(VLOOKUP($A30,'PlayerGrades+'!$A:Y,22,0),)</f>
        <v>F-</v>
      </c>
      <c r="H30" s="612"/>
      <c r="I30" s="614">
        <v>3.0</v>
      </c>
    </row>
    <row r="31">
      <c r="A31" s="614" t="str">
        <f>'Halo Infinite Stats'!A31</f>
        <v>Pd Craig 69</v>
      </c>
      <c r="B31" s="615" t="str">
        <f>IFERROR(VLOOKUP($A31,'Halo Infinite Stats'!$A:AX,43,0),)</f>
        <v>R2</v>
      </c>
      <c r="C31" s="615">
        <f>IFERROR(VLOOKUP($A31,'PlayerGrades+'!$A:Y,23,0),)</f>
        <v>12.2875</v>
      </c>
      <c r="D31" s="615" t="str">
        <f>IFERROR(VLOOKUP($A31,'PlayerGrades+'!$A:Y,22,0),)</f>
        <v>D-</v>
      </c>
      <c r="H31" s="612"/>
      <c r="I31" s="614">
        <v>4.0</v>
      </c>
    </row>
    <row r="32">
      <c r="A32" s="614" t="str">
        <f>'Halo Infinite Stats'!A32</f>
        <v>Priest XYZ</v>
      </c>
      <c r="B32" s="615" t="str">
        <f>IFERROR(VLOOKUP($A32,'Halo Infinite Stats'!$A:AX,43,0),)</f>
        <v>R3</v>
      </c>
      <c r="C32" s="615">
        <f>IFERROR(VLOOKUP($A32,'PlayerGrades+'!$A:Y,23,0),)</f>
        <v>14.5125</v>
      </c>
      <c r="D32" s="615" t="str">
        <f>IFERROR(VLOOKUP($A32,'PlayerGrades+'!$A:Y,22,0),)</f>
        <v>C-</v>
      </c>
      <c r="H32" s="612"/>
      <c r="I32" s="614">
        <v>5.0</v>
      </c>
    </row>
    <row r="33">
      <c r="A33" s="614" t="str">
        <f>'Halo Infinite Stats'!A33</f>
        <v>Ram Osneb</v>
      </c>
      <c r="B33" s="615" t="str">
        <f>IFERROR(VLOOKUP($A33,'Halo Infinite Stats'!$A:AX,43,0),)</f>
        <v>R3</v>
      </c>
      <c r="C33" s="615">
        <f>IFERROR(VLOOKUP($A33,'PlayerGrades+'!$A:Y,23,0),)</f>
        <v>7.5625</v>
      </c>
      <c r="D33" s="615" t="str">
        <f>IFERROR(VLOOKUP($A33,'PlayerGrades+'!$A:Y,22,0),)</f>
        <v>F+</v>
      </c>
      <c r="H33" s="612"/>
      <c r="I33" s="614">
        <v>6.0</v>
      </c>
    </row>
    <row r="34">
      <c r="A34" s="614" t="str">
        <f>'Halo Infinite Stats'!A34</f>
        <v>Scullen cx</v>
      </c>
      <c r="B34" s="615" t="str">
        <f>IFERROR(VLOOKUP($A34,'Halo Infinite Stats'!$A:AX,43,0),)</f>
        <v>C</v>
      </c>
      <c r="C34" s="615">
        <f>IFERROR(VLOOKUP($A34,'PlayerGrades+'!$A:Y,23,0),)</f>
        <v>25.0875</v>
      </c>
      <c r="D34" s="615" t="str">
        <f>IFERROR(VLOOKUP($A34,'PlayerGrades+'!$A:Y,22,0),)</f>
        <v>A+</v>
      </c>
      <c r="H34" s="612"/>
      <c r="I34" s="614">
        <v>7.0</v>
      </c>
    </row>
    <row r="35">
      <c r="A35" s="614" t="str">
        <f>'Halo Infinite Stats'!A35</f>
        <v>SPANKTR0N</v>
      </c>
      <c r="B35" s="615" t="str">
        <f>IFERROR(VLOOKUP($A35,'Halo Infinite Stats'!$A:AX,43,0),)</f>
        <v>C</v>
      </c>
      <c r="C35" s="615">
        <f>IFERROR(VLOOKUP($A35,'PlayerGrades+'!$A:Y,23,0),)</f>
        <v>19.875</v>
      </c>
      <c r="D35" s="615" t="str">
        <f>IFERROR(VLOOKUP($A35,'PlayerGrades+'!$A:Y,22,0),)</f>
        <v>B+</v>
      </c>
      <c r="H35" s="612"/>
      <c r="I35" s="614">
        <v>8.0</v>
      </c>
    </row>
    <row r="36">
      <c r="A36" s="614" t="str">
        <f>'Halo Infinite Stats'!A36</f>
        <v>StarMonster8129</v>
      </c>
      <c r="B36" s="615" t="str">
        <f>IFERROR(VLOOKUP($A36,'Halo Infinite Stats'!$A:AX,43,0),)</f>
        <v>R3</v>
      </c>
      <c r="C36" s="615">
        <f>IFERROR(VLOOKUP($A36,'PlayerGrades+'!$A:Y,23,0),)</f>
        <v>8</v>
      </c>
      <c r="D36" s="615" t="str">
        <f>IFERROR(VLOOKUP($A36,'PlayerGrades+'!$A:Y,22,0),)</f>
        <v>F+</v>
      </c>
      <c r="H36" s="612"/>
      <c r="I36" s="614">
        <v>9.0</v>
      </c>
    </row>
    <row r="37">
      <c r="A37" s="614" t="str">
        <f>'Halo Infinite Stats'!A37</f>
        <v>xXTHEChickenGod</v>
      </c>
      <c r="B37" s="615" t="str">
        <f>IFERROR(VLOOKUP($A37,'Halo Infinite Stats'!$A:AX,43,0),)</f>
        <v>R3</v>
      </c>
      <c r="C37" s="615">
        <f>IFERROR(VLOOKUP($A37,'PlayerGrades+'!$A:Y,23,0),)</f>
        <v>7.275</v>
      </c>
      <c r="D37" s="615" t="str">
        <f>IFERROR(VLOOKUP($A37,'PlayerGrades+'!$A:Y,22,0),)</f>
        <v>F</v>
      </c>
      <c r="H37" s="612"/>
      <c r="I37" s="614">
        <v>10.0</v>
      </c>
    </row>
    <row r="38">
      <c r="A38" s="614" t="str">
        <f>'Halo Infinite Stats'!A38</f>
        <v>ThePro#1771</v>
      </c>
      <c r="B38" s="615" t="str">
        <f>IFERROR(VLOOKUP($A38,'Halo Infinite Stats'!$A:AX,43,0),)</f>
        <v>R3</v>
      </c>
      <c r="C38" s="615">
        <f>IFERROR(VLOOKUP($A38,'PlayerGrades+'!$A:Y,23,0),)</f>
        <v>7.2</v>
      </c>
      <c r="D38" s="615" t="str">
        <f>IFERROR(VLOOKUP($A38,'PlayerGrades+'!$A:Y,22,0),)</f>
        <v>F</v>
      </c>
      <c r="H38" s="612"/>
      <c r="I38" s="614">
        <v>11.0</v>
      </c>
    </row>
    <row r="39">
      <c r="A39" s="614" t="str">
        <f>'Halo Infinite Stats'!A39</f>
        <v>TJP37</v>
      </c>
      <c r="B39" s="615" t="str">
        <f>IFERROR(VLOOKUP($A39,'Halo Infinite Stats'!$A:AX,43,0),)</f>
        <v>R3</v>
      </c>
      <c r="C39" s="615">
        <f>IFERROR(VLOOKUP($A39,'PlayerGrades+'!$A:Y,23,0),)</f>
        <v>21.0125</v>
      </c>
      <c r="D39" s="615" t="str">
        <f>IFERROR(VLOOKUP($A39,'PlayerGrades+'!$A:Y,22,0),)</f>
        <v>A-</v>
      </c>
      <c r="H39" s="612"/>
      <c r="I39" s="614">
        <v>12.0</v>
      </c>
    </row>
    <row r="40">
      <c r="A40" s="614" t="str">
        <f>'Halo Infinite Stats'!A40</f>
        <v>TommyWstSide</v>
      </c>
      <c r="B40" s="615" t="str">
        <f>IFERROR(VLOOKUP($A40,'Halo Infinite Stats'!$A:AX,43,0),)</f>
        <v>R2</v>
      </c>
      <c r="C40" s="615">
        <f>IFERROR(VLOOKUP($A40,'PlayerGrades+'!$A:Y,23,0),)</f>
        <v>21.55</v>
      </c>
      <c r="D40" s="615" t="str">
        <f>IFERROR(VLOOKUP($A40,'PlayerGrades+'!$A:Y,22,0),)</f>
        <v>A</v>
      </c>
      <c r="H40" s="612"/>
      <c r="I40" s="614">
        <v>13.0</v>
      </c>
    </row>
    <row r="41">
      <c r="A41" s="614" t="str">
        <f>'Halo Infinite Stats'!A41</f>
        <v>Trespa5s</v>
      </c>
      <c r="B41" s="615" t="str">
        <f>IFERROR(VLOOKUP($A41,'Halo Infinite Stats'!$A:AX,43,0),)</f>
        <v>C</v>
      </c>
      <c r="C41" s="615">
        <f>IFERROR(VLOOKUP($A41,'PlayerGrades+'!$A:Y,23,0),)</f>
        <v>5.675</v>
      </c>
      <c r="D41" s="615" t="str">
        <f>IFERROR(VLOOKUP($A41,'PlayerGrades+'!$A:Y,22,0),)</f>
        <v>F-</v>
      </c>
      <c r="H41" s="612"/>
      <c r="I41" s="614">
        <v>14.0</v>
      </c>
    </row>
    <row r="42">
      <c r="A42" s="614" t="str">
        <f>'Halo Infinite Stats'!A42</f>
        <v>WeirdPG</v>
      </c>
      <c r="B42" s="615" t="str">
        <f>IFERROR(VLOOKUP($A42,'Halo Infinite Stats'!$A:AX,43,0),)</f>
        <v>R3</v>
      </c>
      <c r="C42" s="615">
        <f>IFERROR(VLOOKUP($A42,'PlayerGrades+'!$A:Y,23,0),)</f>
        <v>8.1625</v>
      </c>
      <c r="D42" s="615" t="str">
        <f>IFERROR(VLOOKUP($A42,'PlayerGrades+'!$A:Y,22,0),)</f>
        <v>E-</v>
      </c>
      <c r="H42" s="612"/>
      <c r="I42" s="614">
        <v>15.0</v>
      </c>
    </row>
    <row r="43">
      <c r="A43" s="614" t="str">
        <f>#REF!</f>
        <v>#REF!</v>
      </c>
      <c r="B43" s="612"/>
      <c r="H43" s="612"/>
      <c r="I43" s="614">
        <v>16.0</v>
      </c>
    </row>
    <row r="44">
      <c r="B44" s="612"/>
      <c r="H44" s="612"/>
      <c r="I44" s="614">
        <v>17.0</v>
      </c>
    </row>
    <row r="45">
      <c r="B45" s="612"/>
      <c r="H45" s="612"/>
      <c r="I45" s="614">
        <v>18.0</v>
      </c>
    </row>
    <row r="46">
      <c r="B46" s="612"/>
      <c r="H46" s="612"/>
      <c r="I46" s="614">
        <v>19.0</v>
      </c>
    </row>
    <row r="47">
      <c r="B47" s="612"/>
      <c r="H47" s="612"/>
      <c r="I47" s="614">
        <v>20.0</v>
      </c>
    </row>
    <row r="48">
      <c r="B48" s="612"/>
      <c r="H48" s="612"/>
      <c r="I48" s="614">
        <v>21.0</v>
      </c>
    </row>
    <row r="49">
      <c r="B49" s="612"/>
      <c r="H49" s="612"/>
    </row>
    <row r="50">
      <c r="B50" s="612"/>
      <c r="H50" s="612"/>
    </row>
    <row r="51">
      <c r="B51" s="612"/>
      <c r="H51" s="612"/>
    </row>
    <row r="52">
      <c r="B52" s="612"/>
      <c r="H52" s="612"/>
    </row>
    <row r="53">
      <c r="B53" s="612"/>
      <c r="H53" s="612"/>
    </row>
    <row r="54">
      <c r="B54" s="612"/>
      <c r="H54" s="612"/>
    </row>
    <row r="55">
      <c r="B55" s="612"/>
      <c r="H55" s="612"/>
    </row>
    <row r="56">
      <c r="B56" s="612"/>
      <c r="H56" s="612"/>
    </row>
    <row r="57">
      <c r="B57" s="612"/>
      <c r="H57" s="612"/>
    </row>
    <row r="58">
      <c r="B58" s="612"/>
      <c r="H58" s="612"/>
    </row>
    <row r="59">
      <c r="B59" s="612"/>
      <c r="H59" s="612"/>
    </row>
    <row r="60">
      <c r="B60" s="612"/>
      <c r="H60" s="612"/>
    </row>
    <row r="61">
      <c r="B61" s="612"/>
      <c r="H61" s="612"/>
    </row>
    <row r="62">
      <c r="B62" s="612"/>
      <c r="H62" s="612"/>
    </row>
    <row r="63">
      <c r="B63" s="612"/>
      <c r="H63" s="612"/>
    </row>
    <row r="64">
      <c r="B64" s="612"/>
      <c r="H64" s="612"/>
    </row>
    <row r="65">
      <c r="B65" s="612"/>
      <c r="H65" s="612"/>
    </row>
    <row r="66">
      <c r="B66" s="612"/>
      <c r="H66" s="612"/>
    </row>
    <row r="67">
      <c r="B67" s="612"/>
      <c r="H67" s="612"/>
    </row>
    <row r="68">
      <c r="B68" s="612"/>
      <c r="H68" s="612"/>
    </row>
    <row r="69">
      <c r="B69" s="612"/>
      <c r="H69" s="612"/>
    </row>
    <row r="70">
      <c r="B70" s="612"/>
      <c r="H70" s="612"/>
    </row>
    <row r="71">
      <c r="B71" s="612"/>
      <c r="H71" s="612"/>
    </row>
    <row r="72">
      <c r="B72" s="612"/>
      <c r="H72" s="612"/>
    </row>
    <row r="73">
      <c r="B73" s="612"/>
      <c r="H73" s="612"/>
    </row>
    <row r="74">
      <c r="B74" s="612"/>
      <c r="H74" s="612"/>
    </row>
    <row r="75">
      <c r="B75" s="612"/>
      <c r="H75" s="612"/>
    </row>
    <row r="76">
      <c r="B76" s="612"/>
      <c r="H76" s="612"/>
    </row>
    <row r="77">
      <c r="B77" s="612"/>
      <c r="H77" s="612"/>
    </row>
    <row r="78">
      <c r="B78" s="612"/>
      <c r="H78" s="612"/>
    </row>
    <row r="79">
      <c r="B79" s="612"/>
      <c r="H79" s="612"/>
    </row>
    <row r="80">
      <c r="B80" s="612"/>
      <c r="H80" s="612"/>
    </row>
    <row r="81">
      <c r="B81" s="612"/>
      <c r="H81" s="612"/>
    </row>
    <row r="82">
      <c r="B82" s="612"/>
      <c r="H82" s="612"/>
    </row>
    <row r="83">
      <c r="B83" s="612"/>
      <c r="H83" s="612"/>
    </row>
    <row r="84">
      <c r="B84" s="612"/>
      <c r="H84" s="612"/>
    </row>
    <row r="85">
      <c r="B85" s="612"/>
      <c r="H85" s="612"/>
    </row>
    <row r="86">
      <c r="B86" s="612"/>
      <c r="H86" s="612"/>
    </row>
    <row r="87">
      <c r="B87" s="612"/>
      <c r="H87" s="612"/>
    </row>
    <row r="88">
      <c r="B88" s="612"/>
      <c r="H88" s="612"/>
    </row>
    <row r="89">
      <c r="B89" s="612"/>
      <c r="H89" s="612"/>
    </row>
    <row r="90">
      <c r="B90" s="612"/>
      <c r="H90" s="612"/>
    </row>
    <row r="91">
      <c r="B91" s="612"/>
      <c r="H91" s="612"/>
    </row>
    <row r="92">
      <c r="B92" s="612"/>
      <c r="H92" s="612"/>
    </row>
    <row r="93">
      <c r="B93" s="612"/>
      <c r="H93" s="612"/>
    </row>
    <row r="94">
      <c r="B94" s="612"/>
      <c r="H94" s="612"/>
    </row>
    <row r="95">
      <c r="B95" s="612"/>
      <c r="H95" s="612"/>
    </row>
    <row r="96">
      <c r="B96" s="612"/>
      <c r="H96" s="612"/>
    </row>
    <row r="97">
      <c r="B97" s="612"/>
      <c r="H97" s="612"/>
    </row>
    <row r="98">
      <c r="B98" s="612"/>
      <c r="H98" s="612"/>
    </row>
    <row r="99">
      <c r="B99" s="612"/>
      <c r="H99" s="612"/>
    </row>
    <row r="100">
      <c r="B100" s="612"/>
      <c r="H100" s="612"/>
    </row>
    <row r="101">
      <c r="B101" s="612"/>
      <c r="H101" s="612"/>
    </row>
    <row r="102">
      <c r="B102" s="612"/>
      <c r="H102" s="612"/>
    </row>
    <row r="103">
      <c r="B103" s="612"/>
      <c r="H103" s="612"/>
    </row>
    <row r="104">
      <c r="B104" s="612"/>
      <c r="H104" s="612"/>
    </row>
    <row r="105">
      <c r="B105" s="612"/>
      <c r="H105" s="612"/>
    </row>
    <row r="106">
      <c r="B106" s="612"/>
      <c r="H106" s="612"/>
    </row>
    <row r="107">
      <c r="B107" s="612"/>
      <c r="H107" s="612"/>
    </row>
    <row r="108">
      <c r="B108" s="612"/>
      <c r="H108" s="612"/>
    </row>
    <row r="109">
      <c r="B109" s="612"/>
      <c r="H109" s="612"/>
    </row>
    <row r="110">
      <c r="B110" s="612"/>
      <c r="H110" s="612"/>
    </row>
    <row r="111">
      <c r="B111" s="612"/>
      <c r="H111" s="612"/>
    </row>
    <row r="112">
      <c r="B112" s="612"/>
      <c r="H112" s="612"/>
    </row>
    <row r="113">
      <c r="B113" s="612"/>
      <c r="H113" s="612"/>
    </row>
    <row r="114">
      <c r="B114" s="612"/>
      <c r="H114" s="612"/>
    </row>
    <row r="115">
      <c r="B115" s="612"/>
      <c r="H115" s="612"/>
    </row>
    <row r="116">
      <c r="B116" s="612"/>
      <c r="H116" s="612"/>
    </row>
    <row r="117">
      <c r="B117" s="612"/>
      <c r="H117" s="612"/>
    </row>
    <row r="118">
      <c r="B118" s="612"/>
      <c r="H118" s="612"/>
    </row>
    <row r="119">
      <c r="B119" s="612"/>
      <c r="H119" s="612"/>
    </row>
    <row r="120">
      <c r="B120" s="612"/>
      <c r="H120" s="612"/>
    </row>
    <row r="121">
      <c r="B121" s="612"/>
      <c r="H121" s="612"/>
    </row>
    <row r="122">
      <c r="B122" s="612"/>
      <c r="H122" s="612"/>
    </row>
    <row r="123">
      <c r="B123" s="612"/>
      <c r="H123" s="612"/>
    </row>
    <row r="124">
      <c r="B124" s="612"/>
      <c r="H124" s="612"/>
    </row>
    <row r="125">
      <c r="B125" s="612"/>
      <c r="H125" s="612"/>
    </row>
    <row r="126">
      <c r="B126" s="612"/>
      <c r="H126" s="612"/>
    </row>
    <row r="127">
      <c r="B127" s="612"/>
      <c r="H127" s="612"/>
    </row>
    <row r="128">
      <c r="B128" s="612"/>
      <c r="H128" s="612"/>
    </row>
    <row r="129">
      <c r="B129" s="612"/>
      <c r="H129" s="612"/>
    </row>
    <row r="130">
      <c r="B130" s="612"/>
      <c r="H130" s="612"/>
    </row>
    <row r="131">
      <c r="B131" s="612"/>
      <c r="H131" s="612"/>
    </row>
    <row r="132">
      <c r="B132" s="612"/>
      <c r="H132" s="612"/>
    </row>
    <row r="133">
      <c r="B133" s="612"/>
      <c r="H133" s="612"/>
    </row>
    <row r="134">
      <c r="B134" s="612"/>
      <c r="H134" s="612"/>
    </row>
    <row r="135">
      <c r="B135" s="612"/>
      <c r="H135" s="612"/>
    </row>
    <row r="136">
      <c r="B136" s="612"/>
      <c r="H136" s="612"/>
    </row>
    <row r="137">
      <c r="B137" s="612"/>
      <c r="H137" s="612"/>
    </row>
    <row r="138">
      <c r="B138" s="612"/>
      <c r="H138" s="612"/>
    </row>
    <row r="139">
      <c r="B139" s="612"/>
      <c r="H139" s="612"/>
    </row>
    <row r="140">
      <c r="B140" s="612"/>
      <c r="H140" s="612"/>
    </row>
    <row r="141">
      <c r="B141" s="612"/>
      <c r="H141" s="612"/>
    </row>
    <row r="142">
      <c r="B142" s="612"/>
      <c r="H142" s="612"/>
    </row>
    <row r="143">
      <c r="B143" s="612"/>
      <c r="H143" s="612"/>
    </row>
    <row r="144">
      <c r="B144" s="612"/>
      <c r="H144" s="612"/>
    </row>
    <row r="145">
      <c r="B145" s="612"/>
      <c r="H145" s="612"/>
    </row>
    <row r="146">
      <c r="B146" s="612"/>
      <c r="H146" s="612"/>
    </row>
    <row r="147">
      <c r="B147" s="612"/>
      <c r="H147" s="612"/>
    </row>
    <row r="148">
      <c r="B148" s="612"/>
      <c r="H148" s="612"/>
    </row>
    <row r="149">
      <c r="B149" s="612"/>
      <c r="H149" s="612"/>
    </row>
    <row r="150">
      <c r="B150" s="612"/>
      <c r="H150" s="612"/>
    </row>
    <row r="151">
      <c r="B151" s="612"/>
      <c r="H151" s="612"/>
    </row>
    <row r="152">
      <c r="B152" s="612"/>
      <c r="H152" s="612"/>
    </row>
    <row r="153">
      <c r="B153" s="612"/>
      <c r="H153" s="612"/>
    </row>
    <row r="154">
      <c r="B154" s="612"/>
      <c r="H154" s="612"/>
    </row>
    <row r="155">
      <c r="B155" s="612"/>
      <c r="H155" s="612"/>
    </row>
    <row r="156">
      <c r="B156" s="612"/>
      <c r="H156" s="612"/>
    </row>
    <row r="157">
      <c r="B157" s="612"/>
      <c r="H157" s="612"/>
    </row>
    <row r="158">
      <c r="B158" s="612"/>
      <c r="H158" s="612"/>
    </row>
    <row r="159">
      <c r="B159" s="612"/>
      <c r="H159" s="612"/>
    </row>
    <row r="160">
      <c r="B160" s="612"/>
      <c r="H160" s="612"/>
    </row>
    <row r="161">
      <c r="B161" s="612"/>
      <c r="H161" s="612"/>
    </row>
    <row r="162">
      <c r="B162" s="612"/>
      <c r="H162" s="612"/>
    </row>
    <row r="163">
      <c r="B163" s="612"/>
      <c r="H163" s="612"/>
    </row>
    <row r="164">
      <c r="B164" s="612"/>
      <c r="H164" s="612"/>
    </row>
    <row r="165">
      <c r="B165" s="612"/>
      <c r="H165" s="612"/>
    </row>
    <row r="166">
      <c r="B166" s="612"/>
      <c r="H166" s="612"/>
    </row>
    <row r="167">
      <c r="B167" s="612"/>
      <c r="H167" s="612"/>
    </row>
    <row r="168">
      <c r="B168" s="612"/>
      <c r="H168" s="612"/>
    </row>
    <row r="169">
      <c r="B169" s="612"/>
      <c r="H169" s="612"/>
    </row>
    <row r="170">
      <c r="B170" s="612"/>
      <c r="H170" s="612"/>
    </row>
    <row r="171">
      <c r="B171" s="612"/>
      <c r="H171" s="612"/>
    </row>
    <row r="172">
      <c r="B172" s="612"/>
      <c r="H172" s="612"/>
    </row>
    <row r="173">
      <c r="B173" s="612"/>
      <c r="H173" s="612"/>
    </row>
    <row r="174">
      <c r="B174" s="612"/>
      <c r="H174" s="612"/>
    </row>
    <row r="175">
      <c r="B175" s="612"/>
      <c r="H175" s="612"/>
    </row>
    <row r="176">
      <c r="B176" s="612"/>
      <c r="H176" s="612"/>
    </row>
    <row r="177">
      <c r="B177" s="612"/>
      <c r="H177" s="612"/>
    </row>
    <row r="178">
      <c r="B178" s="612"/>
      <c r="H178" s="612"/>
    </row>
    <row r="179">
      <c r="B179" s="612"/>
      <c r="H179" s="612"/>
    </row>
    <row r="180">
      <c r="B180" s="612"/>
      <c r="H180" s="612"/>
    </row>
    <row r="181">
      <c r="B181" s="612"/>
      <c r="H181" s="612"/>
    </row>
    <row r="182">
      <c r="B182" s="612"/>
      <c r="H182" s="612"/>
    </row>
    <row r="183">
      <c r="B183" s="612"/>
      <c r="H183" s="612"/>
    </row>
    <row r="184">
      <c r="B184" s="612"/>
      <c r="H184" s="612"/>
    </row>
    <row r="185">
      <c r="B185" s="612"/>
      <c r="H185" s="612"/>
    </row>
    <row r="186">
      <c r="B186" s="612"/>
      <c r="H186" s="612"/>
    </row>
    <row r="187">
      <c r="B187" s="612"/>
      <c r="H187" s="612"/>
    </row>
    <row r="188">
      <c r="B188" s="612"/>
      <c r="H188" s="612"/>
    </row>
    <row r="189">
      <c r="B189" s="612"/>
      <c r="H189" s="612"/>
    </row>
    <row r="190">
      <c r="B190" s="612"/>
      <c r="H190" s="612"/>
    </row>
    <row r="191">
      <c r="B191" s="612"/>
      <c r="H191" s="612"/>
    </row>
    <row r="192">
      <c r="B192" s="612"/>
      <c r="H192" s="612"/>
    </row>
    <row r="193">
      <c r="B193" s="612"/>
      <c r="H193" s="612"/>
    </row>
    <row r="194">
      <c r="B194" s="612"/>
      <c r="H194" s="612"/>
    </row>
    <row r="195">
      <c r="B195" s="612"/>
      <c r="H195" s="612"/>
    </row>
    <row r="196">
      <c r="B196" s="612"/>
      <c r="H196" s="612"/>
    </row>
    <row r="197">
      <c r="B197" s="612"/>
      <c r="H197" s="612"/>
    </row>
    <row r="198">
      <c r="B198" s="612"/>
      <c r="H198" s="612"/>
    </row>
    <row r="199">
      <c r="B199" s="612"/>
      <c r="H199" s="612"/>
    </row>
    <row r="200">
      <c r="B200" s="612"/>
      <c r="H200" s="612"/>
    </row>
    <row r="201">
      <c r="B201" s="612"/>
      <c r="H201" s="612"/>
    </row>
    <row r="202">
      <c r="B202" s="612"/>
      <c r="H202" s="612"/>
    </row>
    <row r="203">
      <c r="B203" s="612"/>
      <c r="H203" s="612"/>
    </row>
    <row r="204">
      <c r="B204" s="612"/>
      <c r="H204" s="612"/>
    </row>
    <row r="205">
      <c r="B205" s="612"/>
      <c r="H205" s="612"/>
    </row>
    <row r="206">
      <c r="B206" s="612"/>
      <c r="H206" s="612"/>
    </row>
    <row r="207">
      <c r="B207" s="612"/>
      <c r="H207" s="612"/>
    </row>
    <row r="208">
      <c r="B208" s="612"/>
      <c r="H208" s="612"/>
    </row>
    <row r="209">
      <c r="B209" s="612"/>
      <c r="H209" s="612"/>
    </row>
    <row r="210">
      <c r="B210" s="612"/>
      <c r="H210" s="612"/>
    </row>
    <row r="211">
      <c r="B211" s="612"/>
      <c r="H211" s="612"/>
    </row>
    <row r="212">
      <c r="B212" s="612"/>
      <c r="H212" s="612"/>
    </row>
    <row r="213">
      <c r="B213" s="612"/>
      <c r="H213" s="612"/>
    </row>
    <row r="214">
      <c r="B214" s="612"/>
      <c r="H214" s="612"/>
    </row>
    <row r="215">
      <c r="B215" s="612"/>
      <c r="H215" s="612"/>
    </row>
    <row r="216">
      <c r="B216" s="612"/>
      <c r="H216" s="612"/>
    </row>
    <row r="217">
      <c r="B217" s="612"/>
      <c r="H217" s="612"/>
    </row>
    <row r="218">
      <c r="B218" s="612"/>
      <c r="H218" s="612"/>
    </row>
    <row r="219">
      <c r="B219" s="612"/>
      <c r="H219" s="612"/>
    </row>
    <row r="220">
      <c r="B220" s="612"/>
      <c r="H220" s="612"/>
    </row>
    <row r="221">
      <c r="B221" s="612"/>
      <c r="H221" s="612"/>
    </row>
    <row r="222">
      <c r="B222" s="612"/>
      <c r="H222" s="612"/>
    </row>
    <row r="223">
      <c r="B223" s="612"/>
      <c r="H223" s="612"/>
    </row>
    <row r="224">
      <c r="B224" s="612"/>
      <c r="H224" s="612"/>
    </row>
    <row r="225">
      <c r="B225" s="612"/>
      <c r="H225" s="612"/>
    </row>
    <row r="226">
      <c r="B226" s="612"/>
      <c r="H226" s="612"/>
    </row>
    <row r="227">
      <c r="B227" s="612"/>
      <c r="H227" s="612"/>
    </row>
    <row r="228">
      <c r="B228" s="612"/>
      <c r="H228" s="612"/>
    </row>
    <row r="229">
      <c r="B229" s="612"/>
      <c r="H229" s="612"/>
    </row>
    <row r="230">
      <c r="B230" s="612"/>
      <c r="H230" s="612"/>
    </row>
    <row r="231">
      <c r="B231" s="612"/>
      <c r="H231" s="612"/>
    </row>
    <row r="232">
      <c r="B232" s="612"/>
      <c r="H232" s="612"/>
    </row>
    <row r="233">
      <c r="B233" s="612"/>
      <c r="H233" s="612"/>
    </row>
    <row r="234">
      <c r="B234" s="612"/>
      <c r="H234" s="612"/>
    </row>
    <row r="235">
      <c r="B235" s="612"/>
      <c r="H235" s="612"/>
    </row>
    <row r="236">
      <c r="B236" s="612"/>
      <c r="H236" s="612"/>
    </row>
    <row r="237">
      <c r="B237" s="612"/>
      <c r="H237" s="612"/>
    </row>
    <row r="238">
      <c r="B238" s="612"/>
      <c r="H238" s="612"/>
    </row>
    <row r="239">
      <c r="B239" s="612"/>
      <c r="H239" s="612"/>
    </row>
    <row r="240">
      <c r="B240" s="612"/>
      <c r="H240" s="612"/>
    </row>
    <row r="241">
      <c r="B241" s="612"/>
      <c r="H241" s="612"/>
    </row>
    <row r="242">
      <c r="B242" s="612"/>
      <c r="H242" s="612"/>
    </row>
    <row r="243">
      <c r="B243" s="612"/>
      <c r="H243" s="612"/>
    </row>
    <row r="244">
      <c r="B244" s="612"/>
      <c r="H244" s="612"/>
    </row>
    <row r="245">
      <c r="B245" s="612"/>
      <c r="H245" s="612"/>
    </row>
    <row r="246">
      <c r="B246" s="612"/>
      <c r="H246" s="612"/>
    </row>
    <row r="247">
      <c r="B247" s="612"/>
      <c r="H247" s="612"/>
    </row>
    <row r="248">
      <c r="B248" s="612"/>
      <c r="H248" s="612"/>
    </row>
    <row r="249">
      <c r="B249" s="612"/>
      <c r="H249" s="612"/>
    </row>
    <row r="250">
      <c r="B250" s="612"/>
      <c r="H250" s="612"/>
    </row>
    <row r="251">
      <c r="B251" s="612"/>
      <c r="H251" s="612"/>
    </row>
    <row r="252">
      <c r="B252" s="612"/>
      <c r="H252" s="612"/>
    </row>
    <row r="253">
      <c r="B253" s="612"/>
      <c r="H253" s="612"/>
    </row>
    <row r="254">
      <c r="B254" s="612"/>
      <c r="H254" s="612"/>
    </row>
    <row r="255">
      <c r="B255" s="612"/>
      <c r="H255" s="612"/>
    </row>
    <row r="256">
      <c r="B256" s="612"/>
      <c r="H256" s="612"/>
    </row>
    <row r="257">
      <c r="B257" s="612"/>
      <c r="H257" s="612"/>
    </row>
    <row r="258">
      <c r="B258" s="612"/>
      <c r="H258" s="612"/>
    </row>
    <row r="259">
      <c r="B259" s="612"/>
      <c r="H259" s="612"/>
    </row>
    <row r="260">
      <c r="B260" s="612"/>
      <c r="H260" s="612"/>
    </row>
    <row r="261">
      <c r="B261" s="612"/>
      <c r="H261" s="612"/>
    </row>
    <row r="262">
      <c r="B262" s="612"/>
      <c r="H262" s="612"/>
    </row>
    <row r="263">
      <c r="B263" s="612"/>
      <c r="H263" s="612"/>
    </row>
    <row r="264">
      <c r="B264" s="612"/>
      <c r="H264" s="612"/>
    </row>
    <row r="265">
      <c r="B265" s="612"/>
      <c r="H265" s="612"/>
    </row>
    <row r="266">
      <c r="B266" s="612"/>
      <c r="H266" s="612"/>
    </row>
    <row r="267">
      <c r="B267" s="612"/>
      <c r="H267" s="612"/>
    </row>
    <row r="268">
      <c r="B268" s="612"/>
      <c r="H268" s="612"/>
    </row>
    <row r="269">
      <c r="B269" s="612"/>
      <c r="H269" s="612"/>
    </row>
    <row r="270">
      <c r="B270" s="612"/>
      <c r="H270" s="612"/>
    </row>
    <row r="271">
      <c r="B271" s="612"/>
      <c r="H271" s="612"/>
    </row>
    <row r="272">
      <c r="B272" s="612"/>
      <c r="H272" s="612"/>
    </row>
    <row r="273">
      <c r="B273" s="612"/>
      <c r="H273" s="612"/>
    </row>
    <row r="274">
      <c r="B274" s="612"/>
      <c r="H274" s="612"/>
    </row>
    <row r="275">
      <c r="B275" s="612"/>
      <c r="H275" s="612"/>
    </row>
    <row r="276">
      <c r="B276" s="612"/>
      <c r="H276" s="612"/>
    </row>
    <row r="277">
      <c r="B277" s="612"/>
      <c r="H277" s="612"/>
    </row>
    <row r="278">
      <c r="B278" s="612"/>
      <c r="H278" s="612"/>
    </row>
    <row r="279">
      <c r="B279" s="612"/>
      <c r="H279" s="612"/>
    </row>
    <row r="280">
      <c r="B280" s="612"/>
      <c r="H280" s="612"/>
    </row>
    <row r="281">
      <c r="B281" s="612"/>
      <c r="H281" s="612"/>
    </row>
    <row r="282">
      <c r="B282" s="612"/>
      <c r="H282" s="612"/>
    </row>
    <row r="283">
      <c r="B283" s="612"/>
      <c r="H283" s="612"/>
    </row>
    <row r="284">
      <c r="B284" s="612"/>
      <c r="H284" s="612"/>
    </row>
    <row r="285">
      <c r="B285" s="612"/>
      <c r="H285" s="612"/>
    </row>
    <row r="286">
      <c r="B286" s="612"/>
      <c r="H286" s="612"/>
    </row>
    <row r="287">
      <c r="B287" s="612"/>
      <c r="H287" s="612"/>
    </row>
    <row r="288">
      <c r="B288" s="612"/>
      <c r="H288" s="612"/>
    </row>
    <row r="289">
      <c r="B289" s="612"/>
      <c r="H289" s="612"/>
    </row>
    <row r="290">
      <c r="B290" s="612"/>
      <c r="H290" s="612"/>
    </row>
    <row r="291">
      <c r="B291" s="612"/>
      <c r="H291" s="612"/>
    </row>
    <row r="292">
      <c r="B292" s="612"/>
      <c r="H292" s="612"/>
    </row>
    <row r="293">
      <c r="B293" s="612"/>
      <c r="H293" s="612"/>
    </row>
    <row r="294">
      <c r="B294" s="612"/>
      <c r="H294" s="612"/>
    </row>
    <row r="295">
      <c r="B295" s="612"/>
      <c r="H295" s="612"/>
    </row>
    <row r="296">
      <c r="B296" s="612"/>
      <c r="H296" s="612"/>
    </row>
    <row r="297">
      <c r="B297" s="612"/>
      <c r="H297" s="612"/>
    </row>
    <row r="298">
      <c r="B298" s="612"/>
      <c r="H298" s="612"/>
    </row>
    <row r="299">
      <c r="B299" s="612"/>
      <c r="H299" s="612"/>
    </row>
    <row r="300">
      <c r="B300" s="612"/>
      <c r="H300" s="612"/>
    </row>
    <row r="301">
      <c r="B301" s="612"/>
      <c r="H301" s="612"/>
    </row>
    <row r="302">
      <c r="B302" s="612"/>
      <c r="H302" s="612"/>
    </row>
    <row r="303">
      <c r="B303" s="612"/>
      <c r="H303" s="612"/>
    </row>
    <row r="304">
      <c r="B304" s="612"/>
      <c r="H304" s="612"/>
    </row>
    <row r="305">
      <c r="B305" s="612"/>
      <c r="H305" s="612"/>
    </row>
    <row r="306">
      <c r="B306" s="612"/>
      <c r="H306" s="612"/>
    </row>
    <row r="307">
      <c r="B307" s="612"/>
      <c r="H307" s="612"/>
    </row>
    <row r="308">
      <c r="B308" s="612"/>
      <c r="H308" s="612"/>
    </row>
    <row r="309">
      <c r="B309" s="612"/>
      <c r="H309" s="612"/>
    </row>
    <row r="310">
      <c r="B310" s="612"/>
      <c r="H310" s="612"/>
    </row>
    <row r="311">
      <c r="B311" s="612"/>
      <c r="H311" s="612"/>
    </row>
    <row r="312">
      <c r="B312" s="612"/>
      <c r="H312" s="612"/>
    </row>
    <row r="313">
      <c r="B313" s="612"/>
      <c r="H313" s="612"/>
    </row>
    <row r="314">
      <c r="B314" s="612"/>
      <c r="H314" s="612"/>
    </row>
    <row r="315">
      <c r="B315" s="612"/>
      <c r="H315" s="612"/>
    </row>
    <row r="316">
      <c r="B316" s="612"/>
      <c r="H316" s="612"/>
    </row>
    <row r="317">
      <c r="B317" s="612"/>
      <c r="H317" s="612"/>
    </row>
    <row r="318">
      <c r="B318" s="612"/>
      <c r="H318" s="612"/>
    </row>
    <row r="319">
      <c r="B319" s="612"/>
      <c r="H319" s="612"/>
    </row>
    <row r="320">
      <c r="B320" s="612"/>
      <c r="H320" s="612"/>
    </row>
    <row r="321">
      <c r="B321" s="612"/>
      <c r="H321" s="612"/>
    </row>
    <row r="322">
      <c r="B322" s="612"/>
      <c r="H322" s="612"/>
    </row>
    <row r="323">
      <c r="B323" s="612"/>
      <c r="H323" s="612"/>
    </row>
    <row r="324">
      <c r="B324" s="612"/>
      <c r="H324" s="612"/>
    </row>
    <row r="325">
      <c r="B325" s="612"/>
      <c r="H325" s="612"/>
    </row>
    <row r="326">
      <c r="B326" s="612"/>
      <c r="H326" s="612"/>
    </row>
    <row r="327">
      <c r="B327" s="612"/>
      <c r="H327" s="612"/>
    </row>
    <row r="328">
      <c r="B328" s="612"/>
      <c r="H328" s="612"/>
    </row>
    <row r="329">
      <c r="B329" s="612"/>
      <c r="H329" s="612"/>
    </row>
    <row r="330">
      <c r="B330" s="612"/>
      <c r="H330" s="612"/>
    </row>
    <row r="331">
      <c r="B331" s="612"/>
      <c r="H331" s="612"/>
    </row>
    <row r="332">
      <c r="B332" s="612"/>
      <c r="H332" s="612"/>
    </row>
    <row r="333">
      <c r="B333" s="612"/>
      <c r="H333" s="612"/>
    </row>
    <row r="334">
      <c r="B334" s="612"/>
      <c r="H334" s="612"/>
    </row>
    <row r="335">
      <c r="B335" s="612"/>
      <c r="H335" s="612"/>
    </row>
    <row r="336">
      <c r="B336" s="612"/>
      <c r="H336" s="612"/>
    </row>
    <row r="337">
      <c r="B337" s="612"/>
      <c r="H337" s="612"/>
    </row>
    <row r="338">
      <c r="B338" s="612"/>
      <c r="H338" s="612"/>
    </row>
    <row r="339">
      <c r="B339" s="612"/>
      <c r="H339" s="612"/>
    </row>
    <row r="340">
      <c r="B340" s="612"/>
      <c r="H340" s="612"/>
    </row>
    <row r="341">
      <c r="B341" s="612"/>
      <c r="H341" s="612"/>
    </row>
    <row r="342">
      <c r="B342" s="612"/>
      <c r="H342" s="612"/>
    </row>
    <row r="343">
      <c r="B343" s="612"/>
      <c r="H343" s="612"/>
    </row>
    <row r="344">
      <c r="B344" s="612"/>
      <c r="H344" s="612"/>
    </row>
    <row r="345">
      <c r="B345" s="612"/>
      <c r="H345" s="612"/>
    </row>
    <row r="346">
      <c r="B346" s="612"/>
      <c r="H346" s="612"/>
    </row>
    <row r="347">
      <c r="B347" s="612"/>
      <c r="H347" s="612"/>
    </row>
    <row r="348">
      <c r="B348" s="612"/>
      <c r="H348" s="612"/>
    </row>
    <row r="349">
      <c r="B349" s="612"/>
      <c r="H349" s="612"/>
    </row>
    <row r="350">
      <c r="B350" s="612"/>
      <c r="H350" s="612"/>
    </row>
    <row r="351">
      <c r="B351" s="612"/>
      <c r="H351" s="612"/>
    </row>
    <row r="352">
      <c r="B352" s="612"/>
      <c r="H352" s="612"/>
    </row>
    <row r="353">
      <c r="B353" s="612"/>
      <c r="H353" s="612"/>
    </row>
    <row r="354">
      <c r="B354" s="612"/>
      <c r="H354" s="612"/>
    </row>
    <row r="355">
      <c r="B355" s="612"/>
      <c r="H355" s="612"/>
    </row>
    <row r="356">
      <c r="B356" s="612"/>
      <c r="H356" s="612"/>
    </row>
    <row r="357">
      <c r="B357" s="612"/>
      <c r="H357" s="612"/>
    </row>
    <row r="358">
      <c r="B358" s="612"/>
      <c r="H358" s="612"/>
    </row>
    <row r="359">
      <c r="B359" s="612"/>
      <c r="H359" s="612"/>
    </row>
    <row r="360">
      <c r="B360" s="612"/>
      <c r="H360" s="612"/>
    </row>
    <row r="361">
      <c r="B361" s="612"/>
      <c r="H361" s="612"/>
    </row>
    <row r="362">
      <c r="B362" s="612"/>
      <c r="H362" s="612"/>
    </row>
    <row r="363">
      <c r="B363" s="612"/>
      <c r="H363" s="612"/>
    </row>
    <row r="364">
      <c r="B364" s="612"/>
      <c r="H364" s="612"/>
    </row>
    <row r="365">
      <c r="B365" s="612"/>
      <c r="H365" s="612"/>
    </row>
    <row r="366">
      <c r="B366" s="612"/>
      <c r="H366" s="612"/>
    </row>
    <row r="367">
      <c r="B367" s="612"/>
      <c r="H367" s="612"/>
    </row>
    <row r="368">
      <c r="B368" s="612"/>
      <c r="H368" s="612"/>
    </row>
    <row r="369">
      <c r="B369" s="612"/>
      <c r="H369" s="612"/>
    </row>
    <row r="370">
      <c r="B370" s="612"/>
      <c r="H370" s="612"/>
    </row>
    <row r="371">
      <c r="B371" s="612"/>
      <c r="H371" s="612"/>
    </row>
    <row r="372">
      <c r="B372" s="612"/>
      <c r="H372" s="612"/>
    </row>
    <row r="373">
      <c r="B373" s="612"/>
      <c r="H373" s="612"/>
    </row>
    <row r="374">
      <c r="B374" s="612"/>
      <c r="H374" s="612"/>
    </row>
    <row r="375">
      <c r="B375" s="612"/>
      <c r="H375" s="612"/>
    </row>
    <row r="376">
      <c r="B376" s="612"/>
      <c r="H376" s="612"/>
    </row>
    <row r="377">
      <c r="B377" s="612"/>
      <c r="H377" s="612"/>
    </row>
    <row r="378">
      <c r="B378" s="612"/>
      <c r="H378" s="612"/>
    </row>
    <row r="379">
      <c r="B379" s="612"/>
      <c r="H379" s="612"/>
    </row>
    <row r="380">
      <c r="B380" s="612"/>
      <c r="H380" s="612"/>
    </row>
    <row r="381">
      <c r="B381" s="612"/>
      <c r="H381" s="612"/>
    </row>
    <row r="382">
      <c r="B382" s="612"/>
      <c r="H382" s="612"/>
    </row>
    <row r="383">
      <c r="B383" s="612"/>
      <c r="H383" s="612"/>
    </row>
    <row r="384">
      <c r="B384" s="612"/>
      <c r="H384" s="612"/>
    </row>
    <row r="385">
      <c r="B385" s="612"/>
      <c r="H385" s="612"/>
    </row>
    <row r="386">
      <c r="B386" s="612"/>
      <c r="H386" s="612"/>
    </row>
    <row r="387">
      <c r="B387" s="612"/>
      <c r="H387" s="612"/>
    </row>
    <row r="388">
      <c r="B388" s="612"/>
      <c r="H388" s="612"/>
    </row>
    <row r="389">
      <c r="B389" s="612"/>
      <c r="H389" s="612"/>
    </row>
    <row r="390">
      <c r="B390" s="612"/>
      <c r="H390" s="612"/>
    </row>
    <row r="391">
      <c r="B391" s="612"/>
      <c r="H391" s="612"/>
    </row>
    <row r="392">
      <c r="B392" s="612"/>
      <c r="H392" s="612"/>
    </row>
    <row r="393">
      <c r="B393" s="612"/>
      <c r="H393" s="612"/>
    </row>
    <row r="394">
      <c r="B394" s="612"/>
      <c r="H394" s="612"/>
    </row>
    <row r="395">
      <c r="B395" s="612"/>
      <c r="H395" s="612"/>
    </row>
    <row r="396">
      <c r="B396" s="612"/>
      <c r="H396" s="612"/>
    </row>
    <row r="397">
      <c r="B397" s="612"/>
      <c r="H397" s="612"/>
    </row>
    <row r="398">
      <c r="B398" s="612"/>
      <c r="H398" s="612"/>
    </row>
    <row r="399">
      <c r="B399" s="612"/>
      <c r="H399" s="612"/>
    </row>
    <row r="400">
      <c r="B400" s="612"/>
      <c r="H400" s="612"/>
    </row>
    <row r="401">
      <c r="B401" s="612"/>
      <c r="H401" s="612"/>
    </row>
    <row r="402">
      <c r="B402" s="612"/>
      <c r="H402" s="612"/>
    </row>
    <row r="403">
      <c r="B403" s="612"/>
      <c r="H403" s="612"/>
    </row>
    <row r="404">
      <c r="B404" s="612"/>
      <c r="H404" s="612"/>
    </row>
    <row r="405">
      <c r="B405" s="612"/>
      <c r="H405" s="612"/>
    </row>
    <row r="406">
      <c r="B406" s="612"/>
      <c r="H406" s="612"/>
    </row>
    <row r="407">
      <c r="B407" s="612"/>
      <c r="H407" s="612"/>
    </row>
    <row r="408">
      <c r="B408" s="612"/>
      <c r="H408" s="612"/>
    </row>
    <row r="409">
      <c r="B409" s="612"/>
      <c r="H409" s="612"/>
    </row>
    <row r="410">
      <c r="B410" s="612"/>
      <c r="H410" s="612"/>
    </row>
    <row r="411">
      <c r="B411" s="612"/>
      <c r="H411" s="612"/>
    </row>
    <row r="412">
      <c r="B412" s="612"/>
      <c r="H412" s="612"/>
    </row>
    <row r="413">
      <c r="B413" s="612"/>
      <c r="H413" s="612"/>
    </row>
    <row r="414">
      <c r="B414" s="612"/>
      <c r="H414" s="612"/>
    </row>
    <row r="415">
      <c r="B415" s="612"/>
      <c r="H415" s="612"/>
    </row>
    <row r="416">
      <c r="B416" s="612"/>
      <c r="H416" s="612"/>
    </row>
    <row r="417">
      <c r="B417" s="612"/>
      <c r="H417" s="612"/>
    </row>
    <row r="418">
      <c r="B418" s="612"/>
      <c r="H418" s="612"/>
    </row>
    <row r="419">
      <c r="B419" s="612"/>
      <c r="H419" s="612"/>
    </row>
    <row r="420">
      <c r="B420" s="612"/>
      <c r="H420" s="612"/>
    </row>
    <row r="421">
      <c r="B421" s="612"/>
      <c r="H421" s="612"/>
    </row>
    <row r="422">
      <c r="B422" s="612"/>
      <c r="H422" s="612"/>
    </row>
    <row r="423">
      <c r="B423" s="612"/>
      <c r="H423" s="612"/>
    </row>
    <row r="424">
      <c r="B424" s="612"/>
      <c r="H424" s="612"/>
    </row>
    <row r="425">
      <c r="B425" s="612"/>
      <c r="H425" s="612"/>
    </row>
    <row r="426">
      <c r="B426" s="612"/>
      <c r="H426" s="612"/>
    </row>
    <row r="427">
      <c r="B427" s="612"/>
      <c r="H427" s="612"/>
    </row>
    <row r="428">
      <c r="B428" s="612"/>
      <c r="H428" s="612"/>
    </row>
    <row r="429">
      <c r="B429" s="612"/>
      <c r="H429" s="612"/>
    </row>
    <row r="430">
      <c r="B430" s="612"/>
      <c r="H430" s="612"/>
    </row>
    <row r="431">
      <c r="B431" s="612"/>
      <c r="H431" s="612"/>
    </row>
    <row r="432">
      <c r="B432" s="612"/>
      <c r="H432" s="612"/>
    </row>
    <row r="433">
      <c r="B433" s="612"/>
      <c r="H433" s="612"/>
    </row>
    <row r="434">
      <c r="B434" s="612"/>
      <c r="H434" s="612"/>
    </row>
    <row r="435">
      <c r="B435" s="612"/>
      <c r="H435" s="612"/>
    </row>
    <row r="436">
      <c r="B436" s="612"/>
      <c r="H436" s="612"/>
    </row>
    <row r="437">
      <c r="B437" s="612"/>
      <c r="H437" s="612"/>
    </row>
    <row r="438">
      <c r="B438" s="612"/>
      <c r="H438" s="612"/>
    </row>
    <row r="439">
      <c r="B439" s="612"/>
      <c r="H439" s="612"/>
    </row>
    <row r="440">
      <c r="B440" s="612"/>
      <c r="H440" s="612"/>
    </row>
    <row r="441">
      <c r="B441" s="612"/>
      <c r="H441" s="612"/>
    </row>
    <row r="442">
      <c r="B442" s="612"/>
      <c r="H442" s="612"/>
    </row>
    <row r="443">
      <c r="B443" s="612"/>
      <c r="H443" s="612"/>
    </row>
    <row r="444">
      <c r="B444" s="612"/>
      <c r="H444" s="612"/>
    </row>
    <row r="445">
      <c r="B445" s="612"/>
      <c r="H445" s="612"/>
    </row>
    <row r="446">
      <c r="B446" s="612"/>
      <c r="H446" s="612"/>
    </row>
    <row r="447">
      <c r="B447" s="612"/>
      <c r="H447" s="612"/>
    </row>
    <row r="448">
      <c r="B448" s="612"/>
      <c r="H448" s="612"/>
    </row>
    <row r="449">
      <c r="B449" s="612"/>
      <c r="H449" s="612"/>
    </row>
    <row r="450">
      <c r="B450" s="612"/>
      <c r="H450" s="612"/>
    </row>
    <row r="451">
      <c r="B451" s="612"/>
      <c r="H451" s="612"/>
    </row>
    <row r="452">
      <c r="B452" s="612"/>
      <c r="H452" s="612"/>
    </row>
    <row r="453">
      <c r="B453" s="612"/>
      <c r="H453" s="612"/>
    </row>
    <row r="454">
      <c r="B454" s="612"/>
      <c r="H454" s="612"/>
    </row>
    <row r="455">
      <c r="B455" s="612"/>
      <c r="H455" s="612"/>
    </row>
    <row r="456">
      <c r="B456" s="612"/>
      <c r="H456" s="612"/>
    </row>
    <row r="457">
      <c r="B457" s="612"/>
      <c r="H457" s="612"/>
    </row>
    <row r="458">
      <c r="B458" s="612"/>
      <c r="H458" s="612"/>
    </row>
    <row r="459">
      <c r="B459" s="612"/>
      <c r="H459" s="612"/>
    </row>
    <row r="460">
      <c r="B460" s="612"/>
      <c r="H460" s="612"/>
    </row>
    <row r="461">
      <c r="B461" s="612"/>
      <c r="H461" s="612"/>
    </row>
    <row r="462">
      <c r="B462" s="612"/>
      <c r="H462" s="612"/>
    </row>
    <row r="463">
      <c r="B463" s="612"/>
      <c r="H463" s="612"/>
    </row>
    <row r="464">
      <c r="B464" s="612"/>
      <c r="H464" s="612"/>
    </row>
    <row r="465">
      <c r="B465" s="612"/>
      <c r="H465" s="612"/>
    </row>
    <row r="466">
      <c r="B466" s="612"/>
      <c r="H466" s="612"/>
    </row>
    <row r="467">
      <c r="B467" s="612"/>
      <c r="H467" s="612"/>
    </row>
    <row r="468">
      <c r="B468" s="612"/>
      <c r="H468" s="612"/>
    </row>
    <row r="469">
      <c r="B469" s="612"/>
      <c r="H469" s="612"/>
    </row>
    <row r="470">
      <c r="B470" s="612"/>
      <c r="H470" s="612"/>
    </row>
    <row r="471">
      <c r="B471" s="612"/>
      <c r="H471" s="612"/>
    </row>
    <row r="472">
      <c r="B472" s="612"/>
      <c r="H472" s="612"/>
    </row>
    <row r="473">
      <c r="B473" s="612"/>
      <c r="H473" s="612"/>
    </row>
    <row r="474">
      <c r="B474" s="612"/>
      <c r="H474" s="612"/>
    </row>
    <row r="475">
      <c r="B475" s="612"/>
      <c r="H475" s="612"/>
    </row>
    <row r="476">
      <c r="B476" s="612"/>
      <c r="H476" s="612"/>
    </row>
    <row r="477">
      <c r="B477" s="612"/>
      <c r="H477" s="612"/>
    </row>
    <row r="478">
      <c r="B478" s="612"/>
      <c r="H478" s="612"/>
    </row>
    <row r="479">
      <c r="B479" s="612"/>
      <c r="H479" s="612"/>
    </row>
    <row r="480">
      <c r="B480" s="612"/>
      <c r="H480" s="612"/>
    </row>
    <row r="481">
      <c r="B481" s="612"/>
      <c r="H481" s="612"/>
    </row>
    <row r="482">
      <c r="B482" s="612"/>
      <c r="H482" s="612"/>
    </row>
    <row r="483">
      <c r="B483" s="612"/>
      <c r="H483" s="612"/>
    </row>
    <row r="484">
      <c r="B484" s="612"/>
      <c r="H484" s="612"/>
    </row>
    <row r="485">
      <c r="B485" s="612"/>
      <c r="H485" s="612"/>
    </row>
    <row r="486">
      <c r="B486" s="612"/>
      <c r="H486" s="612"/>
    </row>
    <row r="487">
      <c r="B487" s="612"/>
      <c r="H487" s="612"/>
    </row>
    <row r="488">
      <c r="B488" s="612"/>
      <c r="H488" s="612"/>
    </row>
    <row r="489">
      <c r="B489" s="612"/>
      <c r="H489" s="612"/>
    </row>
    <row r="490">
      <c r="B490" s="612"/>
      <c r="H490" s="612"/>
    </row>
    <row r="491">
      <c r="B491" s="612"/>
      <c r="H491" s="612"/>
    </row>
    <row r="492">
      <c r="B492" s="612"/>
      <c r="H492" s="612"/>
    </row>
    <row r="493">
      <c r="B493" s="612"/>
      <c r="H493" s="612"/>
    </row>
    <row r="494">
      <c r="B494" s="612"/>
      <c r="H494" s="612"/>
    </row>
    <row r="495">
      <c r="B495" s="612"/>
      <c r="H495" s="612"/>
    </row>
    <row r="496">
      <c r="B496" s="612"/>
      <c r="H496" s="612"/>
    </row>
    <row r="497">
      <c r="B497" s="612"/>
      <c r="H497" s="612"/>
    </row>
    <row r="498">
      <c r="B498" s="612"/>
      <c r="H498" s="612"/>
    </row>
    <row r="499">
      <c r="B499" s="612"/>
      <c r="H499" s="612"/>
    </row>
    <row r="500">
      <c r="B500" s="612"/>
      <c r="H500" s="612"/>
    </row>
    <row r="501">
      <c r="B501" s="612"/>
      <c r="H501" s="612"/>
    </row>
    <row r="502">
      <c r="B502" s="612"/>
      <c r="H502" s="612"/>
    </row>
    <row r="503">
      <c r="B503" s="612"/>
      <c r="H503" s="612"/>
    </row>
    <row r="504">
      <c r="B504" s="612"/>
      <c r="H504" s="612"/>
    </row>
    <row r="505">
      <c r="B505" s="612"/>
      <c r="H505" s="612"/>
    </row>
    <row r="506">
      <c r="B506" s="612"/>
      <c r="H506" s="612"/>
    </row>
    <row r="507">
      <c r="B507" s="612"/>
      <c r="H507" s="612"/>
    </row>
    <row r="508">
      <c r="B508" s="612"/>
      <c r="H508" s="612"/>
    </row>
    <row r="509">
      <c r="B509" s="612"/>
      <c r="H509" s="612"/>
    </row>
    <row r="510">
      <c r="B510" s="612"/>
      <c r="H510" s="612"/>
    </row>
    <row r="511">
      <c r="B511" s="612"/>
      <c r="H511" s="612"/>
    </row>
    <row r="512">
      <c r="B512" s="612"/>
      <c r="H512" s="612"/>
    </row>
    <row r="513">
      <c r="B513" s="612"/>
      <c r="H513" s="612"/>
    </row>
    <row r="514">
      <c r="B514" s="612"/>
      <c r="H514" s="612"/>
    </row>
    <row r="515">
      <c r="B515" s="612"/>
      <c r="H515" s="612"/>
    </row>
    <row r="516">
      <c r="B516" s="612"/>
      <c r="H516" s="612"/>
    </row>
    <row r="517">
      <c r="B517" s="612"/>
      <c r="H517" s="612"/>
    </row>
    <row r="518">
      <c r="B518" s="612"/>
      <c r="H518" s="612"/>
    </row>
    <row r="519">
      <c r="B519" s="612"/>
      <c r="H519" s="612"/>
    </row>
    <row r="520">
      <c r="B520" s="612"/>
      <c r="H520" s="612"/>
    </row>
    <row r="521">
      <c r="B521" s="612"/>
      <c r="H521" s="612"/>
    </row>
    <row r="522">
      <c r="B522" s="612"/>
      <c r="H522" s="612"/>
    </row>
    <row r="523">
      <c r="B523" s="612"/>
      <c r="H523" s="612"/>
    </row>
    <row r="524">
      <c r="B524" s="612"/>
      <c r="H524" s="612"/>
    </row>
    <row r="525">
      <c r="B525" s="612"/>
      <c r="H525" s="612"/>
    </row>
    <row r="526">
      <c r="B526" s="612"/>
      <c r="H526" s="612"/>
    </row>
    <row r="527">
      <c r="B527" s="612"/>
      <c r="H527" s="612"/>
    </row>
    <row r="528">
      <c r="B528" s="612"/>
      <c r="H528" s="612"/>
    </row>
    <row r="529">
      <c r="B529" s="612"/>
      <c r="H529" s="612"/>
    </row>
    <row r="530">
      <c r="B530" s="612"/>
      <c r="H530" s="612"/>
    </row>
    <row r="531">
      <c r="B531" s="612"/>
      <c r="H531" s="612"/>
    </row>
    <row r="532">
      <c r="B532" s="612"/>
      <c r="H532" s="612"/>
    </row>
    <row r="533">
      <c r="B533" s="612"/>
      <c r="H533" s="612"/>
    </row>
    <row r="534">
      <c r="B534" s="612"/>
      <c r="H534" s="612"/>
    </row>
    <row r="535">
      <c r="B535" s="612"/>
      <c r="H535" s="612"/>
    </row>
    <row r="536">
      <c r="B536" s="612"/>
      <c r="H536" s="612"/>
    </row>
    <row r="537">
      <c r="B537" s="612"/>
      <c r="H537" s="612"/>
    </row>
    <row r="538">
      <c r="B538" s="612"/>
      <c r="H538" s="612"/>
    </row>
    <row r="539">
      <c r="B539" s="612"/>
      <c r="H539" s="612"/>
    </row>
    <row r="540">
      <c r="B540" s="612"/>
      <c r="H540" s="612"/>
    </row>
    <row r="541">
      <c r="B541" s="612"/>
      <c r="H541" s="612"/>
    </row>
    <row r="542">
      <c r="B542" s="612"/>
      <c r="H542" s="612"/>
    </row>
    <row r="543">
      <c r="B543" s="612"/>
      <c r="H543" s="612"/>
    </row>
    <row r="544">
      <c r="B544" s="612"/>
      <c r="H544" s="612"/>
    </row>
    <row r="545">
      <c r="B545" s="612"/>
      <c r="H545" s="612"/>
    </row>
    <row r="546">
      <c r="B546" s="612"/>
      <c r="H546" s="612"/>
    </row>
    <row r="547">
      <c r="B547" s="612"/>
      <c r="H547" s="612"/>
    </row>
    <row r="548">
      <c r="B548" s="612"/>
      <c r="H548" s="612"/>
    </row>
    <row r="549">
      <c r="B549" s="612"/>
      <c r="H549" s="612"/>
    </row>
    <row r="550">
      <c r="B550" s="612"/>
      <c r="H550" s="612"/>
    </row>
    <row r="551">
      <c r="B551" s="612"/>
      <c r="H551" s="612"/>
    </row>
    <row r="552">
      <c r="B552" s="612"/>
      <c r="H552" s="612"/>
    </row>
    <row r="553">
      <c r="B553" s="612"/>
      <c r="H553" s="612"/>
    </row>
    <row r="554">
      <c r="B554" s="612"/>
      <c r="H554" s="612"/>
    </row>
    <row r="555">
      <c r="B555" s="612"/>
      <c r="H555" s="612"/>
    </row>
    <row r="556">
      <c r="B556" s="612"/>
      <c r="H556" s="612"/>
    </row>
    <row r="557">
      <c r="B557" s="612"/>
      <c r="H557" s="612"/>
    </row>
    <row r="558">
      <c r="B558" s="612"/>
      <c r="H558" s="612"/>
    </row>
    <row r="559">
      <c r="B559" s="612"/>
      <c r="H559" s="612"/>
    </row>
    <row r="560">
      <c r="B560" s="612"/>
      <c r="H560" s="612"/>
    </row>
    <row r="561">
      <c r="B561" s="612"/>
      <c r="H561" s="612"/>
    </row>
    <row r="562">
      <c r="B562" s="612"/>
      <c r="H562" s="612"/>
    </row>
    <row r="563">
      <c r="B563" s="612"/>
      <c r="H563" s="612"/>
    </row>
    <row r="564">
      <c r="B564" s="612"/>
      <c r="H564" s="612"/>
    </row>
    <row r="565">
      <c r="B565" s="612"/>
      <c r="H565" s="612"/>
    </row>
    <row r="566">
      <c r="B566" s="612"/>
      <c r="H566" s="612"/>
    </row>
    <row r="567">
      <c r="B567" s="612"/>
      <c r="H567" s="612"/>
    </row>
    <row r="568">
      <c r="B568" s="612"/>
      <c r="H568" s="612"/>
    </row>
    <row r="569">
      <c r="B569" s="612"/>
      <c r="H569" s="612"/>
    </row>
    <row r="570">
      <c r="B570" s="612"/>
      <c r="H570" s="612"/>
    </row>
    <row r="571">
      <c r="B571" s="612"/>
      <c r="H571" s="612"/>
    </row>
    <row r="572">
      <c r="B572" s="612"/>
      <c r="H572" s="612"/>
    </row>
    <row r="573">
      <c r="B573" s="612"/>
      <c r="H573" s="612"/>
    </row>
    <row r="574">
      <c r="B574" s="612"/>
      <c r="H574" s="612"/>
    </row>
    <row r="575">
      <c r="B575" s="612"/>
      <c r="H575" s="612"/>
    </row>
    <row r="576">
      <c r="B576" s="612"/>
      <c r="H576" s="612"/>
    </row>
    <row r="577">
      <c r="B577" s="612"/>
      <c r="H577" s="612"/>
    </row>
    <row r="578">
      <c r="B578" s="612"/>
      <c r="H578" s="612"/>
    </row>
    <row r="579">
      <c r="B579" s="612"/>
      <c r="H579" s="612"/>
    </row>
    <row r="580">
      <c r="B580" s="612"/>
      <c r="H580" s="612"/>
    </row>
    <row r="581">
      <c r="B581" s="612"/>
      <c r="H581" s="612"/>
    </row>
    <row r="582">
      <c r="B582" s="612"/>
      <c r="H582" s="612"/>
    </row>
    <row r="583">
      <c r="B583" s="612"/>
      <c r="H583" s="612"/>
    </row>
    <row r="584">
      <c r="B584" s="612"/>
      <c r="H584" s="612"/>
    </row>
    <row r="585">
      <c r="B585" s="612"/>
      <c r="H585" s="612"/>
    </row>
    <row r="586">
      <c r="B586" s="612"/>
      <c r="H586" s="612"/>
    </row>
    <row r="587">
      <c r="B587" s="612"/>
      <c r="H587" s="612"/>
    </row>
    <row r="588">
      <c r="B588" s="612"/>
      <c r="H588" s="612"/>
    </row>
    <row r="589">
      <c r="B589" s="612"/>
      <c r="H589" s="612"/>
    </row>
    <row r="590">
      <c r="B590" s="612"/>
      <c r="H590" s="612"/>
    </row>
    <row r="591">
      <c r="B591" s="612"/>
      <c r="H591" s="612"/>
    </row>
    <row r="592">
      <c r="B592" s="612"/>
      <c r="H592" s="612"/>
    </row>
    <row r="593">
      <c r="B593" s="612"/>
      <c r="H593" s="612"/>
    </row>
    <row r="594">
      <c r="B594" s="612"/>
      <c r="H594" s="612"/>
    </row>
    <row r="595">
      <c r="B595" s="612"/>
      <c r="H595" s="612"/>
    </row>
    <row r="596">
      <c r="B596" s="612"/>
      <c r="H596" s="612"/>
    </row>
    <row r="597">
      <c r="B597" s="612"/>
      <c r="H597" s="612"/>
    </row>
    <row r="598">
      <c r="B598" s="612"/>
      <c r="H598" s="612"/>
    </row>
    <row r="599">
      <c r="B599" s="612"/>
      <c r="H599" s="612"/>
    </row>
    <row r="600">
      <c r="B600" s="612"/>
      <c r="H600" s="612"/>
    </row>
    <row r="601">
      <c r="B601" s="612"/>
      <c r="H601" s="612"/>
    </row>
    <row r="602">
      <c r="B602" s="612"/>
      <c r="H602" s="612"/>
    </row>
    <row r="603">
      <c r="B603" s="612"/>
      <c r="H603" s="612"/>
    </row>
    <row r="604">
      <c r="B604" s="612"/>
      <c r="H604" s="612"/>
    </row>
    <row r="605">
      <c r="B605" s="612"/>
      <c r="H605" s="612"/>
    </row>
    <row r="606">
      <c r="B606" s="612"/>
      <c r="H606" s="612"/>
    </row>
    <row r="607">
      <c r="B607" s="612"/>
      <c r="H607" s="612"/>
    </row>
    <row r="608">
      <c r="B608" s="612"/>
      <c r="H608" s="612"/>
    </row>
    <row r="609">
      <c r="B609" s="612"/>
      <c r="H609" s="612"/>
    </row>
    <row r="610">
      <c r="B610" s="612"/>
      <c r="H610" s="612"/>
    </row>
    <row r="611">
      <c r="B611" s="612"/>
      <c r="H611" s="612"/>
    </row>
    <row r="612">
      <c r="B612" s="612"/>
      <c r="H612" s="612"/>
    </row>
    <row r="613">
      <c r="B613" s="612"/>
      <c r="H613" s="612"/>
    </row>
    <row r="614">
      <c r="B614" s="612"/>
      <c r="H614" s="612"/>
    </row>
    <row r="615">
      <c r="B615" s="612"/>
      <c r="H615" s="612"/>
    </row>
    <row r="616">
      <c r="B616" s="612"/>
      <c r="H616" s="612"/>
    </row>
    <row r="617">
      <c r="B617" s="612"/>
      <c r="H617" s="612"/>
    </row>
    <row r="618">
      <c r="B618" s="612"/>
      <c r="H618" s="612"/>
    </row>
    <row r="619">
      <c r="B619" s="612"/>
      <c r="H619" s="612"/>
    </row>
    <row r="620">
      <c r="B620" s="612"/>
      <c r="H620" s="612"/>
    </row>
    <row r="621">
      <c r="B621" s="612"/>
      <c r="H621" s="612"/>
    </row>
    <row r="622">
      <c r="B622" s="612"/>
      <c r="H622" s="612"/>
    </row>
    <row r="623">
      <c r="B623" s="612"/>
      <c r="H623" s="612"/>
    </row>
    <row r="624">
      <c r="B624" s="612"/>
      <c r="H624" s="612"/>
    </row>
    <row r="625">
      <c r="B625" s="612"/>
      <c r="H625" s="612"/>
    </row>
    <row r="626">
      <c r="B626" s="612"/>
      <c r="H626" s="612"/>
    </row>
    <row r="627">
      <c r="B627" s="612"/>
      <c r="H627" s="612"/>
    </row>
    <row r="628">
      <c r="B628" s="612"/>
      <c r="H628" s="612"/>
    </row>
    <row r="629">
      <c r="B629" s="612"/>
      <c r="H629" s="612"/>
    </row>
    <row r="630">
      <c r="B630" s="612"/>
      <c r="H630" s="612"/>
    </row>
    <row r="631">
      <c r="B631" s="612"/>
      <c r="H631" s="612"/>
    </row>
    <row r="632">
      <c r="B632" s="612"/>
      <c r="H632" s="612"/>
    </row>
    <row r="633">
      <c r="B633" s="612"/>
      <c r="H633" s="612"/>
    </row>
    <row r="634">
      <c r="B634" s="612"/>
      <c r="H634" s="612"/>
    </row>
    <row r="635">
      <c r="B635" s="612"/>
      <c r="H635" s="612"/>
    </row>
    <row r="636">
      <c r="B636" s="612"/>
      <c r="H636" s="612"/>
    </row>
    <row r="637">
      <c r="B637" s="612"/>
      <c r="H637" s="612"/>
    </row>
    <row r="638">
      <c r="B638" s="612"/>
      <c r="H638" s="612"/>
    </row>
    <row r="639">
      <c r="B639" s="612"/>
      <c r="H639" s="612"/>
    </row>
    <row r="640">
      <c r="B640" s="612"/>
      <c r="H640" s="612"/>
    </row>
    <row r="641">
      <c r="B641" s="612"/>
      <c r="H641" s="612"/>
    </row>
    <row r="642">
      <c r="B642" s="612"/>
      <c r="H642" s="612"/>
    </row>
    <row r="643">
      <c r="B643" s="612"/>
      <c r="H643" s="612"/>
    </row>
    <row r="644">
      <c r="B644" s="612"/>
      <c r="H644" s="612"/>
    </row>
    <row r="645">
      <c r="B645" s="612"/>
      <c r="H645" s="612"/>
    </row>
    <row r="646">
      <c r="B646" s="612"/>
      <c r="H646" s="612"/>
    </row>
    <row r="647">
      <c r="B647" s="612"/>
      <c r="H647" s="612"/>
    </row>
    <row r="648">
      <c r="B648" s="612"/>
      <c r="H648" s="612"/>
    </row>
    <row r="649">
      <c r="B649" s="612"/>
      <c r="H649" s="612"/>
    </row>
    <row r="650">
      <c r="B650" s="612"/>
      <c r="H650" s="612"/>
    </row>
    <row r="651">
      <c r="B651" s="612"/>
      <c r="H651" s="612"/>
    </row>
    <row r="652">
      <c r="B652" s="612"/>
      <c r="H652" s="612"/>
    </row>
    <row r="653">
      <c r="B653" s="612"/>
      <c r="H653" s="612"/>
    </row>
    <row r="654">
      <c r="B654" s="612"/>
      <c r="H654" s="612"/>
    </row>
    <row r="655">
      <c r="B655" s="612"/>
      <c r="H655" s="612"/>
    </row>
    <row r="656">
      <c r="B656" s="612"/>
      <c r="H656" s="612"/>
    </row>
    <row r="657">
      <c r="B657" s="612"/>
      <c r="H657" s="612"/>
    </row>
    <row r="658">
      <c r="B658" s="612"/>
      <c r="H658" s="612"/>
    </row>
    <row r="659">
      <c r="B659" s="612"/>
      <c r="H659" s="612"/>
    </row>
    <row r="660">
      <c r="B660" s="612"/>
      <c r="H660" s="612"/>
    </row>
    <row r="661">
      <c r="B661" s="612"/>
      <c r="H661" s="612"/>
    </row>
    <row r="662">
      <c r="B662" s="612"/>
      <c r="H662" s="612"/>
    </row>
    <row r="663">
      <c r="B663" s="612"/>
      <c r="H663" s="612"/>
    </row>
    <row r="664">
      <c r="B664" s="612"/>
      <c r="H664" s="612"/>
    </row>
    <row r="665">
      <c r="B665" s="612"/>
      <c r="H665" s="612"/>
    </row>
    <row r="666">
      <c r="B666" s="612"/>
      <c r="H666" s="612"/>
    </row>
    <row r="667">
      <c r="B667" s="612"/>
      <c r="H667" s="612"/>
    </row>
    <row r="668">
      <c r="B668" s="612"/>
      <c r="H668" s="612"/>
    </row>
    <row r="669">
      <c r="B669" s="612"/>
      <c r="H669" s="612"/>
    </row>
    <row r="670">
      <c r="B670" s="612"/>
      <c r="H670" s="612"/>
    </row>
    <row r="671">
      <c r="B671" s="612"/>
      <c r="H671" s="612"/>
    </row>
    <row r="672">
      <c r="B672" s="612"/>
      <c r="H672" s="612"/>
    </row>
    <row r="673">
      <c r="B673" s="612"/>
      <c r="H673" s="612"/>
    </row>
    <row r="674">
      <c r="B674" s="612"/>
      <c r="H674" s="612"/>
    </row>
    <row r="675">
      <c r="B675" s="612"/>
      <c r="H675" s="612"/>
    </row>
    <row r="676">
      <c r="B676" s="612"/>
      <c r="H676" s="612"/>
    </row>
    <row r="677">
      <c r="B677" s="612"/>
      <c r="H677" s="612"/>
    </row>
    <row r="678">
      <c r="B678" s="612"/>
      <c r="H678" s="612"/>
    </row>
    <row r="679">
      <c r="B679" s="612"/>
      <c r="H679" s="612"/>
    </row>
    <row r="680">
      <c r="B680" s="612"/>
      <c r="H680" s="612"/>
    </row>
    <row r="681">
      <c r="B681" s="612"/>
      <c r="H681" s="612"/>
    </row>
    <row r="682">
      <c r="B682" s="612"/>
      <c r="H682" s="612"/>
    </row>
    <row r="683">
      <c r="B683" s="612"/>
      <c r="H683" s="612"/>
    </row>
    <row r="684">
      <c r="B684" s="612"/>
      <c r="H684" s="612"/>
    </row>
    <row r="685">
      <c r="B685" s="612"/>
      <c r="H685" s="612"/>
    </row>
    <row r="686">
      <c r="B686" s="612"/>
      <c r="H686" s="612"/>
    </row>
    <row r="687">
      <c r="B687" s="612"/>
      <c r="H687" s="612"/>
    </row>
    <row r="688">
      <c r="B688" s="612"/>
      <c r="H688" s="612"/>
    </row>
    <row r="689">
      <c r="B689" s="612"/>
      <c r="H689" s="612"/>
    </row>
    <row r="690">
      <c r="B690" s="612"/>
      <c r="H690" s="612"/>
    </row>
    <row r="691">
      <c r="B691" s="612"/>
      <c r="H691" s="612"/>
    </row>
    <row r="692">
      <c r="B692" s="612"/>
      <c r="H692" s="612"/>
    </row>
    <row r="693">
      <c r="B693" s="612"/>
      <c r="H693" s="612"/>
    </row>
    <row r="694">
      <c r="B694" s="612"/>
      <c r="H694" s="612"/>
    </row>
    <row r="695">
      <c r="B695" s="612"/>
      <c r="H695" s="612"/>
    </row>
    <row r="696">
      <c r="B696" s="612"/>
      <c r="H696" s="612"/>
    </row>
    <row r="697">
      <c r="B697" s="612"/>
      <c r="H697" s="612"/>
    </row>
    <row r="698">
      <c r="B698" s="612"/>
      <c r="H698" s="612"/>
    </row>
    <row r="699">
      <c r="B699" s="612"/>
      <c r="H699" s="612"/>
    </row>
    <row r="700">
      <c r="B700" s="612"/>
      <c r="H700" s="612"/>
    </row>
    <row r="701">
      <c r="B701" s="612"/>
      <c r="H701" s="612"/>
    </row>
    <row r="702">
      <c r="B702" s="612"/>
      <c r="H702" s="612"/>
    </row>
    <row r="703">
      <c r="B703" s="612"/>
      <c r="H703" s="612"/>
    </row>
    <row r="704">
      <c r="B704" s="612"/>
      <c r="H704" s="612"/>
    </row>
    <row r="705">
      <c r="B705" s="612"/>
      <c r="H705" s="612"/>
    </row>
    <row r="706">
      <c r="B706" s="612"/>
      <c r="H706" s="612"/>
    </row>
    <row r="707">
      <c r="B707" s="612"/>
      <c r="H707" s="612"/>
    </row>
    <row r="708">
      <c r="B708" s="612"/>
      <c r="H708" s="612"/>
    </row>
    <row r="709">
      <c r="B709" s="612"/>
      <c r="H709" s="612"/>
    </row>
    <row r="710">
      <c r="B710" s="612"/>
      <c r="H710" s="612"/>
    </row>
    <row r="711">
      <c r="B711" s="612"/>
      <c r="H711" s="612"/>
    </row>
    <row r="712">
      <c r="B712" s="612"/>
      <c r="H712" s="612"/>
    </row>
    <row r="713">
      <c r="B713" s="612"/>
      <c r="H713" s="612"/>
    </row>
    <row r="714">
      <c r="B714" s="612"/>
      <c r="H714" s="612"/>
    </row>
    <row r="715">
      <c r="B715" s="612"/>
      <c r="H715" s="612"/>
    </row>
    <row r="716">
      <c r="B716" s="612"/>
      <c r="H716" s="612"/>
    </row>
    <row r="717">
      <c r="B717" s="612"/>
      <c r="H717" s="612"/>
    </row>
    <row r="718">
      <c r="B718" s="612"/>
      <c r="H718" s="612"/>
    </row>
    <row r="719">
      <c r="B719" s="612"/>
      <c r="H719" s="612"/>
    </row>
    <row r="720">
      <c r="B720" s="612"/>
      <c r="H720" s="612"/>
    </row>
    <row r="721">
      <c r="B721" s="612"/>
      <c r="H721" s="612"/>
    </row>
    <row r="722">
      <c r="B722" s="612"/>
      <c r="H722" s="612"/>
    </row>
    <row r="723">
      <c r="B723" s="612"/>
      <c r="H723" s="612"/>
    </row>
    <row r="724">
      <c r="B724" s="612"/>
      <c r="H724" s="612"/>
    </row>
    <row r="725">
      <c r="B725" s="612"/>
      <c r="H725" s="612"/>
    </row>
    <row r="726">
      <c r="B726" s="612"/>
      <c r="H726" s="612"/>
    </row>
    <row r="727">
      <c r="B727" s="612"/>
      <c r="H727" s="612"/>
    </row>
    <row r="728">
      <c r="B728" s="612"/>
      <c r="H728" s="612"/>
    </row>
    <row r="729">
      <c r="B729" s="612"/>
      <c r="H729" s="612"/>
    </row>
    <row r="730">
      <c r="B730" s="612"/>
      <c r="H730" s="612"/>
    </row>
    <row r="731">
      <c r="B731" s="612"/>
      <c r="H731" s="612"/>
    </row>
    <row r="732">
      <c r="B732" s="612"/>
      <c r="H732" s="612"/>
    </row>
    <row r="733">
      <c r="B733" s="612"/>
      <c r="H733" s="612"/>
    </row>
    <row r="734">
      <c r="B734" s="612"/>
      <c r="H734" s="612"/>
    </row>
    <row r="735">
      <c r="B735" s="612"/>
      <c r="H735" s="612"/>
    </row>
    <row r="736">
      <c r="B736" s="612"/>
      <c r="H736" s="612"/>
    </row>
    <row r="737">
      <c r="B737" s="612"/>
      <c r="H737" s="612"/>
    </row>
    <row r="738">
      <c r="B738" s="612"/>
      <c r="H738" s="612"/>
    </row>
    <row r="739">
      <c r="B739" s="612"/>
      <c r="H739" s="612"/>
    </row>
    <row r="740">
      <c r="B740" s="612"/>
      <c r="H740" s="612"/>
    </row>
    <row r="741">
      <c r="B741" s="612"/>
      <c r="H741" s="612"/>
    </row>
    <row r="742">
      <c r="B742" s="612"/>
      <c r="H742" s="612"/>
    </row>
    <row r="743">
      <c r="B743" s="612"/>
      <c r="H743" s="612"/>
    </row>
    <row r="744">
      <c r="B744" s="612"/>
      <c r="H744" s="612"/>
    </row>
    <row r="745">
      <c r="B745" s="612"/>
      <c r="H745" s="612"/>
    </row>
    <row r="746">
      <c r="B746" s="612"/>
      <c r="H746" s="612"/>
    </row>
    <row r="747">
      <c r="B747" s="612"/>
      <c r="H747" s="612"/>
    </row>
    <row r="748">
      <c r="B748" s="612"/>
      <c r="H748" s="612"/>
    </row>
    <row r="749">
      <c r="B749" s="612"/>
      <c r="H749" s="612"/>
    </row>
    <row r="750">
      <c r="B750" s="612"/>
      <c r="H750" s="612"/>
    </row>
    <row r="751">
      <c r="B751" s="612"/>
      <c r="H751" s="612"/>
    </row>
    <row r="752">
      <c r="B752" s="612"/>
      <c r="H752" s="612"/>
    </row>
    <row r="753">
      <c r="B753" s="612"/>
      <c r="H753" s="612"/>
    </row>
    <row r="754">
      <c r="B754" s="612"/>
      <c r="H754" s="612"/>
    </row>
    <row r="755">
      <c r="B755" s="612"/>
      <c r="H755" s="612"/>
    </row>
    <row r="756">
      <c r="B756" s="612"/>
      <c r="H756" s="612"/>
    </row>
    <row r="757">
      <c r="B757" s="612"/>
      <c r="H757" s="612"/>
    </row>
    <row r="758">
      <c r="B758" s="612"/>
      <c r="H758" s="612"/>
    </row>
    <row r="759">
      <c r="B759" s="612"/>
      <c r="H759" s="612"/>
    </row>
    <row r="760">
      <c r="B760" s="612"/>
      <c r="H760" s="612"/>
    </row>
    <row r="761">
      <c r="B761" s="612"/>
      <c r="H761" s="612"/>
    </row>
    <row r="762">
      <c r="B762" s="612"/>
      <c r="H762" s="612"/>
    </row>
    <row r="763">
      <c r="B763" s="612"/>
      <c r="H763" s="612"/>
    </row>
    <row r="764">
      <c r="B764" s="612"/>
      <c r="H764" s="612"/>
    </row>
    <row r="765">
      <c r="B765" s="612"/>
      <c r="H765" s="612"/>
    </row>
    <row r="766">
      <c r="B766" s="612"/>
      <c r="H766" s="612"/>
    </row>
    <row r="767">
      <c r="B767" s="612"/>
      <c r="H767" s="612"/>
    </row>
    <row r="768">
      <c r="B768" s="612"/>
      <c r="H768" s="612"/>
    </row>
    <row r="769">
      <c r="B769" s="612"/>
      <c r="H769" s="612"/>
    </row>
    <row r="770">
      <c r="B770" s="612"/>
      <c r="H770" s="612"/>
    </row>
    <row r="771">
      <c r="B771" s="612"/>
      <c r="H771" s="612"/>
    </row>
    <row r="772">
      <c r="B772" s="612"/>
      <c r="H772" s="612"/>
    </row>
    <row r="773">
      <c r="B773" s="612"/>
      <c r="H773" s="612"/>
    </row>
    <row r="774">
      <c r="B774" s="612"/>
      <c r="H774" s="612"/>
    </row>
    <row r="775">
      <c r="B775" s="612"/>
      <c r="H775" s="612"/>
    </row>
    <row r="776">
      <c r="B776" s="612"/>
      <c r="H776" s="612"/>
    </row>
    <row r="777">
      <c r="B777" s="612"/>
      <c r="H777" s="612"/>
    </row>
    <row r="778">
      <c r="B778" s="612"/>
      <c r="H778" s="612"/>
    </row>
    <row r="779">
      <c r="B779" s="612"/>
      <c r="H779" s="612"/>
    </row>
    <row r="780">
      <c r="B780" s="612"/>
      <c r="H780" s="612"/>
    </row>
    <row r="781">
      <c r="B781" s="612"/>
      <c r="H781" s="612"/>
    </row>
    <row r="782">
      <c r="B782" s="612"/>
      <c r="H782" s="612"/>
    </row>
    <row r="783">
      <c r="B783" s="612"/>
      <c r="H783" s="612"/>
    </row>
    <row r="784">
      <c r="B784" s="612"/>
      <c r="H784" s="612"/>
    </row>
    <row r="785">
      <c r="B785" s="612"/>
      <c r="H785" s="612"/>
    </row>
    <row r="786">
      <c r="B786" s="612"/>
      <c r="H786" s="612"/>
    </row>
    <row r="787">
      <c r="B787" s="612"/>
      <c r="H787" s="612"/>
    </row>
    <row r="788">
      <c r="B788" s="612"/>
      <c r="H788" s="612"/>
    </row>
    <row r="789">
      <c r="B789" s="612"/>
      <c r="H789" s="612"/>
    </row>
    <row r="790">
      <c r="B790" s="612"/>
      <c r="H790" s="612"/>
    </row>
    <row r="791">
      <c r="B791" s="612"/>
      <c r="H791" s="612"/>
    </row>
    <row r="792">
      <c r="B792" s="612"/>
      <c r="H792" s="612"/>
    </row>
    <row r="793">
      <c r="B793" s="612"/>
      <c r="H793" s="612"/>
    </row>
    <row r="794">
      <c r="B794" s="612"/>
      <c r="H794" s="612"/>
    </row>
    <row r="795">
      <c r="B795" s="612"/>
      <c r="H795" s="612"/>
    </row>
    <row r="796">
      <c r="B796" s="612"/>
      <c r="H796" s="612"/>
    </row>
    <row r="797">
      <c r="B797" s="612"/>
      <c r="H797" s="612"/>
    </row>
    <row r="798">
      <c r="B798" s="612"/>
      <c r="H798" s="612"/>
    </row>
    <row r="799">
      <c r="B799" s="612"/>
      <c r="H799" s="612"/>
    </row>
    <row r="800">
      <c r="B800" s="612"/>
      <c r="H800" s="612"/>
    </row>
    <row r="801">
      <c r="B801" s="612"/>
      <c r="H801" s="612"/>
    </row>
    <row r="802">
      <c r="B802" s="612"/>
      <c r="H802" s="612"/>
    </row>
    <row r="803">
      <c r="B803" s="612"/>
      <c r="H803" s="612"/>
    </row>
    <row r="804">
      <c r="B804" s="612"/>
      <c r="H804" s="612"/>
    </row>
    <row r="805">
      <c r="B805" s="612"/>
      <c r="H805" s="612"/>
    </row>
    <row r="806">
      <c r="B806" s="612"/>
      <c r="H806" s="612"/>
    </row>
    <row r="807">
      <c r="B807" s="612"/>
      <c r="H807" s="612"/>
    </row>
    <row r="808">
      <c r="B808" s="612"/>
      <c r="H808" s="612"/>
    </row>
    <row r="809">
      <c r="B809" s="612"/>
      <c r="H809" s="612"/>
    </row>
    <row r="810">
      <c r="B810" s="612"/>
      <c r="H810" s="612"/>
    </row>
    <row r="811">
      <c r="B811" s="612"/>
      <c r="H811" s="612"/>
    </row>
    <row r="812">
      <c r="B812" s="612"/>
      <c r="H812" s="612"/>
    </row>
    <row r="813">
      <c r="B813" s="612"/>
      <c r="H813" s="612"/>
    </row>
    <row r="814">
      <c r="B814" s="612"/>
      <c r="H814" s="612"/>
    </row>
    <row r="815">
      <c r="B815" s="612"/>
      <c r="H815" s="612"/>
    </row>
    <row r="816">
      <c r="B816" s="612"/>
      <c r="H816" s="612"/>
    </row>
    <row r="817">
      <c r="B817" s="612"/>
      <c r="H817" s="612"/>
    </row>
    <row r="818">
      <c r="B818" s="612"/>
      <c r="H818" s="612"/>
    </row>
    <row r="819">
      <c r="B819" s="612"/>
      <c r="H819" s="612"/>
    </row>
    <row r="820">
      <c r="B820" s="612"/>
      <c r="H820" s="612"/>
    </row>
    <row r="821">
      <c r="B821" s="612"/>
      <c r="H821" s="612"/>
    </row>
    <row r="822">
      <c r="B822" s="612"/>
      <c r="H822" s="612"/>
    </row>
    <row r="823">
      <c r="B823" s="612"/>
      <c r="H823" s="612"/>
    </row>
    <row r="824">
      <c r="B824" s="612"/>
      <c r="H824" s="612"/>
    </row>
    <row r="825">
      <c r="B825" s="612"/>
      <c r="H825" s="612"/>
    </row>
    <row r="826">
      <c r="B826" s="612"/>
      <c r="H826" s="612"/>
    </row>
    <row r="827">
      <c r="B827" s="612"/>
      <c r="H827" s="612"/>
    </row>
    <row r="828">
      <c r="B828" s="612"/>
      <c r="H828" s="612"/>
    </row>
    <row r="829">
      <c r="B829" s="612"/>
      <c r="H829" s="612"/>
    </row>
    <row r="830">
      <c r="B830" s="612"/>
      <c r="H830" s="612"/>
    </row>
    <row r="831">
      <c r="B831" s="612"/>
      <c r="H831" s="612"/>
    </row>
    <row r="832">
      <c r="B832" s="612"/>
      <c r="H832" s="612"/>
    </row>
    <row r="833">
      <c r="B833" s="612"/>
      <c r="H833" s="612"/>
    </row>
    <row r="834">
      <c r="B834" s="612"/>
      <c r="H834" s="612"/>
    </row>
    <row r="835">
      <c r="B835" s="612"/>
      <c r="H835" s="612"/>
    </row>
    <row r="836">
      <c r="B836" s="612"/>
      <c r="H836" s="612"/>
    </row>
    <row r="837">
      <c r="B837" s="612"/>
      <c r="H837" s="612"/>
    </row>
    <row r="838">
      <c r="B838" s="612"/>
      <c r="H838" s="612"/>
    </row>
    <row r="839">
      <c r="B839" s="612"/>
      <c r="H839" s="612"/>
    </row>
    <row r="840">
      <c r="B840" s="612"/>
      <c r="H840" s="612"/>
    </row>
    <row r="841">
      <c r="B841" s="612"/>
      <c r="H841" s="612"/>
    </row>
    <row r="842">
      <c r="B842" s="612"/>
      <c r="H842" s="612"/>
    </row>
    <row r="843">
      <c r="B843" s="612"/>
      <c r="H843" s="612"/>
    </row>
    <row r="844">
      <c r="B844" s="612"/>
      <c r="H844" s="612"/>
    </row>
    <row r="845">
      <c r="B845" s="612"/>
      <c r="H845" s="612"/>
    </row>
    <row r="846">
      <c r="B846" s="612"/>
      <c r="H846" s="612"/>
    </row>
    <row r="847">
      <c r="B847" s="612"/>
      <c r="H847" s="612"/>
    </row>
    <row r="848">
      <c r="B848" s="612"/>
      <c r="H848" s="612"/>
    </row>
    <row r="849">
      <c r="B849" s="612"/>
      <c r="H849" s="612"/>
    </row>
    <row r="850">
      <c r="B850" s="612"/>
      <c r="H850" s="612"/>
    </row>
    <row r="851">
      <c r="B851" s="612"/>
      <c r="H851" s="612"/>
    </row>
    <row r="852">
      <c r="B852" s="612"/>
      <c r="H852" s="612"/>
    </row>
    <row r="853">
      <c r="B853" s="612"/>
      <c r="H853" s="612"/>
    </row>
    <row r="854">
      <c r="B854" s="612"/>
      <c r="H854" s="612"/>
    </row>
    <row r="855">
      <c r="B855" s="612"/>
      <c r="H855" s="612"/>
    </row>
    <row r="856">
      <c r="B856" s="612"/>
      <c r="H856" s="612"/>
    </row>
    <row r="857">
      <c r="B857" s="612"/>
      <c r="H857" s="612"/>
    </row>
    <row r="858">
      <c r="B858" s="612"/>
      <c r="H858" s="612"/>
    </row>
    <row r="859">
      <c r="B859" s="612"/>
      <c r="H859" s="612"/>
    </row>
    <row r="860">
      <c r="B860" s="612"/>
      <c r="H860" s="612"/>
    </row>
    <row r="861">
      <c r="B861" s="612"/>
      <c r="H861" s="612"/>
    </row>
    <row r="862">
      <c r="B862" s="612"/>
      <c r="H862" s="612"/>
    </row>
    <row r="863">
      <c r="B863" s="612"/>
      <c r="H863" s="612"/>
    </row>
    <row r="864">
      <c r="B864" s="612"/>
      <c r="H864" s="612"/>
    </row>
    <row r="865">
      <c r="B865" s="612"/>
      <c r="H865" s="612"/>
    </row>
    <row r="866">
      <c r="B866" s="612"/>
      <c r="H866" s="612"/>
    </row>
    <row r="867">
      <c r="B867" s="612"/>
      <c r="H867" s="612"/>
    </row>
    <row r="868">
      <c r="B868" s="612"/>
      <c r="H868" s="612"/>
    </row>
    <row r="869">
      <c r="B869" s="612"/>
      <c r="H869" s="612"/>
    </row>
    <row r="870">
      <c r="B870" s="612"/>
      <c r="H870" s="612"/>
    </row>
    <row r="871">
      <c r="B871" s="612"/>
      <c r="H871" s="612"/>
    </row>
    <row r="872">
      <c r="B872" s="612"/>
      <c r="H872" s="612"/>
    </row>
    <row r="873">
      <c r="B873" s="612"/>
      <c r="H873" s="612"/>
    </row>
    <row r="874">
      <c r="B874" s="612"/>
      <c r="H874" s="612"/>
    </row>
    <row r="875">
      <c r="B875" s="612"/>
      <c r="H875" s="612"/>
    </row>
    <row r="876">
      <c r="B876" s="612"/>
      <c r="H876" s="612"/>
    </row>
    <row r="877">
      <c r="B877" s="612"/>
      <c r="H877" s="612"/>
    </row>
    <row r="878">
      <c r="B878" s="612"/>
      <c r="H878" s="612"/>
    </row>
    <row r="879">
      <c r="B879" s="612"/>
      <c r="H879" s="612"/>
    </row>
    <row r="880">
      <c r="B880" s="612"/>
      <c r="H880" s="612"/>
    </row>
    <row r="881">
      <c r="B881" s="612"/>
      <c r="H881" s="612"/>
    </row>
    <row r="882">
      <c r="B882" s="612"/>
      <c r="H882" s="612"/>
    </row>
    <row r="883">
      <c r="B883" s="612"/>
      <c r="H883" s="612"/>
    </row>
    <row r="884">
      <c r="B884" s="612"/>
      <c r="H884" s="612"/>
    </row>
    <row r="885">
      <c r="B885" s="612"/>
      <c r="H885" s="612"/>
    </row>
    <row r="886">
      <c r="B886" s="612"/>
      <c r="H886" s="612"/>
    </row>
    <row r="887">
      <c r="B887" s="612"/>
      <c r="H887" s="612"/>
    </row>
    <row r="888">
      <c r="B888" s="612"/>
      <c r="H888" s="612"/>
    </row>
    <row r="889">
      <c r="B889" s="612"/>
      <c r="H889" s="612"/>
    </row>
    <row r="890">
      <c r="B890" s="612"/>
      <c r="H890" s="612"/>
    </row>
    <row r="891">
      <c r="B891" s="612"/>
      <c r="H891" s="612"/>
    </row>
    <row r="892">
      <c r="B892" s="612"/>
      <c r="H892" s="612"/>
    </row>
    <row r="893">
      <c r="B893" s="612"/>
      <c r="H893" s="612"/>
    </row>
    <row r="894">
      <c r="B894" s="612"/>
      <c r="H894" s="612"/>
    </row>
    <row r="895">
      <c r="B895" s="612"/>
      <c r="H895" s="612"/>
    </row>
    <row r="896">
      <c r="B896" s="612"/>
      <c r="H896" s="612"/>
    </row>
    <row r="897">
      <c r="B897" s="612"/>
      <c r="H897" s="612"/>
    </row>
    <row r="898">
      <c r="B898" s="612"/>
      <c r="H898" s="612"/>
    </row>
    <row r="899">
      <c r="B899" s="612"/>
      <c r="H899" s="612"/>
    </row>
    <row r="900">
      <c r="B900" s="612"/>
      <c r="H900" s="612"/>
    </row>
    <row r="901">
      <c r="B901" s="612"/>
      <c r="H901" s="612"/>
    </row>
    <row r="902">
      <c r="B902" s="612"/>
      <c r="H902" s="612"/>
    </row>
    <row r="903">
      <c r="B903" s="612"/>
      <c r="H903" s="612"/>
    </row>
    <row r="904">
      <c r="B904" s="612"/>
      <c r="H904" s="612"/>
    </row>
    <row r="905">
      <c r="B905" s="612"/>
      <c r="H905" s="612"/>
    </row>
    <row r="906">
      <c r="B906" s="612"/>
      <c r="H906" s="612"/>
    </row>
    <row r="907">
      <c r="B907" s="612"/>
      <c r="H907" s="612"/>
    </row>
    <row r="908">
      <c r="B908" s="612"/>
      <c r="H908" s="612"/>
    </row>
    <row r="909">
      <c r="B909" s="612"/>
      <c r="H909" s="612"/>
    </row>
    <row r="910">
      <c r="B910" s="612"/>
      <c r="H910" s="612"/>
    </row>
    <row r="911">
      <c r="B911" s="612"/>
      <c r="H911" s="612"/>
    </row>
    <row r="912">
      <c r="B912" s="612"/>
      <c r="H912" s="612"/>
    </row>
    <row r="913">
      <c r="B913" s="612"/>
      <c r="H913" s="612"/>
    </row>
    <row r="914">
      <c r="B914" s="612"/>
      <c r="H914" s="612"/>
    </row>
    <row r="915">
      <c r="B915" s="612"/>
      <c r="H915" s="612"/>
    </row>
    <row r="916">
      <c r="B916" s="612"/>
      <c r="H916" s="612"/>
    </row>
    <row r="917">
      <c r="B917" s="612"/>
      <c r="H917" s="612"/>
    </row>
    <row r="918">
      <c r="B918" s="612"/>
      <c r="H918" s="612"/>
    </row>
    <row r="919">
      <c r="B919" s="612"/>
      <c r="H919" s="612"/>
    </row>
    <row r="920">
      <c r="B920" s="612"/>
      <c r="H920" s="612"/>
    </row>
    <row r="921">
      <c r="B921" s="612"/>
      <c r="H921" s="612"/>
    </row>
    <row r="922">
      <c r="B922" s="612"/>
      <c r="H922" s="612"/>
    </row>
    <row r="923">
      <c r="B923" s="612"/>
      <c r="H923" s="612"/>
    </row>
    <row r="924">
      <c r="B924" s="612"/>
      <c r="H924" s="612"/>
    </row>
    <row r="925">
      <c r="B925" s="612"/>
      <c r="H925" s="612"/>
    </row>
    <row r="926">
      <c r="B926" s="612"/>
      <c r="H926" s="612"/>
    </row>
    <row r="927">
      <c r="B927" s="612"/>
      <c r="H927" s="612"/>
    </row>
    <row r="928">
      <c r="B928" s="612"/>
      <c r="H928" s="612"/>
    </row>
    <row r="929">
      <c r="B929" s="612"/>
      <c r="H929" s="612"/>
    </row>
    <row r="930">
      <c r="B930" s="612"/>
      <c r="H930" s="612"/>
    </row>
    <row r="931">
      <c r="B931" s="612"/>
      <c r="H931" s="612"/>
    </row>
    <row r="932">
      <c r="B932" s="612"/>
      <c r="H932" s="612"/>
    </row>
    <row r="933">
      <c r="B933" s="612"/>
      <c r="H933" s="612"/>
    </row>
    <row r="934">
      <c r="B934" s="612"/>
      <c r="H934" s="612"/>
    </row>
    <row r="935">
      <c r="B935" s="612"/>
      <c r="H935" s="612"/>
    </row>
    <row r="936">
      <c r="B936" s="612"/>
      <c r="H936" s="612"/>
    </row>
    <row r="937">
      <c r="B937" s="612"/>
      <c r="H937" s="612"/>
    </row>
    <row r="938">
      <c r="B938" s="612"/>
      <c r="H938" s="612"/>
    </row>
    <row r="939">
      <c r="B939" s="612"/>
      <c r="H939" s="612"/>
    </row>
    <row r="940">
      <c r="B940" s="612"/>
      <c r="H940" s="612"/>
    </row>
    <row r="941">
      <c r="B941" s="612"/>
      <c r="H941" s="612"/>
    </row>
    <row r="942">
      <c r="B942" s="612"/>
      <c r="H942" s="612"/>
    </row>
    <row r="943">
      <c r="B943" s="612"/>
      <c r="H943" s="612"/>
    </row>
    <row r="944">
      <c r="B944" s="612"/>
      <c r="H944" s="612"/>
    </row>
    <row r="945">
      <c r="B945" s="612"/>
      <c r="H945" s="612"/>
    </row>
    <row r="946">
      <c r="B946" s="612"/>
      <c r="H946" s="612"/>
    </row>
    <row r="947">
      <c r="B947" s="612"/>
      <c r="H947" s="612"/>
    </row>
    <row r="948">
      <c r="B948" s="612"/>
      <c r="H948" s="612"/>
    </row>
    <row r="949">
      <c r="B949" s="612"/>
      <c r="H949" s="612"/>
    </row>
    <row r="950">
      <c r="B950" s="612"/>
      <c r="H950" s="612"/>
    </row>
    <row r="951">
      <c r="B951" s="612"/>
      <c r="H951" s="612"/>
    </row>
    <row r="952">
      <c r="B952" s="612"/>
      <c r="H952" s="612"/>
    </row>
    <row r="953">
      <c r="B953" s="612"/>
      <c r="H953" s="612"/>
    </row>
    <row r="954">
      <c r="B954" s="612"/>
      <c r="H954" s="612"/>
    </row>
    <row r="955">
      <c r="B955" s="612"/>
      <c r="H955" s="612"/>
    </row>
    <row r="956">
      <c r="B956" s="612"/>
      <c r="H956" s="612"/>
    </row>
    <row r="957">
      <c r="B957" s="612"/>
      <c r="H957" s="612"/>
    </row>
    <row r="958">
      <c r="B958" s="612"/>
      <c r="H958" s="612"/>
    </row>
    <row r="959">
      <c r="B959" s="612"/>
      <c r="H959" s="612"/>
    </row>
    <row r="960">
      <c r="B960" s="612"/>
      <c r="H960" s="612"/>
    </row>
    <row r="961">
      <c r="B961" s="612"/>
      <c r="H961" s="612"/>
    </row>
    <row r="962">
      <c r="B962" s="612"/>
      <c r="H962" s="612"/>
    </row>
    <row r="963">
      <c r="B963" s="612"/>
      <c r="H963" s="612"/>
    </row>
    <row r="964">
      <c r="B964" s="612"/>
      <c r="H964" s="612"/>
    </row>
    <row r="965">
      <c r="B965" s="612"/>
      <c r="H965" s="612"/>
    </row>
    <row r="966">
      <c r="B966" s="612"/>
      <c r="H966" s="612"/>
    </row>
    <row r="967">
      <c r="B967" s="612"/>
      <c r="H967" s="612"/>
    </row>
    <row r="968">
      <c r="B968" s="612"/>
      <c r="H968" s="612"/>
    </row>
    <row r="969">
      <c r="B969" s="612"/>
      <c r="H969" s="612"/>
    </row>
    <row r="970">
      <c r="B970" s="612"/>
      <c r="H970" s="612"/>
    </row>
    <row r="971">
      <c r="B971" s="612"/>
      <c r="H971" s="612"/>
    </row>
    <row r="972">
      <c r="B972" s="612"/>
      <c r="H972" s="612"/>
    </row>
    <row r="973">
      <c r="B973" s="612"/>
      <c r="H973" s="612"/>
    </row>
    <row r="974">
      <c r="B974" s="612"/>
      <c r="H974" s="612"/>
    </row>
    <row r="975">
      <c r="B975" s="612"/>
      <c r="H975" s="612"/>
    </row>
    <row r="976">
      <c r="B976" s="612"/>
      <c r="H976" s="612"/>
    </row>
    <row r="977">
      <c r="B977" s="612"/>
      <c r="H977" s="612"/>
    </row>
    <row r="978">
      <c r="B978" s="612"/>
      <c r="H978" s="612"/>
    </row>
    <row r="979">
      <c r="B979" s="612"/>
      <c r="H979" s="612"/>
    </row>
    <row r="980">
      <c r="B980" s="612"/>
      <c r="H980" s="612"/>
    </row>
    <row r="981">
      <c r="B981" s="612"/>
      <c r="H981" s="612"/>
    </row>
    <row r="982">
      <c r="B982" s="612"/>
      <c r="H982" s="612"/>
    </row>
    <row r="983">
      <c r="B983" s="612"/>
      <c r="H983" s="612"/>
    </row>
    <row r="984">
      <c r="B984" s="612"/>
      <c r="H984" s="612"/>
    </row>
    <row r="985">
      <c r="B985" s="612"/>
      <c r="H985" s="612"/>
    </row>
    <row r="986">
      <c r="B986" s="612"/>
      <c r="H986" s="612"/>
    </row>
    <row r="987">
      <c r="B987" s="612"/>
      <c r="H987" s="612"/>
    </row>
    <row r="988">
      <c r="B988" s="612"/>
      <c r="H988" s="612"/>
    </row>
    <row r="989">
      <c r="B989" s="612"/>
      <c r="H989" s="612"/>
    </row>
    <row r="990">
      <c r="B990" s="612"/>
      <c r="H990" s="612"/>
    </row>
    <row r="991">
      <c r="B991" s="612"/>
      <c r="H991" s="612"/>
    </row>
    <row r="992">
      <c r="B992" s="612"/>
      <c r="H992" s="612"/>
    </row>
    <row r="993">
      <c r="B993" s="612"/>
      <c r="H993" s="612"/>
    </row>
    <row r="994">
      <c r="B994" s="612"/>
      <c r="H994" s="612"/>
    </row>
    <row r="995">
      <c r="B995" s="612"/>
      <c r="H995" s="612"/>
    </row>
    <row r="996">
      <c r="B996" s="612"/>
      <c r="H996" s="612"/>
    </row>
    <row r="997">
      <c r="B997" s="612"/>
      <c r="H997" s="612"/>
    </row>
    <row r="998">
      <c r="B998" s="612"/>
      <c r="H998" s="612"/>
    </row>
    <row r="999">
      <c r="B999" s="612"/>
      <c r="H999" s="612"/>
    </row>
    <row r="1000">
      <c r="B1000" s="612"/>
      <c r="H1000" s="612"/>
    </row>
    <row r="1001">
      <c r="B1001" s="612"/>
      <c r="H1001" s="612"/>
    </row>
    <row r="1002">
      <c r="B1002" s="612"/>
      <c r="H1002" s="612"/>
    </row>
    <row r="1003">
      <c r="B1003" s="612"/>
      <c r="H1003" s="612"/>
    </row>
    <row r="1004">
      <c r="B1004" s="612"/>
      <c r="H1004" s="612"/>
    </row>
    <row r="1005">
      <c r="B1005" s="612"/>
      <c r="H1005" s="612"/>
    </row>
    <row r="1006">
      <c r="B1006" s="612"/>
      <c r="H1006" s="612"/>
    </row>
    <row r="1007">
      <c r="B1007" s="612"/>
      <c r="H1007" s="612"/>
    </row>
    <row r="1008">
      <c r="B1008" s="612"/>
      <c r="H1008" s="612"/>
    </row>
    <row r="1009">
      <c r="B1009" s="612"/>
      <c r="H1009" s="612"/>
    </row>
    <row r="1010">
      <c r="B1010" s="612"/>
      <c r="H1010" s="612"/>
    </row>
    <row r="1011">
      <c r="B1011" s="612"/>
      <c r="H1011" s="612"/>
    </row>
    <row r="1012">
      <c r="B1012" s="612"/>
      <c r="H1012" s="612"/>
    </row>
    <row r="1013">
      <c r="B1013" s="612"/>
      <c r="H1013" s="612"/>
    </row>
    <row r="1014">
      <c r="B1014" s="612"/>
      <c r="H1014" s="612"/>
    </row>
    <row r="1015">
      <c r="B1015" s="612"/>
      <c r="H1015" s="612"/>
    </row>
    <row r="1016">
      <c r="B1016" s="612"/>
      <c r="H1016" s="612"/>
    </row>
    <row r="1017">
      <c r="B1017" s="612"/>
      <c r="H1017" s="612"/>
    </row>
    <row r="1018">
      <c r="B1018" s="612"/>
      <c r="H1018" s="612"/>
    </row>
    <row r="1019">
      <c r="B1019" s="612"/>
      <c r="H1019" s="612"/>
    </row>
    <row r="1020">
      <c r="B1020" s="612"/>
      <c r="H1020" s="612"/>
    </row>
    <row r="1021">
      <c r="B1021" s="612"/>
      <c r="H1021" s="612"/>
    </row>
    <row r="1022">
      <c r="B1022" s="612"/>
      <c r="H1022" s="612"/>
    </row>
    <row r="1023">
      <c r="B1023" s="612"/>
      <c r="H1023" s="612"/>
    </row>
    <row r="1024">
      <c r="B1024" s="612"/>
      <c r="H1024" s="612"/>
    </row>
    <row r="1025">
      <c r="B1025" s="612"/>
      <c r="H1025" s="612"/>
    </row>
    <row r="1026">
      <c r="B1026" s="612"/>
      <c r="H1026" s="612"/>
    </row>
    <row r="1027">
      <c r="B1027" s="612"/>
      <c r="H1027" s="612"/>
    </row>
    <row r="1028">
      <c r="B1028" s="612"/>
      <c r="H1028" s="612"/>
    </row>
    <row r="1029">
      <c r="B1029" s="612"/>
      <c r="H1029" s="612"/>
    </row>
    <row r="1030">
      <c r="B1030" s="612"/>
      <c r="H1030" s="612"/>
    </row>
    <row r="1031">
      <c r="B1031" s="612"/>
      <c r="H1031" s="612"/>
    </row>
    <row r="1032">
      <c r="B1032" s="612"/>
      <c r="H1032" s="612"/>
    </row>
    <row r="1033">
      <c r="B1033" s="612"/>
      <c r="H1033" s="612"/>
    </row>
    <row r="1034">
      <c r="B1034" s="612"/>
      <c r="H1034" s="612"/>
    </row>
    <row r="1035">
      <c r="B1035" s="612"/>
      <c r="H1035" s="612"/>
    </row>
    <row r="1036">
      <c r="B1036" s="612"/>
      <c r="H1036" s="612"/>
    </row>
    <row r="1037">
      <c r="B1037" s="612"/>
      <c r="H1037" s="612"/>
    </row>
    <row r="1038">
      <c r="B1038" s="612"/>
      <c r="H1038" s="612"/>
    </row>
    <row r="1039">
      <c r="B1039" s="612"/>
      <c r="H1039" s="612"/>
    </row>
    <row r="1040">
      <c r="B1040" s="612"/>
      <c r="H1040" s="612"/>
    </row>
    <row r="1041">
      <c r="B1041" s="612"/>
      <c r="H1041" s="612"/>
    </row>
    <row r="1042">
      <c r="B1042" s="612"/>
      <c r="H1042" s="612"/>
    </row>
    <row r="1043">
      <c r="B1043" s="612"/>
      <c r="H1043" s="612"/>
    </row>
    <row r="1044">
      <c r="B1044" s="612"/>
      <c r="H1044" s="612"/>
    </row>
    <row r="1045">
      <c r="B1045" s="612"/>
      <c r="H1045" s="612"/>
    </row>
    <row r="1046">
      <c r="B1046" s="612"/>
      <c r="H1046" s="612"/>
    </row>
    <row r="1047">
      <c r="B1047" s="612"/>
      <c r="H1047" s="612"/>
    </row>
    <row r="1048">
      <c r="B1048" s="612"/>
      <c r="H1048" s="612"/>
    </row>
    <row r="1049">
      <c r="B1049" s="612"/>
      <c r="H1049" s="612"/>
    </row>
    <row r="1050">
      <c r="B1050" s="612"/>
      <c r="H1050" s="612"/>
    </row>
    <row r="1051">
      <c r="B1051" s="612"/>
      <c r="H1051" s="612"/>
    </row>
    <row r="1052">
      <c r="B1052" s="612"/>
      <c r="H1052" s="612"/>
    </row>
    <row r="1053">
      <c r="B1053" s="612"/>
      <c r="H1053" s="612"/>
    </row>
    <row r="1054">
      <c r="B1054" s="612"/>
      <c r="H1054" s="612"/>
    </row>
    <row r="1055">
      <c r="B1055" s="612"/>
      <c r="H1055" s="612"/>
    </row>
    <row r="1056">
      <c r="B1056" s="612"/>
      <c r="H1056" s="612"/>
    </row>
    <row r="1057">
      <c r="B1057" s="612"/>
      <c r="H1057" s="612"/>
    </row>
    <row r="1058">
      <c r="B1058" s="612"/>
      <c r="H1058" s="612"/>
    </row>
    <row r="1059">
      <c r="B1059" s="612"/>
      <c r="H1059" s="612"/>
    </row>
    <row r="1060">
      <c r="B1060" s="612"/>
      <c r="H1060" s="612"/>
    </row>
    <row r="1061">
      <c r="B1061" s="612"/>
      <c r="H1061" s="612"/>
    </row>
    <row r="1062">
      <c r="B1062" s="612"/>
      <c r="H1062" s="612"/>
    </row>
    <row r="1063">
      <c r="B1063" s="612"/>
      <c r="H1063" s="612"/>
    </row>
    <row r="1064">
      <c r="B1064" s="612"/>
      <c r="H1064" s="612"/>
    </row>
    <row r="1065">
      <c r="B1065" s="612"/>
      <c r="H1065" s="612"/>
    </row>
    <row r="1066">
      <c r="B1066" s="612"/>
      <c r="H1066" s="612"/>
    </row>
    <row r="1067">
      <c r="B1067" s="612"/>
      <c r="H1067" s="612"/>
    </row>
    <row r="1068">
      <c r="B1068" s="612"/>
      <c r="H1068" s="612"/>
    </row>
    <row r="1069">
      <c r="B1069" s="612"/>
      <c r="H1069" s="612"/>
    </row>
    <row r="1070">
      <c r="B1070" s="612"/>
      <c r="H1070" s="612"/>
    </row>
    <row r="1071">
      <c r="B1071" s="612"/>
      <c r="H1071" s="612"/>
    </row>
    <row r="1072">
      <c r="B1072" s="612"/>
      <c r="H1072" s="612"/>
    </row>
    <row r="1073">
      <c r="B1073" s="612"/>
      <c r="H1073" s="612"/>
    </row>
    <row r="1074">
      <c r="B1074" s="612"/>
      <c r="H1074" s="612"/>
    </row>
    <row r="1075">
      <c r="B1075" s="612"/>
      <c r="H1075" s="612"/>
    </row>
    <row r="1076">
      <c r="B1076" s="612"/>
      <c r="H1076" s="612"/>
    </row>
    <row r="1077">
      <c r="B1077" s="612"/>
      <c r="H1077" s="612"/>
    </row>
    <row r="1078">
      <c r="B1078" s="612"/>
      <c r="H1078" s="612"/>
    </row>
    <row r="1079">
      <c r="B1079" s="612"/>
      <c r="H1079" s="612"/>
    </row>
    <row r="1080">
      <c r="B1080" s="612"/>
      <c r="H1080" s="612"/>
    </row>
    <row r="1081">
      <c r="B1081" s="612"/>
      <c r="H1081" s="612"/>
    </row>
    <row r="1082">
      <c r="B1082" s="612"/>
      <c r="H1082" s="612"/>
    </row>
    <row r="1083">
      <c r="B1083" s="612"/>
      <c r="H1083" s="612"/>
    </row>
    <row r="1084">
      <c r="B1084" s="612"/>
      <c r="H1084" s="612"/>
    </row>
    <row r="1085">
      <c r="B1085" s="612"/>
      <c r="H1085" s="612"/>
    </row>
    <row r="1086">
      <c r="B1086" s="612"/>
      <c r="H1086" s="612"/>
    </row>
    <row r="1087">
      <c r="B1087" s="612"/>
      <c r="H1087" s="612"/>
    </row>
    <row r="1088">
      <c r="B1088" s="612"/>
      <c r="H1088" s="612"/>
    </row>
    <row r="1089">
      <c r="B1089" s="612"/>
      <c r="H1089" s="612"/>
    </row>
    <row r="1090">
      <c r="B1090" s="612"/>
      <c r="H1090" s="612"/>
    </row>
    <row r="1091">
      <c r="B1091" s="612"/>
      <c r="H1091" s="612"/>
    </row>
    <row r="1092">
      <c r="B1092" s="612"/>
      <c r="H1092" s="612"/>
    </row>
    <row r="1093">
      <c r="B1093" s="612"/>
      <c r="H1093" s="612"/>
    </row>
    <row r="1094">
      <c r="B1094" s="612"/>
      <c r="H1094" s="612"/>
    </row>
    <row r="1095">
      <c r="B1095" s="612"/>
      <c r="H1095" s="612"/>
    </row>
    <row r="1096">
      <c r="B1096" s="612"/>
      <c r="H1096" s="612"/>
    </row>
    <row r="1097">
      <c r="B1097" s="612"/>
      <c r="H1097" s="612"/>
    </row>
    <row r="1098">
      <c r="B1098" s="612"/>
      <c r="H1098" s="612"/>
    </row>
    <row r="1099">
      <c r="B1099" s="612"/>
      <c r="H1099" s="612"/>
    </row>
    <row r="1100">
      <c r="B1100" s="612"/>
      <c r="H1100" s="612"/>
    </row>
    <row r="1101">
      <c r="B1101" s="612"/>
      <c r="H1101" s="612"/>
    </row>
    <row r="1102">
      <c r="B1102" s="612"/>
      <c r="H1102" s="612"/>
    </row>
    <row r="1103">
      <c r="B1103" s="612"/>
      <c r="H1103" s="612"/>
    </row>
    <row r="1104">
      <c r="B1104" s="612"/>
      <c r="H1104" s="612"/>
    </row>
    <row r="1105">
      <c r="B1105" s="612"/>
      <c r="H1105" s="612"/>
    </row>
    <row r="1106">
      <c r="B1106" s="612"/>
      <c r="H1106" s="612"/>
    </row>
    <row r="1107">
      <c r="B1107" s="612"/>
      <c r="H1107" s="612"/>
    </row>
    <row r="1108">
      <c r="B1108" s="612"/>
      <c r="H1108" s="612"/>
    </row>
    <row r="1109">
      <c r="B1109" s="612"/>
      <c r="H1109" s="612"/>
    </row>
    <row r="1110">
      <c r="B1110" s="612"/>
      <c r="H1110" s="612"/>
    </row>
    <row r="1111">
      <c r="B1111" s="612"/>
      <c r="H1111" s="612"/>
    </row>
    <row r="1112">
      <c r="B1112" s="612"/>
      <c r="H1112" s="612"/>
    </row>
    <row r="1113">
      <c r="B1113" s="612"/>
      <c r="H1113" s="612"/>
    </row>
    <row r="1114">
      <c r="B1114" s="612"/>
      <c r="H1114" s="612"/>
    </row>
    <row r="1115">
      <c r="B1115" s="612"/>
      <c r="H1115" s="612"/>
    </row>
    <row r="1116">
      <c r="B1116" s="612"/>
      <c r="H1116" s="612"/>
    </row>
    <row r="1117">
      <c r="B1117" s="612"/>
      <c r="H1117" s="612"/>
    </row>
    <row r="1118">
      <c r="B1118" s="612"/>
      <c r="H1118" s="612"/>
    </row>
    <row r="1119">
      <c r="B1119" s="612"/>
      <c r="H1119" s="612"/>
    </row>
    <row r="1120">
      <c r="B1120" s="612"/>
      <c r="H1120" s="612"/>
    </row>
    <row r="1121">
      <c r="B1121" s="612"/>
      <c r="H1121" s="612"/>
    </row>
    <row r="1122">
      <c r="B1122" s="612"/>
      <c r="H1122" s="612"/>
    </row>
    <row r="1123">
      <c r="B1123" s="612"/>
      <c r="H1123" s="612"/>
    </row>
    <row r="1124">
      <c r="B1124" s="612"/>
      <c r="H1124" s="612"/>
    </row>
    <row r="1125">
      <c r="B1125" s="612"/>
      <c r="H1125" s="612"/>
    </row>
    <row r="1126">
      <c r="B1126" s="612"/>
      <c r="H1126" s="612"/>
    </row>
    <row r="1127">
      <c r="B1127" s="612"/>
      <c r="H1127" s="612"/>
    </row>
    <row r="1128">
      <c r="B1128" s="612"/>
      <c r="H1128" s="612"/>
    </row>
    <row r="1129">
      <c r="B1129" s="612"/>
      <c r="H1129" s="612"/>
    </row>
    <row r="1130">
      <c r="B1130" s="612"/>
      <c r="H1130" s="612"/>
    </row>
    <row r="1131">
      <c r="B1131" s="612"/>
      <c r="H1131" s="612"/>
    </row>
    <row r="1132">
      <c r="B1132" s="612"/>
      <c r="H1132" s="612"/>
    </row>
    <row r="1133">
      <c r="B1133" s="612"/>
      <c r="H1133" s="612"/>
    </row>
    <row r="1134">
      <c r="B1134" s="612"/>
      <c r="H1134" s="612"/>
    </row>
    <row r="1135">
      <c r="B1135" s="612"/>
      <c r="H1135" s="612"/>
    </row>
    <row r="1136">
      <c r="B1136" s="612"/>
      <c r="H1136" s="612"/>
    </row>
    <row r="1137">
      <c r="B1137" s="612"/>
      <c r="H1137" s="612"/>
    </row>
    <row r="1138">
      <c r="B1138" s="612"/>
      <c r="H1138" s="612"/>
    </row>
    <row r="1139">
      <c r="B1139" s="612"/>
      <c r="H1139" s="612"/>
    </row>
    <row r="1140">
      <c r="B1140" s="612"/>
      <c r="H1140" s="612"/>
    </row>
    <row r="1141">
      <c r="B1141" s="612"/>
      <c r="H1141" s="612"/>
    </row>
    <row r="1142">
      <c r="B1142" s="612"/>
      <c r="H1142" s="612"/>
    </row>
    <row r="1143">
      <c r="B1143" s="612"/>
      <c r="H1143" s="612"/>
    </row>
    <row r="1144">
      <c r="B1144" s="612"/>
      <c r="H1144" s="612"/>
    </row>
    <row r="1145">
      <c r="B1145" s="612"/>
      <c r="H1145" s="612"/>
    </row>
    <row r="1146">
      <c r="B1146" s="612"/>
      <c r="H1146" s="612"/>
    </row>
    <row r="1147">
      <c r="B1147" s="612"/>
      <c r="H1147" s="612"/>
    </row>
    <row r="1148">
      <c r="B1148" s="612"/>
      <c r="H1148" s="612"/>
    </row>
    <row r="1149">
      <c r="B1149" s="612"/>
      <c r="H1149" s="612"/>
    </row>
    <row r="1150">
      <c r="B1150" s="612"/>
      <c r="H1150" s="612"/>
    </row>
    <row r="1151">
      <c r="B1151" s="612"/>
      <c r="H1151" s="612"/>
    </row>
    <row r="1152">
      <c r="B1152" s="612"/>
      <c r="H1152" s="612"/>
    </row>
    <row r="1153">
      <c r="B1153" s="612"/>
      <c r="H1153" s="612"/>
    </row>
    <row r="1154">
      <c r="B1154" s="612"/>
      <c r="H1154" s="612"/>
    </row>
    <row r="1155">
      <c r="B1155" s="612"/>
      <c r="H1155" s="612"/>
    </row>
    <row r="1156">
      <c r="B1156" s="612"/>
      <c r="H1156" s="612"/>
    </row>
    <row r="1157">
      <c r="B1157" s="612"/>
      <c r="H1157" s="612"/>
    </row>
    <row r="1158">
      <c r="B1158" s="612"/>
      <c r="H1158" s="612"/>
    </row>
    <row r="1159">
      <c r="B1159" s="612"/>
      <c r="H1159" s="612"/>
    </row>
    <row r="1160">
      <c r="B1160" s="612"/>
      <c r="H1160" s="612"/>
    </row>
    <row r="1161">
      <c r="B1161" s="612"/>
      <c r="H1161" s="612"/>
    </row>
    <row r="1162">
      <c r="B1162" s="612"/>
      <c r="H1162" s="612"/>
    </row>
    <row r="1163">
      <c r="B1163" s="612"/>
      <c r="H1163" s="612"/>
    </row>
    <row r="1164">
      <c r="B1164" s="612"/>
      <c r="H1164" s="612"/>
    </row>
    <row r="1165">
      <c r="B1165" s="612"/>
      <c r="H1165" s="612"/>
    </row>
    <row r="1166">
      <c r="B1166" s="612"/>
      <c r="H1166" s="612"/>
    </row>
    <row r="1167">
      <c r="B1167" s="612"/>
      <c r="H1167" s="612"/>
    </row>
    <row r="1168">
      <c r="B1168" s="612"/>
      <c r="H1168" s="612"/>
    </row>
    <row r="1169">
      <c r="B1169" s="612"/>
      <c r="H1169" s="612"/>
    </row>
    <row r="1170">
      <c r="B1170" s="612"/>
      <c r="H1170" s="612"/>
    </row>
    <row r="1171">
      <c r="B1171" s="612"/>
      <c r="H1171" s="612"/>
    </row>
    <row r="1172">
      <c r="B1172" s="612"/>
      <c r="H1172" s="612"/>
    </row>
    <row r="1173">
      <c r="B1173" s="612"/>
      <c r="H1173" s="612"/>
    </row>
    <row r="1174">
      <c r="B1174" s="612"/>
      <c r="H1174" s="612"/>
    </row>
    <row r="1175">
      <c r="B1175" s="612"/>
      <c r="H1175" s="612"/>
    </row>
    <row r="1176">
      <c r="B1176" s="612"/>
      <c r="H1176" s="612"/>
    </row>
    <row r="1177">
      <c r="B1177" s="612"/>
      <c r="H1177" s="612"/>
    </row>
    <row r="1178">
      <c r="B1178" s="612"/>
      <c r="H1178" s="612"/>
    </row>
    <row r="1179">
      <c r="B1179" s="612"/>
      <c r="H1179" s="612"/>
    </row>
    <row r="1180">
      <c r="B1180" s="612"/>
      <c r="H1180" s="612"/>
    </row>
    <row r="1181">
      <c r="B1181" s="612"/>
      <c r="H1181" s="612"/>
    </row>
    <row r="1182">
      <c r="B1182" s="612"/>
      <c r="H1182" s="612"/>
    </row>
    <row r="1183">
      <c r="B1183" s="612"/>
      <c r="H1183" s="612"/>
    </row>
    <row r="1184">
      <c r="B1184" s="612"/>
      <c r="H1184" s="612"/>
    </row>
    <row r="1185">
      <c r="B1185" s="612"/>
      <c r="H1185" s="612"/>
    </row>
    <row r="1186">
      <c r="B1186" s="612"/>
      <c r="H1186" s="612"/>
    </row>
    <row r="1187">
      <c r="B1187" s="612"/>
      <c r="H1187" s="612"/>
    </row>
    <row r="1188">
      <c r="B1188" s="612"/>
      <c r="H1188" s="612"/>
    </row>
    <row r="1189">
      <c r="B1189" s="612"/>
      <c r="H1189" s="612"/>
    </row>
    <row r="1190">
      <c r="B1190" s="612"/>
      <c r="H1190" s="612"/>
    </row>
    <row r="1191">
      <c r="B1191" s="612"/>
      <c r="H1191" s="612"/>
    </row>
    <row r="1192">
      <c r="B1192" s="612"/>
      <c r="H1192" s="612"/>
    </row>
    <row r="1193">
      <c r="B1193" s="612"/>
      <c r="H1193" s="612"/>
    </row>
    <row r="1194">
      <c r="B1194" s="612"/>
      <c r="H1194" s="612"/>
    </row>
    <row r="1195">
      <c r="B1195" s="612"/>
      <c r="H1195" s="612"/>
    </row>
    <row r="1196">
      <c r="B1196" s="612"/>
      <c r="H1196" s="612"/>
    </row>
    <row r="1197">
      <c r="B1197" s="612"/>
      <c r="H1197" s="612"/>
    </row>
    <row r="1198">
      <c r="B1198" s="612"/>
      <c r="H1198" s="612"/>
    </row>
    <row r="1199">
      <c r="B1199" s="612"/>
      <c r="H1199" s="612"/>
    </row>
    <row r="1200">
      <c r="B1200" s="612"/>
      <c r="H1200" s="612"/>
    </row>
    <row r="1201">
      <c r="B1201" s="612"/>
      <c r="H1201" s="612"/>
    </row>
    <row r="1202">
      <c r="B1202" s="612"/>
      <c r="H1202" s="612"/>
    </row>
    <row r="1203">
      <c r="B1203" s="612"/>
      <c r="H1203" s="612"/>
    </row>
    <row r="1204">
      <c r="B1204" s="612"/>
      <c r="H1204" s="612"/>
    </row>
    <row r="1205">
      <c r="B1205" s="612"/>
      <c r="H1205" s="612"/>
    </row>
    <row r="1206">
      <c r="B1206" s="612"/>
      <c r="H1206" s="612"/>
    </row>
    <row r="1207">
      <c r="B1207" s="612"/>
      <c r="H1207" s="612"/>
    </row>
    <row r="1208">
      <c r="B1208" s="612"/>
      <c r="H1208" s="612"/>
    </row>
    <row r="1209">
      <c r="B1209" s="612"/>
      <c r="H1209" s="612"/>
    </row>
    <row r="1210">
      <c r="B1210" s="612"/>
      <c r="H1210" s="612"/>
    </row>
    <row r="1211">
      <c r="B1211" s="612"/>
      <c r="H1211" s="612"/>
    </row>
    <row r="1212">
      <c r="B1212" s="612"/>
      <c r="H1212" s="612"/>
    </row>
    <row r="1213">
      <c r="B1213" s="612"/>
      <c r="H1213" s="612"/>
    </row>
    <row r="1214">
      <c r="B1214" s="612"/>
      <c r="H1214" s="612"/>
    </row>
    <row r="1215">
      <c r="B1215" s="612"/>
      <c r="H1215" s="612"/>
    </row>
    <row r="1216">
      <c r="B1216" s="612"/>
      <c r="H1216" s="612"/>
    </row>
    <row r="1217">
      <c r="B1217" s="612"/>
      <c r="H1217" s="612"/>
    </row>
    <row r="1218">
      <c r="B1218" s="612"/>
      <c r="H1218" s="612"/>
    </row>
    <row r="1219">
      <c r="B1219" s="612"/>
      <c r="H1219" s="612"/>
    </row>
    <row r="1220">
      <c r="B1220" s="612"/>
      <c r="H1220" s="612"/>
    </row>
    <row r="1221">
      <c r="B1221" s="612"/>
      <c r="H1221" s="612"/>
    </row>
    <row r="1222">
      <c r="B1222" s="612"/>
      <c r="H1222" s="612"/>
    </row>
    <row r="1223">
      <c r="B1223" s="612"/>
      <c r="H1223" s="612"/>
    </row>
    <row r="1224">
      <c r="B1224" s="612"/>
      <c r="H1224" s="612"/>
    </row>
    <row r="1225">
      <c r="B1225" s="612"/>
      <c r="H1225" s="612"/>
    </row>
    <row r="1226">
      <c r="B1226" s="612"/>
      <c r="H1226" s="612"/>
    </row>
    <row r="1227">
      <c r="B1227" s="612"/>
      <c r="H1227" s="612"/>
    </row>
    <row r="1228">
      <c r="B1228" s="612"/>
      <c r="H1228" s="612"/>
    </row>
    <row r="1229">
      <c r="B1229" s="612"/>
      <c r="H1229" s="612"/>
    </row>
    <row r="1230">
      <c r="B1230" s="612"/>
      <c r="H1230" s="612"/>
    </row>
    <row r="1231">
      <c r="B1231" s="612"/>
      <c r="H1231" s="612"/>
    </row>
    <row r="1232">
      <c r="B1232" s="612"/>
      <c r="H1232" s="612"/>
    </row>
    <row r="1233">
      <c r="B1233" s="612"/>
      <c r="H1233" s="612"/>
    </row>
    <row r="1234">
      <c r="B1234" s="612"/>
      <c r="H1234" s="612"/>
    </row>
    <row r="1235">
      <c r="B1235" s="612"/>
      <c r="H1235" s="612"/>
    </row>
    <row r="1236">
      <c r="B1236" s="612"/>
      <c r="H1236" s="612"/>
    </row>
    <row r="1237">
      <c r="B1237" s="612"/>
      <c r="H1237" s="612"/>
    </row>
    <row r="1238">
      <c r="B1238" s="612"/>
      <c r="H1238" s="612"/>
    </row>
    <row r="1239">
      <c r="B1239" s="612"/>
      <c r="H1239" s="612"/>
    </row>
    <row r="1240">
      <c r="B1240" s="612"/>
      <c r="H1240" s="612"/>
    </row>
    <row r="1241">
      <c r="B1241" s="612"/>
      <c r="H1241" s="612"/>
    </row>
    <row r="1242">
      <c r="B1242" s="612"/>
      <c r="H1242" s="612"/>
    </row>
    <row r="1243">
      <c r="B1243" s="612"/>
      <c r="H1243" s="612"/>
    </row>
    <row r="1244">
      <c r="B1244" s="612"/>
      <c r="H1244" s="612"/>
    </row>
    <row r="1245">
      <c r="B1245" s="612"/>
      <c r="H1245" s="612"/>
    </row>
    <row r="1246">
      <c r="B1246" s="612"/>
      <c r="H1246" s="612"/>
    </row>
    <row r="1247">
      <c r="B1247" s="612"/>
      <c r="H1247" s="612"/>
    </row>
    <row r="1248">
      <c r="B1248" s="612"/>
      <c r="H1248" s="612"/>
    </row>
    <row r="1249">
      <c r="B1249" s="612"/>
      <c r="H1249" s="612"/>
    </row>
    <row r="1250">
      <c r="B1250" s="612"/>
      <c r="H1250" s="612"/>
    </row>
    <row r="1251">
      <c r="B1251" s="612"/>
      <c r="H1251" s="612"/>
    </row>
    <row r="1252">
      <c r="B1252" s="612"/>
      <c r="H1252" s="612"/>
    </row>
    <row r="1253">
      <c r="B1253" s="612"/>
      <c r="H1253" s="612"/>
    </row>
    <row r="1254">
      <c r="B1254" s="612"/>
      <c r="H1254" s="612"/>
    </row>
    <row r="1255">
      <c r="B1255" s="612"/>
      <c r="H1255" s="612"/>
    </row>
    <row r="1256">
      <c r="B1256" s="612"/>
      <c r="H1256" s="612"/>
    </row>
    <row r="1257">
      <c r="B1257" s="612"/>
      <c r="H1257" s="612"/>
    </row>
    <row r="1258">
      <c r="B1258" s="612"/>
      <c r="H1258" s="612"/>
    </row>
    <row r="1259">
      <c r="B1259" s="612"/>
      <c r="H1259" s="612"/>
    </row>
    <row r="1260">
      <c r="B1260" s="612"/>
      <c r="H1260" s="612"/>
    </row>
    <row r="1261">
      <c r="B1261" s="612"/>
      <c r="H1261" s="612"/>
    </row>
    <row r="1262">
      <c r="B1262" s="612"/>
      <c r="H1262" s="612"/>
    </row>
    <row r="1263">
      <c r="B1263" s="612"/>
      <c r="H1263" s="612"/>
    </row>
    <row r="1264">
      <c r="B1264" s="612"/>
      <c r="H1264" s="612"/>
    </row>
    <row r="1265">
      <c r="B1265" s="612"/>
      <c r="H1265" s="612"/>
    </row>
    <row r="1266">
      <c r="B1266" s="612"/>
      <c r="H1266" s="612"/>
    </row>
    <row r="1267">
      <c r="B1267" s="612"/>
      <c r="H1267" s="612"/>
    </row>
    <row r="1268">
      <c r="B1268" s="612"/>
      <c r="H1268" s="612"/>
    </row>
    <row r="1269">
      <c r="B1269" s="612"/>
      <c r="H1269" s="612"/>
    </row>
    <row r="1270">
      <c r="B1270" s="612"/>
      <c r="H1270" s="612"/>
    </row>
    <row r="1271">
      <c r="B1271" s="612"/>
      <c r="H1271" s="612"/>
    </row>
    <row r="1272">
      <c r="B1272" s="612"/>
      <c r="H1272" s="612"/>
    </row>
    <row r="1273">
      <c r="B1273" s="612"/>
      <c r="H1273" s="612"/>
    </row>
    <row r="1274">
      <c r="B1274" s="612"/>
      <c r="H1274" s="612"/>
    </row>
    <row r="1275">
      <c r="B1275" s="612"/>
      <c r="H1275" s="612"/>
    </row>
    <row r="1276">
      <c r="B1276" s="612"/>
      <c r="H1276" s="612"/>
    </row>
    <row r="1277">
      <c r="B1277" s="612"/>
      <c r="H1277" s="612"/>
    </row>
    <row r="1278">
      <c r="B1278" s="612"/>
      <c r="H1278" s="612"/>
    </row>
    <row r="1279">
      <c r="B1279" s="612"/>
      <c r="H1279" s="612"/>
    </row>
    <row r="1280">
      <c r="B1280" s="612"/>
      <c r="H1280" s="612"/>
    </row>
    <row r="1281">
      <c r="B1281" s="612"/>
      <c r="H1281" s="612"/>
    </row>
    <row r="1282">
      <c r="B1282" s="612"/>
      <c r="H1282" s="612"/>
    </row>
    <row r="1283">
      <c r="B1283" s="612"/>
      <c r="H1283" s="612"/>
    </row>
    <row r="1284">
      <c r="B1284" s="612"/>
      <c r="H1284" s="612"/>
    </row>
    <row r="1285">
      <c r="B1285" s="612"/>
      <c r="H1285" s="612"/>
    </row>
    <row r="1286">
      <c r="B1286" s="612"/>
      <c r="H1286" s="612"/>
    </row>
    <row r="1287">
      <c r="B1287" s="612"/>
      <c r="H1287" s="612"/>
    </row>
    <row r="1288">
      <c r="B1288" s="612"/>
      <c r="H1288" s="612"/>
    </row>
    <row r="1289">
      <c r="B1289" s="612"/>
      <c r="H1289" s="612"/>
    </row>
    <row r="1290">
      <c r="B1290" s="612"/>
      <c r="H1290" s="612"/>
    </row>
    <row r="1291">
      <c r="B1291" s="612"/>
      <c r="H1291" s="612"/>
    </row>
    <row r="1292">
      <c r="B1292" s="612"/>
      <c r="H1292" s="612"/>
    </row>
    <row r="1293">
      <c r="B1293" s="612"/>
      <c r="H1293" s="612"/>
    </row>
    <row r="1294">
      <c r="B1294" s="612"/>
      <c r="H1294" s="612"/>
    </row>
    <row r="1295">
      <c r="B1295" s="612"/>
      <c r="H1295" s="612"/>
    </row>
    <row r="1296">
      <c r="B1296" s="612"/>
      <c r="H1296" s="612"/>
    </row>
    <row r="1297">
      <c r="B1297" s="612"/>
      <c r="H1297" s="612"/>
    </row>
    <row r="1298">
      <c r="B1298" s="612"/>
      <c r="H1298" s="612"/>
    </row>
    <row r="1299">
      <c r="B1299" s="612"/>
      <c r="H1299" s="612"/>
    </row>
    <row r="1300">
      <c r="B1300" s="612"/>
      <c r="H1300" s="612"/>
    </row>
    <row r="1301">
      <c r="B1301" s="612"/>
      <c r="H1301" s="612"/>
    </row>
    <row r="1302">
      <c r="B1302" s="612"/>
      <c r="H1302" s="612"/>
    </row>
    <row r="1303">
      <c r="B1303" s="612"/>
      <c r="H1303" s="612"/>
    </row>
    <row r="1304">
      <c r="B1304" s="612"/>
      <c r="H1304" s="612"/>
    </row>
    <row r="1305">
      <c r="B1305" s="612"/>
      <c r="H1305" s="612"/>
    </row>
    <row r="1306">
      <c r="B1306" s="612"/>
      <c r="H1306" s="612"/>
    </row>
    <row r="1307">
      <c r="B1307" s="612"/>
      <c r="H1307" s="612"/>
    </row>
    <row r="1308">
      <c r="B1308" s="612"/>
      <c r="H1308" s="612"/>
    </row>
    <row r="1309">
      <c r="B1309" s="612"/>
      <c r="H1309" s="612"/>
    </row>
    <row r="1310">
      <c r="B1310" s="612"/>
      <c r="H1310" s="612"/>
    </row>
    <row r="1311">
      <c r="B1311" s="612"/>
      <c r="H1311" s="612"/>
    </row>
    <row r="1312">
      <c r="B1312" s="612"/>
      <c r="H1312" s="612"/>
    </row>
    <row r="1313">
      <c r="B1313" s="612"/>
      <c r="H1313" s="612"/>
    </row>
    <row r="1314">
      <c r="B1314" s="612"/>
      <c r="H1314" s="612"/>
    </row>
    <row r="1315">
      <c r="B1315" s="612"/>
      <c r="H1315" s="612"/>
    </row>
    <row r="1316">
      <c r="B1316" s="612"/>
      <c r="H1316" s="612"/>
    </row>
    <row r="1317">
      <c r="B1317" s="612"/>
      <c r="H1317" s="612"/>
    </row>
    <row r="1318">
      <c r="B1318" s="612"/>
      <c r="H1318" s="612"/>
    </row>
    <row r="1319">
      <c r="B1319" s="612"/>
      <c r="H1319" s="612"/>
    </row>
    <row r="1320">
      <c r="B1320" s="612"/>
      <c r="H1320" s="612"/>
    </row>
    <row r="1321">
      <c r="B1321" s="612"/>
      <c r="H1321" s="612"/>
    </row>
    <row r="1322">
      <c r="B1322" s="612"/>
      <c r="H1322" s="612"/>
    </row>
    <row r="1323">
      <c r="B1323" s="612"/>
      <c r="H1323" s="612"/>
    </row>
    <row r="1324">
      <c r="B1324" s="612"/>
      <c r="H1324" s="612"/>
    </row>
    <row r="1325">
      <c r="B1325" s="612"/>
      <c r="H1325" s="612"/>
    </row>
    <row r="1326">
      <c r="B1326" s="612"/>
      <c r="H1326" s="612"/>
    </row>
    <row r="1327">
      <c r="B1327" s="612"/>
      <c r="H1327" s="612"/>
    </row>
    <row r="1328">
      <c r="B1328" s="612"/>
      <c r="H1328" s="612"/>
    </row>
    <row r="1329">
      <c r="B1329" s="612"/>
      <c r="H1329" s="612"/>
    </row>
    <row r="1330">
      <c r="B1330" s="612"/>
      <c r="H1330" s="612"/>
    </row>
    <row r="1331">
      <c r="B1331" s="612"/>
      <c r="H1331" s="612"/>
    </row>
    <row r="1332">
      <c r="B1332" s="612"/>
      <c r="H1332" s="612"/>
    </row>
    <row r="1333">
      <c r="B1333" s="612"/>
      <c r="H1333" s="612"/>
    </row>
    <row r="1334">
      <c r="B1334" s="612"/>
      <c r="H1334" s="612"/>
    </row>
    <row r="1335">
      <c r="B1335" s="612"/>
      <c r="H1335" s="612"/>
    </row>
    <row r="1336">
      <c r="B1336" s="612"/>
      <c r="H1336" s="612"/>
    </row>
    <row r="1337">
      <c r="B1337" s="612"/>
      <c r="H1337" s="612"/>
    </row>
    <row r="1338">
      <c r="B1338" s="612"/>
      <c r="H1338" s="612"/>
    </row>
    <row r="1339">
      <c r="B1339" s="612"/>
      <c r="H1339" s="612"/>
    </row>
    <row r="1340">
      <c r="B1340" s="612"/>
      <c r="H1340" s="612"/>
    </row>
    <row r="1341">
      <c r="B1341" s="612"/>
      <c r="H1341" s="612"/>
    </row>
    <row r="1342">
      <c r="B1342" s="612"/>
      <c r="H1342" s="612"/>
    </row>
    <row r="1343">
      <c r="B1343" s="612"/>
      <c r="H1343" s="612"/>
    </row>
    <row r="1344">
      <c r="B1344" s="612"/>
      <c r="H1344" s="612"/>
    </row>
    <row r="1345">
      <c r="B1345" s="612"/>
      <c r="H1345" s="612"/>
    </row>
    <row r="1346">
      <c r="B1346" s="612"/>
      <c r="H1346" s="612"/>
    </row>
    <row r="1347">
      <c r="B1347" s="612"/>
      <c r="H1347" s="612"/>
    </row>
    <row r="1348">
      <c r="B1348" s="612"/>
      <c r="H1348" s="612"/>
    </row>
    <row r="1349">
      <c r="B1349" s="612"/>
      <c r="H1349" s="612"/>
    </row>
    <row r="1350">
      <c r="B1350" s="612"/>
      <c r="H1350" s="612"/>
    </row>
    <row r="1351">
      <c r="B1351" s="612"/>
      <c r="H1351" s="612"/>
    </row>
    <row r="1352">
      <c r="B1352" s="612"/>
      <c r="H1352" s="612"/>
    </row>
    <row r="1353">
      <c r="B1353" s="612"/>
      <c r="H1353" s="612"/>
    </row>
    <row r="1354">
      <c r="B1354" s="612"/>
      <c r="H1354" s="612"/>
    </row>
    <row r="1355">
      <c r="B1355" s="612"/>
      <c r="H1355" s="612"/>
    </row>
    <row r="1356">
      <c r="B1356" s="612"/>
      <c r="H1356" s="612"/>
    </row>
    <row r="1357">
      <c r="B1357" s="612"/>
      <c r="H1357" s="612"/>
    </row>
    <row r="1358">
      <c r="B1358" s="612"/>
      <c r="H1358" s="612"/>
    </row>
    <row r="1359">
      <c r="B1359" s="612"/>
      <c r="H1359" s="612"/>
    </row>
    <row r="1360">
      <c r="B1360" s="612"/>
      <c r="H1360" s="612"/>
    </row>
    <row r="1361">
      <c r="B1361" s="612"/>
      <c r="H1361" s="612"/>
    </row>
    <row r="1362">
      <c r="B1362" s="612"/>
      <c r="H1362" s="612"/>
    </row>
    <row r="1363">
      <c r="B1363" s="612"/>
      <c r="H1363" s="612"/>
    </row>
    <row r="1364">
      <c r="B1364" s="612"/>
      <c r="H1364" s="612"/>
    </row>
    <row r="1365">
      <c r="B1365" s="612"/>
      <c r="H1365" s="612"/>
    </row>
    <row r="1366">
      <c r="B1366" s="612"/>
      <c r="H1366" s="612"/>
    </row>
    <row r="1367">
      <c r="B1367" s="612"/>
      <c r="H1367" s="612"/>
    </row>
    <row r="1368">
      <c r="B1368" s="612"/>
      <c r="H1368" s="612"/>
    </row>
    <row r="1369">
      <c r="B1369" s="612"/>
      <c r="H1369" s="612"/>
    </row>
    <row r="1370">
      <c r="B1370" s="612"/>
      <c r="H1370" s="612"/>
    </row>
    <row r="1371">
      <c r="B1371" s="612"/>
      <c r="H1371" s="612"/>
    </row>
    <row r="1372">
      <c r="B1372" s="612"/>
      <c r="H1372" s="612"/>
    </row>
    <row r="1373">
      <c r="B1373" s="612"/>
      <c r="H1373" s="612"/>
    </row>
    <row r="1374">
      <c r="B1374" s="612"/>
      <c r="H1374" s="612"/>
    </row>
    <row r="1375">
      <c r="B1375" s="612"/>
      <c r="H1375" s="612"/>
    </row>
    <row r="1376">
      <c r="B1376" s="612"/>
      <c r="H1376" s="612"/>
    </row>
    <row r="1377">
      <c r="B1377" s="612"/>
      <c r="H1377" s="612"/>
    </row>
    <row r="1378">
      <c r="B1378" s="612"/>
      <c r="H1378" s="612"/>
    </row>
    <row r="1379">
      <c r="B1379" s="612"/>
      <c r="H1379" s="612"/>
    </row>
    <row r="1380">
      <c r="B1380" s="612"/>
      <c r="H1380" s="612"/>
    </row>
    <row r="1381">
      <c r="B1381" s="612"/>
      <c r="H1381" s="612"/>
    </row>
    <row r="1382">
      <c r="B1382" s="612"/>
      <c r="H1382" s="612"/>
    </row>
    <row r="1383">
      <c r="B1383" s="612"/>
      <c r="H1383" s="612"/>
    </row>
    <row r="1384">
      <c r="B1384" s="612"/>
      <c r="H1384" s="612"/>
    </row>
    <row r="1385">
      <c r="B1385" s="612"/>
      <c r="H1385" s="612"/>
    </row>
    <row r="1386">
      <c r="B1386" s="612"/>
      <c r="H1386" s="612"/>
    </row>
    <row r="1387">
      <c r="B1387" s="612"/>
      <c r="H1387" s="612"/>
    </row>
    <row r="1388">
      <c r="B1388" s="612"/>
      <c r="H1388" s="612"/>
    </row>
    <row r="1389">
      <c r="B1389" s="612"/>
      <c r="H1389" s="612"/>
    </row>
    <row r="1390">
      <c r="B1390" s="612"/>
      <c r="H1390" s="612"/>
    </row>
    <row r="1391">
      <c r="B1391" s="612"/>
      <c r="H1391" s="612"/>
    </row>
    <row r="1392">
      <c r="B1392" s="612"/>
      <c r="H1392" s="612"/>
    </row>
    <row r="1393">
      <c r="B1393" s="612"/>
      <c r="H1393" s="612"/>
    </row>
    <row r="1394">
      <c r="B1394" s="612"/>
      <c r="H1394" s="612"/>
    </row>
    <row r="1395">
      <c r="B1395" s="612"/>
      <c r="H1395" s="612"/>
    </row>
    <row r="1396">
      <c r="B1396" s="612"/>
      <c r="H1396" s="612"/>
    </row>
    <row r="1397">
      <c r="B1397" s="612"/>
      <c r="H1397" s="612"/>
    </row>
    <row r="1398">
      <c r="B1398" s="612"/>
      <c r="H1398" s="612"/>
    </row>
    <row r="1399">
      <c r="B1399" s="612"/>
      <c r="H1399" s="612"/>
    </row>
    <row r="1400">
      <c r="B1400" s="612"/>
      <c r="H1400" s="612"/>
    </row>
    <row r="1401">
      <c r="B1401" s="612"/>
      <c r="H1401" s="612"/>
    </row>
    <row r="1402">
      <c r="B1402" s="612"/>
      <c r="H1402" s="612"/>
    </row>
    <row r="1403">
      <c r="B1403" s="612"/>
      <c r="H1403" s="612"/>
    </row>
    <row r="1404">
      <c r="B1404" s="612"/>
      <c r="H1404" s="612"/>
    </row>
    <row r="1405">
      <c r="B1405" s="612"/>
      <c r="H1405" s="612"/>
    </row>
    <row r="1406">
      <c r="B1406" s="612"/>
      <c r="H1406" s="612"/>
    </row>
    <row r="1407">
      <c r="B1407" s="612"/>
      <c r="H1407" s="612"/>
    </row>
    <row r="1408">
      <c r="B1408" s="612"/>
      <c r="H1408" s="612"/>
    </row>
    <row r="1409">
      <c r="B1409" s="612"/>
      <c r="H1409" s="612"/>
    </row>
    <row r="1410">
      <c r="B1410" s="612"/>
      <c r="H1410" s="612"/>
    </row>
    <row r="1411">
      <c r="B1411" s="612"/>
      <c r="H1411" s="612"/>
    </row>
    <row r="1412">
      <c r="B1412" s="612"/>
      <c r="H1412" s="612"/>
    </row>
    <row r="1413">
      <c r="B1413" s="612"/>
      <c r="H1413" s="612"/>
    </row>
    <row r="1414">
      <c r="B1414" s="612"/>
      <c r="H1414" s="612"/>
    </row>
    <row r="1415">
      <c r="B1415" s="612"/>
      <c r="H1415" s="612"/>
    </row>
    <row r="1416">
      <c r="B1416" s="612"/>
      <c r="H1416" s="612"/>
    </row>
    <row r="1417">
      <c r="B1417" s="612"/>
      <c r="H1417" s="612"/>
    </row>
    <row r="1418">
      <c r="B1418" s="612"/>
      <c r="H1418" s="612"/>
    </row>
    <row r="1419">
      <c r="B1419" s="612"/>
      <c r="H1419" s="612"/>
    </row>
    <row r="1420">
      <c r="B1420" s="612"/>
      <c r="H1420" s="612"/>
    </row>
    <row r="1421">
      <c r="B1421" s="612"/>
      <c r="H1421" s="612"/>
    </row>
    <row r="1422">
      <c r="B1422" s="612"/>
      <c r="H1422" s="612"/>
    </row>
    <row r="1423">
      <c r="B1423" s="612"/>
      <c r="H1423" s="612"/>
    </row>
    <row r="1424">
      <c r="B1424" s="612"/>
      <c r="H1424" s="612"/>
    </row>
    <row r="1425">
      <c r="B1425" s="612"/>
      <c r="H1425" s="612"/>
    </row>
    <row r="1426">
      <c r="B1426" s="612"/>
      <c r="H1426" s="612"/>
    </row>
    <row r="1427">
      <c r="B1427" s="612"/>
      <c r="H1427" s="612"/>
    </row>
    <row r="1428">
      <c r="B1428" s="612"/>
      <c r="H1428" s="612"/>
    </row>
    <row r="1429">
      <c r="B1429" s="612"/>
      <c r="H1429" s="612"/>
    </row>
    <row r="1430">
      <c r="B1430" s="612"/>
      <c r="H1430" s="612"/>
    </row>
    <row r="1431">
      <c r="B1431" s="612"/>
      <c r="H1431" s="612"/>
    </row>
    <row r="1432">
      <c r="B1432" s="612"/>
      <c r="H1432" s="612"/>
    </row>
    <row r="1433">
      <c r="B1433" s="612"/>
      <c r="H1433" s="612"/>
    </row>
    <row r="1434">
      <c r="B1434" s="612"/>
      <c r="H1434" s="612"/>
    </row>
    <row r="1435">
      <c r="B1435" s="612"/>
      <c r="H1435" s="612"/>
    </row>
    <row r="1436">
      <c r="B1436" s="612"/>
      <c r="H1436" s="612"/>
    </row>
    <row r="1437">
      <c r="B1437" s="612"/>
      <c r="H1437" s="612"/>
    </row>
    <row r="1438">
      <c r="B1438" s="612"/>
      <c r="H1438" s="612"/>
    </row>
    <row r="1439">
      <c r="B1439" s="612"/>
      <c r="H1439" s="612"/>
    </row>
    <row r="1440">
      <c r="B1440" s="612"/>
      <c r="H1440" s="612"/>
    </row>
    <row r="1441">
      <c r="B1441" s="612"/>
      <c r="H1441" s="612"/>
    </row>
    <row r="1442">
      <c r="B1442" s="612"/>
      <c r="H1442" s="612"/>
    </row>
    <row r="1443">
      <c r="B1443" s="612"/>
      <c r="H1443" s="612"/>
    </row>
    <row r="1444">
      <c r="B1444" s="612"/>
      <c r="H1444" s="612"/>
    </row>
    <row r="1445">
      <c r="B1445" s="612"/>
      <c r="H1445" s="612"/>
    </row>
    <row r="1446">
      <c r="B1446" s="612"/>
      <c r="H1446" s="612"/>
    </row>
    <row r="1447">
      <c r="B1447" s="612"/>
      <c r="H1447" s="612"/>
    </row>
    <row r="1448">
      <c r="B1448" s="612"/>
      <c r="H1448" s="612"/>
    </row>
    <row r="1449">
      <c r="B1449" s="612"/>
      <c r="H1449" s="612"/>
    </row>
    <row r="1450">
      <c r="B1450" s="612"/>
      <c r="H1450" s="612"/>
    </row>
    <row r="1451">
      <c r="B1451" s="612"/>
      <c r="H1451" s="612"/>
    </row>
    <row r="1452">
      <c r="B1452" s="612"/>
      <c r="H1452" s="612"/>
    </row>
    <row r="1453">
      <c r="B1453" s="612"/>
      <c r="H1453" s="612"/>
    </row>
    <row r="1454">
      <c r="B1454" s="612"/>
      <c r="H1454" s="612"/>
    </row>
    <row r="1455">
      <c r="B1455" s="612"/>
      <c r="H1455" s="612"/>
    </row>
    <row r="1456">
      <c r="B1456" s="612"/>
      <c r="H1456" s="612"/>
    </row>
    <row r="1457">
      <c r="B1457" s="612"/>
      <c r="H1457" s="612"/>
    </row>
    <row r="1458">
      <c r="B1458" s="612"/>
      <c r="H1458" s="612"/>
    </row>
    <row r="1459">
      <c r="B1459" s="612"/>
      <c r="H1459" s="612"/>
    </row>
    <row r="1460">
      <c r="B1460" s="612"/>
      <c r="H1460" s="612"/>
    </row>
    <row r="1461">
      <c r="B1461" s="612"/>
      <c r="H1461" s="612"/>
    </row>
    <row r="1462">
      <c r="B1462" s="612"/>
      <c r="H1462" s="612"/>
    </row>
    <row r="1463">
      <c r="B1463" s="612"/>
      <c r="H1463" s="612"/>
    </row>
    <row r="1464">
      <c r="B1464" s="612"/>
      <c r="H1464" s="612"/>
    </row>
    <row r="1465">
      <c r="B1465" s="612"/>
      <c r="H1465" s="612"/>
    </row>
    <row r="1466">
      <c r="B1466" s="612"/>
      <c r="H1466" s="612"/>
    </row>
    <row r="1467">
      <c r="B1467" s="612"/>
      <c r="H1467" s="612"/>
    </row>
    <row r="1468">
      <c r="B1468" s="612"/>
      <c r="H1468" s="612"/>
    </row>
    <row r="1469">
      <c r="B1469" s="612"/>
      <c r="H1469" s="612"/>
    </row>
    <row r="1470">
      <c r="B1470" s="612"/>
      <c r="H1470" s="612"/>
    </row>
    <row r="1471">
      <c r="B1471" s="612"/>
      <c r="H1471" s="612"/>
    </row>
    <row r="1472">
      <c r="B1472" s="612"/>
      <c r="H1472" s="612"/>
    </row>
    <row r="1473">
      <c r="B1473" s="612"/>
      <c r="H1473" s="612"/>
    </row>
    <row r="1474">
      <c r="B1474" s="612"/>
      <c r="H1474" s="612"/>
    </row>
    <row r="1475">
      <c r="B1475" s="612"/>
      <c r="H1475" s="612"/>
    </row>
    <row r="1476">
      <c r="B1476" s="612"/>
      <c r="H1476" s="612"/>
    </row>
    <row r="1477">
      <c r="B1477" s="612"/>
      <c r="H1477" s="612"/>
    </row>
    <row r="1478">
      <c r="B1478" s="612"/>
      <c r="H1478" s="612"/>
    </row>
    <row r="1479">
      <c r="B1479" s="612"/>
      <c r="H1479" s="612"/>
    </row>
    <row r="1480">
      <c r="B1480" s="612"/>
      <c r="H1480" s="612"/>
    </row>
    <row r="1481">
      <c r="B1481" s="612"/>
      <c r="H1481" s="612"/>
    </row>
    <row r="1482">
      <c r="B1482" s="612"/>
      <c r="H1482" s="612"/>
    </row>
    <row r="1483">
      <c r="B1483" s="612"/>
      <c r="H1483" s="612"/>
    </row>
    <row r="1484">
      <c r="B1484" s="612"/>
      <c r="H1484" s="612"/>
    </row>
    <row r="1485">
      <c r="B1485" s="612"/>
      <c r="H1485" s="612"/>
    </row>
    <row r="1486">
      <c r="B1486" s="612"/>
      <c r="H1486" s="612"/>
    </row>
    <row r="1487">
      <c r="B1487" s="612"/>
      <c r="H1487" s="612"/>
    </row>
    <row r="1488">
      <c r="B1488" s="612"/>
      <c r="H1488" s="612"/>
    </row>
    <row r="1489">
      <c r="B1489" s="612"/>
      <c r="H1489" s="612"/>
    </row>
    <row r="1490">
      <c r="B1490" s="612"/>
      <c r="H1490" s="612"/>
    </row>
    <row r="1491">
      <c r="B1491" s="612"/>
      <c r="H1491" s="612"/>
    </row>
    <row r="1492">
      <c r="B1492" s="612"/>
      <c r="H1492" s="612"/>
    </row>
    <row r="1493">
      <c r="B1493" s="612"/>
      <c r="H1493" s="612"/>
    </row>
    <row r="1494">
      <c r="B1494" s="612"/>
      <c r="H1494" s="612"/>
    </row>
    <row r="1495">
      <c r="B1495" s="612"/>
      <c r="H1495" s="612"/>
    </row>
    <row r="1496">
      <c r="B1496" s="612"/>
      <c r="H1496" s="612"/>
    </row>
    <row r="1497">
      <c r="B1497" s="612"/>
      <c r="H1497" s="612"/>
    </row>
    <row r="1498">
      <c r="B1498" s="612"/>
      <c r="H1498" s="612"/>
    </row>
    <row r="1499">
      <c r="B1499" s="612"/>
      <c r="H1499" s="612"/>
    </row>
    <row r="1500">
      <c r="B1500" s="612"/>
      <c r="H1500" s="612"/>
    </row>
    <row r="1501">
      <c r="B1501" s="612"/>
      <c r="H1501" s="612"/>
    </row>
    <row r="1502">
      <c r="B1502" s="612"/>
      <c r="H1502" s="612"/>
    </row>
    <row r="1503">
      <c r="B1503" s="612"/>
      <c r="H1503" s="612"/>
    </row>
    <row r="1504">
      <c r="B1504" s="612"/>
      <c r="H1504" s="612"/>
    </row>
    <row r="1505">
      <c r="B1505" s="612"/>
      <c r="H1505" s="612"/>
    </row>
    <row r="1506">
      <c r="B1506" s="612"/>
      <c r="H1506" s="612"/>
    </row>
    <row r="1507">
      <c r="B1507" s="612"/>
      <c r="H1507" s="612"/>
    </row>
    <row r="1508">
      <c r="B1508" s="612"/>
      <c r="H1508" s="612"/>
    </row>
    <row r="1509">
      <c r="B1509" s="612"/>
      <c r="H1509" s="612"/>
    </row>
    <row r="1510">
      <c r="B1510" s="612"/>
      <c r="H1510" s="612"/>
    </row>
    <row r="1511">
      <c r="B1511" s="612"/>
      <c r="H1511" s="612"/>
    </row>
    <row r="1512">
      <c r="B1512" s="612"/>
      <c r="H1512" s="612"/>
    </row>
    <row r="1513">
      <c r="B1513" s="612"/>
      <c r="H1513" s="612"/>
    </row>
    <row r="1514">
      <c r="B1514" s="612"/>
      <c r="H1514" s="612"/>
    </row>
    <row r="1515">
      <c r="B1515" s="612"/>
      <c r="H1515" s="612"/>
    </row>
    <row r="1516">
      <c r="B1516" s="612"/>
      <c r="H1516" s="612"/>
    </row>
    <row r="1517">
      <c r="B1517" s="612"/>
      <c r="H1517" s="612"/>
    </row>
    <row r="1518">
      <c r="B1518" s="612"/>
      <c r="H1518" s="612"/>
    </row>
    <row r="1519">
      <c r="B1519" s="612"/>
      <c r="H1519" s="612"/>
    </row>
    <row r="1520">
      <c r="B1520" s="612"/>
      <c r="H1520" s="612"/>
    </row>
    <row r="1521">
      <c r="B1521" s="612"/>
      <c r="H1521" s="612"/>
    </row>
    <row r="1522">
      <c r="B1522" s="612"/>
      <c r="H1522" s="612"/>
    </row>
    <row r="1523">
      <c r="B1523" s="612"/>
      <c r="H1523" s="612"/>
    </row>
    <row r="1524">
      <c r="B1524" s="612"/>
      <c r="H1524" s="612"/>
    </row>
    <row r="1525">
      <c r="B1525" s="612"/>
      <c r="H1525" s="612"/>
    </row>
    <row r="1526">
      <c r="B1526" s="612"/>
      <c r="H1526" s="612"/>
    </row>
    <row r="1527">
      <c r="B1527" s="612"/>
      <c r="H1527" s="612"/>
    </row>
    <row r="1528">
      <c r="B1528" s="612"/>
      <c r="H1528" s="612"/>
    </row>
    <row r="1529">
      <c r="B1529" s="612"/>
      <c r="H1529" s="612"/>
    </row>
    <row r="1530">
      <c r="B1530" s="612"/>
      <c r="H1530" s="612"/>
    </row>
    <row r="1531">
      <c r="B1531" s="612"/>
      <c r="H1531" s="612"/>
    </row>
    <row r="1532">
      <c r="B1532" s="612"/>
      <c r="H1532" s="612"/>
    </row>
    <row r="1533">
      <c r="B1533" s="612"/>
      <c r="H1533" s="612"/>
    </row>
    <row r="1534">
      <c r="B1534" s="612"/>
      <c r="H1534" s="612"/>
    </row>
    <row r="1535">
      <c r="B1535" s="612"/>
      <c r="H1535" s="612"/>
    </row>
    <row r="1536">
      <c r="B1536" s="612"/>
      <c r="H1536" s="612"/>
    </row>
    <row r="1537">
      <c r="B1537" s="612"/>
      <c r="H1537" s="612"/>
    </row>
    <row r="1538">
      <c r="B1538" s="612"/>
      <c r="H1538" s="612"/>
    </row>
    <row r="1539">
      <c r="B1539" s="612"/>
      <c r="H1539" s="612"/>
    </row>
    <row r="1540">
      <c r="B1540" s="612"/>
      <c r="H1540" s="612"/>
    </row>
    <row r="1541">
      <c r="B1541" s="612"/>
      <c r="H1541" s="612"/>
    </row>
    <row r="1542">
      <c r="B1542" s="612"/>
      <c r="H1542" s="612"/>
    </row>
    <row r="1543">
      <c r="B1543" s="612"/>
      <c r="H1543" s="612"/>
    </row>
    <row r="1544">
      <c r="B1544" s="612"/>
      <c r="H1544" s="612"/>
    </row>
    <row r="1545">
      <c r="B1545" s="612"/>
      <c r="H1545" s="612"/>
    </row>
    <row r="1546">
      <c r="B1546" s="612"/>
      <c r="H1546" s="612"/>
    </row>
    <row r="1547">
      <c r="B1547" s="612"/>
      <c r="H1547" s="612"/>
    </row>
    <row r="1548">
      <c r="B1548" s="612"/>
      <c r="H1548" s="612"/>
    </row>
    <row r="1549">
      <c r="B1549" s="612"/>
      <c r="H1549" s="612"/>
    </row>
    <row r="1550">
      <c r="B1550" s="612"/>
      <c r="H1550" s="612"/>
    </row>
    <row r="1551">
      <c r="B1551" s="612"/>
      <c r="H1551" s="612"/>
    </row>
    <row r="1552">
      <c r="B1552" s="612"/>
      <c r="H1552" s="612"/>
    </row>
    <row r="1553">
      <c r="B1553" s="612"/>
      <c r="H1553" s="612"/>
    </row>
    <row r="1554">
      <c r="B1554" s="612"/>
      <c r="H1554" s="612"/>
    </row>
    <row r="1555">
      <c r="B1555" s="612"/>
      <c r="H1555" s="612"/>
    </row>
    <row r="1556">
      <c r="B1556" s="612"/>
      <c r="H1556" s="612"/>
    </row>
    <row r="1557">
      <c r="B1557" s="612"/>
      <c r="H1557" s="612"/>
    </row>
    <row r="1558">
      <c r="B1558" s="612"/>
      <c r="H1558" s="612"/>
    </row>
    <row r="1559">
      <c r="B1559" s="612"/>
      <c r="H1559" s="612"/>
    </row>
    <row r="1560">
      <c r="B1560" s="612"/>
      <c r="H1560" s="612"/>
    </row>
    <row r="1561">
      <c r="B1561" s="612"/>
      <c r="H1561" s="612"/>
    </row>
    <row r="1562">
      <c r="B1562" s="612"/>
      <c r="H1562" s="612"/>
    </row>
    <row r="1563">
      <c r="B1563" s="612"/>
      <c r="H1563" s="612"/>
    </row>
    <row r="1564">
      <c r="B1564" s="612"/>
      <c r="H1564" s="612"/>
    </row>
    <row r="1565">
      <c r="B1565" s="612"/>
      <c r="H1565" s="612"/>
    </row>
    <row r="1566">
      <c r="B1566" s="612"/>
      <c r="H1566" s="612"/>
    </row>
    <row r="1567">
      <c r="B1567" s="612"/>
      <c r="H1567" s="612"/>
    </row>
    <row r="1568">
      <c r="B1568" s="612"/>
      <c r="H1568" s="612"/>
    </row>
    <row r="1569">
      <c r="B1569" s="612"/>
      <c r="H1569" s="612"/>
    </row>
    <row r="1570">
      <c r="B1570" s="612"/>
      <c r="H1570" s="612"/>
    </row>
    <row r="1571">
      <c r="B1571" s="612"/>
      <c r="H1571" s="612"/>
    </row>
    <row r="1572">
      <c r="B1572" s="612"/>
      <c r="H1572" s="612"/>
    </row>
    <row r="1573">
      <c r="B1573" s="612"/>
      <c r="H1573" s="612"/>
    </row>
    <row r="1574">
      <c r="B1574" s="612"/>
      <c r="H1574" s="612"/>
    </row>
    <row r="1575">
      <c r="B1575" s="612"/>
      <c r="H1575" s="612"/>
    </row>
    <row r="1576">
      <c r="B1576" s="612"/>
      <c r="H1576" s="612"/>
    </row>
    <row r="1577">
      <c r="B1577" s="612"/>
      <c r="H1577" s="612"/>
    </row>
    <row r="1578">
      <c r="B1578" s="612"/>
      <c r="H1578" s="612"/>
    </row>
    <row r="1579">
      <c r="B1579" s="612"/>
      <c r="H1579" s="612"/>
    </row>
    <row r="1580">
      <c r="B1580" s="612"/>
      <c r="H1580" s="612"/>
    </row>
    <row r="1581">
      <c r="B1581" s="612"/>
      <c r="H1581" s="612"/>
    </row>
    <row r="1582">
      <c r="B1582" s="612"/>
      <c r="H1582" s="612"/>
    </row>
    <row r="1583">
      <c r="B1583" s="612"/>
      <c r="H1583" s="612"/>
    </row>
    <row r="1584">
      <c r="B1584" s="612"/>
      <c r="H1584" s="612"/>
    </row>
    <row r="1585">
      <c r="B1585" s="612"/>
      <c r="H1585" s="612"/>
    </row>
    <row r="1586">
      <c r="B1586" s="612"/>
      <c r="H1586" s="612"/>
    </row>
    <row r="1587">
      <c r="B1587" s="612"/>
      <c r="H1587" s="612"/>
    </row>
    <row r="1588">
      <c r="B1588" s="612"/>
      <c r="H1588" s="612"/>
    </row>
    <row r="1589">
      <c r="B1589" s="612"/>
      <c r="H1589" s="612"/>
    </row>
    <row r="1590">
      <c r="B1590" s="612"/>
      <c r="H1590" s="612"/>
    </row>
    <row r="1591">
      <c r="B1591" s="612"/>
      <c r="H1591" s="612"/>
    </row>
    <row r="1592">
      <c r="B1592" s="612"/>
      <c r="H1592" s="612"/>
    </row>
    <row r="1593">
      <c r="B1593" s="612"/>
      <c r="H1593" s="612"/>
    </row>
    <row r="1594">
      <c r="B1594" s="612"/>
      <c r="H1594" s="612"/>
    </row>
    <row r="1595">
      <c r="B1595" s="612"/>
      <c r="H1595" s="612"/>
    </row>
    <row r="1596">
      <c r="B1596" s="612"/>
      <c r="H1596" s="612"/>
    </row>
    <row r="1597">
      <c r="B1597" s="612"/>
      <c r="H1597" s="612"/>
    </row>
    <row r="1598">
      <c r="B1598" s="612"/>
      <c r="H1598" s="612"/>
    </row>
    <row r="1599">
      <c r="B1599" s="612"/>
      <c r="H1599" s="612"/>
    </row>
    <row r="1600">
      <c r="B1600" s="612"/>
      <c r="H1600" s="612"/>
    </row>
    <row r="1601">
      <c r="B1601" s="612"/>
      <c r="H1601" s="612"/>
    </row>
    <row r="1602">
      <c r="B1602" s="612"/>
      <c r="H1602" s="612"/>
    </row>
    <row r="1603">
      <c r="B1603" s="612"/>
      <c r="H1603" s="612"/>
    </row>
    <row r="1604">
      <c r="B1604" s="612"/>
      <c r="H1604" s="612"/>
    </row>
    <row r="1605">
      <c r="B1605" s="612"/>
      <c r="H1605" s="612"/>
    </row>
    <row r="1606">
      <c r="B1606" s="612"/>
      <c r="H1606" s="612"/>
    </row>
    <row r="1607">
      <c r="B1607" s="612"/>
      <c r="H1607" s="612"/>
    </row>
    <row r="1608">
      <c r="B1608" s="612"/>
      <c r="H1608" s="612"/>
    </row>
    <row r="1609">
      <c r="B1609" s="612"/>
      <c r="H1609" s="612"/>
    </row>
    <row r="1610">
      <c r="B1610" s="612"/>
      <c r="H1610" s="612"/>
    </row>
    <row r="1611">
      <c r="B1611" s="612"/>
      <c r="H1611" s="612"/>
    </row>
    <row r="1612">
      <c r="B1612" s="612"/>
      <c r="H1612" s="612"/>
    </row>
    <row r="1613">
      <c r="B1613" s="612"/>
      <c r="H1613" s="612"/>
    </row>
    <row r="1614">
      <c r="B1614" s="612"/>
      <c r="H1614" s="612"/>
    </row>
    <row r="1615">
      <c r="B1615" s="612"/>
      <c r="H1615" s="612"/>
    </row>
    <row r="1616">
      <c r="B1616" s="612"/>
      <c r="H1616" s="612"/>
    </row>
    <row r="1617">
      <c r="B1617" s="612"/>
      <c r="H1617" s="612"/>
    </row>
    <row r="1618">
      <c r="B1618" s="612"/>
      <c r="H1618" s="612"/>
    </row>
    <row r="1619">
      <c r="B1619" s="612"/>
      <c r="H1619" s="612"/>
    </row>
    <row r="1620">
      <c r="B1620" s="612"/>
      <c r="H1620" s="612"/>
    </row>
    <row r="1621">
      <c r="B1621" s="612"/>
      <c r="H1621" s="612"/>
    </row>
    <row r="1622">
      <c r="B1622" s="612"/>
      <c r="H1622" s="612"/>
    </row>
    <row r="1623">
      <c r="B1623" s="612"/>
      <c r="H1623" s="612"/>
    </row>
    <row r="1624">
      <c r="B1624" s="612"/>
      <c r="H1624" s="612"/>
    </row>
    <row r="1625">
      <c r="B1625" s="612"/>
      <c r="H1625" s="612"/>
    </row>
    <row r="1626">
      <c r="B1626" s="612"/>
      <c r="H1626" s="612"/>
    </row>
    <row r="1627">
      <c r="B1627" s="612"/>
      <c r="H1627" s="612"/>
    </row>
    <row r="1628">
      <c r="B1628" s="612"/>
      <c r="H1628" s="612"/>
    </row>
    <row r="1629">
      <c r="B1629" s="612"/>
      <c r="H1629" s="612"/>
    </row>
    <row r="1630">
      <c r="B1630" s="612"/>
      <c r="H1630" s="612"/>
    </row>
    <row r="1631">
      <c r="B1631" s="612"/>
      <c r="H1631" s="612"/>
    </row>
    <row r="1632">
      <c r="B1632" s="612"/>
      <c r="H1632" s="612"/>
    </row>
    <row r="1633">
      <c r="B1633" s="612"/>
      <c r="H1633" s="612"/>
    </row>
    <row r="1634">
      <c r="B1634" s="612"/>
      <c r="H1634" s="612"/>
    </row>
    <row r="1635">
      <c r="B1635" s="612"/>
      <c r="H1635" s="612"/>
    </row>
    <row r="1636">
      <c r="B1636" s="612"/>
      <c r="H1636" s="612"/>
    </row>
    <row r="1637">
      <c r="B1637" s="612"/>
      <c r="H1637" s="612"/>
    </row>
    <row r="1638">
      <c r="B1638" s="612"/>
      <c r="H1638" s="612"/>
    </row>
    <row r="1639">
      <c r="B1639" s="612"/>
      <c r="H1639" s="612"/>
    </row>
    <row r="1640">
      <c r="B1640" s="612"/>
      <c r="H1640" s="612"/>
    </row>
    <row r="1641">
      <c r="B1641" s="612"/>
      <c r="H1641" s="612"/>
    </row>
    <row r="1642">
      <c r="B1642" s="612"/>
      <c r="H1642" s="612"/>
    </row>
    <row r="1643">
      <c r="B1643" s="612"/>
      <c r="H1643" s="612"/>
    </row>
    <row r="1644">
      <c r="B1644" s="612"/>
      <c r="H1644" s="612"/>
    </row>
    <row r="1645">
      <c r="B1645" s="612"/>
      <c r="H1645" s="612"/>
    </row>
    <row r="1646">
      <c r="B1646" s="612"/>
      <c r="H1646" s="612"/>
    </row>
    <row r="1647">
      <c r="B1647" s="612"/>
      <c r="H1647" s="612"/>
    </row>
    <row r="1648">
      <c r="B1648" s="612"/>
      <c r="H1648" s="612"/>
    </row>
    <row r="1649">
      <c r="B1649" s="612"/>
      <c r="H1649" s="612"/>
    </row>
    <row r="1650">
      <c r="B1650" s="612"/>
      <c r="H1650" s="612"/>
    </row>
    <row r="1651">
      <c r="B1651" s="612"/>
      <c r="H1651" s="612"/>
    </row>
    <row r="1652">
      <c r="B1652" s="612"/>
      <c r="H1652" s="612"/>
    </row>
    <row r="1653">
      <c r="B1653" s="612"/>
      <c r="H1653" s="612"/>
    </row>
    <row r="1654">
      <c r="B1654" s="612"/>
      <c r="H1654" s="612"/>
    </row>
    <row r="1655">
      <c r="B1655" s="612"/>
      <c r="H1655" s="612"/>
    </row>
    <row r="1656">
      <c r="B1656" s="612"/>
      <c r="H1656" s="612"/>
    </row>
    <row r="1657">
      <c r="B1657" s="612"/>
      <c r="H1657" s="612"/>
    </row>
    <row r="1658">
      <c r="B1658" s="612"/>
      <c r="H1658" s="612"/>
    </row>
    <row r="1659">
      <c r="B1659" s="612"/>
      <c r="H1659" s="612"/>
    </row>
    <row r="1660">
      <c r="B1660" s="612"/>
      <c r="H1660" s="612"/>
    </row>
    <row r="1661">
      <c r="B1661" s="612"/>
      <c r="H1661" s="612"/>
    </row>
    <row r="1662">
      <c r="B1662" s="612"/>
      <c r="H1662" s="612"/>
    </row>
    <row r="1663">
      <c r="B1663" s="612"/>
      <c r="H1663" s="612"/>
    </row>
    <row r="1664">
      <c r="B1664" s="612"/>
      <c r="H1664" s="612"/>
    </row>
    <row r="1665">
      <c r="B1665" s="612"/>
      <c r="H1665" s="612"/>
    </row>
    <row r="1666">
      <c r="B1666" s="612"/>
      <c r="H1666" s="612"/>
    </row>
    <row r="1667">
      <c r="B1667" s="612"/>
      <c r="H1667" s="612"/>
    </row>
    <row r="1668">
      <c r="B1668" s="612"/>
      <c r="H1668" s="612"/>
    </row>
    <row r="1669">
      <c r="B1669" s="612"/>
      <c r="H1669" s="612"/>
    </row>
    <row r="1670">
      <c r="B1670" s="612"/>
      <c r="H1670" s="612"/>
    </row>
    <row r="1671">
      <c r="B1671" s="612"/>
      <c r="H1671" s="612"/>
    </row>
    <row r="1672">
      <c r="B1672" s="612"/>
      <c r="H1672" s="612"/>
    </row>
    <row r="1673">
      <c r="B1673" s="612"/>
      <c r="H1673" s="612"/>
    </row>
    <row r="1674">
      <c r="B1674" s="612"/>
      <c r="H1674" s="612"/>
    </row>
    <row r="1675">
      <c r="B1675" s="612"/>
      <c r="H1675" s="612"/>
    </row>
    <row r="1676">
      <c r="B1676" s="612"/>
      <c r="H1676" s="612"/>
    </row>
    <row r="1677">
      <c r="B1677" s="612"/>
      <c r="H1677" s="612"/>
    </row>
    <row r="1678">
      <c r="B1678" s="612"/>
      <c r="H1678" s="612"/>
    </row>
    <row r="1679">
      <c r="B1679" s="612"/>
      <c r="H1679" s="612"/>
    </row>
    <row r="1680">
      <c r="B1680" s="612"/>
      <c r="H1680" s="612"/>
    </row>
    <row r="1681">
      <c r="B1681" s="612"/>
      <c r="H1681" s="612"/>
    </row>
    <row r="1682">
      <c r="B1682" s="612"/>
      <c r="H1682" s="612"/>
    </row>
    <row r="1683">
      <c r="B1683" s="612"/>
      <c r="H1683" s="612"/>
    </row>
    <row r="1684">
      <c r="B1684" s="612"/>
      <c r="H1684" s="612"/>
    </row>
    <row r="1685">
      <c r="B1685" s="612"/>
      <c r="H1685" s="612"/>
    </row>
    <row r="1686">
      <c r="B1686" s="612"/>
      <c r="H1686" s="612"/>
    </row>
    <row r="1687">
      <c r="B1687" s="612"/>
      <c r="H1687" s="612"/>
    </row>
    <row r="1688">
      <c r="B1688" s="612"/>
      <c r="H1688" s="612"/>
    </row>
    <row r="1689">
      <c r="B1689" s="612"/>
      <c r="H1689" s="612"/>
    </row>
    <row r="1690">
      <c r="B1690" s="612"/>
      <c r="H1690" s="612"/>
    </row>
    <row r="1691">
      <c r="B1691" s="612"/>
      <c r="H1691" s="612"/>
    </row>
    <row r="1692">
      <c r="B1692" s="612"/>
      <c r="H1692" s="612"/>
    </row>
    <row r="1693">
      <c r="B1693" s="612"/>
      <c r="H1693" s="612"/>
    </row>
    <row r="1694">
      <c r="B1694" s="612"/>
      <c r="H1694" s="612"/>
    </row>
    <row r="1695">
      <c r="B1695" s="612"/>
      <c r="H1695" s="612"/>
    </row>
    <row r="1696">
      <c r="B1696" s="612"/>
      <c r="H1696" s="612"/>
    </row>
    <row r="1697">
      <c r="B1697" s="612"/>
      <c r="H1697" s="612"/>
    </row>
    <row r="1698">
      <c r="B1698" s="612"/>
      <c r="H1698" s="612"/>
    </row>
    <row r="1699">
      <c r="B1699" s="612"/>
      <c r="H1699" s="612"/>
    </row>
    <row r="1700">
      <c r="B1700" s="612"/>
      <c r="H1700" s="612"/>
    </row>
    <row r="1701">
      <c r="B1701" s="612"/>
      <c r="H1701" s="612"/>
    </row>
    <row r="1702">
      <c r="B1702" s="612"/>
      <c r="H1702" s="612"/>
    </row>
    <row r="1703">
      <c r="B1703" s="612"/>
      <c r="H1703" s="612"/>
    </row>
    <row r="1704">
      <c r="B1704" s="612"/>
      <c r="H1704" s="612"/>
    </row>
    <row r="1705">
      <c r="B1705" s="612"/>
      <c r="H1705" s="612"/>
    </row>
    <row r="1706">
      <c r="B1706" s="612"/>
      <c r="H1706" s="612"/>
    </row>
    <row r="1707">
      <c r="B1707" s="612"/>
      <c r="H1707" s="612"/>
    </row>
    <row r="1708">
      <c r="B1708" s="612"/>
      <c r="H1708" s="612"/>
    </row>
    <row r="1709">
      <c r="B1709" s="612"/>
      <c r="H1709" s="612"/>
    </row>
    <row r="1710">
      <c r="B1710" s="612"/>
      <c r="H1710" s="612"/>
    </row>
    <row r="1711">
      <c r="B1711" s="612"/>
      <c r="H1711" s="612"/>
    </row>
    <row r="1712">
      <c r="B1712" s="612"/>
      <c r="H1712" s="612"/>
    </row>
    <row r="1713">
      <c r="B1713" s="612"/>
      <c r="H1713" s="612"/>
    </row>
    <row r="1714">
      <c r="B1714" s="612"/>
      <c r="H1714" s="612"/>
    </row>
    <row r="1715">
      <c r="B1715" s="612"/>
      <c r="H1715" s="612"/>
    </row>
    <row r="1716">
      <c r="B1716" s="612"/>
      <c r="H1716" s="612"/>
    </row>
    <row r="1717">
      <c r="B1717" s="612"/>
      <c r="H1717" s="612"/>
    </row>
    <row r="1718">
      <c r="B1718" s="612"/>
      <c r="H1718" s="612"/>
    </row>
    <row r="1719">
      <c r="B1719" s="612"/>
      <c r="H1719" s="612"/>
    </row>
    <row r="1720">
      <c r="B1720" s="612"/>
      <c r="H1720" s="612"/>
    </row>
    <row r="1721">
      <c r="B1721" s="612"/>
      <c r="H1721" s="612"/>
    </row>
    <row r="1722">
      <c r="B1722" s="612"/>
      <c r="H1722" s="612"/>
    </row>
    <row r="1723">
      <c r="B1723" s="612"/>
      <c r="H1723" s="612"/>
    </row>
    <row r="1724">
      <c r="B1724" s="612"/>
      <c r="H1724" s="612"/>
    </row>
    <row r="1725">
      <c r="B1725" s="612"/>
      <c r="H1725" s="612"/>
    </row>
    <row r="1726">
      <c r="B1726" s="612"/>
      <c r="H1726" s="612"/>
    </row>
    <row r="1727">
      <c r="B1727" s="612"/>
      <c r="H1727" s="612"/>
    </row>
    <row r="1728">
      <c r="B1728" s="612"/>
      <c r="H1728" s="612"/>
    </row>
    <row r="1729">
      <c r="B1729" s="612"/>
      <c r="H1729" s="612"/>
    </row>
    <row r="1730">
      <c r="B1730" s="612"/>
      <c r="H1730" s="612"/>
    </row>
    <row r="1731">
      <c r="B1731" s="612"/>
      <c r="H1731" s="612"/>
    </row>
    <row r="1732">
      <c r="B1732" s="612"/>
      <c r="H1732" s="612"/>
    </row>
    <row r="1733">
      <c r="B1733" s="612"/>
      <c r="H1733" s="612"/>
    </row>
    <row r="1734">
      <c r="B1734" s="612"/>
      <c r="H1734" s="612"/>
    </row>
    <row r="1735">
      <c r="B1735" s="612"/>
      <c r="H1735" s="612"/>
    </row>
    <row r="1736">
      <c r="B1736" s="612"/>
      <c r="H1736" s="612"/>
    </row>
    <row r="1737">
      <c r="B1737" s="612"/>
      <c r="H1737" s="612"/>
    </row>
    <row r="1738">
      <c r="B1738" s="612"/>
      <c r="H1738" s="612"/>
    </row>
    <row r="1739">
      <c r="B1739" s="612"/>
      <c r="H1739" s="612"/>
    </row>
    <row r="1740">
      <c r="B1740" s="612"/>
      <c r="H1740" s="612"/>
    </row>
    <row r="1741">
      <c r="B1741" s="612"/>
      <c r="H1741" s="612"/>
    </row>
    <row r="1742">
      <c r="B1742" s="612"/>
      <c r="H1742" s="612"/>
    </row>
    <row r="1743">
      <c r="B1743" s="612"/>
      <c r="H1743" s="612"/>
    </row>
    <row r="1744">
      <c r="B1744" s="612"/>
      <c r="H1744" s="612"/>
    </row>
    <row r="1745">
      <c r="B1745" s="612"/>
      <c r="H1745" s="612"/>
    </row>
    <row r="1746">
      <c r="B1746" s="612"/>
      <c r="H1746" s="612"/>
    </row>
    <row r="1747">
      <c r="B1747" s="612"/>
      <c r="H1747" s="612"/>
    </row>
    <row r="1748">
      <c r="B1748" s="612"/>
      <c r="H1748" s="612"/>
    </row>
    <row r="1749">
      <c r="B1749" s="612"/>
      <c r="H1749" s="612"/>
    </row>
    <row r="1750">
      <c r="B1750" s="612"/>
      <c r="H1750" s="612"/>
    </row>
    <row r="1751">
      <c r="B1751" s="612"/>
      <c r="H1751" s="612"/>
    </row>
    <row r="1752">
      <c r="B1752" s="612"/>
      <c r="H1752" s="612"/>
    </row>
    <row r="1753">
      <c r="B1753" s="612"/>
      <c r="H1753" s="612"/>
    </row>
    <row r="1754">
      <c r="B1754" s="612"/>
      <c r="H1754" s="612"/>
    </row>
    <row r="1755">
      <c r="B1755" s="612"/>
      <c r="H1755" s="612"/>
    </row>
    <row r="1756">
      <c r="B1756" s="612"/>
      <c r="H1756" s="612"/>
    </row>
    <row r="1757">
      <c r="B1757" s="612"/>
      <c r="H1757" s="612"/>
    </row>
    <row r="1758">
      <c r="B1758" s="612"/>
      <c r="H1758" s="612"/>
    </row>
    <row r="1759">
      <c r="B1759" s="612"/>
      <c r="H1759" s="612"/>
    </row>
    <row r="1760">
      <c r="B1760" s="612"/>
      <c r="H1760" s="612"/>
    </row>
    <row r="1761">
      <c r="B1761" s="612"/>
      <c r="H1761" s="612"/>
    </row>
    <row r="1762">
      <c r="B1762" s="612"/>
      <c r="H1762" s="612"/>
    </row>
    <row r="1763">
      <c r="B1763" s="612"/>
      <c r="H1763" s="612"/>
    </row>
    <row r="1764">
      <c r="B1764" s="612"/>
      <c r="H1764" s="612"/>
    </row>
    <row r="1765">
      <c r="B1765" s="612"/>
      <c r="H1765" s="612"/>
    </row>
    <row r="1766">
      <c r="B1766" s="612"/>
      <c r="H1766" s="612"/>
    </row>
    <row r="1767">
      <c r="B1767" s="612"/>
      <c r="H1767" s="612"/>
    </row>
    <row r="1768">
      <c r="B1768" s="612"/>
      <c r="H1768" s="612"/>
    </row>
    <row r="1769">
      <c r="B1769" s="612"/>
      <c r="H1769" s="612"/>
    </row>
    <row r="1770">
      <c r="B1770" s="612"/>
      <c r="H1770" s="612"/>
    </row>
    <row r="1771">
      <c r="B1771" s="612"/>
      <c r="H1771" s="612"/>
    </row>
    <row r="1772">
      <c r="B1772" s="612"/>
      <c r="H1772" s="612"/>
    </row>
    <row r="1773">
      <c r="B1773" s="612"/>
      <c r="H1773" s="612"/>
    </row>
    <row r="1774">
      <c r="B1774" s="612"/>
      <c r="H1774" s="612"/>
    </row>
    <row r="1775">
      <c r="B1775" s="612"/>
      <c r="H1775" s="612"/>
    </row>
    <row r="1776">
      <c r="B1776" s="612"/>
      <c r="H1776" s="612"/>
    </row>
    <row r="1777">
      <c r="B1777" s="612"/>
      <c r="H1777" s="612"/>
    </row>
    <row r="1778">
      <c r="B1778" s="612"/>
      <c r="H1778" s="612"/>
    </row>
    <row r="1779">
      <c r="B1779" s="612"/>
      <c r="H1779" s="612"/>
    </row>
    <row r="1780">
      <c r="B1780" s="612"/>
      <c r="H1780" s="612"/>
    </row>
    <row r="1781">
      <c r="B1781" s="612"/>
      <c r="H1781" s="612"/>
    </row>
    <row r="1782">
      <c r="B1782" s="612"/>
      <c r="H1782" s="612"/>
    </row>
    <row r="1783">
      <c r="B1783" s="612"/>
      <c r="H1783" s="612"/>
    </row>
    <row r="1784">
      <c r="B1784" s="612"/>
      <c r="H1784" s="612"/>
    </row>
    <row r="1785">
      <c r="B1785" s="612"/>
      <c r="H1785" s="612"/>
    </row>
    <row r="1786">
      <c r="B1786" s="612"/>
      <c r="H1786" s="612"/>
    </row>
    <row r="1787">
      <c r="B1787" s="612"/>
      <c r="H1787" s="612"/>
    </row>
    <row r="1788">
      <c r="B1788" s="612"/>
      <c r="H1788" s="612"/>
    </row>
    <row r="1789">
      <c r="B1789" s="612"/>
      <c r="H1789" s="612"/>
    </row>
    <row r="1790">
      <c r="B1790" s="612"/>
      <c r="H1790" s="612"/>
    </row>
    <row r="1791">
      <c r="B1791" s="612"/>
      <c r="H1791" s="612"/>
    </row>
    <row r="1792">
      <c r="B1792" s="612"/>
      <c r="H1792" s="612"/>
    </row>
    <row r="1793">
      <c r="B1793" s="612"/>
      <c r="H1793" s="612"/>
    </row>
    <row r="1794">
      <c r="B1794" s="612"/>
      <c r="H1794" s="612"/>
    </row>
    <row r="1795">
      <c r="B1795" s="612"/>
      <c r="H1795" s="612"/>
    </row>
    <row r="1796">
      <c r="B1796" s="612"/>
      <c r="H1796" s="612"/>
    </row>
    <row r="1797">
      <c r="B1797" s="612"/>
      <c r="H1797" s="612"/>
    </row>
    <row r="1798">
      <c r="B1798" s="612"/>
      <c r="H1798" s="612"/>
    </row>
    <row r="1799">
      <c r="B1799" s="612"/>
      <c r="H1799" s="612"/>
    </row>
    <row r="1800">
      <c r="B1800" s="612"/>
      <c r="H1800" s="612"/>
    </row>
    <row r="1801">
      <c r="B1801" s="612"/>
      <c r="H1801" s="612"/>
    </row>
    <row r="1802">
      <c r="B1802" s="612"/>
      <c r="H1802" s="612"/>
    </row>
    <row r="1803">
      <c r="B1803" s="612"/>
      <c r="H1803" s="612"/>
    </row>
    <row r="1804">
      <c r="B1804" s="612"/>
      <c r="H1804" s="612"/>
    </row>
    <row r="1805">
      <c r="B1805" s="612"/>
      <c r="H1805" s="612"/>
    </row>
    <row r="1806">
      <c r="B1806" s="612"/>
      <c r="H1806" s="612"/>
    </row>
    <row r="1807">
      <c r="B1807" s="612"/>
      <c r="H1807" s="612"/>
    </row>
    <row r="1808">
      <c r="B1808" s="612"/>
      <c r="H1808" s="612"/>
    </row>
    <row r="1809">
      <c r="B1809" s="612"/>
      <c r="H1809" s="612"/>
    </row>
    <row r="1810">
      <c r="B1810" s="612"/>
      <c r="H1810" s="612"/>
    </row>
    <row r="1811">
      <c r="B1811" s="612"/>
      <c r="H1811" s="612"/>
    </row>
    <row r="1812">
      <c r="B1812" s="612"/>
      <c r="H1812" s="612"/>
    </row>
    <row r="1813">
      <c r="B1813" s="612"/>
      <c r="H1813" s="612"/>
    </row>
    <row r="1814">
      <c r="B1814" s="612"/>
      <c r="H1814" s="612"/>
    </row>
    <row r="1815">
      <c r="B1815" s="612"/>
      <c r="H1815" s="612"/>
    </row>
    <row r="1816">
      <c r="B1816" s="612"/>
      <c r="H1816" s="612"/>
    </row>
    <row r="1817">
      <c r="B1817" s="612"/>
      <c r="H1817" s="612"/>
    </row>
    <row r="1818">
      <c r="B1818" s="612"/>
      <c r="H1818" s="612"/>
    </row>
    <row r="1819">
      <c r="B1819" s="612"/>
      <c r="H1819" s="612"/>
    </row>
    <row r="1820">
      <c r="B1820" s="612"/>
      <c r="H1820" s="612"/>
    </row>
    <row r="1821">
      <c r="B1821" s="612"/>
      <c r="H1821" s="612"/>
    </row>
    <row r="1822">
      <c r="B1822" s="612"/>
      <c r="H1822" s="612"/>
    </row>
    <row r="1823">
      <c r="B1823" s="612"/>
      <c r="H1823" s="612"/>
    </row>
    <row r="1824">
      <c r="B1824" s="612"/>
      <c r="H1824" s="612"/>
    </row>
    <row r="1825">
      <c r="B1825" s="612"/>
      <c r="H1825" s="612"/>
    </row>
    <row r="1826">
      <c r="B1826" s="612"/>
      <c r="H1826" s="612"/>
    </row>
    <row r="1827">
      <c r="B1827" s="612"/>
      <c r="H1827" s="612"/>
    </row>
    <row r="1828">
      <c r="B1828" s="612"/>
      <c r="H1828" s="612"/>
    </row>
    <row r="1829">
      <c r="B1829" s="612"/>
      <c r="H1829" s="612"/>
    </row>
    <row r="1830">
      <c r="B1830" s="612"/>
      <c r="H1830" s="612"/>
    </row>
    <row r="1831">
      <c r="B1831" s="612"/>
      <c r="H1831" s="612"/>
    </row>
    <row r="1832">
      <c r="B1832" s="612"/>
      <c r="H1832" s="612"/>
    </row>
    <row r="1833">
      <c r="B1833" s="612"/>
      <c r="H1833" s="612"/>
    </row>
    <row r="1834">
      <c r="B1834" s="612"/>
      <c r="H1834" s="612"/>
    </row>
    <row r="1835">
      <c r="B1835" s="612"/>
      <c r="H1835" s="612"/>
    </row>
    <row r="1836">
      <c r="B1836" s="612"/>
      <c r="H1836" s="612"/>
    </row>
    <row r="1837">
      <c r="B1837" s="612"/>
      <c r="H1837" s="612"/>
    </row>
    <row r="1838">
      <c r="B1838" s="612"/>
      <c r="H1838" s="612"/>
    </row>
    <row r="1839">
      <c r="B1839" s="612"/>
      <c r="H1839" s="612"/>
    </row>
    <row r="1840">
      <c r="B1840" s="612"/>
      <c r="H1840" s="612"/>
    </row>
    <row r="1841">
      <c r="B1841" s="612"/>
      <c r="H1841" s="612"/>
    </row>
    <row r="1842">
      <c r="B1842" s="612"/>
      <c r="H1842" s="612"/>
    </row>
    <row r="1843">
      <c r="B1843" s="612"/>
      <c r="H1843" s="612"/>
    </row>
    <row r="1844">
      <c r="B1844" s="612"/>
      <c r="H1844" s="612"/>
    </row>
    <row r="1845">
      <c r="B1845" s="612"/>
      <c r="H1845" s="612"/>
    </row>
    <row r="1846">
      <c r="B1846" s="612"/>
      <c r="H1846" s="612"/>
    </row>
    <row r="1847">
      <c r="B1847" s="612"/>
      <c r="H1847" s="612"/>
    </row>
    <row r="1848">
      <c r="B1848" s="612"/>
      <c r="H1848" s="612"/>
    </row>
    <row r="1849">
      <c r="B1849" s="612"/>
      <c r="H1849" s="612"/>
    </row>
    <row r="1850">
      <c r="B1850" s="612"/>
      <c r="H1850" s="612"/>
    </row>
    <row r="1851">
      <c r="B1851" s="612"/>
      <c r="H1851" s="612"/>
    </row>
    <row r="1852">
      <c r="B1852" s="612"/>
      <c r="H1852" s="612"/>
    </row>
    <row r="1853">
      <c r="B1853" s="612"/>
      <c r="H1853" s="612"/>
    </row>
    <row r="1854">
      <c r="B1854" s="612"/>
      <c r="H1854" s="612"/>
    </row>
    <row r="1855">
      <c r="B1855" s="612"/>
      <c r="H1855" s="612"/>
    </row>
    <row r="1856">
      <c r="B1856" s="612"/>
      <c r="H1856" s="612"/>
    </row>
    <row r="1857">
      <c r="B1857" s="612"/>
      <c r="H1857" s="612"/>
    </row>
    <row r="1858">
      <c r="B1858" s="612"/>
      <c r="H1858" s="612"/>
    </row>
    <row r="1859">
      <c r="B1859" s="612"/>
      <c r="H1859" s="612"/>
    </row>
    <row r="1860">
      <c r="B1860" s="612"/>
      <c r="H1860" s="612"/>
    </row>
    <row r="1861">
      <c r="B1861" s="612"/>
      <c r="H1861" s="612"/>
    </row>
    <row r="1862">
      <c r="B1862" s="612"/>
      <c r="H1862" s="612"/>
    </row>
    <row r="1863">
      <c r="B1863" s="612"/>
      <c r="H1863" s="612"/>
    </row>
    <row r="1864">
      <c r="B1864" s="612"/>
      <c r="H1864" s="612"/>
    </row>
    <row r="1865">
      <c r="B1865" s="612"/>
      <c r="H1865" s="612"/>
    </row>
    <row r="1866">
      <c r="B1866" s="612"/>
      <c r="H1866" s="612"/>
    </row>
    <row r="1867">
      <c r="B1867" s="612"/>
      <c r="H1867" s="612"/>
    </row>
    <row r="1868">
      <c r="B1868" s="612"/>
      <c r="H1868" s="612"/>
    </row>
    <row r="1869">
      <c r="B1869" s="612"/>
      <c r="H1869" s="612"/>
    </row>
    <row r="1870">
      <c r="B1870" s="612"/>
      <c r="H1870" s="612"/>
    </row>
    <row r="1871">
      <c r="B1871" s="612"/>
      <c r="H1871" s="612"/>
    </row>
    <row r="1872">
      <c r="B1872" s="612"/>
      <c r="H1872" s="612"/>
    </row>
    <row r="1873">
      <c r="B1873" s="612"/>
      <c r="H1873" s="612"/>
    </row>
    <row r="1874">
      <c r="B1874" s="612"/>
      <c r="H1874" s="612"/>
    </row>
    <row r="1875">
      <c r="B1875" s="612"/>
      <c r="H1875" s="612"/>
    </row>
    <row r="1876">
      <c r="B1876" s="612"/>
      <c r="H1876" s="612"/>
    </row>
    <row r="1877">
      <c r="B1877" s="612"/>
      <c r="H1877" s="612"/>
    </row>
    <row r="1878">
      <c r="B1878" s="612"/>
      <c r="H1878" s="612"/>
    </row>
    <row r="1879">
      <c r="B1879" s="612"/>
      <c r="H1879" s="612"/>
    </row>
    <row r="1880">
      <c r="B1880" s="612"/>
      <c r="H1880" s="612"/>
    </row>
    <row r="1881">
      <c r="B1881" s="612"/>
      <c r="H1881" s="612"/>
    </row>
    <row r="1882">
      <c r="B1882" s="612"/>
      <c r="H1882" s="612"/>
    </row>
    <row r="1883">
      <c r="B1883" s="612"/>
      <c r="H1883" s="612"/>
    </row>
    <row r="1884">
      <c r="B1884" s="612"/>
      <c r="H1884" s="612"/>
    </row>
    <row r="1885">
      <c r="B1885" s="612"/>
      <c r="H1885" s="612"/>
    </row>
    <row r="1886">
      <c r="B1886" s="612"/>
      <c r="H1886" s="612"/>
    </row>
    <row r="1887">
      <c r="B1887" s="612"/>
      <c r="H1887" s="612"/>
    </row>
    <row r="1888">
      <c r="B1888" s="612"/>
      <c r="H1888" s="612"/>
    </row>
    <row r="1889">
      <c r="B1889" s="612"/>
      <c r="H1889" s="612"/>
    </row>
    <row r="1890">
      <c r="B1890" s="612"/>
      <c r="H1890" s="612"/>
    </row>
    <row r="1891">
      <c r="B1891" s="612"/>
      <c r="H1891" s="612"/>
    </row>
    <row r="1892">
      <c r="B1892" s="612"/>
      <c r="H1892" s="612"/>
    </row>
    <row r="1893">
      <c r="B1893" s="612"/>
      <c r="H1893" s="612"/>
    </row>
    <row r="1894">
      <c r="B1894" s="612"/>
      <c r="H1894" s="612"/>
    </row>
    <row r="1895">
      <c r="B1895" s="612"/>
      <c r="H1895" s="612"/>
    </row>
    <row r="1896">
      <c r="B1896" s="612"/>
      <c r="H1896" s="612"/>
    </row>
    <row r="1897">
      <c r="B1897" s="612"/>
      <c r="H1897" s="612"/>
    </row>
    <row r="1898">
      <c r="B1898" s="612"/>
      <c r="H1898" s="612"/>
    </row>
    <row r="1899">
      <c r="B1899" s="612"/>
      <c r="H1899" s="612"/>
    </row>
    <row r="1900">
      <c r="B1900" s="612"/>
      <c r="H1900" s="612"/>
    </row>
    <row r="1901">
      <c r="B1901" s="612"/>
      <c r="H1901" s="612"/>
    </row>
    <row r="1902">
      <c r="B1902" s="612"/>
      <c r="H1902" s="612"/>
    </row>
    <row r="1903">
      <c r="B1903" s="612"/>
      <c r="H1903" s="612"/>
    </row>
    <row r="1904">
      <c r="B1904" s="612"/>
      <c r="H1904" s="612"/>
    </row>
    <row r="1905">
      <c r="B1905" s="612"/>
      <c r="H1905" s="612"/>
    </row>
    <row r="1906">
      <c r="B1906" s="612"/>
      <c r="H1906" s="612"/>
    </row>
    <row r="1907">
      <c r="B1907" s="612"/>
      <c r="H1907" s="612"/>
    </row>
    <row r="1908">
      <c r="B1908" s="612"/>
      <c r="H1908" s="612"/>
    </row>
    <row r="1909">
      <c r="B1909" s="612"/>
      <c r="H1909" s="612"/>
    </row>
    <row r="1910">
      <c r="B1910" s="612"/>
      <c r="H1910" s="612"/>
    </row>
    <row r="1911">
      <c r="B1911" s="612"/>
      <c r="H1911" s="612"/>
    </row>
    <row r="1912">
      <c r="B1912" s="612"/>
      <c r="H1912" s="612"/>
    </row>
    <row r="1913">
      <c r="B1913" s="612"/>
      <c r="H1913" s="612"/>
    </row>
    <row r="1914">
      <c r="B1914" s="612"/>
      <c r="H1914" s="612"/>
    </row>
    <row r="1915">
      <c r="B1915" s="612"/>
      <c r="H1915" s="612"/>
    </row>
    <row r="1916">
      <c r="B1916" s="612"/>
      <c r="H1916" s="612"/>
    </row>
    <row r="1917">
      <c r="B1917" s="612"/>
      <c r="H1917" s="612"/>
    </row>
    <row r="1918">
      <c r="B1918" s="612"/>
      <c r="H1918" s="612"/>
    </row>
    <row r="1919">
      <c r="B1919" s="612"/>
      <c r="H1919" s="612"/>
    </row>
    <row r="1920">
      <c r="B1920" s="612"/>
      <c r="H1920" s="612"/>
    </row>
    <row r="1921">
      <c r="B1921" s="612"/>
      <c r="H1921" s="612"/>
    </row>
    <row r="1922">
      <c r="B1922" s="612"/>
      <c r="H1922" s="612"/>
    </row>
    <row r="1923">
      <c r="B1923" s="612"/>
      <c r="H1923" s="612"/>
    </row>
    <row r="1924">
      <c r="B1924" s="612"/>
      <c r="H1924" s="612"/>
    </row>
    <row r="1925">
      <c r="B1925" s="612"/>
      <c r="H1925" s="612"/>
    </row>
    <row r="1926">
      <c r="B1926" s="612"/>
      <c r="H1926" s="612"/>
    </row>
    <row r="1927">
      <c r="B1927" s="612"/>
      <c r="H1927" s="612"/>
    </row>
    <row r="1928">
      <c r="B1928" s="612"/>
      <c r="H1928" s="612"/>
    </row>
    <row r="1929">
      <c r="B1929" s="612"/>
      <c r="H1929" s="612"/>
    </row>
    <row r="1930">
      <c r="B1930" s="612"/>
      <c r="H1930" s="612"/>
    </row>
    <row r="1931">
      <c r="B1931" s="612"/>
      <c r="H1931" s="612"/>
    </row>
    <row r="1932">
      <c r="B1932" s="612"/>
      <c r="H1932" s="612"/>
    </row>
    <row r="1933">
      <c r="B1933" s="612"/>
      <c r="H1933" s="612"/>
    </row>
    <row r="1934">
      <c r="B1934" s="612"/>
      <c r="H1934" s="612"/>
    </row>
    <row r="1935">
      <c r="B1935" s="612"/>
      <c r="H1935" s="612"/>
    </row>
    <row r="1936">
      <c r="B1936" s="612"/>
      <c r="H1936" s="612"/>
    </row>
    <row r="1937">
      <c r="B1937" s="612"/>
      <c r="H1937" s="612"/>
    </row>
    <row r="1938">
      <c r="B1938" s="612"/>
      <c r="H1938" s="612"/>
    </row>
    <row r="1939">
      <c r="B1939" s="612"/>
      <c r="H1939" s="612"/>
    </row>
    <row r="1940">
      <c r="B1940" s="612"/>
      <c r="H1940" s="612"/>
    </row>
    <row r="1941">
      <c r="B1941" s="612"/>
      <c r="H1941" s="612"/>
    </row>
    <row r="1942">
      <c r="B1942" s="612"/>
      <c r="H1942" s="612"/>
    </row>
    <row r="1943">
      <c r="B1943" s="612"/>
      <c r="H1943" s="612"/>
    </row>
    <row r="1944">
      <c r="B1944" s="612"/>
      <c r="H1944" s="612"/>
    </row>
    <row r="1945">
      <c r="B1945" s="612"/>
      <c r="H1945" s="612"/>
    </row>
    <row r="1946">
      <c r="B1946" s="612"/>
      <c r="H1946" s="612"/>
    </row>
    <row r="1947">
      <c r="B1947" s="612"/>
      <c r="H1947" s="612"/>
    </row>
    <row r="1948">
      <c r="B1948" s="612"/>
      <c r="H1948" s="612"/>
    </row>
    <row r="1949">
      <c r="B1949" s="612"/>
      <c r="H1949" s="612"/>
    </row>
    <row r="1950">
      <c r="B1950" s="612"/>
      <c r="H1950" s="612"/>
    </row>
    <row r="1951">
      <c r="B1951" s="612"/>
      <c r="H1951" s="612"/>
    </row>
    <row r="1952">
      <c r="B1952" s="612"/>
      <c r="H1952" s="612"/>
    </row>
    <row r="1953">
      <c r="B1953" s="612"/>
      <c r="H1953" s="612"/>
    </row>
    <row r="1954">
      <c r="B1954" s="612"/>
      <c r="H1954" s="612"/>
    </row>
    <row r="1955">
      <c r="B1955" s="612"/>
      <c r="H1955" s="612"/>
    </row>
    <row r="1956">
      <c r="B1956" s="612"/>
      <c r="H1956" s="612"/>
    </row>
    <row r="1957">
      <c r="B1957" s="612"/>
      <c r="H1957" s="612"/>
    </row>
    <row r="1958">
      <c r="B1958" s="612"/>
      <c r="H1958" s="612"/>
    </row>
    <row r="1959">
      <c r="B1959" s="612"/>
      <c r="H1959" s="612"/>
    </row>
    <row r="1960">
      <c r="B1960" s="612"/>
      <c r="H1960" s="612"/>
    </row>
    <row r="1961">
      <c r="B1961" s="612"/>
      <c r="H1961" s="612"/>
    </row>
    <row r="1962">
      <c r="B1962" s="612"/>
      <c r="H1962" s="612"/>
    </row>
    <row r="1963">
      <c r="B1963" s="612"/>
      <c r="H1963" s="612"/>
    </row>
    <row r="1964">
      <c r="B1964" s="612"/>
      <c r="H1964" s="612"/>
    </row>
    <row r="1965">
      <c r="B1965" s="612"/>
      <c r="H1965" s="612"/>
    </row>
    <row r="1966">
      <c r="B1966" s="612"/>
      <c r="H1966" s="612"/>
    </row>
    <row r="1967">
      <c r="B1967" s="612"/>
      <c r="H1967" s="612"/>
    </row>
    <row r="1968">
      <c r="B1968" s="612"/>
      <c r="H1968" s="612"/>
    </row>
    <row r="1969">
      <c r="B1969" s="612"/>
      <c r="H1969" s="612"/>
    </row>
    <row r="1970">
      <c r="B1970" s="612"/>
      <c r="H1970" s="612"/>
    </row>
    <row r="1971">
      <c r="B1971" s="612"/>
      <c r="H1971" s="612"/>
    </row>
    <row r="1972">
      <c r="B1972" s="612"/>
      <c r="H1972" s="612"/>
    </row>
    <row r="1973">
      <c r="B1973" s="612"/>
      <c r="H1973" s="612"/>
    </row>
    <row r="1974">
      <c r="B1974" s="612"/>
      <c r="H1974" s="612"/>
    </row>
    <row r="1975">
      <c r="B1975" s="612"/>
      <c r="H1975" s="612"/>
    </row>
    <row r="1976">
      <c r="B1976" s="612"/>
      <c r="H1976" s="612"/>
    </row>
    <row r="1977">
      <c r="B1977" s="612"/>
      <c r="H1977" s="612"/>
    </row>
    <row r="1978">
      <c r="B1978" s="612"/>
      <c r="H1978" s="612"/>
    </row>
    <row r="1979">
      <c r="B1979" s="612"/>
      <c r="H1979" s="612"/>
    </row>
    <row r="1980">
      <c r="B1980" s="612"/>
      <c r="H1980" s="612"/>
    </row>
    <row r="1981">
      <c r="B1981" s="612"/>
      <c r="H1981" s="612"/>
    </row>
    <row r="1982">
      <c r="B1982" s="612"/>
      <c r="H1982" s="612"/>
    </row>
    <row r="1983">
      <c r="B1983" s="612"/>
      <c r="H1983" s="612"/>
    </row>
    <row r="1984">
      <c r="B1984" s="612"/>
      <c r="H1984" s="612"/>
    </row>
    <row r="1985">
      <c r="B1985" s="612"/>
      <c r="H1985" s="612"/>
    </row>
    <row r="1986">
      <c r="B1986" s="612"/>
      <c r="H1986" s="612"/>
    </row>
    <row r="1987">
      <c r="B1987" s="612"/>
      <c r="H1987" s="612"/>
    </row>
    <row r="1988">
      <c r="B1988" s="612"/>
      <c r="H1988" s="612"/>
    </row>
    <row r="1989">
      <c r="B1989" s="612"/>
      <c r="H1989" s="612"/>
    </row>
    <row r="1990">
      <c r="B1990" s="612"/>
      <c r="H1990" s="612"/>
    </row>
    <row r="1991">
      <c r="B1991" s="612"/>
      <c r="H1991" s="612"/>
    </row>
    <row r="1992">
      <c r="B1992" s="612"/>
      <c r="H1992" s="612"/>
    </row>
    <row r="1993">
      <c r="B1993" s="612"/>
      <c r="H1993" s="612"/>
    </row>
    <row r="1994">
      <c r="B1994" s="612"/>
      <c r="H1994" s="612"/>
    </row>
    <row r="1995">
      <c r="B1995" s="612"/>
      <c r="H1995" s="612"/>
    </row>
    <row r="1996">
      <c r="B1996" s="612"/>
      <c r="H1996" s="612"/>
    </row>
    <row r="1997">
      <c r="B1997" s="612"/>
      <c r="H1997" s="612"/>
    </row>
    <row r="1998">
      <c r="B1998" s="612"/>
      <c r="H1998" s="612"/>
    </row>
    <row r="1999">
      <c r="B1999" s="612"/>
      <c r="H1999" s="612"/>
    </row>
    <row r="2000">
      <c r="B2000" s="612"/>
      <c r="H2000" s="612"/>
    </row>
    <row r="2001">
      <c r="B2001" s="612"/>
      <c r="H2001" s="612"/>
    </row>
    <row r="2002">
      <c r="B2002" s="612"/>
      <c r="H2002" s="612"/>
    </row>
    <row r="2003">
      <c r="B2003" s="612"/>
      <c r="H2003" s="612"/>
    </row>
    <row r="2004">
      <c r="B2004" s="612"/>
      <c r="H2004" s="612"/>
    </row>
    <row r="2005">
      <c r="B2005" s="612"/>
      <c r="H2005" s="612"/>
    </row>
    <row r="2006">
      <c r="B2006" s="612"/>
      <c r="H2006" s="612"/>
    </row>
    <row r="2007">
      <c r="B2007" s="612"/>
      <c r="H2007" s="612"/>
    </row>
    <row r="2008">
      <c r="B2008" s="612"/>
      <c r="H2008" s="612"/>
    </row>
    <row r="2009">
      <c r="B2009" s="612"/>
      <c r="H2009" s="612"/>
    </row>
    <row r="2010">
      <c r="B2010" s="612"/>
      <c r="H2010" s="612"/>
    </row>
    <row r="2011">
      <c r="B2011" s="612"/>
      <c r="H2011" s="612"/>
    </row>
    <row r="2012">
      <c r="B2012" s="612"/>
      <c r="H2012" s="612"/>
    </row>
    <row r="2013">
      <c r="B2013" s="612"/>
      <c r="H2013" s="612"/>
    </row>
    <row r="2014">
      <c r="B2014" s="612"/>
      <c r="H2014" s="612"/>
    </row>
    <row r="2015">
      <c r="B2015" s="612"/>
      <c r="H2015" s="612"/>
    </row>
    <row r="2016">
      <c r="B2016" s="612"/>
      <c r="H2016" s="612"/>
    </row>
    <row r="2017">
      <c r="B2017" s="612"/>
      <c r="H2017" s="612"/>
    </row>
    <row r="2018">
      <c r="B2018" s="612"/>
      <c r="H2018" s="612"/>
    </row>
    <row r="2019">
      <c r="B2019" s="612"/>
      <c r="H2019" s="612"/>
    </row>
    <row r="2020">
      <c r="B2020" s="612"/>
      <c r="H2020" s="612"/>
    </row>
    <row r="2021">
      <c r="B2021" s="612"/>
      <c r="H2021" s="612"/>
    </row>
    <row r="2022">
      <c r="B2022" s="612"/>
      <c r="H2022" s="612"/>
    </row>
    <row r="2023">
      <c r="B2023" s="612"/>
      <c r="H2023" s="612"/>
    </row>
    <row r="2024">
      <c r="B2024" s="612"/>
      <c r="H2024" s="612"/>
    </row>
    <row r="2025">
      <c r="B2025" s="612"/>
      <c r="H2025" s="612"/>
    </row>
    <row r="2026">
      <c r="B2026" s="612"/>
      <c r="H2026" s="612"/>
    </row>
    <row r="2027">
      <c r="B2027" s="612"/>
      <c r="H2027" s="612"/>
    </row>
    <row r="2028">
      <c r="B2028" s="612"/>
      <c r="H2028" s="612"/>
    </row>
    <row r="2029">
      <c r="B2029" s="612"/>
      <c r="H2029" s="612"/>
    </row>
    <row r="2030">
      <c r="B2030" s="612"/>
      <c r="H2030" s="612"/>
    </row>
    <row r="2031">
      <c r="B2031" s="612"/>
      <c r="H2031" s="612"/>
    </row>
    <row r="2032">
      <c r="B2032" s="612"/>
      <c r="H2032" s="612"/>
    </row>
    <row r="2033">
      <c r="B2033" s="612"/>
      <c r="H2033" s="612"/>
    </row>
    <row r="2034">
      <c r="B2034" s="612"/>
      <c r="H2034" s="612"/>
    </row>
    <row r="2035">
      <c r="B2035" s="612"/>
      <c r="H2035" s="612"/>
    </row>
    <row r="2036">
      <c r="B2036" s="612"/>
      <c r="H2036" s="612"/>
    </row>
    <row r="2037">
      <c r="B2037" s="612"/>
      <c r="H2037" s="612"/>
    </row>
    <row r="2038">
      <c r="B2038" s="612"/>
      <c r="H2038" s="612"/>
    </row>
    <row r="2039">
      <c r="B2039" s="612"/>
      <c r="H2039" s="612"/>
    </row>
    <row r="2040">
      <c r="B2040" s="612"/>
      <c r="H2040" s="612"/>
    </row>
    <row r="2041">
      <c r="B2041" s="612"/>
      <c r="H2041" s="612"/>
    </row>
    <row r="2042">
      <c r="B2042" s="612"/>
      <c r="H2042" s="612"/>
    </row>
    <row r="2043">
      <c r="B2043" s="612"/>
      <c r="H2043" s="612"/>
    </row>
    <row r="2044">
      <c r="B2044" s="612"/>
      <c r="H2044" s="612"/>
    </row>
    <row r="2045">
      <c r="B2045" s="612"/>
      <c r="H2045" s="612"/>
    </row>
    <row r="2046">
      <c r="B2046" s="612"/>
      <c r="H2046" s="612"/>
    </row>
    <row r="2047">
      <c r="B2047" s="612"/>
      <c r="H2047" s="612"/>
    </row>
    <row r="2048">
      <c r="B2048" s="612"/>
      <c r="H2048" s="612"/>
    </row>
    <row r="2049">
      <c r="B2049" s="612"/>
      <c r="H2049" s="612"/>
    </row>
    <row r="2050">
      <c r="B2050" s="612"/>
      <c r="H2050" s="612"/>
    </row>
    <row r="2051">
      <c r="B2051" s="612"/>
      <c r="H2051" s="612"/>
    </row>
    <row r="2052">
      <c r="B2052" s="612"/>
      <c r="H2052" s="612"/>
    </row>
    <row r="2053">
      <c r="B2053" s="612"/>
      <c r="H2053" s="612"/>
    </row>
    <row r="2054">
      <c r="B2054" s="612"/>
      <c r="H2054" s="612"/>
    </row>
    <row r="2055">
      <c r="B2055" s="612"/>
      <c r="H2055" s="612"/>
    </row>
    <row r="2056">
      <c r="B2056" s="612"/>
      <c r="H2056" s="612"/>
    </row>
    <row r="2057">
      <c r="B2057" s="612"/>
      <c r="H2057" s="612"/>
    </row>
    <row r="2058">
      <c r="B2058" s="612"/>
      <c r="H2058" s="612"/>
    </row>
    <row r="2059">
      <c r="B2059" s="612"/>
      <c r="H2059" s="612"/>
    </row>
    <row r="2060">
      <c r="B2060" s="612"/>
      <c r="H2060" s="612"/>
    </row>
    <row r="2061">
      <c r="B2061" s="612"/>
      <c r="H2061" s="612"/>
    </row>
    <row r="2062">
      <c r="B2062" s="612"/>
      <c r="H2062" s="612"/>
    </row>
    <row r="2063">
      <c r="B2063" s="612"/>
      <c r="H2063" s="612"/>
    </row>
    <row r="2064">
      <c r="B2064" s="612"/>
      <c r="H2064" s="612"/>
    </row>
    <row r="2065">
      <c r="B2065" s="612"/>
      <c r="H2065" s="612"/>
    </row>
    <row r="2066">
      <c r="B2066" s="612"/>
      <c r="H2066" s="612"/>
    </row>
    <row r="2067">
      <c r="B2067" s="612"/>
      <c r="H2067" s="612"/>
    </row>
    <row r="2068">
      <c r="B2068" s="612"/>
      <c r="H2068" s="612"/>
    </row>
    <row r="2069">
      <c r="B2069" s="612"/>
      <c r="H2069" s="612"/>
    </row>
    <row r="2070">
      <c r="B2070" s="612"/>
      <c r="H2070" s="612"/>
    </row>
    <row r="2071">
      <c r="B2071" s="612"/>
      <c r="H2071" s="612"/>
    </row>
    <row r="2072">
      <c r="B2072" s="612"/>
      <c r="H2072" s="612"/>
    </row>
    <row r="2073">
      <c r="B2073" s="612"/>
      <c r="H2073" s="612"/>
    </row>
    <row r="2074">
      <c r="B2074" s="612"/>
      <c r="H2074" s="612"/>
    </row>
    <row r="2075">
      <c r="B2075" s="612"/>
      <c r="H2075" s="612"/>
    </row>
    <row r="2076">
      <c r="B2076" s="612"/>
      <c r="H2076" s="612"/>
    </row>
    <row r="2077">
      <c r="B2077" s="612"/>
      <c r="H2077" s="612"/>
    </row>
    <row r="2078">
      <c r="B2078" s="612"/>
      <c r="H2078" s="612"/>
    </row>
    <row r="2079">
      <c r="B2079" s="612"/>
      <c r="H2079" s="612"/>
    </row>
    <row r="2080">
      <c r="B2080" s="612"/>
      <c r="H2080" s="612"/>
    </row>
    <row r="2081">
      <c r="B2081" s="612"/>
      <c r="H2081" s="612"/>
    </row>
    <row r="2082">
      <c r="B2082" s="612"/>
      <c r="H2082" s="612"/>
    </row>
    <row r="2083">
      <c r="B2083" s="612"/>
      <c r="H2083" s="612"/>
    </row>
    <row r="2084">
      <c r="B2084" s="612"/>
      <c r="H2084" s="612"/>
    </row>
    <row r="2085">
      <c r="B2085" s="612"/>
      <c r="H2085" s="612"/>
    </row>
    <row r="2086">
      <c r="B2086" s="612"/>
      <c r="H2086" s="612"/>
    </row>
    <row r="2087">
      <c r="B2087" s="612"/>
      <c r="H2087" s="612"/>
    </row>
    <row r="2088">
      <c r="B2088" s="612"/>
      <c r="H2088" s="612"/>
    </row>
    <row r="2089">
      <c r="B2089" s="612"/>
      <c r="H2089" s="612"/>
    </row>
    <row r="2090">
      <c r="B2090" s="612"/>
      <c r="H2090" s="612"/>
    </row>
    <row r="2091">
      <c r="B2091" s="612"/>
      <c r="H2091" s="612"/>
    </row>
    <row r="2092">
      <c r="B2092" s="612"/>
      <c r="H2092" s="612"/>
    </row>
    <row r="2093">
      <c r="B2093" s="612"/>
      <c r="H2093" s="612"/>
    </row>
    <row r="2094">
      <c r="B2094" s="612"/>
      <c r="H2094" s="612"/>
    </row>
    <row r="2095">
      <c r="B2095" s="612"/>
      <c r="H2095" s="612"/>
    </row>
    <row r="2096">
      <c r="B2096" s="612"/>
      <c r="H2096" s="612"/>
    </row>
    <row r="2097">
      <c r="B2097" s="612"/>
      <c r="H2097" s="612"/>
    </row>
    <row r="2098">
      <c r="B2098" s="612"/>
      <c r="H2098" s="612"/>
    </row>
    <row r="2099">
      <c r="B2099" s="612"/>
      <c r="H2099" s="612"/>
    </row>
    <row r="2100">
      <c r="B2100" s="612"/>
      <c r="H2100" s="612"/>
    </row>
    <row r="2101">
      <c r="B2101" s="612"/>
      <c r="H2101" s="612"/>
    </row>
    <row r="2102">
      <c r="B2102" s="612"/>
      <c r="H2102" s="612"/>
    </row>
    <row r="2103">
      <c r="B2103" s="612"/>
      <c r="H2103" s="612"/>
    </row>
    <row r="2104">
      <c r="B2104" s="612"/>
      <c r="H2104" s="612"/>
    </row>
    <row r="2105">
      <c r="B2105" s="612"/>
      <c r="H2105" s="612"/>
    </row>
    <row r="2106">
      <c r="B2106" s="612"/>
      <c r="H2106" s="612"/>
    </row>
    <row r="2107">
      <c r="B2107" s="612"/>
      <c r="H2107" s="612"/>
    </row>
    <row r="2108">
      <c r="B2108" s="612"/>
      <c r="H2108" s="612"/>
    </row>
    <row r="2109">
      <c r="B2109" s="612"/>
      <c r="H2109" s="612"/>
    </row>
    <row r="2110">
      <c r="B2110" s="612"/>
      <c r="H2110" s="612"/>
    </row>
    <row r="2111">
      <c r="B2111" s="612"/>
      <c r="H2111" s="612"/>
    </row>
    <row r="2112">
      <c r="B2112" s="612"/>
      <c r="H2112" s="612"/>
    </row>
    <row r="2113">
      <c r="B2113" s="612"/>
      <c r="H2113" s="612"/>
    </row>
    <row r="2114">
      <c r="B2114" s="612"/>
      <c r="H2114" s="612"/>
    </row>
    <row r="2115">
      <c r="B2115" s="612"/>
      <c r="H2115" s="612"/>
    </row>
    <row r="2116">
      <c r="B2116" s="612"/>
      <c r="H2116" s="612"/>
    </row>
    <row r="2117">
      <c r="B2117" s="612"/>
      <c r="H2117" s="612"/>
    </row>
    <row r="2118">
      <c r="B2118" s="612"/>
      <c r="H2118" s="612"/>
    </row>
    <row r="2119">
      <c r="B2119" s="612"/>
      <c r="H2119" s="612"/>
    </row>
    <row r="2120">
      <c r="B2120" s="612"/>
      <c r="H2120" s="612"/>
    </row>
    <row r="2121">
      <c r="B2121" s="612"/>
      <c r="H2121" s="612"/>
    </row>
    <row r="2122">
      <c r="B2122" s="612"/>
      <c r="H2122" s="612"/>
    </row>
    <row r="2123">
      <c r="B2123" s="612"/>
      <c r="H2123" s="612"/>
    </row>
    <row r="2124">
      <c r="B2124" s="612"/>
      <c r="H2124" s="612"/>
    </row>
    <row r="2125">
      <c r="B2125" s="612"/>
      <c r="H2125" s="612"/>
    </row>
    <row r="2126">
      <c r="B2126" s="612"/>
      <c r="H2126" s="612"/>
    </row>
    <row r="2127">
      <c r="B2127" s="612"/>
      <c r="H2127" s="612"/>
    </row>
    <row r="2128">
      <c r="B2128" s="612"/>
      <c r="H2128" s="612"/>
    </row>
    <row r="2129">
      <c r="B2129" s="612"/>
      <c r="H2129" s="612"/>
    </row>
    <row r="2130">
      <c r="B2130" s="612"/>
      <c r="H2130" s="612"/>
    </row>
    <row r="2131">
      <c r="B2131" s="612"/>
      <c r="H2131" s="612"/>
    </row>
    <row r="2132">
      <c r="B2132" s="612"/>
      <c r="H2132" s="612"/>
    </row>
    <row r="2133">
      <c r="B2133" s="612"/>
      <c r="H2133" s="612"/>
    </row>
    <row r="2134">
      <c r="B2134" s="612"/>
      <c r="H2134" s="612"/>
    </row>
    <row r="2135">
      <c r="B2135" s="612"/>
      <c r="H2135" s="612"/>
    </row>
    <row r="2136">
      <c r="B2136" s="612"/>
      <c r="H2136" s="612"/>
    </row>
    <row r="2137">
      <c r="B2137" s="612"/>
      <c r="H2137" s="612"/>
    </row>
    <row r="2138">
      <c r="B2138" s="612"/>
      <c r="H2138" s="612"/>
    </row>
    <row r="2139">
      <c r="B2139" s="612"/>
      <c r="H2139" s="612"/>
    </row>
    <row r="2140">
      <c r="B2140" s="612"/>
      <c r="H2140" s="612"/>
    </row>
    <row r="2141">
      <c r="B2141" s="612"/>
      <c r="H2141" s="612"/>
    </row>
    <row r="2142">
      <c r="B2142" s="612"/>
      <c r="H2142" s="612"/>
    </row>
    <row r="2143">
      <c r="B2143" s="612"/>
      <c r="H2143" s="612"/>
    </row>
    <row r="2144">
      <c r="B2144" s="612"/>
      <c r="H2144" s="612"/>
    </row>
    <row r="2145">
      <c r="B2145" s="612"/>
      <c r="H2145" s="612"/>
    </row>
    <row r="2146">
      <c r="B2146" s="612"/>
      <c r="H2146" s="612"/>
    </row>
    <row r="2147">
      <c r="B2147" s="612"/>
      <c r="H2147" s="612"/>
    </row>
    <row r="2148">
      <c r="B2148" s="612"/>
      <c r="H2148" s="612"/>
    </row>
    <row r="2149">
      <c r="B2149" s="612"/>
      <c r="H2149" s="612"/>
    </row>
    <row r="2150">
      <c r="B2150" s="612"/>
      <c r="H2150" s="612"/>
    </row>
    <row r="2151">
      <c r="B2151" s="612"/>
      <c r="H2151" s="612"/>
    </row>
    <row r="2152">
      <c r="B2152" s="612"/>
      <c r="H2152" s="612"/>
    </row>
    <row r="2153">
      <c r="B2153" s="612"/>
      <c r="H2153" s="612"/>
    </row>
    <row r="2154">
      <c r="B2154" s="612"/>
      <c r="H2154" s="612"/>
    </row>
    <row r="2155">
      <c r="B2155" s="612"/>
      <c r="H2155" s="612"/>
    </row>
    <row r="2156">
      <c r="B2156" s="612"/>
      <c r="H2156" s="612"/>
    </row>
    <row r="2157">
      <c r="B2157" s="612"/>
      <c r="H2157" s="612"/>
    </row>
    <row r="2158">
      <c r="B2158" s="612"/>
      <c r="H2158" s="612"/>
    </row>
    <row r="2159">
      <c r="B2159" s="612"/>
      <c r="H2159" s="612"/>
    </row>
    <row r="2160">
      <c r="B2160" s="612"/>
      <c r="H2160" s="612"/>
    </row>
    <row r="2161">
      <c r="B2161" s="612"/>
      <c r="H2161" s="612"/>
    </row>
    <row r="2162">
      <c r="B2162" s="612"/>
      <c r="H2162" s="612"/>
    </row>
    <row r="2163">
      <c r="B2163" s="612"/>
      <c r="H2163" s="612"/>
    </row>
    <row r="2164">
      <c r="B2164" s="612"/>
      <c r="H2164" s="612"/>
    </row>
    <row r="2165">
      <c r="B2165" s="612"/>
      <c r="H2165" s="612"/>
    </row>
    <row r="2166">
      <c r="B2166" s="612"/>
      <c r="H2166" s="612"/>
    </row>
    <row r="2167">
      <c r="B2167" s="612"/>
      <c r="H2167" s="612"/>
    </row>
    <row r="2168">
      <c r="B2168" s="612"/>
      <c r="H2168" s="612"/>
    </row>
    <row r="2169">
      <c r="B2169" s="612"/>
      <c r="H2169" s="612"/>
    </row>
    <row r="2170">
      <c r="B2170" s="612"/>
      <c r="H2170" s="612"/>
    </row>
    <row r="2171">
      <c r="B2171" s="612"/>
      <c r="H2171" s="612"/>
    </row>
    <row r="2172">
      <c r="B2172" s="612"/>
      <c r="H2172" s="612"/>
    </row>
    <row r="2173">
      <c r="B2173" s="612"/>
      <c r="H2173" s="612"/>
    </row>
    <row r="2174">
      <c r="B2174" s="612"/>
      <c r="H2174" s="612"/>
    </row>
    <row r="2175">
      <c r="B2175" s="612"/>
      <c r="H2175" s="612"/>
    </row>
    <row r="2176">
      <c r="B2176" s="612"/>
      <c r="H2176" s="612"/>
    </row>
    <row r="2177">
      <c r="B2177" s="612"/>
      <c r="H2177" s="612"/>
    </row>
    <row r="2178">
      <c r="B2178" s="612"/>
      <c r="H2178" s="612"/>
    </row>
    <row r="2179">
      <c r="B2179" s="612"/>
      <c r="H2179" s="612"/>
    </row>
    <row r="2180">
      <c r="B2180" s="612"/>
      <c r="H2180" s="612"/>
    </row>
    <row r="2181">
      <c r="B2181" s="612"/>
      <c r="H2181" s="612"/>
    </row>
    <row r="2182">
      <c r="B2182" s="612"/>
      <c r="H2182" s="612"/>
    </row>
    <row r="2183">
      <c r="B2183" s="612"/>
      <c r="H2183" s="612"/>
    </row>
    <row r="2184">
      <c r="B2184" s="612"/>
      <c r="H2184" s="612"/>
    </row>
    <row r="2185">
      <c r="B2185" s="612"/>
      <c r="H2185" s="612"/>
    </row>
    <row r="2186">
      <c r="B2186" s="612"/>
      <c r="H2186" s="612"/>
    </row>
    <row r="2187">
      <c r="B2187" s="612"/>
      <c r="H2187" s="612"/>
    </row>
    <row r="2188">
      <c r="B2188" s="612"/>
      <c r="H2188" s="612"/>
    </row>
    <row r="2189">
      <c r="B2189" s="612"/>
      <c r="H2189" s="612"/>
    </row>
    <row r="2190">
      <c r="B2190" s="612"/>
      <c r="H2190" s="612"/>
    </row>
    <row r="2191">
      <c r="B2191" s="612"/>
      <c r="H2191" s="612"/>
    </row>
    <row r="2192">
      <c r="B2192" s="612"/>
      <c r="H2192" s="612"/>
    </row>
    <row r="2193">
      <c r="B2193" s="612"/>
      <c r="H2193" s="612"/>
    </row>
    <row r="2194">
      <c r="B2194" s="612"/>
      <c r="H2194" s="612"/>
    </row>
    <row r="2195">
      <c r="B2195" s="612"/>
      <c r="H2195" s="612"/>
    </row>
    <row r="2196">
      <c r="B2196" s="612"/>
      <c r="H2196" s="612"/>
    </row>
    <row r="2197">
      <c r="B2197" s="612"/>
      <c r="H2197" s="612"/>
    </row>
    <row r="2198">
      <c r="B2198" s="612"/>
      <c r="H2198" s="612"/>
    </row>
    <row r="2199">
      <c r="B2199" s="612"/>
      <c r="H2199" s="612"/>
    </row>
    <row r="2200">
      <c r="B2200" s="612"/>
      <c r="H2200" s="612"/>
    </row>
    <row r="2201">
      <c r="B2201" s="612"/>
      <c r="H2201" s="612"/>
    </row>
    <row r="2202">
      <c r="B2202" s="612"/>
      <c r="H2202" s="612"/>
    </row>
    <row r="2203">
      <c r="B2203" s="612"/>
      <c r="H2203" s="612"/>
    </row>
    <row r="2204">
      <c r="B2204" s="612"/>
      <c r="H2204" s="612"/>
    </row>
    <row r="2205">
      <c r="B2205" s="612"/>
      <c r="H2205" s="612"/>
    </row>
    <row r="2206">
      <c r="B2206" s="612"/>
      <c r="H2206" s="612"/>
    </row>
    <row r="2207">
      <c r="B2207" s="612"/>
      <c r="H2207" s="612"/>
    </row>
    <row r="2208">
      <c r="B2208" s="612"/>
      <c r="H2208" s="612"/>
    </row>
    <row r="2209">
      <c r="B2209" s="612"/>
      <c r="H2209" s="612"/>
    </row>
    <row r="2210">
      <c r="B2210" s="612"/>
      <c r="H2210" s="612"/>
    </row>
    <row r="2211">
      <c r="B2211" s="612"/>
      <c r="H2211" s="612"/>
    </row>
    <row r="2212">
      <c r="B2212" s="612"/>
      <c r="H2212" s="612"/>
    </row>
    <row r="2213">
      <c r="B2213" s="612"/>
      <c r="H2213" s="612"/>
    </row>
    <row r="2214">
      <c r="B2214" s="612"/>
      <c r="H2214" s="612"/>
    </row>
    <row r="2215">
      <c r="B2215" s="612"/>
      <c r="H2215" s="612"/>
    </row>
    <row r="2216">
      <c r="B2216" s="612"/>
      <c r="H2216" s="612"/>
    </row>
    <row r="2217">
      <c r="B2217" s="612"/>
      <c r="H2217" s="612"/>
    </row>
    <row r="2218">
      <c r="B2218" s="612"/>
      <c r="H2218" s="612"/>
    </row>
    <row r="2219">
      <c r="B2219" s="612"/>
      <c r="H2219" s="612"/>
    </row>
    <row r="2220">
      <c r="B2220" s="612"/>
      <c r="H2220" s="612"/>
    </row>
    <row r="2221">
      <c r="B2221" s="612"/>
      <c r="H2221" s="612"/>
    </row>
    <row r="2222">
      <c r="B2222" s="612"/>
      <c r="H2222" s="612"/>
    </row>
    <row r="2223">
      <c r="B2223" s="612"/>
      <c r="H2223" s="612"/>
    </row>
    <row r="2224">
      <c r="B2224" s="612"/>
      <c r="H2224" s="612"/>
    </row>
    <row r="2225">
      <c r="B2225" s="612"/>
      <c r="H2225" s="612"/>
    </row>
    <row r="2226">
      <c r="B2226" s="612"/>
      <c r="H2226" s="612"/>
    </row>
    <row r="2227">
      <c r="B2227" s="612"/>
      <c r="H2227" s="612"/>
    </row>
    <row r="2228">
      <c r="B2228" s="612"/>
      <c r="H2228" s="612"/>
    </row>
    <row r="2229">
      <c r="B2229" s="612"/>
      <c r="H2229" s="612"/>
    </row>
    <row r="2230">
      <c r="B2230" s="612"/>
      <c r="H2230" s="612"/>
    </row>
    <row r="2231">
      <c r="B2231" s="612"/>
      <c r="H2231" s="612"/>
    </row>
    <row r="2232">
      <c r="B2232" s="612"/>
      <c r="H2232" s="612"/>
    </row>
    <row r="2233">
      <c r="B2233" s="612"/>
      <c r="H2233" s="612"/>
    </row>
    <row r="2234">
      <c r="B2234" s="612"/>
      <c r="H2234" s="612"/>
    </row>
    <row r="2235">
      <c r="B2235" s="612"/>
      <c r="H2235" s="612"/>
    </row>
    <row r="2236">
      <c r="B2236" s="612"/>
      <c r="H2236" s="612"/>
    </row>
    <row r="2237">
      <c r="B2237" s="612"/>
      <c r="H2237" s="612"/>
    </row>
    <row r="2238">
      <c r="B2238" s="612"/>
      <c r="H2238" s="612"/>
    </row>
    <row r="2239">
      <c r="B2239" s="612"/>
      <c r="H2239" s="612"/>
    </row>
    <row r="2240">
      <c r="B2240" s="612"/>
      <c r="H2240" s="612"/>
    </row>
    <row r="2241">
      <c r="B2241" s="612"/>
      <c r="H2241" s="612"/>
    </row>
    <row r="2242">
      <c r="B2242" s="612"/>
      <c r="H2242" s="612"/>
    </row>
    <row r="2243">
      <c r="B2243" s="612"/>
      <c r="H2243" s="612"/>
    </row>
    <row r="2244">
      <c r="B2244" s="612"/>
      <c r="H2244" s="612"/>
    </row>
    <row r="2245">
      <c r="B2245" s="612"/>
      <c r="H2245" s="612"/>
    </row>
    <row r="2246">
      <c r="B2246" s="612"/>
      <c r="H2246" s="612"/>
    </row>
    <row r="2247">
      <c r="B2247" s="612"/>
      <c r="H2247" s="612"/>
    </row>
    <row r="2248">
      <c r="B2248" s="612"/>
      <c r="H2248" s="612"/>
    </row>
    <row r="2249">
      <c r="B2249" s="612"/>
      <c r="H2249" s="612"/>
    </row>
    <row r="2250">
      <c r="B2250" s="612"/>
      <c r="H2250" s="612"/>
    </row>
    <row r="2251">
      <c r="B2251" s="612"/>
      <c r="H2251" s="612"/>
    </row>
    <row r="2252">
      <c r="B2252" s="612"/>
      <c r="H2252" s="612"/>
    </row>
    <row r="2253">
      <c r="B2253" s="612"/>
      <c r="H2253" s="612"/>
    </row>
    <row r="2254">
      <c r="B2254" s="612"/>
      <c r="H2254" s="612"/>
    </row>
    <row r="2255">
      <c r="B2255" s="612"/>
      <c r="H2255" s="612"/>
    </row>
    <row r="2256">
      <c r="B2256" s="612"/>
      <c r="H2256" s="612"/>
    </row>
    <row r="2257">
      <c r="B2257" s="612"/>
      <c r="H2257" s="612"/>
    </row>
    <row r="2258">
      <c r="B2258" s="612"/>
      <c r="H2258" s="612"/>
    </row>
    <row r="2259">
      <c r="B2259" s="612"/>
      <c r="H2259" s="612"/>
    </row>
    <row r="2260">
      <c r="B2260" s="612"/>
      <c r="H2260" s="612"/>
    </row>
    <row r="2261">
      <c r="B2261" s="612"/>
      <c r="H2261" s="612"/>
    </row>
    <row r="2262">
      <c r="B2262" s="612"/>
      <c r="H2262" s="612"/>
    </row>
    <row r="2263">
      <c r="B2263" s="612"/>
      <c r="H2263" s="612"/>
    </row>
    <row r="2264">
      <c r="B2264" s="612"/>
      <c r="H2264" s="612"/>
    </row>
    <row r="2265">
      <c r="B2265" s="612"/>
      <c r="H2265" s="612"/>
    </row>
    <row r="2266">
      <c r="B2266" s="612"/>
      <c r="H2266" s="612"/>
    </row>
    <row r="2267">
      <c r="B2267" s="612"/>
      <c r="H2267" s="612"/>
    </row>
    <row r="2268">
      <c r="B2268" s="612"/>
      <c r="H2268" s="612"/>
    </row>
    <row r="2269">
      <c r="B2269" s="612"/>
      <c r="H2269" s="612"/>
    </row>
    <row r="2270">
      <c r="B2270" s="612"/>
      <c r="H2270" s="612"/>
    </row>
    <row r="2271">
      <c r="B2271" s="612"/>
      <c r="H2271" s="612"/>
    </row>
    <row r="2272">
      <c r="B2272" s="612"/>
      <c r="H2272" s="612"/>
    </row>
    <row r="2273">
      <c r="B2273" s="612"/>
      <c r="H2273" s="612"/>
    </row>
    <row r="2274">
      <c r="B2274" s="612"/>
      <c r="H2274" s="612"/>
    </row>
    <row r="2275">
      <c r="B2275" s="612"/>
      <c r="H2275" s="612"/>
    </row>
    <row r="2276">
      <c r="B2276" s="612"/>
      <c r="H2276" s="612"/>
    </row>
    <row r="2277">
      <c r="B2277" s="612"/>
      <c r="H2277" s="612"/>
    </row>
    <row r="2278">
      <c r="B2278" s="612"/>
      <c r="H2278" s="612"/>
    </row>
    <row r="2279">
      <c r="B2279" s="612"/>
      <c r="H2279" s="612"/>
    </row>
    <row r="2280">
      <c r="B2280" s="612"/>
      <c r="H2280" s="612"/>
    </row>
    <row r="2281">
      <c r="B2281" s="612"/>
      <c r="H2281" s="612"/>
    </row>
    <row r="2282">
      <c r="B2282" s="612"/>
      <c r="H2282" s="612"/>
    </row>
    <row r="2283">
      <c r="B2283" s="612"/>
      <c r="H2283" s="612"/>
    </row>
    <row r="2284">
      <c r="B2284" s="612"/>
      <c r="H2284" s="612"/>
    </row>
    <row r="2285">
      <c r="B2285" s="612"/>
      <c r="H2285" s="612"/>
    </row>
    <row r="2286">
      <c r="B2286" s="612"/>
      <c r="H2286" s="612"/>
    </row>
    <row r="2287">
      <c r="B2287" s="612"/>
      <c r="H2287" s="612"/>
    </row>
    <row r="2288">
      <c r="B2288" s="612"/>
      <c r="H2288" s="612"/>
    </row>
    <row r="2289">
      <c r="B2289" s="612"/>
      <c r="H2289" s="612"/>
    </row>
    <row r="2290">
      <c r="B2290" s="612"/>
      <c r="H2290" s="612"/>
    </row>
    <row r="2291">
      <c r="B2291" s="612"/>
      <c r="H2291" s="612"/>
    </row>
    <row r="2292">
      <c r="B2292" s="612"/>
      <c r="H2292" s="612"/>
    </row>
    <row r="2293">
      <c r="B2293" s="612"/>
      <c r="H2293" s="612"/>
    </row>
    <row r="2294">
      <c r="B2294" s="612"/>
      <c r="H2294" s="612"/>
    </row>
    <row r="2295">
      <c r="B2295" s="612"/>
      <c r="H2295" s="612"/>
    </row>
    <row r="2296">
      <c r="B2296" s="612"/>
      <c r="H2296" s="612"/>
    </row>
    <row r="2297">
      <c r="B2297" s="612"/>
      <c r="H2297" s="612"/>
    </row>
    <row r="2298">
      <c r="B2298" s="612"/>
      <c r="H2298" s="612"/>
    </row>
    <row r="2299">
      <c r="B2299" s="612"/>
      <c r="H2299" s="612"/>
    </row>
    <row r="2300">
      <c r="B2300" s="612"/>
      <c r="H2300" s="612"/>
    </row>
    <row r="2301">
      <c r="B2301" s="612"/>
      <c r="H2301" s="612"/>
    </row>
    <row r="2302">
      <c r="B2302" s="612"/>
      <c r="H2302" s="612"/>
    </row>
    <row r="2303">
      <c r="B2303" s="612"/>
      <c r="H2303" s="612"/>
    </row>
    <row r="2304">
      <c r="B2304" s="612"/>
      <c r="H2304" s="612"/>
    </row>
    <row r="2305">
      <c r="B2305" s="612"/>
      <c r="H2305" s="612"/>
    </row>
    <row r="2306">
      <c r="B2306" s="612"/>
      <c r="H2306" s="612"/>
    </row>
    <row r="2307">
      <c r="B2307" s="612"/>
      <c r="H2307" s="612"/>
    </row>
    <row r="2308">
      <c r="B2308" s="612"/>
      <c r="H2308" s="612"/>
    </row>
    <row r="2309">
      <c r="B2309" s="612"/>
      <c r="H2309" s="612"/>
    </row>
    <row r="2310">
      <c r="B2310" s="612"/>
      <c r="H2310" s="612"/>
    </row>
    <row r="2311">
      <c r="B2311" s="612"/>
      <c r="H2311" s="612"/>
    </row>
    <row r="2312">
      <c r="B2312" s="612"/>
      <c r="H2312" s="612"/>
    </row>
    <row r="2313">
      <c r="B2313" s="612"/>
      <c r="H2313" s="612"/>
    </row>
    <row r="2314">
      <c r="B2314" s="612"/>
      <c r="H2314" s="612"/>
    </row>
    <row r="2315">
      <c r="B2315" s="612"/>
      <c r="H2315" s="612"/>
    </row>
    <row r="2316">
      <c r="B2316" s="612"/>
      <c r="H2316" s="612"/>
    </row>
    <row r="2317">
      <c r="B2317" s="612"/>
      <c r="H2317" s="612"/>
    </row>
    <row r="2318">
      <c r="B2318" s="612"/>
      <c r="H2318" s="612"/>
    </row>
    <row r="2319">
      <c r="B2319" s="612"/>
      <c r="H2319" s="612"/>
    </row>
    <row r="2320">
      <c r="B2320" s="612"/>
      <c r="H2320" s="612"/>
    </row>
    <row r="2321">
      <c r="B2321" s="612"/>
      <c r="H2321" s="612"/>
    </row>
    <row r="2322">
      <c r="B2322" s="612"/>
      <c r="H2322" s="612"/>
    </row>
    <row r="2323">
      <c r="B2323" s="612"/>
      <c r="H2323" s="612"/>
    </row>
    <row r="2324">
      <c r="B2324" s="612"/>
      <c r="H2324" s="612"/>
    </row>
    <row r="2325">
      <c r="B2325" s="612"/>
      <c r="H2325" s="612"/>
    </row>
    <row r="2326">
      <c r="B2326" s="612"/>
      <c r="H2326" s="612"/>
    </row>
    <row r="2327">
      <c r="B2327" s="612"/>
      <c r="H2327" s="612"/>
    </row>
    <row r="2328">
      <c r="B2328" s="612"/>
      <c r="H2328" s="612"/>
    </row>
    <row r="2329">
      <c r="B2329" s="612"/>
      <c r="H2329" s="612"/>
    </row>
    <row r="2330">
      <c r="B2330" s="612"/>
      <c r="H2330" s="612"/>
    </row>
    <row r="2331">
      <c r="B2331" s="612"/>
      <c r="H2331" s="612"/>
    </row>
    <row r="2332">
      <c r="B2332" s="612"/>
      <c r="H2332" s="612"/>
    </row>
    <row r="2333">
      <c r="B2333" s="612"/>
      <c r="H2333" s="612"/>
    </row>
    <row r="2334">
      <c r="B2334" s="612"/>
      <c r="H2334" s="612"/>
    </row>
    <row r="2335">
      <c r="B2335" s="612"/>
      <c r="H2335" s="612"/>
    </row>
    <row r="2336">
      <c r="B2336" s="612"/>
      <c r="H2336" s="612"/>
    </row>
    <row r="2337">
      <c r="B2337" s="612"/>
      <c r="H2337" s="612"/>
    </row>
    <row r="2338">
      <c r="B2338" s="612"/>
      <c r="H2338" s="612"/>
    </row>
    <row r="2339">
      <c r="B2339" s="612"/>
      <c r="H2339" s="612"/>
    </row>
    <row r="2340">
      <c r="B2340" s="612"/>
      <c r="H2340" s="612"/>
    </row>
    <row r="2341">
      <c r="B2341" s="612"/>
      <c r="H2341" s="612"/>
    </row>
    <row r="2342">
      <c r="B2342" s="612"/>
      <c r="H2342" s="612"/>
    </row>
    <row r="2343">
      <c r="B2343" s="612"/>
      <c r="H2343" s="612"/>
    </row>
    <row r="2344">
      <c r="B2344" s="612"/>
      <c r="H2344" s="612"/>
    </row>
    <row r="2345">
      <c r="B2345" s="612"/>
      <c r="H2345" s="612"/>
    </row>
    <row r="2346">
      <c r="B2346" s="612"/>
      <c r="H2346" s="612"/>
    </row>
    <row r="2347">
      <c r="B2347" s="612"/>
      <c r="H2347" s="612"/>
    </row>
    <row r="2348">
      <c r="B2348" s="612"/>
      <c r="H2348" s="612"/>
    </row>
    <row r="2349">
      <c r="B2349" s="612"/>
      <c r="H2349" s="612"/>
    </row>
    <row r="2350">
      <c r="B2350" s="612"/>
      <c r="H2350" s="612"/>
    </row>
    <row r="2351">
      <c r="B2351" s="612"/>
      <c r="H2351" s="612"/>
    </row>
    <row r="2352">
      <c r="B2352" s="612"/>
      <c r="H2352" s="612"/>
    </row>
    <row r="2353">
      <c r="B2353" s="612"/>
      <c r="H2353" s="612"/>
    </row>
    <row r="2354">
      <c r="B2354" s="612"/>
      <c r="H2354" s="612"/>
    </row>
    <row r="2355">
      <c r="B2355" s="612"/>
      <c r="H2355" s="612"/>
    </row>
    <row r="2356">
      <c r="B2356" s="612"/>
      <c r="H2356" s="612"/>
    </row>
    <row r="2357">
      <c r="B2357" s="612"/>
      <c r="H2357" s="612"/>
    </row>
    <row r="2358">
      <c r="B2358" s="612"/>
      <c r="H2358" s="612"/>
    </row>
    <row r="2359">
      <c r="B2359" s="612"/>
      <c r="H2359" s="612"/>
    </row>
    <row r="2360">
      <c r="B2360" s="612"/>
      <c r="H2360" s="612"/>
    </row>
    <row r="2361">
      <c r="B2361" s="612"/>
      <c r="H2361" s="612"/>
    </row>
    <row r="2362">
      <c r="B2362" s="612"/>
      <c r="H2362" s="612"/>
    </row>
    <row r="2363">
      <c r="B2363" s="612"/>
      <c r="H2363" s="612"/>
    </row>
    <row r="2364">
      <c r="B2364" s="612"/>
      <c r="H2364" s="612"/>
    </row>
    <row r="2365">
      <c r="B2365" s="612"/>
      <c r="H2365" s="612"/>
    </row>
    <row r="2366">
      <c r="B2366" s="612"/>
      <c r="H2366" s="612"/>
    </row>
    <row r="2367">
      <c r="B2367" s="612"/>
      <c r="H2367" s="612"/>
    </row>
    <row r="2368">
      <c r="B2368" s="612"/>
      <c r="H2368" s="612"/>
    </row>
    <row r="2369">
      <c r="B2369" s="612"/>
      <c r="H2369" s="612"/>
    </row>
    <row r="2370">
      <c r="B2370" s="612"/>
      <c r="H2370" s="612"/>
    </row>
    <row r="2371">
      <c r="B2371" s="612"/>
      <c r="H2371" s="612"/>
    </row>
    <row r="2372">
      <c r="B2372" s="612"/>
      <c r="H2372" s="612"/>
    </row>
    <row r="2373">
      <c r="B2373" s="612"/>
      <c r="H2373" s="612"/>
    </row>
    <row r="2374">
      <c r="B2374" s="612"/>
      <c r="H2374" s="612"/>
    </row>
    <row r="2375">
      <c r="B2375" s="612"/>
      <c r="H2375" s="612"/>
    </row>
    <row r="2376">
      <c r="B2376" s="612"/>
      <c r="H2376" s="612"/>
    </row>
    <row r="2377">
      <c r="B2377" s="612"/>
      <c r="H2377" s="612"/>
    </row>
    <row r="2378">
      <c r="B2378" s="612"/>
      <c r="H2378" s="612"/>
    </row>
    <row r="2379">
      <c r="B2379" s="612"/>
      <c r="H2379" s="612"/>
    </row>
    <row r="2380">
      <c r="B2380" s="612"/>
      <c r="H2380" s="612"/>
    </row>
    <row r="2381">
      <c r="B2381" s="612"/>
      <c r="H2381" s="612"/>
    </row>
    <row r="2382">
      <c r="B2382" s="612"/>
      <c r="H2382" s="612"/>
    </row>
    <row r="2383">
      <c r="B2383" s="612"/>
      <c r="H2383" s="612"/>
    </row>
    <row r="2384">
      <c r="B2384" s="612"/>
      <c r="H2384" s="612"/>
    </row>
    <row r="2385">
      <c r="B2385" s="612"/>
      <c r="H2385" s="612"/>
    </row>
    <row r="2386">
      <c r="B2386" s="612"/>
      <c r="H2386" s="612"/>
    </row>
    <row r="2387">
      <c r="B2387" s="612"/>
      <c r="H2387" s="612"/>
    </row>
    <row r="2388">
      <c r="B2388" s="612"/>
      <c r="H2388" s="612"/>
    </row>
    <row r="2389">
      <c r="B2389" s="612"/>
      <c r="H2389" s="612"/>
    </row>
    <row r="2390">
      <c r="B2390" s="612"/>
      <c r="H2390" s="612"/>
    </row>
    <row r="2391">
      <c r="B2391" s="612"/>
      <c r="H2391" s="612"/>
    </row>
    <row r="2392">
      <c r="B2392" s="612"/>
      <c r="H2392" s="612"/>
    </row>
    <row r="2393">
      <c r="B2393" s="612"/>
      <c r="H2393" s="612"/>
    </row>
    <row r="2394">
      <c r="B2394" s="612"/>
      <c r="H2394" s="612"/>
    </row>
    <row r="2395">
      <c r="B2395" s="612"/>
      <c r="H2395" s="612"/>
    </row>
    <row r="2396">
      <c r="B2396" s="612"/>
      <c r="H2396" s="612"/>
    </row>
    <row r="2397">
      <c r="B2397" s="612"/>
      <c r="H2397" s="612"/>
    </row>
    <row r="2398">
      <c r="B2398" s="612"/>
      <c r="H2398" s="612"/>
    </row>
    <row r="2399">
      <c r="B2399" s="612"/>
      <c r="H2399" s="612"/>
    </row>
    <row r="2400">
      <c r="B2400" s="612"/>
      <c r="H2400" s="612"/>
    </row>
    <row r="2401">
      <c r="B2401" s="612"/>
      <c r="H2401" s="612"/>
    </row>
    <row r="2402">
      <c r="B2402" s="612"/>
      <c r="H2402" s="612"/>
    </row>
    <row r="2403">
      <c r="B2403" s="612"/>
      <c r="H2403" s="612"/>
    </row>
    <row r="2404">
      <c r="B2404" s="612"/>
      <c r="H2404" s="612"/>
    </row>
    <row r="2405">
      <c r="B2405" s="612"/>
      <c r="H2405" s="612"/>
    </row>
    <row r="2406">
      <c r="B2406" s="612"/>
      <c r="H2406" s="612"/>
    </row>
    <row r="2407">
      <c r="B2407" s="612"/>
      <c r="H2407" s="612"/>
    </row>
    <row r="2408">
      <c r="B2408" s="612"/>
      <c r="H2408" s="612"/>
    </row>
    <row r="2409">
      <c r="B2409" s="612"/>
      <c r="H2409" s="612"/>
    </row>
    <row r="2410">
      <c r="B2410" s="612"/>
      <c r="H2410" s="612"/>
    </row>
    <row r="2411">
      <c r="B2411" s="612"/>
      <c r="H2411" s="612"/>
    </row>
    <row r="2412">
      <c r="B2412" s="612"/>
      <c r="H2412" s="612"/>
    </row>
    <row r="2413">
      <c r="B2413" s="612"/>
      <c r="H2413" s="612"/>
    </row>
    <row r="2414">
      <c r="B2414" s="612"/>
      <c r="H2414" s="612"/>
    </row>
    <row r="2415">
      <c r="B2415" s="612"/>
      <c r="H2415" s="612"/>
    </row>
    <row r="2416">
      <c r="B2416" s="612"/>
      <c r="H2416" s="612"/>
    </row>
    <row r="2417">
      <c r="B2417" s="612"/>
      <c r="H2417" s="612"/>
    </row>
    <row r="2418">
      <c r="B2418" s="612"/>
      <c r="H2418" s="612"/>
    </row>
    <row r="2419">
      <c r="B2419" s="612"/>
      <c r="H2419" s="612"/>
    </row>
    <row r="2420">
      <c r="B2420" s="612"/>
      <c r="H2420" s="612"/>
    </row>
    <row r="2421">
      <c r="B2421" s="612"/>
      <c r="H2421" s="612"/>
    </row>
    <row r="2422">
      <c r="B2422" s="612"/>
      <c r="H2422" s="612"/>
    </row>
    <row r="2423">
      <c r="B2423" s="612"/>
      <c r="H2423" s="612"/>
    </row>
    <row r="2424">
      <c r="B2424" s="612"/>
      <c r="H2424" s="612"/>
    </row>
    <row r="2425">
      <c r="B2425" s="612"/>
      <c r="H2425" s="612"/>
    </row>
    <row r="2426">
      <c r="B2426" s="612"/>
      <c r="H2426" s="612"/>
    </row>
    <row r="2427">
      <c r="B2427" s="612"/>
      <c r="H2427" s="612"/>
    </row>
    <row r="2428">
      <c r="B2428" s="612"/>
      <c r="H2428" s="612"/>
    </row>
    <row r="2429">
      <c r="B2429" s="612"/>
      <c r="H2429" s="612"/>
    </row>
    <row r="2430">
      <c r="B2430" s="612"/>
      <c r="H2430" s="612"/>
    </row>
    <row r="2431">
      <c r="B2431" s="612"/>
      <c r="H2431" s="612"/>
    </row>
    <row r="2432">
      <c r="B2432" s="612"/>
      <c r="H2432" s="612"/>
    </row>
    <row r="2433">
      <c r="B2433" s="612"/>
      <c r="H2433" s="612"/>
    </row>
    <row r="2434">
      <c r="B2434" s="612"/>
      <c r="H2434" s="612"/>
    </row>
    <row r="2435">
      <c r="B2435" s="612"/>
      <c r="H2435" s="612"/>
    </row>
    <row r="2436">
      <c r="B2436" s="612"/>
      <c r="H2436" s="612"/>
    </row>
    <row r="2437">
      <c r="B2437" s="612"/>
      <c r="H2437" s="612"/>
    </row>
    <row r="2438">
      <c r="B2438" s="612"/>
      <c r="H2438" s="612"/>
    </row>
    <row r="2439">
      <c r="B2439" s="612"/>
      <c r="H2439" s="612"/>
    </row>
    <row r="2440">
      <c r="B2440" s="612"/>
      <c r="H2440" s="612"/>
    </row>
    <row r="2441">
      <c r="B2441" s="612"/>
      <c r="H2441" s="612"/>
    </row>
    <row r="2442">
      <c r="B2442" s="612"/>
      <c r="H2442" s="612"/>
    </row>
    <row r="2443">
      <c r="B2443" s="612"/>
      <c r="H2443" s="612"/>
    </row>
    <row r="2444">
      <c r="B2444" s="612"/>
      <c r="H2444" s="612"/>
    </row>
    <row r="2445">
      <c r="B2445" s="612"/>
      <c r="H2445" s="612"/>
    </row>
    <row r="2446">
      <c r="B2446" s="612"/>
      <c r="H2446" s="612"/>
    </row>
    <row r="2447">
      <c r="B2447" s="612"/>
      <c r="H2447" s="612"/>
    </row>
    <row r="2448">
      <c r="B2448" s="612"/>
      <c r="H2448" s="612"/>
    </row>
    <row r="2449">
      <c r="B2449" s="612"/>
      <c r="H2449" s="612"/>
    </row>
    <row r="2450">
      <c r="B2450" s="612"/>
      <c r="H2450" s="612"/>
    </row>
    <row r="2451">
      <c r="B2451" s="612"/>
      <c r="H2451" s="612"/>
    </row>
    <row r="2452">
      <c r="B2452" s="612"/>
      <c r="H2452" s="612"/>
    </row>
    <row r="2453">
      <c r="B2453" s="612"/>
      <c r="H2453" s="612"/>
    </row>
    <row r="2454">
      <c r="B2454" s="612"/>
      <c r="H2454" s="612"/>
    </row>
    <row r="2455">
      <c r="B2455" s="612"/>
      <c r="H2455" s="612"/>
    </row>
    <row r="2456">
      <c r="B2456" s="612"/>
      <c r="H2456" s="612"/>
    </row>
    <row r="2457">
      <c r="B2457" s="612"/>
      <c r="H2457" s="612"/>
    </row>
    <row r="2458">
      <c r="B2458" s="612"/>
      <c r="H2458" s="612"/>
    </row>
    <row r="2459">
      <c r="B2459" s="612"/>
      <c r="H2459" s="612"/>
    </row>
    <row r="2460">
      <c r="B2460" s="612"/>
      <c r="H2460" s="612"/>
    </row>
    <row r="2461">
      <c r="B2461" s="612"/>
      <c r="H2461" s="612"/>
    </row>
    <row r="2462">
      <c r="B2462" s="612"/>
      <c r="H2462" s="612"/>
    </row>
    <row r="2463">
      <c r="B2463" s="612"/>
      <c r="H2463" s="612"/>
    </row>
    <row r="2464">
      <c r="B2464" s="612"/>
      <c r="H2464" s="612"/>
    </row>
    <row r="2465">
      <c r="B2465" s="612"/>
      <c r="H2465" s="612"/>
    </row>
    <row r="2466">
      <c r="B2466" s="612"/>
      <c r="H2466" s="612"/>
    </row>
    <row r="2467">
      <c r="B2467" s="612"/>
      <c r="H2467" s="612"/>
    </row>
    <row r="2468">
      <c r="B2468" s="612"/>
      <c r="H2468" s="612"/>
    </row>
    <row r="2469">
      <c r="B2469" s="612"/>
      <c r="H2469" s="612"/>
    </row>
    <row r="2470">
      <c r="B2470" s="612"/>
      <c r="H2470" s="612"/>
    </row>
    <row r="2471">
      <c r="B2471" s="612"/>
      <c r="H2471" s="612"/>
    </row>
    <row r="2472">
      <c r="B2472" s="612"/>
      <c r="H2472" s="612"/>
    </row>
    <row r="2473">
      <c r="B2473" s="612"/>
      <c r="H2473" s="612"/>
    </row>
    <row r="2474">
      <c r="B2474" s="612"/>
      <c r="H2474" s="612"/>
    </row>
    <row r="2475">
      <c r="B2475" s="612"/>
      <c r="H2475" s="612"/>
    </row>
    <row r="2476">
      <c r="B2476" s="612"/>
      <c r="H2476" s="612"/>
    </row>
    <row r="2477">
      <c r="B2477" s="612"/>
      <c r="H2477" s="612"/>
    </row>
    <row r="2478">
      <c r="B2478" s="612"/>
      <c r="H2478" s="612"/>
    </row>
    <row r="2479">
      <c r="B2479" s="612"/>
      <c r="H2479" s="612"/>
    </row>
    <row r="2480">
      <c r="B2480" s="612"/>
      <c r="H2480" s="612"/>
    </row>
    <row r="2481">
      <c r="B2481" s="612"/>
      <c r="H2481" s="612"/>
    </row>
    <row r="2482">
      <c r="B2482" s="612"/>
      <c r="H2482" s="612"/>
    </row>
    <row r="2483">
      <c r="B2483" s="612"/>
      <c r="H2483" s="612"/>
    </row>
    <row r="2484">
      <c r="B2484" s="612"/>
      <c r="H2484" s="612"/>
    </row>
    <row r="2485">
      <c r="B2485" s="612"/>
      <c r="H2485" s="612"/>
    </row>
    <row r="2486">
      <c r="B2486" s="612"/>
      <c r="H2486" s="612"/>
    </row>
    <row r="2487">
      <c r="B2487" s="612"/>
      <c r="H2487" s="612"/>
    </row>
    <row r="2488">
      <c r="B2488" s="612"/>
      <c r="H2488" s="612"/>
    </row>
    <row r="2489">
      <c r="B2489" s="612"/>
      <c r="H2489" s="612"/>
    </row>
    <row r="2490">
      <c r="B2490" s="612"/>
      <c r="H2490" s="612"/>
    </row>
    <row r="2491">
      <c r="B2491" s="612"/>
      <c r="H2491" s="612"/>
    </row>
    <row r="2492">
      <c r="B2492" s="612"/>
      <c r="H2492" s="612"/>
    </row>
    <row r="2493">
      <c r="B2493" s="612"/>
      <c r="H2493" s="612"/>
    </row>
    <row r="2494">
      <c r="B2494" s="612"/>
      <c r="H2494" s="612"/>
    </row>
    <row r="2495">
      <c r="B2495" s="612"/>
      <c r="H2495" s="612"/>
    </row>
    <row r="2496">
      <c r="B2496" s="612"/>
      <c r="H2496" s="612"/>
    </row>
    <row r="2497">
      <c r="B2497" s="612"/>
      <c r="H2497" s="612"/>
    </row>
    <row r="2498">
      <c r="B2498" s="612"/>
      <c r="H2498" s="612"/>
    </row>
    <row r="2499">
      <c r="B2499" s="612"/>
      <c r="H2499" s="612"/>
    </row>
    <row r="2500">
      <c r="B2500" s="612"/>
      <c r="H2500" s="612"/>
    </row>
    <row r="2501">
      <c r="B2501" s="612"/>
      <c r="H2501" s="612"/>
    </row>
    <row r="2502">
      <c r="B2502" s="612"/>
      <c r="H2502" s="612"/>
    </row>
    <row r="2503">
      <c r="B2503" s="612"/>
      <c r="H2503" s="612"/>
    </row>
    <row r="2504">
      <c r="B2504" s="612"/>
      <c r="H2504" s="612"/>
    </row>
    <row r="2505">
      <c r="B2505" s="612"/>
      <c r="H2505" s="612"/>
    </row>
    <row r="2506">
      <c r="B2506" s="612"/>
      <c r="H2506" s="612"/>
    </row>
    <row r="2507">
      <c r="B2507" s="612"/>
      <c r="H2507" s="612"/>
    </row>
    <row r="2508">
      <c r="B2508" s="612"/>
      <c r="H2508" s="612"/>
    </row>
    <row r="2509">
      <c r="B2509" s="612"/>
      <c r="H2509" s="612"/>
    </row>
    <row r="2510">
      <c r="B2510" s="612"/>
      <c r="H2510" s="612"/>
    </row>
    <row r="2511">
      <c r="B2511" s="612"/>
      <c r="H2511" s="612"/>
    </row>
    <row r="2512">
      <c r="B2512" s="612"/>
      <c r="H2512" s="612"/>
    </row>
    <row r="2513">
      <c r="B2513" s="612"/>
      <c r="H2513" s="612"/>
    </row>
    <row r="2514">
      <c r="B2514" s="612"/>
      <c r="H2514" s="612"/>
    </row>
    <row r="2515">
      <c r="B2515" s="612"/>
      <c r="H2515" s="612"/>
    </row>
    <row r="2516">
      <c r="B2516" s="612"/>
      <c r="H2516" s="612"/>
    </row>
    <row r="2517">
      <c r="B2517" s="612"/>
      <c r="H2517" s="612"/>
    </row>
    <row r="2518">
      <c r="B2518" s="612"/>
      <c r="H2518" s="612"/>
    </row>
    <row r="2519">
      <c r="B2519" s="612"/>
      <c r="H2519" s="612"/>
    </row>
    <row r="2520">
      <c r="B2520" s="612"/>
      <c r="H2520" s="612"/>
    </row>
    <row r="2521">
      <c r="B2521" s="612"/>
      <c r="H2521" s="612"/>
    </row>
    <row r="2522">
      <c r="B2522" s="612"/>
      <c r="H2522" s="612"/>
    </row>
    <row r="2523">
      <c r="B2523" s="612"/>
      <c r="H2523" s="612"/>
    </row>
    <row r="2524">
      <c r="B2524" s="612"/>
      <c r="H2524" s="612"/>
    </row>
    <row r="2525">
      <c r="B2525" s="612"/>
      <c r="H2525" s="612"/>
    </row>
    <row r="2526">
      <c r="B2526" s="612"/>
      <c r="H2526" s="612"/>
    </row>
    <row r="2527">
      <c r="B2527" s="612"/>
      <c r="H2527" s="612"/>
    </row>
    <row r="2528">
      <c r="B2528" s="612"/>
      <c r="H2528" s="612"/>
    </row>
    <row r="2529">
      <c r="B2529" s="612"/>
      <c r="H2529" s="612"/>
    </row>
    <row r="2530">
      <c r="B2530" s="612"/>
      <c r="H2530" s="612"/>
    </row>
    <row r="2531">
      <c r="B2531" s="612"/>
      <c r="H2531" s="612"/>
    </row>
    <row r="2532">
      <c r="B2532" s="612"/>
      <c r="H2532" s="612"/>
    </row>
    <row r="2533">
      <c r="B2533" s="612"/>
      <c r="H2533" s="612"/>
    </row>
    <row r="2534">
      <c r="B2534" s="612"/>
      <c r="H2534" s="612"/>
    </row>
    <row r="2535">
      <c r="B2535" s="612"/>
      <c r="H2535" s="612"/>
    </row>
    <row r="2536">
      <c r="B2536" s="612"/>
      <c r="H2536" s="612"/>
    </row>
    <row r="2537">
      <c r="B2537" s="612"/>
      <c r="H2537" s="612"/>
    </row>
    <row r="2538">
      <c r="B2538" s="612"/>
      <c r="H2538" s="612"/>
    </row>
    <row r="2539">
      <c r="B2539" s="612"/>
      <c r="H2539" s="612"/>
    </row>
    <row r="2540">
      <c r="B2540" s="612"/>
      <c r="H2540" s="612"/>
    </row>
    <row r="2541">
      <c r="B2541" s="612"/>
      <c r="H2541" s="612"/>
    </row>
    <row r="2542">
      <c r="B2542" s="612"/>
      <c r="H2542" s="612"/>
    </row>
    <row r="2543">
      <c r="B2543" s="612"/>
      <c r="H2543" s="612"/>
    </row>
    <row r="2544">
      <c r="B2544" s="612"/>
      <c r="H2544" s="612"/>
    </row>
    <row r="2545">
      <c r="B2545" s="612"/>
      <c r="H2545" s="612"/>
    </row>
    <row r="2546">
      <c r="B2546" s="612"/>
      <c r="H2546" s="612"/>
    </row>
    <row r="2547">
      <c r="B2547" s="612"/>
      <c r="H2547" s="612"/>
    </row>
    <row r="2548">
      <c r="B2548" s="612"/>
      <c r="H2548" s="612"/>
    </row>
    <row r="2549">
      <c r="B2549" s="612"/>
      <c r="H2549" s="612"/>
    </row>
    <row r="2550">
      <c r="B2550" s="612"/>
      <c r="H2550" s="612"/>
    </row>
    <row r="2551">
      <c r="B2551" s="612"/>
      <c r="H2551" s="612"/>
    </row>
    <row r="2552">
      <c r="B2552" s="612"/>
      <c r="H2552" s="612"/>
    </row>
    <row r="2553">
      <c r="B2553" s="612"/>
      <c r="H2553" s="612"/>
    </row>
    <row r="2554">
      <c r="B2554" s="612"/>
      <c r="H2554" s="612"/>
    </row>
    <row r="2555">
      <c r="B2555" s="612"/>
      <c r="H2555" s="612"/>
    </row>
    <row r="2556">
      <c r="B2556" s="612"/>
      <c r="H2556" s="612"/>
    </row>
    <row r="2557">
      <c r="B2557" s="612"/>
      <c r="H2557" s="612"/>
    </row>
    <row r="2558">
      <c r="B2558" s="612"/>
      <c r="H2558" s="612"/>
    </row>
    <row r="2559">
      <c r="B2559" s="612"/>
      <c r="H2559" s="612"/>
    </row>
    <row r="2560">
      <c r="B2560" s="612"/>
      <c r="H2560" s="612"/>
    </row>
    <row r="2561">
      <c r="B2561" s="612"/>
      <c r="H2561" s="612"/>
    </row>
    <row r="2562">
      <c r="B2562" s="612"/>
      <c r="H2562" s="612"/>
    </row>
    <row r="2563">
      <c r="B2563" s="612"/>
      <c r="H2563" s="612"/>
    </row>
    <row r="2564">
      <c r="B2564" s="612"/>
      <c r="H2564" s="612"/>
    </row>
    <row r="2565">
      <c r="B2565" s="612"/>
      <c r="H2565" s="612"/>
    </row>
    <row r="2566">
      <c r="B2566" s="612"/>
      <c r="H2566" s="612"/>
    </row>
    <row r="2567">
      <c r="B2567" s="612"/>
      <c r="H2567" s="612"/>
    </row>
    <row r="2568">
      <c r="B2568" s="612"/>
      <c r="H2568" s="612"/>
    </row>
    <row r="2569">
      <c r="B2569" s="612"/>
      <c r="H2569" s="612"/>
    </row>
    <row r="2570">
      <c r="B2570" s="612"/>
      <c r="H2570" s="612"/>
    </row>
    <row r="2571">
      <c r="B2571" s="612"/>
      <c r="H2571" s="612"/>
    </row>
    <row r="2572">
      <c r="B2572" s="612"/>
      <c r="H2572" s="612"/>
    </row>
    <row r="2573">
      <c r="B2573" s="612"/>
      <c r="H2573" s="612"/>
    </row>
    <row r="2574">
      <c r="B2574" s="612"/>
      <c r="H2574" s="612"/>
    </row>
    <row r="2575">
      <c r="B2575" s="612"/>
      <c r="H2575" s="612"/>
    </row>
    <row r="2576">
      <c r="B2576" s="612"/>
      <c r="H2576" s="612"/>
    </row>
    <row r="2577">
      <c r="B2577" s="612"/>
      <c r="H2577" s="612"/>
    </row>
    <row r="2578">
      <c r="B2578" s="612"/>
      <c r="H2578" s="612"/>
    </row>
    <row r="2579">
      <c r="B2579" s="612"/>
      <c r="H2579" s="612"/>
    </row>
    <row r="2580">
      <c r="B2580" s="612"/>
      <c r="H2580" s="612"/>
    </row>
    <row r="2581">
      <c r="B2581" s="612"/>
      <c r="H2581" s="612"/>
    </row>
    <row r="2582">
      <c r="B2582" s="612"/>
      <c r="H2582" s="612"/>
    </row>
    <row r="2583">
      <c r="B2583" s="612"/>
      <c r="H2583" s="612"/>
    </row>
    <row r="2584">
      <c r="B2584" s="612"/>
      <c r="H2584" s="612"/>
    </row>
    <row r="2585">
      <c r="B2585" s="612"/>
      <c r="H2585" s="612"/>
    </row>
    <row r="2586">
      <c r="B2586" s="612"/>
      <c r="H2586" s="612"/>
    </row>
    <row r="2587">
      <c r="B2587" s="612"/>
      <c r="H2587" s="612"/>
    </row>
    <row r="2588">
      <c r="B2588" s="612"/>
      <c r="H2588" s="612"/>
    </row>
    <row r="2589">
      <c r="B2589" s="612"/>
      <c r="H2589" s="612"/>
    </row>
    <row r="2590">
      <c r="B2590" s="612"/>
      <c r="H2590" s="612"/>
    </row>
    <row r="2591">
      <c r="B2591" s="612"/>
      <c r="H2591" s="612"/>
    </row>
    <row r="2592">
      <c r="B2592" s="612"/>
      <c r="H2592" s="612"/>
    </row>
    <row r="2593">
      <c r="B2593" s="612"/>
      <c r="H2593" s="612"/>
    </row>
    <row r="2594">
      <c r="B2594" s="612"/>
      <c r="H2594" s="612"/>
    </row>
    <row r="2595">
      <c r="B2595" s="612"/>
      <c r="H2595" s="612"/>
    </row>
    <row r="2596">
      <c r="B2596" s="612"/>
      <c r="H2596" s="612"/>
    </row>
    <row r="2597">
      <c r="B2597" s="612"/>
      <c r="H2597" s="612"/>
    </row>
    <row r="2598">
      <c r="B2598" s="612"/>
      <c r="H2598" s="612"/>
    </row>
    <row r="2599">
      <c r="B2599" s="612"/>
      <c r="H2599" s="612"/>
    </row>
    <row r="2600">
      <c r="B2600" s="612"/>
      <c r="H2600" s="612"/>
    </row>
    <row r="2601">
      <c r="B2601" s="612"/>
      <c r="H2601" s="612"/>
    </row>
    <row r="2602">
      <c r="B2602" s="612"/>
      <c r="H2602" s="612"/>
    </row>
    <row r="2603">
      <c r="B2603" s="612"/>
      <c r="H2603" s="612"/>
    </row>
    <row r="2604">
      <c r="B2604" s="612"/>
      <c r="H2604" s="612"/>
    </row>
    <row r="2605">
      <c r="B2605" s="612"/>
      <c r="H2605" s="612"/>
    </row>
    <row r="2606">
      <c r="B2606" s="612"/>
      <c r="H2606" s="612"/>
    </row>
    <row r="2607">
      <c r="B2607" s="612"/>
      <c r="H2607" s="612"/>
    </row>
    <row r="2608">
      <c r="B2608" s="612"/>
      <c r="H2608" s="612"/>
    </row>
    <row r="2609">
      <c r="B2609" s="612"/>
      <c r="H2609" s="612"/>
    </row>
    <row r="2610">
      <c r="B2610" s="612"/>
      <c r="H2610" s="612"/>
    </row>
    <row r="2611">
      <c r="B2611" s="612"/>
      <c r="H2611" s="612"/>
    </row>
    <row r="2612">
      <c r="B2612" s="612"/>
      <c r="H2612" s="612"/>
    </row>
    <row r="2613">
      <c r="B2613" s="612"/>
      <c r="H2613" s="612"/>
    </row>
    <row r="2614">
      <c r="B2614" s="612"/>
      <c r="H2614" s="612"/>
    </row>
    <row r="2615">
      <c r="B2615" s="612"/>
      <c r="H2615" s="612"/>
    </row>
    <row r="2616">
      <c r="B2616" s="612"/>
      <c r="H2616" s="612"/>
    </row>
    <row r="2617">
      <c r="B2617" s="612"/>
      <c r="H2617" s="612"/>
    </row>
    <row r="2618">
      <c r="B2618" s="612"/>
      <c r="H2618" s="612"/>
    </row>
    <row r="2619">
      <c r="B2619" s="612"/>
      <c r="H2619" s="612"/>
    </row>
    <row r="2620">
      <c r="B2620" s="612"/>
      <c r="H2620" s="612"/>
    </row>
    <row r="2621">
      <c r="B2621" s="612"/>
      <c r="H2621" s="612"/>
    </row>
    <row r="2622">
      <c r="B2622" s="612"/>
      <c r="H2622" s="612"/>
    </row>
    <row r="2623">
      <c r="B2623" s="612"/>
      <c r="H2623" s="612"/>
    </row>
    <row r="2624">
      <c r="B2624" s="612"/>
      <c r="H2624" s="612"/>
    </row>
    <row r="2625">
      <c r="B2625" s="612"/>
      <c r="H2625" s="612"/>
    </row>
    <row r="2626">
      <c r="B2626" s="612"/>
      <c r="H2626" s="612"/>
    </row>
    <row r="2627">
      <c r="B2627" s="612"/>
      <c r="H2627" s="612"/>
    </row>
    <row r="2628">
      <c r="B2628" s="612"/>
      <c r="H2628" s="612"/>
    </row>
    <row r="2629">
      <c r="B2629" s="612"/>
      <c r="H2629" s="612"/>
    </row>
    <row r="2630">
      <c r="B2630" s="612"/>
      <c r="H2630" s="612"/>
    </row>
    <row r="2631">
      <c r="B2631" s="612"/>
      <c r="H2631" s="612"/>
    </row>
    <row r="2632">
      <c r="B2632" s="612"/>
      <c r="H2632" s="612"/>
    </row>
    <row r="2633">
      <c r="B2633" s="612"/>
      <c r="H2633" s="612"/>
    </row>
    <row r="2634">
      <c r="B2634" s="612"/>
      <c r="H2634" s="612"/>
    </row>
    <row r="2635">
      <c r="B2635" s="612"/>
      <c r="H2635" s="612"/>
    </row>
    <row r="2636">
      <c r="B2636" s="612"/>
      <c r="H2636" s="612"/>
    </row>
    <row r="2637">
      <c r="B2637" s="612"/>
      <c r="H2637" s="612"/>
    </row>
    <row r="2638">
      <c r="B2638" s="612"/>
      <c r="H2638" s="612"/>
    </row>
    <row r="2639">
      <c r="B2639" s="612"/>
      <c r="H2639" s="612"/>
    </row>
    <row r="2640">
      <c r="B2640" s="612"/>
      <c r="H2640" s="612"/>
    </row>
    <row r="2641">
      <c r="B2641" s="612"/>
      <c r="H2641" s="612"/>
    </row>
    <row r="2642">
      <c r="B2642" s="612"/>
      <c r="H2642" s="612"/>
    </row>
    <row r="2643">
      <c r="B2643" s="612"/>
      <c r="H2643" s="612"/>
    </row>
    <row r="2644">
      <c r="B2644" s="612"/>
      <c r="H2644" s="612"/>
    </row>
    <row r="2645">
      <c r="B2645" s="612"/>
      <c r="H2645" s="612"/>
    </row>
    <row r="2646">
      <c r="B2646" s="612"/>
      <c r="H2646" s="612"/>
    </row>
    <row r="2647">
      <c r="B2647" s="612"/>
      <c r="H2647" s="612"/>
    </row>
    <row r="2648">
      <c r="B2648" s="612"/>
      <c r="H2648" s="612"/>
    </row>
    <row r="2649">
      <c r="B2649" s="612"/>
      <c r="H2649" s="612"/>
    </row>
    <row r="2650">
      <c r="B2650" s="612"/>
      <c r="H2650" s="612"/>
    </row>
    <row r="2651">
      <c r="B2651" s="612"/>
      <c r="H2651" s="612"/>
    </row>
    <row r="2652">
      <c r="B2652" s="612"/>
      <c r="H2652" s="612"/>
    </row>
    <row r="2653">
      <c r="B2653" s="612"/>
      <c r="H2653" s="612"/>
    </row>
    <row r="2654">
      <c r="B2654" s="612"/>
      <c r="H2654" s="612"/>
    </row>
    <row r="2655">
      <c r="B2655" s="612"/>
      <c r="H2655" s="612"/>
    </row>
    <row r="2656">
      <c r="B2656" s="612"/>
      <c r="H2656" s="612"/>
    </row>
    <row r="2657">
      <c r="B2657" s="612"/>
      <c r="H2657" s="612"/>
    </row>
    <row r="2658">
      <c r="B2658" s="612"/>
      <c r="H2658" s="612"/>
    </row>
    <row r="2659">
      <c r="B2659" s="612"/>
      <c r="H2659" s="612"/>
    </row>
    <row r="2660">
      <c r="B2660" s="612"/>
      <c r="H2660" s="612"/>
    </row>
    <row r="2661">
      <c r="B2661" s="612"/>
      <c r="H2661" s="612"/>
    </row>
    <row r="2662">
      <c r="B2662" s="612"/>
      <c r="H2662" s="612"/>
    </row>
    <row r="2663">
      <c r="B2663" s="612"/>
      <c r="H2663" s="612"/>
    </row>
    <row r="2664">
      <c r="B2664" s="612"/>
      <c r="H2664" s="612"/>
    </row>
    <row r="2665">
      <c r="B2665" s="612"/>
      <c r="H2665" s="612"/>
    </row>
    <row r="2666">
      <c r="B2666" s="612"/>
      <c r="H2666" s="612"/>
    </row>
    <row r="2667">
      <c r="B2667" s="612"/>
      <c r="H2667" s="612"/>
    </row>
    <row r="2668">
      <c r="B2668" s="612"/>
      <c r="H2668" s="612"/>
    </row>
    <row r="2669">
      <c r="B2669" s="612"/>
      <c r="H2669" s="612"/>
    </row>
    <row r="2670">
      <c r="B2670" s="612"/>
      <c r="H2670" s="612"/>
    </row>
    <row r="2671">
      <c r="B2671" s="612"/>
      <c r="H2671" s="612"/>
    </row>
    <row r="2672">
      <c r="B2672" s="612"/>
      <c r="H2672" s="612"/>
    </row>
    <row r="2673">
      <c r="B2673" s="612"/>
      <c r="H2673" s="612"/>
    </row>
    <row r="2674">
      <c r="B2674" s="612"/>
      <c r="H2674" s="612"/>
    </row>
    <row r="2675">
      <c r="B2675" s="612"/>
      <c r="H2675" s="612"/>
    </row>
    <row r="2676">
      <c r="B2676" s="612"/>
      <c r="H2676" s="612"/>
    </row>
    <row r="2677">
      <c r="B2677" s="612"/>
      <c r="H2677" s="612"/>
    </row>
    <row r="2678">
      <c r="B2678" s="612"/>
      <c r="H2678" s="612"/>
    </row>
    <row r="2679">
      <c r="B2679" s="612"/>
      <c r="H2679" s="612"/>
    </row>
    <row r="2680">
      <c r="B2680" s="612"/>
      <c r="H2680" s="612"/>
    </row>
    <row r="2681">
      <c r="B2681" s="612"/>
      <c r="H2681" s="612"/>
    </row>
    <row r="2682">
      <c r="B2682" s="612"/>
      <c r="H2682" s="612"/>
    </row>
    <row r="2683">
      <c r="B2683" s="612"/>
      <c r="H2683" s="612"/>
    </row>
    <row r="2684">
      <c r="B2684" s="612"/>
      <c r="H2684" s="612"/>
    </row>
    <row r="2685">
      <c r="B2685" s="612"/>
      <c r="H2685" s="612"/>
    </row>
    <row r="2686">
      <c r="B2686" s="612"/>
      <c r="H2686" s="612"/>
    </row>
    <row r="2687">
      <c r="B2687" s="612"/>
      <c r="H2687" s="612"/>
    </row>
    <row r="2688">
      <c r="B2688" s="612"/>
      <c r="H2688" s="612"/>
    </row>
    <row r="2689">
      <c r="B2689" s="612"/>
      <c r="H2689" s="612"/>
    </row>
    <row r="2690">
      <c r="B2690" s="612"/>
      <c r="H2690" s="612"/>
    </row>
    <row r="2691">
      <c r="B2691" s="612"/>
      <c r="H2691" s="612"/>
    </row>
    <row r="2692">
      <c r="B2692" s="612"/>
      <c r="H2692" s="612"/>
    </row>
    <row r="2693">
      <c r="B2693" s="612"/>
      <c r="H2693" s="612"/>
    </row>
    <row r="2694">
      <c r="B2694" s="612"/>
      <c r="H2694" s="612"/>
    </row>
    <row r="2695">
      <c r="B2695" s="612"/>
      <c r="H2695" s="612"/>
    </row>
    <row r="2696">
      <c r="B2696" s="612"/>
      <c r="H2696" s="612"/>
    </row>
    <row r="2697">
      <c r="B2697" s="612"/>
      <c r="H2697" s="612"/>
    </row>
    <row r="2698">
      <c r="B2698" s="612"/>
      <c r="H2698" s="612"/>
    </row>
    <row r="2699">
      <c r="B2699" s="612"/>
      <c r="H2699" s="612"/>
    </row>
    <row r="2700">
      <c r="B2700" s="612"/>
      <c r="H2700" s="612"/>
    </row>
    <row r="2701">
      <c r="B2701" s="612"/>
      <c r="H2701" s="612"/>
    </row>
    <row r="2702">
      <c r="B2702" s="612"/>
      <c r="H2702" s="612"/>
    </row>
    <row r="2703">
      <c r="B2703" s="612"/>
      <c r="H2703" s="612"/>
    </row>
    <row r="2704">
      <c r="B2704" s="612"/>
      <c r="H2704" s="612"/>
    </row>
    <row r="2705">
      <c r="B2705" s="612"/>
      <c r="H2705" s="612"/>
    </row>
    <row r="2706">
      <c r="B2706" s="612"/>
      <c r="H2706" s="612"/>
    </row>
    <row r="2707">
      <c r="B2707" s="612"/>
      <c r="H2707" s="612"/>
    </row>
    <row r="2708">
      <c r="B2708" s="612"/>
      <c r="H2708" s="612"/>
    </row>
    <row r="2709">
      <c r="B2709" s="612"/>
      <c r="H2709" s="612"/>
    </row>
    <row r="2710">
      <c r="B2710" s="612"/>
      <c r="H2710" s="612"/>
    </row>
    <row r="2711">
      <c r="B2711" s="612"/>
      <c r="H2711" s="612"/>
    </row>
    <row r="2712">
      <c r="B2712" s="612"/>
      <c r="H2712" s="612"/>
    </row>
    <row r="2713">
      <c r="B2713" s="612"/>
      <c r="H2713" s="612"/>
    </row>
    <row r="2714">
      <c r="B2714" s="612"/>
      <c r="H2714" s="612"/>
    </row>
    <row r="2715">
      <c r="B2715" s="612"/>
      <c r="H2715" s="612"/>
    </row>
    <row r="2716">
      <c r="B2716" s="612"/>
      <c r="H2716" s="612"/>
    </row>
    <row r="2717">
      <c r="B2717" s="612"/>
      <c r="H2717" s="612"/>
    </row>
    <row r="2718">
      <c r="B2718" s="612"/>
      <c r="H2718" s="612"/>
    </row>
    <row r="2719">
      <c r="B2719" s="612"/>
      <c r="H2719" s="612"/>
    </row>
    <row r="2720">
      <c r="B2720" s="612"/>
      <c r="H2720" s="612"/>
    </row>
    <row r="2721">
      <c r="B2721" s="612"/>
      <c r="H2721" s="612"/>
    </row>
    <row r="2722">
      <c r="B2722" s="612"/>
      <c r="H2722" s="612"/>
    </row>
    <row r="2723">
      <c r="B2723" s="612"/>
      <c r="H2723" s="612"/>
    </row>
    <row r="2724">
      <c r="B2724" s="612"/>
      <c r="H2724" s="612"/>
    </row>
    <row r="2725">
      <c r="B2725" s="612"/>
      <c r="H2725" s="612"/>
    </row>
    <row r="2726">
      <c r="B2726" s="612"/>
      <c r="H2726" s="612"/>
    </row>
    <row r="2727">
      <c r="B2727" s="612"/>
      <c r="H2727" s="612"/>
    </row>
    <row r="2728">
      <c r="B2728" s="612"/>
      <c r="H2728" s="612"/>
    </row>
    <row r="2729">
      <c r="B2729" s="612"/>
      <c r="H2729" s="612"/>
    </row>
    <row r="2730">
      <c r="B2730" s="612"/>
      <c r="H2730" s="612"/>
    </row>
    <row r="2731">
      <c r="B2731" s="612"/>
      <c r="H2731" s="612"/>
    </row>
    <row r="2732">
      <c r="B2732" s="612"/>
      <c r="H2732" s="612"/>
    </row>
    <row r="2733">
      <c r="B2733" s="612"/>
      <c r="H2733" s="612"/>
    </row>
    <row r="2734">
      <c r="B2734" s="612"/>
      <c r="H2734" s="612"/>
    </row>
    <row r="2735">
      <c r="B2735" s="612"/>
      <c r="H2735" s="612"/>
    </row>
    <row r="2736">
      <c r="B2736" s="612"/>
      <c r="H2736" s="612"/>
    </row>
    <row r="2737">
      <c r="B2737" s="612"/>
      <c r="H2737" s="612"/>
    </row>
    <row r="2738">
      <c r="B2738" s="612"/>
      <c r="H2738" s="612"/>
    </row>
    <row r="2739">
      <c r="B2739" s="612"/>
      <c r="H2739" s="612"/>
    </row>
    <row r="2740">
      <c r="B2740" s="612"/>
      <c r="H2740" s="612"/>
    </row>
    <row r="2741">
      <c r="B2741" s="612"/>
      <c r="H2741" s="612"/>
    </row>
    <row r="2742">
      <c r="B2742" s="612"/>
      <c r="H2742" s="612"/>
    </row>
    <row r="2743">
      <c r="B2743" s="612"/>
      <c r="H2743" s="612"/>
    </row>
    <row r="2744">
      <c r="B2744" s="612"/>
      <c r="H2744" s="612"/>
    </row>
    <row r="2745">
      <c r="B2745" s="612"/>
      <c r="H2745" s="612"/>
    </row>
    <row r="2746">
      <c r="B2746" s="612"/>
      <c r="H2746" s="612"/>
    </row>
    <row r="2747">
      <c r="B2747" s="612"/>
      <c r="H2747" s="612"/>
    </row>
    <row r="2748">
      <c r="B2748" s="612"/>
      <c r="H2748" s="612"/>
    </row>
    <row r="2749">
      <c r="B2749" s="612"/>
      <c r="H2749" s="612"/>
    </row>
    <row r="2750">
      <c r="B2750" s="612"/>
      <c r="H2750" s="612"/>
    </row>
    <row r="2751">
      <c r="B2751" s="612"/>
      <c r="H2751" s="612"/>
    </row>
    <row r="2752">
      <c r="B2752" s="612"/>
      <c r="H2752" s="612"/>
    </row>
    <row r="2753">
      <c r="B2753" s="612"/>
      <c r="H2753" s="612"/>
    </row>
    <row r="2754">
      <c r="B2754" s="612"/>
      <c r="H2754" s="612"/>
    </row>
    <row r="2755">
      <c r="B2755" s="612"/>
      <c r="H2755" s="612"/>
    </row>
    <row r="2756">
      <c r="B2756" s="612"/>
      <c r="H2756" s="612"/>
    </row>
    <row r="2757">
      <c r="B2757" s="612"/>
      <c r="H2757" s="612"/>
    </row>
    <row r="2758">
      <c r="B2758" s="612"/>
      <c r="H2758" s="612"/>
    </row>
    <row r="2759">
      <c r="B2759" s="612"/>
      <c r="H2759" s="612"/>
    </row>
    <row r="2760">
      <c r="B2760" s="612"/>
      <c r="H2760" s="612"/>
    </row>
    <row r="2761">
      <c r="B2761" s="612"/>
      <c r="H2761" s="612"/>
    </row>
    <row r="2762">
      <c r="B2762" s="612"/>
      <c r="H2762" s="612"/>
    </row>
    <row r="2763">
      <c r="B2763" s="612"/>
      <c r="H2763" s="612"/>
    </row>
    <row r="2764">
      <c r="B2764" s="612"/>
      <c r="H2764" s="612"/>
    </row>
    <row r="2765">
      <c r="B2765" s="612"/>
      <c r="H2765" s="612"/>
    </row>
    <row r="2766">
      <c r="B2766" s="612"/>
      <c r="H2766" s="612"/>
    </row>
    <row r="2767">
      <c r="B2767" s="612"/>
      <c r="H2767" s="612"/>
    </row>
    <row r="2768">
      <c r="B2768" s="612"/>
      <c r="H2768" s="612"/>
    </row>
    <row r="2769">
      <c r="B2769" s="612"/>
      <c r="H2769" s="612"/>
    </row>
    <row r="2770">
      <c r="B2770" s="612"/>
      <c r="H2770" s="612"/>
    </row>
    <row r="2771">
      <c r="B2771" s="612"/>
      <c r="H2771" s="612"/>
    </row>
    <row r="2772">
      <c r="B2772" s="612"/>
      <c r="H2772" s="612"/>
    </row>
    <row r="2773">
      <c r="B2773" s="612"/>
      <c r="H2773" s="612"/>
    </row>
    <row r="2774">
      <c r="B2774" s="612"/>
      <c r="H2774" s="612"/>
    </row>
    <row r="2775">
      <c r="B2775" s="612"/>
      <c r="H2775" s="612"/>
    </row>
    <row r="2776">
      <c r="B2776" s="612"/>
      <c r="H2776" s="612"/>
    </row>
    <row r="2777">
      <c r="B2777" s="612"/>
      <c r="H2777" s="612"/>
    </row>
    <row r="2778">
      <c r="B2778" s="612"/>
      <c r="H2778" s="612"/>
    </row>
    <row r="2779">
      <c r="B2779" s="612"/>
      <c r="H2779" s="612"/>
    </row>
    <row r="2780">
      <c r="B2780" s="612"/>
      <c r="H2780" s="612"/>
    </row>
    <row r="2781">
      <c r="B2781" s="612"/>
      <c r="H2781" s="612"/>
    </row>
    <row r="2782">
      <c r="B2782" s="612"/>
      <c r="H2782" s="612"/>
    </row>
    <row r="2783">
      <c r="B2783" s="612"/>
      <c r="H2783" s="612"/>
    </row>
    <row r="2784">
      <c r="B2784" s="612"/>
      <c r="H2784" s="612"/>
    </row>
    <row r="2785">
      <c r="B2785" s="612"/>
      <c r="H2785" s="612"/>
    </row>
    <row r="2786">
      <c r="B2786" s="612"/>
      <c r="H2786" s="612"/>
    </row>
    <row r="2787">
      <c r="B2787" s="612"/>
      <c r="H2787" s="612"/>
    </row>
    <row r="2788">
      <c r="B2788" s="612"/>
      <c r="H2788" s="612"/>
    </row>
    <row r="2789">
      <c r="B2789" s="612"/>
      <c r="H2789" s="612"/>
    </row>
    <row r="2790">
      <c r="B2790" s="612"/>
      <c r="H2790" s="612"/>
    </row>
    <row r="2791">
      <c r="B2791" s="612"/>
      <c r="H2791" s="612"/>
    </row>
    <row r="2792">
      <c r="B2792" s="612"/>
      <c r="H2792" s="612"/>
    </row>
    <row r="2793">
      <c r="B2793" s="612"/>
      <c r="H2793" s="612"/>
    </row>
    <row r="2794">
      <c r="B2794" s="612"/>
      <c r="H2794" s="612"/>
    </row>
    <row r="2795">
      <c r="B2795" s="612"/>
      <c r="H2795" s="612"/>
    </row>
    <row r="2796">
      <c r="B2796" s="612"/>
      <c r="H2796" s="612"/>
    </row>
    <row r="2797">
      <c r="B2797" s="612"/>
      <c r="H2797" s="612"/>
    </row>
    <row r="2798">
      <c r="B2798" s="612"/>
      <c r="H2798" s="612"/>
    </row>
    <row r="2799">
      <c r="B2799" s="612"/>
      <c r="H2799" s="612"/>
    </row>
    <row r="2800">
      <c r="B2800" s="612"/>
      <c r="H2800" s="612"/>
    </row>
    <row r="2801">
      <c r="B2801" s="612"/>
      <c r="H2801" s="612"/>
    </row>
    <row r="2802">
      <c r="B2802" s="612"/>
      <c r="H2802" s="612"/>
    </row>
    <row r="2803">
      <c r="B2803" s="612"/>
      <c r="H2803" s="612"/>
    </row>
    <row r="2804">
      <c r="B2804" s="612"/>
      <c r="H2804" s="612"/>
    </row>
    <row r="2805">
      <c r="B2805" s="612"/>
      <c r="H2805" s="612"/>
    </row>
    <row r="2806">
      <c r="B2806" s="612"/>
      <c r="H2806" s="612"/>
    </row>
    <row r="2807">
      <c r="B2807" s="612"/>
      <c r="H2807" s="612"/>
    </row>
    <row r="2808">
      <c r="B2808" s="612"/>
      <c r="H2808" s="612"/>
    </row>
    <row r="2809">
      <c r="B2809" s="612"/>
      <c r="H2809" s="612"/>
    </row>
    <row r="2810">
      <c r="B2810" s="612"/>
      <c r="H2810" s="612"/>
    </row>
    <row r="2811">
      <c r="B2811" s="612"/>
      <c r="H2811" s="612"/>
    </row>
    <row r="2812">
      <c r="B2812" s="612"/>
      <c r="H2812" s="612"/>
    </row>
    <row r="2813">
      <c r="B2813" s="612"/>
      <c r="H2813" s="612"/>
    </row>
    <row r="2814">
      <c r="B2814" s="612"/>
      <c r="H2814" s="612"/>
    </row>
    <row r="2815">
      <c r="B2815" s="612"/>
      <c r="H2815" s="612"/>
    </row>
    <row r="2816">
      <c r="B2816" s="612"/>
      <c r="H2816" s="612"/>
    </row>
    <row r="2817">
      <c r="B2817" s="612"/>
      <c r="H2817" s="612"/>
    </row>
    <row r="2818">
      <c r="B2818" s="612"/>
      <c r="H2818" s="612"/>
    </row>
    <row r="2819">
      <c r="B2819" s="612"/>
      <c r="H2819" s="612"/>
    </row>
    <row r="2820">
      <c r="B2820" s="612"/>
      <c r="H2820" s="612"/>
    </row>
    <row r="2821">
      <c r="B2821" s="612"/>
      <c r="H2821" s="612"/>
    </row>
    <row r="2822">
      <c r="B2822" s="612"/>
      <c r="H2822" s="612"/>
    </row>
    <row r="2823">
      <c r="B2823" s="612"/>
      <c r="H2823" s="612"/>
    </row>
    <row r="2824">
      <c r="B2824" s="612"/>
      <c r="H2824" s="612"/>
    </row>
    <row r="2825">
      <c r="B2825" s="612"/>
      <c r="H2825" s="612"/>
    </row>
    <row r="2826">
      <c r="B2826" s="612"/>
      <c r="H2826" s="612"/>
    </row>
    <row r="2827">
      <c r="B2827" s="612"/>
      <c r="H2827" s="612"/>
    </row>
    <row r="2828">
      <c r="B2828" s="612"/>
      <c r="H2828" s="612"/>
    </row>
    <row r="2829">
      <c r="B2829" s="612"/>
      <c r="H2829" s="612"/>
    </row>
    <row r="2830">
      <c r="B2830" s="612"/>
      <c r="H2830" s="612"/>
    </row>
    <row r="2831">
      <c r="B2831" s="612"/>
      <c r="H2831" s="612"/>
    </row>
    <row r="2832">
      <c r="B2832" s="612"/>
      <c r="H2832" s="612"/>
    </row>
    <row r="2833">
      <c r="B2833" s="612"/>
      <c r="H2833" s="612"/>
    </row>
    <row r="2834">
      <c r="B2834" s="612"/>
      <c r="H2834" s="612"/>
    </row>
    <row r="2835">
      <c r="B2835" s="612"/>
      <c r="H2835" s="612"/>
    </row>
    <row r="2836">
      <c r="B2836" s="612"/>
      <c r="H2836" s="612"/>
    </row>
    <row r="2837">
      <c r="B2837" s="612"/>
      <c r="H2837" s="612"/>
    </row>
    <row r="2838">
      <c r="B2838" s="612"/>
      <c r="H2838" s="612"/>
    </row>
    <row r="2839">
      <c r="B2839" s="612"/>
      <c r="H2839" s="612"/>
    </row>
    <row r="2840">
      <c r="B2840" s="612"/>
      <c r="H2840" s="612"/>
    </row>
    <row r="2841">
      <c r="B2841" s="612"/>
      <c r="H2841" s="612"/>
    </row>
    <row r="2842">
      <c r="B2842" s="612"/>
      <c r="H2842" s="612"/>
    </row>
    <row r="2843">
      <c r="B2843" s="612"/>
      <c r="H2843" s="612"/>
    </row>
    <row r="2844">
      <c r="B2844" s="612"/>
      <c r="H2844" s="612"/>
    </row>
    <row r="2845">
      <c r="B2845" s="612"/>
      <c r="H2845" s="612"/>
    </row>
    <row r="2846">
      <c r="B2846" s="612"/>
      <c r="H2846" s="612"/>
    </row>
    <row r="2847">
      <c r="B2847" s="612"/>
      <c r="H2847" s="612"/>
    </row>
    <row r="2848">
      <c r="B2848" s="612"/>
      <c r="H2848" s="612"/>
    </row>
    <row r="2849">
      <c r="B2849" s="612"/>
      <c r="H2849" s="612"/>
    </row>
    <row r="2850">
      <c r="B2850" s="612"/>
      <c r="H2850" s="612"/>
    </row>
    <row r="2851">
      <c r="B2851" s="612"/>
      <c r="H2851" s="612"/>
    </row>
    <row r="2852">
      <c r="B2852" s="612"/>
      <c r="H2852" s="612"/>
    </row>
    <row r="2853">
      <c r="B2853" s="612"/>
      <c r="H2853" s="612"/>
    </row>
    <row r="2854">
      <c r="B2854" s="612"/>
      <c r="H2854" s="612"/>
    </row>
    <row r="2855">
      <c r="B2855" s="612"/>
      <c r="H2855" s="612"/>
    </row>
    <row r="2856">
      <c r="B2856" s="612"/>
      <c r="H2856" s="612"/>
    </row>
    <row r="2857">
      <c r="B2857" s="612"/>
      <c r="H2857" s="612"/>
    </row>
    <row r="2858">
      <c r="B2858" s="612"/>
      <c r="H2858" s="612"/>
    </row>
    <row r="2859">
      <c r="B2859" s="612"/>
      <c r="H2859" s="612"/>
    </row>
    <row r="2860">
      <c r="B2860" s="612"/>
      <c r="H2860" s="612"/>
    </row>
    <row r="2861">
      <c r="B2861" s="612"/>
      <c r="H2861" s="612"/>
    </row>
    <row r="2862">
      <c r="B2862" s="612"/>
      <c r="H2862" s="612"/>
    </row>
    <row r="2863">
      <c r="B2863" s="612"/>
      <c r="H2863" s="612"/>
    </row>
    <row r="2864">
      <c r="B2864" s="612"/>
      <c r="H2864" s="612"/>
    </row>
    <row r="2865">
      <c r="B2865" s="612"/>
      <c r="H2865" s="612"/>
    </row>
    <row r="2866">
      <c r="B2866" s="612"/>
      <c r="H2866" s="612"/>
    </row>
    <row r="2867">
      <c r="B2867" s="612"/>
      <c r="H2867" s="612"/>
    </row>
    <row r="2868">
      <c r="B2868" s="612"/>
      <c r="H2868" s="612"/>
    </row>
    <row r="2869">
      <c r="B2869" s="612"/>
      <c r="H2869" s="612"/>
    </row>
    <row r="2870">
      <c r="B2870" s="612"/>
      <c r="H2870" s="612"/>
    </row>
    <row r="2871">
      <c r="B2871" s="612"/>
      <c r="H2871" s="612"/>
    </row>
    <row r="2872">
      <c r="B2872" s="612"/>
      <c r="H2872" s="612"/>
    </row>
    <row r="2873">
      <c r="B2873" s="612"/>
      <c r="H2873" s="612"/>
    </row>
    <row r="2874">
      <c r="B2874" s="612"/>
      <c r="H2874" s="612"/>
    </row>
    <row r="2875">
      <c r="B2875" s="612"/>
      <c r="H2875" s="612"/>
    </row>
    <row r="2876">
      <c r="B2876" s="612"/>
      <c r="H2876" s="612"/>
    </row>
    <row r="2877">
      <c r="B2877" s="612"/>
      <c r="H2877" s="612"/>
    </row>
    <row r="2878">
      <c r="B2878" s="612"/>
      <c r="H2878" s="612"/>
    </row>
    <row r="2879">
      <c r="B2879" s="612"/>
      <c r="H2879" s="612"/>
    </row>
    <row r="2880">
      <c r="B2880" s="612"/>
      <c r="H2880" s="612"/>
    </row>
    <row r="2881">
      <c r="B2881" s="612"/>
      <c r="H2881" s="612"/>
    </row>
    <row r="2882">
      <c r="B2882" s="612"/>
      <c r="H2882" s="612"/>
    </row>
    <row r="2883">
      <c r="B2883" s="612"/>
      <c r="H2883" s="612"/>
    </row>
    <row r="2884">
      <c r="B2884" s="612"/>
      <c r="H2884" s="612"/>
    </row>
    <row r="2885">
      <c r="B2885" s="612"/>
      <c r="H2885" s="612"/>
    </row>
    <row r="2886">
      <c r="B2886" s="612"/>
      <c r="H2886" s="612"/>
    </row>
    <row r="2887">
      <c r="B2887" s="612"/>
      <c r="H2887" s="612"/>
    </row>
    <row r="2888">
      <c r="B2888" s="612"/>
      <c r="H2888" s="612"/>
    </row>
    <row r="2889">
      <c r="B2889" s="612"/>
      <c r="H2889" s="612"/>
    </row>
    <row r="2890">
      <c r="B2890" s="612"/>
      <c r="H2890" s="612"/>
    </row>
    <row r="2891">
      <c r="B2891" s="612"/>
      <c r="H2891" s="612"/>
    </row>
    <row r="2892">
      <c r="B2892" s="612"/>
      <c r="H2892" s="612"/>
    </row>
    <row r="2893">
      <c r="B2893" s="612"/>
      <c r="H2893" s="612"/>
    </row>
    <row r="2894">
      <c r="B2894" s="612"/>
      <c r="H2894" s="612"/>
    </row>
    <row r="2895">
      <c r="B2895" s="612"/>
      <c r="H2895" s="612"/>
    </row>
    <row r="2896">
      <c r="B2896" s="612"/>
      <c r="H2896" s="612"/>
    </row>
    <row r="2897">
      <c r="B2897" s="612"/>
      <c r="H2897" s="612"/>
    </row>
    <row r="2898">
      <c r="B2898" s="612"/>
      <c r="H2898" s="612"/>
    </row>
    <row r="2899">
      <c r="B2899" s="612"/>
      <c r="H2899" s="612"/>
    </row>
    <row r="2900">
      <c r="B2900" s="612"/>
      <c r="H2900" s="612"/>
    </row>
    <row r="2901">
      <c r="B2901" s="612"/>
      <c r="H2901" s="612"/>
    </row>
    <row r="2902">
      <c r="B2902" s="612"/>
      <c r="H2902" s="612"/>
    </row>
    <row r="2903">
      <c r="B2903" s="612"/>
      <c r="H2903" s="612"/>
    </row>
    <row r="2904">
      <c r="B2904" s="612"/>
      <c r="H2904" s="612"/>
    </row>
    <row r="2905">
      <c r="B2905" s="612"/>
      <c r="H2905" s="612"/>
    </row>
    <row r="2906">
      <c r="B2906" s="612"/>
      <c r="H2906" s="612"/>
    </row>
    <row r="2907">
      <c r="B2907" s="612"/>
      <c r="H2907" s="612"/>
    </row>
    <row r="2908">
      <c r="B2908" s="612"/>
      <c r="H2908" s="612"/>
    </row>
    <row r="2909">
      <c r="B2909" s="612"/>
      <c r="H2909" s="612"/>
    </row>
    <row r="2910">
      <c r="B2910" s="612"/>
      <c r="H2910" s="612"/>
    </row>
    <row r="2911">
      <c r="B2911" s="612"/>
      <c r="H2911" s="612"/>
    </row>
    <row r="2912">
      <c r="B2912" s="612"/>
      <c r="H2912" s="612"/>
    </row>
    <row r="2913">
      <c r="B2913" s="612"/>
      <c r="H2913" s="612"/>
    </row>
    <row r="2914">
      <c r="B2914" s="612"/>
      <c r="H2914" s="612"/>
    </row>
    <row r="2915">
      <c r="B2915" s="612"/>
      <c r="H2915" s="612"/>
    </row>
    <row r="2916">
      <c r="B2916" s="612"/>
      <c r="H2916" s="612"/>
    </row>
    <row r="2917">
      <c r="B2917" s="612"/>
      <c r="H2917" s="612"/>
    </row>
    <row r="2918">
      <c r="B2918" s="612"/>
      <c r="H2918" s="612"/>
    </row>
    <row r="2919">
      <c r="B2919" s="612"/>
      <c r="H2919" s="612"/>
    </row>
    <row r="2920">
      <c r="B2920" s="612"/>
      <c r="H2920" s="612"/>
    </row>
    <row r="2921">
      <c r="B2921" s="612"/>
      <c r="H2921" s="612"/>
    </row>
    <row r="2922">
      <c r="B2922" s="612"/>
      <c r="H2922" s="612"/>
    </row>
    <row r="2923">
      <c r="B2923" s="612"/>
      <c r="H2923" s="612"/>
    </row>
    <row r="2924">
      <c r="B2924" s="612"/>
      <c r="H2924" s="612"/>
    </row>
    <row r="2925">
      <c r="B2925" s="612"/>
      <c r="H2925" s="612"/>
    </row>
    <row r="2926">
      <c r="B2926" s="612"/>
      <c r="H2926" s="612"/>
    </row>
    <row r="2927">
      <c r="B2927" s="612"/>
      <c r="H2927" s="612"/>
    </row>
    <row r="2928">
      <c r="B2928" s="612"/>
      <c r="H2928" s="612"/>
    </row>
    <row r="2929">
      <c r="B2929" s="612"/>
      <c r="H2929" s="612"/>
    </row>
    <row r="2930">
      <c r="B2930" s="612"/>
      <c r="H2930" s="612"/>
    </row>
    <row r="2931">
      <c r="B2931" s="612"/>
      <c r="H2931" s="612"/>
    </row>
    <row r="2932">
      <c r="B2932" s="612"/>
      <c r="H2932" s="612"/>
    </row>
    <row r="2933">
      <c r="B2933" s="612"/>
      <c r="H2933" s="612"/>
    </row>
    <row r="2934">
      <c r="B2934" s="612"/>
      <c r="H2934" s="612"/>
    </row>
    <row r="2935">
      <c r="B2935" s="612"/>
      <c r="H2935" s="612"/>
    </row>
    <row r="2936">
      <c r="B2936" s="612"/>
      <c r="H2936" s="612"/>
    </row>
    <row r="2937">
      <c r="B2937" s="612"/>
      <c r="H2937" s="612"/>
    </row>
    <row r="2938">
      <c r="B2938" s="612"/>
      <c r="H2938" s="612"/>
    </row>
    <row r="2939">
      <c r="B2939" s="612"/>
      <c r="H2939" s="612"/>
    </row>
    <row r="2940">
      <c r="B2940" s="612"/>
      <c r="H2940" s="612"/>
    </row>
    <row r="2941">
      <c r="B2941" s="612"/>
      <c r="H2941" s="612"/>
    </row>
    <row r="2942">
      <c r="B2942" s="612"/>
      <c r="H2942" s="612"/>
    </row>
    <row r="2943">
      <c r="B2943" s="612"/>
      <c r="H2943" s="612"/>
    </row>
    <row r="2944">
      <c r="B2944" s="612"/>
      <c r="H2944" s="612"/>
    </row>
    <row r="2945">
      <c r="B2945" s="612"/>
      <c r="H2945" s="612"/>
    </row>
    <row r="2946">
      <c r="B2946" s="612"/>
      <c r="H2946" s="612"/>
    </row>
    <row r="2947">
      <c r="B2947" s="612"/>
      <c r="H2947" s="612"/>
    </row>
    <row r="2948">
      <c r="B2948" s="612"/>
      <c r="H2948" s="612"/>
    </row>
    <row r="2949">
      <c r="B2949" s="612"/>
      <c r="H2949" s="612"/>
    </row>
    <row r="2950">
      <c r="B2950" s="612"/>
      <c r="H2950" s="612"/>
    </row>
    <row r="2951">
      <c r="B2951" s="612"/>
      <c r="H2951" s="612"/>
    </row>
    <row r="2952">
      <c r="B2952" s="612"/>
      <c r="H2952" s="612"/>
    </row>
    <row r="2953">
      <c r="B2953" s="612"/>
      <c r="H2953" s="612"/>
    </row>
    <row r="2954">
      <c r="B2954" s="612"/>
      <c r="H2954" s="612"/>
    </row>
    <row r="2955">
      <c r="B2955" s="612"/>
      <c r="H2955" s="612"/>
    </row>
    <row r="2956">
      <c r="B2956" s="612"/>
      <c r="H2956" s="612"/>
    </row>
    <row r="2957">
      <c r="B2957" s="612"/>
      <c r="H2957" s="612"/>
    </row>
    <row r="2958">
      <c r="B2958" s="612"/>
      <c r="H2958" s="612"/>
    </row>
    <row r="2959">
      <c r="B2959" s="612"/>
      <c r="H2959" s="612"/>
    </row>
    <row r="2960">
      <c r="B2960" s="612"/>
      <c r="H2960" s="612"/>
    </row>
    <row r="2961">
      <c r="B2961" s="612"/>
      <c r="H2961" s="612"/>
    </row>
    <row r="2962">
      <c r="B2962" s="612"/>
      <c r="H2962" s="612"/>
    </row>
    <row r="2963">
      <c r="B2963" s="612"/>
      <c r="H2963" s="612"/>
    </row>
    <row r="2964">
      <c r="B2964" s="612"/>
      <c r="H2964" s="612"/>
    </row>
    <row r="2965">
      <c r="B2965" s="612"/>
      <c r="H2965" s="612"/>
    </row>
    <row r="2966">
      <c r="B2966" s="612"/>
      <c r="H2966" s="612"/>
    </row>
    <row r="2967">
      <c r="B2967" s="612"/>
      <c r="H2967" s="612"/>
    </row>
    <row r="2968">
      <c r="B2968" s="612"/>
      <c r="H2968" s="612"/>
    </row>
    <row r="2969">
      <c r="B2969" s="612"/>
      <c r="H2969" s="612"/>
    </row>
    <row r="2970">
      <c r="B2970" s="612"/>
      <c r="H2970" s="612"/>
    </row>
    <row r="2971">
      <c r="B2971" s="612"/>
      <c r="H2971" s="612"/>
    </row>
    <row r="2972">
      <c r="B2972" s="612"/>
      <c r="H2972" s="612"/>
    </row>
    <row r="2973">
      <c r="B2973" s="612"/>
      <c r="H2973" s="612"/>
    </row>
    <row r="2974">
      <c r="B2974" s="612"/>
      <c r="H2974" s="612"/>
    </row>
    <row r="2975">
      <c r="B2975" s="612"/>
      <c r="H2975" s="612"/>
    </row>
    <row r="2976">
      <c r="B2976" s="612"/>
      <c r="H2976" s="612"/>
    </row>
    <row r="2977">
      <c r="B2977" s="612"/>
      <c r="H2977" s="612"/>
    </row>
    <row r="2978">
      <c r="B2978" s="612"/>
      <c r="H2978" s="612"/>
    </row>
    <row r="2979">
      <c r="B2979" s="612"/>
      <c r="H2979" s="612"/>
    </row>
    <row r="2980">
      <c r="B2980" s="612"/>
      <c r="H2980" s="612"/>
    </row>
    <row r="2981">
      <c r="B2981" s="612"/>
      <c r="H2981" s="612"/>
    </row>
    <row r="2982">
      <c r="B2982" s="612"/>
      <c r="H2982" s="612"/>
    </row>
    <row r="2983">
      <c r="B2983" s="612"/>
      <c r="H2983" s="612"/>
    </row>
    <row r="2984">
      <c r="B2984" s="612"/>
      <c r="H2984" s="612"/>
    </row>
    <row r="2985">
      <c r="B2985" s="612"/>
      <c r="H2985" s="612"/>
    </row>
    <row r="2986">
      <c r="B2986" s="612"/>
      <c r="H2986" s="612"/>
    </row>
    <row r="2987">
      <c r="B2987" s="612"/>
      <c r="H2987" s="612"/>
    </row>
    <row r="2988">
      <c r="B2988" s="612"/>
      <c r="H2988" s="612"/>
    </row>
    <row r="2989">
      <c r="B2989" s="612"/>
      <c r="H2989" s="612"/>
    </row>
    <row r="2990">
      <c r="B2990" s="612"/>
      <c r="H2990" s="612"/>
    </row>
    <row r="2991">
      <c r="B2991" s="612"/>
      <c r="H2991" s="612"/>
    </row>
    <row r="2992">
      <c r="B2992" s="612"/>
      <c r="H2992" s="612"/>
    </row>
    <row r="2993">
      <c r="B2993" s="612"/>
      <c r="H2993" s="612"/>
    </row>
    <row r="2994">
      <c r="B2994" s="612"/>
      <c r="H2994" s="612"/>
    </row>
    <row r="2995">
      <c r="B2995" s="612"/>
      <c r="H2995" s="612"/>
    </row>
    <row r="2996">
      <c r="B2996" s="612"/>
      <c r="H2996" s="612"/>
    </row>
    <row r="2997">
      <c r="B2997" s="612"/>
      <c r="H2997" s="612"/>
    </row>
    <row r="2998">
      <c r="B2998" s="612"/>
      <c r="H2998" s="612"/>
    </row>
    <row r="2999">
      <c r="B2999" s="612"/>
      <c r="H2999" s="612"/>
    </row>
    <row r="3000">
      <c r="B3000" s="612"/>
      <c r="H3000" s="612"/>
    </row>
    <row r="3001">
      <c r="B3001" s="612"/>
      <c r="H3001" s="612"/>
    </row>
    <row r="3002">
      <c r="B3002" s="612"/>
      <c r="H3002" s="612"/>
    </row>
    <row r="3003">
      <c r="B3003" s="612"/>
      <c r="H3003" s="612"/>
    </row>
    <row r="3004">
      <c r="B3004" s="612"/>
      <c r="H3004" s="612"/>
    </row>
    <row r="3005">
      <c r="B3005" s="612"/>
      <c r="H3005" s="612"/>
    </row>
    <row r="3006">
      <c r="B3006" s="612"/>
      <c r="H3006" s="612"/>
    </row>
    <row r="3007">
      <c r="B3007" s="612"/>
      <c r="H3007" s="612"/>
    </row>
    <row r="3008">
      <c r="B3008" s="612"/>
      <c r="H3008" s="612"/>
    </row>
    <row r="3009">
      <c r="B3009" s="612"/>
      <c r="H3009" s="612"/>
    </row>
    <row r="3010">
      <c r="B3010" s="612"/>
      <c r="H3010" s="612"/>
    </row>
    <row r="3011">
      <c r="B3011" s="612"/>
      <c r="H3011" s="612"/>
    </row>
    <row r="3012">
      <c r="B3012" s="612"/>
      <c r="H3012" s="612"/>
    </row>
    <row r="3013">
      <c r="B3013" s="612"/>
      <c r="H3013" s="612"/>
    </row>
    <row r="3014">
      <c r="B3014" s="612"/>
      <c r="H3014" s="612"/>
    </row>
    <row r="3015">
      <c r="B3015" s="612"/>
      <c r="H3015" s="612"/>
    </row>
    <row r="3016">
      <c r="B3016" s="612"/>
      <c r="H3016" s="612"/>
    </row>
    <row r="3017">
      <c r="B3017" s="612"/>
      <c r="H3017" s="612"/>
    </row>
    <row r="3018">
      <c r="B3018" s="612"/>
      <c r="H3018" s="612"/>
    </row>
    <row r="3019">
      <c r="B3019" s="612"/>
      <c r="H3019" s="612"/>
    </row>
    <row r="3020">
      <c r="B3020" s="612"/>
      <c r="H3020" s="612"/>
    </row>
    <row r="3021">
      <c r="B3021" s="612"/>
      <c r="H3021" s="612"/>
    </row>
    <row r="3022">
      <c r="B3022" s="612"/>
      <c r="H3022" s="612"/>
    </row>
    <row r="3023">
      <c r="B3023" s="612"/>
      <c r="H3023" s="612"/>
    </row>
    <row r="3024">
      <c r="B3024" s="612"/>
      <c r="H3024" s="612"/>
    </row>
    <row r="3025">
      <c r="B3025" s="612"/>
      <c r="H3025" s="612"/>
    </row>
    <row r="3026">
      <c r="B3026" s="612"/>
      <c r="H3026" s="612"/>
    </row>
    <row r="3027">
      <c r="B3027" s="612"/>
      <c r="H3027" s="612"/>
    </row>
    <row r="3028">
      <c r="B3028" s="612"/>
      <c r="H3028" s="612"/>
    </row>
    <row r="3029">
      <c r="B3029" s="612"/>
      <c r="H3029" s="612"/>
    </row>
    <row r="3030">
      <c r="B3030" s="612"/>
      <c r="H3030" s="612"/>
    </row>
    <row r="3031">
      <c r="B3031" s="612"/>
      <c r="H3031" s="612"/>
    </row>
    <row r="3032">
      <c r="B3032" s="612"/>
      <c r="H3032" s="612"/>
    </row>
    <row r="3033">
      <c r="B3033" s="612"/>
      <c r="H3033" s="612"/>
    </row>
    <row r="3034">
      <c r="B3034" s="612"/>
      <c r="H3034" s="612"/>
    </row>
    <row r="3035">
      <c r="B3035" s="612"/>
      <c r="H3035" s="612"/>
    </row>
    <row r="3036">
      <c r="B3036" s="612"/>
      <c r="H3036" s="612"/>
    </row>
    <row r="3037">
      <c r="B3037" s="612"/>
      <c r="H3037" s="612"/>
    </row>
    <row r="3038">
      <c r="B3038" s="612"/>
      <c r="H3038" s="612"/>
    </row>
    <row r="3039">
      <c r="B3039" s="612"/>
      <c r="H3039" s="612"/>
    </row>
    <row r="3040">
      <c r="B3040" s="612"/>
      <c r="H3040" s="612"/>
    </row>
    <row r="3041">
      <c r="B3041" s="612"/>
      <c r="H3041" s="612"/>
    </row>
    <row r="3042">
      <c r="B3042" s="612"/>
      <c r="H3042" s="612"/>
    </row>
    <row r="3043">
      <c r="B3043" s="612"/>
      <c r="H3043" s="612"/>
    </row>
    <row r="3044">
      <c r="B3044" s="612"/>
      <c r="H3044" s="612"/>
    </row>
    <row r="3045">
      <c r="B3045" s="612"/>
      <c r="H3045" s="612"/>
    </row>
    <row r="3046">
      <c r="B3046" s="612"/>
      <c r="H3046" s="612"/>
    </row>
    <row r="3047">
      <c r="B3047" s="612"/>
      <c r="H3047" s="612"/>
    </row>
    <row r="3048">
      <c r="B3048" s="612"/>
      <c r="H3048" s="612"/>
    </row>
    <row r="3049">
      <c r="B3049" s="612"/>
      <c r="H3049" s="612"/>
    </row>
    <row r="3050">
      <c r="B3050" s="612"/>
      <c r="H3050" s="612"/>
    </row>
    <row r="3051">
      <c r="B3051" s="612"/>
      <c r="H3051" s="612"/>
    </row>
    <row r="3052">
      <c r="B3052" s="612"/>
      <c r="H3052" s="612"/>
    </row>
    <row r="3053">
      <c r="B3053" s="612"/>
      <c r="H3053" s="612"/>
    </row>
    <row r="3054">
      <c r="B3054" s="612"/>
      <c r="H3054" s="612"/>
    </row>
    <row r="3055">
      <c r="B3055" s="612"/>
      <c r="H3055" s="612"/>
    </row>
    <row r="3056">
      <c r="B3056" s="612"/>
      <c r="H3056" s="612"/>
    </row>
    <row r="3057">
      <c r="B3057" s="612"/>
      <c r="H3057" s="612"/>
    </row>
    <row r="3058">
      <c r="B3058" s="612"/>
      <c r="H3058" s="612"/>
    </row>
    <row r="3059">
      <c r="B3059" s="612"/>
      <c r="H3059" s="612"/>
    </row>
    <row r="3060">
      <c r="B3060" s="612"/>
      <c r="H3060" s="612"/>
    </row>
    <row r="3061">
      <c r="B3061" s="612"/>
      <c r="H3061" s="612"/>
    </row>
    <row r="3062">
      <c r="B3062" s="612"/>
      <c r="H3062" s="612"/>
    </row>
    <row r="3063">
      <c r="B3063" s="612"/>
      <c r="H3063" s="612"/>
    </row>
    <row r="3064">
      <c r="B3064" s="612"/>
      <c r="H3064" s="612"/>
    </row>
    <row r="3065">
      <c r="B3065" s="612"/>
      <c r="H3065" s="612"/>
    </row>
    <row r="3066">
      <c r="B3066" s="612"/>
      <c r="H3066" s="612"/>
    </row>
    <row r="3067">
      <c r="B3067" s="612"/>
      <c r="H3067" s="612"/>
    </row>
    <row r="3068">
      <c r="B3068" s="612"/>
      <c r="H3068" s="612"/>
    </row>
    <row r="3069">
      <c r="B3069" s="612"/>
      <c r="H3069" s="612"/>
    </row>
    <row r="3070">
      <c r="B3070" s="612"/>
      <c r="H3070" s="612"/>
    </row>
    <row r="3071">
      <c r="B3071" s="612"/>
      <c r="H3071" s="612"/>
    </row>
    <row r="3072">
      <c r="B3072" s="612"/>
      <c r="H3072" s="612"/>
    </row>
    <row r="3073">
      <c r="B3073" s="612"/>
      <c r="H3073" s="612"/>
    </row>
    <row r="3074">
      <c r="B3074" s="612"/>
      <c r="H3074" s="612"/>
    </row>
    <row r="3075">
      <c r="B3075" s="612"/>
      <c r="H3075" s="612"/>
    </row>
    <row r="3076">
      <c r="B3076" s="612"/>
      <c r="H3076" s="612"/>
    </row>
    <row r="3077">
      <c r="B3077" s="612"/>
      <c r="H3077" s="612"/>
    </row>
    <row r="3078">
      <c r="B3078" s="612"/>
      <c r="H3078" s="612"/>
    </row>
    <row r="3079">
      <c r="B3079" s="612"/>
      <c r="H3079" s="612"/>
    </row>
    <row r="3080">
      <c r="B3080" s="612"/>
      <c r="H3080" s="612"/>
    </row>
    <row r="3081">
      <c r="B3081" s="612"/>
      <c r="H3081" s="612"/>
    </row>
    <row r="3082">
      <c r="B3082" s="612"/>
      <c r="H3082" s="612"/>
    </row>
    <row r="3083">
      <c r="B3083" s="612"/>
      <c r="H3083" s="612"/>
    </row>
    <row r="3084">
      <c r="B3084" s="612"/>
      <c r="H3084" s="612"/>
    </row>
    <row r="3085">
      <c r="B3085" s="612"/>
      <c r="H3085" s="612"/>
    </row>
    <row r="3086">
      <c r="B3086" s="612"/>
      <c r="H3086" s="612"/>
    </row>
    <row r="3087">
      <c r="B3087" s="612"/>
      <c r="H3087" s="612"/>
    </row>
    <row r="3088">
      <c r="B3088" s="612"/>
      <c r="H3088" s="612"/>
    </row>
    <row r="3089">
      <c r="B3089" s="612"/>
      <c r="H3089" s="612"/>
    </row>
    <row r="3090">
      <c r="B3090" s="612"/>
      <c r="H3090" s="612"/>
    </row>
    <row r="3091">
      <c r="B3091" s="612"/>
      <c r="H3091" s="612"/>
    </row>
    <row r="3092">
      <c r="B3092" s="612"/>
      <c r="H3092" s="612"/>
    </row>
    <row r="3093">
      <c r="B3093" s="612"/>
      <c r="H3093" s="612"/>
    </row>
    <row r="3094">
      <c r="B3094" s="612"/>
      <c r="H3094" s="612"/>
    </row>
    <row r="3095">
      <c r="B3095" s="612"/>
      <c r="H3095" s="612"/>
    </row>
    <row r="3096">
      <c r="B3096" s="612"/>
      <c r="H3096" s="612"/>
    </row>
    <row r="3097">
      <c r="B3097" s="612"/>
      <c r="H3097" s="612"/>
    </row>
    <row r="3098">
      <c r="B3098" s="612"/>
      <c r="H3098" s="612"/>
    </row>
    <row r="3099">
      <c r="B3099" s="612"/>
      <c r="H3099" s="612"/>
    </row>
    <row r="3100">
      <c r="B3100" s="612"/>
      <c r="H3100" s="612"/>
    </row>
    <row r="3101">
      <c r="B3101" s="612"/>
      <c r="H3101" s="612"/>
    </row>
    <row r="3102">
      <c r="B3102" s="612"/>
      <c r="H3102" s="612"/>
    </row>
    <row r="3103">
      <c r="B3103" s="612"/>
      <c r="H3103" s="612"/>
    </row>
    <row r="3104">
      <c r="B3104" s="612"/>
      <c r="H3104" s="612"/>
    </row>
    <row r="3105">
      <c r="B3105" s="612"/>
      <c r="H3105" s="612"/>
    </row>
    <row r="3106">
      <c r="B3106" s="612"/>
      <c r="H3106" s="612"/>
    </row>
    <row r="3107">
      <c r="B3107" s="612"/>
      <c r="H3107" s="612"/>
    </row>
    <row r="3108">
      <c r="B3108" s="612"/>
      <c r="H3108" s="612"/>
    </row>
    <row r="3109">
      <c r="B3109" s="612"/>
      <c r="H3109" s="612"/>
    </row>
    <row r="3110">
      <c r="B3110" s="612"/>
      <c r="H3110" s="612"/>
    </row>
    <row r="3111">
      <c r="B3111" s="612"/>
      <c r="H3111" s="612"/>
    </row>
    <row r="3112">
      <c r="B3112" s="612"/>
      <c r="H3112" s="612"/>
    </row>
    <row r="3113">
      <c r="B3113" s="612"/>
      <c r="H3113" s="612"/>
    </row>
    <row r="3114">
      <c r="B3114" s="612"/>
      <c r="H3114" s="612"/>
    </row>
    <row r="3115">
      <c r="B3115" s="612"/>
      <c r="H3115" s="612"/>
    </row>
    <row r="3116">
      <c r="B3116" s="612"/>
      <c r="H3116" s="612"/>
    </row>
    <row r="3117">
      <c r="B3117" s="612"/>
      <c r="H3117" s="612"/>
    </row>
    <row r="3118">
      <c r="B3118" s="612"/>
      <c r="H3118" s="612"/>
    </row>
    <row r="3119">
      <c r="B3119" s="612"/>
      <c r="H3119" s="612"/>
    </row>
    <row r="3120">
      <c r="B3120" s="612"/>
      <c r="H3120" s="612"/>
    </row>
    <row r="3121">
      <c r="B3121" s="612"/>
      <c r="H3121" s="612"/>
    </row>
    <row r="3122">
      <c r="B3122" s="612"/>
      <c r="H3122" s="612"/>
    </row>
    <row r="3123">
      <c r="B3123" s="612"/>
      <c r="H3123" s="612"/>
    </row>
    <row r="3124">
      <c r="B3124" s="612"/>
      <c r="H3124" s="612"/>
    </row>
    <row r="3125">
      <c r="B3125" s="612"/>
      <c r="H3125" s="612"/>
    </row>
    <row r="3126">
      <c r="B3126" s="612"/>
      <c r="H3126" s="612"/>
    </row>
    <row r="3127">
      <c r="B3127" s="612"/>
      <c r="H3127" s="612"/>
    </row>
    <row r="3128">
      <c r="B3128" s="612"/>
      <c r="H3128" s="612"/>
    </row>
    <row r="3129">
      <c r="B3129" s="612"/>
      <c r="H3129" s="612"/>
    </row>
    <row r="3130">
      <c r="B3130" s="612"/>
      <c r="H3130" s="612"/>
    </row>
    <row r="3131">
      <c r="B3131" s="612"/>
      <c r="H3131" s="612"/>
    </row>
    <row r="3132">
      <c r="B3132" s="612"/>
      <c r="H3132" s="612"/>
    </row>
    <row r="3133">
      <c r="B3133" s="612"/>
      <c r="H3133" s="612"/>
    </row>
    <row r="3134">
      <c r="B3134" s="612"/>
      <c r="H3134" s="612"/>
    </row>
    <row r="3135">
      <c r="B3135" s="612"/>
      <c r="H3135" s="612"/>
    </row>
    <row r="3136">
      <c r="B3136" s="612"/>
      <c r="H3136" s="612"/>
    </row>
    <row r="3137">
      <c r="B3137" s="612"/>
      <c r="H3137" s="612"/>
    </row>
    <row r="3138">
      <c r="B3138" s="612"/>
      <c r="H3138" s="612"/>
    </row>
    <row r="3139">
      <c r="B3139" s="612"/>
      <c r="H3139" s="612"/>
    </row>
    <row r="3140">
      <c r="B3140" s="612"/>
      <c r="H3140" s="612"/>
    </row>
    <row r="3141">
      <c r="B3141" s="612"/>
      <c r="H3141" s="612"/>
    </row>
    <row r="3142">
      <c r="B3142" s="612"/>
      <c r="H3142" s="612"/>
    </row>
    <row r="3143">
      <c r="B3143" s="612"/>
      <c r="H3143" s="612"/>
    </row>
    <row r="3144">
      <c r="B3144" s="612"/>
      <c r="H3144" s="612"/>
    </row>
    <row r="3145">
      <c r="B3145" s="612"/>
      <c r="H3145" s="612"/>
    </row>
    <row r="3146">
      <c r="B3146" s="612"/>
      <c r="H3146" s="612"/>
    </row>
    <row r="3147">
      <c r="B3147" s="612"/>
      <c r="H3147" s="612"/>
    </row>
    <row r="3148">
      <c r="B3148" s="612"/>
      <c r="H3148" s="612"/>
    </row>
    <row r="3149">
      <c r="B3149" s="612"/>
      <c r="H3149" s="612"/>
    </row>
    <row r="3150">
      <c r="B3150" s="612"/>
      <c r="H3150" s="612"/>
    </row>
    <row r="3151">
      <c r="B3151" s="612"/>
      <c r="H3151" s="612"/>
    </row>
    <row r="3152">
      <c r="B3152" s="612"/>
      <c r="H3152" s="612"/>
    </row>
    <row r="3153">
      <c r="B3153" s="612"/>
      <c r="H3153" s="612"/>
    </row>
    <row r="3154">
      <c r="B3154" s="612"/>
      <c r="H3154" s="612"/>
    </row>
    <row r="3155">
      <c r="B3155" s="612"/>
      <c r="H3155" s="612"/>
    </row>
    <row r="3156">
      <c r="B3156" s="612"/>
      <c r="H3156" s="612"/>
    </row>
    <row r="3157">
      <c r="B3157" s="612"/>
      <c r="H3157" s="612"/>
    </row>
    <row r="3158">
      <c r="B3158" s="612"/>
      <c r="H3158" s="612"/>
    </row>
    <row r="3159">
      <c r="B3159" s="612"/>
      <c r="H3159" s="612"/>
    </row>
    <row r="3160">
      <c r="B3160" s="612"/>
      <c r="H3160" s="612"/>
    </row>
    <row r="3161">
      <c r="B3161" s="612"/>
      <c r="H3161" s="612"/>
    </row>
    <row r="3162">
      <c r="B3162" s="612"/>
      <c r="H3162" s="612"/>
    </row>
    <row r="3163">
      <c r="B3163" s="612"/>
      <c r="H3163" s="612"/>
    </row>
    <row r="3164">
      <c r="B3164" s="612"/>
      <c r="H3164" s="612"/>
    </row>
    <row r="3165">
      <c r="B3165" s="612"/>
      <c r="H3165" s="612"/>
    </row>
    <row r="3166">
      <c r="B3166" s="612"/>
      <c r="H3166" s="612"/>
    </row>
    <row r="3167">
      <c r="B3167" s="612"/>
      <c r="H3167" s="612"/>
    </row>
    <row r="3168">
      <c r="B3168" s="612"/>
      <c r="H3168" s="612"/>
    </row>
    <row r="3169">
      <c r="B3169" s="612"/>
      <c r="H3169" s="612"/>
    </row>
    <row r="3170">
      <c r="B3170" s="612"/>
      <c r="H3170" s="612"/>
    </row>
    <row r="3171">
      <c r="B3171" s="612"/>
      <c r="H3171" s="612"/>
    </row>
    <row r="3172">
      <c r="B3172" s="612"/>
      <c r="H3172" s="612"/>
    </row>
    <row r="3173">
      <c r="B3173" s="612"/>
      <c r="H3173" s="612"/>
    </row>
    <row r="3174">
      <c r="B3174" s="612"/>
      <c r="H3174" s="612"/>
    </row>
    <row r="3175">
      <c r="B3175" s="612"/>
      <c r="H3175" s="612"/>
    </row>
    <row r="3176">
      <c r="B3176" s="612"/>
      <c r="H3176" s="612"/>
    </row>
    <row r="3177">
      <c r="B3177" s="612"/>
      <c r="H3177" s="612"/>
    </row>
    <row r="3178">
      <c r="B3178" s="612"/>
      <c r="H3178" s="612"/>
    </row>
    <row r="3179">
      <c r="B3179" s="612"/>
      <c r="H3179" s="612"/>
    </row>
    <row r="3180">
      <c r="B3180" s="612"/>
      <c r="H3180" s="612"/>
    </row>
    <row r="3181">
      <c r="B3181" s="612"/>
      <c r="H3181" s="612"/>
    </row>
    <row r="3182">
      <c r="B3182" s="612"/>
      <c r="H3182" s="612"/>
    </row>
    <row r="3183">
      <c r="B3183" s="612"/>
      <c r="H3183" s="612"/>
    </row>
    <row r="3184">
      <c r="B3184" s="612"/>
      <c r="H3184" s="612"/>
    </row>
    <row r="3185">
      <c r="B3185" s="612"/>
      <c r="H3185" s="612"/>
    </row>
    <row r="3186">
      <c r="B3186" s="612"/>
      <c r="H3186" s="612"/>
    </row>
    <row r="3187">
      <c r="B3187" s="612"/>
      <c r="H3187" s="612"/>
    </row>
    <row r="3188">
      <c r="B3188" s="612"/>
      <c r="H3188" s="612"/>
    </row>
    <row r="3189">
      <c r="B3189" s="612"/>
      <c r="H3189" s="612"/>
    </row>
    <row r="3190">
      <c r="B3190" s="612"/>
      <c r="H3190" s="612"/>
    </row>
    <row r="3191">
      <c r="B3191" s="612"/>
      <c r="H3191" s="612"/>
    </row>
    <row r="3192">
      <c r="B3192" s="612"/>
      <c r="H3192" s="612"/>
    </row>
    <row r="3193">
      <c r="B3193" s="612"/>
      <c r="H3193" s="612"/>
    </row>
    <row r="3194">
      <c r="B3194" s="612"/>
      <c r="H3194" s="612"/>
    </row>
    <row r="3195">
      <c r="B3195" s="612"/>
      <c r="H3195" s="612"/>
    </row>
    <row r="3196">
      <c r="B3196" s="612"/>
      <c r="H3196" s="612"/>
    </row>
    <row r="3197">
      <c r="B3197" s="612"/>
      <c r="H3197" s="612"/>
    </row>
    <row r="3198">
      <c r="B3198" s="612"/>
      <c r="H3198" s="612"/>
    </row>
    <row r="3199">
      <c r="B3199" s="612"/>
      <c r="H3199" s="612"/>
    </row>
    <row r="3200">
      <c r="B3200" s="612"/>
      <c r="H3200" s="612"/>
    </row>
    <row r="3201">
      <c r="B3201" s="612"/>
      <c r="H3201" s="612"/>
    </row>
    <row r="3202">
      <c r="B3202" s="612"/>
      <c r="H3202" s="612"/>
    </row>
    <row r="3203">
      <c r="B3203" s="612"/>
      <c r="H3203" s="612"/>
    </row>
    <row r="3204">
      <c r="B3204" s="612"/>
      <c r="H3204" s="612"/>
    </row>
    <row r="3205">
      <c r="B3205" s="612"/>
      <c r="H3205" s="612"/>
    </row>
    <row r="3206">
      <c r="B3206" s="612"/>
      <c r="H3206" s="612"/>
    </row>
    <row r="3207">
      <c r="B3207" s="612"/>
      <c r="H3207" s="612"/>
    </row>
    <row r="3208">
      <c r="B3208" s="612"/>
      <c r="H3208" s="612"/>
    </row>
    <row r="3209">
      <c r="B3209" s="612"/>
      <c r="H3209" s="612"/>
    </row>
    <row r="3210">
      <c r="B3210" s="612"/>
      <c r="H3210" s="612"/>
    </row>
    <row r="3211">
      <c r="B3211" s="612"/>
      <c r="H3211" s="612"/>
    </row>
    <row r="3212">
      <c r="B3212" s="612"/>
      <c r="H3212" s="612"/>
    </row>
    <row r="3213">
      <c r="B3213" s="612"/>
      <c r="H3213" s="612"/>
    </row>
    <row r="3214">
      <c r="B3214" s="612"/>
      <c r="H3214" s="612"/>
    </row>
    <row r="3215">
      <c r="B3215" s="612"/>
      <c r="H3215" s="612"/>
    </row>
    <row r="3216">
      <c r="B3216" s="612"/>
      <c r="H3216" s="612"/>
    </row>
    <row r="3217">
      <c r="B3217" s="612"/>
      <c r="H3217" s="612"/>
    </row>
    <row r="3218">
      <c r="B3218" s="612"/>
      <c r="H3218" s="612"/>
    </row>
    <row r="3219">
      <c r="B3219" s="612"/>
      <c r="H3219" s="612"/>
    </row>
    <row r="3220">
      <c r="B3220" s="612"/>
      <c r="H3220" s="612"/>
    </row>
    <row r="3221">
      <c r="B3221" s="612"/>
      <c r="H3221" s="612"/>
    </row>
    <row r="3222">
      <c r="B3222" s="612"/>
      <c r="H3222" s="612"/>
    </row>
    <row r="3223">
      <c r="B3223" s="612"/>
      <c r="H3223" s="612"/>
    </row>
    <row r="3224">
      <c r="B3224" s="612"/>
      <c r="H3224" s="612"/>
    </row>
    <row r="3225">
      <c r="B3225" s="612"/>
      <c r="H3225" s="612"/>
    </row>
    <row r="3226">
      <c r="B3226" s="612"/>
      <c r="H3226" s="612"/>
    </row>
    <row r="3227">
      <c r="B3227" s="612"/>
      <c r="H3227" s="612"/>
    </row>
    <row r="3228">
      <c r="B3228" s="612"/>
      <c r="H3228" s="612"/>
    </row>
    <row r="3229">
      <c r="B3229" s="612"/>
      <c r="H3229" s="612"/>
    </row>
    <row r="3230">
      <c r="B3230" s="612"/>
      <c r="H3230" s="612"/>
    </row>
    <row r="3231">
      <c r="B3231" s="612"/>
      <c r="H3231" s="612"/>
    </row>
    <row r="3232">
      <c r="B3232" s="612"/>
      <c r="H3232" s="612"/>
    </row>
    <row r="3233">
      <c r="B3233" s="612"/>
      <c r="H3233" s="612"/>
    </row>
    <row r="3234">
      <c r="B3234" s="612"/>
      <c r="H3234" s="612"/>
    </row>
    <row r="3235">
      <c r="B3235" s="612"/>
      <c r="H3235" s="612"/>
    </row>
    <row r="3236">
      <c r="B3236" s="612"/>
      <c r="H3236" s="612"/>
    </row>
    <row r="3237">
      <c r="B3237" s="612"/>
      <c r="H3237" s="612"/>
    </row>
    <row r="3238">
      <c r="B3238" s="612"/>
      <c r="H3238" s="612"/>
    </row>
    <row r="3239">
      <c r="B3239" s="612"/>
      <c r="H3239" s="612"/>
    </row>
    <row r="3240">
      <c r="B3240" s="612"/>
      <c r="H3240" s="612"/>
    </row>
    <row r="3241">
      <c r="B3241" s="612"/>
      <c r="H3241" s="612"/>
    </row>
    <row r="3242">
      <c r="B3242" s="612"/>
      <c r="H3242" s="612"/>
    </row>
    <row r="3243">
      <c r="B3243" s="612"/>
      <c r="H3243" s="612"/>
    </row>
    <row r="3244">
      <c r="B3244" s="612"/>
      <c r="H3244" s="612"/>
    </row>
    <row r="3245">
      <c r="B3245" s="612"/>
      <c r="H3245" s="612"/>
    </row>
    <row r="3246">
      <c r="B3246" s="612"/>
      <c r="H3246" s="612"/>
    </row>
    <row r="3247">
      <c r="B3247" s="612"/>
      <c r="H3247" s="612"/>
    </row>
    <row r="3248">
      <c r="B3248" s="612"/>
      <c r="H3248" s="612"/>
    </row>
    <row r="3249">
      <c r="B3249" s="612"/>
      <c r="H3249" s="612"/>
    </row>
    <row r="3250">
      <c r="B3250" s="612"/>
      <c r="H3250" s="612"/>
    </row>
    <row r="3251">
      <c r="B3251" s="612"/>
      <c r="H3251" s="612"/>
    </row>
    <row r="3252">
      <c r="B3252" s="612"/>
      <c r="H3252" s="612"/>
    </row>
    <row r="3253">
      <c r="B3253" s="612"/>
      <c r="H3253" s="612"/>
    </row>
    <row r="3254">
      <c r="B3254" s="612"/>
      <c r="H3254" s="612"/>
    </row>
    <row r="3255">
      <c r="B3255" s="612"/>
      <c r="H3255" s="612"/>
    </row>
    <row r="3256">
      <c r="B3256" s="612"/>
      <c r="H3256" s="612"/>
    </row>
    <row r="3257">
      <c r="B3257" s="612"/>
      <c r="H3257" s="612"/>
    </row>
    <row r="3258">
      <c r="B3258" s="612"/>
      <c r="H3258" s="612"/>
    </row>
    <row r="3259">
      <c r="B3259" s="612"/>
      <c r="H3259" s="612"/>
    </row>
    <row r="3260">
      <c r="B3260" s="612"/>
      <c r="H3260" s="612"/>
    </row>
    <row r="3261">
      <c r="B3261" s="612"/>
      <c r="H3261" s="612"/>
    </row>
    <row r="3262">
      <c r="B3262" s="612"/>
      <c r="H3262" s="612"/>
    </row>
    <row r="3263">
      <c r="B3263" s="612"/>
      <c r="H3263" s="612"/>
    </row>
    <row r="3264">
      <c r="B3264" s="612"/>
      <c r="H3264" s="612"/>
    </row>
    <row r="3265">
      <c r="B3265" s="612"/>
      <c r="H3265" s="612"/>
    </row>
    <row r="3266">
      <c r="B3266" s="612"/>
      <c r="H3266" s="612"/>
    </row>
    <row r="3267">
      <c r="B3267" s="612"/>
      <c r="H3267" s="612"/>
    </row>
    <row r="3268">
      <c r="B3268" s="612"/>
      <c r="H3268" s="612"/>
    </row>
    <row r="3269">
      <c r="B3269" s="612"/>
      <c r="H3269" s="612"/>
    </row>
    <row r="3270">
      <c r="B3270" s="612"/>
      <c r="H3270" s="612"/>
    </row>
    <row r="3271">
      <c r="B3271" s="612"/>
      <c r="H3271" s="612"/>
    </row>
    <row r="3272">
      <c r="B3272" s="612"/>
      <c r="H3272" s="612"/>
    </row>
    <row r="3273">
      <c r="B3273" s="612"/>
      <c r="H3273" s="612"/>
    </row>
    <row r="3274">
      <c r="B3274" s="612"/>
      <c r="H3274" s="612"/>
    </row>
    <row r="3275">
      <c r="B3275" s="612"/>
      <c r="H3275" s="612"/>
    </row>
    <row r="3276">
      <c r="B3276" s="612"/>
      <c r="H3276" s="612"/>
    </row>
    <row r="3277">
      <c r="B3277" s="612"/>
      <c r="H3277" s="612"/>
    </row>
    <row r="3278">
      <c r="B3278" s="612"/>
      <c r="H3278" s="612"/>
    </row>
    <row r="3279">
      <c r="B3279" s="612"/>
      <c r="H3279" s="612"/>
    </row>
    <row r="3280">
      <c r="B3280" s="612"/>
      <c r="H3280" s="612"/>
    </row>
    <row r="3281">
      <c r="B3281" s="612"/>
      <c r="H3281" s="612"/>
    </row>
    <row r="3282">
      <c r="B3282" s="612"/>
      <c r="H3282" s="612"/>
    </row>
    <row r="3283">
      <c r="B3283" s="612"/>
      <c r="H3283" s="612"/>
    </row>
    <row r="3284">
      <c r="B3284" s="612"/>
      <c r="H3284" s="612"/>
    </row>
    <row r="3285">
      <c r="B3285" s="612"/>
      <c r="H3285" s="612"/>
    </row>
    <row r="3286">
      <c r="B3286" s="612"/>
      <c r="H3286" s="612"/>
    </row>
    <row r="3287">
      <c r="B3287" s="612"/>
      <c r="H3287" s="612"/>
    </row>
    <row r="3288">
      <c r="B3288" s="612"/>
      <c r="H3288" s="612"/>
    </row>
    <row r="3289">
      <c r="B3289" s="612"/>
      <c r="H3289" s="612"/>
    </row>
    <row r="3290">
      <c r="B3290" s="612"/>
      <c r="H3290" s="612"/>
    </row>
    <row r="3291">
      <c r="B3291" s="612"/>
      <c r="H3291" s="612"/>
    </row>
    <row r="3292">
      <c r="B3292" s="612"/>
      <c r="H3292" s="612"/>
    </row>
    <row r="3293">
      <c r="B3293" s="612"/>
      <c r="H3293" s="612"/>
    </row>
    <row r="3294">
      <c r="B3294" s="612"/>
      <c r="H3294" s="612"/>
    </row>
    <row r="3295">
      <c r="B3295" s="612"/>
      <c r="H3295" s="612"/>
    </row>
    <row r="3296">
      <c r="B3296" s="612"/>
      <c r="H3296" s="612"/>
    </row>
    <row r="3297">
      <c r="B3297" s="612"/>
      <c r="H3297" s="612"/>
    </row>
    <row r="3298">
      <c r="B3298" s="612"/>
      <c r="H3298" s="612"/>
    </row>
    <row r="3299">
      <c r="B3299" s="612"/>
      <c r="H3299" s="612"/>
    </row>
    <row r="3300">
      <c r="B3300" s="612"/>
      <c r="H3300" s="612"/>
    </row>
    <row r="3301">
      <c r="B3301" s="612"/>
      <c r="H3301" s="612"/>
    </row>
    <row r="3302">
      <c r="B3302" s="612"/>
      <c r="H3302" s="612"/>
    </row>
    <row r="3303">
      <c r="B3303" s="612"/>
      <c r="H3303" s="612"/>
    </row>
    <row r="3304">
      <c r="B3304" s="612"/>
      <c r="H3304" s="612"/>
    </row>
    <row r="3305">
      <c r="B3305" s="612"/>
      <c r="H3305" s="612"/>
    </row>
    <row r="3306">
      <c r="B3306" s="612"/>
      <c r="H3306" s="612"/>
    </row>
    <row r="3307">
      <c r="B3307" s="612"/>
      <c r="H3307" s="612"/>
    </row>
    <row r="3308">
      <c r="B3308" s="612"/>
      <c r="H3308" s="612"/>
    </row>
    <row r="3309">
      <c r="B3309" s="612"/>
      <c r="H3309" s="612"/>
    </row>
    <row r="3310">
      <c r="B3310" s="612"/>
      <c r="H3310" s="612"/>
    </row>
    <row r="3311">
      <c r="B3311" s="612"/>
      <c r="H3311" s="612"/>
    </row>
    <row r="3312">
      <c r="B3312" s="612"/>
      <c r="H3312" s="612"/>
    </row>
    <row r="3313">
      <c r="B3313" s="612"/>
      <c r="H3313" s="612"/>
    </row>
    <row r="3314">
      <c r="B3314" s="612"/>
      <c r="H3314" s="612"/>
    </row>
    <row r="3315">
      <c r="B3315" s="612"/>
      <c r="H3315" s="612"/>
    </row>
    <row r="3316">
      <c r="B3316" s="612"/>
      <c r="H3316" s="612"/>
    </row>
    <row r="3317">
      <c r="B3317" s="612"/>
      <c r="H3317" s="612"/>
    </row>
    <row r="3318">
      <c r="B3318" s="612"/>
      <c r="H3318" s="612"/>
    </row>
    <row r="3319">
      <c r="B3319" s="612"/>
      <c r="H3319" s="612"/>
    </row>
    <row r="3320">
      <c r="B3320" s="612"/>
      <c r="H3320" s="612"/>
    </row>
    <row r="3321">
      <c r="B3321" s="612"/>
      <c r="H3321" s="612"/>
    </row>
    <row r="3322">
      <c r="B3322" s="612"/>
      <c r="H3322" s="612"/>
    </row>
    <row r="3323">
      <c r="B3323" s="612"/>
      <c r="H3323" s="612"/>
    </row>
    <row r="3324">
      <c r="B3324" s="612"/>
      <c r="H3324" s="612"/>
    </row>
    <row r="3325">
      <c r="B3325" s="612"/>
      <c r="H3325" s="612"/>
    </row>
    <row r="3326">
      <c r="B3326" s="612"/>
      <c r="H3326" s="612"/>
    </row>
    <row r="3327">
      <c r="B3327" s="612"/>
      <c r="H3327" s="612"/>
    </row>
    <row r="3328">
      <c r="B3328" s="612"/>
      <c r="H3328" s="612"/>
    </row>
    <row r="3329">
      <c r="B3329" s="612"/>
      <c r="H3329" s="612"/>
    </row>
    <row r="3330">
      <c r="B3330" s="612"/>
      <c r="H3330" s="612"/>
    </row>
    <row r="3331">
      <c r="B3331" s="612"/>
      <c r="H3331" s="612"/>
    </row>
    <row r="3332">
      <c r="B3332" s="612"/>
      <c r="H3332" s="612"/>
    </row>
    <row r="3333">
      <c r="B3333" s="612"/>
      <c r="H3333" s="612"/>
    </row>
    <row r="3334">
      <c r="B3334" s="612"/>
      <c r="H3334" s="612"/>
    </row>
    <row r="3335">
      <c r="B3335" s="612"/>
      <c r="H3335" s="612"/>
    </row>
    <row r="3336">
      <c r="B3336" s="612"/>
      <c r="H3336" s="612"/>
    </row>
    <row r="3337">
      <c r="B3337" s="612"/>
      <c r="H3337" s="612"/>
    </row>
    <row r="3338">
      <c r="B3338" s="612"/>
      <c r="H3338" s="612"/>
    </row>
    <row r="3339">
      <c r="B3339" s="612"/>
      <c r="H3339" s="612"/>
    </row>
    <row r="3340">
      <c r="B3340" s="612"/>
      <c r="H3340" s="612"/>
    </row>
    <row r="3341">
      <c r="B3341" s="612"/>
      <c r="H3341" s="612"/>
    </row>
    <row r="3342">
      <c r="B3342" s="612"/>
      <c r="H3342" s="612"/>
    </row>
    <row r="3343">
      <c r="B3343" s="612"/>
      <c r="H3343" s="612"/>
    </row>
    <row r="3344">
      <c r="B3344" s="612"/>
      <c r="H3344" s="612"/>
    </row>
    <row r="3345">
      <c r="B3345" s="612"/>
      <c r="H3345" s="612"/>
    </row>
    <row r="3346">
      <c r="B3346" s="612"/>
      <c r="H3346" s="612"/>
    </row>
    <row r="3347">
      <c r="B3347" s="612"/>
      <c r="H3347" s="612"/>
    </row>
    <row r="3348">
      <c r="B3348" s="612"/>
      <c r="H3348" s="612"/>
    </row>
    <row r="3349">
      <c r="B3349" s="612"/>
      <c r="H3349" s="612"/>
    </row>
    <row r="3350">
      <c r="B3350" s="612"/>
      <c r="H3350" s="612"/>
    </row>
    <row r="3351">
      <c r="B3351" s="612"/>
      <c r="H3351" s="612"/>
    </row>
    <row r="3352">
      <c r="B3352" s="612"/>
      <c r="H3352" s="612"/>
    </row>
    <row r="3353">
      <c r="B3353" s="612"/>
      <c r="H3353" s="612"/>
    </row>
    <row r="3354">
      <c r="B3354" s="612"/>
      <c r="H3354" s="612"/>
    </row>
    <row r="3355">
      <c r="B3355" s="612"/>
      <c r="H3355" s="612"/>
    </row>
    <row r="3356">
      <c r="B3356" s="612"/>
      <c r="H3356" s="612"/>
    </row>
    <row r="3357">
      <c r="B3357" s="612"/>
      <c r="H3357" s="612"/>
    </row>
    <row r="3358">
      <c r="B3358" s="612"/>
      <c r="H3358" s="612"/>
    </row>
    <row r="3359">
      <c r="B3359" s="612"/>
      <c r="H3359" s="612"/>
    </row>
    <row r="3360">
      <c r="B3360" s="612"/>
      <c r="H3360" s="612"/>
    </row>
    <row r="3361">
      <c r="B3361" s="612"/>
      <c r="H3361" s="612"/>
    </row>
    <row r="3362">
      <c r="B3362" s="612"/>
      <c r="H3362" s="612"/>
    </row>
    <row r="3363">
      <c r="B3363" s="612"/>
      <c r="H3363" s="612"/>
    </row>
    <row r="3364">
      <c r="B3364" s="612"/>
      <c r="H3364" s="612"/>
    </row>
    <row r="3365">
      <c r="B3365" s="612"/>
      <c r="H3365" s="612"/>
    </row>
    <row r="3366">
      <c r="B3366" s="612"/>
      <c r="H3366" s="612"/>
    </row>
    <row r="3367">
      <c r="B3367" s="612"/>
      <c r="H3367" s="612"/>
    </row>
    <row r="3368">
      <c r="B3368" s="612"/>
      <c r="H3368" s="612"/>
    </row>
    <row r="3369">
      <c r="B3369" s="612"/>
      <c r="H3369" s="612"/>
    </row>
    <row r="3370">
      <c r="B3370" s="612"/>
      <c r="H3370" s="612"/>
    </row>
    <row r="3371">
      <c r="B3371" s="612"/>
      <c r="H3371" s="612"/>
    </row>
    <row r="3372">
      <c r="B3372" s="612"/>
      <c r="H3372" s="612"/>
    </row>
    <row r="3373">
      <c r="B3373" s="612"/>
      <c r="H3373" s="612"/>
    </row>
    <row r="3374">
      <c r="B3374" s="612"/>
      <c r="H3374" s="612"/>
    </row>
    <row r="3375">
      <c r="B3375" s="612"/>
      <c r="H3375" s="612"/>
    </row>
    <row r="3376">
      <c r="B3376" s="612"/>
      <c r="H3376" s="612"/>
    </row>
    <row r="3377">
      <c r="B3377" s="612"/>
      <c r="H3377" s="612"/>
    </row>
    <row r="3378">
      <c r="B3378" s="612"/>
      <c r="H3378" s="612"/>
    </row>
    <row r="3379">
      <c r="B3379" s="612"/>
      <c r="H3379" s="612"/>
    </row>
    <row r="3380">
      <c r="B3380" s="612"/>
      <c r="H3380" s="612"/>
    </row>
    <row r="3381">
      <c r="B3381" s="612"/>
      <c r="H3381" s="612"/>
    </row>
    <row r="3382">
      <c r="B3382" s="612"/>
      <c r="H3382" s="612"/>
    </row>
    <row r="3383">
      <c r="B3383" s="612"/>
      <c r="H3383" s="612"/>
    </row>
    <row r="3384">
      <c r="B3384" s="612"/>
      <c r="H3384" s="612"/>
    </row>
    <row r="3385">
      <c r="B3385" s="612"/>
      <c r="H3385" s="612"/>
    </row>
    <row r="3386">
      <c r="B3386" s="612"/>
      <c r="H3386" s="612"/>
    </row>
    <row r="3387">
      <c r="B3387" s="612"/>
      <c r="H3387" s="612"/>
    </row>
    <row r="3388">
      <c r="B3388" s="612"/>
      <c r="H3388" s="612"/>
    </row>
    <row r="3389">
      <c r="B3389" s="612"/>
      <c r="H3389" s="612"/>
    </row>
    <row r="3390">
      <c r="B3390" s="612"/>
      <c r="H3390" s="612"/>
    </row>
    <row r="3391">
      <c r="B3391" s="612"/>
      <c r="H3391" s="612"/>
    </row>
    <row r="3392">
      <c r="B3392" s="612"/>
      <c r="H3392" s="612"/>
    </row>
    <row r="3393">
      <c r="B3393" s="612"/>
      <c r="H3393" s="612"/>
    </row>
    <row r="3394">
      <c r="B3394" s="612"/>
      <c r="H3394" s="612"/>
    </row>
    <row r="3395">
      <c r="B3395" s="612"/>
      <c r="H3395" s="612"/>
    </row>
    <row r="3396">
      <c r="B3396" s="612"/>
      <c r="H3396" s="612"/>
    </row>
    <row r="3397">
      <c r="B3397" s="612"/>
      <c r="H3397" s="612"/>
    </row>
    <row r="3398">
      <c r="B3398" s="612"/>
      <c r="H3398" s="612"/>
    </row>
    <row r="3399">
      <c r="B3399" s="612"/>
      <c r="H3399" s="612"/>
    </row>
    <row r="3400">
      <c r="B3400" s="612"/>
      <c r="H3400" s="612"/>
    </row>
    <row r="3401">
      <c r="B3401" s="612"/>
      <c r="H3401" s="612"/>
    </row>
    <row r="3402">
      <c r="B3402" s="612"/>
      <c r="H3402" s="612"/>
    </row>
    <row r="3403">
      <c r="B3403" s="612"/>
      <c r="H3403" s="612"/>
    </row>
    <row r="3404">
      <c r="B3404" s="612"/>
      <c r="H3404" s="612"/>
    </row>
    <row r="3405">
      <c r="B3405" s="612"/>
      <c r="H3405" s="612"/>
    </row>
    <row r="3406">
      <c r="B3406" s="612"/>
      <c r="H3406" s="612"/>
    </row>
    <row r="3407">
      <c r="B3407" s="612"/>
      <c r="H3407" s="612"/>
    </row>
    <row r="3408">
      <c r="B3408" s="612"/>
      <c r="H3408" s="612"/>
    </row>
    <row r="3409">
      <c r="B3409" s="612"/>
      <c r="H3409" s="612"/>
    </row>
    <row r="3410">
      <c r="B3410" s="612"/>
      <c r="H3410" s="612"/>
    </row>
    <row r="3411">
      <c r="B3411" s="612"/>
      <c r="H3411" s="612"/>
    </row>
    <row r="3412">
      <c r="B3412" s="612"/>
      <c r="H3412" s="612"/>
    </row>
    <row r="3413">
      <c r="B3413" s="612"/>
      <c r="H3413" s="612"/>
    </row>
    <row r="3414">
      <c r="B3414" s="612"/>
      <c r="H3414" s="612"/>
    </row>
    <row r="3415">
      <c r="B3415" s="612"/>
      <c r="H3415" s="612"/>
    </row>
    <row r="3416">
      <c r="B3416" s="612"/>
      <c r="H3416" s="612"/>
    </row>
    <row r="3417">
      <c r="B3417" s="612"/>
      <c r="H3417" s="612"/>
    </row>
    <row r="3418">
      <c r="B3418" s="612"/>
      <c r="H3418" s="612"/>
    </row>
    <row r="3419">
      <c r="B3419" s="612"/>
      <c r="H3419" s="612"/>
    </row>
    <row r="3420">
      <c r="B3420" s="612"/>
      <c r="H3420" s="612"/>
    </row>
    <row r="3421">
      <c r="B3421" s="612"/>
      <c r="H3421" s="612"/>
    </row>
    <row r="3422">
      <c r="B3422" s="612"/>
      <c r="H3422" s="612"/>
    </row>
    <row r="3423">
      <c r="B3423" s="612"/>
      <c r="H3423" s="612"/>
    </row>
    <row r="3424">
      <c r="B3424" s="612"/>
      <c r="H3424" s="612"/>
    </row>
    <row r="3425">
      <c r="B3425" s="612"/>
      <c r="H3425" s="612"/>
    </row>
    <row r="3426">
      <c r="B3426" s="612"/>
      <c r="H3426" s="612"/>
    </row>
    <row r="3427">
      <c r="B3427" s="612"/>
      <c r="H3427" s="612"/>
    </row>
    <row r="3428">
      <c r="B3428" s="612"/>
      <c r="H3428" s="612"/>
    </row>
    <row r="3429">
      <c r="B3429" s="612"/>
      <c r="H3429" s="612"/>
    </row>
    <row r="3430">
      <c r="B3430" s="612"/>
      <c r="H3430" s="612"/>
    </row>
    <row r="3431">
      <c r="B3431" s="612"/>
      <c r="H3431" s="612"/>
    </row>
    <row r="3432">
      <c r="B3432" s="612"/>
      <c r="H3432" s="612"/>
    </row>
    <row r="3433">
      <c r="B3433" s="612"/>
      <c r="H3433" s="612"/>
    </row>
    <row r="3434">
      <c r="B3434" s="612"/>
      <c r="H3434" s="612"/>
    </row>
    <row r="3435">
      <c r="B3435" s="612"/>
      <c r="H3435" s="612"/>
    </row>
    <row r="3436">
      <c r="B3436" s="612"/>
      <c r="H3436" s="612"/>
    </row>
    <row r="3437">
      <c r="B3437" s="612"/>
      <c r="H3437" s="612"/>
    </row>
    <row r="3438">
      <c r="B3438" s="612"/>
      <c r="H3438" s="612"/>
    </row>
    <row r="3439">
      <c r="B3439" s="612"/>
      <c r="H3439" s="612"/>
    </row>
    <row r="3440">
      <c r="B3440" s="612"/>
      <c r="H3440" s="612"/>
    </row>
    <row r="3441">
      <c r="B3441" s="612"/>
      <c r="H3441" s="612"/>
    </row>
    <row r="3442">
      <c r="B3442" s="612"/>
      <c r="H3442" s="612"/>
    </row>
    <row r="3443">
      <c r="B3443" s="612"/>
      <c r="H3443" s="612"/>
    </row>
    <row r="3444">
      <c r="B3444" s="612"/>
      <c r="H3444" s="612"/>
    </row>
    <row r="3445">
      <c r="B3445" s="612"/>
      <c r="H3445" s="612"/>
    </row>
    <row r="3446">
      <c r="B3446" s="612"/>
      <c r="H3446" s="612"/>
    </row>
    <row r="3447">
      <c r="B3447" s="612"/>
      <c r="H3447" s="612"/>
    </row>
    <row r="3448">
      <c r="B3448" s="612"/>
      <c r="H3448" s="612"/>
    </row>
    <row r="3449">
      <c r="B3449" s="612"/>
      <c r="H3449" s="612"/>
    </row>
    <row r="3450">
      <c r="B3450" s="612"/>
      <c r="H3450" s="612"/>
    </row>
    <row r="3451">
      <c r="B3451" s="612"/>
      <c r="H3451" s="612"/>
    </row>
    <row r="3452">
      <c r="B3452" s="612"/>
      <c r="H3452" s="612"/>
    </row>
    <row r="3453">
      <c r="B3453" s="612"/>
      <c r="H3453" s="612"/>
    </row>
    <row r="3454">
      <c r="B3454" s="612"/>
      <c r="H3454" s="612"/>
    </row>
    <row r="3455">
      <c r="B3455" s="612"/>
      <c r="H3455" s="612"/>
    </row>
    <row r="3456">
      <c r="B3456" s="612"/>
      <c r="H3456" s="612"/>
    </row>
    <row r="3457">
      <c r="B3457" s="612"/>
      <c r="H3457" s="612"/>
    </row>
    <row r="3458">
      <c r="B3458" s="612"/>
      <c r="H3458" s="612"/>
    </row>
    <row r="3459">
      <c r="B3459" s="612"/>
      <c r="H3459" s="612"/>
    </row>
    <row r="3460">
      <c r="B3460" s="612"/>
      <c r="H3460" s="612"/>
    </row>
    <row r="3461">
      <c r="B3461" s="612"/>
      <c r="H3461" s="612"/>
    </row>
    <row r="3462">
      <c r="B3462" s="612"/>
      <c r="H3462" s="612"/>
    </row>
    <row r="3463">
      <c r="B3463" s="612"/>
      <c r="H3463" s="612"/>
    </row>
    <row r="3464">
      <c r="B3464" s="612"/>
      <c r="H3464" s="612"/>
    </row>
    <row r="3465">
      <c r="B3465" s="612"/>
      <c r="H3465" s="612"/>
    </row>
    <row r="3466">
      <c r="B3466" s="612"/>
      <c r="H3466" s="612"/>
    </row>
    <row r="3467">
      <c r="B3467" s="612"/>
      <c r="H3467" s="612"/>
    </row>
    <row r="3468">
      <c r="B3468" s="612"/>
      <c r="H3468" s="612"/>
    </row>
    <row r="3469">
      <c r="B3469" s="612"/>
      <c r="H3469" s="612"/>
    </row>
    <row r="3470">
      <c r="B3470" s="612"/>
      <c r="H3470" s="612"/>
    </row>
    <row r="3471">
      <c r="B3471" s="612"/>
      <c r="H3471" s="612"/>
    </row>
    <row r="3472">
      <c r="B3472" s="612"/>
      <c r="H3472" s="612"/>
    </row>
    <row r="3473">
      <c r="B3473" s="612"/>
      <c r="H3473" s="612"/>
    </row>
    <row r="3474">
      <c r="B3474" s="612"/>
      <c r="H3474" s="612"/>
    </row>
    <row r="3475">
      <c r="B3475" s="612"/>
      <c r="H3475" s="612"/>
    </row>
    <row r="3476">
      <c r="B3476" s="612"/>
      <c r="H3476" s="612"/>
    </row>
    <row r="3477">
      <c r="B3477" s="612"/>
      <c r="H3477" s="612"/>
    </row>
    <row r="3478">
      <c r="B3478" s="612"/>
      <c r="H3478" s="612"/>
    </row>
    <row r="3479">
      <c r="B3479" s="612"/>
      <c r="H3479" s="612"/>
    </row>
    <row r="3480">
      <c r="B3480" s="612"/>
      <c r="H3480" s="612"/>
    </row>
    <row r="3481">
      <c r="B3481" s="612"/>
      <c r="H3481" s="612"/>
    </row>
    <row r="3482">
      <c r="B3482" s="612"/>
      <c r="H3482" s="612"/>
    </row>
    <row r="3483">
      <c r="B3483" s="612"/>
      <c r="H3483" s="612"/>
    </row>
    <row r="3484">
      <c r="B3484" s="612"/>
      <c r="H3484" s="612"/>
    </row>
    <row r="3485">
      <c r="B3485" s="612"/>
      <c r="H3485" s="612"/>
    </row>
    <row r="3486">
      <c r="B3486" s="612"/>
      <c r="H3486" s="612"/>
    </row>
    <row r="3487">
      <c r="B3487" s="612"/>
      <c r="H3487" s="612"/>
    </row>
    <row r="3488">
      <c r="B3488" s="612"/>
      <c r="H3488" s="612"/>
    </row>
    <row r="3489">
      <c r="B3489" s="612"/>
      <c r="H3489" s="612"/>
    </row>
    <row r="3490">
      <c r="B3490" s="612"/>
      <c r="H3490" s="612"/>
    </row>
    <row r="3491">
      <c r="B3491" s="612"/>
      <c r="H3491" s="612"/>
    </row>
    <row r="3492">
      <c r="B3492" s="612"/>
      <c r="H3492" s="612"/>
    </row>
    <row r="3493">
      <c r="B3493" s="612"/>
      <c r="H3493" s="612"/>
    </row>
    <row r="3494">
      <c r="B3494" s="612"/>
      <c r="H3494" s="612"/>
    </row>
    <row r="3495">
      <c r="B3495" s="612"/>
      <c r="H3495" s="612"/>
    </row>
    <row r="3496">
      <c r="B3496" s="612"/>
      <c r="H3496" s="612"/>
    </row>
    <row r="3497">
      <c r="B3497" s="612"/>
      <c r="H3497" s="612"/>
    </row>
    <row r="3498">
      <c r="B3498" s="612"/>
      <c r="H3498" s="612"/>
    </row>
    <row r="3499">
      <c r="B3499" s="612"/>
      <c r="H3499" s="612"/>
    </row>
    <row r="3500">
      <c r="B3500" s="612"/>
      <c r="H3500" s="612"/>
    </row>
    <row r="3501">
      <c r="B3501" s="612"/>
      <c r="H3501" s="612"/>
    </row>
    <row r="3502">
      <c r="B3502" s="612"/>
      <c r="H3502" s="612"/>
    </row>
    <row r="3503">
      <c r="B3503" s="612"/>
      <c r="H3503" s="612"/>
    </row>
    <row r="3504">
      <c r="B3504" s="612"/>
      <c r="H3504" s="612"/>
    </row>
    <row r="3505">
      <c r="B3505" s="612"/>
      <c r="H3505" s="612"/>
    </row>
    <row r="3506">
      <c r="B3506" s="612"/>
      <c r="H3506" s="612"/>
    </row>
    <row r="3507">
      <c r="B3507" s="612"/>
      <c r="H3507" s="612"/>
    </row>
    <row r="3508">
      <c r="B3508" s="612"/>
      <c r="H3508" s="612"/>
    </row>
    <row r="3509">
      <c r="B3509" s="612"/>
      <c r="H3509" s="612"/>
    </row>
    <row r="3510">
      <c r="B3510" s="612"/>
      <c r="H3510" s="612"/>
    </row>
    <row r="3511">
      <c r="B3511" s="612"/>
      <c r="H3511" s="612"/>
    </row>
    <row r="3512">
      <c r="B3512" s="612"/>
      <c r="H3512" s="612"/>
    </row>
    <row r="3513">
      <c r="B3513" s="612"/>
      <c r="H3513" s="612"/>
    </row>
    <row r="3514">
      <c r="B3514" s="612"/>
      <c r="H3514" s="612"/>
    </row>
    <row r="3515">
      <c r="B3515" s="612"/>
      <c r="H3515" s="612"/>
    </row>
    <row r="3516">
      <c r="B3516" s="612"/>
      <c r="H3516" s="612"/>
    </row>
    <row r="3517">
      <c r="B3517" s="612"/>
      <c r="H3517" s="612"/>
    </row>
    <row r="3518">
      <c r="B3518" s="612"/>
      <c r="H3518" s="612"/>
    </row>
    <row r="3519">
      <c r="B3519" s="612"/>
      <c r="H3519" s="612"/>
    </row>
    <row r="3520">
      <c r="B3520" s="612"/>
      <c r="H3520" s="612"/>
    </row>
    <row r="3521">
      <c r="B3521" s="612"/>
      <c r="H3521" s="612"/>
    </row>
    <row r="3522">
      <c r="B3522" s="612"/>
      <c r="H3522" s="612"/>
    </row>
    <row r="3523">
      <c r="B3523" s="612"/>
      <c r="H3523" s="612"/>
    </row>
    <row r="3524">
      <c r="B3524" s="612"/>
      <c r="H3524" s="612"/>
    </row>
    <row r="3525">
      <c r="B3525" s="612"/>
      <c r="H3525" s="612"/>
    </row>
    <row r="3526">
      <c r="B3526" s="612"/>
      <c r="H3526" s="612"/>
    </row>
    <row r="3527">
      <c r="B3527" s="612"/>
      <c r="H3527" s="612"/>
    </row>
    <row r="3528">
      <c r="B3528" s="612"/>
      <c r="H3528" s="612"/>
    </row>
    <row r="3529">
      <c r="B3529" s="612"/>
      <c r="H3529" s="612"/>
    </row>
    <row r="3530">
      <c r="B3530" s="612"/>
      <c r="H3530" s="612"/>
    </row>
    <row r="3531">
      <c r="B3531" s="612"/>
      <c r="H3531" s="612"/>
    </row>
    <row r="3532">
      <c r="B3532" s="612"/>
      <c r="H3532" s="612"/>
    </row>
    <row r="3533">
      <c r="B3533" s="612"/>
      <c r="H3533" s="612"/>
    </row>
    <row r="3534">
      <c r="B3534" s="612"/>
      <c r="H3534" s="612"/>
    </row>
    <row r="3535">
      <c r="B3535" s="612"/>
      <c r="H3535" s="612"/>
    </row>
    <row r="3536">
      <c r="B3536" s="612"/>
      <c r="H3536" s="612"/>
    </row>
    <row r="3537">
      <c r="B3537" s="612"/>
      <c r="H3537" s="612"/>
    </row>
    <row r="3538">
      <c r="B3538" s="612"/>
      <c r="H3538" s="612"/>
    </row>
    <row r="3539">
      <c r="B3539" s="612"/>
      <c r="H3539" s="612"/>
    </row>
    <row r="3540">
      <c r="B3540" s="612"/>
      <c r="H3540" s="612"/>
    </row>
    <row r="3541">
      <c r="B3541" s="612"/>
      <c r="H3541" s="612"/>
    </row>
    <row r="3542">
      <c r="B3542" s="612"/>
      <c r="H3542" s="612"/>
    </row>
    <row r="3543">
      <c r="B3543" s="612"/>
      <c r="H3543" s="612"/>
    </row>
    <row r="3544">
      <c r="B3544" s="612"/>
      <c r="H3544" s="612"/>
    </row>
    <row r="3545">
      <c r="B3545" s="612"/>
      <c r="H3545" s="612"/>
    </row>
    <row r="3546">
      <c r="B3546" s="612"/>
      <c r="H3546" s="612"/>
    </row>
    <row r="3547">
      <c r="B3547" s="612"/>
      <c r="H3547" s="612"/>
    </row>
    <row r="3548">
      <c r="B3548" s="612"/>
      <c r="H3548" s="612"/>
    </row>
    <row r="3549">
      <c r="B3549" s="612"/>
      <c r="H3549" s="612"/>
    </row>
    <row r="3550">
      <c r="B3550" s="612"/>
      <c r="H3550" s="612"/>
    </row>
    <row r="3551">
      <c r="B3551" s="612"/>
      <c r="H3551" s="612"/>
    </row>
    <row r="3552">
      <c r="B3552" s="612"/>
      <c r="H3552" s="612"/>
    </row>
    <row r="3553">
      <c r="B3553" s="612"/>
      <c r="H3553" s="612"/>
    </row>
    <row r="3554">
      <c r="B3554" s="612"/>
      <c r="H3554" s="612"/>
    </row>
    <row r="3555">
      <c r="B3555" s="612"/>
      <c r="H3555" s="612"/>
    </row>
    <row r="3556">
      <c r="B3556" s="612"/>
      <c r="H3556" s="612"/>
    </row>
    <row r="3557">
      <c r="B3557" s="612"/>
      <c r="H3557" s="612"/>
    </row>
    <row r="3558">
      <c r="B3558" s="612"/>
      <c r="H3558" s="612"/>
    </row>
    <row r="3559">
      <c r="B3559" s="612"/>
      <c r="H3559" s="612"/>
    </row>
    <row r="3560">
      <c r="B3560" s="612"/>
      <c r="H3560" s="612"/>
    </row>
    <row r="3561">
      <c r="B3561" s="612"/>
      <c r="H3561" s="612"/>
    </row>
    <row r="3562">
      <c r="B3562" s="612"/>
      <c r="H3562" s="612"/>
    </row>
    <row r="3563">
      <c r="B3563" s="612"/>
      <c r="H3563" s="612"/>
    </row>
    <row r="3564">
      <c r="B3564" s="612"/>
      <c r="H3564" s="612"/>
    </row>
    <row r="3565">
      <c r="B3565" s="612"/>
      <c r="H3565" s="612"/>
    </row>
    <row r="3566">
      <c r="B3566" s="612"/>
      <c r="H3566" s="612"/>
    </row>
    <row r="3567">
      <c r="B3567" s="612"/>
      <c r="H3567" s="612"/>
    </row>
    <row r="3568">
      <c r="B3568" s="612"/>
      <c r="H3568" s="612"/>
    </row>
    <row r="3569">
      <c r="B3569" s="612"/>
      <c r="H3569" s="612"/>
    </row>
    <row r="3570">
      <c r="B3570" s="612"/>
      <c r="H3570" s="612"/>
    </row>
    <row r="3571">
      <c r="B3571" s="612"/>
      <c r="H3571" s="612"/>
    </row>
    <row r="3572">
      <c r="B3572" s="612"/>
      <c r="H3572" s="612"/>
    </row>
    <row r="3573">
      <c r="B3573" s="612"/>
      <c r="H3573" s="612"/>
    </row>
    <row r="3574">
      <c r="B3574" s="612"/>
      <c r="H3574" s="612"/>
    </row>
    <row r="3575">
      <c r="B3575" s="612"/>
      <c r="H3575" s="612"/>
    </row>
    <row r="3576">
      <c r="B3576" s="612"/>
      <c r="H3576" s="612"/>
    </row>
    <row r="3577">
      <c r="B3577" s="612"/>
      <c r="H3577" s="612"/>
    </row>
    <row r="3578">
      <c r="B3578" s="612"/>
      <c r="H3578" s="612"/>
    </row>
    <row r="3579">
      <c r="B3579" s="612"/>
      <c r="H3579" s="612"/>
    </row>
    <row r="3580">
      <c r="B3580" s="612"/>
      <c r="H3580" s="612"/>
    </row>
    <row r="3581">
      <c r="B3581" s="612"/>
      <c r="H3581" s="612"/>
    </row>
    <row r="3582">
      <c r="B3582" s="612"/>
      <c r="H3582" s="612"/>
    </row>
    <row r="3583">
      <c r="B3583" s="612"/>
      <c r="H3583" s="612"/>
    </row>
    <row r="3584">
      <c r="B3584" s="612"/>
      <c r="H3584" s="612"/>
    </row>
    <row r="3585">
      <c r="B3585" s="612"/>
      <c r="H3585" s="612"/>
    </row>
    <row r="3586">
      <c r="B3586" s="612"/>
      <c r="H3586" s="612"/>
    </row>
    <row r="3587">
      <c r="B3587" s="612"/>
      <c r="H3587" s="612"/>
    </row>
    <row r="3588">
      <c r="B3588" s="612"/>
      <c r="H3588" s="612"/>
    </row>
    <row r="3589">
      <c r="B3589" s="612"/>
      <c r="H3589" s="612"/>
    </row>
    <row r="3590">
      <c r="B3590" s="612"/>
      <c r="H3590" s="612"/>
    </row>
    <row r="3591">
      <c r="B3591" s="612"/>
      <c r="H3591" s="612"/>
    </row>
    <row r="3592">
      <c r="B3592" s="612"/>
      <c r="H3592" s="612"/>
    </row>
    <row r="3593">
      <c r="B3593" s="612"/>
      <c r="H3593" s="612"/>
    </row>
    <row r="3594">
      <c r="B3594" s="612"/>
      <c r="H3594" s="612"/>
    </row>
    <row r="3595">
      <c r="B3595" s="612"/>
      <c r="H3595" s="612"/>
    </row>
    <row r="3596">
      <c r="B3596" s="612"/>
      <c r="H3596" s="612"/>
    </row>
    <row r="3597">
      <c r="B3597" s="612"/>
      <c r="H3597" s="612"/>
    </row>
    <row r="3598">
      <c r="B3598" s="612"/>
      <c r="H3598" s="612"/>
    </row>
    <row r="3599">
      <c r="B3599" s="612"/>
      <c r="H3599" s="612"/>
    </row>
    <row r="3600">
      <c r="B3600" s="612"/>
      <c r="H3600" s="612"/>
    </row>
    <row r="3601">
      <c r="B3601" s="612"/>
      <c r="H3601" s="612"/>
    </row>
    <row r="3602">
      <c r="B3602" s="612"/>
      <c r="H3602" s="612"/>
    </row>
    <row r="3603">
      <c r="B3603" s="612"/>
      <c r="H3603" s="612"/>
    </row>
    <row r="3604">
      <c r="B3604" s="612"/>
      <c r="H3604" s="612"/>
    </row>
    <row r="3605">
      <c r="B3605" s="612"/>
      <c r="H3605" s="612"/>
    </row>
    <row r="3606">
      <c r="B3606" s="612"/>
      <c r="H3606" s="612"/>
    </row>
    <row r="3607">
      <c r="B3607" s="612"/>
      <c r="H3607" s="612"/>
    </row>
    <row r="3608">
      <c r="B3608" s="612"/>
      <c r="H3608" s="612"/>
    </row>
    <row r="3609">
      <c r="B3609" s="612"/>
      <c r="H3609" s="612"/>
    </row>
    <row r="3610">
      <c r="B3610" s="612"/>
      <c r="H3610" s="612"/>
    </row>
    <row r="3611">
      <c r="B3611" s="612"/>
      <c r="H3611" s="612"/>
    </row>
    <row r="3612">
      <c r="B3612" s="612"/>
      <c r="H3612" s="612"/>
    </row>
    <row r="3613">
      <c r="B3613" s="612"/>
      <c r="H3613" s="612"/>
    </row>
    <row r="3614">
      <c r="B3614" s="612"/>
      <c r="H3614" s="612"/>
    </row>
    <row r="3615">
      <c r="B3615" s="612"/>
      <c r="H3615" s="612"/>
    </row>
    <row r="3616">
      <c r="B3616" s="612"/>
      <c r="H3616" s="612"/>
    </row>
    <row r="3617">
      <c r="B3617" s="612"/>
      <c r="H3617" s="612"/>
    </row>
    <row r="3618">
      <c r="B3618" s="612"/>
      <c r="H3618" s="612"/>
    </row>
    <row r="3619">
      <c r="B3619" s="612"/>
      <c r="H3619" s="612"/>
    </row>
    <row r="3620">
      <c r="B3620" s="612"/>
      <c r="H3620" s="612"/>
    </row>
    <row r="3621">
      <c r="B3621" s="612"/>
      <c r="H3621" s="612"/>
    </row>
    <row r="3622">
      <c r="B3622" s="612"/>
      <c r="H3622" s="612"/>
    </row>
    <row r="3623">
      <c r="B3623" s="612"/>
      <c r="H3623" s="612"/>
    </row>
    <row r="3624">
      <c r="B3624" s="612"/>
      <c r="H3624" s="612"/>
    </row>
    <row r="3625">
      <c r="B3625" s="612"/>
      <c r="H3625" s="612"/>
    </row>
    <row r="3626">
      <c r="B3626" s="612"/>
      <c r="H3626" s="612"/>
    </row>
    <row r="3627">
      <c r="B3627" s="612"/>
      <c r="H3627" s="612"/>
    </row>
    <row r="3628">
      <c r="B3628" s="612"/>
      <c r="H3628" s="612"/>
    </row>
    <row r="3629">
      <c r="B3629" s="612"/>
      <c r="H3629" s="612"/>
    </row>
    <row r="3630">
      <c r="B3630" s="612"/>
      <c r="H3630" s="612"/>
    </row>
    <row r="3631">
      <c r="B3631" s="612"/>
      <c r="H3631" s="612"/>
    </row>
    <row r="3632">
      <c r="B3632" s="612"/>
      <c r="H3632" s="612"/>
    </row>
    <row r="3633">
      <c r="B3633" s="612"/>
      <c r="H3633" s="612"/>
    </row>
    <row r="3634">
      <c r="B3634" s="612"/>
      <c r="H3634" s="612"/>
    </row>
    <row r="3635">
      <c r="B3635" s="612"/>
      <c r="H3635" s="612"/>
    </row>
    <row r="3636">
      <c r="B3636" s="612"/>
      <c r="H3636" s="612"/>
    </row>
    <row r="3637">
      <c r="B3637" s="612"/>
      <c r="H3637" s="612"/>
    </row>
    <row r="3638">
      <c r="B3638" s="612"/>
      <c r="H3638" s="612"/>
    </row>
    <row r="3639">
      <c r="B3639" s="612"/>
      <c r="H3639" s="612"/>
    </row>
    <row r="3640">
      <c r="B3640" s="612"/>
      <c r="H3640" s="612"/>
    </row>
    <row r="3641">
      <c r="B3641" s="612"/>
      <c r="H3641" s="612"/>
    </row>
    <row r="3642">
      <c r="B3642" s="612"/>
      <c r="H3642" s="612"/>
    </row>
    <row r="3643">
      <c r="B3643" s="612"/>
      <c r="H3643" s="612"/>
    </row>
    <row r="3644">
      <c r="B3644" s="612"/>
      <c r="H3644" s="612"/>
    </row>
    <row r="3645">
      <c r="B3645" s="612"/>
      <c r="H3645" s="612"/>
    </row>
    <row r="3646">
      <c r="B3646" s="612"/>
      <c r="H3646" s="612"/>
    </row>
    <row r="3647">
      <c r="B3647" s="612"/>
      <c r="H3647" s="612"/>
    </row>
    <row r="3648">
      <c r="B3648" s="612"/>
      <c r="H3648" s="612"/>
    </row>
    <row r="3649">
      <c r="B3649" s="612"/>
      <c r="H3649" s="612"/>
    </row>
    <row r="3650">
      <c r="B3650" s="612"/>
      <c r="H3650" s="612"/>
    </row>
    <row r="3651">
      <c r="B3651" s="612"/>
      <c r="H3651" s="612"/>
    </row>
    <row r="3652">
      <c r="B3652" s="612"/>
      <c r="H3652" s="612"/>
    </row>
    <row r="3653">
      <c r="B3653" s="612"/>
      <c r="H3653" s="612"/>
    </row>
    <row r="3654">
      <c r="B3654" s="612"/>
      <c r="H3654" s="612"/>
    </row>
    <row r="3655">
      <c r="B3655" s="612"/>
      <c r="H3655" s="612"/>
    </row>
    <row r="3656">
      <c r="B3656" s="612"/>
      <c r="H3656" s="612"/>
    </row>
    <row r="3657">
      <c r="B3657" s="612"/>
      <c r="H3657" s="612"/>
    </row>
    <row r="3658">
      <c r="B3658" s="612"/>
      <c r="H3658" s="612"/>
    </row>
    <row r="3659">
      <c r="B3659" s="612"/>
      <c r="H3659" s="612"/>
    </row>
    <row r="3660">
      <c r="B3660" s="612"/>
      <c r="H3660" s="612"/>
    </row>
    <row r="3661">
      <c r="B3661" s="612"/>
      <c r="H3661" s="612"/>
    </row>
    <row r="3662">
      <c r="B3662" s="612"/>
      <c r="H3662" s="612"/>
    </row>
    <row r="3663">
      <c r="B3663" s="612"/>
      <c r="H3663" s="612"/>
    </row>
    <row r="3664">
      <c r="B3664" s="612"/>
      <c r="H3664" s="612"/>
    </row>
    <row r="3665">
      <c r="B3665" s="612"/>
      <c r="H3665" s="612"/>
    </row>
    <row r="3666">
      <c r="B3666" s="612"/>
      <c r="H3666" s="612"/>
    </row>
    <row r="3667">
      <c r="B3667" s="612"/>
      <c r="H3667" s="612"/>
    </row>
    <row r="3668">
      <c r="B3668" s="612"/>
      <c r="H3668" s="612"/>
    </row>
    <row r="3669">
      <c r="B3669" s="612"/>
      <c r="H3669" s="612"/>
    </row>
    <row r="3670">
      <c r="B3670" s="612"/>
      <c r="H3670" s="612"/>
    </row>
    <row r="3671">
      <c r="B3671" s="612"/>
      <c r="H3671" s="612"/>
    </row>
    <row r="3672">
      <c r="B3672" s="612"/>
      <c r="H3672" s="612"/>
    </row>
    <row r="3673">
      <c r="B3673" s="612"/>
      <c r="H3673" s="612"/>
    </row>
    <row r="3674">
      <c r="B3674" s="612"/>
      <c r="H3674" s="612"/>
    </row>
    <row r="3675">
      <c r="B3675" s="612"/>
      <c r="H3675" s="612"/>
    </row>
    <row r="3676">
      <c r="B3676" s="612"/>
      <c r="H3676" s="612"/>
    </row>
    <row r="3677">
      <c r="B3677" s="612"/>
      <c r="H3677" s="612"/>
    </row>
    <row r="3678">
      <c r="B3678" s="612"/>
      <c r="H3678" s="612"/>
    </row>
    <row r="3679">
      <c r="B3679" s="612"/>
      <c r="H3679" s="612"/>
    </row>
    <row r="3680">
      <c r="B3680" s="612"/>
      <c r="H3680" s="612"/>
    </row>
    <row r="3681">
      <c r="B3681" s="612"/>
      <c r="H3681" s="612"/>
    </row>
    <row r="3682">
      <c r="B3682" s="612"/>
      <c r="H3682" s="612"/>
    </row>
    <row r="3683">
      <c r="B3683" s="612"/>
      <c r="H3683" s="612"/>
    </row>
    <row r="3684">
      <c r="B3684" s="612"/>
      <c r="H3684" s="612"/>
    </row>
    <row r="3685">
      <c r="B3685" s="612"/>
      <c r="H3685" s="612"/>
    </row>
    <row r="3686">
      <c r="B3686" s="612"/>
      <c r="H3686" s="612"/>
    </row>
    <row r="3687">
      <c r="B3687" s="612"/>
      <c r="H3687" s="612"/>
    </row>
    <row r="3688">
      <c r="B3688" s="612"/>
      <c r="H3688" s="612"/>
    </row>
    <row r="3689">
      <c r="B3689" s="612"/>
      <c r="H3689" s="612"/>
    </row>
    <row r="3690">
      <c r="B3690" s="612"/>
      <c r="H3690" s="612"/>
    </row>
    <row r="3691">
      <c r="B3691" s="612"/>
      <c r="H3691" s="612"/>
    </row>
    <row r="3692">
      <c r="B3692" s="612"/>
      <c r="H3692" s="612"/>
    </row>
    <row r="3693">
      <c r="B3693" s="612"/>
      <c r="H3693" s="612"/>
    </row>
    <row r="3694">
      <c r="B3694" s="612"/>
      <c r="H3694" s="612"/>
    </row>
    <row r="3695">
      <c r="B3695" s="612"/>
      <c r="H3695" s="612"/>
    </row>
    <row r="3696">
      <c r="B3696" s="612"/>
      <c r="H3696" s="612"/>
    </row>
    <row r="3697">
      <c r="B3697" s="612"/>
      <c r="H3697" s="612"/>
    </row>
    <row r="3698">
      <c r="B3698" s="612"/>
      <c r="H3698" s="612"/>
    </row>
    <row r="3699">
      <c r="B3699" s="612"/>
      <c r="H3699" s="612"/>
    </row>
    <row r="3700">
      <c r="B3700" s="612"/>
      <c r="H3700" s="612"/>
    </row>
    <row r="3701">
      <c r="B3701" s="612"/>
      <c r="H3701" s="612"/>
    </row>
    <row r="3702">
      <c r="B3702" s="612"/>
      <c r="H3702" s="612"/>
    </row>
    <row r="3703">
      <c r="B3703" s="612"/>
      <c r="H3703" s="612"/>
    </row>
    <row r="3704">
      <c r="B3704" s="612"/>
      <c r="H3704" s="612"/>
    </row>
    <row r="3705">
      <c r="B3705" s="612"/>
      <c r="H3705" s="612"/>
    </row>
    <row r="3706">
      <c r="B3706" s="612"/>
      <c r="H3706" s="612"/>
    </row>
    <row r="3707">
      <c r="B3707" s="612"/>
      <c r="H3707" s="612"/>
    </row>
    <row r="3708">
      <c r="B3708" s="612"/>
      <c r="H3708" s="612"/>
    </row>
    <row r="3709">
      <c r="B3709" s="612"/>
      <c r="H3709" s="612"/>
    </row>
    <row r="3710">
      <c r="B3710" s="612"/>
      <c r="H3710" s="612"/>
    </row>
    <row r="3711">
      <c r="B3711" s="612"/>
      <c r="H3711" s="612"/>
    </row>
    <row r="3712">
      <c r="B3712" s="612"/>
      <c r="H3712" s="612"/>
    </row>
    <row r="3713">
      <c r="B3713" s="612"/>
      <c r="H3713" s="612"/>
    </row>
    <row r="3714">
      <c r="B3714" s="612"/>
      <c r="H3714" s="612"/>
    </row>
    <row r="3715">
      <c r="B3715" s="612"/>
      <c r="H3715" s="612"/>
    </row>
    <row r="3716">
      <c r="B3716" s="612"/>
      <c r="H3716" s="612"/>
    </row>
    <row r="3717">
      <c r="B3717" s="612"/>
      <c r="H3717" s="612"/>
    </row>
    <row r="3718">
      <c r="B3718" s="612"/>
      <c r="H3718" s="612"/>
    </row>
    <row r="3719">
      <c r="B3719" s="612"/>
      <c r="H3719" s="612"/>
    </row>
    <row r="3720">
      <c r="B3720" s="612"/>
      <c r="H3720" s="612"/>
    </row>
    <row r="3721">
      <c r="B3721" s="612"/>
      <c r="H3721" s="612"/>
    </row>
    <row r="3722">
      <c r="B3722" s="612"/>
      <c r="H3722" s="612"/>
    </row>
    <row r="3723">
      <c r="B3723" s="612"/>
      <c r="H3723" s="612"/>
    </row>
    <row r="3724">
      <c r="B3724" s="612"/>
      <c r="H3724" s="612"/>
    </row>
    <row r="3725">
      <c r="B3725" s="612"/>
      <c r="H3725" s="612"/>
    </row>
    <row r="3726">
      <c r="B3726" s="612"/>
      <c r="H3726" s="612"/>
    </row>
    <row r="3727">
      <c r="B3727" s="612"/>
      <c r="H3727" s="612"/>
    </row>
    <row r="3728">
      <c r="B3728" s="612"/>
      <c r="H3728" s="612"/>
    </row>
    <row r="3729">
      <c r="B3729" s="612"/>
      <c r="H3729" s="612"/>
    </row>
    <row r="3730">
      <c r="B3730" s="612"/>
      <c r="H3730" s="612"/>
    </row>
    <row r="3731">
      <c r="B3731" s="612"/>
      <c r="H3731" s="612"/>
    </row>
    <row r="3732">
      <c r="B3732" s="612"/>
      <c r="H3732" s="612"/>
    </row>
    <row r="3733">
      <c r="B3733" s="612"/>
      <c r="H3733" s="612"/>
    </row>
    <row r="3734">
      <c r="B3734" s="612"/>
      <c r="H3734" s="612"/>
    </row>
    <row r="3735">
      <c r="B3735" s="612"/>
      <c r="H3735" s="612"/>
    </row>
    <row r="3736">
      <c r="B3736" s="612"/>
      <c r="H3736" s="612"/>
    </row>
    <row r="3737">
      <c r="B3737" s="612"/>
      <c r="H3737" s="612"/>
    </row>
    <row r="3738">
      <c r="B3738" s="612"/>
      <c r="H3738" s="612"/>
    </row>
    <row r="3739">
      <c r="B3739" s="612"/>
      <c r="H3739" s="612"/>
    </row>
    <row r="3740">
      <c r="B3740" s="612"/>
      <c r="H3740" s="612"/>
    </row>
    <row r="3741">
      <c r="B3741" s="612"/>
      <c r="H3741" s="612"/>
    </row>
    <row r="3742">
      <c r="B3742" s="612"/>
      <c r="H3742" s="612"/>
    </row>
    <row r="3743">
      <c r="B3743" s="612"/>
      <c r="H3743" s="612"/>
    </row>
    <row r="3744">
      <c r="B3744" s="612"/>
      <c r="H3744" s="612"/>
    </row>
    <row r="3745">
      <c r="B3745" s="612"/>
      <c r="H3745" s="612"/>
    </row>
    <row r="3746">
      <c r="B3746" s="612"/>
      <c r="H3746" s="612"/>
    </row>
    <row r="3747">
      <c r="B3747" s="612"/>
      <c r="H3747" s="612"/>
    </row>
    <row r="3748">
      <c r="B3748" s="612"/>
      <c r="H3748" s="612"/>
    </row>
    <row r="3749">
      <c r="B3749" s="612"/>
      <c r="H3749" s="612"/>
    </row>
    <row r="3750">
      <c r="B3750" s="612"/>
      <c r="H3750" s="612"/>
    </row>
    <row r="3751">
      <c r="B3751" s="612"/>
      <c r="H3751" s="612"/>
    </row>
    <row r="3752">
      <c r="B3752" s="612"/>
      <c r="H3752" s="612"/>
    </row>
    <row r="3753">
      <c r="B3753" s="612"/>
      <c r="H3753" s="612"/>
    </row>
    <row r="3754">
      <c r="B3754" s="612"/>
      <c r="H3754" s="612"/>
    </row>
    <row r="3755">
      <c r="B3755" s="612"/>
      <c r="H3755" s="612"/>
    </row>
    <row r="3756">
      <c r="B3756" s="612"/>
      <c r="H3756" s="612"/>
    </row>
    <row r="3757">
      <c r="B3757" s="612"/>
      <c r="H3757" s="612"/>
    </row>
    <row r="3758">
      <c r="B3758" s="612"/>
      <c r="H3758" s="612"/>
    </row>
    <row r="3759">
      <c r="B3759" s="612"/>
      <c r="H3759" s="612"/>
    </row>
    <row r="3760">
      <c r="B3760" s="612"/>
      <c r="H3760" s="612"/>
    </row>
    <row r="3761">
      <c r="B3761" s="612"/>
      <c r="H3761" s="612"/>
    </row>
    <row r="3762">
      <c r="B3762" s="612"/>
      <c r="H3762" s="612"/>
    </row>
    <row r="3763">
      <c r="B3763" s="612"/>
      <c r="H3763" s="612"/>
    </row>
    <row r="3764">
      <c r="B3764" s="612"/>
      <c r="H3764" s="612"/>
    </row>
    <row r="3765">
      <c r="B3765" s="612"/>
      <c r="H3765" s="612"/>
    </row>
    <row r="3766">
      <c r="B3766" s="612"/>
      <c r="H3766" s="612"/>
    </row>
    <row r="3767">
      <c r="B3767" s="612"/>
      <c r="H3767" s="612"/>
    </row>
    <row r="3768">
      <c r="B3768" s="612"/>
      <c r="H3768" s="612"/>
    </row>
    <row r="3769">
      <c r="B3769" s="612"/>
      <c r="H3769" s="612"/>
    </row>
    <row r="3770">
      <c r="B3770" s="612"/>
      <c r="H3770" s="612"/>
    </row>
    <row r="3771">
      <c r="B3771" s="612"/>
      <c r="H3771" s="612"/>
    </row>
    <row r="3772">
      <c r="B3772" s="612"/>
      <c r="H3772" s="612"/>
    </row>
    <row r="3773">
      <c r="B3773" s="612"/>
      <c r="H3773" s="612"/>
    </row>
    <row r="3774">
      <c r="B3774" s="612"/>
      <c r="H3774" s="612"/>
    </row>
    <row r="3775">
      <c r="B3775" s="612"/>
      <c r="H3775" s="612"/>
    </row>
    <row r="3776">
      <c r="B3776" s="612"/>
      <c r="H3776" s="612"/>
    </row>
    <row r="3777">
      <c r="B3777" s="612"/>
      <c r="H3777" s="612"/>
    </row>
    <row r="3778">
      <c r="B3778" s="612"/>
      <c r="H3778" s="612"/>
    </row>
    <row r="3779">
      <c r="B3779" s="612"/>
      <c r="H3779" s="612"/>
    </row>
    <row r="3780">
      <c r="B3780" s="612"/>
      <c r="H3780" s="612"/>
    </row>
    <row r="3781">
      <c r="B3781" s="612"/>
      <c r="H3781" s="612"/>
    </row>
    <row r="3782">
      <c r="B3782" s="612"/>
      <c r="H3782" s="612"/>
    </row>
    <row r="3783">
      <c r="B3783" s="612"/>
      <c r="H3783" s="612"/>
    </row>
    <row r="3784">
      <c r="B3784" s="612"/>
      <c r="H3784" s="612"/>
    </row>
    <row r="3785">
      <c r="B3785" s="612"/>
      <c r="H3785" s="612"/>
    </row>
    <row r="3786">
      <c r="B3786" s="612"/>
      <c r="H3786" s="612"/>
    </row>
    <row r="3787">
      <c r="B3787" s="612"/>
      <c r="H3787" s="612"/>
    </row>
    <row r="3788">
      <c r="B3788" s="612"/>
      <c r="H3788" s="612"/>
    </row>
    <row r="3789">
      <c r="B3789" s="612"/>
      <c r="H3789" s="612"/>
    </row>
    <row r="3790">
      <c r="B3790" s="612"/>
      <c r="H3790" s="612"/>
    </row>
    <row r="3791">
      <c r="B3791" s="612"/>
      <c r="H3791" s="612"/>
    </row>
    <row r="3792">
      <c r="B3792" s="612"/>
      <c r="H3792" s="612"/>
    </row>
    <row r="3793">
      <c r="B3793" s="612"/>
      <c r="H3793" s="612"/>
    </row>
    <row r="3794">
      <c r="B3794" s="612"/>
      <c r="H3794" s="612"/>
    </row>
    <row r="3795">
      <c r="B3795" s="612"/>
      <c r="H3795" s="612"/>
    </row>
    <row r="3796">
      <c r="B3796" s="612"/>
      <c r="H3796" s="612"/>
    </row>
    <row r="3797">
      <c r="B3797" s="612"/>
      <c r="H3797" s="612"/>
    </row>
    <row r="3798">
      <c r="B3798" s="612"/>
      <c r="H3798" s="612"/>
    </row>
    <row r="3799">
      <c r="B3799" s="612"/>
      <c r="H3799" s="612"/>
    </row>
    <row r="3800">
      <c r="B3800" s="612"/>
      <c r="H3800" s="612"/>
    </row>
    <row r="3801">
      <c r="B3801" s="612"/>
      <c r="H3801" s="612"/>
    </row>
    <row r="3802">
      <c r="B3802" s="612"/>
      <c r="H3802" s="612"/>
    </row>
    <row r="3803">
      <c r="B3803" s="612"/>
      <c r="H3803" s="612"/>
    </row>
    <row r="3804">
      <c r="B3804" s="612"/>
      <c r="H3804" s="612"/>
    </row>
    <row r="3805">
      <c r="B3805" s="612"/>
      <c r="H3805" s="612"/>
    </row>
    <row r="3806">
      <c r="B3806" s="612"/>
      <c r="H3806" s="612"/>
    </row>
    <row r="3807">
      <c r="B3807" s="612"/>
      <c r="H3807" s="612"/>
    </row>
    <row r="3808">
      <c r="B3808" s="612"/>
      <c r="H3808" s="612"/>
    </row>
    <row r="3809">
      <c r="B3809" s="612"/>
      <c r="H3809" s="612"/>
    </row>
    <row r="3810">
      <c r="B3810" s="612"/>
      <c r="H3810" s="612"/>
    </row>
    <row r="3811">
      <c r="B3811" s="612"/>
      <c r="H3811" s="612"/>
    </row>
    <row r="3812">
      <c r="B3812" s="612"/>
      <c r="H3812" s="612"/>
    </row>
    <row r="3813">
      <c r="B3813" s="612"/>
      <c r="H3813" s="612"/>
    </row>
    <row r="3814">
      <c r="B3814" s="612"/>
      <c r="H3814" s="612"/>
    </row>
    <row r="3815">
      <c r="B3815" s="612"/>
      <c r="H3815" s="612"/>
    </row>
    <row r="3816">
      <c r="B3816" s="612"/>
      <c r="H3816" s="612"/>
    </row>
    <row r="3817">
      <c r="B3817" s="612"/>
      <c r="H3817" s="612"/>
    </row>
    <row r="3818">
      <c r="B3818" s="612"/>
      <c r="H3818" s="612"/>
    </row>
    <row r="3819">
      <c r="B3819" s="612"/>
      <c r="H3819" s="612"/>
    </row>
    <row r="3820">
      <c r="B3820" s="612"/>
      <c r="H3820" s="612"/>
    </row>
    <row r="3821">
      <c r="B3821" s="612"/>
      <c r="H3821" s="612"/>
    </row>
    <row r="3822">
      <c r="B3822" s="612"/>
      <c r="H3822" s="612"/>
    </row>
    <row r="3823">
      <c r="B3823" s="612"/>
      <c r="H3823" s="612"/>
    </row>
    <row r="3824">
      <c r="B3824" s="612"/>
      <c r="H3824" s="612"/>
    </row>
    <row r="3825">
      <c r="B3825" s="612"/>
      <c r="H3825" s="612"/>
    </row>
    <row r="3826">
      <c r="B3826" s="612"/>
      <c r="H3826" s="612"/>
    </row>
    <row r="3827">
      <c r="B3827" s="612"/>
      <c r="H3827" s="612"/>
    </row>
    <row r="3828">
      <c r="B3828" s="612"/>
      <c r="H3828" s="612"/>
    </row>
    <row r="3829">
      <c r="B3829" s="612"/>
      <c r="H3829" s="612"/>
    </row>
    <row r="3830">
      <c r="B3830" s="612"/>
      <c r="H3830" s="612"/>
    </row>
    <row r="3831">
      <c r="B3831" s="612"/>
      <c r="H3831" s="612"/>
    </row>
    <row r="3832">
      <c r="B3832" s="612"/>
      <c r="H3832" s="612"/>
    </row>
    <row r="3833">
      <c r="B3833" s="612"/>
      <c r="H3833" s="612"/>
    </row>
    <row r="3834">
      <c r="B3834" s="612"/>
      <c r="H3834" s="612"/>
    </row>
    <row r="3835">
      <c r="B3835" s="612"/>
      <c r="H3835" s="612"/>
    </row>
    <row r="3836">
      <c r="B3836" s="612"/>
      <c r="H3836" s="612"/>
    </row>
    <row r="3837">
      <c r="B3837" s="612"/>
      <c r="H3837" s="612"/>
    </row>
    <row r="3838">
      <c r="B3838" s="612"/>
      <c r="H3838" s="612"/>
    </row>
    <row r="3839">
      <c r="B3839" s="612"/>
      <c r="H3839" s="612"/>
    </row>
    <row r="3840">
      <c r="B3840" s="612"/>
      <c r="H3840" s="612"/>
    </row>
    <row r="3841">
      <c r="B3841" s="612"/>
      <c r="H3841" s="612"/>
    </row>
    <row r="3842">
      <c r="B3842" s="612"/>
      <c r="H3842" s="612"/>
    </row>
    <row r="3843">
      <c r="B3843" s="612"/>
      <c r="H3843" s="612"/>
    </row>
    <row r="3844">
      <c r="B3844" s="612"/>
      <c r="H3844" s="612"/>
    </row>
    <row r="3845">
      <c r="B3845" s="612"/>
      <c r="H3845" s="612"/>
    </row>
    <row r="3846">
      <c r="B3846" s="612"/>
      <c r="H3846" s="612"/>
    </row>
    <row r="3847">
      <c r="B3847" s="612"/>
      <c r="H3847" s="612"/>
    </row>
    <row r="3848">
      <c r="B3848" s="612"/>
      <c r="H3848" s="612"/>
    </row>
    <row r="3849">
      <c r="B3849" s="612"/>
      <c r="H3849" s="612"/>
    </row>
    <row r="3850">
      <c r="B3850" s="612"/>
      <c r="H3850" s="612"/>
    </row>
    <row r="3851">
      <c r="B3851" s="612"/>
      <c r="H3851" s="612"/>
    </row>
    <row r="3852">
      <c r="B3852" s="612"/>
      <c r="H3852" s="612"/>
    </row>
    <row r="3853">
      <c r="B3853" s="612"/>
      <c r="H3853" s="612"/>
    </row>
    <row r="3854">
      <c r="B3854" s="612"/>
      <c r="H3854" s="612"/>
    </row>
    <row r="3855">
      <c r="B3855" s="612"/>
      <c r="H3855" s="612"/>
    </row>
    <row r="3856">
      <c r="B3856" s="612"/>
      <c r="H3856" s="612"/>
    </row>
    <row r="3857">
      <c r="B3857" s="612"/>
      <c r="H3857" s="612"/>
    </row>
    <row r="3858">
      <c r="B3858" s="612"/>
      <c r="H3858" s="612"/>
    </row>
    <row r="3859">
      <c r="B3859" s="612"/>
      <c r="H3859" s="612"/>
    </row>
    <row r="3860">
      <c r="B3860" s="612"/>
      <c r="H3860" s="612"/>
    </row>
    <row r="3861">
      <c r="B3861" s="612"/>
      <c r="H3861" s="612"/>
    </row>
    <row r="3862">
      <c r="B3862" s="612"/>
      <c r="H3862" s="612"/>
    </row>
    <row r="3863">
      <c r="B3863" s="612"/>
      <c r="H3863" s="612"/>
    </row>
    <row r="3864">
      <c r="B3864" s="612"/>
      <c r="H3864" s="612"/>
    </row>
    <row r="3865">
      <c r="B3865" s="612"/>
      <c r="H3865" s="612"/>
    </row>
    <row r="3866">
      <c r="B3866" s="612"/>
      <c r="H3866" s="612"/>
    </row>
    <row r="3867">
      <c r="B3867" s="612"/>
      <c r="H3867" s="612"/>
    </row>
    <row r="3868">
      <c r="B3868" s="612"/>
      <c r="H3868" s="612"/>
    </row>
    <row r="3869">
      <c r="B3869" s="612"/>
      <c r="H3869" s="612"/>
    </row>
    <row r="3870">
      <c r="B3870" s="612"/>
      <c r="H3870" s="612"/>
    </row>
    <row r="3871">
      <c r="B3871" s="612"/>
      <c r="H3871" s="612"/>
    </row>
    <row r="3872">
      <c r="B3872" s="612"/>
      <c r="H3872" s="612"/>
    </row>
    <row r="3873">
      <c r="B3873" s="612"/>
      <c r="H3873" s="612"/>
    </row>
    <row r="3874">
      <c r="B3874" s="612"/>
      <c r="H3874" s="612"/>
    </row>
    <row r="3875">
      <c r="B3875" s="612"/>
      <c r="H3875" s="612"/>
    </row>
    <row r="3876">
      <c r="B3876" s="612"/>
      <c r="H3876" s="612"/>
    </row>
    <row r="3877">
      <c r="B3877" s="612"/>
      <c r="H3877" s="612"/>
    </row>
    <row r="3878">
      <c r="B3878" s="612"/>
      <c r="H3878" s="612"/>
    </row>
    <row r="3879">
      <c r="B3879" s="612"/>
      <c r="H3879" s="612"/>
    </row>
    <row r="3880">
      <c r="B3880" s="612"/>
      <c r="H3880" s="612"/>
    </row>
    <row r="3881">
      <c r="B3881" s="612"/>
      <c r="H3881" s="612"/>
    </row>
    <row r="3882">
      <c r="B3882" s="612"/>
      <c r="H3882" s="612"/>
    </row>
    <row r="3883">
      <c r="B3883" s="612"/>
      <c r="H3883" s="612"/>
    </row>
    <row r="3884">
      <c r="B3884" s="612"/>
      <c r="H3884" s="612"/>
    </row>
    <row r="3885">
      <c r="B3885" s="612"/>
      <c r="H3885" s="612"/>
    </row>
    <row r="3886">
      <c r="B3886" s="612"/>
      <c r="H3886" s="612"/>
    </row>
    <row r="3887">
      <c r="B3887" s="612"/>
      <c r="H3887" s="612"/>
    </row>
    <row r="3888">
      <c r="B3888" s="612"/>
      <c r="H3888" s="612"/>
    </row>
    <row r="3889">
      <c r="B3889" s="612"/>
      <c r="H3889" s="612"/>
    </row>
    <row r="3890">
      <c r="B3890" s="612"/>
      <c r="H3890" s="612"/>
    </row>
    <row r="3891">
      <c r="B3891" s="612"/>
      <c r="H3891" s="612"/>
    </row>
    <row r="3892">
      <c r="B3892" s="612"/>
      <c r="H3892" s="612"/>
    </row>
    <row r="3893">
      <c r="B3893" s="612"/>
      <c r="H3893" s="612"/>
    </row>
    <row r="3894">
      <c r="B3894" s="612"/>
      <c r="H3894" s="612"/>
    </row>
    <row r="3895">
      <c r="B3895" s="612"/>
      <c r="H3895" s="612"/>
    </row>
    <row r="3896">
      <c r="B3896" s="612"/>
      <c r="H3896" s="612"/>
    </row>
    <row r="3897">
      <c r="B3897" s="612"/>
      <c r="H3897" s="612"/>
    </row>
    <row r="3898">
      <c r="B3898" s="612"/>
      <c r="H3898" s="612"/>
    </row>
    <row r="3899">
      <c r="B3899" s="612"/>
      <c r="H3899" s="612"/>
    </row>
    <row r="3900">
      <c r="B3900" s="612"/>
      <c r="H3900" s="612"/>
    </row>
    <row r="3901">
      <c r="B3901" s="612"/>
      <c r="H3901" s="612"/>
    </row>
    <row r="3902">
      <c r="B3902" s="612"/>
      <c r="H3902" s="612"/>
    </row>
    <row r="3903">
      <c r="B3903" s="612"/>
      <c r="H3903" s="612"/>
    </row>
    <row r="3904">
      <c r="B3904" s="612"/>
      <c r="H3904" s="612"/>
    </row>
    <row r="3905">
      <c r="B3905" s="612"/>
      <c r="H3905" s="612"/>
    </row>
    <row r="3906">
      <c r="B3906" s="612"/>
      <c r="H3906" s="612"/>
    </row>
    <row r="3907">
      <c r="B3907" s="612"/>
      <c r="H3907" s="612"/>
    </row>
    <row r="3908">
      <c r="B3908" s="612"/>
      <c r="H3908" s="612"/>
    </row>
    <row r="3909">
      <c r="B3909" s="612"/>
      <c r="H3909" s="612"/>
    </row>
    <row r="3910">
      <c r="B3910" s="612"/>
      <c r="H3910" s="612"/>
    </row>
    <row r="3911">
      <c r="B3911" s="612"/>
      <c r="H3911" s="612"/>
    </row>
    <row r="3912">
      <c r="B3912" s="612"/>
      <c r="H3912" s="612"/>
    </row>
    <row r="3913">
      <c r="B3913" s="612"/>
      <c r="H3913" s="612"/>
    </row>
    <row r="3914">
      <c r="B3914" s="612"/>
      <c r="H3914" s="612"/>
    </row>
    <row r="3915">
      <c r="B3915" s="612"/>
      <c r="H3915" s="612"/>
    </row>
    <row r="3916">
      <c r="B3916" s="612"/>
      <c r="H3916" s="612"/>
    </row>
    <row r="3917">
      <c r="B3917" s="612"/>
      <c r="H3917" s="612"/>
    </row>
    <row r="3918">
      <c r="B3918" s="612"/>
      <c r="H3918" s="612"/>
    </row>
    <row r="3919">
      <c r="B3919" s="612"/>
      <c r="H3919" s="612"/>
    </row>
    <row r="3920">
      <c r="B3920" s="612"/>
      <c r="H3920" s="612"/>
    </row>
    <row r="3921">
      <c r="B3921" s="612"/>
      <c r="H3921" s="612"/>
    </row>
    <row r="3922">
      <c r="B3922" s="612"/>
      <c r="H3922" s="612"/>
    </row>
    <row r="3923">
      <c r="B3923" s="612"/>
      <c r="H3923" s="612"/>
    </row>
    <row r="3924">
      <c r="B3924" s="612"/>
      <c r="H3924" s="612"/>
    </row>
    <row r="3925">
      <c r="B3925" s="612"/>
      <c r="H3925" s="612"/>
    </row>
    <row r="3926">
      <c r="B3926" s="612"/>
      <c r="H3926" s="612"/>
    </row>
    <row r="3927">
      <c r="B3927" s="612"/>
      <c r="H3927" s="612"/>
    </row>
    <row r="3928">
      <c r="B3928" s="612"/>
      <c r="H3928" s="612"/>
    </row>
    <row r="3929">
      <c r="B3929" s="612"/>
      <c r="H3929" s="612"/>
    </row>
    <row r="3930">
      <c r="B3930" s="612"/>
      <c r="H3930" s="612"/>
    </row>
    <row r="3931">
      <c r="B3931" s="612"/>
      <c r="H3931" s="612"/>
    </row>
    <row r="3932">
      <c r="B3932" s="612"/>
      <c r="H3932" s="612"/>
    </row>
    <row r="3933">
      <c r="B3933" s="612"/>
      <c r="H3933" s="612"/>
    </row>
    <row r="3934">
      <c r="B3934" s="612"/>
      <c r="H3934" s="612"/>
    </row>
    <row r="3935">
      <c r="B3935" s="612"/>
      <c r="H3935" s="612"/>
    </row>
    <row r="3936">
      <c r="B3936" s="612"/>
      <c r="H3936" s="612"/>
    </row>
    <row r="3937">
      <c r="B3937" s="612"/>
      <c r="H3937" s="612"/>
    </row>
    <row r="3938">
      <c r="B3938" s="612"/>
      <c r="H3938" s="612"/>
    </row>
    <row r="3939">
      <c r="B3939" s="612"/>
      <c r="H3939" s="612"/>
    </row>
    <row r="3940">
      <c r="B3940" s="612"/>
      <c r="H3940" s="612"/>
    </row>
    <row r="3941">
      <c r="B3941" s="612"/>
      <c r="H3941" s="612"/>
    </row>
    <row r="3942">
      <c r="B3942" s="612"/>
      <c r="H3942" s="612"/>
    </row>
    <row r="3943">
      <c r="B3943" s="612"/>
      <c r="H3943" s="612"/>
    </row>
    <row r="3944">
      <c r="B3944" s="612"/>
      <c r="H3944" s="612"/>
    </row>
    <row r="3945">
      <c r="B3945" s="612"/>
      <c r="H3945" s="612"/>
    </row>
    <row r="3946">
      <c r="B3946" s="612"/>
      <c r="H3946" s="612"/>
    </row>
    <row r="3947">
      <c r="B3947" s="612"/>
      <c r="H3947" s="612"/>
    </row>
    <row r="3948">
      <c r="B3948" s="612"/>
      <c r="H3948" s="612"/>
    </row>
    <row r="3949">
      <c r="B3949" s="612"/>
      <c r="H3949" s="612"/>
    </row>
    <row r="3950">
      <c r="B3950" s="612"/>
      <c r="H3950" s="612"/>
    </row>
    <row r="3951">
      <c r="B3951" s="612"/>
      <c r="H3951" s="612"/>
    </row>
    <row r="3952">
      <c r="B3952" s="612"/>
      <c r="H3952" s="612"/>
    </row>
    <row r="3953">
      <c r="B3953" s="612"/>
      <c r="H3953" s="612"/>
    </row>
    <row r="3954">
      <c r="B3954" s="612"/>
      <c r="H3954" s="612"/>
    </row>
    <row r="3955">
      <c r="B3955" s="612"/>
      <c r="H3955" s="612"/>
    </row>
    <row r="3956">
      <c r="B3956" s="612"/>
      <c r="H3956" s="612"/>
    </row>
    <row r="3957">
      <c r="B3957" s="612"/>
      <c r="H3957" s="612"/>
    </row>
    <row r="3958">
      <c r="B3958" s="612"/>
      <c r="H3958" s="612"/>
    </row>
    <row r="3959">
      <c r="B3959" s="612"/>
      <c r="H3959" s="612"/>
    </row>
    <row r="3960">
      <c r="B3960" s="612"/>
      <c r="H3960" s="612"/>
    </row>
    <row r="3961">
      <c r="B3961" s="612"/>
      <c r="H3961" s="612"/>
    </row>
    <row r="3962">
      <c r="B3962" s="612"/>
      <c r="H3962" s="612"/>
    </row>
    <row r="3963">
      <c r="B3963" s="612"/>
      <c r="H3963" s="612"/>
    </row>
    <row r="3964">
      <c r="B3964" s="612"/>
      <c r="H3964" s="612"/>
    </row>
    <row r="3965">
      <c r="B3965" s="612"/>
      <c r="H3965" s="612"/>
    </row>
    <row r="3966">
      <c r="B3966" s="612"/>
      <c r="H3966" s="612"/>
    </row>
    <row r="3967">
      <c r="B3967" s="612"/>
      <c r="H3967" s="612"/>
    </row>
    <row r="3968">
      <c r="B3968" s="612"/>
      <c r="H3968" s="612"/>
    </row>
    <row r="3969">
      <c r="B3969" s="612"/>
      <c r="H3969" s="612"/>
    </row>
    <row r="3970">
      <c r="B3970" s="612"/>
      <c r="H3970" s="612"/>
    </row>
    <row r="3971">
      <c r="B3971" s="612"/>
      <c r="H3971" s="612"/>
    </row>
    <row r="3972">
      <c r="B3972" s="612"/>
      <c r="H3972" s="612"/>
    </row>
    <row r="3973">
      <c r="B3973" s="612"/>
      <c r="H3973" s="612"/>
    </row>
    <row r="3974">
      <c r="B3974" s="612"/>
      <c r="H3974" s="612"/>
    </row>
    <row r="3975">
      <c r="B3975" s="612"/>
      <c r="H3975" s="612"/>
    </row>
    <row r="3976">
      <c r="B3976" s="612"/>
      <c r="H3976" s="612"/>
    </row>
    <row r="3977">
      <c r="B3977" s="612"/>
      <c r="H3977" s="612"/>
    </row>
    <row r="3978">
      <c r="B3978" s="612"/>
      <c r="H3978" s="612"/>
    </row>
    <row r="3979">
      <c r="B3979" s="612"/>
      <c r="H3979" s="612"/>
    </row>
    <row r="3980">
      <c r="B3980" s="612"/>
      <c r="H3980" s="612"/>
    </row>
    <row r="3981">
      <c r="B3981" s="612"/>
      <c r="H3981" s="612"/>
    </row>
    <row r="3982">
      <c r="B3982" s="612"/>
      <c r="H3982" s="612"/>
    </row>
    <row r="3983">
      <c r="B3983" s="612"/>
      <c r="H3983" s="612"/>
    </row>
    <row r="3984">
      <c r="B3984" s="612"/>
      <c r="H3984" s="612"/>
    </row>
    <row r="3985">
      <c r="B3985" s="612"/>
      <c r="H3985" s="612"/>
    </row>
    <row r="3986">
      <c r="B3986" s="612"/>
      <c r="H3986" s="612"/>
    </row>
    <row r="3987">
      <c r="B3987" s="612"/>
      <c r="H3987" s="612"/>
    </row>
    <row r="3988">
      <c r="B3988" s="612"/>
      <c r="H3988" s="612"/>
    </row>
    <row r="3989">
      <c r="B3989" s="612"/>
      <c r="H3989" s="612"/>
    </row>
    <row r="3990">
      <c r="B3990" s="612"/>
      <c r="H3990" s="612"/>
    </row>
    <row r="3991">
      <c r="B3991" s="612"/>
      <c r="H3991" s="612"/>
    </row>
    <row r="3992">
      <c r="B3992" s="612"/>
      <c r="H3992" s="612"/>
    </row>
    <row r="3993">
      <c r="B3993" s="612"/>
      <c r="H3993" s="612"/>
    </row>
    <row r="3994">
      <c r="B3994" s="612"/>
      <c r="H3994" s="612"/>
    </row>
    <row r="3995">
      <c r="B3995" s="612"/>
      <c r="H3995" s="612"/>
    </row>
    <row r="3996">
      <c r="B3996" s="612"/>
      <c r="H3996" s="612"/>
    </row>
    <row r="3997">
      <c r="B3997" s="612"/>
      <c r="H3997" s="612"/>
    </row>
    <row r="3998">
      <c r="B3998" s="612"/>
      <c r="H3998" s="612"/>
    </row>
    <row r="3999">
      <c r="B3999" s="612"/>
      <c r="H3999" s="612"/>
    </row>
    <row r="4000">
      <c r="B4000" s="612"/>
      <c r="H4000" s="612"/>
    </row>
    <row r="4001">
      <c r="B4001" s="612"/>
      <c r="H4001" s="612"/>
    </row>
    <row r="4002">
      <c r="B4002" s="612"/>
      <c r="H4002" s="612"/>
    </row>
    <row r="4003">
      <c r="B4003" s="612"/>
      <c r="H4003" s="612"/>
    </row>
    <row r="4004">
      <c r="B4004" s="612"/>
      <c r="H4004" s="612"/>
    </row>
    <row r="4005">
      <c r="B4005" s="612"/>
      <c r="H4005" s="612"/>
    </row>
    <row r="4006">
      <c r="B4006" s="612"/>
      <c r="H4006" s="612"/>
    </row>
    <row r="4007">
      <c r="B4007" s="612"/>
      <c r="H4007" s="612"/>
    </row>
    <row r="4008">
      <c r="B4008" s="612"/>
      <c r="H4008" s="612"/>
    </row>
    <row r="4009">
      <c r="B4009" s="612"/>
      <c r="H4009" s="612"/>
    </row>
    <row r="4010">
      <c r="B4010" s="612"/>
      <c r="H4010" s="612"/>
    </row>
    <row r="4011">
      <c r="B4011" s="612"/>
      <c r="H4011" s="612"/>
    </row>
    <row r="4012">
      <c r="B4012" s="612"/>
      <c r="H4012" s="612"/>
    </row>
    <row r="4013">
      <c r="B4013" s="612"/>
      <c r="H4013" s="612"/>
    </row>
    <row r="4014">
      <c r="B4014" s="612"/>
      <c r="H4014" s="612"/>
    </row>
    <row r="4015">
      <c r="B4015" s="612"/>
      <c r="H4015" s="612"/>
    </row>
    <row r="4016">
      <c r="B4016" s="612"/>
      <c r="H4016" s="612"/>
    </row>
    <row r="4017">
      <c r="B4017" s="612"/>
      <c r="H4017" s="612"/>
    </row>
    <row r="4018">
      <c r="B4018" s="612"/>
      <c r="H4018" s="612"/>
    </row>
    <row r="4019">
      <c r="B4019" s="612"/>
      <c r="H4019" s="612"/>
    </row>
    <row r="4020">
      <c r="B4020" s="612"/>
      <c r="H4020" s="612"/>
    </row>
    <row r="4021">
      <c r="B4021" s="612"/>
      <c r="H4021" s="612"/>
    </row>
    <row r="4022">
      <c r="B4022" s="612"/>
      <c r="H4022" s="612"/>
    </row>
    <row r="4023">
      <c r="B4023" s="612"/>
      <c r="H4023" s="612"/>
    </row>
    <row r="4024">
      <c r="B4024" s="612"/>
      <c r="H4024" s="612"/>
    </row>
    <row r="4025">
      <c r="B4025" s="612"/>
      <c r="H4025" s="612"/>
    </row>
    <row r="4026">
      <c r="B4026" s="612"/>
      <c r="H4026" s="612"/>
    </row>
    <row r="4027">
      <c r="B4027" s="612"/>
      <c r="H4027" s="612"/>
    </row>
    <row r="4028">
      <c r="B4028" s="612"/>
      <c r="H4028" s="612"/>
    </row>
    <row r="4029">
      <c r="B4029" s="612"/>
      <c r="H4029" s="612"/>
    </row>
    <row r="4030">
      <c r="B4030" s="612"/>
      <c r="H4030" s="612"/>
    </row>
    <row r="4031">
      <c r="B4031" s="612"/>
      <c r="H4031" s="612"/>
    </row>
    <row r="4032">
      <c r="B4032" s="612"/>
      <c r="H4032" s="612"/>
    </row>
    <row r="4033">
      <c r="B4033" s="612"/>
      <c r="H4033" s="612"/>
    </row>
    <row r="4034">
      <c r="B4034" s="612"/>
      <c r="H4034" s="612"/>
    </row>
    <row r="4035">
      <c r="B4035" s="612"/>
      <c r="H4035" s="612"/>
    </row>
    <row r="4036">
      <c r="B4036" s="612"/>
      <c r="H4036" s="612"/>
    </row>
    <row r="4037">
      <c r="B4037" s="612"/>
      <c r="H4037" s="612"/>
    </row>
    <row r="4038">
      <c r="B4038" s="612"/>
      <c r="H4038" s="612"/>
    </row>
    <row r="4039">
      <c r="B4039" s="612"/>
      <c r="H4039" s="612"/>
    </row>
    <row r="4040">
      <c r="B4040" s="612"/>
      <c r="H4040" s="612"/>
    </row>
    <row r="4041">
      <c r="B4041" s="612"/>
      <c r="H4041" s="612"/>
    </row>
    <row r="4042">
      <c r="B4042" s="612"/>
      <c r="H4042" s="612"/>
    </row>
    <row r="4043">
      <c r="B4043" s="612"/>
      <c r="H4043" s="612"/>
    </row>
    <row r="4044">
      <c r="B4044" s="612"/>
      <c r="H4044" s="612"/>
    </row>
    <row r="4045">
      <c r="B4045" s="612"/>
      <c r="H4045" s="612"/>
    </row>
    <row r="4046">
      <c r="B4046" s="612"/>
      <c r="H4046" s="612"/>
    </row>
    <row r="4047">
      <c r="B4047" s="612"/>
      <c r="H4047" s="612"/>
    </row>
    <row r="4048">
      <c r="B4048" s="612"/>
      <c r="H4048" s="612"/>
    </row>
    <row r="4049">
      <c r="B4049" s="612"/>
      <c r="H4049" s="612"/>
    </row>
    <row r="4050">
      <c r="B4050" s="612"/>
      <c r="H4050" s="612"/>
    </row>
    <row r="4051">
      <c r="B4051" s="612"/>
      <c r="H4051" s="612"/>
    </row>
    <row r="4052">
      <c r="B4052" s="612"/>
      <c r="H4052" s="612"/>
    </row>
    <row r="4053">
      <c r="B4053" s="612"/>
      <c r="H4053" s="612"/>
    </row>
    <row r="4054">
      <c r="B4054" s="612"/>
      <c r="H4054" s="612"/>
    </row>
    <row r="4055">
      <c r="B4055" s="612"/>
      <c r="H4055" s="612"/>
    </row>
    <row r="4056">
      <c r="B4056" s="612"/>
      <c r="H4056" s="612"/>
    </row>
    <row r="4057">
      <c r="B4057" s="612"/>
      <c r="H4057" s="612"/>
    </row>
    <row r="4058">
      <c r="B4058" s="612"/>
      <c r="H4058" s="612"/>
    </row>
    <row r="4059">
      <c r="B4059" s="612"/>
      <c r="H4059" s="612"/>
    </row>
    <row r="4060">
      <c r="B4060" s="612"/>
      <c r="H4060" s="612"/>
    </row>
    <row r="4061">
      <c r="B4061" s="612"/>
      <c r="H4061" s="612"/>
    </row>
    <row r="4062">
      <c r="B4062" s="612"/>
      <c r="H4062" s="612"/>
    </row>
    <row r="4063">
      <c r="B4063" s="612"/>
      <c r="H4063" s="612"/>
    </row>
    <row r="4064">
      <c r="B4064" s="612"/>
      <c r="H4064" s="612"/>
    </row>
    <row r="4065">
      <c r="B4065" s="612"/>
      <c r="H4065" s="612"/>
    </row>
    <row r="4066">
      <c r="B4066" s="612"/>
      <c r="H4066" s="612"/>
    </row>
    <row r="4067">
      <c r="B4067" s="612"/>
      <c r="H4067" s="612"/>
    </row>
    <row r="4068">
      <c r="B4068" s="612"/>
      <c r="H4068" s="612"/>
    </row>
    <row r="4069">
      <c r="B4069" s="612"/>
      <c r="H4069" s="612"/>
    </row>
    <row r="4070">
      <c r="B4070" s="612"/>
      <c r="H4070" s="612"/>
    </row>
    <row r="4071">
      <c r="B4071" s="612"/>
      <c r="H4071" s="612"/>
    </row>
    <row r="4072">
      <c r="B4072" s="612"/>
      <c r="H4072" s="612"/>
    </row>
    <row r="4073">
      <c r="B4073" s="612"/>
      <c r="H4073" s="612"/>
    </row>
    <row r="4074">
      <c r="B4074" s="612"/>
      <c r="H4074" s="612"/>
    </row>
    <row r="4075">
      <c r="B4075" s="612"/>
      <c r="H4075" s="612"/>
    </row>
    <row r="4076">
      <c r="B4076" s="612"/>
      <c r="H4076" s="612"/>
    </row>
    <row r="4077">
      <c r="B4077" s="612"/>
      <c r="H4077" s="612"/>
    </row>
    <row r="4078">
      <c r="B4078" s="612"/>
      <c r="H4078" s="612"/>
    </row>
    <row r="4079">
      <c r="B4079" s="612"/>
      <c r="H4079" s="612"/>
    </row>
    <row r="4080">
      <c r="B4080" s="612"/>
      <c r="H4080" s="612"/>
    </row>
    <row r="4081">
      <c r="B4081" s="612"/>
      <c r="H4081" s="612"/>
    </row>
    <row r="4082">
      <c r="B4082" s="612"/>
      <c r="H4082" s="612"/>
    </row>
    <row r="4083">
      <c r="B4083" s="612"/>
      <c r="H4083" s="612"/>
    </row>
    <row r="4084">
      <c r="B4084" s="612"/>
      <c r="H4084" s="612"/>
    </row>
    <row r="4085">
      <c r="B4085" s="612"/>
      <c r="H4085" s="612"/>
    </row>
    <row r="4086">
      <c r="B4086" s="612"/>
      <c r="H4086" s="612"/>
    </row>
    <row r="4087">
      <c r="B4087" s="612"/>
      <c r="H4087" s="612"/>
    </row>
    <row r="4088">
      <c r="B4088" s="612"/>
      <c r="H4088" s="612"/>
    </row>
    <row r="4089">
      <c r="B4089" s="612"/>
      <c r="H4089" s="612"/>
    </row>
    <row r="4090">
      <c r="B4090" s="612"/>
      <c r="H4090" s="612"/>
    </row>
    <row r="4091">
      <c r="B4091" s="612"/>
      <c r="H4091" s="612"/>
    </row>
    <row r="4092">
      <c r="B4092" s="612"/>
      <c r="H4092" s="612"/>
    </row>
    <row r="4093">
      <c r="B4093" s="612"/>
      <c r="H4093" s="612"/>
    </row>
    <row r="4094">
      <c r="B4094" s="612"/>
      <c r="H4094" s="612"/>
    </row>
    <row r="4095">
      <c r="B4095" s="612"/>
      <c r="H4095" s="612"/>
    </row>
    <row r="4096">
      <c r="B4096" s="612"/>
      <c r="H4096" s="612"/>
    </row>
    <row r="4097">
      <c r="B4097" s="612"/>
      <c r="H4097" s="612"/>
    </row>
    <row r="4098">
      <c r="B4098" s="612"/>
      <c r="H4098" s="612"/>
    </row>
    <row r="4099">
      <c r="B4099" s="612"/>
      <c r="H4099" s="612"/>
    </row>
    <row r="4100">
      <c r="B4100" s="612"/>
      <c r="H4100" s="612"/>
    </row>
    <row r="4101">
      <c r="B4101" s="612"/>
      <c r="H4101" s="612"/>
    </row>
    <row r="4102">
      <c r="B4102" s="612"/>
      <c r="H4102" s="612"/>
    </row>
    <row r="4103">
      <c r="B4103" s="612"/>
      <c r="H4103" s="612"/>
    </row>
    <row r="4104">
      <c r="B4104" s="612"/>
      <c r="H4104" s="612"/>
    </row>
    <row r="4105">
      <c r="B4105" s="612"/>
      <c r="H4105" s="612"/>
    </row>
    <row r="4106">
      <c r="B4106" s="612"/>
      <c r="H4106" s="612"/>
    </row>
    <row r="4107">
      <c r="B4107" s="612"/>
      <c r="H4107" s="612"/>
    </row>
    <row r="4108">
      <c r="B4108" s="612"/>
      <c r="H4108" s="612"/>
    </row>
    <row r="4109">
      <c r="B4109" s="612"/>
      <c r="H4109" s="612"/>
    </row>
    <row r="4110">
      <c r="B4110" s="612"/>
      <c r="H4110" s="612"/>
    </row>
    <row r="4111">
      <c r="B4111" s="612"/>
      <c r="H4111" s="612"/>
    </row>
    <row r="4112">
      <c r="B4112" s="612"/>
      <c r="H4112" s="612"/>
    </row>
    <row r="4113">
      <c r="B4113" s="612"/>
      <c r="H4113" s="612"/>
    </row>
    <row r="4114">
      <c r="B4114" s="612"/>
      <c r="H4114" s="612"/>
    </row>
    <row r="4115">
      <c r="B4115" s="612"/>
      <c r="H4115" s="612"/>
    </row>
    <row r="4116">
      <c r="B4116" s="612"/>
      <c r="H4116" s="612"/>
    </row>
    <row r="4117">
      <c r="B4117" s="612"/>
      <c r="H4117" s="612"/>
    </row>
    <row r="4118">
      <c r="B4118" s="612"/>
      <c r="H4118" s="612"/>
    </row>
    <row r="4119">
      <c r="B4119" s="612"/>
      <c r="H4119" s="612"/>
    </row>
    <row r="4120">
      <c r="B4120" s="612"/>
      <c r="H4120" s="612"/>
    </row>
    <row r="4121">
      <c r="B4121" s="612"/>
      <c r="H4121" s="612"/>
    </row>
    <row r="4122">
      <c r="B4122" s="612"/>
      <c r="H4122" s="612"/>
    </row>
    <row r="4123">
      <c r="B4123" s="612"/>
      <c r="H4123" s="612"/>
    </row>
    <row r="4124">
      <c r="B4124" s="612"/>
      <c r="H4124" s="612"/>
    </row>
    <row r="4125">
      <c r="B4125" s="612"/>
      <c r="H4125" s="612"/>
    </row>
    <row r="4126">
      <c r="B4126" s="612"/>
      <c r="H4126" s="612"/>
    </row>
    <row r="4127">
      <c r="B4127" s="612"/>
      <c r="H4127" s="612"/>
    </row>
    <row r="4128">
      <c r="B4128" s="612"/>
      <c r="H4128" s="612"/>
    </row>
    <row r="4129">
      <c r="B4129" s="612"/>
      <c r="H4129" s="612"/>
    </row>
    <row r="4130">
      <c r="B4130" s="612"/>
      <c r="H4130" s="612"/>
    </row>
    <row r="4131">
      <c r="B4131" s="612"/>
      <c r="H4131" s="612"/>
    </row>
    <row r="4132">
      <c r="B4132" s="612"/>
      <c r="H4132" s="612"/>
    </row>
    <row r="4133">
      <c r="B4133" s="612"/>
      <c r="H4133" s="612"/>
    </row>
    <row r="4134">
      <c r="B4134" s="612"/>
      <c r="H4134" s="612"/>
    </row>
    <row r="4135">
      <c r="B4135" s="612"/>
      <c r="H4135" s="612"/>
    </row>
    <row r="4136">
      <c r="B4136" s="612"/>
      <c r="H4136" s="612"/>
    </row>
    <row r="4137">
      <c r="B4137" s="612"/>
      <c r="H4137" s="612"/>
    </row>
    <row r="4138">
      <c r="B4138" s="612"/>
      <c r="H4138" s="612"/>
    </row>
    <row r="4139">
      <c r="B4139" s="612"/>
      <c r="H4139" s="612"/>
    </row>
    <row r="4140">
      <c r="B4140" s="612"/>
      <c r="H4140" s="612"/>
    </row>
    <row r="4141">
      <c r="B4141" s="612"/>
      <c r="H4141" s="612"/>
    </row>
    <row r="4142">
      <c r="B4142" s="612"/>
      <c r="H4142" s="612"/>
    </row>
    <row r="4143">
      <c r="B4143" s="612"/>
      <c r="H4143" s="612"/>
    </row>
    <row r="4144">
      <c r="B4144" s="612"/>
      <c r="H4144" s="612"/>
    </row>
    <row r="4145">
      <c r="B4145" s="612"/>
      <c r="H4145" s="612"/>
    </row>
    <row r="4146">
      <c r="B4146" s="612"/>
      <c r="H4146" s="612"/>
    </row>
    <row r="4147">
      <c r="B4147" s="612"/>
      <c r="H4147" s="612"/>
    </row>
    <row r="4148">
      <c r="B4148" s="612"/>
      <c r="H4148" s="612"/>
    </row>
    <row r="4149">
      <c r="B4149" s="612"/>
      <c r="H4149" s="612"/>
    </row>
    <row r="4150">
      <c r="B4150" s="612"/>
      <c r="H4150" s="612"/>
    </row>
    <row r="4151">
      <c r="B4151" s="612"/>
      <c r="H4151" s="612"/>
    </row>
    <row r="4152">
      <c r="B4152" s="612"/>
      <c r="H4152" s="612"/>
    </row>
    <row r="4153">
      <c r="B4153" s="612"/>
      <c r="H4153" s="612"/>
    </row>
    <row r="4154">
      <c r="B4154" s="612"/>
      <c r="H4154" s="612"/>
    </row>
    <row r="4155">
      <c r="B4155" s="612"/>
      <c r="H4155" s="612"/>
    </row>
    <row r="4156">
      <c r="B4156" s="612"/>
      <c r="H4156" s="612"/>
    </row>
    <row r="4157">
      <c r="B4157" s="612"/>
      <c r="H4157" s="612"/>
    </row>
    <row r="4158">
      <c r="B4158" s="612"/>
      <c r="H4158" s="612"/>
    </row>
    <row r="4159">
      <c r="B4159" s="612"/>
      <c r="H4159" s="612"/>
    </row>
    <row r="4160">
      <c r="B4160" s="612"/>
      <c r="H4160" s="612"/>
    </row>
    <row r="4161">
      <c r="B4161" s="612"/>
      <c r="H4161" s="612"/>
    </row>
    <row r="4162">
      <c r="B4162" s="612"/>
      <c r="H4162" s="612"/>
    </row>
    <row r="4163">
      <c r="B4163" s="612"/>
      <c r="H4163" s="612"/>
    </row>
    <row r="4164">
      <c r="B4164" s="612"/>
      <c r="H4164" s="612"/>
    </row>
    <row r="4165">
      <c r="B4165" s="612"/>
      <c r="H4165" s="612"/>
    </row>
    <row r="4166">
      <c r="B4166" s="612"/>
      <c r="H4166" s="612"/>
    </row>
    <row r="4167">
      <c r="B4167" s="612"/>
      <c r="H4167" s="612"/>
    </row>
    <row r="4168">
      <c r="B4168" s="612"/>
      <c r="H4168" s="612"/>
    </row>
    <row r="4169">
      <c r="B4169" s="612"/>
      <c r="H4169" s="612"/>
    </row>
    <row r="4170">
      <c r="B4170" s="612"/>
      <c r="H4170" s="612"/>
    </row>
    <row r="4171">
      <c r="B4171" s="612"/>
      <c r="H4171" s="612"/>
    </row>
    <row r="4172">
      <c r="B4172" s="612"/>
      <c r="H4172" s="612"/>
    </row>
    <row r="4173">
      <c r="B4173" s="612"/>
      <c r="H4173" s="612"/>
    </row>
    <row r="4174">
      <c r="B4174" s="612"/>
      <c r="H4174" s="612"/>
    </row>
    <row r="4175">
      <c r="B4175" s="612"/>
      <c r="H4175" s="612"/>
    </row>
    <row r="4176">
      <c r="B4176" s="612"/>
      <c r="H4176" s="612"/>
    </row>
    <row r="4177">
      <c r="B4177" s="612"/>
      <c r="H4177" s="612"/>
    </row>
    <row r="4178">
      <c r="B4178" s="612"/>
      <c r="H4178" s="612"/>
    </row>
    <row r="4179">
      <c r="B4179" s="612"/>
      <c r="H4179" s="612"/>
    </row>
    <row r="4180">
      <c r="B4180" s="612"/>
      <c r="H4180" s="612"/>
    </row>
    <row r="4181">
      <c r="B4181" s="612"/>
      <c r="H4181" s="612"/>
    </row>
    <row r="4182">
      <c r="B4182" s="612"/>
      <c r="H4182" s="612"/>
    </row>
    <row r="4183">
      <c r="B4183" s="612"/>
      <c r="H4183" s="612"/>
    </row>
    <row r="4184">
      <c r="B4184" s="612"/>
      <c r="H4184" s="612"/>
    </row>
    <row r="4185">
      <c r="B4185" s="612"/>
      <c r="H4185" s="612"/>
    </row>
    <row r="4186">
      <c r="B4186" s="612"/>
      <c r="H4186" s="612"/>
    </row>
    <row r="4187">
      <c r="B4187" s="612"/>
      <c r="H4187" s="612"/>
    </row>
    <row r="4188">
      <c r="B4188" s="612"/>
      <c r="H4188" s="612"/>
    </row>
    <row r="4189">
      <c r="B4189" s="612"/>
      <c r="H4189" s="612"/>
    </row>
    <row r="4190">
      <c r="B4190" s="612"/>
      <c r="H4190" s="612"/>
    </row>
    <row r="4191">
      <c r="B4191" s="612"/>
      <c r="H4191" s="612"/>
    </row>
    <row r="4192">
      <c r="B4192" s="612"/>
      <c r="H4192" s="612"/>
    </row>
    <row r="4193">
      <c r="B4193" s="612"/>
      <c r="H4193" s="612"/>
    </row>
    <row r="4194">
      <c r="B4194" s="612"/>
      <c r="H4194" s="612"/>
    </row>
    <row r="4195">
      <c r="B4195" s="612"/>
      <c r="H4195" s="612"/>
    </row>
    <row r="4196">
      <c r="B4196" s="612"/>
      <c r="H4196" s="612"/>
    </row>
    <row r="4197">
      <c r="B4197" s="612"/>
      <c r="H4197" s="612"/>
    </row>
    <row r="4198">
      <c r="B4198" s="612"/>
      <c r="H4198" s="612"/>
    </row>
    <row r="4199">
      <c r="B4199" s="612"/>
      <c r="H4199" s="612"/>
    </row>
    <row r="4200">
      <c r="B4200" s="612"/>
      <c r="H4200" s="612"/>
    </row>
    <row r="4201">
      <c r="B4201" s="612"/>
      <c r="H4201" s="612"/>
    </row>
    <row r="4202">
      <c r="B4202" s="612"/>
      <c r="H4202" s="612"/>
    </row>
    <row r="4203">
      <c r="B4203" s="612"/>
      <c r="H4203" s="612"/>
    </row>
    <row r="4204">
      <c r="B4204" s="612"/>
      <c r="H4204" s="612"/>
    </row>
    <row r="4205">
      <c r="B4205" s="612"/>
      <c r="H4205" s="612"/>
    </row>
    <row r="4206">
      <c r="B4206" s="612"/>
      <c r="H4206" s="612"/>
    </row>
    <row r="4207">
      <c r="B4207" s="612"/>
      <c r="H4207" s="612"/>
    </row>
    <row r="4208">
      <c r="B4208" s="612"/>
      <c r="H4208" s="612"/>
    </row>
    <row r="4209">
      <c r="B4209" s="612"/>
      <c r="H4209" s="612"/>
    </row>
    <row r="4210">
      <c r="B4210" s="612"/>
      <c r="H4210" s="612"/>
    </row>
    <row r="4211">
      <c r="B4211" s="612"/>
      <c r="H4211" s="612"/>
    </row>
    <row r="4212">
      <c r="B4212" s="612"/>
      <c r="H4212" s="612"/>
    </row>
    <row r="4213">
      <c r="B4213" s="612"/>
      <c r="H4213" s="612"/>
    </row>
    <row r="4214">
      <c r="B4214" s="612"/>
      <c r="H4214" s="612"/>
    </row>
    <row r="4215">
      <c r="B4215" s="612"/>
      <c r="H4215" s="612"/>
    </row>
    <row r="4216">
      <c r="B4216" s="612"/>
      <c r="H4216" s="612"/>
    </row>
    <row r="4217">
      <c r="B4217" s="612"/>
      <c r="H4217" s="612"/>
    </row>
    <row r="4218">
      <c r="B4218" s="612"/>
      <c r="H4218" s="612"/>
    </row>
    <row r="4219">
      <c r="B4219" s="612"/>
      <c r="H4219" s="612"/>
    </row>
    <row r="4220">
      <c r="B4220" s="612"/>
      <c r="H4220" s="612"/>
    </row>
    <row r="4221">
      <c r="B4221" s="612"/>
      <c r="H4221" s="612"/>
    </row>
    <row r="4222">
      <c r="B4222" s="612"/>
      <c r="H4222" s="612"/>
    </row>
    <row r="4223">
      <c r="B4223" s="612"/>
      <c r="H4223" s="612"/>
    </row>
    <row r="4224">
      <c r="B4224" s="612"/>
      <c r="H4224" s="612"/>
    </row>
    <row r="4225">
      <c r="B4225" s="612"/>
      <c r="H4225" s="612"/>
    </row>
    <row r="4226">
      <c r="B4226" s="612"/>
      <c r="H4226" s="612"/>
    </row>
    <row r="4227">
      <c r="B4227" s="612"/>
      <c r="H4227" s="612"/>
    </row>
    <row r="4228">
      <c r="B4228" s="612"/>
      <c r="H4228" s="612"/>
    </row>
    <row r="4229">
      <c r="B4229" s="612"/>
      <c r="H4229" s="612"/>
    </row>
    <row r="4230">
      <c r="B4230" s="612"/>
      <c r="H4230" s="612"/>
    </row>
    <row r="4231">
      <c r="B4231" s="612"/>
      <c r="H4231" s="612"/>
    </row>
    <row r="4232">
      <c r="B4232" s="612"/>
      <c r="H4232" s="612"/>
    </row>
    <row r="4233">
      <c r="B4233" s="612"/>
      <c r="H4233" s="612"/>
    </row>
    <row r="4234">
      <c r="B4234" s="612"/>
      <c r="H4234" s="612"/>
    </row>
    <row r="4235">
      <c r="B4235" s="612"/>
      <c r="H4235" s="612"/>
    </row>
    <row r="4236">
      <c r="B4236" s="612"/>
      <c r="H4236" s="612"/>
    </row>
    <row r="4237">
      <c r="B4237" s="612"/>
      <c r="H4237" s="612"/>
    </row>
    <row r="4238">
      <c r="B4238" s="612"/>
      <c r="H4238" s="612"/>
    </row>
    <row r="4239">
      <c r="B4239" s="612"/>
      <c r="H4239" s="612"/>
    </row>
    <row r="4240">
      <c r="B4240" s="612"/>
      <c r="H4240" s="612"/>
    </row>
    <row r="4241">
      <c r="B4241" s="612"/>
      <c r="H4241" s="612"/>
    </row>
    <row r="4242">
      <c r="B4242" s="612"/>
      <c r="H4242" s="612"/>
    </row>
    <row r="4243">
      <c r="B4243" s="612"/>
      <c r="H4243" s="612"/>
    </row>
    <row r="4244">
      <c r="B4244" s="612"/>
      <c r="H4244" s="612"/>
    </row>
    <row r="4245">
      <c r="B4245" s="612"/>
      <c r="H4245" s="612"/>
    </row>
    <row r="4246">
      <c r="B4246" s="612"/>
      <c r="H4246" s="612"/>
    </row>
    <row r="4247">
      <c r="B4247" s="612"/>
      <c r="H4247" s="612"/>
    </row>
    <row r="4248">
      <c r="B4248" s="612"/>
      <c r="H4248" s="612"/>
    </row>
    <row r="4249">
      <c r="B4249" s="612"/>
      <c r="H4249" s="612"/>
    </row>
    <row r="4250">
      <c r="B4250" s="612"/>
      <c r="H4250" s="612"/>
    </row>
    <row r="4251">
      <c r="B4251" s="612"/>
      <c r="H4251" s="612"/>
    </row>
    <row r="4252">
      <c r="B4252" s="612"/>
      <c r="H4252" s="612"/>
    </row>
    <row r="4253">
      <c r="B4253" s="612"/>
      <c r="H4253" s="612"/>
    </row>
    <row r="4254">
      <c r="B4254" s="612"/>
      <c r="H4254" s="612"/>
    </row>
    <row r="4255">
      <c r="B4255" s="612"/>
      <c r="H4255" s="612"/>
    </row>
    <row r="4256">
      <c r="B4256" s="612"/>
      <c r="H4256" s="612"/>
    </row>
    <row r="4257">
      <c r="B4257" s="612"/>
      <c r="H4257" s="612"/>
    </row>
    <row r="4258">
      <c r="B4258" s="612"/>
      <c r="H4258" s="612"/>
    </row>
    <row r="4259">
      <c r="B4259" s="612"/>
      <c r="H4259" s="612"/>
    </row>
    <row r="4260">
      <c r="B4260" s="612"/>
      <c r="H4260" s="612"/>
    </row>
    <row r="4261">
      <c r="B4261" s="612"/>
      <c r="H4261" s="612"/>
    </row>
    <row r="4262">
      <c r="B4262" s="612"/>
      <c r="H4262" s="612"/>
    </row>
    <row r="4263">
      <c r="B4263" s="612"/>
      <c r="H4263" s="612"/>
    </row>
    <row r="4264">
      <c r="B4264" s="612"/>
      <c r="H4264" s="612"/>
    </row>
    <row r="4265">
      <c r="B4265" s="612"/>
      <c r="H4265" s="612"/>
    </row>
    <row r="4266">
      <c r="B4266" s="612"/>
      <c r="H4266" s="612"/>
    </row>
    <row r="4267">
      <c r="B4267" s="612"/>
      <c r="H4267" s="612"/>
    </row>
    <row r="4268">
      <c r="B4268" s="612"/>
      <c r="H4268" s="612"/>
    </row>
    <row r="4269">
      <c r="B4269" s="612"/>
      <c r="H4269" s="612"/>
    </row>
    <row r="4270">
      <c r="B4270" s="612"/>
      <c r="H4270" s="612"/>
    </row>
    <row r="4271">
      <c r="B4271" s="612"/>
      <c r="H4271" s="612"/>
    </row>
    <row r="4272">
      <c r="B4272" s="612"/>
      <c r="H4272" s="612"/>
    </row>
    <row r="4273">
      <c r="B4273" s="612"/>
      <c r="H4273" s="612"/>
    </row>
    <row r="4274">
      <c r="B4274" s="612"/>
      <c r="H4274" s="612"/>
    </row>
    <row r="4275">
      <c r="B4275" s="612"/>
      <c r="H4275" s="612"/>
    </row>
    <row r="4276">
      <c r="B4276" s="612"/>
      <c r="H4276" s="612"/>
    </row>
    <row r="4277">
      <c r="B4277" s="612"/>
      <c r="H4277" s="612"/>
    </row>
    <row r="4278">
      <c r="B4278" s="612"/>
      <c r="H4278" s="612"/>
    </row>
    <row r="4279">
      <c r="B4279" s="612"/>
      <c r="H4279" s="612"/>
    </row>
    <row r="4280">
      <c r="B4280" s="612"/>
      <c r="H4280" s="612"/>
    </row>
    <row r="4281">
      <c r="B4281" s="612"/>
      <c r="H4281" s="612"/>
    </row>
    <row r="4282">
      <c r="B4282" s="612"/>
      <c r="H4282" s="612"/>
    </row>
    <row r="4283">
      <c r="B4283" s="612"/>
      <c r="H4283" s="612"/>
    </row>
    <row r="4284">
      <c r="B4284" s="612"/>
      <c r="H4284" s="612"/>
    </row>
    <row r="4285">
      <c r="B4285" s="612"/>
      <c r="H4285" s="612"/>
    </row>
    <row r="4286">
      <c r="B4286" s="612"/>
      <c r="H4286" s="612"/>
    </row>
    <row r="4287">
      <c r="B4287" s="612"/>
      <c r="H4287" s="612"/>
    </row>
    <row r="4288">
      <c r="B4288" s="612"/>
      <c r="H4288" s="612"/>
    </row>
    <row r="4289">
      <c r="B4289" s="612"/>
      <c r="H4289" s="612"/>
    </row>
    <row r="4290">
      <c r="B4290" s="612"/>
      <c r="H4290" s="612"/>
    </row>
    <row r="4291">
      <c r="B4291" s="612"/>
      <c r="H4291" s="612"/>
    </row>
    <row r="4292">
      <c r="B4292" s="612"/>
      <c r="H4292" s="612"/>
    </row>
    <row r="4293">
      <c r="B4293" s="612"/>
      <c r="H4293" s="612"/>
    </row>
    <row r="4294">
      <c r="B4294" s="612"/>
      <c r="H4294" s="612"/>
    </row>
    <row r="4295">
      <c r="B4295" s="612"/>
      <c r="H4295" s="612"/>
    </row>
    <row r="4296">
      <c r="B4296" s="612"/>
      <c r="H4296" s="612"/>
    </row>
    <row r="4297">
      <c r="B4297" s="612"/>
      <c r="H4297" s="612"/>
    </row>
    <row r="4298">
      <c r="B4298" s="612"/>
      <c r="H4298" s="612"/>
    </row>
    <row r="4299">
      <c r="B4299" s="612"/>
      <c r="H4299" s="612"/>
    </row>
    <row r="4300">
      <c r="B4300" s="612"/>
      <c r="H4300" s="612"/>
    </row>
    <row r="4301">
      <c r="B4301" s="612"/>
      <c r="H4301" s="612"/>
    </row>
    <row r="4302">
      <c r="B4302" s="612"/>
      <c r="H4302" s="612"/>
    </row>
    <row r="4303">
      <c r="B4303" s="612"/>
      <c r="H4303" s="612"/>
    </row>
    <row r="4304">
      <c r="B4304" s="612"/>
      <c r="H4304" s="612"/>
    </row>
    <row r="4305">
      <c r="B4305" s="612"/>
      <c r="H4305" s="612"/>
    </row>
    <row r="4306">
      <c r="B4306" s="612"/>
      <c r="H4306" s="612"/>
    </row>
    <row r="4307">
      <c r="B4307" s="612"/>
      <c r="H4307" s="612"/>
    </row>
    <row r="4308">
      <c r="B4308" s="612"/>
      <c r="H4308" s="612"/>
    </row>
    <row r="4309">
      <c r="B4309" s="612"/>
      <c r="H4309" s="612"/>
    </row>
    <row r="4310">
      <c r="B4310" s="612"/>
      <c r="H4310" s="612"/>
    </row>
    <row r="4311">
      <c r="B4311" s="612"/>
      <c r="H4311" s="612"/>
    </row>
    <row r="4312">
      <c r="B4312" s="612"/>
      <c r="H4312" s="612"/>
    </row>
    <row r="4313">
      <c r="B4313" s="612"/>
      <c r="H4313" s="612"/>
    </row>
    <row r="4314">
      <c r="B4314" s="612"/>
      <c r="H4314" s="612"/>
    </row>
    <row r="4315">
      <c r="B4315" s="612"/>
      <c r="H4315" s="612"/>
    </row>
    <row r="4316">
      <c r="B4316" s="612"/>
      <c r="H4316" s="612"/>
    </row>
    <row r="4317">
      <c r="B4317" s="612"/>
      <c r="H4317" s="612"/>
    </row>
    <row r="4318">
      <c r="B4318" s="612"/>
      <c r="H4318" s="612"/>
    </row>
    <row r="4319">
      <c r="B4319" s="612"/>
      <c r="H4319" s="612"/>
    </row>
    <row r="4320">
      <c r="B4320" s="612"/>
      <c r="H4320" s="612"/>
    </row>
    <row r="4321">
      <c r="B4321" s="612"/>
      <c r="H4321" s="612"/>
    </row>
    <row r="4322">
      <c r="B4322" s="612"/>
      <c r="H4322" s="612"/>
    </row>
    <row r="4323">
      <c r="B4323" s="612"/>
      <c r="H4323" s="612"/>
    </row>
    <row r="4324">
      <c r="B4324" s="612"/>
      <c r="H4324" s="612"/>
    </row>
    <row r="4325">
      <c r="B4325" s="612"/>
      <c r="H4325" s="612"/>
    </row>
    <row r="4326">
      <c r="B4326" s="612"/>
      <c r="H4326" s="612"/>
    </row>
    <row r="4327">
      <c r="B4327" s="612"/>
      <c r="H4327" s="612"/>
    </row>
    <row r="4328">
      <c r="B4328" s="612"/>
      <c r="H4328" s="612"/>
    </row>
    <row r="4329">
      <c r="B4329" s="612"/>
      <c r="H4329" s="612"/>
    </row>
    <row r="4330">
      <c r="B4330" s="612"/>
      <c r="H4330" s="612"/>
    </row>
    <row r="4331">
      <c r="B4331" s="612"/>
      <c r="H4331" s="612"/>
    </row>
    <row r="4332">
      <c r="B4332" s="612"/>
      <c r="H4332" s="612"/>
    </row>
    <row r="4333">
      <c r="B4333" s="612"/>
      <c r="H4333" s="612"/>
    </row>
    <row r="4334">
      <c r="B4334" s="612"/>
      <c r="H4334" s="612"/>
    </row>
    <row r="4335">
      <c r="B4335" s="612"/>
      <c r="H4335" s="612"/>
    </row>
    <row r="4336">
      <c r="B4336" s="612"/>
      <c r="H4336" s="612"/>
    </row>
    <row r="4337">
      <c r="B4337" s="612"/>
      <c r="H4337" s="612"/>
    </row>
    <row r="4338">
      <c r="B4338" s="612"/>
      <c r="H4338" s="612"/>
    </row>
    <row r="4339">
      <c r="B4339" s="612"/>
      <c r="H4339" s="612"/>
    </row>
    <row r="4340">
      <c r="B4340" s="612"/>
      <c r="H4340" s="612"/>
    </row>
    <row r="4341">
      <c r="B4341" s="612"/>
      <c r="H4341" s="612"/>
    </row>
    <row r="4342">
      <c r="B4342" s="612"/>
      <c r="H4342" s="612"/>
    </row>
    <row r="4343">
      <c r="B4343" s="612"/>
      <c r="H4343" s="612"/>
    </row>
    <row r="4344">
      <c r="B4344" s="612"/>
      <c r="H4344" s="612"/>
    </row>
    <row r="4345">
      <c r="B4345" s="612"/>
      <c r="H4345" s="612"/>
    </row>
    <row r="4346">
      <c r="B4346" s="612"/>
      <c r="H4346" s="612"/>
    </row>
    <row r="4347">
      <c r="B4347" s="612"/>
      <c r="H4347" s="612"/>
    </row>
    <row r="4348">
      <c r="B4348" s="612"/>
      <c r="H4348" s="612"/>
    </row>
    <row r="4349">
      <c r="B4349" s="612"/>
      <c r="H4349" s="612"/>
    </row>
    <row r="4350">
      <c r="B4350" s="612"/>
      <c r="H4350" s="612"/>
    </row>
    <row r="4351">
      <c r="B4351" s="612"/>
      <c r="H4351" s="612"/>
    </row>
    <row r="4352">
      <c r="B4352" s="612"/>
      <c r="H4352" s="612"/>
    </row>
    <row r="4353">
      <c r="B4353" s="612"/>
      <c r="H4353" s="612"/>
    </row>
    <row r="4354">
      <c r="B4354" s="612"/>
      <c r="H4354" s="612"/>
    </row>
    <row r="4355">
      <c r="B4355" s="612"/>
      <c r="H4355" s="612"/>
    </row>
    <row r="4356">
      <c r="B4356" s="612"/>
      <c r="H4356" s="612"/>
    </row>
    <row r="4357">
      <c r="B4357" s="612"/>
      <c r="H4357" s="612"/>
    </row>
    <row r="4358">
      <c r="B4358" s="612"/>
      <c r="H4358" s="612"/>
    </row>
    <row r="4359">
      <c r="B4359" s="612"/>
      <c r="H4359" s="612"/>
    </row>
    <row r="4360">
      <c r="B4360" s="612"/>
      <c r="H4360" s="612"/>
    </row>
    <row r="4361">
      <c r="B4361" s="612"/>
      <c r="H4361" s="612"/>
    </row>
    <row r="4362">
      <c r="B4362" s="612"/>
      <c r="H4362" s="612"/>
    </row>
    <row r="4363">
      <c r="B4363" s="612"/>
      <c r="H4363" s="612"/>
    </row>
    <row r="4364">
      <c r="B4364" s="612"/>
      <c r="H4364" s="612"/>
    </row>
    <row r="4365">
      <c r="B4365" s="612"/>
      <c r="H4365" s="612"/>
    </row>
    <row r="4366">
      <c r="B4366" s="612"/>
      <c r="H4366" s="612"/>
    </row>
    <row r="4367">
      <c r="B4367" s="612"/>
      <c r="H4367" s="612"/>
    </row>
    <row r="4368">
      <c r="B4368" s="612"/>
      <c r="H4368" s="612"/>
    </row>
    <row r="4369">
      <c r="B4369" s="612"/>
      <c r="H4369" s="612"/>
    </row>
    <row r="4370">
      <c r="B4370" s="612"/>
      <c r="H4370" s="612"/>
    </row>
    <row r="4371">
      <c r="B4371" s="612"/>
      <c r="H4371" s="612"/>
    </row>
    <row r="4372">
      <c r="B4372" s="612"/>
      <c r="H4372" s="612"/>
    </row>
    <row r="4373">
      <c r="B4373" s="612"/>
      <c r="H4373" s="612"/>
    </row>
    <row r="4374">
      <c r="B4374" s="612"/>
      <c r="H4374" s="612"/>
    </row>
    <row r="4375">
      <c r="B4375" s="612"/>
      <c r="H4375" s="612"/>
    </row>
    <row r="4376">
      <c r="B4376" s="612"/>
      <c r="H4376" s="612"/>
    </row>
    <row r="4377">
      <c r="B4377" s="612"/>
      <c r="H4377" s="612"/>
    </row>
    <row r="4378">
      <c r="B4378" s="612"/>
      <c r="H4378" s="612"/>
    </row>
    <row r="4379">
      <c r="B4379" s="612"/>
      <c r="H4379" s="612"/>
    </row>
    <row r="4380">
      <c r="B4380" s="612"/>
      <c r="H4380" s="612"/>
    </row>
    <row r="4381">
      <c r="B4381" s="612"/>
      <c r="H4381" s="612"/>
    </row>
    <row r="4382">
      <c r="B4382" s="612"/>
      <c r="H4382" s="612"/>
    </row>
    <row r="4383">
      <c r="B4383" s="612"/>
      <c r="H4383" s="612"/>
    </row>
    <row r="4384">
      <c r="B4384" s="612"/>
      <c r="H4384" s="612"/>
    </row>
    <row r="4385">
      <c r="B4385" s="612"/>
      <c r="H4385" s="612"/>
    </row>
    <row r="4386">
      <c r="B4386" s="612"/>
      <c r="H4386" s="612"/>
    </row>
    <row r="4387">
      <c r="B4387" s="612"/>
      <c r="H4387" s="612"/>
    </row>
    <row r="4388">
      <c r="B4388" s="612"/>
      <c r="H4388" s="612"/>
    </row>
    <row r="4389">
      <c r="B4389" s="612"/>
      <c r="H4389" s="612"/>
    </row>
    <row r="4390">
      <c r="B4390" s="612"/>
      <c r="H4390" s="612"/>
    </row>
    <row r="4391">
      <c r="B4391" s="612"/>
      <c r="H4391" s="612"/>
    </row>
    <row r="4392">
      <c r="B4392" s="612"/>
      <c r="H4392" s="612"/>
    </row>
    <row r="4393">
      <c r="B4393" s="612"/>
      <c r="H4393" s="612"/>
    </row>
    <row r="4394">
      <c r="B4394" s="612"/>
      <c r="H4394" s="612"/>
    </row>
    <row r="4395">
      <c r="B4395" s="612"/>
      <c r="H4395" s="612"/>
    </row>
    <row r="4396">
      <c r="B4396" s="612"/>
      <c r="H4396" s="612"/>
    </row>
    <row r="4397">
      <c r="B4397" s="612"/>
      <c r="H4397" s="612"/>
    </row>
    <row r="4398">
      <c r="B4398" s="612"/>
      <c r="H4398" s="612"/>
    </row>
    <row r="4399">
      <c r="B4399" s="612"/>
      <c r="H4399" s="612"/>
    </row>
    <row r="4400">
      <c r="B4400" s="612"/>
      <c r="H4400" s="612"/>
    </row>
    <row r="4401">
      <c r="B4401" s="612"/>
      <c r="H4401" s="612"/>
    </row>
    <row r="4402">
      <c r="B4402" s="612"/>
      <c r="H4402" s="612"/>
    </row>
    <row r="4403">
      <c r="B4403" s="612"/>
      <c r="H4403" s="612"/>
    </row>
    <row r="4404">
      <c r="B4404" s="612"/>
      <c r="H4404" s="612"/>
    </row>
    <row r="4405">
      <c r="B4405" s="612"/>
      <c r="H4405" s="612"/>
    </row>
    <row r="4406">
      <c r="B4406" s="612"/>
      <c r="H4406" s="612"/>
    </row>
    <row r="4407">
      <c r="B4407" s="612"/>
      <c r="H4407" s="612"/>
    </row>
    <row r="4408">
      <c r="B4408" s="612"/>
      <c r="H4408" s="612"/>
    </row>
    <row r="4409">
      <c r="B4409" s="612"/>
      <c r="H4409" s="612"/>
    </row>
    <row r="4410">
      <c r="B4410" s="612"/>
      <c r="H4410" s="612"/>
    </row>
    <row r="4411">
      <c r="B4411" s="612"/>
      <c r="H4411" s="612"/>
    </row>
    <row r="4412">
      <c r="B4412" s="612"/>
      <c r="H4412" s="612"/>
    </row>
    <row r="4413">
      <c r="B4413" s="612"/>
      <c r="H4413" s="612"/>
    </row>
    <row r="4414">
      <c r="B4414" s="612"/>
      <c r="H4414" s="612"/>
    </row>
    <row r="4415">
      <c r="B4415" s="612"/>
      <c r="H4415" s="612"/>
    </row>
    <row r="4416">
      <c r="B4416" s="612"/>
      <c r="H4416" s="612"/>
    </row>
    <row r="4417">
      <c r="B4417" s="612"/>
      <c r="H4417" s="612"/>
    </row>
    <row r="4418">
      <c r="B4418" s="612"/>
      <c r="H4418" s="612"/>
    </row>
    <row r="4419">
      <c r="B4419" s="612"/>
      <c r="H4419" s="612"/>
    </row>
    <row r="4420">
      <c r="B4420" s="612"/>
      <c r="H4420" s="612"/>
    </row>
    <row r="4421">
      <c r="B4421" s="612"/>
      <c r="H4421" s="612"/>
    </row>
    <row r="4422">
      <c r="B4422" s="612"/>
      <c r="H4422" s="612"/>
    </row>
    <row r="4423">
      <c r="B4423" s="612"/>
      <c r="H4423" s="612"/>
    </row>
    <row r="4424">
      <c r="B4424" s="612"/>
      <c r="H4424" s="612"/>
    </row>
    <row r="4425">
      <c r="B4425" s="612"/>
      <c r="H4425" s="612"/>
    </row>
    <row r="4426">
      <c r="B4426" s="612"/>
      <c r="H4426" s="612"/>
    </row>
    <row r="4427">
      <c r="B4427" s="612"/>
      <c r="H4427" s="612"/>
    </row>
    <row r="4428">
      <c r="B4428" s="612"/>
      <c r="H4428" s="612"/>
    </row>
    <row r="4429">
      <c r="B4429" s="612"/>
      <c r="H4429" s="612"/>
    </row>
    <row r="4430">
      <c r="B4430" s="612"/>
      <c r="H4430" s="612"/>
    </row>
    <row r="4431">
      <c r="B4431" s="612"/>
      <c r="H4431" s="612"/>
    </row>
    <row r="4432">
      <c r="B4432" s="612"/>
      <c r="H4432" s="612"/>
    </row>
    <row r="4433">
      <c r="B4433" s="612"/>
      <c r="H4433" s="612"/>
    </row>
    <row r="4434">
      <c r="B4434" s="612"/>
      <c r="H4434" s="612"/>
    </row>
    <row r="4435">
      <c r="B4435" s="612"/>
      <c r="H4435" s="612"/>
    </row>
    <row r="4436">
      <c r="B4436" s="612"/>
      <c r="H4436" s="612"/>
    </row>
    <row r="4437">
      <c r="B4437" s="612"/>
      <c r="H4437" s="612"/>
    </row>
    <row r="4438">
      <c r="B4438" s="612"/>
      <c r="H4438" s="612"/>
    </row>
    <row r="4439">
      <c r="B4439" s="612"/>
      <c r="H4439" s="612"/>
    </row>
    <row r="4440">
      <c r="B4440" s="612"/>
      <c r="H4440" s="612"/>
    </row>
    <row r="4441">
      <c r="B4441" s="612"/>
      <c r="H4441" s="612"/>
    </row>
    <row r="4442">
      <c r="B4442" s="612"/>
      <c r="H4442" s="612"/>
    </row>
    <row r="4443">
      <c r="B4443" s="612"/>
      <c r="H4443" s="612"/>
    </row>
    <row r="4444">
      <c r="B4444" s="612"/>
      <c r="H4444" s="612"/>
    </row>
    <row r="4445">
      <c r="B4445" s="612"/>
      <c r="H4445" s="612"/>
    </row>
    <row r="4446">
      <c r="B4446" s="612"/>
      <c r="H4446" s="612"/>
    </row>
    <row r="4447">
      <c r="B4447" s="612"/>
      <c r="H4447" s="612"/>
    </row>
    <row r="4448">
      <c r="B4448" s="612"/>
      <c r="H4448" s="612"/>
    </row>
    <row r="4449">
      <c r="B4449" s="612"/>
      <c r="H4449" s="612"/>
    </row>
    <row r="4450">
      <c r="B4450" s="612"/>
      <c r="H4450" s="612"/>
    </row>
    <row r="4451">
      <c r="B4451" s="612"/>
      <c r="H4451" s="612"/>
    </row>
    <row r="4452">
      <c r="B4452" s="612"/>
      <c r="H4452" s="612"/>
    </row>
    <row r="4453">
      <c r="B4453" s="612"/>
      <c r="H4453" s="612"/>
    </row>
    <row r="4454">
      <c r="B4454" s="612"/>
      <c r="H4454" s="612"/>
    </row>
    <row r="4455">
      <c r="B4455" s="612"/>
      <c r="H4455" s="612"/>
    </row>
    <row r="4456">
      <c r="B4456" s="612"/>
      <c r="H4456" s="612"/>
    </row>
    <row r="4457">
      <c r="B4457" s="612"/>
      <c r="H4457" s="612"/>
    </row>
    <row r="4458">
      <c r="B4458" s="612"/>
      <c r="H4458" s="612"/>
    </row>
    <row r="4459">
      <c r="B4459" s="612"/>
      <c r="H4459" s="612"/>
    </row>
    <row r="4460">
      <c r="B4460" s="612"/>
      <c r="H4460" s="612"/>
    </row>
    <row r="4461">
      <c r="B4461" s="612"/>
      <c r="H4461" s="612"/>
    </row>
    <row r="4462">
      <c r="B4462" s="612"/>
      <c r="H4462" s="612"/>
    </row>
    <row r="4463">
      <c r="B4463" s="612"/>
      <c r="H4463" s="612"/>
    </row>
    <row r="4464">
      <c r="B4464" s="612"/>
      <c r="H4464" s="612"/>
    </row>
    <row r="4465">
      <c r="B4465" s="612"/>
      <c r="H4465" s="612"/>
    </row>
    <row r="4466">
      <c r="B4466" s="612"/>
      <c r="H4466" s="612"/>
    </row>
    <row r="4467">
      <c r="B4467" s="612"/>
      <c r="H4467" s="612"/>
    </row>
    <row r="4468">
      <c r="B4468" s="612"/>
      <c r="H4468" s="612"/>
    </row>
    <row r="4469">
      <c r="B4469" s="612"/>
      <c r="H4469" s="612"/>
    </row>
    <row r="4470">
      <c r="B4470" s="612"/>
      <c r="H4470" s="612"/>
    </row>
    <row r="4471">
      <c r="B4471" s="612"/>
      <c r="H4471" s="612"/>
    </row>
    <row r="4472">
      <c r="B4472" s="612"/>
      <c r="H4472" s="612"/>
    </row>
    <row r="4473">
      <c r="B4473" s="612"/>
      <c r="H4473" s="612"/>
    </row>
    <row r="4474">
      <c r="B4474" s="612"/>
      <c r="H4474" s="612"/>
    </row>
    <row r="4475">
      <c r="B4475" s="612"/>
      <c r="H4475" s="612"/>
    </row>
    <row r="4476">
      <c r="B4476" s="612"/>
      <c r="H4476" s="612"/>
    </row>
    <row r="4477">
      <c r="B4477" s="612"/>
      <c r="H4477" s="612"/>
    </row>
    <row r="4478">
      <c r="B4478" s="612"/>
      <c r="H4478" s="612"/>
    </row>
    <row r="4479">
      <c r="B4479" s="612"/>
      <c r="H4479" s="612"/>
    </row>
    <row r="4480">
      <c r="B4480" s="612"/>
      <c r="H4480" s="612"/>
    </row>
    <row r="4481">
      <c r="B4481" s="612"/>
      <c r="H4481" s="612"/>
    </row>
    <row r="4482">
      <c r="B4482" s="612"/>
      <c r="H4482" s="612"/>
    </row>
    <row r="4483">
      <c r="B4483" s="612"/>
      <c r="H4483" s="612"/>
    </row>
    <row r="4484">
      <c r="B4484" s="612"/>
      <c r="H4484" s="612"/>
    </row>
    <row r="4485">
      <c r="B4485" s="612"/>
      <c r="H4485" s="612"/>
    </row>
    <row r="4486">
      <c r="B4486" s="612"/>
      <c r="H4486" s="612"/>
    </row>
    <row r="4487">
      <c r="B4487" s="612"/>
      <c r="H4487" s="612"/>
    </row>
    <row r="4488">
      <c r="B4488" s="612"/>
      <c r="H4488" s="612"/>
    </row>
    <row r="4489">
      <c r="B4489" s="612"/>
      <c r="H4489" s="612"/>
    </row>
    <row r="4490">
      <c r="B4490" s="612"/>
      <c r="H4490" s="612"/>
    </row>
    <row r="4491">
      <c r="B4491" s="612"/>
      <c r="H4491" s="612"/>
    </row>
    <row r="4492">
      <c r="B4492" s="612"/>
      <c r="H4492" s="612"/>
    </row>
    <row r="4493">
      <c r="B4493" s="612"/>
      <c r="H4493" s="612"/>
    </row>
    <row r="4494">
      <c r="B4494" s="612"/>
      <c r="H4494" s="612"/>
    </row>
    <row r="4495">
      <c r="B4495" s="612"/>
      <c r="H4495" s="612"/>
    </row>
    <row r="4496">
      <c r="B4496" s="612"/>
      <c r="H4496" s="612"/>
    </row>
    <row r="4497">
      <c r="B4497" s="612"/>
      <c r="H4497" s="612"/>
    </row>
    <row r="4498">
      <c r="B4498" s="612"/>
      <c r="H4498" s="612"/>
    </row>
    <row r="4499">
      <c r="B4499" s="612"/>
      <c r="H4499" s="612"/>
    </row>
    <row r="4500">
      <c r="B4500" s="612"/>
      <c r="H4500" s="612"/>
    </row>
    <row r="4501">
      <c r="B4501" s="612"/>
      <c r="H4501" s="612"/>
    </row>
    <row r="4502">
      <c r="B4502" s="612"/>
      <c r="H4502" s="612"/>
    </row>
    <row r="4503">
      <c r="B4503" s="612"/>
      <c r="H4503" s="612"/>
    </row>
    <row r="4504">
      <c r="B4504" s="612"/>
      <c r="H4504" s="612"/>
    </row>
    <row r="4505">
      <c r="B4505" s="612"/>
      <c r="H4505" s="612"/>
    </row>
    <row r="4506">
      <c r="B4506" s="612"/>
      <c r="H4506" s="612"/>
    </row>
    <row r="4507">
      <c r="B4507" s="612"/>
      <c r="H4507" s="612"/>
    </row>
    <row r="4508">
      <c r="B4508" s="612"/>
      <c r="H4508" s="612"/>
    </row>
    <row r="4509">
      <c r="B4509" s="612"/>
      <c r="H4509" s="612"/>
    </row>
    <row r="4510">
      <c r="B4510" s="612"/>
      <c r="H4510" s="612"/>
    </row>
    <row r="4511">
      <c r="B4511" s="612"/>
      <c r="H4511" s="612"/>
    </row>
    <row r="4512">
      <c r="B4512" s="612"/>
      <c r="H4512" s="612"/>
    </row>
    <row r="4513">
      <c r="B4513" s="612"/>
      <c r="H4513" s="612"/>
    </row>
    <row r="4514">
      <c r="B4514" s="612"/>
      <c r="H4514" s="612"/>
    </row>
    <row r="4515">
      <c r="B4515" s="612"/>
      <c r="H4515" s="612"/>
    </row>
    <row r="4516">
      <c r="B4516" s="612"/>
      <c r="H4516" s="612"/>
    </row>
    <row r="4517">
      <c r="B4517" s="612"/>
      <c r="H4517" s="612"/>
    </row>
    <row r="4518">
      <c r="B4518" s="612"/>
      <c r="H4518" s="612"/>
    </row>
    <row r="4519">
      <c r="B4519" s="612"/>
      <c r="H4519" s="612"/>
    </row>
    <row r="4520">
      <c r="B4520" s="612"/>
      <c r="H4520" s="612"/>
    </row>
    <row r="4521">
      <c r="B4521" s="612"/>
      <c r="H4521" s="612"/>
    </row>
    <row r="4522">
      <c r="B4522" s="612"/>
      <c r="H4522" s="612"/>
    </row>
    <row r="4523">
      <c r="B4523" s="612"/>
      <c r="H4523" s="612"/>
    </row>
    <row r="4524">
      <c r="B4524" s="612"/>
      <c r="H4524" s="612"/>
    </row>
    <row r="4525">
      <c r="B4525" s="612"/>
      <c r="H4525" s="612"/>
    </row>
    <row r="4526">
      <c r="B4526" s="612"/>
      <c r="H4526" s="612"/>
    </row>
    <row r="4527">
      <c r="B4527" s="612"/>
      <c r="H4527" s="612"/>
    </row>
    <row r="4528">
      <c r="B4528" s="612"/>
      <c r="H4528" s="612"/>
    </row>
    <row r="4529">
      <c r="B4529" s="612"/>
      <c r="H4529" s="612"/>
    </row>
    <row r="4530">
      <c r="B4530" s="612"/>
      <c r="H4530" s="612"/>
    </row>
    <row r="4531">
      <c r="B4531" s="612"/>
      <c r="H4531" s="612"/>
    </row>
    <row r="4532">
      <c r="B4532" s="612"/>
      <c r="H4532" s="612"/>
    </row>
    <row r="4533">
      <c r="B4533" s="612"/>
      <c r="H4533" s="612"/>
    </row>
    <row r="4534">
      <c r="B4534" s="612"/>
      <c r="H4534" s="612"/>
    </row>
    <row r="4535">
      <c r="B4535" s="612"/>
      <c r="H4535" s="612"/>
    </row>
    <row r="4536">
      <c r="B4536" s="612"/>
      <c r="H4536" s="612"/>
    </row>
    <row r="4537">
      <c r="B4537" s="612"/>
      <c r="H4537" s="612"/>
    </row>
    <row r="4538">
      <c r="B4538" s="612"/>
      <c r="H4538" s="612"/>
    </row>
    <row r="4539">
      <c r="B4539" s="612"/>
      <c r="H4539" s="612"/>
    </row>
    <row r="4540">
      <c r="B4540" s="612"/>
      <c r="H4540" s="612"/>
    </row>
    <row r="4541">
      <c r="B4541" s="612"/>
      <c r="H4541" s="612"/>
    </row>
    <row r="4542">
      <c r="B4542" s="612"/>
      <c r="H4542" s="612"/>
    </row>
    <row r="4543">
      <c r="B4543" s="612"/>
      <c r="H4543" s="612"/>
    </row>
    <row r="4544">
      <c r="B4544" s="612"/>
      <c r="H4544" s="612"/>
    </row>
    <row r="4545">
      <c r="B4545" s="612"/>
      <c r="H4545" s="612"/>
    </row>
    <row r="4546">
      <c r="B4546" s="612"/>
      <c r="H4546" s="612"/>
    </row>
    <row r="4547">
      <c r="B4547" s="612"/>
      <c r="H4547" s="612"/>
    </row>
    <row r="4548">
      <c r="B4548" s="612"/>
      <c r="H4548" s="612"/>
    </row>
    <row r="4549">
      <c r="B4549" s="612"/>
      <c r="H4549" s="612"/>
    </row>
    <row r="4550">
      <c r="B4550" s="612"/>
      <c r="H4550" s="612"/>
    </row>
    <row r="4551">
      <c r="B4551" s="612"/>
      <c r="H4551" s="612"/>
    </row>
    <row r="4552">
      <c r="B4552" s="612"/>
      <c r="H4552" s="612"/>
    </row>
    <row r="4553">
      <c r="B4553" s="612"/>
      <c r="H4553" s="612"/>
    </row>
    <row r="4554">
      <c r="B4554" s="612"/>
      <c r="H4554" s="612"/>
    </row>
    <row r="4555">
      <c r="B4555" s="612"/>
      <c r="H4555" s="612"/>
    </row>
    <row r="4556">
      <c r="B4556" s="612"/>
      <c r="H4556" s="612"/>
    </row>
    <row r="4557">
      <c r="B4557" s="612"/>
      <c r="H4557" s="612"/>
    </row>
    <row r="4558">
      <c r="B4558" s="612"/>
      <c r="H4558" s="612"/>
    </row>
    <row r="4559">
      <c r="B4559" s="612"/>
      <c r="H4559" s="612"/>
    </row>
    <row r="4560">
      <c r="B4560" s="612"/>
      <c r="H4560" s="612"/>
    </row>
    <row r="4561">
      <c r="B4561" s="612"/>
      <c r="H4561" s="612"/>
    </row>
    <row r="4562">
      <c r="B4562" s="612"/>
      <c r="H4562" s="612"/>
    </row>
    <row r="4563">
      <c r="B4563" s="612"/>
      <c r="H4563" s="612"/>
    </row>
    <row r="4564">
      <c r="B4564" s="612"/>
      <c r="H4564" s="612"/>
    </row>
    <row r="4565">
      <c r="B4565" s="612"/>
      <c r="H4565" s="612"/>
    </row>
    <row r="4566">
      <c r="B4566" s="612"/>
      <c r="H4566" s="612"/>
    </row>
    <row r="4567">
      <c r="B4567" s="612"/>
      <c r="H4567" s="612"/>
    </row>
    <row r="4568">
      <c r="B4568" s="612"/>
      <c r="H4568" s="612"/>
    </row>
    <row r="4569">
      <c r="B4569" s="612"/>
      <c r="H4569" s="612"/>
    </row>
    <row r="4570">
      <c r="B4570" s="612"/>
      <c r="H4570" s="612"/>
    </row>
    <row r="4571">
      <c r="B4571" s="612"/>
      <c r="H4571" s="612"/>
    </row>
    <row r="4572">
      <c r="B4572" s="612"/>
      <c r="H4572" s="612"/>
    </row>
    <row r="4573">
      <c r="B4573" s="612"/>
      <c r="H4573" s="612"/>
    </row>
    <row r="4574">
      <c r="B4574" s="612"/>
      <c r="H4574" s="612"/>
    </row>
    <row r="4575">
      <c r="B4575" s="612"/>
      <c r="H4575" s="612"/>
    </row>
    <row r="4576">
      <c r="B4576" s="612"/>
      <c r="H4576" s="612"/>
    </row>
    <row r="4577">
      <c r="B4577" s="612"/>
      <c r="H4577" s="612"/>
    </row>
    <row r="4578">
      <c r="B4578" s="612"/>
      <c r="H4578" s="612"/>
    </row>
    <row r="4579">
      <c r="B4579" s="612"/>
      <c r="H4579" s="612"/>
    </row>
    <row r="4580">
      <c r="B4580" s="612"/>
      <c r="H4580" s="612"/>
    </row>
    <row r="4581">
      <c r="B4581" s="612"/>
      <c r="H4581" s="612"/>
    </row>
    <row r="4582">
      <c r="B4582" s="612"/>
      <c r="H4582" s="612"/>
    </row>
    <row r="4583">
      <c r="B4583" s="612"/>
      <c r="H4583" s="612"/>
    </row>
    <row r="4584">
      <c r="B4584" s="612"/>
      <c r="H4584" s="612"/>
    </row>
    <row r="4585">
      <c r="B4585" s="612"/>
      <c r="H4585" s="612"/>
    </row>
    <row r="4586">
      <c r="B4586" s="612"/>
      <c r="H4586" s="612"/>
    </row>
    <row r="4587">
      <c r="B4587" s="612"/>
      <c r="H4587" s="612"/>
    </row>
    <row r="4588">
      <c r="B4588" s="612"/>
      <c r="H4588" s="612"/>
    </row>
    <row r="4589">
      <c r="B4589" s="612"/>
      <c r="H4589" s="612"/>
    </row>
    <row r="4590">
      <c r="B4590" s="612"/>
      <c r="H4590" s="612"/>
    </row>
    <row r="4591">
      <c r="B4591" s="612"/>
      <c r="H4591" s="612"/>
    </row>
    <row r="4592">
      <c r="B4592" s="612"/>
      <c r="H4592" s="612"/>
    </row>
    <row r="4593">
      <c r="B4593" s="612"/>
      <c r="H4593" s="612"/>
    </row>
    <row r="4594">
      <c r="B4594" s="612"/>
      <c r="H4594" s="612"/>
    </row>
    <row r="4595">
      <c r="B4595" s="612"/>
      <c r="H4595" s="612"/>
    </row>
    <row r="4596">
      <c r="B4596" s="612"/>
      <c r="H4596" s="612"/>
    </row>
    <row r="4597">
      <c r="B4597" s="612"/>
      <c r="H4597" s="612"/>
    </row>
    <row r="4598">
      <c r="B4598" s="612"/>
      <c r="H4598" s="612"/>
    </row>
    <row r="4599">
      <c r="B4599" s="612"/>
      <c r="H4599" s="612"/>
    </row>
    <row r="4600">
      <c r="B4600" s="612"/>
      <c r="H4600" s="612"/>
    </row>
    <row r="4601">
      <c r="B4601" s="612"/>
      <c r="H4601" s="612"/>
    </row>
    <row r="4602">
      <c r="B4602" s="612"/>
      <c r="H4602" s="612"/>
    </row>
    <row r="4603">
      <c r="B4603" s="612"/>
      <c r="H4603" s="612"/>
    </row>
    <row r="4604">
      <c r="B4604" s="612"/>
      <c r="H4604" s="612"/>
    </row>
    <row r="4605">
      <c r="B4605" s="612"/>
      <c r="H4605" s="612"/>
    </row>
    <row r="4606">
      <c r="B4606" s="612"/>
      <c r="H4606" s="612"/>
    </row>
    <row r="4607">
      <c r="B4607" s="612"/>
      <c r="H4607" s="612"/>
    </row>
    <row r="4608">
      <c r="B4608" s="612"/>
      <c r="H4608" s="612"/>
    </row>
    <row r="4609">
      <c r="B4609" s="612"/>
      <c r="H4609" s="612"/>
    </row>
    <row r="4610">
      <c r="B4610" s="612"/>
      <c r="H4610" s="612"/>
    </row>
    <row r="4611">
      <c r="B4611" s="612"/>
      <c r="H4611" s="612"/>
    </row>
    <row r="4612">
      <c r="B4612" s="612"/>
      <c r="H4612" s="612"/>
    </row>
    <row r="4613">
      <c r="B4613" s="612"/>
      <c r="H4613" s="612"/>
    </row>
    <row r="4614">
      <c r="B4614" s="612"/>
      <c r="H4614" s="612"/>
    </row>
    <row r="4615">
      <c r="B4615" s="612"/>
      <c r="H4615" s="612"/>
    </row>
    <row r="4616">
      <c r="B4616" s="612"/>
      <c r="H4616" s="612"/>
    </row>
    <row r="4617">
      <c r="B4617" s="612"/>
      <c r="H4617" s="612"/>
    </row>
    <row r="4618">
      <c r="B4618" s="612"/>
      <c r="H4618" s="612"/>
    </row>
    <row r="4619">
      <c r="B4619" s="612"/>
      <c r="H4619" s="612"/>
    </row>
    <row r="4620">
      <c r="B4620" s="612"/>
      <c r="H4620" s="612"/>
    </row>
    <row r="4621">
      <c r="B4621" s="612"/>
      <c r="H4621" s="612"/>
    </row>
    <row r="4622">
      <c r="B4622" s="612"/>
      <c r="H4622" s="612"/>
    </row>
    <row r="4623">
      <c r="B4623" s="612"/>
      <c r="H4623" s="612"/>
    </row>
    <row r="4624">
      <c r="B4624" s="612"/>
      <c r="H4624" s="612"/>
    </row>
    <row r="4625">
      <c r="B4625" s="612"/>
      <c r="H4625" s="612"/>
    </row>
    <row r="4626">
      <c r="B4626" s="612"/>
      <c r="H4626" s="612"/>
    </row>
    <row r="4627">
      <c r="B4627" s="612"/>
      <c r="H4627" s="612"/>
    </row>
    <row r="4628">
      <c r="B4628" s="612"/>
      <c r="H4628" s="612"/>
    </row>
    <row r="4629">
      <c r="B4629" s="612"/>
      <c r="H4629" s="612"/>
    </row>
    <row r="4630">
      <c r="B4630" s="612"/>
      <c r="H4630" s="612"/>
    </row>
    <row r="4631">
      <c r="B4631" s="612"/>
      <c r="H4631" s="612"/>
    </row>
    <row r="4632">
      <c r="B4632" s="612"/>
      <c r="H4632" s="612"/>
    </row>
    <row r="4633">
      <c r="B4633" s="612"/>
      <c r="H4633" s="612"/>
    </row>
    <row r="4634">
      <c r="B4634" s="612"/>
      <c r="H4634" s="612"/>
    </row>
    <row r="4635">
      <c r="B4635" s="612"/>
      <c r="H4635" s="612"/>
    </row>
    <row r="4636">
      <c r="B4636" s="612"/>
      <c r="H4636" s="612"/>
    </row>
    <row r="4637">
      <c r="B4637" s="612"/>
      <c r="H4637" s="612"/>
    </row>
    <row r="4638">
      <c r="B4638" s="612"/>
      <c r="H4638" s="612"/>
    </row>
    <row r="4639">
      <c r="B4639" s="612"/>
      <c r="H4639" s="612"/>
    </row>
    <row r="4640">
      <c r="B4640" s="612"/>
      <c r="H4640" s="612"/>
    </row>
    <row r="4641">
      <c r="B4641" s="612"/>
      <c r="H4641" s="612"/>
    </row>
    <row r="4642">
      <c r="B4642" s="612"/>
      <c r="H4642" s="612"/>
    </row>
    <row r="4643">
      <c r="B4643" s="612"/>
      <c r="H4643" s="612"/>
    </row>
    <row r="4644">
      <c r="B4644" s="612"/>
      <c r="H4644" s="612"/>
    </row>
    <row r="4645">
      <c r="B4645" s="612"/>
      <c r="H4645" s="612"/>
    </row>
    <row r="4646">
      <c r="B4646" s="612"/>
      <c r="H4646" s="612"/>
    </row>
    <row r="4647">
      <c r="B4647" s="612"/>
      <c r="H4647" s="612"/>
    </row>
    <row r="4648">
      <c r="B4648" s="612"/>
      <c r="H4648" s="612"/>
    </row>
    <row r="4649">
      <c r="B4649" s="612"/>
      <c r="H4649" s="612"/>
    </row>
    <row r="4650">
      <c r="B4650" s="612"/>
      <c r="H4650" s="612"/>
    </row>
    <row r="4651">
      <c r="B4651" s="612"/>
      <c r="H4651" s="612"/>
    </row>
    <row r="4652">
      <c r="B4652" s="612"/>
      <c r="H4652" s="612"/>
    </row>
    <row r="4653">
      <c r="B4653" s="612"/>
      <c r="H4653" s="612"/>
    </row>
    <row r="4654">
      <c r="B4654" s="612"/>
      <c r="H4654" s="612"/>
    </row>
    <row r="4655">
      <c r="B4655" s="612"/>
      <c r="H4655" s="612"/>
    </row>
    <row r="4656">
      <c r="B4656" s="612"/>
      <c r="H4656" s="612"/>
    </row>
    <row r="4657">
      <c r="B4657" s="612"/>
      <c r="H4657" s="612"/>
    </row>
    <row r="4658">
      <c r="B4658" s="612"/>
      <c r="H4658" s="612"/>
    </row>
    <row r="4659">
      <c r="B4659" s="612"/>
      <c r="H4659" s="612"/>
    </row>
    <row r="4660">
      <c r="B4660" s="612"/>
      <c r="H4660" s="612"/>
    </row>
    <row r="4661">
      <c r="B4661" s="612"/>
      <c r="H4661" s="612"/>
    </row>
    <row r="4662">
      <c r="B4662" s="612"/>
      <c r="H4662" s="612"/>
    </row>
    <row r="4663">
      <c r="B4663" s="612"/>
      <c r="H4663" s="612"/>
    </row>
    <row r="4664">
      <c r="B4664" s="612"/>
      <c r="H4664" s="612"/>
    </row>
    <row r="4665">
      <c r="B4665" s="612"/>
      <c r="H4665" s="612"/>
    </row>
    <row r="4666">
      <c r="B4666" s="612"/>
      <c r="H4666" s="612"/>
    </row>
    <row r="4667">
      <c r="B4667" s="612"/>
      <c r="H4667" s="612"/>
    </row>
    <row r="4668">
      <c r="B4668" s="612"/>
      <c r="H4668" s="612"/>
    </row>
    <row r="4669">
      <c r="B4669" s="612"/>
      <c r="H4669" s="612"/>
    </row>
    <row r="4670">
      <c r="B4670" s="612"/>
      <c r="H4670" s="612"/>
    </row>
    <row r="4671">
      <c r="B4671" s="612"/>
      <c r="H4671" s="612"/>
    </row>
    <row r="4672">
      <c r="B4672" s="612"/>
      <c r="H4672" s="612"/>
    </row>
    <row r="4673">
      <c r="B4673" s="612"/>
      <c r="H4673" s="612"/>
    </row>
    <row r="4674">
      <c r="B4674" s="612"/>
      <c r="H4674" s="612"/>
    </row>
    <row r="4675">
      <c r="B4675" s="612"/>
      <c r="H4675" s="612"/>
    </row>
    <row r="4676">
      <c r="B4676" s="612"/>
      <c r="H4676" s="612"/>
    </row>
    <row r="4677">
      <c r="B4677" s="612"/>
      <c r="H4677" s="612"/>
    </row>
    <row r="4678">
      <c r="B4678" s="612"/>
      <c r="H4678" s="612"/>
    </row>
    <row r="4679">
      <c r="B4679" s="612"/>
      <c r="H4679" s="612"/>
    </row>
    <row r="4680">
      <c r="B4680" s="612"/>
      <c r="H4680" s="612"/>
    </row>
    <row r="4681">
      <c r="B4681" s="612"/>
      <c r="H4681" s="612"/>
    </row>
    <row r="4682">
      <c r="B4682" s="612"/>
      <c r="H4682" s="612"/>
    </row>
    <row r="4683">
      <c r="B4683" s="612"/>
      <c r="H4683" s="612"/>
    </row>
    <row r="4684">
      <c r="B4684" s="612"/>
      <c r="H4684" s="612"/>
    </row>
    <row r="4685">
      <c r="B4685" s="612"/>
      <c r="H4685" s="612"/>
    </row>
    <row r="4686">
      <c r="B4686" s="612"/>
      <c r="H4686" s="612"/>
    </row>
    <row r="4687">
      <c r="B4687" s="612"/>
      <c r="H4687" s="612"/>
    </row>
    <row r="4688">
      <c r="B4688" s="612"/>
      <c r="H4688" s="612"/>
    </row>
    <row r="4689">
      <c r="B4689" s="612"/>
      <c r="H4689" s="612"/>
    </row>
    <row r="4690">
      <c r="B4690" s="612"/>
      <c r="H4690" s="612"/>
    </row>
    <row r="4691">
      <c r="B4691" s="612"/>
      <c r="H4691" s="612"/>
    </row>
    <row r="4692">
      <c r="B4692" s="612"/>
      <c r="H4692" s="612"/>
    </row>
    <row r="4693">
      <c r="B4693" s="612"/>
      <c r="H4693" s="612"/>
    </row>
    <row r="4694">
      <c r="B4694" s="612"/>
      <c r="H4694" s="612"/>
    </row>
    <row r="4695">
      <c r="B4695" s="612"/>
      <c r="H4695" s="612"/>
    </row>
    <row r="4696">
      <c r="B4696" s="612"/>
      <c r="H4696" s="612"/>
    </row>
    <row r="4697">
      <c r="B4697" s="612"/>
      <c r="H4697" s="612"/>
    </row>
    <row r="4698">
      <c r="B4698" s="612"/>
      <c r="H4698" s="612"/>
    </row>
    <row r="4699">
      <c r="B4699" s="612"/>
      <c r="H4699" s="612"/>
    </row>
    <row r="4700">
      <c r="B4700" s="612"/>
      <c r="H4700" s="612"/>
    </row>
    <row r="4701">
      <c r="B4701" s="612"/>
      <c r="H4701" s="612"/>
    </row>
    <row r="4702">
      <c r="B4702" s="612"/>
      <c r="H4702" s="612"/>
    </row>
    <row r="4703">
      <c r="B4703" s="612"/>
      <c r="H4703" s="612"/>
    </row>
    <row r="4704">
      <c r="B4704" s="612"/>
      <c r="H4704" s="612"/>
    </row>
    <row r="4705">
      <c r="B4705" s="612"/>
      <c r="H4705" s="612"/>
    </row>
    <row r="4706">
      <c r="B4706" s="612"/>
      <c r="H4706" s="612"/>
    </row>
    <row r="4707">
      <c r="B4707" s="612"/>
      <c r="H4707" s="612"/>
    </row>
    <row r="4708">
      <c r="B4708" s="612"/>
      <c r="H4708" s="612"/>
    </row>
    <row r="4709">
      <c r="B4709" s="612"/>
      <c r="H4709" s="612"/>
    </row>
    <row r="4710">
      <c r="B4710" s="612"/>
      <c r="H4710" s="612"/>
    </row>
    <row r="4711">
      <c r="B4711" s="612"/>
      <c r="H4711" s="612"/>
    </row>
    <row r="4712">
      <c r="B4712" s="612"/>
      <c r="H4712" s="612"/>
    </row>
    <row r="4713">
      <c r="B4713" s="612"/>
      <c r="H4713" s="612"/>
    </row>
    <row r="4714">
      <c r="B4714" s="612"/>
      <c r="H4714" s="612"/>
    </row>
    <row r="4715">
      <c r="B4715" s="612"/>
      <c r="H4715" s="612"/>
    </row>
    <row r="4716">
      <c r="B4716" s="612"/>
      <c r="H4716" s="612"/>
    </row>
    <row r="4717">
      <c r="B4717" s="612"/>
      <c r="H4717" s="612"/>
    </row>
    <row r="4718">
      <c r="B4718" s="612"/>
      <c r="H4718" s="612"/>
    </row>
    <row r="4719">
      <c r="B4719" s="612"/>
      <c r="H4719" s="612"/>
    </row>
    <row r="4720">
      <c r="B4720" s="612"/>
      <c r="H4720" s="612"/>
    </row>
    <row r="4721">
      <c r="B4721" s="612"/>
      <c r="H4721" s="612"/>
    </row>
    <row r="4722">
      <c r="B4722" s="612"/>
      <c r="H4722" s="612"/>
    </row>
    <row r="4723">
      <c r="B4723" s="612"/>
      <c r="H4723" s="612"/>
    </row>
    <row r="4724">
      <c r="B4724" s="612"/>
      <c r="H4724" s="612"/>
    </row>
    <row r="4725">
      <c r="B4725" s="612"/>
      <c r="H4725" s="612"/>
    </row>
    <row r="4726">
      <c r="B4726" s="612"/>
      <c r="H4726" s="612"/>
    </row>
    <row r="4727">
      <c r="B4727" s="612"/>
      <c r="H4727" s="612"/>
    </row>
    <row r="4728">
      <c r="B4728" s="612"/>
      <c r="H4728" s="612"/>
    </row>
    <row r="4729">
      <c r="B4729" s="612"/>
      <c r="H4729" s="612"/>
    </row>
    <row r="4730">
      <c r="B4730" s="612"/>
      <c r="H4730" s="612"/>
    </row>
    <row r="4731">
      <c r="B4731" s="612"/>
      <c r="H4731" s="612"/>
    </row>
    <row r="4732">
      <c r="B4732" s="612"/>
      <c r="H4732" s="612"/>
    </row>
    <row r="4733">
      <c r="B4733" s="612"/>
      <c r="H4733" s="612"/>
    </row>
    <row r="4734">
      <c r="B4734" s="612"/>
      <c r="H4734" s="612"/>
    </row>
    <row r="4735">
      <c r="B4735" s="612"/>
      <c r="H4735" s="612"/>
    </row>
    <row r="4736">
      <c r="B4736" s="612"/>
      <c r="H4736" s="612"/>
    </row>
    <row r="4737">
      <c r="B4737" s="612"/>
      <c r="H4737" s="612"/>
    </row>
    <row r="4738">
      <c r="B4738" s="612"/>
      <c r="H4738" s="612"/>
    </row>
    <row r="4739">
      <c r="B4739" s="612"/>
      <c r="H4739" s="612"/>
    </row>
    <row r="4740">
      <c r="B4740" s="612"/>
      <c r="H4740" s="612"/>
    </row>
    <row r="4741">
      <c r="B4741" s="612"/>
      <c r="H4741" s="612"/>
    </row>
    <row r="4742">
      <c r="B4742" s="612"/>
      <c r="H4742" s="612"/>
    </row>
    <row r="4743">
      <c r="B4743" s="612"/>
      <c r="H4743" s="612"/>
    </row>
    <row r="4744">
      <c r="B4744" s="612"/>
      <c r="H4744" s="612"/>
    </row>
    <row r="4745">
      <c r="B4745" s="612"/>
      <c r="H4745" s="612"/>
    </row>
    <row r="4746">
      <c r="B4746" s="612"/>
      <c r="H4746" s="612"/>
    </row>
    <row r="4747">
      <c r="B4747" s="612"/>
      <c r="H4747" s="612"/>
    </row>
    <row r="4748">
      <c r="B4748" s="612"/>
      <c r="H4748" s="612"/>
    </row>
    <row r="4749">
      <c r="B4749" s="612"/>
      <c r="H4749" s="612"/>
    </row>
    <row r="4750">
      <c r="B4750" s="612"/>
      <c r="H4750" s="612"/>
    </row>
    <row r="4751">
      <c r="B4751" s="612"/>
      <c r="H4751" s="612"/>
    </row>
    <row r="4752">
      <c r="B4752" s="612"/>
      <c r="H4752" s="612"/>
    </row>
    <row r="4753">
      <c r="B4753" s="612"/>
      <c r="H4753" s="612"/>
    </row>
    <row r="4754">
      <c r="B4754" s="612"/>
      <c r="H4754" s="612"/>
    </row>
    <row r="4755">
      <c r="B4755" s="612"/>
      <c r="H4755" s="612"/>
    </row>
    <row r="4756">
      <c r="B4756" s="612"/>
      <c r="H4756" s="612"/>
    </row>
    <row r="4757">
      <c r="B4757" s="612"/>
      <c r="H4757" s="612"/>
    </row>
    <row r="4758">
      <c r="B4758" s="612"/>
      <c r="H4758" s="612"/>
    </row>
    <row r="4759">
      <c r="B4759" s="612"/>
      <c r="H4759" s="612"/>
    </row>
    <row r="4760">
      <c r="B4760" s="612"/>
      <c r="H4760" s="612"/>
    </row>
    <row r="4761">
      <c r="B4761" s="612"/>
      <c r="H4761" s="612"/>
    </row>
    <row r="4762">
      <c r="B4762" s="612"/>
      <c r="H4762" s="612"/>
    </row>
    <row r="4763">
      <c r="B4763" s="612"/>
      <c r="H4763" s="612"/>
    </row>
    <row r="4764">
      <c r="B4764" s="612"/>
      <c r="H4764" s="612"/>
    </row>
    <row r="4765">
      <c r="B4765" s="612"/>
      <c r="H4765" s="612"/>
    </row>
    <row r="4766">
      <c r="B4766" s="612"/>
      <c r="H4766" s="612"/>
    </row>
    <row r="4767">
      <c r="B4767" s="612"/>
      <c r="H4767" s="612"/>
    </row>
    <row r="4768">
      <c r="B4768" s="612"/>
      <c r="H4768" s="612"/>
    </row>
    <row r="4769">
      <c r="B4769" s="612"/>
      <c r="H4769" s="612"/>
    </row>
    <row r="4770">
      <c r="B4770" s="612"/>
      <c r="H4770" s="612"/>
    </row>
    <row r="4771">
      <c r="B4771" s="612"/>
      <c r="H4771" s="612"/>
    </row>
    <row r="4772">
      <c r="B4772" s="612"/>
      <c r="H4772" s="612"/>
    </row>
    <row r="4773">
      <c r="B4773" s="612"/>
      <c r="H4773" s="612"/>
    </row>
    <row r="4774">
      <c r="B4774" s="612"/>
      <c r="H4774" s="612"/>
    </row>
    <row r="4775">
      <c r="B4775" s="612"/>
      <c r="H4775" s="612"/>
    </row>
    <row r="4776">
      <c r="B4776" s="612"/>
      <c r="H4776" s="612"/>
    </row>
    <row r="4777">
      <c r="B4777" s="612"/>
      <c r="H4777" s="612"/>
    </row>
    <row r="4778">
      <c r="B4778" s="612"/>
      <c r="H4778" s="612"/>
    </row>
    <row r="4779">
      <c r="B4779" s="612"/>
      <c r="H4779" s="612"/>
    </row>
    <row r="4780">
      <c r="B4780" s="612"/>
      <c r="H4780" s="612"/>
    </row>
    <row r="4781">
      <c r="B4781" s="612"/>
      <c r="H4781" s="612"/>
    </row>
    <row r="4782">
      <c r="B4782" s="612"/>
      <c r="H4782" s="612"/>
    </row>
    <row r="4783">
      <c r="B4783" s="612"/>
      <c r="H4783" s="612"/>
    </row>
    <row r="4784">
      <c r="B4784" s="612"/>
      <c r="H4784" s="612"/>
    </row>
    <row r="4785">
      <c r="B4785" s="612"/>
      <c r="H4785" s="612"/>
    </row>
    <row r="4786">
      <c r="B4786" s="612"/>
      <c r="H4786" s="612"/>
    </row>
    <row r="4787">
      <c r="B4787" s="612"/>
      <c r="H4787" s="612"/>
    </row>
    <row r="4788">
      <c r="B4788" s="612"/>
      <c r="H4788" s="612"/>
    </row>
    <row r="4789">
      <c r="B4789" s="612"/>
      <c r="H4789" s="612"/>
    </row>
    <row r="4790">
      <c r="B4790" s="612"/>
      <c r="H4790" s="612"/>
    </row>
    <row r="4791">
      <c r="B4791" s="612"/>
      <c r="H4791" s="612"/>
    </row>
    <row r="4792">
      <c r="B4792" s="612"/>
      <c r="H4792" s="612"/>
    </row>
    <row r="4793">
      <c r="B4793" s="612"/>
      <c r="H4793" s="612"/>
    </row>
    <row r="4794">
      <c r="B4794" s="612"/>
      <c r="H4794" s="612"/>
    </row>
    <row r="4795">
      <c r="B4795" s="612"/>
      <c r="H4795" s="612"/>
    </row>
    <row r="4796">
      <c r="B4796" s="612"/>
      <c r="H4796" s="612"/>
    </row>
    <row r="4797">
      <c r="B4797" s="612"/>
      <c r="H4797" s="612"/>
    </row>
    <row r="4798">
      <c r="B4798" s="612"/>
      <c r="H4798" s="612"/>
    </row>
    <row r="4799">
      <c r="B4799" s="612"/>
      <c r="H4799" s="612"/>
    </row>
    <row r="4800">
      <c r="B4800" s="612"/>
      <c r="H4800" s="612"/>
    </row>
    <row r="4801">
      <c r="B4801" s="612"/>
      <c r="H4801" s="612"/>
    </row>
    <row r="4802">
      <c r="B4802" s="612"/>
      <c r="H4802" s="612"/>
    </row>
    <row r="4803">
      <c r="B4803" s="612"/>
      <c r="H4803" s="612"/>
    </row>
    <row r="4804">
      <c r="B4804" s="612"/>
      <c r="H4804" s="612"/>
    </row>
    <row r="4805">
      <c r="B4805" s="612"/>
      <c r="H4805" s="612"/>
    </row>
    <row r="4806">
      <c r="B4806" s="612"/>
      <c r="H4806" s="612"/>
    </row>
    <row r="4807">
      <c r="B4807" s="612"/>
      <c r="H4807" s="612"/>
    </row>
    <row r="4808">
      <c r="B4808" s="612"/>
      <c r="H4808" s="612"/>
    </row>
    <row r="4809">
      <c r="B4809" s="612"/>
      <c r="H4809" s="612"/>
    </row>
    <row r="4810">
      <c r="B4810" s="612"/>
      <c r="H4810" s="612"/>
    </row>
    <row r="4811">
      <c r="B4811" s="612"/>
      <c r="H4811" s="612"/>
    </row>
    <row r="4812">
      <c r="B4812" s="612"/>
      <c r="H4812" s="612"/>
    </row>
    <row r="4813">
      <c r="B4813" s="612"/>
      <c r="H4813" s="612"/>
    </row>
    <row r="4814">
      <c r="B4814" s="612"/>
      <c r="H4814" s="612"/>
    </row>
    <row r="4815">
      <c r="B4815" s="612"/>
      <c r="H4815" s="612"/>
    </row>
    <row r="4816">
      <c r="B4816" s="612"/>
      <c r="H4816" s="612"/>
    </row>
    <row r="4817">
      <c r="B4817" s="612"/>
      <c r="H4817" s="612"/>
    </row>
    <row r="4818">
      <c r="B4818" s="612"/>
      <c r="H4818" s="612"/>
    </row>
    <row r="4819">
      <c r="B4819" s="612"/>
      <c r="H4819" s="612"/>
    </row>
    <row r="4820">
      <c r="B4820" s="612"/>
      <c r="H4820" s="612"/>
    </row>
    <row r="4821">
      <c r="B4821" s="612"/>
      <c r="H4821" s="612"/>
    </row>
    <row r="4822">
      <c r="B4822" s="612"/>
      <c r="H4822" s="612"/>
    </row>
    <row r="4823">
      <c r="B4823" s="612"/>
      <c r="H4823" s="612"/>
    </row>
    <row r="4824">
      <c r="B4824" s="612"/>
      <c r="H4824" s="612"/>
    </row>
    <row r="4825">
      <c r="B4825" s="612"/>
      <c r="H4825" s="612"/>
    </row>
    <row r="4826">
      <c r="B4826" s="612"/>
      <c r="H4826" s="612"/>
    </row>
    <row r="4827">
      <c r="B4827" s="612"/>
      <c r="H4827" s="612"/>
    </row>
    <row r="4828">
      <c r="B4828" s="612"/>
      <c r="H4828" s="612"/>
    </row>
    <row r="4829">
      <c r="B4829" s="612"/>
      <c r="H4829" s="612"/>
    </row>
    <row r="4830">
      <c r="B4830" s="612"/>
      <c r="H4830" s="612"/>
    </row>
    <row r="4831">
      <c r="B4831" s="612"/>
      <c r="H4831" s="612"/>
    </row>
    <row r="4832">
      <c r="B4832" s="612"/>
      <c r="H4832" s="612"/>
    </row>
    <row r="4833">
      <c r="B4833" s="612"/>
      <c r="H4833" s="612"/>
    </row>
    <row r="4834">
      <c r="B4834" s="612"/>
      <c r="H4834" s="612"/>
    </row>
    <row r="4835">
      <c r="B4835" s="612"/>
      <c r="H4835" s="612"/>
    </row>
    <row r="4836">
      <c r="B4836" s="612"/>
      <c r="H4836" s="612"/>
    </row>
    <row r="4837">
      <c r="B4837" s="612"/>
      <c r="H4837" s="612"/>
    </row>
    <row r="4838">
      <c r="B4838" s="612"/>
      <c r="H4838" s="612"/>
    </row>
    <row r="4839">
      <c r="B4839" s="612"/>
      <c r="H4839" s="612"/>
    </row>
    <row r="4840">
      <c r="B4840" s="612"/>
      <c r="H4840" s="612"/>
    </row>
    <row r="4841">
      <c r="B4841" s="612"/>
      <c r="H4841" s="612"/>
    </row>
    <row r="4842">
      <c r="B4842" s="612"/>
      <c r="H4842" s="612"/>
    </row>
    <row r="4843">
      <c r="B4843" s="612"/>
      <c r="H4843" s="612"/>
    </row>
    <row r="4844">
      <c r="B4844" s="612"/>
      <c r="H4844" s="612"/>
    </row>
    <row r="4845">
      <c r="B4845" s="612"/>
      <c r="H4845" s="612"/>
    </row>
    <row r="4846">
      <c r="B4846" s="612"/>
      <c r="H4846" s="612"/>
    </row>
    <row r="4847">
      <c r="B4847" s="612"/>
      <c r="H4847" s="612"/>
    </row>
    <row r="4848">
      <c r="B4848" s="612"/>
      <c r="H4848" s="612"/>
    </row>
    <row r="4849">
      <c r="B4849" s="612"/>
      <c r="H4849" s="612"/>
    </row>
    <row r="4850">
      <c r="B4850" s="612"/>
      <c r="H4850" s="612"/>
    </row>
    <row r="4851">
      <c r="B4851" s="612"/>
      <c r="H4851" s="612"/>
    </row>
    <row r="4852">
      <c r="B4852" s="612"/>
      <c r="H4852" s="612"/>
    </row>
    <row r="4853">
      <c r="B4853" s="612"/>
      <c r="H4853" s="612"/>
    </row>
    <row r="4854">
      <c r="B4854" s="612"/>
      <c r="H4854" s="612"/>
    </row>
    <row r="4855">
      <c r="B4855" s="612"/>
      <c r="H4855" s="612"/>
    </row>
    <row r="4856">
      <c r="B4856" s="612"/>
      <c r="H4856" s="612"/>
    </row>
    <row r="4857">
      <c r="B4857" s="612"/>
      <c r="H4857" s="612"/>
    </row>
    <row r="4858">
      <c r="B4858" s="612"/>
      <c r="H4858" s="612"/>
    </row>
    <row r="4859">
      <c r="B4859" s="612"/>
      <c r="H4859" s="612"/>
    </row>
    <row r="4860">
      <c r="B4860" s="612"/>
      <c r="H4860" s="612"/>
    </row>
    <row r="4861">
      <c r="B4861" s="612"/>
      <c r="H4861" s="612"/>
    </row>
    <row r="4862">
      <c r="B4862" s="612"/>
      <c r="H4862" s="612"/>
    </row>
    <row r="4863">
      <c r="B4863" s="612"/>
      <c r="H4863" s="612"/>
    </row>
    <row r="4864">
      <c r="B4864" s="612"/>
      <c r="H4864" s="612"/>
    </row>
    <row r="4865">
      <c r="B4865" s="612"/>
      <c r="H4865" s="612"/>
    </row>
    <row r="4866">
      <c r="B4866" s="612"/>
      <c r="H4866" s="612"/>
    </row>
    <row r="4867">
      <c r="B4867" s="612"/>
      <c r="H4867" s="612"/>
    </row>
    <row r="4868">
      <c r="B4868" s="612"/>
      <c r="H4868" s="612"/>
    </row>
    <row r="4869">
      <c r="B4869" s="612"/>
      <c r="H4869" s="612"/>
    </row>
    <row r="4870">
      <c r="B4870" s="612"/>
      <c r="H4870" s="612"/>
    </row>
    <row r="4871">
      <c r="B4871" s="612"/>
      <c r="H4871" s="612"/>
    </row>
    <row r="4872">
      <c r="B4872" s="612"/>
      <c r="H4872" s="612"/>
    </row>
    <row r="4873">
      <c r="B4873" s="612"/>
      <c r="H4873" s="612"/>
    </row>
    <row r="4874">
      <c r="B4874" s="612"/>
      <c r="H4874" s="612"/>
    </row>
    <row r="4875">
      <c r="B4875" s="612"/>
      <c r="H4875" s="612"/>
    </row>
    <row r="4876">
      <c r="B4876" s="612"/>
      <c r="H4876" s="612"/>
    </row>
    <row r="4877">
      <c r="B4877" s="612"/>
      <c r="H4877" s="612"/>
    </row>
    <row r="4878">
      <c r="B4878" s="612"/>
      <c r="H4878" s="612"/>
    </row>
    <row r="4879">
      <c r="B4879" s="612"/>
      <c r="H4879" s="612"/>
    </row>
    <row r="4880">
      <c r="B4880" s="612"/>
      <c r="H4880" s="612"/>
    </row>
    <row r="4881">
      <c r="B4881" s="612"/>
      <c r="H4881" s="612"/>
    </row>
    <row r="4882">
      <c r="B4882" s="612"/>
      <c r="H4882" s="612"/>
    </row>
    <row r="4883">
      <c r="B4883" s="612"/>
      <c r="H4883" s="612"/>
    </row>
    <row r="4884">
      <c r="B4884" s="612"/>
      <c r="H4884" s="612"/>
    </row>
    <row r="4885">
      <c r="B4885" s="612"/>
      <c r="H4885" s="612"/>
    </row>
    <row r="4886">
      <c r="B4886" s="612"/>
      <c r="H4886" s="612"/>
    </row>
    <row r="4887">
      <c r="B4887" s="612"/>
      <c r="H4887" s="612"/>
    </row>
    <row r="4888">
      <c r="B4888" s="612"/>
      <c r="H4888" s="612"/>
    </row>
    <row r="4889">
      <c r="B4889" s="612"/>
      <c r="H4889" s="612"/>
    </row>
    <row r="4890">
      <c r="B4890" s="612"/>
      <c r="H4890" s="612"/>
    </row>
    <row r="4891">
      <c r="B4891" s="612"/>
      <c r="H4891" s="612"/>
    </row>
    <row r="4892">
      <c r="B4892" s="612"/>
      <c r="H4892" s="612"/>
    </row>
    <row r="4893">
      <c r="B4893" s="612"/>
      <c r="H4893" s="612"/>
    </row>
    <row r="4894">
      <c r="B4894" s="612"/>
      <c r="H4894" s="612"/>
    </row>
    <row r="4895">
      <c r="B4895" s="612"/>
      <c r="H4895" s="612"/>
    </row>
    <row r="4896">
      <c r="B4896" s="612"/>
      <c r="H4896" s="612"/>
    </row>
    <row r="4897">
      <c r="B4897" s="612"/>
      <c r="H4897" s="612"/>
    </row>
    <row r="4898">
      <c r="B4898" s="612"/>
      <c r="H4898" s="612"/>
    </row>
    <row r="4899">
      <c r="B4899" s="612"/>
      <c r="H4899" s="612"/>
    </row>
    <row r="4900">
      <c r="B4900" s="612"/>
      <c r="H4900" s="612"/>
    </row>
    <row r="4901">
      <c r="B4901" s="612"/>
      <c r="H4901" s="612"/>
    </row>
    <row r="4902">
      <c r="B4902" s="612"/>
      <c r="H4902" s="612"/>
    </row>
    <row r="4903">
      <c r="B4903" s="612"/>
      <c r="H4903" s="612"/>
    </row>
    <row r="4904">
      <c r="B4904" s="612"/>
      <c r="H4904" s="612"/>
    </row>
    <row r="4905">
      <c r="B4905" s="612"/>
      <c r="H4905" s="612"/>
    </row>
    <row r="4906">
      <c r="B4906" s="612"/>
      <c r="H4906" s="612"/>
    </row>
    <row r="4907">
      <c r="B4907" s="612"/>
      <c r="H4907" s="612"/>
    </row>
    <row r="4908">
      <c r="B4908" s="612"/>
      <c r="H4908" s="612"/>
    </row>
    <row r="4909">
      <c r="B4909" s="612"/>
      <c r="H4909" s="612"/>
    </row>
    <row r="4910">
      <c r="B4910" s="612"/>
      <c r="H4910" s="612"/>
    </row>
    <row r="4911">
      <c r="B4911" s="612"/>
      <c r="H4911" s="612"/>
    </row>
    <row r="4912">
      <c r="B4912" s="612"/>
      <c r="H4912" s="612"/>
    </row>
    <row r="4913">
      <c r="B4913" s="612"/>
      <c r="H4913" s="612"/>
    </row>
    <row r="4914">
      <c r="B4914" s="612"/>
      <c r="H4914" s="612"/>
    </row>
    <row r="4915">
      <c r="B4915" s="612"/>
      <c r="H4915" s="612"/>
    </row>
    <row r="4916">
      <c r="B4916" s="612"/>
      <c r="H4916" s="612"/>
    </row>
    <row r="4917">
      <c r="B4917" s="612"/>
      <c r="H4917" s="612"/>
    </row>
    <row r="4918">
      <c r="B4918" s="612"/>
      <c r="H4918" s="612"/>
    </row>
    <row r="4919">
      <c r="B4919" s="612"/>
      <c r="H4919" s="612"/>
    </row>
    <row r="4920">
      <c r="B4920" s="612"/>
      <c r="H4920" s="612"/>
    </row>
    <row r="4921">
      <c r="B4921" s="612"/>
      <c r="H4921" s="612"/>
    </row>
    <row r="4922">
      <c r="B4922" s="612"/>
      <c r="H4922" s="612"/>
    </row>
    <row r="4923">
      <c r="B4923" s="612"/>
      <c r="H4923" s="612"/>
    </row>
    <row r="4924">
      <c r="B4924" s="612"/>
      <c r="H4924" s="612"/>
    </row>
    <row r="4925">
      <c r="B4925" s="612"/>
      <c r="H4925" s="612"/>
    </row>
    <row r="4926">
      <c r="B4926" s="612"/>
      <c r="H4926" s="612"/>
    </row>
    <row r="4927">
      <c r="B4927" s="612"/>
      <c r="H4927" s="612"/>
    </row>
    <row r="4928">
      <c r="B4928" s="612"/>
      <c r="H4928" s="612"/>
    </row>
    <row r="4929">
      <c r="B4929" s="612"/>
      <c r="H4929" s="612"/>
    </row>
    <row r="4930">
      <c r="B4930" s="612"/>
      <c r="H4930" s="612"/>
    </row>
    <row r="4931">
      <c r="B4931" s="612"/>
      <c r="H4931" s="612"/>
    </row>
    <row r="4932">
      <c r="B4932" s="612"/>
      <c r="H4932" s="612"/>
    </row>
    <row r="4933">
      <c r="B4933" s="612"/>
      <c r="H4933" s="612"/>
    </row>
    <row r="4934">
      <c r="B4934" s="612"/>
      <c r="H4934" s="612"/>
    </row>
    <row r="4935">
      <c r="B4935" s="612"/>
      <c r="H4935" s="612"/>
    </row>
    <row r="4936">
      <c r="B4936" s="612"/>
      <c r="H4936" s="612"/>
    </row>
    <row r="4937">
      <c r="B4937" s="612"/>
      <c r="H4937" s="612"/>
    </row>
    <row r="4938">
      <c r="B4938" s="612"/>
      <c r="H4938" s="612"/>
    </row>
    <row r="4939">
      <c r="B4939" s="612"/>
      <c r="H4939" s="612"/>
    </row>
    <row r="4940">
      <c r="B4940" s="612"/>
      <c r="H4940" s="612"/>
    </row>
    <row r="4941">
      <c r="B4941" s="612"/>
      <c r="H4941" s="612"/>
    </row>
    <row r="4942">
      <c r="B4942" s="612"/>
      <c r="H4942" s="612"/>
    </row>
    <row r="4943">
      <c r="B4943" s="612"/>
      <c r="H4943" s="612"/>
    </row>
    <row r="4944">
      <c r="B4944" s="612"/>
      <c r="H4944" s="612"/>
    </row>
    <row r="4945">
      <c r="B4945" s="612"/>
      <c r="H4945" s="612"/>
    </row>
    <row r="4946">
      <c r="B4946" s="612"/>
      <c r="H4946" s="612"/>
    </row>
    <row r="4947">
      <c r="B4947" s="612"/>
      <c r="H4947" s="612"/>
    </row>
    <row r="4948">
      <c r="B4948" s="612"/>
      <c r="H4948" s="612"/>
    </row>
    <row r="4949">
      <c r="B4949" s="612"/>
      <c r="H4949" s="612"/>
    </row>
    <row r="4950">
      <c r="B4950" s="612"/>
      <c r="H4950" s="612"/>
    </row>
    <row r="4951">
      <c r="B4951" s="612"/>
      <c r="H4951" s="612"/>
    </row>
    <row r="4952">
      <c r="B4952" s="612"/>
      <c r="H4952" s="612"/>
    </row>
    <row r="4953">
      <c r="B4953" s="612"/>
      <c r="H4953" s="612"/>
    </row>
    <row r="4954">
      <c r="B4954" s="612"/>
      <c r="H4954" s="612"/>
    </row>
    <row r="4955">
      <c r="B4955" s="612"/>
      <c r="H4955" s="612"/>
    </row>
    <row r="4956">
      <c r="B4956" s="612"/>
      <c r="H4956" s="612"/>
    </row>
    <row r="4957">
      <c r="B4957" s="612"/>
      <c r="H4957" s="612"/>
    </row>
    <row r="4958">
      <c r="B4958" s="612"/>
      <c r="H4958" s="612"/>
    </row>
    <row r="4959">
      <c r="B4959" s="612"/>
      <c r="H4959" s="612"/>
    </row>
    <row r="4960">
      <c r="B4960" s="612"/>
      <c r="H4960" s="612"/>
    </row>
    <row r="4961">
      <c r="B4961" s="612"/>
      <c r="H4961" s="612"/>
    </row>
    <row r="4962">
      <c r="B4962" s="612"/>
      <c r="H4962" s="612"/>
    </row>
    <row r="4963">
      <c r="B4963" s="612"/>
      <c r="H4963" s="612"/>
    </row>
    <row r="4964">
      <c r="B4964" s="612"/>
      <c r="H4964" s="612"/>
    </row>
    <row r="4965">
      <c r="B4965" s="612"/>
      <c r="H4965" s="612"/>
    </row>
    <row r="4966">
      <c r="B4966" s="612"/>
      <c r="H4966" s="612"/>
    </row>
    <row r="4967">
      <c r="B4967" s="612"/>
      <c r="H4967" s="612"/>
    </row>
    <row r="4968">
      <c r="B4968" s="612"/>
      <c r="H4968" s="612"/>
    </row>
    <row r="4969">
      <c r="B4969" s="612"/>
      <c r="H4969" s="612"/>
    </row>
    <row r="4970">
      <c r="B4970" s="612"/>
      <c r="H4970" s="612"/>
    </row>
    <row r="4971">
      <c r="B4971" s="612"/>
      <c r="H4971" s="612"/>
    </row>
    <row r="4972">
      <c r="B4972" s="612"/>
      <c r="H4972" s="612"/>
    </row>
    <row r="4973">
      <c r="B4973" s="612"/>
      <c r="H4973" s="612"/>
    </row>
    <row r="4974">
      <c r="B4974" s="612"/>
      <c r="H4974" s="612"/>
    </row>
    <row r="4975">
      <c r="B4975" s="612"/>
      <c r="H4975" s="612"/>
    </row>
    <row r="4976">
      <c r="B4976" s="612"/>
      <c r="H4976" s="612"/>
    </row>
    <row r="4977">
      <c r="B4977" s="612"/>
      <c r="H4977" s="612"/>
    </row>
    <row r="4978">
      <c r="B4978" s="612"/>
      <c r="H4978" s="612"/>
    </row>
    <row r="4979">
      <c r="B4979" s="612"/>
      <c r="H4979" s="612"/>
    </row>
    <row r="4980">
      <c r="B4980" s="612"/>
      <c r="H4980" s="612"/>
    </row>
    <row r="4981">
      <c r="B4981" s="612"/>
      <c r="H4981" s="612"/>
    </row>
    <row r="4982">
      <c r="B4982" s="612"/>
      <c r="H4982" s="612"/>
    </row>
    <row r="4983">
      <c r="B4983" s="612"/>
      <c r="H4983" s="612"/>
    </row>
    <row r="4984">
      <c r="B4984" s="612"/>
      <c r="H4984" s="612"/>
    </row>
    <row r="4985">
      <c r="B4985" s="612"/>
      <c r="H4985" s="612"/>
    </row>
    <row r="4986">
      <c r="B4986" s="612"/>
      <c r="H4986" s="612"/>
    </row>
    <row r="4987">
      <c r="B4987" s="612"/>
      <c r="H4987" s="612"/>
    </row>
    <row r="4988">
      <c r="B4988" s="612"/>
      <c r="H4988" s="612"/>
    </row>
    <row r="4989">
      <c r="B4989" s="612"/>
      <c r="H4989" s="612"/>
    </row>
    <row r="4990">
      <c r="B4990" s="612"/>
      <c r="H4990" s="612"/>
    </row>
    <row r="4991">
      <c r="B4991" s="612"/>
      <c r="H4991" s="612"/>
    </row>
    <row r="4992">
      <c r="B4992" s="612"/>
      <c r="H4992" s="612"/>
    </row>
    <row r="4993">
      <c r="B4993" s="612"/>
      <c r="H4993" s="612"/>
    </row>
    <row r="4994">
      <c r="B4994" s="612"/>
      <c r="H4994" s="612"/>
    </row>
    <row r="4995">
      <c r="B4995" s="612"/>
      <c r="H4995" s="612"/>
    </row>
    <row r="4996">
      <c r="B4996" s="612"/>
      <c r="H4996" s="612"/>
    </row>
    <row r="4997">
      <c r="B4997" s="612"/>
      <c r="H4997" s="612"/>
    </row>
    <row r="4998">
      <c r="B4998" s="612"/>
      <c r="H4998" s="612"/>
    </row>
    <row r="4999">
      <c r="B4999" s="612"/>
      <c r="H4999" s="612"/>
    </row>
    <row r="5000">
      <c r="B5000" s="612"/>
      <c r="H5000" s="612"/>
    </row>
    <row r="5001">
      <c r="B5001" s="612"/>
      <c r="H5001" s="612"/>
    </row>
    <row r="5002">
      <c r="B5002" s="612"/>
      <c r="H5002" s="612"/>
    </row>
    <row r="5003">
      <c r="B5003" s="612"/>
      <c r="H5003" s="612"/>
    </row>
    <row r="5004">
      <c r="B5004" s="612"/>
      <c r="H5004" s="612"/>
    </row>
    <row r="5005">
      <c r="B5005" s="612"/>
      <c r="H5005" s="612"/>
    </row>
    <row r="5006">
      <c r="B5006" s="612"/>
      <c r="H5006" s="612"/>
    </row>
    <row r="5007">
      <c r="B5007" s="612"/>
      <c r="H5007" s="612"/>
    </row>
    <row r="5008">
      <c r="B5008" s="612"/>
      <c r="H5008" s="612"/>
    </row>
    <row r="5009">
      <c r="B5009" s="612"/>
      <c r="H5009" s="612"/>
    </row>
    <row r="5010">
      <c r="B5010" s="612"/>
      <c r="H5010" s="612"/>
    </row>
    <row r="5011">
      <c r="B5011" s="612"/>
      <c r="H5011" s="612"/>
    </row>
    <row r="5012">
      <c r="B5012" s="612"/>
      <c r="H5012" s="612"/>
    </row>
    <row r="5013">
      <c r="B5013" s="612"/>
      <c r="H5013" s="612"/>
    </row>
    <row r="5014">
      <c r="B5014" s="612"/>
      <c r="H5014" s="612"/>
    </row>
    <row r="5015">
      <c r="B5015" s="612"/>
      <c r="H5015" s="612"/>
    </row>
    <row r="5016">
      <c r="B5016" s="612"/>
      <c r="H5016" s="612"/>
    </row>
    <row r="5017">
      <c r="B5017" s="612"/>
      <c r="H5017" s="612"/>
    </row>
    <row r="5018">
      <c r="B5018" s="612"/>
      <c r="H5018" s="612"/>
    </row>
    <row r="5019">
      <c r="B5019" s="612"/>
      <c r="H5019" s="612"/>
    </row>
    <row r="5020">
      <c r="B5020" s="612"/>
      <c r="H5020" s="612"/>
    </row>
    <row r="5021">
      <c r="B5021" s="612"/>
      <c r="H5021" s="612"/>
    </row>
    <row r="5022">
      <c r="B5022" s="612"/>
      <c r="H5022" s="612"/>
    </row>
    <row r="5023">
      <c r="B5023" s="612"/>
      <c r="H5023" s="612"/>
    </row>
    <row r="5024">
      <c r="B5024" s="612"/>
      <c r="H5024" s="612"/>
    </row>
    <row r="5025">
      <c r="B5025" s="612"/>
      <c r="H5025" s="612"/>
    </row>
    <row r="5026">
      <c r="B5026" s="612"/>
      <c r="H5026" s="612"/>
    </row>
    <row r="5027">
      <c r="B5027" s="612"/>
      <c r="H5027" s="612"/>
    </row>
    <row r="5028">
      <c r="B5028" s="612"/>
      <c r="H5028" s="612"/>
    </row>
    <row r="5029">
      <c r="B5029" s="612"/>
      <c r="H5029" s="612"/>
    </row>
    <row r="5030">
      <c r="B5030" s="612"/>
      <c r="H5030" s="612"/>
    </row>
    <row r="5031">
      <c r="B5031" s="612"/>
      <c r="H5031" s="612"/>
    </row>
    <row r="5032">
      <c r="B5032" s="612"/>
      <c r="H5032" s="612"/>
    </row>
    <row r="5033">
      <c r="B5033" s="612"/>
      <c r="H5033" s="612"/>
    </row>
    <row r="5034">
      <c r="B5034" s="612"/>
      <c r="H5034" s="612"/>
    </row>
    <row r="5035">
      <c r="B5035" s="612"/>
      <c r="H5035" s="612"/>
    </row>
    <row r="5036">
      <c r="B5036" s="612"/>
      <c r="H5036" s="612"/>
    </row>
    <row r="5037">
      <c r="B5037" s="612"/>
      <c r="H5037" s="612"/>
    </row>
    <row r="5038">
      <c r="B5038" s="612"/>
      <c r="H5038" s="612"/>
    </row>
    <row r="5039">
      <c r="B5039" s="612"/>
      <c r="H5039" s="612"/>
    </row>
    <row r="5040">
      <c r="B5040" s="612"/>
      <c r="H5040" s="612"/>
    </row>
    <row r="5041">
      <c r="B5041" s="612"/>
      <c r="H5041" s="612"/>
    </row>
    <row r="5042">
      <c r="B5042" s="612"/>
      <c r="H5042" s="612"/>
    </row>
    <row r="5043">
      <c r="B5043" s="612"/>
      <c r="H5043" s="612"/>
    </row>
    <row r="5044">
      <c r="B5044" s="612"/>
      <c r="H5044" s="612"/>
    </row>
    <row r="5045">
      <c r="B5045" s="612"/>
      <c r="H5045" s="612"/>
    </row>
    <row r="5046">
      <c r="B5046" s="612"/>
      <c r="H5046" s="612"/>
    </row>
    <row r="5047">
      <c r="B5047" s="612"/>
      <c r="H5047" s="612"/>
    </row>
    <row r="5048">
      <c r="B5048" s="612"/>
      <c r="H5048" s="612"/>
    </row>
    <row r="5049">
      <c r="B5049" s="612"/>
      <c r="H5049" s="612"/>
    </row>
    <row r="5050">
      <c r="B5050" s="612"/>
      <c r="H5050" s="612"/>
    </row>
    <row r="5051">
      <c r="B5051" s="612"/>
      <c r="H5051" s="612"/>
    </row>
    <row r="5052">
      <c r="B5052" s="612"/>
      <c r="H5052" s="612"/>
    </row>
    <row r="5053">
      <c r="B5053" s="612"/>
      <c r="H5053" s="612"/>
    </row>
    <row r="5054">
      <c r="B5054" s="612"/>
      <c r="H5054" s="612"/>
    </row>
    <row r="5055">
      <c r="B5055" s="612"/>
      <c r="H5055" s="612"/>
    </row>
    <row r="5056">
      <c r="B5056" s="612"/>
      <c r="H5056" s="612"/>
    </row>
    <row r="5057">
      <c r="B5057" s="612"/>
      <c r="H5057" s="612"/>
    </row>
    <row r="5058">
      <c r="B5058" s="612"/>
      <c r="H5058" s="612"/>
    </row>
    <row r="5059">
      <c r="B5059" s="612"/>
      <c r="H5059" s="612"/>
    </row>
    <row r="5060">
      <c r="B5060" s="612"/>
      <c r="H5060" s="612"/>
    </row>
    <row r="5061">
      <c r="B5061" s="612"/>
      <c r="H5061" s="612"/>
    </row>
    <row r="5062">
      <c r="B5062" s="612"/>
      <c r="H5062" s="612"/>
    </row>
    <row r="5063">
      <c r="B5063" s="612"/>
      <c r="H5063" s="612"/>
    </row>
    <row r="5064">
      <c r="B5064" s="612"/>
      <c r="H5064" s="612"/>
    </row>
    <row r="5065">
      <c r="B5065" s="612"/>
      <c r="H5065" s="612"/>
    </row>
    <row r="5066">
      <c r="B5066" s="612"/>
      <c r="H5066" s="612"/>
    </row>
    <row r="5067">
      <c r="B5067" s="612"/>
      <c r="H5067" s="612"/>
    </row>
    <row r="5068">
      <c r="B5068" s="612"/>
      <c r="H5068" s="612"/>
    </row>
    <row r="5069">
      <c r="B5069" s="612"/>
      <c r="H5069" s="612"/>
    </row>
    <row r="5070">
      <c r="B5070" s="612"/>
      <c r="H5070" s="612"/>
    </row>
    <row r="5071">
      <c r="B5071" s="612"/>
      <c r="H5071" s="612"/>
    </row>
    <row r="5072">
      <c r="B5072" s="612"/>
      <c r="H5072" s="612"/>
    </row>
    <row r="5073">
      <c r="B5073" s="612"/>
      <c r="H5073" s="612"/>
    </row>
    <row r="5074">
      <c r="B5074" s="612"/>
      <c r="H5074" s="612"/>
    </row>
    <row r="5075">
      <c r="B5075" s="612"/>
      <c r="H5075" s="612"/>
    </row>
    <row r="5076">
      <c r="B5076" s="612"/>
      <c r="H5076" s="612"/>
    </row>
    <row r="5077">
      <c r="B5077" s="612"/>
      <c r="H5077" s="612"/>
    </row>
    <row r="5078">
      <c r="B5078" s="612"/>
      <c r="H5078" s="612"/>
    </row>
    <row r="5079">
      <c r="B5079" s="612"/>
      <c r="H5079" s="612"/>
    </row>
    <row r="5080">
      <c r="B5080" s="612"/>
      <c r="H5080" s="612"/>
    </row>
    <row r="5081">
      <c r="B5081" s="612"/>
      <c r="H5081" s="612"/>
    </row>
    <row r="5082">
      <c r="B5082" s="612"/>
      <c r="H5082" s="612"/>
    </row>
    <row r="5083">
      <c r="B5083" s="612"/>
      <c r="H5083" s="612"/>
    </row>
    <row r="5084">
      <c r="B5084" s="612"/>
      <c r="H5084" s="612"/>
    </row>
    <row r="5085">
      <c r="B5085" s="612"/>
      <c r="H5085" s="612"/>
    </row>
    <row r="5086">
      <c r="B5086" s="612"/>
      <c r="H5086" s="612"/>
    </row>
    <row r="5087">
      <c r="B5087" s="612"/>
      <c r="H5087" s="612"/>
    </row>
    <row r="5088">
      <c r="B5088" s="612"/>
      <c r="H5088" s="612"/>
    </row>
    <row r="5089">
      <c r="B5089" s="612"/>
      <c r="H5089" s="612"/>
    </row>
    <row r="5090">
      <c r="B5090" s="612"/>
      <c r="H5090" s="612"/>
    </row>
    <row r="5091">
      <c r="B5091" s="612"/>
      <c r="H5091" s="612"/>
    </row>
    <row r="5092">
      <c r="B5092" s="612"/>
      <c r="H5092" s="612"/>
    </row>
    <row r="5093">
      <c r="B5093" s="612"/>
      <c r="H5093" s="612"/>
    </row>
    <row r="5094">
      <c r="B5094" s="612"/>
      <c r="H5094" s="612"/>
    </row>
    <row r="5095">
      <c r="B5095" s="612"/>
      <c r="H5095" s="612"/>
    </row>
    <row r="5096">
      <c r="B5096" s="612"/>
      <c r="H5096" s="612"/>
    </row>
    <row r="5097">
      <c r="B5097" s="612"/>
      <c r="H5097" s="612"/>
    </row>
    <row r="5098">
      <c r="B5098" s="612"/>
      <c r="H5098" s="612"/>
    </row>
    <row r="5099">
      <c r="B5099" s="612"/>
      <c r="H5099" s="612"/>
    </row>
    <row r="5100">
      <c r="B5100" s="612"/>
      <c r="H5100" s="612"/>
    </row>
    <row r="5101">
      <c r="B5101" s="612"/>
      <c r="H5101" s="612"/>
    </row>
    <row r="5102">
      <c r="B5102" s="612"/>
      <c r="H5102" s="612"/>
    </row>
    <row r="5103">
      <c r="B5103" s="612"/>
      <c r="H5103" s="612"/>
    </row>
    <row r="5104">
      <c r="B5104" s="612"/>
      <c r="H5104" s="612"/>
    </row>
    <row r="5105">
      <c r="B5105" s="612"/>
      <c r="H5105" s="612"/>
    </row>
    <row r="5106">
      <c r="B5106" s="612"/>
      <c r="H5106" s="612"/>
    </row>
    <row r="5107">
      <c r="B5107" s="612"/>
      <c r="H5107" s="612"/>
    </row>
    <row r="5108">
      <c r="B5108" s="612"/>
      <c r="H5108" s="612"/>
    </row>
    <row r="5109">
      <c r="B5109" s="612"/>
      <c r="H5109" s="612"/>
    </row>
    <row r="5110">
      <c r="B5110" s="612"/>
      <c r="H5110" s="612"/>
    </row>
    <row r="5111">
      <c r="B5111" s="612"/>
      <c r="H5111" s="612"/>
    </row>
    <row r="5112">
      <c r="B5112" s="612"/>
      <c r="H5112" s="612"/>
    </row>
    <row r="5113">
      <c r="B5113" s="612"/>
      <c r="H5113" s="612"/>
    </row>
    <row r="5114">
      <c r="B5114" s="612"/>
      <c r="H5114" s="612"/>
    </row>
    <row r="5115">
      <c r="B5115" s="612"/>
      <c r="H5115" s="612"/>
    </row>
    <row r="5116">
      <c r="B5116" s="612"/>
      <c r="H5116" s="612"/>
    </row>
    <row r="5117">
      <c r="B5117" s="612"/>
      <c r="H5117" s="612"/>
    </row>
    <row r="5118">
      <c r="B5118" s="612"/>
      <c r="H5118" s="612"/>
    </row>
    <row r="5119">
      <c r="B5119" s="612"/>
      <c r="H5119" s="612"/>
    </row>
    <row r="5120">
      <c r="B5120" s="612"/>
      <c r="H5120" s="612"/>
    </row>
    <row r="5121">
      <c r="B5121" s="612"/>
      <c r="H5121" s="612"/>
    </row>
    <row r="5122">
      <c r="B5122" s="612"/>
      <c r="H5122" s="612"/>
    </row>
    <row r="5123">
      <c r="B5123" s="612"/>
      <c r="H5123" s="612"/>
    </row>
    <row r="5124">
      <c r="B5124" s="612"/>
      <c r="H5124" s="612"/>
    </row>
    <row r="5125">
      <c r="B5125" s="612"/>
      <c r="H5125" s="612"/>
    </row>
    <row r="5126">
      <c r="B5126" s="612"/>
      <c r="H5126" s="612"/>
    </row>
    <row r="5127">
      <c r="B5127" s="612"/>
      <c r="H5127" s="612"/>
    </row>
    <row r="5128">
      <c r="B5128" s="612"/>
      <c r="H5128" s="612"/>
    </row>
    <row r="5129">
      <c r="B5129" s="612"/>
      <c r="H5129" s="612"/>
    </row>
    <row r="5130">
      <c r="B5130" s="612"/>
      <c r="H5130" s="612"/>
    </row>
    <row r="5131">
      <c r="B5131" s="612"/>
      <c r="H5131" s="612"/>
    </row>
    <row r="5132">
      <c r="B5132" s="612"/>
      <c r="H5132" s="612"/>
    </row>
    <row r="5133">
      <c r="B5133" s="612"/>
      <c r="H5133" s="612"/>
    </row>
    <row r="5134">
      <c r="B5134" s="612"/>
      <c r="H5134" s="612"/>
    </row>
    <row r="5135">
      <c r="B5135" s="612"/>
      <c r="H5135" s="612"/>
    </row>
    <row r="5136">
      <c r="B5136" s="612"/>
      <c r="H5136" s="612"/>
    </row>
    <row r="5137">
      <c r="B5137" s="612"/>
      <c r="H5137" s="612"/>
    </row>
    <row r="5138">
      <c r="B5138" s="612"/>
      <c r="H5138" s="612"/>
    </row>
    <row r="5139">
      <c r="B5139" s="612"/>
      <c r="H5139" s="612"/>
    </row>
    <row r="5140">
      <c r="B5140" s="612"/>
      <c r="H5140" s="612"/>
    </row>
    <row r="5141">
      <c r="B5141" s="612"/>
      <c r="H5141" s="612"/>
    </row>
    <row r="5142">
      <c r="B5142" s="612"/>
      <c r="H5142" s="612"/>
    </row>
    <row r="5143">
      <c r="B5143" s="612"/>
      <c r="H5143" s="612"/>
    </row>
    <row r="5144">
      <c r="B5144" s="612"/>
      <c r="H5144" s="612"/>
    </row>
    <row r="5145">
      <c r="B5145" s="612"/>
      <c r="H5145" s="612"/>
    </row>
    <row r="5146">
      <c r="B5146" s="612"/>
      <c r="H5146" s="612"/>
    </row>
    <row r="5147">
      <c r="B5147" s="612"/>
      <c r="H5147" s="612"/>
    </row>
    <row r="5148">
      <c r="B5148" s="612"/>
      <c r="H5148" s="612"/>
    </row>
    <row r="5149">
      <c r="B5149" s="612"/>
      <c r="H5149" s="612"/>
    </row>
    <row r="5150">
      <c r="B5150" s="612"/>
      <c r="H5150" s="612"/>
    </row>
    <row r="5151">
      <c r="B5151" s="612"/>
      <c r="H5151" s="612"/>
    </row>
    <row r="5152">
      <c r="B5152" s="612"/>
      <c r="H5152" s="612"/>
    </row>
    <row r="5153">
      <c r="B5153" s="612"/>
      <c r="H5153" s="612"/>
    </row>
    <row r="5154">
      <c r="B5154" s="612"/>
      <c r="H5154" s="612"/>
    </row>
    <row r="5155">
      <c r="B5155" s="612"/>
      <c r="H5155" s="612"/>
    </row>
    <row r="5156">
      <c r="B5156" s="612"/>
      <c r="H5156" s="612"/>
    </row>
    <row r="5157">
      <c r="B5157" s="612"/>
      <c r="H5157" s="612"/>
    </row>
    <row r="5158">
      <c r="B5158" s="612"/>
      <c r="H5158" s="612"/>
    </row>
    <row r="5159">
      <c r="B5159" s="612"/>
      <c r="H5159" s="612"/>
    </row>
    <row r="5160">
      <c r="B5160" s="612"/>
      <c r="H5160" s="612"/>
    </row>
    <row r="5161">
      <c r="B5161" s="612"/>
      <c r="H5161" s="612"/>
    </row>
    <row r="5162">
      <c r="B5162" s="612"/>
      <c r="H5162" s="612"/>
    </row>
    <row r="5163">
      <c r="B5163" s="612"/>
      <c r="H5163" s="612"/>
    </row>
    <row r="5164">
      <c r="B5164" s="612"/>
      <c r="H5164" s="612"/>
    </row>
    <row r="5165">
      <c r="B5165" s="612"/>
      <c r="H5165" s="612"/>
    </row>
    <row r="5166">
      <c r="B5166" s="612"/>
      <c r="H5166" s="612"/>
    </row>
    <row r="5167">
      <c r="B5167" s="612"/>
      <c r="H5167" s="612"/>
    </row>
    <row r="5168">
      <c r="B5168" s="612"/>
      <c r="H5168" s="612"/>
    </row>
    <row r="5169">
      <c r="B5169" s="612"/>
      <c r="H5169" s="612"/>
    </row>
    <row r="5170">
      <c r="B5170" s="612"/>
      <c r="H5170" s="612"/>
    </row>
    <row r="5171">
      <c r="B5171" s="612"/>
      <c r="H5171" s="612"/>
    </row>
    <row r="5172">
      <c r="B5172" s="612"/>
      <c r="H5172" s="612"/>
    </row>
    <row r="5173">
      <c r="B5173" s="612"/>
      <c r="H5173" s="612"/>
    </row>
    <row r="5174">
      <c r="B5174" s="612"/>
      <c r="H5174" s="612"/>
    </row>
    <row r="5175">
      <c r="B5175" s="612"/>
      <c r="H5175" s="612"/>
    </row>
    <row r="5176">
      <c r="B5176" s="612"/>
      <c r="H5176" s="612"/>
    </row>
    <row r="5177">
      <c r="B5177" s="612"/>
      <c r="H5177" s="612"/>
    </row>
    <row r="5178">
      <c r="B5178" s="612"/>
      <c r="H5178" s="612"/>
    </row>
    <row r="5179">
      <c r="B5179" s="612"/>
      <c r="H5179" s="612"/>
    </row>
    <row r="5180">
      <c r="B5180" s="612"/>
      <c r="H5180" s="612"/>
    </row>
    <row r="5181">
      <c r="B5181" s="612"/>
      <c r="H5181" s="612"/>
    </row>
    <row r="5182">
      <c r="B5182" s="612"/>
      <c r="H5182" s="612"/>
    </row>
    <row r="5183">
      <c r="B5183" s="612"/>
      <c r="H5183" s="612"/>
    </row>
    <row r="5184">
      <c r="B5184" s="612"/>
      <c r="H5184" s="612"/>
    </row>
    <row r="5185">
      <c r="B5185" s="612"/>
      <c r="H5185" s="612"/>
    </row>
    <row r="5186">
      <c r="B5186" s="612"/>
      <c r="H5186" s="612"/>
    </row>
    <row r="5187">
      <c r="B5187" s="612"/>
      <c r="H5187" s="612"/>
    </row>
    <row r="5188">
      <c r="B5188" s="612"/>
      <c r="H5188" s="612"/>
    </row>
    <row r="5189">
      <c r="B5189" s="612"/>
      <c r="H5189" s="612"/>
    </row>
    <row r="5190">
      <c r="B5190" s="612"/>
      <c r="H5190" s="612"/>
    </row>
    <row r="5191">
      <c r="B5191" s="612"/>
      <c r="H5191" s="612"/>
    </row>
    <row r="5192">
      <c r="B5192" s="612"/>
      <c r="H5192" s="612"/>
    </row>
    <row r="5193">
      <c r="B5193" s="612"/>
      <c r="H5193" s="612"/>
    </row>
    <row r="5194">
      <c r="B5194" s="612"/>
      <c r="H5194" s="612"/>
    </row>
    <row r="5195">
      <c r="B5195" s="612"/>
      <c r="H5195" s="612"/>
    </row>
    <row r="5196">
      <c r="B5196" s="612"/>
      <c r="H5196" s="612"/>
    </row>
    <row r="5197">
      <c r="B5197" s="612"/>
      <c r="H5197" s="612"/>
    </row>
    <row r="5198">
      <c r="B5198" s="612"/>
      <c r="H5198" s="612"/>
    </row>
    <row r="5199">
      <c r="B5199" s="612"/>
      <c r="H5199" s="612"/>
    </row>
    <row r="5200">
      <c r="B5200" s="612"/>
      <c r="H5200" s="612"/>
    </row>
    <row r="5201">
      <c r="B5201" s="612"/>
      <c r="H5201" s="612"/>
    </row>
    <row r="5202">
      <c r="B5202" s="612"/>
      <c r="H5202" s="612"/>
    </row>
    <row r="5203">
      <c r="B5203" s="612"/>
      <c r="H5203" s="612"/>
    </row>
    <row r="5204">
      <c r="B5204" s="612"/>
      <c r="H5204" s="612"/>
    </row>
    <row r="5205">
      <c r="B5205" s="612"/>
      <c r="H5205" s="612"/>
    </row>
    <row r="5206">
      <c r="B5206" s="612"/>
      <c r="H5206" s="612"/>
    </row>
    <row r="5207">
      <c r="B5207" s="612"/>
      <c r="H5207" s="612"/>
    </row>
    <row r="5208">
      <c r="B5208" s="612"/>
      <c r="H5208" s="612"/>
    </row>
    <row r="5209">
      <c r="B5209" s="612"/>
      <c r="H5209" s="612"/>
    </row>
    <row r="5210">
      <c r="B5210" s="612"/>
      <c r="H5210" s="612"/>
    </row>
    <row r="5211">
      <c r="B5211" s="612"/>
      <c r="H5211" s="612"/>
    </row>
    <row r="5212">
      <c r="B5212" s="612"/>
      <c r="H5212" s="612"/>
    </row>
    <row r="5213">
      <c r="B5213" s="612"/>
      <c r="H5213" s="612"/>
    </row>
    <row r="5214">
      <c r="B5214" s="612"/>
      <c r="H5214" s="612"/>
    </row>
    <row r="5215">
      <c r="B5215" s="612"/>
      <c r="H5215" s="612"/>
    </row>
    <row r="5216">
      <c r="B5216" s="612"/>
      <c r="H5216" s="612"/>
    </row>
    <row r="5217">
      <c r="B5217" s="612"/>
      <c r="H5217" s="612"/>
    </row>
    <row r="5218">
      <c r="B5218" s="612"/>
      <c r="H5218" s="612"/>
    </row>
    <row r="5219">
      <c r="B5219" s="612"/>
      <c r="H5219" s="612"/>
    </row>
    <row r="5220">
      <c r="B5220" s="612"/>
      <c r="H5220" s="612"/>
    </row>
    <row r="5221">
      <c r="B5221" s="612"/>
      <c r="H5221" s="612"/>
    </row>
    <row r="5222">
      <c r="B5222" s="612"/>
      <c r="H5222" s="612"/>
    </row>
    <row r="5223">
      <c r="B5223" s="612"/>
      <c r="H5223" s="612"/>
    </row>
    <row r="5224">
      <c r="B5224" s="612"/>
      <c r="H5224" s="612"/>
    </row>
    <row r="5225">
      <c r="B5225" s="612"/>
      <c r="H5225" s="612"/>
    </row>
    <row r="5226">
      <c r="B5226" s="612"/>
      <c r="H5226" s="612"/>
    </row>
    <row r="5227">
      <c r="B5227" s="612"/>
      <c r="H5227" s="612"/>
    </row>
    <row r="5228">
      <c r="B5228" s="612"/>
      <c r="H5228" s="612"/>
    </row>
    <row r="5229">
      <c r="B5229" s="612"/>
      <c r="H5229" s="612"/>
    </row>
    <row r="5230">
      <c r="B5230" s="612"/>
      <c r="H5230" s="612"/>
    </row>
    <row r="5231">
      <c r="B5231" s="612"/>
      <c r="H5231" s="612"/>
    </row>
    <row r="5232">
      <c r="B5232" s="612"/>
      <c r="H5232" s="612"/>
    </row>
    <row r="5233">
      <c r="B5233" s="612"/>
      <c r="H5233" s="612"/>
    </row>
    <row r="5234">
      <c r="B5234" s="612"/>
      <c r="H5234" s="612"/>
    </row>
    <row r="5235">
      <c r="B5235" s="612"/>
      <c r="H5235" s="612"/>
    </row>
    <row r="5236">
      <c r="B5236" s="612"/>
      <c r="H5236" s="612"/>
    </row>
    <row r="5237">
      <c r="B5237" s="612"/>
      <c r="H5237" s="612"/>
    </row>
    <row r="5238">
      <c r="B5238" s="612"/>
      <c r="H5238" s="612"/>
    </row>
    <row r="5239">
      <c r="B5239" s="612"/>
      <c r="H5239" s="612"/>
    </row>
    <row r="5240">
      <c r="B5240" s="612"/>
      <c r="H5240" s="612"/>
    </row>
    <row r="5241">
      <c r="B5241" s="612"/>
      <c r="H5241" s="612"/>
    </row>
    <row r="5242">
      <c r="B5242" s="612"/>
      <c r="H5242" s="612"/>
    </row>
    <row r="5243">
      <c r="B5243" s="612"/>
      <c r="H5243" s="612"/>
    </row>
    <row r="5244">
      <c r="B5244" s="612"/>
      <c r="H5244" s="612"/>
    </row>
    <row r="5245">
      <c r="B5245" s="612"/>
      <c r="H5245" s="612"/>
    </row>
    <row r="5246">
      <c r="B5246" s="612"/>
      <c r="H5246" s="612"/>
    </row>
    <row r="5247">
      <c r="B5247" s="612"/>
      <c r="H5247" s="612"/>
    </row>
    <row r="5248">
      <c r="B5248" s="612"/>
      <c r="H5248" s="612"/>
    </row>
    <row r="5249">
      <c r="B5249" s="612"/>
      <c r="H5249" s="612"/>
    </row>
    <row r="5250">
      <c r="B5250" s="612"/>
      <c r="H5250" s="612"/>
    </row>
    <row r="5251">
      <c r="B5251" s="612"/>
      <c r="H5251" s="612"/>
    </row>
    <row r="5252">
      <c r="B5252" s="612"/>
      <c r="H5252" s="612"/>
    </row>
    <row r="5253">
      <c r="B5253" s="612"/>
      <c r="H5253" s="612"/>
    </row>
    <row r="5254">
      <c r="B5254" s="612"/>
      <c r="H5254" s="612"/>
    </row>
    <row r="5255">
      <c r="B5255" s="612"/>
      <c r="H5255" s="612"/>
    </row>
    <row r="5256">
      <c r="B5256" s="612"/>
      <c r="H5256" s="612"/>
    </row>
    <row r="5257">
      <c r="B5257" s="612"/>
      <c r="H5257" s="612"/>
    </row>
    <row r="5258">
      <c r="B5258" s="612"/>
      <c r="H5258" s="612"/>
    </row>
    <row r="5259">
      <c r="B5259" s="612"/>
      <c r="H5259" s="612"/>
    </row>
    <row r="5260">
      <c r="B5260" s="612"/>
      <c r="H5260" s="612"/>
    </row>
    <row r="5261">
      <c r="B5261" s="612"/>
      <c r="H5261" s="612"/>
    </row>
    <row r="5262">
      <c r="B5262" s="612"/>
      <c r="H5262" s="612"/>
    </row>
    <row r="5263">
      <c r="B5263" s="612"/>
      <c r="H5263" s="612"/>
    </row>
    <row r="5264">
      <c r="B5264" s="612"/>
      <c r="H5264" s="612"/>
    </row>
    <row r="5265">
      <c r="B5265" s="612"/>
      <c r="H5265" s="612"/>
    </row>
    <row r="5266">
      <c r="B5266" s="612"/>
      <c r="H5266" s="612"/>
    </row>
    <row r="5267">
      <c r="B5267" s="612"/>
      <c r="H5267" s="612"/>
    </row>
    <row r="5268">
      <c r="B5268" s="612"/>
      <c r="H5268" s="612"/>
    </row>
    <row r="5269">
      <c r="B5269" s="612"/>
      <c r="H5269" s="612"/>
    </row>
    <row r="5270">
      <c r="B5270" s="612"/>
      <c r="H5270" s="612"/>
    </row>
    <row r="5271">
      <c r="B5271" s="612"/>
      <c r="H5271" s="612"/>
    </row>
    <row r="5272">
      <c r="B5272" s="612"/>
      <c r="H5272" s="612"/>
    </row>
    <row r="5273">
      <c r="B5273" s="612"/>
      <c r="H5273" s="612"/>
    </row>
    <row r="5274">
      <c r="B5274" s="612"/>
      <c r="H5274" s="612"/>
    </row>
    <row r="5275">
      <c r="B5275" s="612"/>
      <c r="H5275" s="612"/>
    </row>
    <row r="5276">
      <c r="B5276" s="612"/>
      <c r="H5276" s="612"/>
    </row>
    <row r="5277">
      <c r="B5277" s="612"/>
      <c r="H5277" s="612"/>
    </row>
    <row r="5278">
      <c r="B5278" s="612"/>
      <c r="H5278" s="612"/>
    </row>
    <row r="5279">
      <c r="B5279" s="612"/>
      <c r="H5279" s="612"/>
    </row>
    <row r="5280">
      <c r="B5280" s="612"/>
      <c r="H5280" s="612"/>
    </row>
    <row r="5281">
      <c r="B5281" s="612"/>
      <c r="H5281" s="612"/>
    </row>
    <row r="5282">
      <c r="B5282" s="612"/>
      <c r="H5282" s="612"/>
    </row>
    <row r="5283">
      <c r="B5283" s="612"/>
      <c r="H5283" s="612"/>
    </row>
    <row r="5284">
      <c r="B5284" s="612"/>
      <c r="H5284" s="612"/>
    </row>
    <row r="5285">
      <c r="B5285" s="612"/>
      <c r="H5285" s="612"/>
    </row>
    <row r="5286">
      <c r="B5286" s="612"/>
      <c r="H5286" s="612"/>
    </row>
    <row r="5287">
      <c r="B5287" s="612"/>
      <c r="H5287" s="612"/>
    </row>
    <row r="5288">
      <c r="B5288" s="612"/>
      <c r="H5288" s="612"/>
    </row>
    <row r="5289">
      <c r="B5289" s="612"/>
      <c r="H5289" s="612"/>
    </row>
    <row r="5290">
      <c r="B5290" s="612"/>
      <c r="H5290" s="612"/>
    </row>
    <row r="5291">
      <c r="B5291" s="612"/>
      <c r="H5291" s="612"/>
    </row>
    <row r="5292">
      <c r="B5292" s="612"/>
      <c r="H5292" s="612"/>
    </row>
    <row r="5293">
      <c r="B5293" s="612"/>
      <c r="H5293" s="612"/>
    </row>
    <row r="5294">
      <c r="B5294" s="612"/>
      <c r="H5294" s="612"/>
    </row>
    <row r="5295">
      <c r="B5295" s="612"/>
      <c r="H5295" s="612"/>
    </row>
    <row r="5296">
      <c r="B5296" s="612"/>
      <c r="H5296" s="612"/>
    </row>
    <row r="5297">
      <c r="B5297" s="612"/>
      <c r="H5297" s="612"/>
    </row>
    <row r="5298">
      <c r="B5298" s="612"/>
      <c r="H5298" s="612"/>
    </row>
    <row r="5299">
      <c r="B5299" s="612"/>
      <c r="H5299" s="612"/>
    </row>
    <row r="5300">
      <c r="B5300" s="612"/>
      <c r="H5300" s="612"/>
    </row>
    <row r="5301">
      <c r="B5301" s="612"/>
      <c r="H5301" s="612"/>
    </row>
    <row r="5302">
      <c r="B5302" s="612"/>
      <c r="H5302" s="612"/>
    </row>
    <row r="5303">
      <c r="B5303" s="612"/>
      <c r="H5303" s="612"/>
    </row>
    <row r="5304">
      <c r="B5304" s="612"/>
      <c r="H5304" s="612"/>
    </row>
    <row r="5305">
      <c r="B5305" s="612"/>
      <c r="H5305" s="612"/>
    </row>
    <row r="5306">
      <c r="B5306" s="612"/>
      <c r="H5306" s="612"/>
    </row>
    <row r="5307">
      <c r="B5307" s="612"/>
      <c r="H5307" s="612"/>
    </row>
    <row r="5308">
      <c r="B5308" s="612"/>
      <c r="H5308" s="612"/>
    </row>
    <row r="5309">
      <c r="B5309" s="612"/>
      <c r="H5309" s="612"/>
    </row>
    <row r="5310">
      <c r="B5310" s="612"/>
      <c r="H5310" s="612"/>
    </row>
    <row r="5311">
      <c r="B5311" s="612"/>
      <c r="H5311" s="612"/>
    </row>
    <row r="5312">
      <c r="B5312" s="612"/>
      <c r="H5312" s="612"/>
    </row>
    <row r="5313">
      <c r="B5313" s="612"/>
      <c r="H5313" s="612"/>
    </row>
    <row r="5314">
      <c r="B5314" s="612"/>
      <c r="H5314" s="612"/>
    </row>
    <row r="5315">
      <c r="B5315" s="612"/>
      <c r="H5315" s="612"/>
    </row>
    <row r="5316">
      <c r="B5316" s="612"/>
      <c r="H5316" s="612"/>
    </row>
    <row r="5317">
      <c r="B5317" s="612"/>
      <c r="H5317" s="612"/>
    </row>
    <row r="5318">
      <c r="B5318" s="612"/>
      <c r="H5318" s="612"/>
    </row>
    <row r="5319">
      <c r="B5319" s="612"/>
      <c r="H5319" s="612"/>
    </row>
    <row r="5320">
      <c r="B5320" s="612"/>
      <c r="H5320" s="612"/>
    </row>
    <row r="5321">
      <c r="B5321" s="612"/>
      <c r="H5321" s="612"/>
    </row>
    <row r="5322">
      <c r="B5322" s="612"/>
      <c r="H5322" s="612"/>
    </row>
    <row r="5323">
      <c r="B5323" s="612"/>
      <c r="H5323" s="612"/>
    </row>
    <row r="5324">
      <c r="B5324" s="612"/>
      <c r="H5324" s="612"/>
    </row>
    <row r="5325">
      <c r="B5325" s="612"/>
      <c r="H5325" s="612"/>
    </row>
    <row r="5326">
      <c r="B5326" s="612"/>
      <c r="H5326" s="612"/>
    </row>
    <row r="5327">
      <c r="B5327" s="612"/>
      <c r="H5327" s="612"/>
    </row>
    <row r="5328">
      <c r="B5328" s="612"/>
      <c r="H5328" s="612"/>
    </row>
    <row r="5329">
      <c r="B5329" s="612"/>
      <c r="H5329" s="612"/>
    </row>
    <row r="5330">
      <c r="B5330" s="612"/>
      <c r="H5330" s="612"/>
    </row>
    <row r="5331">
      <c r="B5331" s="612"/>
      <c r="H5331" s="612"/>
    </row>
    <row r="5332">
      <c r="B5332" s="612"/>
      <c r="H5332" s="612"/>
    </row>
    <row r="5333">
      <c r="B5333" s="612"/>
      <c r="H5333" s="612"/>
    </row>
    <row r="5334">
      <c r="B5334" s="612"/>
      <c r="H5334" s="612"/>
    </row>
    <row r="5335">
      <c r="B5335" s="612"/>
      <c r="H5335" s="612"/>
    </row>
    <row r="5336">
      <c r="B5336" s="612"/>
      <c r="H5336" s="612"/>
    </row>
    <row r="5337">
      <c r="B5337" s="612"/>
      <c r="H5337" s="612"/>
    </row>
    <row r="5338">
      <c r="B5338" s="612"/>
      <c r="H5338" s="612"/>
    </row>
    <row r="5339">
      <c r="B5339" s="612"/>
      <c r="H5339" s="612"/>
    </row>
    <row r="5340">
      <c r="B5340" s="612"/>
      <c r="H5340" s="612"/>
    </row>
    <row r="5341">
      <c r="B5341" s="612"/>
      <c r="H5341" s="612"/>
    </row>
    <row r="5342">
      <c r="B5342" s="612"/>
      <c r="H5342" s="612"/>
    </row>
    <row r="5343">
      <c r="B5343" s="612"/>
      <c r="H5343" s="612"/>
    </row>
    <row r="5344">
      <c r="B5344" s="612"/>
      <c r="H5344" s="612"/>
    </row>
    <row r="5345">
      <c r="B5345" s="612"/>
      <c r="H5345" s="612"/>
    </row>
    <row r="5346">
      <c r="B5346" s="612"/>
      <c r="H5346" s="612"/>
    </row>
    <row r="5347">
      <c r="B5347" s="612"/>
      <c r="H5347" s="612"/>
    </row>
    <row r="5348">
      <c r="B5348" s="612"/>
      <c r="H5348" s="612"/>
    </row>
    <row r="5349">
      <c r="B5349" s="612"/>
      <c r="H5349" s="612"/>
    </row>
    <row r="5350">
      <c r="B5350" s="612"/>
      <c r="H5350" s="612"/>
    </row>
    <row r="5351">
      <c r="B5351" s="612"/>
      <c r="H5351" s="612"/>
    </row>
    <row r="5352">
      <c r="B5352" s="612"/>
      <c r="H5352" s="612"/>
    </row>
    <row r="5353">
      <c r="B5353" s="612"/>
      <c r="H5353" s="612"/>
    </row>
    <row r="5354">
      <c r="B5354" s="612"/>
      <c r="H5354" s="612"/>
    </row>
    <row r="5355">
      <c r="B5355" s="612"/>
      <c r="H5355" s="612"/>
    </row>
    <row r="5356">
      <c r="B5356" s="612"/>
      <c r="H5356" s="612"/>
    </row>
    <row r="5357">
      <c r="B5357" s="612"/>
      <c r="H5357" s="612"/>
    </row>
    <row r="5358">
      <c r="B5358" s="612"/>
      <c r="H5358" s="612"/>
    </row>
    <row r="5359">
      <c r="B5359" s="612"/>
      <c r="H5359" s="612"/>
    </row>
    <row r="5360">
      <c r="B5360" s="612"/>
      <c r="H5360" s="612"/>
    </row>
    <row r="5361">
      <c r="B5361" s="612"/>
      <c r="H5361" s="612"/>
    </row>
    <row r="5362">
      <c r="B5362" s="612"/>
      <c r="H5362" s="612"/>
    </row>
    <row r="5363">
      <c r="B5363" s="612"/>
      <c r="H5363" s="612"/>
    </row>
    <row r="5364">
      <c r="B5364" s="612"/>
      <c r="H5364" s="612"/>
    </row>
    <row r="5365">
      <c r="B5365" s="612"/>
      <c r="H5365" s="612"/>
    </row>
    <row r="5366">
      <c r="B5366" s="612"/>
      <c r="H5366" s="612"/>
    </row>
    <row r="5367">
      <c r="B5367" s="612"/>
      <c r="H5367" s="612"/>
    </row>
    <row r="5368">
      <c r="B5368" s="612"/>
      <c r="H5368" s="612"/>
    </row>
    <row r="5369">
      <c r="B5369" s="612"/>
      <c r="H5369" s="612"/>
    </row>
    <row r="5370">
      <c r="B5370" s="612"/>
      <c r="H5370" s="612"/>
    </row>
    <row r="5371">
      <c r="B5371" s="612"/>
      <c r="H5371" s="612"/>
    </row>
    <row r="5372">
      <c r="B5372" s="612"/>
      <c r="H5372" s="612"/>
    </row>
    <row r="5373">
      <c r="B5373" s="612"/>
      <c r="H5373" s="612"/>
    </row>
    <row r="5374">
      <c r="B5374" s="612"/>
      <c r="H5374" s="612"/>
    </row>
    <row r="5375">
      <c r="B5375" s="612"/>
      <c r="H5375" s="612"/>
    </row>
    <row r="5376">
      <c r="B5376" s="612"/>
      <c r="H5376" s="612"/>
    </row>
    <row r="5377">
      <c r="B5377" s="612"/>
      <c r="H5377" s="612"/>
    </row>
    <row r="5378">
      <c r="B5378" s="612"/>
      <c r="H5378" s="612"/>
    </row>
    <row r="5379">
      <c r="B5379" s="612"/>
      <c r="H5379" s="612"/>
    </row>
    <row r="5380">
      <c r="B5380" s="612"/>
      <c r="H5380" s="612"/>
    </row>
    <row r="5381">
      <c r="B5381" s="612"/>
      <c r="H5381" s="612"/>
    </row>
    <row r="5382">
      <c r="B5382" s="612"/>
      <c r="H5382" s="612"/>
    </row>
    <row r="5383">
      <c r="B5383" s="612"/>
      <c r="H5383" s="612"/>
    </row>
    <row r="5384">
      <c r="B5384" s="612"/>
      <c r="H5384" s="612"/>
    </row>
    <row r="5385">
      <c r="B5385" s="612"/>
      <c r="H5385" s="612"/>
    </row>
    <row r="5386">
      <c r="B5386" s="612"/>
      <c r="H5386" s="612"/>
    </row>
    <row r="5387">
      <c r="B5387" s="612"/>
      <c r="H5387" s="612"/>
    </row>
    <row r="5388">
      <c r="B5388" s="612"/>
      <c r="H5388" s="612"/>
    </row>
    <row r="5389">
      <c r="B5389" s="612"/>
      <c r="H5389" s="612"/>
    </row>
    <row r="5390">
      <c r="B5390" s="612"/>
      <c r="H5390" s="612"/>
    </row>
    <row r="5391">
      <c r="B5391" s="612"/>
      <c r="H5391" s="612"/>
    </row>
    <row r="5392">
      <c r="B5392" s="612"/>
      <c r="H5392" s="612"/>
    </row>
    <row r="5393">
      <c r="B5393" s="612"/>
      <c r="H5393" s="612"/>
    </row>
    <row r="5394">
      <c r="B5394" s="612"/>
      <c r="H5394" s="612"/>
    </row>
    <row r="5395">
      <c r="B5395" s="612"/>
      <c r="H5395" s="612"/>
    </row>
    <row r="5396">
      <c r="B5396" s="612"/>
      <c r="H5396" s="612"/>
    </row>
    <row r="5397">
      <c r="B5397" s="612"/>
      <c r="H5397" s="612"/>
    </row>
    <row r="5398">
      <c r="B5398" s="612"/>
      <c r="H5398" s="612"/>
    </row>
    <row r="5399">
      <c r="B5399" s="612"/>
      <c r="H5399" s="612"/>
    </row>
    <row r="5400">
      <c r="B5400" s="612"/>
      <c r="H5400" s="612"/>
    </row>
    <row r="5401">
      <c r="B5401" s="612"/>
      <c r="H5401" s="612"/>
    </row>
    <row r="5402">
      <c r="B5402" s="612"/>
      <c r="H5402" s="612"/>
    </row>
    <row r="5403">
      <c r="B5403" s="612"/>
      <c r="H5403" s="612"/>
    </row>
    <row r="5404">
      <c r="B5404" s="612"/>
      <c r="H5404" s="612"/>
    </row>
    <row r="5405">
      <c r="B5405" s="612"/>
      <c r="H5405" s="612"/>
    </row>
    <row r="5406">
      <c r="B5406" s="612"/>
      <c r="H5406" s="612"/>
    </row>
    <row r="5407">
      <c r="B5407" s="612"/>
      <c r="H5407" s="612"/>
    </row>
    <row r="5408">
      <c r="B5408" s="612"/>
      <c r="H5408" s="612"/>
    </row>
    <row r="5409">
      <c r="B5409" s="612"/>
      <c r="H5409" s="612"/>
    </row>
    <row r="5410">
      <c r="B5410" s="612"/>
      <c r="H5410" s="612"/>
    </row>
    <row r="5411">
      <c r="B5411" s="612"/>
      <c r="H5411" s="612"/>
    </row>
    <row r="5412">
      <c r="B5412" s="612"/>
      <c r="H5412" s="612"/>
    </row>
    <row r="5413">
      <c r="B5413" s="612"/>
      <c r="H5413" s="612"/>
    </row>
    <row r="5414">
      <c r="B5414" s="612"/>
      <c r="H5414" s="612"/>
    </row>
    <row r="5415">
      <c r="B5415" s="612"/>
      <c r="H5415" s="612"/>
    </row>
    <row r="5416">
      <c r="B5416" s="612"/>
      <c r="H5416" s="612"/>
    </row>
    <row r="5417">
      <c r="B5417" s="612"/>
      <c r="H5417" s="612"/>
    </row>
    <row r="5418">
      <c r="B5418" s="612"/>
      <c r="H5418" s="612"/>
    </row>
    <row r="5419">
      <c r="B5419" s="612"/>
      <c r="H5419" s="612"/>
    </row>
    <row r="5420">
      <c r="B5420" s="612"/>
      <c r="H5420" s="612"/>
    </row>
    <row r="5421">
      <c r="B5421" s="612"/>
      <c r="H5421" s="612"/>
    </row>
    <row r="5422">
      <c r="B5422" s="612"/>
      <c r="H5422" s="612"/>
    </row>
    <row r="5423">
      <c r="B5423" s="612"/>
      <c r="H5423" s="612"/>
    </row>
    <row r="5424">
      <c r="B5424" s="612"/>
      <c r="H5424" s="612"/>
    </row>
    <row r="5425">
      <c r="B5425" s="612"/>
      <c r="H5425" s="612"/>
    </row>
    <row r="5426">
      <c r="B5426" s="612"/>
      <c r="H5426" s="612"/>
    </row>
    <row r="5427">
      <c r="B5427" s="612"/>
      <c r="H5427" s="612"/>
    </row>
    <row r="5428">
      <c r="B5428" s="612"/>
      <c r="H5428" s="612"/>
    </row>
    <row r="5429">
      <c r="B5429" s="612"/>
      <c r="H5429" s="612"/>
    </row>
    <row r="5430">
      <c r="B5430" s="612"/>
      <c r="H5430" s="612"/>
    </row>
    <row r="5431">
      <c r="B5431" s="612"/>
      <c r="H5431" s="612"/>
    </row>
    <row r="5432">
      <c r="B5432" s="612"/>
      <c r="H5432" s="612"/>
    </row>
    <row r="5433">
      <c r="B5433" s="612"/>
      <c r="H5433" s="612"/>
    </row>
    <row r="5434">
      <c r="B5434" s="612"/>
      <c r="H5434" s="612"/>
    </row>
    <row r="5435">
      <c r="B5435" s="612"/>
      <c r="H5435" s="612"/>
    </row>
    <row r="5436">
      <c r="B5436" s="612"/>
      <c r="H5436" s="612"/>
    </row>
    <row r="5437">
      <c r="B5437" s="612"/>
      <c r="H5437" s="612"/>
    </row>
    <row r="5438">
      <c r="B5438" s="612"/>
      <c r="H5438" s="612"/>
    </row>
    <row r="5439">
      <c r="B5439" s="612"/>
      <c r="H5439" s="612"/>
    </row>
    <row r="5440">
      <c r="B5440" s="612"/>
      <c r="H5440" s="612"/>
    </row>
    <row r="5441">
      <c r="B5441" s="612"/>
      <c r="H5441" s="612"/>
    </row>
    <row r="5442">
      <c r="B5442" s="612"/>
      <c r="H5442" s="612"/>
    </row>
    <row r="5443">
      <c r="B5443" s="612"/>
      <c r="H5443" s="612"/>
    </row>
    <row r="5444">
      <c r="B5444" s="612"/>
      <c r="H5444" s="612"/>
    </row>
    <row r="5445">
      <c r="B5445" s="612"/>
      <c r="H5445" s="612"/>
    </row>
    <row r="5446">
      <c r="B5446" s="612"/>
      <c r="H5446" s="612"/>
    </row>
    <row r="5447">
      <c r="B5447" s="612"/>
      <c r="H5447" s="612"/>
    </row>
    <row r="5448">
      <c r="B5448" s="612"/>
      <c r="H5448" s="612"/>
    </row>
    <row r="5449">
      <c r="B5449" s="612"/>
      <c r="H5449" s="612"/>
    </row>
    <row r="5450">
      <c r="B5450" s="612"/>
      <c r="H5450" s="612"/>
    </row>
    <row r="5451">
      <c r="B5451" s="612"/>
      <c r="H5451" s="612"/>
    </row>
    <row r="5452">
      <c r="B5452" s="612"/>
      <c r="H5452" s="612"/>
    </row>
    <row r="5453">
      <c r="B5453" s="612"/>
      <c r="H5453" s="612"/>
    </row>
    <row r="5454">
      <c r="B5454" s="612"/>
      <c r="H5454" s="612"/>
    </row>
    <row r="5455">
      <c r="B5455" s="612"/>
      <c r="H5455" s="612"/>
    </row>
    <row r="5456">
      <c r="B5456" s="612"/>
      <c r="H5456" s="612"/>
    </row>
    <row r="5457">
      <c r="B5457" s="612"/>
      <c r="H5457" s="612"/>
    </row>
    <row r="5458">
      <c r="B5458" s="612"/>
      <c r="H5458" s="612"/>
    </row>
    <row r="5459">
      <c r="B5459" s="612"/>
      <c r="H5459" s="612"/>
    </row>
    <row r="5460">
      <c r="B5460" s="612"/>
      <c r="H5460" s="612"/>
    </row>
    <row r="5461">
      <c r="B5461" s="612"/>
      <c r="H5461" s="612"/>
    </row>
    <row r="5462">
      <c r="B5462" s="612"/>
      <c r="H5462" s="612"/>
    </row>
    <row r="5463">
      <c r="B5463" s="612"/>
      <c r="H5463" s="612"/>
    </row>
    <row r="5464">
      <c r="B5464" s="612"/>
      <c r="H5464" s="612"/>
    </row>
    <row r="5465">
      <c r="B5465" s="612"/>
      <c r="H5465" s="612"/>
    </row>
    <row r="5466">
      <c r="B5466" s="612"/>
      <c r="H5466" s="612"/>
    </row>
    <row r="5467">
      <c r="B5467" s="612"/>
      <c r="H5467" s="612"/>
    </row>
    <row r="5468">
      <c r="B5468" s="612"/>
      <c r="H5468" s="612"/>
    </row>
    <row r="5469">
      <c r="B5469" s="612"/>
      <c r="H5469" s="612"/>
    </row>
    <row r="5470">
      <c r="B5470" s="612"/>
      <c r="H5470" s="612"/>
    </row>
    <row r="5471">
      <c r="B5471" s="612"/>
      <c r="H5471" s="612"/>
    </row>
    <row r="5472">
      <c r="B5472" s="612"/>
      <c r="H5472" s="612"/>
    </row>
    <row r="5473">
      <c r="B5473" s="612"/>
      <c r="H5473" s="612"/>
    </row>
    <row r="5474">
      <c r="B5474" s="612"/>
      <c r="H5474" s="612"/>
    </row>
    <row r="5475">
      <c r="B5475" s="612"/>
      <c r="H5475" s="612"/>
    </row>
    <row r="5476">
      <c r="B5476" s="612"/>
      <c r="H5476" s="612"/>
    </row>
    <row r="5477">
      <c r="B5477" s="612"/>
      <c r="H5477" s="612"/>
    </row>
    <row r="5478">
      <c r="B5478" s="612"/>
      <c r="H5478" s="612"/>
    </row>
    <row r="5479">
      <c r="B5479" s="612"/>
      <c r="H5479" s="612"/>
    </row>
    <row r="5480">
      <c r="B5480" s="612"/>
      <c r="H5480" s="612"/>
    </row>
    <row r="5481">
      <c r="B5481" s="612"/>
      <c r="H5481" s="612"/>
    </row>
    <row r="5482">
      <c r="B5482" s="612"/>
      <c r="H5482" s="612"/>
    </row>
    <row r="5483">
      <c r="B5483" s="612"/>
      <c r="H5483" s="612"/>
    </row>
    <row r="5484">
      <c r="B5484" s="612"/>
      <c r="H5484" s="612"/>
    </row>
    <row r="5485">
      <c r="B5485" s="612"/>
      <c r="H5485" s="612"/>
    </row>
    <row r="5486">
      <c r="B5486" s="612"/>
      <c r="H5486" s="612"/>
    </row>
    <row r="5487">
      <c r="B5487" s="612"/>
      <c r="H5487" s="612"/>
    </row>
    <row r="5488">
      <c r="B5488" s="612"/>
      <c r="H5488" s="612"/>
    </row>
    <row r="5489">
      <c r="B5489" s="612"/>
      <c r="H5489" s="612"/>
    </row>
    <row r="5490">
      <c r="B5490" s="612"/>
      <c r="H5490" s="612"/>
    </row>
    <row r="5491">
      <c r="B5491" s="612"/>
      <c r="H5491" s="612"/>
    </row>
    <row r="5492">
      <c r="B5492" s="612"/>
      <c r="H5492" s="612"/>
    </row>
    <row r="5493">
      <c r="B5493" s="612"/>
      <c r="H5493" s="612"/>
    </row>
    <row r="5494">
      <c r="B5494" s="612"/>
      <c r="H5494" s="612"/>
    </row>
    <row r="5495">
      <c r="B5495" s="612"/>
      <c r="H5495" s="612"/>
    </row>
    <row r="5496">
      <c r="B5496" s="612"/>
      <c r="H5496" s="612"/>
    </row>
    <row r="5497">
      <c r="B5497" s="612"/>
      <c r="H5497" s="612"/>
    </row>
    <row r="5498">
      <c r="B5498" s="612"/>
      <c r="H5498" s="612"/>
    </row>
    <row r="5499">
      <c r="B5499" s="612"/>
      <c r="H5499" s="612"/>
    </row>
    <row r="5500">
      <c r="B5500" s="612"/>
      <c r="H5500" s="612"/>
    </row>
    <row r="5501">
      <c r="B5501" s="612"/>
      <c r="H5501" s="612"/>
    </row>
    <row r="5502">
      <c r="B5502" s="612"/>
      <c r="H5502" s="612"/>
    </row>
    <row r="5503">
      <c r="B5503" s="612"/>
      <c r="H5503" s="612"/>
    </row>
    <row r="5504">
      <c r="B5504" s="612"/>
      <c r="H5504" s="612"/>
    </row>
    <row r="5505">
      <c r="B5505" s="612"/>
      <c r="H5505" s="612"/>
    </row>
    <row r="5506">
      <c r="B5506" s="612"/>
      <c r="H5506" s="612"/>
    </row>
    <row r="5507">
      <c r="B5507" s="612"/>
      <c r="H5507" s="612"/>
    </row>
    <row r="5508">
      <c r="B5508" s="612"/>
      <c r="H5508" s="612"/>
    </row>
    <row r="5509">
      <c r="B5509" s="612"/>
      <c r="H5509" s="612"/>
    </row>
    <row r="5510">
      <c r="B5510" s="612"/>
      <c r="H5510" s="612"/>
    </row>
    <row r="5511">
      <c r="B5511" s="612"/>
      <c r="H5511" s="612"/>
    </row>
    <row r="5512">
      <c r="B5512" s="612"/>
      <c r="H5512" s="612"/>
    </row>
    <row r="5513">
      <c r="B5513" s="612"/>
      <c r="H5513" s="612"/>
    </row>
    <row r="5514">
      <c r="B5514" s="612"/>
      <c r="H5514" s="612"/>
    </row>
    <row r="5515">
      <c r="B5515" s="612"/>
      <c r="H5515" s="612"/>
    </row>
    <row r="5516">
      <c r="B5516" s="612"/>
      <c r="H5516" s="612"/>
    </row>
    <row r="5517">
      <c r="B5517" s="612"/>
      <c r="H5517" s="612"/>
    </row>
    <row r="5518">
      <c r="B5518" s="612"/>
      <c r="H5518" s="612"/>
    </row>
    <row r="5519">
      <c r="B5519" s="612"/>
      <c r="H5519" s="612"/>
    </row>
    <row r="5520">
      <c r="B5520" s="612"/>
      <c r="H5520" s="612"/>
    </row>
    <row r="5521">
      <c r="B5521" s="612"/>
      <c r="H5521" s="612"/>
    </row>
    <row r="5522">
      <c r="B5522" s="612"/>
      <c r="H5522" s="612"/>
    </row>
    <row r="5523">
      <c r="B5523" s="612"/>
      <c r="H5523" s="612"/>
    </row>
    <row r="5524">
      <c r="B5524" s="612"/>
      <c r="H5524" s="612"/>
    </row>
    <row r="5525">
      <c r="B5525" s="612"/>
      <c r="H5525" s="612"/>
    </row>
    <row r="5526">
      <c r="B5526" s="612"/>
      <c r="H5526" s="612"/>
    </row>
    <row r="5527">
      <c r="B5527" s="612"/>
      <c r="H5527" s="612"/>
    </row>
    <row r="5528">
      <c r="B5528" s="612"/>
      <c r="H5528" s="612"/>
    </row>
    <row r="5529">
      <c r="B5529" s="612"/>
      <c r="H5529" s="612"/>
    </row>
    <row r="5530">
      <c r="B5530" s="612"/>
      <c r="H5530" s="612"/>
    </row>
    <row r="5531">
      <c r="B5531" s="612"/>
      <c r="H5531" s="612"/>
    </row>
    <row r="5532">
      <c r="B5532" s="612"/>
      <c r="H5532" s="612"/>
    </row>
    <row r="5533">
      <c r="B5533" s="612"/>
      <c r="H5533" s="612"/>
    </row>
    <row r="5534">
      <c r="B5534" s="612"/>
      <c r="H5534" s="612"/>
    </row>
    <row r="5535">
      <c r="B5535" s="612"/>
      <c r="H5535" s="612"/>
    </row>
    <row r="5536">
      <c r="B5536" s="612"/>
      <c r="H5536" s="612"/>
    </row>
    <row r="5537">
      <c r="B5537" s="612"/>
      <c r="H5537" s="612"/>
    </row>
    <row r="5538">
      <c r="B5538" s="612"/>
      <c r="H5538" s="612"/>
    </row>
    <row r="5539">
      <c r="B5539" s="612"/>
      <c r="H5539" s="612"/>
    </row>
    <row r="5540">
      <c r="B5540" s="612"/>
      <c r="H5540" s="612"/>
    </row>
    <row r="5541">
      <c r="B5541" s="612"/>
      <c r="H5541" s="612"/>
    </row>
    <row r="5542">
      <c r="B5542" s="612"/>
      <c r="H5542" s="612"/>
    </row>
    <row r="5543">
      <c r="B5543" s="612"/>
      <c r="H5543" s="612"/>
    </row>
    <row r="5544">
      <c r="B5544" s="612"/>
      <c r="H5544" s="612"/>
    </row>
    <row r="5545">
      <c r="B5545" s="612"/>
      <c r="H5545" s="612"/>
    </row>
    <row r="5546">
      <c r="B5546" s="612"/>
      <c r="H5546" s="612"/>
    </row>
    <row r="5547">
      <c r="B5547" s="612"/>
      <c r="H5547" s="612"/>
    </row>
    <row r="5548">
      <c r="B5548" s="612"/>
      <c r="H5548" s="612"/>
    </row>
    <row r="5549">
      <c r="B5549" s="612"/>
      <c r="H5549" s="612"/>
    </row>
    <row r="5550">
      <c r="B5550" s="612"/>
      <c r="H5550" s="612"/>
    </row>
    <row r="5551">
      <c r="B5551" s="612"/>
      <c r="H5551" s="612"/>
    </row>
    <row r="5552">
      <c r="B5552" s="612"/>
      <c r="H5552" s="612"/>
    </row>
    <row r="5553">
      <c r="B5553" s="612"/>
      <c r="H5553" s="612"/>
    </row>
    <row r="5554">
      <c r="B5554" s="612"/>
      <c r="H5554" s="612"/>
    </row>
    <row r="5555">
      <c r="B5555" s="612"/>
      <c r="H5555" s="612"/>
    </row>
    <row r="5556">
      <c r="B5556" s="612"/>
      <c r="H5556" s="612"/>
    </row>
    <row r="5557">
      <c r="B5557" s="612"/>
      <c r="H5557" s="612"/>
    </row>
    <row r="5558">
      <c r="B5558" s="612"/>
      <c r="H5558" s="612"/>
    </row>
    <row r="5559">
      <c r="B5559" s="612"/>
      <c r="H5559" s="612"/>
    </row>
    <row r="5560">
      <c r="B5560" s="612"/>
      <c r="H5560" s="612"/>
    </row>
    <row r="5561">
      <c r="B5561" s="612"/>
      <c r="H5561" s="612"/>
    </row>
    <row r="5562">
      <c r="B5562" s="612"/>
      <c r="H5562" s="612"/>
    </row>
    <row r="5563">
      <c r="B5563" s="612"/>
      <c r="H5563" s="612"/>
    </row>
    <row r="5564">
      <c r="B5564" s="612"/>
      <c r="H5564" s="612"/>
    </row>
    <row r="5565">
      <c r="B5565" s="612"/>
      <c r="H5565" s="612"/>
    </row>
    <row r="5566">
      <c r="B5566" s="612"/>
      <c r="H5566" s="612"/>
    </row>
    <row r="5567">
      <c r="B5567" s="612"/>
      <c r="H5567" s="612"/>
    </row>
    <row r="5568">
      <c r="B5568" s="612"/>
      <c r="H5568" s="612"/>
    </row>
    <row r="5569">
      <c r="B5569" s="612"/>
      <c r="H5569" s="612"/>
    </row>
    <row r="5570">
      <c r="B5570" s="612"/>
      <c r="H5570" s="612"/>
    </row>
    <row r="5571">
      <c r="B5571" s="612"/>
      <c r="H5571" s="612"/>
    </row>
    <row r="5572">
      <c r="B5572" s="612"/>
      <c r="H5572" s="612"/>
    </row>
    <row r="5573">
      <c r="B5573" s="612"/>
      <c r="H5573" s="612"/>
    </row>
    <row r="5574">
      <c r="B5574" s="612"/>
      <c r="H5574" s="612"/>
    </row>
    <row r="5575">
      <c r="B5575" s="612"/>
      <c r="H5575" s="612"/>
    </row>
    <row r="5576">
      <c r="B5576" s="612"/>
      <c r="H5576" s="612"/>
    </row>
    <row r="5577">
      <c r="B5577" s="612"/>
      <c r="H5577" s="612"/>
    </row>
    <row r="5578">
      <c r="B5578" s="612"/>
      <c r="H5578" s="612"/>
    </row>
    <row r="5579">
      <c r="B5579" s="612"/>
      <c r="H5579" s="612"/>
    </row>
    <row r="5580">
      <c r="B5580" s="612"/>
      <c r="H5580" s="612"/>
    </row>
    <row r="5581">
      <c r="B5581" s="612"/>
      <c r="H5581" s="612"/>
    </row>
    <row r="5582">
      <c r="B5582" s="612"/>
      <c r="H5582" s="612"/>
    </row>
    <row r="5583">
      <c r="B5583" s="612"/>
      <c r="H5583" s="612"/>
    </row>
    <row r="5584">
      <c r="B5584" s="612"/>
      <c r="H5584" s="612"/>
    </row>
    <row r="5585">
      <c r="B5585" s="612"/>
      <c r="H5585" s="612"/>
    </row>
    <row r="5586">
      <c r="B5586" s="612"/>
      <c r="H5586" s="612"/>
    </row>
    <row r="5587">
      <c r="B5587" s="612"/>
      <c r="H5587" s="612"/>
    </row>
    <row r="5588">
      <c r="B5588" s="612"/>
      <c r="H5588" s="612"/>
    </row>
    <row r="5589">
      <c r="B5589" s="612"/>
      <c r="H5589" s="612"/>
    </row>
    <row r="5590">
      <c r="B5590" s="612"/>
      <c r="H5590" s="612"/>
    </row>
    <row r="5591">
      <c r="B5591" s="612"/>
      <c r="H5591" s="612"/>
    </row>
    <row r="5592">
      <c r="B5592" s="612"/>
      <c r="H5592" s="612"/>
    </row>
    <row r="5593">
      <c r="B5593" s="612"/>
      <c r="H5593" s="612"/>
    </row>
    <row r="5594">
      <c r="B5594" s="612"/>
      <c r="H5594" s="612"/>
    </row>
    <row r="5595">
      <c r="B5595" s="612"/>
      <c r="H5595" s="612"/>
    </row>
    <row r="5596">
      <c r="B5596" s="612"/>
      <c r="H5596" s="612"/>
    </row>
    <row r="5597">
      <c r="B5597" s="612"/>
      <c r="H5597" s="612"/>
    </row>
    <row r="5598">
      <c r="B5598" s="612"/>
      <c r="H5598" s="612"/>
    </row>
    <row r="5599">
      <c r="B5599" s="612"/>
      <c r="H5599" s="612"/>
    </row>
    <row r="5600">
      <c r="B5600" s="612"/>
      <c r="H5600" s="612"/>
    </row>
    <row r="5601">
      <c r="B5601" s="612"/>
      <c r="H5601" s="612"/>
    </row>
    <row r="5602">
      <c r="B5602" s="612"/>
      <c r="H5602" s="612"/>
    </row>
    <row r="5603">
      <c r="B5603" s="612"/>
      <c r="H5603" s="612"/>
    </row>
    <row r="5604">
      <c r="B5604" s="612"/>
      <c r="H5604" s="612"/>
    </row>
    <row r="5605">
      <c r="B5605" s="612"/>
      <c r="H5605" s="612"/>
    </row>
    <row r="5606">
      <c r="B5606" s="612"/>
      <c r="H5606" s="612"/>
    </row>
    <row r="5607">
      <c r="B5607" s="612"/>
      <c r="H5607" s="612"/>
    </row>
    <row r="5608">
      <c r="B5608" s="612"/>
      <c r="H5608" s="612"/>
    </row>
    <row r="5609">
      <c r="B5609" s="612"/>
      <c r="H5609" s="612"/>
    </row>
    <row r="5610">
      <c r="B5610" s="612"/>
      <c r="H5610" s="612"/>
    </row>
    <row r="5611">
      <c r="B5611" s="612"/>
      <c r="H5611" s="612"/>
    </row>
    <row r="5612">
      <c r="B5612" s="612"/>
      <c r="H5612" s="612"/>
    </row>
    <row r="5613">
      <c r="B5613" s="612"/>
      <c r="H5613" s="612"/>
    </row>
    <row r="5614">
      <c r="B5614" s="612"/>
      <c r="H5614" s="612"/>
    </row>
    <row r="5615">
      <c r="B5615" s="612"/>
      <c r="H5615" s="612"/>
    </row>
    <row r="5616">
      <c r="B5616" s="612"/>
      <c r="H5616" s="612"/>
    </row>
    <row r="5617">
      <c r="B5617" s="612"/>
      <c r="H5617" s="612"/>
    </row>
    <row r="5618">
      <c r="B5618" s="612"/>
      <c r="H5618" s="612"/>
    </row>
    <row r="5619">
      <c r="B5619" s="612"/>
      <c r="H5619" s="612"/>
    </row>
    <row r="5620">
      <c r="B5620" s="612"/>
      <c r="H5620" s="612"/>
    </row>
    <row r="5621">
      <c r="B5621" s="612"/>
      <c r="H5621" s="612"/>
    </row>
    <row r="5622">
      <c r="B5622" s="612"/>
      <c r="H5622" s="612"/>
    </row>
    <row r="5623">
      <c r="B5623" s="612"/>
      <c r="H5623" s="612"/>
    </row>
    <row r="5624">
      <c r="B5624" s="612"/>
      <c r="H5624" s="612"/>
    </row>
    <row r="5625">
      <c r="B5625" s="612"/>
      <c r="H5625" s="612"/>
    </row>
    <row r="5626">
      <c r="B5626" s="612"/>
      <c r="H5626" s="612"/>
    </row>
    <row r="5627">
      <c r="B5627" s="612"/>
      <c r="H5627" s="612"/>
    </row>
    <row r="5628">
      <c r="B5628" s="612"/>
      <c r="H5628" s="612"/>
    </row>
    <row r="5629">
      <c r="B5629" s="612"/>
      <c r="H5629" s="612"/>
    </row>
    <row r="5630">
      <c r="B5630" s="612"/>
      <c r="H5630" s="612"/>
    </row>
    <row r="5631">
      <c r="B5631" s="612"/>
      <c r="H5631" s="612"/>
    </row>
    <row r="5632">
      <c r="B5632" s="612"/>
      <c r="H5632" s="612"/>
    </row>
    <row r="5633">
      <c r="B5633" s="612"/>
      <c r="H5633" s="612"/>
    </row>
    <row r="5634">
      <c r="B5634" s="612"/>
      <c r="H5634" s="612"/>
    </row>
    <row r="5635">
      <c r="B5635" s="612"/>
      <c r="H5635" s="612"/>
    </row>
    <row r="5636">
      <c r="B5636" s="612"/>
      <c r="H5636" s="612"/>
    </row>
    <row r="5637">
      <c r="B5637" s="612"/>
      <c r="H5637" s="612"/>
    </row>
    <row r="5638">
      <c r="B5638" s="612"/>
      <c r="H5638" s="612"/>
    </row>
    <row r="5639">
      <c r="B5639" s="612"/>
      <c r="H5639" s="612"/>
    </row>
    <row r="5640">
      <c r="B5640" s="612"/>
      <c r="H5640" s="612"/>
    </row>
    <row r="5641">
      <c r="B5641" s="612"/>
      <c r="H5641" s="612"/>
    </row>
    <row r="5642">
      <c r="B5642" s="612"/>
      <c r="H5642" s="612"/>
    </row>
    <row r="5643">
      <c r="B5643" s="612"/>
      <c r="H5643" s="612"/>
    </row>
    <row r="5644">
      <c r="B5644" s="612"/>
      <c r="H5644" s="612"/>
    </row>
    <row r="5645">
      <c r="B5645" s="612"/>
      <c r="H5645" s="612"/>
    </row>
    <row r="5646">
      <c r="B5646" s="612"/>
      <c r="H5646" s="612"/>
    </row>
    <row r="5647">
      <c r="B5647" s="612"/>
      <c r="H5647" s="612"/>
    </row>
    <row r="5648">
      <c r="B5648" s="612"/>
      <c r="H5648" s="612"/>
    </row>
    <row r="5649">
      <c r="B5649" s="612"/>
      <c r="H5649" s="612"/>
    </row>
    <row r="5650">
      <c r="B5650" s="612"/>
      <c r="H5650" s="612"/>
    </row>
    <row r="5651">
      <c r="B5651" s="612"/>
      <c r="H5651" s="612"/>
    </row>
    <row r="5652">
      <c r="B5652" s="612"/>
      <c r="H5652" s="612"/>
    </row>
    <row r="5653">
      <c r="B5653" s="612"/>
      <c r="H5653" s="612"/>
    </row>
    <row r="5654">
      <c r="B5654" s="612"/>
      <c r="H5654" s="612"/>
    </row>
    <row r="5655">
      <c r="B5655" s="612"/>
      <c r="H5655" s="612"/>
    </row>
    <row r="5656">
      <c r="B5656" s="612"/>
      <c r="H5656" s="612"/>
    </row>
    <row r="5657">
      <c r="B5657" s="612"/>
      <c r="H5657" s="612"/>
    </row>
    <row r="5658">
      <c r="B5658" s="612"/>
      <c r="H5658" s="612"/>
    </row>
    <row r="5659">
      <c r="B5659" s="612"/>
      <c r="H5659" s="612"/>
    </row>
    <row r="5660">
      <c r="B5660" s="612"/>
      <c r="H5660" s="612"/>
    </row>
    <row r="5661">
      <c r="B5661" s="612"/>
      <c r="H5661" s="612"/>
    </row>
    <row r="5662">
      <c r="B5662" s="612"/>
      <c r="H5662" s="612"/>
    </row>
    <row r="5663">
      <c r="B5663" s="612"/>
      <c r="H5663" s="612"/>
    </row>
    <row r="5664">
      <c r="B5664" s="612"/>
      <c r="H5664" s="612"/>
    </row>
    <row r="5665">
      <c r="B5665" s="612"/>
      <c r="H5665" s="612"/>
    </row>
    <row r="5666">
      <c r="B5666" s="612"/>
      <c r="H5666" s="612"/>
    </row>
    <row r="5667">
      <c r="B5667" s="612"/>
      <c r="H5667" s="612"/>
    </row>
    <row r="5668">
      <c r="B5668" s="612"/>
      <c r="H5668" s="612"/>
    </row>
    <row r="5669">
      <c r="B5669" s="612"/>
      <c r="H5669" s="612"/>
    </row>
    <row r="5670">
      <c r="B5670" s="612"/>
      <c r="H5670" s="612"/>
    </row>
    <row r="5671">
      <c r="B5671" s="612"/>
      <c r="H5671" s="612"/>
    </row>
    <row r="5672">
      <c r="B5672" s="612"/>
      <c r="H5672" s="612"/>
    </row>
    <row r="5673">
      <c r="B5673" s="612"/>
      <c r="H5673" s="612"/>
    </row>
    <row r="5674">
      <c r="B5674" s="612"/>
      <c r="H5674" s="612"/>
    </row>
    <row r="5675">
      <c r="B5675" s="612"/>
      <c r="H5675" s="612"/>
    </row>
    <row r="5676">
      <c r="B5676" s="612"/>
      <c r="H5676" s="612"/>
    </row>
    <row r="5677">
      <c r="B5677" s="612"/>
      <c r="H5677" s="612"/>
    </row>
    <row r="5678">
      <c r="B5678" s="612"/>
      <c r="H5678" s="612"/>
    </row>
    <row r="5679">
      <c r="B5679" s="612"/>
      <c r="H5679" s="612"/>
    </row>
    <row r="5680">
      <c r="B5680" s="612"/>
      <c r="H5680" s="612"/>
    </row>
    <row r="5681">
      <c r="B5681" s="612"/>
      <c r="H5681" s="612"/>
    </row>
    <row r="5682">
      <c r="B5682" s="612"/>
      <c r="H5682" s="612"/>
    </row>
    <row r="5683">
      <c r="B5683" s="612"/>
      <c r="H5683" s="612"/>
    </row>
    <row r="5684">
      <c r="B5684" s="612"/>
      <c r="H5684" s="612"/>
    </row>
    <row r="5685">
      <c r="B5685" s="612"/>
      <c r="H5685" s="612"/>
    </row>
    <row r="5686">
      <c r="B5686" s="612"/>
      <c r="H5686" s="612"/>
    </row>
    <row r="5687">
      <c r="B5687" s="612"/>
      <c r="H5687" s="612"/>
    </row>
    <row r="5688">
      <c r="B5688" s="612"/>
      <c r="H5688" s="612"/>
    </row>
    <row r="5689">
      <c r="B5689" s="612"/>
      <c r="H5689" s="612"/>
    </row>
    <row r="5690">
      <c r="B5690" s="612"/>
      <c r="H5690" s="612"/>
    </row>
    <row r="5691">
      <c r="B5691" s="612"/>
      <c r="H5691" s="612"/>
    </row>
    <row r="5692">
      <c r="B5692" s="612"/>
      <c r="H5692" s="612"/>
    </row>
    <row r="5693">
      <c r="B5693" s="612"/>
      <c r="H5693" s="612"/>
    </row>
    <row r="5694">
      <c r="B5694" s="612"/>
      <c r="H5694" s="612"/>
    </row>
    <row r="5695">
      <c r="B5695" s="612"/>
      <c r="H5695" s="612"/>
    </row>
    <row r="5696">
      <c r="B5696" s="612"/>
      <c r="H5696" s="612"/>
    </row>
    <row r="5697">
      <c r="B5697" s="612"/>
      <c r="H5697" s="612"/>
    </row>
    <row r="5698">
      <c r="B5698" s="612"/>
      <c r="H5698" s="612"/>
    </row>
    <row r="5699">
      <c r="B5699" s="612"/>
      <c r="H5699" s="612"/>
    </row>
    <row r="5700">
      <c r="B5700" s="612"/>
      <c r="H5700" s="612"/>
    </row>
    <row r="5701">
      <c r="B5701" s="612"/>
      <c r="H5701" s="612"/>
    </row>
    <row r="5702">
      <c r="B5702" s="612"/>
      <c r="H5702" s="612"/>
    </row>
    <row r="5703">
      <c r="B5703" s="612"/>
      <c r="H5703" s="612"/>
    </row>
    <row r="5704">
      <c r="B5704" s="612"/>
      <c r="H5704" s="612"/>
    </row>
    <row r="5705">
      <c r="B5705" s="612"/>
      <c r="H5705" s="612"/>
    </row>
    <row r="5706">
      <c r="B5706" s="612"/>
      <c r="H5706" s="612"/>
    </row>
    <row r="5707">
      <c r="B5707" s="612"/>
      <c r="H5707" s="612"/>
    </row>
    <row r="5708">
      <c r="B5708" s="612"/>
      <c r="H5708" s="612"/>
    </row>
    <row r="5709">
      <c r="B5709" s="612"/>
      <c r="H5709" s="612"/>
    </row>
    <row r="5710">
      <c r="B5710" s="612"/>
      <c r="H5710" s="612"/>
    </row>
    <row r="5711">
      <c r="B5711" s="612"/>
      <c r="H5711" s="612"/>
    </row>
    <row r="5712">
      <c r="B5712" s="612"/>
      <c r="H5712" s="612"/>
    </row>
    <row r="5713">
      <c r="B5713" s="612"/>
      <c r="H5713" s="612"/>
    </row>
    <row r="5714">
      <c r="B5714" s="612"/>
      <c r="H5714" s="612"/>
    </row>
    <row r="5715">
      <c r="B5715" s="612"/>
      <c r="H5715" s="612"/>
    </row>
    <row r="5716">
      <c r="B5716" s="612"/>
      <c r="H5716" s="612"/>
    </row>
    <row r="5717">
      <c r="B5717" s="612"/>
      <c r="H5717" s="612"/>
    </row>
    <row r="5718">
      <c r="B5718" s="612"/>
      <c r="H5718" s="612"/>
    </row>
    <row r="5719">
      <c r="B5719" s="612"/>
      <c r="H5719" s="612"/>
    </row>
    <row r="5720">
      <c r="B5720" s="612"/>
      <c r="H5720" s="612"/>
    </row>
    <row r="5721">
      <c r="B5721" s="612"/>
      <c r="H5721" s="612"/>
    </row>
    <row r="5722">
      <c r="B5722" s="612"/>
      <c r="H5722" s="612"/>
    </row>
    <row r="5723">
      <c r="B5723" s="612"/>
      <c r="H5723" s="612"/>
    </row>
    <row r="5724">
      <c r="B5724" s="612"/>
      <c r="H5724" s="612"/>
    </row>
    <row r="5725">
      <c r="B5725" s="612"/>
      <c r="H5725" s="612"/>
    </row>
    <row r="5726">
      <c r="B5726" s="612"/>
      <c r="H5726" s="612"/>
    </row>
    <row r="5727">
      <c r="B5727" s="612"/>
      <c r="H5727" s="612"/>
    </row>
    <row r="5728">
      <c r="B5728" s="612"/>
      <c r="H5728" s="612"/>
    </row>
    <row r="5729">
      <c r="B5729" s="612"/>
      <c r="H5729" s="612"/>
    </row>
    <row r="5730">
      <c r="B5730" s="612"/>
      <c r="H5730" s="612"/>
    </row>
    <row r="5731">
      <c r="B5731" s="612"/>
      <c r="H5731" s="612"/>
    </row>
    <row r="5732">
      <c r="B5732" s="612"/>
      <c r="H5732" s="612"/>
    </row>
    <row r="5733">
      <c r="B5733" s="612"/>
      <c r="H5733" s="612"/>
    </row>
    <row r="5734">
      <c r="B5734" s="612"/>
      <c r="H5734" s="612"/>
    </row>
    <row r="5735">
      <c r="B5735" s="612"/>
      <c r="H5735" s="612"/>
    </row>
    <row r="5736">
      <c r="B5736" s="612"/>
      <c r="H5736" s="612"/>
    </row>
    <row r="5737">
      <c r="B5737" s="612"/>
      <c r="H5737" s="612"/>
    </row>
    <row r="5738">
      <c r="B5738" s="612"/>
      <c r="H5738" s="612"/>
    </row>
    <row r="5739">
      <c r="B5739" s="612"/>
      <c r="H5739" s="612"/>
    </row>
    <row r="5740">
      <c r="B5740" s="612"/>
      <c r="H5740" s="612"/>
    </row>
    <row r="5741">
      <c r="B5741" s="612"/>
      <c r="H5741" s="612"/>
    </row>
    <row r="5742">
      <c r="B5742" s="612"/>
      <c r="H5742" s="612"/>
    </row>
    <row r="5743">
      <c r="B5743" s="612"/>
      <c r="H5743" s="612"/>
    </row>
    <row r="5744">
      <c r="B5744" s="612"/>
      <c r="H5744" s="612"/>
    </row>
    <row r="5745">
      <c r="B5745" s="612"/>
      <c r="H5745" s="612"/>
    </row>
    <row r="5746">
      <c r="B5746" s="612"/>
      <c r="H5746" s="612"/>
    </row>
    <row r="5747">
      <c r="B5747" s="612"/>
      <c r="H5747" s="612"/>
    </row>
    <row r="5748">
      <c r="B5748" s="612"/>
      <c r="H5748" s="612"/>
    </row>
    <row r="5749">
      <c r="B5749" s="612"/>
      <c r="H5749" s="612"/>
    </row>
    <row r="5750">
      <c r="B5750" s="612"/>
      <c r="H5750" s="612"/>
    </row>
    <row r="5751">
      <c r="B5751" s="612"/>
      <c r="H5751" s="612"/>
    </row>
    <row r="5752">
      <c r="B5752" s="612"/>
      <c r="H5752" s="612"/>
    </row>
    <row r="5753">
      <c r="B5753" s="612"/>
      <c r="H5753" s="612"/>
    </row>
    <row r="5754">
      <c r="B5754" s="612"/>
      <c r="H5754" s="612"/>
    </row>
    <row r="5755">
      <c r="B5755" s="612"/>
      <c r="H5755" s="612"/>
    </row>
    <row r="5756">
      <c r="B5756" s="612"/>
      <c r="H5756" s="612"/>
    </row>
    <row r="5757">
      <c r="B5757" s="612"/>
      <c r="H5757" s="612"/>
    </row>
    <row r="5758">
      <c r="B5758" s="612"/>
      <c r="H5758" s="612"/>
    </row>
    <row r="5759">
      <c r="B5759" s="612"/>
      <c r="H5759" s="612"/>
    </row>
    <row r="5760">
      <c r="B5760" s="612"/>
      <c r="H5760" s="612"/>
    </row>
    <row r="5761">
      <c r="B5761" s="612"/>
      <c r="H5761" s="612"/>
    </row>
    <row r="5762">
      <c r="B5762" s="612"/>
      <c r="H5762" s="612"/>
    </row>
    <row r="5763">
      <c r="B5763" s="612"/>
      <c r="H5763" s="612"/>
    </row>
    <row r="5764">
      <c r="B5764" s="612"/>
      <c r="H5764" s="612"/>
    </row>
    <row r="5765">
      <c r="B5765" s="612"/>
      <c r="H5765" s="612"/>
    </row>
    <row r="5766">
      <c r="B5766" s="612"/>
      <c r="H5766" s="612"/>
    </row>
    <row r="5767">
      <c r="B5767" s="612"/>
      <c r="H5767" s="612"/>
    </row>
    <row r="5768">
      <c r="B5768" s="612"/>
      <c r="H5768" s="612"/>
    </row>
    <row r="5769">
      <c r="B5769" s="612"/>
      <c r="H5769" s="612"/>
    </row>
    <row r="5770">
      <c r="B5770" s="612"/>
      <c r="H5770" s="612"/>
    </row>
    <row r="5771">
      <c r="B5771" s="612"/>
      <c r="H5771" s="612"/>
    </row>
    <row r="5772">
      <c r="B5772" s="612"/>
      <c r="H5772" s="612"/>
    </row>
    <row r="5773">
      <c r="B5773" s="612"/>
      <c r="H5773" s="612"/>
    </row>
    <row r="5774">
      <c r="B5774" s="612"/>
      <c r="H5774" s="612"/>
    </row>
    <row r="5775">
      <c r="B5775" s="612"/>
      <c r="H5775" s="612"/>
    </row>
    <row r="5776">
      <c r="B5776" s="612"/>
      <c r="H5776" s="612"/>
    </row>
    <row r="5777">
      <c r="B5777" s="612"/>
      <c r="H5777" s="612"/>
    </row>
    <row r="5778">
      <c r="B5778" s="612"/>
      <c r="H5778" s="612"/>
    </row>
    <row r="5779">
      <c r="B5779" s="612"/>
      <c r="H5779" s="612"/>
    </row>
    <row r="5780">
      <c r="B5780" s="612"/>
      <c r="H5780" s="612"/>
    </row>
    <row r="5781">
      <c r="B5781" s="612"/>
      <c r="H5781" s="612"/>
    </row>
    <row r="5782">
      <c r="B5782" s="612"/>
      <c r="H5782" s="612"/>
    </row>
    <row r="5783">
      <c r="B5783" s="612"/>
      <c r="H5783" s="612"/>
    </row>
    <row r="5784">
      <c r="B5784" s="612"/>
      <c r="H5784" s="612"/>
    </row>
    <row r="5785">
      <c r="B5785" s="612"/>
      <c r="H5785" s="612"/>
    </row>
    <row r="5786">
      <c r="B5786" s="612"/>
      <c r="H5786" s="612"/>
    </row>
    <row r="5787">
      <c r="B5787" s="612"/>
      <c r="H5787" s="612"/>
    </row>
    <row r="5788">
      <c r="B5788" s="612"/>
      <c r="H5788" s="612"/>
    </row>
    <row r="5789">
      <c r="B5789" s="612"/>
      <c r="H5789" s="612"/>
    </row>
    <row r="5790">
      <c r="B5790" s="612"/>
      <c r="H5790" s="612"/>
    </row>
    <row r="5791">
      <c r="B5791" s="612"/>
      <c r="H5791" s="612"/>
    </row>
    <row r="5792">
      <c r="B5792" s="612"/>
      <c r="H5792" s="612"/>
    </row>
    <row r="5793">
      <c r="B5793" s="612"/>
      <c r="H5793" s="612"/>
    </row>
    <row r="5794">
      <c r="B5794" s="612"/>
      <c r="H5794" s="612"/>
    </row>
    <row r="5795">
      <c r="B5795" s="612"/>
      <c r="H5795" s="612"/>
    </row>
    <row r="5796">
      <c r="B5796" s="612"/>
      <c r="H5796" s="612"/>
    </row>
    <row r="5797">
      <c r="B5797" s="612"/>
      <c r="H5797" s="612"/>
    </row>
    <row r="5798">
      <c r="B5798" s="612"/>
      <c r="H5798" s="612"/>
    </row>
    <row r="5799">
      <c r="B5799" s="612"/>
      <c r="H5799" s="612"/>
    </row>
    <row r="5800">
      <c r="B5800" s="612"/>
      <c r="H5800" s="612"/>
    </row>
    <row r="5801">
      <c r="B5801" s="612"/>
      <c r="H5801" s="612"/>
    </row>
    <row r="5802">
      <c r="B5802" s="612"/>
      <c r="H5802" s="612"/>
    </row>
    <row r="5803">
      <c r="B5803" s="612"/>
      <c r="H5803" s="612"/>
    </row>
    <row r="5804">
      <c r="B5804" s="612"/>
      <c r="H5804" s="612"/>
    </row>
    <row r="5805">
      <c r="B5805" s="612"/>
      <c r="H5805" s="612"/>
    </row>
    <row r="5806">
      <c r="B5806" s="612"/>
      <c r="H5806" s="612"/>
    </row>
    <row r="5807">
      <c r="B5807" s="612"/>
      <c r="H5807" s="612"/>
    </row>
    <row r="5808">
      <c r="B5808" s="612"/>
      <c r="H5808" s="612"/>
    </row>
    <row r="5809">
      <c r="B5809" s="612"/>
      <c r="H5809" s="612"/>
    </row>
    <row r="5810">
      <c r="B5810" s="612"/>
      <c r="H5810" s="612"/>
    </row>
    <row r="5811">
      <c r="B5811" s="612"/>
      <c r="H5811" s="612"/>
    </row>
    <row r="5812">
      <c r="B5812" s="612"/>
      <c r="H5812" s="612"/>
    </row>
    <row r="5813">
      <c r="B5813" s="612"/>
      <c r="H5813" s="612"/>
    </row>
    <row r="5814">
      <c r="B5814" s="612"/>
      <c r="H5814" s="612"/>
    </row>
    <row r="5815">
      <c r="B5815" s="612"/>
      <c r="H5815" s="612"/>
    </row>
    <row r="5816">
      <c r="B5816" s="612"/>
      <c r="H5816" s="612"/>
    </row>
    <row r="5817">
      <c r="B5817" s="612"/>
      <c r="H5817" s="612"/>
    </row>
    <row r="5818">
      <c r="B5818" s="612"/>
      <c r="H5818" s="612"/>
    </row>
    <row r="5819">
      <c r="B5819" s="612"/>
      <c r="H5819" s="612"/>
    </row>
    <row r="5820">
      <c r="B5820" s="612"/>
      <c r="H5820" s="612"/>
    </row>
    <row r="5821">
      <c r="B5821" s="612"/>
      <c r="H5821" s="612"/>
    </row>
    <row r="5822">
      <c r="B5822" s="612"/>
      <c r="H5822" s="612"/>
    </row>
    <row r="5823">
      <c r="B5823" s="612"/>
      <c r="H5823" s="612"/>
    </row>
    <row r="5824">
      <c r="B5824" s="612"/>
      <c r="H5824" s="612"/>
    </row>
    <row r="5825">
      <c r="B5825" s="612"/>
      <c r="H5825" s="612"/>
    </row>
    <row r="5826">
      <c r="B5826" s="612"/>
      <c r="H5826" s="612"/>
    </row>
    <row r="5827">
      <c r="B5827" s="612"/>
      <c r="H5827" s="612"/>
    </row>
    <row r="5828">
      <c r="B5828" s="612"/>
      <c r="H5828" s="612"/>
    </row>
    <row r="5829">
      <c r="B5829" s="612"/>
      <c r="H5829" s="612"/>
    </row>
    <row r="5830">
      <c r="B5830" s="612"/>
      <c r="H5830" s="612"/>
    </row>
    <row r="5831">
      <c r="B5831" s="612"/>
      <c r="H5831" s="612"/>
    </row>
    <row r="5832">
      <c r="B5832" s="612"/>
      <c r="H5832" s="612"/>
    </row>
    <row r="5833">
      <c r="B5833" s="612"/>
      <c r="H5833" s="612"/>
    </row>
    <row r="5834">
      <c r="B5834" s="612"/>
      <c r="H5834" s="612"/>
    </row>
    <row r="5835">
      <c r="B5835" s="612"/>
      <c r="H5835" s="612"/>
    </row>
    <row r="5836">
      <c r="B5836" s="612"/>
      <c r="H5836" s="612"/>
    </row>
    <row r="5837">
      <c r="B5837" s="612"/>
      <c r="H5837" s="612"/>
    </row>
    <row r="5838">
      <c r="B5838" s="612"/>
      <c r="H5838" s="612"/>
    </row>
    <row r="5839">
      <c r="B5839" s="612"/>
      <c r="H5839" s="612"/>
    </row>
    <row r="5840">
      <c r="B5840" s="612"/>
      <c r="H5840" s="612"/>
    </row>
    <row r="5841">
      <c r="B5841" s="612"/>
      <c r="H5841" s="612"/>
    </row>
    <row r="5842">
      <c r="B5842" s="612"/>
      <c r="H5842" s="612"/>
    </row>
    <row r="5843">
      <c r="B5843" s="612"/>
      <c r="H5843" s="612"/>
    </row>
    <row r="5844">
      <c r="B5844" s="612"/>
      <c r="H5844" s="612"/>
    </row>
    <row r="5845">
      <c r="B5845" s="612"/>
      <c r="H5845" s="612"/>
    </row>
    <row r="5846">
      <c r="B5846" s="612"/>
      <c r="H5846" s="612"/>
    </row>
    <row r="5847">
      <c r="B5847" s="612"/>
      <c r="H5847" s="612"/>
    </row>
    <row r="5848">
      <c r="B5848" s="612"/>
      <c r="H5848" s="612"/>
    </row>
    <row r="5849">
      <c r="B5849" s="612"/>
      <c r="H5849" s="612"/>
    </row>
    <row r="5850">
      <c r="B5850" s="612"/>
      <c r="H5850" s="612"/>
    </row>
    <row r="5851">
      <c r="B5851" s="612"/>
      <c r="H5851" s="612"/>
    </row>
    <row r="5852">
      <c r="B5852" s="612"/>
      <c r="H5852" s="612"/>
    </row>
    <row r="5853">
      <c r="B5853" s="612"/>
      <c r="H5853" s="612"/>
    </row>
    <row r="5854">
      <c r="B5854" s="612"/>
      <c r="H5854" s="612"/>
    </row>
    <row r="5855">
      <c r="B5855" s="612"/>
      <c r="H5855" s="612"/>
    </row>
    <row r="5856">
      <c r="B5856" s="612"/>
      <c r="H5856" s="612"/>
    </row>
    <row r="5857">
      <c r="B5857" s="612"/>
      <c r="H5857" s="612"/>
    </row>
    <row r="5858">
      <c r="B5858" s="612"/>
      <c r="H5858" s="612"/>
    </row>
    <row r="5859">
      <c r="B5859" s="612"/>
      <c r="H5859" s="612"/>
    </row>
    <row r="5860">
      <c r="B5860" s="612"/>
      <c r="H5860" s="612"/>
    </row>
    <row r="5861">
      <c r="B5861" s="612"/>
      <c r="H5861" s="612"/>
    </row>
    <row r="5862">
      <c r="B5862" s="612"/>
      <c r="H5862" s="612"/>
    </row>
    <row r="5863">
      <c r="B5863" s="612"/>
      <c r="H5863" s="612"/>
    </row>
    <row r="5864">
      <c r="B5864" s="612"/>
      <c r="H5864" s="612"/>
    </row>
    <row r="5865">
      <c r="B5865" s="612"/>
      <c r="H5865" s="612"/>
    </row>
    <row r="5866">
      <c r="B5866" s="612"/>
      <c r="H5866" s="612"/>
    </row>
    <row r="5867">
      <c r="B5867" s="612"/>
      <c r="H5867" s="612"/>
    </row>
    <row r="5868">
      <c r="B5868" s="612"/>
      <c r="H5868" s="612"/>
    </row>
    <row r="5869">
      <c r="B5869" s="612"/>
      <c r="H5869" s="612"/>
    </row>
    <row r="5870">
      <c r="B5870" s="612"/>
      <c r="H5870" s="612"/>
    </row>
    <row r="5871">
      <c r="B5871" s="612"/>
      <c r="H5871" s="612"/>
    </row>
    <row r="5872">
      <c r="B5872" s="612"/>
      <c r="H5872" s="612"/>
    </row>
    <row r="5873">
      <c r="B5873" s="612"/>
      <c r="H5873" s="612"/>
    </row>
    <row r="5874">
      <c r="B5874" s="612"/>
      <c r="H5874" s="612"/>
    </row>
    <row r="5875">
      <c r="B5875" s="612"/>
      <c r="H5875" s="612"/>
    </row>
    <row r="5876">
      <c r="B5876" s="612"/>
      <c r="H5876" s="612"/>
    </row>
    <row r="5877">
      <c r="B5877" s="612"/>
      <c r="H5877" s="612"/>
    </row>
    <row r="5878">
      <c r="B5878" s="612"/>
      <c r="H5878" s="612"/>
    </row>
    <row r="5879">
      <c r="B5879" s="612"/>
      <c r="H5879" s="612"/>
    </row>
    <row r="5880">
      <c r="B5880" s="612"/>
      <c r="H5880" s="612"/>
    </row>
    <row r="5881">
      <c r="B5881" s="612"/>
      <c r="H5881" s="612"/>
    </row>
    <row r="5882">
      <c r="B5882" s="612"/>
      <c r="H5882" s="612"/>
    </row>
    <row r="5883">
      <c r="B5883" s="612"/>
      <c r="H5883" s="612"/>
    </row>
    <row r="5884">
      <c r="B5884" s="612"/>
      <c r="H5884" s="612"/>
    </row>
    <row r="5885">
      <c r="B5885" s="612"/>
      <c r="H5885" s="612"/>
    </row>
    <row r="5886">
      <c r="B5886" s="612"/>
      <c r="H5886" s="612"/>
    </row>
    <row r="5887">
      <c r="B5887" s="612"/>
      <c r="H5887" s="612"/>
    </row>
    <row r="5888">
      <c r="B5888" s="612"/>
      <c r="H5888" s="612"/>
    </row>
    <row r="5889">
      <c r="B5889" s="612"/>
      <c r="H5889" s="612"/>
    </row>
    <row r="5890">
      <c r="B5890" s="612"/>
      <c r="H5890" s="612"/>
    </row>
    <row r="5891">
      <c r="B5891" s="612"/>
      <c r="H5891" s="612"/>
    </row>
    <row r="5892">
      <c r="B5892" s="612"/>
      <c r="H5892" s="612"/>
    </row>
    <row r="5893">
      <c r="B5893" s="612"/>
      <c r="H5893" s="612"/>
    </row>
    <row r="5894">
      <c r="B5894" s="612"/>
      <c r="H5894" s="612"/>
    </row>
    <row r="5895">
      <c r="B5895" s="612"/>
      <c r="H5895" s="612"/>
    </row>
    <row r="5896">
      <c r="B5896" s="612"/>
      <c r="H5896" s="612"/>
    </row>
    <row r="5897">
      <c r="B5897" s="612"/>
      <c r="H5897" s="612"/>
    </row>
    <row r="5898">
      <c r="B5898" s="612"/>
      <c r="H5898" s="612"/>
    </row>
    <row r="5899">
      <c r="B5899" s="612"/>
      <c r="H5899" s="612"/>
    </row>
    <row r="5900">
      <c r="B5900" s="612"/>
      <c r="H5900" s="612"/>
    </row>
    <row r="5901">
      <c r="B5901" s="612"/>
      <c r="H5901" s="612"/>
    </row>
    <row r="5902">
      <c r="B5902" s="612"/>
      <c r="H5902" s="612"/>
    </row>
    <row r="5903">
      <c r="B5903" s="612"/>
      <c r="H5903" s="612"/>
    </row>
    <row r="5904">
      <c r="B5904" s="612"/>
      <c r="H5904" s="612"/>
    </row>
    <row r="5905">
      <c r="B5905" s="612"/>
      <c r="H5905" s="612"/>
    </row>
    <row r="5906">
      <c r="B5906" s="612"/>
      <c r="H5906" s="612"/>
    </row>
    <row r="5907">
      <c r="B5907" s="612"/>
      <c r="H5907" s="612"/>
    </row>
    <row r="5908">
      <c r="B5908" s="612"/>
      <c r="H5908" s="612"/>
    </row>
    <row r="5909">
      <c r="B5909" s="612"/>
      <c r="H5909" s="612"/>
    </row>
    <row r="5910">
      <c r="B5910" s="612"/>
      <c r="H5910" s="612"/>
    </row>
    <row r="5911">
      <c r="B5911" s="612"/>
      <c r="H5911" s="612"/>
    </row>
    <row r="5912">
      <c r="B5912" s="612"/>
      <c r="H5912" s="612"/>
    </row>
    <row r="5913">
      <c r="B5913" s="612"/>
      <c r="H5913" s="612"/>
    </row>
    <row r="5914">
      <c r="B5914" s="612"/>
      <c r="H5914" s="612"/>
    </row>
    <row r="5915">
      <c r="B5915" s="612"/>
      <c r="H5915" s="612"/>
    </row>
    <row r="5916">
      <c r="B5916" s="612"/>
      <c r="H5916" s="612"/>
    </row>
    <row r="5917">
      <c r="B5917" s="612"/>
      <c r="H5917" s="612"/>
    </row>
    <row r="5918">
      <c r="B5918" s="612"/>
      <c r="H5918" s="612"/>
    </row>
    <row r="5919">
      <c r="B5919" s="612"/>
      <c r="H5919" s="612"/>
    </row>
    <row r="5920">
      <c r="B5920" s="612"/>
      <c r="H5920" s="612"/>
    </row>
    <row r="5921">
      <c r="B5921" s="612"/>
      <c r="H5921" s="612"/>
    </row>
    <row r="5922">
      <c r="B5922" s="612"/>
      <c r="H5922" s="612"/>
    </row>
    <row r="5923">
      <c r="B5923" s="612"/>
      <c r="H5923" s="612"/>
    </row>
    <row r="5924">
      <c r="B5924" s="612"/>
      <c r="H5924" s="612"/>
    </row>
    <row r="5925">
      <c r="B5925" s="612"/>
      <c r="H5925" s="612"/>
    </row>
    <row r="5926">
      <c r="B5926" s="612"/>
      <c r="H5926" s="612"/>
    </row>
    <row r="5927">
      <c r="B5927" s="612"/>
      <c r="H5927" s="612"/>
    </row>
    <row r="5928">
      <c r="B5928" s="612"/>
      <c r="H5928" s="612"/>
    </row>
    <row r="5929">
      <c r="B5929" s="612"/>
      <c r="H5929" s="612"/>
    </row>
    <row r="5930">
      <c r="B5930" s="612"/>
      <c r="H5930" s="612"/>
    </row>
    <row r="5931">
      <c r="B5931" s="612"/>
      <c r="H5931" s="612"/>
    </row>
    <row r="5932">
      <c r="B5932" s="612"/>
      <c r="H5932" s="612"/>
    </row>
    <row r="5933">
      <c r="B5933" s="612"/>
      <c r="H5933" s="612"/>
    </row>
    <row r="5934">
      <c r="B5934" s="612"/>
      <c r="H5934" s="612"/>
    </row>
    <row r="5935">
      <c r="B5935" s="612"/>
      <c r="H5935" s="612"/>
    </row>
    <row r="5936">
      <c r="B5936" s="612"/>
      <c r="H5936" s="612"/>
    </row>
    <row r="5937">
      <c r="B5937" s="612"/>
      <c r="H5937" s="612"/>
    </row>
    <row r="5938">
      <c r="B5938" s="612"/>
      <c r="H5938" s="612"/>
    </row>
    <row r="5939">
      <c r="B5939" s="612"/>
      <c r="H5939" s="612"/>
    </row>
    <row r="5940">
      <c r="B5940" s="612"/>
      <c r="H5940" s="612"/>
    </row>
    <row r="5941">
      <c r="B5941" s="612"/>
      <c r="H5941" s="612"/>
    </row>
    <row r="5942">
      <c r="B5942" s="612"/>
      <c r="H5942" s="612"/>
    </row>
    <row r="5943">
      <c r="B5943" s="612"/>
      <c r="H5943" s="612"/>
    </row>
    <row r="5944">
      <c r="B5944" s="612"/>
      <c r="H5944" s="612"/>
    </row>
    <row r="5945">
      <c r="B5945" s="612"/>
      <c r="H5945" s="612"/>
    </row>
    <row r="5946">
      <c r="B5946" s="612"/>
      <c r="H5946" s="612"/>
    </row>
    <row r="5947">
      <c r="B5947" s="612"/>
      <c r="H5947" s="612"/>
    </row>
    <row r="5948">
      <c r="B5948" s="612"/>
      <c r="H5948" s="612"/>
    </row>
    <row r="5949">
      <c r="B5949" s="612"/>
      <c r="H5949" s="612"/>
    </row>
    <row r="5950">
      <c r="B5950" s="612"/>
      <c r="H5950" s="612"/>
    </row>
    <row r="5951">
      <c r="B5951" s="612"/>
      <c r="H5951" s="612"/>
    </row>
    <row r="5952">
      <c r="B5952" s="612"/>
      <c r="H5952" s="612"/>
    </row>
    <row r="5953">
      <c r="B5953" s="612"/>
      <c r="H5953" s="612"/>
    </row>
    <row r="5954">
      <c r="B5954" s="612"/>
      <c r="H5954" s="612"/>
    </row>
    <row r="5955">
      <c r="B5955" s="612"/>
      <c r="H5955" s="612"/>
    </row>
    <row r="5956">
      <c r="B5956" s="612"/>
      <c r="H5956" s="612"/>
    </row>
    <row r="5957">
      <c r="B5957" s="612"/>
      <c r="H5957" s="612"/>
    </row>
    <row r="5958">
      <c r="B5958" s="612"/>
      <c r="H5958" s="612"/>
    </row>
    <row r="5959">
      <c r="B5959" s="612"/>
      <c r="H5959" s="612"/>
    </row>
    <row r="5960">
      <c r="B5960" s="612"/>
      <c r="H5960" s="612"/>
    </row>
    <row r="5961">
      <c r="B5961" s="612"/>
      <c r="H5961" s="612"/>
    </row>
    <row r="5962">
      <c r="B5962" s="612"/>
      <c r="H5962" s="612"/>
    </row>
    <row r="5963">
      <c r="B5963" s="612"/>
      <c r="H5963" s="612"/>
    </row>
    <row r="5964">
      <c r="B5964" s="612"/>
      <c r="H5964" s="612"/>
    </row>
    <row r="5965">
      <c r="B5965" s="612"/>
      <c r="H5965" s="612"/>
    </row>
    <row r="5966">
      <c r="B5966" s="612"/>
      <c r="H5966" s="612"/>
    </row>
    <row r="5967">
      <c r="B5967" s="612"/>
      <c r="H5967" s="612"/>
    </row>
    <row r="5968">
      <c r="B5968" s="612"/>
      <c r="H5968" s="612"/>
    </row>
    <row r="5969">
      <c r="B5969" s="612"/>
      <c r="H5969" s="612"/>
    </row>
    <row r="5970">
      <c r="B5970" s="612"/>
      <c r="H5970" s="612"/>
    </row>
    <row r="5971">
      <c r="B5971" s="612"/>
      <c r="H5971" s="612"/>
    </row>
    <row r="5972">
      <c r="B5972" s="612"/>
      <c r="H5972" s="612"/>
    </row>
    <row r="5973">
      <c r="B5973" s="612"/>
      <c r="H5973" s="612"/>
    </row>
    <row r="5974">
      <c r="B5974" s="612"/>
      <c r="H5974" s="612"/>
    </row>
    <row r="5975">
      <c r="B5975" s="612"/>
      <c r="H5975" s="612"/>
    </row>
    <row r="5976">
      <c r="B5976" s="612"/>
      <c r="H5976" s="612"/>
    </row>
    <row r="5977">
      <c r="B5977" s="612"/>
      <c r="H5977" s="612"/>
    </row>
    <row r="5978">
      <c r="B5978" s="612"/>
      <c r="H5978" s="612"/>
    </row>
    <row r="5979">
      <c r="B5979" s="612"/>
      <c r="H5979" s="612"/>
    </row>
    <row r="5980">
      <c r="B5980" s="612"/>
      <c r="H5980" s="612"/>
    </row>
    <row r="5981">
      <c r="B5981" s="612"/>
      <c r="H5981" s="612"/>
    </row>
    <row r="5982">
      <c r="B5982" s="612"/>
      <c r="H5982" s="612"/>
    </row>
    <row r="5983">
      <c r="B5983" s="612"/>
      <c r="H5983" s="612"/>
    </row>
    <row r="5984">
      <c r="B5984" s="612"/>
      <c r="H5984" s="612"/>
    </row>
    <row r="5985">
      <c r="B5985" s="612"/>
      <c r="H5985" s="612"/>
    </row>
    <row r="5986">
      <c r="B5986" s="612"/>
      <c r="H5986" s="612"/>
    </row>
    <row r="5987">
      <c r="B5987" s="612"/>
      <c r="H5987" s="612"/>
    </row>
    <row r="5988">
      <c r="B5988" s="612"/>
      <c r="H5988" s="612"/>
    </row>
    <row r="5989">
      <c r="B5989" s="612"/>
      <c r="H5989" s="612"/>
    </row>
    <row r="5990">
      <c r="B5990" s="612"/>
      <c r="H5990" s="612"/>
    </row>
    <row r="5991">
      <c r="B5991" s="612"/>
      <c r="H5991" s="612"/>
    </row>
    <row r="5992">
      <c r="B5992" s="612"/>
      <c r="H5992" s="612"/>
    </row>
    <row r="5993">
      <c r="B5993" s="612"/>
      <c r="H5993" s="612"/>
    </row>
    <row r="5994">
      <c r="B5994" s="612"/>
      <c r="H5994" s="612"/>
    </row>
    <row r="5995">
      <c r="B5995" s="612"/>
      <c r="H5995" s="612"/>
    </row>
    <row r="5996">
      <c r="B5996" s="612"/>
      <c r="H5996" s="612"/>
    </row>
    <row r="5997">
      <c r="B5997" s="612"/>
      <c r="H5997" s="612"/>
    </row>
    <row r="5998">
      <c r="B5998" s="612"/>
      <c r="H5998" s="612"/>
    </row>
    <row r="5999">
      <c r="B5999" s="612"/>
      <c r="H5999" s="612"/>
    </row>
    <row r="6000">
      <c r="B6000" s="612"/>
      <c r="H6000" s="612"/>
    </row>
    <row r="6001">
      <c r="B6001" s="612"/>
      <c r="H6001" s="612"/>
    </row>
    <row r="6002">
      <c r="B6002" s="612"/>
      <c r="H6002" s="612"/>
    </row>
    <row r="6003">
      <c r="B6003" s="612"/>
      <c r="H6003" s="612"/>
    </row>
    <row r="6004">
      <c r="B6004" s="612"/>
      <c r="H6004" s="612"/>
    </row>
    <row r="6005">
      <c r="B6005" s="612"/>
      <c r="H6005" s="612"/>
    </row>
    <row r="6006">
      <c r="B6006" s="612"/>
      <c r="H6006" s="612"/>
    </row>
    <row r="6007">
      <c r="B6007" s="612"/>
      <c r="H6007" s="612"/>
    </row>
    <row r="6008">
      <c r="B6008" s="612"/>
      <c r="H6008" s="612"/>
    </row>
    <row r="6009">
      <c r="B6009" s="612"/>
      <c r="H6009" s="612"/>
    </row>
    <row r="6010">
      <c r="B6010" s="612"/>
      <c r="H6010" s="612"/>
    </row>
    <row r="6011">
      <c r="B6011" s="612"/>
      <c r="H6011" s="612"/>
    </row>
    <row r="6012">
      <c r="B6012" s="612"/>
      <c r="H6012" s="612"/>
    </row>
    <row r="6013">
      <c r="B6013" s="612"/>
      <c r="H6013" s="612"/>
    </row>
    <row r="6014">
      <c r="B6014" s="612"/>
      <c r="H6014" s="612"/>
    </row>
    <row r="6015">
      <c r="B6015" s="612"/>
      <c r="H6015" s="612"/>
    </row>
    <row r="6016">
      <c r="B6016" s="612"/>
      <c r="H6016" s="612"/>
    </row>
    <row r="6017">
      <c r="B6017" s="612"/>
      <c r="H6017" s="612"/>
    </row>
    <row r="6018">
      <c r="B6018" s="612"/>
      <c r="H6018" s="612"/>
    </row>
    <row r="6019">
      <c r="B6019" s="612"/>
      <c r="H6019" s="612"/>
    </row>
    <row r="6020">
      <c r="B6020" s="612"/>
      <c r="H6020" s="612"/>
    </row>
    <row r="6021">
      <c r="B6021" s="612"/>
      <c r="H6021" s="612"/>
    </row>
    <row r="6022">
      <c r="B6022" s="612"/>
      <c r="H6022" s="612"/>
    </row>
    <row r="6023">
      <c r="B6023" s="612"/>
      <c r="H6023" s="612"/>
    </row>
    <row r="6024">
      <c r="B6024" s="612"/>
      <c r="H6024" s="612"/>
    </row>
    <row r="6025">
      <c r="B6025" s="612"/>
      <c r="H6025" s="612"/>
    </row>
    <row r="6026">
      <c r="B6026" s="612"/>
      <c r="H6026" s="612"/>
    </row>
    <row r="6027">
      <c r="B6027" s="612"/>
      <c r="H6027" s="612"/>
    </row>
    <row r="6028">
      <c r="B6028" s="612"/>
      <c r="H6028" s="612"/>
    </row>
    <row r="6029">
      <c r="B6029" s="612"/>
      <c r="H6029" s="612"/>
    </row>
    <row r="6030">
      <c r="B6030" s="612"/>
      <c r="H6030" s="612"/>
    </row>
    <row r="6031">
      <c r="B6031" s="612"/>
      <c r="H6031" s="612"/>
    </row>
    <row r="6032">
      <c r="B6032" s="612"/>
      <c r="H6032" s="612"/>
    </row>
    <row r="6033">
      <c r="B6033" s="612"/>
      <c r="H6033" s="612"/>
    </row>
    <row r="6034">
      <c r="B6034" s="612"/>
      <c r="H6034" s="612"/>
    </row>
    <row r="6035">
      <c r="B6035" s="612"/>
      <c r="H6035" s="612"/>
    </row>
    <row r="6036">
      <c r="B6036" s="612"/>
      <c r="H6036" s="612"/>
    </row>
    <row r="6037">
      <c r="B6037" s="612"/>
      <c r="H6037" s="612"/>
    </row>
    <row r="6038">
      <c r="B6038" s="612"/>
      <c r="H6038" s="612"/>
    </row>
    <row r="6039">
      <c r="B6039" s="612"/>
      <c r="H6039" s="612"/>
    </row>
    <row r="6040">
      <c r="B6040" s="612"/>
      <c r="H6040" s="612"/>
    </row>
    <row r="6041">
      <c r="B6041" s="612"/>
      <c r="H6041" s="612"/>
    </row>
    <row r="6042">
      <c r="B6042" s="612"/>
      <c r="H6042" s="612"/>
    </row>
    <row r="6043">
      <c r="B6043" s="612"/>
      <c r="H6043" s="612"/>
    </row>
    <row r="6044">
      <c r="B6044" s="612"/>
      <c r="H6044" s="612"/>
    </row>
    <row r="6045">
      <c r="B6045" s="612"/>
      <c r="H6045" s="612"/>
    </row>
    <row r="6046">
      <c r="B6046" s="612"/>
      <c r="H6046" s="612"/>
    </row>
    <row r="6047">
      <c r="B6047" s="612"/>
      <c r="H6047" s="612"/>
    </row>
    <row r="6048">
      <c r="B6048" s="612"/>
      <c r="H6048" s="612"/>
    </row>
    <row r="6049">
      <c r="B6049" s="612"/>
      <c r="H6049" s="612"/>
    </row>
    <row r="6050">
      <c r="B6050" s="612"/>
      <c r="H6050" s="612"/>
    </row>
    <row r="6051">
      <c r="B6051" s="612"/>
      <c r="H6051" s="612"/>
    </row>
    <row r="6052">
      <c r="B6052" s="612"/>
      <c r="H6052" s="612"/>
    </row>
    <row r="6053">
      <c r="B6053" s="612"/>
      <c r="H6053" s="612"/>
    </row>
    <row r="6054">
      <c r="B6054" s="612"/>
      <c r="H6054" s="612"/>
    </row>
    <row r="6055">
      <c r="B6055" s="612"/>
      <c r="H6055" s="612"/>
    </row>
    <row r="6056">
      <c r="B6056" s="612"/>
      <c r="H6056" s="612"/>
    </row>
    <row r="6057">
      <c r="B6057" s="612"/>
      <c r="H6057" s="612"/>
    </row>
    <row r="6058">
      <c r="B6058" s="612"/>
      <c r="H6058" s="612"/>
    </row>
    <row r="6059">
      <c r="B6059" s="612"/>
      <c r="H6059" s="612"/>
    </row>
    <row r="6060">
      <c r="B6060" s="612"/>
      <c r="H6060" s="612"/>
    </row>
    <row r="6061">
      <c r="B6061" s="612"/>
      <c r="H6061" s="612"/>
    </row>
    <row r="6062">
      <c r="B6062" s="612"/>
      <c r="H6062" s="612"/>
    </row>
    <row r="6063">
      <c r="B6063" s="612"/>
      <c r="H6063" s="612"/>
    </row>
    <row r="6064">
      <c r="B6064" s="612"/>
      <c r="H6064" s="612"/>
    </row>
    <row r="6065">
      <c r="B6065" s="612"/>
      <c r="H6065" s="612"/>
    </row>
    <row r="6066">
      <c r="B6066" s="612"/>
      <c r="H6066" s="612"/>
    </row>
    <row r="6067">
      <c r="B6067" s="612"/>
      <c r="H6067" s="612"/>
    </row>
    <row r="6068">
      <c r="B6068" s="612"/>
      <c r="H6068" s="612"/>
    </row>
    <row r="6069">
      <c r="B6069" s="612"/>
      <c r="H6069" s="612"/>
    </row>
    <row r="6070">
      <c r="B6070" s="612"/>
      <c r="H6070" s="612"/>
    </row>
    <row r="6071">
      <c r="B6071" s="612"/>
      <c r="H6071" s="612"/>
    </row>
    <row r="6072">
      <c r="B6072" s="612"/>
      <c r="H6072" s="612"/>
    </row>
    <row r="6073">
      <c r="B6073" s="612"/>
      <c r="H6073" s="612"/>
    </row>
    <row r="6074">
      <c r="B6074" s="612"/>
      <c r="H6074" s="612"/>
    </row>
    <row r="6075">
      <c r="B6075" s="612"/>
      <c r="H6075" s="612"/>
    </row>
    <row r="6076">
      <c r="B6076" s="612"/>
      <c r="H6076" s="612"/>
    </row>
    <row r="6077">
      <c r="B6077" s="612"/>
      <c r="H6077" s="612"/>
    </row>
    <row r="6078">
      <c r="B6078" s="612"/>
      <c r="H6078" s="612"/>
    </row>
    <row r="6079">
      <c r="B6079" s="612"/>
      <c r="H6079" s="612"/>
    </row>
    <row r="6080">
      <c r="B6080" s="612"/>
      <c r="H6080" s="612"/>
    </row>
    <row r="6081">
      <c r="B6081" s="612"/>
      <c r="H6081" s="612"/>
    </row>
    <row r="6082">
      <c r="B6082" s="612"/>
      <c r="H6082" s="612"/>
    </row>
    <row r="6083">
      <c r="B6083" s="612"/>
      <c r="H6083" s="612"/>
    </row>
    <row r="6084">
      <c r="B6084" s="612"/>
      <c r="H6084" s="612"/>
    </row>
    <row r="6085">
      <c r="B6085" s="612"/>
      <c r="H6085" s="612"/>
    </row>
    <row r="6086">
      <c r="B6086" s="612"/>
      <c r="H6086" s="612"/>
    </row>
    <row r="6087">
      <c r="B6087" s="612"/>
      <c r="H6087" s="612"/>
    </row>
    <row r="6088">
      <c r="B6088" s="612"/>
      <c r="H6088" s="612"/>
    </row>
    <row r="6089">
      <c r="B6089" s="612"/>
      <c r="H6089" s="612"/>
    </row>
    <row r="6090">
      <c r="B6090" s="612"/>
      <c r="H6090" s="612"/>
    </row>
    <row r="6091">
      <c r="B6091" s="612"/>
      <c r="H6091" s="612"/>
    </row>
    <row r="6092">
      <c r="B6092" s="612"/>
      <c r="H6092" s="612"/>
    </row>
    <row r="6093">
      <c r="B6093" s="612"/>
      <c r="H6093" s="612"/>
    </row>
    <row r="6094">
      <c r="B6094" s="612"/>
      <c r="H6094" s="612"/>
    </row>
    <row r="6095">
      <c r="B6095" s="612"/>
      <c r="H6095" s="612"/>
    </row>
    <row r="6096">
      <c r="B6096" s="612"/>
      <c r="H6096" s="612"/>
    </row>
    <row r="6097">
      <c r="B6097" s="612"/>
      <c r="H6097" s="612"/>
    </row>
    <row r="6098">
      <c r="B6098" s="612"/>
      <c r="H6098" s="612"/>
    </row>
    <row r="6099">
      <c r="B6099" s="612"/>
      <c r="H6099" s="612"/>
    </row>
    <row r="6100">
      <c r="B6100" s="612"/>
      <c r="H6100" s="612"/>
    </row>
    <row r="6101">
      <c r="B6101" s="612"/>
      <c r="H6101" s="612"/>
    </row>
    <row r="6102">
      <c r="B6102" s="612"/>
      <c r="H6102" s="612"/>
    </row>
    <row r="6103">
      <c r="B6103" s="612"/>
      <c r="H6103" s="612"/>
    </row>
    <row r="6104">
      <c r="B6104" s="612"/>
      <c r="H6104" s="612"/>
    </row>
    <row r="6105">
      <c r="B6105" s="612"/>
      <c r="H6105" s="612"/>
    </row>
    <row r="6106">
      <c r="B6106" s="612"/>
      <c r="H6106" s="612"/>
    </row>
    <row r="6107">
      <c r="B6107" s="612"/>
      <c r="H6107" s="612"/>
    </row>
    <row r="6108">
      <c r="B6108" s="612"/>
      <c r="H6108" s="612"/>
    </row>
    <row r="6109">
      <c r="B6109" s="612"/>
      <c r="H6109" s="612"/>
    </row>
    <row r="6110">
      <c r="B6110" s="612"/>
      <c r="H6110" s="612"/>
    </row>
    <row r="6111">
      <c r="B6111" s="612"/>
      <c r="H6111" s="612"/>
    </row>
    <row r="6112">
      <c r="B6112" s="612"/>
      <c r="H6112" s="612"/>
    </row>
    <row r="6113">
      <c r="B6113" s="612"/>
      <c r="H6113" s="612"/>
    </row>
    <row r="6114">
      <c r="B6114" s="612"/>
      <c r="H6114" s="612"/>
    </row>
    <row r="6115">
      <c r="B6115" s="612"/>
      <c r="H6115" s="612"/>
    </row>
    <row r="6116">
      <c r="B6116" s="612"/>
      <c r="H6116" s="612"/>
    </row>
    <row r="6117">
      <c r="B6117" s="612"/>
      <c r="H6117" s="612"/>
    </row>
    <row r="6118">
      <c r="B6118" s="612"/>
      <c r="H6118" s="612"/>
    </row>
    <row r="6119">
      <c r="B6119" s="612"/>
      <c r="H6119" s="612"/>
    </row>
    <row r="6120">
      <c r="B6120" s="612"/>
      <c r="H6120" s="612"/>
    </row>
    <row r="6121">
      <c r="B6121" s="612"/>
      <c r="H6121" s="612"/>
    </row>
    <row r="6122">
      <c r="B6122" s="612"/>
      <c r="H6122" s="612"/>
    </row>
    <row r="6123">
      <c r="B6123" s="612"/>
      <c r="H6123" s="612"/>
    </row>
    <row r="6124">
      <c r="B6124" s="612"/>
      <c r="H6124" s="612"/>
    </row>
    <row r="6125">
      <c r="B6125" s="612"/>
      <c r="H6125" s="612"/>
    </row>
    <row r="6126">
      <c r="B6126" s="612"/>
      <c r="H6126" s="612"/>
    </row>
    <row r="6127">
      <c r="B6127" s="612"/>
      <c r="H6127" s="612"/>
    </row>
    <row r="6128">
      <c r="B6128" s="612"/>
      <c r="H6128" s="612"/>
    </row>
    <row r="6129">
      <c r="B6129" s="612"/>
      <c r="H6129" s="612"/>
    </row>
    <row r="6130">
      <c r="B6130" s="612"/>
      <c r="H6130" s="612"/>
    </row>
    <row r="6131">
      <c r="B6131" s="612"/>
      <c r="H6131" s="612"/>
    </row>
    <row r="6132">
      <c r="B6132" s="612"/>
      <c r="H6132" s="612"/>
    </row>
    <row r="6133">
      <c r="B6133" s="612"/>
      <c r="H6133" s="612"/>
    </row>
    <row r="6134">
      <c r="B6134" s="612"/>
      <c r="H6134" s="612"/>
    </row>
    <row r="6135">
      <c r="B6135" s="612"/>
      <c r="H6135" s="612"/>
    </row>
    <row r="6136">
      <c r="B6136" s="612"/>
      <c r="H6136" s="612"/>
    </row>
    <row r="6137">
      <c r="B6137" s="612"/>
      <c r="H6137" s="612"/>
    </row>
    <row r="6138">
      <c r="B6138" s="612"/>
      <c r="H6138" s="612"/>
    </row>
    <row r="6139">
      <c r="B6139" s="612"/>
      <c r="H6139" s="612"/>
    </row>
    <row r="6140">
      <c r="B6140" s="612"/>
      <c r="H6140" s="612"/>
    </row>
    <row r="6141">
      <c r="B6141" s="612"/>
      <c r="H6141" s="612"/>
    </row>
    <row r="6142">
      <c r="B6142" s="612"/>
      <c r="H6142" s="612"/>
    </row>
    <row r="6143">
      <c r="B6143" s="612"/>
      <c r="H6143" s="612"/>
    </row>
    <row r="6144">
      <c r="B6144" s="612"/>
      <c r="H6144" s="612"/>
    </row>
    <row r="6145">
      <c r="B6145" s="612"/>
      <c r="H6145" s="612"/>
    </row>
    <row r="6146">
      <c r="B6146" s="612"/>
      <c r="H6146" s="612"/>
    </row>
    <row r="6147">
      <c r="B6147" s="612"/>
      <c r="H6147" s="612"/>
    </row>
    <row r="6148">
      <c r="B6148" s="612"/>
      <c r="H6148" s="612"/>
    </row>
    <row r="6149">
      <c r="B6149" s="612"/>
      <c r="H6149" s="612"/>
    </row>
    <row r="6150">
      <c r="B6150" s="612"/>
      <c r="H6150" s="612"/>
    </row>
    <row r="6151">
      <c r="B6151" s="612"/>
      <c r="H6151" s="612"/>
    </row>
    <row r="6152">
      <c r="B6152" s="612"/>
      <c r="H6152" s="612"/>
    </row>
    <row r="6153">
      <c r="B6153" s="612"/>
      <c r="H6153" s="612"/>
    </row>
    <row r="6154">
      <c r="B6154" s="612"/>
      <c r="H6154" s="612"/>
    </row>
    <row r="6155">
      <c r="B6155" s="612"/>
      <c r="H6155" s="612"/>
    </row>
    <row r="6156">
      <c r="B6156" s="612"/>
      <c r="H6156" s="612"/>
    </row>
    <row r="6157">
      <c r="B6157" s="612"/>
      <c r="H6157" s="612"/>
    </row>
    <row r="6158">
      <c r="B6158" s="612"/>
      <c r="H6158" s="612"/>
    </row>
    <row r="6159">
      <c r="B6159" s="612"/>
      <c r="H6159" s="612"/>
    </row>
    <row r="6160">
      <c r="B6160" s="612"/>
      <c r="H6160" s="612"/>
    </row>
    <row r="6161">
      <c r="B6161" s="612"/>
      <c r="H6161" s="612"/>
    </row>
    <row r="6162">
      <c r="B6162" s="612"/>
      <c r="H6162" s="612"/>
    </row>
    <row r="6163">
      <c r="B6163" s="612"/>
      <c r="H6163" s="612"/>
    </row>
    <row r="6164">
      <c r="B6164" s="612"/>
      <c r="H6164" s="612"/>
    </row>
    <row r="6165">
      <c r="B6165" s="612"/>
      <c r="H6165" s="612"/>
    </row>
    <row r="6166">
      <c r="B6166" s="612"/>
      <c r="H6166" s="612"/>
    </row>
    <row r="6167">
      <c r="B6167" s="612"/>
      <c r="H6167" s="612"/>
    </row>
    <row r="6168">
      <c r="B6168" s="612"/>
      <c r="H6168" s="612"/>
    </row>
    <row r="6169">
      <c r="B6169" s="612"/>
      <c r="H6169" s="612"/>
    </row>
    <row r="6170">
      <c r="B6170" s="612"/>
      <c r="H6170" s="612"/>
    </row>
    <row r="6171">
      <c r="B6171" s="612"/>
      <c r="H6171" s="612"/>
    </row>
    <row r="6172">
      <c r="B6172" s="612"/>
      <c r="H6172" s="612"/>
    </row>
    <row r="6173">
      <c r="B6173" s="612"/>
      <c r="H6173" s="612"/>
    </row>
    <row r="6174">
      <c r="B6174" s="612"/>
      <c r="H6174" s="612"/>
    </row>
    <row r="6175">
      <c r="B6175" s="612"/>
      <c r="H6175" s="612"/>
    </row>
    <row r="6176">
      <c r="B6176" s="612"/>
      <c r="H6176" s="612"/>
    </row>
    <row r="6177">
      <c r="B6177" s="612"/>
      <c r="H6177" s="612"/>
    </row>
    <row r="6178">
      <c r="B6178" s="612"/>
      <c r="H6178" s="612"/>
    </row>
    <row r="6179">
      <c r="B6179" s="612"/>
      <c r="H6179" s="612"/>
    </row>
    <row r="6180">
      <c r="B6180" s="612"/>
      <c r="H6180" s="612"/>
    </row>
    <row r="6181">
      <c r="B6181" s="612"/>
      <c r="H6181" s="612"/>
    </row>
    <row r="6182">
      <c r="B6182" s="612"/>
      <c r="H6182" s="612"/>
    </row>
    <row r="6183">
      <c r="B6183" s="612"/>
      <c r="H6183" s="612"/>
    </row>
    <row r="6184">
      <c r="B6184" s="612"/>
      <c r="H6184" s="612"/>
    </row>
    <row r="6185">
      <c r="B6185" s="612"/>
      <c r="H6185" s="612"/>
    </row>
    <row r="6186">
      <c r="B6186" s="612"/>
      <c r="H6186" s="612"/>
    </row>
    <row r="6187">
      <c r="B6187" s="612"/>
      <c r="H6187" s="612"/>
    </row>
    <row r="6188">
      <c r="B6188" s="612"/>
      <c r="H6188" s="612"/>
    </row>
    <row r="6189">
      <c r="B6189" s="612"/>
      <c r="H6189" s="612"/>
    </row>
    <row r="6190">
      <c r="B6190" s="612"/>
      <c r="H6190" s="612"/>
    </row>
    <row r="6191">
      <c r="B6191" s="612"/>
      <c r="H6191" s="612"/>
    </row>
    <row r="6192">
      <c r="B6192" s="612"/>
      <c r="H6192" s="612"/>
    </row>
    <row r="6193">
      <c r="B6193" s="612"/>
      <c r="H6193" s="612"/>
    </row>
    <row r="6194">
      <c r="B6194" s="612"/>
      <c r="H6194" s="612"/>
    </row>
    <row r="6195">
      <c r="B6195" s="612"/>
      <c r="H6195" s="612"/>
    </row>
    <row r="6196">
      <c r="B6196" s="612"/>
      <c r="H6196" s="612"/>
    </row>
    <row r="6197">
      <c r="B6197" s="612"/>
      <c r="H6197" s="612"/>
    </row>
    <row r="6198">
      <c r="B6198" s="612"/>
      <c r="H6198" s="612"/>
    </row>
    <row r="6199">
      <c r="B6199" s="612"/>
      <c r="H6199" s="612"/>
    </row>
    <row r="6200">
      <c r="B6200" s="612"/>
      <c r="H6200" s="612"/>
    </row>
    <row r="6201">
      <c r="B6201" s="612"/>
      <c r="H6201" s="612"/>
    </row>
    <row r="6202">
      <c r="B6202" s="612"/>
      <c r="H6202" s="612"/>
    </row>
    <row r="6203">
      <c r="B6203" s="612"/>
      <c r="H6203" s="612"/>
    </row>
    <row r="6204">
      <c r="B6204" s="612"/>
      <c r="H6204" s="612"/>
    </row>
    <row r="6205">
      <c r="B6205" s="612"/>
      <c r="H6205" s="612"/>
    </row>
    <row r="6206">
      <c r="B6206" s="612"/>
      <c r="H6206" s="612"/>
    </row>
    <row r="6207">
      <c r="B6207" s="612"/>
      <c r="H6207" s="612"/>
    </row>
    <row r="6208">
      <c r="B6208" s="612"/>
      <c r="H6208" s="612"/>
    </row>
    <row r="6209">
      <c r="B6209" s="612"/>
      <c r="H6209" s="612"/>
    </row>
    <row r="6210">
      <c r="B6210" s="612"/>
      <c r="H6210" s="612"/>
    </row>
    <row r="6211">
      <c r="B6211" s="612"/>
      <c r="H6211" s="612"/>
    </row>
    <row r="6212">
      <c r="B6212" s="612"/>
      <c r="H6212" s="612"/>
    </row>
    <row r="6213">
      <c r="B6213" s="612"/>
      <c r="H6213" s="612"/>
    </row>
    <row r="6214">
      <c r="B6214" s="612"/>
      <c r="H6214" s="612"/>
    </row>
    <row r="6215">
      <c r="B6215" s="612"/>
      <c r="H6215" s="612"/>
    </row>
    <row r="6216">
      <c r="B6216" s="612"/>
      <c r="H6216" s="612"/>
    </row>
    <row r="6217">
      <c r="B6217" s="612"/>
      <c r="H6217" s="612"/>
    </row>
    <row r="6218">
      <c r="B6218" s="612"/>
      <c r="H6218" s="612"/>
    </row>
    <row r="6219">
      <c r="B6219" s="612"/>
      <c r="H6219" s="612"/>
    </row>
    <row r="6220">
      <c r="B6220" s="612"/>
      <c r="H6220" s="612"/>
    </row>
    <row r="6221">
      <c r="B6221" s="612"/>
      <c r="H6221" s="612"/>
    </row>
    <row r="6222">
      <c r="B6222" s="612"/>
      <c r="H6222" s="612"/>
    </row>
    <row r="6223">
      <c r="B6223" s="612"/>
      <c r="H6223" s="612"/>
    </row>
    <row r="6224">
      <c r="B6224" s="612"/>
      <c r="H6224" s="612"/>
    </row>
    <row r="6225">
      <c r="B6225" s="612"/>
      <c r="H6225" s="612"/>
    </row>
    <row r="6226">
      <c r="B6226" s="612"/>
      <c r="H6226" s="612"/>
    </row>
    <row r="6227">
      <c r="B6227" s="612"/>
      <c r="H6227" s="612"/>
    </row>
    <row r="6228">
      <c r="B6228" s="612"/>
      <c r="H6228" s="612"/>
    </row>
    <row r="6229">
      <c r="B6229" s="612"/>
      <c r="H6229" s="612"/>
    </row>
    <row r="6230">
      <c r="B6230" s="612"/>
      <c r="H6230" s="612"/>
    </row>
    <row r="6231">
      <c r="B6231" s="612"/>
      <c r="H6231" s="612"/>
    </row>
    <row r="6232">
      <c r="B6232" s="612"/>
      <c r="H6232" s="612"/>
    </row>
    <row r="6233">
      <c r="B6233" s="612"/>
      <c r="H6233" s="612"/>
    </row>
    <row r="6234">
      <c r="B6234" s="612"/>
      <c r="H6234" s="612"/>
    </row>
    <row r="6235">
      <c r="B6235" s="612"/>
      <c r="H6235" s="612"/>
    </row>
    <row r="6236">
      <c r="B6236" s="612"/>
      <c r="H6236" s="612"/>
    </row>
    <row r="6237">
      <c r="B6237" s="612"/>
      <c r="H6237" s="612"/>
    </row>
    <row r="6238">
      <c r="B6238" s="612"/>
      <c r="H6238" s="612"/>
    </row>
    <row r="6239">
      <c r="B6239" s="612"/>
      <c r="H6239" s="612"/>
    </row>
    <row r="6240">
      <c r="B6240" s="612"/>
      <c r="H6240" s="612"/>
    </row>
    <row r="6241">
      <c r="B6241" s="612"/>
      <c r="H6241" s="612"/>
    </row>
    <row r="6242">
      <c r="B6242" s="612"/>
      <c r="H6242" s="612"/>
    </row>
    <row r="6243">
      <c r="B6243" s="612"/>
      <c r="H6243" s="612"/>
    </row>
    <row r="6244">
      <c r="B6244" s="612"/>
      <c r="H6244" s="612"/>
    </row>
    <row r="6245">
      <c r="B6245" s="612"/>
      <c r="H6245" s="612"/>
    </row>
    <row r="6246">
      <c r="B6246" s="612"/>
      <c r="H6246" s="612"/>
    </row>
    <row r="6247">
      <c r="B6247" s="612"/>
      <c r="H6247" s="612"/>
    </row>
    <row r="6248">
      <c r="B6248" s="612"/>
      <c r="H6248" s="612"/>
    </row>
    <row r="6249">
      <c r="B6249" s="612"/>
      <c r="H6249" s="612"/>
    </row>
    <row r="6250">
      <c r="B6250" s="612"/>
      <c r="H6250" s="612"/>
    </row>
    <row r="6251">
      <c r="B6251" s="612"/>
      <c r="H6251" s="612"/>
    </row>
    <row r="6252">
      <c r="B6252" s="612"/>
      <c r="H6252" s="612"/>
    </row>
    <row r="6253">
      <c r="B6253" s="612"/>
      <c r="H6253" s="612"/>
    </row>
    <row r="6254">
      <c r="B6254" s="612"/>
      <c r="H6254" s="612"/>
    </row>
    <row r="6255">
      <c r="B6255" s="612"/>
      <c r="H6255" s="612"/>
    </row>
    <row r="6256">
      <c r="B6256" s="612"/>
      <c r="H6256" s="612"/>
    </row>
    <row r="6257">
      <c r="B6257" s="612"/>
      <c r="H6257" s="612"/>
    </row>
    <row r="6258">
      <c r="B6258" s="612"/>
      <c r="H6258" s="612"/>
    </row>
    <row r="6259">
      <c r="B6259" s="612"/>
      <c r="H6259" s="612"/>
    </row>
    <row r="6260">
      <c r="B6260" s="612"/>
      <c r="H6260" s="612"/>
    </row>
    <row r="6261">
      <c r="B6261" s="612"/>
      <c r="H6261" s="612"/>
    </row>
    <row r="6262">
      <c r="B6262" s="612"/>
      <c r="H6262" s="612"/>
    </row>
    <row r="6263">
      <c r="B6263" s="612"/>
      <c r="H6263" s="612"/>
    </row>
    <row r="6264">
      <c r="B6264" s="612"/>
      <c r="H6264" s="612"/>
    </row>
    <row r="6265">
      <c r="B6265" s="612"/>
      <c r="H6265" s="612"/>
    </row>
    <row r="6266">
      <c r="B6266" s="612"/>
      <c r="H6266" s="612"/>
    </row>
    <row r="6267">
      <c r="B6267" s="612"/>
      <c r="H6267" s="612"/>
    </row>
    <row r="6268">
      <c r="B6268" s="612"/>
      <c r="H6268" s="612"/>
    </row>
    <row r="6269">
      <c r="B6269" s="612"/>
      <c r="H6269" s="612"/>
    </row>
    <row r="6270">
      <c r="B6270" s="612"/>
      <c r="H6270" s="612"/>
    </row>
    <row r="6271">
      <c r="B6271" s="612"/>
      <c r="H6271" s="612"/>
    </row>
    <row r="6272">
      <c r="B6272" s="612"/>
      <c r="H6272" s="612"/>
    </row>
    <row r="6273">
      <c r="B6273" s="612"/>
      <c r="H6273" s="612"/>
    </row>
    <row r="6274">
      <c r="B6274" s="612"/>
      <c r="H6274" s="612"/>
    </row>
    <row r="6275">
      <c r="B6275" s="612"/>
      <c r="H6275" s="612"/>
    </row>
    <row r="6276">
      <c r="B6276" s="612"/>
      <c r="H6276" s="612"/>
    </row>
    <row r="6277">
      <c r="B6277" s="612"/>
      <c r="H6277" s="612"/>
    </row>
    <row r="6278">
      <c r="B6278" s="612"/>
      <c r="H6278" s="612"/>
    </row>
    <row r="6279">
      <c r="B6279" s="612"/>
      <c r="H6279" s="612"/>
    </row>
    <row r="6280">
      <c r="B6280" s="612"/>
      <c r="H6280" s="612"/>
    </row>
    <row r="6281">
      <c r="B6281" s="612"/>
      <c r="H6281" s="612"/>
    </row>
    <row r="6282">
      <c r="B6282" s="612"/>
      <c r="H6282" s="612"/>
    </row>
    <row r="6283">
      <c r="B6283" s="612"/>
      <c r="H6283" s="612"/>
    </row>
    <row r="6284">
      <c r="B6284" s="612"/>
      <c r="H6284" s="612"/>
    </row>
    <row r="6285">
      <c r="B6285" s="612"/>
      <c r="H6285" s="612"/>
    </row>
    <row r="6286">
      <c r="B6286" s="612"/>
      <c r="H6286" s="612"/>
    </row>
    <row r="6287">
      <c r="B6287" s="612"/>
      <c r="H6287" s="612"/>
    </row>
    <row r="6288">
      <c r="B6288" s="612"/>
      <c r="H6288" s="612"/>
    </row>
    <row r="6289">
      <c r="B6289" s="612"/>
      <c r="H6289" s="612"/>
    </row>
    <row r="6290">
      <c r="B6290" s="612"/>
      <c r="H6290" s="612"/>
    </row>
    <row r="6291">
      <c r="B6291" s="612"/>
      <c r="H6291" s="612"/>
    </row>
    <row r="6292">
      <c r="B6292" s="612"/>
      <c r="H6292" s="612"/>
    </row>
    <row r="6293">
      <c r="B6293" s="612"/>
      <c r="H6293" s="612"/>
    </row>
    <row r="6294">
      <c r="B6294" s="612"/>
      <c r="H6294" s="612"/>
    </row>
    <row r="6295">
      <c r="B6295" s="612"/>
      <c r="H6295" s="612"/>
    </row>
    <row r="6296">
      <c r="B6296" s="612"/>
      <c r="H6296" s="612"/>
    </row>
    <row r="6297">
      <c r="B6297" s="612"/>
      <c r="H6297" s="612"/>
    </row>
    <row r="6298">
      <c r="B6298" s="612"/>
      <c r="H6298" s="612"/>
    </row>
    <row r="6299">
      <c r="B6299" s="612"/>
      <c r="H6299" s="612"/>
    </row>
    <row r="6300">
      <c r="B6300" s="612"/>
      <c r="H6300" s="612"/>
    </row>
    <row r="6301">
      <c r="B6301" s="612"/>
      <c r="H6301" s="612"/>
    </row>
    <row r="6302">
      <c r="B6302" s="612"/>
      <c r="H6302" s="612"/>
    </row>
    <row r="6303">
      <c r="B6303" s="612"/>
      <c r="H6303" s="612"/>
    </row>
    <row r="6304">
      <c r="B6304" s="612"/>
      <c r="H6304" s="612"/>
    </row>
    <row r="6305">
      <c r="B6305" s="612"/>
      <c r="H6305" s="612"/>
    </row>
    <row r="6306">
      <c r="B6306" s="612"/>
      <c r="H6306" s="612"/>
    </row>
    <row r="6307">
      <c r="B6307" s="612"/>
      <c r="H6307" s="612"/>
    </row>
    <row r="6308">
      <c r="B6308" s="612"/>
      <c r="H6308" s="612"/>
    </row>
    <row r="6309">
      <c r="B6309" s="612"/>
      <c r="H6309" s="612"/>
    </row>
    <row r="6310">
      <c r="B6310" s="612"/>
      <c r="H6310" s="612"/>
    </row>
    <row r="6311">
      <c r="B6311" s="612"/>
      <c r="H6311" s="612"/>
    </row>
    <row r="6312">
      <c r="B6312" s="612"/>
      <c r="H6312" s="612"/>
    </row>
    <row r="6313">
      <c r="B6313" s="612"/>
      <c r="H6313" s="612"/>
    </row>
    <row r="6314">
      <c r="B6314" s="612"/>
      <c r="H6314" s="612"/>
    </row>
    <row r="6315">
      <c r="B6315" s="612"/>
      <c r="H6315" s="612"/>
    </row>
    <row r="6316">
      <c r="B6316" s="612"/>
      <c r="H6316" s="612"/>
    </row>
    <row r="6317">
      <c r="B6317" s="612"/>
      <c r="H6317" s="612"/>
    </row>
    <row r="6318">
      <c r="B6318" s="612"/>
      <c r="H6318" s="612"/>
    </row>
    <row r="6319">
      <c r="B6319" s="612"/>
      <c r="H6319" s="612"/>
    </row>
    <row r="6320">
      <c r="B6320" s="612"/>
      <c r="H6320" s="612"/>
    </row>
    <row r="6321">
      <c r="B6321" s="612"/>
      <c r="H6321" s="612"/>
    </row>
    <row r="6322">
      <c r="B6322" s="612"/>
      <c r="H6322" s="612"/>
    </row>
    <row r="6323">
      <c r="B6323" s="612"/>
      <c r="H6323" s="612"/>
    </row>
    <row r="6324">
      <c r="B6324" s="612"/>
      <c r="H6324" s="612"/>
    </row>
    <row r="6325">
      <c r="B6325" s="612"/>
      <c r="H6325" s="612"/>
    </row>
    <row r="6326">
      <c r="B6326" s="612"/>
      <c r="H6326" s="612"/>
    </row>
    <row r="6327">
      <c r="B6327" s="612"/>
      <c r="H6327" s="612"/>
    </row>
    <row r="6328">
      <c r="B6328" s="612"/>
      <c r="H6328" s="612"/>
    </row>
    <row r="6329">
      <c r="B6329" s="612"/>
      <c r="H6329" s="612"/>
    </row>
    <row r="6330">
      <c r="B6330" s="612"/>
      <c r="H6330" s="612"/>
    </row>
    <row r="6331">
      <c r="B6331" s="612"/>
      <c r="H6331" s="612"/>
    </row>
    <row r="6332">
      <c r="B6332" s="612"/>
      <c r="H6332" s="612"/>
    </row>
    <row r="6333">
      <c r="B6333" s="612"/>
      <c r="H6333" s="612"/>
    </row>
    <row r="6334">
      <c r="B6334" s="612"/>
      <c r="H6334" s="612"/>
    </row>
    <row r="6335">
      <c r="B6335" s="612"/>
      <c r="H6335" s="612"/>
    </row>
    <row r="6336">
      <c r="B6336" s="612"/>
      <c r="H6336" s="612"/>
    </row>
    <row r="6337">
      <c r="B6337" s="612"/>
      <c r="H6337" s="612"/>
    </row>
    <row r="6338">
      <c r="B6338" s="612"/>
      <c r="H6338" s="612"/>
    </row>
    <row r="6339">
      <c r="B6339" s="612"/>
      <c r="H6339" s="612"/>
    </row>
    <row r="6340">
      <c r="B6340" s="612"/>
      <c r="H6340" s="612"/>
    </row>
    <row r="6341">
      <c r="B6341" s="612"/>
      <c r="H6341" s="612"/>
    </row>
    <row r="6342">
      <c r="B6342" s="612"/>
      <c r="H6342" s="612"/>
    </row>
    <row r="6343">
      <c r="B6343" s="612"/>
      <c r="H6343" s="612"/>
    </row>
    <row r="6344">
      <c r="B6344" s="612"/>
      <c r="H6344" s="612"/>
    </row>
    <row r="6345">
      <c r="B6345" s="612"/>
      <c r="H6345" s="612"/>
    </row>
    <row r="6346">
      <c r="B6346" s="612"/>
      <c r="H6346" s="612"/>
    </row>
    <row r="6347">
      <c r="B6347" s="612"/>
      <c r="H6347" s="612"/>
    </row>
    <row r="6348">
      <c r="B6348" s="612"/>
      <c r="H6348" s="612"/>
    </row>
    <row r="6349">
      <c r="B6349" s="612"/>
      <c r="H6349" s="612"/>
    </row>
    <row r="6350">
      <c r="B6350" s="612"/>
      <c r="H6350" s="612"/>
    </row>
    <row r="6351">
      <c r="B6351" s="612"/>
      <c r="H6351" s="612"/>
    </row>
    <row r="6352">
      <c r="B6352" s="612"/>
      <c r="H6352" s="612"/>
    </row>
    <row r="6353">
      <c r="B6353" s="612"/>
      <c r="H6353" s="612"/>
    </row>
    <row r="6354">
      <c r="B6354" s="612"/>
      <c r="H6354" s="612"/>
    </row>
    <row r="6355">
      <c r="B6355" s="612"/>
      <c r="H6355" s="612"/>
    </row>
    <row r="6356">
      <c r="B6356" s="612"/>
      <c r="H6356" s="612"/>
    </row>
    <row r="6357">
      <c r="B6357" s="612"/>
      <c r="H6357" s="612"/>
    </row>
    <row r="6358">
      <c r="B6358" s="612"/>
      <c r="H6358" s="612"/>
    </row>
    <row r="6359">
      <c r="B6359" s="612"/>
      <c r="H6359" s="612"/>
    </row>
    <row r="6360">
      <c r="B6360" s="612"/>
      <c r="H6360" s="612"/>
    </row>
    <row r="6361">
      <c r="B6361" s="612"/>
      <c r="H6361" s="612"/>
    </row>
    <row r="6362">
      <c r="B6362" s="612"/>
      <c r="H6362" s="612"/>
    </row>
    <row r="6363">
      <c r="B6363" s="612"/>
      <c r="H6363" s="612"/>
    </row>
    <row r="6364">
      <c r="B6364" s="612"/>
      <c r="H6364" s="612"/>
    </row>
    <row r="6365">
      <c r="B6365" s="612"/>
      <c r="H6365" s="612"/>
    </row>
    <row r="6366">
      <c r="B6366" s="612"/>
      <c r="H6366" s="612"/>
    </row>
    <row r="6367">
      <c r="B6367" s="612"/>
      <c r="H6367" s="612"/>
    </row>
    <row r="6368">
      <c r="B6368" s="612"/>
      <c r="H6368" s="612"/>
    </row>
    <row r="6369">
      <c r="B6369" s="612"/>
      <c r="H6369" s="612"/>
    </row>
    <row r="6370">
      <c r="B6370" s="612"/>
      <c r="H6370" s="612"/>
    </row>
    <row r="6371">
      <c r="B6371" s="612"/>
      <c r="H6371" s="612"/>
    </row>
    <row r="6372">
      <c r="B6372" s="612"/>
      <c r="H6372" s="612"/>
    </row>
    <row r="6373">
      <c r="B6373" s="612"/>
      <c r="H6373" s="612"/>
    </row>
    <row r="6374">
      <c r="B6374" s="612"/>
      <c r="H6374" s="612"/>
    </row>
    <row r="6375">
      <c r="B6375" s="612"/>
      <c r="H6375" s="612"/>
    </row>
    <row r="6376">
      <c r="B6376" s="612"/>
      <c r="H6376" s="612"/>
    </row>
    <row r="6377">
      <c r="B6377" s="612"/>
      <c r="H6377" s="612"/>
    </row>
    <row r="6378">
      <c r="B6378" s="612"/>
      <c r="H6378" s="612"/>
    </row>
    <row r="6379">
      <c r="B6379" s="612"/>
      <c r="H6379" s="612"/>
    </row>
    <row r="6380">
      <c r="B6380" s="612"/>
      <c r="H6380" s="612"/>
    </row>
    <row r="6381">
      <c r="B6381" s="612"/>
      <c r="H6381" s="612"/>
    </row>
    <row r="6382">
      <c r="B6382" s="612"/>
      <c r="H6382" s="612"/>
    </row>
    <row r="6383">
      <c r="B6383" s="612"/>
      <c r="H6383" s="612"/>
    </row>
    <row r="6384">
      <c r="B6384" s="612"/>
      <c r="H6384" s="612"/>
    </row>
    <row r="6385">
      <c r="B6385" s="612"/>
      <c r="H6385" s="612"/>
    </row>
    <row r="6386">
      <c r="B6386" s="612"/>
      <c r="H6386" s="612"/>
    </row>
    <row r="6387">
      <c r="B6387" s="612"/>
      <c r="H6387" s="612"/>
    </row>
    <row r="6388">
      <c r="B6388" s="612"/>
      <c r="H6388" s="612"/>
    </row>
    <row r="6389">
      <c r="B6389" s="612"/>
      <c r="H6389" s="612"/>
    </row>
    <row r="6390">
      <c r="B6390" s="612"/>
      <c r="H6390" s="612"/>
    </row>
    <row r="6391">
      <c r="B6391" s="612"/>
      <c r="H6391" s="612"/>
    </row>
    <row r="6392">
      <c r="B6392" s="612"/>
      <c r="H6392" s="612"/>
    </row>
    <row r="6393">
      <c r="B6393" s="612"/>
      <c r="H6393" s="612"/>
    </row>
    <row r="6394">
      <c r="B6394" s="612"/>
      <c r="H6394" s="612"/>
    </row>
    <row r="6395">
      <c r="B6395" s="612"/>
      <c r="H6395" s="612"/>
    </row>
    <row r="6396">
      <c r="B6396" s="612"/>
      <c r="H6396" s="612"/>
    </row>
    <row r="6397">
      <c r="B6397" s="612"/>
      <c r="H6397" s="612"/>
    </row>
    <row r="6398">
      <c r="B6398" s="612"/>
      <c r="H6398" s="612"/>
    </row>
    <row r="6399">
      <c r="B6399" s="612"/>
      <c r="H6399" s="612"/>
    </row>
    <row r="6400">
      <c r="B6400" s="612"/>
      <c r="H6400" s="612"/>
    </row>
    <row r="6401">
      <c r="B6401" s="612"/>
      <c r="H6401" s="612"/>
    </row>
    <row r="6402">
      <c r="B6402" s="612"/>
      <c r="H6402" s="612"/>
    </row>
    <row r="6403">
      <c r="B6403" s="612"/>
      <c r="H6403" s="612"/>
    </row>
    <row r="6404">
      <c r="B6404" s="612"/>
      <c r="H6404" s="612"/>
    </row>
    <row r="6405">
      <c r="B6405" s="612"/>
      <c r="H6405" s="612"/>
    </row>
    <row r="6406">
      <c r="B6406" s="612"/>
      <c r="H6406" s="612"/>
    </row>
    <row r="6407">
      <c r="B6407" s="612"/>
      <c r="H6407" s="612"/>
    </row>
    <row r="6408">
      <c r="B6408" s="612"/>
      <c r="H6408" s="612"/>
    </row>
    <row r="6409">
      <c r="B6409" s="612"/>
      <c r="H6409" s="612"/>
    </row>
    <row r="6410">
      <c r="B6410" s="612"/>
      <c r="H6410" s="612"/>
    </row>
    <row r="6411">
      <c r="B6411" s="612"/>
      <c r="H6411" s="612"/>
    </row>
    <row r="6412">
      <c r="B6412" s="612"/>
      <c r="H6412" s="612"/>
    </row>
    <row r="6413">
      <c r="B6413" s="612"/>
      <c r="H6413" s="612"/>
    </row>
    <row r="6414">
      <c r="B6414" s="612"/>
      <c r="H6414" s="612"/>
    </row>
    <row r="6415">
      <c r="B6415" s="612"/>
      <c r="H6415" s="612"/>
    </row>
    <row r="6416">
      <c r="B6416" s="612"/>
      <c r="H6416" s="612"/>
    </row>
    <row r="6417">
      <c r="B6417" s="612"/>
      <c r="H6417" s="612"/>
    </row>
    <row r="6418">
      <c r="B6418" s="612"/>
      <c r="H6418" s="612"/>
    </row>
    <row r="6419">
      <c r="B6419" s="612"/>
      <c r="H6419" s="612"/>
    </row>
    <row r="6420">
      <c r="B6420" s="612"/>
      <c r="H6420" s="612"/>
    </row>
    <row r="6421">
      <c r="B6421" s="612"/>
      <c r="H6421" s="612"/>
    </row>
    <row r="6422">
      <c r="B6422" s="612"/>
      <c r="H6422" s="612"/>
    </row>
    <row r="6423">
      <c r="B6423" s="612"/>
      <c r="H6423" s="612"/>
    </row>
    <row r="6424">
      <c r="B6424" s="612"/>
      <c r="H6424" s="612"/>
    </row>
    <row r="6425">
      <c r="B6425" s="612"/>
      <c r="H6425" s="612"/>
    </row>
    <row r="6426">
      <c r="B6426" s="612"/>
      <c r="H6426" s="612"/>
    </row>
    <row r="6427">
      <c r="B6427" s="612"/>
      <c r="H6427" s="612"/>
    </row>
    <row r="6428">
      <c r="B6428" s="612"/>
      <c r="H6428" s="612"/>
    </row>
    <row r="6429">
      <c r="B6429" s="612"/>
      <c r="H6429" s="612"/>
    </row>
    <row r="6430">
      <c r="B6430" s="612"/>
      <c r="H6430" s="612"/>
    </row>
    <row r="6431">
      <c r="B6431" s="612"/>
      <c r="H6431" s="612"/>
    </row>
    <row r="6432">
      <c r="B6432" s="612"/>
      <c r="H6432" s="612"/>
    </row>
    <row r="6433">
      <c r="B6433" s="612"/>
      <c r="H6433" s="612"/>
    </row>
    <row r="6434">
      <c r="B6434" s="612"/>
      <c r="H6434" s="612"/>
    </row>
    <row r="6435">
      <c r="B6435" s="612"/>
      <c r="H6435" s="612"/>
    </row>
    <row r="6436">
      <c r="B6436" s="612"/>
      <c r="H6436" s="612"/>
    </row>
    <row r="6437">
      <c r="B6437" s="612"/>
      <c r="H6437" s="612"/>
    </row>
    <row r="6438">
      <c r="B6438" s="612"/>
      <c r="H6438" s="612"/>
    </row>
    <row r="6439">
      <c r="B6439" s="612"/>
      <c r="H6439" s="612"/>
    </row>
    <row r="6440">
      <c r="B6440" s="612"/>
      <c r="H6440" s="612"/>
    </row>
    <row r="6441">
      <c r="B6441" s="612"/>
      <c r="H6441" s="612"/>
    </row>
    <row r="6442">
      <c r="B6442" s="612"/>
      <c r="H6442" s="612"/>
    </row>
    <row r="6443">
      <c r="B6443" s="612"/>
      <c r="H6443" s="612"/>
    </row>
    <row r="6444">
      <c r="B6444" s="612"/>
      <c r="H6444" s="612"/>
    </row>
    <row r="6445">
      <c r="B6445" s="612"/>
      <c r="H6445" s="612"/>
    </row>
    <row r="6446">
      <c r="B6446" s="612"/>
      <c r="H6446" s="612"/>
    </row>
    <row r="6447">
      <c r="B6447" s="612"/>
      <c r="H6447" s="612"/>
    </row>
    <row r="6448">
      <c r="B6448" s="612"/>
      <c r="H6448" s="612"/>
    </row>
    <row r="6449">
      <c r="B6449" s="612"/>
      <c r="H6449" s="612"/>
    </row>
    <row r="6450">
      <c r="B6450" s="612"/>
      <c r="H6450" s="612"/>
    </row>
    <row r="6451">
      <c r="B6451" s="612"/>
      <c r="H6451" s="612"/>
    </row>
    <row r="6452">
      <c r="B6452" s="612"/>
      <c r="H6452" s="612"/>
    </row>
    <row r="6453">
      <c r="B6453" s="612"/>
      <c r="H6453" s="612"/>
    </row>
    <row r="6454">
      <c r="B6454" s="612"/>
      <c r="H6454" s="612"/>
    </row>
    <row r="6455">
      <c r="B6455" s="612"/>
      <c r="H6455" s="612"/>
    </row>
    <row r="6456">
      <c r="B6456" s="612"/>
      <c r="H6456" s="612"/>
    </row>
    <row r="6457">
      <c r="B6457" s="612"/>
      <c r="H6457" s="612"/>
    </row>
    <row r="6458">
      <c r="B6458" s="612"/>
      <c r="H6458" s="612"/>
    </row>
    <row r="6459">
      <c r="B6459" s="612"/>
      <c r="H6459" s="612"/>
    </row>
    <row r="6460">
      <c r="B6460" s="612"/>
      <c r="H6460" s="612"/>
    </row>
    <row r="6461">
      <c r="B6461" s="612"/>
      <c r="H6461" s="612"/>
    </row>
    <row r="6462">
      <c r="B6462" s="612"/>
      <c r="H6462" s="612"/>
    </row>
    <row r="6463">
      <c r="B6463" s="612"/>
      <c r="H6463" s="612"/>
    </row>
    <row r="6464">
      <c r="B6464" s="612"/>
      <c r="H6464" s="612"/>
    </row>
    <row r="6465">
      <c r="B6465" s="612"/>
      <c r="H6465" s="612"/>
    </row>
    <row r="6466">
      <c r="B6466" s="612"/>
      <c r="H6466" s="612"/>
    </row>
    <row r="6467">
      <c r="B6467" s="612"/>
      <c r="H6467" s="612"/>
    </row>
    <row r="6468">
      <c r="B6468" s="612"/>
      <c r="H6468" s="612"/>
    </row>
    <row r="6469">
      <c r="B6469" s="612"/>
      <c r="H6469" s="612"/>
    </row>
    <row r="6470">
      <c r="B6470" s="612"/>
      <c r="H6470" s="612"/>
    </row>
    <row r="6471">
      <c r="B6471" s="612"/>
      <c r="H6471" s="612"/>
    </row>
    <row r="6472">
      <c r="B6472" s="612"/>
      <c r="H6472" s="612"/>
    </row>
    <row r="6473">
      <c r="B6473" s="612"/>
      <c r="H6473" s="612"/>
    </row>
    <row r="6474">
      <c r="B6474" s="612"/>
      <c r="H6474" s="612"/>
    </row>
    <row r="6475">
      <c r="B6475" s="612"/>
      <c r="H6475" s="612"/>
    </row>
    <row r="6476">
      <c r="B6476" s="612"/>
      <c r="H6476" s="612"/>
    </row>
    <row r="6477">
      <c r="B6477" s="612"/>
      <c r="H6477" s="612"/>
    </row>
    <row r="6478">
      <c r="B6478" s="612"/>
      <c r="H6478" s="612"/>
    </row>
    <row r="6479">
      <c r="B6479" s="612"/>
      <c r="H6479" s="612"/>
    </row>
    <row r="6480">
      <c r="B6480" s="612"/>
      <c r="H6480" s="612"/>
    </row>
    <row r="6481">
      <c r="B6481" s="612"/>
      <c r="H6481" s="612"/>
    </row>
    <row r="6482">
      <c r="B6482" s="612"/>
      <c r="H6482" s="612"/>
    </row>
    <row r="6483">
      <c r="B6483" s="612"/>
      <c r="H6483" s="612"/>
    </row>
    <row r="6484">
      <c r="B6484" s="612"/>
      <c r="H6484" s="612"/>
    </row>
    <row r="6485">
      <c r="B6485" s="612"/>
      <c r="H6485" s="612"/>
    </row>
    <row r="6486">
      <c r="B6486" s="612"/>
      <c r="H6486" s="612"/>
    </row>
    <row r="6487">
      <c r="B6487" s="612"/>
      <c r="H6487" s="612"/>
    </row>
    <row r="6488">
      <c r="B6488" s="612"/>
      <c r="H6488" s="612"/>
    </row>
    <row r="6489">
      <c r="B6489" s="612"/>
      <c r="H6489" s="612"/>
    </row>
    <row r="6490">
      <c r="B6490" s="612"/>
      <c r="H6490" s="612"/>
    </row>
    <row r="6491">
      <c r="B6491" s="612"/>
      <c r="H6491" s="612"/>
    </row>
    <row r="6492">
      <c r="B6492" s="612"/>
      <c r="H6492" s="612"/>
    </row>
    <row r="6493">
      <c r="B6493" s="612"/>
      <c r="H6493" s="612"/>
    </row>
    <row r="6494">
      <c r="B6494" s="612"/>
      <c r="H6494" s="612"/>
    </row>
    <row r="6495">
      <c r="B6495" s="612"/>
      <c r="H6495" s="612"/>
    </row>
    <row r="6496">
      <c r="B6496" s="612"/>
      <c r="H6496" s="612"/>
    </row>
    <row r="6497">
      <c r="B6497" s="612"/>
      <c r="H6497" s="612"/>
    </row>
    <row r="6498">
      <c r="B6498" s="612"/>
      <c r="H6498" s="612"/>
    </row>
    <row r="6499">
      <c r="B6499" s="612"/>
      <c r="H6499" s="612"/>
    </row>
    <row r="6500">
      <c r="B6500" s="612"/>
      <c r="H6500" s="612"/>
    </row>
    <row r="6501">
      <c r="B6501" s="612"/>
      <c r="H6501" s="612"/>
    </row>
    <row r="6502">
      <c r="B6502" s="612"/>
      <c r="H6502" s="612"/>
    </row>
    <row r="6503">
      <c r="B6503" s="612"/>
      <c r="H6503" s="612"/>
    </row>
    <row r="6504">
      <c r="B6504" s="612"/>
      <c r="H6504" s="612"/>
    </row>
    <row r="6505">
      <c r="B6505" s="612"/>
      <c r="H6505" s="612"/>
    </row>
    <row r="6506">
      <c r="B6506" s="612"/>
      <c r="H6506" s="612"/>
    </row>
    <row r="6507">
      <c r="B6507" s="612"/>
      <c r="H6507" s="612"/>
    </row>
    <row r="6508">
      <c r="B6508" s="612"/>
      <c r="H6508" s="612"/>
    </row>
    <row r="6509">
      <c r="B6509" s="612"/>
      <c r="H6509" s="612"/>
    </row>
    <row r="6510">
      <c r="B6510" s="612"/>
      <c r="H6510" s="612"/>
    </row>
    <row r="6511">
      <c r="B6511" s="612"/>
      <c r="H6511" s="612"/>
    </row>
    <row r="6512">
      <c r="B6512" s="612"/>
      <c r="H6512" s="612"/>
    </row>
    <row r="6513">
      <c r="B6513" s="612"/>
      <c r="H6513" s="612"/>
    </row>
    <row r="6514">
      <c r="B6514" s="612"/>
      <c r="H6514" s="612"/>
    </row>
    <row r="6515">
      <c r="B6515" s="612"/>
      <c r="H6515" s="612"/>
    </row>
    <row r="6516">
      <c r="B6516" s="612"/>
      <c r="H6516" s="612"/>
    </row>
    <row r="6517">
      <c r="B6517" s="612"/>
      <c r="H6517" s="612"/>
    </row>
    <row r="6518">
      <c r="B6518" s="612"/>
      <c r="H6518" s="612"/>
    </row>
    <row r="6519">
      <c r="B6519" s="612"/>
      <c r="H6519" s="612"/>
    </row>
    <row r="6520">
      <c r="B6520" s="612"/>
      <c r="H6520" s="612"/>
    </row>
    <row r="6521">
      <c r="B6521" s="612"/>
      <c r="H6521" s="612"/>
    </row>
    <row r="6522">
      <c r="B6522" s="612"/>
      <c r="H6522" s="612"/>
    </row>
    <row r="6523">
      <c r="B6523" s="612"/>
      <c r="H6523" s="612"/>
    </row>
    <row r="6524">
      <c r="B6524" s="612"/>
      <c r="H6524" s="612"/>
    </row>
    <row r="6525">
      <c r="B6525" s="612"/>
      <c r="H6525" s="612"/>
    </row>
    <row r="6526">
      <c r="B6526" s="612"/>
      <c r="H6526" s="612"/>
    </row>
    <row r="6527">
      <c r="B6527" s="612"/>
      <c r="H6527" s="612"/>
    </row>
    <row r="6528">
      <c r="B6528" s="612"/>
      <c r="H6528" s="612"/>
    </row>
    <row r="6529">
      <c r="B6529" s="612"/>
      <c r="H6529" s="612"/>
    </row>
    <row r="6530">
      <c r="B6530" s="612"/>
      <c r="H6530" s="612"/>
    </row>
    <row r="6531">
      <c r="B6531" s="612"/>
      <c r="H6531" s="612"/>
    </row>
    <row r="6532">
      <c r="B6532" s="612"/>
      <c r="H6532" s="612"/>
    </row>
    <row r="6533">
      <c r="B6533" s="612"/>
      <c r="H6533" s="612"/>
    </row>
    <row r="6534">
      <c r="B6534" s="612"/>
      <c r="H6534" s="612"/>
    </row>
    <row r="6535">
      <c r="B6535" s="612"/>
      <c r="H6535" s="612"/>
    </row>
    <row r="6536">
      <c r="B6536" s="612"/>
      <c r="H6536" s="612"/>
    </row>
    <row r="6537">
      <c r="B6537" s="612"/>
      <c r="H6537" s="612"/>
    </row>
    <row r="6538">
      <c r="B6538" s="612"/>
      <c r="H6538" s="612"/>
    </row>
    <row r="6539">
      <c r="B6539" s="612"/>
      <c r="H6539" s="612"/>
    </row>
    <row r="6540">
      <c r="B6540" s="612"/>
      <c r="H6540" s="612"/>
    </row>
    <row r="6541">
      <c r="B6541" s="612"/>
      <c r="H6541" s="612"/>
    </row>
    <row r="6542">
      <c r="B6542" s="612"/>
      <c r="H6542" s="612"/>
    </row>
    <row r="6543">
      <c r="B6543" s="612"/>
      <c r="H6543" s="612"/>
    </row>
    <row r="6544">
      <c r="B6544" s="612"/>
      <c r="H6544" s="612"/>
    </row>
    <row r="6545">
      <c r="B6545" s="612"/>
      <c r="H6545" s="612"/>
    </row>
    <row r="6546">
      <c r="B6546" s="612"/>
      <c r="H6546" s="612"/>
    </row>
    <row r="6547">
      <c r="B6547" s="612"/>
      <c r="H6547" s="612"/>
    </row>
    <row r="6548">
      <c r="B6548" s="612"/>
      <c r="H6548" s="612"/>
    </row>
    <row r="6549">
      <c r="B6549" s="612"/>
      <c r="H6549" s="612"/>
    </row>
    <row r="6550">
      <c r="B6550" s="612"/>
      <c r="H6550" s="612"/>
    </row>
    <row r="6551">
      <c r="B6551" s="612"/>
      <c r="H6551" s="612"/>
    </row>
    <row r="6552">
      <c r="B6552" s="612"/>
      <c r="H6552" s="612"/>
    </row>
    <row r="6553">
      <c r="B6553" s="612"/>
      <c r="H6553" s="612"/>
    </row>
    <row r="6554">
      <c r="B6554" s="612"/>
      <c r="H6554" s="612"/>
    </row>
    <row r="6555">
      <c r="B6555" s="612"/>
      <c r="H6555" s="612"/>
    </row>
    <row r="6556">
      <c r="B6556" s="612"/>
      <c r="H6556" s="612"/>
    </row>
    <row r="6557">
      <c r="B6557" s="612"/>
      <c r="H6557" s="612"/>
    </row>
    <row r="6558">
      <c r="B6558" s="612"/>
      <c r="H6558" s="612"/>
    </row>
    <row r="6559">
      <c r="B6559" s="612"/>
      <c r="H6559" s="612"/>
    </row>
    <row r="6560">
      <c r="B6560" s="612"/>
      <c r="H6560" s="612"/>
    </row>
    <row r="6561">
      <c r="B6561" s="612"/>
      <c r="H6561" s="612"/>
    </row>
    <row r="6562">
      <c r="B6562" s="612"/>
      <c r="H6562" s="612"/>
    </row>
    <row r="6563">
      <c r="B6563" s="612"/>
      <c r="H6563" s="612"/>
    </row>
    <row r="6564">
      <c r="B6564" s="612"/>
      <c r="H6564" s="612"/>
    </row>
    <row r="6565">
      <c r="B6565" s="612"/>
      <c r="H6565" s="612"/>
    </row>
    <row r="6566">
      <c r="B6566" s="612"/>
      <c r="H6566" s="612"/>
    </row>
    <row r="6567">
      <c r="B6567" s="612"/>
      <c r="H6567" s="612"/>
    </row>
    <row r="6568">
      <c r="B6568" s="612"/>
      <c r="H6568" s="612"/>
    </row>
    <row r="6569">
      <c r="B6569" s="612"/>
      <c r="H6569" s="612"/>
    </row>
    <row r="6570">
      <c r="B6570" s="612"/>
      <c r="H6570" s="612"/>
    </row>
    <row r="6571">
      <c r="B6571" s="612"/>
      <c r="H6571" s="612"/>
    </row>
    <row r="6572">
      <c r="B6572" s="612"/>
      <c r="H6572" s="612"/>
    </row>
    <row r="6573">
      <c r="B6573" s="612"/>
      <c r="H6573" s="612"/>
    </row>
    <row r="6574">
      <c r="B6574" s="612"/>
      <c r="H6574" s="612"/>
    </row>
    <row r="6575">
      <c r="B6575" s="612"/>
      <c r="H6575" s="612"/>
    </row>
    <row r="6576">
      <c r="B6576" s="612"/>
      <c r="H6576" s="612"/>
    </row>
    <row r="6577">
      <c r="B6577" s="612"/>
      <c r="H6577" s="612"/>
    </row>
    <row r="6578">
      <c r="B6578" s="612"/>
      <c r="H6578" s="612"/>
    </row>
    <row r="6579">
      <c r="B6579" s="612"/>
      <c r="H6579" s="612"/>
    </row>
    <row r="6580">
      <c r="B6580" s="612"/>
      <c r="H6580" s="612"/>
    </row>
    <row r="6581">
      <c r="B6581" s="612"/>
      <c r="H6581" s="612"/>
    </row>
    <row r="6582">
      <c r="B6582" s="612"/>
      <c r="H6582" s="612"/>
    </row>
    <row r="6583">
      <c r="B6583" s="612"/>
      <c r="H6583" s="612"/>
    </row>
    <row r="6584">
      <c r="B6584" s="612"/>
      <c r="H6584" s="612"/>
    </row>
    <row r="6585">
      <c r="B6585" s="612"/>
      <c r="H6585" s="612"/>
    </row>
    <row r="6586">
      <c r="B6586" s="612"/>
      <c r="H6586" s="612"/>
    </row>
    <row r="6587">
      <c r="B6587" s="612"/>
      <c r="H6587" s="612"/>
    </row>
    <row r="6588">
      <c r="B6588" s="612"/>
      <c r="H6588" s="612"/>
    </row>
    <row r="6589">
      <c r="B6589" s="612"/>
      <c r="H6589" s="612"/>
    </row>
    <row r="6590">
      <c r="B6590" s="612"/>
      <c r="H6590" s="612"/>
    </row>
    <row r="6591">
      <c r="B6591" s="612"/>
      <c r="H6591" s="612"/>
    </row>
    <row r="6592">
      <c r="B6592" s="612"/>
      <c r="H6592" s="612"/>
    </row>
    <row r="6593">
      <c r="B6593" s="612"/>
      <c r="H6593" s="612"/>
    </row>
    <row r="6594">
      <c r="B6594" s="612"/>
      <c r="H6594" s="612"/>
    </row>
    <row r="6595">
      <c r="B6595" s="612"/>
      <c r="H6595" s="612"/>
    </row>
    <row r="6596">
      <c r="B6596" s="612"/>
      <c r="H6596" s="612"/>
    </row>
    <row r="6597">
      <c r="B6597" s="612"/>
      <c r="H6597" s="612"/>
    </row>
    <row r="6598">
      <c r="B6598" s="612"/>
      <c r="H6598" s="612"/>
    </row>
    <row r="6599">
      <c r="B6599" s="612"/>
      <c r="H6599" s="612"/>
    </row>
    <row r="6600">
      <c r="B6600" s="612"/>
      <c r="H6600" s="612"/>
    </row>
    <row r="6601">
      <c r="B6601" s="612"/>
      <c r="H6601" s="612"/>
    </row>
    <row r="6602">
      <c r="B6602" s="612"/>
      <c r="H6602" s="612"/>
    </row>
    <row r="6603">
      <c r="B6603" s="612"/>
      <c r="H6603" s="612"/>
    </row>
    <row r="6604">
      <c r="B6604" s="612"/>
      <c r="H6604" s="612"/>
    </row>
    <row r="6605">
      <c r="B6605" s="612"/>
      <c r="H6605" s="612"/>
    </row>
    <row r="6606">
      <c r="B6606" s="612"/>
      <c r="H6606" s="612"/>
    </row>
    <row r="6607">
      <c r="B6607" s="612"/>
      <c r="H6607" s="612"/>
    </row>
    <row r="6608">
      <c r="B6608" s="612"/>
      <c r="H6608" s="612"/>
    </row>
    <row r="6609">
      <c r="B6609" s="612"/>
      <c r="H6609" s="612"/>
    </row>
    <row r="6610">
      <c r="B6610" s="612"/>
      <c r="H6610" s="612"/>
    </row>
    <row r="6611">
      <c r="B6611" s="612"/>
      <c r="H6611" s="612"/>
    </row>
    <row r="6612">
      <c r="B6612" s="612"/>
      <c r="H6612" s="612"/>
    </row>
    <row r="6613">
      <c r="B6613" s="612"/>
      <c r="H6613" s="612"/>
    </row>
    <row r="6614">
      <c r="B6614" s="612"/>
      <c r="H6614" s="612"/>
    </row>
    <row r="6615">
      <c r="B6615" s="612"/>
      <c r="H6615" s="612"/>
    </row>
    <row r="6616">
      <c r="B6616" s="612"/>
      <c r="H6616" s="612"/>
    </row>
    <row r="6617">
      <c r="B6617" s="612"/>
      <c r="H6617" s="612"/>
    </row>
    <row r="6618">
      <c r="B6618" s="612"/>
      <c r="H6618" s="612"/>
    </row>
    <row r="6619">
      <c r="B6619" s="612"/>
      <c r="H6619" s="612"/>
    </row>
    <row r="6620">
      <c r="B6620" s="612"/>
      <c r="H6620" s="612"/>
    </row>
    <row r="6621">
      <c r="B6621" s="612"/>
      <c r="H6621" s="612"/>
    </row>
    <row r="6622">
      <c r="B6622" s="612"/>
      <c r="H6622" s="612"/>
    </row>
    <row r="6623">
      <c r="B6623" s="612"/>
      <c r="H6623" s="612"/>
    </row>
    <row r="6624">
      <c r="B6624" s="612"/>
      <c r="H6624" s="612"/>
    </row>
    <row r="6625">
      <c r="B6625" s="612"/>
      <c r="H6625" s="612"/>
    </row>
    <row r="6626">
      <c r="B6626" s="612"/>
      <c r="H6626" s="612"/>
    </row>
    <row r="6627">
      <c r="B6627" s="612"/>
      <c r="H6627" s="612"/>
    </row>
    <row r="6628">
      <c r="B6628" s="612"/>
      <c r="H6628" s="612"/>
    </row>
    <row r="6629">
      <c r="B6629" s="612"/>
      <c r="H6629" s="612"/>
    </row>
    <row r="6630">
      <c r="B6630" s="612"/>
      <c r="H6630" s="612"/>
    </row>
    <row r="6631">
      <c r="B6631" s="612"/>
      <c r="H6631" s="612"/>
    </row>
    <row r="6632">
      <c r="B6632" s="612"/>
      <c r="H6632" s="612"/>
    </row>
    <row r="6633">
      <c r="B6633" s="612"/>
      <c r="H6633" s="612"/>
    </row>
    <row r="6634">
      <c r="B6634" s="612"/>
      <c r="H6634" s="612"/>
    </row>
    <row r="6635">
      <c r="B6635" s="612"/>
      <c r="H6635" s="612"/>
    </row>
    <row r="6636">
      <c r="B6636" s="612"/>
      <c r="H6636" s="612"/>
    </row>
    <row r="6637">
      <c r="B6637" s="612"/>
      <c r="H6637" s="612"/>
    </row>
    <row r="6638">
      <c r="B6638" s="612"/>
      <c r="H6638" s="612"/>
    </row>
    <row r="6639">
      <c r="B6639" s="612"/>
      <c r="H6639" s="612"/>
    </row>
    <row r="6640">
      <c r="B6640" s="612"/>
      <c r="H6640" s="612"/>
    </row>
    <row r="6641">
      <c r="B6641" s="612"/>
      <c r="H6641" s="612"/>
    </row>
    <row r="6642">
      <c r="B6642" s="612"/>
      <c r="H6642" s="612"/>
    </row>
    <row r="6643">
      <c r="B6643" s="612"/>
      <c r="H6643" s="612"/>
    </row>
    <row r="6644">
      <c r="B6644" s="612"/>
      <c r="H6644" s="612"/>
    </row>
    <row r="6645">
      <c r="B6645" s="612"/>
      <c r="H6645" s="612"/>
    </row>
    <row r="6646">
      <c r="B6646" s="612"/>
      <c r="H6646" s="612"/>
    </row>
    <row r="6647">
      <c r="B6647" s="612"/>
      <c r="H6647" s="612"/>
    </row>
    <row r="6648">
      <c r="B6648" s="612"/>
      <c r="H6648" s="612"/>
    </row>
    <row r="6649">
      <c r="B6649" s="612"/>
      <c r="H6649" s="612"/>
    </row>
    <row r="6650">
      <c r="B6650" s="612"/>
      <c r="H6650" s="612"/>
    </row>
    <row r="6651">
      <c r="B6651" s="612"/>
      <c r="H6651" s="612"/>
    </row>
    <row r="6652">
      <c r="B6652" s="612"/>
      <c r="H6652" s="612"/>
    </row>
    <row r="6653">
      <c r="B6653" s="612"/>
      <c r="H6653" s="612"/>
    </row>
    <row r="6654">
      <c r="B6654" s="612"/>
      <c r="H6654" s="612"/>
    </row>
    <row r="6655">
      <c r="B6655" s="612"/>
      <c r="H6655" s="612"/>
    </row>
    <row r="6656">
      <c r="B6656" s="612"/>
      <c r="H6656" s="612"/>
    </row>
    <row r="6657">
      <c r="B6657" s="612"/>
      <c r="H6657" s="612"/>
    </row>
    <row r="6658">
      <c r="B6658" s="612"/>
      <c r="H6658" s="612"/>
    </row>
    <row r="6659">
      <c r="B6659" s="612"/>
      <c r="H6659" s="612"/>
    </row>
    <row r="6660">
      <c r="B6660" s="612"/>
      <c r="H6660" s="612"/>
    </row>
    <row r="6661">
      <c r="B6661" s="612"/>
      <c r="H6661" s="612"/>
    </row>
    <row r="6662">
      <c r="B6662" s="612"/>
      <c r="H6662" s="612"/>
    </row>
    <row r="6663">
      <c r="B6663" s="612"/>
      <c r="H6663" s="612"/>
    </row>
    <row r="6664">
      <c r="B6664" s="612"/>
      <c r="H6664" s="612"/>
    </row>
    <row r="6665">
      <c r="B6665" s="612"/>
      <c r="H6665" s="612"/>
    </row>
    <row r="6666">
      <c r="B6666" s="612"/>
      <c r="H6666" s="612"/>
    </row>
    <row r="6667">
      <c r="B6667" s="612"/>
      <c r="H6667" s="612"/>
    </row>
    <row r="6668">
      <c r="B6668" s="612"/>
      <c r="H6668" s="612"/>
    </row>
    <row r="6669">
      <c r="B6669" s="612"/>
      <c r="H6669" s="612"/>
    </row>
    <row r="6670">
      <c r="B6670" s="612"/>
      <c r="H6670" s="612"/>
    </row>
    <row r="6671">
      <c r="B6671" s="612"/>
      <c r="H6671" s="612"/>
    </row>
    <row r="6672">
      <c r="B6672" s="612"/>
      <c r="H6672" s="612"/>
    </row>
    <row r="6673">
      <c r="B6673" s="612"/>
      <c r="H6673" s="612"/>
    </row>
    <row r="6674">
      <c r="B6674" s="612"/>
      <c r="H6674" s="612"/>
    </row>
    <row r="6675">
      <c r="B6675" s="612"/>
      <c r="H6675" s="612"/>
    </row>
    <row r="6676">
      <c r="B6676" s="612"/>
      <c r="H6676" s="612"/>
    </row>
    <row r="6677">
      <c r="B6677" s="612"/>
      <c r="H6677" s="612"/>
    </row>
    <row r="6678">
      <c r="B6678" s="612"/>
      <c r="H6678" s="612"/>
    </row>
    <row r="6679">
      <c r="B6679" s="612"/>
      <c r="H6679" s="612"/>
    </row>
    <row r="6680">
      <c r="B6680" s="612"/>
      <c r="H6680" s="612"/>
    </row>
    <row r="6681">
      <c r="B6681" s="612"/>
      <c r="H6681" s="612"/>
    </row>
    <row r="6682">
      <c r="B6682" s="612"/>
      <c r="H6682" s="612"/>
    </row>
    <row r="6683">
      <c r="B6683" s="612"/>
      <c r="H6683" s="612"/>
    </row>
    <row r="6684">
      <c r="B6684" s="612"/>
      <c r="H6684" s="612"/>
    </row>
    <row r="6685">
      <c r="B6685" s="612"/>
      <c r="H6685" s="612"/>
    </row>
    <row r="6686">
      <c r="B6686" s="612"/>
      <c r="H6686" s="612"/>
    </row>
    <row r="6687">
      <c r="B6687" s="612"/>
      <c r="H6687" s="612"/>
    </row>
    <row r="6688">
      <c r="B6688" s="612"/>
      <c r="H6688" s="612"/>
    </row>
    <row r="6689">
      <c r="B6689" s="612"/>
      <c r="H6689" s="612"/>
    </row>
    <row r="6690">
      <c r="B6690" s="612"/>
      <c r="H6690" s="612"/>
    </row>
    <row r="6691">
      <c r="B6691" s="612"/>
      <c r="H6691" s="612"/>
    </row>
    <row r="6692">
      <c r="B6692" s="612"/>
      <c r="H6692" s="612"/>
    </row>
    <row r="6693">
      <c r="B6693" s="612"/>
      <c r="H6693" s="612"/>
    </row>
    <row r="6694">
      <c r="B6694" s="612"/>
      <c r="H6694" s="612"/>
    </row>
    <row r="6695">
      <c r="B6695" s="612"/>
      <c r="H6695" s="612"/>
    </row>
    <row r="6696">
      <c r="B6696" s="612"/>
      <c r="H6696" s="612"/>
    </row>
    <row r="6697">
      <c r="B6697" s="612"/>
      <c r="H6697" s="612"/>
    </row>
    <row r="6698">
      <c r="B6698" s="612"/>
      <c r="H6698" s="612"/>
    </row>
    <row r="6699">
      <c r="B6699" s="612"/>
      <c r="H6699" s="612"/>
    </row>
    <row r="6700">
      <c r="B6700" s="612"/>
      <c r="H6700" s="612"/>
    </row>
    <row r="6701">
      <c r="B6701" s="612"/>
      <c r="H6701" s="612"/>
    </row>
    <row r="6702">
      <c r="B6702" s="612"/>
      <c r="H6702" s="612"/>
    </row>
    <row r="6703">
      <c r="B6703" s="612"/>
      <c r="H6703" s="612"/>
    </row>
    <row r="6704">
      <c r="B6704" s="612"/>
      <c r="H6704" s="612"/>
    </row>
    <row r="6705">
      <c r="B6705" s="612"/>
      <c r="H6705" s="612"/>
    </row>
    <row r="6706">
      <c r="B6706" s="612"/>
      <c r="H6706" s="612"/>
    </row>
    <row r="6707">
      <c r="B6707" s="612"/>
      <c r="H6707" s="612"/>
    </row>
    <row r="6708">
      <c r="B6708" s="612"/>
      <c r="H6708" s="612"/>
    </row>
    <row r="6709">
      <c r="B6709" s="612"/>
      <c r="H6709" s="612"/>
    </row>
    <row r="6710">
      <c r="B6710" s="612"/>
      <c r="H6710" s="612"/>
    </row>
    <row r="6711">
      <c r="B6711" s="612"/>
      <c r="H6711" s="612"/>
    </row>
    <row r="6712">
      <c r="B6712" s="612"/>
      <c r="H6712" s="612"/>
    </row>
    <row r="6713">
      <c r="B6713" s="612"/>
      <c r="H6713" s="612"/>
    </row>
    <row r="6714">
      <c r="B6714" s="612"/>
      <c r="H6714" s="612"/>
    </row>
    <row r="6715">
      <c r="B6715" s="612"/>
      <c r="H6715" s="612"/>
    </row>
    <row r="6716">
      <c r="B6716" s="612"/>
      <c r="H6716" s="612"/>
    </row>
    <row r="6717">
      <c r="B6717" s="612"/>
      <c r="H6717" s="612"/>
    </row>
    <row r="6718">
      <c r="B6718" s="612"/>
      <c r="H6718" s="612"/>
    </row>
    <row r="6719">
      <c r="B6719" s="612"/>
      <c r="H6719" s="612"/>
    </row>
    <row r="6720">
      <c r="B6720" s="612"/>
      <c r="H6720" s="612"/>
    </row>
    <row r="6721">
      <c r="B6721" s="612"/>
      <c r="H6721" s="612"/>
    </row>
    <row r="6722">
      <c r="B6722" s="612"/>
      <c r="H6722" s="612"/>
    </row>
    <row r="6723">
      <c r="B6723" s="612"/>
      <c r="H6723" s="612"/>
    </row>
    <row r="6724">
      <c r="B6724" s="612"/>
      <c r="H6724" s="612"/>
    </row>
    <row r="6725">
      <c r="B6725" s="612"/>
      <c r="H6725" s="612"/>
    </row>
    <row r="6726">
      <c r="B6726" s="612"/>
      <c r="H6726" s="612"/>
    </row>
    <row r="6727">
      <c r="B6727" s="612"/>
      <c r="H6727" s="612"/>
    </row>
    <row r="6728">
      <c r="B6728" s="612"/>
      <c r="H6728" s="612"/>
    </row>
    <row r="6729">
      <c r="B6729" s="612"/>
      <c r="H6729" s="612"/>
    </row>
    <row r="6730">
      <c r="B6730" s="612"/>
      <c r="H6730" s="612"/>
    </row>
    <row r="6731">
      <c r="B6731" s="612"/>
      <c r="H6731" s="612"/>
    </row>
    <row r="6732">
      <c r="B6732" s="612"/>
      <c r="H6732" s="612"/>
    </row>
    <row r="6733">
      <c r="B6733" s="612"/>
      <c r="H6733" s="612"/>
    </row>
    <row r="6734">
      <c r="B6734" s="612"/>
      <c r="H6734" s="612"/>
    </row>
    <row r="6735">
      <c r="B6735" s="612"/>
      <c r="H6735" s="612"/>
    </row>
    <row r="6736">
      <c r="B6736" s="612"/>
      <c r="H6736" s="612"/>
    </row>
    <row r="6737">
      <c r="B6737" s="612"/>
      <c r="H6737" s="612"/>
    </row>
    <row r="6738">
      <c r="B6738" s="612"/>
      <c r="H6738" s="612"/>
    </row>
    <row r="6739">
      <c r="B6739" s="612"/>
      <c r="H6739" s="612"/>
    </row>
    <row r="6740">
      <c r="B6740" s="612"/>
      <c r="H6740" s="612"/>
    </row>
    <row r="6741">
      <c r="B6741" s="612"/>
      <c r="H6741" s="612"/>
    </row>
    <row r="6742">
      <c r="B6742" s="612"/>
      <c r="H6742" s="612"/>
    </row>
    <row r="6743">
      <c r="B6743" s="612"/>
      <c r="H6743" s="612"/>
    </row>
    <row r="6744">
      <c r="B6744" s="612"/>
      <c r="H6744" s="612"/>
    </row>
    <row r="6745">
      <c r="B6745" s="612"/>
      <c r="H6745" s="612"/>
    </row>
    <row r="6746">
      <c r="B6746" s="612"/>
      <c r="H6746" s="612"/>
    </row>
    <row r="6747">
      <c r="B6747" s="612"/>
      <c r="H6747" s="612"/>
    </row>
    <row r="6748">
      <c r="B6748" s="612"/>
      <c r="H6748" s="612"/>
    </row>
    <row r="6749">
      <c r="B6749" s="612"/>
      <c r="H6749" s="612"/>
    </row>
    <row r="6750">
      <c r="B6750" s="612"/>
      <c r="H6750" s="612"/>
    </row>
    <row r="6751">
      <c r="B6751" s="612"/>
      <c r="H6751" s="612"/>
    </row>
    <row r="6752">
      <c r="B6752" s="612"/>
      <c r="H6752" s="612"/>
    </row>
    <row r="6753">
      <c r="B6753" s="612"/>
      <c r="H6753" s="612"/>
    </row>
    <row r="6754">
      <c r="B6754" s="612"/>
      <c r="H6754" s="612"/>
    </row>
    <row r="6755">
      <c r="B6755" s="612"/>
      <c r="H6755" s="612"/>
    </row>
    <row r="6756">
      <c r="B6756" s="612"/>
      <c r="H6756" s="612"/>
    </row>
    <row r="6757">
      <c r="B6757" s="612"/>
      <c r="H6757" s="612"/>
    </row>
    <row r="6758">
      <c r="B6758" s="612"/>
      <c r="H6758" s="612"/>
    </row>
    <row r="6759">
      <c r="B6759" s="612"/>
      <c r="H6759" s="612"/>
    </row>
    <row r="6760">
      <c r="B6760" s="612"/>
      <c r="H6760" s="612"/>
    </row>
    <row r="6761">
      <c r="B6761" s="612"/>
      <c r="H6761" s="612"/>
    </row>
    <row r="6762">
      <c r="B6762" s="612"/>
      <c r="H6762" s="612"/>
    </row>
    <row r="6763">
      <c r="B6763" s="612"/>
      <c r="H6763" s="612"/>
    </row>
    <row r="6764">
      <c r="B6764" s="612"/>
      <c r="H6764" s="612"/>
    </row>
    <row r="6765">
      <c r="B6765" s="612"/>
      <c r="H6765" s="612"/>
    </row>
    <row r="6766">
      <c r="B6766" s="612"/>
      <c r="H6766" s="612"/>
    </row>
    <row r="6767">
      <c r="B6767" s="612"/>
      <c r="H6767" s="612"/>
    </row>
    <row r="6768">
      <c r="B6768" s="612"/>
      <c r="H6768" s="612"/>
    </row>
    <row r="6769">
      <c r="B6769" s="612"/>
      <c r="H6769" s="612"/>
    </row>
    <row r="6770">
      <c r="B6770" s="612"/>
      <c r="H6770" s="612"/>
    </row>
    <row r="6771">
      <c r="B6771" s="612"/>
      <c r="H6771" s="612"/>
    </row>
    <row r="6772">
      <c r="B6772" s="612"/>
      <c r="H6772" s="612"/>
    </row>
    <row r="6773">
      <c r="B6773" s="612"/>
      <c r="H6773" s="612"/>
    </row>
    <row r="6774">
      <c r="B6774" s="612"/>
      <c r="H6774" s="612"/>
    </row>
    <row r="6775">
      <c r="B6775" s="612"/>
      <c r="H6775" s="612"/>
    </row>
    <row r="6776">
      <c r="B6776" s="612"/>
      <c r="H6776" s="612"/>
    </row>
    <row r="6777">
      <c r="B6777" s="612"/>
      <c r="H6777" s="612"/>
    </row>
    <row r="6778">
      <c r="B6778" s="612"/>
      <c r="H6778" s="612"/>
    </row>
    <row r="6779">
      <c r="B6779" s="612"/>
      <c r="H6779" s="612"/>
    </row>
    <row r="6780">
      <c r="B6780" s="612"/>
      <c r="H6780" s="612"/>
    </row>
    <row r="6781">
      <c r="B6781" s="612"/>
      <c r="H6781" s="612"/>
    </row>
    <row r="6782">
      <c r="B6782" s="612"/>
      <c r="H6782" s="612"/>
    </row>
    <row r="6783">
      <c r="B6783" s="612"/>
      <c r="H6783" s="612"/>
    </row>
    <row r="6784">
      <c r="B6784" s="612"/>
      <c r="H6784" s="612"/>
    </row>
    <row r="6785">
      <c r="B6785" s="612"/>
      <c r="H6785" s="612"/>
    </row>
    <row r="6786">
      <c r="B6786" s="612"/>
      <c r="H6786" s="612"/>
    </row>
    <row r="6787">
      <c r="B6787" s="612"/>
      <c r="H6787" s="612"/>
    </row>
    <row r="6788">
      <c r="B6788" s="612"/>
      <c r="H6788" s="612"/>
    </row>
    <row r="6789">
      <c r="B6789" s="612"/>
      <c r="H6789" s="612"/>
    </row>
    <row r="6790">
      <c r="B6790" s="612"/>
      <c r="H6790" s="612"/>
    </row>
    <row r="6791">
      <c r="B6791" s="612"/>
      <c r="H6791" s="612"/>
    </row>
    <row r="6792">
      <c r="B6792" s="612"/>
      <c r="H6792" s="612"/>
    </row>
    <row r="6793">
      <c r="B6793" s="612"/>
      <c r="H6793" s="612"/>
    </row>
    <row r="6794">
      <c r="B6794" s="612"/>
      <c r="H6794" s="612"/>
    </row>
    <row r="6795">
      <c r="B6795" s="612"/>
      <c r="H6795" s="612"/>
    </row>
    <row r="6796">
      <c r="B6796" s="612"/>
      <c r="H6796" s="612"/>
    </row>
    <row r="6797">
      <c r="B6797" s="612"/>
      <c r="H6797" s="612"/>
    </row>
    <row r="6798">
      <c r="B6798" s="612"/>
      <c r="H6798" s="612"/>
    </row>
    <row r="6799">
      <c r="B6799" s="612"/>
      <c r="H6799" s="612"/>
    </row>
    <row r="6800">
      <c r="B6800" s="612"/>
      <c r="H6800" s="612"/>
    </row>
    <row r="6801">
      <c r="B6801" s="612"/>
      <c r="H6801" s="612"/>
    </row>
    <row r="6802">
      <c r="B6802" s="612"/>
      <c r="H6802" s="612"/>
    </row>
    <row r="6803">
      <c r="B6803" s="612"/>
      <c r="H6803" s="612"/>
    </row>
    <row r="6804">
      <c r="B6804" s="612"/>
      <c r="H6804" s="612"/>
    </row>
    <row r="6805">
      <c r="B6805" s="612"/>
      <c r="H6805" s="612"/>
    </row>
    <row r="6806">
      <c r="B6806" s="612"/>
      <c r="H6806" s="612"/>
    </row>
    <row r="6807">
      <c r="B6807" s="612"/>
      <c r="H6807" s="612"/>
    </row>
    <row r="6808">
      <c r="B6808" s="612"/>
      <c r="H6808" s="612"/>
    </row>
    <row r="6809">
      <c r="B6809" s="612"/>
      <c r="H6809" s="612"/>
    </row>
    <row r="6810">
      <c r="B6810" s="612"/>
      <c r="H6810" s="612"/>
    </row>
    <row r="6811">
      <c r="B6811" s="612"/>
      <c r="H6811" s="612"/>
    </row>
    <row r="6812">
      <c r="B6812" s="612"/>
      <c r="H6812" s="612"/>
    </row>
    <row r="6813">
      <c r="B6813" s="612"/>
      <c r="H6813" s="612"/>
    </row>
    <row r="6814">
      <c r="B6814" s="612"/>
      <c r="H6814" s="612"/>
    </row>
    <row r="6815">
      <c r="B6815" s="612"/>
      <c r="H6815" s="612"/>
    </row>
    <row r="6816">
      <c r="B6816" s="612"/>
      <c r="H6816" s="612"/>
    </row>
    <row r="6817">
      <c r="B6817" s="612"/>
      <c r="H6817" s="612"/>
    </row>
    <row r="6818">
      <c r="B6818" s="612"/>
      <c r="H6818" s="612"/>
    </row>
    <row r="6819">
      <c r="B6819" s="612"/>
      <c r="H6819" s="612"/>
    </row>
    <row r="6820">
      <c r="B6820" s="612"/>
      <c r="H6820" s="612"/>
    </row>
    <row r="6821">
      <c r="B6821" s="612"/>
      <c r="H6821" s="612"/>
    </row>
    <row r="6822">
      <c r="B6822" s="612"/>
      <c r="H6822" s="612"/>
    </row>
    <row r="6823">
      <c r="B6823" s="612"/>
      <c r="H6823" s="612"/>
    </row>
    <row r="6824">
      <c r="B6824" s="612"/>
      <c r="H6824" s="612"/>
    </row>
    <row r="6825">
      <c r="B6825" s="612"/>
      <c r="H6825" s="612"/>
    </row>
    <row r="6826">
      <c r="B6826" s="612"/>
      <c r="H6826" s="612"/>
    </row>
    <row r="6827">
      <c r="B6827" s="612"/>
      <c r="H6827" s="612"/>
    </row>
    <row r="6828">
      <c r="B6828" s="612"/>
      <c r="H6828" s="612"/>
    </row>
    <row r="6829">
      <c r="B6829" s="612"/>
      <c r="H6829" s="612"/>
    </row>
    <row r="6830">
      <c r="B6830" s="612"/>
      <c r="H6830" s="612"/>
    </row>
    <row r="6831">
      <c r="B6831" s="612"/>
      <c r="H6831" s="612"/>
    </row>
    <row r="6832">
      <c r="B6832" s="612"/>
      <c r="H6832" s="612"/>
    </row>
    <row r="6833">
      <c r="B6833" s="612"/>
      <c r="H6833" s="612"/>
    </row>
    <row r="6834">
      <c r="B6834" s="612"/>
      <c r="H6834" s="612"/>
    </row>
    <row r="6835">
      <c r="B6835" s="612"/>
      <c r="H6835" s="612"/>
    </row>
    <row r="6836">
      <c r="B6836" s="612"/>
      <c r="H6836" s="612"/>
    </row>
    <row r="6837">
      <c r="B6837" s="612"/>
      <c r="H6837" s="612"/>
    </row>
    <row r="6838">
      <c r="B6838" s="612"/>
      <c r="H6838" s="612"/>
    </row>
    <row r="6839">
      <c r="B6839" s="612"/>
      <c r="H6839" s="612"/>
    </row>
    <row r="6840">
      <c r="B6840" s="612"/>
      <c r="H6840" s="612"/>
    </row>
    <row r="6841">
      <c r="B6841" s="612"/>
      <c r="H6841" s="612"/>
    </row>
    <row r="6842">
      <c r="B6842" s="612"/>
      <c r="H6842" s="612"/>
    </row>
    <row r="6843">
      <c r="B6843" s="612"/>
      <c r="H6843" s="612"/>
    </row>
    <row r="6844">
      <c r="B6844" s="612"/>
      <c r="H6844" s="612"/>
    </row>
    <row r="6845">
      <c r="B6845" s="612"/>
      <c r="H6845" s="612"/>
    </row>
    <row r="6846">
      <c r="B6846" s="612"/>
      <c r="H6846" s="612"/>
    </row>
    <row r="6847">
      <c r="B6847" s="612"/>
      <c r="H6847" s="612"/>
    </row>
    <row r="6848">
      <c r="B6848" s="612"/>
      <c r="H6848" s="612"/>
    </row>
    <row r="6849">
      <c r="B6849" s="612"/>
      <c r="H6849" s="612"/>
    </row>
    <row r="6850">
      <c r="B6850" s="612"/>
      <c r="H6850" s="612"/>
    </row>
    <row r="6851">
      <c r="B6851" s="612"/>
      <c r="H6851" s="612"/>
    </row>
    <row r="6852">
      <c r="B6852" s="612"/>
      <c r="H6852" s="612"/>
    </row>
    <row r="6853">
      <c r="B6853" s="612"/>
      <c r="H6853" s="612"/>
    </row>
    <row r="6854">
      <c r="B6854" s="612"/>
      <c r="H6854" s="612"/>
    </row>
    <row r="6855">
      <c r="B6855" s="612"/>
      <c r="H6855" s="612"/>
    </row>
    <row r="6856">
      <c r="B6856" s="612"/>
      <c r="H6856" s="612"/>
    </row>
    <row r="6857">
      <c r="B6857" s="612"/>
      <c r="H6857" s="612"/>
    </row>
    <row r="6858">
      <c r="B6858" s="612"/>
      <c r="H6858" s="612"/>
    </row>
    <row r="6859">
      <c r="B6859" s="612"/>
      <c r="H6859" s="612"/>
    </row>
    <row r="6860">
      <c r="B6860" s="612"/>
      <c r="H6860" s="612"/>
    </row>
    <row r="6861">
      <c r="B6861" s="612"/>
      <c r="H6861" s="612"/>
    </row>
    <row r="6862">
      <c r="B6862" s="612"/>
      <c r="H6862" s="612"/>
    </row>
    <row r="6863">
      <c r="B6863" s="612"/>
      <c r="H6863" s="612"/>
    </row>
    <row r="6864">
      <c r="B6864" s="612"/>
      <c r="H6864" s="612"/>
    </row>
    <row r="6865">
      <c r="B6865" s="612"/>
      <c r="H6865" s="612"/>
    </row>
    <row r="6866">
      <c r="B6866" s="612"/>
      <c r="H6866" s="612"/>
    </row>
    <row r="6867">
      <c r="B6867" s="612"/>
      <c r="H6867" s="612"/>
    </row>
    <row r="6868">
      <c r="B6868" s="612"/>
      <c r="H6868" s="612"/>
    </row>
    <row r="6869">
      <c r="B6869" s="612"/>
      <c r="H6869" s="612"/>
    </row>
    <row r="6870">
      <c r="B6870" s="612"/>
      <c r="H6870" s="612"/>
    </row>
    <row r="6871">
      <c r="B6871" s="612"/>
      <c r="H6871" s="612"/>
    </row>
    <row r="6872">
      <c r="B6872" s="612"/>
      <c r="H6872" s="612"/>
    </row>
    <row r="6873">
      <c r="B6873" s="612"/>
      <c r="H6873" s="612"/>
    </row>
    <row r="6874">
      <c r="B6874" s="612"/>
      <c r="H6874" s="612"/>
    </row>
    <row r="6875">
      <c r="B6875" s="612"/>
      <c r="H6875" s="612"/>
    </row>
    <row r="6876">
      <c r="B6876" s="612"/>
      <c r="H6876" s="612"/>
    </row>
    <row r="6877">
      <c r="B6877" s="612"/>
      <c r="H6877" s="612"/>
    </row>
    <row r="6878">
      <c r="B6878" s="612"/>
      <c r="H6878" s="612"/>
    </row>
    <row r="6879">
      <c r="B6879" s="612"/>
      <c r="H6879" s="612"/>
    </row>
    <row r="6880">
      <c r="B6880" s="612"/>
      <c r="H6880" s="612"/>
    </row>
    <row r="6881">
      <c r="B6881" s="612"/>
      <c r="H6881" s="612"/>
    </row>
    <row r="6882">
      <c r="B6882" s="612"/>
      <c r="H6882" s="612"/>
    </row>
    <row r="6883">
      <c r="B6883" s="612"/>
      <c r="H6883" s="612"/>
    </row>
    <row r="6884">
      <c r="B6884" s="612"/>
      <c r="H6884" s="612"/>
    </row>
    <row r="6885">
      <c r="B6885" s="612"/>
      <c r="H6885" s="612"/>
    </row>
    <row r="6886">
      <c r="B6886" s="612"/>
      <c r="H6886" s="612"/>
    </row>
    <row r="6887">
      <c r="B6887" s="612"/>
      <c r="H6887" s="612"/>
    </row>
    <row r="6888">
      <c r="B6888" s="612"/>
      <c r="H6888" s="612"/>
    </row>
    <row r="6889">
      <c r="B6889" s="612"/>
      <c r="H6889" s="612"/>
    </row>
    <row r="6890">
      <c r="B6890" s="612"/>
      <c r="H6890" s="612"/>
    </row>
    <row r="6891">
      <c r="B6891" s="612"/>
      <c r="H6891" s="612"/>
    </row>
    <row r="6892">
      <c r="B6892" s="612"/>
      <c r="H6892" s="612"/>
    </row>
    <row r="6893">
      <c r="B6893" s="612"/>
      <c r="H6893" s="612"/>
    </row>
    <row r="6894">
      <c r="B6894" s="612"/>
      <c r="H6894" s="612"/>
    </row>
    <row r="6895">
      <c r="B6895" s="612"/>
      <c r="H6895" s="612"/>
    </row>
    <row r="6896">
      <c r="B6896" s="612"/>
      <c r="H6896" s="612"/>
    </row>
    <row r="6897">
      <c r="B6897" s="612"/>
      <c r="H6897" s="612"/>
    </row>
    <row r="6898">
      <c r="B6898" s="612"/>
      <c r="H6898" s="612"/>
    </row>
    <row r="6899">
      <c r="B6899" s="612"/>
      <c r="H6899" s="612"/>
    </row>
    <row r="6900">
      <c r="B6900" s="612"/>
      <c r="H6900" s="612"/>
    </row>
    <row r="6901">
      <c r="B6901" s="612"/>
      <c r="H6901" s="612"/>
    </row>
    <row r="6902">
      <c r="B6902" s="612"/>
      <c r="H6902" s="612"/>
    </row>
    <row r="6903">
      <c r="B6903" s="612"/>
      <c r="H6903" s="612"/>
    </row>
    <row r="6904">
      <c r="B6904" s="612"/>
      <c r="H6904" s="612"/>
    </row>
    <row r="6905">
      <c r="B6905" s="612"/>
      <c r="H6905" s="612"/>
    </row>
    <row r="6906">
      <c r="B6906" s="612"/>
      <c r="H6906" s="612"/>
    </row>
    <row r="6907">
      <c r="B6907" s="612"/>
      <c r="H6907" s="612"/>
    </row>
    <row r="6908">
      <c r="B6908" s="612"/>
      <c r="H6908" s="612"/>
    </row>
    <row r="6909">
      <c r="B6909" s="612"/>
      <c r="H6909" s="612"/>
    </row>
    <row r="6910">
      <c r="B6910" s="612"/>
      <c r="H6910" s="612"/>
    </row>
    <row r="6911">
      <c r="B6911" s="612"/>
      <c r="H6911" s="612"/>
    </row>
    <row r="6912">
      <c r="B6912" s="612"/>
      <c r="H6912" s="612"/>
    </row>
    <row r="6913">
      <c r="B6913" s="612"/>
      <c r="H6913" s="612"/>
    </row>
    <row r="6914">
      <c r="B6914" s="612"/>
      <c r="H6914" s="612"/>
    </row>
    <row r="6915">
      <c r="B6915" s="612"/>
      <c r="H6915" s="612"/>
    </row>
    <row r="6916">
      <c r="B6916" s="612"/>
      <c r="H6916" s="612"/>
    </row>
    <row r="6917">
      <c r="B6917" s="612"/>
      <c r="H6917" s="612"/>
    </row>
    <row r="6918">
      <c r="B6918" s="612"/>
      <c r="H6918" s="612"/>
    </row>
    <row r="6919">
      <c r="B6919" s="612"/>
      <c r="H6919" s="612"/>
    </row>
    <row r="6920">
      <c r="B6920" s="612"/>
      <c r="H6920" s="612"/>
    </row>
    <row r="6921">
      <c r="B6921" s="612"/>
      <c r="H6921" s="612"/>
    </row>
    <row r="6922">
      <c r="B6922" s="612"/>
      <c r="H6922" s="612"/>
    </row>
    <row r="6923">
      <c r="B6923" s="612"/>
      <c r="H6923" s="612"/>
    </row>
    <row r="6924">
      <c r="B6924" s="612"/>
      <c r="H6924" s="612"/>
    </row>
    <row r="6925">
      <c r="B6925" s="612"/>
      <c r="H6925" s="612"/>
    </row>
    <row r="6926">
      <c r="B6926" s="612"/>
      <c r="H6926" s="612"/>
    </row>
    <row r="6927">
      <c r="B6927" s="612"/>
      <c r="H6927" s="612"/>
    </row>
    <row r="6928">
      <c r="B6928" s="612"/>
      <c r="H6928" s="612"/>
    </row>
    <row r="6929">
      <c r="B6929" s="612"/>
      <c r="H6929" s="612"/>
    </row>
    <row r="6930">
      <c r="B6930" s="612"/>
      <c r="H6930" s="612"/>
    </row>
    <row r="6931">
      <c r="B6931" s="612"/>
      <c r="H6931" s="612"/>
    </row>
    <row r="6932">
      <c r="B6932" s="612"/>
      <c r="H6932" s="612"/>
    </row>
    <row r="6933">
      <c r="B6933" s="612"/>
      <c r="H6933" s="612"/>
    </row>
    <row r="6934">
      <c r="B6934" s="612"/>
      <c r="H6934" s="612"/>
    </row>
    <row r="6935">
      <c r="B6935" s="612"/>
      <c r="H6935" s="612"/>
    </row>
    <row r="6936">
      <c r="B6936" s="612"/>
      <c r="H6936" s="612"/>
    </row>
    <row r="6937">
      <c r="B6937" s="612"/>
      <c r="H6937" s="612"/>
    </row>
    <row r="6938">
      <c r="B6938" s="612"/>
      <c r="H6938" s="612"/>
    </row>
    <row r="6939">
      <c r="B6939" s="612"/>
      <c r="H6939" s="612"/>
    </row>
    <row r="6940">
      <c r="B6940" s="612"/>
      <c r="H6940" s="612"/>
    </row>
    <row r="6941">
      <c r="B6941" s="612"/>
      <c r="H6941" s="612"/>
    </row>
    <row r="6942">
      <c r="B6942" s="612"/>
      <c r="H6942" s="612"/>
    </row>
    <row r="6943">
      <c r="B6943" s="612"/>
      <c r="H6943" s="612"/>
    </row>
    <row r="6944">
      <c r="B6944" s="612"/>
      <c r="H6944" s="612"/>
    </row>
    <row r="6945">
      <c r="B6945" s="612"/>
      <c r="H6945" s="612"/>
    </row>
    <row r="6946">
      <c r="B6946" s="612"/>
      <c r="H6946" s="612"/>
    </row>
    <row r="6947">
      <c r="B6947" s="612"/>
      <c r="H6947" s="612"/>
    </row>
    <row r="6948">
      <c r="B6948" s="612"/>
      <c r="H6948" s="612"/>
    </row>
    <row r="6949">
      <c r="B6949" s="612"/>
      <c r="H6949" s="612"/>
    </row>
    <row r="6950">
      <c r="B6950" s="612"/>
      <c r="H6950" s="612"/>
    </row>
    <row r="6951">
      <c r="B6951" s="612"/>
      <c r="H6951" s="612"/>
    </row>
    <row r="6952">
      <c r="B6952" s="612"/>
      <c r="H6952" s="612"/>
    </row>
    <row r="6953">
      <c r="B6953" s="612"/>
      <c r="H6953" s="612"/>
    </row>
    <row r="6954">
      <c r="B6954" s="612"/>
      <c r="H6954" s="612"/>
    </row>
    <row r="6955">
      <c r="B6955" s="612"/>
      <c r="H6955" s="612"/>
    </row>
    <row r="6956">
      <c r="B6956" s="612"/>
      <c r="H6956" s="612"/>
    </row>
    <row r="6957">
      <c r="B6957" s="612"/>
      <c r="H6957" s="612"/>
    </row>
    <row r="6958">
      <c r="B6958" s="612"/>
      <c r="H6958" s="612"/>
    </row>
    <row r="6959">
      <c r="B6959" s="612"/>
      <c r="H6959" s="612"/>
    </row>
    <row r="6960">
      <c r="B6960" s="612"/>
      <c r="H6960" s="612"/>
    </row>
    <row r="6961">
      <c r="B6961" s="612"/>
      <c r="H6961" s="612"/>
    </row>
    <row r="6962">
      <c r="B6962" s="612"/>
      <c r="H6962" s="612"/>
    </row>
    <row r="6963">
      <c r="B6963" s="612"/>
      <c r="H6963" s="612"/>
    </row>
    <row r="6964">
      <c r="B6964" s="612"/>
      <c r="H6964" s="612"/>
    </row>
    <row r="6965">
      <c r="B6965" s="612"/>
      <c r="H6965" s="612"/>
    </row>
    <row r="6966">
      <c r="B6966" s="612"/>
      <c r="H6966" s="612"/>
    </row>
    <row r="6967">
      <c r="B6967" s="612"/>
      <c r="H6967" s="612"/>
    </row>
    <row r="6968">
      <c r="B6968" s="612"/>
      <c r="H6968" s="612"/>
    </row>
    <row r="6969">
      <c r="B6969" s="612"/>
      <c r="H6969" s="612"/>
    </row>
    <row r="6970">
      <c r="B6970" s="612"/>
      <c r="H6970" s="612"/>
    </row>
    <row r="6971">
      <c r="B6971" s="612"/>
      <c r="H6971" s="612"/>
    </row>
    <row r="6972">
      <c r="B6972" s="612"/>
      <c r="H6972" s="612"/>
    </row>
    <row r="6973">
      <c r="B6973" s="612"/>
      <c r="H6973" s="612"/>
    </row>
    <row r="6974">
      <c r="B6974" s="612"/>
      <c r="H6974" s="612"/>
    </row>
    <row r="6975">
      <c r="B6975" s="612"/>
      <c r="H6975" s="612"/>
    </row>
    <row r="6976">
      <c r="B6976" s="612"/>
      <c r="H6976" s="612"/>
    </row>
    <row r="6977">
      <c r="B6977" s="612"/>
      <c r="H6977" s="612"/>
    </row>
    <row r="6978">
      <c r="B6978" s="612"/>
      <c r="H6978" s="612"/>
    </row>
    <row r="6979">
      <c r="B6979" s="612"/>
      <c r="H6979" s="612"/>
    </row>
    <row r="6980">
      <c r="B6980" s="612"/>
      <c r="H6980" s="612"/>
    </row>
    <row r="6981">
      <c r="B6981" s="612"/>
      <c r="H6981" s="612"/>
    </row>
    <row r="6982">
      <c r="B6982" s="612"/>
      <c r="H6982" s="612"/>
    </row>
    <row r="6983">
      <c r="B6983" s="612"/>
      <c r="H6983" s="612"/>
    </row>
    <row r="6984">
      <c r="B6984" s="612"/>
      <c r="H6984" s="612"/>
    </row>
    <row r="6985">
      <c r="B6985" s="612"/>
      <c r="H6985" s="612"/>
    </row>
    <row r="6986">
      <c r="B6986" s="612"/>
      <c r="H6986" s="612"/>
    </row>
    <row r="6987">
      <c r="B6987" s="612"/>
      <c r="H6987" s="612"/>
    </row>
    <row r="6988">
      <c r="B6988" s="612"/>
      <c r="H6988" s="612"/>
    </row>
    <row r="6989">
      <c r="B6989" s="612"/>
      <c r="H6989" s="612"/>
    </row>
    <row r="6990">
      <c r="B6990" s="612"/>
      <c r="H6990" s="612"/>
    </row>
    <row r="6991">
      <c r="B6991" s="612"/>
      <c r="H6991" s="612"/>
    </row>
    <row r="6992">
      <c r="B6992" s="612"/>
      <c r="H6992" s="612"/>
    </row>
    <row r="6993">
      <c r="B6993" s="612"/>
      <c r="H6993" s="612"/>
    </row>
    <row r="6994">
      <c r="B6994" s="612"/>
      <c r="H6994" s="612"/>
    </row>
    <row r="6995">
      <c r="B6995" s="612"/>
      <c r="H6995" s="612"/>
    </row>
    <row r="6996">
      <c r="B6996" s="612"/>
      <c r="H6996" s="612"/>
    </row>
    <row r="6997">
      <c r="B6997" s="612"/>
      <c r="H6997" s="612"/>
    </row>
    <row r="6998">
      <c r="B6998" s="612"/>
      <c r="H6998" s="612"/>
    </row>
    <row r="6999">
      <c r="B6999" s="612"/>
      <c r="H6999" s="612"/>
    </row>
    <row r="7000">
      <c r="B7000" s="612"/>
      <c r="H7000" s="612"/>
    </row>
    <row r="7001">
      <c r="B7001" s="612"/>
      <c r="H7001" s="612"/>
    </row>
    <row r="7002">
      <c r="B7002" s="612"/>
      <c r="H7002" s="612"/>
    </row>
    <row r="7003">
      <c r="B7003" s="612"/>
      <c r="H7003" s="612"/>
    </row>
    <row r="7004">
      <c r="B7004" s="612"/>
      <c r="H7004" s="612"/>
    </row>
    <row r="7005">
      <c r="B7005" s="612"/>
      <c r="H7005" s="612"/>
    </row>
    <row r="7006">
      <c r="B7006" s="612"/>
      <c r="H7006" s="612"/>
    </row>
    <row r="7007">
      <c r="B7007" s="612"/>
      <c r="H7007" s="612"/>
    </row>
    <row r="7008">
      <c r="B7008" s="612"/>
      <c r="H7008" s="612"/>
    </row>
    <row r="7009">
      <c r="B7009" s="612"/>
      <c r="H7009" s="612"/>
    </row>
    <row r="7010">
      <c r="B7010" s="612"/>
      <c r="H7010" s="612"/>
    </row>
    <row r="7011">
      <c r="B7011" s="612"/>
      <c r="H7011" s="612"/>
    </row>
    <row r="7012">
      <c r="B7012" s="612"/>
      <c r="H7012" s="612"/>
    </row>
    <row r="7013">
      <c r="B7013" s="612"/>
      <c r="H7013" s="612"/>
    </row>
    <row r="7014">
      <c r="B7014" s="612"/>
      <c r="H7014" s="612"/>
    </row>
    <row r="7015">
      <c r="B7015" s="612"/>
      <c r="H7015" s="612"/>
    </row>
    <row r="7016">
      <c r="B7016" s="612"/>
      <c r="H7016" s="612"/>
    </row>
    <row r="7017">
      <c r="B7017" s="612"/>
      <c r="H7017" s="612"/>
    </row>
    <row r="7018">
      <c r="B7018" s="612"/>
      <c r="H7018" s="612"/>
    </row>
    <row r="7019">
      <c r="B7019" s="612"/>
      <c r="H7019" s="612"/>
    </row>
    <row r="7020">
      <c r="B7020" s="612"/>
      <c r="H7020" s="612"/>
    </row>
    <row r="7021">
      <c r="B7021" s="612"/>
      <c r="H7021" s="612"/>
    </row>
    <row r="7022">
      <c r="B7022" s="612"/>
      <c r="H7022" s="612"/>
    </row>
    <row r="7023">
      <c r="B7023" s="612"/>
      <c r="H7023" s="612"/>
    </row>
    <row r="7024">
      <c r="B7024" s="612"/>
      <c r="H7024" s="612"/>
    </row>
    <row r="7025">
      <c r="B7025" s="612"/>
      <c r="H7025" s="612"/>
    </row>
    <row r="7026">
      <c r="B7026" s="612"/>
      <c r="H7026" s="612"/>
    </row>
    <row r="7027">
      <c r="B7027" s="612"/>
      <c r="H7027" s="612"/>
    </row>
    <row r="7028">
      <c r="B7028" s="612"/>
      <c r="H7028" s="612"/>
    </row>
    <row r="7029">
      <c r="B7029" s="612"/>
      <c r="H7029" s="612"/>
    </row>
    <row r="7030">
      <c r="B7030" s="612"/>
      <c r="H7030" s="612"/>
    </row>
    <row r="7031">
      <c r="B7031" s="612"/>
      <c r="H7031" s="612"/>
    </row>
    <row r="7032">
      <c r="B7032" s="612"/>
      <c r="H7032" s="612"/>
    </row>
    <row r="7033">
      <c r="B7033" s="612"/>
      <c r="H7033" s="612"/>
    </row>
    <row r="7034">
      <c r="B7034" s="612"/>
      <c r="H7034" s="612"/>
    </row>
    <row r="7035">
      <c r="B7035" s="612"/>
      <c r="H7035" s="612"/>
    </row>
    <row r="7036">
      <c r="B7036" s="612"/>
      <c r="H7036" s="612"/>
    </row>
    <row r="7037">
      <c r="B7037" s="612"/>
      <c r="H7037" s="612"/>
    </row>
    <row r="7038">
      <c r="B7038" s="612"/>
      <c r="H7038" s="612"/>
    </row>
    <row r="7039">
      <c r="B7039" s="612"/>
      <c r="H7039" s="612"/>
    </row>
    <row r="7040">
      <c r="B7040" s="612"/>
      <c r="H7040" s="612"/>
    </row>
    <row r="7041">
      <c r="B7041" s="612"/>
      <c r="H7041" s="612"/>
    </row>
    <row r="7042">
      <c r="B7042" s="612"/>
      <c r="H7042" s="612"/>
    </row>
    <row r="7043">
      <c r="B7043" s="612"/>
      <c r="H7043" s="612"/>
    </row>
    <row r="7044">
      <c r="B7044" s="612"/>
      <c r="H7044" s="612"/>
    </row>
    <row r="7045">
      <c r="B7045" s="612"/>
      <c r="H7045" s="612"/>
    </row>
    <row r="7046">
      <c r="B7046" s="612"/>
      <c r="H7046" s="612"/>
    </row>
    <row r="7047">
      <c r="B7047" s="612"/>
      <c r="H7047" s="612"/>
    </row>
    <row r="7048">
      <c r="B7048" s="612"/>
      <c r="H7048" s="612"/>
    </row>
    <row r="7049">
      <c r="B7049" s="612"/>
      <c r="H7049" s="612"/>
    </row>
    <row r="7050">
      <c r="B7050" s="612"/>
      <c r="H7050" s="612"/>
    </row>
    <row r="7051">
      <c r="B7051" s="612"/>
      <c r="H7051" s="612"/>
    </row>
    <row r="7052">
      <c r="B7052" s="612"/>
      <c r="H7052" s="612"/>
    </row>
    <row r="7053">
      <c r="B7053" s="612"/>
      <c r="H7053" s="612"/>
    </row>
    <row r="7054">
      <c r="B7054" s="612"/>
      <c r="H7054" s="612"/>
    </row>
    <row r="7055">
      <c r="B7055" s="612"/>
      <c r="H7055" s="612"/>
    </row>
    <row r="7056">
      <c r="B7056" s="612"/>
      <c r="H7056" s="612"/>
    </row>
    <row r="7057">
      <c r="B7057" s="612"/>
      <c r="H7057" s="612"/>
    </row>
    <row r="7058">
      <c r="B7058" s="612"/>
      <c r="H7058" s="612"/>
    </row>
    <row r="7059">
      <c r="B7059" s="612"/>
      <c r="H7059" s="612"/>
    </row>
    <row r="7060">
      <c r="B7060" s="612"/>
      <c r="H7060" s="612"/>
    </row>
    <row r="7061">
      <c r="B7061" s="612"/>
      <c r="H7061" s="612"/>
    </row>
    <row r="7062">
      <c r="B7062" s="612"/>
      <c r="H7062" s="612"/>
    </row>
    <row r="7063">
      <c r="B7063" s="612"/>
      <c r="H7063" s="612"/>
    </row>
    <row r="7064">
      <c r="B7064" s="612"/>
      <c r="H7064" s="612"/>
    </row>
    <row r="7065">
      <c r="B7065" s="612"/>
      <c r="H7065" s="612"/>
    </row>
    <row r="7066">
      <c r="B7066" s="612"/>
      <c r="H7066" s="612"/>
    </row>
    <row r="7067">
      <c r="B7067" s="612"/>
      <c r="H7067" s="612"/>
    </row>
    <row r="7068">
      <c r="B7068" s="612"/>
      <c r="H7068" s="612"/>
    </row>
    <row r="7069">
      <c r="B7069" s="612"/>
      <c r="H7069" s="612"/>
    </row>
    <row r="7070">
      <c r="B7070" s="612"/>
      <c r="H7070" s="612"/>
    </row>
    <row r="7071">
      <c r="B7071" s="612"/>
      <c r="H7071" s="612"/>
    </row>
    <row r="7072">
      <c r="B7072" s="612"/>
      <c r="H7072" s="612"/>
    </row>
    <row r="7073">
      <c r="B7073" s="612"/>
      <c r="H7073" s="612"/>
    </row>
    <row r="7074">
      <c r="B7074" s="612"/>
      <c r="H7074" s="612"/>
    </row>
    <row r="7075">
      <c r="B7075" s="612"/>
      <c r="H7075" s="612"/>
    </row>
    <row r="7076">
      <c r="B7076" s="612"/>
      <c r="H7076" s="612"/>
    </row>
    <row r="7077">
      <c r="B7077" s="612"/>
      <c r="H7077" s="612"/>
    </row>
    <row r="7078">
      <c r="B7078" s="612"/>
      <c r="H7078" s="612"/>
    </row>
    <row r="7079">
      <c r="B7079" s="612"/>
      <c r="H7079" s="612"/>
    </row>
    <row r="7080">
      <c r="B7080" s="612"/>
      <c r="H7080" s="612"/>
    </row>
    <row r="7081">
      <c r="B7081" s="612"/>
      <c r="H7081" s="612"/>
    </row>
    <row r="7082">
      <c r="B7082" s="612"/>
      <c r="H7082" s="612"/>
    </row>
    <row r="7083">
      <c r="B7083" s="612"/>
      <c r="H7083" s="612"/>
    </row>
    <row r="7084">
      <c r="B7084" s="612"/>
      <c r="H7084" s="612"/>
    </row>
    <row r="7085">
      <c r="B7085" s="612"/>
      <c r="H7085" s="612"/>
    </row>
    <row r="7086">
      <c r="B7086" s="612"/>
      <c r="H7086" s="612"/>
    </row>
    <row r="7087">
      <c r="B7087" s="612"/>
      <c r="H7087" s="612"/>
    </row>
    <row r="7088">
      <c r="B7088" s="612"/>
      <c r="H7088" s="612"/>
    </row>
    <row r="7089">
      <c r="B7089" s="612"/>
      <c r="H7089" s="612"/>
    </row>
    <row r="7090">
      <c r="B7090" s="612"/>
      <c r="H7090" s="612"/>
    </row>
    <row r="7091">
      <c r="B7091" s="612"/>
      <c r="H7091" s="612"/>
    </row>
    <row r="7092">
      <c r="B7092" s="612"/>
      <c r="H7092" s="612"/>
    </row>
    <row r="7093">
      <c r="B7093" s="612"/>
      <c r="H7093" s="612"/>
    </row>
    <row r="7094">
      <c r="B7094" s="612"/>
      <c r="H7094" s="612"/>
    </row>
    <row r="7095">
      <c r="B7095" s="612"/>
      <c r="H7095" s="612"/>
    </row>
    <row r="7096">
      <c r="B7096" s="612"/>
      <c r="H7096" s="612"/>
    </row>
    <row r="7097">
      <c r="B7097" s="612"/>
      <c r="H7097" s="612"/>
    </row>
    <row r="7098">
      <c r="B7098" s="612"/>
      <c r="H7098" s="612"/>
    </row>
    <row r="7099">
      <c r="B7099" s="612"/>
      <c r="H7099" s="612"/>
    </row>
    <row r="7100">
      <c r="B7100" s="612"/>
      <c r="H7100" s="612"/>
    </row>
    <row r="7101">
      <c r="B7101" s="612"/>
      <c r="H7101" s="612"/>
    </row>
    <row r="7102">
      <c r="B7102" s="612"/>
      <c r="H7102" s="612"/>
    </row>
    <row r="7103">
      <c r="B7103" s="612"/>
      <c r="H7103" s="612"/>
    </row>
    <row r="7104">
      <c r="B7104" s="612"/>
      <c r="H7104" s="612"/>
    </row>
    <row r="7105">
      <c r="B7105" s="612"/>
      <c r="H7105" s="612"/>
    </row>
    <row r="7106">
      <c r="B7106" s="612"/>
      <c r="H7106" s="612"/>
    </row>
    <row r="7107">
      <c r="B7107" s="612"/>
      <c r="H7107" s="612"/>
    </row>
    <row r="7108">
      <c r="B7108" s="612"/>
      <c r="H7108" s="612"/>
    </row>
    <row r="7109">
      <c r="B7109" s="612"/>
      <c r="H7109" s="612"/>
    </row>
    <row r="7110">
      <c r="B7110" s="612"/>
      <c r="H7110" s="612"/>
    </row>
    <row r="7111">
      <c r="B7111" s="612"/>
      <c r="H7111" s="612"/>
    </row>
    <row r="7112">
      <c r="B7112" s="612"/>
      <c r="H7112" s="612"/>
    </row>
    <row r="7113">
      <c r="B7113" s="612"/>
      <c r="H7113" s="612"/>
    </row>
    <row r="7114">
      <c r="B7114" s="612"/>
      <c r="H7114" s="612"/>
    </row>
    <row r="7115">
      <c r="B7115" s="612"/>
      <c r="H7115" s="612"/>
    </row>
    <row r="7116">
      <c r="B7116" s="612"/>
      <c r="H7116" s="612"/>
    </row>
    <row r="7117">
      <c r="B7117" s="612"/>
      <c r="H7117" s="612"/>
    </row>
    <row r="7118">
      <c r="B7118" s="612"/>
      <c r="H7118" s="612"/>
    </row>
    <row r="7119">
      <c r="B7119" s="612"/>
      <c r="H7119" s="612"/>
    </row>
    <row r="7120">
      <c r="B7120" s="612"/>
      <c r="H7120" s="612"/>
    </row>
    <row r="7121">
      <c r="B7121" s="612"/>
      <c r="H7121" s="612"/>
    </row>
    <row r="7122">
      <c r="B7122" s="612"/>
      <c r="H7122" s="612"/>
    </row>
    <row r="7123">
      <c r="B7123" s="612"/>
      <c r="H7123" s="612"/>
    </row>
    <row r="7124">
      <c r="B7124" s="612"/>
      <c r="H7124" s="612"/>
    </row>
    <row r="7125">
      <c r="B7125" s="612"/>
      <c r="H7125" s="612"/>
    </row>
    <row r="7126">
      <c r="B7126" s="612"/>
      <c r="H7126" s="612"/>
    </row>
    <row r="7127">
      <c r="B7127" s="612"/>
      <c r="H7127" s="612"/>
    </row>
    <row r="7128">
      <c r="B7128" s="612"/>
      <c r="H7128" s="612"/>
    </row>
    <row r="7129">
      <c r="B7129" s="612"/>
      <c r="H7129" s="612"/>
    </row>
    <row r="7130">
      <c r="B7130" s="612"/>
      <c r="H7130" s="612"/>
    </row>
    <row r="7131">
      <c r="B7131" s="612"/>
      <c r="H7131" s="612"/>
    </row>
    <row r="7132">
      <c r="B7132" s="612"/>
      <c r="H7132" s="612"/>
    </row>
    <row r="7133">
      <c r="B7133" s="612"/>
      <c r="H7133" s="612"/>
    </row>
    <row r="7134">
      <c r="B7134" s="612"/>
      <c r="H7134" s="612"/>
    </row>
    <row r="7135">
      <c r="B7135" s="612"/>
      <c r="H7135" s="612"/>
    </row>
    <row r="7136">
      <c r="B7136" s="612"/>
      <c r="H7136" s="612"/>
    </row>
    <row r="7137">
      <c r="B7137" s="612"/>
      <c r="H7137" s="612"/>
    </row>
    <row r="7138">
      <c r="B7138" s="612"/>
      <c r="H7138" s="612"/>
    </row>
    <row r="7139">
      <c r="B7139" s="612"/>
      <c r="H7139" s="612"/>
    </row>
    <row r="7140">
      <c r="B7140" s="612"/>
      <c r="H7140" s="612"/>
    </row>
    <row r="7141">
      <c r="B7141" s="612"/>
      <c r="H7141" s="612"/>
    </row>
    <row r="7142">
      <c r="B7142" s="612"/>
      <c r="H7142" s="612"/>
    </row>
    <row r="7143">
      <c r="B7143" s="612"/>
      <c r="H7143" s="612"/>
    </row>
    <row r="7144">
      <c r="B7144" s="612"/>
      <c r="H7144" s="612"/>
    </row>
    <row r="7145">
      <c r="B7145" s="612"/>
      <c r="H7145" s="612"/>
    </row>
    <row r="7146">
      <c r="B7146" s="612"/>
      <c r="H7146" s="612"/>
    </row>
    <row r="7147">
      <c r="B7147" s="612"/>
      <c r="H7147" s="612"/>
    </row>
    <row r="7148">
      <c r="B7148" s="612"/>
      <c r="H7148" s="612"/>
    </row>
    <row r="7149">
      <c r="B7149" s="612"/>
      <c r="H7149" s="612"/>
    </row>
    <row r="7150">
      <c r="B7150" s="612"/>
      <c r="H7150" s="612"/>
    </row>
    <row r="7151">
      <c r="B7151" s="612"/>
      <c r="H7151" s="612"/>
    </row>
    <row r="7152">
      <c r="B7152" s="612"/>
      <c r="H7152" s="612"/>
    </row>
    <row r="7153">
      <c r="B7153" s="612"/>
      <c r="H7153" s="612"/>
    </row>
    <row r="7154">
      <c r="B7154" s="612"/>
      <c r="H7154" s="612"/>
    </row>
    <row r="7155">
      <c r="B7155" s="612"/>
      <c r="H7155" s="612"/>
    </row>
    <row r="7156">
      <c r="B7156" s="612"/>
      <c r="H7156" s="612"/>
    </row>
    <row r="7157">
      <c r="B7157" s="612"/>
      <c r="H7157" s="612"/>
    </row>
    <row r="7158">
      <c r="B7158" s="612"/>
      <c r="H7158" s="612"/>
    </row>
    <row r="7159">
      <c r="B7159" s="612"/>
      <c r="H7159" s="612"/>
    </row>
    <row r="7160">
      <c r="B7160" s="612"/>
      <c r="H7160" s="612"/>
    </row>
    <row r="7161">
      <c r="B7161" s="612"/>
      <c r="H7161" s="612"/>
    </row>
    <row r="7162">
      <c r="B7162" s="612"/>
      <c r="H7162" s="612"/>
    </row>
    <row r="7163">
      <c r="B7163" s="612"/>
      <c r="H7163" s="612"/>
    </row>
    <row r="7164">
      <c r="B7164" s="612"/>
      <c r="H7164" s="612"/>
    </row>
    <row r="7165">
      <c r="B7165" s="612"/>
      <c r="H7165" s="612"/>
    </row>
    <row r="7166">
      <c r="B7166" s="612"/>
      <c r="H7166" s="612"/>
    </row>
    <row r="7167">
      <c r="B7167" s="612"/>
      <c r="H7167" s="612"/>
    </row>
    <row r="7168">
      <c r="B7168" s="612"/>
      <c r="H7168" s="612"/>
    </row>
    <row r="7169">
      <c r="B7169" s="612"/>
      <c r="H7169" s="612"/>
    </row>
    <row r="7170">
      <c r="B7170" s="612"/>
      <c r="H7170" s="612"/>
    </row>
    <row r="7171">
      <c r="B7171" s="612"/>
      <c r="H7171" s="612"/>
    </row>
    <row r="7172">
      <c r="B7172" s="612"/>
      <c r="H7172" s="612"/>
    </row>
    <row r="7173">
      <c r="B7173" s="612"/>
      <c r="H7173" s="612"/>
    </row>
    <row r="7174">
      <c r="B7174" s="612"/>
      <c r="H7174" s="612"/>
    </row>
    <row r="7175">
      <c r="B7175" s="612"/>
      <c r="H7175" s="612"/>
    </row>
    <row r="7176">
      <c r="B7176" s="612"/>
      <c r="H7176" s="612"/>
    </row>
    <row r="7177">
      <c r="B7177" s="612"/>
      <c r="H7177" s="612"/>
    </row>
    <row r="7178">
      <c r="B7178" s="612"/>
      <c r="H7178" s="612"/>
    </row>
    <row r="7179">
      <c r="B7179" s="612"/>
      <c r="H7179" s="612"/>
    </row>
    <row r="7180">
      <c r="B7180" s="612"/>
      <c r="H7180" s="612"/>
    </row>
    <row r="7181">
      <c r="B7181" s="612"/>
      <c r="H7181" s="612"/>
    </row>
    <row r="7182">
      <c r="B7182" s="612"/>
      <c r="H7182" s="612"/>
    </row>
    <row r="7183">
      <c r="B7183" s="612"/>
      <c r="H7183" s="612"/>
    </row>
    <row r="7184">
      <c r="B7184" s="612"/>
      <c r="H7184" s="612"/>
    </row>
    <row r="7185">
      <c r="B7185" s="612"/>
      <c r="H7185" s="612"/>
    </row>
    <row r="7186">
      <c r="B7186" s="612"/>
      <c r="H7186" s="612"/>
    </row>
    <row r="7187">
      <c r="B7187" s="612"/>
      <c r="H7187" s="612"/>
    </row>
    <row r="7188">
      <c r="B7188" s="612"/>
      <c r="H7188" s="612"/>
    </row>
    <row r="7189">
      <c r="B7189" s="612"/>
      <c r="H7189" s="612"/>
    </row>
    <row r="7190">
      <c r="B7190" s="612"/>
      <c r="H7190" s="612"/>
    </row>
    <row r="7191">
      <c r="B7191" s="612"/>
      <c r="H7191" s="612"/>
    </row>
    <row r="7192">
      <c r="B7192" s="612"/>
      <c r="H7192" s="612"/>
    </row>
    <row r="7193">
      <c r="B7193" s="612"/>
      <c r="H7193" s="612"/>
    </row>
    <row r="7194">
      <c r="B7194" s="612"/>
      <c r="H7194" s="612"/>
    </row>
    <row r="7195">
      <c r="B7195" s="612"/>
      <c r="H7195" s="612"/>
    </row>
    <row r="7196">
      <c r="B7196" s="612"/>
      <c r="H7196" s="612"/>
    </row>
    <row r="7197">
      <c r="B7197" s="612"/>
      <c r="H7197" s="612"/>
    </row>
    <row r="7198">
      <c r="B7198" s="612"/>
      <c r="H7198" s="612"/>
    </row>
    <row r="7199">
      <c r="B7199" s="612"/>
      <c r="H7199" s="612"/>
    </row>
    <row r="7200">
      <c r="B7200" s="612"/>
      <c r="H7200" s="612"/>
    </row>
    <row r="7201">
      <c r="B7201" s="612"/>
      <c r="H7201" s="612"/>
    </row>
    <row r="7202">
      <c r="B7202" s="612"/>
      <c r="H7202" s="612"/>
    </row>
    <row r="7203">
      <c r="B7203" s="612"/>
      <c r="H7203" s="612"/>
    </row>
    <row r="7204">
      <c r="B7204" s="612"/>
      <c r="H7204" s="612"/>
    </row>
    <row r="7205">
      <c r="B7205" s="612"/>
      <c r="H7205" s="612"/>
    </row>
    <row r="7206">
      <c r="B7206" s="612"/>
      <c r="H7206" s="612"/>
    </row>
    <row r="7207">
      <c r="B7207" s="612"/>
      <c r="H7207" s="612"/>
    </row>
    <row r="7208">
      <c r="B7208" s="612"/>
      <c r="H7208" s="612"/>
    </row>
    <row r="7209">
      <c r="B7209" s="612"/>
      <c r="H7209" s="612"/>
    </row>
    <row r="7210">
      <c r="B7210" s="612"/>
      <c r="H7210" s="612"/>
    </row>
    <row r="7211">
      <c r="B7211" s="612"/>
      <c r="H7211" s="612"/>
    </row>
    <row r="7212">
      <c r="B7212" s="612"/>
      <c r="H7212" s="612"/>
    </row>
    <row r="7213">
      <c r="B7213" s="612"/>
      <c r="H7213" s="612"/>
    </row>
    <row r="7214">
      <c r="B7214" s="612"/>
      <c r="H7214" s="612"/>
    </row>
    <row r="7215">
      <c r="B7215" s="612"/>
      <c r="H7215" s="612"/>
    </row>
    <row r="7216">
      <c r="B7216" s="612"/>
      <c r="H7216" s="612"/>
    </row>
    <row r="7217">
      <c r="B7217" s="612"/>
      <c r="H7217" s="612"/>
    </row>
    <row r="7218">
      <c r="B7218" s="612"/>
      <c r="H7218" s="612"/>
    </row>
    <row r="7219">
      <c r="B7219" s="612"/>
      <c r="H7219" s="612"/>
    </row>
    <row r="7220">
      <c r="B7220" s="612"/>
      <c r="H7220" s="612"/>
    </row>
    <row r="7221">
      <c r="B7221" s="612"/>
      <c r="H7221" s="612"/>
    </row>
    <row r="7222">
      <c r="B7222" s="612"/>
      <c r="H7222" s="612"/>
    </row>
    <row r="7223">
      <c r="B7223" s="612"/>
      <c r="H7223" s="612"/>
    </row>
    <row r="7224">
      <c r="B7224" s="612"/>
      <c r="H7224" s="612"/>
    </row>
    <row r="7225">
      <c r="B7225" s="612"/>
      <c r="H7225" s="612"/>
    </row>
    <row r="7226">
      <c r="B7226" s="612"/>
      <c r="H7226" s="612"/>
    </row>
    <row r="7227">
      <c r="B7227" s="612"/>
      <c r="H7227" s="612"/>
    </row>
    <row r="7228">
      <c r="B7228" s="612"/>
      <c r="H7228" s="612"/>
    </row>
    <row r="7229">
      <c r="B7229" s="612"/>
      <c r="H7229" s="612"/>
    </row>
    <row r="7230">
      <c r="B7230" s="612"/>
      <c r="H7230" s="612"/>
    </row>
    <row r="7231">
      <c r="B7231" s="612"/>
      <c r="H7231" s="612"/>
    </row>
    <row r="7232">
      <c r="B7232" s="612"/>
      <c r="H7232" s="612"/>
    </row>
    <row r="7233">
      <c r="B7233" s="612"/>
      <c r="H7233" s="612"/>
    </row>
    <row r="7234">
      <c r="B7234" s="612"/>
      <c r="H7234" s="612"/>
    </row>
    <row r="7235">
      <c r="B7235" s="612"/>
      <c r="H7235" s="612"/>
    </row>
    <row r="7236">
      <c r="B7236" s="612"/>
      <c r="H7236" s="612"/>
    </row>
    <row r="7237">
      <c r="B7237" s="612"/>
      <c r="H7237" s="612"/>
    </row>
    <row r="7238">
      <c r="B7238" s="612"/>
      <c r="H7238" s="612"/>
    </row>
    <row r="7239">
      <c r="B7239" s="612"/>
      <c r="H7239" s="612"/>
    </row>
    <row r="7240">
      <c r="B7240" s="612"/>
      <c r="H7240" s="612"/>
    </row>
    <row r="7241">
      <c r="B7241" s="612"/>
      <c r="H7241" s="612"/>
    </row>
    <row r="7242">
      <c r="B7242" s="612"/>
      <c r="H7242" s="612"/>
    </row>
    <row r="7243">
      <c r="B7243" s="612"/>
      <c r="H7243" s="612"/>
    </row>
    <row r="7244">
      <c r="B7244" s="612"/>
      <c r="H7244" s="612"/>
    </row>
    <row r="7245">
      <c r="B7245" s="612"/>
      <c r="H7245" s="612"/>
    </row>
    <row r="7246">
      <c r="B7246" s="612"/>
      <c r="H7246" s="612"/>
    </row>
    <row r="7247">
      <c r="B7247" s="612"/>
      <c r="H7247" s="612"/>
    </row>
    <row r="7248">
      <c r="B7248" s="612"/>
      <c r="H7248" s="612"/>
    </row>
    <row r="7249">
      <c r="B7249" s="612"/>
      <c r="H7249" s="612"/>
    </row>
    <row r="7250">
      <c r="B7250" s="612"/>
      <c r="H7250" s="612"/>
    </row>
    <row r="7251">
      <c r="B7251" s="612"/>
      <c r="H7251" s="612"/>
    </row>
    <row r="7252">
      <c r="B7252" s="612"/>
      <c r="H7252" s="612"/>
    </row>
    <row r="7253">
      <c r="B7253" s="612"/>
      <c r="H7253" s="612"/>
    </row>
    <row r="7254">
      <c r="B7254" s="612"/>
      <c r="H7254" s="612"/>
    </row>
    <row r="7255">
      <c r="B7255" s="612"/>
      <c r="H7255" s="612"/>
    </row>
    <row r="7256">
      <c r="B7256" s="612"/>
      <c r="H7256" s="612"/>
    </row>
    <row r="7257">
      <c r="B7257" s="612"/>
      <c r="H7257" s="612"/>
    </row>
    <row r="7258">
      <c r="B7258" s="612"/>
      <c r="H7258" s="612"/>
    </row>
    <row r="7259">
      <c r="B7259" s="612"/>
      <c r="H7259" s="612"/>
    </row>
    <row r="7260">
      <c r="B7260" s="612"/>
      <c r="H7260" s="612"/>
    </row>
    <row r="7261">
      <c r="B7261" s="612"/>
      <c r="H7261" s="612"/>
    </row>
    <row r="7262">
      <c r="B7262" s="612"/>
      <c r="H7262" s="612"/>
    </row>
    <row r="7263">
      <c r="B7263" s="612"/>
      <c r="H7263" s="612"/>
    </row>
    <row r="7264">
      <c r="B7264" s="612"/>
      <c r="H7264" s="612"/>
    </row>
    <row r="7265">
      <c r="B7265" s="612"/>
      <c r="H7265" s="612"/>
    </row>
    <row r="7266">
      <c r="B7266" s="612"/>
      <c r="H7266" s="612"/>
    </row>
    <row r="7267">
      <c r="B7267" s="612"/>
      <c r="H7267" s="612"/>
    </row>
    <row r="7268">
      <c r="B7268" s="612"/>
      <c r="H7268" s="612"/>
    </row>
    <row r="7269">
      <c r="B7269" s="612"/>
      <c r="H7269" s="612"/>
    </row>
    <row r="7270">
      <c r="B7270" s="612"/>
      <c r="H7270" s="612"/>
    </row>
    <row r="7271">
      <c r="B7271" s="612"/>
      <c r="H7271" s="612"/>
    </row>
    <row r="7272">
      <c r="B7272" s="612"/>
      <c r="H7272" s="612"/>
    </row>
    <row r="7273">
      <c r="B7273" s="612"/>
      <c r="H7273" s="612"/>
    </row>
    <row r="7274">
      <c r="B7274" s="612"/>
      <c r="H7274" s="612"/>
    </row>
    <row r="7275">
      <c r="B7275" s="612"/>
      <c r="H7275" s="612"/>
    </row>
    <row r="7276">
      <c r="B7276" s="612"/>
      <c r="H7276" s="612"/>
    </row>
    <row r="7277">
      <c r="B7277" s="612"/>
      <c r="H7277" s="612"/>
    </row>
    <row r="7278">
      <c r="B7278" s="612"/>
      <c r="H7278" s="612"/>
    </row>
    <row r="7279">
      <c r="B7279" s="612"/>
      <c r="H7279" s="612"/>
    </row>
    <row r="7280">
      <c r="B7280" s="612"/>
      <c r="H7280" s="612"/>
    </row>
    <row r="7281">
      <c r="B7281" s="612"/>
      <c r="H7281" s="612"/>
    </row>
    <row r="7282">
      <c r="B7282" s="612"/>
      <c r="H7282" s="612"/>
    </row>
    <row r="7283">
      <c r="B7283" s="612"/>
      <c r="H7283" s="612"/>
    </row>
    <row r="7284">
      <c r="B7284" s="612"/>
      <c r="H7284" s="612"/>
    </row>
    <row r="7285">
      <c r="B7285" s="612"/>
      <c r="H7285" s="612"/>
    </row>
    <row r="7286">
      <c r="B7286" s="612"/>
      <c r="H7286" s="612"/>
    </row>
    <row r="7287">
      <c r="B7287" s="612"/>
      <c r="H7287" s="612"/>
    </row>
    <row r="7288">
      <c r="B7288" s="612"/>
      <c r="H7288" s="612"/>
    </row>
    <row r="7289">
      <c r="B7289" s="612"/>
      <c r="H7289" s="612"/>
    </row>
    <row r="7290">
      <c r="B7290" s="612"/>
      <c r="H7290" s="612"/>
    </row>
    <row r="7291">
      <c r="B7291" s="612"/>
      <c r="H7291" s="612"/>
    </row>
    <row r="7292">
      <c r="B7292" s="612"/>
      <c r="H7292" s="612"/>
    </row>
    <row r="7293">
      <c r="B7293" s="612"/>
      <c r="H7293" s="612"/>
    </row>
    <row r="7294">
      <c r="B7294" s="612"/>
      <c r="H7294" s="612"/>
    </row>
    <row r="7295">
      <c r="B7295" s="612"/>
      <c r="H7295" s="612"/>
    </row>
    <row r="7296">
      <c r="B7296" s="612"/>
      <c r="H7296" s="612"/>
    </row>
    <row r="7297">
      <c r="B7297" s="612"/>
      <c r="H7297" s="612"/>
    </row>
    <row r="7298">
      <c r="B7298" s="612"/>
      <c r="H7298" s="612"/>
    </row>
    <row r="7299">
      <c r="B7299" s="612"/>
      <c r="H7299" s="612"/>
    </row>
    <row r="7300">
      <c r="B7300" s="612"/>
      <c r="H7300" s="612"/>
    </row>
    <row r="7301">
      <c r="B7301" s="612"/>
      <c r="H7301" s="612"/>
    </row>
    <row r="7302">
      <c r="B7302" s="612"/>
      <c r="H7302" s="612"/>
    </row>
    <row r="7303">
      <c r="B7303" s="612"/>
      <c r="H7303" s="612"/>
    </row>
    <row r="7304">
      <c r="B7304" s="612"/>
      <c r="H7304" s="612"/>
    </row>
    <row r="7305">
      <c r="B7305" s="612"/>
      <c r="H7305" s="612"/>
    </row>
    <row r="7306">
      <c r="B7306" s="612"/>
      <c r="H7306" s="612"/>
    </row>
    <row r="7307">
      <c r="B7307" s="612"/>
      <c r="H7307" s="612"/>
    </row>
    <row r="7308">
      <c r="B7308" s="612"/>
      <c r="H7308" s="612"/>
    </row>
    <row r="7309">
      <c r="B7309" s="612"/>
      <c r="H7309" s="612"/>
    </row>
    <row r="7310">
      <c r="B7310" s="612"/>
      <c r="H7310" s="612"/>
    </row>
    <row r="7311">
      <c r="B7311" s="612"/>
      <c r="H7311" s="612"/>
    </row>
    <row r="7312">
      <c r="B7312" s="612"/>
      <c r="H7312" s="612"/>
    </row>
    <row r="7313">
      <c r="B7313" s="612"/>
      <c r="H7313" s="612"/>
    </row>
    <row r="7314">
      <c r="B7314" s="612"/>
      <c r="H7314" s="612"/>
    </row>
    <row r="7315">
      <c r="B7315" s="612"/>
      <c r="H7315" s="612"/>
    </row>
    <row r="7316">
      <c r="B7316" s="612"/>
      <c r="H7316" s="612"/>
    </row>
    <row r="7317">
      <c r="B7317" s="612"/>
      <c r="H7317" s="612"/>
    </row>
    <row r="7318">
      <c r="B7318" s="612"/>
      <c r="H7318" s="612"/>
    </row>
    <row r="7319">
      <c r="B7319" s="612"/>
      <c r="H7319" s="612"/>
    </row>
    <row r="7320">
      <c r="B7320" s="612"/>
      <c r="H7320" s="612"/>
    </row>
    <row r="7321">
      <c r="B7321" s="612"/>
      <c r="H7321" s="612"/>
    </row>
    <row r="7322">
      <c r="B7322" s="612"/>
      <c r="H7322" s="612"/>
    </row>
    <row r="7323">
      <c r="B7323" s="612"/>
      <c r="H7323" s="612"/>
    </row>
    <row r="7324">
      <c r="B7324" s="612"/>
      <c r="H7324" s="612"/>
    </row>
    <row r="7325">
      <c r="B7325" s="612"/>
      <c r="H7325" s="612"/>
    </row>
    <row r="7326">
      <c r="B7326" s="612"/>
      <c r="H7326" s="612"/>
    </row>
    <row r="7327">
      <c r="B7327" s="612"/>
      <c r="H7327" s="612"/>
    </row>
    <row r="7328">
      <c r="B7328" s="612"/>
      <c r="H7328" s="612"/>
    </row>
    <row r="7329">
      <c r="B7329" s="612"/>
      <c r="H7329" s="612"/>
    </row>
    <row r="7330">
      <c r="B7330" s="612"/>
      <c r="H7330" s="612"/>
    </row>
    <row r="7331">
      <c r="B7331" s="612"/>
      <c r="H7331" s="612"/>
    </row>
    <row r="7332">
      <c r="B7332" s="612"/>
      <c r="H7332" s="612"/>
    </row>
    <row r="7333">
      <c r="B7333" s="612"/>
      <c r="H7333" s="612"/>
    </row>
    <row r="7334">
      <c r="B7334" s="612"/>
      <c r="H7334" s="612"/>
    </row>
    <row r="7335">
      <c r="B7335" s="612"/>
      <c r="H7335" s="612"/>
    </row>
    <row r="7336">
      <c r="B7336" s="612"/>
      <c r="H7336" s="612"/>
    </row>
    <row r="7337">
      <c r="B7337" s="612"/>
      <c r="H7337" s="612"/>
    </row>
    <row r="7338">
      <c r="B7338" s="612"/>
      <c r="H7338" s="612"/>
    </row>
    <row r="7339">
      <c r="B7339" s="612"/>
      <c r="H7339" s="612"/>
    </row>
    <row r="7340">
      <c r="B7340" s="612"/>
      <c r="H7340" s="612"/>
    </row>
    <row r="7341">
      <c r="B7341" s="612"/>
      <c r="H7341" s="612"/>
    </row>
    <row r="7342">
      <c r="B7342" s="612"/>
      <c r="H7342" s="612"/>
    </row>
    <row r="7343">
      <c r="B7343" s="612"/>
      <c r="H7343" s="612"/>
    </row>
    <row r="7344">
      <c r="B7344" s="612"/>
      <c r="H7344" s="612"/>
    </row>
    <row r="7345">
      <c r="B7345" s="612"/>
      <c r="H7345" s="612"/>
    </row>
    <row r="7346">
      <c r="B7346" s="612"/>
      <c r="H7346" s="612"/>
    </row>
    <row r="7347">
      <c r="B7347" s="612"/>
      <c r="H7347" s="612"/>
    </row>
    <row r="7348">
      <c r="B7348" s="612"/>
      <c r="H7348" s="612"/>
    </row>
    <row r="7349">
      <c r="B7349" s="612"/>
      <c r="H7349" s="612"/>
    </row>
    <row r="7350">
      <c r="B7350" s="612"/>
      <c r="H7350" s="612"/>
    </row>
    <row r="7351">
      <c r="B7351" s="612"/>
      <c r="H7351" s="612"/>
    </row>
    <row r="7352">
      <c r="B7352" s="612"/>
      <c r="H7352" s="612"/>
    </row>
    <row r="7353">
      <c r="B7353" s="612"/>
      <c r="H7353" s="612"/>
    </row>
    <row r="7354">
      <c r="B7354" s="612"/>
      <c r="H7354" s="612"/>
    </row>
    <row r="7355">
      <c r="B7355" s="612"/>
      <c r="H7355" s="612"/>
    </row>
    <row r="7356">
      <c r="B7356" s="612"/>
      <c r="H7356" s="612"/>
    </row>
    <row r="7357">
      <c r="B7357" s="612"/>
      <c r="H7357" s="612"/>
    </row>
    <row r="7358">
      <c r="B7358" s="612"/>
      <c r="H7358" s="612"/>
    </row>
    <row r="7359">
      <c r="B7359" s="612"/>
      <c r="H7359" s="612"/>
    </row>
    <row r="7360">
      <c r="B7360" s="612"/>
      <c r="H7360" s="612"/>
    </row>
    <row r="7361">
      <c r="B7361" s="612"/>
      <c r="H7361" s="612"/>
    </row>
    <row r="7362">
      <c r="B7362" s="612"/>
      <c r="H7362" s="612"/>
    </row>
    <row r="7363">
      <c r="B7363" s="612"/>
      <c r="H7363" s="612"/>
    </row>
    <row r="7364">
      <c r="B7364" s="612"/>
      <c r="H7364" s="612"/>
    </row>
    <row r="7365">
      <c r="B7365" s="612"/>
      <c r="H7365" s="612"/>
    </row>
    <row r="7366">
      <c r="B7366" s="612"/>
      <c r="H7366" s="612"/>
    </row>
    <row r="7367">
      <c r="B7367" s="612"/>
      <c r="H7367" s="612"/>
    </row>
    <row r="7368">
      <c r="B7368" s="612"/>
      <c r="H7368" s="612"/>
    </row>
    <row r="7369">
      <c r="B7369" s="612"/>
      <c r="H7369" s="612"/>
    </row>
    <row r="7370">
      <c r="B7370" s="612"/>
      <c r="H7370" s="612"/>
    </row>
    <row r="7371">
      <c r="B7371" s="612"/>
      <c r="H7371" s="612"/>
    </row>
    <row r="7372">
      <c r="B7372" s="612"/>
      <c r="H7372" s="612"/>
    </row>
    <row r="7373">
      <c r="B7373" s="612"/>
      <c r="H7373" s="612"/>
    </row>
    <row r="7374">
      <c r="B7374" s="612"/>
      <c r="H7374" s="612"/>
    </row>
    <row r="7375">
      <c r="B7375" s="612"/>
      <c r="H7375" s="612"/>
    </row>
    <row r="7376">
      <c r="B7376" s="612"/>
      <c r="H7376" s="612"/>
    </row>
    <row r="7377">
      <c r="B7377" s="612"/>
      <c r="H7377" s="612"/>
    </row>
    <row r="7378">
      <c r="B7378" s="612"/>
      <c r="H7378" s="612"/>
    </row>
    <row r="7379">
      <c r="B7379" s="612"/>
      <c r="H7379" s="612"/>
    </row>
    <row r="7380">
      <c r="B7380" s="612"/>
      <c r="H7380" s="612"/>
    </row>
    <row r="7381">
      <c r="B7381" s="612"/>
      <c r="H7381" s="612"/>
    </row>
    <row r="7382">
      <c r="B7382" s="612"/>
      <c r="H7382" s="612"/>
    </row>
    <row r="7383">
      <c r="B7383" s="612"/>
      <c r="H7383" s="612"/>
    </row>
    <row r="7384">
      <c r="B7384" s="612"/>
      <c r="H7384" s="612"/>
    </row>
    <row r="7385">
      <c r="B7385" s="612"/>
      <c r="H7385" s="612"/>
    </row>
    <row r="7386">
      <c r="B7386" s="612"/>
      <c r="H7386" s="612"/>
    </row>
    <row r="7387">
      <c r="B7387" s="612"/>
      <c r="H7387" s="612"/>
    </row>
    <row r="7388">
      <c r="B7388" s="612"/>
      <c r="H7388" s="612"/>
    </row>
    <row r="7389">
      <c r="B7389" s="612"/>
      <c r="H7389" s="612"/>
    </row>
    <row r="7390">
      <c r="B7390" s="612"/>
      <c r="H7390" s="612"/>
    </row>
    <row r="7391">
      <c r="B7391" s="612"/>
      <c r="H7391" s="612"/>
    </row>
    <row r="7392">
      <c r="B7392" s="612"/>
      <c r="H7392" s="612"/>
    </row>
    <row r="7393">
      <c r="B7393" s="612"/>
      <c r="H7393" s="612"/>
    </row>
    <row r="7394">
      <c r="B7394" s="612"/>
      <c r="H7394" s="612"/>
    </row>
    <row r="7395">
      <c r="B7395" s="612"/>
      <c r="H7395" s="612"/>
    </row>
    <row r="7396">
      <c r="B7396" s="612"/>
      <c r="H7396" s="612"/>
    </row>
    <row r="7397">
      <c r="B7397" s="612"/>
      <c r="H7397" s="612"/>
    </row>
    <row r="7398">
      <c r="B7398" s="612"/>
      <c r="H7398" s="612"/>
    </row>
    <row r="7399">
      <c r="B7399" s="612"/>
      <c r="H7399" s="612"/>
    </row>
    <row r="7400">
      <c r="B7400" s="612"/>
      <c r="H7400" s="612"/>
    </row>
    <row r="7401">
      <c r="B7401" s="612"/>
      <c r="H7401" s="612"/>
    </row>
    <row r="7402">
      <c r="B7402" s="612"/>
      <c r="H7402" s="612"/>
    </row>
    <row r="7403">
      <c r="B7403" s="612"/>
      <c r="H7403" s="612"/>
    </row>
    <row r="7404">
      <c r="B7404" s="612"/>
      <c r="H7404" s="612"/>
    </row>
    <row r="7405">
      <c r="B7405" s="612"/>
      <c r="H7405" s="612"/>
    </row>
    <row r="7406">
      <c r="B7406" s="612"/>
      <c r="H7406" s="612"/>
    </row>
    <row r="7407">
      <c r="B7407" s="612"/>
      <c r="H7407" s="612"/>
    </row>
    <row r="7408">
      <c r="B7408" s="612"/>
      <c r="H7408" s="612"/>
    </row>
    <row r="7409">
      <c r="B7409" s="612"/>
      <c r="H7409" s="612"/>
    </row>
    <row r="7410">
      <c r="B7410" s="612"/>
      <c r="H7410" s="612"/>
    </row>
    <row r="7411">
      <c r="B7411" s="612"/>
      <c r="H7411" s="612"/>
    </row>
    <row r="7412">
      <c r="B7412" s="612"/>
      <c r="H7412" s="612"/>
    </row>
    <row r="7413">
      <c r="B7413" s="612"/>
      <c r="H7413" s="612"/>
    </row>
    <row r="7414">
      <c r="B7414" s="612"/>
      <c r="H7414" s="612"/>
    </row>
    <row r="7415">
      <c r="B7415" s="612"/>
      <c r="H7415" s="612"/>
    </row>
    <row r="7416">
      <c r="B7416" s="612"/>
      <c r="H7416" s="612"/>
    </row>
    <row r="7417">
      <c r="B7417" s="612"/>
      <c r="H7417" s="612"/>
    </row>
    <row r="7418">
      <c r="B7418" s="612"/>
      <c r="H7418" s="612"/>
    </row>
    <row r="7419">
      <c r="B7419" s="612"/>
      <c r="H7419" s="612"/>
    </row>
    <row r="7420">
      <c r="B7420" s="612"/>
      <c r="H7420" s="612"/>
    </row>
    <row r="7421">
      <c r="B7421" s="612"/>
      <c r="H7421" s="612"/>
    </row>
    <row r="7422">
      <c r="B7422" s="612"/>
      <c r="H7422" s="612"/>
    </row>
    <row r="7423">
      <c r="B7423" s="612"/>
      <c r="H7423" s="612"/>
    </row>
    <row r="7424">
      <c r="B7424" s="612"/>
      <c r="H7424" s="612"/>
    </row>
    <row r="7425">
      <c r="B7425" s="612"/>
      <c r="H7425" s="612"/>
    </row>
    <row r="7426">
      <c r="B7426" s="612"/>
      <c r="H7426" s="612"/>
    </row>
    <row r="7427">
      <c r="B7427" s="612"/>
      <c r="H7427" s="612"/>
    </row>
    <row r="7428">
      <c r="B7428" s="612"/>
      <c r="H7428" s="612"/>
    </row>
    <row r="7429">
      <c r="B7429" s="612"/>
      <c r="H7429" s="612"/>
    </row>
    <row r="7430">
      <c r="B7430" s="612"/>
      <c r="H7430" s="612"/>
    </row>
    <row r="7431">
      <c r="B7431" s="612"/>
      <c r="H7431" s="612"/>
    </row>
    <row r="7432">
      <c r="B7432" s="612"/>
      <c r="H7432" s="612"/>
    </row>
    <row r="7433">
      <c r="B7433" s="612"/>
      <c r="H7433" s="612"/>
    </row>
    <row r="7434">
      <c r="B7434" s="612"/>
      <c r="H7434" s="612"/>
    </row>
    <row r="7435">
      <c r="B7435" s="612"/>
      <c r="H7435" s="612"/>
    </row>
    <row r="7436">
      <c r="B7436" s="612"/>
      <c r="H7436" s="612"/>
    </row>
    <row r="7437">
      <c r="B7437" s="612"/>
      <c r="H7437" s="612"/>
    </row>
    <row r="7438">
      <c r="B7438" s="612"/>
      <c r="H7438" s="612"/>
    </row>
    <row r="7439">
      <c r="B7439" s="612"/>
      <c r="H7439" s="612"/>
    </row>
    <row r="7440">
      <c r="B7440" s="612"/>
      <c r="H7440" s="612"/>
    </row>
    <row r="7441">
      <c r="B7441" s="612"/>
      <c r="H7441" s="612"/>
    </row>
    <row r="7442">
      <c r="B7442" s="612"/>
      <c r="H7442" s="612"/>
    </row>
    <row r="7443">
      <c r="B7443" s="612"/>
      <c r="H7443" s="612"/>
    </row>
    <row r="7444">
      <c r="B7444" s="612"/>
      <c r="H7444" s="612"/>
    </row>
    <row r="7445">
      <c r="B7445" s="612"/>
      <c r="H7445" s="612"/>
    </row>
    <row r="7446">
      <c r="B7446" s="612"/>
      <c r="H7446" s="612"/>
    </row>
    <row r="7447">
      <c r="B7447" s="612"/>
      <c r="H7447" s="612"/>
    </row>
    <row r="7448">
      <c r="B7448" s="612"/>
      <c r="H7448" s="612"/>
    </row>
    <row r="7449">
      <c r="B7449" s="612"/>
      <c r="H7449" s="612"/>
    </row>
    <row r="7450">
      <c r="B7450" s="612"/>
      <c r="H7450" s="612"/>
    </row>
    <row r="7451">
      <c r="B7451" s="612"/>
      <c r="H7451" s="612"/>
    </row>
    <row r="7452">
      <c r="B7452" s="612"/>
      <c r="H7452" s="612"/>
    </row>
    <row r="7453">
      <c r="B7453" s="612"/>
      <c r="H7453" s="612"/>
    </row>
    <row r="7454">
      <c r="B7454" s="612"/>
      <c r="H7454" s="612"/>
    </row>
    <row r="7455">
      <c r="B7455" s="612"/>
      <c r="H7455" s="612"/>
    </row>
    <row r="7456">
      <c r="B7456" s="612"/>
      <c r="H7456" s="612"/>
    </row>
    <row r="7457">
      <c r="B7457" s="612"/>
      <c r="H7457" s="612"/>
    </row>
    <row r="7458">
      <c r="B7458" s="612"/>
      <c r="H7458" s="612"/>
    </row>
    <row r="7459">
      <c r="B7459" s="612"/>
      <c r="H7459" s="612"/>
    </row>
    <row r="7460">
      <c r="B7460" s="612"/>
      <c r="H7460" s="612"/>
    </row>
    <row r="7461">
      <c r="B7461" s="612"/>
      <c r="H7461" s="612"/>
    </row>
    <row r="7462">
      <c r="B7462" s="612"/>
      <c r="H7462" s="612"/>
    </row>
    <row r="7463">
      <c r="B7463" s="612"/>
      <c r="H7463" s="612"/>
    </row>
    <row r="7464">
      <c r="B7464" s="612"/>
      <c r="H7464" s="612"/>
    </row>
    <row r="7465">
      <c r="B7465" s="612"/>
      <c r="H7465" s="612"/>
    </row>
    <row r="7466">
      <c r="B7466" s="612"/>
      <c r="H7466" s="612"/>
    </row>
    <row r="7467">
      <c r="B7467" s="612"/>
      <c r="H7467" s="612"/>
    </row>
    <row r="7468">
      <c r="B7468" s="612"/>
      <c r="H7468" s="612"/>
    </row>
    <row r="7469">
      <c r="B7469" s="612"/>
      <c r="H7469" s="612"/>
    </row>
    <row r="7470">
      <c r="B7470" s="612"/>
      <c r="H7470" s="612"/>
    </row>
    <row r="7471">
      <c r="B7471" s="612"/>
      <c r="H7471" s="612"/>
    </row>
    <row r="7472">
      <c r="B7472" s="612"/>
      <c r="H7472" s="612"/>
    </row>
    <row r="7473">
      <c r="B7473" s="612"/>
      <c r="H7473" s="612"/>
    </row>
    <row r="7474">
      <c r="B7474" s="612"/>
      <c r="H7474" s="612"/>
    </row>
    <row r="7475">
      <c r="B7475" s="612"/>
      <c r="H7475" s="612"/>
    </row>
    <row r="7476">
      <c r="B7476" s="612"/>
      <c r="H7476" s="612"/>
    </row>
    <row r="7477">
      <c r="B7477" s="612"/>
      <c r="H7477" s="612"/>
    </row>
    <row r="7478">
      <c r="B7478" s="612"/>
      <c r="H7478" s="612"/>
    </row>
    <row r="7479">
      <c r="B7479" s="612"/>
      <c r="H7479" s="612"/>
    </row>
    <row r="7480">
      <c r="B7480" s="612"/>
      <c r="H7480" s="612"/>
    </row>
    <row r="7481">
      <c r="B7481" s="612"/>
      <c r="H7481" s="612"/>
    </row>
    <row r="7482">
      <c r="B7482" s="612"/>
      <c r="H7482" s="612"/>
    </row>
    <row r="7483">
      <c r="B7483" s="612"/>
      <c r="H7483" s="612"/>
    </row>
    <row r="7484">
      <c r="B7484" s="612"/>
      <c r="H7484" s="612"/>
    </row>
    <row r="7485">
      <c r="B7485" s="612"/>
      <c r="H7485" s="612"/>
    </row>
    <row r="7486">
      <c r="B7486" s="612"/>
      <c r="H7486" s="612"/>
    </row>
    <row r="7487">
      <c r="B7487" s="612"/>
      <c r="H7487" s="612"/>
    </row>
    <row r="7488">
      <c r="B7488" s="612"/>
      <c r="H7488" s="612"/>
    </row>
    <row r="7489">
      <c r="B7489" s="612"/>
      <c r="H7489" s="612"/>
    </row>
    <row r="7490">
      <c r="B7490" s="612"/>
      <c r="H7490" s="612"/>
    </row>
    <row r="7491">
      <c r="B7491" s="612"/>
      <c r="H7491" s="612"/>
    </row>
    <row r="7492">
      <c r="B7492" s="612"/>
      <c r="H7492" s="612"/>
    </row>
    <row r="7493">
      <c r="B7493" s="612"/>
      <c r="H7493" s="612"/>
    </row>
    <row r="7494">
      <c r="B7494" s="612"/>
      <c r="H7494" s="612"/>
    </row>
    <row r="7495">
      <c r="B7495" s="612"/>
      <c r="H7495" s="612"/>
    </row>
    <row r="7496">
      <c r="B7496" s="612"/>
      <c r="H7496" s="612"/>
    </row>
    <row r="7497">
      <c r="B7497" s="612"/>
      <c r="H7497" s="612"/>
    </row>
    <row r="7498">
      <c r="B7498" s="612"/>
      <c r="H7498" s="612"/>
    </row>
    <row r="7499">
      <c r="B7499" s="612"/>
      <c r="H7499" s="612"/>
    </row>
    <row r="7500">
      <c r="B7500" s="612"/>
      <c r="H7500" s="612"/>
    </row>
    <row r="7501">
      <c r="B7501" s="612"/>
      <c r="H7501" s="612"/>
    </row>
    <row r="7502">
      <c r="B7502" s="612"/>
      <c r="H7502" s="612"/>
    </row>
    <row r="7503">
      <c r="B7503" s="612"/>
      <c r="H7503" s="612"/>
    </row>
    <row r="7504">
      <c r="B7504" s="612"/>
      <c r="H7504" s="612"/>
    </row>
    <row r="7505">
      <c r="B7505" s="612"/>
      <c r="H7505" s="612"/>
    </row>
    <row r="7506">
      <c r="B7506" s="612"/>
      <c r="H7506" s="612"/>
    </row>
    <row r="7507">
      <c r="B7507" s="612"/>
      <c r="H7507" s="612"/>
    </row>
    <row r="7508">
      <c r="B7508" s="612"/>
      <c r="H7508" s="612"/>
    </row>
    <row r="7509">
      <c r="B7509" s="612"/>
      <c r="H7509" s="612"/>
    </row>
    <row r="7510">
      <c r="B7510" s="612"/>
      <c r="H7510" s="612"/>
    </row>
    <row r="7511">
      <c r="B7511" s="612"/>
      <c r="H7511" s="612"/>
    </row>
    <row r="7512">
      <c r="B7512" s="612"/>
      <c r="H7512" s="612"/>
    </row>
    <row r="7513">
      <c r="B7513" s="612"/>
      <c r="H7513" s="612"/>
    </row>
    <row r="7514">
      <c r="B7514" s="612"/>
      <c r="H7514" s="612"/>
    </row>
    <row r="7515">
      <c r="B7515" s="612"/>
      <c r="H7515" s="612"/>
    </row>
    <row r="7516">
      <c r="B7516" s="612"/>
      <c r="H7516" s="612"/>
    </row>
    <row r="7517">
      <c r="B7517" s="612"/>
      <c r="H7517" s="612"/>
    </row>
    <row r="7518">
      <c r="B7518" s="612"/>
      <c r="H7518" s="612"/>
    </row>
    <row r="7519">
      <c r="B7519" s="612"/>
      <c r="H7519" s="612"/>
    </row>
    <row r="7520">
      <c r="B7520" s="612"/>
      <c r="H7520" s="612"/>
    </row>
    <row r="7521">
      <c r="B7521" s="612"/>
      <c r="H7521" s="612"/>
    </row>
    <row r="7522">
      <c r="B7522" s="612"/>
      <c r="H7522" s="612"/>
    </row>
    <row r="7523">
      <c r="B7523" s="612"/>
      <c r="H7523" s="612"/>
    </row>
    <row r="7524">
      <c r="B7524" s="612"/>
      <c r="H7524" s="612"/>
    </row>
    <row r="7525">
      <c r="B7525" s="612"/>
      <c r="H7525" s="612"/>
    </row>
    <row r="7526">
      <c r="B7526" s="612"/>
      <c r="H7526" s="612"/>
    </row>
    <row r="7527">
      <c r="B7527" s="612"/>
      <c r="H7527" s="612"/>
    </row>
    <row r="7528">
      <c r="B7528" s="612"/>
      <c r="H7528" s="612"/>
    </row>
    <row r="7529">
      <c r="B7529" s="612"/>
      <c r="H7529" s="612"/>
    </row>
    <row r="7530">
      <c r="B7530" s="612"/>
      <c r="H7530" s="612"/>
    </row>
    <row r="7531">
      <c r="B7531" s="612"/>
      <c r="H7531" s="612"/>
    </row>
    <row r="7532">
      <c r="B7532" s="612"/>
      <c r="H7532" s="612"/>
    </row>
    <row r="7533">
      <c r="B7533" s="612"/>
      <c r="H7533" s="612"/>
    </row>
    <row r="7534">
      <c r="B7534" s="612"/>
      <c r="H7534" s="612"/>
    </row>
    <row r="7535">
      <c r="B7535" s="612"/>
      <c r="H7535" s="612"/>
    </row>
    <row r="7536">
      <c r="B7536" s="612"/>
      <c r="H7536" s="612"/>
    </row>
    <row r="7537">
      <c r="B7537" s="612"/>
      <c r="H7537" s="612"/>
    </row>
    <row r="7538">
      <c r="B7538" s="612"/>
      <c r="H7538" s="612"/>
    </row>
    <row r="7539">
      <c r="B7539" s="612"/>
      <c r="H7539" s="612"/>
    </row>
    <row r="7540">
      <c r="B7540" s="612"/>
      <c r="H7540" s="612"/>
    </row>
    <row r="7541">
      <c r="B7541" s="612"/>
      <c r="H7541" s="612"/>
    </row>
    <row r="7542">
      <c r="B7542" s="612"/>
      <c r="H7542" s="612"/>
    </row>
    <row r="7543">
      <c r="B7543" s="612"/>
      <c r="H7543" s="612"/>
    </row>
    <row r="7544">
      <c r="B7544" s="612"/>
      <c r="H7544" s="612"/>
    </row>
    <row r="7545">
      <c r="B7545" s="612"/>
      <c r="H7545" s="612"/>
    </row>
    <row r="7546">
      <c r="B7546" s="612"/>
      <c r="H7546" s="612"/>
    </row>
    <row r="7547">
      <c r="B7547" s="612"/>
      <c r="H7547" s="612"/>
    </row>
    <row r="7548">
      <c r="B7548" s="612"/>
      <c r="H7548" s="612"/>
    </row>
    <row r="7549">
      <c r="B7549" s="612"/>
      <c r="H7549" s="612"/>
    </row>
    <row r="7550">
      <c r="B7550" s="612"/>
      <c r="H7550" s="612"/>
    </row>
    <row r="7551">
      <c r="B7551" s="612"/>
      <c r="H7551" s="612"/>
    </row>
    <row r="7552">
      <c r="B7552" s="612"/>
      <c r="H7552" s="612"/>
    </row>
    <row r="7553">
      <c r="B7553" s="612"/>
      <c r="H7553" s="612"/>
    </row>
    <row r="7554">
      <c r="B7554" s="612"/>
      <c r="H7554" s="612"/>
    </row>
    <row r="7555">
      <c r="B7555" s="612"/>
      <c r="H7555" s="612"/>
    </row>
    <row r="7556">
      <c r="B7556" s="612"/>
      <c r="H7556" s="612"/>
    </row>
    <row r="7557">
      <c r="B7557" s="612"/>
      <c r="H7557" s="612"/>
    </row>
    <row r="7558">
      <c r="B7558" s="612"/>
      <c r="H7558" s="612"/>
    </row>
    <row r="7559">
      <c r="B7559" s="612"/>
      <c r="H7559" s="612"/>
    </row>
    <row r="7560">
      <c r="B7560" s="612"/>
      <c r="H7560" s="612"/>
    </row>
    <row r="7561">
      <c r="B7561" s="612"/>
      <c r="H7561" s="612"/>
    </row>
    <row r="7562">
      <c r="B7562" s="612"/>
      <c r="H7562" s="612"/>
    </row>
    <row r="7563">
      <c r="B7563" s="612"/>
      <c r="H7563" s="612"/>
    </row>
    <row r="7564">
      <c r="B7564" s="612"/>
      <c r="H7564" s="612"/>
    </row>
    <row r="7565">
      <c r="B7565" s="612"/>
      <c r="H7565" s="612"/>
    </row>
    <row r="7566">
      <c r="B7566" s="612"/>
      <c r="H7566" s="612"/>
    </row>
    <row r="7567">
      <c r="B7567" s="612"/>
      <c r="H7567" s="612"/>
    </row>
    <row r="7568">
      <c r="B7568" s="612"/>
      <c r="H7568" s="612"/>
    </row>
    <row r="7569">
      <c r="B7569" s="612"/>
      <c r="H7569" s="612"/>
    </row>
    <row r="7570">
      <c r="B7570" s="612"/>
      <c r="H7570" s="612"/>
    </row>
    <row r="7571">
      <c r="B7571" s="612"/>
      <c r="H7571" s="612"/>
    </row>
    <row r="7572">
      <c r="B7572" s="612"/>
      <c r="H7572" s="612"/>
    </row>
    <row r="7573">
      <c r="B7573" s="612"/>
      <c r="H7573" s="612"/>
    </row>
    <row r="7574">
      <c r="B7574" s="612"/>
      <c r="H7574" s="612"/>
    </row>
    <row r="7575">
      <c r="B7575" s="612"/>
      <c r="H7575" s="612"/>
    </row>
    <row r="7576">
      <c r="B7576" s="612"/>
      <c r="H7576" s="612"/>
    </row>
    <row r="7577">
      <c r="B7577" s="612"/>
      <c r="H7577" s="612"/>
    </row>
    <row r="7578">
      <c r="B7578" s="612"/>
      <c r="H7578" s="612"/>
    </row>
    <row r="7579">
      <c r="B7579" s="612"/>
      <c r="H7579" s="612"/>
    </row>
    <row r="7580">
      <c r="B7580" s="612"/>
      <c r="H7580" s="612"/>
    </row>
    <row r="7581">
      <c r="B7581" s="612"/>
      <c r="H7581" s="612"/>
    </row>
    <row r="7582">
      <c r="B7582" s="612"/>
      <c r="H7582" s="612"/>
    </row>
    <row r="7583">
      <c r="B7583" s="612"/>
      <c r="H7583" s="612"/>
    </row>
    <row r="7584">
      <c r="B7584" s="612"/>
      <c r="H7584" s="612"/>
    </row>
    <row r="7585">
      <c r="B7585" s="612"/>
      <c r="H7585" s="612"/>
    </row>
    <row r="7586">
      <c r="B7586" s="612"/>
      <c r="H7586" s="612"/>
    </row>
    <row r="7587">
      <c r="B7587" s="612"/>
      <c r="H7587" s="612"/>
    </row>
    <row r="7588">
      <c r="B7588" s="612"/>
      <c r="H7588" s="612"/>
    </row>
    <row r="7589">
      <c r="B7589" s="612"/>
      <c r="H7589" s="612"/>
    </row>
    <row r="7590">
      <c r="B7590" s="612"/>
      <c r="H7590" s="612"/>
    </row>
    <row r="7591">
      <c r="B7591" s="612"/>
      <c r="H7591" s="612"/>
    </row>
    <row r="7592">
      <c r="B7592" s="612"/>
      <c r="H7592" s="612"/>
    </row>
    <row r="7593">
      <c r="B7593" s="612"/>
      <c r="H7593" s="612"/>
    </row>
    <row r="7594">
      <c r="B7594" s="612"/>
      <c r="H7594" s="612"/>
    </row>
    <row r="7595">
      <c r="B7595" s="612"/>
      <c r="H7595" s="612"/>
    </row>
    <row r="7596">
      <c r="B7596" s="612"/>
      <c r="H7596" s="612"/>
    </row>
    <row r="7597">
      <c r="B7597" s="612"/>
      <c r="H7597" s="612"/>
    </row>
    <row r="7598">
      <c r="B7598" s="612"/>
      <c r="H7598" s="612"/>
    </row>
    <row r="7599">
      <c r="B7599" s="612"/>
      <c r="H7599" s="612"/>
    </row>
    <row r="7600">
      <c r="B7600" s="612"/>
      <c r="H7600" s="612"/>
    </row>
    <row r="7601">
      <c r="B7601" s="612"/>
      <c r="H7601" s="612"/>
    </row>
    <row r="7602">
      <c r="B7602" s="612"/>
      <c r="H7602" s="612"/>
    </row>
    <row r="7603">
      <c r="B7603" s="612"/>
      <c r="H7603" s="612"/>
    </row>
    <row r="7604">
      <c r="B7604" s="612"/>
      <c r="H7604" s="612"/>
    </row>
    <row r="7605">
      <c r="B7605" s="612"/>
      <c r="H7605" s="612"/>
    </row>
    <row r="7606">
      <c r="B7606" s="612"/>
      <c r="H7606" s="612"/>
    </row>
    <row r="7607">
      <c r="B7607" s="612"/>
      <c r="H7607" s="612"/>
    </row>
    <row r="7608">
      <c r="B7608" s="612"/>
      <c r="H7608" s="612"/>
    </row>
    <row r="7609">
      <c r="B7609" s="612"/>
      <c r="H7609" s="612"/>
    </row>
    <row r="7610">
      <c r="B7610" s="612"/>
      <c r="H7610" s="612"/>
    </row>
    <row r="7611">
      <c r="B7611" s="612"/>
      <c r="H7611" s="612"/>
    </row>
    <row r="7612">
      <c r="B7612" s="612"/>
      <c r="H7612" s="612"/>
    </row>
    <row r="7613">
      <c r="B7613" s="612"/>
      <c r="H7613" s="612"/>
    </row>
    <row r="7614">
      <c r="B7614" s="612"/>
      <c r="H7614" s="612"/>
    </row>
    <row r="7615">
      <c r="B7615" s="612"/>
      <c r="H7615" s="612"/>
    </row>
    <row r="7616">
      <c r="B7616" s="612"/>
      <c r="H7616" s="612"/>
    </row>
    <row r="7617">
      <c r="B7617" s="612"/>
      <c r="H7617" s="612"/>
    </row>
    <row r="7618">
      <c r="B7618" s="612"/>
      <c r="H7618" s="612"/>
    </row>
    <row r="7619">
      <c r="B7619" s="612"/>
      <c r="H7619" s="612"/>
    </row>
    <row r="7620">
      <c r="B7620" s="612"/>
      <c r="H7620" s="612"/>
    </row>
    <row r="7621">
      <c r="B7621" s="612"/>
      <c r="H7621" s="612"/>
    </row>
    <row r="7622">
      <c r="B7622" s="612"/>
      <c r="H7622" s="612"/>
    </row>
    <row r="7623">
      <c r="B7623" s="612"/>
      <c r="H7623" s="612"/>
    </row>
    <row r="7624">
      <c r="B7624" s="612"/>
      <c r="H7624" s="612"/>
    </row>
    <row r="7625">
      <c r="B7625" s="612"/>
      <c r="H7625" s="612"/>
    </row>
    <row r="7626">
      <c r="B7626" s="612"/>
      <c r="H7626" s="612"/>
    </row>
    <row r="7627">
      <c r="B7627" s="612"/>
      <c r="H7627" s="612"/>
    </row>
    <row r="7628">
      <c r="B7628" s="612"/>
      <c r="H7628" s="612"/>
    </row>
    <row r="7629">
      <c r="B7629" s="612"/>
      <c r="H7629" s="612"/>
    </row>
    <row r="7630">
      <c r="B7630" s="612"/>
      <c r="H7630" s="612"/>
    </row>
    <row r="7631">
      <c r="B7631" s="612"/>
      <c r="H7631" s="612"/>
    </row>
    <row r="7632">
      <c r="B7632" s="612"/>
      <c r="H7632" s="612"/>
    </row>
    <row r="7633">
      <c r="B7633" s="612"/>
      <c r="H7633" s="612"/>
    </row>
    <row r="7634">
      <c r="B7634" s="612"/>
      <c r="H7634" s="612"/>
    </row>
    <row r="7635">
      <c r="B7635" s="612"/>
      <c r="H7635" s="612"/>
    </row>
    <row r="7636">
      <c r="B7636" s="612"/>
      <c r="H7636" s="612"/>
    </row>
    <row r="7637">
      <c r="B7637" s="612"/>
      <c r="H7637" s="612"/>
    </row>
    <row r="7638">
      <c r="B7638" s="612"/>
      <c r="H7638" s="612"/>
    </row>
    <row r="7639">
      <c r="B7639" s="612"/>
      <c r="H7639" s="612"/>
    </row>
    <row r="7640">
      <c r="B7640" s="612"/>
      <c r="H7640" s="612"/>
    </row>
    <row r="7641">
      <c r="B7641" s="612"/>
      <c r="H7641" s="612"/>
    </row>
    <row r="7642">
      <c r="B7642" s="612"/>
      <c r="H7642" s="612"/>
    </row>
    <row r="7643">
      <c r="B7643" s="612"/>
      <c r="H7643" s="612"/>
    </row>
    <row r="7644">
      <c r="B7644" s="612"/>
      <c r="H7644" s="612"/>
    </row>
    <row r="7645">
      <c r="B7645" s="612"/>
      <c r="H7645" s="612"/>
    </row>
    <row r="7646">
      <c r="B7646" s="612"/>
      <c r="H7646" s="612"/>
    </row>
    <row r="7647">
      <c r="B7647" s="612"/>
      <c r="H7647" s="612"/>
    </row>
    <row r="7648">
      <c r="B7648" s="612"/>
      <c r="H7648" s="612"/>
    </row>
    <row r="7649">
      <c r="B7649" s="612"/>
      <c r="H7649" s="612"/>
    </row>
    <row r="7650">
      <c r="B7650" s="612"/>
      <c r="H7650" s="612"/>
    </row>
    <row r="7651">
      <c r="B7651" s="612"/>
      <c r="H7651" s="612"/>
    </row>
    <row r="7652">
      <c r="B7652" s="612"/>
      <c r="H7652" s="612"/>
    </row>
    <row r="7653">
      <c r="B7653" s="612"/>
      <c r="H7653" s="612"/>
    </row>
    <row r="7654">
      <c r="B7654" s="612"/>
      <c r="H7654" s="612"/>
    </row>
    <row r="7655">
      <c r="B7655" s="612"/>
      <c r="H7655" s="612"/>
    </row>
    <row r="7656">
      <c r="B7656" s="612"/>
      <c r="H7656" s="612"/>
    </row>
    <row r="7657">
      <c r="B7657" s="612"/>
      <c r="H7657" s="612"/>
    </row>
    <row r="7658">
      <c r="B7658" s="612"/>
      <c r="H7658" s="612"/>
    </row>
    <row r="7659">
      <c r="B7659" s="612"/>
      <c r="H7659" s="612"/>
    </row>
    <row r="7660">
      <c r="B7660" s="612"/>
      <c r="H7660" s="612"/>
    </row>
    <row r="7661">
      <c r="B7661" s="612"/>
      <c r="H7661" s="612"/>
    </row>
    <row r="7662">
      <c r="B7662" s="612"/>
      <c r="H7662" s="612"/>
    </row>
    <row r="7663">
      <c r="B7663" s="612"/>
      <c r="H7663" s="612"/>
    </row>
    <row r="7664">
      <c r="B7664" s="612"/>
      <c r="H7664" s="612"/>
    </row>
    <row r="7665">
      <c r="B7665" s="612"/>
      <c r="H7665" s="612"/>
    </row>
    <row r="7666">
      <c r="B7666" s="612"/>
      <c r="H7666" s="612"/>
    </row>
    <row r="7667">
      <c r="B7667" s="612"/>
      <c r="H7667" s="612"/>
    </row>
    <row r="7668">
      <c r="B7668" s="612"/>
      <c r="H7668" s="612"/>
    </row>
    <row r="7669">
      <c r="B7669" s="612"/>
      <c r="H7669" s="612"/>
    </row>
    <row r="7670">
      <c r="B7670" s="612"/>
      <c r="H7670" s="612"/>
    </row>
    <row r="7671">
      <c r="B7671" s="612"/>
      <c r="H7671" s="612"/>
    </row>
    <row r="7672">
      <c r="B7672" s="612"/>
      <c r="H7672" s="612"/>
    </row>
    <row r="7673">
      <c r="B7673" s="612"/>
      <c r="H7673" s="612"/>
    </row>
    <row r="7674">
      <c r="B7674" s="612"/>
      <c r="H7674" s="612"/>
    </row>
    <row r="7675">
      <c r="B7675" s="612"/>
      <c r="H7675" s="612"/>
    </row>
    <row r="7676">
      <c r="B7676" s="612"/>
      <c r="H7676" s="612"/>
    </row>
    <row r="7677">
      <c r="B7677" s="612"/>
      <c r="H7677" s="612"/>
    </row>
    <row r="7678">
      <c r="B7678" s="612"/>
      <c r="H7678" s="612"/>
    </row>
    <row r="7679">
      <c r="B7679" s="612"/>
      <c r="H7679" s="612"/>
    </row>
    <row r="7680">
      <c r="B7680" s="612"/>
      <c r="H7680" s="612"/>
    </row>
    <row r="7681">
      <c r="B7681" s="612"/>
      <c r="H7681" s="612"/>
    </row>
    <row r="7682">
      <c r="B7682" s="612"/>
      <c r="H7682" s="612"/>
    </row>
    <row r="7683">
      <c r="B7683" s="612"/>
      <c r="H7683" s="612"/>
    </row>
    <row r="7684">
      <c r="B7684" s="612"/>
      <c r="H7684" s="612"/>
    </row>
    <row r="7685">
      <c r="B7685" s="612"/>
      <c r="H7685" s="612"/>
    </row>
    <row r="7686">
      <c r="B7686" s="612"/>
      <c r="H7686" s="612"/>
    </row>
    <row r="7687">
      <c r="B7687" s="612"/>
      <c r="H7687" s="612"/>
    </row>
    <row r="7688">
      <c r="B7688" s="612"/>
      <c r="H7688" s="612"/>
    </row>
    <row r="7689">
      <c r="B7689" s="612"/>
      <c r="H7689" s="612"/>
    </row>
    <row r="7690">
      <c r="B7690" s="612"/>
      <c r="H7690" s="612"/>
    </row>
    <row r="7691">
      <c r="B7691" s="612"/>
      <c r="H7691" s="612"/>
    </row>
    <row r="7692">
      <c r="B7692" s="612"/>
      <c r="H7692" s="612"/>
    </row>
    <row r="7693">
      <c r="B7693" s="612"/>
      <c r="H7693" s="612"/>
    </row>
    <row r="7694">
      <c r="B7694" s="612"/>
      <c r="H7694" s="612"/>
    </row>
    <row r="7695">
      <c r="B7695" s="612"/>
      <c r="H7695" s="612"/>
    </row>
    <row r="7696">
      <c r="B7696" s="612"/>
      <c r="H7696" s="612"/>
    </row>
    <row r="7697">
      <c r="B7697" s="612"/>
      <c r="H7697" s="612"/>
    </row>
    <row r="7698">
      <c r="B7698" s="612"/>
      <c r="H7698" s="612"/>
    </row>
    <row r="7699">
      <c r="B7699" s="612"/>
      <c r="H7699" s="612"/>
    </row>
    <row r="7700">
      <c r="B7700" s="612"/>
      <c r="H7700" s="612"/>
    </row>
    <row r="7701">
      <c r="B7701" s="612"/>
      <c r="H7701" s="612"/>
    </row>
    <row r="7702">
      <c r="B7702" s="612"/>
      <c r="H7702" s="612"/>
    </row>
    <row r="7703">
      <c r="B7703" s="612"/>
      <c r="H7703" s="612"/>
    </row>
    <row r="7704">
      <c r="B7704" s="612"/>
      <c r="H7704" s="612"/>
    </row>
    <row r="7705">
      <c r="B7705" s="612"/>
      <c r="H7705" s="612"/>
    </row>
    <row r="7706">
      <c r="B7706" s="612"/>
      <c r="H7706" s="612"/>
    </row>
    <row r="7707">
      <c r="B7707" s="612"/>
      <c r="H7707" s="612"/>
    </row>
    <row r="7708">
      <c r="B7708" s="612"/>
      <c r="H7708" s="612"/>
    </row>
    <row r="7709">
      <c r="B7709" s="612"/>
      <c r="H7709" s="612"/>
    </row>
    <row r="7710">
      <c r="B7710" s="612"/>
      <c r="H7710" s="612"/>
    </row>
    <row r="7711">
      <c r="B7711" s="612"/>
      <c r="H7711" s="612"/>
    </row>
    <row r="7712">
      <c r="B7712" s="612"/>
      <c r="H7712" s="612"/>
    </row>
    <row r="7713">
      <c r="B7713" s="612"/>
      <c r="H7713" s="612"/>
    </row>
    <row r="7714">
      <c r="B7714" s="612"/>
      <c r="H7714" s="612"/>
    </row>
    <row r="7715">
      <c r="B7715" s="612"/>
      <c r="H7715" s="612"/>
    </row>
    <row r="7716">
      <c r="B7716" s="612"/>
      <c r="H7716" s="612"/>
    </row>
    <row r="7717">
      <c r="B7717" s="612"/>
      <c r="H7717" s="612"/>
    </row>
    <row r="7718">
      <c r="B7718" s="612"/>
      <c r="H7718" s="612"/>
    </row>
    <row r="7719">
      <c r="B7719" s="612"/>
      <c r="H7719" s="612"/>
    </row>
    <row r="7720">
      <c r="B7720" s="612"/>
      <c r="H7720" s="612"/>
    </row>
    <row r="7721">
      <c r="B7721" s="612"/>
      <c r="H7721" s="612"/>
    </row>
    <row r="7722">
      <c r="B7722" s="612"/>
      <c r="H7722" s="612"/>
    </row>
    <row r="7723">
      <c r="B7723" s="612"/>
      <c r="H7723" s="612"/>
    </row>
    <row r="7724">
      <c r="B7724" s="612"/>
      <c r="H7724" s="612"/>
    </row>
    <row r="7725">
      <c r="B7725" s="612"/>
      <c r="H7725" s="612"/>
    </row>
    <row r="7726">
      <c r="B7726" s="612"/>
      <c r="H7726" s="612"/>
    </row>
    <row r="7727">
      <c r="B7727" s="612"/>
      <c r="H7727" s="612"/>
    </row>
    <row r="7728">
      <c r="B7728" s="612"/>
      <c r="H7728" s="612"/>
    </row>
    <row r="7729">
      <c r="B7729" s="612"/>
      <c r="H7729" s="612"/>
    </row>
    <row r="7730">
      <c r="B7730" s="612"/>
      <c r="H7730" s="612"/>
    </row>
    <row r="7731">
      <c r="B7731" s="612"/>
      <c r="H7731" s="612"/>
    </row>
    <row r="7732">
      <c r="B7732" s="612"/>
      <c r="H7732" s="612"/>
    </row>
    <row r="7733">
      <c r="B7733" s="612"/>
      <c r="H7733" s="612"/>
    </row>
    <row r="7734">
      <c r="B7734" s="612"/>
      <c r="H7734" s="612"/>
    </row>
    <row r="7735">
      <c r="B7735" s="612"/>
      <c r="H7735" s="612"/>
    </row>
    <row r="7736">
      <c r="B7736" s="612"/>
      <c r="H7736" s="612"/>
    </row>
    <row r="7737">
      <c r="B7737" s="612"/>
      <c r="H7737" s="612"/>
    </row>
    <row r="7738">
      <c r="B7738" s="612"/>
      <c r="H7738" s="612"/>
    </row>
    <row r="7739">
      <c r="B7739" s="612"/>
      <c r="H7739" s="612"/>
    </row>
    <row r="7740">
      <c r="B7740" s="612"/>
      <c r="H7740" s="612"/>
    </row>
    <row r="7741">
      <c r="B7741" s="612"/>
      <c r="H7741" s="612"/>
    </row>
    <row r="7742">
      <c r="B7742" s="612"/>
      <c r="H7742" s="612"/>
    </row>
    <row r="7743">
      <c r="B7743" s="612"/>
      <c r="H7743" s="612"/>
    </row>
    <row r="7744">
      <c r="B7744" s="612"/>
      <c r="H7744" s="612"/>
    </row>
    <row r="7745">
      <c r="B7745" s="612"/>
      <c r="H7745" s="612"/>
    </row>
    <row r="7746">
      <c r="B7746" s="612"/>
      <c r="H7746" s="612"/>
    </row>
    <row r="7747">
      <c r="B7747" s="612"/>
      <c r="H7747" s="612"/>
    </row>
    <row r="7748">
      <c r="B7748" s="612"/>
      <c r="H7748" s="612"/>
    </row>
    <row r="7749">
      <c r="B7749" s="612"/>
      <c r="H7749" s="612"/>
    </row>
    <row r="7750">
      <c r="B7750" s="612"/>
      <c r="H7750" s="612"/>
    </row>
    <row r="7751">
      <c r="B7751" s="612"/>
      <c r="H7751" s="612"/>
    </row>
    <row r="7752">
      <c r="B7752" s="612"/>
      <c r="H7752" s="612"/>
    </row>
    <row r="7753">
      <c r="B7753" s="612"/>
      <c r="H7753" s="612"/>
    </row>
    <row r="7754">
      <c r="B7754" s="612"/>
      <c r="H7754" s="612"/>
    </row>
    <row r="7755">
      <c r="B7755" s="612"/>
      <c r="H7755" s="612"/>
    </row>
    <row r="7756">
      <c r="B7756" s="612"/>
      <c r="H7756" s="612"/>
    </row>
    <row r="7757">
      <c r="B7757" s="612"/>
      <c r="H7757" s="612"/>
    </row>
    <row r="7758">
      <c r="B7758" s="612"/>
      <c r="H7758" s="612"/>
    </row>
    <row r="7759">
      <c r="B7759" s="612"/>
      <c r="H7759" s="612"/>
    </row>
    <row r="7760">
      <c r="B7760" s="612"/>
      <c r="H7760" s="612"/>
    </row>
    <row r="7761">
      <c r="B7761" s="612"/>
      <c r="H7761" s="612"/>
    </row>
    <row r="7762">
      <c r="B7762" s="612"/>
      <c r="H7762" s="612"/>
    </row>
    <row r="7763">
      <c r="B7763" s="612"/>
      <c r="H7763" s="612"/>
    </row>
    <row r="7764">
      <c r="B7764" s="612"/>
      <c r="H7764" s="612"/>
    </row>
    <row r="7765">
      <c r="B7765" s="612"/>
      <c r="H7765" s="612"/>
    </row>
    <row r="7766">
      <c r="B7766" s="612"/>
      <c r="H7766" s="612"/>
    </row>
    <row r="7767">
      <c r="B7767" s="612"/>
      <c r="H7767" s="612"/>
    </row>
    <row r="7768">
      <c r="B7768" s="612"/>
      <c r="H7768" s="612"/>
    </row>
    <row r="7769">
      <c r="B7769" s="612"/>
      <c r="H7769" s="612"/>
    </row>
    <row r="7770">
      <c r="B7770" s="612"/>
      <c r="H7770" s="612"/>
    </row>
    <row r="7771">
      <c r="B7771" s="612"/>
      <c r="H7771" s="612"/>
    </row>
    <row r="7772">
      <c r="B7772" s="612"/>
      <c r="H7772" s="612"/>
    </row>
    <row r="7773">
      <c r="B7773" s="612"/>
      <c r="H7773" s="612"/>
    </row>
    <row r="7774">
      <c r="B7774" s="612"/>
      <c r="H7774" s="612"/>
    </row>
    <row r="7775">
      <c r="B7775" s="612"/>
      <c r="H7775" s="612"/>
    </row>
    <row r="7776">
      <c r="B7776" s="612"/>
      <c r="H7776" s="612"/>
    </row>
    <row r="7777">
      <c r="B7777" s="612"/>
      <c r="H7777" s="612"/>
    </row>
    <row r="7778">
      <c r="B7778" s="612"/>
      <c r="H7778" s="612"/>
    </row>
    <row r="7779">
      <c r="B7779" s="612"/>
      <c r="H7779" s="612"/>
    </row>
    <row r="7780">
      <c r="B7780" s="612"/>
      <c r="H7780" s="612"/>
    </row>
    <row r="7781">
      <c r="B7781" s="612"/>
      <c r="H7781" s="612"/>
    </row>
    <row r="7782">
      <c r="B7782" s="612"/>
      <c r="H7782" s="612"/>
    </row>
    <row r="7783">
      <c r="B7783" s="612"/>
      <c r="H7783" s="612"/>
    </row>
    <row r="7784">
      <c r="B7784" s="612"/>
      <c r="H7784" s="612"/>
    </row>
    <row r="7785">
      <c r="B7785" s="612"/>
      <c r="H7785" s="612"/>
    </row>
    <row r="7786">
      <c r="B7786" s="612"/>
      <c r="H7786" s="612"/>
    </row>
    <row r="7787">
      <c r="B7787" s="612"/>
      <c r="H7787" s="612"/>
    </row>
    <row r="7788">
      <c r="B7788" s="612"/>
      <c r="H7788" s="612"/>
    </row>
    <row r="7789">
      <c r="B7789" s="612"/>
      <c r="H7789" s="612"/>
    </row>
    <row r="7790">
      <c r="B7790" s="612"/>
      <c r="H7790" s="612"/>
    </row>
    <row r="7791">
      <c r="B7791" s="612"/>
      <c r="H7791" s="612"/>
    </row>
    <row r="7792">
      <c r="B7792" s="612"/>
      <c r="H7792" s="612"/>
    </row>
    <row r="7793">
      <c r="B7793" s="612"/>
      <c r="H7793" s="612"/>
    </row>
    <row r="7794">
      <c r="B7794" s="612"/>
      <c r="H7794" s="612"/>
    </row>
    <row r="7795">
      <c r="B7795" s="612"/>
      <c r="H7795" s="612"/>
    </row>
    <row r="7796">
      <c r="B7796" s="612"/>
      <c r="H7796" s="612"/>
    </row>
    <row r="7797">
      <c r="B7797" s="612"/>
      <c r="H7797" s="612"/>
    </row>
    <row r="7798">
      <c r="B7798" s="612"/>
      <c r="H7798" s="612"/>
    </row>
    <row r="7799">
      <c r="B7799" s="612"/>
      <c r="H7799" s="612"/>
    </row>
    <row r="7800">
      <c r="B7800" s="612"/>
      <c r="H7800" s="612"/>
    </row>
    <row r="7801">
      <c r="B7801" s="612"/>
      <c r="H7801" s="612"/>
    </row>
    <row r="7802">
      <c r="B7802" s="612"/>
      <c r="H7802" s="612"/>
    </row>
    <row r="7803">
      <c r="B7803" s="612"/>
      <c r="H7803" s="612"/>
    </row>
    <row r="7804">
      <c r="B7804" s="612"/>
      <c r="H7804" s="612"/>
    </row>
    <row r="7805">
      <c r="B7805" s="612"/>
      <c r="H7805" s="612"/>
    </row>
    <row r="7806">
      <c r="B7806" s="612"/>
      <c r="H7806" s="612"/>
    </row>
    <row r="7807">
      <c r="B7807" s="612"/>
      <c r="H7807" s="612"/>
    </row>
    <row r="7808">
      <c r="B7808" s="612"/>
      <c r="H7808" s="612"/>
    </row>
    <row r="7809">
      <c r="B7809" s="612"/>
      <c r="H7809" s="612"/>
    </row>
    <row r="7810">
      <c r="B7810" s="612"/>
      <c r="H7810" s="612"/>
    </row>
    <row r="7811">
      <c r="B7811" s="612"/>
      <c r="H7811" s="612"/>
    </row>
    <row r="7812">
      <c r="B7812" s="612"/>
      <c r="H7812" s="612"/>
    </row>
    <row r="7813">
      <c r="B7813" s="612"/>
      <c r="H7813" s="612"/>
    </row>
    <row r="7814">
      <c r="B7814" s="612"/>
      <c r="H7814" s="612"/>
    </row>
    <row r="7815">
      <c r="B7815" s="612"/>
      <c r="H7815" s="612"/>
    </row>
    <row r="7816">
      <c r="B7816" s="612"/>
      <c r="H7816" s="612"/>
    </row>
    <row r="7817">
      <c r="B7817" s="612"/>
      <c r="H7817" s="612"/>
    </row>
    <row r="7818">
      <c r="B7818" s="612"/>
      <c r="H7818" s="612"/>
    </row>
    <row r="7819">
      <c r="B7819" s="612"/>
      <c r="H7819" s="612"/>
    </row>
    <row r="7820">
      <c r="B7820" s="612"/>
      <c r="H7820" s="612"/>
    </row>
    <row r="7821">
      <c r="B7821" s="612"/>
      <c r="H7821" s="612"/>
    </row>
    <row r="7822">
      <c r="B7822" s="612"/>
      <c r="H7822" s="612"/>
    </row>
    <row r="7823">
      <c r="B7823" s="612"/>
      <c r="H7823" s="612"/>
    </row>
    <row r="7824">
      <c r="B7824" s="612"/>
      <c r="H7824" s="612"/>
    </row>
    <row r="7825">
      <c r="B7825" s="612"/>
      <c r="H7825" s="612"/>
    </row>
    <row r="7826">
      <c r="B7826" s="612"/>
      <c r="H7826" s="612"/>
    </row>
    <row r="7827">
      <c r="B7827" s="612"/>
      <c r="H7827" s="612"/>
    </row>
    <row r="7828">
      <c r="B7828" s="612"/>
      <c r="H7828" s="612"/>
    </row>
    <row r="7829">
      <c r="B7829" s="612"/>
      <c r="H7829" s="612"/>
    </row>
    <row r="7830">
      <c r="B7830" s="612"/>
      <c r="H7830" s="612"/>
    </row>
    <row r="7831">
      <c r="B7831" s="612"/>
      <c r="H7831" s="612"/>
    </row>
    <row r="7832">
      <c r="B7832" s="612"/>
      <c r="H7832" s="612"/>
    </row>
    <row r="7833">
      <c r="B7833" s="612"/>
      <c r="H7833" s="612"/>
    </row>
    <row r="7834">
      <c r="B7834" s="612"/>
      <c r="H7834" s="612"/>
    </row>
    <row r="7835">
      <c r="B7835" s="612"/>
      <c r="H7835" s="612"/>
    </row>
    <row r="7836">
      <c r="B7836" s="612"/>
      <c r="H7836" s="612"/>
    </row>
    <row r="7837">
      <c r="B7837" s="612"/>
      <c r="H7837" s="612"/>
    </row>
    <row r="7838">
      <c r="B7838" s="612"/>
      <c r="H7838" s="612"/>
    </row>
    <row r="7839">
      <c r="B7839" s="612"/>
      <c r="H7839" s="612"/>
    </row>
    <row r="7840">
      <c r="B7840" s="612"/>
      <c r="H7840" s="612"/>
    </row>
    <row r="7841">
      <c r="B7841" s="612"/>
      <c r="H7841" s="612"/>
    </row>
    <row r="7842">
      <c r="B7842" s="612"/>
      <c r="H7842" s="612"/>
    </row>
    <row r="7843">
      <c r="B7843" s="612"/>
      <c r="H7843" s="612"/>
    </row>
    <row r="7844">
      <c r="B7844" s="612"/>
      <c r="H7844" s="612"/>
    </row>
    <row r="7845">
      <c r="B7845" s="612"/>
      <c r="H7845" s="612"/>
    </row>
    <row r="7846">
      <c r="B7846" s="612"/>
      <c r="H7846" s="612"/>
    </row>
    <row r="7847">
      <c r="B7847" s="612"/>
      <c r="H7847" s="612"/>
    </row>
    <row r="7848">
      <c r="B7848" s="612"/>
      <c r="H7848" s="612"/>
    </row>
    <row r="7849">
      <c r="B7849" s="612"/>
      <c r="H7849" s="612"/>
    </row>
    <row r="7850">
      <c r="B7850" s="612"/>
      <c r="H7850" s="612"/>
    </row>
    <row r="7851">
      <c r="B7851" s="612"/>
      <c r="H7851" s="612"/>
    </row>
    <row r="7852">
      <c r="B7852" s="612"/>
      <c r="H7852" s="612"/>
    </row>
    <row r="7853">
      <c r="B7853" s="612"/>
      <c r="H7853" s="612"/>
    </row>
    <row r="7854">
      <c r="B7854" s="612"/>
      <c r="H7854" s="612"/>
    </row>
    <row r="7855">
      <c r="B7855" s="612"/>
      <c r="H7855" s="612"/>
    </row>
    <row r="7856">
      <c r="B7856" s="612"/>
      <c r="H7856" s="612"/>
    </row>
    <row r="7857">
      <c r="B7857" s="612"/>
      <c r="H7857" s="612"/>
    </row>
    <row r="7858">
      <c r="B7858" s="612"/>
      <c r="H7858" s="612"/>
    </row>
    <row r="7859">
      <c r="B7859" s="612"/>
      <c r="H7859" s="612"/>
    </row>
    <row r="7860">
      <c r="B7860" s="612"/>
      <c r="H7860" s="612"/>
    </row>
    <row r="7861">
      <c r="B7861" s="612"/>
      <c r="H7861" s="612"/>
    </row>
    <row r="7862">
      <c r="B7862" s="612"/>
      <c r="H7862" s="612"/>
    </row>
    <row r="7863">
      <c r="B7863" s="612"/>
      <c r="H7863" s="612"/>
    </row>
    <row r="7864">
      <c r="B7864" s="612"/>
      <c r="H7864" s="612"/>
    </row>
    <row r="7865">
      <c r="B7865" s="612"/>
      <c r="H7865" s="612"/>
    </row>
    <row r="7866">
      <c r="B7866" s="612"/>
      <c r="H7866" s="612"/>
    </row>
    <row r="7867">
      <c r="B7867" s="612"/>
      <c r="H7867" s="612"/>
    </row>
    <row r="7868">
      <c r="B7868" s="612"/>
      <c r="H7868" s="612"/>
    </row>
    <row r="7869">
      <c r="B7869" s="612"/>
      <c r="H7869" s="612"/>
    </row>
    <row r="7870">
      <c r="B7870" s="612"/>
      <c r="H7870" s="612"/>
    </row>
    <row r="7871">
      <c r="B7871" s="612"/>
      <c r="H7871" s="612"/>
    </row>
    <row r="7872">
      <c r="B7872" s="612"/>
      <c r="H7872" s="612"/>
    </row>
    <row r="7873">
      <c r="B7873" s="612"/>
      <c r="H7873" s="612"/>
    </row>
    <row r="7874">
      <c r="B7874" s="612"/>
      <c r="H7874" s="612"/>
    </row>
    <row r="7875">
      <c r="B7875" s="612"/>
      <c r="H7875" s="612"/>
    </row>
    <row r="7876">
      <c r="B7876" s="612"/>
      <c r="H7876" s="612"/>
    </row>
    <row r="7877">
      <c r="B7877" s="612"/>
      <c r="H7877" s="612"/>
    </row>
    <row r="7878">
      <c r="B7878" s="612"/>
      <c r="H7878" s="612"/>
    </row>
    <row r="7879">
      <c r="B7879" s="612"/>
      <c r="H7879" s="612"/>
    </row>
    <row r="7880">
      <c r="B7880" s="612"/>
      <c r="H7880" s="612"/>
    </row>
    <row r="7881">
      <c r="B7881" s="612"/>
      <c r="H7881" s="612"/>
    </row>
    <row r="7882">
      <c r="B7882" s="612"/>
      <c r="H7882" s="612"/>
    </row>
    <row r="7883">
      <c r="B7883" s="612"/>
      <c r="H7883" s="612"/>
    </row>
    <row r="7884">
      <c r="B7884" s="612"/>
      <c r="H7884" s="612"/>
    </row>
    <row r="7885">
      <c r="B7885" s="612"/>
      <c r="H7885" s="612"/>
    </row>
    <row r="7886">
      <c r="B7886" s="612"/>
      <c r="H7886" s="612"/>
    </row>
    <row r="7887">
      <c r="B7887" s="612"/>
      <c r="H7887" s="612"/>
    </row>
    <row r="7888">
      <c r="B7888" s="612"/>
      <c r="H7888" s="612"/>
    </row>
    <row r="7889">
      <c r="B7889" s="612"/>
      <c r="H7889" s="612"/>
    </row>
    <row r="7890">
      <c r="B7890" s="612"/>
      <c r="H7890" s="612"/>
    </row>
    <row r="7891">
      <c r="B7891" s="612"/>
      <c r="H7891" s="612"/>
    </row>
    <row r="7892">
      <c r="B7892" s="612"/>
      <c r="H7892" s="612"/>
    </row>
    <row r="7893">
      <c r="B7893" s="612"/>
      <c r="H7893" s="612"/>
    </row>
    <row r="7894">
      <c r="B7894" s="612"/>
      <c r="H7894" s="612"/>
    </row>
    <row r="7895">
      <c r="B7895" s="612"/>
      <c r="H7895" s="612"/>
    </row>
    <row r="7896">
      <c r="B7896" s="612"/>
      <c r="H7896" s="612"/>
    </row>
    <row r="7897">
      <c r="B7897" s="612"/>
      <c r="H7897" s="612"/>
    </row>
    <row r="7898">
      <c r="B7898" s="612"/>
      <c r="H7898" s="612"/>
    </row>
    <row r="7899">
      <c r="B7899" s="612"/>
      <c r="H7899" s="612"/>
    </row>
    <row r="7900">
      <c r="B7900" s="612"/>
      <c r="H7900" s="612"/>
    </row>
    <row r="7901">
      <c r="B7901" s="612"/>
      <c r="H7901" s="612"/>
    </row>
    <row r="7902">
      <c r="B7902" s="612"/>
      <c r="H7902" s="612"/>
    </row>
    <row r="7903">
      <c r="B7903" s="612"/>
      <c r="H7903" s="612"/>
    </row>
    <row r="7904">
      <c r="B7904" s="612"/>
      <c r="H7904" s="612"/>
    </row>
    <row r="7905">
      <c r="B7905" s="612"/>
      <c r="H7905" s="612"/>
    </row>
    <row r="7906">
      <c r="B7906" s="612"/>
      <c r="H7906" s="612"/>
    </row>
    <row r="7907">
      <c r="B7907" s="612"/>
      <c r="H7907" s="612"/>
    </row>
    <row r="7908">
      <c r="B7908" s="612"/>
      <c r="H7908" s="612"/>
    </row>
    <row r="7909">
      <c r="B7909" s="612"/>
      <c r="H7909" s="612"/>
    </row>
    <row r="7910">
      <c r="B7910" s="612"/>
      <c r="H7910" s="612"/>
    </row>
    <row r="7911">
      <c r="B7911" s="612"/>
      <c r="H7911" s="612"/>
    </row>
    <row r="7912">
      <c r="B7912" s="612"/>
      <c r="H7912" s="612"/>
    </row>
    <row r="7913">
      <c r="B7913" s="612"/>
      <c r="H7913" s="612"/>
    </row>
    <row r="7914">
      <c r="B7914" s="612"/>
      <c r="H7914" s="612"/>
    </row>
    <row r="7915">
      <c r="B7915" s="612"/>
      <c r="H7915" s="612"/>
    </row>
    <row r="7916">
      <c r="B7916" s="612"/>
      <c r="H7916" s="612"/>
    </row>
    <row r="7917">
      <c r="B7917" s="612"/>
      <c r="H7917" s="612"/>
    </row>
    <row r="7918">
      <c r="B7918" s="612"/>
      <c r="H7918" s="612"/>
    </row>
    <row r="7919">
      <c r="B7919" s="612"/>
      <c r="H7919" s="612"/>
    </row>
    <row r="7920">
      <c r="B7920" s="612"/>
      <c r="H7920" s="612"/>
    </row>
    <row r="7921">
      <c r="B7921" s="612"/>
      <c r="H7921" s="612"/>
    </row>
    <row r="7922">
      <c r="B7922" s="612"/>
      <c r="H7922" s="612"/>
    </row>
    <row r="7923">
      <c r="B7923" s="612"/>
      <c r="H7923" s="612"/>
    </row>
    <row r="7924">
      <c r="B7924" s="612"/>
      <c r="H7924" s="612"/>
    </row>
    <row r="7925">
      <c r="B7925" s="612"/>
      <c r="H7925" s="612"/>
    </row>
    <row r="7926">
      <c r="B7926" s="612"/>
      <c r="H7926" s="612"/>
    </row>
    <row r="7927">
      <c r="B7927" s="612"/>
      <c r="H7927" s="612"/>
    </row>
    <row r="7928">
      <c r="B7928" s="612"/>
      <c r="H7928" s="612"/>
    </row>
    <row r="7929">
      <c r="B7929" s="612"/>
      <c r="H7929" s="612"/>
    </row>
    <row r="7930">
      <c r="B7930" s="612"/>
      <c r="H7930" s="612"/>
    </row>
    <row r="7931">
      <c r="B7931" s="612"/>
      <c r="H7931" s="612"/>
    </row>
    <row r="7932">
      <c r="B7932" s="612"/>
      <c r="H7932" s="612"/>
    </row>
    <row r="7933">
      <c r="B7933" s="612"/>
      <c r="H7933" s="612"/>
    </row>
    <row r="7934">
      <c r="B7934" s="612"/>
      <c r="H7934" s="612"/>
    </row>
    <row r="7935">
      <c r="B7935" s="612"/>
      <c r="H7935" s="612"/>
    </row>
    <row r="7936">
      <c r="B7936" s="612"/>
      <c r="H7936" s="612"/>
    </row>
    <row r="7937">
      <c r="B7937" s="612"/>
      <c r="H7937" s="612"/>
    </row>
    <row r="7938">
      <c r="B7938" s="612"/>
      <c r="H7938" s="612"/>
    </row>
    <row r="7939">
      <c r="B7939" s="612"/>
      <c r="H7939" s="612"/>
    </row>
    <row r="7940">
      <c r="B7940" s="612"/>
      <c r="H7940" s="612"/>
    </row>
    <row r="7941">
      <c r="B7941" s="612"/>
      <c r="H7941" s="612"/>
    </row>
    <row r="7942">
      <c r="B7942" s="612"/>
      <c r="H7942" s="612"/>
    </row>
    <row r="7943">
      <c r="B7943" s="612"/>
      <c r="H7943" s="612"/>
    </row>
    <row r="7944">
      <c r="B7944" s="612"/>
      <c r="H7944" s="612"/>
    </row>
    <row r="7945">
      <c r="B7945" s="612"/>
      <c r="H7945" s="612"/>
    </row>
    <row r="7946">
      <c r="B7946" s="612"/>
      <c r="H7946" s="612"/>
    </row>
    <row r="7947">
      <c r="B7947" s="612"/>
      <c r="H7947" s="612"/>
    </row>
    <row r="7948">
      <c r="B7948" s="612"/>
      <c r="H7948" s="612"/>
    </row>
    <row r="7949">
      <c r="B7949" s="612"/>
      <c r="H7949" s="612"/>
    </row>
    <row r="7950">
      <c r="B7950" s="612"/>
      <c r="H7950" s="612"/>
    </row>
    <row r="7951">
      <c r="B7951" s="612"/>
      <c r="H7951" s="612"/>
    </row>
    <row r="7952">
      <c r="B7952" s="612"/>
      <c r="H7952" s="612"/>
    </row>
    <row r="7953">
      <c r="B7953" s="612"/>
      <c r="H7953" s="612"/>
    </row>
    <row r="7954">
      <c r="B7954" s="612"/>
      <c r="H7954" s="612"/>
    </row>
    <row r="7955">
      <c r="B7955" s="612"/>
      <c r="H7955" s="612"/>
    </row>
    <row r="7956">
      <c r="B7956" s="612"/>
      <c r="H7956" s="612"/>
    </row>
    <row r="7957">
      <c r="B7957" s="612"/>
      <c r="H7957" s="612"/>
    </row>
    <row r="7958">
      <c r="B7958" s="612"/>
      <c r="H7958" s="612"/>
    </row>
    <row r="7959">
      <c r="B7959" s="612"/>
      <c r="H7959" s="612"/>
    </row>
    <row r="7960">
      <c r="B7960" s="612"/>
      <c r="H7960" s="612"/>
    </row>
    <row r="7961">
      <c r="B7961" s="612"/>
      <c r="H7961" s="612"/>
    </row>
    <row r="7962">
      <c r="B7962" s="612"/>
      <c r="H7962" s="612"/>
    </row>
    <row r="7963">
      <c r="B7963" s="612"/>
      <c r="H7963" s="612"/>
    </row>
    <row r="7964">
      <c r="B7964" s="612"/>
      <c r="H7964" s="612"/>
    </row>
    <row r="7965">
      <c r="B7965" s="612"/>
      <c r="H7965" s="612"/>
    </row>
    <row r="7966">
      <c r="B7966" s="612"/>
      <c r="H7966" s="612"/>
    </row>
    <row r="7967">
      <c r="B7967" s="612"/>
      <c r="H7967" s="612"/>
    </row>
    <row r="7968">
      <c r="B7968" s="612"/>
      <c r="H7968" s="612"/>
    </row>
    <row r="7969">
      <c r="B7969" s="612"/>
      <c r="H7969" s="612"/>
    </row>
    <row r="7970">
      <c r="B7970" s="612"/>
      <c r="H7970" s="612"/>
    </row>
    <row r="7971">
      <c r="B7971" s="612"/>
      <c r="H7971" s="612"/>
    </row>
    <row r="7972">
      <c r="B7972" s="612"/>
      <c r="H7972" s="612"/>
    </row>
    <row r="7973">
      <c r="B7973" s="612"/>
      <c r="H7973" s="612"/>
    </row>
    <row r="7974">
      <c r="B7974" s="612"/>
      <c r="H7974" s="612"/>
    </row>
    <row r="7975">
      <c r="B7975" s="612"/>
      <c r="H7975" s="612"/>
    </row>
    <row r="7976">
      <c r="B7976" s="612"/>
      <c r="H7976" s="612"/>
    </row>
    <row r="7977">
      <c r="B7977" s="612"/>
      <c r="H7977" s="612"/>
    </row>
    <row r="7978">
      <c r="B7978" s="612"/>
      <c r="H7978" s="612"/>
    </row>
    <row r="7979">
      <c r="B7979" s="612"/>
      <c r="H7979" s="612"/>
    </row>
    <row r="7980">
      <c r="B7980" s="612"/>
      <c r="H7980" s="612"/>
    </row>
    <row r="7981">
      <c r="B7981" s="612"/>
      <c r="H7981" s="612"/>
    </row>
    <row r="7982">
      <c r="B7982" s="612"/>
      <c r="H7982" s="612"/>
    </row>
    <row r="7983">
      <c r="B7983" s="612"/>
      <c r="H7983" s="612"/>
    </row>
    <row r="7984">
      <c r="B7984" s="612"/>
      <c r="H7984" s="612"/>
    </row>
    <row r="7985">
      <c r="B7985" s="612"/>
      <c r="H7985" s="612"/>
    </row>
    <row r="7986">
      <c r="B7986" s="612"/>
      <c r="H7986" s="612"/>
    </row>
    <row r="7987">
      <c r="B7987" s="612"/>
      <c r="H7987" s="612"/>
    </row>
    <row r="7988">
      <c r="B7988" s="612"/>
      <c r="H7988" s="612"/>
    </row>
    <row r="7989">
      <c r="B7989" s="612"/>
      <c r="H7989" s="612"/>
    </row>
    <row r="7990">
      <c r="B7990" s="612"/>
      <c r="H7990" s="612"/>
    </row>
    <row r="7991">
      <c r="B7991" s="612"/>
      <c r="H7991" s="612"/>
    </row>
    <row r="7992">
      <c r="B7992" s="612"/>
      <c r="H7992" s="612"/>
    </row>
    <row r="7993">
      <c r="B7993" s="612"/>
      <c r="H7993" s="612"/>
    </row>
    <row r="7994">
      <c r="B7994" s="612"/>
      <c r="H7994" s="612"/>
    </row>
    <row r="7995">
      <c r="B7995" s="612"/>
      <c r="H7995" s="612"/>
    </row>
    <row r="7996">
      <c r="B7996" s="612"/>
      <c r="H7996" s="612"/>
    </row>
    <row r="7997">
      <c r="B7997" s="612"/>
      <c r="H7997" s="612"/>
    </row>
    <row r="7998">
      <c r="B7998" s="612"/>
      <c r="H7998" s="612"/>
    </row>
    <row r="7999">
      <c r="B7999" s="612"/>
      <c r="H7999" s="612"/>
    </row>
    <row r="8000">
      <c r="B8000" s="612"/>
      <c r="H8000" s="612"/>
    </row>
    <row r="8001">
      <c r="B8001" s="612"/>
      <c r="H8001" s="612"/>
    </row>
    <row r="8002">
      <c r="B8002" s="612"/>
      <c r="H8002" s="612"/>
    </row>
    <row r="8003">
      <c r="B8003" s="612"/>
      <c r="H8003" s="612"/>
    </row>
    <row r="8004">
      <c r="B8004" s="612"/>
      <c r="H8004" s="612"/>
    </row>
    <row r="8005">
      <c r="B8005" s="612"/>
      <c r="H8005" s="612"/>
    </row>
    <row r="8006">
      <c r="B8006" s="612"/>
      <c r="H8006" s="612"/>
    </row>
    <row r="8007">
      <c r="B8007" s="612"/>
      <c r="H8007" s="612"/>
    </row>
    <row r="8008">
      <c r="B8008" s="612"/>
      <c r="H8008" s="612"/>
    </row>
    <row r="8009">
      <c r="B8009" s="612"/>
      <c r="H8009" s="612"/>
    </row>
    <row r="8010">
      <c r="B8010" s="612"/>
      <c r="H8010" s="612"/>
    </row>
    <row r="8011">
      <c r="B8011" s="612"/>
      <c r="H8011" s="612"/>
    </row>
    <row r="8012">
      <c r="B8012" s="612"/>
      <c r="H8012" s="612"/>
    </row>
    <row r="8013">
      <c r="B8013" s="612"/>
      <c r="H8013" s="612"/>
    </row>
    <row r="8014">
      <c r="B8014" s="612"/>
      <c r="H8014" s="612"/>
    </row>
    <row r="8015">
      <c r="B8015" s="612"/>
      <c r="H8015" s="612"/>
    </row>
    <row r="8016">
      <c r="B8016" s="612"/>
      <c r="H8016" s="612"/>
    </row>
    <row r="8017">
      <c r="B8017" s="612"/>
      <c r="H8017" s="612"/>
    </row>
    <row r="8018">
      <c r="B8018" s="612"/>
      <c r="H8018" s="612"/>
    </row>
    <row r="8019">
      <c r="B8019" s="612"/>
      <c r="H8019" s="612"/>
    </row>
    <row r="8020">
      <c r="B8020" s="612"/>
      <c r="H8020" s="612"/>
    </row>
    <row r="8021">
      <c r="B8021" s="612"/>
      <c r="H8021" s="612"/>
    </row>
    <row r="8022">
      <c r="B8022" s="612"/>
      <c r="H8022" s="612"/>
    </row>
    <row r="8023">
      <c r="B8023" s="612"/>
      <c r="H8023" s="612"/>
    </row>
    <row r="8024">
      <c r="B8024" s="612"/>
      <c r="H8024" s="612"/>
    </row>
    <row r="8025">
      <c r="B8025" s="612"/>
      <c r="H8025" s="612"/>
    </row>
    <row r="8026">
      <c r="B8026" s="612"/>
      <c r="H8026" s="612"/>
    </row>
    <row r="8027">
      <c r="B8027" s="612"/>
      <c r="H8027" s="612"/>
    </row>
    <row r="8028">
      <c r="B8028" s="612"/>
      <c r="H8028" s="612"/>
    </row>
    <row r="8029">
      <c r="B8029" s="612"/>
      <c r="H8029" s="612"/>
    </row>
    <row r="8030">
      <c r="B8030" s="612"/>
      <c r="H8030" s="612"/>
    </row>
    <row r="8031">
      <c r="B8031" s="612"/>
      <c r="H8031" s="612"/>
    </row>
    <row r="8032">
      <c r="B8032" s="612"/>
      <c r="H8032" s="612"/>
    </row>
    <row r="8033">
      <c r="B8033" s="612"/>
      <c r="H8033" s="612"/>
    </row>
    <row r="8034">
      <c r="B8034" s="612"/>
      <c r="H8034" s="612"/>
    </row>
    <row r="8035">
      <c r="B8035" s="612"/>
      <c r="H8035" s="612"/>
    </row>
    <row r="8036">
      <c r="B8036" s="612"/>
      <c r="H8036" s="612"/>
    </row>
    <row r="8037">
      <c r="B8037" s="612"/>
      <c r="H8037" s="612"/>
    </row>
    <row r="8038">
      <c r="B8038" s="612"/>
      <c r="H8038" s="612"/>
    </row>
    <row r="8039">
      <c r="B8039" s="612"/>
      <c r="H8039" s="612"/>
    </row>
    <row r="8040">
      <c r="B8040" s="612"/>
      <c r="H8040" s="612"/>
    </row>
    <row r="8041">
      <c r="B8041" s="612"/>
      <c r="H8041" s="612"/>
    </row>
    <row r="8042">
      <c r="B8042" s="612"/>
      <c r="H8042" s="612"/>
    </row>
    <row r="8043">
      <c r="B8043" s="612"/>
      <c r="H8043" s="612"/>
    </row>
    <row r="8044">
      <c r="B8044" s="612"/>
      <c r="H8044" s="612"/>
    </row>
    <row r="8045">
      <c r="B8045" s="612"/>
      <c r="H8045" s="612"/>
    </row>
    <row r="8046">
      <c r="B8046" s="612"/>
      <c r="H8046" s="612"/>
    </row>
    <row r="8047">
      <c r="B8047" s="612"/>
      <c r="H8047" s="612"/>
    </row>
    <row r="8048">
      <c r="B8048" s="612"/>
      <c r="H8048" s="612"/>
    </row>
    <row r="8049">
      <c r="B8049" s="612"/>
      <c r="H8049" s="612"/>
    </row>
    <row r="8050">
      <c r="B8050" s="612"/>
      <c r="H8050" s="612"/>
    </row>
    <row r="8051">
      <c r="B8051" s="612"/>
      <c r="H8051" s="612"/>
    </row>
    <row r="8052">
      <c r="B8052" s="612"/>
      <c r="H8052" s="612"/>
    </row>
    <row r="8053">
      <c r="B8053" s="612"/>
      <c r="H8053" s="612"/>
    </row>
    <row r="8054">
      <c r="B8054" s="612"/>
      <c r="H8054" s="612"/>
    </row>
    <row r="8055">
      <c r="B8055" s="612"/>
      <c r="H8055" s="612"/>
    </row>
    <row r="8056">
      <c r="B8056" s="612"/>
      <c r="H8056" s="612"/>
    </row>
    <row r="8057">
      <c r="B8057" s="612"/>
      <c r="H8057" s="612"/>
    </row>
    <row r="8058">
      <c r="B8058" s="612"/>
      <c r="H8058" s="612"/>
    </row>
    <row r="8059">
      <c r="B8059" s="612"/>
      <c r="H8059" s="612"/>
    </row>
    <row r="8060">
      <c r="B8060" s="612"/>
      <c r="H8060" s="612"/>
    </row>
    <row r="8061">
      <c r="B8061" s="612"/>
      <c r="H8061" s="612"/>
    </row>
    <row r="8062">
      <c r="B8062" s="612"/>
      <c r="H8062" s="612"/>
    </row>
    <row r="8063">
      <c r="B8063" s="612"/>
      <c r="H8063" s="612"/>
    </row>
    <row r="8064">
      <c r="B8064" s="612"/>
      <c r="H8064" s="612"/>
    </row>
    <row r="8065">
      <c r="B8065" s="612"/>
      <c r="H8065" s="612"/>
    </row>
    <row r="8066">
      <c r="B8066" s="612"/>
      <c r="H8066" s="612"/>
    </row>
    <row r="8067">
      <c r="B8067" s="612"/>
      <c r="H8067" s="612"/>
    </row>
    <row r="8068">
      <c r="B8068" s="612"/>
      <c r="H8068" s="612"/>
    </row>
    <row r="8069">
      <c r="B8069" s="612"/>
      <c r="H8069" s="612"/>
    </row>
    <row r="8070">
      <c r="B8070" s="612"/>
      <c r="H8070" s="612"/>
    </row>
    <row r="8071">
      <c r="B8071" s="612"/>
      <c r="H8071" s="612"/>
    </row>
    <row r="8072">
      <c r="B8072" s="612"/>
      <c r="H8072" s="612"/>
    </row>
    <row r="8073">
      <c r="B8073" s="612"/>
      <c r="H8073" s="612"/>
    </row>
    <row r="8074">
      <c r="B8074" s="612"/>
      <c r="H8074" s="612"/>
    </row>
    <row r="8075">
      <c r="B8075" s="612"/>
      <c r="H8075" s="612"/>
    </row>
    <row r="8076">
      <c r="B8076" s="612"/>
      <c r="H8076" s="612"/>
    </row>
    <row r="8077">
      <c r="B8077" s="612"/>
      <c r="H8077" s="612"/>
    </row>
    <row r="8078">
      <c r="B8078" s="612"/>
      <c r="H8078" s="612"/>
    </row>
    <row r="8079">
      <c r="B8079" s="612"/>
      <c r="H8079" s="612"/>
    </row>
    <row r="8080">
      <c r="B8080" s="612"/>
      <c r="H8080" s="612"/>
    </row>
    <row r="8081">
      <c r="B8081" s="612"/>
      <c r="H8081" s="612"/>
    </row>
    <row r="8082">
      <c r="B8082" s="612"/>
      <c r="H8082" s="612"/>
    </row>
    <row r="8083">
      <c r="B8083" s="612"/>
      <c r="H8083" s="612"/>
    </row>
    <row r="8084">
      <c r="B8084" s="612"/>
      <c r="H8084" s="612"/>
    </row>
    <row r="8085">
      <c r="B8085" s="612"/>
      <c r="H8085" s="612"/>
    </row>
    <row r="8086">
      <c r="B8086" s="612"/>
      <c r="H8086" s="612"/>
    </row>
    <row r="8087">
      <c r="B8087" s="612"/>
      <c r="H8087" s="612"/>
    </row>
    <row r="8088">
      <c r="B8088" s="612"/>
      <c r="H8088" s="612"/>
    </row>
    <row r="8089">
      <c r="B8089" s="612"/>
      <c r="H8089" s="612"/>
    </row>
    <row r="8090">
      <c r="B8090" s="612"/>
      <c r="H8090" s="612"/>
    </row>
    <row r="8091">
      <c r="B8091" s="612"/>
      <c r="H8091" s="612"/>
    </row>
    <row r="8092">
      <c r="B8092" s="612"/>
      <c r="H8092" s="612"/>
    </row>
    <row r="8093">
      <c r="B8093" s="612"/>
      <c r="H8093" s="612"/>
    </row>
    <row r="8094">
      <c r="B8094" s="612"/>
      <c r="H8094" s="612"/>
    </row>
    <row r="8095">
      <c r="B8095" s="612"/>
      <c r="H8095" s="612"/>
    </row>
    <row r="8096">
      <c r="B8096" s="612"/>
      <c r="H8096" s="612"/>
    </row>
    <row r="8097">
      <c r="B8097" s="612"/>
      <c r="H8097" s="612"/>
    </row>
    <row r="8098">
      <c r="B8098" s="612"/>
      <c r="H8098" s="612"/>
    </row>
    <row r="8099">
      <c r="B8099" s="612"/>
      <c r="H8099" s="612"/>
    </row>
    <row r="8100">
      <c r="B8100" s="612"/>
      <c r="H8100" s="612"/>
    </row>
    <row r="8101">
      <c r="B8101" s="612"/>
      <c r="H8101" s="612"/>
    </row>
    <row r="8102">
      <c r="B8102" s="612"/>
      <c r="H8102" s="612"/>
    </row>
    <row r="8103">
      <c r="B8103" s="612"/>
      <c r="H8103" s="612"/>
    </row>
    <row r="8104">
      <c r="B8104" s="612"/>
      <c r="H8104" s="612"/>
    </row>
    <row r="8105">
      <c r="B8105" s="612"/>
      <c r="H8105" s="612"/>
    </row>
    <row r="8106">
      <c r="B8106" s="612"/>
      <c r="H8106" s="612"/>
    </row>
    <row r="8107">
      <c r="B8107" s="612"/>
      <c r="H8107" s="612"/>
    </row>
    <row r="8108">
      <c r="B8108" s="612"/>
      <c r="H8108" s="612"/>
    </row>
    <row r="8109">
      <c r="B8109" s="612"/>
      <c r="H8109" s="612"/>
    </row>
    <row r="8110">
      <c r="B8110" s="612"/>
      <c r="H8110" s="612"/>
    </row>
    <row r="8111">
      <c r="B8111" s="612"/>
      <c r="H8111" s="612"/>
    </row>
    <row r="8112">
      <c r="B8112" s="612"/>
      <c r="H8112" s="612"/>
    </row>
    <row r="8113">
      <c r="B8113" s="612"/>
      <c r="H8113" s="612"/>
    </row>
    <row r="8114">
      <c r="B8114" s="612"/>
      <c r="H8114" s="612"/>
    </row>
    <row r="8115">
      <c r="B8115" s="612"/>
      <c r="H8115" s="612"/>
    </row>
    <row r="8116">
      <c r="B8116" s="612"/>
      <c r="H8116" s="612"/>
    </row>
    <row r="8117">
      <c r="B8117" s="612"/>
      <c r="H8117" s="612"/>
    </row>
    <row r="8118">
      <c r="B8118" s="612"/>
      <c r="H8118" s="612"/>
    </row>
    <row r="8119">
      <c r="B8119" s="612"/>
      <c r="H8119" s="612"/>
    </row>
    <row r="8120">
      <c r="B8120" s="612"/>
      <c r="H8120" s="612"/>
    </row>
    <row r="8121">
      <c r="B8121" s="612"/>
      <c r="H8121" s="612"/>
    </row>
    <row r="8122">
      <c r="B8122" s="612"/>
      <c r="H8122" s="612"/>
    </row>
    <row r="8123">
      <c r="B8123" s="612"/>
      <c r="H8123" s="612"/>
    </row>
    <row r="8124">
      <c r="B8124" s="612"/>
      <c r="H8124" s="612"/>
    </row>
    <row r="8125">
      <c r="B8125" s="612"/>
      <c r="H8125" s="612"/>
    </row>
    <row r="8126">
      <c r="B8126" s="612"/>
      <c r="H8126" s="612"/>
    </row>
    <row r="8127">
      <c r="B8127" s="612"/>
      <c r="H8127" s="612"/>
    </row>
    <row r="8128">
      <c r="B8128" s="612"/>
      <c r="H8128" s="612"/>
    </row>
    <row r="8129">
      <c r="B8129" s="612"/>
      <c r="H8129" s="612"/>
    </row>
    <row r="8130">
      <c r="B8130" s="612"/>
      <c r="H8130" s="612"/>
    </row>
    <row r="8131">
      <c r="B8131" s="612"/>
      <c r="H8131" s="612"/>
    </row>
    <row r="8132">
      <c r="B8132" s="612"/>
      <c r="H8132" s="612"/>
    </row>
    <row r="8133">
      <c r="B8133" s="612"/>
      <c r="H8133" s="612"/>
    </row>
    <row r="8134">
      <c r="B8134" s="612"/>
      <c r="H8134" s="612"/>
    </row>
    <row r="8135">
      <c r="B8135" s="612"/>
      <c r="H8135" s="612"/>
    </row>
    <row r="8136">
      <c r="B8136" s="612"/>
      <c r="H8136" s="612"/>
    </row>
    <row r="8137">
      <c r="B8137" s="612"/>
      <c r="H8137" s="612"/>
    </row>
    <row r="8138">
      <c r="B8138" s="612"/>
      <c r="H8138" s="612"/>
    </row>
    <row r="8139">
      <c r="B8139" s="612"/>
      <c r="H8139" s="612"/>
    </row>
    <row r="8140">
      <c r="B8140" s="612"/>
      <c r="H8140" s="612"/>
    </row>
    <row r="8141">
      <c r="B8141" s="612"/>
      <c r="H8141" s="612"/>
    </row>
    <row r="8142">
      <c r="B8142" s="612"/>
      <c r="H8142" s="612"/>
    </row>
    <row r="8143">
      <c r="B8143" s="612"/>
      <c r="H8143" s="612"/>
    </row>
    <row r="8144">
      <c r="B8144" s="612"/>
      <c r="H8144" s="612"/>
    </row>
    <row r="8145">
      <c r="B8145" s="612"/>
      <c r="H8145" s="612"/>
    </row>
    <row r="8146">
      <c r="B8146" s="612"/>
      <c r="H8146" s="612"/>
    </row>
    <row r="8147">
      <c r="B8147" s="612"/>
      <c r="H8147" s="612"/>
    </row>
    <row r="8148">
      <c r="B8148" s="612"/>
      <c r="H8148" s="612"/>
    </row>
    <row r="8149">
      <c r="B8149" s="612"/>
      <c r="H8149" s="612"/>
    </row>
    <row r="8150">
      <c r="B8150" s="612"/>
      <c r="H8150" s="612"/>
    </row>
    <row r="8151">
      <c r="B8151" s="612"/>
      <c r="H8151" s="612"/>
    </row>
    <row r="8152">
      <c r="B8152" s="612"/>
      <c r="H8152" s="612"/>
    </row>
    <row r="8153">
      <c r="B8153" s="612"/>
      <c r="H8153" s="612"/>
    </row>
    <row r="8154">
      <c r="B8154" s="612"/>
      <c r="H8154" s="612"/>
    </row>
    <row r="8155">
      <c r="B8155" s="612"/>
      <c r="H8155" s="612"/>
    </row>
    <row r="8156">
      <c r="B8156" s="612"/>
      <c r="H8156" s="612"/>
    </row>
    <row r="8157">
      <c r="B8157" s="612"/>
      <c r="H8157" s="612"/>
    </row>
    <row r="8158">
      <c r="B8158" s="612"/>
      <c r="H8158" s="612"/>
    </row>
    <row r="8159">
      <c r="B8159" s="612"/>
      <c r="H8159" s="612"/>
    </row>
    <row r="8160">
      <c r="B8160" s="612"/>
      <c r="H8160" s="612"/>
    </row>
    <row r="8161">
      <c r="B8161" s="612"/>
      <c r="H8161" s="612"/>
    </row>
    <row r="8162">
      <c r="B8162" s="612"/>
      <c r="H8162" s="612"/>
    </row>
    <row r="8163">
      <c r="B8163" s="612"/>
      <c r="H8163" s="612"/>
    </row>
    <row r="8164">
      <c r="B8164" s="612"/>
      <c r="H8164" s="612"/>
    </row>
    <row r="8165">
      <c r="B8165" s="612"/>
      <c r="H8165" s="612"/>
    </row>
    <row r="8166">
      <c r="B8166" s="612"/>
      <c r="H8166" s="612"/>
    </row>
    <row r="8167">
      <c r="B8167" s="612"/>
      <c r="H8167" s="612"/>
    </row>
    <row r="8168">
      <c r="B8168" s="612"/>
      <c r="H8168" s="612"/>
    </row>
    <row r="8169">
      <c r="B8169" s="612"/>
      <c r="H8169" s="612"/>
    </row>
    <row r="8170">
      <c r="B8170" s="612"/>
      <c r="H8170" s="612"/>
    </row>
    <row r="8171">
      <c r="B8171" s="612"/>
      <c r="H8171" s="612"/>
    </row>
    <row r="8172">
      <c r="B8172" s="612"/>
      <c r="H8172" s="612"/>
    </row>
    <row r="8173">
      <c r="B8173" s="612"/>
      <c r="H8173" s="612"/>
    </row>
    <row r="8174">
      <c r="B8174" s="612"/>
      <c r="H8174" s="612"/>
    </row>
    <row r="8175">
      <c r="B8175" s="612"/>
      <c r="H8175" s="612"/>
    </row>
    <row r="8176">
      <c r="B8176" s="612"/>
      <c r="H8176" s="612"/>
    </row>
    <row r="8177">
      <c r="B8177" s="612"/>
      <c r="H8177" s="612"/>
    </row>
    <row r="8178">
      <c r="B8178" s="612"/>
      <c r="H8178" s="612"/>
    </row>
    <row r="8179">
      <c r="B8179" s="612"/>
      <c r="H8179" s="612"/>
    </row>
    <row r="8180">
      <c r="B8180" s="612"/>
      <c r="H8180" s="612"/>
    </row>
    <row r="8181">
      <c r="B8181" s="612"/>
      <c r="H8181" s="612"/>
    </row>
    <row r="8182">
      <c r="B8182" s="612"/>
      <c r="H8182" s="612"/>
    </row>
    <row r="8183">
      <c r="B8183" s="612"/>
      <c r="H8183" s="612"/>
    </row>
    <row r="8184">
      <c r="B8184" s="612"/>
      <c r="H8184" s="612"/>
    </row>
    <row r="8185">
      <c r="B8185" s="612"/>
      <c r="H8185" s="612"/>
    </row>
    <row r="8186">
      <c r="B8186" s="612"/>
      <c r="H8186" s="612"/>
    </row>
    <row r="8187">
      <c r="B8187" s="612"/>
      <c r="H8187" s="612"/>
    </row>
    <row r="8188">
      <c r="B8188" s="612"/>
      <c r="H8188" s="612"/>
    </row>
    <row r="8189">
      <c r="B8189" s="612"/>
      <c r="H8189" s="612"/>
    </row>
    <row r="8190">
      <c r="B8190" s="612"/>
      <c r="H8190" s="612"/>
    </row>
    <row r="8191">
      <c r="B8191" s="612"/>
      <c r="H8191" s="612"/>
    </row>
    <row r="8192">
      <c r="B8192" s="612"/>
      <c r="H8192" s="612"/>
    </row>
    <row r="8193">
      <c r="B8193" s="612"/>
      <c r="H8193" s="612"/>
    </row>
    <row r="8194">
      <c r="B8194" s="612"/>
      <c r="H8194" s="612"/>
    </row>
    <row r="8195">
      <c r="B8195" s="612"/>
      <c r="H8195" s="612"/>
    </row>
    <row r="8196">
      <c r="B8196" s="612"/>
      <c r="H8196" s="612"/>
    </row>
    <row r="8197">
      <c r="B8197" s="612"/>
      <c r="H8197" s="612"/>
    </row>
    <row r="8198">
      <c r="B8198" s="612"/>
      <c r="H8198" s="612"/>
    </row>
    <row r="8199">
      <c r="B8199" s="612"/>
      <c r="H8199" s="612"/>
    </row>
    <row r="8200">
      <c r="B8200" s="612"/>
      <c r="H8200" s="612"/>
    </row>
    <row r="8201">
      <c r="B8201" s="612"/>
      <c r="H8201" s="612"/>
    </row>
    <row r="8202">
      <c r="B8202" s="612"/>
      <c r="H8202" s="612"/>
    </row>
    <row r="8203">
      <c r="B8203" s="612"/>
      <c r="H8203" s="612"/>
    </row>
    <row r="8204">
      <c r="B8204" s="612"/>
      <c r="H8204" s="612"/>
    </row>
    <row r="8205">
      <c r="B8205" s="612"/>
      <c r="H8205" s="612"/>
    </row>
    <row r="8206">
      <c r="B8206" s="612"/>
      <c r="H8206" s="612"/>
    </row>
    <row r="8207">
      <c r="B8207" s="612"/>
      <c r="H8207" s="612"/>
    </row>
    <row r="8208">
      <c r="B8208" s="612"/>
      <c r="H8208" s="612"/>
    </row>
    <row r="8209">
      <c r="B8209" s="612"/>
      <c r="H8209" s="612"/>
    </row>
    <row r="8210">
      <c r="B8210" s="612"/>
      <c r="H8210" s="612"/>
    </row>
    <row r="8211">
      <c r="B8211" s="612"/>
      <c r="H8211" s="612"/>
    </row>
    <row r="8212">
      <c r="B8212" s="612"/>
      <c r="H8212" s="612"/>
    </row>
    <row r="8213">
      <c r="B8213" s="612"/>
      <c r="H8213" s="612"/>
    </row>
    <row r="8214">
      <c r="B8214" s="612"/>
      <c r="H8214" s="612"/>
    </row>
    <row r="8215">
      <c r="B8215" s="612"/>
      <c r="H8215" s="612"/>
    </row>
    <row r="8216">
      <c r="B8216" s="612"/>
      <c r="H8216" s="612"/>
    </row>
    <row r="8217">
      <c r="B8217" s="612"/>
      <c r="H8217" s="612"/>
    </row>
    <row r="8218">
      <c r="B8218" s="612"/>
      <c r="H8218" s="612"/>
    </row>
    <row r="8219">
      <c r="B8219" s="612"/>
      <c r="H8219" s="612"/>
    </row>
    <row r="8220">
      <c r="B8220" s="612"/>
      <c r="H8220" s="612"/>
    </row>
    <row r="8221">
      <c r="B8221" s="612"/>
      <c r="H8221" s="612"/>
    </row>
    <row r="8222">
      <c r="B8222" s="612"/>
      <c r="H8222" s="612"/>
    </row>
    <row r="8223">
      <c r="B8223" s="612"/>
      <c r="H8223" s="612"/>
    </row>
    <row r="8224">
      <c r="B8224" s="612"/>
      <c r="H8224" s="612"/>
    </row>
    <row r="8225">
      <c r="B8225" s="612"/>
      <c r="H8225" s="612"/>
    </row>
    <row r="8226">
      <c r="B8226" s="612"/>
      <c r="H8226" s="612"/>
    </row>
    <row r="8227">
      <c r="B8227" s="612"/>
      <c r="H8227" s="612"/>
    </row>
    <row r="8228">
      <c r="B8228" s="612"/>
      <c r="H8228" s="612"/>
    </row>
    <row r="8229">
      <c r="B8229" s="612"/>
      <c r="H8229" s="612"/>
    </row>
    <row r="8230">
      <c r="B8230" s="612"/>
      <c r="H8230" s="612"/>
    </row>
    <row r="8231">
      <c r="B8231" s="612"/>
      <c r="H8231" s="612"/>
    </row>
    <row r="8232">
      <c r="B8232" s="612"/>
      <c r="H8232" s="612"/>
    </row>
    <row r="8233">
      <c r="B8233" s="612"/>
      <c r="H8233" s="612"/>
    </row>
    <row r="8234">
      <c r="B8234" s="612"/>
      <c r="H8234" s="612"/>
    </row>
    <row r="8235">
      <c r="B8235" s="612"/>
      <c r="H8235" s="612"/>
    </row>
    <row r="8236">
      <c r="B8236" s="612"/>
      <c r="H8236" s="612"/>
    </row>
    <row r="8237">
      <c r="B8237" s="612"/>
      <c r="H8237" s="612"/>
    </row>
    <row r="8238">
      <c r="B8238" s="612"/>
      <c r="H8238" s="612"/>
    </row>
    <row r="8239">
      <c r="B8239" s="612"/>
      <c r="H8239" s="612"/>
    </row>
    <row r="8240">
      <c r="B8240" s="612"/>
      <c r="H8240" s="612"/>
    </row>
    <row r="8241">
      <c r="B8241" s="612"/>
      <c r="H8241" s="612"/>
    </row>
    <row r="8242">
      <c r="B8242" s="612"/>
      <c r="H8242" s="612"/>
    </row>
    <row r="8243">
      <c r="B8243" s="612"/>
      <c r="H8243" s="612"/>
    </row>
    <row r="8244">
      <c r="B8244" s="612"/>
      <c r="H8244" s="612"/>
    </row>
    <row r="8245">
      <c r="B8245" s="612"/>
      <c r="H8245" s="612"/>
    </row>
    <row r="8246">
      <c r="B8246" s="612"/>
      <c r="H8246" s="612"/>
    </row>
    <row r="8247">
      <c r="B8247" s="612"/>
      <c r="H8247" s="612"/>
    </row>
    <row r="8248">
      <c r="B8248" s="612"/>
      <c r="H8248" s="612"/>
    </row>
    <row r="8249">
      <c r="B8249" s="612"/>
      <c r="H8249" s="612"/>
    </row>
    <row r="8250">
      <c r="B8250" s="612"/>
      <c r="H8250" s="612"/>
    </row>
    <row r="8251">
      <c r="B8251" s="612"/>
      <c r="H8251" s="612"/>
    </row>
    <row r="8252">
      <c r="B8252" s="612"/>
      <c r="H8252" s="612"/>
    </row>
    <row r="8253">
      <c r="B8253" s="612"/>
      <c r="H8253" s="612"/>
    </row>
    <row r="8254">
      <c r="B8254" s="612"/>
      <c r="H8254" s="612"/>
    </row>
    <row r="8255">
      <c r="B8255" s="612"/>
      <c r="H8255" s="612"/>
    </row>
    <row r="8256">
      <c r="B8256" s="612"/>
      <c r="H8256" s="612"/>
    </row>
    <row r="8257">
      <c r="B8257" s="612"/>
      <c r="H8257" s="612"/>
    </row>
    <row r="8258">
      <c r="B8258" s="612"/>
      <c r="H8258" s="612"/>
    </row>
    <row r="8259">
      <c r="B8259" s="612"/>
      <c r="H8259" s="612"/>
    </row>
    <row r="8260">
      <c r="B8260" s="612"/>
      <c r="H8260" s="612"/>
    </row>
    <row r="8261">
      <c r="B8261" s="612"/>
      <c r="H8261" s="612"/>
    </row>
    <row r="8262">
      <c r="B8262" s="612"/>
      <c r="H8262" s="612"/>
    </row>
    <row r="8263">
      <c r="B8263" s="612"/>
      <c r="H8263" s="612"/>
    </row>
    <row r="8264">
      <c r="B8264" s="612"/>
      <c r="H8264" s="612"/>
    </row>
    <row r="8265">
      <c r="B8265" s="612"/>
      <c r="H8265" s="612"/>
    </row>
    <row r="8266">
      <c r="B8266" s="612"/>
      <c r="H8266" s="612"/>
    </row>
    <row r="8267">
      <c r="B8267" s="612"/>
      <c r="H8267" s="612"/>
    </row>
    <row r="8268">
      <c r="B8268" s="612"/>
      <c r="H8268" s="612"/>
    </row>
    <row r="8269">
      <c r="B8269" s="612"/>
      <c r="H8269" s="612"/>
    </row>
    <row r="8270">
      <c r="B8270" s="612"/>
      <c r="H8270" s="612"/>
    </row>
    <row r="8271">
      <c r="B8271" s="612"/>
      <c r="H8271" s="612"/>
    </row>
    <row r="8272">
      <c r="B8272" s="612"/>
      <c r="H8272" s="612"/>
    </row>
    <row r="8273">
      <c r="B8273" s="612"/>
      <c r="H8273" s="612"/>
    </row>
    <row r="8274">
      <c r="B8274" s="612"/>
      <c r="H8274" s="612"/>
    </row>
    <row r="8275">
      <c r="B8275" s="612"/>
      <c r="H8275" s="612"/>
    </row>
    <row r="8276">
      <c r="B8276" s="612"/>
      <c r="H8276" s="612"/>
    </row>
    <row r="8277">
      <c r="B8277" s="612"/>
      <c r="H8277" s="612"/>
    </row>
    <row r="8278">
      <c r="B8278" s="612"/>
      <c r="H8278" s="612"/>
    </row>
    <row r="8279">
      <c r="B8279" s="612"/>
      <c r="H8279" s="612"/>
    </row>
    <row r="8280">
      <c r="B8280" s="612"/>
      <c r="H8280" s="612"/>
    </row>
    <row r="8281">
      <c r="B8281" s="612"/>
      <c r="H8281" s="612"/>
    </row>
    <row r="8282">
      <c r="B8282" s="612"/>
      <c r="H8282" s="612"/>
    </row>
    <row r="8283">
      <c r="B8283" s="612"/>
      <c r="H8283" s="612"/>
    </row>
    <row r="8284">
      <c r="B8284" s="612"/>
      <c r="H8284" s="612"/>
    </row>
    <row r="8285">
      <c r="B8285" s="612"/>
      <c r="H8285" s="612"/>
    </row>
    <row r="8286">
      <c r="B8286" s="612"/>
      <c r="H8286" s="612"/>
    </row>
    <row r="8287">
      <c r="B8287" s="612"/>
      <c r="H8287" s="612"/>
    </row>
    <row r="8288">
      <c r="B8288" s="612"/>
      <c r="H8288" s="612"/>
    </row>
    <row r="8289">
      <c r="B8289" s="612"/>
      <c r="H8289" s="612"/>
    </row>
    <row r="8290">
      <c r="B8290" s="612"/>
      <c r="H8290" s="612"/>
    </row>
    <row r="8291">
      <c r="B8291" s="612"/>
      <c r="H8291" s="612"/>
    </row>
    <row r="8292">
      <c r="B8292" s="612"/>
      <c r="H8292" s="612"/>
    </row>
    <row r="8293">
      <c r="B8293" s="612"/>
      <c r="H8293" s="612"/>
    </row>
    <row r="8294">
      <c r="B8294" s="612"/>
      <c r="H8294" s="612"/>
    </row>
    <row r="8295">
      <c r="B8295" s="612"/>
      <c r="H8295" s="612"/>
    </row>
    <row r="8296">
      <c r="B8296" s="612"/>
      <c r="H8296" s="612"/>
    </row>
    <row r="8297">
      <c r="B8297" s="612"/>
      <c r="H8297" s="612"/>
    </row>
    <row r="8298">
      <c r="B8298" s="612"/>
      <c r="H8298" s="612"/>
    </row>
    <row r="8299">
      <c r="B8299" s="612"/>
      <c r="H8299" s="612"/>
    </row>
    <row r="8300">
      <c r="B8300" s="612"/>
      <c r="H8300" s="612"/>
    </row>
    <row r="8301">
      <c r="B8301" s="612"/>
      <c r="H8301" s="612"/>
    </row>
    <row r="8302">
      <c r="B8302" s="612"/>
      <c r="H8302" s="612"/>
    </row>
    <row r="8303">
      <c r="B8303" s="612"/>
      <c r="H8303" s="612"/>
    </row>
    <row r="8304">
      <c r="B8304" s="612"/>
      <c r="H8304" s="612"/>
    </row>
    <row r="8305">
      <c r="B8305" s="612"/>
      <c r="H8305" s="612"/>
    </row>
    <row r="8306">
      <c r="B8306" s="612"/>
      <c r="H8306" s="612"/>
    </row>
    <row r="8307">
      <c r="B8307" s="612"/>
      <c r="H8307" s="612"/>
    </row>
    <row r="8308">
      <c r="B8308" s="612"/>
      <c r="H8308" s="612"/>
    </row>
    <row r="8309">
      <c r="B8309" s="612"/>
      <c r="H8309" s="612"/>
    </row>
    <row r="8310">
      <c r="B8310" s="612"/>
      <c r="H8310" s="612"/>
    </row>
    <row r="8311">
      <c r="B8311" s="612"/>
      <c r="H8311" s="612"/>
    </row>
    <row r="8312">
      <c r="B8312" s="612"/>
      <c r="H8312" s="612"/>
    </row>
    <row r="8313">
      <c r="B8313" s="612"/>
      <c r="H8313" s="612"/>
    </row>
    <row r="8314">
      <c r="B8314" s="612"/>
      <c r="H8314" s="612"/>
    </row>
    <row r="8315">
      <c r="B8315" s="612"/>
      <c r="H8315" s="612"/>
    </row>
    <row r="8316">
      <c r="B8316" s="612"/>
      <c r="H8316" s="612"/>
    </row>
    <row r="8317">
      <c r="B8317" s="612"/>
      <c r="H8317" s="612"/>
    </row>
    <row r="8318">
      <c r="B8318" s="612"/>
      <c r="H8318" s="612"/>
    </row>
    <row r="8319">
      <c r="B8319" s="612"/>
      <c r="H8319" s="612"/>
    </row>
    <row r="8320">
      <c r="B8320" s="612"/>
      <c r="H8320" s="612"/>
    </row>
    <row r="8321">
      <c r="B8321" s="612"/>
      <c r="H8321" s="612"/>
    </row>
    <row r="8322">
      <c r="B8322" s="612"/>
      <c r="H8322" s="612"/>
    </row>
    <row r="8323">
      <c r="B8323" s="612"/>
      <c r="H8323" s="612"/>
    </row>
    <row r="8324">
      <c r="B8324" s="612"/>
      <c r="H8324" s="612"/>
    </row>
    <row r="8325">
      <c r="B8325" s="612"/>
      <c r="H8325" s="612"/>
    </row>
    <row r="8326">
      <c r="B8326" s="612"/>
      <c r="H8326" s="612"/>
    </row>
    <row r="8327">
      <c r="B8327" s="612"/>
      <c r="H8327" s="612"/>
    </row>
    <row r="8328">
      <c r="B8328" s="612"/>
      <c r="H8328" s="612"/>
    </row>
    <row r="8329">
      <c r="B8329" s="612"/>
      <c r="H8329" s="612"/>
    </row>
    <row r="8330">
      <c r="B8330" s="612"/>
      <c r="H8330" s="612"/>
    </row>
    <row r="8331">
      <c r="B8331" s="612"/>
      <c r="H8331" s="612"/>
    </row>
    <row r="8332">
      <c r="B8332" s="612"/>
      <c r="H8332" s="612"/>
    </row>
    <row r="8333">
      <c r="B8333" s="612"/>
      <c r="H8333" s="612"/>
    </row>
    <row r="8334">
      <c r="B8334" s="612"/>
      <c r="H8334" s="612"/>
    </row>
    <row r="8335">
      <c r="B8335" s="612"/>
      <c r="H8335" s="612"/>
    </row>
    <row r="8336">
      <c r="B8336" s="612"/>
      <c r="H8336" s="612"/>
    </row>
    <row r="8337">
      <c r="B8337" s="612"/>
      <c r="H8337" s="612"/>
    </row>
    <row r="8338">
      <c r="B8338" s="612"/>
      <c r="H8338" s="612"/>
    </row>
    <row r="8339">
      <c r="B8339" s="612"/>
      <c r="H8339" s="612"/>
    </row>
    <row r="8340">
      <c r="B8340" s="612"/>
      <c r="H8340" s="612"/>
    </row>
    <row r="8341">
      <c r="B8341" s="612"/>
      <c r="H8341" s="612"/>
    </row>
    <row r="8342">
      <c r="B8342" s="612"/>
      <c r="H8342" s="612"/>
    </row>
    <row r="8343">
      <c r="B8343" s="612"/>
      <c r="H8343" s="612"/>
    </row>
    <row r="8344">
      <c r="B8344" s="612"/>
      <c r="H8344" s="612"/>
    </row>
    <row r="8345">
      <c r="B8345" s="612"/>
      <c r="H8345" s="612"/>
    </row>
    <row r="8346">
      <c r="B8346" s="612"/>
      <c r="H8346" s="612"/>
    </row>
    <row r="8347">
      <c r="B8347" s="612"/>
      <c r="H8347" s="612"/>
    </row>
    <row r="8348">
      <c r="B8348" s="612"/>
      <c r="H8348" s="612"/>
    </row>
    <row r="8349">
      <c r="B8349" s="612"/>
      <c r="H8349" s="612"/>
    </row>
    <row r="8350">
      <c r="B8350" s="612"/>
      <c r="H8350" s="612"/>
    </row>
    <row r="8351">
      <c r="B8351" s="612"/>
      <c r="H8351" s="612"/>
    </row>
    <row r="8352">
      <c r="B8352" s="612"/>
      <c r="H8352" s="612"/>
    </row>
    <row r="8353">
      <c r="B8353" s="612"/>
      <c r="H8353" s="612"/>
    </row>
    <row r="8354">
      <c r="B8354" s="612"/>
      <c r="H8354" s="612"/>
    </row>
    <row r="8355">
      <c r="B8355" s="612"/>
      <c r="H8355" s="612"/>
    </row>
    <row r="8356">
      <c r="B8356" s="612"/>
      <c r="H8356" s="612"/>
    </row>
    <row r="8357">
      <c r="B8357" s="612"/>
      <c r="H8357" s="612"/>
    </row>
    <row r="8358">
      <c r="B8358" s="612"/>
      <c r="H8358" s="612"/>
    </row>
    <row r="8359">
      <c r="B8359" s="612"/>
      <c r="H8359" s="612"/>
    </row>
    <row r="8360">
      <c r="B8360" s="612"/>
      <c r="H8360" s="612"/>
    </row>
    <row r="8361">
      <c r="B8361" s="612"/>
      <c r="H8361" s="612"/>
    </row>
    <row r="8362">
      <c r="B8362" s="612"/>
      <c r="H8362" s="612"/>
    </row>
    <row r="8363">
      <c r="B8363" s="612"/>
      <c r="H8363" s="612"/>
    </row>
    <row r="8364">
      <c r="B8364" s="612"/>
      <c r="H8364" s="612"/>
    </row>
    <row r="8365">
      <c r="B8365" s="612"/>
      <c r="H8365" s="612"/>
    </row>
    <row r="8366">
      <c r="B8366" s="612"/>
      <c r="H8366" s="612"/>
    </row>
    <row r="8367">
      <c r="B8367" s="612"/>
      <c r="H8367" s="612"/>
    </row>
    <row r="8368">
      <c r="B8368" s="612"/>
      <c r="H8368" s="612"/>
    </row>
    <row r="8369">
      <c r="B8369" s="612"/>
      <c r="H8369" s="612"/>
    </row>
    <row r="8370">
      <c r="B8370" s="612"/>
      <c r="H8370" s="612"/>
    </row>
    <row r="8371">
      <c r="B8371" s="612"/>
      <c r="H8371" s="612"/>
    </row>
    <row r="8372">
      <c r="B8372" s="612"/>
      <c r="H8372" s="612"/>
    </row>
    <row r="8373">
      <c r="B8373" s="612"/>
      <c r="H8373" s="612"/>
    </row>
    <row r="8374">
      <c r="B8374" s="612"/>
      <c r="H8374" s="612"/>
    </row>
    <row r="8375">
      <c r="B8375" s="612"/>
      <c r="H8375" s="612"/>
    </row>
    <row r="8376">
      <c r="B8376" s="612"/>
      <c r="H8376" s="612"/>
    </row>
    <row r="8377">
      <c r="B8377" s="612"/>
      <c r="H8377" s="612"/>
    </row>
    <row r="8378">
      <c r="B8378" s="612"/>
      <c r="H8378" s="612"/>
    </row>
    <row r="8379">
      <c r="B8379" s="612"/>
      <c r="H8379" s="612"/>
    </row>
    <row r="8380">
      <c r="B8380" s="612"/>
      <c r="H8380" s="612"/>
    </row>
    <row r="8381">
      <c r="B8381" s="612"/>
      <c r="H8381" s="612"/>
    </row>
    <row r="8382">
      <c r="B8382" s="612"/>
      <c r="H8382" s="612"/>
    </row>
    <row r="8383">
      <c r="B8383" s="612"/>
      <c r="H8383" s="612"/>
    </row>
    <row r="8384">
      <c r="B8384" s="612"/>
      <c r="H8384" s="612"/>
    </row>
    <row r="8385">
      <c r="B8385" s="612"/>
      <c r="H8385" s="612"/>
    </row>
    <row r="8386">
      <c r="B8386" s="612"/>
      <c r="H8386" s="612"/>
    </row>
    <row r="8387">
      <c r="B8387" s="612"/>
      <c r="H8387" s="612"/>
    </row>
    <row r="8388">
      <c r="B8388" s="612"/>
      <c r="H8388" s="612"/>
    </row>
    <row r="8389">
      <c r="B8389" s="612"/>
      <c r="H8389" s="612"/>
    </row>
    <row r="8390">
      <c r="B8390" s="612"/>
      <c r="H8390" s="612"/>
    </row>
    <row r="8391">
      <c r="B8391" s="612"/>
      <c r="H8391" s="612"/>
    </row>
    <row r="8392">
      <c r="B8392" s="612"/>
      <c r="H8392" s="612"/>
    </row>
    <row r="8393">
      <c r="B8393" s="612"/>
      <c r="H8393" s="612"/>
    </row>
    <row r="8394">
      <c r="B8394" s="612"/>
      <c r="H8394" s="612"/>
    </row>
    <row r="8395">
      <c r="B8395" s="612"/>
      <c r="H8395" s="612"/>
    </row>
    <row r="8396">
      <c r="B8396" s="612"/>
      <c r="H8396" s="612"/>
    </row>
    <row r="8397">
      <c r="B8397" s="612"/>
      <c r="H8397" s="612"/>
    </row>
    <row r="8398">
      <c r="B8398" s="612"/>
      <c r="H8398" s="612"/>
    </row>
    <row r="8399">
      <c r="B8399" s="612"/>
      <c r="H8399" s="612"/>
    </row>
    <row r="8400">
      <c r="B8400" s="612"/>
      <c r="H8400" s="612"/>
    </row>
    <row r="8401">
      <c r="B8401" s="612"/>
      <c r="H8401" s="612"/>
    </row>
    <row r="8402">
      <c r="B8402" s="612"/>
      <c r="H8402" s="612"/>
    </row>
    <row r="8403">
      <c r="B8403" s="612"/>
      <c r="H8403" s="612"/>
    </row>
    <row r="8404">
      <c r="B8404" s="612"/>
      <c r="H8404" s="612"/>
    </row>
    <row r="8405">
      <c r="B8405" s="612"/>
      <c r="H8405" s="612"/>
    </row>
    <row r="8406">
      <c r="B8406" s="612"/>
      <c r="H8406" s="612"/>
    </row>
    <row r="8407">
      <c r="B8407" s="612"/>
      <c r="H8407" s="612"/>
    </row>
    <row r="8408">
      <c r="B8408" s="612"/>
      <c r="H8408" s="612"/>
    </row>
    <row r="8409">
      <c r="B8409" s="612"/>
      <c r="H8409" s="612"/>
    </row>
    <row r="8410">
      <c r="B8410" s="612"/>
      <c r="H8410" s="612"/>
    </row>
    <row r="8411">
      <c r="B8411" s="612"/>
      <c r="H8411" s="612"/>
    </row>
    <row r="8412">
      <c r="B8412" s="612"/>
      <c r="H8412" s="612"/>
    </row>
    <row r="8413">
      <c r="B8413" s="612"/>
      <c r="H8413" s="612"/>
    </row>
    <row r="8414">
      <c r="B8414" s="612"/>
      <c r="H8414" s="612"/>
    </row>
    <row r="8415">
      <c r="B8415" s="612"/>
      <c r="H8415" s="612"/>
    </row>
    <row r="8416">
      <c r="B8416" s="612"/>
      <c r="H8416" s="612"/>
    </row>
    <row r="8417">
      <c r="B8417" s="612"/>
      <c r="H8417" s="612"/>
    </row>
    <row r="8418">
      <c r="B8418" s="612"/>
      <c r="H8418" s="612"/>
    </row>
    <row r="8419">
      <c r="B8419" s="612"/>
      <c r="H8419" s="612"/>
    </row>
    <row r="8420">
      <c r="B8420" s="612"/>
      <c r="H8420" s="612"/>
    </row>
    <row r="8421">
      <c r="B8421" s="612"/>
      <c r="H8421" s="612"/>
    </row>
    <row r="8422">
      <c r="B8422" s="612"/>
      <c r="H8422" s="612"/>
    </row>
    <row r="8423">
      <c r="B8423" s="612"/>
      <c r="H8423" s="612"/>
    </row>
    <row r="8424">
      <c r="B8424" s="612"/>
      <c r="H8424" s="612"/>
    </row>
    <row r="8425">
      <c r="B8425" s="612"/>
      <c r="H8425" s="612"/>
    </row>
    <row r="8426">
      <c r="B8426" s="612"/>
      <c r="H8426" s="612"/>
    </row>
    <row r="8427">
      <c r="B8427" s="612"/>
      <c r="H8427" s="612"/>
    </row>
    <row r="8428">
      <c r="B8428" s="612"/>
      <c r="H8428" s="612"/>
    </row>
    <row r="8429">
      <c r="B8429" s="612"/>
      <c r="H8429" s="612"/>
    </row>
    <row r="8430">
      <c r="B8430" s="612"/>
      <c r="H8430" s="612"/>
    </row>
    <row r="8431">
      <c r="B8431" s="612"/>
      <c r="H8431" s="612"/>
    </row>
    <row r="8432">
      <c r="B8432" s="612"/>
      <c r="H8432" s="612"/>
    </row>
    <row r="8433">
      <c r="B8433" s="612"/>
      <c r="H8433" s="612"/>
    </row>
    <row r="8434">
      <c r="B8434" s="612"/>
      <c r="H8434" s="612"/>
    </row>
    <row r="8435">
      <c r="B8435" s="612"/>
      <c r="H8435" s="612"/>
    </row>
    <row r="8436">
      <c r="B8436" s="612"/>
      <c r="H8436" s="612"/>
    </row>
    <row r="8437">
      <c r="B8437" s="612"/>
      <c r="H8437" s="612"/>
    </row>
    <row r="8438">
      <c r="B8438" s="612"/>
      <c r="H8438" s="612"/>
    </row>
    <row r="8439">
      <c r="B8439" s="612"/>
      <c r="H8439" s="612"/>
    </row>
    <row r="8440">
      <c r="B8440" s="612"/>
      <c r="H8440" s="612"/>
    </row>
    <row r="8441">
      <c r="B8441" s="612"/>
      <c r="H8441" s="612"/>
    </row>
    <row r="8442">
      <c r="B8442" s="612"/>
      <c r="H8442" s="612"/>
    </row>
    <row r="8443">
      <c r="B8443" s="612"/>
      <c r="H8443" s="612"/>
    </row>
    <row r="8444">
      <c r="B8444" s="612"/>
      <c r="H8444" s="612"/>
    </row>
    <row r="8445">
      <c r="B8445" s="612"/>
      <c r="H8445" s="612"/>
    </row>
    <row r="8446">
      <c r="B8446" s="612"/>
      <c r="H8446" s="612"/>
    </row>
    <row r="8447">
      <c r="B8447" s="612"/>
      <c r="H8447" s="612"/>
    </row>
    <row r="8448">
      <c r="B8448" s="612"/>
      <c r="H8448" s="612"/>
    </row>
    <row r="8449">
      <c r="B8449" s="612"/>
      <c r="H8449" s="612"/>
    </row>
    <row r="8450">
      <c r="B8450" s="612"/>
      <c r="H8450" s="612"/>
    </row>
    <row r="8451">
      <c r="B8451" s="612"/>
      <c r="H8451" s="612"/>
    </row>
    <row r="8452">
      <c r="B8452" s="612"/>
      <c r="H8452" s="612"/>
    </row>
    <row r="8453">
      <c r="B8453" s="612"/>
      <c r="H8453" s="612"/>
    </row>
    <row r="8454">
      <c r="B8454" s="612"/>
      <c r="H8454" s="612"/>
    </row>
    <row r="8455">
      <c r="B8455" s="612"/>
      <c r="H8455" s="612"/>
    </row>
    <row r="8456">
      <c r="B8456" s="612"/>
      <c r="H8456" s="612"/>
    </row>
    <row r="8457">
      <c r="B8457" s="612"/>
      <c r="H8457" s="612"/>
    </row>
    <row r="8458">
      <c r="B8458" s="612"/>
      <c r="H8458" s="612"/>
    </row>
    <row r="8459">
      <c r="B8459" s="612"/>
      <c r="H8459" s="612"/>
    </row>
    <row r="8460">
      <c r="B8460" s="612"/>
      <c r="H8460" s="612"/>
    </row>
    <row r="8461">
      <c r="B8461" s="612"/>
      <c r="H8461" s="612"/>
    </row>
    <row r="8462">
      <c r="B8462" s="612"/>
      <c r="H8462" s="612"/>
    </row>
    <row r="8463">
      <c r="B8463" s="612"/>
      <c r="H8463" s="612"/>
    </row>
    <row r="8464">
      <c r="B8464" s="612"/>
      <c r="H8464" s="612"/>
    </row>
    <row r="8465">
      <c r="B8465" s="612"/>
      <c r="H8465" s="612"/>
    </row>
    <row r="8466">
      <c r="B8466" s="612"/>
      <c r="H8466" s="612"/>
    </row>
    <row r="8467">
      <c r="B8467" s="612"/>
      <c r="H8467" s="612"/>
    </row>
    <row r="8468">
      <c r="B8468" s="612"/>
      <c r="H8468" s="612"/>
    </row>
    <row r="8469">
      <c r="B8469" s="612"/>
      <c r="H8469" s="612"/>
    </row>
    <row r="8470">
      <c r="B8470" s="612"/>
      <c r="H8470" s="612"/>
    </row>
    <row r="8471">
      <c r="B8471" s="612"/>
      <c r="H8471" s="612"/>
    </row>
    <row r="8472">
      <c r="B8472" s="612"/>
      <c r="H8472" s="612"/>
    </row>
    <row r="8473">
      <c r="B8473" s="612"/>
      <c r="H8473" s="612"/>
    </row>
    <row r="8474">
      <c r="B8474" s="612"/>
      <c r="H8474" s="612"/>
    </row>
    <row r="8475">
      <c r="B8475" s="612"/>
      <c r="H8475" s="612"/>
    </row>
    <row r="8476">
      <c r="B8476" s="612"/>
      <c r="H8476" s="612"/>
    </row>
    <row r="8477">
      <c r="B8477" s="612"/>
      <c r="H8477" s="612"/>
    </row>
    <row r="8478">
      <c r="B8478" s="612"/>
      <c r="H8478" s="612"/>
    </row>
    <row r="8479">
      <c r="B8479" s="612"/>
      <c r="H8479" s="612"/>
    </row>
    <row r="8480">
      <c r="B8480" s="612"/>
      <c r="H8480" s="612"/>
    </row>
    <row r="8481">
      <c r="B8481" s="612"/>
      <c r="H8481" s="612"/>
    </row>
    <row r="8482">
      <c r="B8482" s="612"/>
      <c r="H8482" s="612"/>
    </row>
    <row r="8483">
      <c r="B8483" s="612"/>
      <c r="H8483" s="612"/>
    </row>
    <row r="8484">
      <c r="B8484" s="612"/>
      <c r="H8484" s="612"/>
    </row>
    <row r="8485">
      <c r="B8485" s="612"/>
      <c r="H8485" s="612"/>
    </row>
    <row r="8486">
      <c r="B8486" s="612"/>
      <c r="H8486" s="612"/>
    </row>
    <row r="8487">
      <c r="B8487" s="612"/>
      <c r="H8487" s="612"/>
    </row>
    <row r="8488">
      <c r="B8488" s="612"/>
      <c r="H8488" s="612"/>
    </row>
    <row r="8489">
      <c r="B8489" s="612"/>
      <c r="H8489" s="612"/>
    </row>
    <row r="8490">
      <c r="B8490" s="612"/>
      <c r="H8490" s="612"/>
    </row>
    <row r="8491">
      <c r="B8491" s="612"/>
      <c r="H8491" s="612"/>
    </row>
    <row r="8492">
      <c r="B8492" s="612"/>
      <c r="H8492" s="612"/>
    </row>
    <row r="8493">
      <c r="B8493" s="612"/>
      <c r="H8493" s="612"/>
    </row>
    <row r="8494">
      <c r="B8494" s="612"/>
      <c r="H8494" s="612"/>
    </row>
    <row r="8495">
      <c r="B8495" s="612"/>
      <c r="H8495" s="612"/>
    </row>
    <row r="8496">
      <c r="B8496" s="612"/>
      <c r="H8496" s="612"/>
    </row>
    <row r="8497">
      <c r="B8497" s="612"/>
      <c r="H8497" s="612"/>
    </row>
    <row r="8498">
      <c r="B8498" s="612"/>
      <c r="H8498" s="612"/>
    </row>
    <row r="8499">
      <c r="B8499" s="612"/>
      <c r="H8499" s="612"/>
    </row>
    <row r="8500">
      <c r="B8500" s="612"/>
      <c r="H8500" s="612"/>
    </row>
    <row r="8501">
      <c r="B8501" s="612"/>
      <c r="H8501" s="612"/>
    </row>
    <row r="8502">
      <c r="B8502" s="612"/>
      <c r="H8502" s="612"/>
    </row>
    <row r="8503">
      <c r="B8503" s="612"/>
      <c r="H8503" s="612"/>
    </row>
    <row r="8504">
      <c r="B8504" s="612"/>
      <c r="H8504" s="612"/>
    </row>
    <row r="8505">
      <c r="B8505" s="612"/>
      <c r="H8505" s="612"/>
    </row>
    <row r="8506">
      <c r="B8506" s="612"/>
      <c r="H8506" s="612"/>
    </row>
    <row r="8507">
      <c r="B8507" s="612"/>
      <c r="H8507" s="612"/>
    </row>
    <row r="8508">
      <c r="B8508" s="612"/>
      <c r="H8508" s="612"/>
    </row>
    <row r="8509">
      <c r="B8509" s="612"/>
      <c r="H8509" s="612"/>
    </row>
    <row r="8510">
      <c r="B8510" s="612"/>
      <c r="H8510" s="612"/>
    </row>
    <row r="8511">
      <c r="B8511" s="612"/>
      <c r="H8511" s="612"/>
    </row>
    <row r="8512">
      <c r="B8512" s="612"/>
      <c r="H8512" s="612"/>
    </row>
    <row r="8513">
      <c r="B8513" s="612"/>
      <c r="H8513" s="612"/>
    </row>
    <row r="8514">
      <c r="B8514" s="612"/>
      <c r="H8514" s="612"/>
    </row>
    <row r="8515">
      <c r="B8515" s="612"/>
      <c r="H8515" s="612"/>
    </row>
    <row r="8516">
      <c r="B8516" s="612"/>
      <c r="H8516" s="612"/>
    </row>
    <row r="8517">
      <c r="B8517" s="612"/>
      <c r="H8517" s="612"/>
    </row>
    <row r="8518">
      <c r="B8518" s="612"/>
      <c r="H8518" s="612"/>
    </row>
    <row r="8519">
      <c r="B8519" s="612"/>
      <c r="H8519" s="612"/>
    </row>
    <row r="8520">
      <c r="B8520" s="612"/>
      <c r="H8520" s="612"/>
    </row>
    <row r="8521">
      <c r="B8521" s="612"/>
      <c r="H8521" s="612"/>
    </row>
    <row r="8522">
      <c r="B8522" s="612"/>
      <c r="H8522" s="612"/>
    </row>
    <row r="8523">
      <c r="B8523" s="612"/>
      <c r="H8523" s="612"/>
    </row>
    <row r="8524">
      <c r="B8524" s="612"/>
      <c r="H8524" s="612"/>
    </row>
    <row r="8525">
      <c r="B8525" s="612"/>
      <c r="H8525" s="612"/>
    </row>
    <row r="8526">
      <c r="B8526" s="612"/>
      <c r="H8526" s="612"/>
    </row>
    <row r="8527">
      <c r="B8527" s="612"/>
      <c r="H8527" s="612"/>
    </row>
    <row r="8528">
      <c r="B8528" s="612"/>
      <c r="H8528" s="612"/>
    </row>
    <row r="8529">
      <c r="B8529" s="612"/>
      <c r="H8529" s="612"/>
    </row>
    <row r="8530">
      <c r="B8530" s="612"/>
      <c r="H8530" s="612"/>
    </row>
    <row r="8531">
      <c r="B8531" s="612"/>
      <c r="H8531" s="612"/>
    </row>
    <row r="8532">
      <c r="B8532" s="612"/>
      <c r="H8532" s="612"/>
    </row>
    <row r="8533">
      <c r="B8533" s="612"/>
      <c r="H8533" s="612"/>
    </row>
    <row r="8534">
      <c r="B8534" s="612"/>
      <c r="H8534" s="612"/>
    </row>
    <row r="8535">
      <c r="B8535" s="612"/>
      <c r="H8535" s="612"/>
    </row>
    <row r="8536">
      <c r="B8536" s="612"/>
      <c r="H8536" s="612"/>
    </row>
    <row r="8537">
      <c r="B8537" s="612"/>
      <c r="H8537" s="612"/>
    </row>
    <row r="8538">
      <c r="B8538" s="612"/>
      <c r="H8538" s="612"/>
    </row>
    <row r="8539">
      <c r="B8539" s="612"/>
      <c r="H8539" s="612"/>
    </row>
    <row r="8540">
      <c r="B8540" s="612"/>
      <c r="H8540" s="612"/>
    </row>
    <row r="8541">
      <c r="B8541" s="612"/>
      <c r="H8541" s="612"/>
    </row>
    <row r="8542">
      <c r="B8542" s="612"/>
      <c r="H8542" s="612"/>
    </row>
    <row r="8543">
      <c r="B8543" s="612"/>
      <c r="H8543" s="612"/>
    </row>
    <row r="8544">
      <c r="B8544" s="612"/>
      <c r="H8544" s="612"/>
    </row>
    <row r="8545">
      <c r="B8545" s="612"/>
      <c r="H8545" s="612"/>
    </row>
    <row r="8546">
      <c r="B8546" s="612"/>
      <c r="H8546" s="612"/>
    </row>
    <row r="8547">
      <c r="B8547" s="612"/>
      <c r="H8547" s="612"/>
    </row>
    <row r="8548">
      <c r="B8548" s="612"/>
      <c r="H8548" s="612"/>
    </row>
    <row r="8549">
      <c r="B8549" s="612"/>
      <c r="H8549" s="612"/>
    </row>
    <row r="8550">
      <c r="B8550" s="612"/>
      <c r="H8550" s="612"/>
    </row>
    <row r="8551">
      <c r="B8551" s="612"/>
      <c r="H8551" s="612"/>
    </row>
    <row r="8552">
      <c r="B8552" s="612"/>
      <c r="H8552" s="612"/>
    </row>
    <row r="8553">
      <c r="B8553" s="612"/>
      <c r="H8553" s="612"/>
    </row>
    <row r="8554">
      <c r="B8554" s="612"/>
      <c r="H8554" s="612"/>
    </row>
    <row r="8555">
      <c r="B8555" s="612"/>
      <c r="H8555" s="612"/>
    </row>
    <row r="8556">
      <c r="B8556" s="612"/>
      <c r="H8556" s="612"/>
    </row>
    <row r="8557">
      <c r="B8557" s="612"/>
      <c r="H8557" s="612"/>
    </row>
    <row r="8558">
      <c r="B8558" s="612"/>
      <c r="H8558" s="612"/>
    </row>
    <row r="8559">
      <c r="B8559" s="612"/>
      <c r="H8559" s="612"/>
    </row>
    <row r="8560">
      <c r="B8560" s="612"/>
      <c r="H8560" s="612"/>
    </row>
    <row r="8561">
      <c r="B8561" s="612"/>
      <c r="H8561" s="612"/>
    </row>
    <row r="8562">
      <c r="B8562" s="612"/>
      <c r="H8562" s="612"/>
    </row>
    <row r="8563">
      <c r="B8563" s="612"/>
      <c r="H8563" s="612"/>
    </row>
    <row r="8564">
      <c r="B8564" s="612"/>
      <c r="H8564" s="612"/>
    </row>
    <row r="8565">
      <c r="B8565" s="612"/>
      <c r="H8565" s="612"/>
    </row>
    <row r="8566">
      <c r="B8566" s="612"/>
      <c r="H8566" s="612"/>
    </row>
    <row r="8567">
      <c r="B8567" s="612"/>
      <c r="H8567" s="612"/>
    </row>
    <row r="8568">
      <c r="B8568" s="612"/>
      <c r="H8568" s="612"/>
    </row>
    <row r="8569">
      <c r="B8569" s="612"/>
      <c r="H8569" s="612"/>
    </row>
    <row r="8570">
      <c r="B8570" s="612"/>
      <c r="H8570" s="612"/>
    </row>
    <row r="8571">
      <c r="B8571" s="612"/>
      <c r="H8571" s="612"/>
    </row>
    <row r="8572">
      <c r="B8572" s="612"/>
      <c r="H8572" s="612"/>
    </row>
    <row r="8573">
      <c r="B8573" s="612"/>
      <c r="H8573" s="612"/>
    </row>
    <row r="8574">
      <c r="B8574" s="612"/>
      <c r="H8574" s="612"/>
    </row>
    <row r="8575">
      <c r="B8575" s="612"/>
      <c r="H8575" s="612"/>
    </row>
    <row r="8576">
      <c r="B8576" s="612"/>
      <c r="H8576" s="612"/>
    </row>
    <row r="8577">
      <c r="B8577" s="612"/>
      <c r="H8577" s="612"/>
    </row>
    <row r="8578">
      <c r="B8578" s="612"/>
      <c r="H8578" s="612"/>
    </row>
    <row r="8579">
      <c r="B8579" s="612"/>
      <c r="H8579" s="612"/>
    </row>
    <row r="8580">
      <c r="B8580" s="612"/>
      <c r="H8580" s="612"/>
    </row>
    <row r="8581">
      <c r="B8581" s="612"/>
      <c r="H8581" s="612"/>
    </row>
    <row r="8582">
      <c r="B8582" s="612"/>
      <c r="H8582" s="612"/>
    </row>
    <row r="8583">
      <c r="B8583" s="612"/>
      <c r="H8583" s="612"/>
    </row>
    <row r="8584">
      <c r="B8584" s="612"/>
      <c r="H8584" s="612"/>
    </row>
    <row r="8585">
      <c r="B8585" s="612"/>
      <c r="H8585" s="612"/>
    </row>
    <row r="8586">
      <c r="B8586" s="612"/>
      <c r="H8586" s="612"/>
    </row>
    <row r="8587">
      <c r="B8587" s="612"/>
      <c r="H8587" s="612"/>
    </row>
    <row r="8588">
      <c r="B8588" s="612"/>
      <c r="H8588" s="612"/>
    </row>
    <row r="8589">
      <c r="B8589" s="612"/>
      <c r="H8589" s="612"/>
    </row>
    <row r="8590">
      <c r="B8590" s="612"/>
      <c r="H8590" s="612"/>
    </row>
    <row r="8591">
      <c r="B8591" s="612"/>
      <c r="H8591" s="612"/>
    </row>
    <row r="8592">
      <c r="B8592" s="612"/>
      <c r="H8592" s="612"/>
    </row>
    <row r="8593">
      <c r="B8593" s="612"/>
      <c r="H8593" s="612"/>
    </row>
    <row r="8594">
      <c r="B8594" s="612"/>
      <c r="H8594" s="612"/>
    </row>
    <row r="8595">
      <c r="B8595" s="612"/>
      <c r="H8595" s="612"/>
    </row>
    <row r="8596">
      <c r="B8596" s="612"/>
      <c r="H8596" s="612"/>
    </row>
    <row r="8597">
      <c r="B8597" s="612"/>
      <c r="H8597" s="612"/>
    </row>
    <row r="8598">
      <c r="B8598" s="612"/>
      <c r="H8598" s="612"/>
    </row>
    <row r="8599">
      <c r="B8599" s="612"/>
      <c r="H8599" s="612"/>
    </row>
    <row r="8600">
      <c r="B8600" s="612"/>
      <c r="H8600" s="612"/>
    </row>
    <row r="8601">
      <c r="B8601" s="612"/>
      <c r="H8601" s="612"/>
    </row>
    <row r="8602">
      <c r="B8602" s="612"/>
      <c r="H8602" s="612"/>
    </row>
    <row r="8603">
      <c r="B8603" s="612"/>
      <c r="H8603" s="612"/>
    </row>
    <row r="8604">
      <c r="B8604" s="612"/>
      <c r="H8604" s="612"/>
    </row>
    <row r="8605">
      <c r="B8605" s="612"/>
      <c r="H8605" s="612"/>
    </row>
    <row r="8606">
      <c r="B8606" s="612"/>
      <c r="H8606" s="612"/>
    </row>
    <row r="8607">
      <c r="B8607" s="612"/>
      <c r="H8607" s="612"/>
    </row>
    <row r="8608">
      <c r="B8608" s="612"/>
      <c r="H8608" s="612"/>
    </row>
    <row r="8609">
      <c r="B8609" s="612"/>
      <c r="H8609" s="612"/>
    </row>
    <row r="8610">
      <c r="B8610" s="612"/>
      <c r="H8610" s="612"/>
    </row>
    <row r="8611">
      <c r="B8611" s="612"/>
      <c r="H8611" s="612"/>
    </row>
    <row r="8612">
      <c r="B8612" s="612"/>
      <c r="H8612" s="612"/>
    </row>
    <row r="8613">
      <c r="B8613" s="612"/>
      <c r="H8613" s="612"/>
    </row>
    <row r="8614">
      <c r="B8614" s="612"/>
      <c r="H8614" s="612"/>
    </row>
    <row r="8615">
      <c r="B8615" s="612"/>
      <c r="H8615" s="612"/>
    </row>
    <row r="8616">
      <c r="B8616" s="612"/>
      <c r="H8616" s="612"/>
    </row>
    <row r="8617">
      <c r="B8617" s="612"/>
      <c r="H8617" s="612"/>
    </row>
    <row r="8618">
      <c r="B8618" s="612"/>
      <c r="H8618" s="612"/>
    </row>
    <row r="8619">
      <c r="B8619" s="612"/>
      <c r="H8619" s="612"/>
    </row>
    <row r="8620">
      <c r="B8620" s="612"/>
      <c r="H8620" s="612"/>
    </row>
    <row r="8621">
      <c r="B8621" s="612"/>
      <c r="H8621" s="612"/>
    </row>
    <row r="8622">
      <c r="B8622" s="612"/>
      <c r="H8622" s="612"/>
    </row>
    <row r="8623">
      <c r="B8623" s="612"/>
      <c r="H8623" s="612"/>
    </row>
    <row r="8624">
      <c r="B8624" s="612"/>
      <c r="H8624" s="612"/>
    </row>
    <row r="8625">
      <c r="B8625" s="612"/>
      <c r="H8625" s="612"/>
    </row>
    <row r="8626">
      <c r="B8626" s="612"/>
      <c r="H8626" s="612"/>
    </row>
    <row r="8627">
      <c r="B8627" s="612"/>
      <c r="H8627" s="612"/>
    </row>
    <row r="8628">
      <c r="B8628" s="612"/>
      <c r="H8628" s="612"/>
    </row>
    <row r="8629">
      <c r="B8629" s="612"/>
      <c r="H8629" s="612"/>
    </row>
    <row r="8630">
      <c r="B8630" s="612"/>
      <c r="H8630" s="612"/>
    </row>
    <row r="8631">
      <c r="B8631" s="612"/>
      <c r="H8631" s="612"/>
    </row>
    <row r="8632">
      <c r="B8632" s="612"/>
      <c r="H8632" s="612"/>
    </row>
    <row r="8633">
      <c r="B8633" s="612"/>
      <c r="H8633" s="612"/>
    </row>
    <row r="8634">
      <c r="B8634" s="612"/>
      <c r="H8634" s="612"/>
    </row>
    <row r="8635">
      <c r="B8635" s="612"/>
      <c r="H8635" s="612"/>
    </row>
    <row r="8636">
      <c r="B8636" s="612"/>
      <c r="H8636" s="612"/>
    </row>
    <row r="8637">
      <c r="B8637" s="612"/>
      <c r="H8637" s="612"/>
    </row>
    <row r="8638">
      <c r="B8638" s="612"/>
      <c r="H8638" s="612"/>
    </row>
    <row r="8639">
      <c r="B8639" s="612"/>
      <c r="H8639" s="612"/>
    </row>
    <row r="8640">
      <c r="B8640" s="612"/>
      <c r="H8640" s="612"/>
    </row>
    <row r="8641">
      <c r="B8641" s="612"/>
      <c r="H8641" s="612"/>
    </row>
    <row r="8642">
      <c r="B8642" s="612"/>
      <c r="H8642" s="612"/>
    </row>
    <row r="8643">
      <c r="B8643" s="612"/>
      <c r="H8643" s="612"/>
    </row>
    <row r="8644">
      <c r="B8644" s="612"/>
      <c r="H8644" s="612"/>
    </row>
    <row r="8645">
      <c r="B8645" s="612"/>
      <c r="H8645" s="612"/>
    </row>
    <row r="8646">
      <c r="B8646" s="612"/>
      <c r="H8646" s="612"/>
    </row>
    <row r="8647">
      <c r="B8647" s="612"/>
      <c r="H8647" s="612"/>
    </row>
    <row r="8648">
      <c r="B8648" s="612"/>
      <c r="H8648" s="612"/>
    </row>
    <row r="8649">
      <c r="B8649" s="612"/>
      <c r="H8649" s="612"/>
    </row>
    <row r="8650">
      <c r="B8650" s="612"/>
      <c r="H8650" s="612"/>
    </row>
    <row r="8651">
      <c r="B8651" s="612"/>
      <c r="H8651" s="612"/>
    </row>
    <row r="8652">
      <c r="B8652" s="612"/>
      <c r="H8652" s="612"/>
    </row>
    <row r="8653">
      <c r="B8653" s="612"/>
      <c r="H8653" s="612"/>
    </row>
    <row r="8654">
      <c r="B8654" s="612"/>
      <c r="H8654" s="612"/>
    </row>
    <row r="8655">
      <c r="B8655" s="612"/>
      <c r="H8655" s="612"/>
    </row>
    <row r="8656">
      <c r="B8656" s="612"/>
      <c r="H8656" s="612"/>
    </row>
    <row r="8657">
      <c r="B8657" s="612"/>
      <c r="H8657" s="612"/>
    </row>
    <row r="8658">
      <c r="B8658" s="612"/>
      <c r="H8658" s="612"/>
    </row>
    <row r="8659">
      <c r="B8659" s="612"/>
      <c r="H8659" s="612"/>
    </row>
    <row r="8660">
      <c r="B8660" s="612"/>
      <c r="H8660" s="612"/>
    </row>
    <row r="8661">
      <c r="B8661" s="612"/>
      <c r="H8661" s="612"/>
    </row>
    <row r="8662">
      <c r="B8662" s="612"/>
      <c r="H8662" s="612"/>
    </row>
    <row r="8663">
      <c r="B8663" s="612"/>
      <c r="H8663" s="612"/>
    </row>
    <row r="8664">
      <c r="B8664" s="612"/>
      <c r="H8664" s="612"/>
    </row>
    <row r="8665">
      <c r="B8665" s="612"/>
      <c r="H8665" s="612"/>
    </row>
    <row r="8666">
      <c r="B8666" s="612"/>
      <c r="H8666" s="612"/>
    </row>
    <row r="8667">
      <c r="B8667" s="612"/>
      <c r="H8667" s="612"/>
    </row>
    <row r="8668">
      <c r="B8668" s="612"/>
      <c r="H8668" s="612"/>
    </row>
    <row r="8669">
      <c r="B8669" s="612"/>
      <c r="H8669" s="612"/>
    </row>
    <row r="8670">
      <c r="B8670" s="612"/>
      <c r="H8670" s="612"/>
    </row>
    <row r="8671">
      <c r="B8671" s="612"/>
      <c r="H8671" s="612"/>
    </row>
    <row r="8672">
      <c r="B8672" s="612"/>
      <c r="H8672" s="612"/>
    </row>
    <row r="8673">
      <c r="B8673" s="612"/>
      <c r="H8673" s="612"/>
    </row>
    <row r="8674">
      <c r="B8674" s="612"/>
      <c r="H8674" s="612"/>
    </row>
    <row r="8675">
      <c r="B8675" s="612"/>
      <c r="H8675" s="612"/>
    </row>
    <row r="8676">
      <c r="B8676" s="612"/>
      <c r="H8676" s="612"/>
    </row>
    <row r="8677">
      <c r="B8677" s="612"/>
      <c r="H8677" s="612"/>
    </row>
    <row r="8678">
      <c r="B8678" s="612"/>
      <c r="H8678" s="612"/>
    </row>
    <row r="8679">
      <c r="B8679" s="612"/>
      <c r="H8679" s="612"/>
    </row>
    <row r="8680">
      <c r="B8680" s="612"/>
      <c r="H8680" s="612"/>
    </row>
    <row r="8681">
      <c r="B8681" s="612"/>
      <c r="H8681" s="612"/>
    </row>
    <row r="8682">
      <c r="B8682" s="612"/>
      <c r="H8682" s="612"/>
    </row>
    <row r="8683">
      <c r="B8683" s="612"/>
      <c r="H8683" s="612"/>
    </row>
    <row r="8684">
      <c r="B8684" s="612"/>
      <c r="H8684" s="612"/>
    </row>
    <row r="8685">
      <c r="B8685" s="612"/>
      <c r="H8685" s="612"/>
    </row>
    <row r="8686">
      <c r="B8686" s="612"/>
      <c r="H8686" s="612"/>
    </row>
    <row r="8687">
      <c r="B8687" s="612"/>
      <c r="H8687" s="612"/>
    </row>
    <row r="8688">
      <c r="B8688" s="612"/>
      <c r="H8688" s="612"/>
    </row>
    <row r="8689">
      <c r="B8689" s="612"/>
      <c r="H8689" s="612"/>
    </row>
    <row r="8690">
      <c r="B8690" s="612"/>
      <c r="H8690" s="612"/>
    </row>
    <row r="8691">
      <c r="B8691" s="612"/>
      <c r="H8691" s="612"/>
    </row>
    <row r="8692">
      <c r="B8692" s="612"/>
      <c r="H8692" s="612"/>
    </row>
    <row r="8693">
      <c r="B8693" s="612"/>
      <c r="H8693" s="612"/>
    </row>
    <row r="8694">
      <c r="B8694" s="612"/>
      <c r="H8694" s="612"/>
    </row>
    <row r="8695">
      <c r="B8695" s="612"/>
      <c r="H8695" s="612"/>
    </row>
    <row r="8696">
      <c r="B8696" s="612"/>
      <c r="H8696" s="612"/>
    </row>
    <row r="8697">
      <c r="B8697" s="612"/>
      <c r="H8697" s="612"/>
    </row>
    <row r="8698">
      <c r="B8698" s="612"/>
      <c r="H8698" s="612"/>
    </row>
    <row r="8699">
      <c r="B8699" s="612"/>
      <c r="H8699" s="612"/>
    </row>
    <row r="8700">
      <c r="B8700" s="612"/>
      <c r="H8700" s="612"/>
    </row>
    <row r="8701">
      <c r="B8701" s="612"/>
      <c r="H8701" s="612"/>
    </row>
    <row r="8702">
      <c r="B8702" s="612"/>
      <c r="H8702" s="612"/>
    </row>
    <row r="8703">
      <c r="B8703" s="612"/>
      <c r="H8703" s="612"/>
    </row>
    <row r="8704">
      <c r="B8704" s="612"/>
      <c r="H8704" s="612"/>
    </row>
    <row r="8705">
      <c r="B8705" s="612"/>
      <c r="H8705" s="612"/>
    </row>
    <row r="8706">
      <c r="B8706" s="612"/>
      <c r="H8706" s="612"/>
    </row>
    <row r="8707">
      <c r="B8707" s="612"/>
      <c r="H8707" s="612"/>
    </row>
    <row r="8708">
      <c r="B8708" s="612"/>
      <c r="H8708" s="612"/>
    </row>
    <row r="8709">
      <c r="B8709" s="612"/>
      <c r="H8709" s="612"/>
    </row>
    <row r="8710">
      <c r="B8710" s="612"/>
      <c r="H8710" s="612"/>
    </row>
    <row r="8711">
      <c r="B8711" s="612"/>
      <c r="H8711" s="612"/>
    </row>
    <row r="8712">
      <c r="B8712" s="612"/>
      <c r="H8712" s="612"/>
    </row>
    <row r="8713">
      <c r="B8713" s="612"/>
      <c r="H8713" s="612"/>
    </row>
    <row r="8714">
      <c r="B8714" s="612"/>
      <c r="H8714" s="612"/>
    </row>
    <row r="8715">
      <c r="B8715" s="612"/>
      <c r="H8715" s="612"/>
    </row>
    <row r="8716">
      <c r="B8716" s="612"/>
      <c r="H8716" s="612"/>
    </row>
    <row r="8717">
      <c r="B8717" s="612"/>
      <c r="H8717" s="612"/>
    </row>
    <row r="8718">
      <c r="B8718" s="612"/>
      <c r="H8718" s="612"/>
    </row>
    <row r="8719">
      <c r="B8719" s="612"/>
      <c r="H8719" s="612"/>
    </row>
    <row r="8720">
      <c r="B8720" s="612"/>
      <c r="H8720" s="612"/>
    </row>
    <row r="8721">
      <c r="B8721" s="612"/>
      <c r="H8721" s="612"/>
    </row>
    <row r="8722">
      <c r="B8722" s="612"/>
      <c r="H8722" s="612"/>
    </row>
    <row r="8723">
      <c r="B8723" s="612"/>
      <c r="H8723" s="612"/>
    </row>
    <row r="8724">
      <c r="B8724" s="612"/>
      <c r="H8724" s="612"/>
    </row>
    <row r="8725">
      <c r="B8725" s="612"/>
      <c r="H8725" s="612"/>
    </row>
    <row r="8726">
      <c r="B8726" s="612"/>
      <c r="H8726" s="612"/>
    </row>
    <row r="8727">
      <c r="B8727" s="612"/>
      <c r="H8727" s="612"/>
    </row>
    <row r="8728">
      <c r="B8728" s="612"/>
      <c r="H8728" s="612"/>
    </row>
    <row r="8729">
      <c r="B8729" s="612"/>
      <c r="H8729" s="612"/>
    </row>
    <row r="8730">
      <c r="B8730" s="612"/>
      <c r="H8730" s="612"/>
    </row>
    <row r="8731">
      <c r="B8731" s="612"/>
      <c r="H8731" s="612"/>
    </row>
    <row r="8732">
      <c r="B8732" s="612"/>
      <c r="H8732" s="612"/>
    </row>
    <row r="8733">
      <c r="B8733" s="612"/>
      <c r="H8733" s="612"/>
    </row>
    <row r="8734">
      <c r="B8734" s="612"/>
      <c r="H8734" s="612"/>
    </row>
    <row r="8735">
      <c r="B8735" s="612"/>
      <c r="H8735" s="612"/>
    </row>
    <row r="8736">
      <c r="B8736" s="612"/>
      <c r="H8736" s="612"/>
    </row>
    <row r="8737">
      <c r="B8737" s="612"/>
      <c r="H8737" s="612"/>
    </row>
    <row r="8738">
      <c r="B8738" s="612"/>
      <c r="H8738" s="612"/>
    </row>
    <row r="8739">
      <c r="B8739" s="612"/>
      <c r="H8739" s="612"/>
    </row>
    <row r="8740">
      <c r="B8740" s="612"/>
      <c r="H8740" s="612"/>
    </row>
    <row r="8741">
      <c r="B8741" s="612"/>
      <c r="H8741" s="612"/>
    </row>
    <row r="8742">
      <c r="B8742" s="612"/>
      <c r="H8742" s="612"/>
    </row>
    <row r="8743">
      <c r="B8743" s="612"/>
      <c r="H8743" s="612"/>
    </row>
    <row r="8744">
      <c r="B8744" s="612"/>
      <c r="H8744" s="612"/>
    </row>
    <row r="8745">
      <c r="B8745" s="612"/>
      <c r="H8745" s="612"/>
    </row>
    <row r="8746">
      <c r="B8746" s="612"/>
      <c r="H8746" s="612"/>
    </row>
    <row r="8747">
      <c r="B8747" s="612"/>
      <c r="H8747" s="612"/>
    </row>
    <row r="8748">
      <c r="B8748" s="612"/>
      <c r="H8748" s="612"/>
    </row>
    <row r="8749">
      <c r="B8749" s="612"/>
      <c r="H8749" s="612"/>
    </row>
    <row r="8750">
      <c r="B8750" s="612"/>
      <c r="H8750" s="612"/>
    </row>
    <row r="8751">
      <c r="B8751" s="612"/>
      <c r="H8751" s="612"/>
    </row>
    <row r="8752">
      <c r="B8752" s="612"/>
      <c r="H8752" s="612"/>
    </row>
    <row r="8753">
      <c r="B8753" s="612"/>
      <c r="H8753" s="612"/>
    </row>
    <row r="8754">
      <c r="B8754" s="612"/>
      <c r="H8754" s="612"/>
    </row>
    <row r="8755">
      <c r="B8755" s="612"/>
      <c r="H8755" s="612"/>
    </row>
    <row r="8756">
      <c r="B8756" s="612"/>
      <c r="H8756" s="612"/>
    </row>
    <row r="8757">
      <c r="B8757" s="612"/>
      <c r="H8757" s="612"/>
    </row>
    <row r="8758">
      <c r="B8758" s="612"/>
      <c r="H8758" s="612"/>
    </row>
    <row r="8759">
      <c r="B8759" s="612"/>
      <c r="H8759" s="612"/>
    </row>
    <row r="8760">
      <c r="B8760" s="612"/>
      <c r="H8760" s="612"/>
    </row>
    <row r="8761">
      <c r="B8761" s="612"/>
      <c r="H8761" s="612"/>
    </row>
    <row r="8762">
      <c r="B8762" s="612"/>
      <c r="H8762" s="612"/>
    </row>
    <row r="8763">
      <c r="B8763" s="612"/>
      <c r="H8763" s="612"/>
    </row>
    <row r="8764">
      <c r="B8764" s="612"/>
      <c r="H8764" s="612"/>
    </row>
    <row r="8765">
      <c r="B8765" s="612"/>
      <c r="H8765" s="612"/>
    </row>
    <row r="8766">
      <c r="B8766" s="612"/>
      <c r="H8766" s="612"/>
    </row>
    <row r="8767">
      <c r="B8767" s="612"/>
      <c r="H8767" s="612"/>
    </row>
    <row r="8768">
      <c r="B8768" s="612"/>
      <c r="H8768" s="612"/>
    </row>
    <row r="8769">
      <c r="B8769" s="612"/>
      <c r="H8769" s="612"/>
    </row>
    <row r="8770">
      <c r="B8770" s="612"/>
      <c r="H8770" s="612"/>
    </row>
    <row r="8771">
      <c r="B8771" s="612"/>
      <c r="H8771" s="612"/>
    </row>
    <row r="8772">
      <c r="B8772" s="612"/>
      <c r="H8772" s="612"/>
    </row>
    <row r="8773">
      <c r="B8773" s="612"/>
      <c r="H8773" s="612"/>
    </row>
    <row r="8774">
      <c r="B8774" s="612"/>
      <c r="H8774" s="612"/>
    </row>
    <row r="8775">
      <c r="B8775" s="612"/>
      <c r="H8775" s="612"/>
    </row>
    <row r="8776">
      <c r="B8776" s="612"/>
      <c r="H8776" s="612"/>
    </row>
    <row r="8777">
      <c r="B8777" s="612"/>
      <c r="H8777" s="612"/>
    </row>
    <row r="8778">
      <c r="B8778" s="612"/>
      <c r="H8778" s="612"/>
    </row>
    <row r="8779">
      <c r="B8779" s="612"/>
      <c r="H8779" s="612"/>
    </row>
    <row r="8780">
      <c r="B8780" s="612"/>
      <c r="H8780" s="612"/>
    </row>
    <row r="8781">
      <c r="B8781" s="612"/>
      <c r="H8781" s="612"/>
    </row>
    <row r="8782">
      <c r="B8782" s="612"/>
      <c r="H8782" s="612"/>
    </row>
    <row r="8783">
      <c r="B8783" s="612"/>
      <c r="H8783" s="612"/>
    </row>
    <row r="8784">
      <c r="B8784" s="612"/>
      <c r="H8784" s="612"/>
    </row>
    <row r="8785">
      <c r="B8785" s="612"/>
      <c r="H8785" s="612"/>
    </row>
    <row r="8786">
      <c r="B8786" s="612"/>
      <c r="H8786" s="612"/>
    </row>
    <row r="8787">
      <c r="B8787" s="612"/>
      <c r="H8787" s="612"/>
    </row>
    <row r="8788">
      <c r="B8788" s="612"/>
      <c r="H8788" s="612"/>
    </row>
    <row r="8789">
      <c r="B8789" s="612"/>
      <c r="H8789" s="612"/>
    </row>
    <row r="8790">
      <c r="B8790" s="612"/>
      <c r="H8790" s="612"/>
    </row>
    <row r="8791">
      <c r="B8791" s="612"/>
      <c r="H8791" s="612"/>
    </row>
    <row r="8792">
      <c r="B8792" s="612"/>
      <c r="H8792" s="612"/>
    </row>
    <row r="8793">
      <c r="B8793" s="612"/>
      <c r="H8793" s="612"/>
    </row>
    <row r="8794">
      <c r="B8794" s="612"/>
      <c r="H8794" s="612"/>
    </row>
    <row r="8795">
      <c r="B8795" s="612"/>
      <c r="H8795" s="612"/>
    </row>
    <row r="8796">
      <c r="B8796" s="612"/>
      <c r="H8796" s="612"/>
    </row>
    <row r="8797">
      <c r="B8797" s="612"/>
      <c r="H8797" s="612"/>
    </row>
    <row r="8798">
      <c r="B8798" s="612"/>
      <c r="H8798" s="612"/>
    </row>
    <row r="8799">
      <c r="B8799" s="612"/>
      <c r="H8799" s="612"/>
    </row>
    <row r="8800">
      <c r="B8800" s="612"/>
      <c r="H8800" s="612"/>
    </row>
    <row r="8801">
      <c r="B8801" s="612"/>
      <c r="H8801" s="612"/>
    </row>
    <row r="8802">
      <c r="B8802" s="612"/>
      <c r="H8802" s="612"/>
    </row>
    <row r="8803">
      <c r="B8803" s="612"/>
      <c r="H8803" s="612"/>
    </row>
    <row r="8804">
      <c r="B8804" s="612"/>
      <c r="H8804" s="612"/>
    </row>
    <row r="8805">
      <c r="B8805" s="612"/>
      <c r="H8805" s="612"/>
    </row>
    <row r="8806">
      <c r="B8806" s="612"/>
      <c r="H8806" s="612"/>
    </row>
    <row r="8807">
      <c r="B8807" s="612"/>
      <c r="H8807" s="612"/>
    </row>
    <row r="8808">
      <c r="B8808" s="612"/>
      <c r="H8808" s="612"/>
    </row>
    <row r="8809">
      <c r="B8809" s="612"/>
      <c r="H8809" s="612"/>
    </row>
    <row r="8810">
      <c r="B8810" s="612"/>
      <c r="H8810" s="612"/>
    </row>
    <row r="8811">
      <c r="B8811" s="612"/>
      <c r="H8811" s="612"/>
    </row>
    <row r="8812">
      <c r="B8812" s="612"/>
      <c r="H8812" s="612"/>
    </row>
    <row r="8813">
      <c r="B8813" s="612"/>
      <c r="H8813" s="612"/>
    </row>
    <row r="8814">
      <c r="B8814" s="612"/>
      <c r="H8814" s="612"/>
    </row>
    <row r="8815">
      <c r="B8815" s="612"/>
      <c r="H8815" s="612"/>
    </row>
    <row r="8816">
      <c r="B8816" s="612"/>
      <c r="H8816" s="612"/>
    </row>
    <row r="8817">
      <c r="B8817" s="612"/>
      <c r="H8817" s="612"/>
    </row>
    <row r="8818">
      <c r="B8818" s="612"/>
      <c r="H8818" s="612"/>
    </row>
    <row r="8819">
      <c r="B8819" s="612"/>
      <c r="H8819" s="612"/>
    </row>
    <row r="8820">
      <c r="B8820" s="612"/>
      <c r="H8820" s="612"/>
    </row>
    <row r="8821">
      <c r="B8821" s="612"/>
      <c r="H8821" s="612"/>
    </row>
    <row r="8822">
      <c r="B8822" s="612"/>
      <c r="H8822" s="612"/>
    </row>
    <row r="8823">
      <c r="B8823" s="612"/>
      <c r="H8823" s="612"/>
    </row>
    <row r="8824">
      <c r="B8824" s="612"/>
      <c r="H8824" s="612"/>
    </row>
    <row r="8825">
      <c r="B8825" s="612"/>
      <c r="H8825" s="612"/>
    </row>
    <row r="8826">
      <c r="B8826" s="612"/>
      <c r="H8826" s="612"/>
    </row>
    <row r="8827">
      <c r="B8827" s="612"/>
      <c r="H8827" s="612"/>
    </row>
    <row r="8828">
      <c r="B8828" s="612"/>
      <c r="H8828" s="612"/>
    </row>
    <row r="8829">
      <c r="B8829" s="612"/>
      <c r="H8829" s="612"/>
    </row>
    <row r="8830">
      <c r="B8830" s="612"/>
      <c r="H8830" s="612"/>
    </row>
    <row r="8831">
      <c r="B8831" s="612"/>
      <c r="H8831" s="612"/>
    </row>
    <row r="8832">
      <c r="B8832" s="612"/>
      <c r="H8832" s="612"/>
    </row>
    <row r="8833">
      <c r="B8833" s="612"/>
      <c r="H8833" s="612"/>
    </row>
    <row r="8834">
      <c r="B8834" s="612"/>
      <c r="H8834" s="612"/>
    </row>
    <row r="8835">
      <c r="B8835" s="612"/>
      <c r="H8835" s="612"/>
    </row>
    <row r="8836">
      <c r="B8836" s="612"/>
      <c r="H8836" s="612"/>
    </row>
    <row r="8837">
      <c r="B8837" s="612"/>
      <c r="H8837" s="612"/>
    </row>
    <row r="8838">
      <c r="B8838" s="612"/>
      <c r="H8838" s="612"/>
    </row>
    <row r="8839">
      <c r="B8839" s="612"/>
      <c r="H8839" s="612"/>
    </row>
    <row r="8840">
      <c r="B8840" s="612"/>
      <c r="H8840" s="612"/>
    </row>
    <row r="8841">
      <c r="B8841" s="612"/>
      <c r="H8841" s="612"/>
    </row>
    <row r="8842">
      <c r="B8842" s="612"/>
      <c r="H8842" s="612"/>
    </row>
    <row r="8843">
      <c r="B8843" s="612"/>
      <c r="H8843" s="612"/>
    </row>
    <row r="8844">
      <c r="B8844" s="612"/>
      <c r="H8844" s="612"/>
    </row>
    <row r="8845">
      <c r="B8845" s="612"/>
      <c r="H8845" s="612"/>
    </row>
    <row r="8846">
      <c r="B8846" s="612"/>
      <c r="H8846" s="612"/>
    </row>
    <row r="8847">
      <c r="B8847" s="612"/>
      <c r="H8847" s="612"/>
    </row>
    <row r="8848">
      <c r="B8848" s="612"/>
      <c r="H8848" s="612"/>
    </row>
    <row r="8849">
      <c r="B8849" s="612"/>
      <c r="H8849" s="612"/>
    </row>
    <row r="8850">
      <c r="B8850" s="612"/>
      <c r="H8850" s="612"/>
    </row>
    <row r="8851">
      <c r="B8851" s="612"/>
      <c r="H8851" s="612"/>
    </row>
    <row r="8852">
      <c r="B8852" s="612"/>
      <c r="H8852" s="612"/>
    </row>
    <row r="8853">
      <c r="B8853" s="612"/>
      <c r="H8853" s="612"/>
    </row>
    <row r="8854">
      <c r="B8854" s="612"/>
      <c r="H8854" s="612"/>
    </row>
    <row r="8855">
      <c r="B8855" s="612"/>
      <c r="H8855" s="612"/>
    </row>
    <row r="8856">
      <c r="B8856" s="612"/>
      <c r="H8856" s="612"/>
    </row>
    <row r="8857">
      <c r="B8857" s="612"/>
      <c r="H8857" s="612"/>
    </row>
    <row r="8858">
      <c r="B8858" s="612"/>
      <c r="H8858" s="612"/>
    </row>
    <row r="8859">
      <c r="B8859" s="612"/>
      <c r="H8859" s="612"/>
    </row>
    <row r="8860">
      <c r="B8860" s="612"/>
      <c r="H8860" s="612"/>
    </row>
    <row r="8861">
      <c r="B8861" s="612"/>
      <c r="H8861" s="612"/>
    </row>
    <row r="8862">
      <c r="B8862" s="612"/>
      <c r="H8862" s="612"/>
    </row>
    <row r="8863">
      <c r="B8863" s="612"/>
      <c r="H8863" s="612"/>
    </row>
    <row r="8864">
      <c r="B8864" s="612"/>
      <c r="H8864" s="612"/>
    </row>
    <row r="8865">
      <c r="B8865" s="612"/>
      <c r="H8865" s="612"/>
    </row>
    <row r="8866">
      <c r="B8866" s="612"/>
      <c r="H8866" s="612"/>
    </row>
    <row r="8867">
      <c r="B8867" s="612"/>
      <c r="H8867" s="612"/>
    </row>
    <row r="8868">
      <c r="B8868" s="612"/>
      <c r="H8868" s="612"/>
    </row>
    <row r="8869">
      <c r="B8869" s="612"/>
      <c r="H8869" s="612"/>
    </row>
    <row r="8870">
      <c r="B8870" s="612"/>
      <c r="H8870" s="612"/>
    </row>
    <row r="8871">
      <c r="B8871" s="612"/>
      <c r="H8871" s="612"/>
    </row>
    <row r="8872">
      <c r="B8872" s="612"/>
      <c r="H8872" s="612"/>
    </row>
    <row r="8873">
      <c r="B8873" s="612"/>
      <c r="H8873" s="612"/>
    </row>
    <row r="8874">
      <c r="B8874" s="612"/>
      <c r="H8874" s="612"/>
    </row>
    <row r="8875">
      <c r="B8875" s="612"/>
      <c r="H8875" s="612"/>
    </row>
    <row r="8876">
      <c r="B8876" s="612"/>
      <c r="H8876" s="612"/>
    </row>
    <row r="8877">
      <c r="B8877" s="612"/>
      <c r="H8877" s="612"/>
    </row>
    <row r="8878">
      <c r="B8878" s="612"/>
      <c r="H8878" s="612"/>
    </row>
    <row r="8879">
      <c r="B8879" s="612"/>
      <c r="H8879" s="612"/>
    </row>
    <row r="8880">
      <c r="B8880" s="612"/>
      <c r="H8880" s="612"/>
    </row>
    <row r="8881">
      <c r="B8881" s="612"/>
      <c r="H8881" s="612"/>
    </row>
    <row r="8882">
      <c r="B8882" s="612"/>
      <c r="H8882" s="612"/>
    </row>
    <row r="8883">
      <c r="B8883" s="612"/>
      <c r="H8883" s="612"/>
    </row>
    <row r="8884">
      <c r="B8884" s="612"/>
      <c r="H8884" s="612"/>
    </row>
    <row r="8885">
      <c r="B8885" s="612"/>
      <c r="H8885" s="612"/>
    </row>
    <row r="8886">
      <c r="B8886" s="612"/>
      <c r="H8886" s="612"/>
    </row>
    <row r="8887">
      <c r="B8887" s="612"/>
      <c r="H8887" s="612"/>
    </row>
    <row r="8888">
      <c r="B8888" s="612"/>
      <c r="H8888" s="612"/>
    </row>
    <row r="8889">
      <c r="B8889" s="612"/>
      <c r="H8889" s="612"/>
    </row>
    <row r="8890">
      <c r="B8890" s="612"/>
      <c r="H8890" s="612"/>
    </row>
    <row r="8891">
      <c r="B8891" s="612"/>
      <c r="H8891" s="612"/>
    </row>
    <row r="8892">
      <c r="B8892" s="612"/>
      <c r="H8892" s="612"/>
    </row>
    <row r="8893">
      <c r="B8893" s="612"/>
      <c r="H8893" s="612"/>
    </row>
    <row r="8894">
      <c r="B8894" s="612"/>
      <c r="H8894" s="612"/>
    </row>
    <row r="8895">
      <c r="B8895" s="612"/>
      <c r="H8895" s="612"/>
    </row>
    <row r="8896">
      <c r="B8896" s="612"/>
      <c r="H8896" s="612"/>
    </row>
    <row r="8897">
      <c r="B8897" s="612"/>
      <c r="H8897" s="612"/>
    </row>
    <row r="8898">
      <c r="B8898" s="612"/>
      <c r="H8898" s="612"/>
    </row>
    <row r="8899">
      <c r="B8899" s="612"/>
      <c r="H8899" s="612"/>
    </row>
    <row r="8900">
      <c r="B8900" s="612"/>
      <c r="H8900" s="612"/>
    </row>
    <row r="8901">
      <c r="B8901" s="612"/>
      <c r="H8901" s="612"/>
    </row>
    <row r="8902">
      <c r="B8902" s="612"/>
      <c r="H8902" s="612"/>
    </row>
    <row r="8903">
      <c r="B8903" s="612"/>
      <c r="H8903" s="612"/>
    </row>
    <row r="8904">
      <c r="B8904" s="612"/>
      <c r="H8904" s="612"/>
    </row>
    <row r="8905">
      <c r="B8905" s="612"/>
      <c r="H8905" s="612"/>
    </row>
    <row r="8906">
      <c r="B8906" s="612"/>
      <c r="H8906" s="612"/>
    </row>
    <row r="8907">
      <c r="B8907" s="612"/>
      <c r="H8907" s="612"/>
    </row>
    <row r="8908">
      <c r="B8908" s="612"/>
      <c r="H8908" s="612"/>
    </row>
    <row r="8909">
      <c r="B8909" s="612"/>
      <c r="H8909" s="612"/>
    </row>
    <row r="8910">
      <c r="B8910" s="612"/>
      <c r="H8910" s="612"/>
    </row>
    <row r="8911">
      <c r="B8911" s="612"/>
      <c r="H8911" s="612"/>
    </row>
    <row r="8912">
      <c r="B8912" s="612"/>
      <c r="H8912" s="612"/>
    </row>
    <row r="8913">
      <c r="B8913" s="612"/>
      <c r="H8913" s="612"/>
    </row>
    <row r="8914">
      <c r="B8914" s="612"/>
      <c r="H8914" s="612"/>
    </row>
    <row r="8915">
      <c r="B8915" s="612"/>
      <c r="H8915" s="612"/>
    </row>
    <row r="8916">
      <c r="B8916" s="612"/>
      <c r="H8916" s="612"/>
    </row>
    <row r="8917">
      <c r="B8917" s="612"/>
      <c r="H8917" s="612"/>
    </row>
    <row r="8918">
      <c r="B8918" s="612"/>
      <c r="H8918" s="612"/>
    </row>
    <row r="8919">
      <c r="B8919" s="612"/>
      <c r="H8919" s="612"/>
    </row>
    <row r="8920">
      <c r="B8920" s="612"/>
      <c r="H8920" s="612"/>
    </row>
    <row r="8921">
      <c r="B8921" s="612"/>
      <c r="H8921" s="612"/>
    </row>
    <row r="8922">
      <c r="B8922" s="612"/>
      <c r="H8922" s="612"/>
    </row>
    <row r="8923">
      <c r="B8923" s="612"/>
      <c r="H8923" s="612"/>
    </row>
    <row r="8924">
      <c r="B8924" s="612"/>
      <c r="H8924" s="612"/>
    </row>
    <row r="8925">
      <c r="B8925" s="612"/>
      <c r="H8925" s="612"/>
    </row>
    <row r="8926">
      <c r="B8926" s="612"/>
      <c r="H8926" s="612"/>
    </row>
    <row r="8927">
      <c r="B8927" s="612"/>
      <c r="H8927" s="612"/>
    </row>
    <row r="8928">
      <c r="B8928" s="612"/>
      <c r="H8928" s="612"/>
    </row>
    <row r="8929">
      <c r="B8929" s="612"/>
      <c r="H8929" s="612"/>
    </row>
    <row r="8930">
      <c r="B8930" s="612"/>
      <c r="H8930" s="612"/>
    </row>
    <row r="8931">
      <c r="B8931" s="612"/>
      <c r="H8931" s="612"/>
    </row>
    <row r="8932">
      <c r="B8932" s="612"/>
      <c r="H8932" s="612"/>
    </row>
    <row r="8933">
      <c r="B8933" s="612"/>
      <c r="H8933" s="612"/>
    </row>
    <row r="8934">
      <c r="B8934" s="612"/>
      <c r="H8934" s="612"/>
    </row>
    <row r="8935">
      <c r="B8935" s="612"/>
      <c r="H8935" s="612"/>
    </row>
    <row r="8936">
      <c r="B8936" s="612"/>
      <c r="H8936" s="612"/>
    </row>
    <row r="8937">
      <c r="B8937" s="612"/>
      <c r="H8937" s="612"/>
    </row>
    <row r="8938">
      <c r="B8938" s="612"/>
      <c r="H8938" s="612"/>
    </row>
    <row r="8939">
      <c r="B8939" s="612"/>
      <c r="H8939" s="612"/>
    </row>
    <row r="8940">
      <c r="B8940" s="612"/>
      <c r="H8940" s="612"/>
    </row>
    <row r="8941">
      <c r="B8941" s="612"/>
      <c r="H8941" s="612"/>
    </row>
    <row r="8942">
      <c r="B8942" s="612"/>
      <c r="H8942" s="612"/>
    </row>
    <row r="8943">
      <c r="B8943" s="612"/>
      <c r="H8943" s="612"/>
    </row>
    <row r="8944">
      <c r="B8944" s="612"/>
      <c r="H8944" s="612"/>
    </row>
    <row r="8945">
      <c r="B8945" s="612"/>
      <c r="H8945" s="612"/>
    </row>
    <row r="8946">
      <c r="B8946" s="612"/>
      <c r="H8946" s="612"/>
    </row>
    <row r="8947">
      <c r="B8947" s="612"/>
      <c r="H8947" s="612"/>
    </row>
    <row r="8948">
      <c r="B8948" s="612"/>
      <c r="H8948" s="612"/>
    </row>
    <row r="8949">
      <c r="B8949" s="612"/>
      <c r="H8949" s="612"/>
    </row>
    <row r="8950">
      <c r="B8950" s="612"/>
      <c r="H8950" s="612"/>
    </row>
    <row r="8951">
      <c r="B8951" s="612"/>
      <c r="H8951" s="612"/>
    </row>
    <row r="8952">
      <c r="B8952" s="612"/>
      <c r="H8952" s="612"/>
    </row>
    <row r="8953">
      <c r="B8953" s="612"/>
      <c r="H8953" s="612"/>
    </row>
    <row r="8954">
      <c r="B8954" s="612"/>
      <c r="H8954" s="612"/>
    </row>
    <row r="8955">
      <c r="B8955" s="612"/>
      <c r="H8955" s="612"/>
    </row>
    <row r="8956">
      <c r="B8956" s="612"/>
      <c r="H8956" s="612"/>
    </row>
    <row r="8957">
      <c r="B8957" s="612"/>
      <c r="H8957" s="612"/>
    </row>
    <row r="8958">
      <c r="B8958" s="612"/>
      <c r="H8958" s="612"/>
    </row>
    <row r="8959">
      <c r="B8959" s="612"/>
      <c r="H8959" s="612"/>
    </row>
    <row r="8960">
      <c r="B8960" s="612"/>
      <c r="H8960" s="612"/>
    </row>
    <row r="8961">
      <c r="B8961" s="612"/>
      <c r="H8961" s="612"/>
    </row>
    <row r="8962">
      <c r="B8962" s="612"/>
      <c r="H8962" s="612"/>
    </row>
    <row r="8963">
      <c r="B8963" s="612"/>
      <c r="H8963" s="612"/>
    </row>
    <row r="8964">
      <c r="B8964" s="612"/>
      <c r="H8964" s="612"/>
    </row>
    <row r="8965">
      <c r="B8965" s="612"/>
      <c r="H8965" s="612"/>
    </row>
    <row r="8966">
      <c r="B8966" s="612"/>
      <c r="H8966" s="612"/>
    </row>
    <row r="8967">
      <c r="B8967" s="612"/>
      <c r="H8967" s="612"/>
    </row>
    <row r="8968">
      <c r="B8968" s="612"/>
      <c r="H8968" s="612"/>
    </row>
    <row r="8969">
      <c r="B8969" s="612"/>
      <c r="H8969" s="612"/>
    </row>
    <row r="8970">
      <c r="B8970" s="612"/>
      <c r="H8970" s="612"/>
    </row>
    <row r="8971">
      <c r="B8971" s="612"/>
      <c r="H8971" s="612"/>
    </row>
    <row r="8972">
      <c r="B8972" s="612"/>
      <c r="H8972" s="612"/>
    </row>
    <row r="8973">
      <c r="B8973" s="612"/>
      <c r="H8973" s="612"/>
    </row>
    <row r="8974">
      <c r="B8974" s="612"/>
      <c r="H8974" s="612"/>
    </row>
    <row r="8975">
      <c r="B8975" s="612"/>
      <c r="H8975" s="612"/>
    </row>
    <row r="8976">
      <c r="B8976" s="612"/>
      <c r="H8976" s="612"/>
    </row>
    <row r="8977">
      <c r="B8977" s="612"/>
      <c r="H8977" s="612"/>
    </row>
    <row r="8978">
      <c r="B8978" s="612"/>
      <c r="H8978" s="612"/>
    </row>
    <row r="8979">
      <c r="B8979" s="612"/>
      <c r="H8979" s="612"/>
    </row>
    <row r="8980">
      <c r="B8980" s="612"/>
      <c r="H8980" s="612"/>
    </row>
    <row r="8981">
      <c r="B8981" s="612"/>
      <c r="H8981" s="612"/>
    </row>
    <row r="8982">
      <c r="B8982" s="612"/>
      <c r="H8982" s="612"/>
    </row>
    <row r="8983">
      <c r="B8983" s="612"/>
      <c r="H8983" s="612"/>
    </row>
    <row r="8984">
      <c r="B8984" s="612"/>
      <c r="H8984" s="612"/>
    </row>
    <row r="8985">
      <c r="B8985" s="612"/>
      <c r="H8985" s="612"/>
    </row>
    <row r="8986">
      <c r="B8986" s="612"/>
      <c r="H8986" s="612"/>
    </row>
    <row r="8987">
      <c r="B8987" s="612"/>
      <c r="H8987" s="612"/>
    </row>
    <row r="8988">
      <c r="B8988" s="612"/>
      <c r="H8988" s="612"/>
    </row>
    <row r="8989">
      <c r="B8989" s="612"/>
      <c r="H8989" s="612"/>
    </row>
    <row r="8990">
      <c r="B8990" s="612"/>
      <c r="H8990" s="612"/>
    </row>
    <row r="8991">
      <c r="B8991" s="612"/>
      <c r="H8991" s="612"/>
    </row>
    <row r="8992">
      <c r="B8992" s="612"/>
      <c r="H8992" s="612"/>
    </row>
    <row r="8993">
      <c r="B8993" s="612"/>
      <c r="H8993" s="612"/>
    </row>
    <row r="8994">
      <c r="B8994" s="612"/>
      <c r="H8994" s="612"/>
    </row>
    <row r="8995">
      <c r="B8995" s="612"/>
      <c r="H8995" s="612"/>
    </row>
    <row r="8996">
      <c r="B8996" s="612"/>
      <c r="H8996" s="612"/>
    </row>
    <row r="8997">
      <c r="B8997" s="612"/>
      <c r="H8997" s="612"/>
    </row>
    <row r="8998">
      <c r="B8998" s="612"/>
      <c r="H8998" s="612"/>
    </row>
    <row r="8999">
      <c r="B8999" s="612"/>
      <c r="H8999" s="612"/>
    </row>
    <row r="9000">
      <c r="B9000" s="612"/>
      <c r="H9000" s="612"/>
    </row>
    <row r="9001">
      <c r="B9001" s="612"/>
      <c r="H9001" s="612"/>
    </row>
    <row r="9002">
      <c r="B9002" s="612"/>
      <c r="H9002" s="612"/>
    </row>
    <row r="9003">
      <c r="B9003" s="612"/>
      <c r="H9003" s="612"/>
    </row>
    <row r="9004">
      <c r="B9004" s="612"/>
      <c r="H9004" s="612"/>
    </row>
    <row r="9005">
      <c r="B9005" s="612"/>
      <c r="H9005" s="612"/>
    </row>
    <row r="9006">
      <c r="B9006" s="612"/>
      <c r="H9006" s="612"/>
    </row>
    <row r="9007">
      <c r="B9007" s="612"/>
      <c r="H9007" s="612"/>
    </row>
    <row r="9008">
      <c r="B9008" s="612"/>
      <c r="H9008" s="612"/>
    </row>
    <row r="9009">
      <c r="B9009" s="612"/>
      <c r="H9009" s="612"/>
    </row>
    <row r="9010">
      <c r="B9010" s="612"/>
      <c r="H9010" s="612"/>
    </row>
    <row r="9011">
      <c r="B9011" s="612"/>
      <c r="H9011" s="612"/>
    </row>
    <row r="9012">
      <c r="B9012" s="612"/>
      <c r="H9012" s="612"/>
    </row>
    <row r="9013">
      <c r="B9013" s="612"/>
      <c r="H9013" s="612"/>
    </row>
    <row r="9014">
      <c r="B9014" s="612"/>
      <c r="H9014" s="612"/>
    </row>
    <row r="9015">
      <c r="B9015" s="612"/>
      <c r="H9015" s="612"/>
    </row>
    <row r="9016">
      <c r="B9016" s="612"/>
      <c r="H9016" s="612"/>
    </row>
    <row r="9017">
      <c r="B9017" s="612"/>
      <c r="H9017" s="612"/>
    </row>
    <row r="9018">
      <c r="B9018" s="612"/>
      <c r="H9018" s="612"/>
    </row>
    <row r="9019">
      <c r="B9019" s="612"/>
      <c r="H9019" s="612"/>
    </row>
    <row r="9020">
      <c r="B9020" s="612"/>
      <c r="H9020" s="612"/>
    </row>
    <row r="9021">
      <c r="B9021" s="612"/>
      <c r="H9021" s="612"/>
    </row>
    <row r="9022">
      <c r="B9022" s="612"/>
      <c r="H9022" s="612"/>
    </row>
    <row r="9023">
      <c r="B9023" s="612"/>
      <c r="H9023" s="612"/>
    </row>
    <row r="9024">
      <c r="B9024" s="612"/>
      <c r="H9024" s="612"/>
    </row>
    <row r="9025">
      <c r="B9025" s="612"/>
      <c r="H9025" s="612"/>
    </row>
    <row r="9026">
      <c r="B9026" s="612"/>
      <c r="H9026" s="612"/>
    </row>
    <row r="9027">
      <c r="B9027" s="612"/>
      <c r="H9027" s="612"/>
    </row>
    <row r="9028">
      <c r="B9028" s="612"/>
      <c r="H9028" s="612"/>
    </row>
    <row r="9029">
      <c r="B9029" s="612"/>
      <c r="H9029" s="612"/>
    </row>
    <row r="9030">
      <c r="B9030" s="612"/>
      <c r="H9030" s="612"/>
    </row>
    <row r="9031">
      <c r="B9031" s="612"/>
      <c r="H9031" s="612"/>
    </row>
    <row r="9032">
      <c r="B9032" s="612"/>
      <c r="H9032" s="612"/>
    </row>
    <row r="9033">
      <c r="B9033" s="612"/>
      <c r="H9033" s="612"/>
    </row>
    <row r="9034">
      <c r="B9034" s="612"/>
      <c r="H9034" s="612"/>
    </row>
    <row r="9035">
      <c r="B9035" s="612"/>
      <c r="H9035" s="612"/>
    </row>
    <row r="9036">
      <c r="B9036" s="612"/>
      <c r="H9036" s="612"/>
    </row>
    <row r="9037">
      <c r="B9037" s="612"/>
      <c r="H9037" s="612"/>
    </row>
    <row r="9038">
      <c r="B9038" s="612"/>
      <c r="H9038" s="612"/>
    </row>
    <row r="9039">
      <c r="B9039" s="612"/>
      <c r="H9039" s="612"/>
    </row>
    <row r="9040">
      <c r="B9040" s="612"/>
      <c r="H9040" s="612"/>
    </row>
    <row r="9041">
      <c r="B9041" s="612"/>
      <c r="H9041" s="612"/>
    </row>
    <row r="9042">
      <c r="B9042" s="612"/>
      <c r="H9042" s="612"/>
    </row>
    <row r="9043">
      <c r="B9043" s="612"/>
      <c r="H9043" s="612"/>
    </row>
    <row r="9044">
      <c r="B9044" s="612"/>
      <c r="H9044" s="612"/>
    </row>
    <row r="9045">
      <c r="B9045" s="612"/>
      <c r="H9045" s="612"/>
    </row>
    <row r="9046">
      <c r="B9046" s="612"/>
      <c r="H9046" s="612"/>
    </row>
    <row r="9047">
      <c r="B9047" s="612"/>
      <c r="H9047" s="612"/>
    </row>
    <row r="9048">
      <c r="B9048" s="612"/>
      <c r="H9048" s="612"/>
    </row>
    <row r="9049">
      <c r="B9049" s="612"/>
      <c r="H9049" s="612"/>
    </row>
    <row r="9050">
      <c r="B9050" s="612"/>
      <c r="H9050" s="612"/>
    </row>
    <row r="9051">
      <c r="B9051" s="612"/>
      <c r="H9051" s="612"/>
    </row>
    <row r="9052">
      <c r="B9052" s="612"/>
      <c r="H9052" s="612"/>
    </row>
    <row r="9053">
      <c r="B9053" s="612"/>
      <c r="H9053" s="612"/>
    </row>
    <row r="9054">
      <c r="B9054" s="612"/>
      <c r="H9054" s="612"/>
    </row>
    <row r="9055">
      <c r="B9055" s="612"/>
      <c r="H9055" s="612"/>
    </row>
    <row r="9056">
      <c r="B9056" s="612"/>
      <c r="H9056" s="612"/>
    </row>
    <row r="9057">
      <c r="B9057" s="612"/>
      <c r="H9057" s="612"/>
    </row>
    <row r="9058">
      <c r="B9058" s="612"/>
      <c r="H9058" s="612"/>
    </row>
    <row r="9059">
      <c r="B9059" s="612"/>
      <c r="H9059" s="612"/>
    </row>
    <row r="9060">
      <c r="B9060" s="612"/>
      <c r="H9060" s="612"/>
    </row>
    <row r="9061">
      <c r="B9061" s="612"/>
      <c r="H9061" s="612"/>
    </row>
    <row r="9062">
      <c r="B9062" s="612"/>
      <c r="H9062" s="612"/>
    </row>
    <row r="9063">
      <c r="B9063" s="612"/>
      <c r="H9063" s="612"/>
    </row>
    <row r="9064">
      <c r="B9064" s="612"/>
      <c r="H9064" s="612"/>
    </row>
    <row r="9065">
      <c r="B9065" s="612"/>
      <c r="H9065" s="612"/>
    </row>
    <row r="9066">
      <c r="B9066" s="612"/>
      <c r="H9066" s="612"/>
    </row>
    <row r="9067">
      <c r="B9067" s="612"/>
      <c r="H9067" s="612"/>
    </row>
    <row r="9068">
      <c r="B9068" s="612"/>
      <c r="H9068" s="612"/>
    </row>
    <row r="9069">
      <c r="B9069" s="612"/>
      <c r="H9069" s="612"/>
    </row>
    <row r="9070">
      <c r="B9070" s="612"/>
      <c r="H9070" s="612"/>
    </row>
    <row r="9071">
      <c r="B9071" s="612"/>
      <c r="H9071" s="612"/>
    </row>
    <row r="9072">
      <c r="B9072" s="612"/>
      <c r="H9072" s="612"/>
    </row>
    <row r="9073">
      <c r="B9073" s="612"/>
      <c r="H9073" s="612"/>
    </row>
    <row r="9074">
      <c r="B9074" s="612"/>
      <c r="H9074" s="612"/>
    </row>
    <row r="9075">
      <c r="B9075" s="612"/>
      <c r="H9075" s="612"/>
    </row>
    <row r="9076">
      <c r="B9076" s="612"/>
      <c r="H9076" s="612"/>
    </row>
    <row r="9077">
      <c r="B9077" s="612"/>
      <c r="H9077" s="612"/>
    </row>
    <row r="9078">
      <c r="B9078" s="612"/>
      <c r="H9078" s="612"/>
    </row>
    <row r="9079">
      <c r="B9079" s="612"/>
      <c r="H9079" s="612"/>
    </row>
    <row r="9080">
      <c r="B9080" s="612"/>
      <c r="H9080" s="612"/>
    </row>
    <row r="9081">
      <c r="B9081" s="612"/>
      <c r="H9081" s="612"/>
    </row>
    <row r="9082">
      <c r="B9082" s="612"/>
      <c r="H9082" s="612"/>
    </row>
    <row r="9083">
      <c r="B9083" s="612"/>
      <c r="H9083" s="612"/>
    </row>
    <row r="9084">
      <c r="B9084" s="612"/>
      <c r="H9084" s="612"/>
    </row>
    <row r="9085">
      <c r="B9085" s="612"/>
      <c r="H9085" s="612"/>
    </row>
    <row r="9086">
      <c r="B9086" s="612"/>
      <c r="H9086" s="612"/>
    </row>
    <row r="9087">
      <c r="B9087" s="612"/>
      <c r="H9087" s="612"/>
    </row>
    <row r="9088">
      <c r="B9088" s="612"/>
      <c r="H9088" s="612"/>
    </row>
    <row r="9089">
      <c r="B9089" s="612"/>
      <c r="H9089" s="612"/>
    </row>
    <row r="9090">
      <c r="B9090" s="612"/>
      <c r="H9090" s="612"/>
    </row>
    <row r="9091">
      <c r="B9091" s="612"/>
      <c r="H9091" s="612"/>
    </row>
    <row r="9092">
      <c r="B9092" s="612"/>
      <c r="H9092" s="612"/>
    </row>
    <row r="9093">
      <c r="B9093" s="612"/>
      <c r="H9093" s="612"/>
    </row>
    <row r="9094">
      <c r="B9094" s="612"/>
      <c r="H9094" s="612"/>
    </row>
    <row r="9095">
      <c r="B9095" s="612"/>
      <c r="H9095" s="612"/>
    </row>
    <row r="9096">
      <c r="B9096" s="612"/>
      <c r="H9096" s="612"/>
    </row>
    <row r="9097">
      <c r="B9097" s="612"/>
      <c r="H9097" s="612"/>
    </row>
    <row r="9098">
      <c r="B9098" s="612"/>
      <c r="H9098" s="612"/>
    </row>
    <row r="9099">
      <c r="B9099" s="612"/>
      <c r="H9099" s="612"/>
    </row>
    <row r="9100">
      <c r="B9100" s="612"/>
      <c r="H9100" s="612"/>
    </row>
    <row r="9101">
      <c r="B9101" s="612"/>
      <c r="H9101" s="612"/>
    </row>
    <row r="9102">
      <c r="B9102" s="612"/>
      <c r="H9102" s="612"/>
    </row>
    <row r="9103">
      <c r="B9103" s="612"/>
      <c r="H9103" s="612"/>
    </row>
    <row r="9104">
      <c r="B9104" s="612"/>
      <c r="H9104" s="612"/>
    </row>
    <row r="9105">
      <c r="B9105" s="612"/>
      <c r="H9105" s="612"/>
    </row>
    <row r="9106">
      <c r="B9106" s="612"/>
      <c r="H9106" s="612"/>
    </row>
    <row r="9107">
      <c r="B9107" s="612"/>
      <c r="H9107" s="612"/>
    </row>
    <row r="9108">
      <c r="B9108" s="612"/>
      <c r="H9108" s="612"/>
    </row>
    <row r="9109">
      <c r="B9109" s="612"/>
      <c r="H9109" s="612"/>
    </row>
    <row r="9110">
      <c r="B9110" s="612"/>
      <c r="H9110" s="612"/>
    </row>
    <row r="9111">
      <c r="B9111" s="612"/>
      <c r="H9111" s="612"/>
    </row>
    <row r="9112">
      <c r="B9112" s="612"/>
      <c r="H9112" s="612"/>
    </row>
    <row r="9113">
      <c r="B9113" s="612"/>
      <c r="H9113" s="612"/>
    </row>
    <row r="9114">
      <c r="B9114" s="612"/>
      <c r="H9114" s="612"/>
    </row>
    <row r="9115">
      <c r="B9115" s="612"/>
      <c r="H9115" s="612"/>
    </row>
    <row r="9116">
      <c r="B9116" s="612"/>
      <c r="H9116" s="612"/>
    </row>
    <row r="9117">
      <c r="B9117" s="612"/>
      <c r="H9117" s="612"/>
    </row>
    <row r="9118">
      <c r="B9118" s="612"/>
      <c r="H9118" s="612"/>
    </row>
    <row r="9119">
      <c r="B9119" s="612"/>
      <c r="H9119" s="612"/>
    </row>
    <row r="9120">
      <c r="B9120" s="612"/>
      <c r="H9120" s="612"/>
    </row>
    <row r="9121">
      <c r="B9121" s="612"/>
      <c r="H9121" s="612"/>
    </row>
    <row r="9122">
      <c r="B9122" s="612"/>
      <c r="H9122" s="612"/>
    </row>
    <row r="9123">
      <c r="B9123" s="612"/>
      <c r="H9123" s="612"/>
    </row>
    <row r="9124">
      <c r="B9124" s="612"/>
      <c r="H9124" s="612"/>
    </row>
    <row r="9125">
      <c r="B9125" s="612"/>
      <c r="H9125" s="612"/>
    </row>
    <row r="9126">
      <c r="B9126" s="612"/>
      <c r="H9126" s="612"/>
    </row>
    <row r="9127">
      <c r="B9127" s="612"/>
      <c r="H9127" s="612"/>
    </row>
    <row r="9128">
      <c r="B9128" s="612"/>
      <c r="H9128" s="612"/>
    </row>
    <row r="9129">
      <c r="B9129" s="612"/>
      <c r="H9129" s="612"/>
    </row>
    <row r="9130">
      <c r="B9130" s="612"/>
      <c r="H9130" s="612"/>
    </row>
    <row r="9131">
      <c r="B9131" s="612"/>
      <c r="H9131" s="612"/>
    </row>
    <row r="9132">
      <c r="B9132" s="612"/>
      <c r="H9132" s="612"/>
    </row>
    <row r="9133">
      <c r="B9133" s="612"/>
      <c r="H9133" s="612"/>
    </row>
    <row r="9134">
      <c r="B9134" s="612"/>
      <c r="H9134" s="612"/>
    </row>
    <row r="9135">
      <c r="B9135" s="612"/>
      <c r="H9135" s="612"/>
    </row>
    <row r="9136">
      <c r="B9136" s="612"/>
      <c r="H9136" s="612"/>
    </row>
    <row r="9137">
      <c r="B9137" s="612"/>
      <c r="H9137" s="612"/>
    </row>
    <row r="9138">
      <c r="B9138" s="612"/>
      <c r="H9138" s="612"/>
    </row>
    <row r="9139">
      <c r="B9139" s="612"/>
      <c r="H9139" s="612"/>
    </row>
    <row r="9140">
      <c r="B9140" s="612"/>
      <c r="H9140" s="612"/>
    </row>
    <row r="9141">
      <c r="B9141" s="612"/>
      <c r="H9141" s="612"/>
    </row>
    <row r="9142">
      <c r="B9142" s="612"/>
      <c r="H9142" s="612"/>
    </row>
    <row r="9143">
      <c r="B9143" s="612"/>
      <c r="H9143" s="612"/>
    </row>
    <row r="9144">
      <c r="B9144" s="612"/>
      <c r="H9144" s="612"/>
    </row>
    <row r="9145">
      <c r="B9145" s="612"/>
      <c r="H9145" s="612"/>
    </row>
    <row r="9146">
      <c r="B9146" s="612"/>
      <c r="H9146" s="612"/>
    </row>
    <row r="9147">
      <c r="B9147" s="612"/>
      <c r="H9147" s="612"/>
    </row>
    <row r="9148">
      <c r="B9148" s="612"/>
      <c r="H9148" s="612"/>
    </row>
    <row r="9149">
      <c r="B9149" s="612"/>
      <c r="H9149" s="612"/>
    </row>
    <row r="9150">
      <c r="B9150" s="612"/>
      <c r="H9150" s="612"/>
    </row>
    <row r="9151">
      <c r="B9151" s="612"/>
      <c r="H9151" s="612"/>
    </row>
    <row r="9152">
      <c r="B9152" s="612"/>
      <c r="H9152" s="612"/>
    </row>
    <row r="9153">
      <c r="B9153" s="612"/>
      <c r="H9153" s="612"/>
    </row>
    <row r="9154">
      <c r="B9154" s="612"/>
      <c r="H9154" s="612"/>
    </row>
    <row r="9155">
      <c r="B9155" s="612"/>
      <c r="H9155" s="612"/>
    </row>
    <row r="9156">
      <c r="B9156" s="612"/>
      <c r="H9156" s="612"/>
    </row>
    <row r="9157">
      <c r="B9157" s="612"/>
      <c r="H9157" s="612"/>
    </row>
    <row r="9158">
      <c r="B9158" s="612"/>
      <c r="H9158" s="612"/>
    </row>
    <row r="9159">
      <c r="B9159" s="612"/>
      <c r="H9159" s="612"/>
    </row>
    <row r="9160">
      <c r="B9160" s="612"/>
      <c r="H9160" s="612"/>
    </row>
    <row r="9161">
      <c r="B9161" s="612"/>
      <c r="H9161" s="612"/>
    </row>
    <row r="9162">
      <c r="B9162" s="612"/>
      <c r="H9162" s="612"/>
    </row>
    <row r="9163">
      <c r="B9163" s="612"/>
      <c r="H9163" s="612"/>
    </row>
    <row r="9164">
      <c r="B9164" s="612"/>
      <c r="H9164" s="612"/>
    </row>
    <row r="9165">
      <c r="B9165" s="612"/>
      <c r="H9165" s="612"/>
    </row>
    <row r="9166">
      <c r="B9166" s="612"/>
      <c r="H9166" s="612"/>
    </row>
    <row r="9167">
      <c r="B9167" s="612"/>
      <c r="H9167" s="612"/>
    </row>
    <row r="9168">
      <c r="B9168" s="612"/>
      <c r="H9168" s="612"/>
    </row>
    <row r="9169">
      <c r="B9169" s="612"/>
      <c r="H9169" s="612"/>
    </row>
    <row r="9170">
      <c r="B9170" s="612"/>
      <c r="H9170" s="612"/>
    </row>
    <row r="9171">
      <c r="B9171" s="612"/>
      <c r="H9171" s="612"/>
    </row>
    <row r="9172">
      <c r="B9172" s="612"/>
      <c r="H9172" s="612"/>
    </row>
    <row r="9173">
      <c r="B9173" s="612"/>
      <c r="H9173" s="612"/>
    </row>
    <row r="9174">
      <c r="B9174" s="612"/>
      <c r="H9174" s="612"/>
    </row>
    <row r="9175">
      <c r="B9175" s="612"/>
      <c r="H9175" s="612"/>
    </row>
    <row r="9176">
      <c r="B9176" s="612"/>
      <c r="H9176" s="612"/>
    </row>
    <row r="9177">
      <c r="B9177" s="612"/>
      <c r="H9177" s="612"/>
    </row>
    <row r="9178">
      <c r="B9178" s="612"/>
      <c r="H9178" s="612"/>
    </row>
    <row r="9179">
      <c r="B9179" s="612"/>
      <c r="H9179" s="612"/>
    </row>
    <row r="9180">
      <c r="B9180" s="612"/>
      <c r="H9180" s="612"/>
    </row>
    <row r="9181">
      <c r="B9181" s="612"/>
      <c r="H9181" s="612"/>
    </row>
    <row r="9182">
      <c r="B9182" s="612"/>
      <c r="H9182" s="612"/>
    </row>
    <row r="9183">
      <c r="B9183" s="612"/>
      <c r="H9183" s="612"/>
    </row>
    <row r="9184">
      <c r="B9184" s="612"/>
      <c r="H9184" s="612"/>
    </row>
    <row r="9185">
      <c r="B9185" s="612"/>
      <c r="H9185" s="612"/>
    </row>
    <row r="9186">
      <c r="B9186" s="612"/>
      <c r="H9186" s="612"/>
    </row>
    <row r="9187">
      <c r="B9187" s="612"/>
      <c r="H9187" s="612"/>
    </row>
    <row r="9188">
      <c r="B9188" s="612"/>
      <c r="H9188" s="612"/>
    </row>
    <row r="9189">
      <c r="B9189" s="612"/>
      <c r="H9189" s="612"/>
    </row>
    <row r="9190">
      <c r="B9190" s="612"/>
      <c r="H9190" s="612"/>
    </row>
    <row r="9191">
      <c r="B9191" s="612"/>
      <c r="H9191" s="612"/>
    </row>
    <row r="9192">
      <c r="B9192" s="612"/>
      <c r="H9192" s="612"/>
    </row>
    <row r="9193">
      <c r="B9193" s="612"/>
      <c r="H9193" s="612"/>
    </row>
    <row r="9194">
      <c r="B9194" s="612"/>
      <c r="H9194" s="612"/>
    </row>
    <row r="9195">
      <c r="B9195" s="612"/>
      <c r="H9195" s="612"/>
    </row>
    <row r="9196">
      <c r="B9196" s="612"/>
      <c r="H9196" s="612"/>
    </row>
    <row r="9197">
      <c r="B9197" s="612"/>
      <c r="H9197" s="612"/>
    </row>
    <row r="9198">
      <c r="B9198" s="612"/>
      <c r="H9198" s="612"/>
    </row>
    <row r="9199">
      <c r="B9199" s="612"/>
      <c r="H9199" s="612"/>
    </row>
    <row r="9200">
      <c r="B9200" s="612"/>
      <c r="H9200" s="612"/>
    </row>
    <row r="9201">
      <c r="B9201" s="612"/>
      <c r="H9201" s="612"/>
    </row>
    <row r="9202">
      <c r="B9202" s="612"/>
      <c r="H9202" s="612"/>
    </row>
    <row r="9203">
      <c r="B9203" s="612"/>
      <c r="H9203" s="612"/>
    </row>
    <row r="9204">
      <c r="B9204" s="612"/>
      <c r="H9204" s="612"/>
    </row>
    <row r="9205">
      <c r="B9205" s="612"/>
      <c r="H9205" s="612"/>
    </row>
    <row r="9206">
      <c r="B9206" s="612"/>
      <c r="H9206" s="612"/>
    </row>
    <row r="9207">
      <c r="B9207" s="612"/>
      <c r="H9207" s="612"/>
    </row>
    <row r="9208">
      <c r="B9208" s="612"/>
      <c r="H9208" s="612"/>
    </row>
    <row r="9209">
      <c r="B9209" s="612"/>
      <c r="H9209" s="612"/>
    </row>
    <row r="9210">
      <c r="B9210" s="612"/>
      <c r="H9210" s="612"/>
    </row>
    <row r="9211">
      <c r="B9211" s="612"/>
      <c r="H9211" s="612"/>
    </row>
    <row r="9212">
      <c r="B9212" s="612"/>
      <c r="H9212" s="612"/>
    </row>
    <row r="9213">
      <c r="B9213" s="612"/>
      <c r="H9213" s="612"/>
    </row>
    <row r="9214">
      <c r="B9214" s="612"/>
      <c r="H9214" s="612"/>
    </row>
    <row r="9215">
      <c r="B9215" s="612"/>
      <c r="H9215" s="612"/>
    </row>
    <row r="9216">
      <c r="B9216" s="612"/>
      <c r="H9216" s="612"/>
    </row>
    <row r="9217">
      <c r="B9217" s="612"/>
      <c r="H9217" s="612"/>
    </row>
    <row r="9218">
      <c r="B9218" s="612"/>
      <c r="H9218" s="612"/>
    </row>
    <row r="9219">
      <c r="B9219" s="612"/>
      <c r="H9219" s="612"/>
    </row>
    <row r="9220">
      <c r="B9220" s="612"/>
      <c r="H9220" s="612"/>
    </row>
    <row r="9221">
      <c r="B9221" s="612"/>
      <c r="H9221" s="612"/>
    </row>
    <row r="9222">
      <c r="B9222" s="612"/>
      <c r="H9222" s="612"/>
    </row>
    <row r="9223">
      <c r="B9223" s="612"/>
      <c r="H9223" s="612"/>
    </row>
    <row r="9224">
      <c r="B9224" s="612"/>
      <c r="H9224" s="612"/>
    </row>
    <row r="9225">
      <c r="B9225" s="612"/>
      <c r="H9225" s="612"/>
    </row>
    <row r="9226">
      <c r="B9226" s="612"/>
      <c r="H9226" s="612"/>
    </row>
    <row r="9227">
      <c r="B9227" s="612"/>
      <c r="H9227" s="612"/>
    </row>
    <row r="9228">
      <c r="B9228" s="612"/>
      <c r="H9228" s="612"/>
    </row>
    <row r="9229">
      <c r="B9229" s="612"/>
      <c r="H9229" s="612"/>
    </row>
    <row r="9230">
      <c r="B9230" s="612"/>
      <c r="H9230" s="612"/>
    </row>
    <row r="9231">
      <c r="B9231" s="612"/>
      <c r="H9231" s="612"/>
    </row>
    <row r="9232">
      <c r="B9232" s="612"/>
      <c r="H9232" s="612"/>
    </row>
    <row r="9233">
      <c r="B9233" s="612"/>
      <c r="H9233" s="612"/>
    </row>
    <row r="9234">
      <c r="B9234" s="612"/>
      <c r="H9234" s="612"/>
    </row>
    <row r="9235">
      <c r="B9235" s="612"/>
      <c r="H9235" s="612"/>
    </row>
    <row r="9236">
      <c r="B9236" s="612"/>
      <c r="H9236" s="612"/>
    </row>
    <row r="9237">
      <c r="B9237" s="612"/>
      <c r="H9237" s="612"/>
    </row>
    <row r="9238">
      <c r="B9238" s="612"/>
      <c r="H9238" s="612"/>
    </row>
    <row r="9239">
      <c r="B9239" s="612"/>
      <c r="H9239" s="612"/>
    </row>
    <row r="9240">
      <c r="B9240" s="612"/>
      <c r="H9240" s="612"/>
    </row>
    <row r="9241">
      <c r="B9241" s="612"/>
      <c r="H9241" s="612"/>
    </row>
    <row r="9242">
      <c r="B9242" s="612"/>
      <c r="H9242" s="612"/>
    </row>
    <row r="9243">
      <c r="B9243" s="612"/>
      <c r="H9243" s="612"/>
    </row>
    <row r="9244">
      <c r="B9244" s="612"/>
      <c r="H9244" s="612"/>
    </row>
    <row r="9245">
      <c r="B9245" s="612"/>
      <c r="H9245" s="612"/>
    </row>
    <row r="9246">
      <c r="B9246" s="612"/>
      <c r="H9246" s="612"/>
    </row>
    <row r="9247">
      <c r="B9247" s="612"/>
      <c r="H9247" s="612"/>
    </row>
    <row r="9248">
      <c r="B9248" s="612"/>
      <c r="H9248" s="612"/>
    </row>
    <row r="9249">
      <c r="B9249" s="612"/>
      <c r="H9249" s="612"/>
    </row>
    <row r="9250">
      <c r="B9250" s="612"/>
      <c r="H9250" s="612"/>
    </row>
    <row r="9251">
      <c r="B9251" s="612"/>
      <c r="H9251" s="612"/>
    </row>
    <row r="9252">
      <c r="B9252" s="612"/>
      <c r="H9252" s="612"/>
    </row>
    <row r="9253">
      <c r="B9253" s="612"/>
      <c r="H9253" s="612"/>
    </row>
    <row r="9254">
      <c r="B9254" s="612"/>
      <c r="H9254" s="612"/>
    </row>
    <row r="9255">
      <c r="B9255" s="612"/>
      <c r="H9255" s="612"/>
    </row>
    <row r="9256">
      <c r="B9256" s="612"/>
      <c r="H9256" s="612"/>
    </row>
    <row r="9257">
      <c r="B9257" s="612"/>
      <c r="H9257" s="612"/>
    </row>
    <row r="9258">
      <c r="B9258" s="612"/>
      <c r="H9258" s="612"/>
    </row>
    <row r="9259">
      <c r="B9259" s="612"/>
      <c r="H9259" s="612"/>
    </row>
    <row r="9260">
      <c r="B9260" s="612"/>
      <c r="H9260" s="612"/>
    </row>
    <row r="9261">
      <c r="B9261" s="612"/>
      <c r="H9261" s="612"/>
    </row>
    <row r="9262">
      <c r="B9262" s="612"/>
      <c r="H9262" s="612"/>
    </row>
    <row r="9263">
      <c r="B9263" s="612"/>
      <c r="H9263" s="612"/>
    </row>
    <row r="9264">
      <c r="B9264" s="612"/>
      <c r="H9264" s="612"/>
    </row>
    <row r="9265">
      <c r="B9265" s="612"/>
      <c r="H9265" s="612"/>
    </row>
    <row r="9266">
      <c r="B9266" s="612"/>
      <c r="H9266" s="612"/>
    </row>
    <row r="9267">
      <c r="B9267" s="612"/>
      <c r="H9267" s="612"/>
    </row>
    <row r="9268">
      <c r="B9268" s="612"/>
      <c r="H9268" s="612"/>
    </row>
    <row r="9269">
      <c r="B9269" s="612"/>
      <c r="H9269" s="612"/>
    </row>
    <row r="9270">
      <c r="B9270" s="612"/>
      <c r="H9270" s="612"/>
    </row>
    <row r="9271">
      <c r="B9271" s="612"/>
      <c r="H9271" s="612"/>
    </row>
    <row r="9272">
      <c r="B9272" s="612"/>
      <c r="H9272" s="612"/>
    </row>
    <row r="9273">
      <c r="B9273" s="612"/>
      <c r="H9273" s="612"/>
    </row>
    <row r="9274">
      <c r="B9274" s="612"/>
      <c r="H9274" s="612"/>
    </row>
    <row r="9275">
      <c r="B9275" s="612"/>
      <c r="H9275" s="612"/>
    </row>
    <row r="9276">
      <c r="B9276" s="612"/>
      <c r="H9276" s="612"/>
    </row>
    <row r="9277">
      <c r="B9277" s="612"/>
      <c r="H9277" s="612"/>
    </row>
    <row r="9278">
      <c r="B9278" s="612"/>
      <c r="H9278" s="612"/>
    </row>
    <row r="9279">
      <c r="B9279" s="612"/>
      <c r="H9279" s="612"/>
    </row>
    <row r="9280">
      <c r="B9280" s="612"/>
      <c r="H9280" s="612"/>
    </row>
    <row r="9281">
      <c r="B9281" s="612"/>
      <c r="H9281" s="612"/>
    </row>
    <row r="9282">
      <c r="B9282" s="612"/>
      <c r="H9282" s="612"/>
    </row>
    <row r="9283">
      <c r="B9283" s="612"/>
      <c r="H9283" s="612"/>
    </row>
    <row r="9284">
      <c r="B9284" s="612"/>
      <c r="H9284" s="612"/>
    </row>
    <row r="9285">
      <c r="B9285" s="612"/>
      <c r="H9285" s="612"/>
    </row>
    <row r="9286">
      <c r="B9286" s="612"/>
      <c r="H9286" s="612"/>
    </row>
    <row r="9287">
      <c r="B9287" s="612"/>
      <c r="H9287" s="612"/>
    </row>
    <row r="9288">
      <c r="B9288" s="612"/>
      <c r="H9288" s="612"/>
    </row>
    <row r="9289">
      <c r="B9289" s="612"/>
      <c r="H9289" s="612"/>
    </row>
    <row r="9290">
      <c r="B9290" s="612"/>
      <c r="H9290" s="612"/>
    </row>
    <row r="9291">
      <c r="B9291" s="612"/>
      <c r="H9291" s="612"/>
    </row>
    <row r="9292">
      <c r="B9292" s="612"/>
      <c r="H9292" s="612"/>
    </row>
    <row r="9293">
      <c r="B9293" s="612"/>
      <c r="H9293" s="612"/>
    </row>
    <row r="9294">
      <c r="B9294" s="612"/>
      <c r="H9294" s="612"/>
    </row>
    <row r="9295">
      <c r="B9295" s="612"/>
      <c r="H9295" s="612"/>
    </row>
    <row r="9296">
      <c r="B9296" s="612"/>
      <c r="H9296" s="612"/>
    </row>
    <row r="9297">
      <c r="B9297" s="612"/>
      <c r="H9297" s="612"/>
    </row>
    <row r="9298">
      <c r="B9298" s="612"/>
      <c r="H9298" s="612"/>
    </row>
    <row r="9299">
      <c r="B9299" s="612"/>
      <c r="H9299" s="612"/>
    </row>
    <row r="9300">
      <c r="B9300" s="612"/>
      <c r="H9300" s="612"/>
    </row>
    <row r="9301">
      <c r="B9301" s="612"/>
      <c r="H9301" s="612"/>
    </row>
    <row r="9302">
      <c r="B9302" s="612"/>
      <c r="H9302" s="612"/>
    </row>
    <row r="9303">
      <c r="B9303" s="612"/>
      <c r="H9303" s="612"/>
    </row>
    <row r="9304">
      <c r="B9304" s="612"/>
      <c r="H9304" s="612"/>
    </row>
    <row r="9305">
      <c r="B9305" s="612"/>
      <c r="H9305" s="612"/>
    </row>
    <row r="9306">
      <c r="B9306" s="612"/>
      <c r="H9306" s="612"/>
    </row>
    <row r="9307">
      <c r="B9307" s="612"/>
      <c r="H9307" s="612"/>
    </row>
    <row r="9308">
      <c r="B9308" s="612"/>
      <c r="H9308" s="612"/>
    </row>
    <row r="9309">
      <c r="B9309" s="612"/>
      <c r="H9309" s="612"/>
    </row>
    <row r="9310">
      <c r="B9310" s="612"/>
      <c r="H9310" s="612"/>
    </row>
    <row r="9311">
      <c r="B9311" s="612"/>
      <c r="H9311" s="612"/>
    </row>
    <row r="9312">
      <c r="B9312" s="612"/>
      <c r="H9312" s="612"/>
    </row>
    <row r="9313">
      <c r="B9313" s="612"/>
      <c r="H9313" s="612"/>
    </row>
    <row r="9314">
      <c r="B9314" s="612"/>
      <c r="H9314" s="612"/>
    </row>
    <row r="9315">
      <c r="B9315" s="612"/>
      <c r="H9315" s="612"/>
    </row>
    <row r="9316">
      <c r="B9316" s="612"/>
      <c r="H9316" s="612"/>
    </row>
    <row r="9317">
      <c r="B9317" s="612"/>
      <c r="H9317" s="612"/>
    </row>
    <row r="9318">
      <c r="B9318" s="612"/>
      <c r="H9318" s="612"/>
    </row>
    <row r="9319">
      <c r="B9319" s="612"/>
      <c r="H9319" s="612"/>
    </row>
    <row r="9320">
      <c r="B9320" s="612"/>
      <c r="H9320" s="612"/>
    </row>
    <row r="9321">
      <c r="B9321" s="612"/>
      <c r="H9321" s="612"/>
    </row>
    <row r="9322">
      <c r="B9322" s="612"/>
      <c r="H9322" s="612"/>
    </row>
    <row r="9323">
      <c r="B9323" s="612"/>
      <c r="H9323" s="612"/>
    </row>
    <row r="9324">
      <c r="B9324" s="612"/>
      <c r="H9324" s="612"/>
    </row>
    <row r="9325">
      <c r="B9325" s="612"/>
      <c r="H9325" s="612"/>
    </row>
    <row r="9326">
      <c r="B9326" s="612"/>
      <c r="H9326" s="612"/>
    </row>
    <row r="9327">
      <c r="B9327" s="612"/>
      <c r="H9327" s="612"/>
    </row>
    <row r="9328">
      <c r="B9328" s="612"/>
      <c r="H9328" s="612"/>
    </row>
    <row r="9329">
      <c r="B9329" s="612"/>
      <c r="H9329" s="612"/>
    </row>
    <row r="9330">
      <c r="B9330" s="612"/>
      <c r="H9330" s="612"/>
    </row>
    <row r="9331">
      <c r="B9331" s="612"/>
      <c r="H9331" s="612"/>
    </row>
    <row r="9332">
      <c r="B9332" s="612"/>
      <c r="H9332" s="612"/>
    </row>
    <row r="9333">
      <c r="B9333" s="612"/>
      <c r="H9333" s="612"/>
    </row>
    <row r="9334">
      <c r="B9334" s="612"/>
      <c r="H9334" s="612"/>
    </row>
    <row r="9335">
      <c r="B9335" s="612"/>
      <c r="H9335" s="612"/>
    </row>
    <row r="9336">
      <c r="B9336" s="612"/>
      <c r="H9336" s="612"/>
    </row>
    <row r="9337">
      <c r="B9337" s="612"/>
      <c r="H9337" s="612"/>
    </row>
    <row r="9338">
      <c r="B9338" s="612"/>
      <c r="H9338" s="612"/>
    </row>
    <row r="9339">
      <c r="B9339" s="612"/>
      <c r="H9339" s="612"/>
    </row>
    <row r="9340">
      <c r="B9340" s="612"/>
      <c r="H9340" s="612"/>
    </row>
    <row r="9341">
      <c r="B9341" s="612"/>
      <c r="H9341" s="612"/>
    </row>
    <row r="9342">
      <c r="B9342" s="612"/>
      <c r="H9342" s="612"/>
    </row>
    <row r="9343">
      <c r="B9343" s="612"/>
      <c r="H9343" s="612"/>
    </row>
    <row r="9344">
      <c r="B9344" s="612"/>
      <c r="H9344" s="612"/>
    </row>
    <row r="9345">
      <c r="B9345" s="612"/>
      <c r="H9345" s="612"/>
    </row>
    <row r="9346">
      <c r="B9346" s="612"/>
      <c r="H9346" s="612"/>
    </row>
    <row r="9347">
      <c r="B9347" s="612"/>
      <c r="H9347" s="612"/>
    </row>
    <row r="9348">
      <c r="B9348" s="612"/>
      <c r="H9348" s="612"/>
    </row>
    <row r="9349">
      <c r="B9349" s="612"/>
      <c r="H9349" s="612"/>
    </row>
    <row r="9350">
      <c r="B9350" s="612"/>
      <c r="H9350" s="612"/>
    </row>
    <row r="9351">
      <c r="B9351" s="612"/>
      <c r="H9351" s="612"/>
    </row>
    <row r="9352">
      <c r="B9352" s="612"/>
      <c r="H9352" s="612"/>
    </row>
    <row r="9353">
      <c r="B9353" s="612"/>
      <c r="H9353" s="612"/>
    </row>
    <row r="9354">
      <c r="B9354" s="612"/>
      <c r="H9354" s="612"/>
    </row>
    <row r="9355">
      <c r="B9355" s="612"/>
      <c r="H9355" s="612"/>
    </row>
    <row r="9356">
      <c r="B9356" s="612"/>
      <c r="H9356" s="612"/>
    </row>
    <row r="9357">
      <c r="B9357" s="612"/>
      <c r="H9357" s="612"/>
    </row>
    <row r="9358">
      <c r="B9358" s="612"/>
      <c r="H9358" s="612"/>
    </row>
    <row r="9359">
      <c r="B9359" s="612"/>
      <c r="H9359" s="612"/>
    </row>
    <row r="9360">
      <c r="B9360" s="612"/>
      <c r="H9360" s="612"/>
    </row>
    <row r="9361">
      <c r="B9361" s="612"/>
      <c r="H9361" s="612"/>
    </row>
    <row r="9362">
      <c r="B9362" s="612"/>
      <c r="H9362" s="612"/>
    </row>
    <row r="9363">
      <c r="B9363" s="612"/>
      <c r="H9363" s="612"/>
    </row>
    <row r="9364">
      <c r="B9364" s="612"/>
      <c r="H9364" s="612"/>
    </row>
    <row r="9365">
      <c r="B9365" s="612"/>
      <c r="H9365" s="612"/>
    </row>
    <row r="9366">
      <c r="B9366" s="612"/>
      <c r="H9366" s="612"/>
    </row>
    <row r="9367">
      <c r="B9367" s="612"/>
      <c r="H9367" s="612"/>
    </row>
    <row r="9368">
      <c r="B9368" s="612"/>
      <c r="H9368" s="612"/>
    </row>
    <row r="9369">
      <c r="B9369" s="612"/>
      <c r="H9369" s="612"/>
    </row>
    <row r="9370">
      <c r="B9370" s="612"/>
      <c r="H9370" s="612"/>
    </row>
    <row r="9371">
      <c r="B9371" s="612"/>
      <c r="H9371" s="612"/>
    </row>
    <row r="9372">
      <c r="B9372" s="612"/>
      <c r="H9372" s="612"/>
    </row>
    <row r="9373">
      <c r="B9373" s="612"/>
      <c r="H9373" s="612"/>
    </row>
    <row r="9374">
      <c r="B9374" s="612"/>
      <c r="H9374" s="612"/>
    </row>
    <row r="9375">
      <c r="B9375" s="612"/>
      <c r="H9375" s="612"/>
    </row>
    <row r="9376">
      <c r="B9376" s="612"/>
      <c r="H9376" s="612"/>
    </row>
    <row r="9377">
      <c r="B9377" s="612"/>
      <c r="H9377" s="612"/>
    </row>
    <row r="9378">
      <c r="B9378" s="612"/>
      <c r="H9378" s="612"/>
    </row>
    <row r="9379">
      <c r="B9379" s="612"/>
      <c r="H9379" s="612"/>
    </row>
    <row r="9380">
      <c r="B9380" s="612"/>
      <c r="H9380" s="612"/>
    </row>
    <row r="9381">
      <c r="B9381" s="612"/>
      <c r="H9381" s="612"/>
    </row>
    <row r="9382">
      <c r="B9382" s="612"/>
      <c r="H9382" s="612"/>
    </row>
    <row r="9383">
      <c r="B9383" s="612"/>
      <c r="H9383" s="612"/>
    </row>
    <row r="9384">
      <c r="B9384" s="612"/>
      <c r="H9384" s="612"/>
    </row>
    <row r="9385">
      <c r="B9385" s="612"/>
      <c r="H9385" s="612"/>
    </row>
    <row r="9386">
      <c r="B9386" s="612"/>
      <c r="H9386" s="612"/>
    </row>
    <row r="9387">
      <c r="B9387" s="612"/>
      <c r="H9387" s="612"/>
    </row>
    <row r="9388">
      <c r="B9388" s="612"/>
      <c r="H9388" s="612"/>
    </row>
    <row r="9389">
      <c r="B9389" s="612"/>
      <c r="H9389" s="612"/>
    </row>
    <row r="9390">
      <c r="B9390" s="612"/>
      <c r="H9390" s="612"/>
    </row>
    <row r="9391">
      <c r="B9391" s="612"/>
      <c r="H9391" s="612"/>
    </row>
    <row r="9392">
      <c r="B9392" s="612"/>
      <c r="H9392" s="612"/>
    </row>
    <row r="9393">
      <c r="B9393" s="612"/>
      <c r="H9393" s="612"/>
    </row>
    <row r="9394">
      <c r="B9394" s="612"/>
      <c r="H9394" s="612"/>
    </row>
    <row r="9395">
      <c r="B9395" s="612"/>
      <c r="H9395" s="612"/>
    </row>
    <row r="9396">
      <c r="B9396" s="612"/>
      <c r="H9396" s="612"/>
    </row>
    <row r="9397">
      <c r="B9397" s="612"/>
      <c r="H9397" s="612"/>
    </row>
    <row r="9398">
      <c r="B9398" s="612"/>
      <c r="H9398" s="612"/>
    </row>
    <row r="9399">
      <c r="B9399" s="612"/>
      <c r="H9399" s="612"/>
    </row>
    <row r="9400">
      <c r="B9400" s="612"/>
      <c r="H9400" s="612"/>
    </row>
    <row r="9401">
      <c r="B9401" s="612"/>
      <c r="H9401" s="612"/>
    </row>
    <row r="9402">
      <c r="B9402" s="612"/>
      <c r="H9402" s="612"/>
    </row>
    <row r="9403">
      <c r="B9403" s="612"/>
      <c r="H9403" s="612"/>
    </row>
    <row r="9404">
      <c r="B9404" s="612"/>
      <c r="H9404" s="612"/>
    </row>
    <row r="9405">
      <c r="B9405" s="612"/>
      <c r="H9405" s="612"/>
    </row>
    <row r="9406">
      <c r="B9406" s="612"/>
      <c r="H9406" s="612"/>
    </row>
    <row r="9407">
      <c r="B9407" s="612"/>
      <c r="H9407" s="612"/>
    </row>
    <row r="9408">
      <c r="B9408" s="612"/>
      <c r="H9408" s="612"/>
    </row>
    <row r="9409">
      <c r="B9409" s="612"/>
      <c r="H9409" s="612"/>
    </row>
    <row r="9410">
      <c r="B9410" s="612"/>
      <c r="H9410" s="612"/>
    </row>
    <row r="9411">
      <c r="B9411" s="612"/>
      <c r="H9411" s="612"/>
    </row>
    <row r="9412">
      <c r="B9412" s="612"/>
      <c r="H9412" s="612"/>
    </row>
    <row r="9413">
      <c r="B9413" s="612"/>
      <c r="H9413" s="612"/>
    </row>
    <row r="9414">
      <c r="B9414" s="612"/>
      <c r="H9414" s="612"/>
    </row>
    <row r="9415">
      <c r="B9415" s="612"/>
      <c r="H9415" s="612"/>
    </row>
    <row r="9416">
      <c r="B9416" s="612"/>
      <c r="H9416" s="612"/>
    </row>
    <row r="9417">
      <c r="B9417" s="612"/>
      <c r="H9417" s="612"/>
    </row>
    <row r="9418">
      <c r="B9418" s="612"/>
      <c r="H9418" s="612"/>
    </row>
    <row r="9419">
      <c r="B9419" s="612"/>
      <c r="H9419" s="612"/>
    </row>
    <row r="9420">
      <c r="B9420" s="612"/>
      <c r="H9420" s="612"/>
    </row>
    <row r="9421">
      <c r="B9421" s="612"/>
      <c r="H9421" s="612"/>
    </row>
    <row r="9422">
      <c r="B9422" s="612"/>
      <c r="H9422" s="612"/>
    </row>
    <row r="9423">
      <c r="B9423" s="612"/>
      <c r="H9423" s="612"/>
    </row>
    <row r="9424">
      <c r="B9424" s="612"/>
      <c r="H9424" s="612"/>
    </row>
    <row r="9425">
      <c r="B9425" s="612"/>
      <c r="H9425" s="612"/>
    </row>
    <row r="9426">
      <c r="B9426" s="612"/>
      <c r="H9426" s="612"/>
    </row>
    <row r="9427">
      <c r="B9427" s="612"/>
      <c r="H9427" s="612"/>
    </row>
    <row r="9428">
      <c r="B9428" s="612"/>
      <c r="H9428" s="612"/>
    </row>
    <row r="9429">
      <c r="B9429" s="612"/>
      <c r="H9429" s="612"/>
    </row>
    <row r="9430">
      <c r="B9430" s="612"/>
      <c r="H9430" s="612"/>
    </row>
    <row r="9431">
      <c r="B9431" s="612"/>
      <c r="H9431" s="612"/>
    </row>
    <row r="9432">
      <c r="B9432" s="612"/>
      <c r="H9432" s="612"/>
    </row>
    <row r="9433">
      <c r="B9433" s="612"/>
      <c r="H9433" s="612"/>
    </row>
    <row r="9434">
      <c r="B9434" s="612"/>
      <c r="H9434" s="612"/>
    </row>
    <row r="9435">
      <c r="B9435" s="612"/>
      <c r="H9435" s="612"/>
    </row>
    <row r="9436">
      <c r="B9436" s="612"/>
      <c r="H9436" s="612"/>
    </row>
    <row r="9437">
      <c r="B9437" s="612"/>
      <c r="H9437" s="612"/>
    </row>
    <row r="9438">
      <c r="B9438" s="612"/>
      <c r="H9438" s="612"/>
    </row>
    <row r="9439">
      <c r="B9439" s="612"/>
      <c r="H9439" s="612"/>
    </row>
    <row r="9440">
      <c r="B9440" s="612"/>
      <c r="H9440" s="612"/>
    </row>
    <row r="9441">
      <c r="B9441" s="612"/>
      <c r="H9441" s="612"/>
    </row>
    <row r="9442">
      <c r="B9442" s="612"/>
      <c r="H9442" s="612"/>
    </row>
    <row r="9443">
      <c r="B9443" s="612"/>
      <c r="H9443" s="612"/>
    </row>
    <row r="9444">
      <c r="B9444" s="612"/>
      <c r="H9444" s="612"/>
    </row>
    <row r="9445">
      <c r="B9445" s="612"/>
      <c r="H9445" s="612"/>
    </row>
    <row r="9446">
      <c r="B9446" s="612"/>
      <c r="H9446" s="612"/>
    </row>
    <row r="9447">
      <c r="B9447" s="612"/>
      <c r="H9447" s="612"/>
    </row>
    <row r="9448">
      <c r="B9448" s="612"/>
      <c r="H9448" s="612"/>
    </row>
    <row r="9449">
      <c r="B9449" s="612"/>
      <c r="H9449" s="612"/>
    </row>
    <row r="9450">
      <c r="B9450" s="612"/>
      <c r="H9450" s="612"/>
    </row>
    <row r="9451">
      <c r="B9451" s="612"/>
      <c r="H9451" s="612"/>
    </row>
    <row r="9452">
      <c r="B9452" s="612"/>
      <c r="H9452" s="612"/>
    </row>
    <row r="9453">
      <c r="B9453" s="612"/>
      <c r="H9453" s="612"/>
    </row>
    <row r="9454">
      <c r="B9454" s="612"/>
      <c r="H9454" s="612"/>
    </row>
    <row r="9455">
      <c r="B9455" s="612"/>
      <c r="H9455" s="612"/>
    </row>
    <row r="9456">
      <c r="B9456" s="612"/>
      <c r="H9456" s="612"/>
    </row>
    <row r="9457">
      <c r="B9457" s="612"/>
      <c r="H9457" s="612"/>
    </row>
    <row r="9458">
      <c r="B9458" s="612"/>
      <c r="H9458" s="612"/>
    </row>
    <row r="9459">
      <c r="B9459" s="612"/>
      <c r="H9459" s="612"/>
    </row>
    <row r="9460">
      <c r="B9460" s="612"/>
      <c r="H9460" s="612"/>
    </row>
    <row r="9461">
      <c r="B9461" s="612"/>
      <c r="H9461" s="612"/>
    </row>
    <row r="9462">
      <c r="B9462" s="612"/>
      <c r="H9462" s="612"/>
    </row>
    <row r="9463">
      <c r="B9463" s="612"/>
      <c r="H9463" s="612"/>
    </row>
    <row r="9464">
      <c r="B9464" s="612"/>
      <c r="H9464" s="612"/>
    </row>
    <row r="9465">
      <c r="B9465" s="612"/>
      <c r="H9465" s="612"/>
    </row>
    <row r="9466">
      <c r="B9466" s="612"/>
      <c r="H9466" s="612"/>
    </row>
    <row r="9467">
      <c r="B9467" s="612"/>
      <c r="H9467" s="612"/>
    </row>
    <row r="9468">
      <c r="B9468" s="612"/>
      <c r="H9468" s="612"/>
    </row>
    <row r="9469">
      <c r="B9469" s="612"/>
      <c r="H9469" s="612"/>
    </row>
    <row r="9470">
      <c r="B9470" s="612"/>
      <c r="H9470" s="612"/>
    </row>
    <row r="9471">
      <c r="B9471" s="612"/>
      <c r="H9471" s="612"/>
    </row>
    <row r="9472">
      <c r="B9472" s="612"/>
      <c r="H9472" s="612"/>
    </row>
    <row r="9473">
      <c r="B9473" s="612"/>
      <c r="H9473" s="612"/>
    </row>
    <row r="9474">
      <c r="B9474" s="612"/>
      <c r="H9474" s="612"/>
    </row>
    <row r="9475">
      <c r="B9475" s="612"/>
      <c r="H9475" s="612"/>
    </row>
    <row r="9476">
      <c r="B9476" s="612"/>
      <c r="H9476" s="612"/>
    </row>
    <row r="9477">
      <c r="B9477" s="612"/>
      <c r="H9477" s="612"/>
    </row>
    <row r="9478">
      <c r="B9478" s="612"/>
      <c r="H9478" s="612"/>
    </row>
    <row r="9479">
      <c r="B9479" s="612"/>
      <c r="H9479" s="612"/>
    </row>
    <row r="9480">
      <c r="B9480" s="612"/>
      <c r="H9480" s="612"/>
    </row>
    <row r="9481">
      <c r="B9481" s="612"/>
      <c r="H9481" s="612"/>
    </row>
    <row r="9482">
      <c r="B9482" s="612"/>
      <c r="H9482" s="612"/>
    </row>
    <row r="9483">
      <c r="B9483" s="612"/>
      <c r="H9483" s="612"/>
    </row>
    <row r="9484">
      <c r="B9484" s="612"/>
      <c r="H9484" s="612"/>
    </row>
    <row r="9485">
      <c r="B9485" s="612"/>
      <c r="H9485" s="612"/>
    </row>
    <row r="9486">
      <c r="B9486" s="612"/>
      <c r="H9486" s="612"/>
    </row>
    <row r="9487">
      <c r="B9487" s="612"/>
      <c r="H9487" s="612"/>
    </row>
    <row r="9488">
      <c r="B9488" s="612"/>
      <c r="H9488" s="612"/>
    </row>
    <row r="9489">
      <c r="B9489" s="612"/>
      <c r="H9489" s="612"/>
    </row>
    <row r="9490">
      <c r="B9490" s="612"/>
      <c r="H9490" s="612"/>
    </row>
    <row r="9491">
      <c r="B9491" s="612"/>
      <c r="H9491" s="612"/>
    </row>
    <row r="9492">
      <c r="B9492" s="612"/>
      <c r="H9492" s="612"/>
    </row>
    <row r="9493">
      <c r="B9493" s="612"/>
      <c r="H9493" s="612"/>
    </row>
    <row r="9494">
      <c r="B9494" s="612"/>
      <c r="H9494" s="612"/>
    </row>
    <row r="9495">
      <c r="B9495" s="612"/>
      <c r="H9495" s="612"/>
    </row>
    <row r="9496">
      <c r="B9496" s="612"/>
      <c r="H9496" s="612"/>
    </row>
    <row r="9497">
      <c r="B9497" s="612"/>
      <c r="H9497" s="612"/>
    </row>
    <row r="9498">
      <c r="B9498" s="612"/>
      <c r="H9498" s="612"/>
    </row>
    <row r="9499">
      <c r="B9499" s="612"/>
      <c r="H9499" s="612"/>
    </row>
    <row r="9500">
      <c r="B9500" s="612"/>
      <c r="H9500" s="612"/>
    </row>
    <row r="9501">
      <c r="B9501" s="612"/>
      <c r="H9501" s="612"/>
    </row>
    <row r="9502">
      <c r="B9502" s="612"/>
      <c r="H9502" s="612"/>
    </row>
    <row r="9503">
      <c r="B9503" s="612"/>
      <c r="H9503" s="612"/>
    </row>
    <row r="9504">
      <c r="B9504" s="612"/>
      <c r="H9504" s="612"/>
    </row>
    <row r="9505">
      <c r="B9505" s="612"/>
      <c r="H9505" s="612"/>
    </row>
    <row r="9506">
      <c r="B9506" s="612"/>
      <c r="H9506" s="612"/>
    </row>
    <row r="9507">
      <c r="B9507" s="612"/>
      <c r="H9507" s="612"/>
    </row>
    <row r="9508">
      <c r="B9508" s="612"/>
      <c r="H9508" s="612"/>
    </row>
    <row r="9509">
      <c r="B9509" s="612"/>
      <c r="H9509" s="612"/>
    </row>
    <row r="9510">
      <c r="B9510" s="612"/>
      <c r="H9510" s="612"/>
    </row>
    <row r="9511">
      <c r="B9511" s="612"/>
      <c r="H9511" s="612"/>
    </row>
    <row r="9512">
      <c r="B9512" s="612"/>
      <c r="H9512" s="612"/>
    </row>
    <row r="9513">
      <c r="B9513" s="612"/>
      <c r="H9513" s="612"/>
    </row>
    <row r="9514">
      <c r="B9514" s="612"/>
      <c r="H9514" s="612"/>
    </row>
    <row r="9515">
      <c r="B9515" s="612"/>
      <c r="H9515" s="612"/>
    </row>
    <row r="9516">
      <c r="B9516" s="612"/>
      <c r="H9516" s="612"/>
    </row>
    <row r="9517">
      <c r="B9517" s="612"/>
      <c r="H9517" s="612"/>
    </row>
    <row r="9518">
      <c r="B9518" s="612"/>
      <c r="H9518" s="612"/>
    </row>
    <row r="9519">
      <c r="B9519" s="612"/>
      <c r="H9519" s="612"/>
    </row>
    <row r="9520">
      <c r="B9520" s="612"/>
      <c r="H9520" s="612"/>
    </row>
    <row r="9521">
      <c r="B9521" s="612"/>
      <c r="H9521" s="612"/>
    </row>
    <row r="9522">
      <c r="B9522" s="612"/>
      <c r="H9522" s="612"/>
    </row>
    <row r="9523">
      <c r="B9523" s="612"/>
      <c r="H9523" s="612"/>
    </row>
    <row r="9524">
      <c r="B9524" s="612"/>
      <c r="H9524" s="612"/>
    </row>
    <row r="9525">
      <c r="B9525" s="612"/>
      <c r="H9525" s="612"/>
    </row>
    <row r="9526">
      <c r="B9526" s="612"/>
      <c r="H9526" s="612"/>
    </row>
    <row r="9527">
      <c r="B9527" s="612"/>
      <c r="H9527" s="612"/>
    </row>
    <row r="9528">
      <c r="B9528" s="612"/>
      <c r="H9528" s="612"/>
    </row>
    <row r="9529">
      <c r="B9529" s="612"/>
      <c r="H9529" s="612"/>
    </row>
    <row r="9530">
      <c r="B9530" s="612"/>
      <c r="H9530" s="612"/>
    </row>
    <row r="9531">
      <c r="B9531" s="612"/>
      <c r="H9531" s="612"/>
    </row>
    <row r="9532">
      <c r="B9532" s="612"/>
      <c r="H9532" s="612"/>
    </row>
    <row r="9533">
      <c r="B9533" s="612"/>
      <c r="H9533" s="612"/>
    </row>
    <row r="9534">
      <c r="B9534" s="612"/>
      <c r="H9534" s="612"/>
    </row>
    <row r="9535">
      <c r="B9535" s="612"/>
      <c r="H9535" s="612"/>
    </row>
    <row r="9536">
      <c r="B9536" s="612"/>
      <c r="H9536" s="612"/>
    </row>
    <row r="9537">
      <c r="B9537" s="612"/>
      <c r="H9537" s="612"/>
    </row>
    <row r="9538">
      <c r="B9538" s="612"/>
      <c r="H9538" s="612"/>
    </row>
    <row r="9539">
      <c r="B9539" s="612"/>
      <c r="H9539" s="612"/>
    </row>
    <row r="9540">
      <c r="B9540" s="612"/>
      <c r="H9540" s="612"/>
    </row>
    <row r="9541">
      <c r="B9541" s="612"/>
      <c r="H9541" s="612"/>
    </row>
    <row r="9542">
      <c r="B9542" s="612"/>
      <c r="H9542" s="612"/>
    </row>
    <row r="9543">
      <c r="B9543" s="612"/>
      <c r="H9543" s="612"/>
    </row>
    <row r="9544">
      <c r="B9544" s="612"/>
      <c r="H9544" s="612"/>
    </row>
    <row r="9545">
      <c r="B9545" s="612"/>
      <c r="H9545" s="612"/>
    </row>
    <row r="9546">
      <c r="B9546" s="612"/>
      <c r="H9546" s="612"/>
    </row>
    <row r="9547">
      <c r="B9547" s="612"/>
      <c r="H9547" s="612"/>
    </row>
    <row r="9548">
      <c r="B9548" s="612"/>
      <c r="H9548" s="612"/>
    </row>
    <row r="9549">
      <c r="B9549" s="612"/>
      <c r="H9549" s="612"/>
    </row>
    <row r="9550">
      <c r="B9550" s="612"/>
      <c r="H9550" s="612"/>
    </row>
    <row r="9551">
      <c r="B9551" s="612"/>
      <c r="H9551" s="612"/>
    </row>
    <row r="9552">
      <c r="B9552" s="612"/>
      <c r="H9552" s="612"/>
    </row>
    <row r="9553">
      <c r="B9553" s="612"/>
      <c r="H9553" s="612"/>
    </row>
    <row r="9554">
      <c r="B9554" s="612"/>
      <c r="H9554" s="612"/>
    </row>
    <row r="9555">
      <c r="B9555" s="612"/>
      <c r="H9555" s="612"/>
    </row>
    <row r="9556">
      <c r="B9556" s="612"/>
      <c r="H9556" s="612"/>
    </row>
    <row r="9557">
      <c r="B9557" s="612"/>
      <c r="H9557" s="612"/>
    </row>
    <row r="9558">
      <c r="B9558" s="612"/>
      <c r="H9558" s="612"/>
    </row>
    <row r="9559">
      <c r="B9559" s="612"/>
      <c r="H9559" s="612"/>
    </row>
    <row r="9560">
      <c r="B9560" s="612"/>
      <c r="H9560" s="612"/>
    </row>
    <row r="9561">
      <c r="B9561" s="612"/>
      <c r="H9561" s="612"/>
    </row>
    <row r="9562">
      <c r="B9562" s="612"/>
      <c r="H9562" s="612"/>
    </row>
    <row r="9563">
      <c r="B9563" s="612"/>
      <c r="H9563" s="612"/>
    </row>
    <row r="9564">
      <c r="B9564" s="612"/>
      <c r="H9564" s="612"/>
    </row>
    <row r="9565">
      <c r="B9565" s="612"/>
      <c r="H9565" s="612"/>
    </row>
    <row r="9566">
      <c r="B9566" s="612"/>
      <c r="H9566" s="612"/>
    </row>
    <row r="9567">
      <c r="B9567" s="612"/>
      <c r="H9567" s="612"/>
    </row>
    <row r="9568">
      <c r="B9568" s="612"/>
      <c r="H9568" s="612"/>
    </row>
    <row r="9569">
      <c r="B9569" s="612"/>
      <c r="H9569" s="612"/>
    </row>
    <row r="9570">
      <c r="B9570" s="612"/>
      <c r="H9570" s="612"/>
    </row>
    <row r="9571">
      <c r="B9571" s="612"/>
      <c r="H9571" s="612"/>
    </row>
    <row r="9572">
      <c r="B9572" s="612"/>
      <c r="H9572" s="612"/>
    </row>
    <row r="9573">
      <c r="B9573" s="612"/>
      <c r="H9573" s="612"/>
    </row>
    <row r="9574">
      <c r="B9574" s="612"/>
      <c r="H9574" s="612"/>
    </row>
    <row r="9575">
      <c r="B9575" s="612"/>
      <c r="H9575" s="612"/>
    </row>
    <row r="9576">
      <c r="B9576" s="612"/>
      <c r="H9576" s="612"/>
    </row>
    <row r="9577">
      <c r="B9577" s="612"/>
      <c r="H9577" s="612"/>
    </row>
    <row r="9578">
      <c r="B9578" s="612"/>
      <c r="H9578" s="612"/>
    </row>
    <row r="9579">
      <c r="B9579" s="612"/>
      <c r="H9579" s="612"/>
    </row>
    <row r="9580">
      <c r="B9580" s="612"/>
      <c r="H9580" s="612"/>
    </row>
    <row r="9581">
      <c r="B9581" s="612"/>
      <c r="H9581" s="612"/>
    </row>
    <row r="9582">
      <c r="B9582" s="612"/>
      <c r="H9582" s="612"/>
    </row>
    <row r="9583">
      <c r="B9583" s="612"/>
      <c r="H9583" s="612"/>
    </row>
    <row r="9584">
      <c r="B9584" s="612"/>
      <c r="H9584" s="612"/>
    </row>
    <row r="9585">
      <c r="B9585" s="612"/>
      <c r="H9585" s="612"/>
    </row>
    <row r="9586">
      <c r="B9586" s="612"/>
      <c r="H9586" s="612"/>
    </row>
    <row r="9587">
      <c r="B9587" s="612"/>
      <c r="H9587" s="612"/>
    </row>
    <row r="9588">
      <c r="B9588" s="612"/>
      <c r="H9588" s="612"/>
    </row>
    <row r="9589">
      <c r="B9589" s="612"/>
      <c r="H9589" s="612"/>
    </row>
    <row r="9590">
      <c r="B9590" s="612"/>
      <c r="H9590" s="612"/>
    </row>
    <row r="9591">
      <c r="B9591" s="612"/>
      <c r="H9591" s="612"/>
    </row>
    <row r="9592">
      <c r="B9592" s="612"/>
      <c r="H9592" s="612"/>
    </row>
    <row r="9593">
      <c r="B9593" s="612"/>
      <c r="H9593" s="612"/>
    </row>
    <row r="9594">
      <c r="B9594" s="612"/>
      <c r="H9594" s="612"/>
    </row>
    <row r="9595">
      <c r="B9595" s="612"/>
      <c r="H9595" s="612"/>
    </row>
    <row r="9596">
      <c r="B9596" s="612"/>
      <c r="H9596" s="612"/>
    </row>
    <row r="9597">
      <c r="B9597" s="612"/>
      <c r="H9597" s="612"/>
    </row>
    <row r="9598">
      <c r="B9598" s="612"/>
      <c r="H9598" s="612"/>
    </row>
    <row r="9599">
      <c r="B9599" s="612"/>
      <c r="H9599" s="612"/>
    </row>
    <row r="9600">
      <c r="B9600" s="612"/>
      <c r="H9600" s="612"/>
    </row>
    <row r="9601">
      <c r="B9601" s="612"/>
      <c r="H9601" s="612"/>
    </row>
    <row r="9602">
      <c r="B9602" s="612"/>
      <c r="H9602" s="612"/>
    </row>
    <row r="9603">
      <c r="B9603" s="612"/>
      <c r="H9603" s="612"/>
    </row>
    <row r="9604">
      <c r="B9604" s="612"/>
      <c r="H9604" s="612"/>
    </row>
    <row r="9605">
      <c r="B9605" s="612"/>
      <c r="H9605" s="612"/>
    </row>
    <row r="9606">
      <c r="B9606" s="612"/>
      <c r="H9606" s="612"/>
    </row>
    <row r="9607">
      <c r="B9607" s="612"/>
      <c r="H9607" s="612"/>
    </row>
    <row r="9608">
      <c r="B9608" s="612"/>
      <c r="H9608" s="612"/>
    </row>
    <row r="9609">
      <c r="B9609" s="612"/>
      <c r="H9609" s="612"/>
    </row>
    <row r="9610">
      <c r="B9610" s="612"/>
      <c r="H9610" s="612"/>
    </row>
    <row r="9611">
      <c r="B9611" s="612"/>
      <c r="H9611" s="612"/>
    </row>
    <row r="9612">
      <c r="B9612" s="612"/>
      <c r="H9612" s="612"/>
    </row>
    <row r="9613">
      <c r="B9613" s="612"/>
      <c r="H9613" s="612"/>
    </row>
    <row r="9614">
      <c r="B9614" s="612"/>
      <c r="H9614" s="612"/>
    </row>
    <row r="9615">
      <c r="B9615" s="612"/>
      <c r="H9615" s="612"/>
    </row>
    <row r="9616">
      <c r="B9616" s="612"/>
      <c r="H9616" s="612"/>
    </row>
    <row r="9617">
      <c r="B9617" s="612"/>
      <c r="H9617" s="612"/>
    </row>
    <row r="9618">
      <c r="B9618" s="612"/>
      <c r="H9618" s="612"/>
    </row>
    <row r="9619">
      <c r="B9619" s="612"/>
      <c r="H9619" s="612"/>
    </row>
    <row r="9620">
      <c r="B9620" s="612"/>
      <c r="H9620" s="612"/>
    </row>
    <row r="9621">
      <c r="B9621" s="612"/>
      <c r="H9621" s="612"/>
    </row>
    <row r="9622">
      <c r="B9622" s="612"/>
      <c r="H9622" s="612"/>
    </row>
    <row r="9623">
      <c r="B9623" s="612"/>
      <c r="H9623" s="612"/>
    </row>
    <row r="9624">
      <c r="B9624" s="612"/>
      <c r="H9624" s="612"/>
    </row>
    <row r="9625">
      <c r="B9625" s="612"/>
      <c r="H9625" s="612"/>
    </row>
    <row r="9626">
      <c r="B9626" s="612"/>
      <c r="H9626" s="612"/>
    </row>
    <row r="9627">
      <c r="B9627" s="612"/>
      <c r="H9627" s="612"/>
    </row>
    <row r="9628">
      <c r="B9628" s="612"/>
      <c r="H9628" s="612"/>
    </row>
    <row r="9629">
      <c r="B9629" s="612"/>
      <c r="H9629" s="612"/>
    </row>
    <row r="9630">
      <c r="B9630" s="612"/>
      <c r="H9630" s="612"/>
    </row>
    <row r="9631">
      <c r="B9631" s="612"/>
      <c r="H9631" s="612"/>
    </row>
    <row r="9632">
      <c r="B9632" s="612"/>
      <c r="H9632" s="612"/>
    </row>
    <row r="9633">
      <c r="B9633" s="612"/>
      <c r="H9633" s="612"/>
    </row>
    <row r="9634">
      <c r="B9634" s="612"/>
      <c r="H9634" s="612"/>
    </row>
    <row r="9635">
      <c r="B9635" s="612"/>
      <c r="H9635" s="612"/>
    </row>
    <row r="9636">
      <c r="B9636" s="612"/>
      <c r="H9636" s="612"/>
    </row>
    <row r="9637">
      <c r="B9637" s="612"/>
      <c r="H9637" s="612"/>
    </row>
    <row r="9638">
      <c r="B9638" s="612"/>
      <c r="H9638" s="612"/>
    </row>
    <row r="9639">
      <c r="B9639" s="612"/>
      <c r="H9639" s="612"/>
    </row>
    <row r="9640">
      <c r="B9640" s="612"/>
      <c r="H9640" s="612"/>
    </row>
    <row r="9641">
      <c r="B9641" s="612"/>
      <c r="H9641" s="612"/>
    </row>
    <row r="9642">
      <c r="B9642" s="612"/>
      <c r="H9642" s="612"/>
    </row>
    <row r="9643">
      <c r="B9643" s="612"/>
      <c r="H9643" s="612"/>
    </row>
    <row r="9644">
      <c r="B9644" s="612"/>
      <c r="H9644" s="612"/>
    </row>
    <row r="9645">
      <c r="B9645" s="612"/>
      <c r="H9645" s="612"/>
    </row>
    <row r="9646">
      <c r="B9646" s="612"/>
      <c r="H9646" s="612"/>
    </row>
    <row r="9647">
      <c r="B9647" s="612"/>
      <c r="H9647" s="612"/>
    </row>
    <row r="9648">
      <c r="B9648" s="612"/>
      <c r="H9648" s="612"/>
    </row>
    <row r="9649">
      <c r="B9649" s="612"/>
      <c r="H9649" s="612"/>
    </row>
    <row r="9650">
      <c r="B9650" s="612"/>
      <c r="H9650" s="612"/>
    </row>
    <row r="9651">
      <c r="B9651" s="612"/>
      <c r="H9651" s="612"/>
    </row>
    <row r="9652">
      <c r="B9652" s="612"/>
      <c r="H9652" s="612"/>
    </row>
    <row r="9653">
      <c r="B9653" s="612"/>
      <c r="H9653" s="612"/>
    </row>
    <row r="9654">
      <c r="B9654" s="612"/>
      <c r="H9654" s="612"/>
    </row>
    <row r="9655">
      <c r="B9655" s="612"/>
      <c r="H9655" s="612"/>
    </row>
    <row r="9656">
      <c r="B9656" s="612"/>
      <c r="H9656" s="612"/>
    </row>
    <row r="9657">
      <c r="B9657" s="612"/>
      <c r="H9657" s="612"/>
    </row>
    <row r="9658">
      <c r="B9658" s="612"/>
      <c r="H9658" s="612"/>
    </row>
    <row r="9659">
      <c r="B9659" s="612"/>
      <c r="H9659" s="612"/>
    </row>
    <row r="9660">
      <c r="B9660" s="612"/>
      <c r="H9660" s="612"/>
    </row>
    <row r="9661">
      <c r="B9661" s="612"/>
      <c r="H9661" s="612"/>
    </row>
    <row r="9662">
      <c r="B9662" s="612"/>
      <c r="H9662" s="612"/>
    </row>
    <row r="9663">
      <c r="B9663" s="612"/>
      <c r="H9663" s="612"/>
    </row>
    <row r="9664">
      <c r="B9664" s="612"/>
      <c r="H9664" s="612"/>
    </row>
    <row r="9665">
      <c r="B9665" s="612"/>
      <c r="H9665" s="612"/>
    </row>
    <row r="9666">
      <c r="B9666" s="612"/>
      <c r="H9666" s="612"/>
    </row>
    <row r="9667">
      <c r="B9667" s="612"/>
      <c r="H9667" s="612"/>
    </row>
    <row r="9668">
      <c r="B9668" s="612"/>
      <c r="H9668" s="612"/>
    </row>
    <row r="9669">
      <c r="B9669" s="612"/>
      <c r="H9669" s="612"/>
    </row>
    <row r="9670">
      <c r="B9670" s="612"/>
      <c r="H9670" s="612"/>
    </row>
    <row r="9671">
      <c r="B9671" s="612"/>
      <c r="H9671" s="612"/>
    </row>
    <row r="9672">
      <c r="B9672" s="612"/>
      <c r="H9672" s="612"/>
    </row>
    <row r="9673">
      <c r="B9673" s="612"/>
      <c r="H9673" s="612"/>
    </row>
    <row r="9674">
      <c r="B9674" s="612"/>
      <c r="H9674" s="612"/>
    </row>
    <row r="9675">
      <c r="B9675" s="612"/>
      <c r="H9675" s="612"/>
    </row>
    <row r="9676">
      <c r="B9676" s="612"/>
      <c r="H9676" s="612"/>
    </row>
    <row r="9677">
      <c r="B9677" s="612"/>
      <c r="H9677" s="612"/>
    </row>
    <row r="9678">
      <c r="B9678" s="612"/>
      <c r="H9678" s="612"/>
    </row>
    <row r="9679">
      <c r="B9679" s="612"/>
      <c r="H9679" s="612"/>
    </row>
    <row r="9680">
      <c r="B9680" s="612"/>
      <c r="H9680" s="612"/>
    </row>
    <row r="9681">
      <c r="B9681" s="612"/>
      <c r="H9681" s="612"/>
    </row>
    <row r="9682">
      <c r="B9682" s="612"/>
      <c r="H9682" s="612"/>
    </row>
    <row r="9683">
      <c r="B9683" s="612"/>
      <c r="H9683" s="612"/>
    </row>
    <row r="9684">
      <c r="B9684" s="612"/>
      <c r="H9684" s="612"/>
    </row>
    <row r="9685">
      <c r="B9685" s="612"/>
      <c r="H9685" s="612"/>
    </row>
    <row r="9686">
      <c r="B9686" s="612"/>
      <c r="H9686" s="612"/>
    </row>
    <row r="9687">
      <c r="B9687" s="612"/>
      <c r="H9687" s="612"/>
    </row>
    <row r="9688">
      <c r="B9688" s="612"/>
      <c r="H9688" s="612"/>
    </row>
    <row r="9689">
      <c r="B9689" s="612"/>
      <c r="H9689" s="612"/>
    </row>
    <row r="9690">
      <c r="B9690" s="612"/>
      <c r="H9690" s="612"/>
    </row>
    <row r="9691">
      <c r="B9691" s="612"/>
      <c r="H9691" s="612"/>
    </row>
    <row r="9692">
      <c r="B9692" s="612"/>
      <c r="H9692" s="612"/>
    </row>
    <row r="9693">
      <c r="B9693" s="612"/>
      <c r="H9693" s="612"/>
    </row>
    <row r="9694">
      <c r="B9694" s="612"/>
      <c r="H9694" s="612"/>
    </row>
    <row r="9695">
      <c r="B9695" s="612"/>
      <c r="H9695" s="612"/>
    </row>
    <row r="9696">
      <c r="B9696" s="612"/>
      <c r="H9696" s="612"/>
    </row>
    <row r="9697">
      <c r="B9697" s="612"/>
      <c r="H9697" s="612"/>
    </row>
    <row r="9698">
      <c r="B9698" s="612"/>
      <c r="H9698" s="612"/>
    </row>
    <row r="9699">
      <c r="B9699" s="612"/>
      <c r="H9699" s="612"/>
    </row>
    <row r="9700">
      <c r="B9700" s="612"/>
      <c r="H9700" s="612"/>
    </row>
    <row r="9701">
      <c r="B9701" s="612"/>
      <c r="H9701" s="612"/>
    </row>
    <row r="9702">
      <c r="B9702" s="612"/>
      <c r="H9702" s="612"/>
    </row>
    <row r="9703">
      <c r="B9703" s="612"/>
      <c r="H9703" s="612"/>
    </row>
    <row r="9704">
      <c r="B9704" s="612"/>
      <c r="H9704" s="612"/>
    </row>
    <row r="9705">
      <c r="B9705" s="612"/>
      <c r="H9705" s="612"/>
    </row>
    <row r="9706">
      <c r="B9706" s="612"/>
      <c r="H9706" s="612"/>
    </row>
    <row r="9707">
      <c r="B9707" s="612"/>
      <c r="H9707" s="612"/>
    </row>
    <row r="9708">
      <c r="B9708" s="612"/>
      <c r="H9708" s="612"/>
    </row>
    <row r="9709">
      <c r="B9709" s="612"/>
      <c r="H9709" s="612"/>
    </row>
    <row r="9710">
      <c r="B9710" s="612"/>
      <c r="H9710" s="612"/>
    </row>
    <row r="9711">
      <c r="B9711" s="612"/>
      <c r="H9711" s="612"/>
    </row>
    <row r="9712">
      <c r="B9712" s="612"/>
      <c r="H9712" s="612"/>
    </row>
    <row r="9713">
      <c r="B9713" s="612"/>
      <c r="H9713" s="612"/>
    </row>
    <row r="9714">
      <c r="B9714" s="612"/>
      <c r="H9714" s="612"/>
    </row>
    <row r="9715">
      <c r="B9715" s="612"/>
      <c r="H9715" s="612"/>
    </row>
    <row r="9716">
      <c r="B9716" s="612"/>
      <c r="H9716" s="612"/>
    </row>
    <row r="9717">
      <c r="B9717" s="612"/>
      <c r="H9717" s="612"/>
    </row>
    <row r="9718">
      <c r="B9718" s="612"/>
      <c r="H9718" s="612"/>
    </row>
    <row r="9719">
      <c r="B9719" s="612"/>
      <c r="H9719" s="612"/>
    </row>
    <row r="9720">
      <c r="B9720" s="612"/>
      <c r="H9720" s="612"/>
    </row>
    <row r="9721">
      <c r="B9721" s="612"/>
      <c r="H9721" s="612"/>
    </row>
    <row r="9722">
      <c r="B9722" s="612"/>
      <c r="H9722" s="612"/>
    </row>
    <row r="9723">
      <c r="B9723" s="612"/>
      <c r="H9723" s="612"/>
    </row>
    <row r="9724">
      <c r="B9724" s="612"/>
      <c r="H9724" s="612"/>
    </row>
    <row r="9725">
      <c r="B9725" s="612"/>
      <c r="H9725" s="612"/>
    </row>
    <row r="9726">
      <c r="B9726" s="612"/>
      <c r="H9726" s="612"/>
    </row>
    <row r="9727">
      <c r="B9727" s="612"/>
      <c r="H9727" s="612"/>
    </row>
    <row r="9728">
      <c r="B9728" s="612"/>
      <c r="H9728" s="612"/>
    </row>
    <row r="9729">
      <c r="B9729" s="612"/>
      <c r="H9729" s="612"/>
    </row>
    <row r="9730">
      <c r="B9730" s="612"/>
      <c r="H9730" s="612"/>
    </row>
    <row r="9731">
      <c r="B9731" s="612"/>
      <c r="H9731" s="612"/>
    </row>
    <row r="9732">
      <c r="B9732" s="612"/>
      <c r="H9732" s="612"/>
    </row>
    <row r="9733">
      <c r="B9733" s="612"/>
      <c r="H9733" s="612"/>
    </row>
    <row r="9734">
      <c r="B9734" s="612"/>
      <c r="H9734" s="612"/>
    </row>
    <row r="9735">
      <c r="B9735" s="612"/>
      <c r="H9735" s="612"/>
    </row>
    <row r="9736">
      <c r="B9736" s="612"/>
      <c r="H9736" s="612"/>
    </row>
    <row r="9737">
      <c r="B9737" s="612"/>
      <c r="H9737" s="612"/>
    </row>
    <row r="9738">
      <c r="B9738" s="612"/>
      <c r="H9738" s="612"/>
    </row>
    <row r="9739">
      <c r="B9739" s="612"/>
      <c r="H9739" s="612"/>
    </row>
    <row r="9740">
      <c r="B9740" s="612"/>
      <c r="H9740" s="612"/>
    </row>
    <row r="9741">
      <c r="B9741" s="612"/>
      <c r="H9741" s="612"/>
    </row>
    <row r="9742">
      <c r="B9742" s="612"/>
      <c r="H9742" s="612"/>
    </row>
    <row r="9743">
      <c r="B9743" s="612"/>
      <c r="H9743" s="612"/>
    </row>
    <row r="9744">
      <c r="B9744" s="612"/>
      <c r="H9744" s="612"/>
    </row>
    <row r="9745">
      <c r="B9745" s="612"/>
      <c r="H9745" s="612"/>
    </row>
    <row r="9746">
      <c r="B9746" s="612"/>
      <c r="H9746" s="612"/>
    </row>
    <row r="9747">
      <c r="B9747" s="612"/>
      <c r="H9747" s="612"/>
    </row>
    <row r="9748">
      <c r="B9748" s="612"/>
      <c r="H9748" s="612"/>
    </row>
    <row r="9749">
      <c r="B9749" s="612"/>
      <c r="H9749" s="612"/>
    </row>
    <row r="9750">
      <c r="B9750" s="612"/>
      <c r="H9750" s="612"/>
    </row>
    <row r="9751">
      <c r="B9751" s="612"/>
      <c r="H9751" s="612"/>
    </row>
    <row r="9752">
      <c r="B9752" s="612"/>
      <c r="H9752" s="612"/>
    </row>
    <row r="9753">
      <c r="B9753" s="612"/>
      <c r="H9753" s="612"/>
    </row>
    <row r="9754">
      <c r="B9754" s="612"/>
      <c r="H9754" s="612"/>
    </row>
    <row r="9755">
      <c r="B9755" s="612"/>
      <c r="H9755" s="612"/>
    </row>
    <row r="9756">
      <c r="B9756" s="612"/>
      <c r="H9756" s="612"/>
    </row>
    <row r="9757">
      <c r="B9757" s="612"/>
      <c r="H9757" s="612"/>
    </row>
    <row r="9758">
      <c r="B9758" s="612"/>
      <c r="H9758" s="612"/>
    </row>
    <row r="9759">
      <c r="B9759" s="612"/>
      <c r="H9759" s="612"/>
    </row>
    <row r="9760">
      <c r="B9760" s="612"/>
      <c r="H9760" s="612"/>
    </row>
    <row r="9761">
      <c r="B9761" s="612"/>
      <c r="H9761" s="612"/>
    </row>
    <row r="9762">
      <c r="B9762" s="612"/>
      <c r="H9762" s="612"/>
    </row>
    <row r="9763">
      <c r="B9763" s="612"/>
      <c r="H9763" s="612"/>
    </row>
    <row r="9764">
      <c r="B9764" s="612"/>
      <c r="H9764" s="612"/>
    </row>
    <row r="9765">
      <c r="B9765" s="612"/>
      <c r="H9765" s="612"/>
    </row>
    <row r="9766">
      <c r="B9766" s="612"/>
      <c r="H9766" s="612"/>
    </row>
    <row r="9767">
      <c r="B9767" s="612"/>
      <c r="H9767" s="612"/>
    </row>
    <row r="9768">
      <c r="B9768" s="612"/>
      <c r="H9768" s="612"/>
    </row>
    <row r="9769">
      <c r="B9769" s="612"/>
      <c r="H9769" s="612"/>
    </row>
    <row r="9770">
      <c r="B9770" s="612"/>
      <c r="H9770" s="612"/>
    </row>
    <row r="9771">
      <c r="B9771" s="612"/>
      <c r="H9771" s="612"/>
    </row>
    <row r="9772">
      <c r="B9772" s="612"/>
      <c r="H9772" s="612"/>
    </row>
    <row r="9773">
      <c r="B9773" s="612"/>
      <c r="H9773" s="612"/>
    </row>
    <row r="9774">
      <c r="B9774" s="612"/>
      <c r="H9774" s="612"/>
    </row>
    <row r="9775">
      <c r="B9775" s="612"/>
      <c r="H9775" s="612"/>
    </row>
    <row r="9776">
      <c r="B9776" s="612"/>
      <c r="H9776" s="612"/>
    </row>
    <row r="9777">
      <c r="B9777" s="612"/>
      <c r="H9777" s="612"/>
    </row>
    <row r="9778">
      <c r="B9778" s="612"/>
      <c r="H9778" s="612"/>
    </row>
    <row r="9779">
      <c r="B9779" s="612"/>
      <c r="H9779" s="612"/>
    </row>
    <row r="9780">
      <c r="B9780" s="612"/>
      <c r="H9780" s="612"/>
    </row>
    <row r="9781">
      <c r="B9781" s="612"/>
      <c r="H9781" s="612"/>
    </row>
    <row r="9782">
      <c r="B9782" s="612"/>
      <c r="H9782" s="612"/>
    </row>
    <row r="9783">
      <c r="B9783" s="612"/>
      <c r="H9783" s="612"/>
    </row>
    <row r="9784">
      <c r="B9784" s="612"/>
      <c r="H9784" s="612"/>
    </row>
    <row r="9785">
      <c r="B9785" s="612"/>
      <c r="H9785" s="612"/>
    </row>
    <row r="9786">
      <c r="B9786" s="612"/>
      <c r="H9786" s="612"/>
    </row>
    <row r="9787">
      <c r="B9787" s="612"/>
      <c r="H9787" s="612"/>
    </row>
    <row r="9788">
      <c r="B9788" s="612"/>
      <c r="H9788" s="612"/>
    </row>
    <row r="9789">
      <c r="B9789" s="612"/>
      <c r="H9789" s="612"/>
    </row>
    <row r="9790">
      <c r="B9790" s="612"/>
      <c r="H9790" s="612"/>
    </row>
    <row r="9791">
      <c r="B9791" s="612"/>
      <c r="H9791" s="612"/>
    </row>
    <row r="9792">
      <c r="B9792" s="612"/>
      <c r="H9792" s="612"/>
    </row>
    <row r="9793">
      <c r="B9793" s="612"/>
      <c r="H9793" s="612"/>
    </row>
    <row r="9794">
      <c r="B9794" s="612"/>
      <c r="H9794" s="612"/>
    </row>
    <row r="9795">
      <c r="B9795" s="612"/>
      <c r="H9795" s="612"/>
    </row>
    <row r="9796">
      <c r="B9796" s="612"/>
      <c r="H9796" s="612"/>
    </row>
    <row r="9797">
      <c r="B9797" s="612"/>
      <c r="H9797" s="612"/>
    </row>
    <row r="9798">
      <c r="B9798" s="612"/>
      <c r="H9798" s="612"/>
    </row>
    <row r="9799">
      <c r="B9799" s="612"/>
      <c r="H9799" s="612"/>
    </row>
    <row r="9800">
      <c r="B9800" s="612"/>
      <c r="H9800" s="612"/>
    </row>
    <row r="9801">
      <c r="B9801" s="612"/>
      <c r="H9801" s="612"/>
    </row>
    <row r="9802">
      <c r="B9802" s="612"/>
      <c r="H9802" s="612"/>
    </row>
    <row r="9803">
      <c r="B9803" s="612"/>
      <c r="H9803" s="612"/>
    </row>
    <row r="9804">
      <c r="B9804" s="612"/>
      <c r="H9804" s="612"/>
    </row>
    <row r="9805">
      <c r="B9805" s="612"/>
      <c r="H9805" s="612"/>
    </row>
    <row r="9806">
      <c r="B9806" s="612"/>
      <c r="H9806" s="612"/>
    </row>
    <row r="9807">
      <c r="B9807" s="612"/>
      <c r="H9807" s="612"/>
    </row>
    <row r="9808">
      <c r="B9808" s="612"/>
      <c r="H9808" s="612"/>
    </row>
    <row r="9809">
      <c r="B9809" s="612"/>
      <c r="H9809" s="612"/>
    </row>
    <row r="9810">
      <c r="B9810" s="612"/>
      <c r="H9810" s="612"/>
    </row>
    <row r="9811">
      <c r="B9811" s="612"/>
      <c r="H9811" s="612"/>
    </row>
    <row r="9812">
      <c r="B9812" s="612"/>
      <c r="H9812" s="612"/>
    </row>
    <row r="9813">
      <c r="B9813" s="612"/>
      <c r="H9813" s="612"/>
    </row>
    <row r="9814">
      <c r="B9814" s="612"/>
      <c r="H9814" s="612"/>
    </row>
    <row r="9815">
      <c r="B9815" s="612"/>
      <c r="H9815" s="612"/>
    </row>
    <row r="9816">
      <c r="B9816" s="612"/>
      <c r="H9816" s="612"/>
    </row>
    <row r="9817">
      <c r="B9817" s="612"/>
      <c r="H9817" s="612"/>
    </row>
    <row r="9818">
      <c r="B9818" s="612"/>
      <c r="H9818" s="612"/>
    </row>
    <row r="9819">
      <c r="B9819" s="612"/>
      <c r="H9819" s="612"/>
    </row>
    <row r="9820">
      <c r="B9820" s="612"/>
      <c r="H9820" s="612"/>
    </row>
    <row r="9821">
      <c r="B9821" s="612"/>
      <c r="H9821" s="612"/>
    </row>
    <row r="9822">
      <c r="B9822" s="612"/>
      <c r="H9822" s="612"/>
    </row>
    <row r="9823">
      <c r="B9823" s="612"/>
      <c r="H9823" s="612"/>
    </row>
    <row r="9824">
      <c r="B9824" s="612"/>
      <c r="H9824" s="612"/>
    </row>
    <row r="9825">
      <c r="B9825" s="612"/>
      <c r="H9825" s="612"/>
    </row>
    <row r="9826">
      <c r="B9826" s="612"/>
      <c r="H9826" s="612"/>
    </row>
    <row r="9827">
      <c r="B9827" s="612"/>
      <c r="H9827" s="612"/>
    </row>
    <row r="9828">
      <c r="B9828" s="612"/>
      <c r="H9828" s="612"/>
    </row>
    <row r="9829">
      <c r="B9829" s="612"/>
      <c r="H9829" s="612"/>
    </row>
    <row r="9830">
      <c r="B9830" s="612"/>
      <c r="H9830" s="612"/>
    </row>
    <row r="9831">
      <c r="B9831" s="612"/>
      <c r="H9831" s="612"/>
    </row>
    <row r="9832">
      <c r="B9832" s="612"/>
      <c r="H9832" s="612"/>
    </row>
    <row r="9833">
      <c r="B9833" s="612"/>
      <c r="H9833" s="612"/>
    </row>
    <row r="9834">
      <c r="B9834" s="612"/>
      <c r="H9834" s="612"/>
    </row>
    <row r="9835">
      <c r="B9835" s="612"/>
      <c r="H9835" s="612"/>
    </row>
    <row r="9836">
      <c r="B9836" s="612"/>
      <c r="H9836" s="612"/>
    </row>
    <row r="9837">
      <c r="B9837" s="612"/>
      <c r="H9837" s="612"/>
    </row>
    <row r="9838">
      <c r="B9838" s="612"/>
      <c r="H9838" s="612"/>
    </row>
    <row r="9839">
      <c r="B9839" s="612"/>
      <c r="H9839" s="612"/>
    </row>
    <row r="9840">
      <c r="B9840" s="612"/>
      <c r="H9840" s="612"/>
    </row>
    <row r="9841">
      <c r="B9841" s="612"/>
      <c r="H9841" s="612"/>
    </row>
    <row r="9842">
      <c r="B9842" s="612"/>
      <c r="H9842" s="612"/>
    </row>
    <row r="9843">
      <c r="B9843" s="612"/>
      <c r="H9843" s="612"/>
    </row>
    <row r="9844">
      <c r="B9844" s="612"/>
      <c r="H9844" s="612"/>
    </row>
    <row r="9845">
      <c r="B9845" s="612"/>
      <c r="H9845" s="612"/>
    </row>
    <row r="9846">
      <c r="B9846" s="612"/>
      <c r="H9846" s="612"/>
    </row>
    <row r="9847">
      <c r="B9847" s="612"/>
      <c r="H9847" s="612"/>
    </row>
    <row r="9848">
      <c r="B9848" s="612"/>
      <c r="H9848" s="612"/>
    </row>
    <row r="9849">
      <c r="B9849" s="612"/>
      <c r="H9849" s="612"/>
    </row>
    <row r="9850">
      <c r="B9850" s="612"/>
      <c r="H9850" s="612"/>
    </row>
    <row r="9851">
      <c r="B9851" s="612"/>
      <c r="H9851" s="612"/>
    </row>
    <row r="9852">
      <c r="B9852" s="612"/>
      <c r="H9852" s="612"/>
    </row>
    <row r="9853">
      <c r="B9853" s="612"/>
      <c r="H9853" s="612"/>
    </row>
    <row r="9854">
      <c r="B9854" s="612"/>
      <c r="H9854" s="612"/>
    </row>
    <row r="9855">
      <c r="B9855" s="612"/>
      <c r="H9855" s="612"/>
    </row>
    <row r="9856">
      <c r="B9856" s="612"/>
      <c r="H9856" s="612"/>
    </row>
    <row r="9857">
      <c r="B9857" s="612"/>
      <c r="H9857" s="612"/>
    </row>
    <row r="9858">
      <c r="B9858" s="612"/>
      <c r="H9858" s="612"/>
    </row>
    <row r="9859">
      <c r="B9859" s="612"/>
      <c r="H9859" s="612"/>
    </row>
    <row r="9860">
      <c r="B9860" s="612"/>
      <c r="H9860" s="612"/>
    </row>
    <row r="9861">
      <c r="B9861" s="612"/>
      <c r="H9861" s="612"/>
    </row>
    <row r="9862">
      <c r="B9862" s="612"/>
      <c r="H9862" s="612"/>
    </row>
    <row r="9863">
      <c r="B9863" s="612"/>
      <c r="H9863" s="612"/>
    </row>
    <row r="9864">
      <c r="B9864" s="612"/>
      <c r="H9864" s="612"/>
    </row>
    <row r="9865">
      <c r="B9865" s="612"/>
      <c r="H9865" s="612"/>
    </row>
    <row r="9866">
      <c r="B9866" s="612"/>
      <c r="H9866" s="612"/>
    </row>
    <row r="9867">
      <c r="B9867" s="612"/>
      <c r="H9867" s="612"/>
    </row>
    <row r="9868">
      <c r="B9868" s="612"/>
      <c r="H9868" s="612"/>
    </row>
    <row r="9869">
      <c r="B9869" s="612"/>
      <c r="H9869" s="612"/>
    </row>
    <row r="9870">
      <c r="B9870" s="612"/>
      <c r="H9870" s="612"/>
    </row>
    <row r="9871">
      <c r="B9871" s="612"/>
      <c r="H9871" s="612"/>
    </row>
    <row r="9872">
      <c r="B9872" s="612"/>
      <c r="H9872" s="612"/>
    </row>
    <row r="9873">
      <c r="B9873" s="612"/>
      <c r="H9873" s="612"/>
    </row>
    <row r="9874">
      <c r="B9874" s="612"/>
      <c r="H9874" s="612"/>
    </row>
    <row r="9875">
      <c r="B9875" s="612"/>
      <c r="H9875" s="612"/>
    </row>
    <row r="9876">
      <c r="B9876" s="612"/>
      <c r="H9876" s="612"/>
    </row>
    <row r="9877">
      <c r="B9877" s="612"/>
      <c r="H9877" s="612"/>
    </row>
    <row r="9878">
      <c r="B9878" s="612"/>
      <c r="H9878" s="612"/>
    </row>
    <row r="9879">
      <c r="B9879" s="612"/>
      <c r="H9879" s="612"/>
    </row>
    <row r="9880">
      <c r="B9880" s="612"/>
      <c r="H9880" s="612"/>
    </row>
    <row r="9881">
      <c r="B9881" s="612"/>
      <c r="H9881" s="612"/>
    </row>
    <row r="9882">
      <c r="B9882" s="612"/>
      <c r="H9882" s="612"/>
    </row>
    <row r="9883">
      <c r="B9883" s="612"/>
      <c r="H9883" s="612"/>
    </row>
    <row r="9884">
      <c r="B9884" s="612"/>
      <c r="H9884" s="612"/>
    </row>
    <row r="9885">
      <c r="B9885" s="612"/>
      <c r="H9885" s="612"/>
    </row>
    <row r="9886">
      <c r="B9886" s="612"/>
      <c r="H9886" s="612"/>
    </row>
    <row r="9887">
      <c r="B9887" s="612"/>
      <c r="H9887" s="612"/>
    </row>
    <row r="9888">
      <c r="B9888" s="612"/>
      <c r="H9888" s="612"/>
    </row>
    <row r="9889">
      <c r="B9889" s="612"/>
      <c r="H9889" s="612"/>
    </row>
    <row r="9890">
      <c r="B9890" s="612"/>
      <c r="H9890" s="612"/>
    </row>
    <row r="9891">
      <c r="B9891" s="612"/>
      <c r="H9891" s="612"/>
    </row>
    <row r="9892">
      <c r="B9892" s="612"/>
      <c r="H9892" s="612"/>
    </row>
    <row r="9893">
      <c r="B9893" s="612"/>
      <c r="H9893" s="612"/>
    </row>
    <row r="9894">
      <c r="B9894" s="612"/>
      <c r="H9894" s="612"/>
    </row>
    <row r="9895">
      <c r="B9895" s="612"/>
      <c r="H9895" s="612"/>
    </row>
    <row r="9896">
      <c r="B9896" s="612"/>
      <c r="H9896" s="612"/>
    </row>
    <row r="9897">
      <c r="B9897" s="612"/>
      <c r="H9897" s="612"/>
    </row>
    <row r="9898">
      <c r="B9898" s="612"/>
      <c r="H9898" s="612"/>
    </row>
    <row r="9899">
      <c r="B9899" s="612"/>
      <c r="H9899" s="612"/>
    </row>
    <row r="9900">
      <c r="B9900" s="612"/>
      <c r="H9900" s="612"/>
    </row>
    <row r="9901">
      <c r="B9901" s="612"/>
      <c r="H9901" s="612"/>
    </row>
    <row r="9902">
      <c r="B9902" s="612"/>
      <c r="H9902" s="612"/>
    </row>
    <row r="9903">
      <c r="B9903" s="612"/>
      <c r="H9903" s="612"/>
    </row>
    <row r="9904">
      <c r="B9904" s="612"/>
      <c r="H9904" s="612"/>
    </row>
    <row r="9905">
      <c r="B9905" s="612"/>
      <c r="H9905" s="612"/>
    </row>
    <row r="9906">
      <c r="B9906" s="612"/>
      <c r="H9906" s="612"/>
    </row>
    <row r="9907">
      <c r="B9907" s="612"/>
      <c r="H9907" s="612"/>
    </row>
    <row r="9908">
      <c r="B9908" s="612"/>
      <c r="H9908" s="612"/>
    </row>
    <row r="9909">
      <c r="B9909" s="612"/>
      <c r="H9909" s="612"/>
    </row>
    <row r="9910">
      <c r="B9910" s="612"/>
      <c r="H9910" s="612"/>
    </row>
    <row r="9911">
      <c r="B9911" s="612"/>
      <c r="H9911" s="612"/>
    </row>
    <row r="9912">
      <c r="B9912" s="612"/>
      <c r="H9912" s="612"/>
    </row>
    <row r="9913">
      <c r="B9913" s="612"/>
      <c r="H9913" s="612"/>
    </row>
    <row r="9914">
      <c r="B9914" s="612"/>
      <c r="H9914" s="612"/>
    </row>
    <row r="9915">
      <c r="B9915" s="612"/>
      <c r="H9915" s="612"/>
    </row>
    <row r="9916">
      <c r="B9916" s="612"/>
      <c r="H9916" s="612"/>
    </row>
    <row r="9917">
      <c r="B9917" s="612"/>
      <c r="H9917" s="612"/>
    </row>
    <row r="9918">
      <c r="B9918" s="612"/>
      <c r="H9918" s="612"/>
    </row>
    <row r="9919">
      <c r="B9919" s="612"/>
      <c r="H9919" s="612"/>
    </row>
    <row r="9920">
      <c r="B9920" s="612"/>
      <c r="H9920" s="612"/>
    </row>
    <row r="9921">
      <c r="B9921" s="612"/>
      <c r="H9921" s="612"/>
    </row>
    <row r="9922">
      <c r="B9922" s="612"/>
      <c r="H9922" s="612"/>
    </row>
    <row r="9923">
      <c r="B9923" s="612"/>
      <c r="H9923" s="612"/>
    </row>
    <row r="9924">
      <c r="B9924" s="612"/>
      <c r="H9924" s="612"/>
    </row>
    <row r="9925">
      <c r="B9925" s="612"/>
      <c r="H9925" s="612"/>
    </row>
    <row r="9926">
      <c r="B9926" s="612"/>
      <c r="H9926" s="612"/>
    </row>
    <row r="9927">
      <c r="B9927" s="612"/>
      <c r="H9927" s="612"/>
    </row>
    <row r="9928">
      <c r="B9928" s="612"/>
      <c r="H9928" s="612"/>
    </row>
    <row r="9929">
      <c r="B9929" s="612"/>
      <c r="H9929" s="612"/>
    </row>
    <row r="9930">
      <c r="B9930" s="612"/>
      <c r="H9930" s="612"/>
    </row>
    <row r="9931">
      <c r="B9931" s="612"/>
      <c r="H9931" s="612"/>
    </row>
    <row r="9932">
      <c r="B9932" s="612"/>
      <c r="H9932" s="612"/>
    </row>
    <row r="9933">
      <c r="B9933" s="612"/>
      <c r="H9933" s="612"/>
    </row>
    <row r="9934">
      <c r="B9934" s="612"/>
      <c r="H9934" s="612"/>
    </row>
    <row r="9935">
      <c r="B9935" s="612"/>
      <c r="H9935" s="612"/>
    </row>
    <row r="9936">
      <c r="B9936" s="612"/>
      <c r="H9936" s="612"/>
    </row>
    <row r="9937">
      <c r="B9937" s="612"/>
      <c r="H9937" s="612"/>
    </row>
    <row r="9938">
      <c r="B9938" s="612"/>
      <c r="H9938" s="612"/>
    </row>
    <row r="9939">
      <c r="B9939" s="612"/>
      <c r="H9939" s="612"/>
    </row>
    <row r="9940">
      <c r="B9940" s="612"/>
      <c r="H9940" s="612"/>
    </row>
    <row r="9941">
      <c r="B9941" s="612"/>
      <c r="H9941" s="612"/>
    </row>
    <row r="9942">
      <c r="B9942" s="612"/>
      <c r="H9942" s="612"/>
    </row>
    <row r="9943">
      <c r="B9943" s="612"/>
      <c r="H9943" s="612"/>
    </row>
    <row r="9944">
      <c r="B9944" s="612"/>
      <c r="H9944" s="612"/>
    </row>
    <row r="9945">
      <c r="B9945" s="612"/>
      <c r="H9945" s="612"/>
    </row>
    <row r="9946">
      <c r="B9946" s="612"/>
      <c r="H9946" s="612"/>
    </row>
    <row r="9947">
      <c r="B9947" s="612"/>
      <c r="H9947" s="612"/>
    </row>
    <row r="9948">
      <c r="B9948" s="612"/>
      <c r="H9948" s="612"/>
    </row>
    <row r="9949">
      <c r="B9949" s="612"/>
      <c r="H9949" s="612"/>
    </row>
    <row r="9950">
      <c r="B9950" s="612"/>
      <c r="H9950" s="612"/>
    </row>
    <row r="9951">
      <c r="B9951" s="612"/>
      <c r="H9951" s="612"/>
    </row>
    <row r="9952">
      <c r="B9952" s="612"/>
      <c r="H9952" s="612"/>
    </row>
    <row r="9953">
      <c r="B9953" s="612"/>
      <c r="H9953" s="612"/>
    </row>
    <row r="9954">
      <c r="B9954" s="612"/>
      <c r="H9954" s="612"/>
    </row>
    <row r="9955">
      <c r="B9955" s="612"/>
      <c r="H9955" s="612"/>
    </row>
    <row r="9956">
      <c r="B9956" s="612"/>
      <c r="H9956" s="612"/>
    </row>
    <row r="9957">
      <c r="B9957" s="612"/>
      <c r="H9957" s="612"/>
    </row>
    <row r="9958">
      <c r="B9958" s="612"/>
      <c r="H9958" s="612"/>
    </row>
    <row r="9959">
      <c r="B9959" s="612"/>
      <c r="H9959" s="612"/>
    </row>
    <row r="9960">
      <c r="B9960" s="612"/>
      <c r="H9960" s="612"/>
    </row>
    <row r="9961">
      <c r="B9961" s="612"/>
      <c r="H9961" s="612"/>
    </row>
    <row r="9962">
      <c r="B9962" s="612"/>
      <c r="H9962" s="612"/>
    </row>
    <row r="9963">
      <c r="B9963" s="612"/>
      <c r="H9963" s="612"/>
    </row>
    <row r="9964">
      <c r="B9964" s="612"/>
      <c r="H9964" s="612"/>
    </row>
    <row r="9965">
      <c r="B9965" s="612"/>
      <c r="H9965" s="612"/>
    </row>
    <row r="9966">
      <c r="B9966" s="612"/>
      <c r="H9966" s="612"/>
    </row>
    <row r="9967">
      <c r="B9967" s="612"/>
      <c r="H9967" s="612"/>
    </row>
    <row r="9968">
      <c r="B9968" s="612"/>
      <c r="H9968" s="612"/>
    </row>
    <row r="9969">
      <c r="B9969" s="612"/>
      <c r="H9969" s="612"/>
    </row>
    <row r="9970">
      <c r="B9970" s="612"/>
      <c r="H9970" s="612"/>
    </row>
    <row r="9971">
      <c r="B9971" s="612"/>
      <c r="H9971" s="612"/>
    </row>
    <row r="9972">
      <c r="B9972" s="612"/>
      <c r="H9972" s="612"/>
    </row>
    <row r="9973">
      <c r="B9973" s="612"/>
      <c r="H9973" s="612"/>
    </row>
    <row r="9974">
      <c r="B9974" s="612"/>
      <c r="H9974" s="612"/>
    </row>
    <row r="9975">
      <c r="B9975" s="612"/>
      <c r="H9975" s="612"/>
    </row>
    <row r="9976">
      <c r="B9976" s="612"/>
      <c r="H9976" s="612"/>
    </row>
    <row r="9977">
      <c r="B9977" s="612"/>
      <c r="H9977" s="612"/>
    </row>
    <row r="9978">
      <c r="B9978" s="612"/>
      <c r="H9978" s="612"/>
    </row>
    <row r="9979">
      <c r="B9979" s="612"/>
      <c r="H9979" s="612"/>
    </row>
    <row r="9980">
      <c r="B9980" s="612"/>
      <c r="H9980" s="612"/>
    </row>
    <row r="9981">
      <c r="B9981" s="612"/>
      <c r="H9981" s="612"/>
    </row>
    <row r="9982">
      <c r="B9982" s="612"/>
      <c r="H9982" s="612"/>
    </row>
    <row r="9983">
      <c r="B9983" s="612"/>
      <c r="H9983" s="612"/>
    </row>
    <row r="9984">
      <c r="B9984" s="612"/>
      <c r="H9984" s="612"/>
    </row>
    <row r="9985">
      <c r="B9985" s="612"/>
      <c r="H9985" s="612"/>
    </row>
    <row r="9986">
      <c r="B9986" s="612"/>
      <c r="H9986" s="612"/>
    </row>
    <row r="9987">
      <c r="B9987" s="612"/>
      <c r="H9987" s="612"/>
    </row>
    <row r="9988">
      <c r="B9988" s="612"/>
      <c r="H9988" s="612"/>
    </row>
    <row r="9989">
      <c r="B9989" s="612"/>
      <c r="H9989" s="612"/>
    </row>
    <row r="9990">
      <c r="B9990" s="612"/>
      <c r="H9990" s="612"/>
    </row>
    <row r="9991">
      <c r="B9991" s="612"/>
      <c r="H9991" s="612"/>
    </row>
    <row r="9992">
      <c r="B9992" s="612"/>
      <c r="H9992" s="612"/>
    </row>
    <row r="9993">
      <c r="B9993" s="612"/>
      <c r="H9993" s="612"/>
    </row>
    <row r="9994">
      <c r="B9994" s="612"/>
      <c r="H9994" s="612"/>
    </row>
    <row r="9995">
      <c r="B9995" s="612"/>
      <c r="H9995" s="612"/>
    </row>
    <row r="9996">
      <c r="B9996" s="612"/>
      <c r="H9996" s="612"/>
    </row>
    <row r="9997">
      <c r="B9997" s="612"/>
      <c r="H9997" s="612"/>
    </row>
    <row r="9998">
      <c r="B9998" s="612"/>
      <c r="H9998" s="612"/>
    </row>
    <row r="9999">
      <c r="B9999" s="612"/>
      <c r="H9999" s="612"/>
    </row>
    <row r="10000">
      <c r="B10000" s="612"/>
      <c r="H10000" s="612"/>
    </row>
    <row r="10001">
      <c r="B10001" s="612"/>
      <c r="H10001" s="612"/>
    </row>
    <row r="10002">
      <c r="B10002" s="612"/>
      <c r="H10002" s="612"/>
    </row>
    <row r="10003">
      <c r="B10003" s="612"/>
      <c r="H10003" s="612"/>
    </row>
    <row r="10004">
      <c r="B10004" s="612"/>
      <c r="H10004" s="612"/>
    </row>
    <row r="10005">
      <c r="B10005" s="612"/>
      <c r="H10005" s="612"/>
    </row>
    <row r="10006">
      <c r="B10006" s="612"/>
      <c r="H10006" s="612"/>
    </row>
    <row r="10007">
      <c r="B10007" s="612"/>
      <c r="H10007" s="612"/>
    </row>
    <row r="10008">
      <c r="B10008" s="612"/>
      <c r="H10008" s="612"/>
    </row>
    <row r="10009">
      <c r="B10009" s="612"/>
      <c r="H10009" s="612"/>
    </row>
    <row r="10010">
      <c r="B10010" s="612"/>
      <c r="H10010" s="612"/>
    </row>
    <row r="10011">
      <c r="B10011" s="612"/>
      <c r="H10011" s="612"/>
    </row>
    <row r="10012">
      <c r="B10012" s="612"/>
      <c r="H10012" s="612"/>
    </row>
    <row r="10013">
      <c r="B10013" s="612"/>
      <c r="H10013" s="612"/>
    </row>
    <row r="10014">
      <c r="B10014" s="612"/>
      <c r="H10014" s="612"/>
    </row>
    <row r="10015">
      <c r="B10015" s="612"/>
      <c r="H10015" s="612"/>
    </row>
    <row r="10016">
      <c r="B10016" s="612"/>
      <c r="H10016" s="612"/>
    </row>
    <row r="10017">
      <c r="B10017" s="612"/>
      <c r="H10017" s="612"/>
    </row>
    <row r="10018">
      <c r="B10018" s="612"/>
      <c r="H10018" s="612"/>
    </row>
    <row r="10019">
      <c r="B10019" s="612"/>
      <c r="H10019" s="612"/>
    </row>
    <row r="10020">
      <c r="B10020" s="612"/>
      <c r="H10020" s="612"/>
    </row>
    <row r="10021">
      <c r="B10021" s="612"/>
      <c r="H10021" s="612"/>
    </row>
    <row r="10022">
      <c r="B10022" s="612"/>
      <c r="H10022" s="612"/>
    </row>
    <row r="10023">
      <c r="B10023" s="612"/>
      <c r="H10023" s="612"/>
    </row>
    <row r="10024">
      <c r="B10024" s="612"/>
      <c r="H10024" s="612"/>
    </row>
    <row r="10025">
      <c r="B10025" s="612"/>
      <c r="H10025" s="612"/>
    </row>
    <row r="10026">
      <c r="B10026" s="612"/>
      <c r="H10026" s="612"/>
    </row>
    <row r="10027">
      <c r="B10027" s="612"/>
      <c r="H10027" s="612"/>
    </row>
    <row r="10028">
      <c r="B10028" s="612"/>
      <c r="H10028" s="612"/>
    </row>
    <row r="10029">
      <c r="B10029" s="612"/>
      <c r="H10029" s="612"/>
    </row>
    <row r="10030">
      <c r="B10030" s="612"/>
      <c r="H10030" s="612"/>
    </row>
    <row r="10031">
      <c r="B10031" s="612"/>
      <c r="H10031" s="612"/>
    </row>
    <row r="10032">
      <c r="B10032" s="612"/>
      <c r="H10032" s="612"/>
    </row>
    <row r="10033">
      <c r="B10033" s="612"/>
      <c r="H10033" s="612"/>
    </row>
    <row r="10034">
      <c r="B10034" s="612"/>
      <c r="H10034" s="612"/>
    </row>
    <row r="10035">
      <c r="B10035" s="612"/>
      <c r="H10035" s="612"/>
    </row>
    <row r="10036">
      <c r="B10036" s="612"/>
      <c r="H10036" s="612"/>
    </row>
    <row r="10037">
      <c r="B10037" s="612"/>
      <c r="H10037" s="612"/>
    </row>
    <row r="10038">
      <c r="B10038" s="612"/>
      <c r="H10038" s="612"/>
    </row>
    <row r="10039">
      <c r="B10039" s="612"/>
      <c r="H10039" s="612"/>
    </row>
    <row r="10040">
      <c r="B10040" s="612"/>
      <c r="H10040" s="612"/>
    </row>
    <row r="10041">
      <c r="B10041" s="612"/>
      <c r="H10041" s="612"/>
    </row>
    <row r="10042">
      <c r="B10042" s="612"/>
      <c r="H10042" s="612"/>
    </row>
    <row r="10043">
      <c r="B10043" s="612"/>
      <c r="H10043" s="612"/>
    </row>
    <row r="10044">
      <c r="B10044" s="612"/>
      <c r="H10044" s="612"/>
    </row>
    <row r="10045">
      <c r="B10045" s="612"/>
      <c r="H10045" s="612"/>
    </row>
    <row r="10046">
      <c r="B10046" s="612"/>
      <c r="H10046" s="612"/>
    </row>
    <row r="10047">
      <c r="B10047" s="612"/>
      <c r="H10047" s="612"/>
    </row>
    <row r="10048">
      <c r="B10048" s="612"/>
      <c r="H10048" s="612"/>
    </row>
    <row r="10049">
      <c r="B10049" s="612"/>
      <c r="H10049" s="612"/>
    </row>
    <row r="10050">
      <c r="B10050" s="612"/>
      <c r="H10050" s="612"/>
    </row>
    <row r="10051">
      <c r="B10051" s="612"/>
      <c r="H10051" s="612"/>
    </row>
    <row r="10052">
      <c r="B10052" s="612"/>
      <c r="H10052" s="612"/>
    </row>
    <row r="10053">
      <c r="B10053" s="612"/>
      <c r="H10053" s="612"/>
    </row>
    <row r="10054">
      <c r="B10054" s="612"/>
      <c r="H10054" s="612"/>
    </row>
    <row r="10055">
      <c r="B10055" s="612"/>
      <c r="H10055" s="612"/>
    </row>
    <row r="10056">
      <c r="B10056" s="612"/>
      <c r="H10056" s="612"/>
    </row>
    <row r="10057">
      <c r="B10057" s="612"/>
      <c r="H10057" s="612"/>
    </row>
    <row r="10058">
      <c r="B10058" s="612"/>
      <c r="H10058" s="612"/>
    </row>
    <row r="10059">
      <c r="B10059" s="612"/>
      <c r="H10059" s="612"/>
    </row>
    <row r="10060">
      <c r="B10060" s="612"/>
      <c r="H10060" s="612"/>
    </row>
    <row r="10061">
      <c r="B10061" s="612"/>
      <c r="H10061" s="612"/>
    </row>
    <row r="10062">
      <c r="B10062" s="612"/>
      <c r="H10062" s="612"/>
    </row>
    <row r="10063">
      <c r="B10063" s="612"/>
      <c r="H10063" s="612"/>
    </row>
    <row r="10064">
      <c r="B10064" s="612"/>
      <c r="H10064" s="612"/>
    </row>
    <row r="10065">
      <c r="B10065" s="612"/>
      <c r="H10065" s="612"/>
    </row>
    <row r="10066">
      <c r="B10066" s="612"/>
      <c r="H10066" s="612"/>
    </row>
    <row r="10067">
      <c r="B10067" s="612"/>
      <c r="H10067" s="612"/>
    </row>
    <row r="10068">
      <c r="B10068" s="612"/>
      <c r="H10068" s="612"/>
    </row>
    <row r="10069">
      <c r="B10069" s="612"/>
      <c r="H10069" s="612"/>
    </row>
    <row r="10070">
      <c r="B10070" s="612"/>
      <c r="H10070" s="612"/>
    </row>
    <row r="10071">
      <c r="B10071" s="612"/>
      <c r="H10071" s="612"/>
    </row>
    <row r="10072">
      <c r="B10072" s="612"/>
      <c r="H10072" s="612"/>
    </row>
    <row r="10073">
      <c r="B10073" s="612"/>
      <c r="H10073" s="612"/>
    </row>
    <row r="10074">
      <c r="B10074" s="612"/>
      <c r="H10074" s="612"/>
    </row>
    <row r="10075">
      <c r="B10075" s="612"/>
      <c r="H10075" s="612"/>
    </row>
    <row r="10076">
      <c r="B10076" s="612"/>
      <c r="H10076" s="612"/>
    </row>
    <row r="10077">
      <c r="B10077" s="612"/>
      <c r="H10077" s="612"/>
    </row>
    <row r="10078">
      <c r="B10078" s="612"/>
      <c r="H10078" s="612"/>
    </row>
    <row r="10079">
      <c r="B10079" s="612"/>
      <c r="H10079" s="612"/>
    </row>
    <row r="10080">
      <c r="B10080" s="612"/>
      <c r="H10080" s="612"/>
    </row>
    <row r="10081">
      <c r="B10081" s="612"/>
      <c r="H10081" s="612"/>
    </row>
    <row r="10082">
      <c r="B10082" s="612"/>
      <c r="H10082" s="612"/>
    </row>
    <row r="10083">
      <c r="B10083" s="612"/>
      <c r="H10083" s="612"/>
    </row>
    <row r="10084">
      <c r="B10084" s="612"/>
      <c r="H10084" s="612"/>
    </row>
    <row r="10085">
      <c r="B10085" s="612"/>
      <c r="H10085" s="612"/>
    </row>
    <row r="10086">
      <c r="B10086" s="612"/>
      <c r="H10086" s="612"/>
    </row>
    <row r="10087">
      <c r="B10087" s="612"/>
      <c r="H10087" s="612"/>
    </row>
    <row r="10088">
      <c r="B10088" s="612"/>
      <c r="H10088" s="612"/>
    </row>
    <row r="10089">
      <c r="B10089" s="612"/>
      <c r="H10089" s="612"/>
    </row>
    <row r="10090">
      <c r="B10090" s="612"/>
      <c r="H10090" s="612"/>
    </row>
    <row r="10091">
      <c r="B10091" s="612"/>
      <c r="H10091" s="612"/>
    </row>
    <row r="10092">
      <c r="B10092" s="612"/>
      <c r="H10092" s="612"/>
    </row>
    <row r="10093">
      <c r="B10093" s="612"/>
      <c r="H10093" s="612"/>
    </row>
    <row r="10094">
      <c r="B10094" s="612"/>
      <c r="H10094" s="612"/>
    </row>
    <row r="10095">
      <c r="B10095" s="612"/>
      <c r="H10095" s="612"/>
    </row>
    <row r="10096">
      <c r="B10096" s="612"/>
      <c r="H10096" s="612"/>
    </row>
    <row r="10097">
      <c r="B10097" s="612"/>
      <c r="H10097" s="612"/>
    </row>
    <row r="10098">
      <c r="B10098" s="612"/>
      <c r="H10098" s="612"/>
    </row>
    <row r="10099">
      <c r="B10099" s="612"/>
      <c r="H10099" s="612"/>
    </row>
    <row r="10100">
      <c r="B10100" s="612"/>
      <c r="H10100" s="612"/>
    </row>
    <row r="10101">
      <c r="B10101" s="612"/>
      <c r="H10101" s="612"/>
    </row>
    <row r="10102">
      <c r="B10102" s="612"/>
      <c r="H10102" s="612"/>
    </row>
    <row r="10103">
      <c r="B10103" s="612"/>
      <c r="H10103" s="612"/>
    </row>
    <row r="10104">
      <c r="B10104" s="612"/>
      <c r="H10104" s="612"/>
    </row>
    <row r="10105">
      <c r="B10105" s="612"/>
      <c r="H10105" s="612"/>
    </row>
    <row r="10106">
      <c r="B10106" s="612"/>
      <c r="H10106" s="612"/>
    </row>
    <row r="10107">
      <c r="B10107" s="612"/>
      <c r="H10107" s="612"/>
    </row>
    <row r="10108">
      <c r="B10108" s="612"/>
      <c r="H10108" s="612"/>
    </row>
    <row r="10109">
      <c r="B10109" s="612"/>
      <c r="H10109" s="612"/>
    </row>
    <row r="10110">
      <c r="B10110" s="612"/>
      <c r="H10110" s="612"/>
    </row>
    <row r="10111">
      <c r="B10111" s="612"/>
      <c r="H10111" s="612"/>
    </row>
    <row r="10112">
      <c r="B10112" s="612"/>
      <c r="H10112" s="612"/>
    </row>
    <row r="10113">
      <c r="B10113" s="612"/>
      <c r="H10113" s="612"/>
    </row>
    <row r="10114">
      <c r="B10114" s="612"/>
      <c r="H10114" s="612"/>
    </row>
    <row r="10115">
      <c r="B10115" s="612"/>
      <c r="H10115" s="612"/>
    </row>
    <row r="10116">
      <c r="B10116" s="612"/>
      <c r="H10116" s="612"/>
    </row>
    <row r="10117">
      <c r="B10117" s="612"/>
      <c r="H10117" s="612"/>
    </row>
    <row r="10118">
      <c r="B10118" s="612"/>
      <c r="H10118" s="612"/>
    </row>
    <row r="10119">
      <c r="B10119" s="612"/>
      <c r="H10119" s="612"/>
    </row>
    <row r="10120">
      <c r="B10120" s="612"/>
      <c r="H10120" s="612"/>
    </row>
    <row r="10121">
      <c r="B10121" s="612"/>
      <c r="H10121" s="612"/>
    </row>
    <row r="10122">
      <c r="B10122" s="612"/>
      <c r="H10122" s="612"/>
    </row>
    <row r="10123">
      <c r="B10123" s="612"/>
      <c r="H10123" s="612"/>
    </row>
    <row r="10124">
      <c r="B10124" s="612"/>
      <c r="H10124" s="612"/>
    </row>
    <row r="10125">
      <c r="B10125" s="612"/>
      <c r="H10125" s="612"/>
    </row>
    <row r="10126">
      <c r="B10126" s="612"/>
      <c r="H10126" s="612"/>
    </row>
    <row r="10127">
      <c r="B10127" s="612"/>
      <c r="H10127" s="612"/>
    </row>
    <row r="10128">
      <c r="B10128" s="612"/>
      <c r="H10128" s="612"/>
    </row>
    <row r="10129">
      <c r="B10129" s="612"/>
      <c r="H10129" s="612"/>
    </row>
    <row r="10130">
      <c r="B10130" s="612"/>
      <c r="H10130" s="612"/>
    </row>
    <row r="10131">
      <c r="B10131" s="612"/>
      <c r="H10131" s="612"/>
    </row>
    <row r="10132">
      <c r="B10132" s="612"/>
      <c r="H10132" s="612"/>
    </row>
    <row r="10133">
      <c r="B10133" s="612"/>
      <c r="H10133" s="612"/>
    </row>
    <row r="10134">
      <c r="B10134" s="612"/>
      <c r="H10134" s="612"/>
    </row>
    <row r="10135">
      <c r="B10135" s="612"/>
      <c r="H10135" s="612"/>
    </row>
    <row r="10136">
      <c r="B10136" s="612"/>
      <c r="H10136" s="612"/>
    </row>
    <row r="10137">
      <c r="B10137" s="612"/>
      <c r="H10137" s="612"/>
    </row>
    <row r="10138">
      <c r="B10138" s="612"/>
      <c r="H10138" s="612"/>
    </row>
    <row r="10139">
      <c r="B10139" s="612"/>
      <c r="H10139" s="612"/>
    </row>
    <row r="10140">
      <c r="B10140" s="612"/>
      <c r="H10140" s="612"/>
    </row>
    <row r="10141">
      <c r="B10141" s="612"/>
      <c r="H10141" s="612"/>
    </row>
    <row r="10142">
      <c r="B10142" s="612"/>
      <c r="H10142" s="612"/>
    </row>
    <row r="10143">
      <c r="B10143" s="612"/>
      <c r="H10143" s="612"/>
    </row>
    <row r="10144">
      <c r="B10144" s="612"/>
      <c r="H10144" s="612"/>
    </row>
    <row r="10145">
      <c r="B10145" s="612"/>
      <c r="H10145" s="612"/>
    </row>
    <row r="10146">
      <c r="B10146" s="612"/>
      <c r="H10146" s="612"/>
    </row>
    <row r="10147">
      <c r="B10147" s="612"/>
      <c r="H10147" s="612"/>
    </row>
    <row r="10148">
      <c r="B10148" s="612"/>
      <c r="H10148" s="612"/>
    </row>
    <row r="10149">
      <c r="B10149" s="612"/>
      <c r="H10149" s="612"/>
    </row>
    <row r="10150">
      <c r="B10150" s="612"/>
      <c r="H10150" s="612"/>
    </row>
    <row r="10151">
      <c r="B10151" s="612"/>
      <c r="H10151" s="612"/>
    </row>
    <row r="10152">
      <c r="B10152" s="612"/>
      <c r="H10152" s="612"/>
    </row>
    <row r="10153">
      <c r="B10153" s="612"/>
      <c r="H10153" s="612"/>
    </row>
    <row r="10154">
      <c r="B10154" s="612"/>
      <c r="H10154" s="612"/>
    </row>
    <row r="10155">
      <c r="B10155" s="612"/>
      <c r="H10155" s="612"/>
    </row>
    <row r="10156">
      <c r="B10156" s="612"/>
      <c r="H10156" s="612"/>
    </row>
    <row r="10157">
      <c r="B10157" s="612"/>
      <c r="H10157" s="612"/>
    </row>
    <row r="10158">
      <c r="B10158" s="612"/>
      <c r="H10158" s="612"/>
    </row>
    <row r="10159">
      <c r="B10159" s="612"/>
      <c r="H10159" s="612"/>
    </row>
    <row r="10160">
      <c r="B10160" s="612"/>
      <c r="H10160" s="612"/>
    </row>
    <row r="10161">
      <c r="B10161" s="612"/>
      <c r="H10161" s="612"/>
    </row>
    <row r="10162">
      <c r="B10162" s="612"/>
      <c r="H10162" s="612"/>
    </row>
    <row r="10163">
      <c r="B10163" s="612"/>
      <c r="H10163" s="612"/>
    </row>
    <row r="10164">
      <c r="B10164" s="612"/>
      <c r="H10164" s="612"/>
    </row>
    <row r="10165">
      <c r="B10165" s="612"/>
      <c r="H10165" s="612"/>
    </row>
    <row r="10166">
      <c r="B10166" s="612"/>
      <c r="H10166" s="612"/>
    </row>
    <row r="10167">
      <c r="B10167" s="612"/>
      <c r="H10167" s="612"/>
    </row>
    <row r="10168">
      <c r="B10168" s="612"/>
      <c r="H10168" s="612"/>
    </row>
    <row r="10169">
      <c r="B10169" s="612"/>
      <c r="H10169" s="612"/>
    </row>
    <row r="10170">
      <c r="B10170" s="612"/>
      <c r="H10170" s="612"/>
    </row>
    <row r="10171">
      <c r="B10171" s="612"/>
      <c r="H10171" s="612"/>
    </row>
    <row r="10172">
      <c r="B10172" s="612"/>
      <c r="H10172" s="612"/>
    </row>
    <row r="10173">
      <c r="B10173" s="612"/>
      <c r="H10173" s="612"/>
    </row>
    <row r="10174">
      <c r="B10174" s="612"/>
      <c r="H10174" s="612"/>
    </row>
    <row r="10175">
      <c r="B10175" s="612"/>
      <c r="H10175" s="612"/>
    </row>
    <row r="10176">
      <c r="B10176" s="612"/>
      <c r="H10176" s="612"/>
    </row>
    <row r="10177">
      <c r="B10177" s="612"/>
      <c r="H10177" s="612"/>
    </row>
    <row r="10178">
      <c r="B10178" s="612"/>
      <c r="H10178" s="612"/>
    </row>
    <row r="10179">
      <c r="B10179" s="612"/>
      <c r="H10179" s="612"/>
    </row>
    <row r="10180">
      <c r="B10180" s="612"/>
      <c r="H10180" s="612"/>
    </row>
    <row r="10181">
      <c r="B10181" s="612"/>
      <c r="H10181" s="612"/>
    </row>
    <row r="10182">
      <c r="B10182" s="612"/>
      <c r="H10182" s="612"/>
    </row>
    <row r="10183">
      <c r="B10183" s="612"/>
      <c r="H10183" s="612"/>
    </row>
    <row r="10184">
      <c r="B10184" s="612"/>
      <c r="H10184" s="612"/>
    </row>
    <row r="10185">
      <c r="B10185" s="612"/>
      <c r="H10185" s="612"/>
    </row>
    <row r="10186">
      <c r="B10186" s="612"/>
      <c r="H10186" s="612"/>
    </row>
    <row r="10187">
      <c r="B10187" s="612"/>
      <c r="H10187" s="612"/>
    </row>
    <row r="10188">
      <c r="B10188" s="612"/>
      <c r="H10188" s="612"/>
    </row>
    <row r="10189">
      <c r="B10189" s="612"/>
      <c r="H10189" s="612"/>
    </row>
    <row r="10190">
      <c r="B10190" s="612"/>
      <c r="H10190" s="612"/>
    </row>
    <row r="10191">
      <c r="B10191" s="612"/>
      <c r="H10191" s="612"/>
    </row>
    <row r="10192">
      <c r="B10192" s="612"/>
      <c r="H10192" s="612"/>
    </row>
    <row r="10193">
      <c r="B10193" s="612"/>
      <c r="H10193" s="612"/>
    </row>
    <row r="10194">
      <c r="B10194" s="612"/>
      <c r="H10194" s="612"/>
    </row>
    <row r="10195">
      <c r="B10195" s="612"/>
      <c r="H10195" s="612"/>
    </row>
    <row r="10196">
      <c r="B10196" s="612"/>
      <c r="H10196" s="612"/>
    </row>
    <row r="10197">
      <c r="B10197" s="612"/>
      <c r="H10197" s="612"/>
    </row>
    <row r="10198">
      <c r="B10198" s="612"/>
      <c r="H10198" s="612"/>
    </row>
    <row r="10199">
      <c r="B10199" s="612"/>
      <c r="H10199" s="612"/>
    </row>
    <row r="10200">
      <c r="B10200" s="612"/>
      <c r="H10200" s="612"/>
    </row>
    <row r="10201">
      <c r="B10201" s="612"/>
      <c r="H10201" s="612"/>
    </row>
    <row r="10202">
      <c r="B10202" s="612"/>
      <c r="H10202" s="612"/>
    </row>
    <row r="10203">
      <c r="B10203" s="612"/>
      <c r="H10203" s="612"/>
    </row>
    <row r="10204">
      <c r="B10204" s="612"/>
      <c r="H10204" s="612"/>
    </row>
    <row r="10205">
      <c r="B10205" s="612"/>
      <c r="H10205" s="612"/>
    </row>
    <row r="10206">
      <c r="B10206" s="612"/>
      <c r="H10206" s="612"/>
    </row>
    <row r="10207">
      <c r="B10207" s="612"/>
      <c r="H10207" s="612"/>
    </row>
    <row r="10208">
      <c r="B10208" s="612"/>
      <c r="H10208" s="612"/>
    </row>
    <row r="10209">
      <c r="B10209" s="612"/>
      <c r="H10209" s="612"/>
    </row>
    <row r="10210">
      <c r="B10210" s="612"/>
      <c r="H10210" s="612"/>
    </row>
    <row r="10211">
      <c r="B10211" s="612"/>
      <c r="H10211" s="612"/>
    </row>
    <row r="10212">
      <c r="B10212" s="612"/>
      <c r="H10212" s="612"/>
    </row>
    <row r="10213">
      <c r="B10213" s="612"/>
      <c r="H10213" s="612"/>
    </row>
    <row r="10214">
      <c r="B10214" s="612"/>
      <c r="H10214" s="612"/>
    </row>
    <row r="10215">
      <c r="B10215" s="612"/>
      <c r="H10215" s="612"/>
    </row>
    <row r="10216">
      <c r="B10216" s="612"/>
      <c r="H10216" s="612"/>
    </row>
    <row r="10217">
      <c r="B10217" s="612"/>
      <c r="H10217" s="612"/>
    </row>
    <row r="10218">
      <c r="B10218" s="612"/>
      <c r="H10218" s="612"/>
    </row>
    <row r="10219">
      <c r="B10219" s="612"/>
      <c r="H10219" s="612"/>
    </row>
    <row r="10220">
      <c r="B10220" s="612"/>
      <c r="H10220" s="612"/>
    </row>
    <row r="10221">
      <c r="B10221" s="612"/>
      <c r="H10221" s="612"/>
    </row>
    <row r="10222">
      <c r="B10222" s="612"/>
      <c r="H10222" s="612"/>
    </row>
    <row r="10223">
      <c r="B10223" s="612"/>
      <c r="H10223" s="612"/>
    </row>
    <row r="10224">
      <c r="B10224" s="612"/>
      <c r="H10224" s="612"/>
    </row>
    <row r="10225">
      <c r="B10225" s="612"/>
      <c r="H10225" s="612"/>
    </row>
    <row r="10226">
      <c r="B10226" s="612"/>
      <c r="H10226" s="612"/>
    </row>
    <row r="10227">
      <c r="B10227" s="612"/>
      <c r="H10227" s="612"/>
    </row>
    <row r="10228">
      <c r="B10228" s="612"/>
      <c r="H10228" s="612"/>
    </row>
    <row r="10229">
      <c r="B10229" s="612"/>
      <c r="H10229" s="612"/>
    </row>
    <row r="10230">
      <c r="B10230" s="612"/>
      <c r="H10230" s="612"/>
    </row>
    <row r="10231">
      <c r="B10231" s="612"/>
      <c r="H10231" s="612"/>
    </row>
    <row r="10232">
      <c r="B10232" s="612"/>
      <c r="H10232" s="612"/>
    </row>
    <row r="10233">
      <c r="B10233" s="612"/>
      <c r="H10233" s="612"/>
    </row>
    <row r="10234">
      <c r="B10234" s="612"/>
      <c r="H10234" s="612"/>
    </row>
    <row r="10235">
      <c r="B10235" s="612"/>
      <c r="H10235" s="612"/>
    </row>
    <row r="10236">
      <c r="B10236" s="612"/>
      <c r="H10236" s="612"/>
    </row>
    <row r="10237">
      <c r="B10237" s="612"/>
      <c r="H10237" s="612"/>
    </row>
    <row r="10238">
      <c r="B10238" s="612"/>
      <c r="H10238" s="612"/>
    </row>
    <row r="10239">
      <c r="B10239" s="612"/>
      <c r="H10239" s="612"/>
    </row>
    <row r="10240">
      <c r="B10240" s="612"/>
      <c r="H10240" s="612"/>
    </row>
    <row r="10241">
      <c r="B10241" s="612"/>
      <c r="H10241" s="612"/>
    </row>
    <row r="10242">
      <c r="B10242" s="612"/>
      <c r="H10242" s="612"/>
    </row>
    <row r="10243">
      <c r="B10243" s="612"/>
      <c r="H10243" s="612"/>
    </row>
    <row r="10244">
      <c r="B10244" s="612"/>
      <c r="H10244" s="612"/>
    </row>
    <row r="10245">
      <c r="B10245" s="612"/>
      <c r="H10245" s="612"/>
    </row>
    <row r="10246">
      <c r="B10246" s="612"/>
      <c r="H10246" s="612"/>
    </row>
    <row r="10247">
      <c r="B10247" s="612"/>
      <c r="H10247" s="612"/>
    </row>
    <row r="10248">
      <c r="B10248" s="612"/>
      <c r="H10248" s="612"/>
    </row>
    <row r="10249">
      <c r="B10249" s="612"/>
      <c r="H10249" s="612"/>
    </row>
    <row r="10250">
      <c r="B10250" s="612"/>
      <c r="H10250" s="612"/>
    </row>
    <row r="10251">
      <c r="B10251" s="612"/>
      <c r="H10251" s="612"/>
    </row>
    <row r="10252">
      <c r="B10252" s="612"/>
      <c r="H10252" s="612"/>
    </row>
    <row r="10253">
      <c r="B10253" s="612"/>
      <c r="H10253" s="612"/>
    </row>
    <row r="10254">
      <c r="B10254" s="612"/>
      <c r="H10254" s="612"/>
    </row>
    <row r="10255">
      <c r="B10255" s="612"/>
      <c r="H10255" s="612"/>
    </row>
    <row r="10256">
      <c r="B10256" s="612"/>
      <c r="H10256" s="612"/>
    </row>
    <row r="10257">
      <c r="B10257" s="612"/>
      <c r="H10257" s="612"/>
    </row>
    <row r="10258">
      <c r="B10258" s="612"/>
      <c r="H10258" s="612"/>
    </row>
    <row r="10259">
      <c r="B10259" s="612"/>
      <c r="H10259" s="612"/>
    </row>
    <row r="10260">
      <c r="B10260" s="612"/>
      <c r="H10260" s="612"/>
    </row>
    <row r="10261">
      <c r="B10261" s="612"/>
      <c r="H10261" s="612"/>
    </row>
    <row r="10262">
      <c r="B10262" s="612"/>
      <c r="H10262" s="612"/>
    </row>
    <row r="10263">
      <c r="B10263" s="612"/>
      <c r="H10263" s="612"/>
    </row>
    <row r="10264">
      <c r="B10264" s="612"/>
      <c r="H10264" s="612"/>
    </row>
    <row r="10265">
      <c r="B10265" s="612"/>
      <c r="H10265" s="612"/>
    </row>
    <row r="10266">
      <c r="B10266" s="612"/>
      <c r="H10266" s="612"/>
    </row>
    <row r="10267">
      <c r="B10267" s="612"/>
      <c r="H10267" s="612"/>
    </row>
    <row r="10268">
      <c r="B10268" s="612"/>
      <c r="H10268" s="612"/>
    </row>
    <row r="10269">
      <c r="B10269" s="612"/>
      <c r="H10269" s="612"/>
    </row>
    <row r="10270">
      <c r="B10270" s="612"/>
      <c r="H10270" s="612"/>
    </row>
    <row r="10271">
      <c r="B10271" s="612"/>
      <c r="H10271" s="612"/>
    </row>
    <row r="10272">
      <c r="B10272" s="612"/>
      <c r="H10272" s="612"/>
    </row>
    <row r="10273">
      <c r="B10273" s="612"/>
      <c r="H10273" s="612"/>
    </row>
    <row r="10274">
      <c r="B10274" s="612"/>
      <c r="H10274" s="612"/>
    </row>
    <row r="10275">
      <c r="B10275" s="612"/>
      <c r="H10275" s="612"/>
    </row>
    <row r="10276">
      <c r="B10276" s="612"/>
      <c r="H10276" s="612"/>
    </row>
    <row r="10277">
      <c r="B10277" s="612"/>
      <c r="H10277" s="612"/>
    </row>
    <row r="10278">
      <c r="B10278" s="612"/>
      <c r="H10278" s="612"/>
    </row>
    <row r="10279">
      <c r="B10279" s="612"/>
      <c r="H10279" s="612"/>
    </row>
    <row r="10280">
      <c r="B10280" s="612"/>
      <c r="H10280" s="612"/>
    </row>
    <row r="10281">
      <c r="B10281" s="612"/>
      <c r="H10281" s="612"/>
    </row>
    <row r="10282">
      <c r="B10282" s="612"/>
      <c r="H10282" s="612"/>
    </row>
    <row r="10283">
      <c r="B10283" s="612"/>
      <c r="H10283" s="612"/>
    </row>
    <row r="10284">
      <c r="B10284" s="612"/>
      <c r="H10284" s="612"/>
    </row>
    <row r="10285">
      <c r="B10285" s="612"/>
      <c r="H10285" s="612"/>
    </row>
    <row r="10286">
      <c r="B10286" s="612"/>
      <c r="H10286" s="612"/>
    </row>
    <row r="10287">
      <c r="B10287" s="612"/>
      <c r="H10287" s="612"/>
    </row>
    <row r="10288">
      <c r="B10288" s="612"/>
      <c r="H10288" s="612"/>
    </row>
    <row r="10289">
      <c r="B10289" s="612"/>
      <c r="H10289" s="612"/>
    </row>
    <row r="10290">
      <c r="B10290" s="612"/>
      <c r="H10290" s="612"/>
    </row>
    <row r="10291">
      <c r="B10291" s="612"/>
      <c r="H10291" s="612"/>
    </row>
    <row r="10292">
      <c r="B10292" s="612"/>
      <c r="H10292" s="612"/>
    </row>
    <row r="10293">
      <c r="B10293" s="612"/>
      <c r="H10293" s="612"/>
    </row>
    <row r="10294">
      <c r="B10294" s="612"/>
      <c r="H10294" s="612"/>
    </row>
    <row r="10295">
      <c r="B10295" s="612"/>
      <c r="H10295" s="612"/>
    </row>
    <row r="10296">
      <c r="B10296" s="612"/>
      <c r="H10296" s="612"/>
    </row>
    <row r="10297">
      <c r="B10297" s="612"/>
      <c r="H10297" s="612"/>
    </row>
    <row r="10298">
      <c r="B10298" s="612"/>
      <c r="H10298" s="612"/>
    </row>
    <row r="10299">
      <c r="B10299" s="612"/>
      <c r="H10299" s="612"/>
    </row>
    <row r="10300">
      <c r="B10300" s="612"/>
      <c r="H10300" s="612"/>
    </row>
    <row r="10301">
      <c r="B10301" s="612"/>
      <c r="H10301" s="612"/>
    </row>
    <row r="10302">
      <c r="B10302" s="612"/>
      <c r="H10302" s="612"/>
    </row>
    <row r="10303">
      <c r="B10303" s="612"/>
      <c r="H10303" s="612"/>
    </row>
    <row r="10304">
      <c r="B10304" s="612"/>
      <c r="H10304" s="612"/>
    </row>
    <row r="10305">
      <c r="B10305" s="612"/>
      <c r="H10305" s="612"/>
    </row>
    <row r="10306">
      <c r="B10306" s="612"/>
      <c r="H10306" s="612"/>
    </row>
    <row r="10307">
      <c r="B10307" s="612"/>
      <c r="H10307" s="612"/>
    </row>
    <row r="10308">
      <c r="B10308" s="612"/>
      <c r="H10308" s="612"/>
    </row>
    <row r="10309">
      <c r="B10309" s="612"/>
      <c r="H10309" s="612"/>
    </row>
    <row r="10310">
      <c r="B10310" s="612"/>
      <c r="H10310" s="612"/>
    </row>
    <row r="10311">
      <c r="B10311" s="612"/>
      <c r="H10311" s="612"/>
    </row>
    <row r="10312">
      <c r="B10312" s="612"/>
      <c r="H10312" s="612"/>
    </row>
    <row r="10313">
      <c r="B10313" s="612"/>
      <c r="H10313" s="612"/>
    </row>
    <row r="10314">
      <c r="B10314" s="612"/>
      <c r="H10314" s="612"/>
    </row>
    <row r="10315">
      <c r="B10315" s="612"/>
      <c r="H10315" s="612"/>
    </row>
    <row r="10316">
      <c r="B10316" s="612"/>
      <c r="H10316" s="612"/>
    </row>
    <row r="10317">
      <c r="B10317" s="612"/>
      <c r="H10317" s="612"/>
    </row>
    <row r="10318">
      <c r="B10318" s="612"/>
      <c r="H10318" s="612"/>
    </row>
    <row r="10319">
      <c r="B10319" s="612"/>
      <c r="H10319" s="612"/>
    </row>
    <row r="10320">
      <c r="B10320" s="612"/>
      <c r="H10320" s="612"/>
    </row>
    <row r="10321">
      <c r="B10321" s="612"/>
      <c r="H10321" s="612"/>
    </row>
    <row r="10322">
      <c r="B10322" s="612"/>
      <c r="H10322" s="612"/>
    </row>
    <row r="10323">
      <c r="B10323" s="612"/>
      <c r="H10323" s="612"/>
    </row>
    <row r="10324">
      <c r="B10324" s="612"/>
      <c r="H10324" s="612"/>
    </row>
    <row r="10325">
      <c r="B10325" s="612"/>
      <c r="H10325" s="612"/>
    </row>
    <row r="10326">
      <c r="B10326" s="612"/>
      <c r="H10326" s="612"/>
    </row>
    <row r="10327">
      <c r="B10327" s="612"/>
      <c r="H10327" s="612"/>
    </row>
    <row r="10328">
      <c r="B10328" s="612"/>
      <c r="H10328" s="612"/>
    </row>
    <row r="10329">
      <c r="B10329" s="612"/>
      <c r="H10329" s="612"/>
    </row>
    <row r="10330">
      <c r="B10330" s="612"/>
      <c r="H10330" s="612"/>
    </row>
    <row r="10331">
      <c r="B10331" s="612"/>
      <c r="H10331" s="612"/>
    </row>
    <row r="10332">
      <c r="B10332" s="612"/>
      <c r="H10332" s="612"/>
    </row>
    <row r="10333">
      <c r="B10333" s="612"/>
      <c r="H10333" s="612"/>
    </row>
    <row r="10334">
      <c r="B10334" s="612"/>
      <c r="H10334" s="612"/>
    </row>
    <row r="10335">
      <c r="B10335" s="612"/>
      <c r="H10335" s="612"/>
    </row>
    <row r="10336">
      <c r="B10336" s="612"/>
      <c r="H10336" s="612"/>
    </row>
    <row r="10337">
      <c r="B10337" s="612"/>
      <c r="H10337" s="612"/>
    </row>
    <row r="10338">
      <c r="B10338" s="612"/>
      <c r="H10338" s="612"/>
    </row>
    <row r="10339">
      <c r="B10339" s="612"/>
      <c r="H10339" s="612"/>
    </row>
    <row r="10340">
      <c r="B10340" s="612"/>
      <c r="H10340" s="612"/>
    </row>
    <row r="10341">
      <c r="B10341" s="612"/>
      <c r="H10341" s="612"/>
    </row>
    <row r="10342">
      <c r="B10342" s="612"/>
      <c r="H10342" s="612"/>
    </row>
    <row r="10343">
      <c r="B10343" s="612"/>
      <c r="H10343" s="612"/>
    </row>
    <row r="10344">
      <c r="B10344" s="612"/>
      <c r="H10344" s="612"/>
    </row>
    <row r="10345">
      <c r="B10345" s="612"/>
      <c r="H10345" s="612"/>
    </row>
    <row r="10346">
      <c r="B10346" s="612"/>
      <c r="H10346" s="612"/>
    </row>
    <row r="10347">
      <c r="B10347" s="612"/>
      <c r="H10347" s="612"/>
    </row>
    <row r="10348">
      <c r="B10348" s="612"/>
      <c r="H10348" s="612"/>
    </row>
    <row r="10349">
      <c r="B10349" s="612"/>
      <c r="H10349" s="612"/>
    </row>
    <row r="10350">
      <c r="B10350" s="612"/>
      <c r="H10350" s="612"/>
    </row>
    <row r="10351">
      <c r="B10351" s="612"/>
      <c r="H10351" s="612"/>
    </row>
    <row r="10352">
      <c r="B10352" s="612"/>
      <c r="H10352" s="612"/>
    </row>
    <row r="10353">
      <c r="B10353" s="612"/>
      <c r="H10353" s="612"/>
    </row>
    <row r="10354">
      <c r="B10354" s="612"/>
      <c r="H10354" s="612"/>
    </row>
    <row r="10355">
      <c r="B10355" s="612"/>
      <c r="H10355" s="612"/>
    </row>
    <row r="10356">
      <c r="B10356" s="612"/>
      <c r="H10356" s="612"/>
    </row>
    <row r="10357">
      <c r="B10357" s="612"/>
      <c r="H10357" s="612"/>
    </row>
    <row r="10358">
      <c r="B10358" s="612"/>
      <c r="H10358" s="612"/>
    </row>
    <row r="10359">
      <c r="B10359" s="612"/>
      <c r="H10359" s="612"/>
    </row>
    <row r="10360">
      <c r="B10360" s="612"/>
      <c r="H10360" s="612"/>
    </row>
    <row r="10361">
      <c r="B10361" s="612"/>
      <c r="H10361" s="612"/>
    </row>
    <row r="10362">
      <c r="B10362" s="612"/>
      <c r="H10362" s="612"/>
    </row>
    <row r="10363">
      <c r="B10363" s="612"/>
      <c r="H10363" s="612"/>
    </row>
    <row r="10364">
      <c r="B10364" s="612"/>
      <c r="H10364" s="612"/>
    </row>
    <row r="10365">
      <c r="B10365" s="612"/>
      <c r="H10365" s="612"/>
    </row>
    <row r="10366">
      <c r="B10366" s="612"/>
      <c r="H10366" s="612"/>
    </row>
    <row r="10367">
      <c r="B10367" s="612"/>
      <c r="H10367" s="612"/>
    </row>
    <row r="10368">
      <c r="B10368" s="612"/>
      <c r="H10368" s="612"/>
    </row>
    <row r="10369">
      <c r="B10369" s="612"/>
      <c r="H10369" s="612"/>
    </row>
    <row r="10370">
      <c r="B10370" s="612"/>
      <c r="H10370" s="612"/>
    </row>
    <row r="10371">
      <c r="B10371" s="612"/>
      <c r="H10371" s="612"/>
    </row>
    <row r="10372">
      <c r="B10372" s="612"/>
      <c r="H10372" s="612"/>
    </row>
    <row r="10373">
      <c r="B10373" s="612"/>
      <c r="H10373" s="612"/>
    </row>
    <row r="10374">
      <c r="B10374" s="612"/>
      <c r="H10374" s="612"/>
    </row>
    <row r="10375">
      <c r="B10375" s="612"/>
      <c r="H10375" s="612"/>
    </row>
    <row r="10376">
      <c r="B10376" s="612"/>
      <c r="H10376" s="612"/>
    </row>
    <row r="10377">
      <c r="B10377" s="612"/>
      <c r="H10377" s="612"/>
    </row>
    <row r="10378">
      <c r="B10378" s="612"/>
      <c r="H10378" s="612"/>
    </row>
    <row r="10379">
      <c r="B10379" s="612"/>
      <c r="H10379" s="612"/>
    </row>
    <row r="10380">
      <c r="B10380" s="612"/>
      <c r="H10380" s="612"/>
    </row>
    <row r="10381">
      <c r="B10381" s="612"/>
      <c r="H10381" s="612"/>
    </row>
    <row r="10382">
      <c r="B10382" s="612"/>
      <c r="H10382" s="612"/>
    </row>
    <row r="10383">
      <c r="B10383" s="612"/>
      <c r="H10383" s="612"/>
    </row>
    <row r="10384">
      <c r="B10384" s="612"/>
      <c r="H10384" s="612"/>
    </row>
    <row r="10385">
      <c r="B10385" s="612"/>
      <c r="H10385" s="612"/>
    </row>
    <row r="10386">
      <c r="B10386" s="612"/>
      <c r="H10386" s="612"/>
    </row>
    <row r="10387">
      <c r="B10387" s="612"/>
      <c r="H10387" s="612"/>
    </row>
    <row r="10388">
      <c r="B10388" s="612"/>
      <c r="H10388" s="612"/>
    </row>
    <row r="10389">
      <c r="B10389" s="612"/>
      <c r="H10389" s="612"/>
    </row>
    <row r="10390">
      <c r="B10390" s="612"/>
      <c r="H10390" s="612"/>
    </row>
    <row r="10391">
      <c r="B10391" s="612"/>
      <c r="H10391" s="612"/>
    </row>
    <row r="10392">
      <c r="B10392" s="612"/>
      <c r="H10392" s="612"/>
    </row>
    <row r="10393">
      <c r="B10393" s="612"/>
      <c r="H10393" s="612"/>
    </row>
    <row r="10394">
      <c r="B10394" s="612"/>
      <c r="H10394" s="612"/>
    </row>
    <row r="10395">
      <c r="B10395" s="612"/>
      <c r="H10395" s="612"/>
    </row>
    <row r="10396">
      <c r="B10396" s="612"/>
      <c r="H10396" s="612"/>
    </row>
    <row r="10397">
      <c r="B10397" s="612"/>
      <c r="H10397" s="612"/>
    </row>
    <row r="10398">
      <c r="B10398" s="612"/>
      <c r="H10398" s="612"/>
    </row>
    <row r="10399">
      <c r="B10399" s="612"/>
      <c r="H10399" s="612"/>
    </row>
    <row r="10400">
      <c r="B10400" s="612"/>
      <c r="H10400" s="612"/>
    </row>
    <row r="10401">
      <c r="B10401" s="612"/>
      <c r="H10401" s="612"/>
    </row>
    <row r="10402">
      <c r="B10402" s="612"/>
      <c r="H10402" s="612"/>
    </row>
    <row r="10403">
      <c r="B10403" s="612"/>
      <c r="H10403" s="612"/>
    </row>
    <row r="10404">
      <c r="B10404" s="612"/>
      <c r="H10404" s="612"/>
    </row>
    <row r="10405">
      <c r="B10405" s="612"/>
      <c r="H10405" s="612"/>
    </row>
    <row r="10406">
      <c r="B10406" s="612"/>
      <c r="H10406" s="612"/>
    </row>
    <row r="10407">
      <c r="B10407" s="612"/>
      <c r="H10407" s="612"/>
    </row>
    <row r="10408">
      <c r="B10408" s="612"/>
      <c r="H10408" s="612"/>
    </row>
    <row r="10409">
      <c r="B10409" s="612"/>
      <c r="H10409" s="612"/>
    </row>
    <row r="10410">
      <c r="B10410" s="612"/>
      <c r="H10410" s="612"/>
    </row>
    <row r="10411">
      <c r="B10411" s="612"/>
      <c r="H10411" s="612"/>
    </row>
    <row r="10412">
      <c r="B10412" s="612"/>
      <c r="H10412" s="612"/>
    </row>
    <row r="10413">
      <c r="B10413" s="612"/>
      <c r="H10413" s="612"/>
    </row>
    <row r="10414">
      <c r="B10414" s="612"/>
      <c r="H10414" s="612"/>
    </row>
    <row r="10415">
      <c r="B10415" s="612"/>
      <c r="H10415" s="612"/>
    </row>
    <row r="10416">
      <c r="B10416" s="612"/>
      <c r="H10416" s="612"/>
    </row>
    <row r="10417">
      <c r="B10417" s="612"/>
      <c r="H10417" s="612"/>
    </row>
    <row r="10418">
      <c r="B10418" s="612"/>
      <c r="H10418" s="612"/>
    </row>
    <row r="10419">
      <c r="B10419" s="612"/>
      <c r="H10419" s="612"/>
    </row>
    <row r="10420">
      <c r="B10420" s="612"/>
      <c r="H10420" s="612"/>
    </row>
    <row r="10421">
      <c r="B10421" s="612"/>
      <c r="H10421" s="612"/>
    </row>
    <row r="10422">
      <c r="B10422" s="612"/>
      <c r="H10422" s="612"/>
    </row>
    <row r="10423">
      <c r="B10423" s="612"/>
      <c r="H10423" s="612"/>
    </row>
    <row r="10424">
      <c r="B10424" s="612"/>
      <c r="H10424" s="612"/>
    </row>
    <row r="10425">
      <c r="B10425" s="612"/>
      <c r="H10425" s="612"/>
    </row>
    <row r="10426">
      <c r="B10426" s="612"/>
      <c r="H10426" s="612"/>
    </row>
    <row r="10427">
      <c r="B10427" s="612"/>
      <c r="H10427" s="612"/>
    </row>
    <row r="10428">
      <c r="B10428" s="612"/>
      <c r="H10428" s="612"/>
    </row>
    <row r="10429">
      <c r="B10429" s="612"/>
      <c r="H10429" s="612"/>
    </row>
    <row r="10430">
      <c r="B10430" s="612"/>
      <c r="H10430" s="612"/>
    </row>
    <row r="10431">
      <c r="B10431" s="612"/>
      <c r="H10431" s="612"/>
    </row>
    <row r="10432">
      <c r="B10432" s="612"/>
      <c r="H10432" s="612"/>
    </row>
    <row r="10433">
      <c r="B10433" s="612"/>
      <c r="H10433" s="612"/>
    </row>
    <row r="10434">
      <c r="B10434" s="612"/>
      <c r="H10434" s="612"/>
    </row>
    <row r="10435">
      <c r="B10435" s="612"/>
      <c r="H10435" s="612"/>
    </row>
    <row r="10436">
      <c r="B10436" s="612"/>
      <c r="H10436" s="612"/>
    </row>
    <row r="10437">
      <c r="B10437" s="612"/>
      <c r="H10437" s="612"/>
    </row>
    <row r="10438">
      <c r="B10438" s="612"/>
      <c r="H10438" s="612"/>
    </row>
    <row r="10439">
      <c r="B10439" s="612"/>
      <c r="H10439" s="612"/>
    </row>
    <row r="10440">
      <c r="B10440" s="612"/>
      <c r="H10440" s="612"/>
    </row>
    <row r="10441">
      <c r="B10441" s="612"/>
      <c r="H10441" s="612"/>
    </row>
    <row r="10442">
      <c r="B10442" s="612"/>
      <c r="H10442" s="612"/>
    </row>
    <row r="10443">
      <c r="B10443" s="612"/>
      <c r="H10443" s="612"/>
    </row>
    <row r="10444">
      <c r="B10444" s="612"/>
      <c r="H10444" s="612"/>
    </row>
    <row r="10445">
      <c r="B10445" s="612"/>
      <c r="H10445" s="612"/>
    </row>
    <row r="10446">
      <c r="B10446" s="612"/>
      <c r="H10446" s="612"/>
    </row>
    <row r="10447">
      <c r="B10447" s="612"/>
      <c r="H10447" s="612"/>
    </row>
    <row r="10448">
      <c r="B10448" s="612"/>
      <c r="H10448" s="612"/>
    </row>
    <row r="10449">
      <c r="B10449" s="612"/>
      <c r="H10449" s="612"/>
    </row>
    <row r="10450">
      <c r="B10450" s="612"/>
      <c r="H10450" s="612"/>
    </row>
    <row r="10451">
      <c r="B10451" s="612"/>
      <c r="H10451" s="612"/>
    </row>
    <row r="10452">
      <c r="B10452" s="612"/>
      <c r="H10452" s="612"/>
    </row>
    <row r="10453">
      <c r="B10453" s="612"/>
      <c r="H10453" s="612"/>
    </row>
    <row r="10454">
      <c r="B10454" s="612"/>
      <c r="H10454" s="612"/>
    </row>
    <row r="10455">
      <c r="B10455" s="612"/>
      <c r="H10455" s="612"/>
    </row>
    <row r="10456">
      <c r="B10456" s="612"/>
      <c r="H10456" s="612"/>
    </row>
    <row r="10457">
      <c r="B10457" s="612"/>
      <c r="H10457" s="612"/>
    </row>
    <row r="10458">
      <c r="B10458" s="612"/>
      <c r="H10458" s="612"/>
    </row>
    <row r="10459">
      <c r="B10459" s="612"/>
      <c r="H10459" s="612"/>
    </row>
    <row r="10460">
      <c r="B10460" s="612"/>
      <c r="H10460" s="612"/>
    </row>
    <row r="10461">
      <c r="B10461" s="612"/>
      <c r="H10461" s="612"/>
    </row>
    <row r="10462">
      <c r="B10462" s="612"/>
      <c r="H10462" s="612"/>
    </row>
    <row r="10463">
      <c r="B10463" s="612"/>
      <c r="H10463" s="612"/>
    </row>
    <row r="10464">
      <c r="B10464" s="612"/>
      <c r="H10464" s="612"/>
    </row>
    <row r="10465">
      <c r="B10465" s="612"/>
      <c r="H10465" s="612"/>
    </row>
    <row r="10466">
      <c r="B10466" s="612"/>
      <c r="H10466" s="612"/>
    </row>
    <row r="10467">
      <c r="B10467" s="612"/>
      <c r="H10467" s="612"/>
    </row>
    <row r="10468">
      <c r="B10468" s="612"/>
      <c r="H10468" s="612"/>
    </row>
    <row r="10469">
      <c r="B10469" s="612"/>
      <c r="H10469" s="612"/>
    </row>
    <row r="10470">
      <c r="B10470" s="612"/>
      <c r="H10470" s="612"/>
    </row>
    <row r="10471">
      <c r="B10471" s="612"/>
      <c r="H10471" s="612"/>
    </row>
    <row r="10472">
      <c r="B10472" s="612"/>
      <c r="H10472" s="612"/>
    </row>
    <row r="10473">
      <c r="B10473" s="612"/>
      <c r="H10473" s="612"/>
    </row>
    <row r="10474">
      <c r="B10474" s="612"/>
      <c r="H10474" s="612"/>
    </row>
    <row r="10475">
      <c r="B10475" s="612"/>
      <c r="H10475" s="612"/>
    </row>
    <row r="10476">
      <c r="B10476" s="612"/>
      <c r="H10476" s="612"/>
    </row>
    <row r="10477">
      <c r="B10477" s="612"/>
      <c r="H10477" s="612"/>
    </row>
    <row r="10478">
      <c r="B10478" s="612"/>
      <c r="H10478" s="612"/>
    </row>
    <row r="10479">
      <c r="B10479" s="612"/>
      <c r="H10479" s="612"/>
    </row>
    <row r="10480">
      <c r="B10480" s="612"/>
      <c r="H10480" s="612"/>
    </row>
    <row r="10481">
      <c r="B10481" s="612"/>
      <c r="H10481" s="612"/>
    </row>
    <row r="10482">
      <c r="B10482" s="612"/>
      <c r="H10482" s="612"/>
    </row>
    <row r="10483">
      <c r="B10483" s="612"/>
      <c r="H10483" s="612"/>
    </row>
    <row r="10484">
      <c r="B10484" s="612"/>
      <c r="H10484" s="612"/>
    </row>
    <row r="10485">
      <c r="B10485" s="612"/>
      <c r="H10485" s="612"/>
    </row>
    <row r="10486">
      <c r="B10486" s="612"/>
      <c r="H10486" s="612"/>
    </row>
    <row r="10487">
      <c r="B10487" s="612"/>
      <c r="H10487" s="612"/>
    </row>
    <row r="10488">
      <c r="B10488" s="612"/>
      <c r="H10488" s="612"/>
    </row>
    <row r="10489">
      <c r="B10489" s="612"/>
      <c r="H10489" s="612"/>
    </row>
    <row r="10490">
      <c r="B10490" s="612"/>
      <c r="H10490" s="612"/>
    </row>
    <row r="10491">
      <c r="B10491" s="612"/>
      <c r="H10491" s="612"/>
    </row>
    <row r="10492">
      <c r="B10492" s="612"/>
      <c r="H10492" s="612"/>
    </row>
    <row r="10493">
      <c r="B10493" s="612"/>
      <c r="H10493" s="612"/>
    </row>
    <row r="10494">
      <c r="B10494" s="612"/>
      <c r="H10494" s="612"/>
    </row>
    <row r="10495">
      <c r="B10495" s="612"/>
      <c r="H10495" s="612"/>
    </row>
    <row r="10496">
      <c r="B10496" s="612"/>
      <c r="H10496" s="612"/>
    </row>
    <row r="10497">
      <c r="B10497" s="612"/>
      <c r="H10497" s="612"/>
    </row>
    <row r="10498">
      <c r="B10498" s="612"/>
      <c r="H10498" s="612"/>
    </row>
    <row r="10499">
      <c r="B10499" s="612"/>
      <c r="H10499" s="612"/>
    </row>
    <row r="10500">
      <c r="B10500" s="612"/>
      <c r="H10500" s="612"/>
    </row>
    <row r="10501">
      <c r="B10501" s="612"/>
      <c r="H10501" s="612"/>
    </row>
    <row r="10502">
      <c r="B10502" s="612"/>
      <c r="H10502" s="612"/>
    </row>
    <row r="10503">
      <c r="B10503" s="612"/>
      <c r="H10503" s="612"/>
    </row>
    <row r="10504">
      <c r="B10504" s="612"/>
      <c r="H10504" s="612"/>
    </row>
    <row r="10505">
      <c r="B10505" s="612"/>
      <c r="H10505" s="612"/>
    </row>
    <row r="10506">
      <c r="B10506" s="612"/>
      <c r="H10506" s="612"/>
    </row>
    <row r="10507">
      <c r="B10507" s="612"/>
      <c r="H10507" s="612"/>
    </row>
    <row r="10508">
      <c r="B10508" s="612"/>
      <c r="H10508" s="612"/>
    </row>
    <row r="10509">
      <c r="B10509" s="612"/>
      <c r="H10509" s="612"/>
    </row>
    <row r="10510">
      <c r="B10510" s="612"/>
      <c r="H10510" s="612"/>
    </row>
    <row r="10511">
      <c r="B10511" s="612"/>
      <c r="H10511" s="612"/>
    </row>
    <row r="10512">
      <c r="B10512" s="612"/>
      <c r="H10512" s="612"/>
    </row>
    <row r="10513">
      <c r="B10513" s="612"/>
      <c r="H10513" s="612"/>
    </row>
    <row r="10514">
      <c r="B10514" s="612"/>
      <c r="H10514" s="612"/>
    </row>
    <row r="10515">
      <c r="B10515" s="612"/>
      <c r="H10515" s="612"/>
    </row>
    <row r="10516">
      <c r="B10516" s="612"/>
      <c r="H10516" s="612"/>
    </row>
    <row r="10517">
      <c r="B10517" s="612"/>
      <c r="H10517" s="612"/>
    </row>
    <row r="10518">
      <c r="B10518" s="612"/>
      <c r="H10518" s="612"/>
    </row>
    <row r="10519">
      <c r="B10519" s="612"/>
      <c r="H10519" s="612"/>
    </row>
    <row r="10520">
      <c r="B10520" s="612"/>
      <c r="H10520" s="612"/>
    </row>
    <row r="10521">
      <c r="B10521" s="612"/>
      <c r="H10521" s="612"/>
    </row>
    <row r="10522">
      <c r="B10522" s="612"/>
      <c r="H10522" s="612"/>
    </row>
    <row r="10523">
      <c r="B10523" s="612"/>
      <c r="H10523" s="612"/>
    </row>
    <row r="10524">
      <c r="B10524" s="612"/>
      <c r="H10524" s="612"/>
    </row>
    <row r="10525">
      <c r="B10525" s="612"/>
      <c r="H10525" s="612"/>
    </row>
    <row r="10526">
      <c r="B10526" s="612"/>
      <c r="H10526" s="612"/>
    </row>
    <row r="10527">
      <c r="B10527" s="612"/>
      <c r="H10527" s="612"/>
    </row>
    <row r="10528">
      <c r="B10528" s="612"/>
      <c r="H10528" s="612"/>
    </row>
    <row r="10529">
      <c r="B10529" s="612"/>
      <c r="H10529" s="612"/>
    </row>
    <row r="10530">
      <c r="B10530" s="612"/>
      <c r="H10530" s="612"/>
    </row>
    <row r="10531">
      <c r="B10531" s="612"/>
      <c r="H10531" s="612"/>
    </row>
    <row r="10532">
      <c r="B10532" s="612"/>
      <c r="H10532" s="612"/>
    </row>
    <row r="10533">
      <c r="B10533" s="612"/>
      <c r="H10533" s="612"/>
    </row>
    <row r="10534">
      <c r="B10534" s="612"/>
      <c r="H10534" s="612"/>
    </row>
    <row r="10535">
      <c r="B10535" s="612"/>
      <c r="H10535" s="612"/>
    </row>
    <row r="10536">
      <c r="B10536" s="612"/>
      <c r="H10536" s="612"/>
    </row>
    <row r="10537">
      <c r="B10537" s="612"/>
      <c r="H10537" s="612"/>
    </row>
    <row r="10538">
      <c r="B10538" s="612"/>
      <c r="H10538" s="612"/>
    </row>
    <row r="10539">
      <c r="B10539" s="612"/>
      <c r="H10539" s="612"/>
    </row>
    <row r="10540">
      <c r="B10540" s="612"/>
      <c r="H10540" s="612"/>
    </row>
    <row r="10541">
      <c r="B10541" s="612"/>
      <c r="H10541" s="612"/>
    </row>
    <row r="10542">
      <c r="B10542" s="612"/>
      <c r="H10542" s="612"/>
    </row>
    <row r="10543">
      <c r="B10543" s="612"/>
      <c r="H10543" s="612"/>
    </row>
    <row r="10544">
      <c r="B10544" s="612"/>
      <c r="H10544" s="612"/>
    </row>
    <row r="10545">
      <c r="B10545" s="612"/>
      <c r="H10545" s="612"/>
    </row>
    <row r="10546">
      <c r="B10546" s="612"/>
      <c r="H10546" s="612"/>
    </row>
    <row r="10547">
      <c r="B10547" s="612"/>
      <c r="H10547" s="612"/>
    </row>
    <row r="10548">
      <c r="B10548" s="612"/>
      <c r="H10548" s="612"/>
    </row>
    <row r="10549">
      <c r="B10549" s="612"/>
      <c r="H10549" s="612"/>
    </row>
    <row r="10550">
      <c r="B10550" s="612"/>
      <c r="H10550" s="612"/>
    </row>
    <row r="10551">
      <c r="B10551" s="612"/>
      <c r="H10551" s="612"/>
    </row>
    <row r="10552">
      <c r="B10552" s="612"/>
      <c r="H10552" s="612"/>
    </row>
    <row r="10553">
      <c r="B10553" s="612"/>
      <c r="H10553" s="612"/>
    </row>
    <row r="10554">
      <c r="B10554" s="612"/>
      <c r="H10554" s="612"/>
    </row>
    <row r="10555">
      <c r="B10555" s="612"/>
      <c r="H10555" s="612"/>
    </row>
    <row r="10556">
      <c r="B10556" s="612"/>
      <c r="H10556" s="612"/>
    </row>
    <row r="10557">
      <c r="B10557" s="612"/>
      <c r="H10557" s="612"/>
    </row>
    <row r="10558">
      <c r="B10558" s="612"/>
      <c r="H10558" s="612"/>
    </row>
    <row r="10559">
      <c r="B10559" s="612"/>
      <c r="H10559" s="612"/>
    </row>
    <row r="10560">
      <c r="B10560" s="612"/>
      <c r="H10560" s="612"/>
    </row>
    <row r="10561">
      <c r="B10561" s="612"/>
      <c r="H10561" s="612"/>
    </row>
    <row r="10562">
      <c r="B10562" s="612"/>
      <c r="H10562" s="612"/>
    </row>
    <row r="10563">
      <c r="B10563" s="612"/>
      <c r="H10563" s="612"/>
    </row>
    <row r="10564">
      <c r="B10564" s="612"/>
      <c r="H10564" s="612"/>
    </row>
    <row r="10565">
      <c r="B10565" s="612"/>
      <c r="H10565" s="612"/>
    </row>
    <row r="10566">
      <c r="B10566" s="612"/>
      <c r="H10566" s="612"/>
    </row>
    <row r="10567">
      <c r="B10567" s="612"/>
      <c r="H10567" s="612"/>
    </row>
    <row r="10568">
      <c r="B10568" s="612"/>
      <c r="H10568" s="612"/>
    </row>
    <row r="10569">
      <c r="B10569" s="612"/>
      <c r="H10569" s="612"/>
    </row>
    <row r="10570">
      <c r="B10570" s="612"/>
      <c r="H10570" s="612"/>
    </row>
    <row r="10571">
      <c r="B10571" s="612"/>
      <c r="H10571" s="612"/>
    </row>
    <row r="10572">
      <c r="B10572" s="612"/>
      <c r="H10572" s="612"/>
    </row>
    <row r="10573">
      <c r="B10573" s="612"/>
      <c r="H10573" s="612"/>
    </row>
    <row r="10574">
      <c r="B10574" s="612"/>
      <c r="H10574" s="612"/>
    </row>
    <row r="10575">
      <c r="B10575" s="612"/>
      <c r="H10575" s="612"/>
    </row>
    <row r="10576">
      <c r="B10576" s="612"/>
      <c r="H10576" s="612"/>
    </row>
    <row r="10577">
      <c r="B10577" s="612"/>
      <c r="H10577" s="612"/>
    </row>
    <row r="10578">
      <c r="B10578" s="612"/>
      <c r="H10578" s="612"/>
    </row>
    <row r="10579">
      <c r="B10579" s="612"/>
      <c r="H10579" s="612"/>
    </row>
    <row r="10580">
      <c r="B10580" s="612"/>
      <c r="H10580" s="612"/>
    </row>
    <row r="10581">
      <c r="B10581" s="612"/>
      <c r="H10581" s="612"/>
    </row>
    <row r="10582">
      <c r="B10582" s="612"/>
      <c r="H10582" s="612"/>
    </row>
    <row r="10583">
      <c r="B10583" s="612"/>
      <c r="H10583" s="612"/>
    </row>
    <row r="10584">
      <c r="B10584" s="612"/>
      <c r="H10584" s="612"/>
    </row>
    <row r="10585">
      <c r="B10585" s="612"/>
      <c r="H10585" s="612"/>
    </row>
    <row r="10586">
      <c r="B10586" s="612"/>
      <c r="H10586" s="612"/>
    </row>
    <row r="10587">
      <c r="B10587" s="612"/>
      <c r="H10587" s="612"/>
    </row>
    <row r="10588">
      <c r="B10588" s="612"/>
      <c r="H10588" s="612"/>
    </row>
    <row r="10589">
      <c r="B10589" s="612"/>
      <c r="H10589" s="612"/>
    </row>
    <row r="10590">
      <c r="B10590" s="612"/>
      <c r="H10590" s="612"/>
    </row>
    <row r="10591">
      <c r="B10591" s="612"/>
      <c r="H10591" s="612"/>
    </row>
    <row r="10592">
      <c r="B10592" s="612"/>
      <c r="H10592" s="612"/>
    </row>
    <row r="10593">
      <c r="B10593" s="612"/>
      <c r="H10593" s="612"/>
    </row>
    <row r="10594">
      <c r="B10594" s="612"/>
      <c r="H10594" s="612"/>
    </row>
    <row r="10595">
      <c r="B10595" s="612"/>
      <c r="H10595" s="612"/>
    </row>
    <row r="10596">
      <c r="B10596" s="612"/>
      <c r="H10596" s="612"/>
    </row>
    <row r="10597">
      <c r="B10597" s="612"/>
      <c r="H10597" s="612"/>
    </row>
    <row r="10598">
      <c r="B10598" s="612"/>
      <c r="H10598" s="612"/>
    </row>
    <row r="10599">
      <c r="B10599" s="612"/>
      <c r="H10599" s="612"/>
    </row>
    <row r="10600">
      <c r="B10600" s="612"/>
      <c r="H10600" s="612"/>
    </row>
    <row r="10601">
      <c r="B10601" s="612"/>
      <c r="H10601" s="612"/>
    </row>
    <row r="10602">
      <c r="B10602" s="612"/>
      <c r="H10602" s="612"/>
    </row>
    <row r="10603">
      <c r="B10603" s="612"/>
      <c r="H10603" s="612"/>
    </row>
    <row r="10604">
      <c r="B10604" s="612"/>
      <c r="H10604" s="612"/>
    </row>
    <row r="10605">
      <c r="B10605" s="612"/>
      <c r="H10605" s="612"/>
    </row>
    <row r="10606">
      <c r="B10606" s="612"/>
      <c r="H10606" s="612"/>
    </row>
    <row r="10607">
      <c r="B10607" s="612"/>
      <c r="H10607" s="612"/>
    </row>
    <row r="10608">
      <c r="B10608" s="612"/>
      <c r="H10608" s="612"/>
    </row>
    <row r="10609">
      <c r="B10609" s="612"/>
      <c r="H10609" s="612"/>
    </row>
    <row r="10610">
      <c r="B10610" s="612"/>
      <c r="H10610" s="612"/>
    </row>
    <row r="10611">
      <c r="B10611" s="612"/>
      <c r="H10611" s="612"/>
    </row>
    <row r="10612">
      <c r="B10612" s="612"/>
      <c r="H10612" s="612"/>
    </row>
    <row r="10613">
      <c r="B10613" s="612"/>
      <c r="H10613" s="612"/>
    </row>
    <row r="10614">
      <c r="B10614" s="612"/>
      <c r="H10614" s="612"/>
    </row>
    <row r="10615">
      <c r="B10615" s="612"/>
      <c r="H10615" s="612"/>
    </row>
    <row r="10616">
      <c r="B10616" s="612"/>
      <c r="H10616" s="612"/>
    </row>
    <row r="10617">
      <c r="B10617" s="612"/>
      <c r="H10617" s="612"/>
    </row>
    <row r="10618">
      <c r="B10618" s="612"/>
      <c r="H10618" s="612"/>
    </row>
    <row r="10619">
      <c r="B10619" s="612"/>
      <c r="H10619" s="612"/>
    </row>
    <row r="10620">
      <c r="B10620" s="612"/>
      <c r="H10620" s="612"/>
    </row>
    <row r="10621">
      <c r="B10621" s="612"/>
      <c r="H10621" s="612"/>
    </row>
    <row r="10622">
      <c r="B10622" s="612"/>
      <c r="H10622" s="612"/>
    </row>
    <row r="10623">
      <c r="B10623" s="612"/>
      <c r="H10623" s="612"/>
    </row>
    <row r="10624">
      <c r="B10624" s="612"/>
      <c r="H10624" s="612"/>
    </row>
    <row r="10625">
      <c r="B10625" s="612"/>
      <c r="H10625" s="612"/>
    </row>
    <row r="10626">
      <c r="B10626" s="612"/>
      <c r="H10626" s="612"/>
    </row>
    <row r="10627">
      <c r="B10627" s="612"/>
      <c r="H10627" s="612"/>
    </row>
    <row r="10628">
      <c r="B10628" s="612"/>
      <c r="H10628" s="612"/>
    </row>
    <row r="10629">
      <c r="B10629" s="612"/>
      <c r="H10629" s="612"/>
    </row>
    <row r="10630">
      <c r="B10630" s="612"/>
      <c r="H10630" s="612"/>
    </row>
    <row r="10631">
      <c r="B10631" s="612"/>
      <c r="H10631" s="612"/>
    </row>
    <row r="10632">
      <c r="B10632" s="612"/>
      <c r="H10632" s="612"/>
    </row>
    <row r="10633">
      <c r="B10633" s="612"/>
      <c r="H10633" s="612"/>
    </row>
    <row r="10634">
      <c r="B10634" s="612"/>
      <c r="H10634" s="612"/>
    </row>
    <row r="10635">
      <c r="B10635" s="612"/>
      <c r="H10635" s="612"/>
    </row>
    <row r="10636">
      <c r="B10636" s="612"/>
      <c r="H10636" s="612"/>
    </row>
    <row r="10637">
      <c r="B10637" s="612"/>
      <c r="H10637" s="612"/>
    </row>
    <row r="10638">
      <c r="B10638" s="612"/>
      <c r="H10638" s="612"/>
    </row>
    <row r="10639">
      <c r="B10639" s="612"/>
      <c r="H10639" s="612"/>
    </row>
    <row r="10640">
      <c r="B10640" s="612"/>
      <c r="H10640" s="612"/>
    </row>
    <row r="10641">
      <c r="B10641" s="612"/>
      <c r="H10641" s="612"/>
    </row>
    <row r="10642">
      <c r="B10642" s="612"/>
      <c r="H10642" s="612"/>
    </row>
    <row r="10643">
      <c r="B10643" s="612"/>
      <c r="H10643" s="612"/>
    </row>
    <row r="10644">
      <c r="B10644" s="612"/>
      <c r="H10644" s="612"/>
    </row>
    <row r="10645">
      <c r="B10645" s="612"/>
      <c r="H10645" s="612"/>
    </row>
    <row r="10646">
      <c r="B10646" s="612"/>
      <c r="H10646" s="612"/>
    </row>
    <row r="10647">
      <c r="B10647" s="612"/>
      <c r="H10647" s="612"/>
    </row>
    <row r="10648">
      <c r="B10648" s="612"/>
      <c r="H10648" s="612"/>
    </row>
    <row r="10649">
      <c r="B10649" s="612"/>
      <c r="H10649" s="612"/>
    </row>
    <row r="10650">
      <c r="B10650" s="612"/>
      <c r="H10650" s="612"/>
    </row>
    <row r="10651">
      <c r="B10651" s="612"/>
      <c r="H10651" s="612"/>
    </row>
    <row r="10652">
      <c r="B10652" s="612"/>
      <c r="H10652" s="612"/>
    </row>
    <row r="10653">
      <c r="B10653" s="612"/>
      <c r="H10653" s="612"/>
    </row>
    <row r="10654">
      <c r="B10654" s="612"/>
      <c r="H10654" s="612"/>
    </row>
    <row r="10655">
      <c r="B10655" s="612"/>
      <c r="H10655" s="612"/>
    </row>
    <row r="10656">
      <c r="B10656" s="612"/>
      <c r="H10656" s="612"/>
    </row>
    <row r="10657">
      <c r="B10657" s="612"/>
      <c r="H10657" s="612"/>
    </row>
    <row r="10658">
      <c r="B10658" s="612"/>
      <c r="H10658" s="612"/>
    </row>
    <row r="10659">
      <c r="B10659" s="612"/>
      <c r="H10659" s="612"/>
    </row>
    <row r="10660">
      <c r="B10660" s="612"/>
      <c r="H10660" s="612"/>
    </row>
    <row r="10661">
      <c r="B10661" s="612"/>
      <c r="H10661" s="612"/>
    </row>
    <row r="10662">
      <c r="B10662" s="612"/>
      <c r="H10662" s="612"/>
    </row>
    <row r="10663">
      <c r="B10663" s="612"/>
      <c r="H10663" s="612"/>
    </row>
    <row r="10664">
      <c r="B10664" s="612"/>
      <c r="H10664" s="612"/>
    </row>
    <row r="10665">
      <c r="B10665" s="612"/>
      <c r="H10665" s="612"/>
    </row>
    <row r="10666">
      <c r="B10666" s="612"/>
      <c r="H10666" s="612"/>
    </row>
    <row r="10667">
      <c r="B10667" s="612"/>
      <c r="H10667" s="612"/>
    </row>
    <row r="10668">
      <c r="B10668" s="612"/>
      <c r="H10668" s="612"/>
    </row>
    <row r="10669">
      <c r="B10669" s="612"/>
      <c r="H10669" s="612"/>
    </row>
    <row r="10670">
      <c r="B10670" s="612"/>
      <c r="H10670" s="612"/>
    </row>
    <row r="10671">
      <c r="B10671" s="612"/>
      <c r="H10671" s="612"/>
    </row>
    <row r="10672">
      <c r="B10672" s="612"/>
      <c r="H10672" s="612"/>
    </row>
    <row r="10673">
      <c r="B10673" s="612"/>
      <c r="H10673" s="612"/>
    </row>
    <row r="10674">
      <c r="B10674" s="612"/>
      <c r="H10674" s="612"/>
    </row>
    <row r="10675">
      <c r="B10675" s="612"/>
      <c r="H10675" s="612"/>
    </row>
    <row r="10676">
      <c r="B10676" s="612"/>
      <c r="H10676" s="612"/>
    </row>
    <row r="10677">
      <c r="B10677" s="612"/>
      <c r="H10677" s="612"/>
    </row>
    <row r="10678">
      <c r="B10678" s="612"/>
      <c r="H10678" s="612"/>
    </row>
    <row r="10679">
      <c r="B10679" s="612"/>
      <c r="H10679" s="612"/>
    </row>
    <row r="10680">
      <c r="B10680" s="612"/>
      <c r="H10680" s="612"/>
    </row>
    <row r="10681">
      <c r="B10681" s="612"/>
      <c r="H10681" s="612"/>
    </row>
    <row r="10682">
      <c r="B10682" s="612"/>
      <c r="H10682" s="612"/>
    </row>
    <row r="10683">
      <c r="B10683" s="612"/>
      <c r="H10683" s="612"/>
    </row>
    <row r="10684">
      <c r="B10684" s="612"/>
      <c r="H10684" s="612"/>
    </row>
    <row r="10685">
      <c r="B10685" s="612"/>
      <c r="H10685" s="612"/>
    </row>
    <row r="10686">
      <c r="B10686" s="612"/>
      <c r="H10686" s="612"/>
    </row>
    <row r="10687">
      <c r="B10687" s="612"/>
      <c r="H10687" s="612"/>
    </row>
    <row r="10688">
      <c r="B10688" s="612"/>
      <c r="H10688" s="612"/>
    </row>
    <row r="10689">
      <c r="B10689" s="612"/>
      <c r="H10689" s="612"/>
    </row>
    <row r="10690">
      <c r="B10690" s="612"/>
      <c r="H10690" s="612"/>
    </row>
    <row r="10691">
      <c r="B10691" s="612"/>
      <c r="H10691" s="612"/>
    </row>
    <row r="10692">
      <c r="B10692" s="612"/>
      <c r="H10692" s="612"/>
    </row>
    <row r="10693">
      <c r="B10693" s="612"/>
      <c r="H10693" s="612"/>
    </row>
    <row r="10694">
      <c r="B10694" s="612"/>
      <c r="H10694" s="612"/>
    </row>
    <row r="10695">
      <c r="B10695" s="612"/>
      <c r="H10695" s="612"/>
    </row>
    <row r="10696">
      <c r="B10696" s="612"/>
      <c r="H10696" s="612"/>
    </row>
    <row r="10697">
      <c r="B10697" s="612"/>
      <c r="H10697" s="612"/>
    </row>
    <row r="10698">
      <c r="B10698" s="612"/>
      <c r="H10698" s="612"/>
    </row>
    <row r="10699">
      <c r="B10699" s="612"/>
      <c r="H10699" s="612"/>
    </row>
    <row r="10700">
      <c r="B10700" s="612"/>
      <c r="H10700" s="612"/>
    </row>
    <row r="10701">
      <c r="B10701" s="612"/>
      <c r="H10701" s="612"/>
    </row>
    <row r="10702">
      <c r="B10702" s="612"/>
      <c r="H10702" s="612"/>
    </row>
    <row r="10703">
      <c r="B10703" s="612"/>
      <c r="H10703" s="612"/>
    </row>
    <row r="10704">
      <c r="B10704" s="612"/>
      <c r="H10704" s="612"/>
    </row>
    <row r="10705">
      <c r="B10705" s="612"/>
      <c r="H10705" s="612"/>
    </row>
    <row r="10706">
      <c r="B10706" s="612"/>
      <c r="H10706" s="612"/>
    </row>
    <row r="10707">
      <c r="B10707" s="612"/>
      <c r="H10707" s="612"/>
    </row>
    <row r="10708">
      <c r="B10708" s="612"/>
      <c r="H10708" s="612"/>
    </row>
    <row r="10709">
      <c r="B10709" s="612"/>
      <c r="H10709" s="612"/>
    </row>
    <row r="10710">
      <c r="B10710" s="612"/>
      <c r="H10710" s="612"/>
    </row>
    <row r="10711">
      <c r="B10711" s="612"/>
      <c r="H10711" s="612"/>
    </row>
    <row r="10712">
      <c r="B10712" s="612"/>
      <c r="H10712" s="612"/>
    </row>
    <row r="10713">
      <c r="B10713" s="612"/>
      <c r="H10713" s="612"/>
    </row>
    <row r="10714">
      <c r="B10714" s="612"/>
      <c r="H10714" s="612"/>
    </row>
    <row r="10715">
      <c r="B10715" s="612"/>
      <c r="H10715" s="612"/>
    </row>
    <row r="10716">
      <c r="B10716" s="612"/>
      <c r="H10716" s="612"/>
    </row>
    <row r="10717">
      <c r="B10717" s="612"/>
      <c r="H10717" s="612"/>
    </row>
    <row r="10718">
      <c r="B10718" s="612"/>
      <c r="H10718" s="612"/>
    </row>
    <row r="10719">
      <c r="B10719" s="612"/>
      <c r="H10719" s="612"/>
    </row>
    <row r="10720">
      <c r="B10720" s="612"/>
      <c r="H10720" s="612"/>
    </row>
    <row r="10721">
      <c r="B10721" s="612"/>
      <c r="H10721" s="612"/>
    </row>
    <row r="10722">
      <c r="B10722" s="612"/>
      <c r="H10722" s="612"/>
    </row>
    <row r="10723">
      <c r="B10723" s="612"/>
      <c r="H10723" s="612"/>
    </row>
    <row r="10724">
      <c r="B10724" s="612"/>
      <c r="H10724" s="612"/>
    </row>
    <row r="10725">
      <c r="B10725" s="612"/>
      <c r="H10725" s="612"/>
    </row>
    <row r="10726">
      <c r="B10726" s="612"/>
      <c r="H10726" s="612"/>
    </row>
    <row r="10727">
      <c r="B10727" s="612"/>
      <c r="H10727" s="612"/>
    </row>
    <row r="10728">
      <c r="B10728" s="612"/>
      <c r="H10728" s="612"/>
    </row>
    <row r="10729">
      <c r="B10729" s="612"/>
      <c r="H10729" s="612"/>
    </row>
    <row r="10730">
      <c r="B10730" s="612"/>
      <c r="H10730" s="612"/>
    </row>
    <row r="10731">
      <c r="B10731" s="612"/>
      <c r="H10731" s="612"/>
    </row>
    <row r="10732">
      <c r="B10732" s="612"/>
      <c r="H10732" s="612"/>
    </row>
    <row r="10733">
      <c r="B10733" s="612"/>
      <c r="H10733" s="612"/>
    </row>
    <row r="10734">
      <c r="B10734" s="612"/>
      <c r="H10734" s="612"/>
    </row>
    <row r="10735">
      <c r="B10735" s="612"/>
      <c r="H10735" s="612"/>
    </row>
    <row r="10736">
      <c r="B10736" s="612"/>
      <c r="H10736" s="612"/>
    </row>
    <row r="10737">
      <c r="B10737" s="612"/>
      <c r="H10737" s="612"/>
    </row>
    <row r="10738">
      <c r="B10738" s="612"/>
      <c r="H10738" s="612"/>
    </row>
    <row r="10739">
      <c r="B10739" s="612"/>
      <c r="H10739" s="612"/>
    </row>
    <row r="10740">
      <c r="B10740" s="612"/>
      <c r="H10740" s="612"/>
    </row>
    <row r="10741">
      <c r="B10741" s="612"/>
      <c r="H10741" s="612"/>
    </row>
    <row r="10742">
      <c r="B10742" s="612"/>
      <c r="H10742" s="612"/>
    </row>
    <row r="10743">
      <c r="B10743" s="612"/>
      <c r="H10743" s="612"/>
    </row>
    <row r="10744">
      <c r="B10744" s="612"/>
      <c r="H10744" s="612"/>
    </row>
    <row r="10745">
      <c r="B10745" s="612"/>
      <c r="H10745" s="612"/>
    </row>
    <row r="10746">
      <c r="B10746" s="612"/>
      <c r="H10746" s="612"/>
    </row>
    <row r="10747">
      <c r="B10747" s="612"/>
      <c r="H10747" s="612"/>
    </row>
    <row r="10748">
      <c r="B10748" s="612"/>
      <c r="H10748" s="612"/>
    </row>
    <row r="10749">
      <c r="B10749" s="612"/>
      <c r="H10749" s="612"/>
    </row>
    <row r="10750">
      <c r="B10750" s="612"/>
      <c r="H10750" s="612"/>
    </row>
    <row r="10751">
      <c r="B10751" s="612"/>
      <c r="H10751" s="612"/>
    </row>
    <row r="10752">
      <c r="B10752" s="612"/>
      <c r="H10752" s="612"/>
    </row>
    <row r="10753">
      <c r="B10753" s="612"/>
      <c r="H10753" s="612"/>
    </row>
    <row r="10754">
      <c r="B10754" s="612"/>
      <c r="H10754" s="612"/>
    </row>
    <row r="10755">
      <c r="B10755" s="612"/>
      <c r="H10755" s="612"/>
    </row>
    <row r="10756">
      <c r="B10756" s="612"/>
      <c r="H10756" s="612"/>
    </row>
    <row r="10757">
      <c r="B10757" s="612"/>
      <c r="H10757" s="612"/>
    </row>
    <row r="10758">
      <c r="B10758" s="612"/>
      <c r="H10758" s="612"/>
    </row>
    <row r="10759">
      <c r="B10759" s="612"/>
      <c r="H10759" s="612"/>
    </row>
    <row r="10760">
      <c r="B10760" s="612"/>
      <c r="H10760" s="612"/>
    </row>
    <row r="10761">
      <c r="B10761" s="612"/>
      <c r="H10761" s="612"/>
    </row>
    <row r="10762">
      <c r="B10762" s="612"/>
      <c r="H10762" s="612"/>
    </row>
    <row r="10763">
      <c r="B10763" s="612"/>
      <c r="H10763" s="612"/>
    </row>
    <row r="10764">
      <c r="B10764" s="612"/>
      <c r="H10764" s="612"/>
    </row>
    <row r="10765">
      <c r="B10765" s="612"/>
      <c r="H10765" s="612"/>
    </row>
    <row r="10766">
      <c r="B10766" s="612"/>
      <c r="H10766" s="612"/>
    </row>
    <row r="10767">
      <c r="B10767" s="612"/>
      <c r="H10767" s="612"/>
    </row>
    <row r="10768">
      <c r="B10768" s="612"/>
      <c r="H10768" s="612"/>
    </row>
    <row r="10769">
      <c r="B10769" s="612"/>
      <c r="H10769" s="612"/>
    </row>
    <row r="10770">
      <c r="B10770" s="612"/>
      <c r="H10770" s="612"/>
    </row>
    <row r="10771">
      <c r="B10771" s="612"/>
      <c r="H10771" s="612"/>
    </row>
    <row r="10772">
      <c r="B10772" s="612"/>
      <c r="H10772" s="612"/>
    </row>
    <row r="10773">
      <c r="B10773" s="612"/>
      <c r="H10773" s="612"/>
    </row>
    <row r="10774">
      <c r="B10774" s="612"/>
      <c r="H10774" s="612"/>
    </row>
    <row r="10775">
      <c r="B10775" s="612"/>
      <c r="H10775" s="612"/>
    </row>
    <row r="10776">
      <c r="B10776" s="612"/>
      <c r="H10776" s="612"/>
    </row>
    <row r="10777">
      <c r="B10777" s="612"/>
      <c r="H10777" s="612"/>
    </row>
    <row r="10778">
      <c r="B10778" s="612"/>
      <c r="H10778" s="612"/>
    </row>
    <row r="10779">
      <c r="B10779" s="612"/>
      <c r="H10779" s="612"/>
    </row>
    <row r="10780">
      <c r="B10780" s="612"/>
      <c r="H10780" s="612"/>
    </row>
    <row r="10781">
      <c r="B10781" s="612"/>
      <c r="H10781" s="612"/>
    </row>
    <row r="10782">
      <c r="B10782" s="612"/>
      <c r="H10782" s="612"/>
    </row>
    <row r="10783">
      <c r="B10783" s="612"/>
      <c r="H10783" s="612"/>
    </row>
    <row r="10784">
      <c r="B10784" s="612"/>
      <c r="H10784" s="612"/>
    </row>
    <row r="10785">
      <c r="B10785" s="612"/>
      <c r="H10785" s="612"/>
    </row>
    <row r="10786">
      <c r="B10786" s="612"/>
      <c r="H10786" s="612"/>
    </row>
    <row r="10787">
      <c r="B10787" s="612"/>
      <c r="H10787" s="612"/>
    </row>
    <row r="10788">
      <c r="B10788" s="612"/>
      <c r="H10788" s="612"/>
    </row>
    <row r="10789">
      <c r="B10789" s="612"/>
      <c r="H10789" s="612"/>
    </row>
    <row r="10790">
      <c r="B10790" s="612"/>
      <c r="H10790" s="612"/>
    </row>
    <row r="10791">
      <c r="B10791" s="612"/>
      <c r="H10791" s="612"/>
    </row>
    <row r="10792">
      <c r="B10792" s="612"/>
      <c r="H10792" s="612"/>
    </row>
    <row r="10793">
      <c r="B10793" s="612"/>
      <c r="H10793" s="612"/>
    </row>
    <row r="10794">
      <c r="B10794" s="612"/>
      <c r="H10794" s="612"/>
    </row>
    <row r="10795">
      <c r="B10795" s="612"/>
      <c r="H10795" s="612"/>
    </row>
    <row r="10796">
      <c r="B10796" s="612"/>
      <c r="H10796" s="612"/>
    </row>
    <row r="10797">
      <c r="B10797" s="612"/>
      <c r="H10797" s="612"/>
    </row>
    <row r="10798">
      <c r="B10798" s="612"/>
      <c r="H10798" s="612"/>
    </row>
    <row r="10799">
      <c r="B10799" s="612"/>
      <c r="H10799" s="612"/>
    </row>
    <row r="10800">
      <c r="B10800" s="612"/>
      <c r="H10800" s="612"/>
    </row>
    <row r="10801">
      <c r="B10801" s="612"/>
      <c r="H10801" s="612"/>
    </row>
    <row r="10802">
      <c r="B10802" s="612"/>
      <c r="H10802" s="612"/>
    </row>
    <row r="10803">
      <c r="B10803" s="612"/>
      <c r="H10803" s="612"/>
    </row>
    <row r="10804">
      <c r="B10804" s="612"/>
      <c r="H10804" s="612"/>
    </row>
    <row r="10805">
      <c r="B10805" s="612"/>
      <c r="H10805" s="612"/>
    </row>
    <row r="10806">
      <c r="B10806" s="612"/>
      <c r="H10806" s="612"/>
    </row>
    <row r="10807">
      <c r="B10807" s="612"/>
      <c r="H10807" s="612"/>
    </row>
    <row r="10808">
      <c r="B10808" s="612"/>
      <c r="H10808" s="612"/>
    </row>
    <row r="10809">
      <c r="B10809" s="612"/>
      <c r="H10809" s="612"/>
    </row>
    <row r="10810">
      <c r="B10810" s="612"/>
      <c r="H10810" s="612"/>
    </row>
    <row r="10811">
      <c r="B10811" s="612"/>
      <c r="H10811" s="612"/>
    </row>
    <row r="10812">
      <c r="B10812" s="612"/>
      <c r="H10812" s="612"/>
    </row>
    <row r="10813">
      <c r="B10813" s="612"/>
      <c r="H10813" s="612"/>
    </row>
    <row r="10814">
      <c r="B10814" s="612"/>
      <c r="H10814" s="612"/>
    </row>
    <row r="10815">
      <c r="B10815" s="612"/>
      <c r="H10815" s="612"/>
    </row>
    <row r="10816">
      <c r="B10816" s="612"/>
      <c r="H10816" s="612"/>
    </row>
    <row r="10817">
      <c r="B10817" s="612"/>
      <c r="H10817" s="612"/>
    </row>
    <row r="10818">
      <c r="B10818" s="612"/>
      <c r="H10818" s="612"/>
    </row>
    <row r="10819">
      <c r="B10819" s="612"/>
      <c r="H10819" s="612"/>
    </row>
    <row r="10820">
      <c r="B10820" s="612"/>
      <c r="H10820" s="612"/>
    </row>
    <row r="10821">
      <c r="B10821" s="612"/>
      <c r="H10821" s="612"/>
    </row>
    <row r="10822">
      <c r="B10822" s="612"/>
      <c r="H10822" s="612"/>
    </row>
    <row r="10823">
      <c r="B10823" s="612"/>
      <c r="H10823" s="612"/>
    </row>
    <row r="10824">
      <c r="B10824" s="612"/>
      <c r="H10824" s="612"/>
    </row>
    <row r="10825">
      <c r="B10825" s="612"/>
      <c r="H10825" s="612"/>
    </row>
    <row r="10826">
      <c r="B10826" s="612"/>
      <c r="H10826" s="612"/>
    </row>
    <row r="10827">
      <c r="B10827" s="612"/>
      <c r="H10827" s="612"/>
    </row>
    <row r="10828">
      <c r="B10828" s="612"/>
      <c r="H10828" s="612"/>
    </row>
    <row r="10829">
      <c r="B10829" s="612"/>
      <c r="H10829" s="612"/>
    </row>
    <row r="10830">
      <c r="B10830" s="612"/>
      <c r="H10830" s="612"/>
    </row>
    <row r="10831">
      <c r="B10831" s="612"/>
      <c r="H10831" s="612"/>
    </row>
    <row r="10832">
      <c r="B10832" s="612"/>
      <c r="H10832" s="612"/>
    </row>
    <row r="10833">
      <c r="B10833" s="612"/>
      <c r="H10833" s="612"/>
    </row>
    <row r="10834">
      <c r="B10834" s="612"/>
      <c r="H10834" s="612"/>
    </row>
    <row r="10835">
      <c r="B10835" s="612"/>
      <c r="H10835" s="612"/>
    </row>
    <row r="10836">
      <c r="B10836" s="612"/>
      <c r="H10836" s="612"/>
    </row>
    <row r="10837">
      <c r="B10837" s="612"/>
      <c r="H10837" s="612"/>
    </row>
    <row r="10838">
      <c r="B10838" s="612"/>
      <c r="H10838" s="612"/>
    </row>
    <row r="10839">
      <c r="B10839" s="612"/>
      <c r="H10839" s="612"/>
    </row>
    <row r="10840">
      <c r="B10840" s="612"/>
      <c r="H10840" s="612"/>
    </row>
    <row r="10841">
      <c r="B10841" s="612"/>
      <c r="H10841" s="612"/>
    </row>
    <row r="10842">
      <c r="B10842" s="612"/>
      <c r="H10842" s="612"/>
    </row>
    <row r="10843">
      <c r="B10843" s="612"/>
      <c r="H10843" s="612"/>
    </row>
    <row r="10844">
      <c r="B10844" s="612"/>
      <c r="H10844" s="612"/>
    </row>
    <row r="10845">
      <c r="B10845" s="612"/>
      <c r="H10845" s="612"/>
    </row>
    <row r="10846">
      <c r="B10846" s="612"/>
      <c r="H10846" s="612"/>
    </row>
    <row r="10847">
      <c r="B10847" s="612"/>
      <c r="H10847" s="612"/>
    </row>
    <row r="10848">
      <c r="B10848" s="612"/>
      <c r="H10848" s="612"/>
    </row>
    <row r="10849">
      <c r="B10849" s="612"/>
      <c r="H10849" s="612"/>
    </row>
    <row r="10850">
      <c r="B10850" s="612"/>
      <c r="H10850" s="612"/>
    </row>
    <row r="10851">
      <c r="B10851" s="612"/>
      <c r="H10851" s="612"/>
    </row>
    <row r="10852">
      <c r="B10852" s="612"/>
      <c r="H10852" s="612"/>
    </row>
    <row r="10853">
      <c r="B10853" s="612"/>
      <c r="H10853" s="612"/>
    </row>
    <row r="10854">
      <c r="B10854" s="612"/>
      <c r="H10854" s="612"/>
    </row>
    <row r="10855">
      <c r="B10855" s="612"/>
      <c r="H10855" s="612"/>
    </row>
    <row r="10856">
      <c r="B10856" s="612"/>
      <c r="H10856" s="612"/>
    </row>
    <row r="10857">
      <c r="B10857" s="612"/>
      <c r="H10857" s="612"/>
    </row>
    <row r="10858">
      <c r="B10858" s="612"/>
      <c r="H10858" s="612"/>
    </row>
    <row r="10859">
      <c r="B10859" s="612"/>
      <c r="H10859" s="612"/>
    </row>
    <row r="10860">
      <c r="B10860" s="612"/>
      <c r="H10860" s="612"/>
    </row>
    <row r="10861">
      <c r="B10861" s="612"/>
      <c r="H10861" s="612"/>
    </row>
    <row r="10862">
      <c r="B10862" s="612"/>
      <c r="H10862" s="612"/>
    </row>
    <row r="10863">
      <c r="B10863" s="612"/>
      <c r="H10863" s="612"/>
    </row>
    <row r="10864">
      <c r="B10864" s="612"/>
      <c r="H10864" s="612"/>
    </row>
    <row r="10865">
      <c r="B10865" s="612"/>
      <c r="H10865" s="612"/>
    </row>
    <row r="10866">
      <c r="B10866" s="612"/>
      <c r="H10866" s="612"/>
    </row>
    <row r="10867">
      <c r="B10867" s="612"/>
      <c r="H10867" s="612"/>
    </row>
    <row r="10868">
      <c r="B10868" s="612"/>
      <c r="H10868" s="612"/>
    </row>
    <row r="10869">
      <c r="B10869" s="612"/>
      <c r="H10869" s="612"/>
    </row>
    <row r="10870">
      <c r="B10870" s="612"/>
      <c r="H10870" s="612"/>
    </row>
    <row r="10871">
      <c r="B10871" s="612"/>
      <c r="H10871" s="612"/>
    </row>
    <row r="10872">
      <c r="B10872" s="612"/>
      <c r="H10872" s="612"/>
    </row>
    <row r="10873">
      <c r="B10873" s="612"/>
      <c r="H10873" s="612"/>
    </row>
    <row r="10874">
      <c r="B10874" s="612"/>
      <c r="H10874" s="612"/>
    </row>
    <row r="10875">
      <c r="B10875" s="612"/>
      <c r="H10875" s="612"/>
    </row>
    <row r="10876">
      <c r="B10876" s="612"/>
      <c r="H10876" s="612"/>
    </row>
    <row r="10877">
      <c r="B10877" s="612"/>
      <c r="H10877" s="612"/>
    </row>
    <row r="10878">
      <c r="B10878" s="612"/>
      <c r="H10878" s="612"/>
    </row>
    <row r="10879">
      <c r="B10879" s="612"/>
      <c r="H10879" s="612"/>
    </row>
    <row r="10880">
      <c r="B10880" s="612"/>
      <c r="H10880" s="612"/>
    </row>
    <row r="10881">
      <c r="B10881" s="612"/>
      <c r="H10881" s="612"/>
    </row>
    <row r="10882">
      <c r="B10882" s="612"/>
      <c r="H10882" s="612"/>
    </row>
    <row r="10883">
      <c r="B10883" s="612"/>
      <c r="H10883" s="612"/>
    </row>
    <row r="10884">
      <c r="B10884" s="612"/>
      <c r="H10884" s="612"/>
    </row>
    <row r="10885">
      <c r="B10885" s="612"/>
      <c r="H10885" s="612"/>
    </row>
    <row r="10886">
      <c r="B10886" s="612"/>
      <c r="H10886" s="612"/>
    </row>
    <row r="10887">
      <c r="B10887" s="612"/>
      <c r="H10887" s="612"/>
    </row>
    <row r="10888">
      <c r="B10888" s="612"/>
      <c r="H10888" s="612"/>
    </row>
    <row r="10889">
      <c r="B10889" s="612"/>
      <c r="H10889" s="612"/>
    </row>
    <row r="10890">
      <c r="B10890" s="612"/>
      <c r="H10890" s="612"/>
    </row>
    <row r="10891">
      <c r="B10891" s="612"/>
      <c r="H10891" s="612"/>
    </row>
    <row r="10892">
      <c r="B10892" s="612"/>
      <c r="H10892" s="612"/>
    </row>
    <row r="10893">
      <c r="B10893" s="612"/>
      <c r="H10893" s="612"/>
    </row>
    <row r="10894">
      <c r="B10894" s="612"/>
      <c r="H10894" s="612"/>
    </row>
    <row r="10895">
      <c r="B10895" s="612"/>
      <c r="H10895" s="612"/>
    </row>
    <row r="10896">
      <c r="B10896" s="612"/>
      <c r="H10896" s="612"/>
    </row>
    <row r="10897">
      <c r="B10897" s="612"/>
      <c r="H10897" s="612"/>
    </row>
    <row r="10898">
      <c r="B10898" s="612"/>
      <c r="H10898" s="612"/>
    </row>
    <row r="10899">
      <c r="B10899" s="612"/>
      <c r="H10899" s="612"/>
    </row>
    <row r="10900">
      <c r="B10900" s="612"/>
      <c r="H10900" s="612"/>
    </row>
    <row r="10901">
      <c r="B10901" s="612"/>
      <c r="H10901" s="612"/>
    </row>
    <row r="10902">
      <c r="B10902" s="612"/>
      <c r="H10902" s="612"/>
    </row>
    <row r="10903">
      <c r="B10903" s="612"/>
      <c r="H10903" s="612"/>
    </row>
    <row r="10904">
      <c r="B10904" s="612"/>
      <c r="H10904" s="612"/>
    </row>
    <row r="10905">
      <c r="B10905" s="612"/>
      <c r="H10905" s="612"/>
    </row>
    <row r="10906">
      <c r="B10906" s="612"/>
      <c r="H10906" s="612"/>
    </row>
    <row r="10907">
      <c r="B10907" s="612"/>
      <c r="H10907" s="612"/>
    </row>
    <row r="10908">
      <c r="B10908" s="612"/>
      <c r="H10908" s="612"/>
    </row>
    <row r="10909">
      <c r="B10909" s="612"/>
      <c r="H10909" s="612"/>
    </row>
    <row r="10910">
      <c r="B10910" s="612"/>
      <c r="H10910" s="612"/>
    </row>
    <row r="10911">
      <c r="B10911" s="612"/>
      <c r="H10911" s="612"/>
    </row>
    <row r="10912">
      <c r="B10912" s="612"/>
      <c r="H10912" s="612"/>
    </row>
    <row r="10913">
      <c r="B10913" s="612"/>
      <c r="H10913" s="612"/>
    </row>
    <row r="10914">
      <c r="B10914" s="612"/>
      <c r="H10914" s="612"/>
    </row>
    <row r="10915">
      <c r="B10915" s="612"/>
      <c r="H10915" s="612"/>
    </row>
    <row r="10916">
      <c r="B10916" s="612"/>
      <c r="H10916" s="612"/>
    </row>
    <row r="10917">
      <c r="B10917" s="612"/>
      <c r="H10917" s="612"/>
    </row>
    <row r="10918">
      <c r="B10918" s="612"/>
      <c r="H10918" s="612"/>
    </row>
    <row r="10919">
      <c r="B10919" s="612"/>
      <c r="H10919" s="612"/>
    </row>
    <row r="10920">
      <c r="B10920" s="612"/>
      <c r="H10920" s="612"/>
    </row>
    <row r="10921">
      <c r="B10921" s="612"/>
      <c r="H10921" s="612"/>
    </row>
    <row r="10922">
      <c r="B10922" s="612"/>
      <c r="H10922" s="612"/>
    </row>
    <row r="10923">
      <c r="B10923" s="612"/>
      <c r="H10923" s="612"/>
    </row>
    <row r="10924">
      <c r="B10924" s="612"/>
      <c r="H10924" s="612"/>
    </row>
    <row r="10925">
      <c r="B10925" s="612"/>
      <c r="H10925" s="612"/>
    </row>
    <row r="10926">
      <c r="B10926" s="612"/>
      <c r="H10926" s="612"/>
    </row>
    <row r="10927">
      <c r="B10927" s="612"/>
      <c r="H10927" s="612"/>
    </row>
    <row r="10928">
      <c r="B10928" s="612"/>
      <c r="H10928" s="612"/>
    </row>
    <row r="10929">
      <c r="B10929" s="612"/>
      <c r="H10929" s="612"/>
    </row>
    <row r="10930">
      <c r="B10930" s="612"/>
      <c r="H10930" s="612"/>
    </row>
    <row r="10931">
      <c r="B10931" s="612"/>
      <c r="H10931" s="612"/>
    </row>
    <row r="10932">
      <c r="B10932" s="612"/>
      <c r="H10932" s="612"/>
    </row>
    <row r="10933">
      <c r="B10933" s="612"/>
      <c r="H10933" s="612"/>
    </row>
    <row r="10934">
      <c r="B10934" s="612"/>
      <c r="H10934" s="612"/>
    </row>
    <row r="10935">
      <c r="B10935" s="612"/>
      <c r="H10935" s="612"/>
    </row>
    <row r="10936">
      <c r="B10936" s="612"/>
      <c r="H10936" s="612"/>
    </row>
    <row r="10937">
      <c r="B10937" s="612"/>
      <c r="H10937" s="612"/>
    </row>
    <row r="10938">
      <c r="B10938" s="612"/>
      <c r="H10938" s="612"/>
    </row>
    <row r="10939">
      <c r="B10939" s="612"/>
      <c r="H10939" s="612"/>
    </row>
    <row r="10940">
      <c r="B10940" s="612"/>
      <c r="H10940" s="612"/>
    </row>
    <row r="10941">
      <c r="B10941" s="612"/>
      <c r="H10941" s="612"/>
    </row>
    <row r="10942">
      <c r="B10942" s="612"/>
      <c r="H10942" s="612"/>
    </row>
    <row r="10943">
      <c r="B10943" s="612"/>
      <c r="H10943" s="612"/>
    </row>
    <row r="10944">
      <c r="B10944" s="612"/>
      <c r="H10944" s="612"/>
    </row>
    <row r="10945">
      <c r="B10945" s="612"/>
      <c r="H10945" s="612"/>
    </row>
    <row r="10946">
      <c r="B10946" s="612"/>
      <c r="H10946" s="612"/>
    </row>
    <row r="10947">
      <c r="B10947" s="612"/>
      <c r="H10947" s="612"/>
    </row>
    <row r="10948">
      <c r="B10948" s="612"/>
      <c r="H10948" s="612"/>
    </row>
    <row r="10949">
      <c r="B10949" s="612"/>
      <c r="H10949" s="612"/>
    </row>
    <row r="10950">
      <c r="B10950" s="612"/>
      <c r="H10950" s="612"/>
    </row>
    <row r="10951">
      <c r="B10951" s="612"/>
      <c r="H10951" s="612"/>
    </row>
    <row r="10952">
      <c r="B10952" s="612"/>
      <c r="H10952" s="612"/>
    </row>
    <row r="10953">
      <c r="B10953" s="612"/>
      <c r="H10953" s="612"/>
    </row>
    <row r="10954">
      <c r="B10954" s="612"/>
      <c r="H10954" s="612"/>
    </row>
    <row r="10955">
      <c r="B10955" s="612"/>
      <c r="H10955" s="612"/>
    </row>
    <row r="10956">
      <c r="B10956" s="612"/>
      <c r="H10956" s="612"/>
    </row>
    <row r="10957">
      <c r="B10957" s="612"/>
      <c r="H10957" s="612"/>
    </row>
    <row r="10958">
      <c r="B10958" s="612"/>
      <c r="H10958" s="612"/>
    </row>
    <row r="10959">
      <c r="B10959" s="612"/>
      <c r="H10959" s="612"/>
    </row>
    <row r="10960">
      <c r="B10960" s="612"/>
      <c r="H10960" s="612"/>
    </row>
    <row r="10961">
      <c r="B10961" s="612"/>
      <c r="H10961" s="612"/>
    </row>
    <row r="10962">
      <c r="B10962" s="612"/>
      <c r="H10962" s="612"/>
    </row>
    <row r="10963">
      <c r="B10963" s="612"/>
      <c r="H10963" s="612"/>
    </row>
    <row r="10964">
      <c r="B10964" s="612"/>
      <c r="H10964" s="612"/>
    </row>
    <row r="10965">
      <c r="B10965" s="612"/>
      <c r="H10965" s="612"/>
    </row>
    <row r="10966">
      <c r="B10966" s="612"/>
      <c r="H10966" s="612"/>
    </row>
    <row r="10967">
      <c r="B10967" s="612"/>
      <c r="H10967" s="612"/>
    </row>
    <row r="10968">
      <c r="B10968" s="612"/>
      <c r="H10968" s="612"/>
    </row>
    <row r="10969">
      <c r="B10969" s="612"/>
      <c r="H10969" s="612"/>
    </row>
    <row r="10970">
      <c r="B10970" s="612"/>
      <c r="H10970" s="612"/>
    </row>
    <row r="10971">
      <c r="B10971" s="612"/>
      <c r="H10971" s="612"/>
    </row>
    <row r="10972">
      <c r="B10972" s="612"/>
      <c r="H10972" s="612"/>
    </row>
    <row r="10973">
      <c r="B10973" s="612"/>
      <c r="H10973" s="612"/>
    </row>
    <row r="10974">
      <c r="B10974" s="612"/>
      <c r="H10974" s="612"/>
    </row>
    <row r="10975">
      <c r="B10975" s="612"/>
      <c r="H10975" s="612"/>
    </row>
    <row r="10976">
      <c r="B10976" s="612"/>
      <c r="H10976" s="612"/>
    </row>
    <row r="10977">
      <c r="B10977" s="612"/>
      <c r="H10977" s="612"/>
    </row>
    <row r="10978">
      <c r="B10978" s="612"/>
      <c r="H10978" s="612"/>
    </row>
    <row r="10979">
      <c r="B10979" s="612"/>
      <c r="H10979" s="612"/>
    </row>
    <row r="10980">
      <c r="B10980" s="612"/>
      <c r="H10980" s="612"/>
    </row>
    <row r="10981">
      <c r="B10981" s="612"/>
      <c r="H10981" s="612"/>
    </row>
    <row r="10982">
      <c r="B10982" s="612"/>
      <c r="H10982" s="612"/>
    </row>
    <row r="10983">
      <c r="B10983" s="612"/>
      <c r="H10983" s="612"/>
    </row>
    <row r="10984">
      <c r="B10984" s="612"/>
      <c r="H10984" s="612"/>
    </row>
    <row r="10985">
      <c r="B10985" s="612"/>
      <c r="H10985" s="612"/>
    </row>
    <row r="10986">
      <c r="B10986" s="612"/>
      <c r="H10986" s="612"/>
    </row>
    <row r="10987">
      <c r="B10987" s="612"/>
      <c r="H10987" s="612"/>
    </row>
    <row r="10988">
      <c r="B10988" s="612"/>
      <c r="H10988" s="612"/>
    </row>
    <row r="10989">
      <c r="B10989" s="612"/>
      <c r="H10989" s="612"/>
    </row>
    <row r="10990">
      <c r="B10990" s="612"/>
      <c r="H10990" s="612"/>
    </row>
    <row r="10991">
      <c r="B10991" s="612"/>
      <c r="H10991" s="612"/>
    </row>
    <row r="10992">
      <c r="B10992" s="612"/>
      <c r="H10992" s="612"/>
    </row>
    <row r="10993">
      <c r="B10993" s="612"/>
      <c r="H10993" s="612"/>
    </row>
    <row r="10994">
      <c r="B10994" s="612"/>
      <c r="H10994" s="612"/>
    </row>
    <row r="10995">
      <c r="B10995" s="612"/>
      <c r="H10995" s="612"/>
    </row>
    <row r="10996">
      <c r="B10996" s="612"/>
      <c r="H10996" s="612"/>
    </row>
    <row r="10997">
      <c r="B10997" s="612"/>
      <c r="H10997" s="612"/>
    </row>
    <row r="10998">
      <c r="B10998" s="612"/>
      <c r="H10998" s="612"/>
    </row>
    <row r="10999">
      <c r="B10999" s="612"/>
      <c r="H10999" s="612"/>
    </row>
    <row r="11000">
      <c r="B11000" s="612"/>
      <c r="H11000" s="612"/>
    </row>
    <row r="11001">
      <c r="B11001" s="612"/>
      <c r="H11001" s="612"/>
    </row>
    <row r="11002">
      <c r="B11002" s="612"/>
      <c r="H11002" s="612"/>
    </row>
    <row r="11003">
      <c r="B11003" s="612"/>
      <c r="H11003" s="612"/>
    </row>
    <row r="11004">
      <c r="B11004" s="612"/>
      <c r="H11004" s="612"/>
    </row>
    <row r="11005">
      <c r="B11005" s="612"/>
      <c r="H11005" s="612"/>
    </row>
    <row r="11006">
      <c r="B11006" s="612"/>
      <c r="H11006" s="612"/>
    </row>
    <row r="11007">
      <c r="B11007" s="612"/>
      <c r="H11007" s="612"/>
    </row>
    <row r="11008">
      <c r="B11008" s="612"/>
      <c r="H11008" s="612"/>
    </row>
    <row r="11009">
      <c r="B11009" s="612"/>
      <c r="H11009" s="612"/>
    </row>
    <row r="11010">
      <c r="B11010" s="612"/>
      <c r="H11010" s="612"/>
    </row>
    <row r="11011">
      <c r="B11011" s="612"/>
      <c r="H11011" s="612"/>
    </row>
    <row r="11012">
      <c r="B11012" s="612"/>
      <c r="H11012" s="612"/>
    </row>
    <row r="11013">
      <c r="B11013" s="612"/>
      <c r="H11013" s="612"/>
    </row>
    <row r="11014">
      <c r="B11014" s="612"/>
      <c r="H11014" s="612"/>
    </row>
    <row r="11015">
      <c r="B11015" s="612"/>
      <c r="H11015" s="612"/>
    </row>
    <row r="11016">
      <c r="B11016" s="612"/>
      <c r="H11016" s="612"/>
    </row>
    <row r="11017">
      <c r="B11017" s="612"/>
      <c r="H11017" s="612"/>
    </row>
    <row r="11018">
      <c r="B11018" s="612"/>
      <c r="H11018" s="612"/>
    </row>
    <row r="11019">
      <c r="B11019" s="612"/>
      <c r="H11019" s="612"/>
    </row>
    <row r="11020">
      <c r="B11020" s="612"/>
      <c r="H11020" s="612"/>
    </row>
    <row r="11021">
      <c r="B11021" s="612"/>
      <c r="H11021" s="612"/>
    </row>
    <row r="11022">
      <c r="B11022" s="612"/>
      <c r="H11022" s="612"/>
    </row>
    <row r="11023">
      <c r="B11023" s="612"/>
      <c r="H11023" s="612"/>
    </row>
    <row r="11024">
      <c r="B11024" s="612"/>
      <c r="H11024" s="612"/>
    </row>
    <row r="11025">
      <c r="B11025" s="612"/>
      <c r="H11025" s="612"/>
    </row>
    <row r="11026">
      <c r="B11026" s="612"/>
      <c r="H11026" s="612"/>
    </row>
    <row r="11027">
      <c r="B11027" s="612"/>
      <c r="H11027" s="612"/>
    </row>
    <row r="11028">
      <c r="B11028" s="612"/>
      <c r="H11028" s="612"/>
    </row>
    <row r="11029">
      <c r="B11029" s="612"/>
      <c r="H11029" s="612"/>
    </row>
    <row r="11030">
      <c r="B11030" s="612"/>
      <c r="H11030" s="612"/>
    </row>
    <row r="11031">
      <c r="B11031" s="612"/>
      <c r="H11031" s="612"/>
    </row>
    <row r="11032">
      <c r="B11032" s="612"/>
      <c r="H11032" s="612"/>
    </row>
    <row r="11033">
      <c r="B11033" s="612"/>
      <c r="H11033" s="612"/>
    </row>
    <row r="11034">
      <c r="B11034" s="612"/>
      <c r="H11034" s="612"/>
    </row>
    <row r="11035">
      <c r="B11035" s="612"/>
      <c r="H11035" s="612"/>
    </row>
    <row r="11036">
      <c r="B11036" s="612"/>
      <c r="H11036" s="612"/>
    </row>
    <row r="11037">
      <c r="B11037" s="612"/>
      <c r="H11037" s="612"/>
    </row>
    <row r="11038">
      <c r="B11038" s="612"/>
      <c r="H11038" s="612"/>
    </row>
    <row r="11039">
      <c r="B11039" s="612"/>
      <c r="H11039" s="612"/>
    </row>
    <row r="11040">
      <c r="B11040" s="612"/>
      <c r="H11040" s="612"/>
    </row>
    <row r="11041">
      <c r="B11041" s="612"/>
      <c r="H11041" s="612"/>
    </row>
    <row r="11042">
      <c r="B11042" s="612"/>
      <c r="H11042" s="612"/>
    </row>
    <row r="11043">
      <c r="B11043" s="612"/>
      <c r="H11043" s="612"/>
    </row>
    <row r="11044">
      <c r="B11044" s="612"/>
      <c r="H11044" s="612"/>
    </row>
    <row r="11045">
      <c r="B11045" s="612"/>
      <c r="H11045" s="612"/>
    </row>
    <row r="11046">
      <c r="B11046" s="612"/>
      <c r="H11046" s="612"/>
    </row>
    <row r="11047">
      <c r="B11047" s="612"/>
      <c r="H11047" s="612"/>
    </row>
    <row r="11048">
      <c r="B11048" s="612"/>
      <c r="H11048" s="612"/>
    </row>
    <row r="11049">
      <c r="B11049" s="612"/>
      <c r="H11049" s="612"/>
    </row>
    <row r="11050">
      <c r="B11050" s="612"/>
      <c r="H11050" s="612"/>
    </row>
    <row r="11051">
      <c r="B11051" s="612"/>
      <c r="H11051" s="612"/>
    </row>
    <row r="11052">
      <c r="B11052" s="612"/>
      <c r="H11052" s="612"/>
    </row>
    <row r="11053">
      <c r="B11053" s="612"/>
      <c r="H11053" s="612"/>
    </row>
    <row r="11054">
      <c r="B11054" s="612"/>
      <c r="H11054" s="612"/>
    </row>
    <row r="11055">
      <c r="B11055" s="612"/>
      <c r="H11055" s="612"/>
    </row>
    <row r="11056">
      <c r="B11056" s="612"/>
      <c r="H11056" s="612"/>
    </row>
    <row r="11057">
      <c r="B11057" s="612"/>
      <c r="H11057" s="612"/>
    </row>
    <row r="11058">
      <c r="B11058" s="612"/>
      <c r="H11058" s="612"/>
    </row>
    <row r="11059">
      <c r="B11059" s="612"/>
      <c r="H11059" s="612"/>
    </row>
    <row r="11060">
      <c r="B11060" s="612"/>
      <c r="H11060" s="612"/>
    </row>
    <row r="11061">
      <c r="B11061" s="612"/>
      <c r="H11061" s="612"/>
    </row>
    <row r="11062">
      <c r="B11062" s="612"/>
      <c r="H11062" s="612"/>
    </row>
    <row r="11063">
      <c r="B11063" s="612"/>
      <c r="H11063" s="612"/>
    </row>
    <row r="11064">
      <c r="B11064" s="612"/>
      <c r="H11064" s="612"/>
    </row>
    <row r="11065">
      <c r="B11065" s="612"/>
      <c r="H11065" s="612"/>
    </row>
    <row r="11066">
      <c r="B11066" s="612"/>
      <c r="H11066" s="612"/>
    </row>
    <row r="11067">
      <c r="B11067" s="612"/>
      <c r="H11067" s="612"/>
    </row>
    <row r="11068">
      <c r="B11068" s="612"/>
      <c r="H11068" s="612"/>
    </row>
    <row r="11069">
      <c r="B11069" s="612"/>
      <c r="H11069" s="612"/>
    </row>
    <row r="11070">
      <c r="B11070" s="612"/>
      <c r="H11070" s="612"/>
    </row>
    <row r="11071">
      <c r="B11071" s="612"/>
      <c r="H11071" s="612"/>
    </row>
    <row r="11072">
      <c r="B11072" s="612"/>
      <c r="H11072" s="612"/>
    </row>
    <row r="11073">
      <c r="B11073" s="612"/>
      <c r="H11073" s="612"/>
    </row>
    <row r="11074">
      <c r="B11074" s="612"/>
      <c r="H11074" s="612"/>
    </row>
    <row r="11075">
      <c r="B11075" s="612"/>
      <c r="H11075" s="612"/>
    </row>
    <row r="11076">
      <c r="B11076" s="612"/>
      <c r="H11076" s="612"/>
    </row>
    <row r="11077">
      <c r="B11077" s="612"/>
      <c r="H11077" s="612"/>
    </row>
    <row r="11078">
      <c r="B11078" s="612"/>
      <c r="H11078" s="612"/>
    </row>
    <row r="11079">
      <c r="B11079" s="612"/>
      <c r="H11079" s="612"/>
    </row>
    <row r="11080">
      <c r="B11080" s="612"/>
      <c r="H11080" s="612"/>
    </row>
    <row r="11081">
      <c r="B11081" s="612"/>
      <c r="H11081" s="612"/>
    </row>
    <row r="11082">
      <c r="B11082" s="612"/>
      <c r="H11082" s="612"/>
    </row>
    <row r="11083">
      <c r="B11083" s="612"/>
      <c r="H11083" s="612"/>
    </row>
    <row r="11084">
      <c r="B11084" s="612"/>
      <c r="H11084" s="612"/>
    </row>
    <row r="11085">
      <c r="B11085" s="612"/>
      <c r="H11085" s="612"/>
    </row>
    <row r="11086">
      <c r="B11086" s="612"/>
      <c r="H11086" s="612"/>
    </row>
    <row r="11087">
      <c r="B11087" s="612"/>
      <c r="H11087" s="612"/>
    </row>
    <row r="11088">
      <c r="B11088" s="612"/>
      <c r="H11088" s="612"/>
    </row>
    <row r="11089">
      <c r="B11089" s="612"/>
      <c r="H11089" s="612"/>
    </row>
    <row r="11090">
      <c r="B11090" s="612"/>
      <c r="H11090" s="612"/>
    </row>
    <row r="11091">
      <c r="B11091" s="612"/>
      <c r="H11091" s="612"/>
    </row>
    <row r="11092">
      <c r="B11092" s="612"/>
      <c r="H11092" s="612"/>
    </row>
    <row r="11093">
      <c r="B11093" s="612"/>
      <c r="H11093" s="612"/>
    </row>
    <row r="11094">
      <c r="B11094" s="612"/>
      <c r="H11094" s="612"/>
    </row>
    <row r="11095">
      <c r="B11095" s="612"/>
      <c r="H11095" s="612"/>
    </row>
    <row r="11096">
      <c r="B11096" s="612"/>
      <c r="H11096" s="612"/>
    </row>
    <row r="11097">
      <c r="B11097" s="612"/>
      <c r="H11097" s="612"/>
    </row>
    <row r="11098">
      <c r="B11098" s="612"/>
      <c r="H11098" s="612"/>
    </row>
    <row r="11099">
      <c r="B11099" s="612"/>
      <c r="H11099" s="612"/>
    </row>
    <row r="11100">
      <c r="B11100" s="612"/>
      <c r="H11100" s="612"/>
    </row>
    <row r="11101">
      <c r="B11101" s="612"/>
      <c r="H11101" s="612"/>
    </row>
    <row r="11102">
      <c r="B11102" s="612"/>
      <c r="H11102" s="612"/>
    </row>
    <row r="11103">
      <c r="B11103" s="612"/>
      <c r="H11103" s="612"/>
    </row>
    <row r="11104">
      <c r="B11104" s="612"/>
      <c r="H11104" s="612"/>
    </row>
    <row r="11105">
      <c r="B11105" s="612"/>
      <c r="H11105" s="612"/>
    </row>
    <row r="11106">
      <c r="B11106" s="612"/>
      <c r="H11106" s="612"/>
    </row>
    <row r="11107">
      <c r="B11107" s="612"/>
      <c r="H11107" s="612"/>
    </row>
    <row r="11108">
      <c r="B11108" s="612"/>
      <c r="H11108" s="612"/>
    </row>
    <row r="11109">
      <c r="B11109" s="612"/>
      <c r="H11109" s="612"/>
    </row>
    <row r="11110">
      <c r="B11110" s="612"/>
      <c r="H11110" s="612"/>
    </row>
    <row r="11111">
      <c r="B11111" s="612"/>
      <c r="H11111" s="612"/>
    </row>
    <row r="11112">
      <c r="B11112" s="612"/>
      <c r="H11112" s="612"/>
    </row>
    <row r="11113">
      <c r="B11113" s="612"/>
      <c r="H11113" s="612"/>
    </row>
    <row r="11114">
      <c r="B11114" s="612"/>
      <c r="H11114" s="612"/>
    </row>
    <row r="11115">
      <c r="B11115" s="612"/>
      <c r="H11115" s="612"/>
    </row>
    <row r="11116">
      <c r="B11116" s="612"/>
      <c r="H11116" s="612"/>
    </row>
    <row r="11117">
      <c r="B11117" s="612"/>
      <c r="H11117" s="612"/>
    </row>
    <row r="11118">
      <c r="B11118" s="612"/>
      <c r="H11118" s="612"/>
    </row>
    <row r="11119">
      <c r="B11119" s="612"/>
      <c r="H11119" s="612"/>
    </row>
    <row r="11120">
      <c r="B11120" s="612"/>
      <c r="H11120" s="612"/>
    </row>
    <row r="11121">
      <c r="B11121" s="612"/>
      <c r="H11121" s="612"/>
    </row>
    <row r="11122">
      <c r="B11122" s="612"/>
      <c r="H11122" s="612"/>
    </row>
    <row r="11123">
      <c r="B11123" s="612"/>
      <c r="H11123" s="612"/>
    </row>
    <row r="11124">
      <c r="B11124" s="612"/>
      <c r="H11124" s="612"/>
    </row>
    <row r="11125">
      <c r="B11125" s="612"/>
      <c r="H11125" s="612"/>
    </row>
    <row r="11126">
      <c r="B11126" s="612"/>
      <c r="H11126" s="612"/>
    </row>
    <row r="11127">
      <c r="B11127" s="612"/>
      <c r="H11127" s="612"/>
    </row>
    <row r="11128">
      <c r="B11128" s="612"/>
      <c r="H11128" s="612"/>
    </row>
    <row r="11129">
      <c r="B11129" s="612"/>
      <c r="H11129" s="612"/>
    </row>
    <row r="11130">
      <c r="B11130" s="612"/>
      <c r="H11130" s="612"/>
    </row>
    <row r="11131">
      <c r="B11131" s="612"/>
      <c r="H11131" s="612"/>
    </row>
    <row r="11132">
      <c r="B11132" s="612"/>
      <c r="H11132" s="612"/>
    </row>
    <row r="11133">
      <c r="B11133" s="612"/>
      <c r="H11133" s="612"/>
    </row>
    <row r="11134">
      <c r="B11134" s="612"/>
      <c r="H11134" s="612"/>
    </row>
    <row r="11135">
      <c r="B11135" s="612"/>
      <c r="H11135" s="612"/>
    </row>
    <row r="11136">
      <c r="B11136" s="612"/>
      <c r="H11136" s="612"/>
    </row>
    <row r="11137">
      <c r="B11137" s="612"/>
      <c r="H11137" s="612"/>
    </row>
    <row r="11138">
      <c r="B11138" s="612"/>
      <c r="H11138" s="612"/>
    </row>
    <row r="11139">
      <c r="B11139" s="612"/>
      <c r="H11139" s="612"/>
    </row>
    <row r="11140">
      <c r="B11140" s="612"/>
      <c r="H11140" s="612"/>
    </row>
    <row r="11141">
      <c r="B11141" s="612"/>
      <c r="H11141" s="612"/>
    </row>
    <row r="11142">
      <c r="B11142" s="612"/>
      <c r="H11142" s="612"/>
    </row>
    <row r="11143">
      <c r="B11143" s="612"/>
      <c r="H11143" s="612"/>
    </row>
    <row r="11144">
      <c r="B11144" s="612"/>
      <c r="H11144" s="612"/>
    </row>
    <row r="11145">
      <c r="B11145" s="612"/>
      <c r="H11145" s="612"/>
    </row>
    <row r="11146">
      <c r="B11146" s="612"/>
      <c r="H11146" s="612"/>
    </row>
    <row r="11147">
      <c r="B11147" s="612"/>
      <c r="H11147" s="612"/>
    </row>
    <row r="11148">
      <c r="B11148" s="612"/>
      <c r="H11148" s="612"/>
    </row>
    <row r="11149">
      <c r="B11149" s="612"/>
      <c r="H11149" s="612"/>
    </row>
    <row r="11150">
      <c r="B11150" s="612"/>
      <c r="H11150" s="612"/>
    </row>
    <row r="11151">
      <c r="B11151" s="612"/>
      <c r="H11151" s="612"/>
    </row>
    <row r="11152">
      <c r="B11152" s="612"/>
      <c r="H11152" s="612"/>
    </row>
    <row r="11153">
      <c r="B11153" s="612"/>
      <c r="H11153" s="612"/>
    </row>
    <row r="11154">
      <c r="B11154" s="612"/>
      <c r="H11154" s="612"/>
    </row>
    <row r="11155">
      <c r="B11155" s="612"/>
      <c r="H11155" s="612"/>
    </row>
    <row r="11156">
      <c r="B11156" s="612"/>
      <c r="H11156" s="612"/>
    </row>
    <row r="11157">
      <c r="B11157" s="612"/>
      <c r="H11157" s="612"/>
    </row>
    <row r="11158">
      <c r="B11158" s="612"/>
      <c r="H11158" s="612"/>
    </row>
    <row r="11159">
      <c r="B11159" s="612"/>
      <c r="H11159" s="612"/>
    </row>
    <row r="11160">
      <c r="B11160" s="612"/>
      <c r="H11160" s="612"/>
    </row>
    <row r="11161">
      <c r="B11161" s="612"/>
      <c r="H11161" s="612"/>
    </row>
    <row r="11162">
      <c r="B11162" s="612"/>
      <c r="H11162" s="612"/>
    </row>
    <row r="11163">
      <c r="B11163" s="612"/>
      <c r="H11163" s="612"/>
    </row>
    <row r="11164">
      <c r="B11164" s="612"/>
      <c r="H11164" s="612"/>
    </row>
    <row r="11165">
      <c r="B11165" s="612"/>
      <c r="H11165" s="612"/>
    </row>
    <row r="11166">
      <c r="B11166" s="612"/>
      <c r="H11166" s="612"/>
    </row>
    <row r="11167">
      <c r="B11167" s="612"/>
      <c r="H11167" s="612"/>
    </row>
    <row r="11168">
      <c r="B11168" s="612"/>
      <c r="H11168" s="612"/>
    </row>
    <row r="11169">
      <c r="B11169" s="612"/>
      <c r="H11169" s="612"/>
    </row>
    <row r="11170">
      <c r="B11170" s="612"/>
      <c r="H11170" s="612"/>
    </row>
    <row r="11171">
      <c r="B11171" s="612"/>
      <c r="H11171" s="612"/>
    </row>
    <row r="11172">
      <c r="B11172" s="612"/>
      <c r="H11172" s="612"/>
    </row>
    <row r="11173">
      <c r="B11173" s="612"/>
      <c r="H11173" s="612"/>
    </row>
    <row r="11174">
      <c r="B11174" s="612"/>
      <c r="H11174" s="612"/>
    </row>
    <row r="11175">
      <c r="B11175" s="612"/>
      <c r="H11175" s="612"/>
    </row>
    <row r="11176">
      <c r="B11176" s="612"/>
      <c r="H11176" s="612"/>
    </row>
    <row r="11177">
      <c r="B11177" s="612"/>
      <c r="H11177" s="612"/>
    </row>
    <row r="11178">
      <c r="B11178" s="612"/>
      <c r="H11178" s="612"/>
    </row>
    <row r="11179">
      <c r="B11179" s="612"/>
      <c r="H11179" s="612"/>
    </row>
    <row r="11180">
      <c r="B11180" s="612"/>
      <c r="H11180" s="612"/>
    </row>
    <row r="11181">
      <c r="B11181" s="612"/>
      <c r="H11181" s="612"/>
    </row>
    <row r="11182">
      <c r="B11182" s="612"/>
      <c r="H11182" s="612"/>
    </row>
    <row r="11183">
      <c r="B11183" s="612"/>
      <c r="H11183" s="612"/>
    </row>
    <row r="11184">
      <c r="B11184" s="612"/>
      <c r="H11184" s="612"/>
    </row>
    <row r="11185">
      <c r="B11185" s="612"/>
      <c r="H11185" s="612"/>
    </row>
    <row r="11186">
      <c r="B11186" s="612"/>
      <c r="H11186" s="612"/>
    </row>
    <row r="11187">
      <c r="B11187" s="612"/>
      <c r="H11187" s="612"/>
    </row>
    <row r="11188">
      <c r="B11188" s="612"/>
      <c r="H11188" s="612"/>
    </row>
    <row r="11189">
      <c r="B11189" s="612"/>
      <c r="H11189" s="612"/>
    </row>
    <row r="11190">
      <c r="B11190" s="612"/>
      <c r="H11190" s="612"/>
    </row>
    <row r="11191">
      <c r="B11191" s="612"/>
      <c r="H11191" s="612"/>
    </row>
    <row r="11192">
      <c r="B11192" s="612"/>
      <c r="H11192" s="612"/>
    </row>
    <row r="11193">
      <c r="B11193" s="612"/>
      <c r="H11193" s="612"/>
    </row>
    <row r="11194">
      <c r="B11194" s="612"/>
      <c r="H11194" s="612"/>
    </row>
    <row r="11195">
      <c r="B11195" s="612"/>
      <c r="H11195" s="612"/>
    </row>
    <row r="11196">
      <c r="B11196" s="612"/>
      <c r="H11196" s="612"/>
    </row>
    <row r="11197">
      <c r="B11197" s="612"/>
      <c r="H11197" s="612"/>
    </row>
    <row r="11198">
      <c r="B11198" s="612"/>
      <c r="H11198" s="612"/>
    </row>
    <row r="11199">
      <c r="B11199" s="612"/>
      <c r="H11199" s="612"/>
    </row>
    <row r="11200">
      <c r="B11200" s="612"/>
      <c r="H11200" s="612"/>
    </row>
    <row r="11201">
      <c r="B11201" s="612"/>
      <c r="H11201" s="612"/>
    </row>
    <row r="11202">
      <c r="B11202" s="612"/>
      <c r="H11202" s="612"/>
    </row>
    <row r="11203">
      <c r="B11203" s="612"/>
      <c r="H11203" s="612"/>
    </row>
    <row r="11204">
      <c r="B11204" s="612"/>
      <c r="H11204" s="612"/>
    </row>
    <row r="11205">
      <c r="B11205" s="612"/>
      <c r="H11205" s="612"/>
    </row>
    <row r="11206">
      <c r="B11206" s="612"/>
      <c r="H11206" s="612"/>
    </row>
    <row r="11207">
      <c r="B11207" s="612"/>
      <c r="H11207" s="612"/>
    </row>
    <row r="11208">
      <c r="B11208" s="612"/>
      <c r="H11208" s="612"/>
    </row>
    <row r="11209">
      <c r="B11209" s="612"/>
      <c r="H11209" s="612"/>
    </row>
    <row r="11210">
      <c r="B11210" s="612"/>
      <c r="H11210" s="612"/>
    </row>
    <row r="11211">
      <c r="B11211" s="612"/>
      <c r="H11211" s="612"/>
    </row>
    <row r="11212">
      <c r="B11212" s="612"/>
      <c r="H11212" s="612"/>
    </row>
    <row r="11213">
      <c r="B11213" s="612"/>
      <c r="H11213" s="612"/>
    </row>
    <row r="11214">
      <c r="B11214" s="612"/>
      <c r="H11214" s="612"/>
    </row>
    <row r="11215">
      <c r="B11215" s="612"/>
      <c r="H11215" s="612"/>
    </row>
    <row r="11216">
      <c r="B11216" s="612"/>
      <c r="H11216" s="612"/>
    </row>
    <row r="11217">
      <c r="B11217" s="612"/>
      <c r="H11217" s="612"/>
    </row>
    <row r="11218">
      <c r="B11218" s="612"/>
      <c r="H11218" s="612"/>
    </row>
    <row r="11219">
      <c r="B11219" s="612"/>
      <c r="H11219" s="612"/>
    </row>
    <row r="11220">
      <c r="B11220" s="612"/>
      <c r="H11220" s="612"/>
    </row>
    <row r="11221">
      <c r="B11221" s="612"/>
      <c r="H11221" s="612"/>
    </row>
    <row r="11222">
      <c r="B11222" s="612"/>
      <c r="H11222" s="612"/>
    </row>
    <row r="11223">
      <c r="B11223" s="612"/>
      <c r="H11223" s="612"/>
    </row>
    <row r="11224">
      <c r="B11224" s="612"/>
      <c r="H11224" s="612"/>
    </row>
    <row r="11225">
      <c r="B11225" s="612"/>
      <c r="H11225" s="612"/>
    </row>
    <row r="11226">
      <c r="B11226" s="612"/>
      <c r="H11226" s="612"/>
    </row>
    <row r="11227">
      <c r="B11227" s="612"/>
      <c r="H11227" s="612"/>
    </row>
    <row r="11228">
      <c r="B11228" s="612"/>
      <c r="H11228" s="612"/>
    </row>
    <row r="11229">
      <c r="B11229" s="612"/>
      <c r="H11229" s="612"/>
    </row>
    <row r="11230">
      <c r="B11230" s="612"/>
      <c r="H11230" s="612"/>
    </row>
    <row r="11231">
      <c r="B11231" s="612"/>
      <c r="H11231" s="612"/>
    </row>
    <row r="11232">
      <c r="B11232" s="612"/>
      <c r="H11232" s="612"/>
    </row>
    <row r="11233">
      <c r="B11233" s="612"/>
      <c r="H11233" s="612"/>
    </row>
    <row r="11234">
      <c r="B11234" s="612"/>
      <c r="H11234" s="612"/>
    </row>
    <row r="11235">
      <c r="B11235" s="612"/>
      <c r="H11235" s="612"/>
    </row>
    <row r="11236">
      <c r="B11236" s="612"/>
      <c r="H11236" s="612"/>
    </row>
    <row r="11237">
      <c r="B11237" s="612"/>
      <c r="H11237" s="612"/>
    </row>
    <row r="11238">
      <c r="B11238" s="612"/>
      <c r="H11238" s="612"/>
    </row>
    <row r="11239">
      <c r="B11239" s="612"/>
      <c r="H11239" s="612"/>
    </row>
    <row r="11240">
      <c r="B11240" s="612"/>
      <c r="H11240" s="612"/>
    </row>
    <row r="11241">
      <c r="B11241" s="612"/>
      <c r="H11241" s="612"/>
    </row>
    <row r="11242">
      <c r="B11242" s="612"/>
      <c r="H11242" s="612"/>
    </row>
    <row r="11243">
      <c r="B11243" s="612"/>
      <c r="H11243" s="612"/>
    </row>
    <row r="11244">
      <c r="B11244" s="612"/>
      <c r="H11244" s="612"/>
    </row>
    <row r="11245">
      <c r="B11245" s="612"/>
      <c r="H11245" s="612"/>
    </row>
    <row r="11246">
      <c r="B11246" s="612"/>
      <c r="H11246" s="612"/>
    </row>
    <row r="11247">
      <c r="B11247" s="612"/>
      <c r="H11247" s="612"/>
    </row>
    <row r="11248">
      <c r="B11248" s="612"/>
      <c r="H11248" s="612"/>
    </row>
    <row r="11249">
      <c r="B11249" s="612"/>
      <c r="H11249" s="612"/>
    </row>
    <row r="11250">
      <c r="B11250" s="612"/>
      <c r="H11250" s="612"/>
    </row>
    <row r="11251">
      <c r="B11251" s="612"/>
      <c r="H11251" s="612"/>
    </row>
    <row r="11252">
      <c r="B11252" s="612"/>
      <c r="H11252" s="612"/>
    </row>
    <row r="11253">
      <c r="B11253" s="612"/>
      <c r="H11253" s="612"/>
    </row>
    <row r="11254">
      <c r="B11254" s="612"/>
      <c r="H11254" s="612"/>
    </row>
    <row r="11255">
      <c r="B11255" s="612"/>
      <c r="H11255" s="612"/>
    </row>
    <row r="11256">
      <c r="B11256" s="612"/>
      <c r="H11256" s="612"/>
    </row>
    <row r="11257">
      <c r="B11257" s="612"/>
      <c r="H11257" s="612"/>
    </row>
    <row r="11258">
      <c r="B11258" s="612"/>
      <c r="H11258" s="612"/>
    </row>
    <row r="11259">
      <c r="B11259" s="612"/>
      <c r="H11259" s="612"/>
    </row>
    <row r="11260">
      <c r="B11260" s="612"/>
      <c r="H11260" s="612"/>
    </row>
    <row r="11261">
      <c r="B11261" s="612"/>
      <c r="H11261" s="612"/>
    </row>
    <row r="11262">
      <c r="B11262" s="612"/>
      <c r="H11262" s="612"/>
    </row>
    <row r="11263">
      <c r="B11263" s="612"/>
      <c r="H11263" s="612"/>
    </row>
    <row r="11264">
      <c r="B11264" s="612"/>
      <c r="H11264" s="612"/>
    </row>
    <row r="11265">
      <c r="B11265" s="612"/>
      <c r="H11265" s="612"/>
    </row>
    <row r="11266">
      <c r="B11266" s="612"/>
      <c r="H11266" s="612"/>
    </row>
    <row r="11267">
      <c r="B11267" s="612"/>
      <c r="H11267" s="612"/>
    </row>
    <row r="11268">
      <c r="B11268" s="612"/>
      <c r="H11268" s="612"/>
    </row>
    <row r="11269">
      <c r="B11269" s="612"/>
      <c r="H11269" s="612"/>
    </row>
    <row r="11270">
      <c r="B11270" s="612"/>
      <c r="H11270" s="612"/>
    </row>
    <row r="11271">
      <c r="B11271" s="612"/>
      <c r="H11271" s="612"/>
    </row>
    <row r="11272">
      <c r="B11272" s="612"/>
      <c r="H11272" s="612"/>
    </row>
    <row r="11273">
      <c r="B11273" s="612"/>
      <c r="H11273" s="612"/>
    </row>
    <row r="11274">
      <c r="B11274" s="612"/>
      <c r="H11274" s="612"/>
    </row>
    <row r="11275">
      <c r="B11275" s="612"/>
      <c r="H11275" s="612"/>
    </row>
    <row r="11276">
      <c r="B11276" s="612"/>
      <c r="H11276" s="612"/>
    </row>
    <row r="11277">
      <c r="B11277" s="612"/>
      <c r="H11277" s="612"/>
    </row>
    <row r="11278">
      <c r="B11278" s="612"/>
      <c r="H11278" s="612"/>
    </row>
    <row r="11279">
      <c r="B11279" s="612"/>
      <c r="H11279" s="612"/>
    </row>
    <row r="11280">
      <c r="B11280" s="612"/>
      <c r="H11280" s="612"/>
    </row>
    <row r="11281">
      <c r="B11281" s="612"/>
      <c r="H11281" s="612"/>
    </row>
    <row r="11282">
      <c r="B11282" s="612"/>
      <c r="H11282" s="612"/>
    </row>
    <row r="11283">
      <c r="B11283" s="612"/>
      <c r="H11283" s="612"/>
    </row>
    <row r="11284">
      <c r="B11284" s="612"/>
      <c r="H11284" s="612"/>
    </row>
    <row r="11285">
      <c r="B11285" s="612"/>
      <c r="H11285" s="612"/>
    </row>
    <row r="11286">
      <c r="B11286" s="612"/>
      <c r="H11286" s="612"/>
    </row>
    <row r="11287">
      <c r="B11287" s="612"/>
      <c r="H11287" s="612"/>
    </row>
    <row r="11288">
      <c r="B11288" s="612"/>
      <c r="H11288" s="612"/>
    </row>
    <row r="11289">
      <c r="B11289" s="612"/>
      <c r="H11289" s="612"/>
    </row>
    <row r="11290">
      <c r="B11290" s="612"/>
      <c r="H11290" s="612"/>
    </row>
    <row r="11291">
      <c r="B11291" s="612"/>
      <c r="H11291" s="612"/>
    </row>
    <row r="11292">
      <c r="B11292" s="612"/>
      <c r="H11292" s="612"/>
    </row>
    <row r="11293">
      <c r="B11293" s="612"/>
      <c r="H11293" s="612"/>
    </row>
    <row r="11294">
      <c r="B11294" s="612"/>
      <c r="H11294" s="612"/>
    </row>
    <row r="11295">
      <c r="B11295" s="612"/>
      <c r="H11295" s="612"/>
    </row>
    <row r="11296">
      <c r="B11296" s="612"/>
      <c r="H11296" s="612"/>
    </row>
    <row r="11297">
      <c r="B11297" s="612"/>
      <c r="H11297" s="612"/>
    </row>
    <row r="11298">
      <c r="B11298" s="612"/>
      <c r="H11298" s="612"/>
    </row>
    <row r="11299">
      <c r="B11299" s="612"/>
      <c r="H11299" s="612"/>
    </row>
    <row r="11300">
      <c r="B11300" s="612"/>
      <c r="H11300" s="612"/>
    </row>
    <row r="11301">
      <c r="B11301" s="612"/>
      <c r="H11301" s="612"/>
    </row>
    <row r="11302">
      <c r="B11302" s="612"/>
      <c r="H11302" s="612"/>
    </row>
    <row r="11303">
      <c r="B11303" s="612"/>
      <c r="H11303" s="612"/>
    </row>
    <row r="11304">
      <c r="B11304" s="612"/>
      <c r="H11304" s="612"/>
    </row>
    <row r="11305">
      <c r="B11305" s="612"/>
      <c r="H11305" s="612"/>
    </row>
    <row r="11306">
      <c r="B11306" s="612"/>
      <c r="H11306" s="612"/>
    </row>
    <row r="11307">
      <c r="B11307" s="612"/>
      <c r="H11307" s="612"/>
    </row>
    <row r="11308">
      <c r="B11308" s="612"/>
      <c r="H11308" s="612"/>
    </row>
    <row r="11309">
      <c r="B11309" s="612"/>
      <c r="H11309" s="612"/>
    </row>
    <row r="11310">
      <c r="B11310" s="612"/>
      <c r="H11310" s="612"/>
    </row>
    <row r="11311">
      <c r="B11311" s="612"/>
      <c r="H11311" s="612"/>
    </row>
    <row r="11312">
      <c r="B11312" s="612"/>
      <c r="H11312" s="612"/>
    </row>
    <row r="11313">
      <c r="B11313" s="612"/>
      <c r="H11313" s="612"/>
    </row>
    <row r="11314">
      <c r="B11314" s="612"/>
      <c r="H11314" s="612"/>
    </row>
    <row r="11315">
      <c r="B11315" s="612"/>
      <c r="H11315" s="612"/>
    </row>
    <row r="11316">
      <c r="B11316" s="612"/>
      <c r="H11316" s="612"/>
    </row>
    <row r="11317">
      <c r="B11317" s="612"/>
      <c r="H11317" s="612"/>
    </row>
    <row r="11318">
      <c r="B11318" s="612"/>
      <c r="H11318" s="612"/>
    </row>
    <row r="11319">
      <c r="B11319" s="612"/>
      <c r="H11319" s="612"/>
    </row>
    <row r="11320">
      <c r="B11320" s="612"/>
      <c r="H11320" s="612"/>
    </row>
    <row r="11321">
      <c r="B11321" s="612"/>
      <c r="H11321" s="612"/>
    </row>
    <row r="11322">
      <c r="B11322" s="612"/>
      <c r="H11322" s="612"/>
    </row>
    <row r="11323">
      <c r="B11323" s="612"/>
      <c r="H11323" s="612"/>
    </row>
    <row r="11324">
      <c r="B11324" s="612"/>
      <c r="H11324" s="612"/>
    </row>
    <row r="11325">
      <c r="B11325" s="612"/>
      <c r="H11325" s="612"/>
    </row>
    <row r="11326">
      <c r="B11326" s="612"/>
      <c r="H11326" s="612"/>
    </row>
    <row r="11327">
      <c r="B11327" s="612"/>
      <c r="H11327" s="612"/>
    </row>
    <row r="11328">
      <c r="B11328" s="612"/>
      <c r="H11328" s="612"/>
    </row>
    <row r="11329">
      <c r="B11329" s="612"/>
      <c r="H11329" s="612"/>
    </row>
    <row r="11330">
      <c r="B11330" s="612"/>
      <c r="H11330" s="612"/>
    </row>
    <row r="11331">
      <c r="B11331" s="612"/>
      <c r="H11331" s="612"/>
    </row>
    <row r="11332">
      <c r="B11332" s="612"/>
      <c r="H11332" s="612"/>
    </row>
    <row r="11333">
      <c r="B11333" s="612"/>
      <c r="H11333" s="612"/>
    </row>
    <row r="11334">
      <c r="B11334" s="612"/>
      <c r="H11334" s="612"/>
    </row>
    <row r="11335">
      <c r="B11335" s="612"/>
      <c r="H11335" s="612"/>
    </row>
    <row r="11336">
      <c r="B11336" s="612"/>
      <c r="H11336" s="612"/>
    </row>
    <row r="11337">
      <c r="B11337" s="612"/>
      <c r="H11337" s="612"/>
    </row>
    <row r="11338">
      <c r="B11338" s="612"/>
      <c r="H11338" s="612"/>
    </row>
    <row r="11339">
      <c r="B11339" s="612"/>
      <c r="H11339" s="612"/>
    </row>
    <row r="11340">
      <c r="B11340" s="612"/>
      <c r="H11340" s="612"/>
    </row>
    <row r="11341">
      <c r="B11341" s="612"/>
      <c r="H11341" s="612"/>
    </row>
    <row r="11342">
      <c r="B11342" s="612"/>
      <c r="H11342" s="612"/>
    </row>
    <row r="11343">
      <c r="B11343" s="612"/>
      <c r="H11343" s="612"/>
    </row>
    <row r="11344">
      <c r="B11344" s="612"/>
      <c r="H11344" s="612"/>
    </row>
    <row r="11345">
      <c r="B11345" s="612"/>
      <c r="H11345" s="612"/>
    </row>
    <row r="11346">
      <c r="B11346" s="612"/>
      <c r="H11346" s="612"/>
    </row>
    <row r="11347">
      <c r="B11347" s="612"/>
      <c r="H11347" s="612"/>
    </row>
    <row r="11348">
      <c r="B11348" s="612"/>
      <c r="H11348" s="612"/>
    </row>
    <row r="11349">
      <c r="B11349" s="612"/>
      <c r="H11349" s="612"/>
    </row>
    <row r="11350">
      <c r="B11350" s="612"/>
      <c r="H11350" s="612"/>
    </row>
    <row r="11351">
      <c r="B11351" s="612"/>
      <c r="H11351" s="612"/>
    </row>
    <row r="11352">
      <c r="B11352" s="612"/>
      <c r="H11352" s="612"/>
    </row>
    <row r="11353">
      <c r="B11353" s="612"/>
      <c r="H11353" s="612"/>
    </row>
    <row r="11354">
      <c r="B11354" s="612"/>
      <c r="H11354" s="612"/>
    </row>
    <row r="11355">
      <c r="B11355" s="612"/>
      <c r="H11355" s="612"/>
    </row>
    <row r="11356">
      <c r="B11356" s="612"/>
      <c r="H11356" s="612"/>
    </row>
    <row r="11357">
      <c r="B11357" s="612"/>
      <c r="H11357" s="612"/>
    </row>
    <row r="11358">
      <c r="B11358" s="612"/>
      <c r="H11358" s="612"/>
    </row>
    <row r="11359">
      <c r="B11359" s="612"/>
      <c r="H11359" s="612"/>
    </row>
    <row r="11360">
      <c r="B11360" s="612"/>
      <c r="H11360" s="612"/>
    </row>
    <row r="11361">
      <c r="B11361" s="612"/>
      <c r="H11361" s="612"/>
    </row>
    <row r="11362">
      <c r="B11362" s="612"/>
      <c r="H11362" s="612"/>
    </row>
    <row r="11363">
      <c r="B11363" s="612"/>
      <c r="H11363" s="612"/>
    </row>
    <row r="11364">
      <c r="B11364" s="612"/>
      <c r="H11364" s="612"/>
    </row>
    <row r="11365">
      <c r="B11365" s="612"/>
      <c r="H11365" s="612"/>
    </row>
    <row r="11366">
      <c r="B11366" s="612"/>
      <c r="H11366" s="612"/>
    </row>
    <row r="11367">
      <c r="B11367" s="612"/>
      <c r="H11367" s="612"/>
    </row>
    <row r="11368">
      <c r="B11368" s="612"/>
      <c r="H11368" s="612"/>
    </row>
    <row r="11369">
      <c r="B11369" s="612"/>
      <c r="H11369" s="612"/>
    </row>
    <row r="11370">
      <c r="B11370" s="612"/>
      <c r="H11370" s="612"/>
    </row>
    <row r="11371">
      <c r="B11371" s="612"/>
      <c r="H11371" s="612"/>
    </row>
    <row r="11372">
      <c r="B11372" s="612"/>
      <c r="H11372" s="612"/>
    </row>
    <row r="11373">
      <c r="B11373" s="612"/>
      <c r="H11373" s="612"/>
    </row>
    <row r="11374">
      <c r="B11374" s="612"/>
      <c r="H11374" s="612"/>
    </row>
    <row r="11375">
      <c r="B11375" s="612"/>
      <c r="H11375" s="612"/>
    </row>
    <row r="11376">
      <c r="B11376" s="612"/>
      <c r="H11376" s="612"/>
    </row>
    <row r="11377">
      <c r="B11377" s="612"/>
      <c r="H11377" s="612"/>
    </row>
    <row r="11378">
      <c r="B11378" s="612"/>
      <c r="H11378" s="612"/>
    </row>
    <row r="11379">
      <c r="B11379" s="612"/>
      <c r="H11379" s="612"/>
    </row>
    <row r="11380">
      <c r="B11380" s="612"/>
      <c r="H11380" s="612"/>
    </row>
    <row r="11381">
      <c r="B11381" s="612"/>
      <c r="H11381" s="612"/>
    </row>
    <row r="11382">
      <c r="B11382" s="612"/>
      <c r="H11382" s="612"/>
    </row>
    <row r="11383">
      <c r="B11383" s="612"/>
      <c r="H11383" s="612"/>
    </row>
    <row r="11384">
      <c r="B11384" s="612"/>
      <c r="H11384" s="612"/>
    </row>
    <row r="11385">
      <c r="B11385" s="612"/>
      <c r="H11385" s="612"/>
    </row>
    <row r="11386">
      <c r="B11386" s="612"/>
      <c r="H11386" s="612"/>
    </row>
    <row r="11387">
      <c r="B11387" s="612"/>
      <c r="H11387" s="612"/>
    </row>
    <row r="11388">
      <c r="B11388" s="612"/>
      <c r="H11388" s="612"/>
    </row>
    <row r="11389">
      <c r="B11389" s="612"/>
      <c r="H11389" s="612"/>
    </row>
    <row r="11390">
      <c r="B11390" s="612"/>
      <c r="H11390" s="612"/>
    </row>
    <row r="11391">
      <c r="B11391" s="612"/>
      <c r="H11391" s="612"/>
    </row>
    <row r="11392">
      <c r="B11392" s="612"/>
      <c r="H11392" s="612"/>
    </row>
    <row r="11393">
      <c r="B11393" s="612"/>
      <c r="H11393" s="612"/>
    </row>
    <row r="11394">
      <c r="B11394" s="612"/>
      <c r="H11394" s="612"/>
    </row>
    <row r="11395">
      <c r="B11395" s="612"/>
      <c r="H11395" s="612"/>
    </row>
    <row r="11396">
      <c r="B11396" s="612"/>
      <c r="H11396" s="612"/>
    </row>
    <row r="11397">
      <c r="B11397" s="612"/>
      <c r="H11397" s="612"/>
    </row>
    <row r="11398">
      <c r="B11398" s="612"/>
      <c r="H11398" s="612"/>
    </row>
    <row r="11399">
      <c r="B11399" s="612"/>
      <c r="H11399" s="612"/>
    </row>
    <row r="11400">
      <c r="B11400" s="612"/>
      <c r="H11400" s="612"/>
    </row>
    <row r="11401">
      <c r="B11401" s="612"/>
      <c r="H11401" s="612"/>
    </row>
    <row r="11402">
      <c r="B11402" s="612"/>
      <c r="H11402" s="612"/>
    </row>
    <row r="11403">
      <c r="B11403" s="612"/>
      <c r="H11403" s="612"/>
    </row>
    <row r="11404">
      <c r="B11404" s="612"/>
      <c r="H11404" s="612"/>
    </row>
    <row r="11405">
      <c r="B11405" s="612"/>
      <c r="H11405" s="612"/>
    </row>
    <row r="11406">
      <c r="B11406" s="612"/>
      <c r="H11406" s="612"/>
    </row>
    <row r="11407">
      <c r="B11407" s="612"/>
      <c r="H11407" s="612"/>
    </row>
    <row r="11408">
      <c r="B11408" s="612"/>
      <c r="H11408" s="612"/>
    </row>
    <row r="11409">
      <c r="B11409" s="612"/>
      <c r="H11409" s="612"/>
    </row>
    <row r="11410">
      <c r="B11410" s="612"/>
      <c r="H11410" s="612"/>
    </row>
    <row r="11411">
      <c r="B11411" s="612"/>
      <c r="H11411" s="612"/>
    </row>
    <row r="11412">
      <c r="B11412" s="612"/>
      <c r="H11412" s="612"/>
    </row>
    <row r="11413">
      <c r="B11413" s="612"/>
      <c r="H11413" s="612"/>
    </row>
    <row r="11414">
      <c r="B11414" s="612"/>
      <c r="H11414" s="612"/>
    </row>
    <row r="11415">
      <c r="B11415" s="612"/>
      <c r="H11415" s="612"/>
    </row>
    <row r="11416">
      <c r="B11416" s="612"/>
      <c r="H11416" s="612"/>
    </row>
    <row r="11417">
      <c r="B11417" s="612"/>
      <c r="H11417" s="612"/>
    </row>
    <row r="11418">
      <c r="B11418" s="612"/>
      <c r="H11418" s="612"/>
    </row>
    <row r="11419">
      <c r="B11419" s="612"/>
      <c r="H11419" s="612"/>
    </row>
    <row r="11420">
      <c r="B11420" s="612"/>
      <c r="H11420" s="612"/>
    </row>
    <row r="11421">
      <c r="B11421" s="612"/>
      <c r="H11421" s="612"/>
    </row>
    <row r="11422">
      <c r="B11422" s="612"/>
      <c r="H11422" s="612"/>
    </row>
    <row r="11423">
      <c r="B11423" s="612"/>
      <c r="H11423" s="612"/>
    </row>
    <row r="11424">
      <c r="B11424" s="612"/>
      <c r="H11424" s="612"/>
    </row>
    <row r="11425">
      <c r="B11425" s="612"/>
      <c r="H11425" s="612"/>
    </row>
    <row r="11426">
      <c r="B11426" s="612"/>
      <c r="H11426" s="612"/>
    </row>
    <row r="11427">
      <c r="B11427" s="612"/>
      <c r="H11427" s="612"/>
    </row>
    <row r="11428">
      <c r="B11428" s="612"/>
      <c r="H11428" s="612"/>
    </row>
    <row r="11429">
      <c r="B11429" s="612"/>
      <c r="H11429" s="612"/>
    </row>
    <row r="11430">
      <c r="B11430" s="612"/>
      <c r="H11430" s="612"/>
    </row>
    <row r="11431">
      <c r="B11431" s="612"/>
      <c r="H11431" s="612"/>
    </row>
    <row r="11432">
      <c r="B11432" s="612"/>
      <c r="H11432" s="612"/>
    </row>
    <row r="11433">
      <c r="B11433" s="612"/>
      <c r="H11433" s="612"/>
    </row>
    <row r="11434">
      <c r="B11434" s="612"/>
      <c r="H11434" s="612"/>
    </row>
    <row r="11435">
      <c r="B11435" s="612"/>
      <c r="H11435" s="612"/>
    </row>
    <row r="11436">
      <c r="B11436" s="612"/>
      <c r="H11436" s="612"/>
    </row>
    <row r="11437">
      <c r="B11437" s="612"/>
      <c r="H11437" s="612"/>
    </row>
    <row r="11438">
      <c r="B11438" s="612"/>
      <c r="H11438" s="612"/>
    </row>
    <row r="11439">
      <c r="B11439" s="612"/>
      <c r="H11439" s="612"/>
    </row>
    <row r="11440">
      <c r="B11440" s="612"/>
      <c r="H11440" s="612"/>
    </row>
    <row r="11441">
      <c r="B11441" s="612"/>
      <c r="H11441" s="612"/>
    </row>
    <row r="11442">
      <c r="B11442" s="612"/>
      <c r="H11442" s="612"/>
    </row>
    <row r="11443">
      <c r="B11443" s="612"/>
      <c r="H11443" s="612"/>
    </row>
    <row r="11444">
      <c r="B11444" s="612"/>
      <c r="H11444" s="612"/>
    </row>
    <row r="11445">
      <c r="B11445" s="612"/>
      <c r="H11445" s="612"/>
    </row>
    <row r="11446">
      <c r="B11446" s="612"/>
      <c r="H11446" s="612"/>
    </row>
    <row r="11447">
      <c r="B11447" s="612"/>
      <c r="H11447" s="612"/>
    </row>
    <row r="11448">
      <c r="B11448" s="612"/>
      <c r="H11448" s="612"/>
    </row>
    <row r="11449">
      <c r="B11449" s="612"/>
      <c r="H11449" s="612"/>
    </row>
    <row r="11450">
      <c r="B11450" s="612"/>
      <c r="H11450" s="612"/>
    </row>
    <row r="11451">
      <c r="B11451" s="612"/>
      <c r="H11451" s="612"/>
    </row>
    <row r="11452">
      <c r="B11452" s="612"/>
      <c r="H11452" s="612"/>
    </row>
    <row r="11453">
      <c r="B11453" s="612"/>
      <c r="H11453" s="612"/>
    </row>
    <row r="11454">
      <c r="B11454" s="612"/>
      <c r="H11454" s="612"/>
    </row>
    <row r="11455">
      <c r="B11455" s="612"/>
      <c r="H11455" s="612"/>
    </row>
    <row r="11456">
      <c r="B11456" s="612"/>
      <c r="H11456" s="612"/>
    </row>
    <row r="11457">
      <c r="B11457" s="612"/>
      <c r="H11457" s="612"/>
    </row>
    <row r="11458">
      <c r="B11458" s="612"/>
      <c r="H11458" s="612"/>
    </row>
    <row r="11459">
      <c r="B11459" s="612"/>
      <c r="H11459" s="612"/>
    </row>
    <row r="11460">
      <c r="B11460" s="612"/>
      <c r="H11460" s="612"/>
    </row>
    <row r="11461">
      <c r="B11461" s="612"/>
      <c r="H11461" s="612"/>
    </row>
    <row r="11462">
      <c r="B11462" s="612"/>
      <c r="H11462" s="612"/>
    </row>
    <row r="11463">
      <c r="B11463" s="612"/>
      <c r="H11463" s="612"/>
    </row>
    <row r="11464">
      <c r="B11464" s="612"/>
      <c r="H11464" s="612"/>
    </row>
    <row r="11465">
      <c r="B11465" s="612"/>
      <c r="H11465" s="612"/>
    </row>
    <row r="11466">
      <c r="B11466" s="612"/>
      <c r="H11466" s="612"/>
    </row>
    <row r="11467">
      <c r="B11467" s="612"/>
      <c r="H11467" s="612"/>
    </row>
    <row r="11468">
      <c r="B11468" s="612"/>
      <c r="H11468" s="612"/>
    </row>
    <row r="11469">
      <c r="B11469" s="612"/>
      <c r="H11469" s="612"/>
    </row>
    <row r="11470">
      <c r="B11470" s="612"/>
      <c r="H11470" s="612"/>
    </row>
    <row r="11471">
      <c r="B11471" s="612"/>
      <c r="H11471" s="612"/>
    </row>
    <row r="11472">
      <c r="B11472" s="612"/>
      <c r="H11472" s="612"/>
    </row>
    <row r="11473">
      <c r="B11473" s="612"/>
      <c r="H11473" s="612"/>
    </row>
    <row r="11474">
      <c r="B11474" s="612"/>
      <c r="H11474" s="612"/>
    </row>
    <row r="11475">
      <c r="B11475" s="612"/>
      <c r="H11475" s="612"/>
    </row>
    <row r="11476">
      <c r="B11476" s="612"/>
      <c r="H11476" s="612"/>
    </row>
    <row r="11477">
      <c r="B11477" s="612"/>
      <c r="H11477" s="612"/>
    </row>
    <row r="11478">
      <c r="B11478" s="612"/>
      <c r="H11478" s="612"/>
    </row>
    <row r="11479">
      <c r="B11479" s="612"/>
      <c r="H11479" s="612"/>
    </row>
    <row r="11480">
      <c r="B11480" s="612"/>
      <c r="H11480" s="612"/>
    </row>
    <row r="11481">
      <c r="B11481" s="612"/>
      <c r="H11481" s="612"/>
    </row>
    <row r="11482">
      <c r="B11482" s="612"/>
      <c r="H11482" s="612"/>
    </row>
    <row r="11483">
      <c r="B11483" s="612"/>
      <c r="H11483" s="612"/>
    </row>
    <row r="11484">
      <c r="B11484" s="612"/>
      <c r="H11484" s="612"/>
    </row>
    <row r="11485">
      <c r="B11485" s="612"/>
      <c r="H11485" s="612"/>
    </row>
    <row r="11486">
      <c r="B11486" s="612"/>
      <c r="H11486" s="612"/>
    </row>
    <row r="11487">
      <c r="B11487" s="612"/>
      <c r="H11487" s="612"/>
    </row>
    <row r="11488">
      <c r="B11488" s="612"/>
      <c r="H11488" s="612"/>
    </row>
    <row r="11489">
      <c r="B11489" s="612"/>
      <c r="H11489" s="612"/>
    </row>
    <row r="11490">
      <c r="B11490" s="612"/>
      <c r="H11490" s="612"/>
    </row>
    <row r="11491">
      <c r="B11491" s="612"/>
      <c r="H11491" s="612"/>
    </row>
    <row r="11492">
      <c r="B11492" s="612"/>
      <c r="H11492" s="612"/>
    </row>
    <row r="11493">
      <c r="B11493" s="612"/>
      <c r="H11493" s="612"/>
    </row>
    <row r="11494">
      <c r="B11494" s="612"/>
      <c r="H11494" s="612"/>
    </row>
    <row r="11495">
      <c r="B11495" s="612"/>
      <c r="H11495" s="612"/>
    </row>
    <row r="11496">
      <c r="B11496" s="612"/>
      <c r="H11496" s="612"/>
    </row>
    <row r="11497">
      <c r="B11497" s="612"/>
      <c r="H11497" s="612"/>
    </row>
    <row r="11498">
      <c r="B11498" s="612"/>
      <c r="H11498" s="612"/>
    </row>
    <row r="11499">
      <c r="B11499" s="612"/>
      <c r="H11499" s="612"/>
    </row>
    <row r="11500">
      <c r="B11500" s="612"/>
      <c r="H11500" s="612"/>
    </row>
    <row r="11501">
      <c r="B11501" s="612"/>
      <c r="H11501" s="612"/>
    </row>
    <row r="11502">
      <c r="B11502" s="612"/>
      <c r="H11502" s="612"/>
    </row>
    <row r="11503">
      <c r="B11503" s="612"/>
      <c r="H11503" s="612"/>
    </row>
    <row r="11504">
      <c r="B11504" s="612"/>
      <c r="H11504" s="612"/>
    </row>
    <row r="11505">
      <c r="B11505" s="612"/>
      <c r="H11505" s="612"/>
    </row>
    <row r="11506">
      <c r="B11506" s="612"/>
      <c r="H11506" s="612"/>
    </row>
    <row r="11507">
      <c r="B11507" s="612"/>
      <c r="H11507" s="612"/>
    </row>
    <row r="11508">
      <c r="B11508" s="612"/>
      <c r="H11508" s="612"/>
    </row>
    <row r="11509">
      <c r="B11509" s="612"/>
      <c r="H11509" s="612"/>
    </row>
    <row r="11510">
      <c r="B11510" s="612"/>
      <c r="H11510" s="612"/>
    </row>
    <row r="11511">
      <c r="B11511" s="612"/>
      <c r="H11511" s="612"/>
    </row>
    <row r="11512">
      <c r="B11512" s="612"/>
      <c r="H11512" s="612"/>
    </row>
    <row r="11513">
      <c r="B11513" s="612"/>
      <c r="H11513" s="612"/>
    </row>
    <row r="11514">
      <c r="B11514" s="612"/>
      <c r="H11514" s="612"/>
    </row>
    <row r="11515">
      <c r="B11515" s="612"/>
      <c r="H11515" s="612"/>
    </row>
    <row r="11516">
      <c r="B11516" s="612"/>
      <c r="H11516" s="612"/>
    </row>
    <row r="11517">
      <c r="B11517" s="612"/>
      <c r="H11517" s="612"/>
    </row>
    <row r="11518">
      <c r="B11518" s="612"/>
      <c r="H11518" s="612"/>
    </row>
    <row r="11519">
      <c r="B11519" s="612"/>
      <c r="H11519" s="612"/>
    </row>
    <row r="11520">
      <c r="B11520" s="612"/>
      <c r="H11520" s="612"/>
    </row>
    <row r="11521">
      <c r="B11521" s="612"/>
      <c r="H11521" s="612"/>
    </row>
    <row r="11522">
      <c r="B11522" s="612"/>
      <c r="H11522" s="612"/>
    </row>
    <row r="11523">
      <c r="B11523" s="612"/>
      <c r="H11523" s="612"/>
    </row>
    <row r="11524">
      <c r="B11524" s="612"/>
      <c r="H11524" s="612"/>
    </row>
    <row r="11525">
      <c r="B11525" s="612"/>
      <c r="H11525" s="612"/>
    </row>
    <row r="11526">
      <c r="B11526" s="612"/>
      <c r="H11526" s="612"/>
    </row>
    <row r="11527">
      <c r="B11527" s="612"/>
      <c r="H11527" s="612"/>
    </row>
    <row r="11528">
      <c r="B11528" s="612"/>
      <c r="H11528" s="612"/>
    </row>
    <row r="11529">
      <c r="B11529" s="612"/>
      <c r="H11529" s="612"/>
    </row>
    <row r="11530">
      <c r="B11530" s="612"/>
      <c r="H11530" s="612"/>
    </row>
    <row r="11531">
      <c r="B11531" s="612"/>
      <c r="H11531" s="612"/>
    </row>
    <row r="11532">
      <c r="B11532" s="612"/>
      <c r="H11532" s="612"/>
    </row>
    <row r="11533">
      <c r="B11533" s="612"/>
      <c r="H11533" s="612"/>
    </row>
    <row r="11534">
      <c r="B11534" s="612"/>
      <c r="H11534" s="612"/>
    </row>
    <row r="11535">
      <c r="B11535" s="612"/>
      <c r="H11535" s="612"/>
    </row>
    <row r="11536">
      <c r="B11536" s="612"/>
      <c r="H11536" s="612"/>
    </row>
    <row r="11537">
      <c r="B11537" s="612"/>
      <c r="H11537" s="612"/>
    </row>
    <row r="11538">
      <c r="B11538" s="612"/>
      <c r="H11538" s="612"/>
    </row>
    <row r="11539">
      <c r="B11539" s="612"/>
      <c r="H11539" s="612"/>
    </row>
    <row r="11540">
      <c r="B11540" s="612"/>
      <c r="H11540" s="612"/>
    </row>
    <row r="11541">
      <c r="B11541" s="612"/>
      <c r="H11541" s="612"/>
    </row>
    <row r="11542">
      <c r="B11542" s="612"/>
      <c r="H11542" s="612"/>
    </row>
    <row r="11543">
      <c r="B11543" s="612"/>
      <c r="H11543" s="612"/>
    </row>
    <row r="11544">
      <c r="B11544" s="612"/>
      <c r="H11544" s="612"/>
    </row>
    <row r="11545">
      <c r="B11545" s="612"/>
      <c r="H11545" s="612"/>
    </row>
    <row r="11546">
      <c r="B11546" s="612"/>
      <c r="H11546" s="612"/>
    </row>
    <row r="11547">
      <c r="B11547" s="612"/>
      <c r="H11547" s="612"/>
    </row>
    <row r="11548">
      <c r="B11548" s="612"/>
      <c r="H11548" s="612"/>
    </row>
    <row r="11549">
      <c r="B11549" s="612"/>
      <c r="H11549" s="612"/>
    </row>
    <row r="11550">
      <c r="B11550" s="612"/>
      <c r="H11550" s="612"/>
    </row>
    <row r="11551">
      <c r="B11551" s="612"/>
      <c r="H11551" s="612"/>
    </row>
    <row r="11552">
      <c r="B11552" s="612"/>
      <c r="H11552" s="612"/>
    </row>
    <row r="11553">
      <c r="B11553" s="612"/>
      <c r="H11553" s="612"/>
    </row>
    <row r="11554">
      <c r="B11554" s="612"/>
      <c r="H11554" s="612"/>
    </row>
    <row r="11555">
      <c r="B11555" s="612"/>
      <c r="H11555" s="612"/>
    </row>
    <row r="11556">
      <c r="B11556" s="612"/>
      <c r="H11556" s="612"/>
    </row>
    <row r="11557">
      <c r="B11557" s="612"/>
      <c r="H11557" s="612"/>
    </row>
    <row r="11558">
      <c r="B11558" s="612"/>
      <c r="H11558" s="612"/>
    </row>
    <row r="11559">
      <c r="B11559" s="612"/>
      <c r="H11559" s="612"/>
    </row>
    <row r="11560">
      <c r="B11560" s="612"/>
      <c r="H11560" s="612"/>
    </row>
    <row r="11561">
      <c r="B11561" s="612"/>
      <c r="H11561" s="612"/>
    </row>
    <row r="11562">
      <c r="B11562" s="612"/>
      <c r="H11562" s="612"/>
    </row>
    <row r="11563">
      <c r="B11563" s="612"/>
      <c r="H11563" s="612"/>
    </row>
    <row r="11564">
      <c r="B11564" s="612"/>
      <c r="H11564" s="612"/>
    </row>
    <row r="11565">
      <c r="B11565" s="612"/>
      <c r="H11565" s="612"/>
    </row>
    <row r="11566">
      <c r="B11566" s="612"/>
      <c r="H11566" s="612"/>
    </row>
    <row r="11567">
      <c r="B11567" s="612"/>
      <c r="H11567" s="612"/>
    </row>
    <row r="11568">
      <c r="B11568" s="612"/>
      <c r="H11568" s="612"/>
    </row>
    <row r="11569">
      <c r="B11569" s="612"/>
      <c r="H11569" s="612"/>
    </row>
    <row r="11570">
      <c r="B11570" s="612"/>
      <c r="H11570" s="612"/>
    </row>
    <row r="11571">
      <c r="B11571" s="612"/>
      <c r="H11571" s="612"/>
    </row>
    <row r="11572">
      <c r="B11572" s="612"/>
      <c r="H11572" s="612"/>
    </row>
    <row r="11573">
      <c r="B11573" s="612"/>
      <c r="H11573" s="612"/>
    </row>
    <row r="11574">
      <c r="B11574" s="612"/>
      <c r="H11574" s="612"/>
    </row>
    <row r="11575">
      <c r="B11575" s="612"/>
      <c r="H11575" s="612"/>
    </row>
    <row r="11576">
      <c r="B11576" s="612"/>
      <c r="H11576" s="612"/>
    </row>
    <row r="11577">
      <c r="B11577" s="612"/>
      <c r="H11577" s="612"/>
    </row>
    <row r="11578">
      <c r="B11578" s="612"/>
      <c r="H11578" s="612"/>
    </row>
    <row r="11579">
      <c r="B11579" s="612"/>
      <c r="H11579" s="612"/>
    </row>
    <row r="11580">
      <c r="B11580" s="612"/>
      <c r="H11580" s="612"/>
    </row>
    <row r="11581">
      <c r="B11581" s="612"/>
      <c r="H11581" s="612"/>
    </row>
    <row r="11582">
      <c r="B11582" s="612"/>
      <c r="H11582" s="612"/>
    </row>
    <row r="11583">
      <c r="B11583" s="612"/>
      <c r="H11583" s="612"/>
    </row>
    <row r="11584">
      <c r="B11584" s="612"/>
      <c r="H11584" s="612"/>
    </row>
    <row r="11585">
      <c r="B11585" s="612"/>
      <c r="H11585" s="612"/>
    </row>
    <row r="11586">
      <c r="B11586" s="612"/>
      <c r="H11586" s="612"/>
    </row>
    <row r="11587">
      <c r="B11587" s="612"/>
      <c r="H11587" s="612"/>
    </row>
    <row r="11588">
      <c r="B11588" s="612"/>
      <c r="H11588" s="612"/>
    </row>
    <row r="11589">
      <c r="B11589" s="612"/>
      <c r="H11589" s="612"/>
    </row>
    <row r="11590">
      <c r="B11590" s="612"/>
      <c r="H11590" s="612"/>
    </row>
    <row r="11591">
      <c r="B11591" s="612"/>
      <c r="H11591" s="612"/>
    </row>
    <row r="11592">
      <c r="B11592" s="612"/>
      <c r="H11592" s="612"/>
    </row>
    <row r="11593">
      <c r="B11593" s="612"/>
      <c r="H11593" s="612"/>
    </row>
    <row r="11594">
      <c r="B11594" s="612"/>
      <c r="H11594" s="612"/>
    </row>
    <row r="11595">
      <c r="B11595" s="612"/>
      <c r="H11595" s="612"/>
    </row>
    <row r="11596">
      <c r="B11596" s="612"/>
      <c r="H11596" s="612"/>
    </row>
    <row r="11597">
      <c r="B11597" s="612"/>
      <c r="H11597" s="612"/>
    </row>
    <row r="11598">
      <c r="B11598" s="612"/>
      <c r="H11598" s="612"/>
    </row>
    <row r="11599">
      <c r="B11599" s="612"/>
      <c r="H11599" s="612"/>
    </row>
    <row r="11600">
      <c r="B11600" s="612"/>
      <c r="H11600" s="612"/>
    </row>
    <row r="11601">
      <c r="B11601" s="612"/>
      <c r="H11601" s="612"/>
    </row>
    <row r="11602">
      <c r="B11602" s="612"/>
      <c r="H11602" s="612"/>
    </row>
    <row r="11603">
      <c r="B11603" s="612"/>
      <c r="H11603" s="612"/>
    </row>
    <row r="11604">
      <c r="B11604" s="612"/>
      <c r="H11604" s="612"/>
    </row>
    <row r="11605">
      <c r="B11605" s="612"/>
      <c r="H11605" s="612"/>
    </row>
    <row r="11606">
      <c r="B11606" s="612"/>
      <c r="H11606" s="612"/>
    </row>
    <row r="11607">
      <c r="B11607" s="612"/>
      <c r="H11607" s="612"/>
    </row>
    <row r="11608">
      <c r="B11608" s="612"/>
      <c r="H11608" s="612"/>
    </row>
    <row r="11609">
      <c r="B11609" s="612"/>
      <c r="H11609" s="612"/>
    </row>
    <row r="11610">
      <c r="B11610" s="612"/>
      <c r="H11610" s="612"/>
    </row>
    <row r="11611">
      <c r="B11611" s="612"/>
      <c r="H11611" s="612"/>
    </row>
    <row r="11612">
      <c r="B11612" s="612"/>
      <c r="H11612" s="612"/>
    </row>
    <row r="11613">
      <c r="B11613" s="612"/>
      <c r="H11613" s="612"/>
    </row>
    <row r="11614">
      <c r="B11614" s="612"/>
      <c r="H11614" s="612"/>
    </row>
    <row r="11615">
      <c r="B11615" s="612"/>
      <c r="H11615" s="612"/>
    </row>
    <row r="11616">
      <c r="B11616" s="612"/>
      <c r="H11616" s="612"/>
    </row>
    <row r="11617">
      <c r="B11617" s="612"/>
      <c r="H11617" s="612"/>
    </row>
    <row r="11618">
      <c r="B11618" s="612"/>
      <c r="H11618" s="612"/>
    </row>
    <row r="11619">
      <c r="B11619" s="612"/>
      <c r="H11619" s="612"/>
    </row>
    <row r="11620">
      <c r="B11620" s="612"/>
      <c r="H11620" s="612"/>
    </row>
    <row r="11621">
      <c r="B11621" s="612"/>
      <c r="H11621" s="612"/>
    </row>
    <row r="11622">
      <c r="B11622" s="612"/>
      <c r="H11622" s="612"/>
    </row>
    <row r="11623">
      <c r="B11623" s="612"/>
      <c r="H11623" s="612"/>
    </row>
    <row r="11624">
      <c r="B11624" s="612"/>
      <c r="H11624" s="612"/>
    </row>
    <row r="11625">
      <c r="B11625" s="612"/>
      <c r="H11625" s="612"/>
    </row>
    <row r="11626">
      <c r="B11626" s="612"/>
      <c r="H11626" s="612"/>
    </row>
    <row r="11627">
      <c r="B11627" s="612"/>
      <c r="H11627" s="612"/>
    </row>
    <row r="11628">
      <c r="B11628" s="612"/>
      <c r="H11628" s="612"/>
    </row>
    <row r="11629">
      <c r="B11629" s="612"/>
      <c r="H11629" s="612"/>
    </row>
    <row r="11630">
      <c r="B11630" s="612"/>
      <c r="H11630" s="612"/>
    </row>
    <row r="11631">
      <c r="B11631" s="612"/>
      <c r="H11631" s="612"/>
    </row>
    <row r="11632">
      <c r="B11632" s="612"/>
      <c r="H11632" s="612"/>
    </row>
    <row r="11633">
      <c r="B11633" s="612"/>
      <c r="H11633" s="612"/>
    </row>
    <row r="11634">
      <c r="B11634" s="612"/>
      <c r="H11634" s="612"/>
    </row>
    <row r="11635">
      <c r="B11635" s="612"/>
      <c r="H11635" s="612"/>
    </row>
    <row r="11636">
      <c r="B11636" s="612"/>
      <c r="H11636" s="612"/>
    </row>
    <row r="11637">
      <c r="B11637" s="612"/>
      <c r="H11637" s="612"/>
    </row>
    <row r="11638">
      <c r="B11638" s="612"/>
      <c r="H11638" s="612"/>
    </row>
    <row r="11639">
      <c r="B11639" s="612"/>
      <c r="H11639" s="612"/>
    </row>
    <row r="11640">
      <c r="B11640" s="612"/>
      <c r="H11640" s="612"/>
    </row>
    <row r="11641">
      <c r="B11641" s="612"/>
      <c r="H11641" s="612"/>
    </row>
    <row r="11642">
      <c r="B11642" s="612"/>
      <c r="H11642" s="612"/>
    </row>
    <row r="11643">
      <c r="B11643" s="612"/>
      <c r="H11643" s="612"/>
    </row>
    <row r="11644">
      <c r="B11644" s="612"/>
      <c r="H11644" s="612"/>
    </row>
    <row r="11645">
      <c r="B11645" s="612"/>
      <c r="H11645" s="612"/>
    </row>
    <row r="11646">
      <c r="B11646" s="612"/>
      <c r="H11646" s="612"/>
    </row>
    <row r="11647">
      <c r="B11647" s="612"/>
      <c r="H11647" s="612"/>
    </row>
    <row r="11648">
      <c r="B11648" s="612"/>
      <c r="H11648" s="612"/>
    </row>
    <row r="11649">
      <c r="B11649" s="612"/>
      <c r="H11649" s="612"/>
    </row>
    <row r="11650">
      <c r="B11650" s="612"/>
      <c r="H11650" s="612"/>
    </row>
    <row r="11651">
      <c r="B11651" s="612"/>
      <c r="H11651" s="612"/>
    </row>
    <row r="11652">
      <c r="B11652" s="612"/>
      <c r="H11652" s="612"/>
    </row>
    <row r="11653">
      <c r="B11653" s="612"/>
      <c r="H11653" s="612"/>
    </row>
    <row r="11654">
      <c r="B11654" s="612"/>
      <c r="H11654" s="612"/>
    </row>
    <row r="11655">
      <c r="B11655" s="612"/>
      <c r="H11655" s="612"/>
    </row>
    <row r="11656">
      <c r="B11656" s="612"/>
      <c r="H11656" s="612"/>
    </row>
    <row r="11657">
      <c r="B11657" s="612"/>
      <c r="H11657" s="612"/>
    </row>
    <row r="11658">
      <c r="B11658" s="612"/>
      <c r="H11658" s="612"/>
    </row>
    <row r="11659">
      <c r="B11659" s="612"/>
      <c r="H11659" s="612"/>
    </row>
    <row r="11660">
      <c r="B11660" s="612"/>
      <c r="H11660" s="612"/>
    </row>
    <row r="11661">
      <c r="B11661" s="612"/>
      <c r="H11661" s="612"/>
    </row>
    <row r="11662">
      <c r="B11662" s="612"/>
      <c r="H11662" s="612"/>
    </row>
    <row r="11663">
      <c r="B11663" s="612"/>
      <c r="H11663" s="612"/>
    </row>
    <row r="11664">
      <c r="B11664" s="612"/>
      <c r="H11664" s="612"/>
    </row>
    <row r="11665">
      <c r="B11665" s="612"/>
      <c r="H11665" s="612"/>
    </row>
    <row r="11666">
      <c r="B11666" s="612"/>
      <c r="H11666" s="612"/>
    </row>
    <row r="11667">
      <c r="B11667" s="612"/>
      <c r="H11667" s="612"/>
    </row>
    <row r="11668">
      <c r="B11668" s="612"/>
      <c r="H11668" s="612"/>
    </row>
    <row r="11669">
      <c r="B11669" s="612"/>
      <c r="H11669" s="612"/>
    </row>
    <row r="11670">
      <c r="B11670" s="612"/>
      <c r="H11670" s="612"/>
    </row>
    <row r="11671">
      <c r="B11671" s="612"/>
      <c r="H11671" s="612"/>
    </row>
    <row r="11672">
      <c r="B11672" s="612"/>
      <c r="H11672" s="612"/>
    </row>
    <row r="11673">
      <c r="B11673" s="612"/>
      <c r="H11673" s="612"/>
    </row>
    <row r="11674">
      <c r="B11674" s="612"/>
      <c r="H11674" s="612"/>
    </row>
    <row r="11675">
      <c r="B11675" s="612"/>
      <c r="H11675" s="612"/>
    </row>
    <row r="11676">
      <c r="B11676" s="612"/>
      <c r="H11676" s="612"/>
    </row>
    <row r="11677">
      <c r="B11677" s="612"/>
      <c r="H11677" s="612"/>
    </row>
    <row r="11678">
      <c r="B11678" s="612"/>
      <c r="H11678" s="612"/>
    </row>
    <row r="11679">
      <c r="B11679" s="612"/>
      <c r="H11679" s="612"/>
    </row>
    <row r="11680">
      <c r="B11680" s="612"/>
      <c r="H11680" s="612"/>
    </row>
    <row r="11681">
      <c r="B11681" s="612"/>
      <c r="H11681" s="612"/>
    </row>
    <row r="11682">
      <c r="B11682" s="612"/>
      <c r="H11682" s="612"/>
    </row>
    <row r="11683">
      <c r="B11683" s="612"/>
      <c r="H11683" s="612"/>
    </row>
    <row r="11684">
      <c r="B11684" s="612"/>
      <c r="H11684" s="612"/>
    </row>
    <row r="11685">
      <c r="B11685" s="612"/>
      <c r="H11685" s="612"/>
    </row>
    <row r="11686">
      <c r="B11686" s="612"/>
      <c r="H11686" s="612"/>
    </row>
    <row r="11687">
      <c r="B11687" s="612"/>
      <c r="H11687" s="612"/>
    </row>
    <row r="11688">
      <c r="B11688" s="612"/>
      <c r="H11688" s="612"/>
    </row>
    <row r="11689">
      <c r="B11689" s="612"/>
      <c r="H11689" s="612"/>
    </row>
    <row r="11690">
      <c r="B11690" s="612"/>
      <c r="H11690" s="612"/>
    </row>
    <row r="11691">
      <c r="B11691" s="612"/>
      <c r="H11691" s="612"/>
    </row>
    <row r="11692">
      <c r="B11692" s="612"/>
      <c r="H11692" s="612"/>
    </row>
    <row r="11693">
      <c r="B11693" s="612"/>
      <c r="H11693" s="612"/>
    </row>
    <row r="11694">
      <c r="B11694" s="612"/>
      <c r="H11694" s="612"/>
    </row>
    <row r="11695">
      <c r="B11695" s="612"/>
      <c r="H11695" s="612"/>
    </row>
    <row r="11696">
      <c r="B11696" s="612"/>
      <c r="H11696" s="612"/>
    </row>
    <row r="11697">
      <c r="B11697" s="612"/>
      <c r="H11697" s="612"/>
    </row>
    <row r="11698">
      <c r="B11698" s="612"/>
      <c r="H11698" s="612"/>
    </row>
    <row r="11699">
      <c r="B11699" s="612"/>
      <c r="H11699" s="612"/>
    </row>
    <row r="11700">
      <c r="B11700" s="612"/>
      <c r="H11700" s="612"/>
    </row>
    <row r="11701">
      <c r="B11701" s="612"/>
      <c r="H11701" s="612"/>
    </row>
    <row r="11702">
      <c r="B11702" s="612"/>
      <c r="H11702" s="612"/>
    </row>
    <row r="11703">
      <c r="B11703" s="612"/>
      <c r="H11703" s="612"/>
    </row>
    <row r="11704">
      <c r="B11704" s="612"/>
      <c r="H11704" s="612"/>
    </row>
    <row r="11705">
      <c r="B11705" s="612"/>
      <c r="H11705" s="612"/>
    </row>
    <row r="11706">
      <c r="B11706" s="612"/>
      <c r="H11706" s="612"/>
    </row>
    <row r="11707">
      <c r="B11707" s="612"/>
      <c r="H11707" s="612"/>
    </row>
    <row r="11708">
      <c r="B11708" s="612"/>
      <c r="H11708" s="612"/>
    </row>
    <row r="11709">
      <c r="B11709" s="612"/>
      <c r="H11709" s="612"/>
    </row>
    <row r="11710">
      <c r="B11710" s="612"/>
      <c r="H11710" s="612"/>
    </row>
    <row r="11711">
      <c r="B11711" s="612"/>
      <c r="H11711" s="612"/>
    </row>
    <row r="11712">
      <c r="B11712" s="612"/>
      <c r="H11712" s="612"/>
    </row>
    <row r="11713">
      <c r="B11713" s="612"/>
      <c r="H11713" s="612"/>
    </row>
    <row r="11714">
      <c r="B11714" s="612"/>
      <c r="H11714" s="612"/>
    </row>
    <row r="11715">
      <c r="B11715" s="612"/>
      <c r="H11715" s="612"/>
    </row>
    <row r="11716">
      <c r="B11716" s="612"/>
      <c r="H11716" s="612"/>
    </row>
    <row r="11717">
      <c r="B11717" s="612"/>
      <c r="H11717" s="612"/>
    </row>
    <row r="11718">
      <c r="B11718" s="612"/>
      <c r="H11718" s="612"/>
    </row>
    <row r="11719">
      <c r="B11719" s="612"/>
      <c r="H11719" s="612"/>
    </row>
    <row r="11720">
      <c r="B11720" s="612"/>
      <c r="H11720" s="612"/>
    </row>
    <row r="11721">
      <c r="B11721" s="612"/>
      <c r="H11721" s="612"/>
    </row>
    <row r="11722">
      <c r="B11722" s="612"/>
      <c r="H11722" s="612"/>
    </row>
    <row r="11723">
      <c r="B11723" s="612"/>
      <c r="H11723" s="612"/>
    </row>
    <row r="11724">
      <c r="B11724" s="612"/>
      <c r="H11724" s="612"/>
    </row>
    <row r="11725">
      <c r="B11725" s="612"/>
      <c r="H11725" s="612"/>
    </row>
    <row r="11726">
      <c r="B11726" s="612"/>
      <c r="H11726" s="612"/>
    </row>
    <row r="11727">
      <c r="B11727" s="612"/>
      <c r="H11727" s="612"/>
    </row>
    <row r="11728">
      <c r="B11728" s="612"/>
      <c r="H11728" s="612"/>
    </row>
    <row r="11729">
      <c r="B11729" s="612"/>
      <c r="H11729" s="612"/>
    </row>
    <row r="11730">
      <c r="B11730" s="612"/>
      <c r="H11730" s="612"/>
    </row>
    <row r="11731">
      <c r="B11731" s="612"/>
      <c r="H11731" s="612"/>
    </row>
    <row r="11732">
      <c r="B11732" s="612"/>
      <c r="H11732" s="612"/>
    </row>
    <row r="11733">
      <c r="B11733" s="612"/>
      <c r="H11733" s="612"/>
    </row>
    <row r="11734">
      <c r="B11734" s="612"/>
      <c r="H11734" s="612"/>
    </row>
    <row r="11735">
      <c r="B11735" s="612"/>
      <c r="H11735" s="612"/>
    </row>
    <row r="11736">
      <c r="B11736" s="612"/>
      <c r="H11736" s="612"/>
    </row>
    <row r="11737">
      <c r="B11737" s="612"/>
      <c r="H11737" s="612"/>
    </row>
    <row r="11738">
      <c r="B11738" s="612"/>
      <c r="H11738" s="612"/>
    </row>
    <row r="11739">
      <c r="B11739" s="612"/>
      <c r="H11739" s="612"/>
    </row>
    <row r="11740">
      <c r="B11740" s="612"/>
      <c r="H11740" s="612"/>
    </row>
    <row r="11741">
      <c r="B11741" s="612"/>
      <c r="H11741" s="612"/>
    </row>
    <row r="11742">
      <c r="B11742" s="612"/>
      <c r="H11742" s="612"/>
    </row>
    <row r="11743">
      <c r="B11743" s="612"/>
      <c r="H11743" s="612"/>
    </row>
    <row r="11744">
      <c r="B11744" s="612"/>
      <c r="H11744" s="612"/>
    </row>
    <row r="11745">
      <c r="B11745" s="612"/>
      <c r="H11745" s="612"/>
    </row>
    <row r="11746">
      <c r="B11746" s="612"/>
      <c r="H11746" s="612"/>
    </row>
    <row r="11747">
      <c r="B11747" s="612"/>
      <c r="H11747" s="612"/>
    </row>
    <row r="11748">
      <c r="B11748" s="612"/>
      <c r="H11748" s="612"/>
    </row>
    <row r="11749">
      <c r="B11749" s="612"/>
      <c r="H11749" s="612"/>
    </row>
    <row r="11750">
      <c r="B11750" s="612"/>
      <c r="H11750" s="612"/>
    </row>
    <row r="11751">
      <c r="B11751" s="612"/>
      <c r="H11751" s="612"/>
    </row>
    <row r="11752">
      <c r="B11752" s="612"/>
      <c r="H11752" s="612"/>
    </row>
    <row r="11753">
      <c r="B11753" s="612"/>
      <c r="H11753" s="612"/>
    </row>
    <row r="11754">
      <c r="B11754" s="612"/>
      <c r="H11754" s="612"/>
    </row>
    <row r="11755">
      <c r="B11755" s="612"/>
      <c r="H11755" s="612"/>
    </row>
    <row r="11756">
      <c r="B11756" s="612"/>
      <c r="H11756" s="612"/>
    </row>
    <row r="11757">
      <c r="B11757" s="612"/>
      <c r="H11757" s="612"/>
    </row>
    <row r="11758">
      <c r="B11758" s="612"/>
      <c r="H11758" s="612"/>
    </row>
    <row r="11759">
      <c r="B11759" s="612"/>
      <c r="H11759" s="612"/>
    </row>
    <row r="11760">
      <c r="B11760" s="612"/>
      <c r="H11760" s="612"/>
    </row>
    <row r="11761">
      <c r="B11761" s="612"/>
      <c r="H11761" s="612"/>
    </row>
    <row r="11762">
      <c r="B11762" s="612"/>
      <c r="H11762" s="612"/>
    </row>
    <row r="11763">
      <c r="B11763" s="612"/>
      <c r="H11763" s="612"/>
    </row>
    <row r="11764">
      <c r="B11764" s="612"/>
      <c r="H11764" s="612"/>
    </row>
    <row r="11765">
      <c r="B11765" s="612"/>
      <c r="H11765" s="612"/>
    </row>
    <row r="11766">
      <c r="B11766" s="612"/>
      <c r="H11766" s="612"/>
    </row>
    <row r="11767">
      <c r="B11767" s="612"/>
      <c r="H11767" s="612"/>
    </row>
    <row r="11768">
      <c r="B11768" s="612"/>
      <c r="H11768" s="612"/>
    </row>
    <row r="11769">
      <c r="B11769" s="612"/>
      <c r="H11769" s="612"/>
    </row>
    <row r="11770">
      <c r="B11770" s="612"/>
      <c r="H11770" s="612"/>
    </row>
    <row r="11771">
      <c r="B11771" s="612"/>
      <c r="H11771" s="612"/>
    </row>
    <row r="11772">
      <c r="B11772" s="612"/>
      <c r="H11772" s="612"/>
    </row>
    <row r="11773">
      <c r="B11773" s="612"/>
      <c r="H11773" s="612"/>
    </row>
    <row r="11774">
      <c r="B11774" s="612"/>
      <c r="H11774" s="612"/>
    </row>
    <row r="11775">
      <c r="B11775" s="612"/>
      <c r="H11775" s="612"/>
    </row>
    <row r="11776">
      <c r="B11776" s="612"/>
      <c r="H11776" s="612"/>
    </row>
    <row r="11777">
      <c r="B11777" s="612"/>
      <c r="H11777" s="612"/>
    </row>
    <row r="11778">
      <c r="B11778" s="612"/>
      <c r="H11778" s="612"/>
    </row>
    <row r="11779">
      <c r="B11779" s="612"/>
      <c r="H11779" s="612"/>
    </row>
    <row r="11780">
      <c r="B11780" s="612"/>
      <c r="H11780" s="612"/>
    </row>
    <row r="11781">
      <c r="B11781" s="612"/>
      <c r="H11781" s="612"/>
    </row>
    <row r="11782">
      <c r="B11782" s="612"/>
      <c r="H11782" s="612"/>
    </row>
    <row r="11783">
      <c r="B11783" s="612"/>
      <c r="H11783" s="612"/>
    </row>
    <row r="11784">
      <c r="B11784" s="612"/>
      <c r="H11784" s="612"/>
    </row>
    <row r="11785">
      <c r="B11785" s="612"/>
      <c r="H11785" s="612"/>
    </row>
    <row r="11786">
      <c r="B11786" s="612"/>
      <c r="H11786" s="612"/>
    </row>
    <row r="11787">
      <c r="B11787" s="612"/>
      <c r="H11787" s="612"/>
    </row>
    <row r="11788">
      <c r="B11788" s="612"/>
      <c r="H11788" s="612"/>
    </row>
    <row r="11789">
      <c r="B11789" s="612"/>
      <c r="H11789" s="612"/>
    </row>
    <row r="11790">
      <c r="B11790" s="612"/>
      <c r="H11790" s="612"/>
    </row>
    <row r="11791">
      <c r="B11791" s="612"/>
      <c r="H11791" s="612"/>
    </row>
    <row r="11792">
      <c r="B11792" s="612"/>
      <c r="H11792" s="612"/>
    </row>
    <row r="11793">
      <c r="B11793" s="612"/>
      <c r="H11793" s="612"/>
    </row>
    <row r="11794">
      <c r="B11794" s="612"/>
      <c r="H11794" s="612"/>
    </row>
    <row r="11795">
      <c r="B11795" s="612"/>
      <c r="H11795" s="612"/>
    </row>
    <row r="11796">
      <c r="B11796" s="612"/>
      <c r="H11796" s="612"/>
    </row>
    <row r="11797">
      <c r="B11797" s="612"/>
      <c r="H11797" s="612"/>
    </row>
    <row r="11798">
      <c r="B11798" s="612"/>
      <c r="H11798" s="612"/>
    </row>
    <row r="11799">
      <c r="B11799" s="612"/>
      <c r="H11799" s="612"/>
    </row>
    <row r="11800">
      <c r="B11800" s="612"/>
      <c r="H11800" s="612"/>
    </row>
    <row r="11801">
      <c r="B11801" s="612"/>
      <c r="H11801" s="612"/>
    </row>
    <row r="11802">
      <c r="B11802" s="612"/>
      <c r="H11802" s="612"/>
    </row>
    <row r="11803">
      <c r="B11803" s="612"/>
      <c r="H11803" s="612"/>
    </row>
    <row r="11804">
      <c r="B11804" s="612"/>
      <c r="H11804" s="612"/>
    </row>
    <row r="11805">
      <c r="B11805" s="612"/>
      <c r="H11805" s="612"/>
    </row>
    <row r="11806">
      <c r="B11806" s="612"/>
      <c r="H11806" s="612"/>
    </row>
    <row r="11807">
      <c r="B11807" s="612"/>
      <c r="H11807" s="612"/>
    </row>
    <row r="11808">
      <c r="B11808" s="612"/>
      <c r="H11808" s="612"/>
    </row>
    <row r="11809">
      <c r="B11809" s="612"/>
      <c r="H11809" s="612"/>
    </row>
    <row r="11810">
      <c r="B11810" s="612"/>
      <c r="H11810" s="612"/>
    </row>
    <row r="11811">
      <c r="B11811" s="612"/>
      <c r="H11811" s="612"/>
    </row>
    <row r="11812">
      <c r="B11812" s="612"/>
      <c r="H11812" s="612"/>
    </row>
    <row r="11813">
      <c r="B11813" s="612"/>
      <c r="H11813" s="612"/>
    </row>
    <row r="11814">
      <c r="B11814" s="612"/>
      <c r="H11814" s="612"/>
    </row>
    <row r="11815">
      <c r="B11815" s="612"/>
      <c r="H11815" s="612"/>
    </row>
    <row r="11816">
      <c r="B11816" s="612"/>
      <c r="H11816" s="612"/>
    </row>
    <row r="11817">
      <c r="B11817" s="612"/>
      <c r="H11817" s="612"/>
    </row>
    <row r="11818">
      <c r="B11818" s="612"/>
      <c r="H11818" s="612"/>
    </row>
    <row r="11819">
      <c r="B11819" s="612"/>
      <c r="H11819" s="612"/>
    </row>
    <row r="11820">
      <c r="B11820" s="612"/>
      <c r="H11820" s="612"/>
    </row>
    <row r="11821">
      <c r="B11821" s="612"/>
      <c r="H11821" s="612"/>
    </row>
    <row r="11822">
      <c r="B11822" s="612"/>
      <c r="H11822" s="612"/>
    </row>
    <row r="11823">
      <c r="B11823" s="612"/>
      <c r="H11823" s="612"/>
    </row>
    <row r="11824">
      <c r="B11824" s="612"/>
      <c r="H11824" s="612"/>
    </row>
    <row r="11825">
      <c r="B11825" s="612"/>
      <c r="H11825" s="612"/>
    </row>
    <row r="11826">
      <c r="B11826" s="612"/>
      <c r="H11826" s="612"/>
    </row>
    <row r="11827">
      <c r="B11827" s="612"/>
      <c r="H11827" s="612"/>
    </row>
    <row r="11828">
      <c r="B11828" s="612"/>
      <c r="H11828" s="612"/>
    </row>
    <row r="11829">
      <c r="B11829" s="612"/>
      <c r="H11829" s="612"/>
    </row>
    <row r="11830">
      <c r="B11830" s="612"/>
      <c r="H11830" s="612"/>
    </row>
    <row r="11831">
      <c r="B11831" s="612"/>
      <c r="H11831" s="612"/>
    </row>
    <row r="11832">
      <c r="B11832" s="612"/>
      <c r="H11832" s="612"/>
    </row>
    <row r="11833">
      <c r="B11833" s="612"/>
      <c r="H11833" s="612"/>
    </row>
    <row r="11834">
      <c r="B11834" s="612"/>
      <c r="H11834" s="612"/>
    </row>
    <row r="11835">
      <c r="B11835" s="612"/>
      <c r="H11835" s="612"/>
    </row>
    <row r="11836">
      <c r="B11836" s="612"/>
      <c r="H11836" s="612"/>
    </row>
    <row r="11837">
      <c r="B11837" s="612"/>
      <c r="H11837" s="612"/>
    </row>
    <row r="11838">
      <c r="B11838" s="612"/>
      <c r="H11838" s="612"/>
    </row>
    <row r="11839">
      <c r="B11839" s="612"/>
      <c r="H11839" s="612"/>
    </row>
    <row r="11840">
      <c r="B11840" s="612"/>
      <c r="H11840" s="612"/>
    </row>
    <row r="11841">
      <c r="B11841" s="612"/>
      <c r="H11841" s="612"/>
    </row>
    <row r="11842">
      <c r="B11842" s="612"/>
      <c r="H11842" s="612"/>
    </row>
    <row r="11843">
      <c r="B11843" s="612"/>
      <c r="H11843" s="612"/>
    </row>
    <row r="11844">
      <c r="B11844" s="612"/>
      <c r="H11844" s="612"/>
    </row>
    <row r="11845">
      <c r="B11845" s="612"/>
      <c r="H11845" s="612"/>
    </row>
    <row r="11846">
      <c r="B11846" s="612"/>
      <c r="H11846" s="612"/>
    </row>
    <row r="11847">
      <c r="B11847" s="612"/>
      <c r="H11847" s="612"/>
    </row>
    <row r="11848">
      <c r="B11848" s="612"/>
      <c r="H11848" s="612"/>
    </row>
    <row r="11849">
      <c r="B11849" s="612"/>
      <c r="H11849" s="612"/>
    </row>
    <row r="11850">
      <c r="B11850" s="612"/>
      <c r="H11850" s="612"/>
    </row>
    <row r="11851">
      <c r="B11851" s="612"/>
      <c r="H11851" s="612"/>
    </row>
    <row r="11852">
      <c r="B11852" s="612"/>
      <c r="H11852" s="612"/>
    </row>
    <row r="11853">
      <c r="B11853" s="612"/>
      <c r="H11853" s="612"/>
    </row>
    <row r="11854">
      <c r="B11854" s="612"/>
      <c r="H11854" s="612"/>
    </row>
    <row r="11855">
      <c r="B11855" s="612"/>
      <c r="H11855" s="612"/>
    </row>
    <row r="11856">
      <c r="B11856" s="612"/>
      <c r="H11856" s="612"/>
    </row>
    <row r="11857">
      <c r="B11857" s="612"/>
      <c r="H11857" s="612"/>
    </row>
    <row r="11858">
      <c r="B11858" s="612"/>
      <c r="H11858" s="612"/>
    </row>
    <row r="11859">
      <c r="B11859" s="612"/>
      <c r="H11859" s="612"/>
    </row>
    <row r="11860">
      <c r="B11860" s="612"/>
      <c r="H11860" s="612"/>
    </row>
    <row r="11861">
      <c r="B11861" s="612"/>
      <c r="H11861" s="612"/>
    </row>
    <row r="11862">
      <c r="B11862" s="612"/>
      <c r="H11862" s="612"/>
    </row>
    <row r="11863">
      <c r="B11863" s="612"/>
      <c r="H11863" s="612"/>
    </row>
    <row r="11864">
      <c r="B11864" s="612"/>
      <c r="H11864" s="612"/>
    </row>
    <row r="11865">
      <c r="B11865" s="612"/>
      <c r="H11865" s="612"/>
    </row>
    <row r="11866">
      <c r="B11866" s="612"/>
      <c r="H11866" s="612"/>
    </row>
    <row r="11867">
      <c r="B11867" s="612"/>
      <c r="H11867" s="612"/>
    </row>
    <row r="11868">
      <c r="B11868" s="612"/>
      <c r="H11868" s="612"/>
    </row>
    <row r="11869">
      <c r="B11869" s="612"/>
      <c r="H11869" s="612"/>
    </row>
    <row r="11870">
      <c r="B11870" s="612"/>
      <c r="H11870" s="612"/>
    </row>
    <row r="11871">
      <c r="B11871" s="612"/>
      <c r="H11871" s="612"/>
    </row>
    <row r="11872">
      <c r="B11872" s="612"/>
      <c r="H11872" s="612"/>
    </row>
    <row r="11873">
      <c r="B11873" s="612"/>
      <c r="H11873" s="612"/>
    </row>
    <row r="11874">
      <c r="B11874" s="612"/>
      <c r="H11874" s="612"/>
    </row>
    <row r="11875">
      <c r="B11875" s="612"/>
      <c r="H11875" s="612"/>
    </row>
    <row r="11876">
      <c r="B11876" s="612"/>
      <c r="H11876" s="612"/>
    </row>
    <row r="11877">
      <c r="B11877" s="612"/>
      <c r="H11877" s="612"/>
    </row>
    <row r="11878">
      <c r="B11878" s="612"/>
      <c r="H11878" s="612"/>
    </row>
    <row r="11879">
      <c r="B11879" s="612"/>
      <c r="H11879" s="612"/>
    </row>
    <row r="11880">
      <c r="B11880" s="612"/>
      <c r="H11880" s="612"/>
    </row>
    <row r="11881">
      <c r="B11881" s="612"/>
      <c r="H11881" s="612"/>
    </row>
    <row r="11882">
      <c r="B11882" s="612"/>
      <c r="H11882" s="612"/>
    </row>
    <row r="11883">
      <c r="B11883" s="612"/>
      <c r="H11883" s="612"/>
    </row>
    <row r="11884">
      <c r="B11884" s="612"/>
      <c r="H11884" s="612"/>
    </row>
    <row r="11885">
      <c r="B11885" s="612"/>
      <c r="H11885" s="612"/>
    </row>
    <row r="11886">
      <c r="B11886" s="612"/>
      <c r="H11886" s="612"/>
    </row>
    <row r="11887">
      <c r="B11887" s="612"/>
      <c r="H11887" s="612"/>
    </row>
    <row r="11888">
      <c r="B11888" s="612"/>
      <c r="H11888" s="612"/>
    </row>
    <row r="11889">
      <c r="B11889" s="612"/>
      <c r="H11889" s="612"/>
    </row>
    <row r="11890">
      <c r="B11890" s="612"/>
      <c r="H11890" s="612"/>
    </row>
    <row r="11891">
      <c r="B11891" s="612"/>
      <c r="H11891" s="612"/>
    </row>
    <row r="11892">
      <c r="B11892" s="612"/>
      <c r="H11892" s="612"/>
    </row>
    <row r="11893">
      <c r="B11893" s="612"/>
      <c r="H11893" s="612"/>
    </row>
    <row r="11894">
      <c r="B11894" s="612"/>
      <c r="H11894" s="612"/>
    </row>
    <row r="11895">
      <c r="B11895" s="612"/>
      <c r="H11895" s="612"/>
    </row>
    <row r="11896">
      <c r="B11896" s="612"/>
      <c r="H11896" s="612"/>
    </row>
    <row r="11897">
      <c r="B11897" s="612"/>
      <c r="H11897" s="612"/>
    </row>
    <row r="11898">
      <c r="B11898" s="612"/>
      <c r="H11898" s="612"/>
    </row>
    <row r="11899">
      <c r="B11899" s="612"/>
      <c r="H11899" s="612"/>
    </row>
    <row r="11900">
      <c r="B11900" s="612"/>
      <c r="H11900" s="612"/>
    </row>
    <row r="11901">
      <c r="B11901" s="612"/>
      <c r="H11901" s="612"/>
    </row>
    <row r="11902">
      <c r="B11902" s="612"/>
      <c r="H11902" s="612"/>
    </row>
    <row r="11903">
      <c r="B11903" s="612"/>
      <c r="H11903" s="612"/>
    </row>
    <row r="11904">
      <c r="B11904" s="612"/>
      <c r="H11904" s="612"/>
    </row>
    <row r="11905">
      <c r="B11905" s="612"/>
      <c r="H11905" s="612"/>
    </row>
    <row r="11906">
      <c r="B11906" s="612"/>
      <c r="H11906" s="612"/>
    </row>
    <row r="11907">
      <c r="B11907" s="612"/>
      <c r="H11907" s="612"/>
    </row>
    <row r="11908">
      <c r="B11908" s="612"/>
      <c r="H11908" s="612"/>
    </row>
    <row r="11909">
      <c r="B11909" s="612"/>
      <c r="H11909" s="612"/>
    </row>
    <row r="11910">
      <c r="B11910" s="612"/>
      <c r="H11910" s="612"/>
    </row>
    <row r="11911">
      <c r="B11911" s="612"/>
      <c r="H11911" s="612"/>
    </row>
    <row r="11912">
      <c r="B11912" s="612"/>
      <c r="H11912" s="612"/>
    </row>
    <row r="11913">
      <c r="B11913" s="612"/>
      <c r="H11913" s="612"/>
    </row>
    <row r="11914">
      <c r="B11914" s="612"/>
      <c r="H11914" s="612"/>
    </row>
    <row r="11915">
      <c r="B11915" s="612"/>
      <c r="H11915" s="612"/>
    </row>
    <row r="11916">
      <c r="B11916" s="612"/>
      <c r="H11916" s="612"/>
    </row>
    <row r="11917">
      <c r="B11917" s="612"/>
      <c r="H11917" s="612"/>
    </row>
    <row r="11918">
      <c r="B11918" s="612"/>
      <c r="H11918" s="612"/>
    </row>
    <row r="11919">
      <c r="B11919" s="612"/>
      <c r="H11919" s="612"/>
    </row>
    <row r="11920">
      <c r="B11920" s="612"/>
      <c r="H11920" s="612"/>
    </row>
    <row r="11921">
      <c r="B11921" s="612"/>
      <c r="H11921" s="612"/>
    </row>
    <row r="11922">
      <c r="B11922" s="612"/>
      <c r="H11922" s="612"/>
    </row>
    <row r="11923">
      <c r="B11923" s="612"/>
      <c r="H11923" s="612"/>
    </row>
    <row r="11924">
      <c r="B11924" s="612"/>
      <c r="H11924" s="612"/>
    </row>
    <row r="11925">
      <c r="B11925" s="612"/>
      <c r="H11925" s="612"/>
    </row>
    <row r="11926">
      <c r="B11926" s="612"/>
      <c r="H11926" s="612"/>
    </row>
    <row r="11927">
      <c r="B11927" s="612"/>
      <c r="H11927" s="612"/>
    </row>
    <row r="11928">
      <c r="B11928" s="612"/>
      <c r="H11928" s="612"/>
    </row>
    <row r="11929">
      <c r="B11929" s="612"/>
      <c r="H11929" s="612"/>
    </row>
    <row r="11930">
      <c r="B11930" s="612"/>
      <c r="H11930" s="612"/>
    </row>
    <row r="11931">
      <c r="B11931" s="612"/>
      <c r="H11931" s="612"/>
    </row>
    <row r="11932">
      <c r="B11932" s="612"/>
      <c r="H11932" s="612"/>
    </row>
    <row r="11933">
      <c r="B11933" s="612"/>
      <c r="H11933" s="612"/>
    </row>
    <row r="11934">
      <c r="B11934" s="612"/>
      <c r="H11934" s="612"/>
    </row>
    <row r="11935">
      <c r="B11935" s="612"/>
      <c r="H11935" s="612"/>
    </row>
    <row r="11936">
      <c r="B11936" s="612"/>
      <c r="H11936" s="612"/>
    </row>
    <row r="11937">
      <c r="B11937" s="612"/>
      <c r="H11937" s="612"/>
    </row>
    <row r="11938">
      <c r="B11938" s="612"/>
      <c r="H11938" s="612"/>
    </row>
    <row r="11939">
      <c r="B11939" s="612"/>
      <c r="H11939" s="612"/>
    </row>
    <row r="11940">
      <c r="B11940" s="612"/>
      <c r="H11940" s="612"/>
    </row>
    <row r="11941">
      <c r="B11941" s="612"/>
      <c r="H11941" s="612"/>
    </row>
    <row r="11942">
      <c r="B11942" s="612"/>
      <c r="H11942" s="612"/>
    </row>
    <row r="11943">
      <c r="B11943" s="612"/>
      <c r="H11943" s="612"/>
    </row>
    <row r="11944">
      <c r="B11944" s="612"/>
      <c r="H11944" s="612"/>
    </row>
    <row r="11945">
      <c r="B11945" s="612"/>
      <c r="H11945" s="612"/>
    </row>
    <row r="11946">
      <c r="B11946" s="612"/>
      <c r="H11946" s="612"/>
    </row>
    <row r="11947">
      <c r="B11947" s="612"/>
      <c r="H11947" s="612"/>
    </row>
    <row r="11948">
      <c r="B11948" s="612"/>
      <c r="H11948" s="612"/>
    </row>
    <row r="11949">
      <c r="B11949" s="612"/>
      <c r="H11949" s="612"/>
    </row>
    <row r="11950">
      <c r="B11950" s="612"/>
      <c r="H11950" s="612"/>
    </row>
    <row r="11951">
      <c r="B11951" s="612"/>
      <c r="H11951" s="612"/>
    </row>
    <row r="11952">
      <c r="B11952" s="612"/>
      <c r="H11952" s="612"/>
    </row>
    <row r="11953">
      <c r="B11953" s="612"/>
      <c r="H11953" s="612"/>
    </row>
    <row r="11954">
      <c r="B11954" s="612"/>
      <c r="H11954" s="612"/>
    </row>
    <row r="11955">
      <c r="B11955" s="612"/>
      <c r="H11955" s="612"/>
    </row>
    <row r="11956">
      <c r="B11956" s="612"/>
      <c r="H11956" s="612"/>
    </row>
    <row r="11957">
      <c r="B11957" s="612"/>
      <c r="H11957" s="612"/>
    </row>
    <row r="11958">
      <c r="B11958" s="612"/>
      <c r="H11958" s="612"/>
    </row>
    <row r="11959">
      <c r="B11959" s="612"/>
      <c r="H11959" s="612"/>
    </row>
    <row r="11960">
      <c r="B11960" s="612"/>
      <c r="H11960" s="612"/>
    </row>
    <row r="11961">
      <c r="B11961" s="612"/>
      <c r="H11961" s="612"/>
    </row>
    <row r="11962">
      <c r="B11962" s="612"/>
      <c r="H11962" s="612"/>
    </row>
    <row r="11963">
      <c r="B11963" s="612"/>
      <c r="H11963" s="612"/>
    </row>
    <row r="11964">
      <c r="B11964" s="612"/>
      <c r="H11964" s="612"/>
    </row>
    <row r="11965">
      <c r="B11965" s="612"/>
      <c r="H11965" s="612"/>
    </row>
    <row r="11966">
      <c r="B11966" s="612"/>
      <c r="H11966" s="612"/>
    </row>
    <row r="11967">
      <c r="B11967" s="612"/>
      <c r="H11967" s="612"/>
    </row>
    <row r="11968">
      <c r="B11968" s="612"/>
      <c r="H11968" s="612"/>
    </row>
    <row r="11969">
      <c r="B11969" s="612"/>
      <c r="H11969" s="612"/>
    </row>
    <row r="11970">
      <c r="B11970" s="612"/>
      <c r="H11970" s="612"/>
    </row>
    <row r="11971">
      <c r="B11971" s="612"/>
      <c r="H11971" s="612"/>
    </row>
    <row r="11972">
      <c r="B11972" s="612"/>
      <c r="H11972" s="612"/>
    </row>
    <row r="11973">
      <c r="B11973" s="612"/>
      <c r="H11973" s="612"/>
    </row>
    <row r="11974">
      <c r="B11974" s="612"/>
      <c r="H11974" s="612"/>
    </row>
    <row r="11975">
      <c r="B11975" s="612"/>
      <c r="H11975" s="612"/>
    </row>
    <row r="11976">
      <c r="B11976" s="612"/>
      <c r="H11976" s="612"/>
    </row>
    <row r="11977">
      <c r="B11977" s="612"/>
      <c r="H11977" s="612"/>
    </row>
    <row r="11978">
      <c r="B11978" s="612"/>
      <c r="H11978" s="612"/>
    </row>
    <row r="11979">
      <c r="B11979" s="612"/>
      <c r="H11979" s="612"/>
    </row>
    <row r="11980">
      <c r="B11980" s="612"/>
      <c r="H11980" s="612"/>
    </row>
    <row r="11981">
      <c r="B11981" s="612"/>
      <c r="H11981" s="612"/>
    </row>
    <row r="11982">
      <c r="B11982" s="612"/>
      <c r="H11982" s="612"/>
    </row>
    <row r="11983">
      <c r="B11983" s="612"/>
      <c r="H11983" s="612"/>
    </row>
    <row r="11984">
      <c r="B11984" s="612"/>
      <c r="H11984" s="612"/>
    </row>
    <row r="11985">
      <c r="B11985" s="612"/>
      <c r="H11985" s="612"/>
    </row>
    <row r="11986">
      <c r="B11986" s="612"/>
      <c r="H11986" s="612"/>
    </row>
    <row r="11987">
      <c r="B11987" s="612"/>
      <c r="H11987" s="612"/>
    </row>
    <row r="11988">
      <c r="B11988" s="612"/>
      <c r="H11988" s="612"/>
    </row>
    <row r="11989">
      <c r="B11989" s="612"/>
      <c r="H11989" s="612"/>
    </row>
    <row r="11990">
      <c r="B11990" s="612"/>
      <c r="H11990" s="612"/>
    </row>
    <row r="11991">
      <c r="B11991" s="612"/>
      <c r="H11991" s="612"/>
    </row>
    <row r="11992">
      <c r="B11992" s="612"/>
      <c r="H11992" s="612"/>
    </row>
    <row r="11993">
      <c r="B11993" s="612"/>
      <c r="H11993" s="612"/>
    </row>
    <row r="11994">
      <c r="B11994" s="612"/>
      <c r="H11994" s="612"/>
    </row>
    <row r="11995">
      <c r="B11995" s="612"/>
      <c r="H11995" s="612"/>
    </row>
    <row r="11996">
      <c r="B11996" s="612"/>
      <c r="H11996" s="612"/>
    </row>
    <row r="11997">
      <c r="B11997" s="612"/>
      <c r="H11997" s="612"/>
    </row>
    <row r="11998">
      <c r="B11998" s="612"/>
      <c r="H11998" s="612"/>
    </row>
    <row r="11999">
      <c r="B11999" s="612"/>
      <c r="H11999" s="612"/>
    </row>
    <row r="12000">
      <c r="B12000" s="612"/>
      <c r="H12000" s="612"/>
    </row>
    <row r="12001">
      <c r="B12001" s="612"/>
      <c r="H12001" s="612"/>
    </row>
    <row r="12002">
      <c r="B12002" s="612"/>
      <c r="H12002" s="612"/>
    </row>
    <row r="12003">
      <c r="B12003" s="612"/>
      <c r="H12003" s="612"/>
    </row>
    <row r="12004">
      <c r="B12004" s="612"/>
      <c r="H12004" s="612"/>
    </row>
    <row r="12005">
      <c r="B12005" s="612"/>
      <c r="H12005" s="612"/>
    </row>
    <row r="12006">
      <c r="B12006" s="612"/>
      <c r="H12006" s="612"/>
    </row>
    <row r="12007">
      <c r="B12007" s="612"/>
      <c r="H12007" s="612"/>
    </row>
    <row r="12008">
      <c r="B12008" s="612"/>
      <c r="H12008" s="612"/>
    </row>
    <row r="12009">
      <c r="B12009" s="612"/>
      <c r="H12009" s="612"/>
    </row>
    <row r="12010">
      <c r="B12010" s="612"/>
      <c r="H12010" s="612"/>
    </row>
    <row r="12011">
      <c r="B12011" s="612"/>
      <c r="H12011" s="612"/>
    </row>
    <row r="12012">
      <c r="B12012" s="612"/>
      <c r="H12012" s="612"/>
    </row>
    <row r="12013">
      <c r="B12013" s="612"/>
      <c r="H12013" s="612"/>
    </row>
    <row r="12014">
      <c r="B12014" s="612"/>
      <c r="H12014" s="612"/>
    </row>
    <row r="12015">
      <c r="B12015" s="612"/>
      <c r="H12015" s="612"/>
    </row>
    <row r="12016">
      <c r="B12016" s="612"/>
      <c r="H12016" s="612"/>
    </row>
    <row r="12017">
      <c r="B12017" s="612"/>
      <c r="H12017" s="612"/>
    </row>
    <row r="12018">
      <c r="B12018" s="612"/>
      <c r="H12018" s="612"/>
    </row>
    <row r="12019">
      <c r="B12019" s="612"/>
      <c r="H12019" s="612"/>
    </row>
    <row r="12020">
      <c r="B12020" s="612"/>
      <c r="H12020" s="612"/>
    </row>
    <row r="12021">
      <c r="B12021" s="612"/>
      <c r="H12021" s="612"/>
    </row>
    <row r="12022">
      <c r="B12022" s="612"/>
      <c r="H12022" s="612"/>
    </row>
    <row r="12023">
      <c r="B12023" s="612"/>
      <c r="H12023" s="612"/>
    </row>
    <row r="12024">
      <c r="B12024" s="612"/>
      <c r="H12024" s="612"/>
    </row>
    <row r="12025">
      <c r="B12025" s="612"/>
      <c r="H12025" s="612"/>
    </row>
    <row r="12026">
      <c r="B12026" s="612"/>
      <c r="H12026" s="612"/>
    </row>
    <row r="12027">
      <c r="B12027" s="612"/>
      <c r="H12027" s="612"/>
    </row>
    <row r="12028">
      <c r="B12028" s="612"/>
      <c r="H12028" s="612"/>
    </row>
    <row r="12029">
      <c r="B12029" s="612"/>
      <c r="H12029" s="612"/>
    </row>
    <row r="12030">
      <c r="B12030" s="612"/>
      <c r="H12030" s="612"/>
    </row>
    <row r="12031">
      <c r="B12031" s="612"/>
      <c r="H12031" s="612"/>
    </row>
    <row r="12032">
      <c r="B12032" s="612"/>
      <c r="H12032" s="612"/>
    </row>
    <row r="12033">
      <c r="B12033" s="612"/>
      <c r="H12033" s="612"/>
    </row>
    <row r="12034">
      <c r="B12034" s="612"/>
      <c r="H12034" s="612"/>
    </row>
    <row r="12035">
      <c r="B12035" s="612"/>
      <c r="H12035" s="612"/>
    </row>
    <row r="12036">
      <c r="B12036" s="612"/>
      <c r="H12036" s="612"/>
    </row>
    <row r="12037">
      <c r="B12037" s="612"/>
      <c r="H12037" s="612"/>
    </row>
    <row r="12038">
      <c r="B12038" s="612"/>
      <c r="H12038" s="612"/>
    </row>
    <row r="12039">
      <c r="B12039" s="612"/>
      <c r="H12039" s="612"/>
    </row>
    <row r="12040">
      <c r="B12040" s="612"/>
      <c r="H12040" s="612"/>
    </row>
    <row r="12041">
      <c r="B12041" s="612"/>
      <c r="H12041" s="612"/>
    </row>
    <row r="12042">
      <c r="B12042" s="612"/>
      <c r="H12042" s="612"/>
    </row>
    <row r="12043">
      <c r="B12043" s="612"/>
      <c r="H12043" s="612"/>
    </row>
    <row r="12044">
      <c r="B12044" s="612"/>
      <c r="H12044" s="612"/>
    </row>
    <row r="12045">
      <c r="B12045" s="612"/>
      <c r="H12045" s="612"/>
    </row>
    <row r="12046">
      <c r="B12046" s="612"/>
      <c r="H12046" s="612"/>
    </row>
    <row r="12047">
      <c r="B12047" s="612"/>
      <c r="H12047" s="612"/>
    </row>
    <row r="12048">
      <c r="B12048" s="612"/>
      <c r="H12048" s="612"/>
    </row>
    <row r="12049">
      <c r="B12049" s="612"/>
      <c r="H12049" s="612"/>
    </row>
    <row r="12050">
      <c r="B12050" s="612"/>
      <c r="H12050" s="612"/>
    </row>
    <row r="12051">
      <c r="B12051" s="612"/>
      <c r="H12051" s="612"/>
    </row>
    <row r="12052">
      <c r="B12052" s="612"/>
      <c r="H12052" s="612"/>
    </row>
    <row r="12053">
      <c r="B12053" s="612"/>
      <c r="H12053" s="612"/>
    </row>
    <row r="12054">
      <c r="B12054" s="612"/>
      <c r="H12054" s="612"/>
    </row>
    <row r="12055">
      <c r="B12055" s="612"/>
      <c r="H12055" s="612"/>
    </row>
    <row r="12056">
      <c r="B12056" s="612"/>
      <c r="H12056" s="612"/>
    </row>
    <row r="12057">
      <c r="B12057" s="612"/>
      <c r="H12057" s="612"/>
    </row>
    <row r="12058">
      <c r="B12058" s="612"/>
      <c r="H12058" s="612"/>
    </row>
    <row r="12059">
      <c r="B12059" s="612"/>
      <c r="H12059" s="612"/>
    </row>
    <row r="12060">
      <c r="B12060" s="612"/>
      <c r="H12060" s="612"/>
    </row>
    <row r="12061">
      <c r="B12061" s="612"/>
      <c r="H12061" s="612"/>
    </row>
    <row r="12062">
      <c r="B12062" s="612"/>
      <c r="H12062" s="612"/>
    </row>
    <row r="12063">
      <c r="B12063" s="612"/>
      <c r="H12063" s="612"/>
    </row>
    <row r="12064">
      <c r="B12064" s="612"/>
      <c r="H12064" s="612"/>
    </row>
    <row r="12065">
      <c r="B12065" s="612"/>
      <c r="H12065" s="612"/>
    </row>
    <row r="12066">
      <c r="B12066" s="612"/>
      <c r="H12066" s="612"/>
    </row>
    <row r="12067">
      <c r="B12067" s="612"/>
      <c r="H12067" s="612"/>
    </row>
    <row r="12068">
      <c r="B12068" s="612"/>
      <c r="H12068" s="612"/>
    </row>
    <row r="12069">
      <c r="B12069" s="612"/>
      <c r="H12069" s="612"/>
    </row>
    <row r="12070">
      <c r="B12070" s="612"/>
      <c r="H12070" s="612"/>
    </row>
    <row r="12071">
      <c r="B12071" s="612"/>
      <c r="H12071" s="612"/>
    </row>
    <row r="12072">
      <c r="B12072" s="612"/>
      <c r="H12072" s="612"/>
    </row>
    <row r="12073">
      <c r="B12073" s="612"/>
      <c r="H12073" s="612"/>
    </row>
    <row r="12074">
      <c r="B12074" s="612"/>
      <c r="H12074" s="612"/>
    </row>
    <row r="12075">
      <c r="B12075" s="612"/>
      <c r="H12075" s="612"/>
    </row>
    <row r="12076">
      <c r="B12076" s="612"/>
      <c r="H12076" s="612"/>
    </row>
    <row r="12077">
      <c r="B12077" s="612"/>
      <c r="H12077" s="612"/>
    </row>
    <row r="12078">
      <c r="B12078" s="612"/>
      <c r="H12078" s="612"/>
    </row>
    <row r="12079">
      <c r="B12079" s="612"/>
      <c r="H12079" s="612"/>
    </row>
    <row r="12080">
      <c r="B12080" s="612"/>
      <c r="H12080" s="612"/>
    </row>
    <row r="12081">
      <c r="B12081" s="612"/>
      <c r="H12081" s="612"/>
    </row>
    <row r="12082">
      <c r="B12082" s="612"/>
      <c r="H12082" s="612"/>
    </row>
    <row r="12083">
      <c r="B12083" s="612"/>
      <c r="H12083" s="612"/>
    </row>
    <row r="12084">
      <c r="B12084" s="612"/>
      <c r="H12084" s="612"/>
    </row>
    <row r="12085">
      <c r="B12085" s="612"/>
      <c r="H12085" s="612"/>
    </row>
    <row r="12086">
      <c r="B12086" s="612"/>
      <c r="H12086" s="612"/>
    </row>
    <row r="12087">
      <c r="B12087" s="612"/>
      <c r="H12087" s="612"/>
    </row>
    <row r="12088">
      <c r="B12088" s="612"/>
      <c r="H12088" s="612"/>
    </row>
    <row r="12089">
      <c r="B12089" s="612"/>
      <c r="H12089" s="612"/>
    </row>
    <row r="12090">
      <c r="B12090" s="612"/>
      <c r="H12090" s="612"/>
    </row>
    <row r="12091">
      <c r="B12091" s="612"/>
      <c r="H12091" s="612"/>
    </row>
    <row r="12092">
      <c r="B12092" s="612"/>
      <c r="H12092" s="612"/>
    </row>
    <row r="12093">
      <c r="B12093" s="612"/>
      <c r="H12093" s="612"/>
    </row>
    <row r="12094">
      <c r="B12094" s="612"/>
      <c r="H12094" s="612"/>
    </row>
    <row r="12095">
      <c r="B12095" s="612"/>
      <c r="H12095" s="612"/>
    </row>
    <row r="12096">
      <c r="B12096" s="612"/>
      <c r="H12096" s="612"/>
    </row>
    <row r="12097">
      <c r="B12097" s="612"/>
      <c r="H12097" s="612"/>
    </row>
    <row r="12098">
      <c r="B12098" s="612"/>
      <c r="H12098" s="612"/>
    </row>
    <row r="12099">
      <c r="B12099" s="612"/>
      <c r="H12099" s="612"/>
    </row>
    <row r="12100">
      <c r="B12100" s="612"/>
      <c r="H12100" s="612"/>
    </row>
    <row r="12101">
      <c r="B12101" s="612"/>
      <c r="H12101" s="612"/>
    </row>
    <row r="12102">
      <c r="B12102" s="612"/>
      <c r="H12102" s="612"/>
    </row>
    <row r="12103">
      <c r="B12103" s="612"/>
      <c r="H12103" s="612"/>
    </row>
    <row r="12104">
      <c r="B12104" s="612"/>
      <c r="H12104" s="612"/>
    </row>
    <row r="12105">
      <c r="B12105" s="612"/>
      <c r="H12105" s="612"/>
    </row>
    <row r="12106">
      <c r="B12106" s="612"/>
      <c r="H12106" s="612"/>
    </row>
    <row r="12107">
      <c r="B12107" s="612"/>
      <c r="H12107" s="612"/>
    </row>
    <row r="12108">
      <c r="B12108" s="612"/>
      <c r="H12108" s="612"/>
    </row>
    <row r="12109">
      <c r="B12109" s="612"/>
      <c r="H12109" s="612"/>
    </row>
    <row r="12110">
      <c r="B12110" s="612"/>
      <c r="H12110" s="612"/>
    </row>
    <row r="12111">
      <c r="B12111" s="612"/>
      <c r="H12111" s="612"/>
    </row>
    <row r="12112">
      <c r="B12112" s="612"/>
      <c r="H12112" s="612"/>
    </row>
    <row r="12113">
      <c r="B12113" s="612"/>
      <c r="H12113" s="612"/>
    </row>
    <row r="12114">
      <c r="B12114" s="612"/>
      <c r="H12114" s="612"/>
    </row>
    <row r="12115">
      <c r="B12115" s="612"/>
      <c r="H12115" s="612"/>
    </row>
    <row r="12116">
      <c r="B12116" s="612"/>
      <c r="H12116" s="612"/>
    </row>
    <row r="12117">
      <c r="B12117" s="612"/>
      <c r="H12117" s="612"/>
    </row>
    <row r="12118">
      <c r="B12118" s="612"/>
      <c r="H12118" s="612"/>
    </row>
    <row r="12119">
      <c r="B12119" s="612"/>
      <c r="H12119" s="612"/>
    </row>
    <row r="12120">
      <c r="B12120" s="612"/>
      <c r="H12120" s="612"/>
    </row>
    <row r="12121">
      <c r="B12121" s="612"/>
      <c r="H12121" s="612"/>
    </row>
    <row r="12122">
      <c r="B12122" s="612"/>
      <c r="H12122" s="612"/>
    </row>
    <row r="12123">
      <c r="B12123" s="612"/>
      <c r="H12123" s="612"/>
    </row>
    <row r="12124">
      <c r="B12124" s="612"/>
      <c r="H12124" s="612"/>
    </row>
    <row r="12125">
      <c r="B12125" s="612"/>
      <c r="H12125" s="612"/>
    </row>
    <row r="12126">
      <c r="B12126" s="612"/>
      <c r="H12126" s="612"/>
    </row>
    <row r="12127">
      <c r="B12127" s="612"/>
      <c r="H12127" s="612"/>
    </row>
    <row r="12128">
      <c r="B12128" s="612"/>
      <c r="H12128" s="612"/>
    </row>
    <row r="12129">
      <c r="B12129" s="612"/>
      <c r="H12129" s="612"/>
    </row>
    <row r="12130">
      <c r="B12130" s="612"/>
      <c r="H12130" s="612"/>
    </row>
    <row r="12131">
      <c r="B12131" s="612"/>
      <c r="H12131" s="612"/>
    </row>
    <row r="12132">
      <c r="B12132" s="612"/>
      <c r="H12132" s="612"/>
    </row>
    <row r="12133">
      <c r="B12133" s="612"/>
      <c r="H12133" s="612"/>
    </row>
    <row r="12134">
      <c r="B12134" s="612"/>
      <c r="H12134" s="612"/>
    </row>
    <row r="12135">
      <c r="B12135" s="612"/>
      <c r="H12135" s="612"/>
    </row>
    <row r="12136">
      <c r="B12136" s="612"/>
      <c r="H12136" s="612"/>
    </row>
    <row r="12137">
      <c r="B12137" s="612"/>
      <c r="H12137" s="612"/>
    </row>
    <row r="12138">
      <c r="B12138" s="612"/>
      <c r="H12138" s="612"/>
    </row>
    <row r="12139">
      <c r="B12139" s="612"/>
      <c r="H12139" s="612"/>
    </row>
    <row r="12140">
      <c r="B12140" s="612"/>
      <c r="H12140" s="612"/>
    </row>
    <row r="12141">
      <c r="B12141" s="612"/>
      <c r="H12141" s="612"/>
    </row>
    <row r="12142">
      <c r="B12142" s="612"/>
      <c r="H12142" s="612"/>
    </row>
    <row r="12143">
      <c r="B12143" s="612"/>
      <c r="H12143" s="612"/>
    </row>
    <row r="12144">
      <c r="B12144" s="612"/>
      <c r="H12144" s="612"/>
    </row>
    <row r="12145">
      <c r="B12145" s="612"/>
      <c r="H12145" s="612"/>
    </row>
    <row r="12146">
      <c r="B12146" s="612"/>
      <c r="H12146" s="612"/>
    </row>
    <row r="12147">
      <c r="B12147" s="612"/>
      <c r="H12147" s="612"/>
    </row>
    <row r="12148">
      <c r="B12148" s="612"/>
      <c r="H12148" s="612"/>
    </row>
    <row r="12149">
      <c r="B12149" s="612"/>
      <c r="H12149" s="612"/>
    </row>
    <row r="12150">
      <c r="B12150" s="612"/>
      <c r="H12150" s="612"/>
    </row>
    <row r="12151">
      <c r="B12151" s="612"/>
      <c r="H12151" s="612"/>
    </row>
    <row r="12152">
      <c r="B12152" s="612"/>
      <c r="H12152" s="612"/>
    </row>
    <row r="12153">
      <c r="B12153" s="612"/>
      <c r="H12153" s="612"/>
    </row>
    <row r="12154">
      <c r="B12154" s="612"/>
      <c r="H12154" s="612"/>
    </row>
    <row r="12155">
      <c r="B12155" s="612"/>
      <c r="H12155" s="612"/>
    </row>
    <row r="12156">
      <c r="B12156" s="612"/>
      <c r="H12156" s="612"/>
    </row>
    <row r="12157">
      <c r="B12157" s="612"/>
      <c r="H12157" s="612"/>
    </row>
    <row r="12158">
      <c r="B12158" s="612"/>
      <c r="H12158" s="612"/>
    </row>
    <row r="12159">
      <c r="B12159" s="612"/>
      <c r="H12159" s="612"/>
    </row>
    <row r="12160">
      <c r="B12160" s="612"/>
      <c r="H12160" s="612"/>
    </row>
    <row r="12161">
      <c r="B12161" s="612"/>
      <c r="H12161" s="612"/>
    </row>
    <row r="12162">
      <c r="B12162" s="612"/>
      <c r="H12162" s="612"/>
    </row>
    <row r="12163">
      <c r="B12163" s="612"/>
      <c r="H12163" s="612"/>
    </row>
    <row r="12164">
      <c r="B12164" s="612"/>
      <c r="H12164" s="612"/>
    </row>
    <row r="12165">
      <c r="B12165" s="612"/>
      <c r="H12165" s="612"/>
    </row>
    <row r="12166">
      <c r="B12166" s="612"/>
      <c r="H12166" s="612"/>
    </row>
    <row r="12167">
      <c r="B12167" s="612"/>
      <c r="H12167" s="612"/>
    </row>
    <row r="12168">
      <c r="B12168" s="612"/>
      <c r="H12168" s="612"/>
    </row>
    <row r="12169">
      <c r="B12169" s="612"/>
      <c r="H12169" s="612"/>
    </row>
    <row r="12170">
      <c r="B12170" s="612"/>
      <c r="H12170" s="612"/>
    </row>
    <row r="12171">
      <c r="B12171" s="612"/>
      <c r="H12171" s="612"/>
    </row>
    <row r="12172">
      <c r="B12172" s="612"/>
      <c r="H12172" s="612"/>
    </row>
    <row r="12173">
      <c r="B12173" s="612"/>
      <c r="H12173" s="612"/>
    </row>
    <row r="12174">
      <c r="B12174" s="612"/>
      <c r="H12174" s="612"/>
    </row>
    <row r="12175">
      <c r="B12175" s="612"/>
      <c r="H12175" s="612"/>
    </row>
    <row r="12176">
      <c r="B12176" s="612"/>
      <c r="H12176" s="612"/>
    </row>
    <row r="12177">
      <c r="B12177" s="612"/>
      <c r="H12177" s="612"/>
    </row>
    <row r="12178">
      <c r="B12178" s="612"/>
      <c r="H12178" s="612"/>
    </row>
    <row r="12179">
      <c r="B12179" s="612"/>
      <c r="H12179" s="612"/>
    </row>
    <row r="12180">
      <c r="B12180" s="612"/>
      <c r="H12180" s="612"/>
    </row>
    <row r="12181">
      <c r="B12181" s="612"/>
      <c r="H12181" s="612"/>
    </row>
    <row r="12182">
      <c r="B12182" s="612"/>
      <c r="H12182" s="612"/>
    </row>
    <row r="12183">
      <c r="B12183" s="612"/>
      <c r="H12183" s="612"/>
    </row>
    <row r="12184">
      <c r="B12184" s="612"/>
      <c r="H12184" s="612"/>
    </row>
    <row r="12185">
      <c r="B12185" s="612"/>
      <c r="H12185" s="612"/>
    </row>
    <row r="12186">
      <c r="B12186" s="612"/>
      <c r="H12186" s="612"/>
    </row>
    <row r="12187">
      <c r="B12187" s="612"/>
      <c r="H12187" s="612"/>
    </row>
    <row r="12188">
      <c r="B12188" s="612"/>
      <c r="H12188" s="612"/>
    </row>
    <row r="12189">
      <c r="B12189" s="612"/>
      <c r="H12189" s="612"/>
    </row>
    <row r="12190">
      <c r="B12190" s="612"/>
      <c r="H12190" s="612"/>
    </row>
    <row r="12191">
      <c r="B12191" s="612"/>
      <c r="H12191" s="612"/>
    </row>
    <row r="12192">
      <c r="B12192" s="612"/>
      <c r="H12192" s="612"/>
    </row>
    <row r="12193">
      <c r="B12193" s="612"/>
      <c r="H12193" s="612"/>
    </row>
    <row r="12194">
      <c r="B12194" s="612"/>
      <c r="H12194" s="612"/>
    </row>
    <row r="12195">
      <c r="B12195" s="612"/>
      <c r="H12195" s="612"/>
    </row>
    <row r="12196">
      <c r="B12196" s="612"/>
      <c r="H12196" s="612"/>
    </row>
    <row r="12197">
      <c r="B12197" s="612"/>
      <c r="H12197" s="612"/>
    </row>
    <row r="12198">
      <c r="B12198" s="612"/>
      <c r="H12198" s="612"/>
    </row>
    <row r="12199">
      <c r="B12199" s="612"/>
      <c r="H12199" s="612"/>
    </row>
    <row r="12200">
      <c r="B12200" s="612"/>
      <c r="H12200" s="612"/>
    </row>
    <row r="12201">
      <c r="B12201" s="612"/>
      <c r="H12201" s="612"/>
    </row>
    <row r="12202">
      <c r="B12202" s="612"/>
      <c r="H12202" s="612"/>
    </row>
    <row r="12203">
      <c r="B12203" s="612"/>
      <c r="H12203" s="612"/>
    </row>
    <row r="12204">
      <c r="B12204" s="612"/>
      <c r="H12204" s="612"/>
    </row>
    <row r="12205">
      <c r="B12205" s="612"/>
      <c r="H12205" s="612"/>
    </row>
    <row r="12206">
      <c r="B12206" s="612"/>
      <c r="H12206" s="612"/>
    </row>
    <row r="12207">
      <c r="B12207" s="612"/>
      <c r="H12207" s="612"/>
    </row>
    <row r="12208">
      <c r="B12208" s="612"/>
      <c r="H12208" s="612"/>
    </row>
    <row r="12209">
      <c r="B12209" s="612"/>
      <c r="H12209" s="612"/>
    </row>
    <row r="12210">
      <c r="B12210" s="612"/>
      <c r="H12210" s="612"/>
    </row>
    <row r="12211">
      <c r="B12211" s="612"/>
      <c r="H12211" s="612"/>
    </row>
    <row r="12212">
      <c r="B12212" s="612"/>
      <c r="H12212" s="612"/>
    </row>
    <row r="12213">
      <c r="B12213" s="612"/>
      <c r="H12213" s="612"/>
    </row>
    <row r="12214">
      <c r="B12214" s="612"/>
      <c r="H12214" s="612"/>
    </row>
    <row r="12215">
      <c r="B12215" s="612"/>
      <c r="H12215" s="612"/>
    </row>
    <row r="12216">
      <c r="B12216" s="612"/>
      <c r="H12216" s="612"/>
    </row>
    <row r="12217">
      <c r="B12217" s="612"/>
      <c r="H12217" s="612"/>
    </row>
    <row r="12218">
      <c r="B12218" s="612"/>
      <c r="H12218" s="612"/>
    </row>
    <row r="12219">
      <c r="B12219" s="612"/>
      <c r="H12219" s="612"/>
    </row>
    <row r="12220">
      <c r="B12220" s="612"/>
      <c r="H12220" s="612"/>
    </row>
    <row r="12221">
      <c r="B12221" s="612"/>
      <c r="H12221" s="612"/>
    </row>
    <row r="12222">
      <c r="B12222" s="612"/>
      <c r="H12222" s="612"/>
    </row>
    <row r="12223">
      <c r="B12223" s="612"/>
      <c r="H12223" s="612"/>
    </row>
    <row r="12224">
      <c r="B12224" s="612"/>
      <c r="H12224" s="612"/>
    </row>
    <row r="12225">
      <c r="B12225" s="612"/>
      <c r="H12225" s="612"/>
    </row>
    <row r="12226">
      <c r="B12226" s="612"/>
      <c r="H12226" s="612"/>
    </row>
    <row r="12227">
      <c r="B12227" s="612"/>
      <c r="H12227" s="612"/>
    </row>
    <row r="12228">
      <c r="B12228" s="612"/>
      <c r="H12228" s="612"/>
    </row>
    <row r="12229">
      <c r="B12229" s="612"/>
      <c r="H12229" s="612"/>
    </row>
    <row r="12230">
      <c r="B12230" s="612"/>
      <c r="H12230" s="612"/>
    </row>
    <row r="12231">
      <c r="B12231" s="612"/>
      <c r="H12231" s="612"/>
    </row>
    <row r="12232">
      <c r="B12232" s="612"/>
      <c r="H12232" s="612"/>
    </row>
    <row r="12233">
      <c r="B12233" s="612"/>
      <c r="H12233" s="612"/>
    </row>
    <row r="12234">
      <c r="B12234" s="612"/>
      <c r="H12234" s="612"/>
    </row>
    <row r="12235">
      <c r="B12235" s="612"/>
      <c r="H12235" s="612"/>
    </row>
    <row r="12236">
      <c r="B12236" s="612"/>
      <c r="H12236" s="612"/>
    </row>
    <row r="12237">
      <c r="B12237" s="612"/>
      <c r="H12237" s="612"/>
    </row>
    <row r="12238">
      <c r="B12238" s="612"/>
      <c r="H12238" s="612"/>
    </row>
    <row r="12239">
      <c r="B12239" s="612"/>
      <c r="H12239" s="612"/>
    </row>
    <row r="12240">
      <c r="B12240" s="612"/>
      <c r="H12240" s="612"/>
    </row>
    <row r="12241">
      <c r="B12241" s="612"/>
      <c r="H12241" s="612"/>
    </row>
    <row r="12242">
      <c r="B12242" s="612"/>
      <c r="H12242" s="612"/>
    </row>
    <row r="12243">
      <c r="B12243" s="612"/>
      <c r="H12243" s="612"/>
    </row>
    <row r="12244">
      <c r="B12244" s="612"/>
      <c r="H12244" s="612"/>
    </row>
    <row r="12245">
      <c r="B12245" s="612"/>
      <c r="H12245" s="612"/>
    </row>
    <row r="12246">
      <c r="B12246" s="612"/>
      <c r="H12246" s="612"/>
    </row>
    <row r="12247">
      <c r="B12247" s="612"/>
      <c r="H12247" s="612"/>
    </row>
    <row r="12248">
      <c r="B12248" s="612"/>
      <c r="H12248" s="612"/>
    </row>
    <row r="12249">
      <c r="B12249" s="612"/>
      <c r="H12249" s="612"/>
    </row>
    <row r="12250">
      <c r="B12250" s="612"/>
      <c r="H12250" s="612"/>
    </row>
    <row r="12251">
      <c r="B12251" s="612"/>
      <c r="H12251" s="612"/>
    </row>
    <row r="12252">
      <c r="B12252" s="612"/>
      <c r="H12252" s="612"/>
    </row>
    <row r="12253">
      <c r="B12253" s="612"/>
      <c r="H12253" s="612"/>
    </row>
    <row r="12254">
      <c r="B12254" s="612"/>
      <c r="H12254" s="612"/>
    </row>
    <row r="12255">
      <c r="B12255" s="612"/>
      <c r="H12255" s="612"/>
    </row>
    <row r="12256">
      <c r="B12256" s="612"/>
      <c r="H12256" s="612"/>
    </row>
    <row r="12257">
      <c r="B12257" s="612"/>
      <c r="H12257" s="612"/>
    </row>
    <row r="12258">
      <c r="B12258" s="612"/>
      <c r="H12258" s="612"/>
    </row>
    <row r="12259">
      <c r="B12259" s="612"/>
      <c r="H12259" s="612"/>
    </row>
    <row r="12260">
      <c r="B12260" s="612"/>
      <c r="H12260" s="612"/>
    </row>
    <row r="12261">
      <c r="B12261" s="612"/>
      <c r="H12261" s="612"/>
    </row>
    <row r="12262">
      <c r="B12262" s="612"/>
      <c r="H12262" s="612"/>
    </row>
    <row r="12263">
      <c r="B12263" s="612"/>
      <c r="H12263" s="612"/>
    </row>
    <row r="12264">
      <c r="B12264" s="612"/>
      <c r="H12264" s="612"/>
    </row>
    <row r="12265">
      <c r="B12265" s="612"/>
      <c r="H12265" s="612"/>
    </row>
    <row r="12266">
      <c r="B12266" s="612"/>
      <c r="H12266" s="612"/>
    </row>
    <row r="12267">
      <c r="B12267" s="612"/>
      <c r="H12267" s="612"/>
    </row>
    <row r="12268">
      <c r="B12268" s="612"/>
      <c r="H12268" s="612"/>
    </row>
    <row r="12269">
      <c r="B12269" s="612"/>
      <c r="H12269" s="612"/>
    </row>
    <row r="12270">
      <c r="B12270" s="612"/>
      <c r="H12270" s="612"/>
    </row>
    <row r="12271">
      <c r="B12271" s="612"/>
      <c r="H12271" s="612"/>
    </row>
    <row r="12272">
      <c r="B12272" s="612"/>
      <c r="H12272" s="612"/>
    </row>
    <row r="12273">
      <c r="B12273" s="612"/>
      <c r="H12273" s="612"/>
    </row>
    <row r="12274">
      <c r="B12274" s="612"/>
      <c r="H12274" s="612"/>
    </row>
    <row r="12275">
      <c r="B12275" s="612"/>
      <c r="H12275" s="612"/>
    </row>
    <row r="12276">
      <c r="B12276" s="612"/>
      <c r="H12276" s="612"/>
    </row>
    <row r="12277">
      <c r="B12277" s="612"/>
      <c r="H12277" s="612"/>
    </row>
    <row r="12278">
      <c r="B12278" s="612"/>
      <c r="H12278" s="612"/>
    </row>
    <row r="12279">
      <c r="B12279" s="612"/>
      <c r="H12279" s="612"/>
    </row>
    <row r="12280">
      <c r="B12280" s="612"/>
      <c r="H12280" s="612"/>
    </row>
    <row r="12281">
      <c r="B12281" s="612"/>
      <c r="H12281" s="612"/>
    </row>
    <row r="12282">
      <c r="B12282" s="612"/>
      <c r="H12282" s="612"/>
    </row>
    <row r="12283">
      <c r="B12283" s="612"/>
      <c r="H12283" s="612"/>
    </row>
    <row r="12284">
      <c r="B12284" s="612"/>
      <c r="H12284" s="612"/>
    </row>
    <row r="12285">
      <c r="B12285" s="612"/>
      <c r="H12285" s="612"/>
    </row>
    <row r="12286">
      <c r="B12286" s="612"/>
      <c r="H12286" s="612"/>
    </row>
    <row r="12287">
      <c r="B12287" s="612"/>
      <c r="H12287" s="612"/>
    </row>
    <row r="12288">
      <c r="B12288" s="612"/>
      <c r="H12288" s="612"/>
    </row>
    <row r="12289">
      <c r="B12289" s="612"/>
      <c r="H12289" s="612"/>
    </row>
    <row r="12290">
      <c r="B12290" s="612"/>
      <c r="H12290" s="612"/>
    </row>
    <row r="12291">
      <c r="B12291" s="612"/>
      <c r="H12291" s="612"/>
    </row>
    <row r="12292">
      <c r="B12292" s="612"/>
      <c r="H12292" s="612"/>
    </row>
    <row r="12293">
      <c r="B12293" s="612"/>
      <c r="H12293" s="612"/>
    </row>
    <row r="12294">
      <c r="B12294" s="612"/>
      <c r="H12294" s="612"/>
    </row>
    <row r="12295">
      <c r="B12295" s="612"/>
      <c r="H12295" s="612"/>
    </row>
    <row r="12296">
      <c r="B12296" s="612"/>
      <c r="H12296" s="612"/>
    </row>
    <row r="12297">
      <c r="B12297" s="612"/>
      <c r="H12297" s="612"/>
    </row>
    <row r="12298">
      <c r="B12298" s="612"/>
      <c r="H12298" s="612"/>
    </row>
    <row r="12299">
      <c r="B12299" s="612"/>
      <c r="H12299" s="612"/>
    </row>
    <row r="12300">
      <c r="B12300" s="612"/>
      <c r="H12300" s="612"/>
    </row>
    <row r="12301">
      <c r="B12301" s="612"/>
      <c r="H12301" s="612"/>
    </row>
    <row r="12302">
      <c r="B12302" s="612"/>
      <c r="H12302" s="612"/>
    </row>
    <row r="12303">
      <c r="B12303" s="612"/>
      <c r="H12303" s="612"/>
    </row>
    <row r="12304">
      <c r="B12304" s="612"/>
      <c r="H12304" s="612"/>
    </row>
    <row r="12305">
      <c r="B12305" s="612"/>
      <c r="H12305" s="612"/>
    </row>
    <row r="12306">
      <c r="B12306" s="612"/>
      <c r="H12306" s="612"/>
    </row>
    <row r="12307">
      <c r="B12307" s="612"/>
      <c r="H12307" s="612"/>
    </row>
    <row r="12308">
      <c r="B12308" s="612"/>
      <c r="H12308" s="612"/>
    </row>
    <row r="12309">
      <c r="B12309" s="612"/>
      <c r="H12309" s="612"/>
    </row>
    <row r="12310">
      <c r="B12310" s="612"/>
      <c r="H12310" s="612"/>
    </row>
    <row r="12311">
      <c r="B12311" s="612"/>
      <c r="H12311" s="612"/>
    </row>
    <row r="12312">
      <c r="B12312" s="612"/>
      <c r="H12312" s="612"/>
    </row>
    <row r="12313">
      <c r="B12313" s="612"/>
      <c r="H12313" s="612"/>
    </row>
    <row r="12314">
      <c r="B12314" s="612"/>
      <c r="H12314" s="612"/>
    </row>
    <row r="12315">
      <c r="B12315" s="612"/>
      <c r="H12315" s="612"/>
    </row>
    <row r="12316">
      <c r="B12316" s="612"/>
      <c r="H12316" s="612"/>
    </row>
    <row r="12317">
      <c r="B12317" s="612"/>
      <c r="H12317" s="612"/>
    </row>
    <row r="12318">
      <c r="B12318" s="612"/>
      <c r="H12318" s="612"/>
    </row>
    <row r="12319">
      <c r="B12319" s="612"/>
      <c r="H12319" s="612"/>
    </row>
    <row r="12320">
      <c r="B12320" s="612"/>
      <c r="H12320" s="612"/>
    </row>
    <row r="12321">
      <c r="B12321" s="612"/>
      <c r="H12321" s="612"/>
    </row>
    <row r="12322">
      <c r="B12322" s="612"/>
      <c r="H12322" s="612"/>
    </row>
    <row r="12323">
      <c r="B12323" s="612"/>
      <c r="H12323" s="612"/>
    </row>
    <row r="12324">
      <c r="B12324" s="612"/>
      <c r="H12324" s="612"/>
    </row>
    <row r="12325">
      <c r="B12325" s="612"/>
      <c r="H12325" s="612"/>
    </row>
    <row r="12326">
      <c r="B12326" s="612"/>
      <c r="H12326" s="612"/>
    </row>
    <row r="12327">
      <c r="B12327" s="612"/>
      <c r="H12327" s="612"/>
    </row>
    <row r="12328">
      <c r="B12328" s="612"/>
      <c r="H12328" s="612"/>
    </row>
    <row r="12329">
      <c r="B12329" s="612"/>
      <c r="H12329" s="612"/>
    </row>
    <row r="12330">
      <c r="B12330" s="612"/>
      <c r="H12330" s="612"/>
    </row>
    <row r="12331">
      <c r="B12331" s="612"/>
      <c r="H12331" s="612"/>
    </row>
    <row r="12332">
      <c r="B12332" s="612"/>
      <c r="H12332" s="612"/>
    </row>
    <row r="12333">
      <c r="B12333" s="612"/>
      <c r="H12333" s="612"/>
    </row>
    <row r="12334">
      <c r="B12334" s="612"/>
      <c r="H12334" s="612"/>
    </row>
    <row r="12335">
      <c r="B12335" s="612"/>
      <c r="H12335" s="612"/>
    </row>
    <row r="12336">
      <c r="B12336" s="612"/>
      <c r="H12336" s="612"/>
    </row>
    <row r="12337">
      <c r="B12337" s="612"/>
      <c r="H12337" s="612"/>
    </row>
    <row r="12338">
      <c r="B12338" s="612"/>
      <c r="H12338" s="612"/>
    </row>
    <row r="12339">
      <c r="B12339" s="612"/>
      <c r="H12339" s="612"/>
    </row>
    <row r="12340">
      <c r="B12340" s="612"/>
      <c r="H12340" s="612"/>
    </row>
    <row r="12341">
      <c r="B12341" s="612"/>
      <c r="H12341" s="612"/>
    </row>
    <row r="12342">
      <c r="B12342" s="612"/>
      <c r="H12342" s="612"/>
    </row>
    <row r="12343">
      <c r="B12343" s="612"/>
      <c r="H12343" s="612"/>
    </row>
    <row r="12344">
      <c r="B12344" s="612"/>
      <c r="H12344" s="612"/>
    </row>
    <row r="12345">
      <c r="B12345" s="612"/>
      <c r="H12345" s="612"/>
    </row>
    <row r="12346">
      <c r="B12346" s="612"/>
      <c r="H12346" s="612"/>
    </row>
    <row r="12347">
      <c r="B12347" s="612"/>
      <c r="H12347" s="612"/>
    </row>
    <row r="12348">
      <c r="B12348" s="612"/>
      <c r="H12348" s="612"/>
    </row>
    <row r="12349">
      <c r="B12349" s="612"/>
      <c r="H12349" s="612"/>
    </row>
    <row r="12350">
      <c r="B12350" s="612"/>
      <c r="H12350" s="612"/>
    </row>
    <row r="12351">
      <c r="B12351" s="612"/>
      <c r="H12351" s="612"/>
    </row>
    <row r="12352">
      <c r="B12352" s="612"/>
      <c r="H12352" s="612"/>
    </row>
    <row r="12353">
      <c r="B12353" s="612"/>
      <c r="H12353" s="612"/>
    </row>
    <row r="12354">
      <c r="B12354" s="612"/>
      <c r="H12354" s="612"/>
    </row>
    <row r="12355">
      <c r="B12355" s="612"/>
      <c r="H12355" s="612"/>
    </row>
    <row r="12356">
      <c r="B12356" s="612"/>
      <c r="H12356" s="612"/>
    </row>
    <row r="12357">
      <c r="B12357" s="612"/>
      <c r="H12357" s="612"/>
    </row>
    <row r="12358">
      <c r="B12358" s="612"/>
      <c r="H12358" s="612"/>
    </row>
    <row r="12359">
      <c r="B12359" s="612"/>
      <c r="H12359" s="612"/>
    </row>
    <row r="12360">
      <c r="B12360" s="612"/>
      <c r="H12360" s="612"/>
    </row>
    <row r="12361">
      <c r="B12361" s="612"/>
      <c r="H12361" s="612"/>
    </row>
    <row r="12362">
      <c r="B12362" s="612"/>
      <c r="H12362" s="612"/>
    </row>
    <row r="12363">
      <c r="B12363" s="612"/>
      <c r="H12363" s="612"/>
    </row>
    <row r="12364">
      <c r="B12364" s="612"/>
      <c r="H12364" s="612"/>
    </row>
    <row r="12365">
      <c r="B12365" s="612"/>
      <c r="H12365" s="612"/>
    </row>
    <row r="12366">
      <c r="B12366" s="612"/>
      <c r="H12366" s="612"/>
    </row>
    <row r="12367">
      <c r="B12367" s="612"/>
      <c r="H12367" s="612"/>
    </row>
    <row r="12368">
      <c r="B12368" s="612"/>
      <c r="H12368" s="612"/>
    </row>
    <row r="12369">
      <c r="B12369" s="612"/>
      <c r="H12369" s="612"/>
    </row>
    <row r="12370">
      <c r="B12370" s="612"/>
      <c r="H12370" s="612"/>
    </row>
    <row r="12371">
      <c r="B12371" s="612"/>
      <c r="H12371" s="612"/>
    </row>
    <row r="12372">
      <c r="B12372" s="612"/>
      <c r="H12372" s="612"/>
    </row>
    <row r="12373">
      <c r="B12373" s="612"/>
      <c r="H12373" s="612"/>
    </row>
    <row r="12374">
      <c r="B12374" s="612"/>
      <c r="H12374" s="612"/>
    </row>
    <row r="12375">
      <c r="B12375" s="612"/>
      <c r="H12375" s="612"/>
    </row>
    <row r="12376">
      <c r="B12376" s="612"/>
      <c r="H12376" s="612"/>
    </row>
    <row r="12377">
      <c r="B12377" s="612"/>
      <c r="H12377" s="612"/>
    </row>
    <row r="12378">
      <c r="B12378" s="612"/>
      <c r="H12378" s="612"/>
    </row>
    <row r="12379">
      <c r="B12379" s="612"/>
      <c r="H12379" s="612"/>
    </row>
    <row r="12380">
      <c r="B12380" s="612"/>
      <c r="H12380" s="612"/>
    </row>
    <row r="12381">
      <c r="B12381" s="612"/>
      <c r="H12381" s="612"/>
    </row>
    <row r="12382">
      <c r="B12382" s="612"/>
      <c r="H12382" s="612"/>
    </row>
    <row r="12383">
      <c r="B12383" s="612"/>
      <c r="H12383" s="612"/>
    </row>
    <row r="12384">
      <c r="B12384" s="612"/>
      <c r="H12384" s="612"/>
    </row>
    <row r="12385">
      <c r="B12385" s="612"/>
      <c r="H12385" s="612"/>
    </row>
    <row r="12386">
      <c r="B12386" s="612"/>
      <c r="H12386" s="612"/>
    </row>
    <row r="12387">
      <c r="B12387" s="612"/>
      <c r="H12387" s="612"/>
    </row>
    <row r="12388">
      <c r="B12388" s="612"/>
      <c r="H12388" s="612"/>
    </row>
    <row r="12389">
      <c r="B12389" s="612"/>
      <c r="H12389" s="612"/>
    </row>
    <row r="12390">
      <c r="B12390" s="612"/>
      <c r="H12390" s="612"/>
    </row>
    <row r="12391">
      <c r="B12391" s="612"/>
      <c r="H12391" s="612"/>
    </row>
    <row r="12392">
      <c r="B12392" s="612"/>
      <c r="H12392" s="612"/>
    </row>
    <row r="12393">
      <c r="B12393" s="612"/>
      <c r="H12393" s="612"/>
    </row>
    <row r="12394">
      <c r="B12394" s="612"/>
      <c r="H12394" s="612"/>
    </row>
    <row r="12395">
      <c r="B12395" s="612"/>
      <c r="H12395" s="612"/>
    </row>
    <row r="12396">
      <c r="B12396" s="612"/>
      <c r="H12396" s="612"/>
    </row>
    <row r="12397">
      <c r="B12397" s="612"/>
      <c r="H12397" s="612"/>
    </row>
    <row r="12398">
      <c r="B12398" s="612"/>
      <c r="H12398" s="612"/>
    </row>
    <row r="12399">
      <c r="B12399" s="612"/>
      <c r="H12399" s="612"/>
    </row>
    <row r="12400">
      <c r="B12400" s="612"/>
      <c r="H12400" s="612"/>
    </row>
    <row r="12401">
      <c r="B12401" s="612"/>
      <c r="H12401" s="612"/>
    </row>
    <row r="12402">
      <c r="B12402" s="612"/>
      <c r="H12402" s="612"/>
    </row>
    <row r="12403">
      <c r="B12403" s="612"/>
      <c r="H12403" s="612"/>
    </row>
    <row r="12404">
      <c r="B12404" s="612"/>
      <c r="H12404" s="612"/>
    </row>
    <row r="12405">
      <c r="B12405" s="612"/>
      <c r="H12405" s="612"/>
    </row>
    <row r="12406">
      <c r="B12406" s="612"/>
      <c r="H12406" s="612"/>
    </row>
    <row r="12407">
      <c r="B12407" s="612"/>
      <c r="H12407" s="612"/>
    </row>
    <row r="12408">
      <c r="B12408" s="612"/>
      <c r="H12408" s="612"/>
    </row>
    <row r="12409">
      <c r="B12409" s="612"/>
      <c r="H12409" s="612"/>
    </row>
    <row r="12410">
      <c r="B12410" s="612"/>
      <c r="H12410" s="612"/>
    </row>
    <row r="12411">
      <c r="B12411" s="612"/>
      <c r="H12411" s="612"/>
    </row>
    <row r="12412">
      <c r="B12412" s="612"/>
      <c r="H12412" s="612"/>
    </row>
    <row r="12413">
      <c r="B12413" s="612"/>
      <c r="H12413" s="612"/>
    </row>
    <row r="12414">
      <c r="B12414" s="612"/>
      <c r="H12414" s="612"/>
    </row>
    <row r="12415">
      <c r="B12415" s="612"/>
      <c r="H12415" s="612"/>
    </row>
    <row r="12416">
      <c r="B12416" s="612"/>
      <c r="H12416" s="612"/>
    </row>
    <row r="12417">
      <c r="B12417" s="612"/>
      <c r="H12417" s="612"/>
    </row>
    <row r="12418">
      <c r="B12418" s="612"/>
      <c r="H12418" s="612"/>
    </row>
    <row r="12419">
      <c r="B12419" s="612"/>
      <c r="H12419" s="612"/>
    </row>
    <row r="12420">
      <c r="B12420" s="612"/>
      <c r="H12420" s="612"/>
    </row>
    <row r="12421">
      <c r="B12421" s="612"/>
      <c r="H12421" s="612"/>
    </row>
    <row r="12422">
      <c r="B12422" s="612"/>
      <c r="H12422" s="612"/>
    </row>
    <row r="12423">
      <c r="B12423" s="612"/>
      <c r="H12423" s="612"/>
    </row>
    <row r="12424">
      <c r="B12424" s="612"/>
      <c r="H12424" s="612"/>
    </row>
    <row r="12425">
      <c r="B12425" s="612"/>
      <c r="H12425" s="612"/>
    </row>
    <row r="12426">
      <c r="B12426" s="612"/>
      <c r="H12426" s="612"/>
    </row>
    <row r="12427">
      <c r="B12427" s="612"/>
      <c r="H12427" s="612"/>
    </row>
    <row r="12428">
      <c r="B12428" s="612"/>
      <c r="H12428" s="612"/>
    </row>
    <row r="12429">
      <c r="B12429" s="612"/>
      <c r="H12429" s="612"/>
    </row>
    <row r="12430">
      <c r="B12430" s="612"/>
      <c r="H12430" s="612"/>
    </row>
    <row r="12431">
      <c r="B12431" s="612"/>
      <c r="H12431" s="612"/>
    </row>
    <row r="12432">
      <c r="B12432" s="612"/>
      <c r="H12432" s="612"/>
    </row>
    <row r="12433">
      <c r="B12433" s="612"/>
      <c r="H12433" s="612"/>
    </row>
    <row r="12434">
      <c r="B12434" s="612"/>
      <c r="H12434" s="612"/>
    </row>
    <row r="12435">
      <c r="B12435" s="612"/>
      <c r="H12435" s="612"/>
    </row>
    <row r="12436">
      <c r="B12436" s="612"/>
      <c r="H12436" s="612"/>
    </row>
    <row r="12437">
      <c r="B12437" s="612"/>
      <c r="H12437" s="612"/>
    </row>
    <row r="12438">
      <c r="B12438" s="612"/>
      <c r="H12438" s="612"/>
    </row>
    <row r="12439">
      <c r="B12439" s="612"/>
      <c r="H12439" s="612"/>
    </row>
    <row r="12440">
      <c r="B12440" s="612"/>
      <c r="H12440" s="612"/>
    </row>
    <row r="12441">
      <c r="B12441" s="612"/>
      <c r="H12441" s="612"/>
    </row>
    <row r="12442">
      <c r="B12442" s="612"/>
      <c r="H12442" s="612"/>
    </row>
    <row r="12443">
      <c r="B12443" s="612"/>
      <c r="H12443" s="612"/>
    </row>
    <row r="12444">
      <c r="B12444" s="612"/>
      <c r="H12444" s="612"/>
    </row>
    <row r="12445">
      <c r="B12445" s="612"/>
      <c r="H12445" s="612"/>
    </row>
    <row r="12446">
      <c r="B12446" s="612"/>
      <c r="H12446" s="612"/>
    </row>
    <row r="12447">
      <c r="B12447" s="612"/>
      <c r="H12447" s="612"/>
    </row>
    <row r="12448">
      <c r="B12448" s="612"/>
      <c r="H12448" s="612"/>
    </row>
    <row r="12449">
      <c r="B12449" s="612"/>
      <c r="H12449" s="612"/>
    </row>
    <row r="12450">
      <c r="B12450" s="612"/>
      <c r="H12450" s="612"/>
    </row>
    <row r="12451">
      <c r="B12451" s="612"/>
      <c r="H12451" s="612"/>
    </row>
    <row r="12452">
      <c r="B12452" s="612"/>
      <c r="H12452" s="612"/>
    </row>
    <row r="12453">
      <c r="B12453" s="612"/>
      <c r="H12453" s="612"/>
    </row>
    <row r="12454">
      <c r="B12454" s="612"/>
      <c r="H12454" s="612"/>
    </row>
    <row r="12455">
      <c r="B12455" s="612"/>
      <c r="H12455" s="612"/>
    </row>
    <row r="12456">
      <c r="B12456" s="612"/>
      <c r="H12456" s="612"/>
    </row>
    <row r="12457">
      <c r="B12457" s="612"/>
      <c r="H12457" s="612"/>
    </row>
    <row r="12458">
      <c r="B12458" s="612"/>
      <c r="H12458" s="612"/>
    </row>
    <row r="12459">
      <c r="B12459" s="612"/>
      <c r="H12459" s="612"/>
    </row>
    <row r="12460">
      <c r="B12460" s="612"/>
      <c r="H12460" s="612"/>
    </row>
    <row r="12461">
      <c r="B12461" s="612"/>
      <c r="H12461" s="612"/>
    </row>
    <row r="12462">
      <c r="B12462" s="612"/>
      <c r="H12462" s="612"/>
    </row>
    <row r="12463">
      <c r="B12463" s="612"/>
      <c r="H12463" s="612"/>
    </row>
    <row r="12464">
      <c r="B12464" s="612"/>
      <c r="H12464" s="612"/>
    </row>
    <row r="12465">
      <c r="B12465" s="612"/>
      <c r="H12465" s="612"/>
    </row>
    <row r="12466">
      <c r="B12466" s="612"/>
      <c r="H12466" s="612"/>
    </row>
    <row r="12467">
      <c r="B12467" s="612"/>
      <c r="H12467" s="612"/>
    </row>
    <row r="12468">
      <c r="B12468" s="612"/>
      <c r="H12468" s="612"/>
    </row>
    <row r="12469">
      <c r="B12469" s="612"/>
      <c r="H12469" s="612"/>
    </row>
    <row r="12470">
      <c r="B12470" s="612"/>
      <c r="H12470" s="612"/>
    </row>
    <row r="12471">
      <c r="B12471" s="612"/>
      <c r="H12471" s="612"/>
    </row>
    <row r="12472">
      <c r="B12472" s="612"/>
      <c r="H12472" s="612"/>
    </row>
    <row r="12473">
      <c r="B12473" s="612"/>
      <c r="H12473" s="612"/>
    </row>
    <row r="12474">
      <c r="B12474" s="612"/>
      <c r="H12474" s="612"/>
    </row>
    <row r="12475">
      <c r="B12475" s="612"/>
      <c r="H12475" s="612"/>
    </row>
    <row r="12476">
      <c r="B12476" s="612"/>
      <c r="H12476" s="612"/>
    </row>
    <row r="12477">
      <c r="B12477" s="612"/>
      <c r="H12477" s="612"/>
    </row>
    <row r="12478">
      <c r="B12478" s="612"/>
      <c r="H12478" s="612"/>
    </row>
    <row r="12479">
      <c r="B12479" s="612"/>
      <c r="H12479" s="612"/>
    </row>
    <row r="12480">
      <c r="B12480" s="612"/>
      <c r="H12480" s="612"/>
    </row>
    <row r="12481">
      <c r="B12481" s="612"/>
      <c r="H12481" s="612"/>
    </row>
    <row r="12482">
      <c r="B12482" s="612"/>
      <c r="H12482" s="612"/>
    </row>
    <row r="12483">
      <c r="B12483" s="612"/>
      <c r="H12483" s="612"/>
    </row>
    <row r="12484">
      <c r="B12484" s="612"/>
      <c r="H12484" s="612"/>
    </row>
    <row r="12485">
      <c r="B12485" s="612"/>
      <c r="H12485" s="612"/>
    </row>
    <row r="12486">
      <c r="B12486" s="612"/>
      <c r="H12486" s="612"/>
    </row>
    <row r="12487">
      <c r="B12487" s="612"/>
      <c r="H12487" s="612"/>
    </row>
    <row r="12488">
      <c r="B12488" s="612"/>
      <c r="H12488" s="612"/>
    </row>
    <row r="12489">
      <c r="B12489" s="612"/>
      <c r="H12489" s="612"/>
    </row>
    <row r="12490">
      <c r="B12490" s="612"/>
      <c r="H12490" s="612"/>
    </row>
    <row r="12491">
      <c r="B12491" s="612"/>
      <c r="H12491" s="612"/>
    </row>
    <row r="12492">
      <c r="B12492" s="612"/>
      <c r="H12492" s="612"/>
    </row>
    <row r="12493">
      <c r="B12493" s="612"/>
      <c r="H12493" s="612"/>
    </row>
    <row r="12494">
      <c r="B12494" s="612"/>
      <c r="H12494" s="612"/>
    </row>
    <row r="12495">
      <c r="B12495" s="612"/>
      <c r="H12495" s="612"/>
    </row>
    <row r="12496">
      <c r="B12496" s="612"/>
      <c r="H12496" s="612"/>
    </row>
    <row r="12497">
      <c r="B12497" s="612"/>
      <c r="H12497" s="612"/>
    </row>
    <row r="12498">
      <c r="B12498" s="612"/>
      <c r="H12498" s="612"/>
    </row>
    <row r="12499">
      <c r="B12499" s="612"/>
      <c r="H12499" s="612"/>
    </row>
    <row r="12500">
      <c r="B12500" s="612"/>
      <c r="H12500" s="612"/>
    </row>
    <row r="12501">
      <c r="B12501" s="612"/>
      <c r="H12501" s="612"/>
    </row>
    <row r="12502">
      <c r="B12502" s="612"/>
      <c r="H12502" s="612"/>
    </row>
    <row r="12503">
      <c r="B12503" s="612"/>
      <c r="H12503" s="612"/>
    </row>
    <row r="12504">
      <c r="B12504" s="612"/>
      <c r="H12504" s="612"/>
    </row>
    <row r="12505">
      <c r="B12505" s="612"/>
      <c r="H12505" s="612"/>
    </row>
    <row r="12506">
      <c r="B12506" s="612"/>
      <c r="H12506" s="612"/>
    </row>
    <row r="12507">
      <c r="B12507" s="612"/>
      <c r="H12507" s="612"/>
    </row>
    <row r="12508">
      <c r="B12508" s="612"/>
      <c r="H12508" s="612"/>
    </row>
    <row r="12509">
      <c r="B12509" s="612"/>
      <c r="H12509" s="612"/>
    </row>
    <row r="12510">
      <c r="B12510" s="612"/>
      <c r="H12510" s="612"/>
    </row>
    <row r="12511">
      <c r="B12511" s="612"/>
      <c r="H12511" s="612"/>
    </row>
    <row r="12512">
      <c r="B12512" s="612"/>
      <c r="H12512" s="612"/>
    </row>
    <row r="12513">
      <c r="B12513" s="612"/>
      <c r="H12513" s="612"/>
    </row>
    <row r="12514">
      <c r="B12514" s="612"/>
      <c r="H12514" s="612"/>
    </row>
    <row r="12515">
      <c r="B12515" s="612"/>
      <c r="H12515" s="612"/>
    </row>
    <row r="12516">
      <c r="B12516" s="612"/>
      <c r="H12516" s="612"/>
    </row>
    <row r="12517">
      <c r="B12517" s="612"/>
      <c r="H12517" s="612"/>
    </row>
    <row r="12518">
      <c r="B12518" s="612"/>
      <c r="H12518" s="612"/>
    </row>
    <row r="12519">
      <c r="B12519" s="612"/>
      <c r="H12519" s="612"/>
    </row>
    <row r="12520">
      <c r="B12520" s="612"/>
      <c r="H12520" s="612"/>
    </row>
    <row r="12521">
      <c r="B12521" s="612"/>
      <c r="H12521" s="612"/>
    </row>
    <row r="12522">
      <c r="B12522" s="612"/>
      <c r="H12522" s="612"/>
    </row>
    <row r="12523">
      <c r="B12523" s="612"/>
      <c r="H12523" s="612"/>
    </row>
    <row r="12524">
      <c r="B12524" s="612"/>
      <c r="H12524" s="612"/>
    </row>
    <row r="12525">
      <c r="B12525" s="612"/>
      <c r="H12525" s="612"/>
    </row>
    <row r="12526">
      <c r="B12526" s="612"/>
      <c r="H12526" s="612"/>
    </row>
    <row r="12527">
      <c r="B12527" s="612"/>
      <c r="H12527" s="612"/>
    </row>
    <row r="12528">
      <c r="B12528" s="612"/>
      <c r="H12528" s="612"/>
    </row>
    <row r="12529">
      <c r="B12529" s="612"/>
      <c r="H12529" s="612"/>
    </row>
    <row r="12530">
      <c r="B12530" s="612"/>
      <c r="H12530" s="612"/>
    </row>
    <row r="12531">
      <c r="B12531" s="612"/>
      <c r="H12531" s="612"/>
    </row>
    <row r="12532">
      <c r="B12532" s="612"/>
      <c r="H12532" s="612"/>
    </row>
    <row r="12533">
      <c r="B12533" s="612"/>
      <c r="H12533" s="612"/>
    </row>
    <row r="12534">
      <c r="B12534" s="612"/>
      <c r="H12534" s="612"/>
    </row>
    <row r="12535">
      <c r="B12535" s="612"/>
      <c r="H12535" s="612"/>
    </row>
    <row r="12536">
      <c r="B12536" s="612"/>
      <c r="H12536" s="612"/>
    </row>
    <row r="12537">
      <c r="B12537" s="612"/>
      <c r="H12537" s="612"/>
    </row>
    <row r="12538">
      <c r="B12538" s="612"/>
      <c r="H12538" s="612"/>
    </row>
    <row r="12539">
      <c r="B12539" s="612"/>
      <c r="H12539" s="612"/>
    </row>
    <row r="12540">
      <c r="B12540" s="612"/>
      <c r="H12540" s="612"/>
    </row>
    <row r="12541">
      <c r="B12541" s="612"/>
      <c r="H12541" s="612"/>
    </row>
    <row r="12542">
      <c r="B12542" s="612"/>
      <c r="H12542" s="612"/>
    </row>
    <row r="12543">
      <c r="B12543" s="612"/>
      <c r="H12543" s="612"/>
    </row>
    <row r="12544">
      <c r="B12544" s="612"/>
      <c r="H12544" s="612"/>
    </row>
    <row r="12545">
      <c r="B12545" s="612"/>
      <c r="H12545" s="612"/>
    </row>
    <row r="12546">
      <c r="B12546" s="612"/>
      <c r="H12546" s="612"/>
    </row>
    <row r="12547">
      <c r="B12547" s="612"/>
      <c r="H12547" s="612"/>
    </row>
    <row r="12548">
      <c r="B12548" s="612"/>
      <c r="H12548" s="612"/>
    </row>
    <row r="12549">
      <c r="B12549" s="612"/>
      <c r="H12549" s="612"/>
    </row>
    <row r="12550">
      <c r="B12550" s="612"/>
      <c r="H12550" s="612"/>
    </row>
    <row r="12551">
      <c r="B12551" s="612"/>
      <c r="H12551" s="612"/>
    </row>
    <row r="12552">
      <c r="B12552" s="612"/>
      <c r="H12552" s="612"/>
    </row>
    <row r="12553">
      <c r="B12553" s="612"/>
      <c r="H12553" s="612"/>
    </row>
    <row r="12554">
      <c r="B12554" s="612"/>
      <c r="H12554" s="612"/>
    </row>
    <row r="12555">
      <c r="B12555" s="612"/>
      <c r="H12555" s="612"/>
    </row>
    <row r="12556">
      <c r="B12556" s="612"/>
      <c r="H12556" s="612"/>
    </row>
    <row r="12557">
      <c r="B12557" s="612"/>
      <c r="H12557" s="612"/>
    </row>
    <row r="12558">
      <c r="B12558" s="612"/>
      <c r="H12558" s="612"/>
    </row>
    <row r="12559">
      <c r="B12559" s="612"/>
      <c r="H12559" s="612"/>
    </row>
    <row r="12560">
      <c r="B12560" s="612"/>
      <c r="H12560" s="612"/>
    </row>
    <row r="12561">
      <c r="B12561" s="612"/>
      <c r="H12561" s="612"/>
    </row>
    <row r="12562">
      <c r="B12562" s="612"/>
      <c r="H12562" s="612"/>
    </row>
    <row r="12563">
      <c r="B12563" s="612"/>
      <c r="H12563" s="612"/>
    </row>
    <row r="12564">
      <c r="B12564" s="612"/>
      <c r="H12564" s="612"/>
    </row>
    <row r="12565">
      <c r="B12565" s="612"/>
      <c r="H12565" s="612"/>
    </row>
    <row r="12566">
      <c r="B12566" s="612"/>
      <c r="H12566" s="612"/>
    </row>
    <row r="12567">
      <c r="B12567" s="612"/>
      <c r="H12567" s="612"/>
    </row>
    <row r="12568">
      <c r="B12568" s="612"/>
      <c r="H12568" s="612"/>
    </row>
    <row r="12569">
      <c r="B12569" s="612"/>
      <c r="H12569" s="612"/>
    </row>
    <row r="12570">
      <c r="B12570" s="612"/>
      <c r="H12570" s="612"/>
    </row>
    <row r="12571">
      <c r="B12571" s="612"/>
      <c r="H12571" s="612"/>
    </row>
    <row r="12572">
      <c r="B12572" s="612"/>
      <c r="H12572" s="612"/>
    </row>
    <row r="12573">
      <c r="B12573" s="612"/>
      <c r="H12573" s="612"/>
    </row>
    <row r="12574">
      <c r="B12574" s="612"/>
      <c r="H12574" s="612"/>
    </row>
    <row r="12575">
      <c r="B12575" s="612"/>
      <c r="H12575" s="612"/>
    </row>
    <row r="12576">
      <c r="B12576" s="612"/>
      <c r="H12576" s="612"/>
    </row>
    <row r="12577">
      <c r="B12577" s="612"/>
      <c r="H12577" s="612"/>
    </row>
    <row r="12578">
      <c r="B12578" s="612"/>
      <c r="H12578" s="612"/>
    </row>
    <row r="12579">
      <c r="B12579" s="612"/>
      <c r="H12579" s="612"/>
    </row>
    <row r="12580">
      <c r="B12580" s="612"/>
      <c r="H12580" s="612"/>
    </row>
    <row r="12581">
      <c r="B12581" s="612"/>
      <c r="H12581" s="612"/>
    </row>
    <row r="12582">
      <c r="B12582" s="612"/>
      <c r="H12582" s="612"/>
    </row>
    <row r="12583">
      <c r="B12583" s="612"/>
      <c r="H12583" s="612"/>
    </row>
    <row r="12584">
      <c r="B12584" s="612"/>
      <c r="H12584" s="612"/>
    </row>
    <row r="12585">
      <c r="B12585" s="612"/>
      <c r="H12585" s="612"/>
    </row>
    <row r="12586">
      <c r="B12586" s="612"/>
      <c r="H12586" s="612"/>
    </row>
    <row r="12587">
      <c r="B12587" s="612"/>
      <c r="H12587" s="612"/>
    </row>
    <row r="12588">
      <c r="B12588" s="612"/>
      <c r="H12588" s="612"/>
    </row>
    <row r="12589">
      <c r="B12589" s="612"/>
      <c r="H12589" s="612"/>
    </row>
    <row r="12590">
      <c r="B12590" s="612"/>
      <c r="H12590" s="612"/>
    </row>
    <row r="12591">
      <c r="B12591" s="612"/>
      <c r="H12591" s="612"/>
    </row>
    <row r="12592">
      <c r="B12592" s="612"/>
      <c r="H12592" s="612"/>
    </row>
    <row r="12593">
      <c r="B12593" s="612"/>
      <c r="H12593" s="612"/>
    </row>
    <row r="12594">
      <c r="B12594" s="612"/>
      <c r="H12594" s="612"/>
    </row>
    <row r="12595">
      <c r="B12595" s="612"/>
      <c r="H12595" s="612"/>
    </row>
    <row r="12596">
      <c r="B12596" s="612"/>
      <c r="H12596" s="612"/>
    </row>
    <row r="12597">
      <c r="B12597" s="612"/>
      <c r="H12597" s="612"/>
    </row>
    <row r="12598">
      <c r="B12598" s="612"/>
      <c r="H12598" s="612"/>
    </row>
    <row r="12599">
      <c r="B12599" s="612"/>
      <c r="H12599" s="612"/>
    </row>
    <row r="12600">
      <c r="B12600" s="612"/>
      <c r="H12600" s="612"/>
    </row>
    <row r="12601">
      <c r="B12601" s="612"/>
      <c r="H12601" s="612"/>
    </row>
    <row r="12602">
      <c r="B12602" s="612"/>
      <c r="H12602" s="612"/>
    </row>
    <row r="12603">
      <c r="B12603" s="612"/>
      <c r="H12603" s="612"/>
    </row>
    <row r="12604">
      <c r="B12604" s="612"/>
      <c r="H12604" s="612"/>
    </row>
    <row r="12605">
      <c r="B12605" s="612"/>
      <c r="H12605" s="612"/>
    </row>
    <row r="12606">
      <c r="B12606" s="612"/>
      <c r="H12606" s="612"/>
    </row>
    <row r="12607">
      <c r="B12607" s="612"/>
      <c r="H12607" s="612"/>
    </row>
    <row r="12608">
      <c r="B12608" s="612"/>
      <c r="H12608" s="612"/>
    </row>
    <row r="12609">
      <c r="B12609" s="612"/>
      <c r="H12609" s="612"/>
    </row>
    <row r="12610">
      <c r="B12610" s="612"/>
      <c r="H12610" s="612"/>
    </row>
    <row r="12611">
      <c r="B12611" s="612"/>
      <c r="H12611" s="612"/>
    </row>
    <row r="12612">
      <c r="B12612" s="612"/>
      <c r="H12612" s="612"/>
    </row>
    <row r="12613">
      <c r="B12613" s="612"/>
      <c r="H12613" s="612"/>
    </row>
    <row r="12614">
      <c r="B12614" s="612"/>
      <c r="H12614" s="612"/>
    </row>
    <row r="12615">
      <c r="B12615" s="612"/>
      <c r="H12615" s="612"/>
    </row>
    <row r="12616">
      <c r="B12616" s="612"/>
      <c r="H12616" s="612"/>
    </row>
    <row r="12617">
      <c r="B12617" s="612"/>
      <c r="H12617" s="612"/>
    </row>
    <row r="12618">
      <c r="B12618" s="612"/>
      <c r="H12618" s="612"/>
    </row>
    <row r="12619">
      <c r="B12619" s="612"/>
      <c r="H12619" s="612"/>
    </row>
    <row r="12620">
      <c r="B12620" s="612"/>
      <c r="H12620" s="612"/>
    </row>
    <row r="12621">
      <c r="B12621" s="612"/>
      <c r="H12621" s="612"/>
    </row>
    <row r="12622">
      <c r="B12622" s="612"/>
      <c r="H12622" s="612"/>
    </row>
    <row r="12623">
      <c r="B12623" s="612"/>
      <c r="H12623" s="612"/>
    </row>
    <row r="12624">
      <c r="B12624" s="612"/>
      <c r="H12624" s="612"/>
    </row>
    <row r="12625">
      <c r="B12625" s="612"/>
      <c r="H12625" s="612"/>
    </row>
    <row r="12626">
      <c r="B12626" s="612"/>
      <c r="H12626" s="612"/>
    </row>
    <row r="12627">
      <c r="B12627" s="612"/>
      <c r="H12627" s="612"/>
    </row>
    <row r="12628">
      <c r="B12628" s="612"/>
      <c r="H12628" s="612"/>
    </row>
    <row r="12629">
      <c r="B12629" s="612"/>
      <c r="H12629" s="612"/>
    </row>
    <row r="12630">
      <c r="B12630" s="612"/>
      <c r="H12630" s="612"/>
    </row>
    <row r="12631">
      <c r="B12631" s="612"/>
      <c r="H12631" s="612"/>
    </row>
    <row r="12632">
      <c r="B12632" s="612"/>
      <c r="H12632" s="612"/>
    </row>
    <row r="12633">
      <c r="B12633" s="612"/>
      <c r="H12633" s="612"/>
    </row>
    <row r="12634">
      <c r="B12634" s="612"/>
      <c r="H12634" s="612"/>
    </row>
    <row r="12635">
      <c r="B12635" s="612"/>
      <c r="H12635" s="612"/>
    </row>
    <row r="12636">
      <c r="B12636" s="612"/>
      <c r="H12636" s="612"/>
    </row>
    <row r="12637">
      <c r="B12637" s="612"/>
      <c r="H12637" s="612"/>
    </row>
    <row r="12638">
      <c r="B12638" s="612"/>
      <c r="H12638" s="612"/>
    </row>
    <row r="12639">
      <c r="B12639" s="612"/>
      <c r="H12639" s="612"/>
    </row>
    <row r="12640">
      <c r="B12640" s="612"/>
      <c r="H12640" s="612"/>
    </row>
    <row r="12641">
      <c r="B12641" s="612"/>
      <c r="H12641" s="612"/>
    </row>
    <row r="12642">
      <c r="B12642" s="612"/>
      <c r="H12642" s="612"/>
    </row>
    <row r="12643">
      <c r="B12643" s="612"/>
      <c r="H12643" s="612"/>
    </row>
    <row r="12644">
      <c r="B12644" s="612"/>
      <c r="H12644" s="612"/>
    </row>
    <row r="12645">
      <c r="B12645" s="612"/>
      <c r="H12645" s="612"/>
    </row>
    <row r="12646">
      <c r="B12646" s="612"/>
      <c r="H12646" s="612"/>
    </row>
    <row r="12647">
      <c r="B12647" s="612"/>
      <c r="H12647" s="612"/>
    </row>
    <row r="12648">
      <c r="B12648" s="612"/>
      <c r="H12648" s="612"/>
    </row>
    <row r="12649">
      <c r="B12649" s="612"/>
      <c r="H12649" s="612"/>
    </row>
    <row r="12650">
      <c r="B12650" s="612"/>
      <c r="H12650" s="612"/>
    </row>
    <row r="12651">
      <c r="B12651" s="612"/>
      <c r="H12651" s="612"/>
    </row>
    <row r="12652">
      <c r="B12652" s="612"/>
      <c r="H12652" s="612"/>
    </row>
    <row r="12653">
      <c r="B12653" s="612"/>
      <c r="H12653" s="612"/>
    </row>
    <row r="12654">
      <c r="B12654" s="612"/>
      <c r="H12654" s="612"/>
    </row>
    <row r="12655">
      <c r="B12655" s="612"/>
      <c r="H12655" s="612"/>
    </row>
    <row r="12656">
      <c r="B12656" s="612"/>
      <c r="H12656" s="612"/>
    </row>
    <row r="12657">
      <c r="B12657" s="612"/>
      <c r="H12657" s="612"/>
    </row>
    <row r="12658">
      <c r="B12658" s="612"/>
      <c r="H12658" s="612"/>
    </row>
    <row r="12659">
      <c r="B12659" s="612"/>
      <c r="H12659" s="612"/>
    </row>
    <row r="12660">
      <c r="B12660" s="612"/>
      <c r="H12660" s="612"/>
    </row>
    <row r="12661">
      <c r="B12661" s="612"/>
      <c r="H12661" s="612"/>
    </row>
    <row r="12662">
      <c r="B12662" s="612"/>
      <c r="H12662" s="612"/>
    </row>
    <row r="12663">
      <c r="B12663" s="612"/>
      <c r="H12663" s="612"/>
    </row>
    <row r="12664">
      <c r="B12664" s="612"/>
      <c r="H12664" s="612"/>
    </row>
    <row r="12665">
      <c r="B12665" s="612"/>
      <c r="H12665" s="612"/>
    </row>
    <row r="12666">
      <c r="B12666" s="612"/>
      <c r="H12666" s="612"/>
    </row>
    <row r="12667">
      <c r="B12667" s="612"/>
      <c r="H12667" s="612"/>
    </row>
    <row r="12668">
      <c r="B12668" s="612"/>
      <c r="H12668" s="612"/>
    </row>
    <row r="12669">
      <c r="B12669" s="612"/>
      <c r="H12669" s="612"/>
    </row>
    <row r="12670">
      <c r="B12670" s="612"/>
      <c r="H12670" s="612"/>
    </row>
    <row r="12671">
      <c r="B12671" s="612"/>
      <c r="H12671" s="612"/>
    </row>
    <row r="12672">
      <c r="B12672" s="612"/>
      <c r="H12672" s="612"/>
    </row>
    <row r="12673">
      <c r="B12673" s="612"/>
      <c r="H12673" s="612"/>
    </row>
    <row r="12674">
      <c r="B12674" s="612"/>
      <c r="H12674" s="612"/>
    </row>
    <row r="12675">
      <c r="B12675" s="612"/>
      <c r="H12675" s="612"/>
    </row>
    <row r="12676">
      <c r="B12676" s="612"/>
      <c r="H12676" s="612"/>
    </row>
    <row r="12677">
      <c r="B12677" s="612"/>
      <c r="H12677" s="612"/>
    </row>
    <row r="12678">
      <c r="B12678" s="612"/>
      <c r="H12678" s="612"/>
    </row>
    <row r="12679">
      <c r="B12679" s="612"/>
      <c r="H12679" s="612"/>
    </row>
    <row r="12680">
      <c r="B12680" s="612"/>
      <c r="H12680" s="612"/>
    </row>
    <row r="12681">
      <c r="B12681" s="612"/>
      <c r="H12681" s="612"/>
    </row>
    <row r="12682">
      <c r="B12682" s="612"/>
      <c r="H12682" s="612"/>
    </row>
    <row r="12683">
      <c r="B12683" s="612"/>
      <c r="H12683" s="612"/>
    </row>
    <row r="12684">
      <c r="B12684" s="612"/>
      <c r="H12684" s="612"/>
    </row>
    <row r="12685">
      <c r="B12685" s="612"/>
      <c r="H12685" s="612"/>
    </row>
    <row r="12686">
      <c r="B12686" s="612"/>
      <c r="H12686" s="612"/>
    </row>
    <row r="12687">
      <c r="B12687" s="612"/>
      <c r="H12687" s="612"/>
    </row>
    <row r="12688">
      <c r="B12688" s="612"/>
      <c r="H12688" s="612"/>
    </row>
    <row r="12689">
      <c r="B12689" s="612"/>
      <c r="H12689" s="612"/>
    </row>
    <row r="12690">
      <c r="B12690" s="612"/>
      <c r="H12690" s="612"/>
    </row>
    <row r="12691">
      <c r="B12691" s="612"/>
      <c r="H12691" s="612"/>
    </row>
    <row r="12692">
      <c r="B12692" s="612"/>
      <c r="H12692" s="612"/>
    </row>
    <row r="12693">
      <c r="B12693" s="612"/>
      <c r="H12693" s="612"/>
    </row>
    <row r="12694">
      <c r="B12694" s="612"/>
      <c r="H12694" s="612"/>
    </row>
    <row r="12695">
      <c r="B12695" s="612"/>
      <c r="H12695" s="612"/>
    </row>
    <row r="12696">
      <c r="B12696" s="612"/>
      <c r="H12696" s="612"/>
    </row>
    <row r="12697">
      <c r="B12697" s="612"/>
      <c r="H12697" s="612"/>
    </row>
    <row r="12698">
      <c r="B12698" s="612"/>
      <c r="H12698" s="612"/>
    </row>
    <row r="12699">
      <c r="B12699" s="612"/>
      <c r="H12699" s="612"/>
    </row>
    <row r="12700">
      <c r="B12700" s="612"/>
      <c r="H12700" s="612"/>
    </row>
    <row r="12701">
      <c r="B12701" s="612"/>
      <c r="H12701" s="612"/>
    </row>
    <row r="12702">
      <c r="B12702" s="612"/>
      <c r="H12702" s="612"/>
    </row>
    <row r="12703">
      <c r="B12703" s="612"/>
      <c r="H12703" s="612"/>
    </row>
    <row r="12704">
      <c r="B12704" s="612"/>
      <c r="H12704" s="612"/>
    </row>
    <row r="12705">
      <c r="B12705" s="612"/>
      <c r="H12705" s="612"/>
    </row>
    <row r="12706">
      <c r="B12706" s="612"/>
      <c r="H12706" s="612"/>
    </row>
    <row r="12707">
      <c r="B12707" s="612"/>
      <c r="H12707" s="612"/>
    </row>
    <row r="12708">
      <c r="B12708" s="612"/>
      <c r="H12708" s="612"/>
    </row>
    <row r="12709">
      <c r="B12709" s="612"/>
      <c r="H12709" s="612"/>
    </row>
    <row r="12710">
      <c r="B12710" s="612"/>
      <c r="H12710" s="612"/>
    </row>
    <row r="12711">
      <c r="B12711" s="612"/>
      <c r="H12711" s="612"/>
    </row>
    <row r="12712">
      <c r="B12712" s="612"/>
      <c r="H12712" s="612"/>
    </row>
    <row r="12713">
      <c r="B12713" s="612"/>
      <c r="H12713" s="612"/>
    </row>
    <row r="12714">
      <c r="B12714" s="612"/>
      <c r="H12714" s="612"/>
    </row>
    <row r="12715">
      <c r="B12715" s="612"/>
      <c r="H12715" s="612"/>
    </row>
    <row r="12716">
      <c r="B12716" s="612"/>
      <c r="H12716" s="612"/>
    </row>
    <row r="12717">
      <c r="B12717" s="612"/>
      <c r="H12717" s="612"/>
    </row>
    <row r="12718">
      <c r="B12718" s="612"/>
      <c r="H12718" s="612"/>
    </row>
    <row r="12719">
      <c r="B12719" s="612"/>
      <c r="H12719" s="612"/>
    </row>
    <row r="12720">
      <c r="B12720" s="612"/>
      <c r="H12720" s="612"/>
    </row>
    <row r="12721">
      <c r="B12721" s="612"/>
      <c r="H12721" s="612"/>
    </row>
    <row r="12722">
      <c r="B12722" s="612"/>
      <c r="H12722" s="612"/>
    </row>
    <row r="12723">
      <c r="B12723" s="612"/>
      <c r="H12723" s="612"/>
    </row>
    <row r="12724">
      <c r="B12724" s="612"/>
      <c r="H12724" s="612"/>
    </row>
    <row r="12725">
      <c r="B12725" s="612"/>
      <c r="H12725" s="612"/>
    </row>
    <row r="12726">
      <c r="B12726" s="612"/>
      <c r="H12726" s="612"/>
    </row>
    <row r="12727">
      <c r="B12727" s="612"/>
      <c r="H12727" s="612"/>
    </row>
    <row r="12728">
      <c r="B12728" s="612"/>
      <c r="H12728" s="612"/>
    </row>
    <row r="12729">
      <c r="B12729" s="612"/>
      <c r="H12729" s="612"/>
    </row>
    <row r="12730">
      <c r="B12730" s="612"/>
      <c r="H12730" s="612"/>
    </row>
    <row r="12731">
      <c r="B12731" s="612"/>
      <c r="H12731" s="612"/>
    </row>
    <row r="12732">
      <c r="B12732" s="612"/>
      <c r="H12732" s="612"/>
    </row>
    <row r="12733">
      <c r="B12733" s="612"/>
      <c r="H12733" s="612"/>
    </row>
    <row r="12734">
      <c r="B12734" s="612"/>
      <c r="H12734" s="612"/>
    </row>
    <row r="12735">
      <c r="B12735" s="612"/>
      <c r="H12735" s="612"/>
    </row>
    <row r="12736">
      <c r="B12736" s="612"/>
      <c r="H12736" s="612"/>
    </row>
    <row r="12737">
      <c r="B12737" s="612"/>
      <c r="H12737" s="612"/>
    </row>
    <row r="12738">
      <c r="B12738" s="612"/>
      <c r="H12738" s="612"/>
    </row>
    <row r="12739">
      <c r="B12739" s="612"/>
      <c r="H12739" s="612"/>
    </row>
    <row r="12740">
      <c r="B12740" s="612"/>
      <c r="H12740" s="612"/>
    </row>
    <row r="12741">
      <c r="B12741" s="612"/>
      <c r="H12741" s="612"/>
    </row>
    <row r="12742">
      <c r="B12742" s="612"/>
      <c r="H12742" s="612"/>
    </row>
    <row r="12743">
      <c r="B12743" s="612"/>
      <c r="H12743" s="612"/>
    </row>
    <row r="12744">
      <c r="B12744" s="612"/>
      <c r="H12744" s="612"/>
    </row>
    <row r="12745">
      <c r="B12745" s="612"/>
      <c r="H12745" s="612"/>
    </row>
    <row r="12746">
      <c r="B12746" s="612"/>
      <c r="H12746" s="612"/>
    </row>
    <row r="12747">
      <c r="B12747" s="612"/>
      <c r="H12747" s="612"/>
    </row>
    <row r="12748">
      <c r="B12748" s="612"/>
      <c r="H12748" s="612"/>
    </row>
    <row r="12749">
      <c r="B12749" s="612"/>
      <c r="H12749" s="612"/>
    </row>
    <row r="12750">
      <c r="B12750" s="612"/>
      <c r="H12750" s="612"/>
    </row>
    <row r="12751">
      <c r="B12751" s="612"/>
      <c r="H12751" s="612"/>
    </row>
    <row r="12752">
      <c r="B12752" s="612"/>
      <c r="H12752" s="612"/>
    </row>
    <row r="12753">
      <c r="B12753" s="612"/>
      <c r="H12753" s="612"/>
    </row>
    <row r="12754">
      <c r="B12754" s="612"/>
      <c r="H12754" s="612"/>
    </row>
    <row r="12755">
      <c r="B12755" s="612"/>
      <c r="H12755" s="612"/>
    </row>
    <row r="12756">
      <c r="B12756" s="612"/>
      <c r="H12756" s="612"/>
    </row>
    <row r="12757">
      <c r="B12757" s="612"/>
      <c r="H12757" s="612"/>
    </row>
    <row r="12758">
      <c r="B12758" s="612"/>
      <c r="H12758" s="612"/>
    </row>
    <row r="12759">
      <c r="B12759" s="612"/>
      <c r="H12759" s="612"/>
    </row>
    <row r="12760">
      <c r="B12760" s="612"/>
      <c r="H12760" s="612"/>
    </row>
    <row r="12761">
      <c r="B12761" s="612"/>
      <c r="H12761" s="612"/>
    </row>
    <row r="12762">
      <c r="B12762" s="612"/>
      <c r="H12762" s="612"/>
    </row>
    <row r="12763">
      <c r="B12763" s="612"/>
      <c r="H12763" s="612"/>
    </row>
    <row r="12764">
      <c r="B12764" s="612"/>
      <c r="H12764" s="612"/>
    </row>
    <row r="12765">
      <c r="B12765" s="612"/>
      <c r="H12765" s="612"/>
    </row>
    <row r="12766">
      <c r="B12766" s="612"/>
      <c r="H12766" s="612"/>
    </row>
    <row r="12767">
      <c r="B12767" s="612"/>
      <c r="H12767" s="612"/>
    </row>
    <row r="12768">
      <c r="B12768" s="612"/>
      <c r="H12768" s="612"/>
    </row>
    <row r="12769">
      <c r="B12769" s="612"/>
      <c r="H12769" s="612"/>
    </row>
    <row r="12770">
      <c r="B12770" s="612"/>
      <c r="H12770" s="612"/>
    </row>
    <row r="12771">
      <c r="B12771" s="612"/>
      <c r="H12771" s="612"/>
    </row>
    <row r="12772">
      <c r="B12772" s="612"/>
      <c r="H12772" s="612"/>
    </row>
    <row r="12773">
      <c r="B12773" s="612"/>
      <c r="H12773" s="612"/>
    </row>
    <row r="12774">
      <c r="B12774" s="612"/>
      <c r="H12774" s="612"/>
    </row>
    <row r="12775">
      <c r="B12775" s="612"/>
      <c r="H12775" s="612"/>
    </row>
    <row r="12776">
      <c r="B12776" s="612"/>
      <c r="H12776" s="612"/>
    </row>
    <row r="12777">
      <c r="B12777" s="612"/>
      <c r="H12777" s="612"/>
    </row>
    <row r="12778">
      <c r="B12778" s="612"/>
      <c r="H12778" s="612"/>
    </row>
    <row r="12779">
      <c r="B12779" s="612"/>
      <c r="H12779" s="612"/>
    </row>
    <row r="12780">
      <c r="B12780" s="612"/>
      <c r="H12780" s="612"/>
    </row>
    <row r="12781">
      <c r="B12781" s="612"/>
      <c r="H12781" s="612"/>
    </row>
    <row r="12782">
      <c r="B12782" s="612"/>
      <c r="H12782" s="612"/>
    </row>
    <row r="12783">
      <c r="B12783" s="612"/>
      <c r="H12783" s="612"/>
    </row>
    <row r="12784">
      <c r="B12784" s="612"/>
      <c r="H12784" s="612"/>
    </row>
    <row r="12785">
      <c r="B12785" s="612"/>
      <c r="H12785" s="612"/>
    </row>
    <row r="12786">
      <c r="B12786" s="612"/>
      <c r="H12786" s="612"/>
    </row>
    <row r="12787">
      <c r="B12787" s="612"/>
      <c r="H12787" s="612"/>
    </row>
    <row r="12788">
      <c r="B12788" s="612"/>
      <c r="H12788" s="612"/>
    </row>
    <row r="12789">
      <c r="B12789" s="612"/>
      <c r="H12789" s="612"/>
    </row>
    <row r="12790">
      <c r="B12790" s="612"/>
      <c r="H12790" s="612"/>
    </row>
    <row r="12791">
      <c r="B12791" s="612"/>
      <c r="H12791" s="612"/>
    </row>
    <row r="12792">
      <c r="B12792" s="612"/>
      <c r="H12792" s="612"/>
    </row>
    <row r="12793">
      <c r="B12793" s="612"/>
      <c r="H12793" s="612"/>
    </row>
    <row r="12794">
      <c r="B12794" s="612"/>
      <c r="H12794" s="612"/>
    </row>
    <row r="12795">
      <c r="B12795" s="612"/>
      <c r="H12795" s="612"/>
    </row>
    <row r="12796">
      <c r="B12796" s="612"/>
      <c r="H12796" s="612"/>
    </row>
    <row r="12797">
      <c r="B12797" s="612"/>
      <c r="H12797" s="612"/>
    </row>
    <row r="12798">
      <c r="B12798" s="612"/>
      <c r="H12798" s="612"/>
    </row>
    <row r="12799">
      <c r="B12799" s="612"/>
      <c r="H12799" s="612"/>
    </row>
    <row r="12800">
      <c r="B12800" s="612"/>
      <c r="H12800" s="612"/>
    </row>
    <row r="12801">
      <c r="B12801" s="612"/>
      <c r="H12801" s="612"/>
    </row>
    <row r="12802">
      <c r="B12802" s="612"/>
      <c r="H12802" s="612"/>
    </row>
    <row r="12803">
      <c r="B12803" s="612"/>
      <c r="H12803" s="612"/>
    </row>
    <row r="12804">
      <c r="B12804" s="612"/>
      <c r="H12804" s="612"/>
    </row>
    <row r="12805">
      <c r="B12805" s="612"/>
      <c r="H12805" s="612"/>
    </row>
    <row r="12806">
      <c r="B12806" s="612"/>
      <c r="H12806" s="612"/>
    </row>
    <row r="12807">
      <c r="B12807" s="612"/>
      <c r="H12807" s="612"/>
    </row>
    <row r="12808">
      <c r="B12808" s="612"/>
      <c r="H12808" s="612"/>
    </row>
    <row r="12809">
      <c r="B12809" s="612"/>
      <c r="H12809" s="612"/>
    </row>
    <row r="12810">
      <c r="B12810" s="612"/>
      <c r="H12810" s="612"/>
    </row>
    <row r="12811">
      <c r="B12811" s="612"/>
      <c r="H12811" s="612"/>
    </row>
    <row r="12812">
      <c r="B12812" s="612"/>
      <c r="H12812" s="612"/>
    </row>
    <row r="12813">
      <c r="B12813" s="612"/>
      <c r="H12813" s="612"/>
    </row>
    <row r="12814">
      <c r="B12814" s="612"/>
      <c r="H12814" s="612"/>
    </row>
    <row r="12815">
      <c r="B12815" s="612"/>
      <c r="H12815" s="612"/>
    </row>
    <row r="12816">
      <c r="B12816" s="612"/>
      <c r="H12816" s="612"/>
    </row>
    <row r="12817">
      <c r="B12817" s="612"/>
      <c r="H12817" s="612"/>
    </row>
    <row r="12818">
      <c r="B12818" s="612"/>
      <c r="H12818" s="612"/>
    </row>
    <row r="12819">
      <c r="B12819" s="612"/>
      <c r="H12819" s="612"/>
    </row>
    <row r="12820">
      <c r="B12820" s="612"/>
      <c r="H12820" s="612"/>
    </row>
    <row r="12821">
      <c r="B12821" s="612"/>
      <c r="H12821" s="612"/>
    </row>
    <row r="12822">
      <c r="B12822" s="612"/>
      <c r="H12822" s="612"/>
    </row>
    <row r="12823">
      <c r="B12823" s="612"/>
      <c r="H12823" s="612"/>
    </row>
    <row r="12824">
      <c r="B12824" s="612"/>
      <c r="H12824" s="612"/>
    </row>
    <row r="12825">
      <c r="B12825" s="612"/>
      <c r="H12825" s="612"/>
    </row>
    <row r="12826">
      <c r="B12826" s="612"/>
      <c r="H12826" s="612"/>
    </row>
    <row r="12827">
      <c r="B12827" s="612"/>
      <c r="H12827" s="612"/>
    </row>
    <row r="12828">
      <c r="B12828" s="612"/>
      <c r="H12828" s="612"/>
    </row>
    <row r="12829">
      <c r="B12829" s="612"/>
      <c r="H12829" s="612"/>
    </row>
    <row r="12830">
      <c r="B12830" s="612"/>
      <c r="H12830" s="612"/>
    </row>
    <row r="12831">
      <c r="B12831" s="612"/>
      <c r="H12831" s="612"/>
    </row>
    <row r="12832">
      <c r="B12832" s="612"/>
      <c r="H12832" s="612"/>
    </row>
    <row r="12833">
      <c r="B12833" s="612"/>
      <c r="H12833" s="612"/>
    </row>
    <row r="12834">
      <c r="B12834" s="612"/>
      <c r="H12834" s="612"/>
    </row>
    <row r="12835">
      <c r="B12835" s="612"/>
      <c r="H12835" s="612"/>
    </row>
    <row r="12836">
      <c r="B12836" s="612"/>
      <c r="H12836" s="612"/>
    </row>
    <row r="12837">
      <c r="B12837" s="612"/>
      <c r="H12837" s="612"/>
    </row>
    <row r="12838">
      <c r="B12838" s="612"/>
      <c r="H12838" s="612"/>
    </row>
    <row r="12839">
      <c r="B12839" s="612"/>
      <c r="H12839" s="612"/>
    </row>
    <row r="12840">
      <c r="B12840" s="612"/>
      <c r="H12840" s="612"/>
    </row>
    <row r="12841">
      <c r="B12841" s="612"/>
      <c r="H12841" s="612"/>
    </row>
    <row r="12842">
      <c r="B12842" s="612"/>
      <c r="H12842" s="612"/>
    </row>
    <row r="12843">
      <c r="B12843" s="612"/>
      <c r="H12843" s="612"/>
    </row>
    <row r="12844">
      <c r="B12844" s="612"/>
      <c r="H12844" s="612"/>
    </row>
    <row r="12845">
      <c r="B12845" s="612"/>
      <c r="H12845" s="612"/>
    </row>
    <row r="12846">
      <c r="B12846" s="612"/>
      <c r="H12846" s="612"/>
    </row>
    <row r="12847">
      <c r="B12847" s="612"/>
      <c r="H12847" s="612"/>
    </row>
    <row r="12848">
      <c r="B12848" s="612"/>
      <c r="H12848" s="612"/>
    </row>
    <row r="12849">
      <c r="B12849" s="612"/>
      <c r="H12849" s="612"/>
    </row>
    <row r="12850">
      <c r="B12850" s="612"/>
      <c r="H12850" s="612"/>
    </row>
    <row r="12851">
      <c r="B12851" s="612"/>
      <c r="H12851" s="612"/>
    </row>
    <row r="12852">
      <c r="B12852" s="612"/>
      <c r="H12852" s="612"/>
    </row>
    <row r="12853">
      <c r="B12853" s="612"/>
      <c r="H12853" s="612"/>
    </row>
    <row r="12854">
      <c r="B12854" s="612"/>
      <c r="H12854" s="612"/>
    </row>
    <row r="12855">
      <c r="B12855" s="612"/>
      <c r="H12855" s="612"/>
    </row>
    <row r="12856">
      <c r="B12856" s="612"/>
      <c r="H12856" s="612"/>
    </row>
    <row r="12857">
      <c r="B12857" s="612"/>
      <c r="H12857" s="612"/>
    </row>
    <row r="12858">
      <c r="B12858" s="612"/>
      <c r="H12858" s="612"/>
    </row>
    <row r="12859">
      <c r="B12859" s="612"/>
      <c r="H12859" s="612"/>
    </row>
    <row r="12860">
      <c r="B12860" s="612"/>
      <c r="H12860" s="612"/>
    </row>
    <row r="12861">
      <c r="B12861" s="612"/>
      <c r="H12861" s="612"/>
    </row>
    <row r="12862">
      <c r="B12862" s="612"/>
      <c r="H12862" s="612"/>
    </row>
    <row r="12863">
      <c r="B12863" s="612"/>
      <c r="H12863" s="612"/>
    </row>
    <row r="12864">
      <c r="B12864" s="612"/>
      <c r="H12864" s="612"/>
    </row>
    <row r="12865">
      <c r="B12865" s="612"/>
      <c r="H12865" s="612"/>
    </row>
    <row r="12866">
      <c r="B12866" s="612"/>
      <c r="H12866" s="612"/>
    </row>
    <row r="12867">
      <c r="B12867" s="612"/>
      <c r="H12867" s="612"/>
    </row>
    <row r="12868">
      <c r="B12868" s="612"/>
      <c r="H12868" s="612"/>
    </row>
    <row r="12869">
      <c r="B12869" s="612"/>
      <c r="H12869" s="612"/>
    </row>
    <row r="12870">
      <c r="B12870" s="612"/>
      <c r="H12870" s="612"/>
    </row>
    <row r="12871">
      <c r="B12871" s="612"/>
      <c r="H12871" s="612"/>
    </row>
    <row r="12872">
      <c r="B12872" s="612"/>
      <c r="H12872" s="612"/>
    </row>
    <row r="12873">
      <c r="B12873" s="612"/>
      <c r="H12873" s="612"/>
    </row>
    <row r="12874">
      <c r="B12874" s="612"/>
      <c r="H12874" s="612"/>
    </row>
    <row r="12875">
      <c r="B12875" s="612"/>
      <c r="H12875" s="612"/>
    </row>
    <row r="12876">
      <c r="B12876" s="612"/>
      <c r="H12876" s="612"/>
    </row>
    <row r="12877">
      <c r="B12877" s="612"/>
      <c r="H12877" s="612"/>
    </row>
    <row r="12878">
      <c r="B12878" s="612"/>
      <c r="H12878" s="612"/>
    </row>
    <row r="12879">
      <c r="B12879" s="612"/>
      <c r="H12879" s="612"/>
    </row>
    <row r="12880">
      <c r="B12880" s="612"/>
      <c r="H12880" s="612"/>
    </row>
    <row r="12881">
      <c r="B12881" s="612"/>
      <c r="H12881" s="612"/>
    </row>
    <row r="12882">
      <c r="B12882" s="612"/>
      <c r="H12882" s="612"/>
    </row>
    <row r="12883">
      <c r="B12883" s="612"/>
      <c r="H12883" s="612"/>
    </row>
    <row r="12884">
      <c r="B12884" s="612"/>
      <c r="H12884" s="612"/>
    </row>
    <row r="12885">
      <c r="B12885" s="612"/>
      <c r="H12885" s="612"/>
    </row>
    <row r="12886">
      <c r="B12886" s="612"/>
      <c r="H12886" s="612"/>
    </row>
    <row r="12887">
      <c r="B12887" s="612"/>
      <c r="H12887" s="612"/>
    </row>
    <row r="12888">
      <c r="B12888" s="612"/>
      <c r="H12888" s="612"/>
    </row>
    <row r="12889">
      <c r="B12889" s="612"/>
      <c r="H12889" s="612"/>
    </row>
    <row r="12890">
      <c r="B12890" s="612"/>
      <c r="H12890" s="612"/>
    </row>
    <row r="12891">
      <c r="B12891" s="612"/>
      <c r="H12891" s="612"/>
    </row>
    <row r="12892">
      <c r="B12892" s="612"/>
      <c r="H12892" s="612"/>
    </row>
    <row r="12893">
      <c r="B12893" s="612"/>
      <c r="H12893" s="612"/>
    </row>
    <row r="12894">
      <c r="B12894" s="612"/>
      <c r="H12894" s="612"/>
    </row>
    <row r="12895">
      <c r="B12895" s="612"/>
      <c r="H12895" s="612"/>
    </row>
    <row r="12896">
      <c r="B12896" s="612"/>
      <c r="H12896" s="612"/>
    </row>
    <row r="12897">
      <c r="B12897" s="612"/>
      <c r="H12897" s="612"/>
    </row>
    <row r="12898">
      <c r="B12898" s="612"/>
      <c r="H12898" s="612"/>
    </row>
    <row r="12899">
      <c r="B12899" s="612"/>
      <c r="H12899" s="612"/>
    </row>
    <row r="12900">
      <c r="B12900" s="612"/>
      <c r="H12900" s="612"/>
    </row>
    <row r="12901">
      <c r="B12901" s="612"/>
      <c r="H12901" s="612"/>
    </row>
    <row r="12902">
      <c r="B12902" s="612"/>
      <c r="H12902" s="612"/>
    </row>
    <row r="12903">
      <c r="B12903" s="612"/>
      <c r="H12903" s="612"/>
    </row>
    <row r="12904">
      <c r="B12904" s="612"/>
      <c r="H12904" s="612"/>
    </row>
    <row r="12905">
      <c r="B12905" s="612"/>
      <c r="H12905" s="612"/>
    </row>
    <row r="12906">
      <c r="B12906" s="612"/>
      <c r="H12906" s="612"/>
    </row>
    <row r="12907">
      <c r="B12907" s="612"/>
      <c r="H12907" s="612"/>
    </row>
    <row r="12908">
      <c r="B12908" s="612"/>
      <c r="H12908" s="612"/>
    </row>
    <row r="12909">
      <c r="B12909" s="612"/>
      <c r="H12909" s="612"/>
    </row>
    <row r="12910">
      <c r="B12910" s="612"/>
      <c r="H12910" s="612"/>
    </row>
    <row r="12911">
      <c r="B12911" s="612"/>
      <c r="H12911" s="612"/>
    </row>
    <row r="12912">
      <c r="B12912" s="612"/>
      <c r="H12912" s="612"/>
    </row>
    <row r="12913">
      <c r="B12913" s="612"/>
      <c r="H12913" s="612"/>
    </row>
    <row r="12914">
      <c r="B12914" s="612"/>
      <c r="H12914" s="612"/>
    </row>
    <row r="12915">
      <c r="B12915" s="612"/>
      <c r="H12915" s="612"/>
    </row>
    <row r="12916">
      <c r="B12916" s="612"/>
      <c r="H12916" s="612"/>
    </row>
    <row r="12917">
      <c r="B12917" s="612"/>
      <c r="H12917" s="612"/>
    </row>
    <row r="12918">
      <c r="B12918" s="612"/>
      <c r="H12918" s="612"/>
    </row>
    <row r="12919">
      <c r="B12919" s="612"/>
      <c r="H12919" s="612"/>
    </row>
    <row r="12920">
      <c r="B12920" s="612"/>
      <c r="H12920" s="612"/>
    </row>
    <row r="12921">
      <c r="B12921" s="612"/>
      <c r="H12921" s="612"/>
    </row>
    <row r="12922">
      <c r="B12922" s="612"/>
      <c r="H12922" s="612"/>
    </row>
    <row r="12923">
      <c r="B12923" s="612"/>
      <c r="H12923" s="612"/>
    </row>
    <row r="12924">
      <c r="B12924" s="612"/>
      <c r="H12924" s="612"/>
    </row>
    <row r="12925">
      <c r="B12925" s="612"/>
      <c r="H12925" s="612"/>
    </row>
    <row r="12926">
      <c r="B12926" s="612"/>
      <c r="H12926" s="612"/>
    </row>
    <row r="12927">
      <c r="B12927" s="612"/>
      <c r="H12927" s="612"/>
    </row>
    <row r="12928">
      <c r="B12928" s="612"/>
      <c r="H12928" s="612"/>
    </row>
    <row r="12929">
      <c r="B12929" s="612"/>
      <c r="H12929" s="612"/>
    </row>
    <row r="12930">
      <c r="B12930" s="612"/>
      <c r="H12930" s="612"/>
    </row>
    <row r="12931">
      <c r="B12931" s="612"/>
      <c r="H12931" s="612"/>
    </row>
    <row r="12932">
      <c r="B12932" s="612"/>
      <c r="H12932" s="612"/>
    </row>
    <row r="12933">
      <c r="B12933" s="612"/>
      <c r="H12933" s="612"/>
    </row>
    <row r="12934">
      <c r="B12934" s="612"/>
      <c r="H12934" s="612"/>
    </row>
    <row r="12935">
      <c r="B12935" s="612"/>
      <c r="H12935" s="612"/>
    </row>
    <row r="12936">
      <c r="B12936" s="612"/>
      <c r="H12936" s="612"/>
    </row>
    <row r="12937">
      <c r="B12937" s="612"/>
      <c r="H12937" s="612"/>
    </row>
    <row r="12938">
      <c r="B12938" s="612"/>
      <c r="H12938" s="612"/>
    </row>
    <row r="12939">
      <c r="B12939" s="612"/>
      <c r="H12939" s="612"/>
    </row>
    <row r="12940">
      <c r="B12940" s="612"/>
      <c r="H12940" s="612"/>
    </row>
    <row r="12941">
      <c r="B12941" s="612"/>
      <c r="H12941" s="612"/>
    </row>
    <row r="12942">
      <c r="B12942" s="612"/>
      <c r="H12942" s="612"/>
    </row>
    <row r="12943">
      <c r="B12943" s="612"/>
      <c r="H12943" s="612"/>
    </row>
    <row r="12944">
      <c r="B12944" s="612"/>
      <c r="H12944" s="612"/>
    </row>
    <row r="12945">
      <c r="B12945" s="612"/>
      <c r="H12945" s="612"/>
    </row>
    <row r="12946">
      <c r="B12946" s="612"/>
      <c r="H12946" s="612"/>
    </row>
    <row r="12947">
      <c r="B12947" s="612"/>
      <c r="H12947" s="612"/>
    </row>
    <row r="12948">
      <c r="B12948" s="612"/>
      <c r="H12948" s="612"/>
    </row>
    <row r="12949">
      <c r="B12949" s="612"/>
      <c r="H12949" s="612"/>
    </row>
    <row r="12950">
      <c r="B12950" s="612"/>
      <c r="H12950" s="612"/>
    </row>
    <row r="12951">
      <c r="B12951" s="612"/>
      <c r="H12951" s="612"/>
    </row>
    <row r="12952">
      <c r="B12952" s="612"/>
      <c r="H12952" s="612"/>
    </row>
    <row r="12953">
      <c r="B12953" s="612"/>
      <c r="H12953" s="612"/>
    </row>
    <row r="12954">
      <c r="B12954" s="612"/>
      <c r="H12954" s="612"/>
    </row>
    <row r="12955">
      <c r="B12955" s="612"/>
      <c r="H12955" s="612"/>
    </row>
    <row r="12956">
      <c r="B12956" s="612"/>
      <c r="H12956" s="612"/>
    </row>
    <row r="12957">
      <c r="B12957" s="612"/>
      <c r="H12957" s="612"/>
    </row>
    <row r="12958">
      <c r="B12958" s="612"/>
      <c r="H12958" s="612"/>
    </row>
    <row r="12959">
      <c r="B12959" s="612"/>
      <c r="H12959" s="612"/>
    </row>
    <row r="12960">
      <c r="B12960" s="612"/>
      <c r="H12960" s="612"/>
    </row>
    <row r="12961">
      <c r="B12961" s="612"/>
      <c r="H12961" s="612"/>
    </row>
    <row r="12962">
      <c r="B12962" s="612"/>
      <c r="H12962" s="612"/>
    </row>
    <row r="12963">
      <c r="B12963" s="612"/>
      <c r="H12963" s="612"/>
    </row>
    <row r="12964">
      <c r="B12964" s="612"/>
      <c r="H12964" s="612"/>
    </row>
    <row r="12965">
      <c r="B12965" s="612"/>
      <c r="H12965" s="612"/>
    </row>
    <row r="12966">
      <c r="B12966" s="612"/>
      <c r="H12966" s="612"/>
    </row>
    <row r="12967">
      <c r="B12967" s="612"/>
      <c r="H12967" s="612"/>
    </row>
    <row r="12968">
      <c r="B12968" s="612"/>
      <c r="H12968" s="612"/>
    </row>
    <row r="12969">
      <c r="B12969" s="612"/>
      <c r="H12969" s="612"/>
    </row>
    <row r="12970">
      <c r="B12970" s="612"/>
      <c r="H12970" s="612"/>
    </row>
    <row r="12971">
      <c r="B12971" s="612"/>
      <c r="H12971" s="612"/>
    </row>
    <row r="12972">
      <c r="B12972" s="612"/>
      <c r="H12972" s="612"/>
    </row>
    <row r="12973">
      <c r="B12973" s="612"/>
      <c r="H12973" s="612"/>
    </row>
    <row r="12974">
      <c r="B12974" s="612"/>
      <c r="H12974" s="612"/>
    </row>
    <row r="12975">
      <c r="B12975" s="612"/>
      <c r="H12975" s="612"/>
    </row>
    <row r="12976">
      <c r="B12976" s="612"/>
      <c r="H12976" s="612"/>
    </row>
    <row r="12977">
      <c r="B12977" s="612"/>
      <c r="H12977" s="612"/>
    </row>
    <row r="12978">
      <c r="B12978" s="612"/>
      <c r="H12978" s="612"/>
    </row>
    <row r="12979">
      <c r="B12979" s="612"/>
      <c r="H12979" s="612"/>
    </row>
    <row r="12980">
      <c r="B12980" s="612"/>
      <c r="H12980" s="612"/>
    </row>
    <row r="12981">
      <c r="B12981" s="612"/>
      <c r="H12981" s="612"/>
    </row>
    <row r="12982">
      <c r="B12982" s="612"/>
      <c r="H12982" s="612"/>
    </row>
    <row r="12983">
      <c r="B12983" s="612"/>
      <c r="H12983" s="612"/>
    </row>
    <row r="12984">
      <c r="B12984" s="612"/>
      <c r="H12984" s="612"/>
    </row>
    <row r="12985">
      <c r="B12985" s="612"/>
      <c r="H12985" s="612"/>
    </row>
    <row r="12986">
      <c r="B12986" s="612"/>
      <c r="H12986" s="612"/>
    </row>
    <row r="12987">
      <c r="B12987" s="612"/>
      <c r="H12987" s="612"/>
    </row>
    <row r="12988">
      <c r="B12988" s="612"/>
      <c r="H12988" s="612"/>
    </row>
    <row r="12989">
      <c r="B12989" s="612"/>
      <c r="H12989" s="612"/>
    </row>
    <row r="12990">
      <c r="B12990" s="612"/>
      <c r="H12990" s="612"/>
    </row>
    <row r="12991">
      <c r="B12991" s="612"/>
      <c r="H12991" s="612"/>
    </row>
    <row r="12992">
      <c r="B12992" s="612"/>
      <c r="H12992" s="612"/>
    </row>
    <row r="12993">
      <c r="B12993" s="612"/>
      <c r="H12993" s="612"/>
    </row>
    <row r="12994">
      <c r="B12994" s="612"/>
      <c r="H12994" s="612"/>
    </row>
    <row r="12995">
      <c r="B12995" s="612"/>
      <c r="H12995" s="612"/>
    </row>
    <row r="12996">
      <c r="B12996" s="612"/>
      <c r="H12996" s="612"/>
    </row>
    <row r="12997">
      <c r="B12997" s="612"/>
      <c r="H12997" s="612"/>
    </row>
    <row r="12998">
      <c r="B12998" s="612"/>
      <c r="H12998" s="612"/>
    </row>
    <row r="12999">
      <c r="B12999" s="612"/>
      <c r="H12999" s="612"/>
    </row>
    <row r="13000">
      <c r="B13000" s="612"/>
      <c r="H13000" s="612"/>
    </row>
    <row r="13001">
      <c r="B13001" s="612"/>
      <c r="H13001" s="612"/>
    </row>
    <row r="13002">
      <c r="B13002" s="612"/>
      <c r="H13002" s="612"/>
    </row>
    <row r="13003">
      <c r="B13003" s="612"/>
      <c r="H13003" s="612"/>
    </row>
    <row r="13004">
      <c r="B13004" s="612"/>
      <c r="H13004" s="612"/>
    </row>
    <row r="13005">
      <c r="B13005" s="612"/>
      <c r="H13005" s="612"/>
    </row>
    <row r="13006">
      <c r="B13006" s="612"/>
      <c r="H13006" s="612"/>
    </row>
    <row r="13007">
      <c r="B13007" s="612"/>
      <c r="H13007" s="612"/>
    </row>
    <row r="13008">
      <c r="B13008" s="612"/>
      <c r="H13008" s="612"/>
    </row>
    <row r="13009">
      <c r="B13009" s="612"/>
      <c r="H13009" s="612"/>
    </row>
    <row r="13010">
      <c r="B13010" s="612"/>
      <c r="H13010" s="612"/>
    </row>
    <row r="13011">
      <c r="B13011" s="612"/>
      <c r="H13011" s="612"/>
    </row>
    <row r="13012">
      <c r="B13012" s="612"/>
      <c r="H13012" s="612"/>
    </row>
    <row r="13013">
      <c r="B13013" s="612"/>
      <c r="H13013" s="612"/>
    </row>
    <row r="13014">
      <c r="B13014" s="612"/>
      <c r="H13014" s="612"/>
    </row>
    <row r="13015">
      <c r="B13015" s="612"/>
      <c r="H13015" s="612"/>
    </row>
    <row r="13016">
      <c r="B13016" s="612"/>
      <c r="H13016" s="612"/>
    </row>
    <row r="13017">
      <c r="B13017" s="612"/>
      <c r="H13017" s="612"/>
    </row>
    <row r="13018">
      <c r="B13018" s="612"/>
      <c r="H13018" s="612"/>
    </row>
    <row r="13019">
      <c r="B13019" s="612"/>
      <c r="H13019" s="612"/>
    </row>
    <row r="13020">
      <c r="B13020" s="612"/>
      <c r="H13020" s="612"/>
    </row>
    <row r="13021">
      <c r="B13021" s="612"/>
      <c r="H13021" s="612"/>
    </row>
    <row r="13022">
      <c r="B13022" s="612"/>
      <c r="H13022" s="612"/>
    </row>
    <row r="13023">
      <c r="B13023" s="612"/>
      <c r="H13023" s="612"/>
    </row>
    <row r="13024">
      <c r="B13024" s="612"/>
      <c r="H13024" s="612"/>
    </row>
    <row r="13025">
      <c r="B13025" s="612"/>
      <c r="H13025" s="612"/>
    </row>
    <row r="13026">
      <c r="B13026" s="612"/>
      <c r="H13026" s="612"/>
    </row>
    <row r="13027">
      <c r="B13027" s="612"/>
      <c r="H13027" s="612"/>
    </row>
    <row r="13028">
      <c r="B13028" s="612"/>
      <c r="H13028" s="612"/>
    </row>
    <row r="13029">
      <c r="B13029" s="612"/>
      <c r="H13029" s="612"/>
    </row>
    <row r="13030">
      <c r="B13030" s="612"/>
      <c r="H13030" s="612"/>
    </row>
    <row r="13031">
      <c r="B13031" s="612"/>
      <c r="H13031" s="612"/>
    </row>
    <row r="13032">
      <c r="B13032" s="612"/>
      <c r="H13032" s="612"/>
    </row>
    <row r="13033">
      <c r="B13033" s="612"/>
      <c r="H13033" s="612"/>
    </row>
    <row r="13034">
      <c r="B13034" s="612"/>
      <c r="H13034" s="612"/>
    </row>
    <row r="13035">
      <c r="B13035" s="612"/>
      <c r="H13035" s="612"/>
    </row>
    <row r="13036">
      <c r="B13036" s="612"/>
      <c r="H13036" s="612"/>
    </row>
    <row r="13037">
      <c r="B13037" s="612"/>
      <c r="H13037" s="612"/>
    </row>
    <row r="13038">
      <c r="B13038" s="612"/>
      <c r="H13038" s="612"/>
    </row>
    <row r="13039">
      <c r="B13039" s="612"/>
      <c r="H13039" s="612"/>
    </row>
    <row r="13040">
      <c r="B13040" s="612"/>
      <c r="H13040" s="612"/>
    </row>
    <row r="13041">
      <c r="B13041" s="612"/>
      <c r="H13041" s="612"/>
    </row>
    <row r="13042">
      <c r="B13042" s="612"/>
      <c r="H13042" s="612"/>
    </row>
    <row r="13043">
      <c r="B13043" s="612"/>
      <c r="H13043" s="612"/>
    </row>
    <row r="13044">
      <c r="B13044" s="612"/>
      <c r="H13044" s="612"/>
    </row>
    <row r="13045">
      <c r="B13045" s="612"/>
      <c r="H13045" s="612"/>
    </row>
    <row r="13046">
      <c r="B13046" s="612"/>
      <c r="H13046" s="612"/>
    </row>
    <row r="13047">
      <c r="B13047" s="612"/>
      <c r="H13047" s="612"/>
    </row>
    <row r="13048">
      <c r="B13048" s="612"/>
      <c r="H13048" s="612"/>
    </row>
    <row r="13049">
      <c r="B13049" s="612"/>
      <c r="H13049" s="612"/>
    </row>
    <row r="13050">
      <c r="B13050" s="612"/>
      <c r="H13050" s="612"/>
    </row>
    <row r="13051">
      <c r="B13051" s="612"/>
      <c r="H13051" s="612"/>
    </row>
    <row r="13052">
      <c r="B13052" s="612"/>
      <c r="H13052" s="612"/>
    </row>
    <row r="13053">
      <c r="B13053" s="612"/>
      <c r="H13053" s="612"/>
    </row>
    <row r="13054">
      <c r="B13054" s="612"/>
      <c r="H13054" s="612"/>
    </row>
    <row r="13055">
      <c r="B13055" s="612"/>
      <c r="H13055" s="612"/>
    </row>
    <row r="13056">
      <c r="B13056" s="612"/>
      <c r="H13056" s="612"/>
    </row>
    <row r="13057">
      <c r="B13057" s="612"/>
      <c r="H13057" s="612"/>
    </row>
    <row r="13058">
      <c r="B13058" s="612"/>
      <c r="H13058" s="612"/>
    </row>
    <row r="13059">
      <c r="B13059" s="612"/>
      <c r="H13059" s="612"/>
    </row>
    <row r="13060">
      <c r="B13060" s="612"/>
      <c r="H13060" s="612"/>
    </row>
    <row r="13061">
      <c r="B13061" s="612"/>
      <c r="H13061" s="612"/>
    </row>
    <row r="13062">
      <c r="B13062" s="612"/>
      <c r="H13062" s="612"/>
    </row>
    <row r="13063">
      <c r="B13063" s="612"/>
      <c r="H13063" s="612"/>
    </row>
    <row r="13064">
      <c r="B13064" s="612"/>
      <c r="H13064" s="612"/>
    </row>
    <row r="13065">
      <c r="B13065" s="612"/>
      <c r="H13065" s="612"/>
    </row>
    <row r="13066">
      <c r="B13066" s="612"/>
      <c r="H13066" s="612"/>
    </row>
    <row r="13067">
      <c r="B13067" s="612"/>
      <c r="H13067" s="612"/>
    </row>
    <row r="13068">
      <c r="B13068" s="612"/>
      <c r="H13068" s="612"/>
    </row>
    <row r="13069">
      <c r="B13069" s="612"/>
      <c r="H13069" s="612"/>
    </row>
    <row r="13070">
      <c r="B13070" s="612"/>
      <c r="H13070" s="612"/>
    </row>
    <row r="13071">
      <c r="B13071" s="612"/>
      <c r="H13071" s="612"/>
    </row>
    <row r="13072">
      <c r="B13072" s="612"/>
      <c r="H13072" s="612"/>
    </row>
    <row r="13073">
      <c r="B13073" s="612"/>
      <c r="H13073" s="612"/>
    </row>
    <row r="13074">
      <c r="B13074" s="612"/>
      <c r="H13074" s="612"/>
    </row>
    <row r="13075">
      <c r="B13075" s="612"/>
      <c r="H13075" s="612"/>
    </row>
    <row r="13076">
      <c r="B13076" s="612"/>
      <c r="H13076" s="612"/>
    </row>
    <row r="13077">
      <c r="B13077" s="612"/>
      <c r="H13077" s="612"/>
    </row>
    <row r="13078">
      <c r="B13078" s="612"/>
      <c r="H13078" s="612"/>
    </row>
    <row r="13079">
      <c r="B13079" s="612"/>
      <c r="H13079" s="612"/>
    </row>
    <row r="13080">
      <c r="B13080" s="612"/>
      <c r="H13080" s="612"/>
    </row>
    <row r="13081">
      <c r="B13081" s="612"/>
      <c r="H13081" s="612"/>
    </row>
    <row r="13082">
      <c r="B13082" s="612"/>
      <c r="H13082" s="612"/>
    </row>
    <row r="13083">
      <c r="B13083" s="612"/>
      <c r="H13083" s="612"/>
    </row>
    <row r="13084">
      <c r="B13084" s="612"/>
      <c r="H13084" s="612"/>
    </row>
    <row r="13085">
      <c r="B13085" s="612"/>
      <c r="H13085" s="612"/>
    </row>
    <row r="13086">
      <c r="B13086" s="612"/>
      <c r="H13086" s="612"/>
    </row>
    <row r="13087">
      <c r="B13087" s="612"/>
      <c r="H13087" s="612"/>
    </row>
    <row r="13088">
      <c r="B13088" s="612"/>
      <c r="H13088" s="612"/>
    </row>
    <row r="13089">
      <c r="B13089" s="612"/>
      <c r="H13089" s="612"/>
    </row>
    <row r="13090">
      <c r="B13090" s="612"/>
      <c r="H13090" s="612"/>
    </row>
    <row r="13091">
      <c r="B13091" s="612"/>
      <c r="H13091" s="612"/>
    </row>
    <row r="13092">
      <c r="B13092" s="612"/>
      <c r="H13092" s="612"/>
    </row>
    <row r="13093">
      <c r="B13093" s="612"/>
      <c r="H13093" s="612"/>
    </row>
    <row r="13094">
      <c r="B13094" s="612"/>
      <c r="H13094" s="612"/>
    </row>
    <row r="13095">
      <c r="B13095" s="612"/>
      <c r="H13095" s="612"/>
    </row>
    <row r="13096">
      <c r="B13096" s="612"/>
      <c r="H13096" s="612"/>
    </row>
    <row r="13097">
      <c r="B13097" s="612"/>
      <c r="H13097" s="612"/>
    </row>
    <row r="13098">
      <c r="B13098" s="612"/>
      <c r="H13098" s="612"/>
    </row>
    <row r="13099">
      <c r="B13099" s="612"/>
      <c r="H13099" s="612"/>
    </row>
    <row r="13100">
      <c r="B13100" s="612"/>
      <c r="H13100" s="612"/>
    </row>
    <row r="13101">
      <c r="B13101" s="612"/>
      <c r="H13101" s="612"/>
    </row>
    <row r="13102">
      <c r="B13102" s="612"/>
      <c r="H13102" s="612"/>
    </row>
    <row r="13103">
      <c r="B13103" s="612"/>
      <c r="H13103" s="612"/>
    </row>
    <row r="13104">
      <c r="B13104" s="612"/>
      <c r="H13104" s="612"/>
    </row>
    <row r="13105">
      <c r="B13105" s="612"/>
      <c r="H13105" s="612"/>
    </row>
    <row r="13106">
      <c r="B13106" s="612"/>
      <c r="H13106" s="612"/>
    </row>
    <row r="13107">
      <c r="B13107" s="612"/>
      <c r="H13107" s="612"/>
    </row>
    <row r="13108">
      <c r="B13108" s="612"/>
      <c r="H13108" s="612"/>
    </row>
    <row r="13109">
      <c r="B13109" s="612"/>
      <c r="H13109" s="612"/>
    </row>
    <row r="13110">
      <c r="B13110" s="612"/>
      <c r="H13110" s="612"/>
    </row>
    <row r="13111">
      <c r="B13111" s="612"/>
      <c r="H13111" s="612"/>
    </row>
    <row r="13112">
      <c r="B13112" s="612"/>
      <c r="H13112" s="612"/>
    </row>
    <row r="13113">
      <c r="B13113" s="612"/>
      <c r="H13113" s="612"/>
    </row>
    <row r="13114">
      <c r="B13114" s="612"/>
      <c r="H13114" s="612"/>
    </row>
    <row r="13115">
      <c r="B13115" s="612"/>
      <c r="H13115" s="612"/>
    </row>
    <row r="13116">
      <c r="B13116" s="612"/>
      <c r="H13116" s="612"/>
    </row>
    <row r="13117">
      <c r="B13117" s="612"/>
      <c r="H13117" s="612"/>
    </row>
    <row r="13118">
      <c r="B13118" s="612"/>
      <c r="H13118" s="612"/>
    </row>
    <row r="13119">
      <c r="B13119" s="612"/>
      <c r="H13119" s="612"/>
    </row>
    <row r="13120">
      <c r="B13120" s="612"/>
      <c r="H13120" s="612"/>
    </row>
    <row r="13121">
      <c r="B13121" s="612"/>
      <c r="H13121" s="612"/>
    </row>
    <row r="13122">
      <c r="B13122" s="612"/>
      <c r="H13122" s="612"/>
    </row>
    <row r="13123">
      <c r="B13123" s="612"/>
      <c r="H13123" s="612"/>
    </row>
    <row r="13124">
      <c r="B13124" s="612"/>
      <c r="H13124" s="612"/>
    </row>
    <row r="13125">
      <c r="B13125" s="612"/>
      <c r="H13125" s="612"/>
    </row>
    <row r="13126">
      <c r="B13126" s="612"/>
      <c r="H13126" s="612"/>
    </row>
    <row r="13127">
      <c r="B13127" s="612"/>
      <c r="H13127" s="612"/>
    </row>
    <row r="13128">
      <c r="B13128" s="612"/>
      <c r="H13128" s="612"/>
    </row>
    <row r="13129">
      <c r="B13129" s="612"/>
      <c r="H13129" s="612"/>
    </row>
    <row r="13130">
      <c r="B13130" s="612"/>
      <c r="H13130" s="612"/>
    </row>
    <row r="13131">
      <c r="B13131" s="612"/>
      <c r="H13131" s="612"/>
    </row>
    <row r="13132">
      <c r="B13132" s="612"/>
      <c r="H13132" s="612"/>
    </row>
    <row r="13133">
      <c r="B13133" s="612"/>
      <c r="H13133" s="612"/>
    </row>
    <row r="13134">
      <c r="B13134" s="612"/>
      <c r="H13134" s="612"/>
    </row>
    <row r="13135">
      <c r="B13135" s="612"/>
      <c r="H13135" s="612"/>
    </row>
    <row r="13136">
      <c r="B13136" s="612"/>
      <c r="H13136" s="612"/>
    </row>
    <row r="13137">
      <c r="B13137" s="612"/>
      <c r="H13137" s="612"/>
    </row>
    <row r="13138">
      <c r="B13138" s="612"/>
      <c r="H13138" s="612"/>
    </row>
    <row r="13139">
      <c r="B13139" s="612"/>
      <c r="H13139" s="612"/>
    </row>
    <row r="13140">
      <c r="B13140" s="612"/>
      <c r="H13140" s="612"/>
    </row>
    <row r="13141">
      <c r="B13141" s="612"/>
      <c r="H13141" s="612"/>
    </row>
    <row r="13142">
      <c r="B13142" s="612"/>
      <c r="H13142" s="612"/>
    </row>
    <row r="13143">
      <c r="B13143" s="612"/>
      <c r="H13143" s="612"/>
    </row>
    <row r="13144">
      <c r="B13144" s="612"/>
      <c r="H13144" s="612"/>
    </row>
    <row r="13145">
      <c r="B13145" s="612"/>
      <c r="H13145" s="612"/>
    </row>
    <row r="13146">
      <c r="B13146" s="612"/>
      <c r="H13146" s="612"/>
    </row>
    <row r="13147">
      <c r="B13147" s="612"/>
      <c r="H13147" s="612"/>
    </row>
    <row r="13148">
      <c r="B13148" s="612"/>
      <c r="H13148" s="612"/>
    </row>
    <row r="13149">
      <c r="B13149" s="612"/>
      <c r="H13149" s="612"/>
    </row>
    <row r="13150">
      <c r="B13150" s="612"/>
      <c r="H13150" s="612"/>
    </row>
    <row r="13151">
      <c r="B13151" s="612"/>
      <c r="H13151" s="612"/>
    </row>
    <row r="13152">
      <c r="B13152" s="612"/>
      <c r="H13152" s="612"/>
    </row>
    <row r="13153">
      <c r="B13153" s="612"/>
      <c r="H13153" s="612"/>
    </row>
    <row r="13154">
      <c r="B13154" s="612"/>
      <c r="H13154" s="612"/>
    </row>
    <row r="13155">
      <c r="B13155" s="612"/>
      <c r="H13155" s="612"/>
    </row>
    <row r="13156">
      <c r="B13156" s="612"/>
      <c r="H13156" s="612"/>
    </row>
    <row r="13157">
      <c r="B13157" s="612"/>
      <c r="H13157" s="612"/>
    </row>
    <row r="13158">
      <c r="B13158" s="612"/>
      <c r="H13158" s="612"/>
    </row>
    <row r="13159">
      <c r="B13159" s="612"/>
      <c r="H13159" s="612"/>
    </row>
    <row r="13160">
      <c r="B13160" s="612"/>
      <c r="H13160" s="612"/>
    </row>
    <row r="13161">
      <c r="B13161" s="612"/>
      <c r="H13161" s="612"/>
    </row>
    <row r="13162">
      <c r="B13162" s="612"/>
      <c r="H13162" s="612"/>
    </row>
    <row r="13163">
      <c r="B13163" s="612"/>
      <c r="H13163" s="612"/>
    </row>
    <row r="13164">
      <c r="B13164" s="612"/>
      <c r="H13164" s="612"/>
    </row>
    <row r="13165">
      <c r="B13165" s="612"/>
      <c r="H13165" s="612"/>
    </row>
    <row r="13166">
      <c r="B13166" s="612"/>
      <c r="H13166" s="612"/>
    </row>
    <row r="13167">
      <c r="B13167" s="612"/>
      <c r="H13167" s="612"/>
    </row>
    <row r="13168">
      <c r="B13168" s="612"/>
      <c r="H13168" s="612"/>
    </row>
    <row r="13169">
      <c r="B13169" s="612"/>
      <c r="H13169" s="612"/>
    </row>
    <row r="13170">
      <c r="B13170" s="612"/>
      <c r="H13170" s="612"/>
    </row>
    <row r="13171">
      <c r="B13171" s="612"/>
      <c r="H13171" s="612"/>
    </row>
    <row r="13172">
      <c r="B13172" s="612"/>
      <c r="H13172" s="612"/>
    </row>
    <row r="13173">
      <c r="B13173" s="612"/>
      <c r="H13173" s="612"/>
    </row>
    <row r="13174">
      <c r="B13174" s="612"/>
      <c r="H13174" s="612"/>
    </row>
    <row r="13175">
      <c r="B13175" s="612"/>
      <c r="H13175" s="612"/>
    </row>
    <row r="13176">
      <c r="B13176" s="612"/>
      <c r="H13176" s="612"/>
    </row>
    <row r="13177">
      <c r="B13177" s="612"/>
      <c r="H13177" s="612"/>
    </row>
    <row r="13178">
      <c r="B13178" s="612"/>
      <c r="H13178" s="612"/>
    </row>
    <row r="13179">
      <c r="B13179" s="612"/>
      <c r="H13179" s="612"/>
    </row>
    <row r="13180">
      <c r="B13180" s="612"/>
      <c r="H13180" s="612"/>
    </row>
    <row r="13181">
      <c r="B13181" s="612"/>
      <c r="H13181" s="612"/>
    </row>
    <row r="13182">
      <c r="B13182" s="612"/>
      <c r="H13182" s="612"/>
    </row>
    <row r="13183">
      <c r="B13183" s="612"/>
      <c r="H13183" s="612"/>
    </row>
    <row r="13184">
      <c r="B13184" s="612"/>
      <c r="H13184" s="612"/>
    </row>
    <row r="13185">
      <c r="B13185" s="612"/>
      <c r="H13185" s="612"/>
    </row>
    <row r="13186">
      <c r="B13186" s="612"/>
      <c r="H13186" s="612"/>
    </row>
    <row r="13187">
      <c r="B13187" s="612"/>
      <c r="H13187" s="612"/>
    </row>
    <row r="13188">
      <c r="B13188" s="612"/>
      <c r="H13188" s="612"/>
    </row>
    <row r="13189">
      <c r="B13189" s="612"/>
      <c r="H13189" s="612"/>
    </row>
    <row r="13190">
      <c r="B13190" s="612"/>
      <c r="H13190" s="612"/>
    </row>
    <row r="13191">
      <c r="B13191" s="612"/>
      <c r="H13191" s="612"/>
    </row>
    <row r="13192">
      <c r="B13192" s="612"/>
      <c r="H13192" s="612"/>
    </row>
    <row r="13193">
      <c r="B13193" s="612"/>
      <c r="H13193" s="612"/>
    </row>
    <row r="13194">
      <c r="B13194" s="612"/>
      <c r="H13194" s="612"/>
    </row>
    <row r="13195">
      <c r="B13195" s="612"/>
      <c r="H13195" s="612"/>
    </row>
    <row r="13196">
      <c r="B13196" s="612"/>
      <c r="H13196" s="612"/>
    </row>
    <row r="13197">
      <c r="B13197" s="612"/>
      <c r="H13197" s="612"/>
    </row>
    <row r="13198">
      <c r="B13198" s="612"/>
      <c r="H13198" s="612"/>
    </row>
    <row r="13199">
      <c r="B13199" s="612"/>
      <c r="H13199" s="612"/>
    </row>
    <row r="13200">
      <c r="B13200" s="612"/>
      <c r="H13200" s="612"/>
    </row>
    <row r="13201">
      <c r="B13201" s="612"/>
      <c r="H13201" s="612"/>
    </row>
    <row r="13202">
      <c r="B13202" s="612"/>
      <c r="H13202" s="612"/>
    </row>
    <row r="13203">
      <c r="B13203" s="612"/>
      <c r="H13203" s="612"/>
    </row>
    <row r="13204">
      <c r="B13204" s="612"/>
      <c r="H13204" s="612"/>
    </row>
    <row r="13205">
      <c r="B13205" s="612"/>
      <c r="H13205" s="612"/>
    </row>
    <row r="13206">
      <c r="B13206" s="612"/>
      <c r="H13206" s="612"/>
    </row>
    <row r="13207">
      <c r="B13207" s="612"/>
      <c r="H13207" s="612"/>
    </row>
    <row r="13208">
      <c r="B13208" s="612"/>
      <c r="H13208" s="612"/>
    </row>
    <row r="13209">
      <c r="B13209" s="612"/>
      <c r="H13209" s="612"/>
    </row>
    <row r="13210">
      <c r="B13210" s="612"/>
      <c r="H13210" s="612"/>
    </row>
    <row r="13211">
      <c r="B13211" s="612"/>
      <c r="H13211" s="612"/>
    </row>
    <row r="13212">
      <c r="B13212" s="612"/>
      <c r="H13212" s="612"/>
    </row>
    <row r="13213">
      <c r="B13213" s="612"/>
      <c r="H13213" s="612"/>
    </row>
    <row r="13214">
      <c r="B13214" s="612"/>
      <c r="H13214" s="612"/>
    </row>
    <row r="13215">
      <c r="B13215" s="612"/>
      <c r="H13215" s="612"/>
    </row>
    <row r="13216">
      <c r="B13216" s="612"/>
      <c r="H13216" s="612"/>
    </row>
    <row r="13217">
      <c r="B13217" s="612"/>
      <c r="H13217" s="612"/>
    </row>
    <row r="13218">
      <c r="B13218" s="612"/>
      <c r="H13218" s="612"/>
    </row>
    <row r="13219">
      <c r="B13219" s="612"/>
      <c r="H13219" s="612"/>
    </row>
    <row r="13220">
      <c r="B13220" s="612"/>
      <c r="H13220" s="612"/>
    </row>
    <row r="13221">
      <c r="B13221" s="612"/>
      <c r="H13221" s="612"/>
    </row>
    <row r="13222">
      <c r="B13222" s="612"/>
      <c r="H13222" s="612"/>
    </row>
    <row r="13223">
      <c r="B13223" s="612"/>
      <c r="H13223" s="612"/>
    </row>
    <row r="13224">
      <c r="B13224" s="612"/>
      <c r="H13224" s="612"/>
    </row>
    <row r="13225">
      <c r="B13225" s="612"/>
      <c r="H13225" s="612"/>
    </row>
    <row r="13226">
      <c r="B13226" s="612"/>
      <c r="H13226" s="612"/>
    </row>
    <row r="13227">
      <c r="B13227" s="612"/>
      <c r="H13227" s="612"/>
    </row>
    <row r="13228">
      <c r="B13228" s="612"/>
      <c r="H13228" s="612"/>
    </row>
    <row r="13229">
      <c r="B13229" s="612"/>
      <c r="H13229" s="612"/>
    </row>
    <row r="13230">
      <c r="B13230" s="612"/>
      <c r="H13230" s="612"/>
    </row>
    <row r="13231">
      <c r="B13231" s="612"/>
      <c r="H13231" s="612"/>
    </row>
    <row r="13232">
      <c r="B13232" s="612"/>
      <c r="H13232" s="612"/>
    </row>
    <row r="13233">
      <c r="B13233" s="612"/>
      <c r="H13233" s="612"/>
    </row>
    <row r="13234">
      <c r="B13234" s="612"/>
      <c r="H13234" s="612"/>
    </row>
    <row r="13235">
      <c r="B13235" s="612"/>
      <c r="H13235" s="612"/>
    </row>
    <row r="13236">
      <c r="B13236" s="612"/>
      <c r="H13236" s="612"/>
    </row>
    <row r="13237">
      <c r="B13237" s="612"/>
      <c r="H13237" s="612"/>
    </row>
    <row r="13238">
      <c r="B13238" s="612"/>
      <c r="H13238" s="612"/>
    </row>
    <row r="13239">
      <c r="B13239" s="612"/>
      <c r="H13239" s="612"/>
    </row>
    <row r="13240">
      <c r="B13240" s="612"/>
      <c r="H13240" s="612"/>
    </row>
    <row r="13241">
      <c r="B13241" s="612"/>
      <c r="H13241" s="612"/>
    </row>
    <row r="13242">
      <c r="B13242" s="612"/>
      <c r="H13242" s="612"/>
    </row>
    <row r="13243">
      <c r="B13243" s="612"/>
      <c r="H13243" s="612"/>
    </row>
    <row r="13244">
      <c r="B13244" s="612"/>
      <c r="H13244" s="612"/>
    </row>
    <row r="13245">
      <c r="B13245" s="612"/>
      <c r="H13245" s="612"/>
    </row>
    <row r="13246">
      <c r="B13246" s="612"/>
      <c r="H13246" s="612"/>
    </row>
    <row r="13247">
      <c r="B13247" s="612"/>
      <c r="H13247" s="612"/>
    </row>
    <row r="13248">
      <c r="B13248" s="612"/>
      <c r="H13248" s="612"/>
    </row>
    <row r="13249">
      <c r="B13249" s="612"/>
      <c r="H13249" s="612"/>
    </row>
    <row r="13250">
      <c r="B13250" s="612"/>
      <c r="H13250" s="612"/>
    </row>
    <row r="13251">
      <c r="B13251" s="612"/>
      <c r="H13251" s="612"/>
    </row>
    <row r="13252">
      <c r="B13252" s="612"/>
      <c r="H13252" s="612"/>
    </row>
    <row r="13253">
      <c r="B13253" s="612"/>
      <c r="H13253" s="612"/>
    </row>
    <row r="13254">
      <c r="B13254" s="612"/>
      <c r="H13254" s="612"/>
    </row>
    <row r="13255">
      <c r="B13255" s="612"/>
      <c r="H13255" s="612"/>
    </row>
    <row r="13256">
      <c r="B13256" s="612"/>
      <c r="H13256" s="612"/>
    </row>
    <row r="13257">
      <c r="B13257" s="612"/>
      <c r="H13257" s="612"/>
    </row>
    <row r="13258">
      <c r="B13258" s="612"/>
      <c r="H13258" s="612"/>
    </row>
    <row r="13259">
      <c r="B13259" s="612"/>
      <c r="H13259" s="612"/>
    </row>
    <row r="13260">
      <c r="B13260" s="612"/>
      <c r="H13260" s="612"/>
    </row>
    <row r="13261">
      <c r="B13261" s="612"/>
      <c r="H13261" s="612"/>
    </row>
    <row r="13262">
      <c r="B13262" s="612"/>
      <c r="H13262" s="612"/>
    </row>
    <row r="13263">
      <c r="B13263" s="612"/>
      <c r="H13263" s="612"/>
    </row>
    <row r="13264">
      <c r="B13264" s="612"/>
      <c r="H13264" s="612"/>
    </row>
    <row r="13265">
      <c r="B13265" s="612"/>
      <c r="H13265" s="612"/>
    </row>
    <row r="13266">
      <c r="B13266" s="612"/>
      <c r="H13266" s="612"/>
    </row>
    <row r="13267">
      <c r="B13267" s="612"/>
      <c r="H13267" s="612"/>
    </row>
    <row r="13268">
      <c r="B13268" s="612"/>
      <c r="H13268" s="612"/>
    </row>
    <row r="13269">
      <c r="B13269" s="612"/>
      <c r="H13269" s="612"/>
    </row>
    <row r="13270">
      <c r="B13270" s="612"/>
      <c r="H13270" s="612"/>
    </row>
    <row r="13271">
      <c r="B13271" s="612"/>
      <c r="H13271" s="612"/>
    </row>
    <row r="13272">
      <c r="B13272" s="612"/>
      <c r="H13272" s="612"/>
    </row>
    <row r="13273">
      <c r="B13273" s="612"/>
      <c r="H13273" s="612"/>
    </row>
    <row r="13274">
      <c r="B13274" s="612"/>
      <c r="H13274" s="612"/>
    </row>
    <row r="13275">
      <c r="B13275" s="612"/>
      <c r="H13275" s="612"/>
    </row>
    <row r="13276">
      <c r="B13276" s="612"/>
      <c r="H13276" s="612"/>
    </row>
    <row r="13277">
      <c r="B13277" s="612"/>
      <c r="H13277" s="612"/>
    </row>
    <row r="13278">
      <c r="B13278" s="612"/>
      <c r="H13278" s="612"/>
    </row>
    <row r="13279">
      <c r="B13279" s="612"/>
      <c r="H13279" s="612"/>
    </row>
    <row r="13280">
      <c r="B13280" s="612"/>
      <c r="H13280" s="612"/>
    </row>
    <row r="13281">
      <c r="B13281" s="612"/>
      <c r="H13281" s="612"/>
    </row>
    <row r="13282">
      <c r="B13282" s="612"/>
      <c r="H13282" s="612"/>
    </row>
    <row r="13283">
      <c r="B13283" s="612"/>
      <c r="H13283" s="612"/>
    </row>
    <row r="13284">
      <c r="B13284" s="612"/>
      <c r="H13284" s="612"/>
    </row>
    <row r="13285">
      <c r="B13285" s="612"/>
      <c r="H13285" s="612"/>
    </row>
    <row r="13286">
      <c r="B13286" s="612"/>
      <c r="H13286" s="612"/>
    </row>
    <row r="13287">
      <c r="B13287" s="612"/>
      <c r="H13287" s="612"/>
    </row>
    <row r="13288">
      <c r="B13288" s="612"/>
      <c r="H13288" s="612"/>
    </row>
    <row r="13289">
      <c r="B13289" s="612"/>
      <c r="H13289" s="612"/>
    </row>
    <row r="13290">
      <c r="B13290" s="612"/>
      <c r="H13290" s="612"/>
    </row>
    <row r="13291">
      <c r="B13291" s="612"/>
      <c r="H13291" s="612"/>
    </row>
    <row r="13292">
      <c r="B13292" s="612"/>
      <c r="H13292" s="612"/>
    </row>
    <row r="13293">
      <c r="B13293" s="612"/>
      <c r="H13293" s="612"/>
    </row>
    <row r="13294">
      <c r="B13294" s="612"/>
      <c r="H13294" s="612"/>
    </row>
    <row r="13295">
      <c r="B13295" s="612"/>
      <c r="H13295" s="612"/>
    </row>
    <row r="13296">
      <c r="B13296" s="612"/>
      <c r="H13296" s="612"/>
    </row>
    <row r="13297">
      <c r="B13297" s="612"/>
      <c r="H13297" s="612"/>
    </row>
    <row r="13298">
      <c r="B13298" s="612"/>
      <c r="H13298" s="612"/>
    </row>
    <row r="13299">
      <c r="B13299" s="612"/>
      <c r="H13299" s="612"/>
    </row>
    <row r="13300">
      <c r="B13300" s="612"/>
      <c r="H13300" s="612"/>
    </row>
    <row r="13301">
      <c r="B13301" s="612"/>
      <c r="H13301" s="612"/>
    </row>
    <row r="13302">
      <c r="B13302" s="612"/>
      <c r="H13302" s="612"/>
    </row>
    <row r="13303">
      <c r="B13303" s="612"/>
      <c r="H13303" s="612"/>
    </row>
    <row r="13304">
      <c r="B13304" s="612"/>
      <c r="H13304" s="612"/>
    </row>
    <row r="13305">
      <c r="B13305" s="612"/>
      <c r="H13305" s="612"/>
    </row>
    <row r="13306">
      <c r="B13306" s="612"/>
      <c r="H13306" s="612"/>
    </row>
    <row r="13307">
      <c r="B13307" s="612"/>
      <c r="H13307" s="612"/>
    </row>
    <row r="13308">
      <c r="B13308" s="612"/>
      <c r="H13308" s="612"/>
    </row>
    <row r="13309">
      <c r="B13309" s="612"/>
      <c r="H13309" s="612"/>
    </row>
    <row r="13310">
      <c r="B13310" s="612"/>
      <c r="H13310" s="612"/>
    </row>
    <row r="13311">
      <c r="B13311" s="612"/>
      <c r="H13311" s="612"/>
    </row>
    <row r="13312">
      <c r="B13312" s="612"/>
      <c r="H13312" s="612"/>
    </row>
    <row r="13313">
      <c r="B13313" s="612"/>
      <c r="H13313" s="612"/>
    </row>
    <row r="13314">
      <c r="B13314" s="612"/>
      <c r="H13314" s="612"/>
    </row>
    <row r="13315">
      <c r="B13315" s="612"/>
      <c r="H13315" s="612"/>
    </row>
    <row r="13316">
      <c r="B13316" s="612"/>
      <c r="H13316" s="612"/>
    </row>
    <row r="13317">
      <c r="B13317" s="612"/>
      <c r="H13317" s="612"/>
    </row>
    <row r="13318">
      <c r="B13318" s="612"/>
      <c r="H13318" s="612"/>
    </row>
    <row r="13319">
      <c r="B13319" s="612"/>
      <c r="H13319" s="612"/>
    </row>
    <row r="13320">
      <c r="B13320" s="612"/>
      <c r="H13320" s="612"/>
    </row>
    <row r="13321">
      <c r="B13321" s="612"/>
      <c r="H13321" s="612"/>
    </row>
    <row r="13322">
      <c r="B13322" s="612"/>
      <c r="H13322" s="612"/>
    </row>
    <row r="13323">
      <c r="B13323" s="612"/>
      <c r="H13323" s="612"/>
    </row>
    <row r="13324">
      <c r="B13324" s="612"/>
      <c r="H13324" s="612"/>
    </row>
    <row r="13325">
      <c r="B13325" s="612"/>
      <c r="H13325" s="612"/>
    </row>
    <row r="13326">
      <c r="B13326" s="612"/>
      <c r="H13326" s="612"/>
    </row>
    <row r="13327">
      <c r="B13327" s="612"/>
      <c r="H13327" s="612"/>
    </row>
    <row r="13328">
      <c r="B13328" s="612"/>
      <c r="H13328" s="612"/>
    </row>
    <row r="13329">
      <c r="B13329" s="612"/>
      <c r="H13329" s="612"/>
    </row>
    <row r="13330">
      <c r="B13330" s="612"/>
      <c r="H13330" s="612"/>
    </row>
    <row r="13331">
      <c r="B13331" s="612"/>
      <c r="H13331" s="612"/>
    </row>
    <row r="13332">
      <c r="B13332" s="612"/>
      <c r="H13332" s="612"/>
    </row>
    <row r="13333">
      <c r="B13333" s="612"/>
      <c r="H13333" s="612"/>
    </row>
    <row r="13334">
      <c r="B13334" s="612"/>
      <c r="H13334" s="612"/>
    </row>
    <row r="13335">
      <c r="B13335" s="612"/>
      <c r="H13335" s="612"/>
    </row>
    <row r="13336">
      <c r="B13336" s="612"/>
      <c r="H13336" s="612"/>
    </row>
    <row r="13337">
      <c r="B13337" s="612"/>
      <c r="H13337" s="612"/>
    </row>
    <row r="13338">
      <c r="B13338" s="612"/>
      <c r="H13338" s="612"/>
    </row>
    <row r="13339">
      <c r="B13339" s="612"/>
      <c r="H13339" s="612"/>
    </row>
    <row r="13340">
      <c r="B13340" s="612"/>
      <c r="H13340" s="612"/>
    </row>
    <row r="13341">
      <c r="B13341" s="612"/>
      <c r="H13341" s="612"/>
    </row>
    <row r="13342">
      <c r="B13342" s="612"/>
      <c r="H13342" s="612"/>
    </row>
    <row r="13343">
      <c r="B13343" s="612"/>
      <c r="H13343" s="612"/>
    </row>
    <row r="13344">
      <c r="B13344" s="612"/>
      <c r="H13344" s="612"/>
    </row>
    <row r="13345">
      <c r="B13345" s="612"/>
      <c r="H13345" s="612"/>
    </row>
    <row r="13346">
      <c r="B13346" s="612"/>
      <c r="H13346" s="612"/>
    </row>
    <row r="13347">
      <c r="B13347" s="612"/>
      <c r="H13347" s="612"/>
    </row>
    <row r="13348">
      <c r="B13348" s="612"/>
      <c r="H13348" s="612"/>
    </row>
    <row r="13349">
      <c r="B13349" s="612"/>
      <c r="H13349" s="612"/>
    </row>
    <row r="13350">
      <c r="B13350" s="612"/>
      <c r="H13350" s="612"/>
    </row>
    <row r="13351">
      <c r="B13351" s="612"/>
      <c r="H13351" s="612"/>
    </row>
    <row r="13352">
      <c r="B13352" s="612"/>
      <c r="H13352" s="612"/>
    </row>
    <row r="13353">
      <c r="B13353" s="612"/>
      <c r="H13353" s="612"/>
    </row>
    <row r="13354">
      <c r="B13354" s="612"/>
      <c r="H13354" s="612"/>
    </row>
    <row r="13355">
      <c r="B13355" s="612"/>
      <c r="H13355" s="612"/>
    </row>
    <row r="13356">
      <c r="B13356" s="612"/>
      <c r="H13356" s="612"/>
    </row>
    <row r="13357">
      <c r="B13357" s="612"/>
      <c r="H13357" s="612"/>
    </row>
    <row r="13358">
      <c r="B13358" s="612"/>
      <c r="H13358" s="612"/>
    </row>
    <row r="13359">
      <c r="B13359" s="612"/>
      <c r="H13359" s="612"/>
    </row>
    <row r="13360">
      <c r="B13360" s="612"/>
      <c r="H13360" s="612"/>
    </row>
    <row r="13361">
      <c r="B13361" s="612"/>
      <c r="H13361" s="612"/>
    </row>
    <row r="13362">
      <c r="B13362" s="612"/>
      <c r="H13362" s="612"/>
    </row>
    <row r="13363">
      <c r="B13363" s="612"/>
      <c r="H13363" s="612"/>
    </row>
    <row r="13364">
      <c r="B13364" s="612"/>
      <c r="H13364" s="612"/>
    </row>
    <row r="13365">
      <c r="B13365" s="612"/>
      <c r="H13365" s="612"/>
    </row>
    <row r="13366">
      <c r="B13366" s="612"/>
      <c r="H13366" s="612"/>
    </row>
    <row r="13367">
      <c r="B13367" s="612"/>
      <c r="H13367" s="612"/>
    </row>
    <row r="13368">
      <c r="B13368" s="612"/>
      <c r="H13368" s="612"/>
    </row>
    <row r="13369">
      <c r="B13369" s="612"/>
      <c r="H13369" s="612"/>
    </row>
    <row r="13370">
      <c r="B13370" s="612"/>
      <c r="H13370" s="612"/>
    </row>
    <row r="13371">
      <c r="B13371" s="612"/>
      <c r="H13371" s="612"/>
    </row>
    <row r="13372">
      <c r="B13372" s="612"/>
      <c r="H13372" s="612"/>
    </row>
    <row r="13373">
      <c r="B13373" s="612"/>
      <c r="H13373" s="612"/>
    </row>
    <row r="13374">
      <c r="B13374" s="612"/>
      <c r="H13374" s="612"/>
    </row>
    <row r="13375">
      <c r="B13375" s="612"/>
      <c r="H13375" s="612"/>
    </row>
    <row r="13376">
      <c r="B13376" s="612"/>
      <c r="H13376" s="612"/>
    </row>
    <row r="13377">
      <c r="B13377" s="612"/>
      <c r="H13377" s="612"/>
    </row>
    <row r="13378">
      <c r="B13378" s="612"/>
      <c r="H13378" s="612"/>
    </row>
    <row r="13379">
      <c r="B13379" s="612"/>
      <c r="H13379" s="612"/>
    </row>
    <row r="13380">
      <c r="B13380" s="612"/>
      <c r="H13380" s="612"/>
    </row>
    <row r="13381">
      <c r="B13381" s="612"/>
      <c r="H13381" s="612"/>
    </row>
    <row r="13382">
      <c r="B13382" s="612"/>
      <c r="H13382" s="612"/>
    </row>
    <row r="13383">
      <c r="B13383" s="612"/>
      <c r="H13383" s="612"/>
    </row>
    <row r="13384">
      <c r="B13384" s="612"/>
      <c r="H13384" s="612"/>
    </row>
    <row r="13385">
      <c r="B13385" s="612"/>
      <c r="H13385" s="612"/>
    </row>
    <row r="13386">
      <c r="B13386" s="612"/>
      <c r="H13386" s="612"/>
    </row>
    <row r="13387">
      <c r="B13387" s="612"/>
      <c r="H13387" s="612"/>
    </row>
    <row r="13388">
      <c r="B13388" s="612"/>
      <c r="H13388" s="612"/>
    </row>
    <row r="13389">
      <c r="B13389" s="612"/>
      <c r="H13389" s="612"/>
    </row>
    <row r="13390">
      <c r="B13390" s="612"/>
      <c r="H13390" s="612"/>
    </row>
    <row r="13391">
      <c r="B13391" s="612"/>
      <c r="H13391" s="612"/>
    </row>
    <row r="13392">
      <c r="B13392" s="612"/>
      <c r="H13392" s="612"/>
    </row>
    <row r="13393">
      <c r="B13393" s="612"/>
      <c r="H13393" s="612"/>
    </row>
    <row r="13394">
      <c r="B13394" s="612"/>
      <c r="H13394" s="612"/>
    </row>
    <row r="13395">
      <c r="B13395" s="612"/>
      <c r="H13395" s="612"/>
    </row>
    <row r="13396">
      <c r="B13396" s="612"/>
      <c r="H13396" s="612"/>
    </row>
    <row r="13397">
      <c r="B13397" s="612"/>
      <c r="H13397" s="612"/>
    </row>
    <row r="13398">
      <c r="B13398" s="612"/>
      <c r="H13398" s="612"/>
    </row>
    <row r="13399">
      <c r="B13399" s="612"/>
      <c r="H13399" s="612"/>
    </row>
    <row r="13400">
      <c r="B13400" s="612"/>
      <c r="H13400" s="612"/>
    </row>
    <row r="13401">
      <c r="B13401" s="612"/>
      <c r="H13401" s="612"/>
    </row>
    <row r="13402">
      <c r="B13402" s="612"/>
      <c r="H13402" s="612"/>
    </row>
    <row r="13403">
      <c r="B13403" s="612"/>
      <c r="H13403" s="612"/>
    </row>
    <row r="13404">
      <c r="B13404" s="612"/>
      <c r="H13404" s="612"/>
    </row>
    <row r="13405">
      <c r="B13405" s="612"/>
      <c r="H13405" s="612"/>
    </row>
    <row r="13406">
      <c r="B13406" s="612"/>
      <c r="H13406" s="612"/>
    </row>
    <row r="13407">
      <c r="B13407" s="612"/>
      <c r="H13407" s="612"/>
    </row>
    <row r="13408">
      <c r="B13408" s="612"/>
      <c r="H13408" s="612"/>
    </row>
    <row r="13409">
      <c r="B13409" s="612"/>
      <c r="H13409" s="612"/>
    </row>
    <row r="13410">
      <c r="B13410" s="612"/>
      <c r="H13410" s="612"/>
    </row>
    <row r="13411">
      <c r="B13411" s="612"/>
      <c r="H13411" s="612"/>
    </row>
    <row r="13412">
      <c r="B13412" s="612"/>
      <c r="H13412" s="612"/>
    </row>
    <row r="13413">
      <c r="B13413" s="612"/>
      <c r="H13413" s="612"/>
    </row>
    <row r="13414">
      <c r="B13414" s="612"/>
      <c r="H13414" s="612"/>
    </row>
    <row r="13415">
      <c r="B13415" s="612"/>
      <c r="H13415" s="612"/>
    </row>
    <row r="13416">
      <c r="B13416" s="612"/>
      <c r="H13416" s="612"/>
    </row>
    <row r="13417">
      <c r="B13417" s="612"/>
      <c r="H13417" s="612"/>
    </row>
    <row r="13418">
      <c r="B13418" s="612"/>
      <c r="H13418" s="612"/>
    </row>
    <row r="13419">
      <c r="B13419" s="612"/>
      <c r="H13419" s="612"/>
    </row>
    <row r="13420">
      <c r="B13420" s="612"/>
      <c r="H13420" s="612"/>
    </row>
    <row r="13421">
      <c r="B13421" s="612"/>
      <c r="H13421" s="612"/>
    </row>
    <row r="13422">
      <c r="B13422" s="612"/>
      <c r="H13422" s="612"/>
    </row>
    <row r="13423">
      <c r="B13423" s="612"/>
      <c r="H13423" s="612"/>
    </row>
    <row r="13424">
      <c r="B13424" s="612"/>
      <c r="H13424" s="612"/>
    </row>
    <row r="13425">
      <c r="B13425" s="612"/>
      <c r="H13425" s="612"/>
    </row>
    <row r="13426">
      <c r="B13426" s="612"/>
      <c r="H13426" s="612"/>
    </row>
    <row r="13427">
      <c r="B13427" s="612"/>
      <c r="H13427" s="612"/>
    </row>
    <row r="13428">
      <c r="B13428" s="612"/>
      <c r="H13428" s="612"/>
    </row>
    <row r="13429">
      <c r="B13429" s="612"/>
      <c r="H13429" s="612"/>
    </row>
    <row r="13430">
      <c r="B13430" s="612"/>
      <c r="H13430" s="612"/>
    </row>
    <row r="13431">
      <c r="B13431" s="612"/>
      <c r="H13431" s="612"/>
    </row>
    <row r="13432">
      <c r="B13432" s="612"/>
      <c r="H13432" s="612"/>
    </row>
    <row r="13433">
      <c r="B13433" s="612"/>
      <c r="H13433" s="612"/>
    </row>
    <row r="13434">
      <c r="B13434" s="612"/>
      <c r="H13434" s="612"/>
    </row>
    <row r="13435">
      <c r="B13435" s="612"/>
      <c r="H13435" s="612"/>
    </row>
    <row r="13436">
      <c r="B13436" s="612"/>
      <c r="H13436" s="612"/>
    </row>
    <row r="13437">
      <c r="B13437" s="612"/>
      <c r="H13437" s="612"/>
    </row>
    <row r="13438">
      <c r="B13438" s="612"/>
      <c r="H13438" s="612"/>
    </row>
    <row r="13439">
      <c r="B13439" s="612"/>
      <c r="H13439" s="612"/>
    </row>
    <row r="13440">
      <c r="B13440" s="612"/>
      <c r="H13440" s="612"/>
    </row>
    <row r="13441">
      <c r="B13441" s="612"/>
      <c r="H13441" s="612"/>
    </row>
    <row r="13442">
      <c r="B13442" s="612"/>
      <c r="H13442" s="612"/>
    </row>
    <row r="13443">
      <c r="B13443" s="612"/>
      <c r="H13443" s="612"/>
    </row>
    <row r="13444">
      <c r="B13444" s="612"/>
      <c r="H13444" s="612"/>
    </row>
    <row r="13445">
      <c r="B13445" s="612"/>
      <c r="H13445" s="612"/>
    </row>
    <row r="13446">
      <c r="B13446" s="612"/>
      <c r="H13446" s="612"/>
    </row>
    <row r="13447">
      <c r="B13447" s="612"/>
      <c r="H13447" s="612"/>
    </row>
    <row r="13448">
      <c r="B13448" s="612"/>
      <c r="H13448" s="612"/>
    </row>
    <row r="13449">
      <c r="B13449" s="612"/>
      <c r="H13449" s="612"/>
    </row>
    <row r="13450">
      <c r="B13450" s="612"/>
      <c r="H13450" s="612"/>
    </row>
    <row r="13451">
      <c r="B13451" s="612"/>
      <c r="H13451" s="612"/>
    </row>
    <row r="13452">
      <c r="B13452" s="612"/>
      <c r="H13452" s="612"/>
    </row>
    <row r="13453">
      <c r="B13453" s="612"/>
      <c r="H13453" s="612"/>
    </row>
    <row r="13454">
      <c r="B13454" s="612"/>
      <c r="H13454" s="612"/>
    </row>
    <row r="13455">
      <c r="B13455" s="612"/>
      <c r="H13455" s="612"/>
    </row>
    <row r="13456">
      <c r="B13456" s="612"/>
      <c r="H13456" s="612"/>
    </row>
    <row r="13457">
      <c r="B13457" s="612"/>
      <c r="H13457" s="612"/>
    </row>
    <row r="13458">
      <c r="B13458" s="612"/>
      <c r="H13458" s="612"/>
    </row>
    <row r="13459">
      <c r="B13459" s="612"/>
      <c r="H13459" s="612"/>
    </row>
    <row r="13460">
      <c r="B13460" s="612"/>
      <c r="H13460" s="612"/>
    </row>
    <row r="13461">
      <c r="B13461" s="612"/>
      <c r="H13461" s="612"/>
    </row>
    <row r="13462">
      <c r="B13462" s="612"/>
      <c r="H13462" s="612"/>
    </row>
    <row r="13463">
      <c r="B13463" s="612"/>
      <c r="H13463" s="612"/>
    </row>
    <row r="13464">
      <c r="B13464" s="612"/>
      <c r="H13464" s="612"/>
    </row>
    <row r="13465">
      <c r="B13465" s="612"/>
      <c r="H13465" s="612"/>
    </row>
    <row r="13466">
      <c r="B13466" s="612"/>
      <c r="H13466" s="612"/>
    </row>
    <row r="13467">
      <c r="B13467" s="612"/>
      <c r="H13467" s="612"/>
    </row>
    <row r="13468">
      <c r="B13468" s="612"/>
      <c r="H13468" s="612"/>
    </row>
    <row r="13469">
      <c r="B13469" s="612"/>
      <c r="H13469" s="612"/>
    </row>
    <row r="13470">
      <c r="B13470" s="612"/>
      <c r="H13470" s="612"/>
    </row>
    <row r="13471">
      <c r="B13471" s="612"/>
      <c r="H13471" s="612"/>
    </row>
    <row r="13472">
      <c r="B13472" s="612"/>
      <c r="H13472" s="612"/>
    </row>
    <row r="13473">
      <c r="B13473" s="612"/>
      <c r="H13473" s="612"/>
    </row>
    <row r="13474">
      <c r="B13474" s="612"/>
      <c r="H13474" s="612"/>
    </row>
    <row r="13475">
      <c r="B13475" s="612"/>
      <c r="H13475" s="612"/>
    </row>
    <row r="13476">
      <c r="B13476" s="612"/>
      <c r="H13476" s="612"/>
    </row>
    <row r="13477">
      <c r="B13477" s="612"/>
      <c r="H13477" s="612"/>
    </row>
    <row r="13478">
      <c r="B13478" s="612"/>
      <c r="H13478" s="612"/>
    </row>
    <row r="13479">
      <c r="B13479" s="612"/>
      <c r="H13479" s="612"/>
    </row>
    <row r="13480">
      <c r="B13480" s="612"/>
      <c r="H13480" s="612"/>
    </row>
    <row r="13481">
      <c r="B13481" s="612"/>
      <c r="H13481" s="612"/>
    </row>
    <row r="13482">
      <c r="B13482" s="612"/>
      <c r="H13482" s="612"/>
    </row>
    <row r="13483">
      <c r="B13483" s="612"/>
      <c r="H13483" s="612"/>
    </row>
    <row r="13484">
      <c r="B13484" s="612"/>
      <c r="H13484" s="612"/>
    </row>
    <row r="13485">
      <c r="B13485" s="612"/>
      <c r="H13485" s="612"/>
    </row>
    <row r="13486">
      <c r="B13486" s="612"/>
      <c r="H13486" s="612"/>
    </row>
    <row r="13487">
      <c r="B13487" s="612"/>
      <c r="H13487" s="612"/>
    </row>
    <row r="13488">
      <c r="B13488" s="612"/>
      <c r="H13488" s="612"/>
    </row>
    <row r="13489">
      <c r="B13489" s="612"/>
      <c r="H13489" s="612"/>
    </row>
    <row r="13490">
      <c r="B13490" s="612"/>
      <c r="H13490" s="612"/>
    </row>
    <row r="13491">
      <c r="B13491" s="612"/>
      <c r="H13491" s="612"/>
    </row>
    <row r="13492">
      <c r="B13492" s="612"/>
      <c r="H13492" s="612"/>
    </row>
    <row r="13493">
      <c r="B13493" s="612"/>
      <c r="H13493" s="612"/>
    </row>
    <row r="13494">
      <c r="B13494" s="612"/>
      <c r="H13494" s="612"/>
    </row>
    <row r="13495">
      <c r="B13495" s="612"/>
      <c r="H13495" s="612"/>
    </row>
    <row r="13496">
      <c r="B13496" s="612"/>
      <c r="H13496" s="612"/>
    </row>
    <row r="13497">
      <c r="B13497" s="612"/>
      <c r="H13497" s="612"/>
    </row>
    <row r="13498">
      <c r="B13498" s="612"/>
      <c r="H13498" s="612"/>
    </row>
    <row r="13499">
      <c r="B13499" s="612"/>
      <c r="H13499" s="612"/>
    </row>
    <row r="13500">
      <c r="B13500" s="612"/>
      <c r="H13500" s="612"/>
    </row>
    <row r="13501">
      <c r="B13501" s="612"/>
      <c r="H13501" s="612"/>
    </row>
    <row r="13502">
      <c r="B13502" s="612"/>
      <c r="H13502" s="612"/>
    </row>
    <row r="13503">
      <c r="B13503" s="612"/>
      <c r="H13503" s="612"/>
    </row>
    <row r="13504">
      <c r="B13504" s="612"/>
      <c r="H13504" s="612"/>
    </row>
    <row r="13505">
      <c r="B13505" s="612"/>
      <c r="H13505" s="612"/>
    </row>
    <row r="13506">
      <c r="B13506" s="612"/>
      <c r="H13506" s="612"/>
    </row>
    <row r="13507">
      <c r="B13507" s="612"/>
      <c r="H13507" s="612"/>
    </row>
    <row r="13508">
      <c r="B13508" s="612"/>
      <c r="H13508" s="612"/>
    </row>
    <row r="13509">
      <c r="B13509" s="612"/>
      <c r="H13509" s="612"/>
    </row>
    <row r="13510">
      <c r="B13510" s="612"/>
      <c r="H13510" s="612"/>
    </row>
    <row r="13511">
      <c r="B13511" s="612"/>
      <c r="H13511" s="612"/>
    </row>
    <row r="13512">
      <c r="B13512" s="612"/>
      <c r="H13512" s="612"/>
    </row>
    <row r="13513">
      <c r="B13513" s="612"/>
      <c r="H13513" s="612"/>
    </row>
    <row r="13514">
      <c r="B13514" s="612"/>
      <c r="H13514" s="612"/>
    </row>
    <row r="13515">
      <c r="B13515" s="612"/>
      <c r="H13515" s="612"/>
    </row>
    <row r="13516">
      <c r="B13516" s="612"/>
      <c r="H13516" s="612"/>
    </row>
    <row r="13517">
      <c r="B13517" s="612"/>
      <c r="H13517" s="612"/>
    </row>
    <row r="13518">
      <c r="B13518" s="612"/>
      <c r="H13518" s="612"/>
    </row>
    <row r="13519">
      <c r="B13519" s="612"/>
      <c r="H13519" s="612"/>
    </row>
    <row r="13520">
      <c r="B13520" s="612"/>
      <c r="H13520" s="612"/>
    </row>
    <row r="13521">
      <c r="B13521" s="612"/>
      <c r="H13521" s="612"/>
    </row>
    <row r="13522">
      <c r="B13522" s="612"/>
      <c r="H13522" s="612"/>
    </row>
    <row r="13523">
      <c r="B13523" s="612"/>
      <c r="H13523" s="612"/>
    </row>
    <row r="13524">
      <c r="B13524" s="612"/>
      <c r="H13524" s="612"/>
    </row>
    <row r="13525">
      <c r="B13525" s="612"/>
      <c r="H13525" s="612"/>
    </row>
    <row r="13526">
      <c r="B13526" s="612"/>
      <c r="H13526" s="612"/>
    </row>
    <row r="13527">
      <c r="B13527" s="612"/>
      <c r="H13527" s="612"/>
    </row>
    <row r="13528">
      <c r="B13528" s="612"/>
      <c r="H13528" s="612"/>
    </row>
    <row r="13529">
      <c r="B13529" s="612"/>
      <c r="H13529" s="612"/>
    </row>
    <row r="13530">
      <c r="B13530" s="612"/>
      <c r="H13530" s="612"/>
    </row>
    <row r="13531">
      <c r="B13531" s="612"/>
      <c r="H13531" s="612"/>
    </row>
    <row r="13532">
      <c r="B13532" s="612"/>
      <c r="H13532" s="612"/>
    </row>
    <row r="13533">
      <c r="B13533" s="612"/>
      <c r="H13533" s="612"/>
    </row>
    <row r="13534">
      <c r="B13534" s="612"/>
      <c r="H13534" s="612"/>
    </row>
    <row r="13535">
      <c r="B13535" s="612"/>
      <c r="H13535" s="612"/>
    </row>
    <row r="13536">
      <c r="B13536" s="612"/>
      <c r="H13536" s="612"/>
    </row>
    <row r="13537">
      <c r="B13537" s="612"/>
      <c r="H13537" s="612"/>
    </row>
    <row r="13538">
      <c r="B13538" s="612"/>
      <c r="H13538" s="612"/>
    </row>
    <row r="13539">
      <c r="B13539" s="612"/>
      <c r="H13539" s="612"/>
    </row>
    <row r="13540">
      <c r="B13540" s="612"/>
      <c r="H13540" s="612"/>
    </row>
    <row r="13541">
      <c r="B13541" s="612"/>
      <c r="H13541" s="612"/>
    </row>
    <row r="13542">
      <c r="B13542" s="612"/>
      <c r="H13542" s="612"/>
    </row>
    <row r="13543">
      <c r="B13543" s="612"/>
      <c r="H13543" s="612"/>
    </row>
    <row r="13544">
      <c r="B13544" s="612"/>
      <c r="H13544" s="612"/>
    </row>
    <row r="13545">
      <c r="B13545" s="612"/>
      <c r="H13545" s="612"/>
    </row>
    <row r="13546">
      <c r="B13546" s="612"/>
      <c r="H13546" s="612"/>
    </row>
    <row r="13547">
      <c r="B13547" s="612"/>
      <c r="H13547" s="612"/>
    </row>
    <row r="13548">
      <c r="B13548" s="612"/>
      <c r="H13548" s="612"/>
    </row>
    <row r="13549">
      <c r="B13549" s="612"/>
      <c r="H13549" s="612"/>
    </row>
    <row r="13550">
      <c r="B13550" s="612"/>
      <c r="H13550" s="612"/>
    </row>
    <row r="13551">
      <c r="B13551" s="612"/>
      <c r="H13551" s="612"/>
    </row>
    <row r="13552">
      <c r="B13552" s="612"/>
      <c r="H13552" s="612"/>
    </row>
    <row r="13553">
      <c r="B13553" s="612"/>
      <c r="H13553" s="612"/>
    </row>
    <row r="13554">
      <c r="B13554" s="612"/>
      <c r="H13554" s="612"/>
    </row>
    <row r="13555">
      <c r="B13555" s="612"/>
      <c r="H13555" s="612"/>
    </row>
    <row r="13556">
      <c r="B13556" s="612"/>
      <c r="H13556" s="612"/>
    </row>
    <row r="13557">
      <c r="B13557" s="612"/>
      <c r="H13557" s="612"/>
    </row>
    <row r="13558">
      <c r="B13558" s="612"/>
      <c r="H13558" s="612"/>
    </row>
    <row r="13559">
      <c r="B13559" s="612"/>
      <c r="H13559" s="612"/>
    </row>
    <row r="13560">
      <c r="B13560" s="612"/>
      <c r="H13560" s="612"/>
    </row>
    <row r="13561">
      <c r="B13561" s="612"/>
      <c r="H13561" s="612"/>
    </row>
    <row r="13562">
      <c r="B13562" s="612"/>
      <c r="H13562" s="612"/>
    </row>
    <row r="13563">
      <c r="B13563" s="612"/>
      <c r="H13563" s="612"/>
    </row>
    <row r="13564">
      <c r="B13564" s="612"/>
      <c r="H13564" s="612"/>
    </row>
    <row r="13565">
      <c r="B13565" s="612"/>
      <c r="H13565" s="612"/>
    </row>
    <row r="13566">
      <c r="B13566" s="612"/>
      <c r="H13566" s="612"/>
    </row>
    <row r="13567">
      <c r="B13567" s="612"/>
      <c r="H13567" s="612"/>
    </row>
    <row r="13568">
      <c r="B13568" s="612"/>
      <c r="H13568" s="612"/>
    </row>
    <row r="13569">
      <c r="B13569" s="612"/>
      <c r="H13569" s="612"/>
    </row>
    <row r="13570">
      <c r="B13570" s="612"/>
      <c r="H13570" s="612"/>
    </row>
    <row r="13571">
      <c r="B13571" s="612"/>
      <c r="H13571" s="612"/>
    </row>
    <row r="13572">
      <c r="B13572" s="612"/>
      <c r="H13572" s="612"/>
    </row>
    <row r="13573">
      <c r="B13573" s="612"/>
      <c r="H13573" s="612"/>
    </row>
    <row r="13574">
      <c r="B13574" s="612"/>
      <c r="H13574" s="612"/>
    </row>
    <row r="13575">
      <c r="B13575" s="612"/>
      <c r="H13575" s="612"/>
    </row>
    <row r="13576">
      <c r="B13576" s="612"/>
      <c r="H13576" s="612"/>
    </row>
    <row r="13577">
      <c r="B13577" s="612"/>
      <c r="H13577" s="612"/>
    </row>
    <row r="13578">
      <c r="B13578" s="612"/>
      <c r="H13578" s="612"/>
    </row>
    <row r="13579">
      <c r="B13579" s="612"/>
      <c r="H13579" s="612"/>
    </row>
    <row r="13580">
      <c r="B13580" s="612"/>
      <c r="H13580" s="612"/>
    </row>
    <row r="13581">
      <c r="B13581" s="612"/>
      <c r="H13581" s="612"/>
    </row>
    <row r="13582">
      <c r="B13582" s="612"/>
      <c r="H13582" s="612"/>
    </row>
    <row r="13583">
      <c r="B13583" s="612"/>
      <c r="H13583" s="612"/>
    </row>
    <row r="13584">
      <c r="B13584" s="612"/>
      <c r="H13584" s="612"/>
    </row>
    <row r="13585">
      <c r="B13585" s="612"/>
      <c r="H13585" s="612"/>
    </row>
    <row r="13586">
      <c r="B13586" s="612"/>
      <c r="H13586" s="612"/>
    </row>
    <row r="13587">
      <c r="B13587" s="612"/>
      <c r="H13587" s="612"/>
    </row>
    <row r="13588">
      <c r="B13588" s="612"/>
      <c r="H13588" s="612"/>
    </row>
    <row r="13589">
      <c r="B13589" s="612"/>
      <c r="H13589" s="612"/>
    </row>
    <row r="13590">
      <c r="B13590" s="612"/>
      <c r="H13590" s="612"/>
    </row>
    <row r="13591">
      <c r="B13591" s="612"/>
      <c r="H13591" s="612"/>
    </row>
    <row r="13592">
      <c r="B13592" s="612"/>
      <c r="H13592" s="612"/>
    </row>
    <row r="13593">
      <c r="B13593" s="612"/>
      <c r="H13593" s="612"/>
    </row>
    <row r="13594">
      <c r="B13594" s="612"/>
      <c r="H13594" s="612"/>
    </row>
    <row r="13595">
      <c r="B13595" s="612"/>
      <c r="H13595" s="612"/>
    </row>
    <row r="13596">
      <c r="B13596" s="612"/>
      <c r="H13596" s="612"/>
    </row>
    <row r="13597">
      <c r="B13597" s="612"/>
      <c r="H13597" s="612"/>
    </row>
    <row r="13598">
      <c r="B13598" s="612"/>
      <c r="H13598" s="612"/>
    </row>
    <row r="13599">
      <c r="B13599" s="612"/>
      <c r="H13599" s="612"/>
    </row>
    <row r="13600">
      <c r="B13600" s="612"/>
      <c r="H13600" s="612"/>
    </row>
    <row r="13601">
      <c r="B13601" s="612"/>
      <c r="H13601" s="612"/>
    </row>
    <row r="13602">
      <c r="B13602" s="612"/>
      <c r="H13602" s="612"/>
    </row>
    <row r="13603">
      <c r="B13603" s="612"/>
      <c r="H13603" s="612"/>
    </row>
    <row r="13604">
      <c r="B13604" s="612"/>
      <c r="H13604" s="612"/>
    </row>
    <row r="13605">
      <c r="B13605" s="612"/>
      <c r="H13605" s="612"/>
    </row>
    <row r="13606">
      <c r="B13606" s="612"/>
      <c r="H13606" s="612"/>
    </row>
    <row r="13607">
      <c r="B13607" s="612"/>
      <c r="H13607" s="612"/>
    </row>
    <row r="13608">
      <c r="B13608" s="612"/>
      <c r="H13608" s="612"/>
    </row>
    <row r="13609">
      <c r="B13609" s="612"/>
      <c r="H13609" s="612"/>
    </row>
    <row r="13610">
      <c r="B13610" s="612"/>
      <c r="H13610" s="612"/>
    </row>
    <row r="13611">
      <c r="B13611" s="612"/>
      <c r="H13611" s="612"/>
    </row>
    <row r="13612">
      <c r="B13612" s="612"/>
      <c r="H13612" s="612"/>
    </row>
    <row r="13613">
      <c r="B13613" s="612"/>
      <c r="H13613" s="612"/>
    </row>
    <row r="13614">
      <c r="B13614" s="612"/>
      <c r="H13614" s="612"/>
    </row>
    <row r="13615">
      <c r="B13615" s="612"/>
      <c r="H13615" s="612"/>
    </row>
    <row r="13616">
      <c r="B13616" s="612"/>
      <c r="H13616" s="612"/>
    </row>
    <row r="13617">
      <c r="B13617" s="612"/>
      <c r="H13617" s="612"/>
    </row>
    <row r="13618">
      <c r="B13618" s="612"/>
      <c r="H13618" s="612"/>
    </row>
    <row r="13619">
      <c r="B13619" s="612"/>
      <c r="H13619" s="612"/>
    </row>
    <row r="13620">
      <c r="B13620" s="612"/>
      <c r="H13620" s="612"/>
    </row>
    <row r="13621">
      <c r="B13621" s="612"/>
      <c r="H13621" s="612"/>
    </row>
    <row r="13622">
      <c r="B13622" s="612"/>
      <c r="H13622" s="612"/>
    </row>
    <row r="13623">
      <c r="B13623" s="612"/>
      <c r="H13623" s="612"/>
    </row>
    <row r="13624">
      <c r="B13624" s="612"/>
      <c r="H13624" s="612"/>
    </row>
    <row r="13625">
      <c r="B13625" s="612"/>
      <c r="H13625" s="612"/>
    </row>
    <row r="13626">
      <c r="B13626" s="612"/>
      <c r="H13626" s="612"/>
    </row>
    <row r="13627">
      <c r="B13627" s="612"/>
      <c r="H13627" s="612"/>
    </row>
    <row r="13628">
      <c r="B13628" s="612"/>
      <c r="H13628" s="612"/>
    </row>
    <row r="13629">
      <c r="B13629" s="612"/>
      <c r="H13629" s="612"/>
    </row>
    <row r="13630">
      <c r="B13630" s="612"/>
      <c r="H13630" s="612"/>
    </row>
    <row r="13631">
      <c r="B13631" s="612"/>
      <c r="H13631" s="612"/>
    </row>
    <row r="13632">
      <c r="B13632" s="612"/>
      <c r="H13632" s="612"/>
    </row>
    <row r="13633">
      <c r="B13633" s="612"/>
      <c r="H13633" s="612"/>
    </row>
    <row r="13634">
      <c r="B13634" s="612"/>
      <c r="H13634" s="612"/>
    </row>
    <row r="13635">
      <c r="B13635" s="612"/>
      <c r="H13635" s="612"/>
    </row>
    <row r="13636">
      <c r="B13636" s="612"/>
      <c r="H13636" s="612"/>
    </row>
    <row r="13637">
      <c r="B13637" s="612"/>
      <c r="H13637" s="612"/>
    </row>
    <row r="13638">
      <c r="B13638" s="612"/>
      <c r="H13638" s="612"/>
    </row>
    <row r="13639">
      <c r="B13639" s="612"/>
      <c r="H13639" s="612"/>
    </row>
    <row r="13640">
      <c r="B13640" s="612"/>
      <c r="H13640" s="612"/>
    </row>
    <row r="13641">
      <c r="B13641" s="612"/>
      <c r="H13641" s="612"/>
    </row>
    <row r="13642">
      <c r="B13642" s="612"/>
      <c r="H13642" s="612"/>
    </row>
    <row r="13643">
      <c r="B13643" s="612"/>
      <c r="H13643" s="612"/>
    </row>
    <row r="13644">
      <c r="B13644" s="612"/>
      <c r="H13644" s="612"/>
    </row>
    <row r="13645">
      <c r="B13645" s="612"/>
      <c r="H13645" s="612"/>
    </row>
    <row r="13646">
      <c r="B13646" s="612"/>
      <c r="H13646" s="612"/>
    </row>
    <row r="13647">
      <c r="B13647" s="612"/>
      <c r="H13647" s="612"/>
    </row>
    <row r="13648">
      <c r="B13648" s="612"/>
      <c r="H13648" s="612"/>
    </row>
    <row r="13649">
      <c r="B13649" s="612"/>
      <c r="H13649" s="612"/>
    </row>
    <row r="13650">
      <c r="B13650" s="612"/>
      <c r="H13650" s="612"/>
    </row>
    <row r="13651">
      <c r="B13651" s="612"/>
      <c r="H13651" s="612"/>
    </row>
    <row r="13652">
      <c r="B13652" s="612"/>
      <c r="H13652" s="612"/>
    </row>
    <row r="13653">
      <c r="B13653" s="612"/>
      <c r="H13653" s="612"/>
    </row>
    <row r="13654">
      <c r="B13654" s="612"/>
      <c r="H13654" s="612"/>
    </row>
    <row r="13655">
      <c r="B13655" s="612"/>
      <c r="H13655" s="612"/>
    </row>
    <row r="13656">
      <c r="B13656" s="612"/>
      <c r="H13656" s="612"/>
    </row>
    <row r="13657">
      <c r="B13657" s="612"/>
      <c r="H13657" s="612"/>
    </row>
    <row r="13658">
      <c r="B13658" s="612"/>
      <c r="H13658" s="612"/>
    </row>
    <row r="13659">
      <c r="B13659" s="612"/>
      <c r="H13659" s="612"/>
    </row>
    <row r="13660">
      <c r="B13660" s="612"/>
      <c r="H13660" s="612"/>
    </row>
    <row r="13661">
      <c r="B13661" s="612"/>
      <c r="H13661" s="612"/>
    </row>
    <row r="13662">
      <c r="B13662" s="612"/>
      <c r="H13662" s="612"/>
    </row>
    <row r="13663">
      <c r="B13663" s="612"/>
      <c r="H13663" s="612"/>
    </row>
    <row r="13664">
      <c r="B13664" s="612"/>
      <c r="H13664" s="612"/>
    </row>
    <row r="13665">
      <c r="B13665" s="612"/>
      <c r="H13665" s="612"/>
    </row>
    <row r="13666">
      <c r="B13666" s="612"/>
      <c r="H13666" s="612"/>
    </row>
    <row r="13667">
      <c r="B13667" s="612"/>
      <c r="H13667" s="612"/>
    </row>
    <row r="13668">
      <c r="B13668" s="612"/>
      <c r="H13668" s="612"/>
    </row>
    <row r="13669">
      <c r="B13669" s="612"/>
      <c r="H13669" s="612"/>
    </row>
    <row r="13670">
      <c r="B13670" s="612"/>
      <c r="H13670" s="612"/>
    </row>
    <row r="13671">
      <c r="B13671" s="612"/>
      <c r="H13671" s="612"/>
    </row>
    <row r="13672">
      <c r="B13672" s="612"/>
      <c r="H13672" s="612"/>
    </row>
    <row r="13673">
      <c r="B13673" s="612"/>
      <c r="H13673" s="612"/>
    </row>
    <row r="13674">
      <c r="B13674" s="612"/>
      <c r="H13674" s="612"/>
    </row>
    <row r="13675">
      <c r="B13675" s="612"/>
      <c r="H13675" s="612"/>
    </row>
    <row r="13676">
      <c r="B13676" s="612"/>
      <c r="H13676" s="612"/>
    </row>
    <row r="13677">
      <c r="B13677" s="612"/>
      <c r="H13677" s="612"/>
    </row>
    <row r="13678">
      <c r="B13678" s="612"/>
      <c r="H13678" s="612"/>
    </row>
    <row r="13679">
      <c r="B13679" s="612"/>
      <c r="H13679" s="612"/>
    </row>
    <row r="13680">
      <c r="B13680" s="612"/>
      <c r="H13680" s="612"/>
    </row>
    <row r="13681">
      <c r="B13681" s="612"/>
      <c r="H13681" s="612"/>
    </row>
    <row r="13682">
      <c r="B13682" s="612"/>
      <c r="H13682" s="612"/>
    </row>
    <row r="13683">
      <c r="B13683" s="612"/>
      <c r="H13683" s="612"/>
    </row>
    <row r="13684">
      <c r="B13684" s="612"/>
      <c r="H13684" s="612"/>
    </row>
    <row r="13685">
      <c r="B13685" s="612"/>
      <c r="H13685" s="612"/>
    </row>
    <row r="13686">
      <c r="B13686" s="612"/>
      <c r="H13686" s="612"/>
    </row>
    <row r="13687">
      <c r="B13687" s="612"/>
      <c r="H13687" s="612"/>
    </row>
    <row r="13688">
      <c r="B13688" s="612"/>
      <c r="H13688" s="612"/>
    </row>
    <row r="13689">
      <c r="B13689" s="612"/>
      <c r="H13689" s="612"/>
    </row>
    <row r="13690">
      <c r="B13690" s="612"/>
      <c r="H13690" s="612"/>
    </row>
    <row r="13691">
      <c r="B13691" s="612"/>
      <c r="H13691" s="612"/>
    </row>
    <row r="13692">
      <c r="B13692" s="612"/>
      <c r="H13692" s="612"/>
    </row>
    <row r="13693">
      <c r="B13693" s="612"/>
      <c r="H13693" s="612"/>
    </row>
    <row r="13694">
      <c r="B13694" s="612"/>
      <c r="H13694" s="612"/>
    </row>
    <row r="13695">
      <c r="B13695" s="612"/>
      <c r="H13695" s="612"/>
    </row>
    <row r="13696">
      <c r="B13696" s="612"/>
      <c r="H13696" s="612"/>
    </row>
    <row r="13697">
      <c r="B13697" s="612"/>
      <c r="H13697" s="612"/>
    </row>
    <row r="13698">
      <c r="B13698" s="612"/>
      <c r="H13698" s="612"/>
    </row>
    <row r="13699">
      <c r="B13699" s="612"/>
      <c r="H13699" s="612"/>
    </row>
    <row r="13700">
      <c r="B13700" s="612"/>
      <c r="H13700" s="612"/>
    </row>
    <row r="13701">
      <c r="B13701" s="612"/>
      <c r="H13701" s="612"/>
    </row>
    <row r="13702">
      <c r="B13702" s="612"/>
      <c r="H13702" s="612"/>
    </row>
    <row r="13703">
      <c r="B13703" s="612"/>
      <c r="H13703" s="612"/>
    </row>
    <row r="13704">
      <c r="B13704" s="612"/>
      <c r="H13704" s="612"/>
    </row>
    <row r="13705">
      <c r="B13705" s="612"/>
      <c r="H13705" s="612"/>
    </row>
    <row r="13706">
      <c r="B13706" s="612"/>
      <c r="H13706" s="612"/>
    </row>
    <row r="13707">
      <c r="B13707" s="612"/>
      <c r="H13707" s="612"/>
    </row>
    <row r="13708">
      <c r="B13708" s="612"/>
      <c r="H13708" s="612"/>
    </row>
    <row r="13709">
      <c r="B13709" s="612"/>
      <c r="H13709" s="612"/>
    </row>
    <row r="13710">
      <c r="B13710" s="612"/>
      <c r="H13710" s="612"/>
    </row>
    <row r="13711">
      <c r="B13711" s="612"/>
      <c r="H13711" s="612"/>
    </row>
    <row r="13712">
      <c r="B13712" s="612"/>
      <c r="H13712" s="612"/>
    </row>
    <row r="13713">
      <c r="B13713" s="612"/>
      <c r="H13713" s="612"/>
    </row>
    <row r="13714">
      <c r="B13714" s="612"/>
      <c r="H13714" s="612"/>
    </row>
    <row r="13715">
      <c r="B13715" s="612"/>
      <c r="H13715" s="612"/>
    </row>
    <row r="13716">
      <c r="B13716" s="612"/>
      <c r="H13716" s="612"/>
    </row>
    <row r="13717">
      <c r="B13717" s="612"/>
      <c r="H13717" s="612"/>
    </row>
    <row r="13718">
      <c r="B13718" s="612"/>
      <c r="H13718" s="612"/>
    </row>
    <row r="13719">
      <c r="B13719" s="612"/>
      <c r="H13719" s="612"/>
    </row>
    <row r="13720">
      <c r="B13720" s="612"/>
      <c r="H13720" s="612"/>
    </row>
    <row r="13721">
      <c r="B13721" s="612"/>
      <c r="H13721" s="612"/>
    </row>
    <row r="13722">
      <c r="B13722" s="612"/>
      <c r="H13722" s="612"/>
    </row>
    <row r="13723">
      <c r="B13723" s="612"/>
      <c r="H13723" s="612"/>
    </row>
    <row r="13724">
      <c r="B13724" s="612"/>
      <c r="H13724" s="612"/>
    </row>
    <row r="13725">
      <c r="B13725" s="612"/>
      <c r="H13725" s="612"/>
    </row>
    <row r="13726">
      <c r="B13726" s="612"/>
      <c r="H13726" s="612"/>
    </row>
    <row r="13727">
      <c r="B13727" s="612"/>
      <c r="H13727" s="612"/>
    </row>
    <row r="13728">
      <c r="B13728" s="612"/>
      <c r="H13728" s="612"/>
    </row>
    <row r="13729">
      <c r="B13729" s="612"/>
      <c r="H13729" s="612"/>
    </row>
    <row r="13730">
      <c r="B13730" s="612"/>
      <c r="H13730" s="612"/>
    </row>
    <row r="13731">
      <c r="B13731" s="612"/>
      <c r="H13731" s="612"/>
    </row>
    <row r="13732">
      <c r="B13732" s="612"/>
      <c r="H13732" s="612"/>
    </row>
    <row r="13733">
      <c r="B13733" s="612"/>
      <c r="H13733" s="612"/>
    </row>
    <row r="13734">
      <c r="B13734" s="612"/>
      <c r="H13734" s="612"/>
    </row>
    <row r="13735">
      <c r="B13735" s="612"/>
      <c r="H13735" s="612"/>
    </row>
    <row r="13736">
      <c r="B13736" s="612"/>
      <c r="H13736" s="612"/>
    </row>
    <row r="13737">
      <c r="B13737" s="612"/>
      <c r="H13737" s="612"/>
    </row>
    <row r="13738">
      <c r="B13738" s="612"/>
      <c r="H13738" s="612"/>
    </row>
    <row r="13739">
      <c r="B13739" s="612"/>
      <c r="H13739" s="612"/>
    </row>
    <row r="13740">
      <c r="B13740" s="612"/>
      <c r="H13740" s="612"/>
    </row>
    <row r="13741">
      <c r="B13741" s="612"/>
      <c r="H13741" s="612"/>
    </row>
    <row r="13742">
      <c r="B13742" s="612"/>
      <c r="H13742" s="612"/>
    </row>
    <row r="13743">
      <c r="B13743" s="612"/>
      <c r="H13743" s="612"/>
    </row>
    <row r="13744">
      <c r="B13744" s="612"/>
      <c r="H13744" s="612"/>
    </row>
    <row r="13745">
      <c r="B13745" s="612"/>
      <c r="H13745" s="612"/>
    </row>
    <row r="13746">
      <c r="B13746" s="612"/>
      <c r="H13746" s="612"/>
    </row>
    <row r="13747">
      <c r="B13747" s="612"/>
      <c r="H13747" s="612"/>
    </row>
    <row r="13748">
      <c r="B13748" s="612"/>
      <c r="H13748" s="612"/>
    </row>
    <row r="13749">
      <c r="B13749" s="612"/>
      <c r="H13749" s="612"/>
    </row>
    <row r="13750">
      <c r="B13750" s="612"/>
      <c r="H13750" s="612"/>
    </row>
    <row r="13751">
      <c r="B13751" s="612"/>
      <c r="H13751" s="612"/>
    </row>
    <row r="13752">
      <c r="B13752" s="612"/>
      <c r="H13752" s="612"/>
    </row>
    <row r="13753">
      <c r="B13753" s="612"/>
      <c r="H13753" s="612"/>
    </row>
    <row r="13754">
      <c r="B13754" s="612"/>
      <c r="H13754" s="612"/>
    </row>
    <row r="13755">
      <c r="B13755" s="612"/>
      <c r="H13755" s="612"/>
    </row>
    <row r="13756">
      <c r="B13756" s="612"/>
      <c r="H13756" s="612"/>
    </row>
    <row r="13757">
      <c r="B13757" s="612"/>
      <c r="H13757" s="612"/>
    </row>
    <row r="13758">
      <c r="B13758" s="612"/>
      <c r="H13758" s="612"/>
    </row>
    <row r="13759">
      <c r="B13759" s="612"/>
      <c r="H13759" s="612"/>
    </row>
    <row r="13760">
      <c r="B13760" s="612"/>
      <c r="H13760" s="612"/>
    </row>
    <row r="13761">
      <c r="B13761" s="612"/>
      <c r="H13761" s="612"/>
    </row>
    <row r="13762">
      <c r="B13762" s="612"/>
      <c r="H13762" s="612"/>
    </row>
    <row r="13763">
      <c r="B13763" s="612"/>
      <c r="H13763" s="612"/>
    </row>
    <row r="13764">
      <c r="B13764" s="612"/>
      <c r="H13764" s="612"/>
    </row>
    <row r="13765">
      <c r="B13765" s="612"/>
      <c r="H13765" s="612"/>
    </row>
    <row r="13766">
      <c r="B13766" s="612"/>
      <c r="H13766" s="612"/>
    </row>
    <row r="13767">
      <c r="B13767" s="612"/>
      <c r="H13767" s="612"/>
    </row>
    <row r="13768">
      <c r="B13768" s="612"/>
      <c r="H13768" s="612"/>
    </row>
    <row r="13769">
      <c r="B13769" s="612"/>
      <c r="H13769" s="612"/>
    </row>
    <row r="13770">
      <c r="B13770" s="612"/>
      <c r="H13770" s="612"/>
    </row>
    <row r="13771">
      <c r="B13771" s="612"/>
      <c r="H13771" s="612"/>
    </row>
    <row r="13772">
      <c r="B13772" s="612"/>
      <c r="H13772" s="612"/>
    </row>
    <row r="13773">
      <c r="B13773" s="612"/>
      <c r="H13773" s="612"/>
    </row>
    <row r="13774">
      <c r="B13774" s="612"/>
      <c r="H13774" s="612"/>
    </row>
    <row r="13775">
      <c r="B13775" s="612"/>
      <c r="H13775" s="612"/>
    </row>
    <row r="13776">
      <c r="B13776" s="612"/>
      <c r="H13776" s="612"/>
    </row>
    <row r="13777">
      <c r="B13777" s="612"/>
      <c r="H13777" s="612"/>
    </row>
    <row r="13778">
      <c r="B13778" s="612"/>
      <c r="H13778" s="612"/>
    </row>
    <row r="13779">
      <c r="B13779" s="612"/>
      <c r="H13779" s="612"/>
    </row>
    <row r="13780">
      <c r="B13780" s="612"/>
      <c r="H13780" s="612"/>
    </row>
    <row r="13781">
      <c r="B13781" s="612"/>
      <c r="H13781" s="612"/>
    </row>
    <row r="13782">
      <c r="B13782" s="612"/>
      <c r="H13782" s="612"/>
    </row>
    <row r="13783">
      <c r="B13783" s="612"/>
      <c r="H13783" s="612"/>
    </row>
    <row r="13784">
      <c r="B13784" s="612"/>
      <c r="H13784" s="612"/>
    </row>
    <row r="13785">
      <c r="B13785" s="612"/>
      <c r="H13785" s="612"/>
    </row>
    <row r="13786">
      <c r="B13786" s="612"/>
      <c r="H13786" s="612"/>
    </row>
    <row r="13787">
      <c r="B13787" s="612"/>
      <c r="H13787" s="612"/>
    </row>
    <row r="13788">
      <c r="B13788" s="612"/>
      <c r="H13788" s="612"/>
    </row>
    <row r="13789">
      <c r="B13789" s="612"/>
      <c r="H13789" s="612"/>
    </row>
    <row r="13790">
      <c r="B13790" s="612"/>
      <c r="H13790" s="612"/>
    </row>
    <row r="13791">
      <c r="B13791" s="612"/>
      <c r="H13791" s="612"/>
    </row>
    <row r="13792">
      <c r="B13792" s="612"/>
      <c r="H13792" s="612"/>
    </row>
    <row r="13793">
      <c r="B13793" s="612"/>
      <c r="H13793" s="612"/>
    </row>
    <row r="13794">
      <c r="B13794" s="612"/>
      <c r="H13794" s="612"/>
    </row>
    <row r="13795">
      <c r="B13795" s="612"/>
      <c r="H13795" s="612"/>
    </row>
    <row r="13796">
      <c r="B13796" s="612"/>
      <c r="H13796" s="612"/>
    </row>
    <row r="13797">
      <c r="B13797" s="612"/>
      <c r="H13797" s="612"/>
    </row>
    <row r="13798">
      <c r="B13798" s="612"/>
      <c r="H13798" s="612"/>
    </row>
    <row r="13799">
      <c r="B13799" s="612"/>
      <c r="H13799" s="612"/>
    </row>
    <row r="13800">
      <c r="B13800" s="612"/>
      <c r="H13800" s="612"/>
    </row>
    <row r="13801">
      <c r="B13801" s="612"/>
      <c r="H13801" s="612"/>
    </row>
    <row r="13802">
      <c r="B13802" s="612"/>
      <c r="H13802" s="612"/>
    </row>
    <row r="13803">
      <c r="B13803" s="612"/>
      <c r="H13803" s="612"/>
    </row>
    <row r="13804">
      <c r="B13804" s="612"/>
      <c r="H13804" s="612"/>
    </row>
    <row r="13805">
      <c r="B13805" s="612"/>
      <c r="H13805" s="612"/>
    </row>
    <row r="13806">
      <c r="B13806" s="612"/>
      <c r="H13806" s="612"/>
    </row>
    <row r="13807">
      <c r="B13807" s="612"/>
      <c r="H13807" s="612"/>
    </row>
    <row r="13808">
      <c r="B13808" s="612"/>
      <c r="H13808" s="612"/>
    </row>
    <row r="13809">
      <c r="B13809" s="612"/>
      <c r="H13809" s="612"/>
    </row>
    <row r="13810">
      <c r="B13810" s="612"/>
      <c r="H13810" s="612"/>
    </row>
    <row r="13811">
      <c r="B13811" s="612"/>
      <c r="H13811" s="612"/>
    </row>
    <row r="13812">
      <c r="B13812" s="612"/>
      <c r="H13812" s="612"/>
    </row>
    <row r="13813">
      <c r="B13813" s="612"/>
      <c r="H13813" s="612"/>
    </row>
    <row r="13814">
      <c r="B13814" s="612"/>
      <c r="H13814" s="612"/>
    </row>
    <row r="13815">
      <c r="B13815" s="612"/>
      <c r="H13815" s="612"/>
    </row>
    <row r="13816">
      <c r="B13816" s="612"/>
      <c r="H13816" s="612"/>
    </row>
    <row r="13817">
      <c r="B13817" s="612"/>
      <c r="H13817" s="612"/>
    </row>
    <row r="13818">
      <c r="B13818" s="612"/>
      <c r="H13818" s="612"/>
    </row>
    <row r="13819">
      <c r="B13819" s="612"/>
      <c r="H13819" s="612"/>
    </row>
    <row r="13820">
      <c r="B13820" s="612"/>
      <c r="H13820" s="612"/>
    </row>
    <row r="13821">
      <c r="B13821" s="612"/>
      <c r="H13821" s="612"/>
    </row>
    <row r="13822">
      <c r="B13822" s="612"/>
      <c r="H13822" s="612"/>
    </row>
    <row r="13823">
      <c r="B13823" s="612"/>
      <c r="H13823" s="612"/>
    </row>
    <row r="13824">
      <c r="B13824" s="612"/>
      <c r="H13824" s="612"/>
    </row>
    <row r="13825">
      <c r="B13825" s="612"/>
      <c r="H13825" s="612"/>
    </row>
    <row r="13826">
      <c r="B13826" s="612"/>
      <c r="H13826" s="612"/>
    </row>
    <row r="13827">
      <c r="B13827" s="612"/>
      <c r="H13827" s="612"/>
    </row>
    <row r="13828">
      <c r="B13828" s="612"/>
      <c r="H13828" s="612"/>
    </row>
    <row r="13829">
      <c r="B13829" s="612"/>
      <c r="H13829" s="612"/>
    </row>
    <row r="13830">
      <c r="B13830" s="612"/>
      <c r="H13830" s="612"/>
    </row>
    <row r="13831">
      <c r="B13831" s="612"/>
      <c r="H13831" s="612"/>
    </row>
    <row r="13832">
      <c r="B13832" s="612"/>
      <c r="H13832" s="612"/>
    </row>
    <row r="13833">
      <c r="B13833" s="612"/>
      <c r="H13833" s="612"/>
    </row>
    <row r="13834">
      <c r="B13834" s="612"/>
      <c r="H13834" s="612"/>
    </row>
    <row r="13835">
      <c r="B13835" s="612"/>
      <c r="H13835" s="612"/>
    </row>
    <row r="13836">
      <c r="B13836" s="612"/>
      <c r="H13836" s="612"/>
    </row>
    <row r="13837">
      <c r="B13837" s="612"/>
      <c r="H13837" s="612"/>
    </row>
    <row r="13838">
      <c r="B13838" s="612"/>
      <c r="H13838" s="612"/>
    </row>
    <row r="13839">
      <c r="B13839" s="612"/>
      <c r="H13839" s="612"/>
    </row>
    <row r="13840">
      <c r="B13840" s="612"/>
      <c r="H13840" s="612"/>
    </row>
    <row r="13841">
      <c r="B13841" s="612"/>
      <c r="H13841" s="612"/>
    </row>
    <row r="13842">
      <c r="B13842" s="612"/>
      <c r="H13842" s="612"/>
    </row>
    <row r="13843">
      <c r="B13843" s="612"/>
      <c r="H13843" s="612"/>
    </row>
    <row r="13844">
      <c r="B13844" s="612"/>
      <c r="H13844" s="612"/>
    </row>
    <row r="13845">
      <c r="B13845" s="612"/>
      <c r="H13845" s="612"/>
    </row>
    <row r="13846">
      <c r="B13846" s="612"/>
      <c r="H13846" s="612"/>
    </row>
    <row r="13847">
      <c r="B13847" s="612"/>
      <c r="H13847" s="612"/>
    </row>
    <row r="13848">
      <c r="B13848" s="612"/>
      <c r="H13848" s="612"/>
    </row>
    <row r="13849">
      <c r="B13849" s="612"/>
      <c r="H13849" s="612"/>
    </row>
    <row r="13850">
      <c r="B13850" s="612"/>
      <c r="H13850" s="612"/>
    </row>
    <row r="13851">
      <c r="B13851" s="612"/>
      <c r="H13851" s="612"/>
    </row>
    <row r="13852">
      <c r="B13852" s="612"/>
      <c r="H13852" s="612"/>
    </row>
    <row r="13853">
      <c r="B13853" s="612"/>
      <c r="H13853" s="612"/>
    </row>
    <row r="13854">
      <c r="B13854" s="612"/>
      <c r="H13854" s="612"/>
    </row>
    <row r="13855">
      <c r="B13855" s="612"/>
      <c r="H13855" s="612"/>
    </row>
    <row r="13856">
      <c r="B13856" s="612"/>
      <c r="H13856" s="612"/>
    </row>
    <row r="13857">
      <c r="B13857" s="612"/>
      <c r="H13857" s="612"/>
    </row>
    <row r="13858">
      <c r="B13858" s="612"/>
      <c r="H13858" s="612"/>
    </row>
    <row r="13859">
      <c r="B13859" s="612"/>
      <c r="H13859" s="612"/>
    </row>
    <row r="13860">
      <c r="B13860" s="612"/>
      <c r="H13860" s="612"/>
    </row>
    <row r="13861">
      <c r="B13861" s="612"/>
      <c r="H13861" s="612"/>
    </row>
    <row r="13862">
      <c r="B13862" s="612"/>
      <c r="H13862" s="612"/>
    </row>
    <row r="13863">
      <c r="B13863" s="612"/>
      <c r="H13863" s="612"/>
    </row>
    <row r="13864">
      <c r="B13864" s="612"/>
      <c r="H13864" s="612"/>
    </row>
    <row r="13865">
      <c r="B13865" s="612"/>
      <c r="H13865" s="612"/>
    </row>
    <row r="13866">
      <c r="B13866" s="612"/>
      <c r="H13866" s="612"/>
    </row>
    <row r="13867">
      <c r="B13867" s="612"/>
      <c r="H13867" s="612"/>
    </row>
    <row r="13868">
      <c r="B13868" s="612"/>
      <c r="H13868" s="612"/>
    </row>
    <row r="13869">
      <c r="B13869" s="612"/>
      <c r="H13869" s="612"/>
    </row>
    <row r="13870">
      <c r="B13870" s="612"/>
      <c r="H13870" s="612"/>
    </row>
    <row r="13871">
      <c r="B13871" s="612"/>
      <c r="H13871" s="612"/>
    </row>
    <row r="13872">
      <c r="B13872" s="612"/>
      <c r="H13872" s="612"/>
    </row>
    <row r="13873">
      <c r="B13873" s="612"/>
      <c r="H13873" s="612"/>
    </row>
    <row r="13874">
      <c r="B13874" s="612"/>
      <c r="H13874" s="612"/>
    </row>
    <row r="13875">
      <c r="B13875" s="612"/>
      <c r="H13875" s="612"/>
    </row>
    <row r="13876">
      <c r="B13876" s="612"/>
      <c r="H13876" s="612"/>
    </row>
    <row r="13877">
      <c r="B13877" s="612"/>
      <c r="H13877" s="612"/>
    </row>
    <row r="13878">
      <c r="B13878" s="612"/>
      <c r="H13878" s="612"/>
    </row>
    <row r="13879">
      <c r="B13879" s="612"/>
      <c r="H13879" s="612"/>
    </row>
    <row r="13880">
      <c r="B13880" s="612"/>
      <c r="H13880" s="612"/>
    </row>
    <row r="13881">
      <c r="B13881" s="612"/>
      <c r="H13881" s="612"/>
    </row>
    <row r="13882">
      <c r="B13882" s="612"/>
      <c r="H13882" s="612"/>
    </row>
    <row r="13883">
      <c r="B13883" s="612"/>
      <c r="H13883" s="612"/>
    </row>
    <row r="13884">
      <c r="B13884" s="612"/>
      <c r="H13884" s="612"/>
    </row>
    <row r="13885">
      <c r="B13885" s="612"/>
      <c r="H13885" s="612"/>
    </row>
    <row r="13886">
      <c r="B13886" s="612"/>
      <c r="H13886" s="612"/>
    </row>
    <row r="13887">
      <c r="B13887" s="612"/>
      <c r="H13887" s="612"/>
    </row>
    <row r="13888">
      <c r="B13888" s="612"/>
      <c r="H13888" s="612"/>
    </row>
    <row r="13889">
      <c r="B13889" s="612"/>
      <c r="H13889" s="612"/>
    </row>
    <row r="13890">
      <c r="B13890" s="612"/>
      <c r="H13890" s="612"/>
    </row>
    <row r="13891">
      <c r="B13891" s="612"/>
      <c r="H13891" s="612"/>
    </row>
    <row r="13892">
      <c r="B13892" s="612"/>
      <c r="H13892" s="612"/>
    </row>
    <row r="13893">
      <c r="B13893" s="612"/>
      <c r="H13893" s="612"/>
    </row>
    <row r="13894">
      <c r="B13894" s="612"/>
      <c r="H13894" s="612"/>
    </row>
    <row r="13895">
      <c r="B13895" s="612"/>
      <c r="H13895" s="612"/>
    </row>
    <row r="13896">
      <c r="B13896" s="612"/>
      <c r="H13896" s="612"/>
    </row>
    <row r="13897">
      <c r="B13897" s="612"/>
      <c r="H13897" s="612"/>
    </row>
    <row r="13898">
      <c r="B13898" s="612"/>
      <c r="H13898" s="612"/>
    </row>
    <row r="13899">
      <c r="B13899" s="612"/>
      <c r="H13899" s="612"/>
    </row>
    <row r="13900">
      <c r="B13900" s="612"/>
      <c r="H13900" s="612"/>
    </row>
    <row r="13901">
      <c r="B13901" s="612"/>
      <c r="H13901" s="612"/>
    </row>
    <row r="13902">
      <c r="B13902" s="612"/>
      <c r="H13902" s="612"/>
    </row>
    <row r="13903">
      <c r="B13903" s="612"/>
      <c r="H13903" s="612"/>
    </row>
    <row r="13904">
      <c r="B13904" s="612"/>
      <c r="H13904" s="612"/>
    </row>
    <row r="13905">
      <c r="B13905" s="612"/>
      <c r="H13905" s="612"/>
    </row>
    <row r="13906">
      <c r="B13906" s="612"/>
      <c r="H13906" s="612"/>
    </row>
    <row r="13907">
      <c r="B13907" s="612"/>
      <c r="H13907" s="612"/>
    </row>
    <row r="13908">
      <c r="B13908" s="612"/>
      <c r="H13908" s="612"/>
    </row>
    <row r="13909">
      <c r="B13909" s="612"/>
      <c r="H13909" s="612"/>
    </row>
    <row r="13910">
      <c r="B13910" s="612"/>
      <c r="H13910" s="612"/>
    </row>
    <row r="13911">
      <c r="B13911" s="612"/>
      <c r="H13911" s="612"/>
    </row>
    <row r="13912">
      <c r="B13912" s="612"/>
      <c r="H13912" s="612"/>
    </row>
    <row r="13913">
      <c r="B13913" s="612"/>
      <c r="H13913" s="612"/>
    </row>
    <row r="13914">
      <c r="B13914" s="612"/>
      <c r="H13914" s="612"/>
    </row>
    <row r="13915">
      <c r="B13915" s="612"/>
      <c r="H13915" s="612"/>
    </row>
    <row r="13916">
      <c r="B13916" s="612"/>
      <c r="H13916" s="612"/>
    </row>
    <row r="13917">
      <c r="B13917" s="612"/>
      <c r="H13917" s="612"/>
    </row>
    <row r="13918">
      <c r="B13918" s="612"/>
      <c r="H13918" s="612"/>
    </row>
    <row r="13919">
      <c r="B13919" s="612"/>
      <c r="H13919" s="612"/>
    </row>
    <row r="13920">
      <c r="B13920" s="612"/>
      <c r="H13920" s="612"/>
    </row>
    <row r="13921">
      <c r="B13921" s="612"/>
      <c r="H13921" s="612"/>
    </row>
    <row r="13922">
      <c r="B13922" s="612"/>
      <c r="H13922" s="612"/>
    </row>
    <row r="13923">
      <c r="B13923" s="612"/>
      <c r="H13923" s="612"/>
    </row>
    <row r="13924">
      <c r="B13924" s="612"/>
      <c r="H13924" s="612"/>
    </row>
    <row r="13925">
      <c r="B13925" s="612"/>
      <c r="H13925" s="612"/>
    </row>
    <row r="13926">
      <c r="B13926" s="612"/>
      <c r="H13926" s="612"/>
    </row>
    <row r="13927">
      <c r="B13927" s="612"/>
      <c r="H13927" s="612"/>
    </row>
    <row r="13928">
      <c r="B13928" s="612"/>
      <c r="H13928" s="612"/>
    </row>
    <row r="13929">
      <c r="B13929" s="612"/>
      <c r="H13929" s="612"/>
    </row>
    <row r="13930">
      <c r="B13930" s="612"/>
      <c r="H13930" s="612"/>
    </row>
    <row r="13931">
      <c r="B13931" s="612"/>
      <c r="H13931" s="612"/>
    </row>
    <row r="13932">
      <c r="B13932" s="612"/>
      <c r="H13932" s="612"/>
    </row>
    <row r="13933">
      <c r="B13933" s="612"/>
      <c r="H13933" s="612"/>
    </row>
    <row r="13934">
      <c r="B13934" s="612"/>
      <c r="H13934" s="612"/>
    </row>
    <row r="13935">
      <c r="B13935" s="612"/>
      <c r="H13935" s="612"/>
    </row>
    <row r="13936">
      <c r="B13936" s="612"/>
      <c r="H13936" s="612"/>
    </row>
    <row r="13937">
      <c r="B13937" s="612"/>
      <c r="H13937" s="612"/>
    </row>
    <row r="13938">
      <c r="B13938" s="612"/>
      <c r="H13938" s="612"/>
    </row>
    <row r="13939">
      <c r="B13939" s="612"/>
      <c r="H13939" s="612"/>
    </row>
    <row r="13940">
      <c r="B13940" s="612"/>
      <c r="H13940" s="612"/>
    </row>
    <row r="13941">
      <c r="B13941" s="612"/>
      <c r="H13941" s="612"/>
    </row>
    <row r="13942">
      <c r="B13942" s="612"/>
      <c r="H13942" s="612"/>
    </row>
    <row r="13943">
      <c r="B13943" s="612"/>
      <c r="H13943" s="612"/>
    </row>
    <row r="13944">
      <c r="B13944" s="612"/>
      <c r="H13944" s="612"/>
    </row>
    <row r="13945">
      <c r="B13945" s="612"/>
      <c r="H13945" s="612"/>
    </row>
    <row r="13946">
      <c r="B13946" s="612"/>
      <c r="H13946" s="612"/>
    </row>
    <row r="13947">
      <c r="B13947" s="612"/>
      <c r="H13947" s="612"/>
    </row>
    <row r="13948">
      <c r="B13948" s="612"/>
      <c r="H13948" s="612"/>
    </row>
    <row r="13949">
      <c r="B13949" s="612"/>
      <c r="H13949" s="612"/>
    </row>
    <row r="13950">
      <c r="B13950" s="612"/>
      <c r="H13950" s="612"/>
    </row>
    <row r="13951">
      <c r="B13951" s="612"/>
      <c r="H13951" s="612"/>
    </row>
    <row r="13952">
      <c r="B13952" s="612"/>
      <c r="H13952" s="612"/>
    </row>
    <row r="13953">
      <c r="B13953" s="612"/>
      <c r="H13953" s="612"/>
    </row>
    <row r="13954">
      <c r="B13954" s="612"/>
      <c r="H13954" s="612"/>
    </row>
    <row r="13955">
      <c r="B13955" s="612"/>
      <c r="H13955" s="612"/>
    </row>
    <row r="13956">
      <c r="B13956" s="612"/>
      <c r="H13956" s="612"/>
    </row>
    <row r="13957">
      <c r="B13957" s="612"/>
      <c r="H13957" s="612"/>
    </row>
    <row r="13958">
      <c r="B13958" s="612"/>
      <c r="H13958" s="612"/>
    </row>
    <row r="13959">
      <c r="B13959" s="612"/>
      <c r="H13959" s="612"/>
    </row>
    <row r="13960">
      <c r="B13960" s="612"/>
      <c r="H13960" s="612"/>
    </row>
    <row r="13961">
      <c r="B13961" s="612"/>
      <c r="H13961" s="612"/>
    </row>
    <row r="13962">
      <c r="B13962" s="612"/>
      <c r="H13962" s="612"/>
    </row>
    <row r="13963">
      <c r="B13963" s="612"/>
      <c r="H13963" s="612"/>
    </row>
    <row r="13964">
      <c r="B13964" s="612"/>
      <c r="H13964" s="612"/>
    </row>
    <row r="13965">
      <c r="B13965" s="612"/>
      <c r="H13965" s="612"/>
    </row>
    <row r="13966">
      <c r="B13966" s="612"/>
      <c r="H13966" s="612"/>
    </row>
    <row r="13967">
      <c r="B13967" s="612"/>
      <c r="H13967" s="612"/>
    </row>
    <row r="13968">
      <c r="B13968" s="612"/>
      <c r="H13968" s="612"/>
    </row>
    <row r="13969">
      <c r="B13969" s="612"/>
      <c r="H13969" s="612"/>
    </row>
    <row r="13970">
      <c r="B13970" s="612"/>
      <c r="H13970" s="612"/>
    </row>
    <row r="13971">
      <c r="B13971" s="612"/>
      <c r="H13971" s="612"/>
    </row>
    <row r="13972">
      <c r="B13972" s="612"/>
      <c r="H13972" s="612"/>
    </row>
    <row r="13973">
      <c r="B13973" s="612"/>
      <c r="H13973" s="612"/>
    </row>
    <row r="13974">
      <c r="B13974" s="612"/>
      <c r="H13974" s="612"/>
    </row>
    <row r="13975">
      <c r="B13975" s="612"/>
      <c r="H13975" s="612"/>
    </row>
    <row r="13976">
      <c r="B13976" s="612"/>
      <c r="H13976" s="612"/>
    </row>
    <row r="13977">
      <c r="B13977" s="612"/>
      <c r="H13977" s="612"/>
    </row>
    <row r="13978">
      <c r="B13978" s="612"/>
      <c r="H13978" s="612"/>
    </row>
    <row r="13979">
      <c r="B13979" s="612"/>
      <c r="H13979" s="612"/>
    </row>
    <row r="13980">
      <c r="B13980" s="612"/>
      <c r="H13980" s="612"/>
    </row>
    <row r="13981">
      <c r="B13981" s="612"/>
      <c r="H13981" s="612"/>
    </row>
    <row r="13982">
      <c r="B13982" s="612"/>
      <c r="H13982" s="612"/>
    </row>
    <row r="13983">
      <c r="B13983" s="612"/>
      <c r="H13983" s="612"/>
    </row>
    <row r="13984">
      <c r="B13984" s="612"/>
      <c r="H13984" s="612"/>
    </row>
    <row r="13985">
      <c r="B13985" s="612"/>
      <c r="H13985" s="612"/>
    </row>
    <row r="13986">
      <c r="B13986" s="612"/>
      <c r="H13986" s="612"/>
    </row>
    <row r="13987">
      <c r="B13987" s="612"/>
      <c r="H13987" s="612"/>
    </row>
    <row r="13988">
      <c r="B13988" s="612"/>
      <c r="H13988" s="612"/>
    </row>
    <row r="13989">
      <c r="B13989" s="612"/>
      <c r="H13989" s="612"/>
    </row>
    <row r="13990">
      <c r="B13990" s="612"/>
      <c r="H13990" s="612"/>
    </row>
    <row r="13991">
      <c r="B13991" s="612"/>
      <c r="H13991" s="612"/>
    </row>
    <row r="13992">
      <c r="B13992" s="612"/>
      <c r="H13992" s="612"/>
    </row>
    <row r="13993">
      <c r="B13993" s="612"/>
      <c r="H13993" s="612"/>
    </row>
    <row r="13994">
      <c r="B13994" s="612"/>
      <c r="H13994" s="612"/>
    </row>
    <row r="13995">
      <c r="B13995" s="612"/>
      <c r="H13995" s="612"/>
    </row>
    <row r="13996">
      <c r="B13996" s="612"/>
      <c r="H13996" s="612"/>
    </row>
    <row r="13997">
      <c r="B13997" s="612"/>
      <c r="H13997" s="612"/>
    </row>
    <row r="13998">
      <c r="B13998" s="612"/>
      <c r="H13998" s="612"/>
    </row>
    <row r="13999">
      <c r="B13999" s="612"/>
      <c r="H13999" s="612"/>
    </row>
    <row r="14000">
      <c r="B14000" s="612"/>
      <c r="H14000" s="612"/>
    </row>
    <row r="14001">
      <c r="B14001" s="612"/>
      <c r="H14001" s="612"/>
    </row>
    <row r="14002">
      <c r="B14002" s="612"/>
      <c r="H14002" s="612"/>
    </row>
    <row r="14003">
      <c r="B14003" s="612"/>
      <c r="H14003" s="612"/>
    </row>
    <row r="14004">
      <c r="B14004" s="612"/>
      <c r="H14004" s="612"/>
    </row>
    <row r="14005">
      <c r="B14005" s="612"/>
      <c r="H14005" s="612"/>
    </row>
    <row r="14006">
      <c r="B14006" s="612"/>
      <c r="H14006" s="612"/>
    </row>
    <row r="14007">
      <c r="B14007" s="612"/>
      <c r="H14007" s="612"/>
    </row>
    <row r="14008">
      <c r="B14008" s="612"/>
      <c r="H14008" s="612"/>
    </row>
    <row r="14009">
      <c r="B14009" s="612"/>
      <c r="H14009" s="612"/>
    </row>
    <row r="14010">
      <c r="B14010" s="612"/>
      <c r="H14010" s="612"/>
    </row>
    <row r="14011">
      <c r="B14011" s="612"/>
      <c r="H14011" s="612"/>
    </row>
    <row r="14012">
      <c r="B14012" s="612"/>
      <c r="H14012" s="612"/>
    </row>
    <row r="14013">
      <c r="B14013" s="612"/>
      <c r="H14013" s="612"/>
    </row>
    <row r="14014">
      <c r="B14014" s="612"/>
      <c r="H14014" s="612"/>
    </row>
    <row r="14015">
      <c r="B14015" s="612"/>
      <c r="H14015" s="612"/>
    </row>
    <row r="14016">
      <c r="B14016" s="612"/>
      <c r="H14016" s="612"/>
    </row>
    <row r="14017">
      <c r="B14017" s="612"/>
      <c r="H14017" s="612"/>
    </row>
    <row r="14018">
      <c r="B14018" s="612"/>
      <c r="H14018" s="612"/>
    </row>
    <row r="14019">
      <c r="B14019" s="612"/>
      <c r="H14019" s="612"/>
    </row>
    <row r="14020">
      <c r="B14020" s="612"/>
      <c r="H14020" s="612"/>
    </row>
    <row r="14021">
      <c r="B14021" s="612"/>
      <c r="H14021" s="612"/>
    </row>
    <row r="14022">
      <c r="B14022" s="612"/>
      <c r="H14022" s="612"/>
    </row>
    <row r="14023">
      <c r="B14023" s="612"/>
      <c r="H14023" s="612"/>
    </row>
    <row r="14024">
      <c r="B14024" s="612"/>
      <c r="H14024" s="612"/>
    </row>
    <row r="14025">
      <c r="B14025" s="612"/>
      <c r="H14025" s="612"/>
    </row>
    <row r="14026">
      <c r="B14026" s="612"/>
      <c r="H14026" s="612"/>
    </row>
    <row r="14027">
      <c r="B14027" s="612"/>
      <c r="H14027" s="612"/>
    </row>
    <row r="14028">
      <c r="B14028" s="612"/>
      <c r="H14028" s="612"/>
    </row>
    <row r="14029">
      <c r="B14029" s="612"/>
      <c r="H14029" s="612"/>
    </row>
    <row r="14030">
      <c r="B14030" s="612"/>
      <c r="H14030" s="612"/>
    </row>
    <row r="14031">
      <c r="B14031" s="612"/>
      <c r="H14031" s="612"/>
    </row>
    <row r="14032">
      <c r="B14032" s="612"/>
      <c r="H14032" s="612"/>
    </row>
    <row r="14033">
      <c r="B14033" s="612"/>
      <c r="H14033" s="612"/>
    </row>
    <row r="14034">
      <c r="B14034" s="612"/>
      <c r="H14034" s="612"/>
    </row>
    <row r="14035">
      <c r="B14035" s="612"/>
      <c r="H14035" s="612"/>
    </row>
    <row r="14036">
      <c r="B14036" s="612"/>
      <c r="H14036" s="612"/>
    </row>
    <row r="14037">
      <c r="B14037" s="612"/>
      <c r="H14037" s="612"/>
    </row>
    <row r="14038">
      <c r="B14038" s="612"/>
      <c r="H14038" s="612"/>
    </row>
    <row r="14039">
      <c r="B14039" s="612"/>
      <c r="H14039" s="612"/>
    </row>
    <row r="14040">
      <c r="B14040" s="612"/>
      <c r="H14040" s="612"/>
    </row>
    <row r="14041">
      <c r="B14041" s="612"/>
      <c r="H14041" s="612"/>
    </row>
    <row r="14042">
      <c r="B14042" s="612"/>
      <c r="H14042" s="612"/>
    </row>
    <row r="14043">
      <c r="B14043" s="612"/>
      <c r="H14043" s="612"/>
    </row>
    <row r="14044">
      <c r="B14044" s="612"/>
      <c r="H14044" s="612"/>
    </row>
    <row r="14045">
      <c r="B14045" s="612"/>
      <c r="H14045" s="612"/>
    </row>
    <row r="14046">
      <c r="B14046" s="612"/>
      <c r="H14046" s="612"/>
    </row>
    <row r="14047">
      <c r="B14047" s="612"/>
      <c r="H14047" s="612"/>
    </row>
    <row r="14048">
      <c r="B14048" s="612"/>
      <c r="H14048" s="612"/>
    </row>
    <row r="14049">
      <c r="B14049" s="612"/>
      <c r="H14049" s="612"/>
    </row>
    <row r="14050">
      <c r="B14050" s="612"/>
      <c r="H14050" s="612"/>
    </row>
    <row r="14051">
      <c r="B14051" s="612"/>
      <c r="H14051" s="612"/>
    </row>
    <row r="14052">
      <c r="B14052" s="612"/>
      <c r="H14052" s="612"/>
    </row>
    <row r="14053">
      <c r="B14053" s="612"/>
      <c r="H14053" s="612"/>
    </row>
    <row r="14054">
      <c r="B14054" s="612"/>
      <c r="H14054" s="612"/>
    </row>
    <row r="14055">
      <c r="B14055" s="612"/>
      <c r="H14055" s="612"/>
    </row>
    <row r="14056">
      <c r="B14056" s="612"/>
      <c r="H14056" s="612"/>
    </row>
    <row r="14057">
      <c r="B14057" s="612"/>
      <c r="H14057" s="612"/>
    </row>
    <row r="14058">
      <c r="B14058" s="612"/>
      <c r="H14058" s="612"/>
    </row>
    <row r="14059">
      <c r="B14059" s="612"/>
      <c r="H14059" s="612"/>
    </row>
    <row r="14060">
      <c r="B14060" s="612"/>
      <c r="H14060" s="612"/>
    </row>
    <row r="14061">
      <c r="B14061" s="612"/>
      <c r="H14061" s="612"/>
    </row>
    <row r="14062">
      <c r="B14062" s="612"/>
      <c r="H14062" s="612"/>
    </row>
    <row r="14063">
      <c r="B14063" s="612"/>
      <c r="H14063" s="612"/>
    </row>
    <row r="14064">
      <c r="B14064" s="612"/>
      <c r="H14064" s="612"/>
    </row>
    <row r="14065">
      <c r="B14065" s="612"/>
      <c r="H14065" s="612"/>
    </row>
    <row r="14066">
      <c r="B14066" s="612"/>
      <c r="H14066" s="612"/>
    </row>
    <row r="14067">
      <c r="B14067" s="612"/>
      <c r="H14067" s="612"/>
    </row>
    <row r="14068">
      <c r="B14068" s="612"/>
      <c r="H14068" s="612"/>
    </row>
    <row r="14069">
      <c r="B14069" s="612"/>
      <c r="H14069" s="612"/>
    </row>
    <row r="14070">
      <c r="B14070" s="612"/>
      <c r="H14070" s="612"/>
    </row>
    <row r="14071">
      <c r="B14071" s="612"/>
      <c r="H14071" s="612"/>
    </row>
    <row r="14072">
      <c r="B14072" s="612"/>
      <c r="H14072" s="612"/>
    </row>
    <row r="14073">
      <c r="B14073" s="612"/>
      <c r="H14073" s="612"/>
    </row>
    <row r="14074">
      <c r="B14074" s="612"/>
      <c r="H14074" s="612"/>
    </row>
    <row r="14075">
      <c r="B14075" s="612"/>
      <c r="H14075" s="612"/>
    </row>
    <row r="14076">
      <c r="B14076" s="612"/>
      <c r="H14076" s="612"/>
    </row>
    <row r="14077">
      <c r="B14077" s="612"/>
      <c r="H14077" s="612"/>
    </row>
    <row r="14078">
      <c r="B14078" s="612"/>
      <c r="H14078" s="612"/>
    </row>
    <row r="14079">
      <c r="B14079" s="612"/>
      <c r="H14079" s="612"/>
    </row>
    <row r="14080">
      <c r="B14080" s="612"/>
      <c r="H14080" s="612"/>
    </row>
    <row r="14081">
      <c r="B14081" s="612"/>
      <c r="H14081" s="612"/>
    </row>
    <row r="14082">
      <c r="B14082" s="612"/>
      <c r="H14082" s="612"/>
    </row>
    <row r="14083">
      <c r="B14083" s="612"/>
      <c r="H14083" s="612"/>
    </row>
    <row r="14084">
      <c r="B14084" s="612"/>
      <c r="H14084" s="612"/>
    </row>
    <row r="14085">
      <c r="B14085" s="612"/>
      <c r="H14085" s="612"/>
    </row>
    <row r="14086">
      <c r="B14086" s="612"/>
      <c r="H14086" s="612"/>
    </row>
    <row r="14087">
      <c r="B14087" s="612"/>
      <c r="H14087" s="612"/>
    </row>
    <row r="14088">
      <c r="B14088" s="612"/>
      <c r="H14088" s="612"/>
    </row>
    <row r="14089">
      <c r="B14089" s="612"/>
      <c r="H14089" s="612"/>
    </row>
    <row r="14090">
      <c r="B14090" s="612"/>
      <c r="H14090" s="612"/>
    </row>
    <row r="14091">
      <c r="B14091" s="612"/>
      <c r="H14091" s="612"/>
    </row>
    <row r="14092">
      <c r="B14092" s="612"/>
      <c r="H14092" s="612"/>
    </row>
    <row r="14093">
      <c r="B14093" s="612"/>
      <c r="H14093" s="612"/>
    </row>
    <row r="14094">
      <c r="B14094" s="612"/>
      <c r="H14094" s="612"/>
    </row>
    <row r="14095">
      <c r="B14095" s="612"/>
      <c r="H14095" s="612"/>
    </row>
    <row r="14096">
      <c r="B14096" s="612"/>
      <c r="H14096" s="612"/>
    </row>
    <row r="14097">
      <c r="B14097" s="612"/>
      <c r="H14097" s="612"/>
    </row>
    <row r="14098">
      <c r="B14098" s="612"/>
      <c r="H14098" s="612"/>
    </row>
    <row r="14099">
      <c r="B14099" s="612"/>
      <c r="H14099" s="612"/>
    </row>
    <row r="14100">
      <c r="B14100" s="612"/>
      <c r="H14100" s="612"/>
    </row>
    <row r="14101">
      <c r="B14101" s="612"/>
      <c r="H14101" s="612"/>
    </row>
    <row r="14102">
      <c r="B14102" s="612"/>
      <c r="H14102" s="612"/>
    </row>
    <row r="14103">
      <c r="B14103" s="612"/>
      <c r="H14103" s="612"/>
    </row>
    <row r="14104">
      <c r="B14104" s="612"/>
      <c r="H14104" s="612"/>
    </row>
    <row r="14105">
      <c r="B14105" s="612"/>
      <c r="H14105" s="612"/>
    </row>
    <row r="14106">
      <c r="B14106" s="612"/>
      <c r="H14106" s="612"/>
    </row>
    <row r="14107">
      <c r="B14107" s="612"/>
      <c r="H14107" s="612"/>
    </row>
    <row r="14108">
      <c r="B14108" s="612"/>
      <c r="H14108" s="612"/>
    </row>
    <row r="14109">
      <c r="B14109" s="612"/>
      <c r="H14109" s="612"/>
    </row>
    <row r="14110">
      <c r="B14110" s="612"/>
      <c r="H14110" s="612"/>
    </row>
    <row r="14111">
      <c r="B14111" s="612"/>
      <c r="H14111" s="612"/>
    </row>
    <row r="14112">
      <c r="B14112" s="612"/>
      <c r="H14112" s="612"/>
    </row>
    <row r="14113">
      <c r="B14113" s="612"/>
      <c r="H14113" s="612"/>
    </row>
    <row r="14114">
      <c r="B14114" s="612"/>
      <c r="H14114" s="612"/>
    </row>
    <row r="14115">
      <c r="B14115" s="612"/>
      <c r="H14115" s="612"/>
    </row>
    <row r="14116">
      <c r="B14116" s="612"/>
      <c r="H14116" s="612"/>
    </row>
    <row r="14117">
      <c r="B14117" s="612"/>
      <c r="H14117" s="612"/>
    </row>
    <row r="14118">
      <c r="B14118" s="612"/>
      <c r="H14118" s="612"/>
    </row>
    <row r="14119">
      <c r="B14119" s="612"/>
      <c r="H14119" s="612"/>
    </row>
    <row r="14120">
      <c r="B14120" s="612"/>
      <c r="H14120" s="612"/>
    </row>
    <row r="14121">
      <c r="B14121" s="612"/>
      <c r="H14121" s="612"/>
    </row>
    <row r="14122">
      <c r="B14122" s="612"/>
      <c r="H14122" s="612"/>
    </row>
    <row r="14123">
      <c r="B14123" s="612"/>
      <c r="H14123" s="612"/>
    </row>
    <row r="14124">
      <c r="B14124" s="612"/>
      <c r="H14124" s="612"/>
    </row>
    <row r="14125">
      <c r="B14125" s="612"/>
      <c r="H14125" s="612"/>
    </row>
    <row r="14126">
      <c r="B14126" s="612"/>
      <c r="H14126" s="612"/>
    </row>
    <row r="14127">
      <c r="B14127" s="612"/>
      <c r="H14127" s="612"/>
    </row>
    <row r="14128">
      <c r="B14128" s="612"/>
      <c r="H14128" s="612"/>
    </row>
    <row r="14129">
      <c r="B14129" s="612"/>
      <c r="H14129" s="612"/>
    </row>
    <row r="14130">
      <c r="B14130" s="612"/>
      <c r="H14130" s="612"/>
    </row>
    <row r="14131">
      <c r="B14131" s="612"/>
      <c r="H14131" s="612"/>
    </row>
    <row r="14132">
      <c r="B14132" s="612"/>
      <c r="H14132" s="612"/>
    </row>
    <row r="14133">
      <c r="B14133" s="612"/>
      <c r="H14133" s="612"/>
    </row>
    <row r="14134">
      <c r="B14134" s="612"/>
      <c r="H14134" s="612"/>
    </row>
    <row r="14135">
      <c r="B14135" s="612"/>
      <c r="H14135" s="612"/>
    </row>
    <row r="14136">
      <c r="B14136" s="612"/>
      <c r="H14136" s="612"/>
    </row>
    <row r="14137">
      <c r="B14137" s="612"/>
      <c r="H14137" s="612"/>
    </row>
    <row r="14138">
      <c r="B14138" s="612"/>
      <c r="H14138" s="612"/>
    </row>
    <row r="14139">
      <c r="B14139" s="612"/>
      <c r="H14139" s="612"/>
    </row>
    <row r="14140">
      <c r="B14140" s="612"/>
      <c r="H14140" s="612"/>
    </row>
    <row r="14141">
      <c r="B14141" s="612"/>
      <c r="H14141" s="612"/>
    </row>
    <row r="14142">
      <c r="B14142" s="612"/>
      <c r="H14142" s="612"/>
    </row>
    <row r="14143">
      <c r="B14143" s="612"/>
      <c r="H14143" s="612"/>
    </row>
    <row r="14144">
      <c r="B14144" s="612"/>
      <c r="H14144" s="612"/>
    </row>
    <row r="14145">
      <c r="B14145" s="612"/>
      <c r="H14145" s="612"/>
    </row>
    <row r="14146">
      <c r="B14146" s="612"/>
      <c r="H14146" s="612"/>
    </row>
    <row r="14147">
      <c r="B14147" s="612"/>
      <c r="H14147" s="612"/>
    </row>
    <row r="14148">
      <c r="B14148" s="612"/>
      <c r="H14148" s="612"/>
    </row>
    <row r="14149">
      <c r="B14149" s="612"/>
      <c r="H14149" s="612"/>
    </row>
    <row r="14150">
      <c r="B14150" s="612"/>
      <c r="H14150" s="612"/>
    </row>
    <row r="14151">
      <c r="B14151" s="612"/>
      <c r="H14151" s="612"/>
    </row>
    <row r="14152">
      <c r="B14152" s="612"/>
      <c r="H14152" s="612"/>
    </row>
    <row r="14153">
      <c r="B14153" s="612"/>
      <c r="H14153" s="612"/>
    </row>
    <row r="14154">
      <c r="B14154" s="612"/>
      <c r="H14154" s="612"/>
    </row>
    <row r="14155">
      <c r="B14155" s="612"/>
      <c r="H14155" s="612"/>
    </row>
    <row r="14156">
      <c r="B14156" s="612"/>
      <c r="H14156" s="612"/>
    </row>
    <row r="14157">
      <c r="B14157" s="612"/>
      <c r="H14157" s="612"/>
    </row>
    <row r="14158">
      <c r="B14158" s="612"/>
      <c r="H14158" s="612"/>
    </row>
    <row r="14159">
      <c r="B14159" s="612"/>
      <c r="H14159" s="612"/>
    </row>
    <row r="14160">
      <c r="B14160" s="612"/>
      <c r="H14160" s="612"/>
    </row>
    <row r="14161">
      <c r="B14161" s="612"/>
      <c r="H14161" s="612"/>
    </row>
    <row r="14162">
      <c r="B14162" s="612"/>
      <c r="H14162" s="612"/>
    </row>
    <row r="14163">
      <c r="B14163" s="612"/>
      <c r="H14163" s="612"/>
    </row>
    <row r="14164">
      <c r="B14164" s="612"/>
      <c r="H14164" s="612"/>
    </row>
    <row r="14165">
      <c r="B14165" s="612"/>
      <c r="H14165" s="612"/>
    </row>
    <row r="14166">
      <c r="B14166" s="612"/>
      <c r="H14166" s="612"/>
    </row>
    <row r="14167">
      <c r="B14167" s="612"/>
      <c r="H14167" s="612"/>
    </row>
    <row r="14168">
      <c r="B14168" s="612"/>
      <c r="H14168" s="612"/>
    </row>
    <row r="14169">
      <c r="B14169" s="612"/>
      <c r="H14169" s="612"/>
    </row>
    <row r="14170">
      <c r="B14170" s="612"/>
      <c r="H14170" s="612"/>
    </row>
    <row r="14171">
      <c r="B14171" s="612"/>
      <c r="H14171" s="612"/>
    </row>
    <row r="14172">
      <c r="B14172" s="612"/>
      <c r="H14172" s="612"/>
    </row>
    <row r="14173">
      <c r="B14173" s="612"/>
      <c r="H14173" s="612"/>
    </row>
    <row r="14174">
      <c r="B14174" s="612"/>
      <c r="H14174" s="612"/>
    </row>
    <row r="14175">
      <c r="B14175" s="612"/>
      <c r="H14175" s="612"/>
    </row>
    <row r="14176">
      <c r="B14176" s="612"/>
      <c r="H14176" s="612"/>
    </row>
    <row r="14177">
      <c r="B14177" s="612"/>
      <c r="H14177" s="612"/>
    </row>
    <row r="14178">
      <c r="B14178" s="612"/>
      <c r="H14178" s="612"/>
    </row>
    <row r="14179">
      <c r="B14179" s="612"/>
      <c r="H14179" s="612"/>
    </row>
    <row r="14180">
      <c r="B14180" s="612"/>
      <c r="H14180" s="612"/>
    </row>
    <row r="14181">
      <c r="B14181" s="612"/>
      <c r="H14181" s="612"/>
    </row>
    <row r="14182">
      <c r="B14182" s="612"/>
      <c r="H14182" s="612"/>
    </row>
    <row r="14183">
      <c r="B14183" s="612"/>
      <c r="H14183" s="612"/>
    </row>
    <row r="14184">
      <c r="B14184" s="612"/>
      <c r="H14184" s="612"/>
    </row>
    <row r="14185">
      <c r="B14185" s="612"/>
      <c r="H14185" s="612"/>
    </row>
    <row r="14186">
      <c r="B14186" s="612"/>
      <c r="H14186" s="612"/>
    </row>
    <row r="14187">
      <c r="B14187" s="612"/>
      <c r="H14187" s="612"/>
    </row>
    <row r="14188">
      <c r="B14188" s="612"/>
      <c r="H14188" s="612"/>
    </row>
    <row r="14189">
      <c r="B14189" s="612"/>
      <c r="H14189" s="612"/>
    </row>
    <row r="14190">
      <c r="B14190" s="612"/>
      <c r="H14190" s="612"/>
    </row>
    <row r="14191">
      <c r="B14191" s="612"/>
      <c r="H14191" s="612"/>
    </row>
    <row r="14192">
      <c r="B14192" s="612"/>
      <c r="H14192" s="612"/>
    </row>
    <row r="14193">
      <c r="B14193" s="612"/>
      <c r="H14193" s="612"/>
    </row>
    <row r="14194">
      <c r="B14194" s="612"/>
      <c r="H14194" s="612"/>
    </row>
    <row r="14195">
      <c r="B14195" s="612"/>
      <c r="H14195" s="612"/>
    </row>
    <row r="14196">
      <c r="B14196" s="612"/>
      <c r="H14196" s="612"/>
    </row>
    <row r="14197">
      <c r="B14197" s="612"/>
      <c r="H14197" s="612"/>
    </row>
    <row r="14198">
      <c r="B14198" s="612"/>
      <c r="H14198" s="612"/>
    </row>
    <row r="14199">
      <c r="B14199" s="612"/>
      <c r="H14199" s="612"/>
    </row>
    <row r="14200">
      <c r="B14200" s="612"/>
      <c r="H14200" s="612"/>
    </row>
    <row r="14201">
      <c r="B14201" s="612"/>
      <c r="H14201" s="612"/>
    </row>
    <row r="14202">
      <c r="B14202" s="612"/>
      <c r="H14202" s="612"/>
    </row>
    <row r="14203">
      <c r="B14203" s="612"/>
      <c r="H14203" s="612"/>
    </row>
    <row r="14204">
      <c r="B14204" s="612"/>
      <c r="H14204" s="612"/>
    </row>
    <row r="14205">
      <c r="B14205" s="612"/>
      <c r="H14205" s="612"/>
    </row>
    <row r="14206">
      <c r="B14206" s="612"/>
      <c r="H14206" s="612"/>
    </row>
    <row r="14207">
      <c r="B14207" s="612"/>
      <c r="H14207" s="612"/>
    </row>
    <row r="14208">
      <c r="B14208" s="612"/>
      <c r="H14208" s="612"/>
    </row>
    <row r="14209">
      <c r="B14209" s="612"/>
      <c r="H14209" s="612"/>
    </row>
    <row r="14210">
      <c r="B14210" s="612"/>
      <c r="H14210" s="612"/>
    </row>
    <row r="14211">
      <c r="B14211" s="612"/>
      <c r="H14211" s="612"/>
    </row>
    <row r="14212">
      <c r="B14212" s="612"/>
      <c r="H14212" s="612"/>
    </row>
    <row r="14213">
      <c r="B14213" s="612"/>
      <c r="H14213" s="612"/>
    </row>
    <row r="14214">
      <c r="B14214" s="612"/>
      <c r="H14214" s="612"/>
    </row>
    <row r="14215">
      <c r="B14215" s="612"/>
      <c r="H14215" s="612"/>
    </row>
    <row r="14216">
      <c r="B14216" s="612"/>
      <c r="H14216" s="612"/>
    </row>
    <row r="14217">
      <c r="B14217" s="612"/>
      <c r="H14217" s="612"/>
    </row>
    <row r="14218">
      <c r="B14218" s="612"/>
      <c r="H14218" s="612"/>
    </row>
    <row r="14219">
      <c r="B14219" s="612"/>
      <c r="H14219" s="612"/>
    </row>
    <row r="14220">
      <c r="B14220" s="612"/>
      <c r="H14220" s="612"/>
    </row>
    <row r="14221">
      <c r="B14221" s="612"/>
      <c r="H14221" s="612"/>
    </row>
    <row r="14222">
      <c r="B14222" s="612"/>
      <c r="H14222" s="612"/>
    </row>
    <row r="14223">
      <c r="B14223" s="612"/>
      <c r="H14223" s="612"/>
    </row>
    <row r="14224">
      <c r="B14224" s="612"/>
      <c r="H14224" s="612"/>
    </row>
    <row r="14225">
      <c r="B14225" s="612"/>
      <c r="H14225" s="612"/>
    </row>
    <row r="14226">
      <c r="B14226" s="612"/>
      <c r="H14226" s="612"/>
    </row>
    <row r="14227">
      <c r="B14227" s="612"/>
      <c r="H14227" s="612"/>
    </row>
    <row r="14228">
      <c r="B14228" s="612"/>
      <c r="H14228" s="612"/>
    </row>
    <row r="14229">
      <c r="B14229" s="612"/>
      <c r="H14229" s="612"/>
    </row>
    <row r="14230">
      <c r="B14230" s="612"/>
      <c r="H14230" s="612"/>
    </row>
    <row r="14231">
      <c r="B14231" s="612"/>
      <c r="H14231" s="612"/>
    </row>
    <row r="14232">
      <c r="B14232" s="612"/>
      <c r="H14232" s="612"/>
    </row>
    <row r="14233">
      <c r="B14233" s="612"/>
      <c r="H14233" s="612"/>
    </row>
    <row r="14234">
      <c r="B14234" s="612"/>
      <c r="H14234" s="612"/>
    </row>
    <row r="14235">
      <c r="B14235" s="612"/>
      <c r="H14235" s="612"/>
    </row>
    <row r="14236">
      <c r="B14236" s="612"/>
      <c r="H14236" s="612"/>
    </row>
    <row r="14237">
      <c r="B14237" s="612"/>
      <c r="H14237" s="612"/>
    </row>
    <row r="14238">
      <c r="B14238" s="612"/>
      <c r="H14238" s="612"/>
    </row>
    <row r="14239">
      <c r="B14239" s="612"/>
      <c r="H14239" s="612"/>
    </row>
    <row r="14240">
      <c r="B14240" s="612"/>
      <c r="H14240" s="612"/>
    </row>
    <row r="14241">
      <c r="B14241" s="612"/>
      <c r="H14241" s="612"/>
    </row>
    <row r="14242">
      <c r="B14242" s="612"/>
      <c r="H14242" s="612"/>
    </row>
    <row r="14243">
      <c r="B14243" s="612"/>
      <c r="H14243" s="612"/>
    </row>
    <row r="14244">
      <c r="B14244" s="612"/>
      <c r="H14244" s="612"/>
    </row>
    <row r="14245">
      <c r="B14245" s="612"/>
      <c r="H14245" s="612"/>
    </row>
    <row r="14246">
      <c r="B14246" s="612"/>
      <c r="H14246" s="612"/>
    </row>
    <row r="14247">
      <c r="B14247" s="612"/>
      <c r="H14247" s="612"/>
    </row>
    <row r="14248">
      <c r="B14248" s="612"/>
      <c r="H14248" s="612"/>
    </row>
    <row r="14249">
      <c r="B14249" s="612"/>
      <c r="H14249" s="612"/>
    </row>
    <row r="14250">
      <c r="B14250" s="612"/>
      <c r="H14250" s="612"/>
    </row>
    <row r="14251">
      <c r="B14251" s="612"/>
      <c r="H14251" s="612"/>
    </row>
    <row r="14252">
      <c r="B14252" s="612"/>
      <c r="H14252" s="612"/>
    </row>
    <row r="14253">
      <c r="B14253" s="612"/>
      <c r="H14253" s="612"/>
    </row>
    <row r="14254">
      <c r="B14254" s="612"/>
      <c r="H14254" s="612"/>
    </row>
    <row r="14255">
      <c r="B14255" s="612"/>
      <c r="H14255" s="612"/>
    </row>
    <row r="14256">
      <c r="B14256" s="612"/>
      <c r="H14256" s="612"/>
    </row>
    <row r="14257">
      <c r="B14257" s="612"/>
      <c r="H14257" s="612"/>
    </row>
    <row r="14258">
      <c r="B14258" s="612"/>
      <c r="H14258" s="612"/>
    </row>
    <row r="14259">
      <c r="B14259" s="612"/>
      <c r="H14259" s="612"/>
    </row>
    <row r="14260">
      <c r="B14260" s="612"/>
      <c r="H14260" s="612"/>
    </row>
    <row r="14261">
      <c r="B14261" s="612"/>
      <c r="H14261" s="612"/>
    </row>
    <row r="14262">
      <c r="B14262" s="612"/>
      <c r="H14262" s="612"/>
    </row>
    <row r="14263">
      <c r="B14263" s="612"/>
      <c r="H14263" s="612"/>
    </row>
    <row r="14264">
      <c r="B14264" s="612"/>
      <c r="H14264" s="612"/>
    </row>
    <row r="14265">
      <c r="B14265" s="612"/>
      <c r="H14265" s="612"/>
    </row>
    <row r="14266">
      <c r="B14266" s="612"/>
      <c r="H14266" s="612"/>
    </row>
    <row r="14267">
      <c r="B14267" s="612"/>
      <c r="H14267" s="612"/>
    </row>
    <row r="14268">
      <c r="B14268" s="612"/>
      <c r="H14268" s="612"/>
    </row>
    <row r="14269">
      <c r="B14269" s="612"/>
      <c r="H14269" s="612"/>
    </row>
    <row r="14270">
      <c r="B14270" s="612"/>
      <c r="H14270" s="612"/>
    </row>
    <row r="14271">
      <c r="B14271" s="612"/>
      <c r="H14271" s="612"/>
    </row>
    <row r="14272">
      <c r="B14272" s="612"/>
      <c r="H14272" s="612"/>
    </row>
    <row r="14273">
      <c r="B14273" s="612"/>
      <c r="H14273" s="612"/>
    </row>
    <row r="14274">
      <c r="B14274" s="612"/>
      <c r="H14274" s="612"/>
    </row>
    <row r="14275">
      <c r="B14275" s="612"/>
      <c r="H14275" s="612"/>
    </row>
    <row r="14276">
      <c r="B14276" s="612"/>
      <c r="H14276" s="612"/>
    </row>
    <row r="14277">
      <c r="B14277" s="612"/>
      <c r="H14277" s="612"/>
    </row>
    <row r="14278">
      <c r="B14278" s="612"/>
      <c r="H14278" s="612"/>
    </row>
    <row r="14279">
      <c r="B14279" s="612"/>
      <c r="H14279" s="612"/>
    </row>
    <row r="14280">
      <c r="B14280" s="612"/>
      <c r="H14280" s="612"/>
    </row>
    <row r="14281">
      <c r="B14281" s="612"/>
      <c r="H14281" s="612"/>
    </row>
    <row r="14282">
      <c r="B14282" s="612"/>
      <c r="H14282" s="612"/>
    </row>
    <row r="14283">
      <c r="B14283" s="612"/>
      <c r="H14283" s="612"/>
    </row>
    <row r="14284">
      <c r="B14284" s="612"/>
      <c r="H14284" s="612"/>
    </row>
    <row r="14285">
      <c r="B14285" s="612"/>
      <c r="H14285" s="612"/>
    </row>
    <row r="14286">
      <c r="B14286" s="612"/>
      <c r="H14286" s="612"/>
    </row>
    <row r="14287">
      <c r="B14287" s="612"/>
      <c r="H14287" s="612"/>
    </row>
    <row r="14288">
      <c r="B14288" s="612"/>
      <c r="H14288" s="612"/>
    </row>
    <row r="14289">
      <c r="B14289" s="612"/>
      <c r="H14289" s="612"/>
    </row>
    <row r="14290">
      <c r="B14290" s="612"/>
      <c r="H14290" s="612"/>
    </row>
    <row r="14291">
      <c r="B14291" s="612"/>
      <c r="H14291" s="612"/>
    </row>
    <row r="14292">
      <c r="B14292" s="612"/>
      <c r="H14292" s="612"/>
    </row>
    <row r="14293">
      <c r="B14293" s="612"/>
      <c r="H14293" s="612"/>
    </row>
    <row r="14294">
      <c r="B14294" s="612"/>
      <c r="H14294" s="612"/>
    </row>
    <row r="14295">
      <c r="B14295" s="612"/>
      <c r="H14295" s="612"/>
    </row>
    <row r="14296">
      <c r="B14296" s="612"/>
      <c r="H14296" s="612"/>
    </row>
    <row r="14297">
      <c r="B14297" s="612"/>
      <c r="H14297" s="612"/>
    </row>
    <row r="14298">
      <c r="B14298" s="612"/>
      <c r="H14298" s="612"/>
    </row>
    <row r="14299">
      <c r="B14299" s="612"/>
      <c r="H14299" s="612"/>
    </row>
    <row r="14300">
      <c r="B14300" s="612"/>
      <c r="H14300" s="612"/>
    </row>
    <row r="14301">
      <c r="B14301" s="612"/>
      <c r="H14301" s="612"/>
    </row>
    <row r="14302">
      <c r="B14302" s="612"/>
      <c r="H14302" s="612"/>
    </row>
    <row r="14303">
      <c r="B14303" s="612"/>
      <c r="H14303" s="612"/>
    </row>
    <row r="14304">
      <c r="B14304" s="612"/>
      <c r="H14304" s="612"/>
    </row>
    <row r="14305">
      <c r="B14305" s="612"/>
      <c r="H14305" s="612"/>
    </row>
    <row r="14306">
      <c r="B14306" s="612"/>
      <c r="H14306" s="612"/>
    </row>
    <row r="14307">
      <c r="B14307" s="612"/>
      <c r="H14307" s="612"/>
    </row>
    <row r="14308">
      <c r="B14308" s="612"/>
      <c r="H14308" s="612"/>
    </row>
    <row r="14309">
      <c r="B14309" s="612"/>
      <c r="H14309" s="612"/>
    </row>
    <row r="14310">
      <c r="B14310" s="612"/>
      <c r="H14310" s="612"/>
    </row>
    <row r="14311">
      <c r="B14311" s="612"/>
      <c r="H14311" s="612"/>
    </row>
    <row r="14312">
      <c r="B14312" s="612"/>
      <c r="H14312" s="612"/>
    </row>
    <row r="14313">
      <c r="B14313" s="612"/>
      <c r="H14313" s="612"/>
    </row>
    <row r="14314">
      <c r="B14314" s="612"/>
      <c r="H14314" s="612"/>
    </row>
    <row r="14315">
      <c r="B14315" s="612"/>
      <c r="H14315" s="612"/>
    </row>
    <row r="14316">
      <c r="B14316" s="612"/>
      <c r="H14316" s="612"/>
    </row>
    <row r="14317">
      <c r="B14317" s="612"/>
      <c r="H14317" s="612"/>
    </row>
    <row r="14318">
      <c r="B14318" s="612"/>
      <c r="H14318" s="612"/>
    </row>
    <row r="14319">
      <c r="B14319" s="612"/>
      <c r="H14319" s="612"/>
    </row>
    <row r="14320">
      <c r="B14320" s="612"/>
      <c r="H14320" s="612"/>
    </row>
    <row r="14321">
      <c r="B14321" s="612"/>
      <c r="H14321" s="612"/>
    </row>
    <row r="14322">
      <c r="B14322" s="612"/>
      <c r="H14322" s="612"/>
    </row>
    <row r="14323">
      <c r="B14323" s="612"/>
      <c r="H14323" s="612"/>
    </row>
    <row r="14324">
      <c r="B14324" s="612"/>
      <c r="H14324" s="612"/>
    </row>
    <row r="14325">
      <c r="B14325" s="612"/>
      <c r="H14325" s="612"/>
    </row>
    <row r="14326">
      <c r="B14326" s="612"/>
      <c r="H14326" s="612"/>
    </row>
    <row r="14327">
      <c r="B14327" s="612"/>
      <c r="H14327" s="612"/>
    </row>
    <row r="14328">
      <c r="B14328" s="612"/>
      <c r="H14328" s="612"/>
    </row>
    <row r="14329">
      <c r="B14329" s="612"/>
      <c r="H14329" s="612"/>
    </row>
    <row r="14330">
      <c r="B14330" s="612"/>
      <c r="H14330" s="612"/>
    </row>
    <row r="14331">
      <c r="B14331" s="612"/>
      <c r="H14331" s="612"/>
    </row>
    <row r="14332">
      <c r="B14332" s="612"/>
      <c r="H14332" s="612"/>
    </row>
    <row r="14333">
      <c r="B14333" s="612"/>
      <c r="H14333" s="612"/>
    </row>
    <row r="14334">
      <c r="B14334" s="612"/>
      <c r="H14334" s="612"/>
    </row>
    <row r="14335">
      <c r="B14335" s="612"/>
      <c r="H14335" s="612"/>
    </row>
    <row r="14336">
      <c r="B14336" s="612"/>
      <c r="H14336" s="612"/>
    </row>
    <row r="14337">
      <c r="B14337" s="612"/>
      <c r="H14337" s="612"/>
    </row>
    <row r="14338">
      <c r="B14338" s="612"/>
      <c r="H14338" s="612"/>
    </row>
    <row r="14339">
      <c r="B14339" s="612"/>
      <c r="H14339" s="612"/>
    </row>
    <row r="14340">
      <c r="B14340" s="612"/>
      <c r="H14340" s="612"/>
    </row>
    <row r="14341">
      <c r="B14341" s="612"/>
      <c r="H14341" s="612"/>
    </row>
    <row r="14342">
      <c r="B14342" s="612"/>
      <c r="H14342" s="612"/>
    </row>
    <row r="14343">
      <c r="B14343" s="612"/>
      <c r="H14343" s="612"/>
    </row>
    <row r="14344">
      <c r="B14344" s="612"/>
      <c r="H14344" s="612"/>
    </row>
    <row r="14345">
      <c r="B14345" s="612"/>
      <c r="H14345" s="612"/>
    </row>
    <row r="14346">
      <c r="B14346" s="612"/>
      <c r="H14346" s="612"/>
    </row>
    <row r="14347">
      <c r="B14347" s="612"/>
      <c r="H14347" s="612"/>
    </row>
    <row r="14348">
      <c r="B14348" s="612"/>
      <c r="H14348" s="612"/>
    </row>
    <row r="14349">
      <c r="B14349" s="612"/>
      <c r="H14349" s="612"/>
    </row>
    <row r="14350">
      <c r="B14350" s="612"/>
      <c r="H14350" s="612"/>
    </row>
    <row r="14351">
      <c r="B14351" s="612"/>
      <c r="H14351" s="612"/>
    </row>
    <row r="14352">
      <c r="B14352" s="612"/>
      <c r="H14352" s="612"/>
    </row>
    <row r="14353">
      <c r="B14353" s="612"/>
      <c r="H14353" s="612"/>
    </row>
    <row r="14354">
      <c r="B14354" s="612"/>
      <c r="H14354" s="612"/>
    </row>
    <row r="14355">
      <c r="B14355" s="612"/>
      <c r="H14355" s="612"/>
    </row>
    <row r="14356">
      <c r="B14356" s="612"/>
      <c r="H14356" s="612"/>
    </row>
    <row r="14357">
      <c r="B14357" s="612"/>
      <c r="H14357" s="612"/>
    </row>
    <row r="14358">
      <c r="B14358" s="612"/>
      <c r="H14358" s="612"/>
    </row>
    <row r="14359">
      <c r="B14359" s="612"/>
      <c r="H14359" s="612"/>
    </row>
    <row r="14360">
      <c r="B14360" s="612"/>
      <c r="H14360" s="612"/>
    </row>
    <row r="14361">
      <c r="B14361" s="612"/>
      <c r="H14361" s="612"/>
    </row>
    <row r="14362">
      <c r="B14362" s="612"/>
      <c r="H14362" s="612"/>
    </row>
    <row r="14363">
      <c r="B14363" s="612"/>
      <c r="H14363" s="612"/>
    </row>
    <row r="14364">
      <c r="B14364" s="612"/>
      <c r="H14364" s="612"/>
    </row>
    <row r="14365">
      <c r="B14365" s="612"/>
      <c r="H14365" s="612"/>
    </row>
    <row r="14366">
      <c r="B14366" s="612"/>
      <c r="H14366" s="612"/>
    </row>
    <row r="14367">
      <c r="B14367" s="612"/>
      <c r="H14367" s="612"/>
    </row>
    <row r="14368">
      <c r="B14368" s="612"/>
      <c r="H14368" s="612"/>
    </row>
    <row r="14369">
      <c r="B14369" s="612"/>
      <c r="H14369" s="612"/>
    </row>
    <row r="14370">
      <c r="B14370" s="612"/>
      <c r="H14370" s="612"/>
    </row>
    <row r="14371">
      <c r="B14371" s="612"/>
      <c r="H14371" s="612"/>
    </row>
    <row r="14372">
      <c r="B14372" s="612"/>
      <c r="H14372" s="612"/>
    </row>
    <row r="14373">
      <c r="B14373" s="612"/>
      <c r="H14373" s="612"/>
    </row>
    <row r="14374">
      <c r="B14374" s="612"/>
      <c r="H14374" s="612"/>
    </row>
    <row r="14375">
      <c r="B14375" s="612"/>
      <c r="H14375" s="612"/>
    </row>
    <row r="14376">
      <c r="B14376" s="612"/>
      <c r="H14376" s="612"/>
    </row>
    <row r="14377">
      <c r="B14377" s="612"/>
      <c r="H14377" s="612"/>
    </row>
    <row r="14378">
      <c r="B14378" s="612"/>
      <c r="H14378" s="612"/>
    </row>
    <row r="14379">
      <c r="B14379" s="612"/>
      <c r="H14379" s="612"/>
    </row>
    <row r="14380">
      <c r="B14380" s="612"/>
      <c r="H14380" s="612"/>
    </row>
    <row r="14381">
      <c r="B14381" s="612"/>
      <c r="H14381" s="612"/>
    </row>
    <row r="14382">
      <c r="B14382" s="612"/>
      <c r="H14382" s="612"/>
    </row>
    <row r="14383">
      <c r="B14383" s="612"/>
      <c r="H14383" s="612"/>
    </row>
    <row r="14384">
      <c r="B14384" s="612"/>
      <c r="H14384" s="612"/>
    </row>
    <row r="14385">
      <c r="B14385" s="612"/>
      <c r="H14385" s="612"/>
    </row>
    <row r="14386">
      <c r="B14386" s="612"/>
      <c r="H14386" s="612"/>
    </row>
    <row r="14387">
      <c r="B14387" s="612"/>
      <c r="H14387" s="612"/>
    </row>
    <row r="14388">
      <c r="B14388" s="612"/>
      <c r="H14388" s="612"/>
    </row>
    <row r="14389">
      <c r="B14389" s="612"/>
      <c r="H14389" s="612"/>
    </row>
    <row r="14390">
      <c r="B14390" s="612"/>
      <c r="H14390" s="612"/>
    </row>
    <row r="14391">
      <c r="B14391" s="612"/>
      <c r="H14391" s="612"/>
    </row>
    <row r="14392">
      <c r="B14392" s="612"/>
      <c r="H14392" s="612"/>
    </row>
    <row r="14393">
      <c r="B14393" s="612"/>
      <c r="H14393" s="612"/>
    </row>
    <row r="14394">
      <c r="B14394" s="612"/>
      <c r="H14394" s="612"/>
    </row>
    <row r="14395">
      <c r="B14395" s="612"/>
      <c r="H14395" s="612"/>
    </row>
    <row r="14396">
      <c r="B14396" s="612"/>
      <c r="H14396" s="612"/>
    </row>
    <row r="14397">
      <c r="B14397" s="612"/>
      <c r="H14397" s="612"/>
    </row>
    <row r="14398">
      <c r="B14398" s="612"/>
      <c r="H14398" s="612"/>
    </row>
    <row r="14399">
      <c r="B14399" s="612"/>
      <c r="H14399" s="612"/>
    </row>
    <row r="14400">
      <c r="B14400" s="612"/>
      <c r="H14400" s="612"/>
    </row>
    <row r="14401">
      <c r="B14401" s="612"/>
      <c r="H14401" s="612"/>
    </row>
    <row r="14402">
      <c r="B14402" s="612"/>
      <c r="H14402" s="612"/>
    </row>
    <row r="14403">
      <c r="B14403" s="612"/>
      <c r="H14403" s="612"/>
    </row>
    <row r="14404">
      <c r="B14404" s="612"/>
      <c r="H14404" s="612"/>
    </row>
    <row r="14405">
      <c r="B14405" s="612"/>
      <c r="H14405" s="612"/>
    </row>
    <row r="14406">
      <c r="B14406" s="612"/>
      <c r="H14406" s="612"/>
    </row>
    <row r="14407">
      <c r="B14407" s="612"/>
      <c r="H14407" s="612"/>
    </row>
    <row r="14408">
      <c r="B14408" s="612"/>
      <c r="H14408" s="612"/>
    </row>
    <row r="14409">
      <c r="B14409" s="612"/>
      <c r="H14409" s="612"/>
    </row>
    <row r="14410">
      <c r="B14410" s="612"/>
      <c r="H14410" s="612"/>
    </row>
    <row r="14411">
      <c r="B14411" s="612"/>
      <c r="H14411" s="612"/>
    </row>
    <row r="14412">
      <c r="B14412" s="612"/>
      <c r="H14412" s="612"/>
    </row>
    <row r="14413">
      <c r="B14413" s="612"/>
      <c r="H14413" s="612"/>
    </row>
    <row r="14414">
      <c r="B14414" s="612"/>
      <c r="H14414" s="612"/>
    </row>
    <row r="14415">
      <c r="B14415" s="612"/>
      <c r="H14415" s="612"/>
    </row>
    <row r="14416">
      <c r="B14416" s="612"/>
      <c r="H14416" s="612"/>
    </row>
    <row r="14417">
      <c r="B14417" s="612"/>
      <c r="H14417" s="612"/>
    </row>
    <row r="14418">
      <c r="B14418" s="612"/>
      <c r="H14418" s="612"/>
    </row>
    <row r="14419">
      <c r="B14419" s="612"/>
      <c r="H14419" s="612"/>
    </row>
    <row r="14420">
      <c r="B14420" s="612"/>
      <c r="H14420" s="612"/>
    </row>
    <row r="14421">
      <c r="B14421" s="612"/>
      <c r="H14421" s="612"/>
    </row>
    <row r="14422">
      <c r="B14422" s="612"/>
      <c r="H14422" s="612"/>
    </row>
    <row r="14423">
      <c r="B14423" s="612"/>
      <c r="H14423" s="612"/>
    </row>
    <row r="14424">
      <c r="B14424" s="612"/>
      <c r="H14424" s="612"/>
    </row>
    <row r="14425">
      <c r="B14425" s="612"/>
      <c r="H14425" s="612"/>
    </row>
    <row r="14426">
      <c r="B14426" s="612"/>
      <c r="H14426" s="612"/>
    </row>
    <row r="14427">
      <c r="B14427" s="612"/>
      <c r="H14427" s="612"/>
    </row>
    <row r="14428">
      <c r="B14428" s="612"/>
      <c r="H14428" s="612"/>
    </row>
    <row r="14429">
      <c r="B14429" s="612"/>
      <c r="H14429" s="612"/>
    </row>
    <row r="14430">
      <c r="B14430" s="612"/>
      <c r="H14430" s="612"/>
    </row>
    <row r="14431">
      <c r="B14431" s="612"/>
      <c r="H14431" s="612"/>
    </row>
    <row r="14432">
      <c r="B14432" s="612"/>
      <c r="H14432" s="612"/>
    </row>
    <row r="14433">
      <c r="B14433" s="612"/>
      <c r="H14433" s="612"/>
    </row>
    <row r="14434">
      <c r="B14434" s="612"/>
      <c r="H14434" s="612"/>
    </row>
    <row r="14435">
      <c r="B14435" s="612"/>
      <c r="H14435" s="612"/>
    </row>
    <row r="14436">
      <c r="B14436" s="612"/>
      <c r="H14436" s="612"/>
    </row>
    <row r="14437">
      <c r="B14437" s="612"/>
      <c r="H14437" s="612"/>
    </row>
    <row r="14438">
      <c r="B14438" s="612"/>
      <c r="H14438" s="612"/>
    </row>
    <row r="14439">
      <c r="B14439" s="612"/>
      <c r="H14439" s="612"/>
    </row>
    <row r="14440">
      <c r="B14440" s="612"/>
      <c r="H14440" s="612"/>
    </row>
    <row r="14441">
      <c r="B14441" s="612"/>
      <c r="H14441" s="612"/>
    </row>
    <row r="14442">
      <c r="B14442" s="612"/>
      <c r="H14442" s="612"/>
    </row>
    <row r="14443">
      <c r="B14443" s="612"/>
      <c r="H14443" s="612"/>
    </row>
    <row r="14444">
      <c r="B14444" s="612"/>
      <c r="H14444" s="612"/>
    </row>
    <row r="14445">
      <c r="B14445" s="612"/>
      <c r="H14445" s="612"/>
    </row>
    <row r="14446">
      <c r="B14446" s="612"/>
      <c r="H14446" s="612"/>
    </row>
    <row r="14447">
      <c r="B14447" s="612"/>
      <c r="H14447" s="612"/>
    </row>
    <row r="14448">
      <c r="B14448" s="612"/>
      <c r="H14448" s="612"/>
    </row>
    <row r="14449">
      <c r="B14449" s="612"/>
      <c r="H14449" s="612"/>
    </row>
    <row r="14450">
      <c r="B14450" s="612"/>
      <c r="H14450" s="612"/>
    </row>
    <row r="14451">
      <c r="B14451" s="612"/>
      <c r="H14451" s="612"/>
    </row>
    <row r="14452">
      <c r="B14452" s="612"/>
      <c r="H14452" s="612"/>
    </row>
    <row r="14453">
      <c r="B14453" s="612"/>
      <c r="H14453" s="612"/>
    </row>
    <row r="14454">
      <c r="B14454" s="612"/>
      <c r="H14454" s="612"/>
    </row>
    <row r="14455">
      <c r="B14455" s="612"/>
      <c r="H14455" s="612"/>
    </row>
    <row r="14456">
      <c r="B14456" s="612"/>
      <c r="H14456" s="612"/>
    </row>
    <row r="14457">
      <c r="B14457" s="612"/>
      <c r="H14457" s="612"/>
    </row>
    <row r="14458">
      <c r="B14458" s="612"/>
      <c r="H14458" s="612"/>
    </row>
    <row r="14459">
      <c r="B14459" s="612"/>
      <c r="H14459" s="612"/>
    </row>
    <row r="14460">
      <c r="B14460" s="612"/>
      <c r="H14460" s="612"/>
    </row>
    <row r="14461">
      <c r="B14461" s="612"/>
      <c r="H14461" s="612"/>
    </row>
    <row r="14462">
      <c r="B14462" s="612"/>
      <c r="H14462" s="612"/>
    </row>
    <row r="14463">
      <c r="B14463" s="612"/>
      <c r="H14463" s="612"/>
    </row>
    <row r="14464">
      <c r="B14464" s="612"/>
      <c r="H14464" s="612"/>
    </row>
    <row r="14465">
      <c r="B14465" s="612"/>
      <c r="H14465" s="612"/>
    </row>
    <row r="14466">
      <c r="B14466" s="612"/>
      <c r="H14466" s="612"/>
    </row>
    <row r="14467">
      <c r="B14467" s="612"/>
      <c r="H14467" s="612"/>
    </row>
    <row r="14468">
      <c r="B14468" s="612"/>
      <c r="H14468" s="612"/>
    </row>
    <row r="14469">
      <c r="B14469" s="612"/>
      <c r="H14469" s="612"/>
    </row>
    <row r="14470">
      <c r="B14470" s="612"/>
      <c r="H14470" s="612"/>
    </row>
    <row r="14471">
      <c r="B14471" s="612"/>
      <c r="H14471" s="612"/>
    </row>
    <row r="14472">
      <c r="B14472" s="612"/>
      <c r="H14472" s="612"/>
    </row>
    <row r="14473">
      <c r="B14473" s="612"/>
      <c r="H14473" s="612"/>
    </row>
    <row r="14474">
      <c r="B14474" s="612"/>
      <c r="H14474" s="612"/>
    </row>
    <row r="14475">
      <c r="B14475" s="612"/>
      <c r="H14475" s="612"/>
    </row>
    <row r="14476">
      <c r="B14476" s="612"/>
      <c r="H14476" s="612"/>
    </row>
    <row r="14477">
      <c r="B14477" s="612"/>
      <c r="H14477" s="612"/>
    </row>
    <row r="14478">
      <c r="B14478" s="612"/>
      <c r="H14478" s="612"/>
    </row>
    <row r="14479">
      <c r="B14479" s="612"/>
      <c r="H14479" s="612"/>
    </row>
    <row r="14480">
      <c r="B14480" s="612"/>
      <c r="H14480" s="612"/>
    </row>
    <row r="14481">
      <c r="B14481" s="612"/>
      <c r="H14481" s="612"/>
    </row>
    <row r="14482">
      <c r="B14482" s="612"/>
      <c r="H14482" s="612"/>
    </row>
    <row r="14483">
      <c r="B14483" s="612"/>
      <c r="H14483" s="612"/>
    </row>
    <row r="14484">
      <c r="B14484" s="612"/>
      <c r="H14484" s="612"/>
    </row>
    <row r="14485">
      <c r="B14485" s="612"/>
      <c r="H14485" s="612"/>
    </row>
    <row r="14486">
      <c r="B14486" s="612"/>
      <c r="H14486" s="612"/>
    </row>
    <row r="14487">
      <c r="B14487" s="612"/>
      <c r="H14487" s="612"/>
    </row>
    <row r="14488">
      <c r="B14488" s="612"/>
      <c r="H14488" s="612"/>
    </row>
    <row r="14489">
      <c r="B14489" s="612"/>
      <c r="H14489" s="612"/>
    </row>
    <row r="14490">
      <c r="B14490" s="612"/>
      <c r="H14490" s="612"/>
    </row>
    <row r="14491">
      <c r="B14491" s="612"/>
      <c r="H14491" s="612"/>
    </row>
    <row r="14492">
      <c r="B14492" s="612"/>
      <c r="H14492" s="612"/>
    </row>
    <row r="14493">
      <c r="B14493" s="612"/>
      <c r="H14493" s="612"/>
    </row>
    <row r="14494">
      <c r="B14494" s="612"/>
      <c r="H14494" s="612"/>
    </row>
    <row r="14495">
      <c r="B14495" s="612"/>
      <c r="H14495" s="612"/>
    </row>
    <row r="14496">
      <c r="B14496" s="612"/>
      <c r="H14496" s="612"/>
    </row>
    <row r="14497">
      <c r="B14497" s="612"/>
      <c r="H14497" s="612"/>
    </row>
    <row r="14498">
      <c r="B14498" s="612"/>
      <c r="H14498" s="612"/>
    </row>
    <row r="14499">
      <c r="B14499" s="612"/>
      <c r="H14499" s="612"/>
    </row>
    <row r="14500">
      <c r="B14500" s="612"/>
      <c r="H14500" s="612"/>
    </row>
    <row r="14501">
      <c r="B14501" s="612"/>
      <c r="H14501" s="612"/>
    </row>
    <row r="14502">
      <c r="B14502" s="612"/>
      <c r="H14502" s="612"/>
    </row>
    <row r="14503">
      <c r="B14503" s="612"/>
      <c r="H14503" s="612"/>
    </row>
    <row r="14504">
      <c r="B14504" s="612"/>
      <c r="H14504" s="612"/>
    </row>
    <row r="14505">
      <c r="B14505" s="612"/>
      <c r="H14505" s="612"/>
    </row>
    <row r="14506">
      <c r="B14506" s="612"/>
      <c r="H14506" s="612"/>
    </row>
    <row r="14507">
      <c r="B14507" s="612"/>
      <c r="H14507" s="612"/>
    </row>
    <row r="14508">
      <c r="B14508" s="612"/>
      <c r="H14508" s="612"/>
    </row>
    <row r="14509">
      <c r="B14509" s="612"/>
      <c r="H14509" s="612"/>
    </row>
    <row r="14510">
      <c r="B14510" s="612"/>
      <c r="H14510" s="612"/>
    </row>
    <row r="14511">
      <c r="B14511" s="612"/>
      <c r="H14511" s="612"/>
    </row>
    <row r="14512">
      <c r="B14512" s="612"/>
      <c r="H14512" s="612"/>
    </row>
    <row r="14513">
      <c r="B14513" s="612"/>
      <c r="H14513" s="612"/>
    </row>
    <row r="14514">
      <c r="B14514" s="612"/>
      <c r="H14514" s="612"/>
    </row>
    <row r="14515">
      <c r="B14515" s="612"/>
      <c r="H14515" s="612"/>
    </row>
    <row r="14516">
      <c r="B14516" s="612"/>
      <c r="H14516" s="612"/>
    </row>
    <row r="14517">
      <c r="B14517" s="612"/>
      <c r="H14517" s="612"/>
    </row>
    <row r="14518">
      <c r="B14518" s="612"/>
      <c r="H14518" s="612"/>
    </row>
    <row r="14519">
      <c r="B14519" s="612"/>
      <c r="H14519" s="612"/>
    </row>
    <row r="14520">
      <c r="B14520" s="612"/>
      <c r="H14520" s="612"/>
    </row>
    <row r="14521">
      <c r="B14521" s="612"/>
      <c r="H14521" s="612"/>
    </row>
    <row r="14522">
      <c r="B14522" s="612"/>
      <c r="H14522" s="612"/>
    </row>
    <row r="14523">
      <c r="B14523" s="612"/>
      <c r="H14523" s="612"/>
    </row>
    <row r="14524">
      <c r="B14524" s="612"/>
      <c r="H14524" s="612"/>
    </row>
    <row r="14525">
      <c r="B14525" s="612"/>
      <c r="H14525" s="612"/>
    </row>
    <row r="14526">
      <c r="B14526" s="612"/>
      <c r="H14526" s="612"/>
    </row>
    <row r="14527">
      <c r="B14527" s="612"/>
      <c r="H14527" s="612"/>
    </row>
    <row r="14528">
      <c r="B14528" s="612"/>
      <c r="H14528" s="612"/>
    </row>
    <row r="14529">
      <c r="B14529" s="612"/>
      <c r="H14529" s="612"/>
    </row>
    <row r="14530">
      <c r="B14530" s="612"/>
      <c r="H14530" s="612"/>
    </row>
    <row r="14531">
      <c r="B14531" s="612"/>
      <c r="H14531" s="612"/>
    </row>
    <row r="14532">
      <c r="B14532" s="612"/>
      <c r="H14532" s="612"/>
    </row>
    <row r="14533">
      <c r="B14533" s="612"/>
      <c r="H14533" s="612"/>
    </row>
    <row r="14534">
      <c r="B14534" s="612"/>
      <c r="H14534" s="612"/>
    </row>
    <row r="14535">
      <c r="B14535" s="612"/>
      <c r="H14535" s="612"/>
    </row>
    <row r="14536">
      <c r="B14536" s="612"/>
      <c r="H14536" s="612"/>
    </row>
    <row r="14537">
      <c r="B14537" s="612"/>
      <c r="H14537" s="612"/>
    </row>
    <row r="14538">
      <c r="B14538" s="612"/>
      <c r="H14538" s="612"/>
    </row>
    <row r="14539">
      <c r="B14539" s="612"/>
      <c r="H14539" s="612"/>
    </row>
    <row r="14540">
      <c r="B14540" s="612"/>
      <c r="H14540" s="612"/>
    </row>
    <row r="14541">
      <c r="B14541" s="612"/>
      <c r="H14541" s="612"/>
    </row>
    <row r="14542">
      <c r="B14542" s="612"/>
      <c r="H14542" s="612"/>
    </row>
    <row r="14543">
      <c r="B14543" s="612"/>
      <c r="H14543" s="612"/>
    </row>
    <row r="14544">
      <c r="B14544" s="612"/>
      <c r="H14544" s="612"/>
    </row>
    <row r="14545">
      <c r="B14545" s="612"/>
      <c r="H14545" s="612"/>
    </row>
    <row r="14546">
      <c r="B14546" s="612"/>
      <c r="H14546" s="612"/>
    </row>
    <row r="14547">
      <c r="B14547" s="612"/>
      <c r="H14547" s="612"/>
    </row>
    <row r="14548">
      <c r="B14548" s="612"/>
      <c r="H14548" s="612"/>
    </row>
    <row r="14549">
      <c r="B14549" s="612"/>
      <c r="H14549" s="612"/>
    </row>
    <row r="14550">
      <c r="B14550" s="612"/>
      <c r="H14550" s="612"/>
    </row>
    <row r="14551">
      <c r="B14551" s="612"/>
      <c r="H14551" s="612"/>
    </row>
    <row r="14552">
      <c r="B14552" s="612"/>
      <c r="H14552" s="612"/>
    </row>
    <row r="14553">
      <c r="B14553" s="612"/>
      <c r="H14553" s="612"/>
    </row>
    <row r="14554">
      <c r="B14554" s="612"/>
      <c r="H14554" s="612"/>
    </row>
    <row r="14555">
      <c r="B14555" s="612"/>
      <c r="H14555" s="612"/>
    </row>
    <row r="14556">
      <c r="B14556" s="612"/>
      <c r="H14556" s="612"/>
    </row>
    <row r="14557">
      <c r="B14557" s="612"/>
      <c r="H14557" s="612"/>
    </row>
    <row r="14558">
      <c r="B14558" s="612"/>
      <c r="H14558" s="612"/>
    </row>
    <row r="14559">
      <c r="B14559" s="612"/>
      <c r="H14559" s="612"/>
    </row>
    <row r="14560">
      <c r="B14560" s="612"/>
      <c r="H14560" s="612"/>
    </row>
    <row r="14561">
      <c r="B14561" s="612"/>
      <c r="H14561" s="612"/>
    </row>
    <row r="14562">
      <c r="B14562" s="612"/>
      <c r="H14562" s="612"/>
    </row>
    <row r="14563">
      <c r="B14563" s="612"/>
      <c r="H14563" s="612"/>
    </row>
    <row r="14564">
      <c r="B14564" s="612"/>
      <c r="H14564" s="612"/>
    </row>
    <row r="14565">
      <c r="B14565" s="612"/>
      <c r="H14565" s="612"/>
    </row>
    <row r="14566">
      <c r="B14566" s="612"/>
      <c r="H14566" s="612"/>
    </row>
    <row r="14567">
      <c r="B14567" s="612"/>
      <c r="H14567" s="612"/>
    </row>
    <row r="14568">
      <c r="B14568" s="612"/>
      <c r="H14568" s="612"/>
    </row>
    <row r="14569">
      <c r="B14569" s="612"/>
      <c r="H14569" s="612"/>
    </row>
    <row r="14570">
      <c r="B14570" s="612"/>
      <c r="H14570" s="612"/>
    </row>
    <row r="14571">
      <c r="B14571" s="612"/>
      <c r="H14571" s="612"/>
    </row>
    <row r="14572">
      <c r="B14572" s="612"/>
      <c r="H14572" s="612"/>
    </row>
    <row r="14573">
      <c r="B14573" s="612"/>
      <c r="H14573" s="612"/>
    </row>
    <row r="14574">
      <c r="B14574" s="612"/>
      <c r="H14574" s="612"/>
    </row>
    <row r="14575">
      <c r="B14575" s="612"/>
      <c r="H14575" s="612"/>
    </row>
    <row r="14576">
      <c r="B14576" s="612"/>
      <c r="H14576" s="612"/>
    </row>
    <row r="14577">
      <c r="B14577" s="612"/>
      <c r="H14577" s="612"/>
    </row>
    <row r="14578">
      <c r="B14578" s="612"/>
      <c r="H14578" s="612"/>
    </row>
    <row r="14579">
      <c r="B14579" s="612"/>
      <c r="H14579" s="612"/>
    </row>
    <row r="14580">
      <c r="B14580" s="612"/>
      <c r="H14580" s="612"/>
    </row>
    <row r="14581">
      <c r="B14581" s="612"/>
      <c r="H14581" s="612"/>
    </row>
    <row r="14582">
      <c r="B14582" s="612"/>
      <c r="H14582" s="612"/>
    </row>
    <row r="14583">
      <c r="B14583" s="612"/>
      <c r="H14583" s="612"/>
    </row>
    <row r="14584">
      <c r="B14584" s="612"/>
      <c r="H14584" s="612"/>
    </row>
    <row r="14585">
      <c r="B14585" s="612"/>
      <c r="H14585" s="612"/>
    </row>
    <row r="14586">
      <c r="B14586" s="612"/>
      <c r="H14586" s="612"/>
    </row>
    <row r="14587">
      <c r="B14587" s="612"/>
      <c r="H14587" s="612"/>
    </row>
    <row r="14588">
      <c r="B14588" s="612"/>
      <c r="H14588" s="612"/>
    </row>
    <row r="14589">
      <c r="B14589" s="612"/>
      <c r="H14589" s="612"/>
    </row>
    <row r="14590">
      <c r="B14590" s="612"/>
      <c r="H14590" s="612"/>
    </row>
    <row r="14591">
      <c r="B14591" s="612"/>
      <c r="H14591" s="612"/>
    </row>
    <row r="14592">
      <c r="B14592" s="612"/>
      <c r="H14592" s="612"/>
    </row>
    <row r="14593">
      <c r="B14593" s="612"/>
      <c r="H14593" s="612"/>
    </row>
    <row r="14594">
      <c r="B14594" s="612"/>
      <c r="H14594" s="612"/>
    </row>
    <row r="14595">
      <c r="B14595" s="612"/>
      <c r="H14595" s="612"/>
    </row>
    <row r="14596">
      <c r="B14596" s="612"/>
      <c r="H14596" s="612"/>
    </row>
    <row r="14597">
      <c r="B14597" s="612"/>
      <c r="H14597" s="612"/>
    </row>
    <row r="14598">
      <c r="B14598" s="612"/>
      <c r="H14598" s="612"/>
    </row>
    <row r="14599">
      <c r="B14599" s="612"/>
      <c r="H14599" s="612"/>
    </row>
    <row r="14600">
      <c r="B14600" s="612"/>
      <c r="H14600" s="612"/>
    </row>
    <row r="14601">
      <c r="B14601" s="612"/>
      <c r="H14601" s="612"/>
    </row>
    <row r="14602">
      <c r="B14602" s="612"/>
      <c r="H14602" s="612"/>
    </row>
    <row r="14603">
      <c r="B14603" s="612"/>
      <c r="H14603" s="612"/>
    </row>
    <row r="14604">
      <c r="B14604" s="612"/>
      <c r="H14604" s="612"/>
    </row>
    <row r="14605">
      <c r="B14605" s="612"/>
      <c r="H14605" s="612"/>
    </row>
    <row r="14606">
      <c r="B14606" s="612"/>
      <c r="H14606" s="612"/>
    </row>
    <row r="14607">
      <c r="B14607" s="612"/>
      <c r="H14607" s="612"/>
    </row>
    <row r="14608">
      <c r="B14608" s="612"/>
      <c r="H14608" s="612"/>
    </row>
    <row r="14609">
      <c r="B14609" s="612"/>
      <c r="H14609" s="612"/>
    </row>
    <row r="14610">
      <c r="B14610" s="612"/>
      <c r="H14610" s="612"/>
    </row>
    <row r="14611">
      <c r="B14611" s="612"/>
      <c r="H14611" s="612"/>
    </row>
    <row r="14612">
      <c r="B14612" s="612"/>
      <c r="H14612" s="612"/>
    </row>
    <row r="14613">
      <c r="B14613" s="612"/>
      <c r="H14613" s="612"/>
    </row>
    <row r="14614">
      <c r="B14614" s="612"/>
      <c r="H14614" s="612"/>
    </row>
    <row r="14615">
      <c r="B14615" s="612"/>
      <c r="H14615" s="612"/>
    </row>
    <row r="14616">
      <c r="B14616" s="612"/>
      <c r="H14616" s="612"/>
    </row>
    <row r="14617">
      <c r="B14617" s="612"/>
      <c r="H14617" s="612"/>
    </row>
    <row r="14618">
      <c r="B14618" s="612"/>
      <c r="H14618" s="612"/>
    </row>
    <row r="14619">
      <c r="B14619" s="612"/>
      <c r="H14619" s="612"/>
    </row>
    <row r="14620">
      <c r="B14620" s="612"/>
      <c r="H14620" s="612"/>
    </row>
    <row r="14621">
      <c r="B14621" s="612"/>
      <c r="H14621" s="612"/>
    </row>
    <row r="14622">
      <c r="B14622" s="612"/>
      <c r="H14622" s="612"/>
    </row>
    <row r="14623">
      <c r="B14623" s="612"/>
      <c r="H14623" s="612"/>
    </row>
    <row r="14624">
      <c r="B14624" s="612"/>
      <c r="H14624" s="612"/>
    </row>
    <row r="14625">
      <c r="B14625" s="612"/>
      <c r="H14625" s="612"/>
    </row>
    <row r="14626">
      <c r="B14626" s="612"/>
      <c r="H14626" s="612"/>
    </row>
    <row r="14627">
      <c r="B14627" s="612"/>
      <c r="H14627" s="612"/>
    </row>
    <row r="14628">
      <c r="B14628" s="612"/>
      <c r="H14628" s="612"/>
    </row>
    <row r="14629">
      <c r="B14629" s="612"/>
      <c r="H14629" s="612"/>
    </row>
    <row r="14630">
      <c r="B14630" s="612"/>
      <c r="H14630" s="612"/>
    </row>
    <row r="14631">
      <c r="B14631" s="612"/>
      <c r="H14631" s="612"/>
    </row>
    <row r="14632">
      <c r="B14632" s="612"/>
      <c r="H14632" s="612"/>
    </row>
    <row r="14633">
      <c r="B14633" s="612"/>
      <c r="H14633" s="612"/>
    </row>
    <row r="14634">
      <c r="B14634" s="612"/>
      <c r="H14634" s="612"/>
    </row>
    <row r="14635">
      <c r="B14635" s="612"/>
      <c r="H14635" s="612"/>
    </row>
    <row r="14636">
      <c r="B14636" s="612"/>
      <c r="H14636" s="612"/>
    </row>
    <row r="14637">
      <c r="B14637" s="612"/>
      <c r="H14637" s="612"/>
    </row>
    <row r="14638">
      <c r="B14638" s="612"/>
      <c r="H14638" s="612"/>
    </row>
    <row r="14639">
      <c r="B14639" s="612"/>
      <c r="H14639" s="612"/>
    </row>
    <row r="14640">
      <c r="B14640" s="612"/>
      <c r="H14640" s="612"/>
    </row>
    <row r="14641">
      <c r="B14641" s="612"/>
      <c r="H14641" s="612"/>
    </row>
    <row r="14642">
      <c r="B14642" s="612"/>
      <c r="H14642" s="612"/>
    </row>
    <row r="14643">
      <c r="B14643" s="612"/>
      <c r="H14643" s="612"/>
    </row>
    <row r="14644">
      <c r="B14644" s="612"/>
      <c r="H14644" s="612"/>
    </row>
    <row r="14645">
      <c r="B14645" s="612"/>
      <c r="H14645" s="612"/>
    </row>
    <row r="14646">
      <c r="B14646" s="612"/>
      <c r="H14646" s="612"/>
    </row>
    <row r="14647">
      <c r="B14647" s="612"/>
      <c r="H14647" s="612"/>
    </row>
    <row r="14648">
      <c r="B14648" s="612"/>
      <c r="H14648" s="612"/>
    </row>
    <row r="14649">
      <c r="B14649" s="612"/>
      <c r="H14649" s="612"/>
    </row>
    <row r="14650">
      <c r="B14650" s="612"/>
      <c r="H14650" s="612"/>
    </row>
    <row r="14651">
      <c r="B14651" s="612"/>
      <c r="H14651" s="612"/>
    </row>
    <row r="14652">
      <c r="B14652" s="612"/>
      <c r="H14652" s="612"/>
    </row>
    <row r="14653">
      <c r="B14653" s="612"/>
      <c r="H14653" s="612"/>
    </row>
    <row r="14654">
      <c r="B14654" s="612"/>
      <c r="H14654" s="612"/>
    </row>
    <row r="14655">
      <c r="B14655" s="612"/>
      <c r="H14655" s="612"/>
    </row>
    <row r="14656">
      <c r="B14656" s="612"/>
      <c r="H14656" s="612"/>
    </row>
    <row r="14657">
      <c r="B14657" s="612"/>
      <c r="H14657" s="612"/>
    </row>
    <row r="14658">
      <c r="B14658" s="612"/>
      <c r="H14658" s="612"/>
    </row>
    <row r="14659">
      <c r="B14659" s="612"/>
      <c r="H14659" s="612"/>
    </row>
    <row r="14660">
      <c r="B14660" s="612"/>
      <c r="H14660" s="612"/>
    </row>
    <row r="14661">
      <c r="B14661" s="612"/>
      <c r="H14661" s="612"/>
    </row>
    <row r="14662">
      <c r="B14662" s="612"/>
      <c r="H14662" s="612"/>
    </row>
    <row r="14663">
      <c r="B14663" s="612"/>
      <c r="H14663" s="612"/>
    </row>
    <row r="14664">
      <c r="B14664" s="612"/>
      <c r="H14664" s="612"/>
    </row>
    <row r="14665">
      <c r="B14665" s="612"/>
      <c r="H14665" s="612"/>
    </row>
    <row r="14666">
      <c r="B14666" s="612"/>
      <c r="H14666" s="612"/>
    </row>
    <row r="14667">
      <c r="B14667" s="612"/>
      <c r="H14667" s="612"/>
    </row>
    <row r="14668">
      <c r="B14668" s="612"/>
      <c r="H14668" s="612"/>
    </row>
    <row r="14669">
      <c r="B14669" s="612"/>
      <c r="H14669" s="612"/>
    </row>
    <row r="14670">
      <c r="B14670" s="612"/>
      <c r="H14670" s="612"/>
    </row>
    <row r="14671">
      <c r="B14671" s="612"/>
      <c r="H14671" s="612"/>
    </row>
    <row r="14672">
      <c r="B14672" s="612"/>
      <c r="H14672" s="612"/>
    </row>
    <row r="14673">
      <c r="B14673" s="612"/>
      <c r="H14673" s="612"/>
    </row>
    <row r="14674">
      <c r="B14674" s="612"/>
      <c r="H14674" s="612"/>
    </row>
    <row r="14675">
      <c r="B14675" s="612"/>
      <c r="H14675" s="612"/>
    </row>
    <row r="14676">
      <c r="B14676" s="612"/>
      <c r="H14676" s="612"/>
    </row>
    <row r="14677">
      <c r="B14677" s="612"/>
      <c r="H14677" s="612"/>
    </row>
    <row r="14678">
      <c r="B14678" s="612"/>
      <c r="H14678" s="612"/>
    </row>
    <row r="14679">
      <c r="B14679" s="612"/>
      <c r="H14679" s="612"/>
    </row>
    <row r="14680">
      <c r="B14680" s="612"/>
      <c r="H14680" s="612"/>
    </row>
    <row r="14681">
      <c r="B14681" s="612"/>
      <c r="H14681" s="612"/>
    </row>
    <row r="14682">
      <c r="B14682" s="612"/>
      <c r="H14682" s="612"/>
    </row>
    <row r="14683">
      <c r="B14683" s="612"/>
      <c r="H14683" s="612"/>
    </row>
    <row r="14684">
      <c r="B14684" s="612"/>
      <c r="H14684" s="612"/>
    </row>
    <row r="14685">
      <c r="B14685" s="612"/>
      <c r="H14685" s="612"/>
    </row>
    <row r="14686">
      <c r="B14686" s="612"/>
      <c r="H14686" s="612"/>
    </row>
    <row r="14687">
      <c r="B14687" s="612"/>
      <c r="H14687" s="612"/>
    </row>
    <row r="14688">
      <c r="B14688" s="612"/>
      <c r="H14688" s="612"/>
    </row>
    <row r="14689">
      <c r="B14689" s="612"/>
      <c r="H14689" s="612"/>
    </row>
    <row r="14690">
      <c r="B14690" s="612"/>
      <c r="H14690" s="612"/>
    </row>
    <row r="14691">
      <c r="B14691" s="612"/>
      <c r="H14691" s="612"/>
    </row>
    <row r="14692">
      <c r="B14692" s="612"/>
      <c r="H14692" s="612"/>
    </row>
    <row r="14693">
      <c r="B14693" s="612"/>
      <c r="H14693" s="612"/>
    </row>
    <row r="14694">
      <c r="B14694" s="612"/>
      <c r="H14694" s="612"/>
    </row>
    <row r="14695">
      <c r="B14695" s="612"/>
      <c r="H14695" s="612"/>
    </row>
    <row r="14696">
      <c r="B14696" s="612"/>
      <c r="H14696" s="612"/>
    </row>
    <row r="14697">
      <c r="B14697" s="612"/>
      <c r="H14697" s="612"/>
    </row>
    <row r="14698">
      <c r="B14698" s="612"/>
      <c r="H14698" s="612"/>
    </row>
    <row r="14699">
      <c r="B14699" s="612"/>
      <c r="H14699" s="612"/>
    </row>
    <row r="14700">
      <c r="B14700" s="612"/>
      <c r="H14700" s="612"/>
    </row>
    <row r="14701">
      <c r="B14701" s="612"/>
      <c r="H14701" s="612"/>
    </row>
    <row r="14702">
      <c r="B14702" s="612"/>
      <c r="H14702" s="612"/>
    </row>
    <row r="14703">
      <c r="B14703" s="612"/>
      <c r="H14703" s="612"/>
    </row>
    <row r="14704">
      <c r="B14704" s="612"/>
      <c r="H14704" s="612"/>
    </row>
    <row r="14705">
      <c r="B14705" s="612"/>
      <c r="H14705" s="612"/>
    </row>
    <row r="14706">
      <c r="B14706" s="612"/>
      <c r="H14706" s="612"/>
    </row>
    <row r="14707">
      <c r="B14707" s="612"/>
      <c r="H14707" s="612"/>
    </row>
    <row r="14708">
      <c r="B14708" s="612"/>
      <c r="H14708" s="612"/>
    </row>
    <row r="14709">
      <c r="B14709" s="612"/>
      <c r="H14709" s="612"/>
    </row>
    <row r="14710">
      <c r="B14710" s="612"/>
      <c r="H14710" s="612"/>
    </row>
    <row r="14711">
      <c r="B14711" s="612"/>
      <c r="H14711" s="612"/>
    </row>
    <row r="14712">
      <c r="B14712" s="612"/>
      <c r="H14712" s="612"/>
    </row>
    <row r="14713">
      <c r="B14713" s="612"/>
      <c r="H14713" s="612"/>
    </row>
    <row r="14714">
      <c r="B14714" s="612"/>
      <c r="H14714" s="612"/>
    </row>
    <row r="14715">
      <c r="B14715" s="612"/>
      <c r="H14715" s="612"/>
    </row>
    <row r="14716">
      <c r="B14716" s="612"/>
      <c r="H14716" s="612"/>
    </row>
    <row r="14717">
      <c r="B14717" s="612"/>
      <c r="H14717" s="612"/>
    </row>
    <row r="14718">
      <c r="B14718" s="612"/>
      <c r="H14718" s="612"/>
    </row>
    <row r="14719">
      <c r="B14719" s="612"/>
      <c r="H14719" s="612"/>
    </row>
    <row r="14720">
      <c r="B14720" s="612"/>
      <c r="H14720" s="612"/>
    </row>
    <row r="14721">
      <c r="B14721" s="612"/>
      <c r="H14721" s="612"/>
    </row>
    <row r="14722">
      <c r="B14722" s="612"/>
      <c r="H14722" s="612"/>
    </row>
    <row r="14723">
      <c r="B14723" s="612"/>
      <c r="H14723" s="612"/>
    </row>
    <row r="14724">
      <c r="B14724" s="612"/>
      <c r="H14724" s="612"/>
    </row>
    <row r="14725">
      <c r="B14725" s="612"/>
      <c r="H14725" s="612"/>
    </row>
    <row r="14726">
      <c r="B14726" s="612"/>
      <c r="H14726" s="612"/>
    </row>
    <row r="14727">
      <c r="B14727" s="612"/>
      <c r="H14727" s="612"/>
    </row>
    <row r="14728">
      <c r="B14728" s="612"/>
      <c r="H14728" s="612"/>
    </row>
    <row r="14729">
      <c r="B14729" s="612"/>
      <c r="H14729" s="612"/>
    </row>
    <row r="14730">
      <c r="B14730" s="612"/>
      <c r="H14730" s="612"/>
    </row>
    <row r="14731">
      <c r="B14731" s="612"/>
      <c r="H14731" s="612"/>
    </row>
    <row r="14732">
      <c r="B14732" s="612"/>
      <c r="H14732" s="612"/>
    </row>
    <row r="14733">
      <c r="B14733" s="612"/>
      <c r="H14733" s="612"/>
    </row>
    <row r="14734">
      <c r="B14734" s="612"/>
      <c r="H14734" s="612"/>
    </row>
    <row r="14735">
      <c r="B14735" s="612"/>
      <c r="H14735" s="612"/>
    </row>
    <row r="14736">
      <c r="B14736" s="612"/>
      <c r="H14736" s="612"/>
    </row>
    <row r="14737">
      <c r="B14737" s="612"/>
      <c r="H14737" s="612"/>
    </row>
    <row r="14738">
      <c r="B14738" s="612"/>
      <c r="H14738" s="612"/>
    </row>
    <row r="14739">
      <c r="B14739" s="612"/>
      <c r="H14739" s="612"/>
    </row>
    <row r="14740">
      <c r="B14740" s="612"/>
      <c r="H14740" s="612"/>
    </row>
    <row r="14741">
      <c r="B14741" s="612"/>
      <c r="H14741" s="612"/>
    </row>
    <row r="14742">
      <c r="B14742" s="612"/>
      <c r="H14742" s="612"/>
    </row>
    <row r="14743">
      <c r="B14743" s="612"/>
      <c r="H14743" s="612"/>
    </row>
    <row r="14744">
      <c r="B14744" s="612"/>
      <c r="H14744" s="612"/>
    </row>
    <row r="14745">
      <c r="B14745" s="612"/>
      <c r="H14745" s="612"/>
    </row>
    <row r="14746">
      <c r="B14746" s="612"/>
      <c r="H14746" s="612"/>
    </row>
    <row r="14747">
      <c r="B14747" s="612"/>
      <c r="H14747" s="612"/>
    </row>
    <row r="14748">
      <c r="B14748" s="612"/>
      <c r="H14748" s="612"/>
    </row>
    <row r="14749">
      <c r="B14749" s="612"/>
      <c r="H14749" s="612"/>
    </row>
    <row r="14750">
      <c r="B14750" s="612"/>
      <c r="H14750" s="612"/>
    </row>
    <row r="14751">
      <c r="B14751" s="612"/>
      <c r="H14751" s="612"/>
    </row>
    <row r="14752">
      <c r="B14752" s="612"/>
      <c r="H14752" s="612"/>
    </row>
    <row r="14753">
      <c r="B14753" s="612"/>
      <c r="H14753" s="612"/>
    </row>
    <row r="14754">
      <c r="B14754" s="612"/>
      <c r="H14754" s="612"/>
    </row>
    <row r="14755">
      <c r="B14755" s="612"/>
      <c r="H14755" s="612"/>
    </row>
    <row r="14756">
      <c r="B14756" s="612"/>
      <c r="H14756" s="612"/>
    </row>
    <row r="14757">
      <c r="B14757" s="612"/>
      <c r="H14757" s="612"/>
    </row>
    <row r="14758">
      <c r="B14758" s="612"/>
      <c r="H14758" s="612"/>
    </row>
    <row r="14759">
      <c r="B14759" s="612"/>
      <c r="H14759" s="612"/>
    </row>
    <row r="14760">
      <c r="B14760" s="612"/>
      <c r="H14760" s="612"/>
    </row>
    <row r="14761">
      <c r="B14761" s="612"/>
      <c r="H14761" s="612"/>
    </row>
    <row r="14762">
      <c r="B14762" s="612"/>
      <c r="H14762" s="612"/>
    </row>
    <row r="14763">
      <c r="B14763" s="612"/>
      <c r="H14763" s="612"/>
    </row>
    <row r="14764">
      <c r="B14764" s="612"/>
      <c r="H14764" s="612"/>
    </row>
    <row r="14765">
      <c r="B14765" s="612"/>
      <c r="H14765" s="612"/>
    </row>
    <row r="14766">
      <c r="B14766" s="612"/>
      <c r="H14766" s="612"/>
    </row>
    <row r="14767">
      <c r="B14767" s="612"/>
      <c r="H14767" s="612"/>
    </row>
    <row r="14768">
      <c r="B14768" s="612"/>
      <c r="H14768" s="612"/>
    </row>
    <row r="14769">
      <c r="B14769" s="612"/>
      <c r="H14769" s="612"/>
    </row>
    <row r="14770">
      <c r="B14770" s="612"/>
      <c r="H14770" s="612"/>
    </row>
    <row r="14771">
      <c r="B14771" s="612"/>
      <c r="H14771" s="612"/>
    </row>
    <row r="14772">
      <c r="B14772" s="612"/>
      <c r="H14772" s="612"/>
    </row>
    <row r="14773">
      <c r="B14773" s="612"/>
      <c r="H14773" s="612"/>
    </row>
    <row r="14774">
      <c r="B14774" s="612"/>
      <c r="H14774" s="612"/>
    </row>
    <row r="14775">
      <c r="B14775" s="612"/>
      <c r="H14775" s="612"/>
    </row>
    <row r="14776">
      <c r="B14776" s="612"/>
      <c r="H14776" s="612"/>
    </row>
    <row r="14777">
      <c r="B14777" s="612"/>
      <c r="H14777" s="612"/>
    </row>
    <row r="14778">
      <c r="B14778" s="612"/>
      <c r="H14778" s="612"/>
    </row>
    <row r="14779">
      <c r="B14779" s="612"/>
      <c r="H14779" s="612"/>
    </row>
    <row r="14780">
      <c r="B14780" s="612"/>
      <c r="H14780" s="612"/>
    </row>
    <row r="14781">
      <c r="B14781" s="612"/>
      <c r="H14781" s="612"/>
    </row>
    <row r="14782">
      <c r="B14782" s="612"/>
      <c r="H14782" s="612"/>
    </row>
    <row r="14783">
      <c r="B14783" s="612"/>
      <c r="H14783" s="612"/>
    </row>
    <row r="14784">
      <c r="B14784" s="612"/>
      <c r="H14784" s="612"/>
    </row>
    <row r="14785">
      <c r="B14785" s="612"/>
      <c r="H14785" s="612"/>
    </row>
    <row r="14786">
      <c r="B14786" s="612"/>
      <c r="H14786" s="612"/>
    </row>
    <row r="14787">
      <c r="B14787" s="612"/>
      <c r="H14787" s="612"/>
    </row>
    <row r="14788">
      <c r="B14788" s="612"/>
      <c r="H14788" s="612"/>
    </row>
    <row r="14789">
      <c r="B14789" s="612"/>
      <c r="H14789" s="612"/>
    </row>
    <row r="14790">
      <c r="B14790" s="612"/>
      <c r="H14790" s="612"/>
    </row>
    <row r="14791">
      <c r="B14791" s="612"/>
      <c r="H14791" s="612"/>
    </row>
    <row r="14792">
      <c r="B14792" s="612"/>
      <c r="H14792" s="612"/>
    </row>
    <row r="14793">
      <c r="B14793" s="612"/>
      <c r="H14793" s="612"/>
    </row>
    <row r="14794">
      <c r="B14794" s="612"/>
      <c r="H14794" s="612"/>
    </row>
    <row r="14795">
      <c r="B14795" s="612"/>
      <c r="H14795" s="612"/>
    </row>
    <row r="14796">
      <c r="B14796" s="612"/>
      <c r="H14796" s="612"/>
    </row>
    <row r="14797">
      <c r="B14797" s="612"/>
      <c r="H14797" s="612"/>
    </row>
    <row r="14798">
      <c r="B14798" s="612"/>
      <c r="H14798" s="612"/>
    </row>
    <row r="14799">
      <c r="B14799" s="612"/>
      <c r="H14799" s="612"/>
    </row>
    <row r="14800">
      <c r="B14800" s="612"/>
      <c r="H14800" s="612"/>
    </row>
    <row r="14801">
      <c r="B14801" s="612"/>
      <c r="H14801" s="612"/>
    </row>
    <row r="14802">
      <c r="B14802" s="612"/>
      <c r="H14802" s="612"/>
    </row>
    <row r="14803">
      <c r="B14803" s="612"/>
      <c r="H14803" s="612"/>
    </row>
    <row r="14804">
      <c r="B14804" s="612"/>
      <c r="H14804" s="612"/>
    </row>
    <row r="14805">
      <c r="B14805" s="612"/>
      <c r="H14805" s="612"/>
    </row>
    <row r="14806">
      <c r="B14806" s="612"/>
      <c r="H14806" s="612"/>
    </row>
    <row r="14807">
      <c r="B14807" s="612"/>
      <c r="H14807" s="612"/>
    </row>
    <row r="14808">
      <c r="B14808" s="612"/>
      <c r="H14808" s="612"/>
    </row>
    <row r="14809">
      <c r="B14809" s="612"/>
      <c r="H14809" s="612"/>
    </row>
    <row r="14810">
      <c r="B14810" s="612"/>
      <c r="H14810" s="612"/>
    </row>
    <row r="14811">
      <c r="B14811" s="612"/>
      <c r="H14811" s="612"/>
    </row>
    <row r="14812">
      <c r="B14812" s="612"/>
      <c r="H14812" s="612"/>
    </row>
    <row r="14813">
      <c r="B14813" s="612"/>
      <c r="H14813" s="612"/>
    </row>
    <row r="14814">
      <c r="B14814" s="612"/>
      <c r="H14814" s="612"/>
    </row>
    <row r="14815">
      <c r="B14815" s="612"/>
      <c r="H14815" s="612"/>
    </row>
    <row r="14816">
      <c r="B14816" s="612"/>
      <c r="H14816" s="612"/>
    </row>
    <row r="14817">
      <c r="B14817" s="612"/>
      <c r="H14817" s="612"/>
    </row>
    <row r="14818">
      <c r="B14818" s="612"/>
      <c r="H14818" s="612"/>
    </row>
    <row r="14819">
      <c r="B14819" s="612"/>
      <c r="H14819" s="612"/>
    </row>
    <row r="14820">
      <c r="B14820" s="612"/>
      <c r="H14820" s="612"/>
    </row>
    <row r="14821">
      <c r="B14821" s="612"/>
      <c r="H14821" s="612"/>
    </row>
    <row r="14822">
      <c r="B14822" s="612"/>
      <c r="H14822" s="612"/>
    </row>
    <row r="14823">
      <c r="B14823" s="612"/>
      <c r="H14823" s="612"/>
    </row>
    <row r="14824">
      <c r="B14824" s="612"/>
      <c r="H14824" s="612"/>
    </row>
    <row r="14825">
      <c r="B14825" s="612"/>
      <c r="H14825" s="612"/>
    </row>
    <row r="14826">
      <c r="B14826" s="612"/>
      <c r="H14826" s="612"/>
    </row>
    <row r="14827">
      <c r="B14827" s="612"/>
      <c r="H14827" s="612"/>
    </row>
    <row r="14828">
      <c r="B14828" s="612"/>
      <c r="H14828" s="612"/>
    </row>
    <row r="14829">
      <c r="B14829" s="612"/>
      <c r="H14829" s="612"/>
    </row>
    <row r="14830">
      <c r="B14830" s="612"/>
      <c r="H14830" s="612"/>
    </row>
    <row r="14831">
      <c r="B14831" s="612"/>
      <c r="H14831" s="612"/>
    </row>
    <row r="14832">
      <c r="B14832" s="612"/>
      <c r="H14832" s="612"/>
    </row>
    <row r="14833">
      <c r="B14833" s="612"/>
      <c r="H14833" s="612"/>
    </row>
    <row r="14834">
      <c r="B14834" s="612"/>
      <c r="H14834" s="612"/>
    </row>
    <row r="14835">
      <c r="B14835" s="612"/>
      <c r="H14835" s="612"/>
    </row>
    <row r="14836">
      <c r="B14836" s="612"/>
      <c r="H14836" s="612"/>
    </row>
    <row r="14837">
      <c r="B14837" s="612"/>
      <c r="H14837" s="612"/>
    </row>
    <row r="14838">
      <c r="B14838" s="612"/>
      <c r="H14838" s="612"/>
    </row>
    <row r="14839">
      <c r="B14839" s="612"/>
      <c r="H14839" s="612"/>
    </row>
    <row r="14840">
      <c r="B14840" s="612"/>
      <c r="H14840" s="612"/>
    </row>
    <row r="14841">
      <c r="B14841" s="612"/>
      <c r="H14841" s="612"/>
    </row>
    <row r="14842">
      <c r="B14842" s="612"/>
      <c r="H14842" s="612"/>
    </row>
    <row r="14843">
      <c r="B14843" s="612"/>
      <c r="H14843" s="612"/>
    </row>
    <row r="14844">
      <c r="B14844" s="612"/>
      <c r="H14844" s="612"/>
    </row>
    <row r="14845">
      <c r="B14845" s="612"/>
      <c r="H14845" s="612"/>
    </row>
    <row r="14846">
      <c r="B14846" s="612"/>
      <c r="H14846" s="612"/>
    </row>
    <row r="14847">
      <c r="B14847" s="612"/>
      <c r="H14847" s="612"/>
    </row>
    <row r="14848">
      <c r="B14848" s="612"/>
      <c r="H14848" s="612"/>
    </row>
    <row r="14849">
      <c r="B14849" s="612"/>
      <c r="H14849" s="612"/>
    </row>
    <row r="14850">
      <c r="B14850" s="612"/>
      <c r="H14850" s="612"/>
    </row>
    <row r="14851">
      <c r="B14851" s="612"/>
      <c r="H14851" s="612"/>
    </row>
    <row r="14852">
      <c r="B14852" s="612"/>
      <c r="H14852" s="612"/>
    </row>
    <row r="14853">
      <c r="B14853" s="612"/>
      <c r="H14853" s="612"/>
    </row>
    <row r="14854">
      <c r="B14854" s="612"/>
      <c r="H14854" s="612"/>
    </row>
    <row r="14855">
      <c r="B14855" s="612"/>
      <c r="H14855" s="612"/>
    </row>
    <row r="14856">
      <c r="B14856" s="612"/>
      <c r="H14856" s="612"/>
    </row>
    <row r="14857">
      <c r="B14857" s="612"/>
      <c r="H14857" s="612"/>
    </row>
    <row r="14858">
      <c r="B14858" s="612"/>
      <c r="H14858" s="612"/>
    </row>
    <row r="14859">
      <c r="B14859" s="612"/>
      <c r="H14859" s="612"/>
    </row>
    <row r="14860">
      <c r="B14860" s="612"/>
      <c r="H14860" s="612"/>
    </row>
    <row r="14861">
      <c r="B14861" s="612"/>
      <c r="H14861" s="612"/>
    </row>
    <row r="14862">
      <c r="B14862" s="612"/>
      <c r="H14862" s="612"/>
    </row>
    <row r="14863">
      <c r="B14863" s="612"/>
      <c r="H14863" s="612"/>
    </row>
    <row r="14864">
      <c r="B14864" s="612"/>
      <c r="H14864" s="612"/>
    </row>
    <row r="14865">
      <c r="B14865" s="612"/>
      <c r="H14865" s="612"/>
    </row>
    <row r="14866">
      <c r="B14866" s="612"/>
      <c r="H14866" s="612"/>
    </row>
    <row r="14867">
      <c r="B14867" s="612"/>
      <c r="H14867" s="612"/>
    </row>
    <row r="14868">
      <c r="B14868" s="612"/>
      <c r="H14868" s="612"/>
    </row>
    <row r="14869">
      <c r="B14869" s="612"/>
      <c r="H14869" s="612"/>
    </row>
    <row r="14870">
      <c r="B14870" s="612"/>
      <c r="H14870" s="612"/>
    </row>
    <row r="14871">
      <c r="B14871" s="612"/>
      <c r="H14871" s="612"/>
    </row>
    <row r="14872">
      <c r="B14872" s="612"/>
      <c r="H14872" s="612"/>
    </row>
    <row r="14873">
      <c r="B14873" s="612"/>
      <c r="H14873" s="612"/>
    </row>
    <row r="14874">
      <c r="B14874" s="612"/>
      <c r="H14874" s="612"/>
    </row>
    <row r="14875">
      <c r="B14875" s="612"/>
      <c r="H14875" s="612"/>
    </row>
    <row r="14876">
      <c r="B14876" s="612"/>
      <c r="H14876" s="612"/>
    </row>
    <row r="14877">
      <c r="B14877" s="612"/>
      <c r="H14877" s="612"/>
    </row>
    <row r="14878">
      <c r="B14878" s="612"/>
      <c r="H14878" s="612"/>
    </row>
    <row r="14879">
      <c r="B14879" s="612"/>
      <c r="H14879" s="612"/>
    </row>
    <row r="14880">
      <c r="B14880" s="612"/>
      <c r="H14880" s="612"/>
    </row>
    <row r="14881">
      <c r="B14881" s="612"/>
      <c r="H14881" s="612"/>
    </row>
    <row r="14882">
      <c r="B14882" s="612"/>
      <c r="H14882" s="612"/>
    </row>
    <row r="14883">
      <c r="B14883" s="612"/>
      <c r="H14883" s="612"/>
    </row>
    <row r="14884">
      <c r="B14884" s="612"/>
      <c r="H14884" s="612"/>
    </row>
    <row r="14885">
      <c r="B14885" s="612"/>
      <c r="H14885" s="612"/>
    </row>
    <row r="14886">
      <c r="B14886" s="612"/>
      <c r="H14886" s="612"/>
    </row>
    <row r="14887">
      <c r="B14887" s="612"/>
      <c r="H14887" s="612"/>
    </row>
    <row r="14888">
      <c r="B14888" s="612"/>
      <c r="H14888" s="612"/>
    </row>
    <row r="14889">
      <c r="B14889" s="612"/>
      <c r="H14889" s="612"/>
    </row>
    <row r="14890">
      <c r="B14890" s="612"/>
      <c r="H14890" s="612"/>
    </row>
    <row r="14891">
      <c r="B14891" s="612"/>
      <c r="H14891" s="612"/>
    </row>
    <row r="14892">
      <c r="B14892" s="612"/>
      <c r="H14892" s="612"/>
    </row>
    <row r="14893">
      <c r="B14893" s="612"/>
      <c r="H14893" s="612"/>
    </row>
    <row r="14894">
      <c r="B14894" s="612"/>
      <c r="H14894" s="612"/>
    </row>
    <row r="14895">
      <c r="B14895" s="612"/>
      <c r="H14895" s="612"/>
    </row>
    <row r="14896">
      <c r="B14896" s="612"/>
      <c r="H14896" s="612"/>
    </row>
    <row r="14897">
      <c r="B14897" s="612"/>
      <c r="H14897" s="612"/>
    </row>
    <row r="14898">
      <c r="B14898" s="612"/>
      <c r="H14898" s="612"/>
    </row>
    <row r="14899">
      <c r="B14899" s="612"/>
      <c r="H14899" s="612"/>
    </row>
    <row r="14900">
      <c r="B14900" s="612"/>
      <c r="H14900" s="612"/>
    </row>
    <row r="14901">
      <c r="B14901" s="612"/>
      <c r="H14901" s="612"/>
    </row>
    <row r="14902">
      <c r="B14902" s="612"/>
      <c r="H14902" s="612"/>
    </row>
    <row r="14903">
      <c r="B14903" s="612"/>
      <c r="H14903" s="612"/>
    </row>
    <row r="14904">
      <c r="B14904" s="612"/>
      <c r="H14904" s="612"/>
    </row>
    <row r="14905">
      <c r="B14905" s="612"/>
      <c r="H14905" s="612"/>
    </row>
    <row r="14906">
      <c r="B14906" s="612"/>
      <c r="H14906" s="612"/>
    </row>
    <row r="14907">
      <c r="B14907" s="612"/>
      <c r="H14907" s="612"/>
    </row>
    <row r="14908">
      <c r="B14908" s="612"/>
      <c r="H14908" s="612"/>
    </row>
    <row r="14909">
      <c r="B14909" s="612"/>
      <c r="H14909" s="612"/>
    </row>
    <row r="14910">
      <c r="B14910" s="612"/>
      <c r="H14910" s="612"/>
    </row>
    <row r="14911">
      <c r="B14911" s="612"/>
      <c r="H14911" s="612"/>
    </row>
    <row r="14912">
      <c r="B14912" s="612"/>
      <c r="H14912" s="612"/>
    </row>
    <row r="14913">
      <c r="B14913" s="612"/>
      <c r="H14913" s="612"/>
    </row>
    <row r="14914">
      <c r="B14914" s="612"/>
      <c r="H14914" s="612"/>
    </row>
    <row r="14915">
      <c r="B14915" s="612"/>
      <c r="H14915" s="612"/>
    </row>
    <row r="14916">
      <c r="B14916" s="612"/>
      <c r="H14916" s="612"/>
    </row>
    <row r="14917">
      <c r="B14917" s="612"/>
      <c r="H14917" s="612"/>
    </row>
    <row r="14918">
      <c r="B14918" s="612"/>
      <c r="H14918" s="612"/>
    </row>
    <row r="14919">
      <c r="B14919" s="612"/>
      <c r="H14919" s="612"/>
    </row>
    <row r="14920">
      <c r="B14920" s="612"/>
      <c r="H14920" s="612"/>
    </row>
    <row r="14921">
      <c r="B14921" s="612"/>
      <c r="H14921" s="612"/>
    </row>
    <row r="14922">
      <c r="B14922" s="612"/>
      <c r="H14922" s="612"/>
    </row>
    <row r="14923">
      <c r="B14923" s="612"/>
      <c r="H14923" s="612"/>
    </row>
    <row r="14924">
      <c r="B14924" s="612"/>
      <c r="H14924" s="612"/>
    </row>
    <row r="14925">
      <c r="B14925" s="612"/>
      <c r="H14925" s="612"/>
    </row>
    <row r="14926">
      <c r="B14926" s="612"/>
      <c r="H14926" s="612"/>
    </row>
    <row r="14927">
      <c r="B14927" s="612"/>
      <c r="H14927" s="612"/>
    </row>
    <row r="14928">
      <c r="B14928" s="612"/>
      <c r="H14928" s="612"/>
    </row>
    <row r="14929">
      <c r="B14929" s="612"/>
      <c r="H14929" s="612"/>
    </row>
    <row r="14930">
      <c r="B14930" s="612"/>
      <c r="H14930" s="612"/>
    </row>
    <row r="14931">
      <c r="B14931" s="612"/>
      <c r="H14931" s="612"/>
    </row>
    <row r="14932">
      <c r="B14932" s="612"/>
      <c r="H14932" s="612"/>
    </row>
    <row r="14933">
      <c r="B14933" s="612"/>
      <c r="H14933" s="612"/>
    </row>
    <row r="14934">
      <c r="B14934" s="612"/>
      <c r="H14934" s="612"/>
    </row>
    <row r="14935">
      <c r="B14935" s="612"/>
      <c r="H14935" s="612"/>
    </row>
    <row r="14936">
      <c r="B14936" s="612"/>
      <c r="H14936" s="612"/>
    </row>
    <row r="14937">
      <c r="B14937" s="612"/>
      <c r="H14937" s="612"/>
    </row>
    <row r="14938">
      <c r="B14938" s="612"/>
      <c r="H14938" s="612"/>
    </row>
    <row r="14939">
      <c r="B14939" s="612"/>
      <c r="H14939" s="612"/>
    </row>
    <row r="14940">
      <c r="B14940" s="612"/>
      <c r="H14940" s="612"/>
    </row>
    <row r="14941">
      <c r="B14941" s="612"/>
      <c r="H14941" s="612"/>
    </row>
    <row r="14942">
      <c r="B14942" s="612"/>
      <c r="H14942" s="612"/>
    </row>
    <row r="14943">
      <c r="B14943" s="612"/>
      <c r="H14943" s="612"/>
    </row>
    <row r="14944">
      <c r="B14944" s="612"/>
      <c r="H14944" s="612"/>
    </row>
    <row r="14945">
      <c r="B14945" s="612"/>
      <c r="H14945" s="612"/>
    </row>
    <row r="14946">
      <c r="B14946" s="612"/>
      <c r="H14946" s="612"/>
    </row>
    <row r="14947">
      <c r="B14947" s="612"/>
      <c r="H14947" s="612"/>
    </row>
    <row r="14948">
      <c r="B14948" s="612"/>
      <c r="H14948" s="612"/>
    </row>
    <row r="14949">
      <c r="B14949" s="612"/>
      <c r="H14949" s="612"/>
    </row>
    <row r="14950">
      <c r="B14950" s="612"/>
      <c r="H14950" s="612"/>
    </row>
    <row r="14951">
      <c r="B14951" s="612"/>
      <c r="H14951" s="612"/>
    </row>
    <row r="14952">
      <c r="B14952" s="612"/>
      <c r="H14952" s="612"/>
    </row>
    <row r="14953">
      <c r="B14953" s="612"/>
      <c r="H14953" s="612"/>
    </row>
    <row r="14954">
      <c r="B14954" s="612"/>
      <c r="H14954" s="612"/>
    </row>
    <row r="14955">
      <c r="B14955" s="612"/>
      <c r="H14955" s="612"/>
    </row>
    <row r="14956">
      <c r="B14956" s="612"/>
      <c r="H14956" s="612"/>
    </row>
    <row r="14957">
      <c r="B14957" s="612"/>
      <c r="H14957" s="612"/>
    </row>
    <row r="14958">
      <c r="B14958" s="612"/>
      <c r="H14958" s="612"/>
    </row>
    <row r="14959">
      <c r="B14959" s="612"/>
      <c r="H14959" s="612"/>
    </row>
    <row r="14960">
      <c r="B14960" s="612"/>
      <c r="H14960" s="612"/>
    </row>
    <row r="14961">
      <c r="B14961" s="612"/>
      <c r="H14961" s="612"/>
    </row>
    <row r="14962">
      <c r="B14962" s="612"/>
      <c r="H14962" s="612"/>
    </row>
    <row r="14963">
      <c r="B14963" s="612"/>
      <c r="H14963" s="612"/>
    </row>
    <row r="14964">
      <c r="B14964" s="612"/>
      <c r="H14964" s="612"/>
    </row>
    <row r="14965">
      <c r="B14965" s="612"/>
      <c r="H14965" s="612"/>
    </row>
    <row r="14966">
      <c r="B14966" s="612"/>
      <c r="H14966" s="612"/>
    </row>
    <row r="14967">
      <c r="B14967" s="612"/>
      <c r="H14967" s="612"/>
    </row>
    <row r="14968">
      <c r="B14968" s="612"/>
      <c r="H14968" s="612"/>
    </row>
    <row r="14969">
      <c r="B14969" s="612"/>
      <c r="H14969" s="612"/>
    </row>
    <row r="14970">
      <c r="B14970" s="612"/>
      <c r="H14970" s="612"/>
    </row>
    <row r="14971">
      <c r="B14971" s="612"/>
      <c r="H14971" s="612"/>
    </row>
    <row r="14972">
      <c r="B14972" s="612"/>
      <c r="H14972" s="612"/>
    </row>
    <row r="14973">
      <c r="B14973" s="612"/>
      <c r="H14973" s="612"/>
    </row>
    <row r="14974">
      <c r="B14974" s="612"/>
      <c r="H14974" s="612"/>
    </row>
    <row r="14975">
      <c r="B14975" s="612"/>
      <c r="H14975" s="612"/>
    </row>
    <row r="14976">
      <c r="B14976" s="612"/>
      <c r="H14976" s="612"/>
    </row>
    <row r="14977">
      <c r="B14977" s="612"/>
      <c r="H14977" s="612"/>
    </row>
    <row r="14978">
      <c r="B14978" s="612"/>
      <c r="H14978" s="612"/>
    </row>
    <row r="14979">
      <c r="B14979" s="612"/>
      <c r="H14979" s="612"/>
    </row>
    <row r="14980">
      <c r="B14980" s="612"/>
      <c r="H14980" s="612"/>
    </row>
    <row r="14981">
      <c r="B14981" s="612"/>
      <c r="H14981" s="612"/>
    </row>
    <row r="14982">
      <c r="B14982" s="612"/>
      <c r="H14982" s="612"/>
    </row>
    <row r="14983">
      <c r="B14983" s="612"/>
      <c r="H14983" s="612"/>
    </row>
    <row r="14984">
      <c r="B14984" s="612"/>
      <c r="H14984" s="612"/>
    </row>
    <row r="14985">
      <c r="B14985" s="612"/>
      <c r="H14985" s="612"/>
    </row>
    <row r="14986">
      <c r="B14986" s="612"/>
      <c r="H14986" s="612"/>
    </row>
    <row r="14987">
      <c r="B14987" s="612"/>
      <c r="H14987" s="612"/>
    </row>
    <row r="14988">
      <c r="B14988" s="612"/>
      <c r="H14988" s="612"/>
    </row>
    <row r="14989">
      <c r="B14989" s="612"/>
      <c r="H14989" s="612"/>
    </row>
    <row r="14990">
      <c r="B14990" s="612"/>
      <c r="H14990" s="612"/>
    </row>
    <row r="14991">
      <c r="B14991" s="612"/>
      <c r="H14991" s="612"/>
    </row>
    <row r="14992">
      <c r="B14992" s="612"/>
      <c r="H14992" s="612"/>
    </row>
    <row r="14993">
      <c r="B14993" s="612"/>
      <c r="H14993" s="612"/>
    </row>
    <row r="14994">
      <c r="B14994" s="612"/>
      <c r="H14994" s="612"/>
    </row>
    <row r="14995">
      <c r="B14995" s="612"/>
      <c r="H14995" s="612"/>
    </row>
    <row r="14996">
      <c r="B14996" s="612"/>
      <c r="H14996" s="612"/>
    </row>
    <row r="14997">
      <c r="B14997" s="612"/>
      <c r="H14997" s="612"/>
    </row>
    <row r="14998">
      <c r="B14998" s="612"/>
      <c r="H14998" s="612"/>
    </row>
    <row r="14999">
      <c r="B14999" s="612"/>
      <c r="H14999" s="612"/>
    </row>
    <row r="15000">
      <c r="B15000" s="612"/>
      <c r="H15000" s="612"/>
    </row>
    <row r="15001">
      <c r="B15001" s="612"/>
      <c r="H15001" s="612"/>
    </row>
    <row r="15002">
      <c r="B15002" s="612"/>
      <c r="H15002" s="612"/>
    </row>
    <row r="15003">
      <c r="B15003" s="612"/>
      <c r="H15003" s="612"/>
    </row>
    <row r="15004">
      <c r="B15004" s="612"/>
      <c r="H15004" s="612"/>
    </row>
    <row r="15005">
      <c r="B15005" s="612"/>
      <c r="H15005" s="612"/>
    </row>
    <row r="15006">
      <c r="B15006" s="612"/>
      <c r="H15006" s="612"/>
    </row>
    <row r="15007">
      <c r="B15007" s="612"/>
      <c r="H15007" s="612"/>
    </row>
    <row r="15008">
      <c r="B15008" s="612"/>
      <c r="H15008" s="612"/>
    </row>
    <row r="15009">
      <c r="B15009" s="612"/>
      <c r="H15009" s="612"/>
    </row>
    <row r="15010">
      <c r="B15010" s="612"/>
      <c r="H15010" s="612"/>
    </row>
    <row r="15011">
      <c r="B15011" s="612"/>
      <c r="H15011" s="612"/>
    </row>
    <row r="15012">
      <c r="B15012" s="612"/>
      <c r="H15012" s="612"/>
    </row>
    <row r="15013">
      <c r="B15013" s="612"/>
      <c r="H15013" s="612"/>
    </row>
    <row r="15014">
      <c r="B15014" s="612"/>
      <c r="H15014" s="612"/>
    </row>
    <row r="15015">
      <c r="B15015" s="612"/>
      <c r="H15015" s="612"/>
    </row>
    <row r="15016">
      <c r="B15016" s="612"/>
      <c r="H15016" s="612"/>
    </row>
    <row r="15017">
      <c r="B15017" s="612"/>
      <c r="H15017" s="612"/>
    </row>
    <row r="15018">
      <c r="B15018" s="612"/>
      <c r="H15018" s="612"/>
    </row>
    <row r="15019">
      <c r="B15019" s="612"/>
      <c r="H15019" s="612"/>
    </row>
    <row r="15020">
      <c r="B15020" s="612"/>
      <c r="H15020" s="612"/>
    </row>
    <row r="15021">
      <c r="B15021" s="612"/>
      <c r="H15021" s="612"/>
    </row>
    <row r="15022">
      <c r="B15022" s="612"/>
      <c r="H15022" s="612"/>
    </row>
    <row r="15023">
      <c r="B15023" s="612"/>
      <c r="H15023" s="612"/>
    </row>
    <row r="15024">
      <c r="B15024" s="612"/>
      <c r="H15024" s="612"/>
    </row>
    <row r="15025">
      <c r="B15025" s="612"/>
      <c r="H15025" s="612"/>
    </row>
    <row r="15026">
      <c r="B15026" s="612"/>
      <c r="H15026" s="612"/>
    </row>
    <row r="15027">
      <c r="B15027" s="612"/>
      <c r="H15027" s="612"/>
    </row>
    <row r="15028">
      <c r="B15028" s="612"/>
      <c r="H15028" s="612"/>
    </row>
    <row r="15029">
      <c r="B15029" s="612"/>
      <c r="H15029" s="612"/>
    </row>
    <row r="15030">
      <c r="B15030" s="612"/>
      <c r="H15030" s="612"/>
    </row>
    <row r="15031">
      <c r="B15031" s="612"/>
      <c r="H15031" s="612"/>
    </row>
    <row r="15032">
      <c r="B15032" s="612"/>
      <c r="H15032" s="612"/>
    </row>
    <row r="15033">
      <c r="B15033" s="612"/>
      <c r="H15033" s="612"/>
    </row>
    <row r="15034">
      <c r="B15034" s="612"/>
      <c r="H15034" s="612"/>
    </row>
    <row r="15035">
      <c r="B15035" s="612"/>
      <c r="H15035" s="612"/>
    </row>
    <row r="15036">
      <c r="B15036" s="612"/>
      <c r="H15036" s="612"/>
    </row>
    <row r="15037">
      <c r="B15037" s="612"/>
      <c r="H15037" s="612"/>
    </row>
    <row r="15038">
      <c r="B15038" s="612"/>
      <c r="H15038" s="612"/>
    </row>
    <row r="15039">
      <c r="B15039" s="612"/>
      <c r="H15039" s="612"/>
    </row>
    <row r="15040">
      <c r="B15040" s="612"/>
      <c r="H15040" s="612"/>
    </row>
    <row r="15041">
      <c r="B15041" s="612"/>
      <c r="H15041" s="612"/>
    </row>
    <row r="15042">
      <c r="B15042" s="612"/>
      <c r="H15042" s="612"/>
    </row>
    <row r="15043">
      <c r="B15043" s="612"/>
      <c r="H15043" s="612"/>
    </row>
    <row r="15044">
      <c r="B15044" s="612"/>
      <c r="H15044" s="612"/>
    </row>
    <row r="15045">
      <c r="B15045" s="612"/>
      <c r="H15045" s="612"/>
    </row>
    <row r="15046">
      <c r="B15046" s="612"/>
      <c r="H15046" s="612"/>
    </row>
    <row r="15047">
      <c r="B15047" s="612"/>
      <c r="H15047" s="612"/>
    </row>
    <row r="15048">
      <c r="B15048" s="612"/>
      <c r="H15048" s="612"/>
    </row>
    <row r="15049">
      <c r="B15049" s="612"/>
      <c r="H15049" s="612"/>
    </row>
    <row r="15050">
      <c r="B15050" s="612"/>
      <c r="H15050" s="612"/>
    </row>
    <row r="15051">
      <c r="B15051" s="612"/>
      <c r="H15051" s="612"/>
    </row>
    <row r="15052">
      <c r="B15052" s="612"/>
      <c r="H15052" s="612"/>
    </row>
    <row r="15053">
      <c r="B15053" s="612"/>
      <c r="H15053" s="612"/>
    </row>
    <row r="15054">
      <c r="B15054" s="612"/>
      <c r="H15054" s="612"/>
    </row>
    <row r="15055">
      <c r="B15055" s="612"/>
      <c r="H15055" s="612"/>
    </row>
    <row r="15056">
      <c r="B15056" s="612"/>
      <c r="H15056" s="612"/>
    </row>
    <row r="15057">
      <c r="B15057" s="612"/>
      <c r="H15057" s="612"/>
    </row>
    <row r="15058">
      <c r="B15058" s="612"/>
      <c r="H15058" s="612"/>
    </row>
    <row r="15059">
      <c r="B15059" s="612"/>
      <c r="H15059" s="612"/>
    </row>
    <row r="15060">
      <c r="B15060" s="612"/>
      <c r="H15060" s="612"/>
    </row>
    <row r="15061">
      <c r="B15061" s="612"/>
      <c r="H15061" s="612"/>
    </row>
    <row r="15062">
      <c r="B15062" s="612"/>
      <c r="H15062" s="612"/>
    </row>
    <row r="15063">
      <c r="B15063" s="612"/>
      <c r="H15063" s="612"/>
    </row>
    <row r="15064">
      <c r="B15064" s="612"/>
      <c r="H15064" s="612"/>
    </row>
    <row r="15065">
      <c r="B15065" s="612"/>
      <c r="H15065" s="612"/>
    </row>
    <row r="15066">
      <c r="B15066" s="612"/>
      <c r="H15066" s="612"/>
    </row>
    <row r="15067">
      <c r="B15067" s="612"/>
      <c r="H15067" s="612"/>
    </row>
    <row r="15068">
      <c r="B15068" s="612"/>
      <c r="H15068" s="612"/>
    </row>
    <row r="15069">
      <c r="B15069" s="612"/>
      <c r="H15069" s="612"/>
    </row>
    <row r="15070">
      <c r="B15070" s="612"/>
      <c r="H15070" s="612"/>
    </row>
    <row r="15071">
      <c r="B15071" s="612"/>
      <c r="H15071" s="612"/>
    </row>
    <row r="15072">
      <c r="B15072" s="612"/>
      <c r="H15072" s="612"/>
    </row>
    <row r="15073">
      <c r="B15073" s="612"/>
      <c r="H15073" s="612"/>
    </row>
    <row r="15074">
      <c r="B15074" s="612"/>
      <c r="H15074" s="612"/>
    </row>
    <row r="15075">
      <c r="B15075" s="612"/>
      <c r="H15075" s="612"/>
    </row>
    <row r="15076">
      <c r="B15076" s="612"/>
      <c r="H15076" s="612"/>
    </row>
    <row r="15077">
      <c r="B15077" s="612"/>
      <c r="H15077" s="612"/>
    </row>
    <row r="15078">
      <c r="B15078" s="612"/>
      <c r="H15078" s="612"/>
    </row>
    <row r="15079">
      <c r="B15079" s="612"/>
      <c r="H15079" s="612"/>
    </row>
    <row r="15080">
      <c r="B15080" s="612"/>
      <c r="H15080" s="612"/>
    </row>
    <row r="15081">
      <c r="B15081" s="612"/>
      <c r="H15081" s="612"/>
    </row>
    <row r="15082">
      <c r="B15082" s="612"/>
      <c r="H15082" s="612"/>
    </row>
    <row r="15083">
      <c r="B15083" s="612"/>
      <c r="H15083" s="612"/>
    </row>
    <row r="15084">
      <c r="B15084" s="612"/>
      <c r="H15084" s="612"/>
    </row>
    <row r="15085">
      <c r="B15085" s="612"/>
      <c r="H15085" s="612"/>
    </row>
    <row r="15086">
      <c r="B15086" s="612"/>
      <c r="H15086" s="612"/>
    </row>
    <row r="15087">
      <c r="B15087" s="612"/>
      <c r="H15087" s="612"/>
    </row>
    <row r="15088">
      <c r="B15088" s="612"/>
      <c r="H15088" s="612"/>
    </row>
    <row r="15089">
      <c r="B15089" s="612"/>
      <c r="H15089" s="612"/>
    </row>
    <row r="15090">
      <c r="B15090" s="612"/>
      <c r="H15090" s="612"/>
    </row>
    <row r="15091">
      <c r="B15091" s="612"/>
      <c r="H15091" s="612"/>
    </row>
    <row r="15092">
      <c r="B15092" s="612"/>
      <c r="H15092" s="612"/>
    </row>
    <row r="15093">
      <c r="B15093" s="612"/>
      <c r="H15093" s="612"/>
    </row>
    <row r="15094">
      <c r="B15094" s="612"/>
      <c r="H15094" s="612"/>
    </row>
    <row r="15095">
      <c r="B15095" s="612"/>
      <c r="H15095" s="612"/>
    </row>
    <row r="15096">
      <c r="B15096" s="612"/>
      <c r="H15096" s="612"/>
    </row>
    <row r="15097">
      <c r="B15097" s="612"/>
      <c r="H15097" s="612"/>
    </row>
    <row r="15098">
      <c r="B15098" s="612"/>
      <c r="H15098" s="612"/>
    </row>
    <row r="15099">
      <c r="B15099" s="612"/>
      <c r="H15099" s="612"/>
    </row>
    <row r="15100">
      <c r="B15100" s="612"/>
      <c r="H15100" s="612"/>
    </row>
    <row r="15101">
      <c r="B15101" s="612"/>
      <c r="H15101" s="612"/>
    </row>
    <row r="15102">
      <c r="B15102" s="612"/>
      <c r="H15102" s="612"/>
    </row>
    <row r="15103">
      <c r="B15103" s="612"/>
      <c r="H15103" s="612"/>
    </row>
    <row r="15104">
      <c r="B15104" s="612"/>
      <c r="H15104" s="612"/>
    </row>
    <row r="15105">
      <c r="B15105" s="612"/>
      <c r="H15105" s="612"/>
    </row>
    <row r="15106">
      <c r="B15106" s="612"/>
      <c r="H15106" s="612"/>
    </row>
    <row r="15107">
      <c r="B15107" s="612"/>
      <c r="H15107" s="612"/>
    </row>
    <row r="15108">
      <c r="B15108" s="612"/>
      <c r="H15108" s="612"/>
    </row>
    <row r="15109">
      <c r="B15109" s="612"/>
      <c r="H15109" s="612"/>
    </row>
    <row r="15110">
      <c r="B15110" s="612"/>
      <c r="H15110" s="612"/>
    </row>
    <row r="15111">
      <c r="B15111" s="612"/>
      <c r="H15111" s="612"/>
    </row>
    <row r="15112">
      <c r="B15112" s="612"/>
      <c r="H15112" s="612"/>
    </row>
    <row r="15113">
      <c r="B15113" s="612"/>
      <c r="H15113" s="612"/>
    </row>
    <row r="15114">
      <c r="B15114" s="612"/>
      <c r="H15114" s="612"/>
    </row>
    <row r="15115">
      <c r="B15115" s="612"/>
      <c r="H15115" s="612"/>
    </row>
    <row r="15116">
      <c r="B15116" s="612"/>
      <c r="H15116" s="612"/>
    </row>
    <row r="15117">
      <c r="B15117" s="612"/>
      <c r="H15117" s="612"/>
    </row>
    <row r="15118">
      <c r="B15118" s="612"/>
      <c r="H15118" s="612"/>
    </row>
    <row r="15119">
      <c r="B15119" s="612"/>
      <c r="H15119" s="612"/>
    </row>
    <row r="15120">
      <c r="B15120" s="612"/>
      <c r="H15120" s="612"/>
    </row>
    <row r="15121">
      <c r="B15121" s="612"/>
      <c r="H15121" s="612"/>
    </row>
    <row r="15122">
      <c r="B15122" s="612"/>
      <c r="H15122" s="612"/>
    </row>
    <row r="15123">
      <c r="B15123" s="612"/>
      <c r="H15123" s="612"/>
    </row>
    <row r="15124">
      <c r="B15124" s="612"/>
      <c r="H15124" s="612"/>
    </row>
    <row r="15125">
      <c r="B15125" s="612"/>
      <c r="H15125" s="612"/>
    </row>
    <row r="15126">
      <c r="B15126" s="612"/>
      <c r="H15126" s="612"/>
    </row>
    <row r="15127">
      <c r="B15127" s="612"/>
      <c r="H15127" s="612"/>
    </row>
    <row r="15128">
      <c r="B15128" s="612"/>
      <c r="H15128" s="612"/>
    </row>
    <row r="15129">
      <c r="B15129" s="612"/>
      <c r="H15129" s="612"/>
    </row>
    <row r="15130">
      <c r="B15130" s="612"/>
      <c r="H15130" s="612"/>
    </row>
    <row r="15131">
      <c r="B15131" s="612"/>
      <c r="H15131" s="612"/>
    </row>
    <row r="15132">
      <c r="B15132" s="612"/>
      <c r="H15132" s="612"/>
    </row>
    <row r="15133">
      <c r="B15133" s="612"/>
      <c r="H15133" s="612"/>
    </row>
    <row r="15134">
      <c r="B15134" s="612"/>
      <c r="H15134" s="612"/>
    </row>
    <row r="15135">
      <c r="B15135" s="612"/>
      <c r="H15135" s="612"/>
    </row>
    <row r="15136">
      <c r="B15136" s="612"/>
      <c r="H15136" s="612"/>
    </row>
    <row r="15137">
      <c r="B15137" s="612"/>
      <c r="H15137" s="612"/>
    </row>
    <row r="15138">
      <c r="B15138" s="612"/>
      <c r="H15138" s="612"/>
    </row>
    <row r="15139">
      <c r="B15139" s="612"/>
      <c r="H15139" s="612"/>
    </row>
    <row r="15140">
      <c r="B15140" s="612"/>
      <c r="H15140" s="612"/>
    </row>
    <row r="15141">
      <c r="B15141" s="612"/>
      <c r="H15141" s="612"/>
    </row>
    <row r="15142">
      <c r="B15142" s="612"/>
      <c r="H15142" s="612"/>
    </row>
    <row r="15143">
      <c r="B15143" s="612"/>
      <c r="H15143" s="612"/>
    </row>
    <row r="15144">
      <c r="B15144" s="612"/>
      <c r="H15144" s="612"/>
    </row>
    <row r="15145">
      <c r="B15145" s="612"/>
      <c r="H15145" s="612"/>
    </row>
    <row r="15146">
      <c r="B15146" s="612"/>
      <c r="H15146" s="612"/>
    </row>
    <row r="15147">
      <c r="B15147" s="612"/>
      <c r="H15147" s="612"/>
    </row>
    <row r="15148">
      <c r="B15148" s="612"/>
      <c r="H15148" s="612"/>
    </row>
    <row r="15149">
      <c r="B15149" s="612"/>
      <c r="H15149" s="612"/>
    </row>
    <row r="15150">
      <c r="B15150" s="612"/>
      <c r="H15150" s="612"/>
    </row>
    <row r="15151">
      <c r="B15151" s="612"/>
      <c r="H15151" s="612"/>
    </row>
    <row r="15152">
      <c r="B15152" s="612"/>
      <c r="H15152" s="612"/>
    </row>
    <row r="15153">
      <c r="B15153" s="612"/>
      <c r="H15153" s="612"/>
    </row>
    <row r="15154">
      <c r="B15154" s="612"/>
      <c r="H15154" s="612"/>
    </row>
    <row r="15155">
      <c r="B15155" s="612"/>
      <c r="H15155" s="612"/>
    </row>
    <row r="15156">
      <c r="B15156" s="612"/>
      <c r="H15156" s="612"/>
    </row>
    <row r="15157">
      <c r="B15157" s="612"/>
      <c r="H15157" s="612"/>
    </row>
    <row r="15158">
      <c r="B15158" s="612"/>
      <c r="H15158" s="612"/>
    </row>
    <row r="15159">
      <c r="B15159" s="612"/>
      <c r="H15159" s="612"/>
    </row>
    <row r="15160">
      <c r="B15160" s="612"/>
      <c r="H15160" s="612"/>
    </row>
    <row r="15161">
      <c r="B15161" s="612"/>
      <c r="H15161" s="612"/>
    </row>
    <row r="15162">
      <c r="B15162" s="612"/>
      <c r="H15162" s="612"/>
    </row>
    <row r="15163">
      <c r="B15163" s="612"/>
      <c r="H15163" s="612"/>
    </row>
    <row r="15164">
      <c r="B15164" s="612"/>
      <c r="H15164" s="612"/>
    </row>
    <row r="15165">
      <c r="B15165" s="612"/>
      <c r="H15165" s="612"/>
    </row>
    <row r="15166">
      <c r="B15166" s="612"/>
      <c r="H15166" s="612"/>
    </row>
    <row r="15167">
      <c r="B15167" s="612"/>
      <c r="H15167" s="612"/>
    </row>
    <row r="15168">
      <c r="B15168" s="612"/>
      <c r="H15168" s="612"/>
    </row>
    <row r="15169">
      <c r="B15169" s="612"/>
      <c r="H15169" s="612"/>
    </row>
    <row r="15170">
      <c r="B15170" s="612"/>
      <c r="H15170" s="612"/>
    </row>
    <row r="15171">
      <c r="B15171" s="612"/>
      <c r="H15171" s="612"/>
    </row>
    <row r="15172">
      <c r="B15172" s="612"/>
      <c r="H15172" s="612"/>
    </row>
    <row r="15173">
      <c r="B15173" s="612"/>
      <c r="H15173" s="612"/>
    </row>
    <row r="15174">
      <c r="B15174" s="612"/>
      <c r="H15174" s="612"/>
    </row>
    <row r="15175">
      <c r="B15175" s="612"/>
      <c r="H15175" s="612"/>
    </row>
    <row r="15176">
      <c r="B15176" s="612"/>
      <c r="H15176" s="612"/>
    </row>
    <row r="15177">
      <c r="B15177" s="612"/>
      <c r="H15177" s="612"/>
    </row>
    <row r="15178">
      <c r="B15178" s="612"/>
      <c r="H15178" s="612"/>
    </row>
    <row r="15179">
      <c r="B15179" s="612"/>
      <c r="H15179" s="612"/>
    </row>
    <row r="15180">
      <c r="B15180" s="612"/>
      <c r="H15180" s="612"/>
    </row>
    <row r="15181">
      <c r="B15181" s="612"/>
      <c r="H15181" s="612"/>
    </row>
    <row r="15182">
      <c r="B15182" s="612"/>
      <c r="H15182" s="612"/>
    </row>
    <row r="15183">
      <c r="B15183" s="612"/>
      <c r="H15183" s="612"/>
    </row>
    <row r="15184">
      <c r="B15184" s="612"/>
      <c r="H15184" s="612"/>
    </row>
    <row r="15185">
      <c r="B15185" s="612"/>
      <c r="H15185" s="612"/>
    </row>
    <row r="15186">
      <c r="B15186" s="612"/>
      <c r="H15186" s="612"/>
    </row>
    <row r="15187">
      <c r="B15187" s="612"/>
      <c r="H15187" s="612"/>
    </row>
    <row r="15188">
      <c r="B15188" s="612"/>
      <c r="H15188" s="612"/>
    </row>
    <row r="15189">
      <c r="B15189" s="612"/>
      <c r="H15189" s="612"/>
    </row>
    <row r="15190">
      <c r="B15190" s="612"/>
      <c r="H15190" s="612"/>
    </row>
    <row r="15191">
      <c r="B15191" s="612"/>
      <c r="H15191" s="612"/>
    </row>
    <row r="15192">
      <c r="B15192" s="612"/>
      <c r="H15192" s="612"/>
    </row>
    <row r="15193">
      <c r="B15193" s="612"/>
      <c r="H15193" s="612"/>
    </row>
    <row r="15194">
      <c r="B15194" s="612"/>
      <c r="H15194" s="612"/>
    </row>
    <row r="15195">
      <c r="B15195" s="612"/>
      <c r="H15195" s="612"/>
    </row>
    <row r="15196">
      <c r="B15196" s="612"/>
      <c r="H15196" s="612"/>
    </row>
    <row r="15197">
      <c r="B15197" s="612"/>
      <c r="H15197" s="612"/>
    </row>
    <row r="15198">
      <c r="B15198" s="612"/>
      <c r="H15198" s="612"/>
    </row>
    <row r="15199">
      <c r="B15199" s="612"/>
      <c r="H15199" s="612"/>
    </row>
    <row r="15200">
      <c r="B15200" s="612"/>
      <c r="H15200" s="612"/>
    </row>
    <row r="15201">
      <c r="B15201" s="612"/>
      <c r="H15201" s="612"/>
    </row>
    <row r="15202">
      <c r="B15202" s="612"/>
      <c r="H15202" s="612"/>
    </row>
    <row r="15203">
      <c r="B15203" s="612"/>
      <c r="H15203" s="612"/>
    </row>
    <row r="15204">
      <c r="B15204" s="612"/>
      <c r="H15204" s="612"/>
    </row>
    <row r="15205">
      <c r="B15205" s="612"/>
      <c r="H15205" s="612"/>
    </row>
    <row r="15206">
      <c r="B15206" s="612"/>
      <c r="H15206" s="612"/>
    </row>
    <row r="15207">
      <c r="B15207" s="612"/>
      <c r="H15207" s="612"/>
    </row>
    <row r="15208">
      <c r="B15208" s="612"/>
      <c r="H15208" s="612"/>
    </row>
    <row r="15209">
      <c r="B15209" s="612"/>
      <c r="H15209" s="612"/>
    </row>
    <row r="15210">
      <c r="B15210" s="612"/>
      <c r="H15210" s="612"/>
    </row>
    <row r="15211">
      <c r="B15211" s="612"/>
      <c r="H15211" s="612"/>
    </row>
    <row r="15212">
      <c r="B15212" s="612"/>
      <c r="H15212" s="612"/>
    </row>
    <row r="15213">
      <c r="B15213" s="612"/>
      <c r="H15213" s="612"/>
    </row>
    <row r="15214">
      <c r="B15214" s="612"/>
      <c r="H15214" s="612"/>
    </row>
    <row r="15215">
      <c r="B15215" s="612"/>
      <c r="H15215" s="612"/>
    </row>
    <row r="15216">
      <c r="B15216" s="612"/>
      <c r="H15216" s="612"/>
    </row>
    <row r="15217">
      <c r="B15217" s="612"/>
      <c r="H15217" s="612"/>
    </row>
    <row r="15218">
      <c r="B15218" s="612"/>
      <c r="H15218" s="612"/>
    </row>
    <row r="15219">
      <c r="B15219" s="612"/>
      <c r="H15219" s="612"/>
    </row>
    <row r="15220">
      <c r="B15220" s="612"/>
      <c r="H15220" s="612"/>
    </row>
    <row r="15221">
      <c r="B15221" s="612"/>
      <c r="H15221" s="612"/>
    </row>
    <row r="15222">
      <c r="B15222" s="612"/>
      <c r="H15222" s="612"/>
    </row>
    <row r="15223">
      <c r="B15223" s="612"/>
      <c r="H15223" s="612"/>
    </row>
    <row r="15224">
      <c r="B15224" s="612"/>
      <c r="H15224" s="612"/>
    </row>
    <row r="15225">
      <c r="B15225" s="612"/>
      <c r="H15225" s="612"/>
    </row>
    <row r="15226">
      <c r="B15226" s="612"/>
      <c r="H15226" s="612"/>
    </row>
    <row r="15227">
      <c r="B15227" s="612"/>
      <c r="H15227" s="612"/>
    </row>
    <row r="15228">
      <c r="B15228" s="612"/>
      <c r="H15228" s="612"/>
    </row>
    <row r="15229">
      <c r="B15229" s="612"/>
      <c r="H15229" s="612"/>
    </row>
    <row r="15230">
      <c r="B15230" s="612"/>
      <c r="H15230" s="612"/>
    </row>
    <row r="15231">
      <c r="B15231" s="612"/>
      <c r="H15231" s="612"/>
    </row>
    <row r="15232">
      <c r="B15232" s="612"/>
      <c r="H15232" s="612"/>
    </row>
    <row r="15233">
      <c r="B15233" s="612"/>
      <c r="H15233" s="612"/>
    </row>
    <row r="15234">
      <c r="B15234" s="612"/>
      <c r="H15234" s="612"/>
    </row>
    <row r="15235">
      <c r="B15235" s="612"/>
      <c r="H15235" s="612"/>
    </row>
    <row r="15236">
      <c r="B15236" s="612"/>
      <c r="H15236" s="612"/>
    </row>
    <row r="15237">
      <c r="B15237" s="612"/>
      <c r="H15237" s="612"/>
    </row>
    <row r="15238">
      <c r="B15238" s="612"/>
      <c r="H15238" s="612"/>
    </row>
    <row r="15239">
      <c r="B15239" s="612"/>
      <c r="H15239" s="612"/>
    </row>
    <row r="15240">
      <c r="B15240" s="612"/>
      <c r="H15240" s="612"/>
    </row>
    <row r="15241">
      <c r="B15241" s="612"/>
      <c r="H15241" s="612"/>
    </row>
    <row r="15242">
      <c r="B15242" s="612"/>
      <c r="H15242" s="612"/>
    </row>
    <row r="15243">
      <c r="B15243" s="612"/>
      <c r="H15243" s="612"/>
    </row>
    <row r="15244">
      <c r="B15244" s="612"/>
      <c r="H15244" s="612"/>
    </row>
    <row r="15245">
      <c r="B15245" s="612"/>
      <c r="H15245" s="612"/>
    </row>
    <row r="15246">
      <c r="B15246" s="612"/>
      <c r="H15246" s="612"/>
    </row>
    <row r="15247">
      <c r="B15247" s="612"/>
      <c r="H15247" s="612"/>
    </row>
    <row r="15248">
      <c r="B15248" s="612"/>
      <c r="H15248" s="612"/>
    </row>
    <row r="15249">
      <c r="B15249" s="612"/>
      <c r="H15249" s="612"/>
    </row>
    <row r="15250">
      <c r="B15250" s="612"/>
      <c r="H15250" s="612"/>
    </row>
    <row r="15251">
      <c r="B15251" s="612"/>
      <c r="H15251" s="612"/>
    </row>
    <row r="15252">
      <c r="B15252" s="612"/>
      <c r="H15252" s="612"/>
    </row>
    <row r="15253">
      <c r="B15253" s="612"/>
      <c r="H15253" s="612"/>
    </row>
    <row r="15254">
      <c r="B15254" s="612"/>
      <c r="H15254" s="612"/>
    </row>
    <row r="15255">
      <c r="B15255" s="612"/>
      <c r="H15255" s="612"/>
    </row>
    <row r="15256">
      <c r="B15256" s="612"/>
      <c r="H15256" s="612"/>
    </row>
    <row r="15257">
      <c r="B15257" s="612"/>
      <c r="H15257" s="612"/>
    </row>
    <row r="15258">
      <c r="B15258" s="612"/>
      <c r="H15258" s="612"/>
    </row>
    <row r="15259">
      <c r="B15259" s="612"/>
      <c r="H15259" s="612"/>
    </row>
    <row r="15260">
      <c r="B15260" s="612"/>
      <c r="H15260" s="612"/>
    </row>
    <row r="15261">
      <c r="B15261" s="612"/>
      <c r="H15261" s="612"/>
    </row>
    <row r="15262">
      <c r="B15262" s="612"/>
      <c r="H15262" s="612"/>
    </row>
    <row r="15263">
      <c r="B15263" s="612"/>
      <c r="H15263" s="612"/>
    </row>
    <row r="15264">
      <c r="B15264" s="612"/>
      <c r="H15264" s="612"/>
    </row>
    <row r="15265">
      <c r="B15265" s="612"/>
      <c r="H15265" s="612"/>
    </row>
    <row r="15266">
      <c r="B15266" s="612"/>
      <c r="H15266" s="612"/>
    </row>
    <row r="15267">
      <c r="B15267" s="612"/>
      <c r="H15267" s="612"/>
    </row>
    <row r="15268">
      <c r="B15268" s="612"/>
      <c r="H15268" s="612"/>
    </row>
    <row r="15269">
      <c r="B15269" s="612"/>
      <c r="H15269" s="612"/>
    </row>
    <row r="15270">
      <c r="B15270" s="612"/>
      <c r="H15270" s="612"/>
    </row>
    <row r="15271">
      <c r="B15271" s="612"/>
      <c r="H15271" s="612"/>
    </row>
    <row r="15272">
      <c r="B15272" s="612"/>
      <c r="H15272" s="612"/>
    </row>
    <row r="15273">
      <c r="B15273" s="612"/>
      <c r="H15273" s="612"/>
    </row>
    <row r="15274">
      <c r="B15274" s="612"/>
      <c r="H15274" s="612"/>
    </row>
    <row r="15275">
      <c r="B15275" s="612"/>
      <c r="H15275" s="612"/>
    </row>
    <row r="15276">
      <c r="B15276" s="612"/>
      <c r="H15276" s="612"/>
    </row>
    <row r="15277">
      <c r="B15277" s="612"/>
      <c r="H15277" s="612"/>
    </row>
    <row r="15278">
      <c r="B15278" s="612"/>
      <c r="H15278" s="612"/>
    </row>
    <row r="15279">
      <c r="B15279" s="612"/>
      <c r="H15279" s="612"/>
    </row>
    <row r="15280">
      <c r="B15280" s="612"/>
      <c r="H15280" s="612"/>
    </row>
    <row r="15281">
      <c r="B15281" s="612"/>
      <c r="H15281" s="612"/>
    </row>
    <row r="15282">
      <c r="B15282" s="612"/>
      <c r="H15282" s="612"/>
    </row>
    <row r="15283">
      <c r="B15283" s="612"/>
      <c r="H15283" s="612"/>
    </row>
    <row r="15284">
      <c r="B15284" s="612"/>
      <c r="H15284" s="612"/>
    </row>
    <row r="15285">
      <c r="B15285" s="612"/>
      <c r="H15285" s="612"/>
    </row>
    <row r="15286">
      <c r="B15286" s="612"/>
      <c r="H15286" s="612"/>
    </row>
    <row r="15287">
      <c r="B15287" s="612"/>
      <c r="H15287" s="612"/>
    </row>
    <row r="15288">
      <c r="B15288" s="612"/>
      <c r="H15288" s="612"/>
    </row>
    <row r="15289">
      <c r="B15289" s="612"/>
      <c r="H15289" s="612"/>
    </row>
    <row r="15290">
      <c r="B15290" s="612"/>
      <c r="H15290" s="612"/>
    </row>
    <row r="15291">
      <c r="B15291" s="612"/>
      <c r="H15291" s="612"/>
    </row>
    <row r="15292">
      <c r="B15292" s="612"/>
      <c r="H15292" s="612"/>
    </row>
    <row r="15293">
      <c r="B15293" s="612"/>
      <c r="H15293" s="612"/>
    </row>
    <row r="15294">
      <c r="B15294" s="612"/>
      <c r="H15294" s="612"/>
    </row>
    <row r="15295">
      <c r="B15295" s="612"/>
      <c r="H15295" s="612"/>
    </row>
    <row r="15296">
      <c r="B15296" s="612"/>
      <c r="H15296" s="612"/>
    </row>
    <row r="15297">
      <c r="B15297" s="612"/>
      <c r="H15297" s="612"/>
    </row>
    <row r="15298">
      <c r="B15298" s="612"/>
      <c r="H15298" s="612"/>
    </row>
    <row r="15299">
      <c r="B15299" s="612"/>
      <c r="H15299" s="612"/>
    </row>
    <row r="15300">
      <c r="B15300" s="612"/>
      <c r="H15300" s="612"/>
    </row>
    <row r="15301">
      <c r="B15301" s="612"/>
      <c r="H15301" s="612"/>
    </row>
    <row r="15302">
      <c r="B15302" s="612"/>
      <c r="H15302" s="612"/>
    </row>
    <row r="15303">
      <c r="B15303" s="612"/>
      <c r="H15303" s="612"/>
    </row>
    <row r="15304">
      <c r="B15304" s="612"/>
      <c r="H15304" s="612"/>
    </row>
    <row r="15305">
      <c r="B15305" s="612"/>
      <c r="H15305" s="612"/>
    </row>
    <row r="15306">
      <c r="B15306" s="612"/>
      <c r="H15306" s="612"/>
    </row>
    <row r="15307">
      <c r="B15307" s="612"/>
      <c r="H15307" s="612"/>
    </row>
    <row r="15308">
      <c r="B15308" s="612"/>
      <c r="H15308" s="612"/>
    </row>
    <row r="15309">
      <c r="B15309" s="612"/>
      <c r="H15309" s="612"/>
    </row>
    <row r="15310">
      <c r="B15310" s="612"/>
      <c r="H15310" s="612"/>
    </row>
    <row r="15311">
      <c r="B15311" s="612"/>
      <c r="H15311" s="612"/>
    </row>
    <row r="15312">
      <c r="B15312" s="612"/>
      <c r="H15312" s="612"/>
    </row>
    <row r="15313">
      <c r="B15313" s="612"/>
      <c r="H15313" s="612"/>
    </row>
    <row r="15314">
      <c r="B15314" s="612"/>
      <c r="H15314" s="612"/>
    </row>
    <row r="15315">
      <c r="B15315" s="612"/>
      <c r="H15315" s="612"/>
    </row>
    <row r="15316">
      <c r="B15316" s="612"/>
      <c r="H15316" s="612"/>
    </row>
    <row r="15317">
      <c r="B15317" s="612"/>
      <c r="H15317" s="612"/>
    </row>
    <row r="15318">
      <c r="B15318" s="612"/>
      <c r="H15318" s="612"/>
    </row>
    <row r="15319">
      <c r="B15319" s="612"/>
      <c r="H15319" s="612"/>
    </row>
    <row r="15320">
      <c r="B15320" s="612"/>
      <c r="H15320" s="612"/>
    </row>
    <row r="15321">
      <c r="B15321" s="612"/>
      <c r="H15321" s="612"/>
    </row>
    <row r="15322">
      <c r="B15322" s="612"/>
      <c r="H15322" s="612"/>
    </row>
    <row r="15323">
      <c r="B15323" s="612"/>
      <c r="H15323" s="612"/>
    </row>
    <row r="15324">
      <c r="B15324" s="612"/>
      <c r="H15324" s="612"/>
    </row>
    <row r="15325">
      <c r="B15325" s="612"/>
      <c r="H15325" s="612"/>
    </row>
    <row r="15326">
      <c r="B15326" s="612"/>
      <c r="H15326" s="612"/>
    </row>
    <row r="15327">
      <c r="B15327" s="612"/>
      <c r="H15327" s="612"/>
    </row>
    <row r="15328">
      <c r="B15328" s="612"/>
      <c r="H15328" s="612"/>
    </row>
    <row r="15329">
      <c r="B15329" s="612"/>
      <c r="H15329" s="612"/>
    </row>
    <row r="15330">
      <c r="B15330" s="612"/>
      <c r="H15330" s="612"/>
    </row>
    <row r="15331">
      <c r="B15331" s="612"/>
      <c r="H15331" s="612"/>
    </row>
    <row r="15332">
      <c r="B15332" s="612"/>
      <c r="H15332" s="612"/>
    </row>
    <row r="15333">
      <c r="B15333" s="612"/>
      <c r="H15333" s="612"/>
    </row>
    <row r="15334">
      <c r="B15334" s="612"/>
      <c r="H15334" s="612"/>
    </row>
    <row r="15335">
      <c r="B15335" s="612"/>
      <c r="H15335" s="612"/>
    </row>
    <row r="15336">
      <c r="B15336" s="612"/>
      <c r="H15336" s="612"/>
    </row>
    <row r="15337">
      <c r="B15337" s="612"/>
      <c r="H15337" s="612"/>
    </row>
    <row r="15338">
      <c r="B15338" s="612"/>
      <c r="H15338" s="612"/>
    </row>
    <row r="15339">
      <c r="B15339" s="612"/>
      <c r="H15339" s="612"/>
    </row>
    <row r="15340">
      <c r="B15340" s="612"/>
      <c r="H15340" s="612"/>
    </row>
    <row r="15341">
      <c r="B15341" s="612"/>
      <c r="H15341" s="612"/>
    </row>
    <row r="15342">
      <c r="B15342" s="612"/>
      <c r="H15342" s="612"/>
    </row>
    <row r="15343">
      <c r="B15343" s="612"/>
      <c r="H15343" s="612"/>
    </row>
    <row r="15344">
      <c r="B15344" s="612"/>
      <c r="H15344" s="612"/>
    </row>
    <row r="15345">
      <c r="B15345" s="612"/>
      <c r="H15345" s="612"/>
    </row>
    <row r="15346">
      <c r="B15346" s="612"/>
      <c r="H15346" s="612"/>
    </row>
    <row r="15347">
      <c r="B15347" s="612"/>
      <c r="H15347" s="612"/>
    </row>
    <row r="15348">
      <c r="B15348" s="612"/>
      <c r="H15348" s="612"/>
    </row>
    <row r="15349">
      <c r="B15349" s="612"/>
      <c r="H15349" s="612"/>
    </row>
    <row r="15350">
      <c r="B15350" s="612"/>
      <c r="H15350" s="612"/>
    </row>
    <row r="15351">
      <c r="B15351" s="612"/>
      <c r="H15351" s="612"/>
    </row>
    <row r="15352">
      <c r="B15352" s="612"/>
      <c r="H15352" s="612"/>
    </row>
    <row r="15353">
      <c r="B15353" s="612"/>
      <c r="H15353" s="612"/>
    </row>
    <row r="15354">
      <c r="B15354" s="612"/>
      <c r="H15354" s="612"/>
    </row>
    <row r="15355">
      <c r="B15355" s="612"/>
      <c r="H15355" s="612"/>
    </row>
    <row r="15356">
      <c r="B15356" s="612"/>
      <c r="H15356" s="612"/>
    </row>
    <row r="15357">
      <c r="B15357" s="612"/>
      <c r="H15357" s="612"/>
    </row>
    <row r="15358">
      <c r="B15358" s="612"/>
      <c r="H15358" s="612"/>
    </row>
    <row r="15359">
      <c r="B15359" s="612"/>
      <c r="H15359" s="612"/>
    </row>
    <row r="15360">
      <c r="B15360" s="612"/>
      <c r="H15360" s="612"/>
    </row>
    <row r="15361">
      <c r="B15361" s="612"/>
      <c r="H15361" s="612"/>
    </row>
    <row r="15362">
      <c r="B15362" s="612"/>
      <c r="H15362" s="612"/>
    </row>
    <row r="15363">
      <c r="B15363" s="612"/>
      <c r="H15363" s="612"/>
    </row>
    <row r="15364">
      <c r="B15364" s="612"/>
      <c r="H15364" s="612"/>
    </row>
    <row r="15365">
      <c r="B15365" s="612"/>
      <c r="H15365" s="612"/>
    </row>
    <row r="15366">
      <c r="B15366" s="612"/>
      <c r="H15366" s="612"/>
    </row>
    <row r="15367">
      <c r="B15367" s="612"/>
      <c r="H15367" s="612"/>
    </row>
    <row r="15368">
      <c r="B15368" s="612"/>
      <c r="H15368" s="612"/>
    </row>
    <row r="15369">
      <c r="B15369" s="612"/>
      <c r="H15369" s="612"/>
    </row>
    <row r="15370">
      <c r="B15370" s="612"/>
      <c r="H15370" s="612"/>
    </row>
    <row r="15371">
      <c r="B15371" s="612"/>
      <c r="H15371" s="612"/>
    </row>
    <row r="15372">
      <c r="B15372" s="612"/>
      <c r="H15372" s="612"/>
    </row>
    <row r="15373">
      <c r="B15373" s="612"/>
      <c r="H15373" s="612"/>
    </row>
    <row r="15374">
      <c r="B15374" s="612"/>
      <c r="H15374" s="612"/>
    </row>
    <row r="15375">
      <c r="B15375" s="612"/>
      <c r="H15375" s="612"/>
    </row>
    <row r="15376">
      <c r="B15376" s="612"/>
      <c r="H15376" s="612"/>
    </row>
    <row r="15377">
      <c r="B15377" s="612"/>
      <c r="H15377" s="612"/>
    </row>
    <row r="15378">
      <c r="B15378" s="612"/>
      <c r="H15378" s="612"/>
    </row>
    <row r="15379">
      <c r="B15379" s="612"/>
      <c r="H15379" s="612"/>
    </row>
    <row r="15380">
      <c r="B15380" s="612"/>
      <c r="H15380" s="612"/>
    </row>
    <row r="15381">
      <c r="B15381" s="612"/>
      <c r="H15381" s="612"/>
    </row>
    <row r="15382">
      <c r="B15382" s="612"/>
      <c r="H15382" s="612"/>
    </row>
    <row r="15383">
      <c r="B15383" s="612"/>
      <c r="H15383" s="612"/>
    </row>
    <row r="15384">
      <c r="B15384" s="612"/>
      <c r="H15384" s="612"/>
    </row>
    <row r="15385">
      <c r="B15385" s="612"/>
      <c r="H15385" s="612"/>
    </row>
    <row r="15386">
      <c r="B15386" s="612"/>
      <c r="H15386" s="612"/>
    </row>
    <row r="15387">
      <c r="B15387" s="612"/>
      <c r="H15387" s="612"/>
    </row>
    <row r="15388">
      <c r="B15388" s="612"/>
      <c r="H15388" s="612"/>
    </row>
    <row r="15389">
      <c r="B15389" s="612"/>
      <c r="H15389" s="612"/>
    </row>
    <row r="15390">
      <c r="B15390" s="612"/>
      <c r="H15390" s="612"/>
    </row>
    <row r="15391">
      <c r="B15391" s="612"/>
      <c r="H15391" s="612"/>
    </row>
    <row r="15392">
      <c r="B15392" s="612"/>
      <c r="H15392" s="612"/>
    </row>
    <row r="15393">
      <c r="B15393" s="612"/>
      <c r="H15393" s="612"/>
    </row>
    <row r="15394">
      <c r="B15394" s="612"/>
      <c r="H15394" s="612"/>
    </row>
    <row r="15395">
      <c r="B15395" s="612"/>
      <c r="H15395" s="612"/>
    </row>
    <row r="15396">
      <c r="B15396" s="612"/>
      <c r="H15396" s="612"/>
    </row>
    <row r="15397">
      <c r="B15397" s="612"/>
      <c r="H15397" s="612"/>
    </row>
    <row r="15398">
      <c r="B15398" s="612"/>
      <c r="H15398" s="612"/>
    </row>
    <row r="15399">
      <c r="B15399" s="612"/>
      <c r="H15399" s="612"/>
    </row>
    <row r="15400">
      <c r="B15400" s="612"/>
      <c r="H15400" s="612"/>
    </row>
    <row r="15401">
      <c r="B15401" s="612"/>
      <c r="H15401" s="612"/>
    </row>
    <row r="15402">
      <c r="B15402" s="612"/>
      <c r="H15402" s="612"/>
    </row>
    <row r="15403">
      <c r="B15403" s="612"/>
      <c r="H15403" s="612"/>
    </row>
    <row r="15404">
      <c r="B15404" s="612"/>
      <c r="H15404" s="612"/>
    </row>
    <row r="15405">
      <c r="B15405" s="612"/>
      <c r="H15405" s="612"/>
    </row>
    <row r="15406">
      <c r="B15406" s="612"/>
      <c r="H15406" s="612"/>
    </row>
    <row r="15407">
      <c r="B15407" s="612"/>
      <c r="H15407" s="612"/>
    </row>
    <row r="15408">
      <c r="B15408" s="612"/>
      <c r="H15408" s="612"/>
    </row>
    <row r="15409">
      <c r="B15409" s="612"/>
      <c r="H15409" s="612"/>
    </row>
    <row r="15410">
      <c r="B15410" s="612"/>
      <c r="H15410" s="612"/>
    </row>
    <row r="15411">
      <c r="B15411" s="612"/>
      <c r="H15411" s="612"/>
    </row>
    <row r="15412">
      <c r="B15412" s="612"/>
      <c r="H15412" s="612"/>
    </row>
    <row r="15413">
      <c r="B15413" s="612"/>
      <c r="H15413" s="612"/>
    </row>
    <row r="15414">
      <c r="B15414" s="612"/>
      <c r="H15414" s="612"/>
    </row>
    <row r="15415">
      <c r="B15415" s="612"/>
      <c r="H15415" s="612"/>
    </row>
    <row r="15416">
      <c r="B15416" s="612"/>
      <c r="H15416" s="612"/>
    </row>
    <row r="15417">
      <c r="B15417" s="612"/>
      <c r="H15417" s="612"/>
    </row>
    <row r="15418">
      <c r="B15418" s="612"/>
      <c r="H15418" s="612"/>
    </row>
    <row r="15419">
      <c r="B15419" s="612"/>
      <c r="H15419" s="612"/>
    </row>
    <row r="15420">
      <c r="B15420" s="612"/>
      <c r="H15420" s="612"/>
    </row>
    <row r="15421">
      <c r="B15421" s="612"/>
      <c r="H15421" s="612"/>
    </row>
    <row r="15422">
      <c r="B15422" s="612"/>
      <c r="H15422" s="612"/>
    </row>
    <row r="15423">
      <c r="B15423" s="612"/>
      <c r="H15423" s="612"/>
    </row>
    <row r="15424">
      <c r="B15424" s="612"/>
      <c r="H15424" s="612"/>
    </row>
    <row r="15425">
      <c r="B15425" s="612"/>
      <c r="H15425" s="612"/>
    </row>
    <row r="15426">
      <c r="B15426" s="612"/>
      <c r="H15426" s="612"/>
    </row>
    <row r="15427">
      <c r="B15427" s="612"/>
      <c r="H15427" s="612"/>
    </row>
    <row r="15428">
      <c r="B15428" s="612"/>
      <c r="H15428" s="612"/>
    </row>
    <row r="15429">
      <c r="B15429" s="612"/>
      <c r="H15429" s="612"/>
    </row>
    <row r="15430">
      <c r="B15430" s="612"/>
      <c r="H15430" s="612"/>
    </row>
    <row r="15431">
      <c r="B15431" s="612"/>
      <c r="H15431" s="612"/>
    </row>
    <row r="15432">
      <c r="B15432" s="612"/>
      <c r="H15432" s="612"/>
    </row>
    <row r="15433">
      <c r="B15433" s="612"/>
      <c r="H15433" s="612"/>
    </row>
    <row r="15434">
      <c r="B15434" s="612"/>
      <c r="H15434" s="612"/>
    </row>
    <row r="15435">
      <c r="B15435" s="612"/>
      <c r="H15435" s="612"/>
    </row>
    <row r="15436">
      <c r="B15436" s="612"/>
      <c r="H15436" s="612"/>
    </row>
    <row r="15437">
      <c r="B15437" s="612"/>
      <c r="H15437" s="612"/>
    </row>
    <row r="15438">
      <c r="B15438" s="612"/>
      <c r="H15438" s="612"/>
    </row>
    <row r="15439">
      <c r="B15439" s="612"/>
      <c r="H15439" s="612"/>
    </row>
    <row r="15440">
      <c r="B15440" s="612"/>
      <c r="H15440" s="612"/>
    </row>
    <row r="15441">
      <c r="B15441" s="612"/>
      <c r="H15441" s="612"/>
    </row>
    <row r="15442">
      <c r="B15442" s="612"/>
      <c r="H15442" s="612"/>
    </row>
    <row r="15443">
      <c r="B15443" s="612"/>
      <c r="H15443" s="612"/>
    </row>
    <row r="15444">
      <c r="B15444" s="612"/>
      <c r="H15444" s="612"/>
    </row>
    <row r="15445">
      <c r="B15445" s="612"/>
      <c r="H15445" s="612"/>
    </row>
    <row r="15446">
      <c r="B15446" s="612"/>
      <c r="H15446" s="612"/>
    </row>
    <row r="15447">
      <c r="B15447" s="612"/>
      <c r="H15447" s="612"/>
    </row>
    <row r="15448">
      <c r="B15448" s="612"/>
      <c r="H15448" s="612"/>
    </row>
    <row r="15449">
      <c r="B15449" s="612"/>
      <c r="H15449" s="612"/>
    </row>
    <row r="15450">
      <c r="B15450" s="612"/>
      <c r="H15450" s="612"/>
    </row>
    <row r="15451">
      <c r="B15451" s="612"/>
      <c r="H15451" s="612"/>
    </row>
    <row r="15452">
      <c r="B15452" s="612"/>
      <c r="H15452" s="612"/>
    </row>
    <row r="15453">
      <c r="B15453" s="612"/>
      <c r="H15453" s="612"/>
    </row>
    <row r="15454">
      <c r="B15454" s="612"/>
      <c r="H15454" s="612"/>
    </row>
    <row r="15455">
      <c r="B15455" s="612"/>
      <c r="H15455" s="612"/>
    </row>
    <row r="15456">
      <c r="B15456" s="612"/>
      <c r="H15456" s="612"/>
    </row>
    <row r="15457">
      <c r="B15457" s="612"/>
      <c r="H15457" s="612"/>
    </row>
    <row r="15458">
      <c r="B15458" s="612"/>
      <c r="H15458" s="612"/>
    </row>
    <row r="15459">
      <c r="B15459" s="612"/>
      <c r="H15459" s="612"/>
    </row>
    <row r="15460">
      <c r="B15460" s="612"/>
      <c r="H15460" s="612"/>
    </row>
    <row r="15461">
      <c r="B15461" s="612"/>
      <c r="H15461" s="612"/>
    </row>
    <row r="15462">
      <c r="B15462" s="612"/>
      <c r="H15462" s="612"/>
    </row>
    <row r="15463">
      <c r="B15463" s="612"/>
      <c r="H15463" s="612"/>
    </row>
    <row r="15464">
      <c r="B15464" s="612"/>
      <c r="H15464" s="612"/>
    </row>
    <row r="15465">
      <c r="B15465" s="612"/>
      <c r="H15465" s="612"/>
    </row>
    <row r="15466">
      <c r="B15466" s="612"/>
      <c r="H15466" s="612"/>
    </row>
    <row r="15467">
      <c r="B15467" s="612"/>
      <c r="H15467" s="612"/>
    </row>
    <row r="15468">
      <c r="B15468" s="612"/>
      <c r="H15468" s="612"/>
    </row>
    <row r="15469">
      <c r="B15469" s="612"/>
      <c r="H15469" s="612"/>
    </row>
    <row r="15470">
      <c r="B15470" s="612"/>
      <c r="H15470" s="612"/>
    </row>
    <row r="15471">
      <c r="B15471" s="612"/>
      <c r="H15471" s="612"/>
    </row>
    <row r="15472">
      <c r="B15472" s="612"/>
      <c r="H15472" s="612"/>
    </row>
    <row r="15473">
      <c r="B15473" s="612"/>
      <c r="H15473" s="612"/>
    </row>
    <row r="15474">
      <c r="B15474" s="612"/>
      <c r="H15474" s="612"/>
    </row>
    <row r="15475">
      <c r="B15475" s="612"/>
      <c r="H15475" s="612"/>
    </row>
    <row r="15476">
      <c r="B15476" s="612"/>
      <c r="H15476" s="612"/>
    </row>
    <row r="15477">
      <c r="B15477" s="612"/>
      <c r="H15477" s="612"/>
    </row>
    <row r="15478">
      <c r="B15478" s="612"/>
      <c r="H15478" s="612"/>
    </row>
    <row r="15479">
      <c r="B15479" s="612"/>
      <c r="H15479" s="612"/>
    </row>
    <row r="15480">
      <c r="B15480" s="612"/>
      <c r="H15480" s="612"/>
    </row>
    <row r="15481">
      <c r="B15481" s="612"/>
      <c r="H15481" s="612"/>
    </row>
    <row r="15482">
      <c r="B15482" s="612"/>
      <c r="H15482" s="612"/>
    </row>
    <row r="15483">
      <c r="B15483" s="612"/>
      <c r="H15483" s="612"/>
    </row>
    <row r="15484">
      <c r="B15484" s="612"/>
      <c r="H15484" s="612"/>
    </row>
    <row r="15485">
      <c r="B15485" s="612"/>
      <c r="H15485" s="612"/>
    </row>
    <row r="15486">
      <c r="B15486" s="612"/>
      <c r="H15486" s="612"/>
    </row>
    <row r="15487">
      <c r="B15487" s="612"/>
      <c r="H15487" s="612"/>
    </row>
    <row r="15488">
      <c r="B15488" s="612"/>
      <c r="H15488" s="612"/>
    </row>
    <row r="15489">
      <c r="B15489" s="612"/>
      <c r="H15489" s="612"/>
    </row>
    <row r="15490">
      <c r="B15490" s="612"/>
      <c r="H15490" s="612"/>
    </row>
    <row r="15491">
      <c r="B15491" s="612"/>
      <c r="H15491" s="612"/>
    </row>
    <row r="15492">
      <c r="B15492" s="612"/>
      <c r="H15492" s="612"/>
    </row>
    <row r="15493">
      <c r="B15493" s="612"/>
      <c r="H15493" s="612"/>
    </row>
    <row r="15494">
      <c r="B15494" s="612"/>
      <c r="H15494" s="612"/>
    </row>
    <row r="15495">
      <c r="B15495" s="612"/>
      <c r="H15495" s="612"/>
    </row>
    <row r="15496">
      <c r="B15496" s="612"/>
      <c r="H15496" s="612"/>
    </row>
    <row r="15497">
      <c r="B15497" s="612"/>
      <c r="H15497" s="612"/>
    </row>
    <row r="15498">
      <c r="B15498" s="612"/>
      <c r="H15498" s="612"/>
    </row>
    <row r="15499">
      <c r="B15499" s="612"/>
      <c r="H15499" s="612"/>
    </row>
    <row r="15500">
      <c r="B15500" s="612"/>
      <c r="H15500" s="612"/>
    </row>
    <row r="15501">
      <c r="B15501" s="612"/>
      <c r="H15501" s="612"/>
    </row>
    <row r="15502">
      <c r="B15502" s="612"/>
      <c r="H15502" s="612"/>
    </row>
    <row r="15503">
      <c r="B15503" s="612"/>
      <c r="H15503" s="612"/>
    </row>
    <row r="15504">
      <c r="B15504" s="612"/>
      <c r="H15504" s="612"/>
    </row>
    <row r="15505">
      <c r="B15505" s="612"/>
      <c r="H15505" s="612"/>
    </row>
    <row r="15506">
      <c r="B15506" s="612"/>
      <c r="H15506" s="612"/>
    </row>
    <row r="15507">
      <c r="B15507" s="612"/>
      <c r="H15507" s="612"/>
    </row>
    <row r="15508">
      <c r="B15508" s="612"/>
      <c r="H15508" s="612"/>
    </row>
    <row r="15509">
      <c r="B15509" s="612"/>
      <c r="H15509" s="612"/>
    </row>
    <row r="15510">
      <c r="B15510" s="612"/>
      <c r="H15510" s="612"/>
    </row>
    <row r="15511">
      <c r="B15511" s="612"/>
      <c r="H15511" s="612"/>
    </row>
    <row r="15512">
      <c r="B15512" s="612"/>
      <c r="H15512" s="612"/>
    </row>
    <row r="15513">
      <c r="B15513" s="612"/>
      <c r="H15513" s="612"/>
    </row>
    <row r="15514">
      <c r="B15514" s="612"/>
      <c r="H15514" s="612"/>
    </row>
    <row r="15515">
      <c r="B15515" s="612"/>
      <c r="H15515" s="612"/>
    </row>
    <row r="15516">
      <c r="B15516" s="612"/>
      <c r="H15516" s="612"/>
    </row>
    <row r="15517">
      <c r="B15517" s="612"/>
      <c r="H15517" s="612"/>
    </row>
    <row r="15518">
      <c r="B15518" s="612"/>
      <c r="H15518" s="612"/>
    </row>
    <row r="15519">
      <c r="B15519" s="612"/>
      <c r="H15519" s="612"/>
    </row>
    <row r="15520">
      <c r="B15520" s="612"/>
      <c r="H15520" s="612"/>
    </row>
    <row r="15521">
      <c r="B15521" s="612"/>
      <c r="H15521" s="612"/>
    </row>
    <row r="15522">
      <c r="B15522" s="612"/>
      <c r="H15522" s="612"/>
    </row>
    <row r="15523">
      <c r="B15523" s="612"/>
      <c r="H15523" s="612"/>
    </row>
    <row r="15524">
      <c r="B15524" s="612"/>
      <c r="H15524" s="612"/>
    </row>
    <row r="15525">
      <c r="B15525" s="612"/>
      <c r="H15525" s="612"/>
    </row>
    <row r="15526">
      <c r="B15526" s="612"/>
      <c r="H15526" s="612"/>
    </row>
    <row r="15527">
      <c r="B15527" s="612"/>
      <c r="H15527" s="612"/>
    </row>
    <row r="15528">
      <c r="B15528" s="612"/>
      <c r="H15528" s="612"/>
    </row>
    <row r="15529">
      <c r="B15529" s="612"/>
      <c r="H15529" s="612"/>
    </row>
    <row r="15530">
      <c r="B15530" s="612"/>
      <c r="H15530" s="612"/>
    </row>
    <row r="15531">
      <c r="B15531" s="612"/>
      <c r="H15531" s="612"/>
    </row>
    <row r="15532">
      <c r="B15532" s="612"/>
      <c r="H15532" s="612"/>
    </row>
    <row r="15533">
      <c r="B15533" s="612"/>
      <c r="H15533" s="612"/>
    </row>
    <row r="15534">
      <c r="B15534" s="612"/>
      <c r="H15534" s="612"/>
    </row>
    <row r="15535">
      <c r="B15535" s="612"/>
      <c r="H15535" s="612"/>
    </row>
    <row r="15536">
      <c r="B15536" s="612"/>
      <c r="H15536" s="612"/>
    </row>
    <row r="15537">
      <c r="B15537" s="612"/>
      <c r="H15537" s="612"/>
    </row>
    <row r="15538">
      <c r="B15538" s="612"/>
      <c r="H15538" s="612"/>
    </row>
    <row r="15539">
      <c r="B15539" s="612"/>
      <c r="H15539" s="612"/>
    </row>
    <row r="15540">
      <c r="B15540" s="612"/>
      <c r="H15540" s="612"/>
    </row>
    <row r="15541">
      <c r="B15541" s="612"/>
      <c r="H15541" s="612"/>
    </row>
    <row r="15542">
      <c r="B15542" s="612"/>
      <c r="H15542" s="612"/>
    </row>
    <row r="15543">
      <c r="B15543" s="612"/>
      <c r="H15543" s="612"/>
    </row>
    <row r="15544">
      <c r="B15544" s="612"/>
      <c r="H15544" s="612"/>
    </row>
    <row r="15545">
      <c r="B15545" s="612"/>
      <c r="H15545" s="612"/>
    </row>
    <row r="15546">
      <c r="B15546" s="612"/>
      <c r="H15546" s="612"/>
    </row>
    <row r="15547">
      <c r="B15547" s="612"/>
      <c r="H15547" s="612"/>
    </row>
    <row r="15548">
      <c r="B15548" s="612"/>
      <c r="H15548" s="612"/>
    </row>
    <row r="15549">
      <c r="B15549" s="612"/>
      <c r="H15549" s="612"/>
    </row>
    <row r="15550">
      <c r="B15550" s="612"/>
      <c r="H15550" s="612"/>
    </row>
    <row r="15551">
      <c r="B15551" s="612"/>
      <c r="H15551" s="612"/>
    </row>
    <row r="15552">
      <c r="B15552" s="612"/>
      <c r="H15552" s="612"/>
    </row>
    <row r="15553">
      <c r="B15553" s="612"/>
      <c r="H15553" s="612"/>
    </row>
    <row r="15554">
      <c r="B15554" s="612"/>
      <c r="H15554" s="612"/>
    </row>
    <row r="15555">
      <c r="B15555" s="612"/>
      <c r="H15555" s="612"/>
    </row>
    <row r="15556">
      <c r="B15556" s="612"/>
      <c r="H15556" s="612"/>
    </row>
    <row r="15557">
      <c r="B15557" s="612"/>
      <c r="H15557" s="612"/>
    </row>
    <row r="15558">
      <c r="B15558" s="612"/>
      <c r="H15558" s="612"/>
    </row>
    <row r="15559">
      <c r="B15559" s="612"/>
      <c r="H15559" s="612"/>
    </row>
    <row r="15560">
      <c r="B15560" s="612"/>
      <c r="H15560" s="612"/>
    </row>
    <row r="15561">
      <c r="B15561" s="612"/>
      <c r="H15561" s="612"/>
    </row>
    <row r="15562">
      <c r="B15562" s="612"/>
      <c r="H15562" s="612"/>
    </row>
    <row r="15563">
      <c r="B15563" s="612"/>
      <c r="H15563" s="612"/>
    </row>
    <row r="15564">
      <c r="B15564" s="612"/>
      <c r="H15564" s="612"/>
    </row>
    <row r="15565">
      <c r="B15565" s="612"/>
      <c r="H15565" s="612"/>
    </row>
    <row r="15566">
      <c r="B15566" s="612"/>
      <c r="H15566" s="612"/>
    </row>
    <row r="15567">
      <c r="B15567" s="612"/>
      <c r="H15567" s="612"/>
    </row>
    <row r="15568">
      <c r="B15568" s="612"/>
      <c r="H15568" s="612"/>
    </row>
    <row r="15569">
      <c r="B15569" s="612"/>
      <c r="H15569" s="612"/>
    </row>
    <row r="15570">
      <c r="B15570" s="612"/>
      <c r="H15570" s="612"/>
    </row>
    <row r="15571">
      <c r="B15571" s="612"/>
      <c r="H15571" s="612"/>
    </row>
    <row r="15572">
      <c r="B15572" s="612"/>
      <c r="H15572" s="612"/>
    </row>
    <row r="15573">
      <c r="B15573" s="612"/>
      <c r="H15573" s="612"/>
    </row>
    <row r="15574">
      <c r="B15574" s="612"/>
      <c r="H15574" s="612"/>
    </row>
    <row r="15575">
      <c r="B15575" s="612"/>
      <c r="H15575" s="612"/>
    </row>
    <row r="15576">
      <c r="B15576" s="612"/>
      <c r="H15576" s="612"/>
    </row>
    <row r="15577">
      <c r="B15577" s="612"/>
      <c r="H15577" s="612"/>
    </row>
    <row r="15578">
      <c r="B15578" s="612"/>
      <c r="H15578" s="612"/>
    </row>
    <row r="15579">
      <c r="B15579" s="612"/>
      <c r="H15579" s="612"/>
    </row>
    <row r="15580">
      <c r="B15580" s="612"/>
      <c r="H15580" s="612"/>
    </row>
    <row r="15581">
      <c r="B15581" s="612"/>
      <c r="H15581" s="612"/>
    </row>
    <row r="15582">
      <c r="B15582" s="612"/>
      <c r="H15582" s="612"/>
    </row>
    <row r="15583">
      <c r="B15583" s="612"/>
      <c r="H15583" s="612"/>
    </row>
    <row r="15584">
      <c r="B15584" s="612"/>
      <c r="H15584" s="612"/>
    </row>
    <row r="15585">
      <c r="B15585" s="612"/>
      <c r="H15585" s="612"/>
    </row>
    <row r="15586">
      <c r="B15586" s="612"/>
      <c r="H15586" s="612"/>
    </row>
    <row r="15587">
      <c r="B15587" s="612"/>
      <c r="H15587" s="612"/>
    </row>
    <row r="15588">
      <c r="B15588" s="612"/>
      <c r="H15588" s="612"/>
    </row>
    <row r="15589">
      <c r="B15589" s="612"/>
      <c r="H15589" s="612"/>
    </row>
    <row r="15590">
      <c r="B15590" s="612"/>
      <c r="H15590" s="612"/>
    </row>
    <row r="15591">
      <c r="B15591" s="612"/>
      <c r="H15591" s="612"/>
    </row>
    <row r="15592">
      <c r="B15592" s="612"/>
      <c r="H15592" s="612"/>
    </row>
    <row r="15593">
      <c r="B15593" s="612"/>
      <c r="H15593" s="612"/>
    </row>
    <row r="15594">
      <c r="B15594" s="612"/>
      <c r="H15594" s="612"/>
    </row>
    <row r="15595">
      <c r="B15595" s="612"/>
      <c r="H15595" s="612"/>
    </row>
    <row r="15596">
      <c r="B15596" s="612"/>
      <c r="H15596" s="612"/>
    </row>
    <row r="15597">
      <c r="B15597" s="612"/>
      <c r="H15597" s="612"/>
    </row>
    <row r="15598">
      <c r="B15598" s="612"/>
      <c r="H15598" s="612"/>
    </row>
    <row r="15599">
      <c r="B15599" s="612"/>
      <c r="H15599" s="612"/>
    </row>
    <row r="15600">
      <c r="B15600" s="612"/>
      <c r="H15600" s="612"/>
    </row>
    <row r="15601">
      <c r="B15601" s="612"/>
      <c r="H15601" s="612"/>
    </row>
    <row r="15602">
      <c r="B15602" s="612"/>
      <c r="H15602" s="612"/>
    </row>
    <row r="15603">
      <c r="B15603" s="612"/>
      <c r="H15603" s="612"/>
    </row>
    <row r="15604">
      <c r="B15604" s="612"/>
      <c r="H15604" s="612"/>
    </row>
    <row r="15605">
      <c r="B15605" s="612"/>
      <c r="H15605" s="612"/>
    </row>
    <row r="15606">
      <c r="B15606" s="612"/>
      <c r="H15606" s="612"/>
    </row>
    <row r="15607">
      <c r="B15607" s="612"/>
      <c r="H15607" s="612"/>
    </row>
    <row r="15608">
      <c r="B15608" s="612"/>
      <c r="H15608" s="612"/>
    </row>
    <row r="15609">
      <c r="B15609" s="612"/>
      <c r="H15609" s="612"/>
    </row>
    <row r="15610">
      <c r="B15610" s="612"/>
      <c r="H15610" s="612"/>
    </row>
    <row r="15611">
      <c r="B15611" s="612"/>
      <c r="H15611" s="612"/>
    </row>
    <row r="15612">
      <c r="B15612" s="612"/>
      <c r="H15612" s="612"/>
    </row>
    <row r="15613">
      <c r="B15613" s="612"/>
      <c r="H15613" s="612"/>
    </row>
    <row r="15614">
      <c r="B15614" s="612"/>
      <c r="H15614" s="612"/>
    </row>
    <row r="15615">
      <c r="B15615" s="612"/>
      <c r="H15615" s="612"/>
    </row>
    <row r="15616">
      <c r="B15616" s="612"/>
      <c r="H15616" s="612"/>
    </row>
    <row r="15617">
      <c r="B15617" s="612"/>
      <c r="H15617" s="612"/>
    </row>
    <row r="15618">
      <c r="B15618" s="612"/>
      <c r="H15618" s="612"/>
    </row>
    <row r="15619">
      <c r="B15619" s="612"/>
      <c r="H15619" s="612"/>
    </row>
    <row r="15620">
      <c r="B15620" s="612"/>
      <c r="H15620" s="612"/>
    </row>
    <row r="15621">
      <c r="B15621" s="612"/>
      <c r="H15621" s="612"/>
    </row>
    <row r="15622">
      <c r="B15622" s="612"/>
      <c r="H15622" s="612"/>
    </row>
    <row r="15623">
      <c r="B15623" s="612"/>
      <c r="H15623" s="612"/>
    </row>
    <row r="15624">
      <c r="B15624" s="612"/>
      <c r="H15624" s="612"/>
    </row>
    <row r="15625">
      <c r="B15625" s="612"/>
      <c r="H15625" s="612"/>
    </row>
    <row r="15626">
      <c r="B15626" s="612"/>
      <c r="H15626" s="612"/>
    </row>
    <row r="15627">
      <c r="B15627" s="612"/>
      <c r="H15627" s="612"/>
    </row>
    <row r="15628">
      <c r="B15628" s="612"/>
      <c r="H15628" s="612"/>
    </row>
    <row r="15629">
      <c r="B15629" s="612"/>
      <c r="H15629" s="612"/>
    </row>
    <row r="15630">
      <c r="B15630" s="612"/>
      <c r="H15630" s="612"/>
    </row>
    <row r="15631">
      <c r="B15631" s="612"/>
      <c r="H15631" s="612"/>
    </row>
    <row r="15632">
      <c r="B15632" s="612"/>
      <c r="H15632" s="612"/>
    </row>
    <row r="15633">
      <c r="B15633" s="612"/>
      <c r="H15633" s="612"/>
    </row>
    <row r="15634">
      <c r="B15634" s="612"/>
      <c r="H15634" s="612"/>
    </row>
    <row r="15635">
      <c r="B15635" s="612"/>
      <c r="H15635" s="612"/>
    </row>
    <row r="15636">
      <c r="B15636" s="612"/>
      <c r="H15636" s="612"/>
    </row>
    <row r="15637">
      <c r="B15637" s="612"/>
      <c r="H15637" s="612"/>
    </row>
    <row r="15638">
      <c r="B15638" s="612"/>
      <c r="H15638" s="612"/>
    </row>
    <row r="15639">
      <c r="B15639" s="612"/>
      <c r="H15639" s="612"/>
    </row>
    <row r="15640">
      <c r="B15640" s="612"/>
      <c r="H15640" s="612"/>
    </row>
    <row r="15641">
      <c r="B15641" s="612"/>
      <c r="H15641" s="612"/>
    </row>
    <row r="15642">
      <c r="B15642" s="612"/>
      <c r="H15642" s="612"/>
    </row>
    <row r="15643">
      <c r="B15643" s="612"/>
      <c r="H15643" s="612"/>
    </row>
    <row r="15644">
      <c r="B15644" s="612"/>
      <c r="H15644" s="612"/>
    </row>
    <row r="15645">
      <c r="B15645" s="612"/>
      <c r="H15645" s="612"/>
    </row>
    <row r="15646">
      <c r="B15646" s="612"/>
      <c r="H15646" s="612"/>
    </row>
    <row r="15647">
      <c r="B15647" s="612"/>
      <c r="H15647" s="612"/>
    </row>
    <row r="15648">
      <c r="B15648" s="612"/>
      <c r="H15648" s="612"/>
    </row>
    <row r="15649">
      <c r="B15649" s="612"/>
      <c r="H15649" s="612"/>
    </row>
    <row r="15650">
      <c r="B15650" s="612"/>
      <c r="H15650" s="612"/>
    </row>
    <row r="15651">
      <c r="B15651" s="612"/>
      <c r="H15651" s="612"/>
    </row>
    <row r="15652">
      <c r="B15652" s="612"/>
      <c r="H15652" s="612"/>
    </row>
    <row r="15653">
      <c r="B15653" s="612"/>
      <c r="H15653" s="612"/>
    </row>
    <row r="15654">
      <c r="B15654" s="612"/>
      <c r="H15654" s="612"/>
    </row>
    <row r="15655">
      <c r="B15655" s="612"/>
      <c r="H15655" s="612"/>
    </row>
    <row r="15656">
      <c r="B15656" s="612"/>
      <c r="H15656" s="612"/>
    </row>
    <row r="15657">
      <c r="B15657" s="612"/>
      <c r="H15657" s="612"/>
    </row>
    <row r="15658">
      <c r="B15658" s="612"/>
      <c r="H15658" s="612"/>
    </row>
    <row r="15659">
      <c r="B15659" s="612"/>
      <c r="H15659" s="612"/>
    </row>
    <row r="15660">
      <c r="B15660" s="612"/>
      <c r="H15660" s="612"/>
    </row>
    <row r="15661">
      <c r="B15661" s="612"/>
      <c r="H15661" s="612"/>
    </row>
    <row r="15662">
      <c r="B15662" s="612"/>
      <c r="H15662" s="612"/>
    </row>
    <row r="15663">
      <c r="B15663" s="612"/>
      <c r="H15663" s="612"/>
    </row>
    <row r="15664">
      <c r="B15664" s="612"/>
      <c r="H15664" s="612"/>
    </row>
    <row r="15665">
      <c r="B15665" s="612"/>
      <c r="H15665" s="612"/>
    </row>
    <row r="15666">
      <c r="B15666" s="612"/>
      <c r="H15666" s="612"/>
    </row>
    <row r="15667">
      <c r="B15667" s="612"/>
      <c r="H15667" s="612"/>
    </row>
    <row r="15668">
      <c r="B15668" s="612"/>
      <c r="H15668" s="612"/>
    </row>
    <row r="15669">
      <c r="B15669" s="612"/>
      <c r="H15669" s="612"/>
    </row>
    <row r="15670">
      <c r="B15670" s="612"/>
      <c r="H15670" s="612"/>
    </row>
    <row r="15671">
      <c r="B15671" s="612"/>
      <c r="H15671" s="612"/>
    </row>
    <row r="15672">
      <c r="B15672" s="612"/>
      <c r="H15672" s="612"/>
    </row>
    <row r="15673">
      <c r="B15673" s="612"/>
      <c r="H15673" s="612"/>
    </row>
    <row r="15674">
      <c r="B15674" s="612"/>
      <c r="H15674" s="612"/>
    </row>
    <row r="15675">
      <c r="B15675" s="612"/>
      <c r="H15675" s="612"/>
    </row>
    <row r="15676">
      <c r="B15676" s="612"/>
      <c r="H15676" s="612"/>
    </row>
    <row r="15677">
      <c r="B15677" s="612"/>
      <c r="H15677" s="612"/>
    </row>
    <row r="15678">
      <c r="B15678" s="612"/>
      <c r="H15678" s="612"/>
    </row>
    <row r="15679">
      <c r="B15679" s="612"/>
      <c r="H15679" s="612"/>
    </row>
    <row r="15680">
      <c r="B15680" s="612"/>
      <c r="H15680" s="612"/>
    </row>
    <row r="15681">
      <c r="B15681" s="612"/>
      <c r="H15681" s="612"/>
    </row>
    <row r="15682">
      <c r="B15682" s="612"/>
      <c r="H15682" s="612"/>
    </row>
    <row r="15683">
      <c r="B15683" s="612"/>
      <c r="H15683" s="612"/>
    </row>
    <row r="15684">
      <c r="B15684" s="612"/>
      <c r="H15684" s="612"/>
    </row>
    <row r="15685">
      <c r="B15685" s="612"/>
      <c r="H15685" s="612"/>
    </row>
    <row r="15686">
      <c r="B15686" s="612"/>
      <c r="H15686" s="612"/>
    </row>
    <row r="15687">
      <c r="B15687" s="612"/>
      <c r="H15687" s="612"/>
    </row>
    <row r="15688">
      <c r="B15688" s="612"/>
      <c r="H15688" s="612"/>
    </row>
    <row r="15689">
      <c r="B15689" s="612"/>
      <c r="H15689" s="612"/>
    </row>
    <row r="15690">
      <c r="B15690" s="612"/>
      <c r="H15690" s="612"/>
    </row>
    <row r="15691">
      <c r="B15691" s="612"/>
      <c r="H15691" s="612"/>
    </row>
    <row r="15692">
      <c r="B15692" s="612"/>
      <c r="H15692" s="612"/>
    </row>
    <row r="15693">
      <c r="B15693" s="612"/>
      <c r="H15693" s="612"/>
    </row>
    <row r="15694">
      <c r="B15694" s="612"/>
      <c r="H15694" s="612"/>
    </row>
    <row r="15695">
      <c r="B15695" s="612"/>
      <c r="H15695" s="612"/>
    </row>
    <row r="15696">
      <c r="B15696" s="612"/>
      <c r="H15696" s="612"/>
    </row>
    <row r="15697">
      <c r="B15697" s="612"/>
      <c r="H15697" s="612"/>
    </row>
    <row r="15698">
      <c r="B15698" s="612"/>
      <c r="H15698" s="612"/>
    </row>
    <row r="15699">
      <c r="B15699" s="612"/>
      <c r="H15699" s="612"/>
    </row>
    <row r="15700">
      <c r="B15700" s="612"/>
      <c r="H15700" s="612"/>
    </row>
    <row r="15701">
      <c r="B15701" s="612"/>
      <c r="H15701" s="612"/>
    </row>
    <row r="15702">
      <c r="B15702" s="612"/>
      <c r="H15702" s="612"/>
    </row>
    <row r="15703">
      <c r="B15703" s="612"/>
      <c r="H15703" s="612"/>
    </row>
    <row r="15704">
      <c r="B15704" s="612"/>
      <c r="H15704" s="612"/>
    </row>
    <row r="15705">
      <c r="B15705" s="612"/>
      <c r="H15705" s="612"/>
    </row>
    <row r="15706">
      <c r="B15706" s="612"/>
      <c r="H15706" s="612"/>
    </row>
    <row r="15707">
      <c r="B15707" s="612"/>
      <c r="H15707" s="612"/>
    </row>
    <row r="15708">
      <c r="B15708" s="612"/>
      <c r="H15708" s="612"/>
    </row>
    <row r="15709">
      <c r="B15709" s="612"/>
      <c r="H15709" s="612"/>
    </row>
    <row r="15710">
      <c r="B15710" s="612"/>
      <c r="H15710" s="612"/>
    </row>
    <row r="15711">
      <c r="B15711" s="612"/>
      <c r="H15711" s="612"/>
    </row>
    <row r="15712">
      <c r="B15712" s="612"/>
      <c r="H15712" s="612"/>
    </row>
    <row r="15713">
      <c r="B15713" s="612"/>
      <c r="H15713" s="612"/>
    </row>
    <row r="15714">
      <c r="B15714" s="612"/>
      <c r="H15714" s="612"/>
    </row>
    <row r="15715">
      <c r="B15715" s="612"/>
      <c r="H15715" s="612"/>
    </row>
    <row r="15716">
      <c r="B15716" s="612"/>
      <c r="H15716" s="612"/>
    </row>
    <row r="15717">
      <c r="B15717" s="612"/>
      <c r="H15717" s="612"/>
    </row>
    <row r="15718">
      <c r="B15718" s="612"/>
      <c r="H15718" s="612"/>
    </row>
    <row r="15719">
      <c r="B15719" s="612"/>
      <c r="H15719" s="612"/>
    </row>
    <row r="15720">
      <c r="B15720" s="612"/>
      <c r="H15720" s="612"/>
    </row>
    <row r="15721">
      <c r="B15721" s="612"/>
      <c r="H15721" s="612"/>
    </row>
    <row r="15722">
      <c r="B15722" s="612"/>
      <c r="H15722" s="612"/>
    </row>
    <row r="15723">
      <c r="B15723" s="612"/>
      <c r="H15723" s="612"/>
    </row>
    <row r="15724">
      <c r="B15724" s="612"/>
      <c r="H15724" s="612"/>
    </row>
    <row r="15725">
      <c r="B15725" s="612"/>
      <c r="H15725" s="612"/>
    </row>
    <row r="15726">
      <c r="B15726" s="612"/>
      <c r="H15726" s="612"/>
    </row>
    <row r="15727">
      <c r="B15727" s="612"/>
      <c r="H15727" s="612"/>
    </row>
    <row r="15728">
      <c r="B15728" s="612"/>
      <c r="H15728" s="612"/>
    </row>
    <row r="15729">
      <c r="B15729" s="612"/>
      <c r="H15729" s="612"/>
    </row>
    <row r="15730">
      <c r="B15730" s="612"/>
      <c r="H15730" s="612"/>
    </row>
    <row r="15731">
      <c r="B15731" s="612"/>
      <c r="H15731" s="612"/>
    </row>
    <row r="15732">
      <c r="B15732" s="612"/>
      <c r="H15732" s="612"/>
    </row>
    <row r="15733">
      <c r="B15733" s="612"/>
      <c r="H15733" s="612"/>
    </row>
    <row r="15734">
      <c r="B15734" s="612"/>
      <c r="H15734" s="612"/>
    </row>
    <row r="15735">
      <c r="B15735" s="612"/>
      <c r="H15735" s="612"/>
    </row>
    <row r="15736">
      <c r="B15736" s="612"/>
      <c r="H15736" s="612"/>
    </row>
    <row r="15737">
      <c r="B15737" s="612"/>
      <c r="H15737" s="612"/>
    </row>
    <row r="15738">
      <c r="B15738" s="612"/>
      <c r="H15738" s="612"/>
    </row>
    <row r="15739">
      <c r="B15739" s="612"/>
      <c r="H15739" s="612"/>
    </row>
    <row r="15740">
      <c r="B15740" s="612"/>
      <c r="H15740" s="612"/>
    </row>
    <row r="15741">
      <c r="B15741" s="612"/>
      <c r="H15741" s="612"/>
    </row>
    <row r="15742">
      <c r="B15742" s="612"/>
      <c r="H15742" s="612"/>
    </row>
    <row r="15743">
      <c r="B15743" s="612"/>
      <c r="H15743" s="612"/>
    </row>
    <row r="15744">
      <c r="B15744" s="612"/>
      <c r="H15744" s="612"/>
    </row>
    <row r="15745">
      <c r="B15745" s="612"/>
      <c r="H15745" s="612"/>
    </row>
    <row r="15746">
      <c r="B15746" s="612"/>
      <c r="H15746" s="612"/>
    </row>
    <row r="15747">
      <c r="B15747" s="612"/>
      <c r="H15747" s="612"/>
    </row>
    <row r="15748">
      <c r="B15748" s="612"/>
      <c r="H15748" s="612"/>
    </row>
    <row r="15749">
      <c r="B15749" s="612"/>
      <c r="H15749" s="612"/>
    </row>
    <row r="15750">
      <c r="B15750" s="612"/>
      <c r="H15750" s="612"/>
    </row>
    <row r="15751">
      <c r="B15751" s="612"/>
      <c r="H15751" s="612"/>
    </row>
    <row r="15752">
      <c r="B15752" s="612"/>
      <c r="H15752" s="612"/>
    </row>
    <row r="15753">
      <c r="B15753" s="612"/>
      <c r="H15753" s="612"/>
    </row>
    <row r="15754">
      <c r="B15754" s="612"/>
      <c r="H15754" s="612"/>
    </row>
    <row r="15755">
      <c r="B15755" s="612"/>
      <c r="H15755" s="612"/>
    </row>
    <row r="15756">
      <c r="B15756" s="612"/>
      <c r="H15756" s="612"/>
    </row>
    <row r="15757">
      <c r="B15757" s="612"/>
      <c r="H15757" s="612"/>
    </row>
    <row r="15758">
      <c r="B15758" s="612"/>
      <c r="H15758" s="612"/>
    </row>
    <row r="15759">
      <c r="B15759" s="612"/>
      <c r="H15759" s="612"/>
    </row>
    <row r="15760">
      <c r="B15760" s="612"/>
      <c r="H15760" s="612"/>
    </row>
    <row r="15761">
      <c r="B15761" s="612"/>
      <c r="H15761" s="612"/>
    </row>
    <row r="15762">
      <c r="B15762" s="612"/>
      <c r="H15762" s="612"/>
    </row>
    <row r="15763">
      <c r="B15763" s="612"/>
      <c r="H15763" s="612"/>
    </row>
    <row r="15764">
      <c r="B15764" s="612"/>
      <c r="H15764" s="612"/>
    </row>
    <row r="15765">
      <c r="B15765" s="612"/>
      <c r="H15765" s="612"/>
    </row>
    <row r="15766">
      <c r="B15766" s="612"/>
      <c r="H15766" s="612"/>
    </row>
    <row r="15767">
      <c r="B15767" s="612"/>
      <c r="H15767" s="612"/>
    </row>
    <row r="15768">
      <c r="B15768" s="612"/>
      <c r="H15768" s="612"/>
    </row>
    <row r="15769">
      <c r="B15769" s="612"/>
      <c r="H15769" s="612"/>
    </row>
    <row r="15770">
      <c r="B15770" s="612"/>
      <c r="H15770" s="612"/>
    </row>
    <row r="15771">
      <c r="B15771" s="612"/>
      <c r="H15771" s="612"/>
    </row>
    <row r="15772">
      <c r="B15772" s="612"/>
      <c r="H15772" s="612"/>
    </row>
    <row r="15773">
      <c r="B15773" s="612"/>
      <c r="H15773" s="612"/>
    </row>
    <row r="15774">
      <c r="B15774" s="612"/>
      <c r="H15774" s="612"/>
    </row>
    <row r="15775">
      <c r="B15775" s="612"/>
      <c r="H15775" s="612"/>
    </row>
    <row r="15776">
      <c r="B15776" s="612"/>
      <c r="H15776" s="612"/>
    </row>
    <row r="15777">
      <c r="B15777" s="612"/>
      <c r="H15777" s="612"/>
    </row>
    <row r="15778">
      <c r="B15778" s="612"/>
      <c r="H15778" s="612"/>
    </row>
    <row r="15779">
      <c r="B15779" s="612"/>
      <c r="H15779" s="612"/>
    </row>
    <row r="15780">
      <c r="B15780" s="612"/>
      <c r="H15780" s="612"/>
    </row>
    <row r="15781">
      <c r="B15781" s="612"/>
      <c r="H15781" s="612"/>
    </row>
    <row r="15782">
      <c r="B15782" s="612"/>
      <c r="H15782" s="612"/>
    </row>
    <row r="15783">
      <c r="B15783" s="612"/>
      <c r="H15783" s="612"/>
    </row>
    <row r="15784">
      <c r="B15784" s="612"/>
      <c r="H15784" s="612"/>
    </row>
    <row r="15785">
      <c r="B15785" s="612"/>
      <c r="H15785" s="612"/>
    </row>
    <row r="15786">
      <c r="B15786" s="612"/>
      <c r="H15786" s="612"/>
    </row>
    <row r="15787">
      <c r="B15787" s="612"/>
      <c r="H15787" s="612"/>
    </row>
    <row r="15788">
      <c r="B15788" s="612"/>
      <c r="H15788" s="612"/>
    </row>
    <row r="15789">
      <c r="B15789" s="612"/>
      <c r="H15789" s="612"/>
    </row>
    <row r="15790">
      <c r="B15790" s="612"/>
      <c r="H15790" s="612"/>
    </row>
    <row r="15791">
      <c r="B15791" s="612"/>
      <c r="H15791" s="612"/>
    </row>
    <row r="15792">
      <c r="B15792" s="612"/>
      <c r="H15792" s="612"/>
    </row>
    <row r="15793">
      <c r="B15793" s="612"/>
      <c r="H15793" s="612"/>
    </row>
    <row r="15794">
      <c r="B15794" s="612"/>
      <c r="H15794" s="612"/>
    </row>
    <row r="15795">
      <c r="B15795" s="612"/>
      <c r="H15795" s="612"/>
    </row>
    <row r="15796">
      <c r="B15796" s="612"/>
      <c r="H15796" s="612"/>
    </row>
    <row r="15797">
      <c r="B15797" s="612"/>
      <c r="H15797" s="612"/>
    </row>
    <row r="15798">
      <c r="B15798" s="612"/>
      <c r="H15798" s="612"/>
    </row>
    <row r="15799">
      <c r="B15799" s="612"/>
      <c r="H15799" s="612"/>
    </row>
    <row r="15800">
      <c r="B15800" s="612"/>
      <c r="H15800" s="612"/>
    </row>
    <row r="15801">
      <c r="B15801" s="612"/>
      <c r="H15801" s="612"/>
    </row>
    <row r="15802">
      <c r="B15802" s="612"/>
      <c r="H15802" s="612"/>
    </row>
    <row r="15803">
      <c r="B15803" s="612"/>
      <c r="H15803" s="612"/>
    </row>
    <row r="15804">
      <c r="B15804" s="612"/>
      <c r="H15804" s="612"/>
    </row>
    <row r="15805">
      <c r="B15805" s="612"/>
      <c r="H15805" s="612"/>
    </row>
    <row r="15806">
      <c r="B15806" s="612"/>
      <c r="H15806" s="612"/>
    </row>
    <row r="15807">
      <c r="B15807" s="612"/>
      <c r="H15807" s="612"/>
    </row>
    <row r="15808">
      <c r="B15808" s="612"/>
      <c r="H15808" s="612"/>
    </row>
    <row r="15809">
      <c r="B15809" s="612"/>
      <c r="H15809" s="612"/>
    </row>
    <row r="15810">
      <c r="B15810" s="612"/>
      <c r="H15810" s="612"/>
    </row>
    <row r="15811">
      <c r="B15811" s="612"/>
      <c r="H15811" s="612"/>
    </row>
    <row r="15812">
      <c r="B15812" s="612"/>
      <c r="H15812" s="612"/>
    </row>
    <row r="15813">
      <c r="B15813" s="612"/>
      <c r="H15813" s="612"/>
    </row>
    <row r="15814">
      <c r="B15814" s="612"/>
      <c r="H15814" s="612"/>
    </row>
    <row r="15815">
      <c r="B15815" s="612"/>
      <c r="H15815" s="612"/>
    </row>
    <row r="15816">
      <c r="B15816" s="612"/>
      <c r="H15816" s="612"/>
    </row>
    <row r="15817">
      <c r="B15817" s="612"/>
      <c r="H15817" s="612"/>
    </row>
    <row r="15818">
      <c r="B15818" s="612"/>
      <c r="H15818" s="612"/>
    </row>
    <row r="15819">
      <c r="B15819" s="612"/>
      <c r="H15819" s="612"/>
    </row>
    <row r="15820">
      <c r="B15820" s="612"/>
      <c r="H15820" s="612"/>
    </row>
    <row r="15821">
      <c r="B15821" s="612"/>
      <c r="H15821" s="612"/>
    </row>
    <row r="15822">
      <c r="B15822" s="612"/>
      <c r="H15822" s="612"/>
    </row>
    <row r="15823">
      <c r="B15823" s="612"/>
      <c r="H15823" s="612"/>
    </row>
    <row r="15824">
      <c r="B15824" s="612"/>
      <c r="H15824" s="612"/>
    </row>
    <row r="15825">
      <c r="B15825" s="612"/>
      <c r="H15825" s="612"/>
    </row>
    <row r="15826">
      <c r="B15826" s="612"/>
      <c r="H15826" s="612"/>
    </row>
    <row r="15827">
      <c r="B15827" s="612"/>
      <c r="H15827" s="612"/>
    </row>
    <row r="15828">
      <c r="B15828" s="612"/>
      <c r="H15828" s="612"/>
    </row>
    <row r="15829">
      <c r="B15829" s="612"/>
      <c r="H15829" s="612"/>
    </row>
    <row r="15830">
      <c r="B15830" s="612"/>
      <c r="H15830" s="612"/>
    </row>
    <row r="15831">
      <c r="B15831" s="612"/>
      <c r="H15831" s="612"/>
    </row>
    <row r="15832">
      <c r="B15832" s="612"/>
      <c r="H15832" s="612"/>
    </row>
    <row r="15833">
      <c r="B15833" s="612"/>
      <c r="H15833" s="612"/>
    </row>
    <row r="15834">
      <c r="B15834" s="612"/>
      <c r="H15834" s="612"/>
    </row>
    <row r="15835">
      <c r="B15835" s="612"/>
      <c r="H15835" s="612"/>
    </row>
    <row r="15836">
      <c r="B15836" s="612"/>
      <c r="H15836" s="612"/>
    </row>
    <row r="15837">
      <c r="B15837" s="612"/>
      <c r="H15837" s="612"/>
    </row>
    <row r="15838">
      <c r="B15838" s="612"/>
      <c r="H15838" s="612"/>
    </row>
    <row r="15839">
      <c r="B15839" s="612"/>
      <c r="H15839" s="612"/>
    </row>
    <row r="15840">
      <c r="B15840" s="612"/>
      <c r="H15840" s="612"/>
    </row>
    <row r="15841">
      <c r="B15841" s="612"/>
      <c r="H15841" s="612"/>
    </row>
    <row r="15842">
      <c r="B15842" s="612"/>
      <c r="H15842" s="612"/>
    </row>
    <row r="15843">
      <c r="B15843" s="612"/>
      <c r="H15843" s="612"/>
    </row>
    <row r="15844">
      <c r="B15844" s="612"/>
      <c r="H15844" s="612"/>
    </row>
    <row r="15845">
      <c r="B15845" s="612"/>
      <c r="H15845" s="612"/>
    </row>
    <row r="15846">
      <c r="B15846" s="612"/>
      <c r="H15846" s="612"/>
    </row>
    <row r="15847">
      <c r="B15847" s="612"/>
      <c r="H15847" s="612"/>
    </row>
    <row r="15848">
      <c r="B15848" s="612"/>
      <c r="H15848" s="612"/>
    </row>
    <row r="15849">
      <c r="B15849" s="612"/>
      <c r="H15849" s="612"/>
    </row>
    <row r="15850">
      <c r="B15850" s="612"/>
      <c r="H15850" s="612"/>
    </row>
    <row r="15851">
      <c r="B15851" s="612"/>
      <c r="H15851" s="612"/>
    </row>
    <row r="15852">
      <c r="B15852" s="612"/>
      <c r="H15852" s="612"/>
    </row>
    <row r="15853">
      <c r="B15853" s="612"/>
      <c r="H15853" s="612"/>
    </row>
    <row r="15854">
      <c r="B15854" s="612"/>
      <c r="H15854" s="612"/>
    </row>
    <row r="15855">
      <c r="B15855" s="612"/>
      <c r="H15855" s="612"/>
    </row>
    <row r="15856">
      <c r="B15856" s="612"/>
      <c r="H15856" s="612"/>
    </row>
    <row r="15857">
      <c r="B15857" s="612"/>
      <c r="H15857" s="612"/>
    </row>
    <row r="15858">
      <c r="B15858" s="612"/>
      <c r="H15858" s="612"/>
    </row>
    <row r="15859">
      <c r="B15859" s="612"/>
      <c r="H15859" s="612"/>
    </row>
    <row r="15860">
      <c r="B15860" s="612"/>
      <c r="H15860" s="612"/>
    </row>
    <row r="15861">
      <c r="B15861" s="612"/>
      <c r="H15861" s="612"/>
    </row>
    <row r="15862">
      <c r="B15862" s="612"/>
      <c r="H15862" s="612"/>
    </row>
    <row r="15863">
      <c r="B15863" s="612"/>
      <c r="H15863" s="612"/>
    </row>
    <row r="15864">
      <c r="B15864" s="612"/>
      <c r="H15864" s="612"/>
    </row>
    <row r="15865">
      <c r="B15865" s="612"/>
      <c r="H15865" s="612"/>
    </row>
    <row r="15866">
      <c r="B15866" s="612"/>
      <c r="H15866" s="612"/>
    </row>
    <row r="15867">
      <c r="B15867" s="612"/>
      <c r="H15867" s="612"/>
    </row>
    <row r="15868">
      <c r="B15868" s="612"/>
      <c r="H15868" s="612"/>
    </row>
    <row r="15869">
      <c r="B15869" s="612"/>
      <c r="H15869" s="612"/>
    </row>
    <row r="15870">
      <c r="B15870" s="612"/>
      <c r="H15870" s="612"/>
    </row>
    <row r="15871">
      <c r="B15871" s="612"/>
      <c r="H15871" s="612"/>
    </row>
    <row r="15872">
      <c r="B15872" s="612"/>
      <c r="H15872" s="612"/>
    </row>
    <row r="15873">
      <c r="B15873" s="612"/>
      <c r="H15873" s="612"/>
    </row>
    <row r="15874">
      <c r="B15874" s="612"/>
      <c r="H15874" s="612"/>
    </row>
    <row r="15875">
      <c r="B15875" s="612"/>
      <c r="H15875" s="612"/>
    </row>
    <row r="15876">
      <c r="B15876" s="612"/>
      <c r="H15876" s="612"/>
    </row>
    <row r="15877">
      <c r="B15877" s="612"/>
      <c r="H15877" s="612"/>
    </row>
    <row r="15878">
      <c r="B15878" s="612"/>
      <c r="H15878" s="612"/>
    </row>
    <row r="15879">
      <c r="B15879" s="612"/>
      <c r="H15879" s="612"/>
    </row>
    <row r="15880">
      <c r="B15880" s="612"/>
      <c r="H15880" s="612"/>
    </row>
    <row r="15881">
      <c r="B15881" s="612"/>
      <c r="H15881" s="612"/>
    </row>
    <row r="15882">
      <c r="B15882" s="612"/>
      <c r="H15882" s="612"/>
    </row>
    <row r="15883">
      <c r="B15883" s="612"/>
      <c r="H15883" s="612"/>
    </row>
    <row r="15884">
      <c r="B15884" s="612"/>
      <c r="H15884" s="612"/>
    </row>
    <row r="15885">
      <c r="B15885" s="612"/>
      <c r="H15885" s="612"/>
    </row>
    <row r="15886">
      <c r="B15886" s="612"/>
      <c r="H15886" s="612"/>
    </row>
    <row r="15887">
      <c r="B15887" s="612"/>
      <c r="H15887" s="612"/>
    </row>
    <row r="15888">
      <c r="B15888" s="612"/>
      <c r="H15888" s="612"/>
    </row>
    <row r="15889">
      <c r="B15889" s="612"/>
      <c r="H15889" s="612"/>
    </row>
    <row r="15890">
      <c r="B15890" s="612"/>
      <c r="H15890" s="612"/>
    </row>
    <row r="15891">
      <c r="B15891" s="612"/>
      <c r="H15891" s="612"/>
    </row>
    <row r="15892">
      <c r="B15892" s="612"/>
      <c r="H15892" s="612"/>
    </row>
    <row r="15893">
      <c r="B15893" s="612"/>
      <c r="H15893" s="612"/>
    </row>
    <row r="15894">
      <c r="B15894" s="612"/>
      <c r="H15894" s="612"/>
    </row>
    <row r="15895">
      <c r="B15895" s="612"/>
      <c r="H15895" s="612"/>
    </row>
    <row r="15896">
      <c r="B15896" s="612"/>
      <c r="H15896" s="612"/>
    </row>
    <row r="15897">
      <c r="B15897" s="612"/>
      <c r="H15897" s="612"/>
    </row>
    <row r="15898">
      <c r="B15898" s="612"/>
      <c r="H15898" s="612"/>
    </row>
    <row r="15899">
      <c r="B15899" s="612"/>
      <c r="H15899" s="612"/>
    </row>
    <row r="15900">
      <c r="B15900" s="612"/>
      <c r="H15900" s="612"/>
    </row>
    <row r="15901">
      <c r="B15901" s="612"/>
      <c r="H15901" s="612"/>
    </row>
    <row r="15902">
      <c r="B15902" s="612"/>
      <c r="H15902" s="612"/>
    </row>
    <row r="15903">
      <c r="B15903" s="612"/>
      <c r="H15903" s="612"/>
    </row>
    <row r="15904">
      <c r="B15904" s="612"/>
      <c r="H15904" s="612"/>
    </row>
    <row r="15905">
      <c r="B15905" s="612"/>
      <c r="H15905" s="612"/>
    </row>
    <row r="15906">
      <c r="B15906" s="612"/>
      <c r="H15906" s="612"/>
    </row>
    <row r="15907">
      <c r="B15907" s="612"/>
      <c r="H15907" s="612"/>
    </row>
    <row r="15908">
      <c r="B15908" s="612"/>
      <c r="H15908" s="612"/>
    </row>
    <row r="15909">
      <c r="B15909" s="612"/>
      <c r="H15909" s="612"/>
    </row>
    <row r="15910">
      <c r="B15910" s="612"/>
      <c r="H15910" s="612"/>
    </row>
    <row r="15911">
      <c r="B15911" s="612"/>
      <c r="H15911" s="612"/>
    </row>
    <row r="15912">
      <c r="B15912" s="612"/>
      <c r="H15912" s="612"/>
    </row>
    <row r="15913">
      <c r="B15913" s="612"/>
      <c r="H15913" s="612"/>
    </row>
    <row r="15914">
      <c r="B15914" s="612"/>
      <c r="H15914" s="612"/>
    </row>
    <row r="15915">
      <c r="B15915" s="612"/>
      <c r="H15915" s="612"/>
    </row>
    <row r="15916">
      <c r="B15916" s="612"/>
      <c r="H15916" s="612"/>
    </row>
    <row r="15917">
      <c r="B15917" s="612"/>
      <c r="H15917" s="612"/>
    </row>
    <row r="15918">
      <c r="B15918" s="612"/>
      <c r="H15918" s="612"/>
    </row>
    <row r="15919">
      <c r="B15919" s="612"/>
      <c r="H15919" s="612"/>
    </row>
    <row r="15920">
      <c r="B15920" s="612"/>
      <c r="H15920" s="612"/>
    </row>
    <row r="15921">
      <c r="B15921" s="612"/>
      <c r="H15921" s="612"/>
    </row>
    <row r="15922">
      <c r="B15922" s="612"/>
      <c r="H15922" s="612"/>
    </row>
    <row r="15923">
      <c r="B15923" s="612"/>
      <c r="H15923" s="612"/>
    </row>
    <row r="15924">
      <c r="B15924" s="612"/>
      <c r="H15924" s="612"/>
    </row>
    <row r="15925">
      <c r="B15925" s="612"/>
      <c r="H15925" s="612"/>
    </row>
    <row r="15926">
      <c r="B15926" s="612"/>
      <c r="H15926" s="612"/>
    </row>
    <row r="15927">
      <c r="B15927" s="612"/>
      <c r="H15927" s="612"/>
    </row>
    <row r="15928">
      <c r="B15928" s="612"/>
      <c r="H15928" s="612"/>
    </row>
    <row r="15929">
      <c r="B15929" s="612"/>
      <c r="H15929" s="612"/>
    </row>
    <row r="15930">
      <c r="B15930" s="612"/>
      <c r="H15930" s="612"/>
    </row>
    <row r="15931">
      <c r="B15931" s="612"/>
      <c r="H15931" s="612"/>
    </row>
    <row r="15932">
      <c r="B15932" s="612"/>
      <c r="H15932" s="612"/>
    </row>
    <row r="15933">
      <c r="B15933" s="612"/>
      <c r="H15933" s="612"/>
    </row>
    <row r="15934">
      <c r="B15934" s="612"/>
      <c r="H15934" s="612"/>
    </row>
    <row r="15935">
      <c r="B15935" s="612"/>
      <c r="H15935" s="612"/>
    </row>
    <row r="15936">
      <c r="B15936" s="612"/>
      <c r="H15936" s="612"/>
    </row>
    <row r="15937">
      <c r="B15937" s="612"/>
      <c r="H15937" s="612"/>
    </row>
    <row r="15938">
      <c r="B15938" s="612"/>
      <c r="H15938" s="612"/>
    </row>
    <row r="15939">
      <c r="B15939" s="612"/>
      <c r="H15939" s="612"/>
    </row>
    <row r="15940">
      <c r="B15940" s="612"/>
      <c r="H15940" s="612"/>
    </row>
    <row r="15941">
      <c r="B15941" s="612"/>
      <c r="H15941" s="612"/>
    </row>
    <row r="15942">
      <c r="B15942" s="612"/>
      <c r="H15942" s="612"/>
    </row>
    <row r="15943">
      <c r="B15943" s="612"/>
      <c r="H15943" s="612"/>
    </row>
    <row r="15944">
      <c r="B15944" s="612"/>
      <c r="H15944" s="612"/>
    </row>
    <row r="15945">
      <c r="B15945" s="612"/>
      <c r="H15945" s="612"/>
    </row>
    <row r="15946">
      <c r="B15946" s="612"/>
      <c r="H15946" s="612"/>
    </row>
    <row r="15947">
      <c r="B15947" s="612"/>
      <c r="H15947" s="612"/>
    </row>
    <row r="15948">
      <c r="B15948" s="612"/>
      <c r="H15948" s="612"/>
    </row>
    <row r="15949">
      <c r="B15949" s="612"/>
      <c r="H15949" s="612"/>
    </row>
    <row r="15950">
      <c r="B15950" s="612"/>
      <c r="H15950" s="612"/>
    </row>
    <row r="15951">
      <c r="B15951" s="612"/>
      <c r="H15951" s="612"/>
    </row>
    <row r="15952">
      <c r="B15952" s="612"/>
      <c r="H15952" s="612"/>
    </row>
    <row r="15953">
      <c r="B15953" s="612"/>
      <c r="H15953" s="612"/>
    </row>
    <row r="15954">
      <c r="B15954" s="612"/>
      <c r="H15954" s="612"/>
    </row>
    <row r="15955">
      <c r="B15955" s="612"/>
      <c r="H15955" s="612"/>
    </row>
    <row r="15956">
      <c r="B15956" s="612"/>
      <c r="H15956" s="612"/>
    </row>
    <row r="15957">
      <c r="B15957" s="612"/>
      <c r="H15957" s="612"/>
    </row>
    <row r="15958">
      <c r="B15958" s="612"/>
      <c r="H15958" s="612"/>
    </row>
    <row r="15959">
      <c r="B15959" s="612"/>
      <c r="H15959" s="612"/>
    </row>
    <row r="15960">
      <c r="B15960" s="612"/>
      <c r="H15960" s="612"/>
    </row>
    <row r="15961">
      <c r="B15961" s="612"/>
      <c r="H15961" s="612"/>
    </row>
    <row r="15962">
      <c r="B15962" s="612"/>
      <c r="H15962" s="612"/>
    </row>
    <row r="15963">
      <c r="B15963" s="612"/>
      <c r="H15963" s="612"/>
    </row>
    <row r="15964">
      <c r="B15964" s="612"/>
      <c r="H15964" s="612"/>
    </row>
    <row r="15965">
      <c r="B15965" s="612"/>
      <c r="H15965" s="612"/>
    </row>
    <row r="15966">
      <c r="B15966" s="612"/>
      <c r="H15966" s="612"/>
    </row>
    <row r="15967">
      <c r="B15967" s="612"/>
      <c r="H15967" s="612"/>
    </row>
    <row r="15968">
      <c r="B15968" s="612"/>
      <c r="H15968" s="612"/>
    </row>
    <row r="15969">
      <c r="B15969" s="612"/>
      <c r="H15969" s="612"/>
    </row>
    <row r="15970">
      <c r="B15970" s="612"/>
      <c r="H15970" s="612"/>
    </row>
    <row r="15971">
      <c r="B15971" s="612"/>
      <c r="H15971" s="612"/>
    </row>
    <row r="15972">
      <c r="B15972" s="612"/>
      <c r="H15972" s="612"/>
    </row>
    <row r="15973">
      <c r="B15973" s="612"/>
      <c r="H15973" s="612"/>
    </row>
    <row r="15974">
      <c r="B15974" s="612"/>
      <c r="H15974" s="612"/>
    </row>
    <row r="15975">
      <c r="B15975" s="612"/>
      <c r="H15975" s="612"/>
    </row>
    <row r="15976">
      <c r="B15976" s="612"/>
      <c r="H15976" s="612"/>
    </row>
    <row r="15977">
      <c r="B15977" s="612"/>
      <c r="H15977" s="612"/>
    </row>
    <row r="15978">
      <c r="B15978" s="612"/>
      <c r="H15978" s="612"/>
    </row>
    <row r="15979">
      <c r="B15979" s="612"/>
      <c r="H15979" s="612"/>
    </row>
    <row r="15980">
      <c r="B15980" s="612"/>
      <c r="H15980" s="612"/>
    </row>
    <row r="15981">
      <c r="B15981" s="612"/>
      <c r="H15981" s="612"/>
    </row>
    <row r="15982">
      <c r="B15982" s="612"/>
      <c r="H15982" s="612"/>
    </row>
    <row r="15983">
      <c r="B15983" s="612"/>
      <c r="H15983" s="612"/>
    </row>
    <row r="15984">
      <c r="B15984" s="612"/>
      <c r="H15984" s="612"/>
    </row>
    <row r="15985">
      <c r="B15985" s="612"/>
      <c r="H15985" s="612"/>
    </row>
    <row r="15986">
      <c r="B15986" s="612"/>
      <c r="H15986" s="612"/>
    </row>
    <row r="15987">
      <c r="B15987" s="612"/>
      <c r="H15987" s="612"/>
    </row>
    <row r="15988">
      <c r="B15988" s="612"/>
      <c r="H15988" s="612"/>
    </row>
    <row r="15989">
      <c r="B15989" s="612"/>
      <c r="H15989" s="612"/>
    </row>
    <row r="15990">
      <c r="B15990" s="612"/>
      <c r="H15990" s="612"/>
    </row>
    <row r="15991">
      <c r="B15991" s="612"/>
      <c r="H15991" s="612"/>
    </row>
    <row r="15992">
      <c r="B15992" s="612"/>
      <c r="H15992" s="612"/>
    </row>
    <row r="15993">
      <c r="B15993" s="612"/>
      <c r="H15993" s="612"/>
    </row>
    <row r="15994">
      <c r="B15994" s="612"/>
      <c r="H15994" s="612"/>
    </row>
    <row r="15995">
      <c r="B15995" s="612"/>
      <c r="H15995" s="612"/>
    </row>
    <row r="15996">
      <c r="B15996" s="612"/>
      <c r="H15996" s="612"/>
    </row>
    <row r="15997">
      <c r="B15997" s="612"/>
      <c r="H15997" s="612"/>
    </row>
    <row r="15998">
      <c r="B15998" s="612"/>
      <c r="H15998" s="612"/>
    </row>
    <row r="15999">
      <c r="B15999" s="612"/>
      <c r="H15999" s="612"/>
    </row>
    <row r="16000">
      <c r="B16000" s="612"/>
      <c r="H16000" s="612"/>
    </row>
    <row r="16001">
      <c r="B16001" s="612"/>
      <c r="H16001" s="612"/>
    </row>
    <row r="16002">
      <c r="B16002" s="612"/>
      <c r="H16002" s="612"/>
    </row>
    <row r="16003">
      <c r="B16003" s="612"/>
      <c r="H16003" s="612"/>
    </row>
    <row r="16004">
      <c r="B16004" s="612"/>
      <c r="H16004" s="612"/>
    </row>
    <row r="16005">
      <c r="B16005" s="612"/>
      <c r="H16005" s="612"/>
    </row>
    <row r="16006">
      <c r="B16006" s="612"/>
      <c r="H16006" s="612"/>
    </row>
    <row r="16007">
      <c r="B16007" s="612"/>
      <c r="H16007" s="612"/>
    </row>
    <row r="16008">
      <c r="B16008" s="612"/>
      <c r="H16008" s="612"/>
    </row>
    <row r="16009">
      <c r="B16009" s="612"/>
      <c r="H16009" s="612"/>
    </row>
    <row r="16010">
      <c r="B16010" s="612"/>
      <c r="H16010" s="612"/>
    </row>
    <row r="16011">
      <c r="B16011" s="612"/>
      <c r="H16011" s="612"/>
    </row>
    <row r="16012">
      <c r="B16012" s="612"/>
      <c r="H16012" s="612"/>
    </row>
    <row r="16013">
      <c r="B16013" s="612"/>
      <c r="H16013" s="612"/>
    </row>
    <row r="16014">
      <c r="B16014" s="612"/>
      <c r="H16014" s="612"/>
    </row>
    <row r="16015">
      <c r="B16015" s="612"/>
      <c r="H16015" s="612"/>
    </row>
    <row r="16016">
      <c r="B16016" s="612"/>
      <c r="H16016" s="612"/>
    </row>
    <row r="16017">
      <c r="B16017" s="612"/>
      <c r="H16017" s="612"/>
    </row>
    <row r="16018">
      <c r="B16018" s="612"/>
      <c r="H16018" s="612"/>
    </row>
    <row r="16019">
      <c r="B16019" s="612"/>
      <c r="H16019" s="612"/>
    </row>
    <row r="16020">
      <c r="B16020" s="612"/>
      <c r="H16020" s="612"/>
    </row>
    <row r="16021">
      <c r="B16021" s="612"/>
      <c r="H16021" s="612"/>
    </row>
    <row r="16022">
      <c r="B16022" s="612"/>
      <c r="H16022" s="612"/>
    </row>
    <row r="16023">
      <c r="B16023" s="612"/>
      <c r="H16023" s="612"/>
    </row>
    <row r="16024">
      <c r="B16024" s="612"/>
      <c r="H16024" s="612"/>
    </row>
    <row r="16025">
      <c r="B16025" s="612"/>
      <c r="H16025" s="612"/>
    </row>
    <row r="16026">
      <c r="B16026" s="612"/>
      <c r="H16026" s="612"/>
    </row>
    <row r="16027">
      <c r="B16027" s="612"/>
      <c r="H16027" s="612"/>
    </row>
    <row r="16028">
      <c r="B16028" s="612"/>
      <c r="H16028" s="612"/>
    </row>
    <row r="16029">
      <c r="B16029" s="612"/>
      <c r="H16029" s="612"/>
    </row>
    <row r="16030">
      <c r="B16030" s="612"/>
      <c r="H16030" s="612"/>
    </row>
    <row r="16031">
      <c r="B16031" s="612"/>
      <c r="H16031" s="612"/>
    </row>
    <row r="16032">
      <c r="B16032" s="612"/>
      <c r="H16032" s="612"/>
    </row>
    <row r="16033">
      <c r="B16033" s="612"/>
      <c r="H16033" s="612"/>
    </row>
    <row r="16034">
      <c r="B16034" s="612"/>
      <c r="H16034" s="612"/>
    </row>
    <row r="16035">
      <c r="B16035" s="612"/>
      <c r="H16035" s="612"/>
    </row>
    <row r="16036">
      <c r="B16036" s="612"/>
      <c r="H16036" s="612"/>
    </row>
    <row r="16037">
      <c r="B16037" s="612"/>
      <c r="H16037" s="612"/>
    </row>
    <row r="16038">
      <c r="B16038" s="612"/>
      <c r="H16038" s="612"/>
    </row>
    <row r="16039">
      <c r="B16039" s="612"/>
      <c r="H16039" s="612"/>
    </row>
    <row r="16040">
      <c r="B16040" s="612"/>
      <c r="H16040" s="612"/>
    </row>
    <row r="16041">
      <c r="B16041" s="612"/>
      <c r="H16041" s="612"/>
    </row>
    <row r="16042">
      <c r="B16042" s="612"/>
      <c r="H16042" s="612"/>
    </row>
    <row r="16043">
      <c r="B16043" s="612"/>
      <c r="H16043" s="612"/>
    </row>
    <row r="16044">
      <c r="B16044" s="612"/>
      <c r="H16044" s="612"/>
    </row>
    <row r="16045">
      <c r="B16045" s="612"/>
      <c r="H16045" s="612"/>
    </row>
    <row r="16046">
      <c r="B16046" s="612"/>
      <c r="H16046" s="612"/>
    </row>
    <row r="16047">
      <c r="B16047" s="612"/>
      <c r="H16047" s="612"/>
    </row>
    <row r="16048">
      <c r="B16048" s="612"/>
      <c r="H16048" s="612"/>
    </row>
    <row r="16049">
      <c r="B16049" s="612"/>
      <c r="H16049" s="612"/>
    </row>
    <row r="16050">
      <c r="B16050" s="612"/>
      <c r="H16050" s="612"/>
    </row>
    <row r="16051">
      <c r="B16051" s="612"/>
      <c r="H16051" s="612"/>
    </row>
    <row r="16052">
      <c r="B16052" s="612"/>
      <c r="H16052" s="612"/>
    </row>
    <row r="16053">
      <c r="B16053" s="612"/>
      <c r="H16053" s="612"/>
    </row>
    <row r="16054">
      <c r="B16054" s="612"/>
      <c r="H16054" s="612"/>
    </row>
    <row r="16055">
      <c r="B16055" s="612"/>
      <c r="H16055" s="612"/>
    </row>
    <row r="16056">
      <c r="B16056" s="612"/>
      <c r="H16056" s="612"/>
    </row>
    <row r="16057">
      <c r="B16057" s="612"/>
      <c r="H16057" s="612"/>
    </row>
    <row r="16058">
      <c r="B16058" s="612"/>
      <c r="H16058" s="612"/>
    </row>
    <row r="16059">
      <c r="B16059" s="612"/>
      <c r="H16059" s="612"/>
    </row>
    <row r="16060">
      <c r="B16060" s="612"/>
      <c r="H16060" s="612"/>
    </row>
    <row r="16061">
      <c r="B16061" s="612"/>
      <c r="H16061" s="612"/>
    </row>
    <row r="16062">
      <c r="B16062" s="612"/>
      <c r="H16062" s="612"/>
    </row>
    <row r="16063">
      <c r="B16063" s="612"/>
      <c r="H16063" s="612"/>
    </row>
    <row r="16064">
      <c r="B16064" s="612"/>
      <c r="H16064" s="612"/>
    </row>
    <row r="16065">
      <c r="B16065" s="612"/>
      <c r="H16065" s="612"/>
    </row>
    <row r="16066">
      <c r="B16066" s="612"/>
      <c r="H16066" s="612"/>
    </row>
    <row r="16067">
      <c r="B16067" s="612"/>
      <c r="H16067" s="612"/>
    </row>
    <row r="16068">
      <c r="B16068" s="612"/>
      <c r="H16068" s="612"/>
    </row>
    <row r="16069">
      <c r="B16069" s="612"/>
      <c r="H16069" s="612"/>
    </row>
    <row r="16070">
      <c r="B16070" s="612"/>
      <c r="H16070" s="612"/>
    </row>
    <row r="16071">
      <c r="B16071" s="612"/>
      <c r="H16071" s="612"/>
    </row>
    <row r="16072">
      <c r="B16072" s="612"/>
      <c r="H16072" s="612"/>
    </row>
    <row r="16073">
      <c r="B16073" s="612"/>
      <c r="H16073" s="612"/>
    </row>
    <row r="16074">
      <c r="B16074" s="612"/>
      <c r="H16074" s="612"/>
    </row>
    <row r="16075">
      <c r="B16075" s="612"/>
      <c r="H16075" s="612"/>
    </row>
    <row r="16076">
      <c r="B16076" s="612"/>
      <c r="H16076" s="612"/>
    </row>
    <row r="16077">
      <c r="B16077" s="612"/>
      <c r="H16077" s="612"/>
    </row>
    <row r="16078">
      <c r="B16078" s="612"/>
      <c r="H16078" s="612"/>
    </row>
    <row r="16079">
      <c r="B16079" s="612"/>
      <c r="H16079" s="612"/>
    </row>
    <row r="16080">
      <c r="B16080" s="612"/>
      <c r="H16080" s="612"/>
    </row>
    <row r="16081">
      <c r="B16081" s="612"/>
      <c r="H16081" s="612"/>
    </row>
    <row r="16082">
      <c r="B16082" s="612"/>
      <c r="H16082" s="612"/>
    </row>
    <row r="16083">
      <c r="B16083" s="612"/>
      <c r="H16083" s="612"/>
    </row>
    <row r="16084">
      <c r="B16084" s="612"/>
      <c r="H16084" s="612"/>
    </row>
    <row r="16085">
      <c r="B16085" s="612"/>
      <c r="H16085" s="612"/>
    </row>
    <row r="16086">
      <c r="B16086" s="612"/>
      <c r="H16086" s="612"/>
    </row>
    <row r="16087">
      <c r="B16087" s="612"/>
      <c r="H16087" s="612"/>
    </row>
    <row r="16088">
      <c r="B16088" s="612"/>
      <c r="H16088" s="612"/>
    </row>
    <row r="16089">
      <c r="B16089" s="612"/>
      <c r="H16089" s="612"/>
    </row>
    <row r="16090">
      <c r="B16090" s="612"/>
      <c r="H16090" s="612"/>
    </row>
    <row r="16091">
      <c r="B16091" s="612"/>
      <c r="H16091" s="612"/>
    </row>
    <row r="16092">
      <c r="B16092" s="612"/>
      <c r="H16092" s="612"/>
    </row>
    <row r="16093">
      <c r="B16093" s="612"/>
      <c r="H16093" s="612"/>
    </row>
    <row r="16094">
      <c r="B16094" s="612"/>
      <c r="H16094" s="612"/>
    </row>
    <row r="16095">
      <c r="B16095" s="612"/>
      <c r="H16095" s="612"/>
    </row>
    <row r="16096">
      <c r="B16096" s="612"/>
      <c r="H16096" s="612"/>
    </row>
    <row r="16097">
      <c r="B16097" s="612"/>
      <c r="H16097" s="612"/>
    </row>
    <row r="16098">
      <c r="B16098" s="612"/>
      <c r="H16098" s="612"/>
    </row>
    <row r="16099">
      <c r="B16099" s="612"/>
      <c r="H16099" s="612"/>
    </row>
    <row r="16100">
      <c r="B16100" s="612"/>
      <c r="H16100" s="612"/>
    </row>
    <row r="16101">
      <c r="B16101" s="612"/>
      <c r="H16101" s="612"/>
    </row>
    <row r="16102">
      <c r="B16102" s="612"/>
      <c r="H16102" s="612"/>
    </row>
    <row r="16103">
      <c r="B16103" s="612"/>
      <c r="H16103" s="612"/>
    </row>
    <row r="16104">
      <c r="B16104" s="612"/>
      <c r="H16104" s="612"/>
    </row>
    <row r="16105">
      <c r="B16105" s="612"/>
      <c r="H16105" s="612"/>
    </row>
    <row r="16106">
      <c r="B16106" s="612"/>
      <c r="H16106" s="612"/>
    </row>
    <row r="16107">
      <c r="B16107" s="612"/>
      <c r="H16107" s="612"/>
    </row>
    <row r="16108">
      <c r="B16108" s="612"/>
      <c r="H16108" s="612"/>
    </row>
    <row r="16109">
      <c r="B16109" s="612"/>
      <c r="H16109" s="612"/>
    </row>
    <row r="16110">
      <c r="B16110" s="612"/>
      <c r="H16110" s="612"/>
    </row>
    <row r="16111">
      <c r="B16111" s="612"/>
      <c r="H16111" s="612"/>
    </row>
    <row r="16112">
      <c r="B16112" s="612"/>
      <c r="H16112" s="612"/>
    </row>
    <row r="16113">
      <c r="B16113" s="612"/>
      <c r="H16113" s="612"/>
    </row>
    <row r="16114">
      <c r="B16114" s="612"/>
      <c r="H16114" s="612"/>
    </row>
    <row r="16115">
      <c r="B16115" s="612"/>
      <c r="H16115" s="612"/>
    </row>
    <row r="16116">
      <c r="B16116" s="612"/>
      <c r="H16116" s="612"/>
    </row>
    <row r="16117">
      <c r="B16117" s="612"/>
      <c r="H16117" s="612"/>
    </row>
    <row r="16118">
      <c r="B16118" s="612"/>
      <c r="H16118" s="612"/>
    </row>
    <row r="16119">
      <c r="B16119" s="612"/>
      <c r="H16119" s="612"/>
    </row>
    <row r="16120">
      <c r="B16120" s="612"/>
      <c r="H16120" s="612"/>
    </row>
    <row r="16121">
      <c r="B16121" s="612"/>
      <c r="H16121" s="612"/>
    </row>
    <row r="16122">
      <c r="B16122" s="612"/>
      <c r="H16122" s="612"/>
    </row>
    <row r="16123">
      <c r="B16123" s="612"/>
      <c r="H16123" s="612"/>
    </row>
    <row r="16124">
      <c r="B16124" s="612"/>
      <c r="H16124" s="612"/>
    </row>
    <row r="16125">
      <c r="B16125" s="612"/>
      <c r="H16125" s="612"/>
    </row>
    <row r="16126">
      <c r="B16126" s="612"/>
      <c r="H16126" s="612"/>
    </row>
    <row r="16127">
      <c r="B16127" s="612"/>
      <c r="H16127" s="612"/>
    </row>
    <row r="16128">
      <c r="B16128" s="612"/>
      <c r="H16128" s="612"/>
    </row>
    <row r="16129">
      <c r="B16129" s="612"/>
      <c r="H16129" s="612"/>
    </row>
    <row r="16130">
      <c r="B16130" s="612"/>
      <c r="H16130" s="612"/>
    </row>
    <row r="16131">
      <c r="B16131" s="612"/>
      <c r="H16131" s="612"/>
    </row>
    <row r="16132">
      <c r="B16132" s="612"/>
      <c r="H16132" s="612"/>
    </row>
    <row r="16133">
      <c r="B16133" s="612"/>
      <c r="H16133" s="612"/>
    </row>
    <row r="16134">
      <c r="B16134" s="612"/>
      <c r="H16134" s="612"/>
    </row>
    <row r="16135">
      <c r="B16135" s="612"/>
      <c r="H16135" s="612"/>
    </row>
    <row r="16136">
      <c r="B16136" s="612"/>
      <c r="H16136" s="612"/>
    </row>
    <row r="16137">
      <c r="B16137" s="612"/>
      <c r="H16137" s="612"/>
    </row>
    <row r="16138">
      <c r="B16138" s="612"/>
      <c r="H16138" s="612"/>
    </row>
    <row r="16139">
      <c r="B16139" s="612"/>
      <c r="H16139" s="612"/>
    </row>
    <row r="16140">
      <c r="B16140" s="612"/>
      <c r="H16140" s="612"/>
    </row>
    <row r="16141">
      <c r="B16141" s="612"/>
      <c r="H16141" s="612"/>
    </row>
    <row r="16142">
      <c r="B16142" s="612"/>
      <c r="H16142" s="612"/>
    </row>
    <row r="16143">
      <c r="B16143" s="612"/>
      <c r="H16143" s="612"/>
    </row>
    <row r="16144">
      <c r="B16144" s="612"/>
      <c r="H16144" s="612"/>
    </row>
    <row r="16145">
      <c r="B16145" s="612"/>
      <c r="H16145" s="612"/>
    </row>
    <row r="16146">
      <c r="B16146" s="612"/>
      <c r="H16146" s="612"/>
    </row>
    <row r="16147">
      <c r="B16147" s="612"/>
      <c r="H16147" s="612"/>
    </row>
    <row r="16148">
      <c r="B16148" s="612"/>
      <c r="H16148" s="612"/>
    </row>
    <row r="16149">
      <c r="B16149" s="612"/>
      <c r="H16149" s="612"/>
    </row>
    <row r="16150">
      <c r="B16150" s="612"/>
      <c r="H16150" s="612"/>
    </row>
    <row r="16151">
      <c r="B16151" s="612"/>
      <c r="H16151" s="612"/>
    </row>
    <row r="16152">
      <c r="B16152" s="612"/>
      <c r="H16152" s="612"/>
    </row>
    <row r="16153">
      <c r="B16153" s="612"/>
      <c r="H16153" s="612"/>
    </row>
    <row r="16154">
      <c r="B16154" s="612"/>
      <c r="H16154" s="612"/>
    </row>
    <row r="16155">
      <c r="B16155" s="612"/>
      <c r="H16155" s="612"/>
    </row>
    <row r="16156">
      <c r="B16156" s="612"/>
      <c r="H16156" s="612"/>
    </row>
    <row r="16157">
      <c r="B16157" s="612"/>
      <c r="H16157" s="612"/>
    </row>
    <row r="16158">
      <c r="B16158" s="612"/>
      <c r="H16158" s="612"/>
    </row>
    <row r="16159">
      <c r="B16159" s="612"/>
      <c r="H16159" s="612"/>
    </row>
    <row r="16160">
      <c r="B16160" s="612"/>
      <c r="H16160" s="612"/>
    </row>
    <row r="16161">
      <c r="B16161" s="612"/>
      <c r="H16161" s="612"/>
    </row>
    <row r="16162">
      <c r="B16162" s="612"/>
      <c r="H16162" s="612"/>
    </row>
    <row r="16163">
      <c r="B16163" s="612"/>
      <c r="H16163" s="612"/>
    </row>
    <row r="16164">
      <c r="B16164" s="612"/>
      <c r="H16164" s="612"/>
    </row>
    <row r="16165">
      <c r="B16165" s="612"/>
      <c r="H16165" s="612"/>
    </row>
    <row r="16166">
      <c r="B16166" s="612"/>
      <c r="H16166" s="612"/>
    </row>
    <row r="16167">
      <c r="B16167" s="612"/>
      <c r="H16167" s="612"/>
    </row>
    <row r="16168">
      <c r="B16168" s="612"/>
      <c r="H16168" s="612"/>
    </row>
    <row r="16169">
      <c r="B16169" s="612"/>
      <c r="H16169" s="612"/>
    </row>
    <row r="16170">
      <c r="B16170" s="612"/>
      <c r="H16170" s="612"/>
    </row>
    <row r="16171">
      <c r="B16171" s="612"/>
      <c r="H16171" s="612"/>
    </row>
    <row r="16172">
      <c r="B16172" s="612"/>
      <c r="H16172" s="612"/>
    </row>
    <row r="16173">
      <c r="B16173" s="612"/>
      <c r="H16173" s="612"/>
    </row>
    <row r="16174">
      <c r="B16174" s="612"/>
      <c r="H16174" s="612"/>
    </row>
    <row r="16175">
      <c r="B16175" s="612"/>
      <c r="H16175" s="612"/>
    </row>
    <row r="16176">
      <c r="B16176" s="612"/>
      <c r="H16176" s="612"/>
    </row>
    <row r="16177">
      <c r="B16177" s="612"/>
      <c r="H16177" s="612"/>
    </row>
    <row r="16178">
      <c r="B16178" s="612"/>
      <c r="H16178" s="612"/>
    </row>
    <row r="16179">
      <c r="B16179" s="612"/>
      <c r="H16179" s="612"/>
    </row>
    <row r="16180">
      <c r="B16180" s="612"/>
      <c r="H16180" s="612"/>
    </row>
    <row r="16181">
      <c r="B16181" s="612"/>
      <c r="H16181" s="612"/>
    </row>
    <row r="16182">
      <c r="B16182" s="612"/>
      <c r="H16182" s="612"/>
    </row>
    <row r="16183">
      <c r="B16183" s="612"/>
      <c r="H16183" s="612"/>
    </row>
    <row r="16184">
      <c r="B16184" s="612"/>
      <c r="H16184" s="612"/>
    </row>
    <row r="16185">
      <c r="B16185" s="612"/>
      <c r="H16185" s="612"/>
    </row>
    <row r="16186">
      <c r="B16186" s="612"/>
      <c r="H16186" s="612"/>
    </row>
    <row r="16187">
      <c r="B16187" s="612"/>
      <c r="H16187" s="612"/>
    </row>
    <row r="16188">
      <c r="B16188" s="612"/>
      <c r="H16188" s="612"/>
    </row>
    <row r="16189">
      <c r="B16189" s="612"/>
      <c r="H16189" s="612"/>
    </row>
    <row r="16190">
      <c r="B16190" s="612"/>
      <c r="H16190" s="612"/>
    </row>
    <row r="16191">
      <c r="B16191" s="612"/>
      <c r="H16191" s="612"/>
    </row>
    <row r="16192">
      <c r="B16192" s="612"/>
      <c r="H16192" s="612"/>
    </row>
    <row r="16193">
      <c r="B16193" s="612"/>
      <c r="H16193" s="612"/>
    </row>
    <row r="16194">
      <c r="B16194" s="612"/>
      <c r="H16194" s="612"/>
    </row>
    <row r="16195">
      <c r="B16195" s="612"/>
      <c r="H16195" s="612"/>
    </row>
    <row r="16196">
      <c r="B16196" s="612"/>
      <c r="H16196" s="612"/>
    </row>
    <row r="16197">
      <c r="B16197" s="612"/>
      <c r="H16197" s="612"/>
    </row>
    <row r="16198">
      <c r="B16198" s="612"/>
      <c r="H16198" s="612"/>
    </row>
    <row r="16199">
      <c r="B16199" s="612"/>
      <c r="H16199" s="612"/>
    </row>
    <row r="16200">
      <c r="B16200" s="612"/>
      <c r="H16200" s="612"/>
    </row>
    <row r="16201">
      <c r="B16201" s="612"/>
      <c r="H16201" s="612"/>
    </row>
    <row r="16202">
      <c r="B16202" s="612"/>
      <c r="H16202" s="612"/>
    </row>
    <row r="16203">
      <c r="B16203" s="612"/>
      <c r="H16203" s="612"/>
    </row>
    <row r="16204">
      <c r="B16204" s="612"/>
      <c r="H16204" s="612"/>
    </row>
    <row r="16205">
      <c r="B16205" s="612"/>
      <c r="H16205" s="612"/>
    </row>
    <row r="16206">
      <c r="B16206" s="612"/>
      <c r="H16206" s="612"/>
    </row>
    <row r="16207">
      <c r="B16207" s="612"/>
      <c r="H16207" s="612"/>
    </row>
    <row r="16208">
      <c r="B16208" s="612"/>
      <c r="H16208" s="612"/>
    </row>
    <row r="16209">
      <c r="B16209" s="612"/>
      <c r="H16209" s="612"/>
    </row>
    <row r="16210">
      <c r="B16210" s="612"/>
      <c r="H16210" s="612"/>
    </row>
    <row r="16211">
      <c r="B16211" s="612"/>
      <c r="H16211" s="612"/>
    </row>
    <row r="16212">
      <c r="B16212" s="612"/>
      <c r="H16212" s="612"/>
    </row>
    <row r="16213">
      <c r="B16213" s="612"/>
      <c r="H16213" s="612"/>
    </row>
    <row r="16214">
      <c r="B16214" s="612"/>
      <c r="H16214" s="612"/>
    </row>
    <row r="16215">
      <c r="B16215" s="612"/>
      <c r="H16215" s="612"/>
    </row>
    <row r="16216">
      <c r="B16216" s="612"/>
      <c r="H16216" s="612"/>
    </row>
    <row r="16217">
      <c r="B16217" s="612"/>
      <c r="H16217" s="612"/>
    </row>
    <row r="16218">
      <c r="B16218" s="612"/>
      <c r="H16218" s="612"/>
    </row>
    <row r="16219">
      <c r="B16219" s="612"/>
      <c r="H16219" s="612"/>
    </row>
    <row r="16220">
      <c r="B16220" s="612"/>
      <c r="H16220" s="612"/>
    </row>
    <row r="16221">
      <c r="B16221" s="612"/>
      <c r="H16221" s="612"/>
    </row>
    <row r="16222">
      <c r="B16222" s="612"/>
      <c r="H16222" s="612"/>
    </row>
    <row r="16223">
      <c r="B16223" s="612"/>
      <c r="H16223" s="612"/>
    </row>
    <row r="16224">
      <c r="B16224" s="612"/>
      <c r="H16224" s="612"/>
    </row>
    <row r="16225">
      <c r="B16225" s="612"/>
      <c r="H16225" s="612"/>
    </row>
    <row r="16226">
      <c r="B16226" s="612"/>
      <c r="H16226" s="612"/>
    </row>
    <row r="16227">
      <c r="B16227" s="612"/>
      <c r="H16227" s="612"/>
    </row>
    <row r="16228">
      <c r="B16228" s="612"/>
      <c r="H16228" s="612"/>
    </row>
    <row r="16229">
      <c r="B16229" s="612"/>
      <c r="H16229" s="612"/>
    </row>
    <row r="16230">
      <c r="B16230" s="612"/>
      <c r="H16230" s="612"/>
    </row>
    <row r="16231">
      <c r="B16231" s="612"/>
      <c r="H16231" s="612"/>
    </row>
    <row r="16232">
      <c r="B16232" s="612"/>
      <c r="H16232" s="612"/>
    </row>
    <row r="16233">
      <c r="B16233" s="612"/>
      <c r="H16233" s="612"/>
    </row>
    <row r="16234">
      <c r="B16234" s="612"/>
      <c r="H16234" s="612"/>
    </row>
    <row r="16235">
      <c r="B16235" s="612"/>
      <c r="H16235" s="612"/>
    </row>
    <row r="16236">
      <c r="B16236" s="612"/>
      <c r="H16236" s="612"/>
    </row>
    <row r="16237">
      <c r="B16237" s="612"/>
      <c r="H16237" s="612"/>
    </row>
    <row r="16238">
      <c r="B16238" s="612"/>
      <c r="H16238" s="612"/>
    </row>
    <row r="16239">
      <c r="B16239" s="612"/>
      <c r="H16239" s="612"/>
    </row>
    <row r="16240">
      <c r="B16240" s="612"/>
      <c r="H16240" s="612"/>
    </row>
    <row r="16241">
      <c r="B16241" s="612"/>
      <c r="H16241" s="612"/>
    </row>
    <row r="16242">
      <c r="B16242" s="612"/>
      <c r="H16242" s="612"/>
    </row>
    <row r="16243">
      <c r="B16243" s="612"/>
      <c r="H16243" s="612"/>
    </row>
    <row r="16244">
      <c r="B16244" s="612"/>
      <c r="H16244" s="612"/>
    </row>
    <row r="16245">
      <c r="B16245" s="612"/>
      <c r="H16245" s="612"/>
    </row>
    <row r="16246">
      <c r="B16246" s="612"/>
      <c r="H16246" s="612"/>
    </row>
    <row r="16247">
      <c r="B16247" s="612"/>
      <c r="H16247" s="612"/>
    </row>
    <row r="16248">
      <c r="B16248" s="612"/>
      <c r="H16248" s="612"/>
    </row>
    <row r="16249">
      <c r="B16249" s="612"/>
      <c r="H16249" s="612"/>
    </row>
    <row r="16250">
      <c r="B16250" s="612"/>
      <c r="H16250" s="612"/>
    </row>
    <row r="16251">
      <c r="B16251" s="612"/>
      <c r="H16251" s="612"/>
    </row>
    <row r="16252">
      <c r="B16252" s="612"/>
      <c r="H16252" s="612"/>
    </row>
    <row r="16253">
      <c r="B16253" s="612"/>
      <c r="H16253" s="612"/>
    </row>
    <row r="16254">
      <c r="B16254" s="612"/>
      <c r="H16254" s="612"/>
    </row>
    <row r="16255">
      <c r="B16255" s="612"/>
      <c r="H16255" s="612"/>
    </row>
    <row r="16256">
      <c r="B16256" s="612"/>
      <c r="H16256" s="612"/>
    </row>
    <row r="16257">
      <c r="B16257" s="612"/>
      <c r="H16257" s="612"/>
    </row>
    <row r="16258">
      <c r="B16258" s="612"/>
      <c r="H16258" s="612"/>
    </row>
    <row r="16259">
      <c r="B16259" s="612"/>
      <c r="H16259" s="612"/>
    </row>
    <row r="16260">
      <c r="B16260" s="612"/>
      <c r="H16260" s="612"/>
    </row>
    <row r="16261">
      <c r="B16261" s="612"/>
      <c r="H16261" s="612"/>
    </row>
    <row r="16262">
      <c r="B16262" s="612"/>
      <c r="H16262" s="612"/>
    </row>
    <row r="16263">
      <c r="B16263" s="612"/>
      <c r="H16263" s="612"/>
    </row>
    <row r="16264">
      <c r="B16264" s="612"/>
      <c r="H16264" s="612"/>
    </row>
    <row r="16265">
      <c r="B16265" s="612"/>
      <c r="H16265" s="612"/>
    </row>
    <row r="16266">
      <c r="B16266" s="612"/>
      <c r="H16266" s="612"/>
    </row>
    <row r="16267">
      <c r="B16267" s="612"/>
      <c r="H16267" s="612"/>
    </row>
    <row r="16268">
      <c r="B16268" s="612"/>
      <c r="H16268" s="612"/>
    </row>
    <row r="16269">
      <c r="B16269" s="612"/>
      <c r="H16269" s="612"/>
    </row>
    <row r="16270">
      <c r="B16270" s="612"/>
      <c r="H16270" s="612"/>
    </row>
    <row r="16271">
      <c r="B16271" s="612"/>
      <c r="H16271" s="612"/>
    </row>
    <row r="16272">
      <c r="B16272" s="612"/>
      <c r="H16272" s="612"/>
    </row>
    <row r="16273">
      <c r="B16273" s="612"/>
      <c r="H16273" s="612"/>
    </row>
    <row r="16274">
      <c r="B16274" s="612"/>
      <c r="H16274" s="612"/>
    </row>
    <row r="16275">
      <c r="B16275" s="612"/>
      <c r="H16275" s="612"/>
    </row>
    <row r="16276">
      <c r="B16276" s="612"/>
      <c r="H16276" s="612"/>
    </row>
    <row r="16277">
      <c r="B16277" s="612"/>
      <c r="H16277" s="612"/>
    </row>
    <row r="16278">
      <c r="B16278" s="612"/>
      <c r="H16278" s="612"/>
    </row>
    <row r="16279">
      <c r="B16279" s="612"/>
      <c r="H16279" s="612"/>
    </row>
    <row r="16280">
      <c r="B16280" s="612"/>
      <c r="H16280" s="612"/>
    </row>
    <row r="16281">
      <c r="B16281" s="612"/>
      <c r="H16281" s="612"/>
    </row>
    <row r="16282">
      <c r="B16282" s="612"/>
      <c r="H16282" s="612"/>
    </row>
    <row r="16283">
      <c r="B16283" s="612"/>
      <c r="H16283" s="612"/>
    </row>
    <row r="16284">
      <c r="B16284" s="612"/>
      <c r="H16284" s="612"/>
    </row>
    <row r="16285">
      <c r="B16285" s="612"/>
      <c r="H16285" s="612"/>
    </row>
    <row r="16286">
      <c r="B16286" s="612"/>
      <c r="H16286" s="612"/>
    </row>
    <row r="16287">
      <c r="B16287" s="612"/>
      <c r="H16287" s="612"/>
    </row>
    <row r="16288">
      <c r="B16288" s="612"/>
      <c r="H16288" s="612"/>
    </row>
    <row r="16289">
      <c r="B16289" s="612"/>
      <c r="H16289" s="612"/>
    </row>
    <row r="16290">
      <c r="B16290" s="612"/>
      <c r="H16290" s="612"/>
    </row>
    <row r="16291">
      <c r="B16291" s="612"/>
      <c r="H16291" s="612"/>
    </row>
    <row r="16292">
      <c r="B16292" s="612"/>
      <c r="H16292" s="612"/>
    </row>
    <row r="16293">
      <c r="B16293" s="612"/>
      <c r="H16293" s="612"/>
    </row>
    <row r="16294">
      <c r="B16294" s="612"/>
      <c r="H16294" s="612"/>
    </row>
    <row r="16295">
      <c r="B16295" s="612"/>
      <c r="H16295" s="612"/>
    </row>
    <row r="16296">
      <c r="B16296" s="612"/>
      <c r="H16296" s="612"/>
    </row>
    <row r="16297">
      <c r="B16297" s="612"/>
      <c r="H16297" s="612"/>
    </row>
    <row r="16298">
      <c r="B16298" s="612"/>
      <c r="H16298" s="612"/>
    </row>
    <row r="16299">
      <c r="B16299" s="612"/>
      <c r="H16299" s="612"/>
    </row>
    <row r="16300">
      <c r="B16300" s="612"/>
      <c r="H16300" s="612"/>
    </row>
    <row r="16301">
      <c r="B16301" s="612"/>
      <c r="H16301" s="612"/>
    </row>
    <row r="16302">
      <c r="B16302" s="612"/>
      <c r="H16302" s="612"/>
    </row>
    <row r="16303">
      <c r="B16303" s="612"/>
      <c r="H16303" s="612"/>
    </row>
    <row r="16304">
      <c r="B16304" s="612"/>
      <c r="H16304" s="612"/>
    </row>
    <row r="16305">
      <c r="B16305" s="612"/>
      <c r="H16305" s="612"/>
    </row>
    <row r="16306">
      <c r="B16306" s="612"/>
      <c r="H16306" s="612"/>
    </row>
    <row r="16307">
      <c r="B16307" s="612"/>
      <c r="H16307" s="612"/>
    </row>
    <row r="16308">
      <c r="B16308" s="612"/>
      <c r="H16308" s="612"/>
    </row>
    <row r="16309">
      <c r="B16309" s="612"/>
      <c r="H16309" s="612"/>
    </row>
    <row r="16310">
      <c r="B16310" s="612"/>
      <c r="H16310" s="612"/>
    </row>
    <row r="16311">
      <c r="B16311" s="612"/>
      <c r="H16311" s="612"/>
    </row>
    <row r="16312">
      <c r="B16312" s="612"/>
      <c r="H16312" s="612"/>
    </row>
    <row r="16313">
      <c r="B16313" s="612"/>
      <c r="H16313" s="612"/>
    </row>
    <row r="16314">
      <c r="B16314" s="612"/>
      <c r="H16314" s="612"/>
    </row>
    <row r="16315">
      <c r="B16315" s="612"/>
      <c r="H16315" s="612"/>
    </row>
    <row r="16316">
      <c r="B16316" s="612"/>
      <c r="H16316" s="612"/>
    </row>
    <row r="16317">
      <c r="B16317" s="612"/>
      <c r="H16317" s="612"/>
    </row>
    <row r="16318">
      <c r="B16318" s="612"/>
      <c r="H16318" s="612"/>
    </row>
    <row r="16319">
      <c r="B16319" s="612"/>
      <c r="H16319" s="612"/>
    </row>
    <row r="16320">
      <c r="B16320" s="612"/>
      <c r="H16320" s="612"/>
    </row>
    <row r="16321">
      <c r="B16321" s="612"/>
      <c r="H16321" s="612"/>
    </row>
    <row r="16322">
      <c r="B16322" s="612"/>
      <c r="H16322" s="612"/>
    </row>
    <row r="16323">
      <c r="B16323" s="612"/>
      <c r="H16323" s="612"/>
    </row>
    <row r="16324">
      <c r="B16324" s="612"/>
      <c r="H16324" s="612"/>
    </row>
    <row r="16325">
      <c r="B16325" s="612"/>
      <c r="H16325" s="612"/>
    </row>
    <row r="16326">
      <c r="B16326" s="612"/>
      <c r="H16326" s="612"/>
    </row>
    <row r="16327">
      <c r="B16327" s="612"/>
      <c r="H16327" s="612"/>
    </row>
    <row r="16328">
      <c r="B16328" s="612"/>
      <c r="H16328" s="612"/>
    </row>
    <row r="16329">
      <c r="B16329" s="612"/>
      <c r="H16329" s="612"/>
    </row>
    <row r="16330">
      <c r="B16330" s="612"/>
      <c r="H16330" s="612"/>
    </row>
    <row r="16331">
      <c r="B16331" s="612"/>
      <c r="H16331" s="612"/>
    </row>
    <row r="16332">
      <c r="B16332" s="612"/>
      <c r="H16332" s="612"/>
    </row>
    <row r="16333">
      <c r="B16333" s="612"/>
      <c r="H16333" s="612"/>
    </row>
    <row r="16334">
      <c r="B16334" s="612"/>
      <c r="H16334" s="612"/>
    </row>
    <row r="16335">
      <c r="B16335" s="612"/>
      <c r="H16335" s="612"/>
    </row>
    <row r="16336">
      <c r="B16336" s="612"/>
      <c r="H16336" s="612"/>
    </row>
    <row r="16337">
      <c r="B16337" s="612"/>
      <c r="H16337" s="612"/>
    </row>
    <row r="16338">
      <c r="B16338" s="612"/>
      <c r="H16338" s="612"/>
    </row>
    <row r="16339">
      <c r="B16339" s="612"/>
      <c r="H16339" s="612"/>
    </row>
    <row r="16340">
      <c r="B16340" s="612"/>
      <c r="H16340" s="612"/>
    </row>
    <row r="16341">
      <c r="B16341" s="612"/>
      <c r="H16341" s="612"/>
    </row>
    <row r="16342">
      <c r="B16342" s="612"/>
      <c r="H16342" s="612"/>
    </row>
    <row r="16343">
      <c r="B16343" s="612"/>
      <c r="H16343" s="612"/>
    </row>
    <row r="16344">
      <c r="B16344" s="612"/>
      <c r="H16344" s="612"/>
    </row>
    <row r="16345">
      <c r="B16345" s="612"/>
      <c r="H16345" s="612"/>
    </row>
    <row r="16346">
      <c r="B16346" s="612"/>
      <c r="H16346" s="612"/>
    </row>
    <row r="16347">
      <c r="B16347" s="612"/>
      <c r="H16347" s="612"/>
    </row>
    <row r="16348">
      <c r="B16348" s="612"/>
      <c r="H16348" s="612"/>
    </row>
    <row r="16349">
      <c r="B16349" s="612"/>
      <c r="H16349" s="612"/>
    </row>
    <row r="16350">
      <c r="B16350" s="612"/>
      <c r="H16350" s="612"/>
    </row>
    <row r="16351">
      <c r="B16351" s="612"/>
      <c r="H16351" s="612"/>
    </row>
    <row r="16352">
      <c r="B16352" s="612"/>
      <c r="H16352" s="612"/>
    </row>
    <row r="16353">
      <c r="B16353" s="612"/>
      <c r="H16353" s="612"/>
    </row>
    <row r="16354">
      <c r="B16354" s="612"/>
      <c r="H16354" s="612"/>
    </row>
    <row r="16355">
      <c r="B16355" s="612"/>
      <c r="H16355" s="612"/>
    </row>
    <row r="16356">
      <c r="B16356" s="612"/>
      <c r="H16356" s="612"/>
    </row>
    <row r="16357">
      <c r="B16357" s="612"/>
      <c r="H16357" s="612"/>
    </row>
    <row r="16358">
      <c r="B16358" s="612"/>
      <c r="H16358" s="612"/>
    </row>
    <row r="16359">
      <c r="B16359" s="612"/>
      <c r="H16359" s="612"/>
    </row>
    <row r="16360">
      <c r="B16360" s="612"/>
      <c r="H16360" s="612"/>
    </row>
    <row r="16361">
      <c r="B16361" s="612"/>
      <c r="H16361" s="612"/>
    </row>
    <row r="16362">
      <c r="B16362" s="612"/>
      <c r="H16362" s="612"/>
    </row>
    <row r="16363">
      <c r="B16363" s="612"/>
      <c r="H16363" s="612"/>
    </row>
    <row r="16364">
      <c r="B16364" s="612"/>
      <c r="H16364" s="612"/>
    </row>
    <row r="16365">
      <c r="B16365" s="612"/>
      <c r="H16365" s="612"/>
    </row>
    <row r="16366">
      <c r="B16366" s="612"/>
      <c r="H16366" s="612"/>
    </row>
    <row r="16367">
      <c r="B16367" s="612"/>
      <c r="H16367" s="612"/>
    </row>
    <row r="16368">
      <c r="B16368" s="612"/>
      <c r="H16368" s="612"/>
    </row>
    <row r="16369">
      <c r="B16369" s="612"/>
      <c r="H16369" s="612"/>
    </row>
    <row r="16370">
      <c r="B16370" s="612"/>
      <c r="H16370" s="612"/>
    </row>
    <row r="16371">
      <c r="B16371" s="612"/>
      <c r="H16371" s="612"/>
    </row>
    <row r="16372">
      <c r="B16372" s="612"/>
      <c r="H16372" s="612"/>
    </row>
    <row r="16373">
      <c r="B16373" s="612"/>
      <c r="H16373" s="612"/>
    </row>
    <row r="16374">
      <c r="B16374" s="612"/>
      <c r="H16374" s="612"/>
    </row>
    <row r="16375">
      <c r="B16375" s="612"/>
      <c r="H16375" s="612"/>
    </row>
    <row r="16376">
      <c r="B16376" s="612"/>
      <c r="H16376" s="612"/>
    </row>
    <row r="16377">
      <c r="B16377" s="612"/>
      <c r="H16377" s="612"/>
    </row>
    <row r="16378">
      <c r="B16378" s="612"/>
      <c r="H16378" s="612"/>
    </row>
    <row r="16379">
      <c r="B16379" s="612"/>
      <c r="H16379" s="612"/>
    </row>
    <row r="16380">
      <c r="B16380" s="612"/>
      <c r="H16380" s="612"/>
    </row>
    <row r="16381">
      <c r="B16381" s="612"/>
      <c r="H16381" s="612"/>
    </row>
    <row r="16382">
      <c r="B16382" s="612"/>
      <c r="H16382" s="612"/>
    </row>
    <row r="16383">
      <c r="B16383" s="612"/>
      <c r="H16383" s="612"/>
    </row>
    <row r="16384">
      <c r="B16384" s="612"/>
      <c r="H16384" s="612"/>
    </row>
    <row r="16385">
      <c r="B16385" s="612"/>
      <c r="H16385" s="612"/>
    </row>
    <row r="16386">
      <c r="B16386" s="612"/>
      <c r="H16386" s="612"/>
    </row>
    <row r="16387">
      <c r="B16387" s="612"/>
      <c r="H16387" s="612"/>
    </row>
    <row r="16388">
      <c r="B16388" s="612"/>
      <c r="H16388" s="612"/>
    </row>
    <row r="16389">
      <c r="B16389" s="612"/>
      <c r="H16389" s="612"/>
    </row>
    <row r="16390">
      <c r="B16390" s="612"/>
      <c r="H16390" s="612"/>
    </row>
    <row r="16391">
      <c r="B16391" s="612"/>
      <c r="H16391" s="612"/>
    </row>
    <row r="16392">
      <c r="B16392" s="612"/>
      <c r="H16392" s="612"/>
    </row>
    <row r="16393">
      <c r="B16393" s="612"/>
      <c r="H16393" s="612"/>
    </row>
    <row r="16394">
      <c r="B16394" s="612"/>
      <c r="H16394" s="612"/>
    </row>
    <row r="16395">
      <c r="B16395" s="612"/>
      <c r="H16395" s="612"/>
    </row>
    <row r="16396">
      <c r="B16396" s="612"/>
      <c r="H16396" s="612"/>
    </row>
    <row r="16397">
      <c r="B16397" s="612"/>
      <c r="H16397" s="612"/>
    </row>
    <row r="16398">
      <c r="B16398" s="612"/>
      <c r="H16398" s="612"/>
    </row>
    <row r="16399">
      <c r="B16399" s="612"/>
      <c r="H16399" s="612"/>
    </row>
    <row r="16400">
      <c r="B16400" s="612"/>
      <c r="H16400" s="612"/>
    </row>
    <row r="16401">
      <c r="B16401" s="612"/>
      <c r="H16401" s="612"/>
    </row>
    <row r="16402">
      <c r="B16402" s="612"/>
      <c r="H16402" s="612"/>
    </row>
    <row r="16403">
      <c r="B16403" s="612"/>
      <c r="H16403" s="612"/>
    </row>
    <row r="16404">
      <c r="B16404" s="612"/>
      <c r="H16404" s="612"/>
    </row>
    <row r="16405">
      <c r="B16405" s="612"/>
      <c r="H16405" s="612"/>
    </row>
    <row r="16406">
      <c r="B16406" s="612"/>
      <c r="H16406" s="612"/>
    </row>
    <row r="16407">
      <c r="B16407" s="612"/>
      <c r="H16407" s="612"/>
    </row>
    <row r="16408">
      <c r="B16408" s="612"/>
      <c r="H16408" s="612"/>
    </row>
    <row r="16409">
      <c r="B16409" s="612"/>
      <c r="H16409" s="612"/>
    </row>
    <row r="16410">
      <c r="B16410" s="612"/>
      <c r="H16410" s="612"/>
    </row>
    <row r="16411">
      <c r="B16411" s="612"/>
      <c r="H16411" s="612"/>
    </row>
    <row r="16412">
      <c r="B16412" s="612"/>
      <c r="H16412" s="612"/>
    </row>
    <row r="16413">
      <c r="B16413" s="612"/>
      <c r="H16413" s="612"/>
    </row>
    <row r="16414">
      <c r="B16414" s="612"/>
      <c r="H16414" s="612"/>
    </row>
    <row r="16415">
      <c r="B16415" s="612"/>
      <c r="H16415" s="612"/>
    </row>
    <row r="16416">
      <c r="B16416" s="612"/>
      <c r="H16416" s="612"/>
    </row>
    <row r="16417">
      <c r="B16417" s="612"/>
      <c r="H16417" s="612"/>
    </row>
    <row r="16418">
      <c r="B16418" s="612"/>
      <c r="H16418" s="612"/>
    </row>
    <row r="16419">
      <c r="B16419" s="612"/>
      <c r="H16419" s="612"/>
    </row>
    <row r="16420">
      <c r="B16420" s="612"/>
      <c r="H16420" s="612"/>
    </row>
    <row r="16421">
      <c r="B16421" s="612"/>
      <c r="H16421" s="612"/>
    </row>
    <row r="16422">
      <c r="B16422" s="612"/>
      <c r="H16422" s="612"/>
    </row>
    <row r="16423">
      <c r="B16423" s="612"/>
      <c r="H16423" s="612"/>
    </row>
    <row r="16424">
      <c r="B16424" s="612"/>
      <c r="H16424" s="612"/>
    </row>
    <row r="16425">
      <c r="B16425" s="612"/>
      <c r="H16425" s="612"/>
    </row>
    <row r="16426">
      <c r="B16426" s="612"/>
      <c r="H16426" s="612"/>
    </row>
    <row r="16427">
      <c r="B16427" s="612"/>
      <c r="H16427" s="612"/>
    </row>
    <row r="16428">
      <c r="B16428" s="612"/>
      <c r="H16428" s="612"/>
    </row>
    <row r="16429">
      <c r="B16429" s="612"/>
      <c r="H16429" s="612"/>
    </row>
    <row r="16430">
      <c r="B16430" s="612"/>
      <c r="H16430" s="612"/>
    </row>
    <row r="16431">
      <c r="B16431" s="612"/>
      <c r="H16431" s="612"/>
    </row>
    <row r="16432">
      <c r="B16432" s="612"/>
      <c r="H16432" s="612"/>
    </row>
    <row r="16433">
      <c r="B16433" s="612"/>
      <c r="H16433" s="612"/>
    </row>
    <row r="16434">
      <c r="B16434" s="612"/>
      <c r="H16434" s="612"/>
    </row>
    <row r="16435">
      <c r="B16435" s="612"/>
      <c r="H16435" s="612"/>
    </row>
    <row r="16436">
      <c r="B16436" s="612"/>
      <c r="H16436" s="612"/>
    </row>
    <row r="16437">
      <c r="B16437" s="612"/>
      <c r="H16437" s="612"/>
    </row>
    <row r="16438">
      <c r="B16438" s="612"/>
      <c r="H16438" s="612"/>
    </row>
    <row r="16439">
      <c r="B16439" s="612"/>
      <c r="H16439" s="612"/>
    </row>
    <row r="16440">
      <c r="B16440" s="612"/>
      <c r="H16440" s="612"/>
    </row>
    <row r="16441">
      <c r="B16441" s="612"/>
      <c r="H16441" s="612"/>
    </row>
    <row r="16442">
      <c r="B16442" s="612"/>
      <c r="H16442" s="612"/>
    </row>
    <row r="16443">
      <c r="B16443" s="612"/>
      <c r="H16443" s="612"/>
    </row>
    <row r="16444">
      <c r="B16444" s="612"/>
      <c r="H16444" s="612"/>
    </row>
    <row r="16445">
      <c r="B16445" s="612"/>
      <c r="H16445" s="612"/>
    </row>
    <row r="16446">
      <c r="B16446" s="612"/>
      <c r="H16446" s="612"/>
    </row>
    <row r="16447">
      <c r="B16447" s="612"/>
      <c r="H16447" s="612"/>
    </row>
    <row r="16448">
      <c r="B16448" s="612"/>
      <c r="H16448" s="612"/>
    </row>
    <row r="16449">
      <c r="B16449" s="612"/>
      <c r="H16449" s="612"/>
    </row>
    <row r="16450">
      <c r="B16450" s="612"/>
      <c r="H16450" s="612"/>
    </row>
    <row r="16451">
      <c r="B16451" s="612"/>
      <c r="H16451" s="612"/>
    </row>
    <row r="16452">
      <c r="B16452" s="612"/>
      <c r="H16452" s="612"/>
    </row>
    <row r="16453">
      <c r="B16453" s="612"/>
      <c r="H16453" s="612"/>
    </row>
    <row r="16454">
      <c r="B16454" s="612"/>
      <c r="H16454" s="612"/>
    </row>
    <row r="16455">
      <c r="B16455" s="612"/>
      <c r="H16455" s="612"/>
    </row>
    <row r="16456">
      <c r="B16456" s="612"/>
      <c r="H16456" s="612"/>
    </row>
    <row r="16457">
      <c r="B16457" s="612"/>
      <c r="H16457" s="612"/>
    </row>
    <row r="16458">
      <c r="B16458" s="612"/>
      <c r="H16458" s="612"/>
    </row>
    <row r="16459">
      <c r="B16459" s="612"/>
      <c r="H16459" s="612"/>
    </row>
    <row r="16460">
      <c r="B16460" s="612"/>
      <c r="H16460" s="612"/>
    </row>
    <row r="16461">
      <c r="B16461" s="612"/>
      <c r="H16461" s="612"/>
    </row>
    <row r="16462">
      <c r="B16462" s="612"/>
      <c r="H16462" s="612"/>
    </row>
    <row r="16463">
      <c r="B16463" s="612"/>
      <c r="H16463" s="612"/>
    </row>
    <row r="16464">
      <c r="B16464" s="612"/>
      <c r="H16464" s="612"/>
    </row>
    <row r="16465">
      <c r="B16465" s="612"/>
      <c r="H16465" s="612"/>
    </row>
    <row r="16466">
      <c r="B16466" s="612"/>
      <c r="H16466" s="612"/>
    </row>
    <row r="16467">
      <c r="B16467" s="612"/>
      <c r="H16467" s="612"/>
    </row>
    <row r="16468">
      <c r="B16468" s="612"/>
      <c r="H16468" s="612"/>
    </row>
    <row r="16469">
      <c r="B16469" s="612"/>
      <c r="H16469" s="612"/>
    </row>
    <row r="16470">
      <c r="B16470" s="612"/>
      <c r="H16470" s="612"/>
    </row>
    <row r="16471">
      <c r="B16471" s="612"/>
      <c r="H16471" s="612"/>
    </row>
    <row r="16472">
      <c r="B16472" s="612"/>
      <c r="H16472" s="612"/>
    </row>
    <row r="16473">
      <c r="B16473" s="612"/>
      <c r="H16473" s="612"/>
    </row>
    <row r="16474">
      <c r="B16474" s="612"/>
      <c r="H16474" s="612"/>
    </row>
    <row r="16475">
      <c r="B16475" s="612"/>
      <c r="H16475" s="612"/>
    </row>
    <row r="16476">
      <c r="B16476" s="612"/>
      <c r="H16476" s="612"/>
    </row>
    <row r="16477">
      <c r="B16477" s="612"/>
      <c r="H16477" s="612"/>
    </row>
    <row r="16478">
      <c r="B16478" s="612"/>
      <c r="H16478" s="612"/>
    </row>
    <row r="16479">
      <c r="B16479" s="612"/>
      <c r="H16479" s="612"/>
    </row>
    <row r="16480">
      <c r="B16480" s="612"/>
      <c r="H16480" s="612"/>
    </row>
    <row r="16481">
      <c r="B16481" s="612"/>
      <c r="H16481" s="612"/>
    </row>
    <row r="16482">
      <c r="B16482" s="612"/>
      <c r="H16482" s="612"/>
    </row>
    <row r="16483">
      <c r="B16483" s="612"/>
      <c r="H16483" s="612"/>
    </row>
    <row r="16484">
      <c r="B16484" s="612"/>
      <c r="H16484" s="612"/>
    </row>
    <row r="16485">
      <c r="B16485" s="612"/>
      <c r="H16485" s="612"/>
    </row>
    <row r="16486">
      <c r="B16486" s="612"/>
      <c r="H16486" s="612"/>
    </row>
    <row r="16487">
      <c r="B16487" s="612"/>
      <c r="H16487" s="612"/>
    </row>
    <row r="16488">
      <c r="B16488" s="612"/>
      <c r="H16488" s="612"/>
    </row>
    <row r="16489">
      <c r="B16489" s="612"/>
      <c r="H16489" s="612"/>
    </row>
    <row r="16490">
      <c r="B16490" s="612"/>
      <c r="H16490" s="612"/>
    </row>
    <row r="16491">
      <c r="B16491" s="612"/>
      <c r="H16491" s="612"/>
    </row>
    <row r="16492">
      <c r="B16492" s="612"/>
      <c r="H16492" s="612"/>
    </row>
    <row r="16493">
      <c r="B16493" s="612"/>
      <c r="H16493" s="612"/>
    </row>
    <row r="16494">
      <c r="B16494" s="612"/>
      <c r="H16494" s="612"/>
    </row>
    <row r="16495">
      <c r="B16495" s="612"/>
      <c r="H16495" s="612"/>
    </row>
    <row r="16496">
      <c r="B16496" s="612"/>
      <c r="H16496" s="612"/>
    </row>
    <row r="16497">
      <c r="B16497" s="612"/>
      <c r="H16497" s="612"/>
    </row>
    <row r="16498">
      <c r="B16498" s="612"/>
      <c r="H16498" s="612"/>
    </row>
    <row r="16499">
      <c r="B16499" s="612"/>
      <c r="H16499" s="612"/>
    </row>
    <row r="16500">
      <c r="B16500" s="612"/>
      <c r="H16500" s="612"/>
    </row>
    <row r="16501">
      <c r="B16501" s="612"/>
      <c r="H16501" s="612"/>
    </row>
    <row r="16502">
      <c r="B16502" s="612"/>
      <c r="H16502" s="612"/>
    </row>
    <row r="16503">
      <c r="B16503" s="612"/>
      <c r="H16503" s="612"/>
    </row>
    <row r="16504">
      <c r="B16504" s="612"/>
      <c r="H16504" s="612"/>
    </row>
    <row r="16505">
      <c r="B16505" s="612"/>
      <c r="H16505" s="612"/>
    </row>
    <row r="16506">
      <c r="B16506" s="612"/>
      <c r="H16506" s="612"/>
    </row>
    <row r="16507">
      <c r="B16507" s="612"/>
      <c r="H16507" s="612"/>
    </row>
    <row r="16508">
      <c r="B16508" s="612"/>
      <c r="H16508" s="612"/>
    </row>
    <row r="16509">
      <c r="B16509" s="612"/>
      <c r="H16509" s="612"/>
    </row>
    <row r="16510">
      <c r="B16510" s="612"/>
      <c r="H16510" s="612"/>
    </row>
    <row r="16511">
      <c r="B16511" s="612"/>
      <c r="H16511" s="612"/>
    </row>
    <row r="16512">
      <c r="B16512" s="612"/>
      <c r="H16512" s="612"/>
    </row>
    <row r="16513">
      <c r="B16513" s="612"/>
      <c r="H16513" s="612"/>
    </row>
    <row r="16514">
      <c r="B16514" s="612"/>
      <c r="H16514" s="612"/>
    </row>
    <row r="16515">
      <c r="B16515" s="612"/>
      <c r="H16515" s="612"/>
    </row>
    <row r="16516">
      <c r="B16516" s="612"/>
      <c r="H16516" s="612"/>
    </row>
    <row r="16517">
      <c r="B16517" s="612"/>
      <c r="H16517" s="612"/>
    </row>
    <row r="16518">
      <c r="B16518" s="612"/>
      <c r="H16518" s="612"/>
    </row>
    <row r="16519">
      <c r="B16519" s="612"/>
      <c r="H16519" s="612"/>
    </row>
    <row r="16520">
      <c r="B16520" s="612"/>
      <c r="H16520" s="612"/>
    </row>
    <row r="16521">
      <c r="B16521" s="612"/>
      <c r="H16521" s="612"/>
    </row>
    <row r="16522">
      <c r="B16522" s="612"/>
      <c r="H16522" s="612"/>
    </row>
    <row r="16523">
      <c r="B16523" s="612"/>
      <c r="H16523" s="612"/>
    </row>
    <row r="16524">
      <c r="B16524" s="612"/>
      <c r="H16524" s="612"/>
    </row>
    <row r="16525">
      <c r="B16525" s="612"/>
      <c r="H16525" s="612"/>
    </row>
    <row r="16526">
      <c r="B16526" s="612"/>
      <c r="H16526" s="612"/>
    </row>
    <row r="16527">
      <c r="B16527" s="612"/>
      <c r="H16527" s="612"/>
    </row>
    <row r="16528">
      <c r="B16528" s="612"/>
      <c r="H16528" s="612"/>
    </row>
    <row r="16529">
      <c r="B16529" s="612"/>
      <c r="H16529" s="612"/>
    </row>
    <row r="16530">
      <c r="B16530" s="612"/>
      <c r="H16530" s="612"/>
    </row>
    <row r="16531">
      <c r="B16531" s="612"/>
      <c r="H16531" s="612"/>
    </row>
    <row r="16532">
      <c r="B16532" s="612"/>
      <c r="H16532" s="612"/>
    </row>
    <row r="16533">
      <c r="B16533" s="612"/>
      <c r="H16533" s="612"/>
    </row>
    <row r="16534">
      <c r="B16534" s="612"/>
      <c r="H16534" s="612"/>
    </row>
    <row r="16535">
      <c r="B16535" s="612"/>
      <c r="H16535" s="612"/>
    </row>
    <row r="16536">
      <c r="B16536" s="612"/>
      <c r="H16536" s="612"/>
    </row>
    <row r="16537">
      <c r="B16537" s="612"/>
      <c r="H16537" s="612"/>
    </row>
    <row r="16538">
      <c r="B16538" s="612"/>
      <c r="H16538" s="612"/>
    </row>
    <row r="16539">
      <c r="B16539" s="612"/>
      <c r="H16539" s="612"/>
    </row>
    <row r="16540">
      <c r="B16540" s="612"/>
      <c r="H16540" s="612"/>
    </row>
    <row r="16541">
      <c r="B16541" s="612"/>
      <c r="H16541" s="612"/>
    </row>
    <row r="16542">
      <c r="B16542" s="612"/>
      <c r="H16542" s="612"/>
    </row>
    <row r="16543">
      <c r="B16543" s="612"/>
      <c r="H16543" s="612"/>
    </row>
    <row r="16544">
      <c r="B16544" s="612"/>
      <c r="H16544" s="612"/>
    </row>
    <row r="16545">
      <c r="B16545" s="612"/>
      <c r="H16545" s="612"/>
    </row>
    <row r="16546">
      <c r="B16546" s="612"/>
      <c r="H16546" s="612"/>
    </row>
    <row r="16547">
      <c r="B16547" s="612"/>
      <c r="H16547" s="612"/>
    </row>
    <row r="16548">
      <c r="B16548" s="612"/>
      <c r="H16548" s="612"/>
    </row>
    <row r="16549">
      <c r="B16549" s="612"/>
      <c r="H16549" s="612"/>
    </row>
    <row r="16550">
      <c r="B16550" s="612"/>
      <c r="H16550" s="612"/>
    </row>
    <row r="16551">
      <c r="B16551" s="612"/>
      <c r="H16551" s="612"/>
    </row>
    <row r="16552">
      <c r="B16552" s="612"/>
      <c r="H16552" s="612"/>
    </row>
    <row r="16553">
      <c r="B16553" s="612"/>
      <c r="H16553" s="612"/>
    </row>
    <row r="16554">
      <c r="B16554" s="612"/>
      <c r="H16554" s="612"/>
    </row>
    <row r="16555">
      <c r="B16555" s="612"/>
      <c r="H16555" s="612"/>
    </row>
    <row r="16556">
      <c r="B16556" s="612"/>
      <c r="H16556" s="612"/>
    </row>
    <row r="16557">
      <c r="B16557" s="612"/>
      <c r="H16557" s="612"/>
    </row>
    <row r="16558">
      <c r="B16558" s="612"/>
      <c r="H16558" s="612"/>
    </row>
    <row r="16559">
      <c r="B16559" s="612"/>
      <c r="H16559" s="612"/>
    </row>
    <row r="16560">
      <c r="B16560" s="612"/>
      <c r="H16560" s="612"/>
    </row>
    <row r="16561">
      <c r="B16561" s="612"/>
      <c r="H16561" s="612"/>
    </row>
    <row r="16562">
      <c r="B16562" s="612"/>
      <c r="H16562" s="612"/>
    </row>
    <row r="16563">
      <c r="B16563" s="612"/>
      <c r="H16563" s="612"/>
    </row>
    <row r="16564">
      <c r="B16564" s="612"/>
      <c r="H16564" s="612"/>
    </row>
    <row r="16565">
      <c r="B16565" s="612"/>
      <c r="H16565" s="612"/>
    </row>
    <row r="16566">
      <c r="B16566" s="612"/>
      <c r="H16566" s="612"/>
    </row>
    <row r="16567">
      <c r="B16567" s="612"/>
      <c r="H16567" s="612"/>
    </row>
    <row r="16568">
      <c r="B16568" s="612"/>
      <c r="H16568" s="612"/>
    </row>
    <row r="16569">
      <c r="B16569" s="612"/>
      <c r="H16569" s="612"/>
    </row>
    <row r="16570">
      <c r="B16570" s="612"/>
      <c r="H16570" s="612"/>
    </row>
    <row r="16571">
      <c r="B16571" s="612"/>
      <c r="H16571" s="612"/>
    </row>
    <row r="16572">
      <c r="B16572" s="612"/>
      <c r="H16572" s="612"/>
    </row>
    <row r="16573">
      <c r="B16573" s="612"/>
      <c r="H16573" s="612"/>
    </row>
    <row r="16574">
      <c r="B16574" s="612"/>
      <c r="H16574" s="612"/>
    </row>
    <row r="16575">
      <c r="B16575" s="612"/>
      <c r="H16575" s="612"/>
    </row>
    <row r="16576">
      <c r="B16576" s="612"/>
      <c r="H16576" s="612"/>
    </row>
    <row r="16577">
      <c r="B16577" s="612"/>
      <c r="H16577" s="612"/>
    </row>
    <row r="16578">
      <c r="B16578" s="612"/>
      <c r="H16578" s="612"/>
    </row>
    <row r="16579">
      <c r="B16579" s="612"/>
      <c r="H16579" s="612"/>
    </row>
    <row r="16580">
      <c r="B16580" s="612"/>
      <c r="H16580" s="612"/>
    </row>
    <row r="16581">
      <c r="B16581" s="612"/>
      <c r="H16581" s="612"/>
    </row>
    <row r="16582">
      <c r="B16582" s="612"/>
      <c r="H16582" s="612"/>
    </row>
    <row r="16583">
      <c r="B16583" s="612"/>
      <c r="H16583" s="612"/>
    </row>
    <row r="16584">
      <c r="B16584" s="612"/>
      <c r="H16584" s="612"/>
    </row>
    <row r="16585">
      <c r="B16585" s="612"/>
      <c r="H16585" s="612"/>
    </row>
    <row r="16586">
      <c r="B16586" s="612"/>
      <c r="H16586" s="612"/>
    </row>
    <row r="16587">
      <c r="B16587" s="612"/>
      <c r="H16587" s="612"/>
    </row>
    <row r="16588">
      <c r="B16588" s="612"/>
      <c r="H16588" s="612"/>
    </row>
    <row r="16589">
      <c r="B16589" s="612"/>
      <c r="H16589" s="612"/>
    </row>
    <row r="16590">
      <c r="B16590" s="612"/>
      <c r="H16590" s="612"/>
    </row>
    <row r="16591">
      <c r="B16591" s="612"/>
      <c r="H16591" s="612"/>
    </row>
    <row r="16592">
      <c r="B16592" s="612"/>
      <c r="H16592" s="612"/>
    </row>
    <row r="16593">
      <c r="B16593" s="612"/>
      <c r="H16593" s="612"/>
    </row>
    <row r="16594">
      <c r="B16594" s="612"/>
      <c r="H16594" s="612"/>
    </row>
    <row r="16595">
      <c r="B16595" s="612"/>
      <c r="H16595" s="612"/>
    </row>
    <row r="16596">
      <c r="B16596" s="612"/>
      <c r="H16596" s="612"/>
    </row>
    <row r="16597">
      <c r="B16597" s="612"/>
      <c r="H16597" s="612"/>
    </row>
    <row r="16598">
      <c r="B16598" s="612"/>
      <c r="H16598" s="612"/>
    </row>
    <row r="16599">
      <c r="B16599" s="612"/>
      <c r="H16599" s="612"/>
    </row>
    <row r="16600">
      <c r="B16600" s="612"/>
      <c r="H16600" s="612"/>
    </row>
    <row r="16601">
      <c r="B16601" s="612"/>
      <c r="H16601" s="612"/>
    </row>
    <row r="16602">
      <c r="B16602" s="612"/>
      <c r="H16602" s="612"/>
    </row>
    <row r="16603">
      <c r="B16603" s="612"/>
      <c r="H16603" s="612"/>
    </row>
    <row r="16604">
      <c r="B16604" s="612"/>
      <c r="H16604" s="612"/>
    </row>
    <row r="16605">
      <c r="B16605" s="612"/>
      <c r="H16605" s="612"/>
    </row>
    <row r="16606">
      <c r="B16606" s="612"/>
      <c r="H16606" s="612"/>
    </row>
    <row r="16607">
      <c r="B16607" s="612"/>
      <c r="H16607" s="612"/>
    </row>
    <row r="16608">
      <c r="B16608" s="612"/>
      <c r="H16608" s="612"/>
    </row>
    <row r="16609">
      <c r="B16609" s="612"/>
      <c r="H16609" s="612"/>
    </row>
    <row r="16610">
      <c r="B16610" s="612"/>
      <c r="H16610" s="612"/>
    </row>
    <row r="16611">
      <c r="B16611" s="612"/>
      <c r="H16611" s="612"/>
    </row>
    <row r="16612">
      <c r="B16612" s="612"/>
      <c r="H16612" s="612"/>
    </row>
    <row r="16613">
      <c r="B16613" s="612"/>
      <c r="H16613" s="612"/>
    </row>
    <row r="16614">
      <c r="B16614" s="612"/>
      <c r="H16614" s="612"/>
    </row>
    <row r="16615">
      <c r="B16615" s="612"/>
      <c r="H16615" s="612"/>
    </row>
    <row r="16616">
      <c r="B16616" s="612"/>
      <c r="H16616" s="612"/>
    </row>
    <row r="16617">
      <c r="B16617" s="612"/>
      <c r="H16617" s="612"/>
    </row>
    <row r="16618">
      <c r="B16618" s="612"/>
      <c r="H16618" s="612"/>
    </row>
    <row r="16619">
      <c r="B16619" s="612"/>
      <c r="H16619" s="612"/>
    </row>
    <row r="16620">
      <c r="B16620" s="612"/>
      <c r="H16620" s="612"/>
    </row>
    <row r="16621">
      <c r="B16621" s="612"/>
      <c r="H16621" s="612"/>
    </row>
    <row r="16622">
      <c r="B16622" s="612"/>
      <c r="H16622" s="612"/>
    </row>
    <row r="16623">
      <c r="B16623" s="612"/>
      <c r="H16623" s="612"/>
    </row>
    <row r="16624">
      <c r="B16624" s="612"/>
      <c r="H16624" s="612"/>
    </row>
    <row r="16625">
      <c r="B16625" s="612"/>
      <c r="H16625" s="612"/>
    </row>
    <row r="16626">
      <c r="B16626" s="612"/>
      <c r="H16626" s="612"/>
    </row>
    <row r="16627">
      <c r="B16627" s="612"/>
      <c r="H16627" s="612"/>
    </row>
    <row r="16628">
      <c r="B16628" s="612"/>
      <c r="H16628" s="612"/>
    </row>
    <row r="16629">
      <c r="B16629" s="612"/>
      <c r="H16629" s="612"/>
    </row>
    <row r="16630">
      <c r="B16630" s="612"/>
      <c r="H16630" s="612"/>
    </row>
    <row r="16631">
      <c r="B16631" s="612"/>
      <c r="H16631" s="612"/>
    </row>
    <row r="16632">
      <c r="B16632" s="612"/>
      <c r="H16632" s="612"/>
    </row>
    <row r="16633">
      <c r="B16633" s="612"/>
      <c r="H16633" s="612"/>
    </row>
    <row r="16634">
      <c r="B16634" s="612"/>
      <c r="H16634" s="612"/>
    </row>
    <row r="16635">
      <c r="B16635" s="612"/>
      <c r="H16635" s="612"/>
    </row>
    <row r="16636">
      <c r="B16636" s="612"/>
      <c r="H16636" s="612"/>
    </row>
    <row r="16637">
      <c r="B16637" s="612"/>
      <c r="H16637" s="612"/>
    </row>
    <row r="16638">
      <c r="B16638" s="612"/>
      <c r="H16638" s="612"/>
    </row>
    <row r="16639">
      <c r="B16639" s="612"/>
      <c r="H16639" s="612"/>
    </row>
    <row r="16640">
      <c r="B16640" s="612"/>
      <c r="H16640" s="612"/>
    </row>
    <row r="16641">
      <c r="B16641" s="612"/>
      <c r="H16641" s="612"/>
    </row>
    <row r="16642">
      <c r="B16642" s="612"/>
      <c r="H16642" s="612"/>
    </row>
    <row r="16643">
      <c r="B16643" s="612"/>
      <c r="H16643" s="612"/>
    </row>
    <row r="16644">
      <c r="B16644" s="612"/>
      <c r="H16644" s="612"/>
    </row>
    <row r="16645">
      <c r="B16645" s="612"/>
      <c r="H16645" s="612"/>
    </row>
    <row r="16646">
      <c r="B16646" s="612"/>
      <c r="H16646" s="612"/>
    </row>
    <row r="16647">
      <c r="B16647" s="612"/>
      <c r="H16647" s="612"/>
    </row>
    <row r="16648">
      <c r="B16648" s="612"/>
      <c r="H16648" s="612"/>
    </row>
    <row r="16649">
      <c r="B16649" s="612"/>
      <c r="H16649" s="612"/>
    </row>
    <row r="16650">
      <c r="B16650" s="612"/>
      <c r="H16650" s="612"/>
    </row>
    <row r="16651">
      <c r="B16651" s="612"/>
      <c r="H16651" s="612"/>
    </row>
    <row r="16652">
      <c r="B16652" s="612"/>
      <c r="H16652" s="612"/>
    </row>
    <row r="16653">
      <c r="B16653" s="612"/>
      <c r="H16653" s="612"/>
    </row>
    <row r="16654">
      <c r="B16654" s="612"/>
      <c r="H16654" s="612"/>
    </row>
    <row r="16655">
      <c r="B16655" s="612"/>
      <c r="H16655" s="612"/>
    </row>
    <row r="16656">
      <c r="B16656" s="612"/>
      <c r="H16656" s="612"/>
    </row>
    <row r="16657">
      <c r="B16657" s="612"/>
      <c r="H16657" s="612"/>
    </row>
    <row r="16658">
      <c r="B16658" s="612"/>
      <c r="H16658" s="612"/>
    </row>
    <row r="16659">
      <c r="B16659" s="612"/>
      <c r="H16659" s="612"/>
    </row>
    <row r="16660">
      <c r="B16660" s="612"/>
      <c r="H16660" s="612"/>
    </row>
    <row r="16661">
      <c r="B16661" s="612"/>
      <c r="H16661" s="612"/>
    </row>
    <row r="16662">
      <c r="B16662" s="612"/>
      <c r="H16662" s="612"/>
    </row>
    <row r="16663">
      <c r="B16663" s="612"/>
      <c r="H16663" s="612"/>
    </row>
    <row r="16664">
      <c r="B16664" s="612"/>
      <c r="H16664" s="612"/>
    </row>
    <row r="16665">
      <c r="B16665" s="612"/>
      <c r="H16665" s="612"/>
    </row>
    <row r="16666">
      <c r="B16666" s="612"/>
      <c r="H16666" s="612"/>
    </row>
    <row r="16667">
      <c r="B16667" s="612"/>
      <c r="H16667" s="612"/>
    </row>
    <row r="16668">
      <c r="B16668" s="612"/>
      <c r="H16668" s="612"/>
    </row>
    <row r="16669">
      <c r="B16669" s="612"/>
      <c r="H16669" s="612"/>
    </row>
    <row r="16670">
      <c r="B16670" s="612"/>
      <c r="H16670" s="612"/>
    </row>
    <row r="16671">
      <c r="B16671" s="612"/>
      <c r="H16671" s="612"/>
    </row>
    <row r="16672">
      <c r="B16672" s="612"/>
      <c r="H16672" s="612"/>
    </row>
    <row r="16673">
      <c r="B16673" s="612"/>
      <c r="H16673" s="612"/>
    </row>
    <row r="16674">
      <c r="B16674" s="612"/>
      <c r="H16674" s="612"/>
    </row>
    <row r="16675">
      <c r="B16675" s="612"/>
      <c r="H16675" s="612"/>
    </row>
    <row r="16676">
      <c r="B16676" s="612"/>
      <c r="H16676" s="612"/>
    </row>
    <row r="16677">
      <c r="B16677" s="612"/>
      <c r="H16677" s="612"/>
    </row>
    <row r="16678">
      <c r="B16678" s="612"/>
      <c r="H16678" s="612"/>
    </row>
    <row r="16679">
      <c r="B16679" s="612"/>
      <c r="H16679" s="612"/>
    </row>
    <row r="16680">
      <c r="B16680" s="612"/>
      <c r="H16680" s="612"/>
    </row>
    <row r="16681">
      <c r="B16681" s="612"/>
      <c r="H16681" s="612"/>
    </row>
    <row r="16682">
      <c r="B16682" s="612"/>
      <c r="H16682" s="612"/>
    </row>
    <row r="16683">
      <c r="B16683" s="612"/>
      <c r="H16683" s="612"/>
    </row>
    <row r="16684">
      <c r="B16684" s="612"/>
      <c r="H16684" s="612"/>
    </row>
    <row r="16685">
      <c r="B16685" s="612"/>
      <c r="H16685" s="612"/>
    </row>
    <row r="16686">
      <c r="B16686" s="612"/>
      <c r="H16686" s="612"/>
    </row>
    <row r="16687">
      <c r="B16687" s="612"/>
      <c r="H16687" s="612"/>
    </row>
    <row r="16688">
      <c r="B16688" s="612"/>
      <c r="H16688" s="612"/>
    </row>
    <row r="16689">
      <c r="B16689" s="612"/>
      <c r="H16689" s="612"/>
    </row>
    <row r="16690">
      <c r="B16690" s="612"/>
      <c r="H16690" s="612"/>
    </row>
    <row r="16691">
      <c r="B16691" s="612"/>
      <c r="H16691" s="612"/>
    </row>
    <row r="16692">
      <c r="B16692" s="612"/>
      <c r="H16692" s="612"/>
    </row>
    <row r="16693">
      <c r="B16693" s="612"/>
      <c r="H16693" s="612"/>
    </row>
    <row r="16694">
      <c r="B16694" s="612"/>
      <c r="H16694" s="612"/>
    </row>
    <row r="16695">
      <c r="B16695" s="612"/>
      <c r="H16695" s="612"/>
    </row>
    <row r="16696">
      <c r="B16696" s="612"/>
      <c r="H16696" s="612"/>
    </row>
    <row r="16697">
      <c r="B16697" s="612"/>
      <c r="H16697" s="612"/>
    </row>
    <row r="16698">
      <c r="B16698" s="612"/>
      <c r="H16698" s="612"/>
    </row>
    <row r="16699">
      <c r="B16699" s="612"/>
      <c r="H16699" s="612"/>
    </row>
    <row r="16700">
      <c r="B16700" s="612"/>
      <c r="H16700" s="612"/>
    </row>
    <row r="16701">
      <c r="B16701" s="612"/>
      <c r="H16701" s="612"/>
    </row>
    <row r="16702">
      <c r="B16702" s="612"/>
      <c r="H16702" s="612"/>
    </row>
    <row r="16703">
      <c r="B16703" s="612"/>
      <c r="H16703" s="612"/>
    </row>
    <row r="16704">
      <c r="B16704" s="612"/>
      <c r="H16704" s="612"/>
    </row>
    <row r="16705">
      <c r="B16705" s="612"/>
      <c r="H16705" s="612"/>
    </row>
    <row r="16706">
      <c r="B16706" s="612"/>
      <c r="H16706" s="612"/>
    </row>
    <row r="16707">
      <c r="B16707" s="612"/>
      <c r="H16707" s="612"/>
    </row>
    <row r="16708">
      <c r="B16708" s="612"/>
      <c r="H16708" s="612"/>
    </row>
    <row r="16709">
      <c r="B16709" s="612"/>
      <c r="H16709" s="612"/>
    </row>
    <row r="16710">
      <c r="B16710" s="612"/>
      <c r="H16710" s="612"/>
    </row>
    <row r="16711">
      <c r="B16711" s="612"/>
      <c r="H16711" s="612"/>
    </row>
    <row r="16712">
      <c r="B16712" s="612"/>
      <c r="H16712" s="612"/>
    </row>
    <row r="16713">
      <c r="B16713" s="612"/>
      <c r="H16713" s="612"/>
    </row>
    <row r="16714">
      <c r="B16714" s="612"/>
      <c r="H16714" s="612"/>
    </row>
    <row r="16715">
      <c r="B16715" s="612"/>
      <c r="H16715" s="612"/>
    </row>
    <row r="16716">
      <c r="B16716" s="612"/>
      <c r="H16716" s="612"/>
    </row>
    <row r="16717">
      <c r="B16717" s="612"/>
      <c r="H16717" s="612"/>
    </row>
    <row r="16718">
      <c r="B16718" s="612"/>
      <c r="H16718" s="612"/>
    </row>
    <row r="16719">
      <c r="B16719" s="612"/>
      <c r="H16719" s="612"/>
    </row>
    <row r="16720">
      <c r="B16720" s="612"/>
      <c r="H16720" s="612"/>
    </row>
    <row r="16721">
      <c r="B16721" s="612"/>
      <c r="H16721" s="612"/>
    </row>
    <row r="16722">
      <c r="B16722" s="612"/>
      <c r="H16722" s="612"/>
    </row>
    <row r="16723">
      <c r="B16723" s="612"/>
      <c r="H16723" s="612"/>
    </row>
    <row r="16724">
      <c r="B16724" s="612"/>
      <c r="H16724" s="612"/>
    </row>
    <row r="16725">
      <c r="B16725" s="612"/>
      <c r="H16725" s="612"/>
    </row>
    <row r="16726">
      <c r="B16726" s="612"/>
      <c r="H16726" s="612"/>
    </row>
    <row r="16727">
      <c r="B16727" s="612"/>
      <c r="H16727" s="612"/>
    </row>
    <row r="16728">
      <c r="B16728" s="612"/>
      <c r="H16728" s="612"/>
    </row>
    <row r="16729">
      <c r="B16729" s="612"/>
      <c r="H16729" s="612"/>
    </row>
    <row r="16730">
      <c r="B16730" s="612"/>
      <c r="H16730" s="612"/>
    </row>
    <row r="16731">
      <c r="B16731" s="612"/>
      <c r="H16731" s="612"/>
    </row>
    <row r="16732">
      <c r="B16732" s="612"/>
      <c r="H16732" s="612"/>
    </row>
    <row r="16733">
      <c r="B16733" s="612"/>
      <c r="H16733" s="612"/>
    </row>
    <row r="16734">
      <c r="B16734" s="612"/>
      <c r="H16734" s="612"/>
    </row>
    <row r="16735">
      <c r="B16735" s="612"/>
      <c r="H16735" s="612"/>
    </row>
    <row r="16736">
      <c r="B16736" s="612"/>
      <c r="H16736" s="612"/>
    </row>
    <row r="16737">
      <c r="B16737" s="612"/>
      <c r="H16737" s="612"/>
    </row>
    <row r="16738">
      <c r="B16738" s="612"/>
      <c r="H16738" s="612"/>
    </row>
    <row r="16739">
      <c r="B16739" s="612"/>
      <c r="H16739" s="612"/>
    </row>
    <row r="16740">
      <c r="B16740" s="612"/>
      <c r="H16740" s="612"/>
    </row>
    <row r="16741">
      <c r="B16741" s="612"/>
      <c r="H16741" s="612"/>
    </row>
    <row r="16742">
      <c r="B16742" s="612"/>
      <c r="H16742" s="612"/>
    </row>
    <row r="16743">
      <c r="B16743" s="612"/>
      <c r="H16743" s="612"/>
    </row>
    <row r="16744">
      <c r="B16744" s="612"/>
      <c r="H16744" s="612"/>
    </row>
    <row r="16745">
      <c r="B16745" s="612"/>
      <c r="H16745" s="612"/>
    </row>
    <row r="16746">
      <c r="B16746" s="612"/>
      <c r="H16746" s="612"/>
    </row>
    <row r="16747">
      <c r="B16747" s="612"/>
      <c r="H16747" s="612"/>
    </row>
    <row r="16748">
      <c r="B16748" s="612"/>
      <c r="H16748" s="612"/>
    </row>
    <row r="16749">
      <c r="B16749" s="612"/>
      <c r="H16749" s="612"/>
    </row>
    <row r="16750">
      <c r="B16750" s="612"/>
      <c r="H16750" s="612"/>
    </row>
    <row r="16751">
      <c r="B16751" s="612"/>
      <c r="H16751" s="612"/>
    </row>
    <row r="16752">
      <c r="B16752" s="612"/>
      <c r="H16752" s="612"/>
    </row>
    <row r="16753">
      <c r="B16753" s="612"/>
      <c r="H16753" s="612"/>
    </row>
    <row r="16754">
      <c r="B16754" s="612"/>
      <c r="H16754" s="612"/>
    </row>
    <row r="16755">
      <c r="B16755" s="612"/>
      <c r="H16755" s="612"/>
    </row>
    <row r="16756">
      <c r="B16756" s="612"/>
      <c r="H16756" s="612"/>
    </row>
    <row r="16757">
      <c r="B16757" s="612"/>
      <c r="H16757" s="612"/>
    </row>
    <row r="16758">
      <c r="B16758" s="612"/>
      <c r="H16758" s="612"/>
    </row>
    <row r="16759">
      <c r="B16759" s="612"/>
      <c r="H16759" s="612"/>
    </row>
    <row r="16760">
      <c r="B16760" s="612"/>
      <c r="H16760" s="612"/>
    </row>
    <row r="16761">
      <c r="B16761" s="612"/>
      <c r="H16761" s="612"/>
    </row>
    <row r="16762">
      <c r="B16762" s="612"/>
      <c r="H16762" s="612"/>
    </row>
    <row r="16763">
      <c r="B16763" s="612"/>
      <c r="H16763" s="612"/>
    </row>
    <row r="16764">
      <c r="B16764" s="612"/>
      <c r="H16764" s="612"/>
    </row>
    <row r="16765">
      <c r="B16765" s="612"/>
      <c r="H16765" s="612"/>
    </row>
    <row r="16766">
      <c r="B16766" s="612"/>
      <c r="H16766" s="612"/>
    </row>
    <row r="16767">
      <c r="B16767" s="612"/>
      <c r="H16767" s="612"/>
    </row>
    <row r="16768">
      <c r="B16768" s="612"/>
      <c r="H16768" s="612"/>
    </row>
    <row r="16769">
      <c r="B16769" s="612"/>
      <c r="H16769" s="612"/>
    </row>
    <row r="16770">
      <c r="B16770" s="612"/>
      <c r="H16770" s="612"/>
    </row>
    <row r="16771">
      <c r="B16771" s="612"/>
      <c r="H16771" s="612"/>
    </row>
    <row r="16772">
      <c r="B16772" s="612"/>
      <c r="H16772" s="612"/>
    </row>
    <row r="16773">
      <c r="B16773" s="612"/>
      <c r="H16773" s="612"/>
    </row>
    <row r="16774">
      <c r="B16774" s="612"/>
      <c r="H16774" s="612"/>
    </row>
    <row r="16775">
      <c r="B16775" s="612"/>
      <c r="H16775" s="612"/>
    </row>
    <row r="16776">
      <c r="B16776" s="612"/>
      <c r="H16776" s="612"/>
    </row>
    <row r="16777">
      <c r="B16777" s="612"/>
      <c r="H16777" s="612"/>
    </row>
    <row r="16778">
      <c r="B16778" s="612"/>
      <c r="H16778" s="612"/>
    </row>
    <row r="16779">
      <c r="B16779" s="612"/>
      <c r="H16779" s="612"/>
    </row>
    <row r="16780">
      <c r="B16780" s="612"/>
      <c r="H16780" s="612"/>
    </row>
    <row r="16781">
      <c r="B16781" s="612"/>
      <c r="H16781" s="612"/>
    </row>
    <row r="16782">
      <c r="B16782" s="612"/>
      <c r="H16782" s="612"/>
    </row>
    <row r="16783">
      <c r="B16783" s="612"/>
      <c r="H16783" s="612"/>
    </row>
    <row r="16784">
      <c r="B16784" s="612"/>
      <c r="H16784" s="612"/>
    </row>
    <row r="16785">
      <c r="B16785" s="612"/>
      <c r="H16785" s="612"/>
    </row>
    <row r="16786">
      <c r="B16786" s="612"/>
      <c r="H16786" s="612"/>
    </row>
    <row r="16787">
      <c r="B16787" s="612"/>
      <c r="H16787" s="612"/>
    </row>
    <row r="16788">
      <c r="B16788" s="612"/>
      <c r="H16788" s="612"/>
    </row>
    <row r="16789">
      <c r="B16789" s="612"/>
      <c r="H16789" s="612"/>
    </row>
    <row r="16790">
      <c r="B16790" s="612"/>
      <c r="H16790" s="612"/>
    </row>
    <row r="16791">
      <c r="B16791" s="612"/>
      <c r="H16791" s="612"/>
    </row>
    <row r="16792">
      <c r="B16792" s="612"/>
      <c r="H16792" s="612"/>
    </row>
    <row r="16793">
      <c r="B16793" s="612"/>
      <c r="H16793" s="612"/>
    </row>
    <row r="16794">
      <c r="B16794" s="612"/>
      <c r="H16794" s="612"/>
    </row>
    <row r="16795">
      <c r="B16795" s="612"/>
      <c r="H16795" s="612"/>
    </row>
    <row r="16796">
      <c r="B16796" s="612"/>
      <c r="H16796" s="612"/>
    </row>
    <row r="16797">
      <c r="B16797" s="612"/>
      <c r="H16797" s="612"/>
    </row>
    <row r="16798">
      <c r="B16798" s="612"/>
      <c r="H16798" s="612"/>
    </row>
    <row r="16799">
      <c r="B16799" s="612"/>
      <c r="H16799" s="612"/>
    </row>
    <row r="16800">
      <c r="B16800" s="612"/>
      <c r="H16800" s="612"/>
    </row>
    <row r="16801">
      <c r="B16801" s="612"/>
      <c r="H16801" s="612"/>
    </row>
    <row r="16802">
      <c r="B16802" s="612"/>
      <c r="H16802" s="612"/>
    </row>
    <row r="16803">
      <c r="B16803" s="612"/>
      <c r="H16803" s="612"/>
    </row>
    <row r="16804">
      <c r="B16804" s="612"/>
      <c r="H16804" s="612"/>
    </row>
    <row r="16805">
      <c r="B16805" s="612"/>
      <c r="H16805" s="612"/>
    </row>
    <row r="16806">
      <c r="B16806" s="612"/>
      <c r="H16806" s="612"/>
    </row>
    <row r="16807">
      <c r="B16807" s="612"/>
      <c r="H16807" s="612"/>
    </row>
    <row r="16808">
      <c r="B16808" s="612"/>
      <c r="H16808" s="612"/>
    </row>
    <row r="16809">
      <c r="B16809" s="612"/>
      <c r="H16809" s="612"/>
    </row>
    <row r="16810">
      <c r="B16810" s="612"/>
      <c r="H16810" s="612"/>
    </row>
    <row r="16811">
      <c r="B16811" s="612"/>
      <c r="H16811" s="612"/>
    </row>
    <row r="16812">
      <c r="B16812" s="612"/>
      <c r="H16812" s="612"/>
    </row>
    <row r="16813">
      <c r="B16813" s="612"/>
      <c r="H16813" s="612"/>
    </row>
    <row r="16814">
      <c r="B16814" s="612"/>
      <c r="H16814" s="612"/>
    </row>
    <row r="16815">
      <c r="B16815" s="612"/>
      <c r="H16815" s="612"/>
    </row>
    <row r="16816">
      <c r="B16816" s="612"/>
      <c r="H16816" s="612"/>
    </row>
    <row r="16817">
      <c r="B16817" s="612"/>
      <c r="H16817" s="612"/>
    </row>
    <row r="16818">
      <c r="B16818" s="612"/>
      <c r="H16818" s="612"/>
    </row>
    <row r="16819">
      <c r="B16819" s="612"/>
      <c r="H16819" s="612"/>
    </row>
    <row r="16820">
      <c r="B16820" s="612"/>
      <c r="H16820" s="612"/>
    </row>
    <row r="16821">
      <c r="B16821" s="612"/>
      <c r="H16821" s="612"/>
    </row>
    <row r="16822">
      <c r="B16822" s="612"/>
      <c r="H16822" s="612"/>
    </row>
    <row r="16823">
      <c r="B16823" s="612"/>
      <c r="H16823" s="612"/>
    </row>
    <row r="16824">
      <c r="B16824" s="612"/>
      <c r="H16824" s="612"/>
    </row>
    <row r="16825">
      <c r="B16825" s="612"/>
      <c r="H16825" s="612"/>
    </row>
    <row r="16826">
      <c r="B16826" s="612"/>
      <c r="H16826" s="612"/>
    </row>
    <row r="16827">
      <c r="B16827" s="612"/>
      <c r="H16827" s="612"/>
    </row>
    <row r="16828">
      <c r="B16828" s="612"/>
      <c r="H16828" s="612"/>
    </row>
    <row r="16829">
      <c r="B16829" s="612"/>
      <c r="H16829" s="612"/>
    </row>
    <row r="16830">
      <c r="B16830" s="612"/>
      <c r="H16830" s="612"/>
    </row>
    <row r="16831">
      <c r="B16831" s="612"/>
      <c r="H16831" s="612"/>
    </row>
    <row r="16832">
      <c r="B16832" s="612"/>
      <c r="H16832" s="612"/>
    </row>
    <row r="16833">
      <c r="B16833" s="612"/>
      <c r="H16833" s="612"/>
    </row>
    <row r="16834">
      <c r="B16834" s="612"/>
      <c r="H16834" s="612"/>
    </row>
    <row r="16835">
      <c r="B16835" s="612"/>
      <c r="H16835" s="612"/>
    </row>
    <row r="16836">
      <c r="B16836" s="612"/>
      <c r="H16836" s="612"/>
    </row>
    <row r="16837">
      <c r="B16837" s="612"/>
      <c r="H16837" s="612"/>
    </row>
    <row r="16838">
      <c r="B16838" s="612"/>
      <c r="H16838" s="612"/>
    </row>
    <row r="16839">
      <c r="B16839" s="612"/>
      <c r="H16839" s="612"/>
    </row>
    <row r="16840">
      <c r="B16840" s="612"/>
      <c r="H16840" s="612"/>
    </row>
    <row r="16841">
      <c r="B16841" s="612"/>
      <c r="H16841" s="612"/>
    </row>
    <row r="16842">
      <c r="B16842" s="612"/>
      <c r="H16842" s="612"/>
    </row>
    <row r="16843">
      <c r="B16843" s="612"/>
      <c r="H16843" s="612"/>
    </row>
    <row r="16844">
      <c r="B16844" s="612"/>
      <c r="H16844" s="612"/>
    </row>
    <row r="16845">
      <c r="B16845" s="612"/>
      <c r="H16845" s="612"/>
    </row>
    <row r="16846">
      <c r="B16846" s="612"/>
      <c r="H16846" s="612"/>
    </row>
    <row r="16847">
      <c r="B16847" s="612"/>
      <c r="H16847" s="612"/>
    </row>
    <row r="16848">
      <c r="B16848" s="612"/>
      <c r="H16848" s="612"/>
    </row>
    <row r="16849">
      <c r="B16849" s="612"/>
      <c r="H16849" s="612"/>
    </row>
    <row r="16850">
      <c r="B16850" s="612"/>
      <c r="H16850" s="612"/>
    </row>
    <row r="16851">
      <c r="B16851" s="612"/>
      <c r="H16851" s="612"/>
    </row>
    <row r="16852">
      <c r="B16852" s="612"/>
      <c r="H16852" s="612"/>
    </row>
    <row r="16853">
      <c r="B16853" s="612"/>
      <c r="H16853" s="612"/>
    </row>
    <row r="16854">
      <c r="B16854" s="612"/>
      <c r="H16854" s="612"/>
    </row>
    <row r="16855">
      <c r="B16855" s="612"/>
      <c r="H16855" s="612"/>
    </row>
    <row r="16856">
      <c r="B16856" s="612"/>
      <c r="H16856" s="612"/>
    </row>
    <row r="16857">
      <c r="B16857" s="612"/>
      <c r="H16857" s="612"/>
    </row>
    <row r="16858">
      <c r="B16858" s="612"/>
      <c r="H16858" s="612"/>
    </row>
    <row r="16859">
      <c r="B16859" s="612"/>
      <c r="H16859" s="612"/>
    </row>
    <row r="16860">
      <c r="B16860" s="612"/>
      <c r="H16860" s="612"/>
    </row>
    <row r="16861">
      <c r="B16861" s="612"/>
      <c r="H16861" s="612"/>
    </row>
    <row r="16862">
      <c r="B16862" s="612"/>
      <c r="H16862" s="612"/>
    </row>
    <row r="16863">
      <c r="B16863" s="612"/>
      <c r="H16863" s="612"/>
    </row>
    <row r="16864">
      <c r="B16864" s="612"/>
      <c r="H16864" s="612"/>
    </row>
    <row r="16865">
      <c r="B16865" s="612"/>
      <c r="H16865" s="612"/>
    </row>
    <row r="16866">
      <c r="B16866" s="612"/>
      <c r="H16866" s="612"/>
    </row>
    <row r="16867">
      <c r="B16867" s="612"/>
      <c r="H16867" s="612"/>
    </row>
    <row r="16868">
      <c r="B16868" s="612"/>
      <c r="H16868" s="612"/>
    </row>
    <row r="16869">
      <c r="B16869" s="612"/>
      <c r="H16869" s="612"/>
    </row>
    <row r="16870">
      <c r="B16870" s="612"/>
      <c r="H16870" s="612"/>
    </row>
    <row r="16871">
      <c r="B16871" s="612"/>
      <c r="H16871" s="612"/>
    </row>
    <row r="16872">
      <c r="B16872" s="612"/>
      <c r="H16872" s="612"/>
    </row>
    <row r="16873">
      <c r="B16873" s="612"/>
      <c r="H16873" s="612"/>
    </row>
    <row r="16874">
      <c r="B16874" s="612"/>
      <c r="H16874" s="612"/>
    </row>
    <row r="16875">
      <c r="B16875" s="612"/>
      <c r="H16875" s="612"/>
    </row>
    <row r="16876">
      <c r="B16876" s="612"/>
      <c r="H16876" s="612"/>
    </row>
    <row r="16877">
      <c r="B16877" s="612"/>
      <c r="H16877" s="612"/>
    </row>
    <row r="16878">
      <c r="B16878" s="612"/>
      <c r="H16878" s="612"/>
    </row>
    <row r="16879">
      <c r="B16879" s="612"/>
      <c r="H16879" s="612"/>
    </row>
    <row r="16880">
      <c r="B16880" s="612"/>
      <c r="H16880" s="612"/>
    </row>
    <row r="16881">
      <c r="B16881" s="612"/>
      <c r="H16881" s="612"/>
    </row>
    <row r="16882">
      <c r="B16882" s="612"/>
      <c r="H16882" s="612"/>
    </row>
    <row r="16883">
      <c r="B16883" s="612"/>
      <c r="H16883" s="612"/>
    </row>
    <row r="16884">
      <c r="B16884" s="612"/>
      <c r="H16884" s="612"/>
    </row>
    <row r="16885">
      <c r="B16885" s="612"/>
      <c r="H16885" s="612"/>
    </row>
    <row r="16886">
      <c r="B16886" s="612"/>
      <c r="H16886" s="612"/>
    </row>
    <row r="16887">
      <c r="B16887" s="612"/>
      <c r="H16887" s="612"/>
    </row>
    <row r="16888">
      <c r="B16888" s="612"/>
      <c r="H16888" s="612"/>
    </row>
    <row r="16889">
      <c r="B16889" s="612"/>
      <c r="H16889" s="612"/>
    </row>
    <row r="16890">
      <c r="B16890" s="612"/>
      <c r="H16890" s="612"/>
    </row>
    <row r="16891">
      <c r="B16891" s="612"/>
      <c r="H16891" s="612"/>
    </row>
    <row r="16892">
      <c r="B16892" s="612"/>
      <c r="H16892" s="612"/>
    </row>
    <row r="16893">
      <c r="B16893" s="612"/>
      <c r="H16893" s="612"/>
    </row>
    <row r="16894">
      <c r="B16894" s="612"/>
      <c r="H16894" s="612"/>
    </row>
    <row r="16895">
      <c r="B16895" s="612"/>
      <c r="H16895" s="612"/>
    </row>
    <row r="16896">
      <c r="B16896" s="612"/>
      <c r="H16896" s="612"/>
    </row>
    <row r="16897">
      <c r="B16897" s="612"/>
      <c r="H16897" s="612"/>
    </row>
    <row r="16898">
      <c r="B16898" s="612"/>
      <c r="H16898" s="612"/>
    </row>
    <row r="16899">
      <c r="B16899" s="612"/>
      <c r="H16899" s="612"/>
    </row>
    <row r="16900">
      <c r="B16900" s="612"/>
      <c r="H16900" s="612"/>
    </row>
    <row r="16901">
      <c r="B16901" s="612"/>
      <c r="H16901" s="612"/>
    </row>
    <row r="16902">
      <c r="B16902" s="612"/>
      <c r="H16902" s="612"/>
    </row>
    <row r="16903">
      <c r="B16903" s="612"/>
      <c r="H16903" s="612"/>
    </row>
    <row r="16904">
      <c r="B16904" s="612"/>
      <c r="H16904" s="612"/>
    </row>
    <row r="16905">
      <c r="B16905" s="612"/>
      <c r="H16905" s="612"/>
    </row>
    <row r="16906">
      <c r="B16906" s="612"/>
      <c r="H16906" s="612"/>
    </row>
    <row r="16907">
      <c r="B16907" s="612"/>
      <c r="H16907" s="612"/>
    </row>
    <row r="16908">
      <c r="B16908" s="612"/>
      <c r="H16908" s="612"/>
    </row>
    <row r="16909">
      <c r="B16909" s="612"/>
      <c r="H16909" s="612"/>
    </row>
    <row r="16910">
      <c r="B16910" s="612"/>
      <c r="H16910" s="612"/>
    </row>
    <row r="16911">
      <c r="B16911" s="612"/>
      <c r="H16911" s="612"/>
    </row>
    <row r="16912">
      <c r="B16912" s="612"/>
      <c r="H16912" s="612"/>
    </row>
    <row r="16913">
      <c r="B16913" s="612"/>
      <c r="H16913" s="612"/>
    </row>
    <row r="16914">
      <c r="B16914" s="612"/>
      <c r="H16914" s="612"/>
    </row>
    <row r="16915">
      <c r="B16915" s="612"/>
      <c r="H16915" s="612"/>
    </row>
    <row r="16916">
      <c r="B16916" s="612"/>
      <c r="H16916" s="612"/>
    </row>
    <row r="16917">
      <c r="B16917" s="612"/>
      <c r="H16917" s="612"/>
    </row>
    <row r="16918">
      <c r="B16918" s="612"/>
      <c r="H16918" s="612"/>
    </row>
    <row r="16919">
      <c r="B16919" s="612"/>
      <c r="H16919" s="612"/>
    </row>
    <row r="16920">
      <c r="B16920" s="612"/>
      <c r="H16920" s="612"/>
    </row>
    <row r="16921">
      <c r="B16921" s="612"/>
      <c r="H16921" s="612"/>
    </row>
    <row r="16922">
      <c r="B16922" s="612"/>
      <c r="H16922" s="612"/>
    </row>
    <row r="16923">
      <c r="B16923" s="612"/>
      <c r="H16923" s="612"/>
    </row>
    <row r="16924">
      <c r="B16924" s="612"/>
      <c r="H16924" s="612"/>
    </row>
    <row r="16925">
      <c r="B16925" s="612"/>
      <c r="H16925" s="612"/>
    </row>
    <row r="16926">
      <c r="B16926" s="612"/>
      <c r="H16926" s="612"/>
    </row>
    <row r="16927">
      <c r="B16927" s="612"/>
      <c r="H16927" s="612"/>
    </row>
    <row r="16928">
      <c r="B16928" s="612"/>
      <c r="H16928" s="612"/>
    </row>
    <row r="16929">
      <c r="B16929" s="612"/>
      <c r="H16929" s="612"/>
    </row>
    <row r="16930">
      <c r="B16930" s="612"/>
      <c r="H16930" s="612"/>
    </row>
    <row r="16931">
      <c r="B16931" s="612"/>
      <c r="H16931" s="612"/>
    </row>
    <row r="16932">
      <c r="B16932" s="612"/>
      <c r="H16932" s="612"/>
    </row>
    <row r="16933">
      <c r="B16933" s="612"/>
      <c r="H16933" s="612"/>
    </row>
    <row r="16934">
      <c r="B16934" s="612"/>
      <c r="H16934" s="612"/>
    </row>
    <row r="16935">
      <c r="B16935" s="612"/>
      <c r="H16935" s="612"/>
    </row>
    <row r="16936">
      <c r="B16936" s="612"/>
      <c r="H16936" s="612"/>
    </row>
    <row r="16937">
      <c r="B16937" s="612"/>
      <c r="H16937" s="612"/>
    </row>
    <row r="16938">
      <c r="B16938" s="612"/>
      <c r="H16938" s="612"/>
    </row>
    <row r="16939">
      <c r="B16939" s="612"/>
      <c r="H16939" s="612"/>
    </row>
    <row r="16940">
      <c r="B16940" s="612"/>
      <c r="H16940" s="612"/>
    </row>
    <row r="16941">
      <c r="B16941" s="612"/>
      <c r="H16941" s="612"/>
    </row>
    <row r="16942">
      <c r="B16942" s="612"/>
      <c r="H16942" s="612"/>
    </row>
    <row r="16943">
      <c r="B16943" s="612"/>
      <c r="H16943" s="612"/>
    </row>
    <row r="16944">
      <c r="B16944" s="612"/>
      <c r="H16944" s="612"/>
    </row>
    <row r="16945">
      <c r="B16945" s="612"/>
      <c r="H16945" s="612"/>
    </row>
    <row r="16946">
      <c r="B16946" s="612"/>
      <c r="H16946" s="612"/>
    </row>
    <row r="16947">
      <c r="B16947" s="612"/>
      <c r="H16947" s="612"/>
    </row>
    <row r="16948">
      <c r="B16948" s="612"/>
      <c r="H16948" s="612"/>
    </row>
    <row r="16949">
      <c r="B16949" s="612"/>
      <c r="H16949" s="612"/>
    </row>
    <row r="16950">
      <c r="B16950" s="612"/>
      <c r="H16950" s="612"/>
    </row>
    <row r="16951">
      <c r="B16951" s="612"/>
      <c r="H16951" s="612"/>
    </row>
    <row r="16952">
      <c r="B16952" s="612"/>
      <c r="H16952" s="612"/>
    </row>
    <row r="16953">
      <c r="B16953" s="612"/>
      <c r="H16953" s="612"/>
    </row>
    <row r="16954">
      <c r="B16954" s="612"/>
      <c r="H16954" s="612"/>
    </row>
    <row r="16955">
      <c r="B16955" s="612"/>
      <c r="H16955" s="612"/>
    </row>
    <row r="16956">
      <c r="B16956" s="612"/>
      <c r="H16956" s="612"/>
    </row>
    <row r="16957">
      <c r="B16957" s="612"/>
      <c r="H16957" s="612"/>
    </row>
    <row r="16958">
      <c r="B16958" s="612"/>
      <c r="H16958" s="612"/>
    </row>
    <row r="16959">
      <c r="B16959" s="612"/>
      <c r="H16959" s="612"/>
    </row>
    <row r="16960">
      <c r="B16960" s="612"/>
      <c r="H16960" s="612"/>
    </row>
    <row r="16961">
      <c r="B16961" s="612"/>
      <c r="H16961" s="612"/>
    </row>
    <row r="16962">
      <c r="B16962" s="612"/>
      <c r="H16962" s="612"/>
    </row>
    <row r="16963">
      <c r="B16963" s="612"/>
      <c r="H16963" s="612"/>
    </row>
    <row r="16964">
      <c r="B16964" s="612"/>
      <c r="H16964" s="612"/>
    </row>
    <row r="16965">
      <c r="B16965" s="612"/>
      <c r="H16965" s="612"/>
    </row>
    <row r="16966">
      <c r="B16966" s="612"/>
      <c r="H16966" s="612"/>
    </row>
    <row r="16967">
      <c r="B16967" s="612"/>
      <c r="H16967" s="612"/>
    </row>
    <row r="16968">
      <c r="B16968" s="612"/>
      <c r="H16968" s="612"/>
    </row>
    <row r="16969">
      <c r="B16969" s="612"/>
      <c r="H16969" s="612"/>
    </row>
    <row r="16970">
      <c r="B16970" s="612"/>
      <c r="H16970" s="612"/>
    </row>
    <row r="16971">
      <c r="B16971" s="612"/>
      <c r="H16971" s="612"/>
    </row>
    <row r="16972">
      <c r="B16972" s="612"/>
      <c r="H16972" s="612"/>
    </row>
    <row r="16973">
      <c r="B16973" s="612"/>
      <c r="H16973" s="612"/>
    </row>
    <row r="16974">
      <c r="B16974" s="612"/>
      <c r="H16974" s="612"/>
    </row>
    <row r="16975">
      <c r="B16975" s="612"/>
      <c r="H16975" s="612"/>
    </row>
    <row r="16976">
      <c r="B16976" s="612"/>
      <c r="H16976" s="612"/>
    </row>
    <row r="16977">
      <c r="B16977" s="612"/>
      <c r="H16977" s="612"/>
    </row>
    <row r="16978">
      <c r="B16978" s="612"/>
      <c r="H16978" s="612"/>
    </row>
    <row r="16979">
      <c r="B16979" s="612"/>
      <c r="H16979" s="612"/>
    </row>
    <row r="16980">
      <c r="B16980" s="612"/>
      <c r="H16980" s="612"/>
    </row>
    <row r="16981">
      <c r="B16981" s="612"/>
      <c r="H16981" s="612"/>
    </row>
    <row r="16982">
      <c r="B16982" s="612"/>
      <c r="H16982" s="612"/>
    </row>
    <row r="16983">
      <c r="B16983" s="612"/>
      <c r="H16983" s="612"/>
    </row>
    <row r="16984">
      <c r="B16984" s="612"/>
      <c r="H16984" s="612"/>
    </row>
    <row r="16985">
      <c r="B16985" s="612"/>
      <c r="H16985" s="612"/>
    </row>
    <row r="16986">
      <c r="B16986" s="612"/>
      <c r="H16986" s="612"/>
    </row>
    <row r="16987">
      <c r="B16987" s="612"/>
      <c r="H16987" s="612"/>
    </row>
    <row r="16988">
      <c r="B16988" s="612"/>
      <c r="H16988" s="612"/>
    </row>
    <row r="16989">
      <c r="B16989" s="612"/>
      <c r="H16989" s="612"/>
    </row>
    <row r="16990">
      <c r="B16990" s="612"/>
      <c r="H16990" s="612"/>
    </row>
    <row r="16991">
      <c r="B16991" s="612"/>
      <c r="H16991" s="612"/>
    </row>
    <row r="16992">
      <c r="B16992" s="612"/>
      <c r="H16992" s="612"/>
    </row>
    <row r="16993">
      <c r="B16993" s="612"/>
      <c r="H16993" s="612"/>
    </row>
    <row r="16994">
      <c r="B16994" s="612"/>
      <c r="H16994" s="612"/>
    </row>
    <row r="16995">
      <c r="B16995" s="612"/>
      <c r="H16995" s="612"/>
    </row>
    <row r="16996">
      <c r="B16996" s="612"/>
      <c r="H16996" s="612"/>
    </row>
    <row r="16997">
      <c r="B16997" s="612"/>
      <c r="H16997" s="612"/>
    </row>
    <row r="16998">
      <c r="B16998" s="612"/>
      <c r="H16998" s="612"/>
    </row>
    <row r="16999">
      <c r="B16999" s="612"/>
      <c r="H16999" s="612"/>
    </row>
    <row r="17000">
      <c r="B17000" s="612"/>
      <c r="H17000" s="612"/>
    </row>
    <row r="17001">
      <c r="B17001" s="612"/>
      <c r="H17001" s="612"/>
    </row>
    <row r="17002">
      <c r="B17002" s="612"/>
      <c r="H17002" s="612"/>
    </row>
    <row r="17003">
      <c r="B17003" s="612"/>
      <c r="H17003" s="612"/>
    </row>
    <row r="17004">
      <c r="B17004" s="612"/>
      <c r="H17004" s="612"/>
    </row>
    <row r="17005">
      <c r="B17005" s="612"/>
      <c r="H17005" s="612"/>
    </row>
    <row r="17006">
      <c r="B17006" s="612"/>
      <c r="H17006" s="612"/>
    </row>
    <row r="17007">
      <c r="B17007" s="612"/>
      <c r="H17007" s="612"/>
    </row>
    <row r="17008">
      <c r="B17008" s="612"/>
      <c r="H17008" s="612"/>
    </row>
    <row r="17009">
      <c r="B17009" s="612"/>
      <c r="H17009" s="612"/>
    </row>
    <row r="17010">
      <c r="B17010" s="612"/>
      <c r="H17010" s="612"/>
    </row>
    <row r="17011">
      <c r="B17011" s="612"/>
      <c r="H17011" s="612"/>
    </row>
    <row r="17012">
      <c r="B17012" s="612"/>
      <c r="H17012" s="612"/>
    </row>
    <row r="17013">
      <c r="B17013" s="612"/>
      <c r="H17013" s="612"/>
    </row>
    <row r="17014">
      <c r="B17014" s="612"/>
      <c r="H17014" s="612"/>
    </row>
    <row r="17015">
      <c r="B17015" s="612"/>
      <c r="H17015" s="612"/>
    </row>
    <row r="17016">
      <c r="B17016" s="612"/>
      <c r="H17016" s="612"/>
    </row>
    <row r="17017">
      <c r="B17017" s="612"/>
      <c r="H17017" s="612"/>
    </row>
    <row r="17018">
      <c r="B17018" s="612"/>
      <c r="H17018" s="612"/>
    </row>
    <row r="17019">
      <c r="B17019" s="612"/>
      <c r="H17019" s="612"/>
    </row>
    <row r="17020">
      <c r="B17020" s="612"/>
      <c r="H17020" s="612"/>
    </row>
    <row r="17021">
      <c r="B17021" s="612"/>
      <c r="H17021" s="612"/>
    </row>
    <row r="17022">
      <c r="B17022" s="612"/>
      <c r="H17022" s="612"/>
    </row>
    <row r="17023">
      <c r="B17023" s="612"/>
      <c r="H17023" s="612"/>
    </row>
    <row r="17024">
      <c r="B17024" s="612"/>
      <c r="H17024" s="612"/>
    </row>
    <row r="17025">
      <c r="B17025" s="612"/>
      <c r="H17025" s="612"/>
    </row>
    <row r="17026">
      <c r="B17026" s="612"/>
      <c r="H17026" s="612"/>
    </row>
    <row r="17027">
      <c r="B17027" s="612"/>
      <c r="H17027" s="612"/>
    </row>
    <row r="17028">
      <c r="B17028" s="612"/>
      <c r="H17028" s="612"/>
    </row>
    <row r="17029">
      <c r="B17029" s="612"/>
      <c r="H17029" s="612"/>
    </row>
    <row r="17030">
      <c r="B17030" s="612"/>
      <c r="H17030" s="612"/>
    </row>
    <row r="17031">
      <c r="B17031" s="612"/>
      <c r="H17031" s="612"/>
    </row>
    <row r="17032">
      <c r="B17032" s="612"/>
      <c r="H17032" s="612"/>
    </row>
    <row r="17033">
      <c r="B17033" s="612"/>
      <c r="H17033" s="612"/>
    </row>
    <row r="17034">
      <c r="B17034" s="612"/>
      <c r="H17034" s="612"/>
    </row>
    <row r="17035">
      <c r="B17035" s="612"/>
      <c r="H17035" s="612"/>
    </row>
    <row r="17036">
      <c r="B17036" s="612"/>
      <c r="H17036" s="612"/>
    </row>
    <row r="17037">
      <c r="B17037" s="612"/>
      <c r="H17037" s="612"/>
    </row>
    <row r="17038">
      <c r="B17038" s="612"/>
      <c r="H17038" s="612"/>
    </row>
    <row r="17039">
      <c r="B17039" s="612"/>
      <c r="H17039" s="612"/>
    </row>
    <row r="17040">
      <c r="B17040" s="612"/>
      <c r="H17040" s="612"/>
    </row>
    <row r="17041">
      <c r="B17041" s="612"/>
      <c r="H17041" s="612"/>
    </row>
    <row r="17042">
      <c r="B17042" s="612"/>
      <c r="H17042" s="612"/>
    </row>
    <row r="17043">
      <c r="B17043" s="612"/>
      <c r="H17043" s="612"/>
    </row>
    <row r="17044">
      <c r="B17044" s="612"/>
      <c r="H17044" s="612"/>
    </row>
    <row r="17045">
      <c r="B17045" s="612"/>
      <c r="H17045" s="612"/>
    </row>
    <row r="17046">
      <c r="B17046" s="612"/>
      <c r="H17046" s="612"/>
    </row>
    <row r="17047">
      <c r="B17047" s="612"/>
      <c r="H17047" s="612"/>
    </row>
    <row r="17048">
      <c r="B17048" s="612"/>
      <c r="H17048" s="612"/>
    </row>
    <row r="17049">
      <c r="B17049" s="612"/>
      <c r="H17049" s="612"/>
    </row>
    <row r="17050">
      <c r="B17050" s="612"/>
      <c r="H17050" s="612"/>
    </row>
    <row r="17051">
      <c r="B17051" s="612"/>
      <c r="H17051" s="612"/>
    </row>
    <row r="17052">
      <c r="B17052" s="612"/>
      <c r="H17052" s="612"/>
    </row>
    <row r="17053">
      <c r="B17053" s="612"/>
      <c r="H17053" s="612"/>
    </row>
    <row r="17054">
      <c r="B17054" s="612"/>
      <c r="H17054" s="612"/>
    </row>
    <row r="17055">
      <c r="B17055" s="612"/>
      <c r="H17055" s="612"/>
    </row>
    <row r="17056">
      <c r="B17056" s="612"/>
      <c r="H17056" s="612"/>
    </row>
    <row r="17057">
      <c r="B17057" s="612"/>
      <c r="H17057" s="612"/>
    </row>
    <row r="17058">
      <c r="B17058" s="612"/>
      <c r="H17058" s="612"/>
    </row>
    <row r="17059">
      <c r="B17059" s="612"/>
      <c r="H17059" s="612"/>
    </row>
    <row r="17060">
      <c r="B17060" s="612"/>
      <c r="H17060" s="612"/>
    </row>
    <row r="17061">
      <c r="B17061" s="612"/>
      <c r="H17061" s="612"/>
    </row>
    <row r="17062">
      <c r="B17062" s="612"/>
      <c r="H17062" s="612"/>
    </row>
    <row r="17063">
      <c r="B17063" s="612"/>
      <c r="H17063" s="612"/>
    </row>
    <row r="17064">
      <c r="B17064" s="612"/>
      <c r="H17064" s="612"/>
    </row>
    <row r="17065">
      <c r="B17065" s="612"/>
      <c r="H17065" s="612"/>
    </row>
    <row r="17066">
      <c r="B17066" s="612"/>
      <c r="H17066" s="612"/>
    </row>
    <row r="17067">
      <c r="B17067" s="612"/>
      <c r="H17067" s="612"/>
    </row>
    <row r="17068">
      <c r="B17068" s="612"/>
      <c r="H17068" s="612"/>
    </row>
    <row r="17069">
      <c r="B17069" s="612"/>
      <c r="H17069" s="612"/>
    </row>
    <row r="17070">
      <c r="B17070" s="612"/>
      <c r="H17070" s="612"/>
    </row>
    <row r="17071">
      <c r="B17071" s="612"/>
      <c r="H17071" s="612"/>
    </row>
    <row r="17072">
      <c r="B17072" s="612"/>
      <c r="H17072" s="612"/>
    </row>
    <row r="17073">
      <c r="B17073" s="612"/>
      <c r="H17073" s="612"/>
    </row>
    <row r="17074">
      <c r="B17074" s="612"/>
      <c r="H17074" s="612"/>
    </row>
    <row r="17075">
      <c r="B17075" s="612"/>
      <c r="H17075" s="612"/>
    </row>
    <row r="17076">
      <c r="B17076" s="612"/>
      <c r="H17076" s="612"/>
    </row>
    <row r="17077">
      <c r="B17077" s="612"/>
      <c r="H17077" s="612"/>
    </row>
    <row r="17078">
      <c r="B17078" s="612"/>
      <c r="H17078" s="612"/>
    </row>
    <row r="17079">
      <c r="B17079" s="612"/>
      <c r="H17079" s="612"/>
    </row>
    <row r="17080">
      <c r="B17080" s="612"/>
      <c r="H17080" s="612"/>
    </row>
    <row r="17081">
      <c r="B17081" s="612"/>
      <c r="H17081" s="612"/>
    </row>
    <row r="17082">
      <c r="B17082" s="612"/>
      <c r="H17082" s="612"/>
    </row>
    <row r="17083">
      <c r="B17083" s="612"/>
      <c r="H17083" s="612"/>
    </row>
    <row r="17084">
      <c r="B17084" s="612"/>
      <c r="H17084" s="612"/>
    </row>
    <row r="17085">
      <c r="B17085" s="612"/>
      <c r="H17085" s="612"/>
    </row>
    <row r="17086">
      <c r="B17086" s="612"/>
      <c r="H17086" s="612"/>
    </row>
    <row r="17087">
      <c r="B17087" s="612"/>
      <c r="H17087" s="612"/>
    </row>
    <row r="17088">
      <c r="B17088" s="612"/>
      <c r="H17088" s="612"/>
    </row>
    <row r="17089">
      <c r="B17089" s="612"/>
      <c r="H17089" s="612"/>
    </row>
    <row r="17090">
      <c r="B17090" s="612"/>
      <c r="H17090" s="612"/>
    </row>
    <row r="17091">
      <c r="B17091" s="612"/>
      <c r="H17091" s="612"/>
    </row>
    <row r="17092">
      <c r="B17092" s="612"/>
      <c r="H17092" s="612"/>
    </row>
    <row r="17093">
      <c r="B17093" s="612"/>
      <c r="H17093" s="612"/>
    </row>
    <row r="17094">
      <c r="B17094" s="612"/>
      <c r="H17094" s="612"/>
    </row>
    <row r="17095">
      <c r="B17095" s="612"/>
      <c r="H17095" s="612"/>
    </row>
    <row r="17096">
      <c r="B17096" s="612"/>
      <c r="H17096" s="612"/>
    </row>
    <row r="17097">
      <c r="B17097" s="612"/>
      <c r="H17097" s="612"/>
    </row>
    <row r="17098">
      <c r="B17098" s="612"/>
      <c r="H17098" s="612"/>
    </row>
    <row r="17099">
      <c r="B17099" s="612"/>
      <c r="H17099" s="612"/>
    </row>
    <row r="17100">
      <c r="B17100" s="612"/>
      <c r="H17100" s="612"/>
    </row>
    <row r="17101">
      <c r="B17101" s="612"/>
      <c r="H17101" s="612"/>
    </row>
    <row r="17102">
      <c r="B17102" s="612"/>
      <c r="H17102" s="612"/>
    </row>
    <row r="17103">
      <c r="B17103" s="612"/>
      <c r="H17103" s="612"/>
    </row>
    <row r="17104">
      <c r="B17104" s="612"/>
      <c r="H17104" s="612"/>
    </row>
    <row r="17105">
      <c r="B17105" s="612"/>
      <c r="H17105" s="612"/>
    </row>
    <row r="17106">
      <c r="B17106" s="612"/>
      <c r="H17106" s="612"/>
    </row>
    <row r="17107">
      <c r="B17107" s="612"/>
      <c r="H17107" s="612"/>
    </row>
    <row r="17108">
      <c r="B17108" s="612"/>
      <c r="H17108" s="612"/>
    </row>
    <row r="17109">
      <c r="B17109" s="612"/>
      <c r="H17109" s="612"/>
    </row>
    <row r="17110">
      <c r="B17110" s="612"/>
      <c r="H17110" s="612"/>
    </row>
    <row r="17111">
      <c r="B17111" s="612"/>
      <c r="H17111" s="612"/>
    </row>
    <row r="17112">
      <c r="B17112" s="612"/>
      <c r="H17112" s="612"/>
    </row>
    <row r="17113">
      <c r="B17113" s="612"/>
      <c r="H17113" s="612"/>
    </row>
    <row r="17114">
      <c r="B17114" s="612"/>
      <c r="H17114" s="612"/>
    </row>
    <row r="17115">
      <c r="B17115" s="612"/>
      <c r="H17115" s="612"/>
    </row>
    <row r="17116">
      <c r="B17116" s="612"/>
      <c r="H17116" s="612"/>
    </row>
    <row r="17117">
      <c r="B17117" s="612"/>
      <c r="H17117" s="612"/>
    </row>
    <row r="17118">
      <c r="B17118" s="612"/>
      <c r="H17118" s="612"/>
    </row>
    <row r="17119">
      <c r="B17119" s="612"/>
      <c r="H17119" s="612"/>
    </row>
    <row r="17120">
      <c r="B17120" s="612"/>
      <c r="H17120" s="612"/>
    </row>
    <row r="17121">
      <c r="B17121" s="612"/>
      <c r="H17121" s="612"/>
    </row>
    <row r="17122">
      <c r="B17122" s="612"/>
      <c r="H17122" s="612"/>
    </row>
    <row r="17123">
      <c r="B17123" s="612"/>
      <c r="H17123" s="612"/>
    </row>
    <row r="17124">
      <c r="B17124" s="612"/>
      <c r="H17124" s="612"/>
    </row>
    <row r="17125">
      <c r="B17125" s="612"/>
      <c r="H17125" s="612"/>
    </row>
    <row r="17126">
      <c r="B17126" s="612"/>
      <c r="H17126" s="612"/>
    </row>
    <row r="17127">
      <c r="B17127" s="612"/>
      <c r="H17127" s="612"/>
    </row>
    <row r="17128">
      <c r="B17128" s="612"/>
      <c r="H17128" s="612"/>
    </row>
    <row r="17129">
      <c r="B17129" s="612"/>
      <c r="H17129" s="612"/>
    </row>
    <row r="17130">
      <c r="B17130" s="612"/>
      <c r="H17130" s="612"/>
    </row>
    <row r="17131">
      <c r="B17131" s="612"/>
      <c r="H17131" s="612"/>
    </row>
    <row r="17132">
      <c r="B17132" s="612"/>
      <c r="H17132" s="612"/>
    </row>
    <row r="17133">
      <c r="B17133" s="612"/>
      <c r="H17133" s="612"/>
    </row>
    <row r="17134">
      <c r="B17134" s="612"/>
      <c r="H17134" s="612"/>
    </row>
    <row r="17135">
      <c r="B17135" s="612"/>
      <c r="H17135" s="612"/>
    </row>
    <row r="17136">
      <c r="B17136" s="612"/>
      <c r="H17136" s="612"/>
    </row>
    <row r="17137">
      <c r="B17137" s="612"/>
      <c r="H17137" s="612"/>
    </row>
    <row r="17138">
      <c r="B17138" s="612"/>
      <c r="H17138" s="612"/>
    </row>
    <row r="17139">
      <c r="B17139" s="612"/>
      <c r="H17139" s="612"/>
    </row>
    <row r="17140">
      <c r="B17140" s="612"/>
      <c r="H17140" s="612"/>
    </row>
    <row r="17141">
      <c r="B17141" s="612"/>
      <c r="H17141" s="612"/>
    </row>
    <row r="17142">
      <c r="B17142" s="612"/>
      <c r="H17142" s="612"/>
    </row>
    <row r="17143">
      <c r="B17143" s="612"/>
      <c r="H17143" s="612"/>
    </row>
    <row r="17144">
      <c r="B17144" s="612"/>
      <c r="H17144" s="612"/>
    </row>
    <row r="17145">
      <c r="B17145" s="612"/>
      <c r="H17145" s="612"/>
    </row>
    <row r="17146">
      <c r="B17146" s="612"/>
      <c r="H17146" s="612"/>
    </row>
    <row r="17147">
      <c r="B17147" s="612"/>
      <c r="H17147" s="612"/>
    </row>
    <row r="17148">
      <c r="B17148" s="612"/>
      <c r="H17148" s="612"/>
    </row>
    <row r="17149">
      <c r="B17149" s="612"/>
      <c r="H17149" s="612"/>
    </row>
    <row r="17150">
      <c r="B17150" s="612"/>
      <c r="H17150" s="612"/>
    </row>
    <row r="17151">
      <c r="B17151" s="612"/>
      <c r="H17151" s="612"/>
    </row>
    <row r="17152">
      <c r="B17152" s="612"/>
      <c r="H17152" s="612"/>
    </row>
    <row r="17153">
      <c r="B17153" s="612"/>
      <c r="H17153" s="612"/>
    </row>
    <row r="17154">
      <c r="B17154" s="612"/>
      <c r="H17154" s="612"/>
    </row>
    <row r="17155">
      <c r="B17155" s="612"/>
      <c r="H17155" s="612"/>
    </row>
    <row r="17156">
      <c r="B17156" s="612"/>
      <c r="H17156" s="612"/>
    </row>
    <row r="17157">
      <c r="B17157" s="612"/>
      <c r="H17157" s="612"/>
    </row>
    <row r="17158">
      <c r="B17158" s="612"/>
      <c r="H17158" s="612"/>
    </row>
    <row r="17159">
      <c r="B17159" s="612"/>
      <c r="H17159" s="612"/>
    </row>
    <row r="17160">
      <c r="B17160" s="612"/>
      <c r="H17160" s="612"/>
    </row>
    <row r="17161">
      <c r="B17161" s="612"/>
      <c r="H17161" s="612"/>
    </row>
    <row r="17162">
      <c r="B17162" s="612"/>
      <c r="H17162" s="612"/>
    </row>
    <row r="17163">
      <c r="B17163" s="612"/>
      <c r="H17163" s="612"/>
    </row>
    <row r="17164">
      <c r="B17164" s="612"/>
      <c r="H17164" s="612"/>
    </row>
    <row r="17165">
      <c r="B17165" s="612"/>
      <c r="H17165" s="612"/>
    </row>
    <row r="17166">
      <c r="B17166" s="612"/>
      <c r="H17166" s="612"/>
    </row>
    <row r="17167">
      <c r="B17167" s="612"/>
      <c r="H17167" s="612"/>
    </row>
    <row r="17168">
      <c r="B17168" s="612"/>
      <c r="H17168" s="612"/>
    </row>
    <row r="17169">
      <c r="B17169" s="612"/>
      <c r="H17169" s="612"/>
    </row>
    <row r="17170">
      <c r="B17170" s="612"/>
      <c r="H17170" s="612"/>
    </row>
    <row r="17171">
      <c r="B17171" s="612"/>
      <c r="H17171" s="612"/>
    </row>
    <row r="17172">
      <c r="B17172" s="612"/>
      <c r="H17172" s="612"/>
    </row>
    <row r="17173">
      <c r="B17173" s="612"/>
      <c r="H17173" s="612"/>
    </row>
    <row r="17174">
      <c r="B17174" s="612"/>
      <c r="H17174" s="612"/>
    </row>
    <row r="17175">
      <c r="B17175" s="612"/>
      <c r="H17175" s="612"/>
    </row>
    <row r="17176">
      <c r="B17176" s="612"/>
      <c r="H17176" s="612"/>
    </row>
    <row r="17177">
      <c r="B17177" s="612"/>
      <c r="H17177" s="612"/>
    </row>
    <row r="17178">
      <c r="B17178" s="612"/>
      <c r="H17178" s="612"/>
    </row>
    <row r="17179">
      <c r="B17179" s="612"/>
      <c r="H17179" s="612"/>
    </row>
    <row r="17180">
      <c r="B17180" s="612"/>
      <c r="H17180" s="612"/>
    </row>
    <row r="17181">
      <c r="B17181" s="612"/>
      <c r="H17181" s="612"/>
    </row>
    <row r="17182">
      <c r="B17182" s="612"/>
      <c r="H17182" s="612"/>
    </row>
    <row r="17183">
      <c r="B17183" s="612"/>
      <c r="H17183" s="612"/>
    </row>
    <row r="17184">
      <c r="B17184" s="612"/>
      <c r="H17184" s="612"/>
    </row>
    <row r="17185">
      <c r="B17185" s="612"/>
      <c r="H17185" s="612"/>
    </row>
    <row r="17186">
      <c r="B17186" s="612"/>
      <c r="H17186" s="612"/>
    </row>
    <row r="17187">
      <c r="B17187" s="612"/>
      <c r="H17187" s="612"/>
    </row>
    <row r="17188">
      <c r="B17188" s="612"/>
      <c r="H17188" s="612"/>
    </row>
    <row r="17189">
      <c r="B17189" s="612"/>
      <c r="H17189" s="612"/>
    </row>
    <row r="17190">
      <c r="B17190" s="612"/>
      <c r="H17190" s="612"/>
    </row>
    <row r="17191">
      <c r="B17191" s="612"/>
      <c r="H17191" s="612"/>
    </row>
    <row r="17192">
      <c r="B17192" s="612"/>
      <c r="H17192" s="612"/>
    </row>
    <row r="17193">
      <c r="B17193" s="612"/>
      <c r="H17193" s="612"/>
    </row>
    <row r="17194">
      <c r="B17194" s="612"/>
      <c r="H17194" s="612"/>
    </row>
    <row r="17195">
      <c r="B17195" s="612"/>
      <c r="H17195" s="612"/>
    </row>
    <row r="17196">
      <c r="B17196" s="612"/>
      <c r="H17196" s="612"/>
    </row>
    <row r="17197">
      <c r="B17197" s="612"/>
      <c r="H17197" s="612"/>
    </row>
    <row r="17198">
      <c r="B17198" s="612"/>
      <c r="H17198" s="612"/>
    </row>
    <row r="17199">
      <c r="B17199" s="612"/>
      <c r="H17199" s="612"/>
    </row>
    <row r="17200">
      <c r="B17200" s="612"/>
      <c r="H17200" s="612"/>
    </row>
    <row r="17201">
      <c r="B17201" s="612"/>
      <c r="H17201" s="612"/>
    </row>
    <row r="17202">
      <c r="B17202" s="612"/>
      <c r="H17202" s="612"/>
    </row>
    <row r="17203">
      <c r="B17203" s="612"/>
      <c r="H17203" s="612"/>
    </row>
    <row r="17204">
      <c r="B17204" s="612"/>
      <c r="H17204" s="612"/>
    </row>
    <row r="17205">
      <c r="B17205" s="612"/>
      <c r="H17205" s="612"/>
    </row>
    <row r="17206">
      <c r="B17206" s="612"/>
      <c r="H17206" s="612"/>
    </row>
    <row r="17207">
      <c r="B17207" s="612"/>
      <c r="H17207" s="612"/>
    </row>
    <row r="17208">
      <c r="B17208" s="612"/>
      <c r="H17208" s="612"/>
    </row>
    <row r="17209">
      <c r="B17209" s="612"/>
      <c r="H17209" s="612"/>
    </row>
    <row r="17210">
      <c r="B17210" s="612"/>
      <c r="H17210" s="612"/>
    </row>
    <row r="17211">
      <c r="B17211" s="612"/>
      <c r="H17211" s="612"/>
    </row>
    <row r="17212">
      <c r="B17212" s="612"/>
      <c r="H17212" s="612"/>
    </row>
    <row r="17213">
      <c r="B17213" s="612"/>
      <c r="H17213" s="612"/>
    </row>
    <row r="17214">
      <c r="B17214" s="612"/>
      <c r="H17214" s="612"/>
    </row>
    <row r="17215">
      <c r="B17215" s="612"/>
      <c r="H17215" s="612"/>
    </row>
    <row r="17216">
      <c r="B17216" s="612"/>
      <c r="H17216" s="612"/>
    </row>
    <row r="17217">
      <c r="B17217" s="612"/>
      <c r="H17217" s="612"/>
    </row>
    <row r="17218">
      <c r="B17218" s="612"/>
      <c r="H17218" s="612"/>
    </row>
    <row r="17219">
      <c r="B17219" s="612"/>
      <c r="H17219" s="612"/>
    </row>
    <row r="17220">
      <c r="B17220" s="612"/>
      <c r="H17220" s="612"/>
    </row>
    <row r="17221">
      <c r="B17221" s="612"/>
      <c r="H17221" s="612"/>
    </row>
    <row r="17222">
      <c r="B17222" s="612"/>
      <c r="H17222" s="612"/>
    </row>
    <row r="17223">
      <c r="B17223" s="612"/>
      <c r="H17223" s="612"/>
    </row>
    <row r="17224">
      <c r="B17224" s="612"/>
      <c r="H17224" s="612"/>
    </row>
    <row r="17225">
      <c r="B17225" s="612"/>
      <c r="H17225" s="612"/>
    </row>
    <row r="17226">
      <c r="B17226" s="612"/>
      <c r="H17226" s="612"/>
    </row>
    <row r="17227">
      <c r="B17227" s="612"/>
      <c r="H17227" s="612"/>
    </row>
    <row r="17228">
      <c r="B17228" s="612"/>
      <c r="H17228" s="612"/>
    </row>
    <row r="17229">
      <c r="B17229" s="612"/>
      <c r="H17229" s="612"/>
    </row>
    <row r="17230">
      <c r="B17230" s="612"/>
      <c r="H17230" s="612"/>
    </row>
    <row r="17231">
      <c r="B17231" s="612"/>
      <c r="H17231" s="612"/>
    </row>
    <row r="17232">
      <c r="B17232" s="612"/>
      <c r="H17232" s="612"/>
    </row>
    <row r="17233">
      <c r="B17233" s="612"/>
      <c r="H17233" s="612"/>
    </row>
    <row r="17234">
      <c r="B17234" s="612"/>
      <c r="H17234" s="612"/>
    </row>
    <row r="17235">
      <c r="B17235" s="612"/>
      <c r="H17235" s="612"/>
    </row>
    <row r="17236">
      <c r="B17236" s="612"/>
      <c r="H17236" s="612"/>
    </row>
    <row r="17237">
      <c r="B17237" s="612"/>
      <c r="H17237" s="612"/>
    </row>
    <row r="17238">
      <c r="B17238" s="612"/>
      <c r="H17238" s="612"/>
    </row>
    <row r="17239">
      <c r="B17239" s="612"/>
      <c r="H17239" s="612"/>
    </row>
    <row r="17240">
      <c r="B17240" s="612"/>
      <c r="H17240" s="612"/>
    </row>
    <row r="17241">
      <c r="B17241" s="612"/>
      <c r="H17241" s="612"/>
    </row>
    <row r="17242">
      <c r="B17242" s="612"/>
      <c r="H17242" s="612"/>
    </row>
    <row r="17243">
      <c r="B17243" s="612"/>
      <c r="H17243" s="612"/>
    </row>
    <row r="17244">
      <c r="B17244" s="612"/>
      <c r="H17244" s="612"/>
    </row>
    <row r="17245">
      <c r="B17245" s="612"/>
      <c r="H17245" s="612"/>
    </row>
    <row r="17246">
      <c r="B17246" s="612"/>
      <c r="H17246" s="612"/>
    </row>
    <row r="17247">
      <c r="B17247" s="612"/>
      <c r="H17247" s="612"/>
    </row>
    <row r="17248">
      <c r="B17248" s="612"/>
      <c r="H17248" s="612"/>
    </row>
    <row r="17249">
      <c r="B17249" s="612"/>
      <c r="H17249" s="612"/>
    </row>
    <row r="17250">
      <c r="B17250" s="612"/>
      <c r="H17250" s="612"/>
    </row>
    <row r="17251">
      <c r="B17251" s="612"/>
      <c r="H17251" s="612"/>
    </row>
    <row r="17252">
      <c r="B17252" s="612"/>
      <c r="H17252" s="612"/>
    </row>
    <row r="17253">
      <c r="B17253" s="612"/>
      <c r="H17253" s="612"/>
    </row>
    <row r="17254">
      <c r="B17254" s="612"/>
      <c r="H17254" s="612"/>
    </row>
    <row r="17255">
      <c r="B17255" s="612"/>
      <c r="H17255" s="612"/>
    </row>
    <row r="17256">
      <c r="B17256" s="612"/>
      <c r="H17256" s="612"/>
    </row>
    <row r="17257">
      <c r="B17257" s="612"/>
      <c r="H17257" s="612"/>
    </row>
    <row r="17258">
      <c r="B17258" s="612"/>
      <c r="H17258" s="612"/>
    </row>
    <row r="17259">
      <c r="B17259" s="612"/>
      <c r="H17259" s="612"/>
    </row>
    <row r="17260">
      <c r="B17260" s="612"/>
      <c r="H17260" s="612"/>
    </row>
    <row r="17261">
      <c r="B17261" s="612"/>
      <c r="H17261" s="612"/>
    </row>
    <row r="17262">
      <c r="B17262" s="612"/>
      <c r="H17262" s="612"/>
    </row>
    <row r="17263">
      <c r="B17263" s="612"/>
      <c r="H17263" s="612"/>
    </row>
    <row r="17264">
      <c r="B17264" s="612"/>
      <c r="H17264" s="612"/>
    </row>
    <row r="17265">
      <c r="B17265" s="612"/>
      <c r="H17265" s="612"/>
    </row>
    <row r="17266">
      <c r="B17266" s="612"/>
      <c r="H17266" s="612"/>
    </row>
    <row r="17267">
      <c r="B17267" s="612"/>
      <c r="H17267" s="612"/>
    </row>
    <row r="17268">
      <c r="B17268" s="612"/>
      <c r="H17268" s="612"/>
    </row>
    <row r="17269">
      <c r="B17269" s="612"/>
      <c r="H17269" s="612"/>
    </row>
    <row r="17270">
      <c r="B17270" s="612"/>
      <c r="H17270" s="612"/>
    </row>
    <row r="17271">
      <c r="B17271" s="612"/>
      <c r="H17271" s="612"/>
    </row>
    <row r="17272">
      <c r="B17272" s="612"/>
      <c r="H17272" s="612"/>
    </row>
    <row r="17273">
      <c r="B17273" s="612"/>
      <c r="H17273" s="612"/>
    </row>
    <row r="17274">
      <c r="B17274" s="612"/>
      <c r="H17274" s="612"/>
    </row>
    <row r="17275">
      <c r="B17275" s="612"/>
      <c r="H17275" s="612"/>
    </row>
    <row r="17276">
      <c r="B17276" s="612"/>
      <c r="H17276" s="612"/>
    </row>
    <row r="17277">
      <c r="B17277" s="612"/>
      <c r="H17277" s="612"/>
    </row>
    <row r="17278">
      <c r="B17278" s="612"/>
      <c r="H17278" s="612"/>
    </row>
    <row r="17279">
      <c r="B17279" s="612"/>
      <c r="H17279" s="612"/>
    </row>
    <row r="17280">
      <c r="B17280" s="612"/>
      <c r="H17280" s="612"/>
    </row>
    <row r="17281">
      <c r="B17281" s="612"/>
      <c r="H17281" s="612"/>
    </row>
    <row r="17282">
      <c r="B17282" s="612"/>
      <c r="H17282" s="612"/>
    </row>
    <row r="17283">
      <c r="B17283" s="612"/>
      <c r="H17283" s="612"/>
    </row>
    <row r="17284">
      <c r="B17284" s="612"/>
      <c r="H17284" s="612"/>
    </row>
    <row r="17285">
      <c r="B17285" s="612"/>
      <c r="H17285" s="612"/>
    </row>
    <row r="17286">
      <c r="B17286" s="612"/>
      <c r="H17286" s="612"/>
    </row>
    <row r="17287">
      <c r="B17287" s="612"/>
      <c r="H17287" s="612"/>
    </row>
    <row r="17288">
      <c r="B17288" s="612"/>
      <c r="H17288" s="612"/>
    </row>
    <row r="17289">
      <c r="B17289" s="612"/>
      <c r="H17289" s="612"/>
    </row>
    <row r="17290">
      <c r="B17290" s="612"/>
      <c r="H17290" s="612"/>
    </row>
    <row r="17291">
      <c r="B17291" s="612"/>
      <c r="H17291" s="612"/>
    </row>
    <row r="17292">
      <c r="B17292" s="612"/>
      <c r="H17292" s="612"/>
    </row>
    <row r="17293">
      <c r="B17293" s="612"/>
      <c r="H17293" s="612"/>
    </row>
    <row r="17294">
      <c r="B17294" s="612"/>
      <c r="H17294" s="612"/>
    </row>
    <row r="17295">
      <c r="B17295" s="612"/>
      <c r="H17295" s="612"/>
    </row>
    <row r="17296">
      <c r="B17296" s="612"/>
      <c r="H17296" s="612"/>
    </row>
    <row r="17297">
      <c r="B17297" s="612"/>
      <c r="H17297" s="612"/>
    </row>
    <row r="17298">
      <c r="B17298" s="612"/>
      <c r="H17298" s="612"/>
    </row>
    <row r="17299">
      <c r="B17299" s="612"/>
      <c r="H17299" s="612"/>
    </row>
    <row r="17300">
      <c r="B17300" s="612"/>
      <c r="H17300" s="612"/>
    </row>
    <row r="17301">
      <c r="B17301" s="612"/>
      <c r="H17301" s="612"/>
    </row>
    <row r="17302">
      <c r="B17302" s="612"/>
      <c r="H17302" s="612"/>
    </row>
    <row r="17303">
      <c r="B17303" s="612"/>
      <c r="H17303" s="612"/>
    </row>
    <row r="17304">
      <c r="B17304" s="612"/>
      <c r="H17304" s="612"/>
    </row>
    <row r="17305">
      <c r="B17305" s="612"/>
      <c r="H17305" s="612"/>
    </row>
    <row r="17306">
      <c r="B17306" s="612"/>
      <c r="H17306" s="612"/>
    </row>
    <row r="17307">
      <c r="B17307" s="612"/>
      <c r="H17307" s="612"/>
    </row>
    <row r="17308">
      <c r="B17308" s="612"/>
      <c r="H17308" s="612"/>
    </row>
    <row r="17309">
      <c r="B17309" s="612"/>
      <c r="H17309" s="612"/>
    </row>
    <row r="17310">
      <c r="B17310" s="612"/>
      <c r="H17310" s="612"/>
    </row>
    <row r="17311">
      <c r="B17311" s="612"/>
      <c r="H17311" s="612"/>
    </row>
    <row r="17312">
      <c r="B17312" s="612"/>
      <c r="H17312" s="612"/>
    </row>
    <row r="17313">
      <c r="B17313" s="612"/>
      <c r="H17313" s="612"/>
    </row>
    <row r="17314">
      <c r="B17314" s="612"/>
      <c r="H17314" s="612"/>
    </row>
    <row r="17315">
      <c r="B17315" s="612"/>
      <c r="H17315" s="612"/>
    </row>
    <row r="17316">
      <c r="B17316" s="612"/>
      <c r="H17316" s="612"/>
    </row>
    <row r="17317">
      <c r="B17317" s="612"/>
      <c r="H17317" s="612"/>
    </row>
    <row r="17318">
      <c r="B17318" s="612"/>
      <c r="H17318" s="612"/>
    </row>
    <row r="17319">
      <c r="B17319" s="612"/>
      <c r="H17319" s="612"/>
    </row>
    <row r="17320">
      <c r="B17320" s="612"/>
      <c r="H17320" s="612"/>
    </row>
    <row r="17321">
      <c r="B17321" s="612"/>
      <c r="H17321" s="612"/>
    </row>
    <row r="17322">
      <c r="B17322" s="612"/>
      <c r="H17322" s="612"/>
    </row>
    <row r="17323">
      <c r="B17323" s="612"/>
      <c r="H17323" s="612"/>
    </row>
    <row r="17324">
      <c r="B17324" s="612"/>
      <c r="H17324" s="612"/>
    </row>
    <row r="17325">
      <c r="B17325" s="612"/>
      <c r="H17325" s="612"/>
    </row>
    <row r="17326">
      <c r="B17326" s="612"/>
      <c r="H17326" s="612"/>
    </row>
    <row r="17327">
      <c r="B17327" s="612"/>
      <c r="H17327" s="612"/>
    </row>
    <row r="17328">
      <c r="B17328" s="612"/>
      <c r="H17328" s="612"/>
    </row>
    <row r="17329">
      <c r="B17329" s="612"/>
      <c r="H17329" s="612"/>
    </row>
    <row r="17330">
      <c r="B17330" s="612"/>
      <c r="H17330" s="612"/>
    </row>
    <row r="17331">
      <c r="B17331" s="612"/>
      <c r="H17331" s="612"/>
    </row>
    <row r="17332">
      <c r="B17332" s="612"/>
      <c r="H17332" s="612"/>
    </row>
    <row r="17333">
      <c r="B17333" s="612"/>
      <c r="H17333" s="612"/>
    </row>
    <row r="17334">
      <c r="B17334" s="612"/>
      <c r="H17334" s="612"/>
    </row>
    <row r="17335">
      <c r="B17335" s="612"/>
      <c r="H17335" s="612"/>
    </row>
    <row r="17336">
      <c r="B17336" s="612"/>
      <c r="H17336" s="612"/>
    </row>
    <row r="17337">
      <c r="B17337" s="612"/>
      <c r="H17337" s="612"/>
    </row>
    <row r="17338">
      <c r="B17338" s="612"/>
      <c r="H17338" s="612"/>
    </row>
    <row r="17339">
      <c r="B17339" s="612"/>
      <c r="H17339" s="612"/>
    </row>
    <row r="17340">
      <c r="B17340" s="612"/>
      <c r="H17340" s="612"/>
    </row>
    <row r="17341">
      <c r="B17341" s="612"/>
      <c r="H17341" s="612"/>
    </row>
    <row r="17342">
      <c r="B17342" s="612"/>
      <c r="H17342" s="612"/>
    </row>
    <row r="17343">
      <c r="B17343" s="612"/>
      <c r="H17343" s="612"/>
    </row>
    <row r="17344">
      <c r="B17344" s="612"/>
      <c r="H17344" s="612"/>
    </row>
    <row r="17345">
      <c r="B17345" s="612"/>
      <c r="H17345" s="612"/>
    </row>
    <row r="17346">
      <c r="B17346" s="612"/>
      <c r="H17346" s="612"/>
    </row>
    <row r="17347">
      <c r="B17347" s="612"/>
      <c r="H17347" s="612"/>
    </row>
    <row r="17348">
      <c r="B17348" s="612"/>
      <c r="H17348" s="612"/>
    </row>
    <row r="17349">
      <c r="B17349" s="612"/>
      <c r="H17349" s="612"/>
    </row>
    <row r="17350">
      <c r="B17350" s="612"/>
      <c r="H17350" s="612"/>
    </row>
    <row r="17351">
      <c r="B17351" s="612"/>
      <c r="H17351" s="612"/>
    </row>
    <row r="17352">
      <c r="B17352" s="612"/>
      <c r="H17352" s="612"/>
    </row>
    <row r="17353">
      <c r="B17353" s="612"/>
      <c r="H17353" s="612"/>
    </row>
    <row r="17354">
      <c r="B17354" s="612"/>
      <c r="H17354" s="612"/>
    </row>
    <row r="17355">
      <c r="B17355" s="612"/>
      <c r="H17355" s="612"/>
    </row>
    <row r="17356">
      <c r="B17356" s="612"/>
      <c r="H17356" s="612"/>
    </row>
    <row r="17357">
      <c r="B17357" s="612"/>
      <c r="H17357" s="612"/>
    </row>
    <row r="17358">
      <c r="B17358" s="612"/>
      <c r="H17358" s="612"/>
    </row>
    <row r="17359">
      <c r="B17359" s="612"/>
      <c r="H17359" s="612"/>
    </row>
    <row r="17360">
      <c r="B17360" s="612"/>
      <c r="H17360" s="612"/>
    </row>
    <row r="17361">
      <c r="B17361" s="612"/>
      <c r="H17361" s="612"/>
    </row>
    <row r="17362">
      <c r="B17362" s="612"/>
      <c r="H17362" s="612"/>
    </row>
    <row r="17363">
      <c r="B17363" s="612"/>
      <c r="H17363" s="612"/>
    </row>
    <row r="17364">
      <c r="B17364" s="612"/>
      <c r="H17364" s="612"/>
    </row>
    <row r="17365">
      <c r="B17365" s="612"/>
      <c r="H17365" s="612"/>
    </row>
    <row r="17366">
      <c r="B17366" s="612"/>
      <c r="H17366" s="612"/>
    </row>
    <row r="17367">
      <c r="B17367" s="612"/>
      <c r="H17367" s="612"/>
    </row>
    <row r="17368">
      <c r="B17368" s="612"/>
      <c r="H17368" s="612"/>
    </row>
    <row r="17369">
      <c r="B17369" s="612"/>
      <c r="H17369" s="612"/>
    </row>
    <row r="17370">
      <c r="B17370" s="612"/>
      <c r="H17370" s="612"/>
    </row>
    <row r="17371">
      <c r="B17371" s="612"/>
      <c r="H17371" s="612"/>
    </row>
    <row r="17372">
      <c r="B17372" s="612"/>
      <c r="H17372" s="612"/>
    </row>
    <row r="17373">
      <c r="B17373" s="612"/>
      <c r="H17373" s="612"/>
    </row>
    <row r="17374">
      <c r="B17374" s="612"/>
      <c r="H17374" s="612"/>
    </row>
    <row r="17375">
      <c r="B17375" s="612"/>
      <c r="H17375" s="612"/>
    </row>
    <row r="17376">
      <c r="B17376" s="612"/>
      <c r="H17376" s="612"/>
    </row>
    <row r="17377">
      <c r="B17377" s="612"/>
      <c r="H17377" s="612"/>
    </row>
    <row r="17378">
      <c r="B17378" s="612"/>
      <c r="H17378" s="612"/>
    </row>
    <row r="17379">
      <c r="B17379" s="612"/>
      <c r="H17379" s="612"/>
    </row>
    <row r="17380">
      <c r="B17380" s="612"/>
      <c r="H17380" s="612"/>
    </row>
    <row r="17381">
      <c r="B17381" s="612"/>
      <c r="H17381" s="612"/>
    </row>
    <row r="17382">
      <c r="B17382" s="612"/>
      <c r="H17382" s="612"/>
    </row>
    <row r="17383">
      <c r="B17383" s="612"/>
      <c r="H17383" s="612"/>
    </row>
    <row r="17384">
      <c r="B17384" s="612"/>
      <c r="H17384" s="612"/>
    </row>
    <row r="17385">
      <c r="B17385" s="612"/>
      <c r="H17385" s="612"/>
    </row>
    <row r="17386">
      <c r="B17386" s="612"/>
      <c r="H17386" s="612"/>
    </row>
    <row r="17387">
      <c r="B17387" s="612"/>
      <c r="H17387" s="612"/>
    </row>
    <row r="17388">
      <c r="B17388" s="612"/>
      <c r="H17388" s="612"/>
    </row>
    <row r="17389">
      <c r="B17389" s="612"/>
      <c r="H17389" s="612"/>
    </row>
    <row r="17390">
      <c r="B17390" s="612"/>
      <c r="H17390" s="612"/>
    </row>
    <row r="17391">
      <c r="B17391" s="612"/>
      <c r="H17391" s="612"/>
    </row>
    <row r="17392">
      <c r="B17392" s="612"/>
      <c r="H17392" s="612"/>
    </row>
    <row r="17393">
      <c r="B17393" s="612"/>
      <c r="H17393" s="612"/>
    </row>
    <row r="17394">
      <c r="B17394" s="612"/>
      <c r="H17394" s="612"/>
    </row>
    <row r="17395">
      <c r="B17395" s="612"/>
      <c r="H17395" s="612"/>
    </row>
    <row r="17396">
      <c r="B17396" s="612"/>
      <c r="H17396" s="612"/>
    </row>
    <row r="17397">
      <c r="B17397" s="612"/>
      <c r="H17397" s="612"/>
    </row>
    <row r="17398">
      <c r="B17398" s="612"/>
      <c r="H17398" s="612"/>
    </row>
    <row r="17399">
      <c r="B17399" s="612"/>
      <c r="H17399" s="612"/>
    </row>
    <row r="17400">
      <c r="B17400" s="612"/>
      <c r="H17400" s="612"/>
    </row>
    <row r="17401">
      <c r="B17401" s="612"/>
      <c r="H17401" s="612"/>
    </row>
    <row r="17402">
      <c r="B17402" s="612"/>
      <c r="H17402" s="612"/>
    </row>
    <row r="17403">
      <c r="B17403" s="612"/>
      <c r="H17403" s="612"/>
    </row>
    <row r="17404">
      <c r="B17404" s="612"/>
      <c r="H17404" s="612"/>
    </row>
    <row r="17405">
      <c r="B17405" s="612"/>
      <c r="H17405" s="612"/>
    </row>
    <row r="17406">
      <c r="B17406" s="612"/>
      <c r="H17406" s="612"/>
    </row>
    <row r="17407">
      <c r="B17407" s="612"/>
      <c r="H17407" s="612"/>
    </row>
    <row r="17408">
      <c r="B17408" s="612"/>
      <c r="H17408" s="612"/>
    </row>
    <row r="17409">
      <c r="B17409" s="612"/>
      <c r="H17409" s="612"/>
    </row>
    <row r="17410">
      <c r="B17410" s="612"/>
      <c r="H17410" s="612"/>
    </row>
    <row r="17411">
      <c r="B17411" s="612"/>
      <c r="H17411" s="612"/>
    </row>
    <row r="17412">
      <c r="B17412" s="612"/>
      <c r="H17412" s="612"/>
    </row>
    <row r="17413">
      <c r="B17413" s="612"/>
      <c r="H17413" s="612"/>
    </row>
    <row r="17414">
      <c r="B17414" s="612"/>
      <c r="H17414" s="612"/>
    </row>
    <row r="17415">
      <c r="B17415" s="612"/>
      <c r="H17415" s="612"/>
    </row>
    <row r="17416">
      <c r="B17416" s="612"/>
      <c r="H17416" s="612"/>
    </row>
    <row r="17417">
      <c r="B17417" s="612"/>
      <c r="H17417" s="612"/>
    </row>
    <row r="17418">
      <c r="B17418" s="612"/>
      <c r="H17418" s="612"/>
    </row>
    <row r="17419">
      <c r="B17419" s="612"/>
      <c r="H17419" s="612"/>
    </row>
    <row r="17420">
      <c r="B17420" s="612"/>
      <c r="H17420" s="612"/>
    </row>
    <row r="17421">
      <c r="B17421" s="612"/>
      <c r="H17421" s="612"/>
    </row>
    <row r="17422">
      <c r="B17422" s="612"/>
      <c r="H17422" s="612"/>
    </row>
    <row r="17423">
      <c r="B17423" s="612"/>
      <c r="H17423" s="612"/>
    </row>
    <row r="17424">
      <c r="B17424" s="612"/>
      <c r="H17424" s="612"/>
    </row>
    <row r="17425">
      <c r="B17425" s="612"/>
      <c r="H17425" s="612"/>
    </row>
    <row r="17426">
      <c r="B17426" s="612"/>
      <c r="H17426" s="612"/>
    </row>
    <row r="17427">
      <c r="B17427" s="612"/>
      <c r="H17427" s="612"/>
    </row>
    <row r="17428">
      <c r="B17428" s="612"/>
      <c r="H17428" s="612"/>
    </row>
    <row r="17429">
      <c r="B17429" s="612"/>
      <c r="H17429" s="612"/>
    </row>
    <row r="17430">
      <c r="B17430" s="612"/>
      <c r="H17430" s="612"/>
    </row>
    <row r="17431">
      <c r="B17431" s="612"/>
      <c r="H17431" s="612"/>
    </row>
    <row r="17432">
      <c r="B17432" s="612"/>
      <c r="H17432" s="612"/>
    </row>
    <row r="17433">
      <c r="B17433" s="612"/>
      <c r="H17433" s="612"/>
    </row>
    <row r="17434">
      <c r="B17434" s="612"/>
      <c r="H17434" s="612"/>
    </row>
    <row r="17435">
      <c r="B17435" s="612"/>
      <c r="H17435" s="612"/>
    </row>
    <row r="17436">
      <c r="B17436" s="612"/>
      <c r="H17436" s="612"/>
    </row>
    <row r="17437">
      <c r="B17437" s="612"/>
      <c r="H17437" s="612"/>
    </row>
    <row r="17438">
      <c r="B17438" s="612"/>
      <c r="H17438" s="612"/>
    </row>
    <row r="17439">
      <c r="B17439" s="612"/>
      <c r="H17439" s="612"/>
    </row>
    <row r="17440">
      <c r="B17440" s="612"/>
      <c r="H17440" s="612"/>
    </row>
    <row r="17441">
      <c r="B17441" s="612"/>
      <c r="H17441" s="612"/>
    </row>
    <row r="17442">
      <c r="B17442" s="612"/>
      <c r="H17442" s="612"/>
    </row>
    <row r="17443">
      <c r="B17443" s="612"/>
      <c r="H17443" s="612"/>
    </row>
    <row r="17444">
      <c r="B17444" s="612"/>
      <c r="H17444" s="612"/>
    </row>
    <row r="17445">
      <c r="B17445" s="612"/>
      <c r="H17445" s="612"/>
    </row>
    <row r="17446">
      <c r="B17446" s="612"/>
      <c r="H17446" s="612"/>
    </row>
    <row r="17447">
      <c r="B17447" s="612"/>
      <c r="H17447" s="612"/>
    </row>
    <row r="17448">
      <c r="B17448" s="612"/>
      <c r="H17448" s="612"/>
    </row>
    <row r="17449">
      <c r="B17449" s="612"/>
      <c r="H17449" s="612"/>
    </row>
    <row r="17450">
      <c r="B17450" s="612"/>
      <c r="H17450" s="612"/>
    </row>
    <row r="17451">
      <c r="B17451" s="612"/>
      <c r="H17451" s="612"/>
    </row>
    <row r="17452">
      <c r="B17452" s="612"/>
      <c r="H17452" s="612"/>
    </row>
    <row r="17453">
      <c r="B17453" s="612"/>
      <c r="H17453" s="612"/>
    </row>
    <row r="17454">
      <c r="B17454" s="612"/>
      <c r="H17454" s="612"/>
    </row>
    <row r="17455">
      <c r="B17455" s="612"/>
      <c r="H17455" s="612"/>
    </row>
    <row r="17456">
      <c r="B17456" s="612"/>
      <c r="H17456" s="612"/>
    </row>
    <row r="17457">
      <c r="B17457" s="612"/>
      <c r="H17457" s="612"/>
    </row>
    <row r="17458">
      <c r="B17458" s="612"/>
      <c r="H17458" s="612"/>
    </row>
    <row r="17459">
      <c r="B17459" s="612"/>
      <c r="H17459" s="612"/>
    </row>
    <row r="17460">
      <c r="B17460" s="612"/>
      <c r="H17460" s="612"/>
    </row>
    <row r="17461">
      <c r="B17461" s="612"/>
      <c r="H17461" s="612"/>
    </row>
    <row r="17462">
      <c r="B17462" s="612"/>
      <c r="H17462" s="612"/>
    </row>
    <row r="17463">
      <c r="B17463" s="612"/>
      <c r="H17463" s="612"/>
    </row>
    <row r="17464">
      <c r="B17464" s="612"/>
      <c r="H17464" s="612"/>
    </row>
    <row r="17465">
      <c r="B17465" s="612"/>
      <c r="H17465" s="612"/>
    </row>
    <row r="17466">
      <c r="B17466" s="612"/>
      <c r="H17466" s="612"/>
    </row>
    <row r="17467">
      <c r="B17467" s="612"/>
      <c r="H17467" s="612"/>
    </row>
    <row r="17468">
      <c r="B17468" s="612"/>
      <c r="H17468" s="612"/>
    </row>
    <row r="17469">
      <c r="B17469" s="612"/>
      <c r="H17469" s="612"/>
    </row>
    <row r="17470">
      <c r="B17470" s="612"/>
      <c r="H17470" s="612"/>
    </row>
    <row r="17471">
      <c r="B17471" s="612"/>
      <c r="H17471" s="612"/>
    </row>
    <row r="17472">
      <c r="B17472" s="612"/>
      <c r="H17472" s="612"/>
    </row>
    <row r="17473">
      <c r="B17473" s="612"/>
      <c r="H17473" s="612"/>
    </row>
    <row r="17474">
      <c r="B17474" s="612"/>
      <c r="H17474" s="612"/>
    </row>
    <row r="17475">
      <c r="B17475" s="612"/>
      <c r="H17475" s="612"/>
    </row>
    <row r="17476">
      <c r="B17476" s="612"/>
      <c r="H17476" s="612"/>
    </row>
    <row r="17477">
      <c r="B17477" s="612"/>
      <c r="H17477" s="612"/>
    </row>
    <row r="17478">
      <c r="B17478" s="612"/>
      <c r="H17478" s="612"/>
    </row>
    <row r="17479">
      <c r="B17479" s="612"/>
      <c r="H17479" s="612"/>
    </row>
    <row r="17480">
      <c r="B17480" s="612"/>
      <c r="H17480" s="612"/>
    </row>
    <row r="17481">
      <c r="B17481" s="612"/>
      <c r="H17481" s="612"/>
    </row>
    <row r="17482">
      <c r="B17482" s="612"/>
      <c r="H17482" s="612"/>
    </row>
    <row r="17483">
      <c r="B17483" s="612"/>
      <c r="H17483" s="612"/>
    </row>
    <row r="17484">
      <c r="B17484" s="612"/>
      <c r="H17484" s="612"/>
    </row>
    <row r="17485">
      <c r="B17485" s="612"/>
      <c r="H17485" s="612"/>
    </row>
    <row r="17486">
      <c r="B17486" s="612"/>
      <c r="H17486" s="612"/>
    </row>
    <row r="17487">
      <c r="B17487" s="612"/>
      <c r="H17487" s="612"/>
    </row>
    <row r="17488">
      <c r="B17488" s="612"/>
      <c r="H17488" s="612"/>
    </row>
    <row r="17489">
      <c r="B17489" s="612"/>
      <c r="H17489" s="612"/>
    </row>
    <row r="17490">
      <c r="B17490" s="612"/>
      <c r="H17490" s="612"/>
    </row>
    <row r="17491">
      <c r="B17491" s="612"/>
      <c r="H17491" s="612"/>
    </row>
    <row r="17492">
      <c r="B17492" s="612"/>
      <c r="H17492" s="612"/>
    </row>
    <row r="17493">
      <c r="B17493" s="612"/>
      <c r="H17493" s="612"/>
    </row>
    <row r="17494">
      <c r="B17494" s="612"/>
      <c r="H17494" s="612"/>
    </row>
    <row r="17495">
      <c r="B17495" s="612"/>
      <c r="H17495" s="612"/>
    </row>
    <row r="17496">
      <c r="B17496" s="612"/>
      <c r="H17496" s="612"/>
    </row>
    <row r="17497">
      <c r="B17497" s="612"/>
      <c r="H17497" s="612"/>
    </row>
    <row r="17498">
      <c r="B17498" s="612"/>
      <c r="H17498" s="612"/>
    </row>
    <row r="17499">
      <c r="B17499" s="612"/>
      <c r="H17499" s="612"/>
    </row>
    <row r="17500">
      <c r="B17500" s="612"/>
      <c r="H17500" s="612"/>
    </row>
    <row r="17501">
      <c r="B17501" s="612"/>
      <c r="H17501" s="612"/>
    </row>
    <row r="17502">
      <c r="B17502" s="612"/>
      <c r="H17502" s="612"/>
    </row>
    <row r="17503">
      <c r="B17503" s="612"/>
      <c r="H17503" s="612"/>
    </row>
    <row r="17504">
      <c r="B17504" s="612"/>
      <c r="H17504" s="612"/>
    </row>
    <row r="17505">
      <c r="B17505" s="612"/>
      <c r="H17505" s="612"/>
    </row>
    <row r="17506">
      <c r="B17506" s="612"/>
      <c r="H17506" s="612"/>
    </row>
    <row r="17507">
      <c r="B17507" s="612"/>
      <c r="H17507" s="612"/>
    </row>
    <row r="17508">
      <c r="B17508" s="612"/>
      <c r="H17508" s="612"/>
    </row>
    <row r="17509">
      <c r="B17509" s="612"/>
      <c r="H17509" s="612"/>
    </row>
    <row r="17510">
      <c r="B17510" s="612"/>
      <c r="H17510" s="612"/>
    </row>
    <row r="17511">
      <c r="B17511" s="612"/>
      <c r="H17511" s="612"/>
    </row>
    <row r="17512">
      <c r="B17512" s="612"/>
      <c r="H17512" s="612"/>
    </row>
    <row r="17513">
      <c r="B17513" s="612"/>
      <c r="H17513" s="612"/>
    </row>
    <row r="17514">
      <c r="B17514" s="612"/>
      <c r="H17514" s="612"/>
    </row>
    <row r="17515">
      <c r="B17515" s="612"/>
      <c r="H17515" s="612"/>
    </row>
    <row r="17516">
      <c r="B17516" s="612"/>
      <c r="H17516" s="612"/>
    </row>
    <row r="17517">
      <c r="B17517" s="612"/>
      <c r="H17517" s="612"/>
    </row>
    <row r="17518">
      <c r="B17518" s="612"/>
      <c r="H17518" s="612"/>
    </row>
    <row r="17519">
      <c r="B17519" s="612"/>
      <c r="H17519" s="612"/>
    </row>
    <row r="17520">
      <c r="B17520" s="612"/>
      <c r="H17520" s="612"/>
    </row>
    <row r="17521">
      <c r="B17521" s="612"/>
      <c r="H17521" s="612"/>
    </row>
    <row r="17522">
      <c r="B17522" s="612"/>
      <c r="H17522" s="612"/>
    </row>
    <row r="17523">
      <c r="B17523" s="612"/>
      <c r="H17523" s="612"/>
    </row>
    <row r="17524">
      <c r="B17524" s="612"/>
      <c r="H17524" s="612"/>
    </row>
    <row r="17525">
      <c r="B17525" s="612"/>
      <c r="H17525" s="612"/>
    </row>
    <row r="17526">
      <c r="B17526" s="612"/>
      <c r="H17526" s="612"/>
    </row>
    <row r="17527">
      <c r="B17527" s="612"/>
      <c r="H17527" s="612"/>
    </row>
    <row r="17528">
      <c r="B17528" s="612"/>
      <c r="H17528" s="612"/>
    </row>
    <row r="17529">
      <c r="B17529" s="612"/>
      <c r="H17529" s="612"/>
    </row>
    <row r="17530">
      <c r="B17530" s="612"/>
      <c r="H17530" s="612"/>
    </row>
    <row r="17531">
      <c r="B17531" s="612"/>
      <c r="H17531" s="612"/>
    </row>
    <row r="17532">
      <c r="B17532" s="612"/>
      <c r="H17532" s="612"/>
    </row>
    <row r="17533">
      <c r="B17533" s="612"/>
      <c r="H17533" s="612"/>
    </row>
    <row r="17534">
      <c r="B17534" s="612"/>
      <c r="H17534" s="612"/>
    </row>
    <row r="17535">
      <c r="B17535" s="612"/>
      <c r="H17535" s="612"/>
    </row>
    <row r="17536">
      <c r="B17536" s="612"/>
      <c r="H17536" s="612"/>
    </row>
    <row r="17537">
      <c r="B17537" s="612"/>
      <c r="H17537" s="612"/>
    </row>
    <row r="17538">
      <c r="B17538" s="612"/>
      <c r="H17538" s="612"/>
    </row>
    <row r="17539">
      <c r="B17539" s="612"/>
      <c r="H17539" s="612"/>
    </row>
    <row r="17540">
      <c r="B17540" s="612"/>
      <c r="H17540" s="612"/>
    </row>
    <row r="17541">
      <c r="B17541" s="612"/>
      <c r="H17541" s="612"/>
    </row>
    <row r="17542">
      <c r="B17542" s="612"/>
      <c r="H17542" s="612"/>
    </row>
    <row r="17543">
      <c r="B17543" s="612"/>
      <c r="H17543" s="612"/>
    </row>
    <row r="17544">
      <c r="B17544" s="612"/>
      <c r="H17544" s="612"/>
    </row>
    <row r="17545">
      <c r="B17545" s="612"/>
      <c r="H17545" s="612"/>
    </row>
    <row r="17546">
      <c r="B17546" s="612"/>
      <c r="H17546" s="612"/>
    </row>
    <row r="17547">
      <c r="B17547" s="612"/>
      <c r="H17547" s="612"/>
    </row>
    <row r="17548">
      <c r="B17548" s="612"/>
      <c r="H17548" s="612"/>
    </row>
    <row r="17549">
      <c r="B17549" s="612"/>
      <c r="H17549" s="612"/>
    </row>
    <row r="17550">
      <c r="B17550" s="612"/>
      <c r="H17550" s="612"/>
    </row>
    <row r="17551">
      <c r="B17551" s="612"/>
      <c r="H17551" s="612"/>
    </row>
    <row r="17552">
      <c r="B17552" s="612"/>
      <c r="H17552" s="612"/>
    </row>
    <row r="17553">
      <c r="B17553" s="612"/>
      <c r="H17553" s="612"/>
    </row>
    <row r="17554">
      <c r="B17554" s="612"/>
      <c r="H17554" s="612"/>
    </row>
    <row r="17555">
      <c r="B17555" s="612"/>
      <c r="H17555" s="612"/>
    </row>
    <row r="17556">
      <c r="B17556" s="612"/>
      <c r="H17556" s="612"/>
    </row>
    <row r="17557">
      <c r="B17557" s="612"/>
      <c r="H17557" s="612"/>
    </row>
    <row r="17558">
      <c r="B17558" s="612"/>
      <c r="H17558" s="612"/>
    </row>
    <row r="17559">
      <c r="B17559" s="612"/>
      <c r="H17559" s="612"/>
    </row>
    <row r="17560">
      <c r="B17560" s="612"/>
      <c r="H17560" s="612"/>
    </row>
    <row r="17561">
      <c r="B17561" s="612"/>
      <c r="H17561" s="612"/>
    </row>
    <row r="17562">
      <c r="B17562" s="612"/>
      <c r="H17562" s="612"/>
    </row>
    <row r="17563">
      <c r="B17563" s="612"/>
      <c r="H17563" s="612"/>
    </row>
    <row r="17564">
      <c r="B17564" s="612"/>
      <c r="H17564" s="612"/>
    </row>
    <row r="17565">
      <c r="B17565" s="612"/>
      <c r="H17565" s="612"/>
    </row>
    <row r="17566">
      <c r="B17566" s="612"/>
      <c r="H17566" s="612"/>
    </row>
    <row r="17567">
      <c r="B17567" s="612"/>
      <c r="H17567" s="612"/>
    </row>
    <row r="17568">
      <c r="B17568" s="612"/>
      <c r="H17568" s="612"/>
    </row>
    <row r="17569">
      <c r="B17569" s="612"/>
      <c r="H17569" s="612"/>
    </row>
    <row r="17570">
      <c r="B17570" s="612"/>
      <c r="H17570" s="612"/>
    </row>
    <row r="17571">
      <c r="B17571" s="612"/>
      <c r="H17571" s="612"/>
    </row>
    <row r="17572">
      <c r="B17572" s="612"/>
      <c r="H17572" s="612"/>
    </row>
    <row r="17573">
      <c r="B17573" s="612"/>
      <c r="H17573" s="612"/>
    </row>
    <row r="17574">
      <c r="B17574" s="612"/>
      <c r="H17574" s="612"/>
    </row>
    <row r="17575">
      <c r="B17575" s="612"/>
      <c r="H17575" s="612"/>
    </row>
    <row r="17576">
      <c r="B17576" s="612"/>
      <c r="H17576" s="612"/>
    </row>
    <row r="17577">
      <c r="B17577" s="612"/>
      <c r="H17577" s="612"/>
    </row>
    <row r="17578">
      <c r="B17578" s="612"/>
      <c r="H17578" s="612"/>
    </row>
    <row r="17579">
      <c r="B17579" s="612"/>
      <c r="H17579" s="612"/>
    </row>
    <row r="17580">
      <c r="B17580" s="612"/>
      <c r="H17580" s="612"/>
    </row>
    <row r="17581">
      <c r="B17581" s="612"/>
      <c r="H17581" s="612"/>
    </row>
    <row r="17582">
      <c r="B17582" s="612"/>
      <c r="H17582" s="612"/>
    </row>
    <row r="17583">
      <c r="B17583" s="612"/>
      <c r="H17583" s="612"/>
    </row>
    <row r="17584">
      <c r="B17584" s="612"/>
      <c r="H17584" s="612"/>
    </row>
    <row r="17585">
      <c r="B17585" s="612"/>
      <c r="H17585" s="612"/>
    </row>
    <row r="17586">
      <c r="B17586" s="612"/>
      <c r="H17586" s="612"/>
    </row>
    <row r="17587">
      <c r="B17587" s="612"/>
      <c r="H17587" s="612"/>
    </row>
    <row r="17588">
      <c r="B17588" s="612"/>
      <c r="H17588" s="612"/>
    </row>
    <row r="17589">
      <c r="B17589" s="612"/>
      <c r="H17589" s="612"/>
    </row>
    <row r="17590">
      <c r="B17590" s="612"/>
      <c r="H17590" s="612"/>
    </row>
    <row r="17591">
      <c r="B17591" s="612"/>
      <c r="H17591" s="612"/>
    </row>
    <row r="17592">
      <c r="B17592" s="612"/>
      <c r="H17592" s="612"/>
    </row>
    <row r="17593">
      <c r="B17593" s="612"/>
      <c r="H17593" s="612"/>
    </row>
    <row r="17594">
      <c r="B17594" s="612"/>
      <c r="H17594" s="612"/>
    </row>
    <row r="17595">
      <c r="B17595" s="612"/>
      <c r="H17595" s="612"/>
    </row>
    <row r="17596">
      <c r="B17596" s="612"/>
      <c r="H17596" s="612"/>
    </row>
    <row r="17597">
      <c r="B17597" s="612"/>
      <c r="H17597" s="612"/>
    </row>
    <row r="17598">
      <c r="B17598" s="612"/>
      <c r="H17598" s="612"/>
    </row>
    <row r="17599">
      <c r="B17599" s="612"/>
      <c r="H17599" s="612"/>
    </row>
    <row r="17600">
      <c r="B17600" s="612"/>
      <c r="H17600" s="612"/>
    </row>
    <row r="17601">
      <c r="B17601" s="612"/>
      <c r="H17601" s="612"/>
    </row>
    <row r="17602">
      <c r="B17602" s="612"/>
      <c r="H17602" s="612"/>
    </row>
    <row r="17603">
      <c r="B17603" s="612"/>
      <c r="H17603" s="612"/>
    </row>
    <row r="17604">
      <c r="B17604" s="612"/>
      <c r="H17604" s="612"/>
    </row>
    <row r="17605">
      <c r="B17605" s="612"/>
      <c r="H17605" s="612"/>
    </row>
    <row r="17606">
      <c r="B17606" s="612"/>
      <c r="H17606" s="612"/>
    </row>
    <row r="17607">
      <c r="B17607" s="612"/>
      <c r="H17607" s="612"/>
    </row>
    <row r="17608">
      <c r="B17608" s="612"/>
      <c r="H17608" s="612"/>
    </row>
    <row r="17609">
      <c r="B17609" s="612"/>
      <c r="H17609" s="612"/>
    </row>
    <row r="17610">
      <c r="B17610" s="612"/>
      <c r="H17610" s="612"/>
    </row>
    <row r="17611">
      <c r="B17611" s="612"/>
      <c r="H17611" s="612"/>
    </row>
    <row r="17612">
      <c r="B17612" s="612"/>
      <c r="H17612" s="612"/>
    </row>
    <row r="17613">
      <c r="B17613" s="612"/>
      <c r="H17613" s="612"/>
    </row>
    <row r="17614">
      <c r="B17614" s="612"/>
      <c r="H17614" s="612"/>
    </row>
    <row r="17615">
      <c r="B17615" s="612"/>
      <c r="H17615" s="612"/>
    </row>
    <row r="17616">
      <c r="B17616" s="612"/>
      <c r="H17616" s="612"/>
    </row>
    <row r="17617">
      <c r="B17617" s="612"/>
      <c r="H17617" s="612"/>
    </row>
    <row r="17618">
      <c r="B17618" s="612"/>
      <c r="H17618" s="612"/>
    </row>
    <row r="17619">
      <c r="B17619" s="612"/>
      <c r="H17619" s="612"/>
    </row>
    <row r="17620">
      <c r="B17620" s="612"/>
      <c r="H17620" s="612"/>
    </row>
    <row r="17621">
      <c r="B17621" s="612"/>
      <c r="H17621" s="612"/>
    </row>
    <row r="17622">
      <c r="B17622" s="612"/>
      <c r="H17622" s="612"/>
    </row>
    <row r="17623">
      <c r="B17623" s="612"/>
      <c r="H17623" s="612"/>
    </row>
    <row r="17624">
      <c r="B17624" s="612"/>
      <c r="H17624" s="612"/>
    </row>
    <row r="17625">
      <c r="B17625" s="612"/>
      <c r="H17625" s="612"/>
    </row>
    <row r="17626">
      <c r="B17626" s="612"/>
      <c r="H17626" s="612"/>
    </row>
    <row r="17627">
      <c r="B17627" s="612"/>
      <c r="H17627" s="612"/>
    </row>
    <row r="17628">
      <c r="B17628" s="612"/>
      <c r="H17628" s="612"/>
    </row>
    <row r="17629">
      <c r="B17629" s="612"/>
      <c r="H17629" s="612"/>
    </row>
    <row r="17630">
      <c r="B17630" s="612"/>
      <c r="H17630" s="612"/>
    </row>
    <row r="17631">
      <c r="B17631" s="612"/>
      <c r="H17631" s="612"/>
    </row>
    <row r="17632">
      <c r="B17632" s="612"/>
      <c r="H17632" s="612"/>
    </row>
    <row r="17633">
      <c r="B17633" s="612"/>
      <c r="H17633" s="612"/>
    </row>
    <row r="17634">
      <c r="B17634" s="612"/>
      <c r="H17634" s="612"/>
    </row>
    <row r="17635">
      <c r="B17635" s="612"/>
      <c r="H17635" s="612"/>
    </row>
    <row r="17636">
      <c r="B17636" s="612"/>
      <c r="H17636" s="612"/>
    </row>
    <row r="17637">
      <c r="B17637" s="612"/>
      <c r="H17637" s="612"/>
    </row>
    <row r="17638">
      <c r="B17638" s="612"/>
      <c r="H17638" s="612"/>
    </row>
    <row r="17639">
      <c r="B17639" s="612"/>
      <c r="H17639" s="612"/>
    </row>
    <row r="17640">
      <c r="B17640" s="612"/>
      <c r="H17640" s="612"/>
    </row>
    <row r="17641">
      <c r="B17641" s="612"/>
      <c r="H17641" s="612"/>
    </row>
    <row r="17642">
      <c r="B17642" s="612"/>
      <c r="H17642" s="612"/>
    </row>
    <row r="17643">
      <c r="B17643" s="612"/>
      <c r="H17643" s="612"/>
    </row>
    <row r="17644">
      <c r="B17644" s="612"/>
      <c r="H17644" s="612"/>
    </row>
    <row r="17645">
      <c r="B17645" s="612"/>
      <c r="H17645" s="612"/>
    </row>
    <row r="17646">
      <c r="B17646" s="612"/>
      <c r="H17646" s="612"/>
    </row>
    <row r="17647">
      <c r="B17647" s="612"/>
      <c r="H17647" s="612"/>
    </row>
    <row r="17648">
      <c r="B17648" s="612"/>
      <c r="H17648" s="612"/>
    </row>
    <row r="17649">
      <c r="B17649" s="612"/>
      <c r="H17649" s="612"/>
    </row>
    <row r="17650">
      <c r="B17650" s="612"/>
      <c r="H17650" s="612"/>
    </row>
    <row r="17651">
      <c r="B17651" s="612"/>
      <c r="H17651" s="612"/>
    </row>
    <row r="17652">
      <c r="B17652" s="612"/>
      <c r="H17652" s="612"/>
    </row>
    <row r="17653">
      <c r="B17653" s="612"/>
      <c r="H17653" s="612"/>
    </row>
    <row r="17654">
      <c r="B17654" s="612"/>
      <c r="H17654" s="612"/>
    </row>
    <row r="17655">
      <c r="B17655" s="612"/>
      <c r="H17655" s="612"/>
    </row>
    <row r="17656">
      <c r="B17656" s="612"/>
      <c r="H17656" s="612"/>
    </row>
    <row r="17657">
      <c r="B17657" s="612"/>
      <c r="H17657" s="612"/>
    </row>
    <row r="17658">
      <c r="B17658" s="612"/>
      <c r="H17658" s="612"/>
    </row>
    <row r="17659">
      <c r="B17659" s="612"/>
      <c r="H17659" s="612"/>
    </row>
    <row r="17660">
      <c r="B17660" s="612"/>
      <c r="H17660" s="612"/>
    </row>
    <row r="17661">
      <c r="B17661" s="612"/>
      <c r="H17661" s="612"/>
    </row>
    <row r="17662">
      <c r="B17662" s="612"/>
      <c r="H17662" s="612"/>
    </row>
    <row r="17663">
      <c r="B17663" s="612"/>
      <c r="H17663" s="612"/>
    </row>
    <row r="17664">
      <c r="B17664" s="612"/>
      <c r="H17664" s="612"/>
    </row>
    <row r="17665">
      <c r="B17665" s="612"/>
      <c r="H17665" s="612"/>
    </row>
    <row r="17666">
      <c r="B17666" s="612"/>
      <c r="H17666" s="612"/>
    </row>
    <row r="17667">
      <c r="B17667" s="612"/>
      <c r="H17667" s="612"/>
    </row>
    <row r="17668">
      <c r="B17668" s="612"/>
      <c r="H17668" s="612"/>
    </row>
    <row r="17669">
      <c r="B17669" s="612"/>
      <c r="H17669" s="612"/>
    </row>
    <row r="17670">
      <c r="B17670" s="612"/>
      <c r="H17670" s="612"/>
    </row>
    <row r="17671">
      <c r="B17671" s="612"/>
      <c r="H17671" s="612"/>
    </row>
    <row r="17672">
      <c r="B17672" s="612"/>
      <c r="H17672" s="612"/>
    </row>
    <row r="17673">
      <c r="B17673" s="612"/>
      <c r="H17673" s="612"/>
    </row>
    <row r="17674">
      <c r="B17674" s="612"/>
      <c r="H17674" s="612"/>
    </row>
    <row r="17675">
      <c r="B17675" s="612"/>
      <c r="H17675" s="612"/>
    </row>
    <row r="17676">
      <c r="B17676" s="612"/>
      <c r="H17676" s="612"/>
    </row>
    <row r="17677">
      <c r="B17677" s="612"/>
      <c r="H17677" s="612"/>
    </row>
    <row r="17678">
      <c r="B17678" s="612"/>
      <c r="H17678" s="612"/>
    </row>
    <row r="17679">
      <c r="B17679" s="612"/>
      <c r="H17679" s="612"/>
    </row>
    <row r="17680">
      <c r="B17680" s="612"/>
      <c r="H17680" s="612"/>
    </row>
    <row r="17681">
      <c r="B17681" s="612"/>
      <c r="H17681" s="612"/>
    </row>
    <row r="17682">
      <c r="B17682" s="612"/>
      <c r="H17682" s="612"/>
    </row>
    <row r="17683">
      <c r="B17683" s="612"/>
      <c r="H17683" s="612"/>
    </row>
    <row r="17684">
      <c r="B17684" s="612"/>
      <c r="H17684" s="612"/>
    </row>
    <row r="17685">
      <c r="B17685" s="612"/>
      <c r="H17685" s="612"/>
    </row>
    <row r="17686">
      <c r="B17686" s="612"/>
      <c r="H17686" s="612"/>
    </row>
    <row r="17687">
      <c r="B17687" s="612"/>
      <c r="H17687" s="612"/>
    </row>
    <row r="17688">
      <c r="B17688" s="612"/>
      <c r="H17688" s="612"/>
    </row>
    <row r="17689">
      <c r="B17689" s="612"/>
      <c r="H17689" s="612"/>
    </row>
    <row r="17690">
      <c r="B17690" s="612"/>
      <c r="H17690" s="612"/>
    </row>
    <row r="17691">
      <c r="B17691" s="612"/>
      <c r="H17691" s="612"/>
    </row>
    <row r="17692">
      <c r="B17692" s="612"/>
      <c r="H17692" s="612"/>
    </row>
    <row r="17693">
      <c r="B17693" s="612"/>
      <c r="H17693" s="612"/>
    </row>
    <row r="17694">
      <c r="B17694" s="612"/>
      <c r="H17694" s="612"/>
    </row>
    <row r="17695">
      <c r="B17695" s="612"/>
      <c r="H17695" s="612"/>
    </row>
    <row r="17696">
      <c r="B17696" s="612"/>
      <c r="H17696" s="612"/>
    </row>
    <row r="17697">
      <c r="B17697" s="612"/>
      <c r="H17697" s="612"/>
    </row>
    <row r="17698">
      <c r="B17698" s="612"/>
      <c r="H17698" s="612"/>
    </row>
    <row r="17699">
      <c r="B17699" s="612"/>
      <c r="H17699" s="612"/>
    </row>
    <row r="17700">
      <c r="B17700" s="612"/>
      <c r="H17700" s="612"/>
    </row>
    <row r="17701">
      <c r="B17701" s="612"/>
      <c r="H17701" s="612"/>
    </row>
    <row r="17702">
      <c r="B17702" s="612"/>
      <c r="H17702" s="612"/>
    </row>
    <row r="17703">
      <c r="B17703" s="612"/>
      <c r="H17703" s="612"/>
    </row>
    <row r="17704">
      <c r="B17704" s="612"/>
      <c r="H17704" s="612"/>
    </row>
    <row r="17705">
      <c r="B17705" s="612"/>
      <c r="H17705" s="612"/>
    </row>
    <row r="17706">
      <c r="B17706" s="612"/>
      <c r="H17706" s="612"/>
    </row>
    <row r="17707">
      <c r="B17707" s="612"/>
      <c r="H17707" s="612"/>
    </row>
    <row r="17708">
      <c r="B17708" s="612"/>
      <c r="H17708" s="612"/>
    </row>
    <row r="17709">
      <c r="B17709" s="612"/>
      <c r="H17709" s="612"/>
    </row>
    <row r="17710">
      <c r="B17710" s="612"/>
      <c r="H17710" s="612"/>
    </row>
    <row r="17711">
      <c r="B17711" s="612"/>
      <c r="H17711" s="612"/>
    </row>
    <row r="17712">
      <c r="B17712" s="612"/>
      <c r="H17712" s="612"/>
    </row>
    <row r="17713">
      <c r="B17713" s="612"/>
      <c r="H17713" s="612"/>
    </row>
    <row r="17714">
      <c r="B17714" s="612"/>
      <c r="H17714" s="612"/>
    </row>
    <row r="17715">
      <c r="B17715" s="612"/>
      <c r="H17715" s="612"/>
    </row>
    <row r="17716">
      <c r="B17716" s="612"/>
      <c r="H17716" s="612"/>
    </row>
    <row r="17717">
      <c r="B17717" s="612"/>
      <c r="H17717" s="612"/>
    </row>
    <row r="17718">
      <c r="B17718" s="612"/>
      <c r="H17718" s="612"/>
    </row>
    <row r="17719">
      <c r="B17719" s="612"/>
      <c r="H17719" s="612"/>
    </row>
    <row r="17720">
      <c r="B17720" s="612"/>
      <c r="H17720" s="612"/>
    </row>
    <row r="17721">
      <c r="B17721" s="612"/>
      <c r="H17721" s="612"/>
    </row>
    <row r="17722">
      <c r="B17722" s="612"/>
      <c r="H17722" s="612"/>
    </row>
    <row r="17723">
      <c r="B17723" s="612"/>
      <c r="H17723" s="612"/>
    </row>
    <row r="17724">
      <c r="B17724" s="612"/>
      <c r="H17724" s="612"/>
    </row>
    <row r="17725">
      <c r="B17725" s="612"/>
      <c r="H17725" s="612"/>
    </row>
    <row r="17726">
      <c r="B17726" s="612"/>
      <c r="H17726" s="612"/>
    </row>
    <row r="17727">
      <c r="B17727" s="612"/>
      <c r="H17727" s="612"/>
    </row>
    <row r="17728">
      <c r="B17728" s="612"/>
      <c r="H17728" s="612"/>
    </row>
    <row r="17729">
      <c r="B17729" s="612"/>
      <c r="H17729" s="612"/>
    </row>
    <row r="17730">
      <c r="B17730" s="612"/>
      <c r="H17730" s="612"/>
    </row>
    <row r="17731">
      <c r="B17731" s="612"/>
      <c r="H17731" s="612"/>
    </row>
    <row r="17732">
      <c r="B17732" s="612"/>
      <c r="H17732" s="612"/>
    </row>
    <row r="17733">
      <c r="B17733" s="612"/>
      <c r="H17733" s="612"/>
    </row>
    <row r="17734">
      <c r="B17734" s="612"/>
      <c r="H17734" s="612"/>
    </row>
    <row r="17735">
      <c r="B17735" s="612"/>
      <c r="H17735" s="612"/>
    </row>
    <row r="17736">
      <c r="B17736" s="612"/>
      <c r="H17736" s="612"/>
    </row>
    <row r="17737">
      <c r="B17737" s="612"/>
      <c r="H17737" s="612"/>
    </row>
    <row r="17738">
      <c r="B17738" s="612"/>
      <c r="H17738" s="612"/>
    </row>
    <row r="17739">
      <c r="B17739" s="612"/>
      <c r="H17739" s="612"/>
    </row>
    <row r="17740">
      <c r="B17740" s="612"/>
      <c r="H17740" s="612"/>
    </row>
    <row r="17741">
      <c r="B17741" s="612"/>
      <c r="H17741" s="612"/>
    </row>
    <row r="17742">
      <c r="B17742" s="612"/>
      <c r="H17742" s="612"/>
    </row>
    <row r="17743">
      <c r="B17743" s="612"/>
      <c r="H17743" s="612"/>
    </row>
    <row r="17744">
      <c r="B17744" s="612"/>
      <c r="H17744" s="612"/>
    </row>
    <row r="17745">
      <c r="B17745" s="612"/>
      <c r="H17745" s="612"/>
    </row>
    <row r="17746">
      <c r="B17746" s="612"/>
      <c r="H17746" s="612"/>
    </row>
    <row r="17747">
      <c r="B17747" s="612"/>
      <c r="H17747" s="612"/>
    </row>
    <row r="17748">
      <c r="B17748" s="612"/>
      <c r="H17748" s="612"/>
    </row>
    <row r="17749">
      <c r="B17749" s="612"/>
      <c r="H17749" s="612"/>
    </row>
    <row r="17750">
      <c r="B17750" s="612"/>
      <c r="H17750" s="612"/>
    </row>
    <row r="17751">
      <c r="B17751" s="612"/>
      <c r="H17751" s="612"/>
    </row>
    <row r="17752">
      <c r="B17752" s="612"/>
      <c r="H17752" s="612"/>
    </row>
    <row r="17753">
      <c r="B17753" s="612"/>
      <c r="H17753" s="612"/>
    </row>
    <row r="17754">
      <c r="B17754" s="612"/>
      <c r="H17754" s="612"/>
    </row>
    <row r="17755">
      <c r="B17755" s="612"/>
      <c r="H17755" s="612"/>
    </row>
    <row r="17756">
      <c r="B17756" s="612"/>
      <c r="H17756" s="612"/>
    </row>
    <row r="17757">
      <c r="B17757" s="612"/>
      <c r="H17757" s="612"/>
    </row>
    <row r="17758">
      <c r="B17758" s="612"/>
      <c r="H17758" s="612"/>
    </row>
    <row r="17759">
      <c r="B17759" s="612"/>
      <c r="H17759" s="612"/>
    </row>
    <row r="17760">
      <c r="B17760" s="612"/>
      <c r="H17760" s="612"/>
    </row>
    <row r="17761">
      <c r="B17761" s="612"/>
      <c r="H17761" s="612"/>
    </row>
    <row r="17762">
      <c r="B17762" s="612"/>
      <c r="H17762" s="612"/>
    </row>
    <row r="17763">
      <c r="B17763" s="612"/>
      <c r="H17763" s="612"/>
    </row>
    <row r="17764">
      <c r="B17764" s="612"/>
      <c r="H17764" s="612"/>
    </row>
    <row r="17765">
      <c r="B17765" s="612"/>
      <c r="H17765" s="612"/>
    </row>
    <row r="17766">
      <c r="B17766" s="612"/>
      <c r="H17766" s="612"/>
    </row>
    <row r="17767">
      <c r="B17767" s="612"/>
      <c r="H17767" s="612"/>
    </row>
    <row r="17768">
      <c r="B17768" s="612"/>
      <c r="H17768" s="612"/>
    </row>
    <row r="17769">
      <c r="B17769" s="612"/>
      <c r="H17769" s="612"/>
    </row>
    <row r="17770">
      <c r="B17770" s="612"/>
      <c r="H17770" s="612"/>
    </row>
    <row r="17771">
      <c r="B17771" s="612"/>
      <c r="H17771" s="612"/>
    </row>
    <row r="17772">
      <c r="B17772" s="612"/>
      <c r="H17772" s="612"/>
    </row>
    <row r="17773">
      <c r="B17773" s="612"/>
      <c r="H17773" s="612"/>
    </row>
    <row r="17774">
      <c r="B17774" s="612"/>
      <c r="H17774" s="612"/>
    </row>
    <row r="17775">
      <c r="B17775" s="612"/>
      <c r="H17775" s="612"/>
    </row>
    <row r="17776">
      <c r="B17776" s="612"/>
      <c r="H17776" s="612"/>
    </row>
    <row r="17777">
      <c r="B17777" s="612"/>
      <c r="H17777" s="612"/>
    </row>
    <row r="17778">
      <c r="B17778" s="612"/>
      <c r="H17778" s="612"/>
    </row>
    <row r="17779">
      <c r="B17779" s="612"/>
      <c r="H17779" s="612"/>
    </row>
    <row r="17780">
      <c r="B17780" s="612"/>
      <c r="H17780" s="612"/>
    </row>
    <row r="17781">
      <c r="B17781" s="612"/>
      <c r="H17781" s="612"/>
    </row>
    <row r="17782">
      <c r="B17782" s="612"/>
      <c r="H17782" s="612"/>
    </row>
    <row r="17783">
      <c r="B17783" s="612"/>
      <c r="H17783" s="612"/>
    </row>
    <row r="17784">
      <c r="B17784" s="612"/>
      <c r="H17784" s="612"/>
    </row>
    <row r="17785">
      <c r="B17785" s="612"/>
      <c r="H17785" s="612"/>
    </row>
    <row r="17786">
      <c r="B17786" s="612"/>
      <c r="H17786" s="612"/>
    </row>
    <row r="17787">
      <c r="B17787" s="612"/>
      <c r="H17787" s="612"/>
    </row>
    <row r="17788">
      <c r="B17788" s="612"/>
      <c r="H17788" s="612"/>
    </row>
    <row r="17789">
      <c r="B17789" s="612"/>
      <c r="H17789" s="612"/>
    </row>
    <row r="17790">
      <c r="B17790" s="612"/>
      <c r="H17790" s="612"/>
    </row>
    <row r="17791">
      <c r="B17791" s="612"/>
      <c r="H17791" s="612"/>
    </row>
    <row r="17792">
      <c r="B17792" s="612"/>
      <c r="H17792" s="612"/>
    </row>
    <row r="17793">
      <c r="B17793" s="612"/>
      <c r="H17793" s="612"/>
    </row>
    <row r="17794">
      <c r="B17794" s="612"/>
      <c r="H17794" s="612"/>
    </row>
    <row r="17795">
      <c r="B17795" s="612"/>
      <c r="H17795" s="612"/>
    </row>
    <row r="17796">
      <c r="B17796" s="612"/>
      <c r="H17796" s="612"/>
    </row>
    <row r="17797">
      <c r="B17797" s="612"/>
      <c r="H17797" s="612"/>
    </row>
    <row r="17798">
      <c r="B17798" s="612"/>
      <c r="H17798" s="612"/>
    </row>
    <row r="17799">
      <c r="B17799" s="612"/>
      <c r="H17799" s="612"/>
    </row>
    <row r="17800">
      <c r="B17800" s="612"/>
      <c r="H17800" s="612"/>
    </row>
    <row r="17801">
      <c r="B17801" s="612"/>
      <c r="H17801" s="612"/>
    </row>
    <row r="17802">
      <c r="B17802" s="612"/>
      <c r="H17802" s="612"/>
    </row>
    <row r="17803">
      <c r="B17803" s="612"/>
      <c r="H17803" s="612"/>
    </row>
    <row r="17804">
      <c r="B17804" s="612"/>
      <c r="H17804" s="612"/>
    </row>
    <row r="17805">
      <c r="B17805" s="612"/>
      <c r="H17805" s="612"/>
    </row>
    <row r="17806">
      <c r="B17806" s="612"/>
      <c r="H17806" s="612"/>
    </row>
    <row r="17807">
      <c r="B17807" s="612"/>
      <c r="H17807" s="612"/>
    </row>
    <row r="17808">
      <c r="B17808" s="612"/>
      <c r="H17808" s="612"/>
    </row>
    <row r="17809">
      <c r="B17809" s="612"/>
      <c r="H17809" s="612"/>
    </row>
    <row r="17810">
      <c r="B17810" s="612"/>
      <c r="H17810" s="612"/>
    </row>
    <row r="17811">
      <c r="B17811" s="612"/>
      <c r="H17811" s="612"/>
    </row>
    <row r="17812">
      <c r="B17812" s="612"/>
      <c r="H17812" s="612"/>
    </row>
    <row r="17813">
      <c r="B17813" s="612"/>
      <c r="H17813" s="612"/>
    </row>
    <row r="17814">
      <c r="B17814" s="612"/>
      <c r="H17814" s="612"/>
    </row>
    <row r="17815">
      <c r="B17815" s="612"/>
      <c r="H17815" s="612"/>
    </row>
    <row r="17816">
      <c r="B17816" s="612"/>
      <c r="H17816" s="612"/>
    </row>
    <row r="17817">
      <c r="B17817" s="612"/>
      <c r="H17817" s="612"/>
    </row>
    <row r="17818">
      <c r="B17818" s="612"/>
      <c r="H17818" s="612"/>
    </row>
    <row r="17819">
      <c r="B17819" s="612"/>
      <c r="H17819" s="612"/>
    </row>
    <row r="17820">
      <c r="B17820" s="612"/>
      <c r="H17820" s="612"/>
    </row>
    <row r="17821">
      <c r="B17821" s="612"/>
      <c r="H17821" s="612"/>
    </row>
    <row r="17822">
      <c r="B17822" s="612"/>
      <c r="H17822" s="612"/>
    </row>
    <row r="17823">
      <c r="B17823" s="612"/>
      <c r="H17823" s="612"/>
    </row>
    <row r="17824">
      <c r="B17824" s="612"/>
      <c r="H17824" s="612"/>
    </row>
    <row r="17825">
      <c r="B17825" s="612"/>
      <c r="H17825" s="612"/>
    </row>
    <row r="17826">
      <c r="B17826" s="612"/>
      <c r="H17826" s="612"/>
    </row>
    <row r="17827">
      <c r="B17827" s="612"/>
      <c r="H17827" s="612"/>
    </row>
    <row r="17828">
      <c r="B17828" s="612"/>
      <c r="H17828" s="612"/>
    </row>
    <row r="17829">
      <c r="B17829" s="612"/>
      <c r="H17829" s="612"/>
    </row>
    <row r="17830">
      <c r="B17830" s="612"/>
      <c r="H17830" s="612"/>
    </row>
    <row r="17831">
      <c r="B17831" s="612"/>
      <c r="H17831" s="612"/>
    </row>
    <row r="17832">
      <c r="B17832" s="612"/>
      <c r="H17832" s="612"/>
    </row>
    <row r="17833">
      <c r="B17833" s="612"/>
      <c r="H17833" s="612"/>
    </row>
    <row r="17834">
      <c r="B17834" s="612"/>
      <c r="H17834" s="612"/>
    </row>
    <row r="17835">
      <c r="B17835" s="612"/>
      <c r="H17835" s="612"/>
    </row>
    <row r="17836">
      <c r="B17836" s="612"/>
      <c r="H17836" s="612"/>
    </row>
    <row r="17837">
      <c r="B17837" s="612"/>
      <c r="H17837" s="612"/>
    </row>
    <row r="17838">
      <c r="B17838" s="612"/>
      <c r="H17838" s="612"/>
    </row>
    <row r="17839">
      <c r="B17839" s="612"/>
      <c r="H17839" s="612"/>
    </row>
    <row r="17840">
      <c r="B17840" s="612"/>
      <c r="H17840" s="612"/>
    </row>
    <row r="17841">
      <c r="B17841" s="612"/>
      <c r="H17841" s="612"/>
    </row>
    <row r="17842">
      <c r="B17842" s="612"/>
      <c r="H17842" s="612"/>
    </row>
    <row r="17843">
      <c r="B17843" s="612"/>
      <c r="H17843" s="612"/>
    </row>
    <row r="17844">
      <c r="B17844" s="612"/>
      <c r="H17844" s="612"/>
    </row>
    <row r="17845">
      <c r="B17845" s="612"/>
      <c r="H17845" s="612"/>
    </row>
    <row r="17846">
      <c r="B17846" s="612"/>
      <c r="H17846" s="612"/>
    </row>
    <row r="17847">
      <c r="B17847" s="612"/>
      <c r="H17847" s="612"/>
    </row>
    <row r="17848">
      <c r="B17848" s="612"/>
      <c r="H17848" s="612"/>
    </row>
    <row r="17849">
      <c r="B17849" s="612"/>
      <c r="H17849" s="612"/>
    </row>
    <row r="17850">
      <c r="B17850" s="612"/>
      <c r="H17850" s="612"/>
    </row>
    <row r="17851">
      <c r="B17851" s="612"/>
      <c r="H17851" s="612"/>
    </row>
    <row r="17852">
      <c r="B17852" s="612"/>
      <c r="H17852" s="612"/>
    </row>
    <row r="17853">
      <c r="B17853" s="612"/>
      <c r="H17853" s="612"/>
    </row>
    <row r="17854">
      <c r="B17854" s="612"/>
      <c r="H17854" s="612"/>
    </row>
    <row r="17855">
      <c r="B17855" s="612"/>
      <c r="H17855" s="612"/>
    </row>
    <row r="17856">
      <c r="B17856" s="612"/>
      <c r="H17856" s="612"/>
    </row>
    <row r="17857">
      <c r="B17857" s="612"/>
      <c r="H17857" s="612"/>
    </row>
    <row r="17858">
      <c r="B17858" s="612"/>
      <c r="H17858" s="612"/>
    </row>
    <row r="17859">
      <c r="B17859" s="612"/>
      <c r="H17859" s="612"/>
    </row>
    <row r="17860">
      <c r="B17860" s="612"/>
      <c r="H17860" s="612"/>
    </row>
    <row r="17861">
      <c r="B17861" s="612"/>
      <c r="H17861" s="612"/>
    </row>
    <row r="17862">
      <c r="B17862" s="612"/>
      <c r="H17862" s="612"/>
    </row>
    <row r="17863">
      <c r="B17863" s="612"/>
      <c r="H17863" s="612"/>
    </row>
    <row r="17864">
      <c r="B17864" s="612"/>
      <c r="H17864" s="612"/>
    </row>
    <row r="17865">
      <c r="B17865" s="612"/>
      <c r="H17865" s="612"/>
    </row>
    <row r="17866">
      <c r="B17866" s="612"/>
      <c r="H17866" s="612"/>
    </row>
    <row r="17867">
      <c r="B17867" s="612"/>
      <c r="H17867" s="612"/>
    </row>
    <row r="17868">
      <c r="B17868" s="612"/>
      <c r="H17868" s="612"/>
    </row>
    <row r="17869">
      <c r="B17869" s="612"/>
      <c r="H17869" s="612"/>
    </row>
    <row r="17870">
      <c r="B17870" s="612"/>
      <c r="H17870" s="612"/>
    </row>
    <row r="17871">
      <c r="B17871" s="612"/>
      <c r="H17871" s="612"/>
    </row>
    <row r="17872">
      <c r="B17872" s="612"/>
      <c r="H17872" s="612"/>
    </row>
    <row r="17873">
      <c r="B17873" s="612"/>
      <c r="H17873" s="612"/>
    </row>
    <row r="17874">
      <c r="B17874" s="612"/>
      <c r="H17874" s="612"/>
    </row>
    <row r="17875">
      <c r="B17875" s="612"/>
      <c r="H17875" s="612"/>
    </row>
    <row r="17876">
      <c r="B17876" s="612"/>
      <c r="H17876" s="612"/>
    </row>
    <row r="17877">
      <c r="B17877" s="612"/>
      <c r="H17877" s="612"/>
    </row>
    <row r="17878">
      <c r="B17878" s="612"/>
      <c r="H17878" s="612"/>
    </row>
    <row r="17879">
      <c r="B17879" s="612"/>
      <c r="H17879" s="612"/>
    </row>
    <row r="17880">
      <c r="B17880" s="612"/>
      <c r="H17880" s="612"/>
    </row>
    <row r="17881">
      <c r="B17881" s="612"/>
      <c r="H17881" s="612"/>
    </row>
    <row r="17882">
      <c r="B17882" s="612"/>
      <c r="H17882" s="612"/>
    </row>
    <row r="17883">
      <c r="B17883" s="612"/>
      <c r="H17883" s="612"/>
    </row>
    <row r="17884">
      <c r="B17884" s="612"/>
      <c r="H17884" s="612"/>
    </row>
    <row r="17885">
      <c r="B17885" s="612"/>
      <c r="H17885" s="612"/>
    </row>
    <row r="17886">
      <c r="B17886" s="612"/>
      <c r="H17886" s="612"/>
    </row>
    <row r="17887">
      <c r="B17887" s="612"/>
      <c r="H17887" s="612"/>
    </row>
    <row r="17888">
      <c r="B17888" s="612"/>
      <c r="H17888" s="612"/>
    </row>
    <row r="17889">
      <c r="B17889" s="612"/>
      <c r="H17889" s="612"/>
    </row>
    <row r="17890">
      <c r="B17890" s="612"/>
      <c r="H17890" s="612"/>
    </row>
    <row r="17891">
      <c r="B17891" s="612"/>
      <c r="H17891" s="612"/>
    </row>
    <row r="17892">
      <c r="B17892" s="612"/>
      <c r="H17892" s="612"/>
    </row>
    <row r="17893">
      <c r="B17893" s="612"/>
      <c r="H17893" s="612"/>
    </row>
    <row r="17894">
      <c r="B17894" s="612"/>
      <c r="H17894" s="612"/>
    </row>
    <row r="17895">
      <c r="B17895" s="612"/>
      <c r="H17895" s="612"/>
    </row>
    <row r="17896">
      <c r="B17896" s="612"/>
      <c r="H17896" s="612"/>
    </row>
    <row r="17897">
      <c r="B17897" s="612"/>
      <c r="H17897" s="612"/>
    </row>
    <row r="17898">
      <c r="B17898" s="612"/>
      <c r="H17898" s="612"/>
    </row>
    <row r="17899">
      <c r="B17899" s="612"/>
      <c r="H17899" s="612"/>
    </row>
    <row r="17900">
      <c r="B17900" s="612"/>
      <c r="H17900" s="612"/>
    </row>
    <row r="17901">
      <c r="B17901" s="612"/>
      <c r="H17901" s="612"/>
    </row>
    <row r="17902">
      <c r="B17902" s="612"/>
      <c r="H17902" s="612"/>
    </row>
    <row r="17903">
      <c r="B17903" s="612"/>
      <c r="H17903" s="612"/>
    </row>
    <row r="17904">
      <c r="B17904" s="612"/>
      <c r="H17904" s="612"/>
    </row>
    <row r="17905">
      <c r="B17905" s="612"/>
      <c r="H17905" s="612"/>
    </row>
    <row r="17906">
      <c r="B17906" s="612"/>
      <c r="H17906" s="612"/>
    </row>
    <row r="17907">
      <c r="B17907" s="612"/>
      <c r="H17907" s="612"/>
    </row>
    <row r="17908">
      <c r="B17908" s="612"/>
      <c r="H17908" s="612"/>
    </row>
    <row r="17909">
      <c r="B17909" s="612"/>
      <c r="H17909" s="612"/>
    </row>
    <row r="17910">
      <c r="B17910" s="612"/>
      <c r="H17910" s="612"/>
    </row>
    <row r="17911">
      <c r="B17911" s="612"/>
      <c r="H17911" s="612"/>
    </row>
    <row r="17912">
      <c r="B17912" s="612"/>
      <c r="H17912" s="612"/>
    </row>
    <row r="17913">
      <c r="B17913" s="612"/>
      <c r="H17913" s="612"/>
    </row>
    <row r="17914">
      <c r="B17914" s="612"/>
      <c r="H17914" s="612"/>
    </row>
    <row r="17915">
      <c r="B17915" s="612"/>
      <c r="H17915" s="612"/>
    </row>
    <row r="17916">
      <c r="B17916" s="612"/>
      <c r="H17916" s="612"/>
    </row>
    <row r="17917">
      <c r="B17917" s="612"/>
      <c r="H17917" s="612"/>
    </row>
    <row r="17918">
      <c r="B17918" s="612"/>
      <c r="H17918" s="612"/>
    </row>
    <row r="17919">
      <c r="B17919" s="612"/>
      <c r="H17919" s="612"/>
    </row>
    <row r="17920">
      <c r="B17920" s="612"/>
      <c r="H17920" s="612"/>
    </row>
    <row r="17921">
      <c r="B17921" s="612"/>
      <c r="H17921" s="612"/>
    </row>
    <row r="17922">
      <c r="B17922" s="612"/>
      <c r="H17922" s="612"/>
    </row>
    <row r="17923">
      <c r="B17923" s="612"/>
      <c r="H17923" s="612"/>
    </row>
    <row r="17924">
      <c r="B17924" s="612"/>
      <c r="H17924" s="612"/>
    </row>
    <row r="17925">
      <c r="B17925" s="612"/>
      <c r="H17925" s="612"/>
    </row>
    <row r="17926">
      <c r="B17926" s="612"/>
      <c r="H17926" s="612"/>
    </row>
    <row r="17927">
      <c r="B17927" s="612"/>
      <c r="H17927" s="612"/>
    </row>
    <row r="17928">
      <c r="B17928" s="612"/>
      <c r="H17928" s="612"/>
    </row>
    <row r="17929">
      <c r="B17929" s="612"/>
      <c r="H17929" s="612"/>
    </row>
    <row r="17930">
      <c r="B17930" s="612"/>
      <c r="H17930" s="612"/>
    </row>
    <row r="17931">
      <c r="B17931" s="612"/>
      <c r="H17931" s="612"/>
    </row>
    <row r="17932">
      <c r="B17932" s="612"/>
      <c r="H17932" s="612"/>
    </row>
    <row r="17933">
      <c r="B17933" s="612"/>
      <c r="H17933" s="612"/>
    </row>
    <row r="17934">
      <c r="B17934" s="612"/>
      <c r="H17934" s="612"/>
    </row>
    <row r="17935">
      <c r="B17935" s="612"/>
      <c r="H17935" s="612"/>
    </row>
    <row r="17936">
      <c r="B17936" s="612"/>
      <c r="H17936" s="612"/>
    </row>
    <row r="17937">
      <c r="B17937" s="612"/>
      <c r="H17937" s="612"/>
    </row>
    <row r="17938">
      <c r="B17938" s="612"/>
      <c r="H17938" s="612"/>
    </row>
    <row r="17939">
      <c r="B17939" s="612"/>
      <c r="H17939" s="612"/>
    </row>
    <row r="17940">
      <c r="B17940" s="612"/>
      <c r="H17940" s="612"/>
    </row>
    <row r="17941">
      <c r="B17941" s="612"/>
      <c r="H17941" s="612"/>
    </row>
    <row r="17942">
      <c r="B17942" s="612"/>
      <c r="H17942" s="612"/>
    </row>
    <row r="17943">
      <c r="B17943" s="612"/>
      <c r="H17943" s="612"/>
    </row>
    <row r="17944">
      <c r="B17944" s="612"/>
      <c r="H17944" s="612"/>
    </row>
    <row r="17945">
      <c r="B17945" s="612"/>
      <c r="H17945" s="612"/>
    </row>
    <row r="17946">
      <c r="B17946" s="612"/>
      <c r="H17946" s="612"/>
    </row>
    <row r="17947">
      <c r="B17947" s="612"/>
      <c r="H17947" s="612"/>
    </row>
    <row r="17948">
      <c r="B17948" s="612"/>
      <c r="H17948" s="612"/>
    </row>
    <row r="17949">
      <c r="B17949" s="612"/>
      <c r="H17949" s="612"/>
    </row>
    <row r="17950">
      <c r="B17950" s="612"/>
      <c r="H17950" s="612"/>
    </row>
    <row r="17951">
      <c r="B17951" s="612"/>
      <c r="H17951" s="612"/>
    </row>
    <row r="17952">
      <c r="B17952" s="612"/>
      <c r="H17952" s="612"/>
    </row>
    <row r="17953">
      <c r="B17953" s="612"/>
      <c r="H17953" s="612"/>
    </row>
    <row r="17954">
      <c r="B17954" s="612"/>
      <c r="H17954" s="612"/>
    </row>
    <row r="17955">
      <c r="B17955" s="612"/>
      <c r="H17955" s="612"/>
    </row>
    <row r="17956">
      <c r="B17956" s="612"/>
      <c r="H17956" s="612"/>
    </row>
    <row r="17957">
      <c r="B17957" s="612"/>
      <c r="H17957" s="612"/>
    </row>
    <row r="17958">
      <c r="B17958" s="612"/>
      <c r="H17958" s="612"/>
    </row>
    <row r="17959">
      <c r="B17959" s="612"/>
      <c r="H17959" s="612"/>
    </row>
    <row r="17960">
      <c r="B17960" s="612"/>
      <c r="H17960" s="612"/>
    </row>
    <row r="17961">
      <c r="B17961" s="612"/>
      <c r="H17961" s="612"/>
    </row>
    <row r="17962">
      <c r="B17962" s="612"/>
      <c r="H17962" s="612"/>
    </row>
    <row r="17963">
      <c r="B17963" s="612"/>
      <c r="H17963" s="612"/>
    </row>
    <row r="17964">
      <c r="B17964" s="612"/>
      <c r="H17964" s="612"/>
    </row>
    <row r="17965">
      <c r="B17965" s="612"/>
      <c r="H17965" s="612"/>
    </row>
    <row r="17966">
      <c r="B17966" s="612"/>
      <c r="H17966" s="612"/>
    </row>
    <row r="17967">
      <c r="B17967" s="612"/>
      <c r="H17967" s="612"/>
    </row>
    <row r="17968">
      <c r="B17968" s="612"/>
      <c r="H17968" s="612"/>
    </row>
    <row r="17969">
      <c r="B17969" s="612"/>
      <c r="H17969" s="612"/>
    </row>
    <row r="17970">
      <c r="B17970" s="612"/>
      <c r="H17970" s="612"/>
    </row>
    <row r="17971">
      <c r="B17971" s="612"/>
      <c r="H17971" s="612"/>
    </row>
    <row r="17972">
      <c r="B17972" s="612"/>
      <c r="H17972" s="612"/>
    </row>
    <row r="17973">
      <c r="B17973" s="612"/>
      <c r="H17973" s="612"/>
    </row>
    <row r="17974">
      <c r="B17974" s="612"/>
      <c r="H17974" s="612"/>
    </row>
    <row r="17975">
      <c r="B17975" s="612"/>
      <c r="H17975" s="612"/>
    </row>
    <row r="17976">
      <c r="B17976" s="612"/>
      <c r="H17976" s="612"/>
    </row>
    <row r="17977">
      <c r="B17977" s="612"/>
      <c r="H17977" s="612"/>
    </row>
    <row r="17978">
      <c r="B17978" s="612"/>
      <c r="H17978" s="612"/>
    </row>
    <row r="17979">
      <c r="B17979" s="612"/>
      <c r="H17979" s="612"/>
    </row>
    <row r="17980">
      <c r="B17980" s="612"/>
      <c r="H17980" s="612"/>
    </row>
    <row r="17981">
      <c r="B17981" s="612"/>
      <c r="H17981" s="612"/>
    </row>
    <row r="17982">
      <c r="B17982" s="612"/>
      <c r="H17982" s="612"/>
    </row>
    <row r="17983">
      <c r="B17983" s="612"/>
      <c r="H17983" s="612"/>
    </row>
    <row r="17984">
      <c r="B17984" s="612"/>
      <c r="H17984" s="612"/>
    </row>
    <row r="17985">
      <c r="B17985" s="612"/>
      <c r="H17985" s="612"/>
    </row>
    <row r="17986">
      <c r="B17986" s="612"/>
      <c r="H17986" s="612"/>
    </row>
    <row r="17987">
      <c r="B17987" s="612"/>
      <c r="H17987" s="612"/>
    </row>
    <row r="17988">
      <c r="B17988" s="612"/>
      <c r="H17988" s="612"/>
    </row>
    <row r="17989">
      <c r="B17989" s="612"/>
      <c r="H17989" s="612"/>
    </row>
    <row r="17990">
      <c r="B17990" s="612"/>
      <c r="H17990" s="612"/>
    </row>
    <row r="17991">
      <c r="B17991" s="612"/>
      <c r="H17991" s="612"/>
    </row>
    <row r="17992">
      <c r="B17992" s="612"/>
      <c r="H17992" s="612"/>
    </row>
    <row r="17993">
      <c r="B17993" s="612"/>
      <c r="H17993" s="612"/>
    </row>
    <row r="17994">
      <c r="B17994" s="612"/>
      <c r="H17994" s="612"/>
    </row>
    <row r="17995">
      <c r="B17995" s="612"/>
      <c r="H17995" s="612"/>
    </row>
    <row r="17996">
      <c r="B17996" s="612"/>
      <c r="H17996" s="612"/>
    </row>
    <row r="17997">
      <c r="B17997" s="612"/>
      <c r="H17997" s="612"/>
    </row>
    <row r="17998">
      <c r="B17998" s="612"/>
      <c r="H17998" s="612"/>
    </row>
    <row r="17999">
      <c r="B17999" s="612"/>
      <c r="H17999" s="612"/>
    </row>
    <row r="18000">
      <c r="B18000" s="612"/>
      <c r="H18000" s="612"/>
    </row>
    <row r="18001">
      <c r="B18001" s="612"/>
      <c r="H18001" s="612"/>
    </row>
    <row r="18002">
      <c r="B18002" s="612"/>
      <c r="H18002" s="612"/>
    </row>
    <row r="18003">
      <c r="B18003" s="612"/>
      <c r="H18003" s="612"/>
    </row>
    <row r="18004">
      <c r="B18004" s="612"/>
      <c r="H18004" s="612"/>
    </row>
    <row r="18005">
      <c r="B18005" s="612"/>
      <c r="H18005" s="612"/>
    </row>
    <row r="18006">
      <c r="B18006" s="612"/>
      <c r="H18006" s="612"/>
    </row>
    <row r="18007">
      <c r="B18007" s="612"/>
      <c r="H18007" s="612"/>
    </row>
    <row r="18008">
      <c r="B18008" s="612"/>
      <c r="H18008" s="612"/>
    </row>
    <row r="18009">
      <c r="B18009" s="612"/>
      <c r="H18009" s="612"/>
    </row>
    <row r="18010">
      <c r="B18010" s="612"/>
      <c r="H18010" s="612"/>
    </row>
    <row r="18011">
      <c r="B18011" s="612"/>
      <c r="H18011" s="612"/>
    </row>
    <row r="18012">
      <c r="B18012" s="612"/>
      <c r="H18012" s="612"/>
    </row>
    <row r="18013">
      <c r="B18013" s="612"/>
      <c r="H18013" s="612"/>
    </row>
    <row r="18014">
      <c r="B18014" s="612"/>
      <c r="H18014" s="612"/>
    </row>
    <row r="18015">
      <c r="B18015" s="612"/>
      <c r="H18015" s="612"/>
    </row>
    <row r="18016">
      <c r="B18016" s="612"/>
      <c r="H18016" s="612"/>
    </row>
    <row r="18017">
      <c r="B18017" s="612"/>
      <c r="H18017" s="612"/>
    </row>
    <row r="18018">
      <c r="B18018" s="612"/>
      <c r="H18018" s="612"/>
    </row>
    <row r="18019">
      <c r="B18019" s="612"/>
      <c r="H18019" s="612"/>
    </row>
    <row r="18020">
      <c r="B18020" s="612"/>
      <c r="H18020" s="612"/>
    </row>
    <row r="18021">
      <c r="B18021" s="612"/>
      <c r="H18021" s="612"/>
    </row>
    <row r="18022">
      <c r="B18022" s="612"/>
      <c r="H18022" s="612"/>
    </row>
    <row r="18023">
      <c r="B18023" s="612"/>
      <c r="H18023" s="612"/>
    </row>
    <row r="18024">
      <c r="B18024" s="612"/>
      <c r="H18024" s="612"/>
    </row>
    <row r="18025">
      <c r="B18025" s="612"/>
      <c r="H18025" s="612"/>
    </row>
    <row r="18026">
      <c r="B18026" s="612"/>
      <c r="H18026" s="612"/>
    </row>
    <row r="18027">
      <c r="B18027" s="612"/>
      <c r="H18027" s="612"/>
    </row>
    <row r="18028">
      <c r="B18028" s="612"/>
      <c r="H18028" s="612"/>
    </row>
    <row r="18029">
      <c r="B18029" s="612"/>
      <c r="H18029" s="612"/>
    </row>
    <row r="18030">
      <c r="B18030" s="612"/>
      <c r="H18030" s="612"/>
    </row>
    <row r="18031">
      <c r="B18031" s="612"/>
      <c r="H18031" s="612"/>
    </row>
    <row r="18032">
      <c r="B18032" s="612"/>
      <c r="H18032" s="612"/>
    </row>
    <row r="18033">
      <c r="B18033" s="612"/>
      <c r="H18033" s="612"/>
    </row>
    <row r="18034">
      <c r="B18034" s="612"/>
      <c r="H18034" s="612"/>
    </row>
    <row r="18035">
      <c r="B18035" s="612"/>
      <c r="H18035" s="612"/>
    </row>
    <row r="18036">
      <c r="B18036" s="612"/>
      <c r="H18036" s="612"/>
    </row>
    <row r="18037">
      <c r="B18037" s="612"/>
      <c r="H18037" s="612"/>
    </row>
    <row r="18038">
      <c r="B18038" s="612"/>
      <c r="H18038" s="612"/>
    </row>
    <row r="18039">
      <c r="B18039" s="612"/>
      <c r="H18039" s="612"/>
    </row>
    <row r="18040">
      <c r="B18040" s="612"/>
      <c r="H18040" s="612"/>
    </row>
    <row r="18041">
      <c r="B18041" s="612"/>
      <c r="H18041" s="612"/>
    </row>
    <row r="18042">
      <c r="B18042" s="612"/>
      <c r="H18042" s="612"/>
    </row>
    <row r="18043">
      <c r="B18043" s="612"/>
      <c r="H18043" s="612"/>
    </row>
    <row r="18044">
      <c r="B18044" s="612"/>
      <c r="H18044" s="612"/>
    </row>
    <row r="18045">
      <c r="B18045" s="612"/>
      <c r="H18045" s="612"/>
    </row>
    <row r="18046">
      <c r="B18046" s="612"/>
      <c r="H18046" s="612"/>
    </row>
    <row r="18047">
      <c r="B18047" s="612"/>
      <c r="H18047" s="612"/>
    </row>
    <row r="18048">
      <c r="B18048" s="612"/>
      <c r="H18048" s="612"/>
    </row>
    <row r="18049">
      <c r="B18049" s="612"/>
      <c r="H18049" s="612"/>
    </row>
    <row r="18050">
      <c r="B18050" s="612"/>
      <c r="H18050" s="612"/>
    </row>
    <row r="18051">
      <c r="B18051" s="612"/>
      <c r="H18051" s="612"/>
    </row>
    <row r="18052">
      <c r="B18052" s="612"/>
      <c r="H18052" s="612"/>
    </row>
    <row r="18053">
      <c r="B18053" s="612"/>
      <c r="H18053" s="612"/>
    </row>
    <row r="18054">
      <c r="B18054" s="612"/>
      <c r="H18054" s="612"/>
    </row>
    <row r="18055">
      <c r="B18055" s="612"/>
      <c r="H18055" s="612"/>
    </row>
    <row r="18056">
      <c r="B18056" s="612"/>
      <c r="H18056" s="612"/>
    </row>
    <row r="18057">
      <c r="B18057" s="612"/>
      <c r="H18057" s="612"/>
    </row>
    <row r="18058">
      <c r="B18058" s="612"/>
      <c r="H18058" s="612"/>
    </row>
    <row r="18059">
      <c r="B18059" s="612"/>
      <c r="H18059" s="612"/>
    </row>
    <row r="18060">
      <c r="B18060" s="612"/>
      <c r="H18060" s="612"/>
    </row>
    <row r="18061">
      <c r="B18061" s="612"/>
      <c r="H18061" s="612"/>
    </row>
    <row r="18062">
      <c r="B18062" s="612"/>
      <c r="H18062" s="612"/>
    </row>
    <row r="18063">
      <c r="B18063" s="612"/>
      <c r="H18063" s="612"/>
    </row>
    <row r="18064">
      <c r="B18064" s="612"/>
      <c r="H18064" s="612"/>
    </row>
    <row r="18065">
      <c r="B18065" s="612"/>
      <c r="H18065" s="612"/>
    </row>
    <row r="18066">
      <c r="B18066" s="612"/>
      <c r="H18066" s="612"/>
    </row>
    <row r="18067">
      <c r="B18067" s="612"/>
      <c r="H18067" s="612"/>
    </row>
    <row r="18068">
      <c r="B18068" s="612"/>
      <c r="H18068" s="612"/>
    </row>
    <row r="18069">
      <c r="B18069" s="612"/>
      <c r="H18069" s="612"/>
    </row>
    <row r="18070">
      <c r="B18070" s="612"/>
      <c r="H18070" s="612"/>
    </row>
    <row r="18071">
      <c r="B18071" s="612"/>
      <c r="H18071" s="612"/>
    </row>
    <row r="18072">
      <c r="B18072" s="612"/>
      <c r="H18072" s="612"/>
    </row>
    <row r="18073">
      <c r="B18073" s="612"/>
      <c r="H18073" s="612"/>
    </row>
    <row r="18074">
      <c r="B18074" s="612"/>
      <c r="H18074" s="612"/>
    </row>
    <row r="18075">
      <c r="B18075" s="612"/>
      <c r="H18075" s="612"/>
    </row>
    <row r="18076">
      <c r="B18076" s="612"/>
      <c r="H18076" s="612"/>
    </row>
    <row r="18077">
      <c r="B18077" s="612"/>
      <c r="H18077" s="612"/>
    </row>
    <row r="18078">
      <c r="B18078" s="612"/>
      <c r="H18078" s="612"/>
    </row>
    <row r="18079">
      <c r="B18079" s="612"/>
      <c r="H18079" s="612"/>
    </row>
    <row r="18080">
      <c r="B18080" s="612"/>
      <c r="H18080" s="612"/>
    </row>
    <row r="18081">
      <c r="B18081" s="612"/>
      <c r="H18081" s="612"/>
    </row>
    <row r="18082">
      <c r="B18082" s="612"/>
      <c r="H18082" s="612"/>
    </row>
    <row r="18083">
      <c r="B18083" s="612"/>
      <c r="H18083" s="612"/>
    </row>
    <row r="18084">
      <c r="B18084" s="612"/>
      <c r="H18084" s="612"/>
    </row>
    <row r="18085">
      <c r="B18085" s="612"/>
      <c r="H18085" s="612"/>
    </row>
    <row r="18086">
      <c r="B18086" s="612"/>
      <c r="H18086" s="612"/>
    </row>
    <row r="18087">
      <c r="B18087" s="612"/>
      <c r="H18087" s="612"/>
    </row>
    <row r="18088">
      <c r="B18088" s="612"/>
      <c r="H18088" s="612"/>
    </row>
    <row r="18089">
      <c r="B18089" s="612"/>
      <c r="H18089" s="612"/>
    </row>
    <row r="18090">
      <c r="B18090" s="612"/>
      <c r="H18090" s="612"/>
    </row>
    <row r="18091">
      <c r="B18091" s="612"/>
      <c r="H18091" s="612"/>
    </row>
    <row r="18092">
      <c r="B18092" s="612"/>
      <c r="H18092" s="612"/>
    </row>
    <row r="18093">
      <c r="B18093" s="612"/>
      <c r="H18093" s="612"/>
    </row>
    <row r="18094">
      <c r="B18094" s="612"/>
      <c r="H18094" s="612"/>
    </row>
    <row r="18095">
      <c r="B18095" s="612"/>
      <c r="H18095" s="612"/>
    </row>
    <row r="18096">
      <c r="B18096" s="612"/>
      <c r="H18096" s="612"/>
    </row>
    <row r="18097">
      <c r="B18097" s="612"/>
      <c r="H18097" s="612"/>
    </row>
    <row r="18098">
      <c r="B18098" s="612"/>
      <c r="H18098" s="612"/>
    </row>
    <row r="18099">
      <c r="B18099" s="612"/>
      <c r="H18099" s="612"/>
    </row>
    <row r="18100">
      <c r="B18100" s="612"/>
      <c r="H18100" s="612"/>
    </row>
    <row r="18101">
      <c r="B18101" s="612"/>
      <c r="H18101" s="612"/>
    </row>
    <row r="18102">
      <c r="B18102" s="612"/>
      <c r="H18102" s="612"/>
    </row>
    <row r="18103">
      <c r="B18103" s="612"/>
      <c r="H18103" s="612"/>
    </row>
    <row r="18104">
      <c r="B18104" s="612"/>
      <c r="H18104" s="612"/>
    </row>
    <row r="18105">
      <c r="B18105" s="612"/>
      <c r="H18105" s="612"/>
    </row>
    <row r="18106">
      <c r="B18106" s="612"/>
      <c r="H18106" s="612"/>
    </row>
    <row r="18107">
      <c r="B18107" s="612"/>
      <c r="H18107" s="612"/>
    </row>
    <row r="18108">
      <c r="B18108" s="612"/>
      <c r="H18108" s="612"/>
    </row>
    <row r="18109">
      <c r="B18109" s="612"/>
      <c r="H18109" s="612"/>
    </row>
    <row r="18110">
      <c r="B18110" s="612"/>
      <c r="H18110" s="612"/>
    </row>
    <row r="18111">
      <c r="B18111" s="612"/>
      <c r="H18111" s="612"/>
    </row>
    <row r="18112">
      <c r="B18112" s="612"/>
      <c r="H18112" s="612"/>
    </row>
    <row r="18113">
      <c r="B18113" s="612"/>
      <c r="H18113" s="612"/>
    </row>
    <row r="18114">
      <c r="B18114" s="612"/>
      <c r="H18114" s="612"/>
    </row>
    <row r="18115">
      <c r="B18115" s="612"/>
      <c r="H18115" s="612"/>
    </row>
    <row r="18116">
      <c r="B18116" s="612"/>
      <c r="H18116" s="612"/>
    </row>
    <row r="18117">
      <c r="B18117" s="612"/>
      <c r="H18117" s="612"/>
    </row>
    <row r="18118">
      <c r="B18118" s="612"/>
      <c r="H18118" s="612"/>
    </row>
    <row r="18119">
      <c r="B18119" s="612"/>
      <c r="H18119" s="612"/>
    </row>
    <row r="18120">
      <c r="B18120" s="612"/>
      <c r="H18120" s="612"/>
    </row>
    <row r="18121">
      <c r="B18121" s="612"/>
      <c r="H18121" s="612"/>
    </row>
    <row r="18122">
      <c r="B18122" s="612"/>
      <c r="H18122" s="612"/>
    </row>
    <row r="18123">
      <c r="B18123" s="612"/>
      <c r="H18123" s="612"/>
    </row>
    <row r="18124">
      <c r="B18124" s="612"/>
      <c r="H18124" s="612"/>
    </row>
    <row r="18125">
      <c r="B18125" s="612"/>
      <c r="H18125" s="612"/>
    </row>
    <row r="18126">
      <c r="B18126" s="612"/>
      <c r="H18126" s="612"/>
    </row>
    <row r="18127">
      <c r="B18127" s="612"/>
      <c r="H18127" s="612"/>
    </row>
    <row r="18128">
      <c r="B18128" s="612"/>
      <c r="H18128" s="612"/>
    </row>
    <row r="18129">
      <c r="B18129" s="612"/>
      <c r="H18129" s="612"/>
    </row>
    <row r="18130">
      <c r="B18130" s="612"/>
      <c r="H18130" s="612"/>
    </row>
    <row r="18131">
      <c r="B18131" s="612"/>
      <c r="H18131" s="612"/>
    </row>
    <row r="18132">
      <c r="B18132" s="612"/>
      <c r="H18132" s="612"/>
    </row>
    <row r="18133">
      <c r="B18133" s="612"/>
      <c r="H18133" s="612"/>
    </row>
    <row r="18134">
      <c r="B18134" s="612"/>
      <c r="H18134" s="612"/>
    </row>
    <row r="18135">
      <c r="B18135" s="612"/>
      <c r="H18135" s="612"/>
    </row>
    <row r="18136">
      <c r="B18136" s="612"/>
      <c r="H18136" s="612"/>
    </row>
    <row r="18137">
      <c r="B18137" s="612"/>
      <c r="H18137" s="612"/>
    </row>
    <row r="18138">
      <c r="B18138" s="612"/>
      <c r="H18138" s="612"/>
    </row>
    <row r="18139">
      <c r="B18139" s="612"/>
      <c r="H18139" s="612"/>
    </row>
    <row r="18140">
      <c r="B18140" s="612"/>
      <c r="H18140" s="612"/>
    </row>
    <row r="18141">
      <c r="B18141" s="612"/>
      <c r="H18141" s="612"/>
    </row>
    <row r="18142">
      <c r="B18142" s="612"/>
      <c r="H18142" s="612"/>
    </row>
    <row r="18143">
      <c r="B18143" s="612"/>
      <c r="H18143" s="612"/>
    </row>
    <row r="18144">
      <c r="B18144" s="612"/>
      <c r="H18144" s="612"/>
    </row>
    <row r="18145">
      <c r="B18145" s="612"/>
      <c r="H18145" s="612"/>
    </row>
    <row r="18146">
      <c r="B18146" s="612"/>
      <c r="H18146" s="612"/>
    </row>
    <row r="18147">
      <c r="B18147" s="612"/>
      <c r="H18147" s="612"/>
    </row>
    <row r="18148">
      <c r="B18148" s="612"/>
      <c r="H18148" s="612"/>
    </row>
    <row r="18149">
      <c r="B18149" s="612"/>
      <c r="H18149" s="612"/>
    </row>
    <row r="18150">
      <c r="B18150" s="612"/>
      <c r="H18150" s="612"/>
    </row>
    <row r="18151">
      <c r="B18151" s="612"/>
      <c r="H18151" s="612"/>
    </row>
    <row r="18152">
      <c r="B18152" s="612"/>
      <c r="H18152" s="612"/>
    </row>
    <row r="18153">
      <c r="B18153" s="612"/>
      <c r="H18153" s="612"/>
    </row>
    <row r="18154">
      <c r="B18154" s="612"/>
      <c r="H18154" s="612"/>
    </row>
    <row r="18155">
      <c r="B18155" s="612"/>
      <c r="H18155" s="612"/>
    </row>
    <row r="18156">
      <c r="B18156" s="612"/>
      <c r="H18156" s="612"/>
    </row>
    <row r="18157">
      <c r="B18157" s="612"/>
      <c r="H18157" s="612"/>
    </row>
    <row r="18158">
      <c r="B18158" s="612"/>
      <c r="H18158" s="612"/>
    </row>
    <row r="18159">
      <c r="B18159" s="612"/>
      <c r="H18159" s="612"/>
    </row>
    <row r="18160">
      <c r="B18160" s="612"/>
      <c r="H18160" s="612"/>
    </row>
    <row r="18161">
      <c r="B18161" s="612"/>
      <c r="H18161" s="612"/>
    </row>
    <row r="18162">
      <c r="B18162" s="612"/>
      <c r="H18162" s="612"/>
    </row>
    <row r="18163">
      <c r="B18163" s="612"/>
      <c r="H18163" s="612"/>
    </row>
    <row r="18164">
      <c r="B18164" s="612"/>
      <c r="H18164" s="612"/>
    </row>
    <row r="18165">
      <c r="B18165" s="612"/>
      <c r="H18165" s="612"/>
    </row>
    <row r="18166">
      <c r="B18166" s="612"/>
      <c r="H18166" s="612"/>
    </row>
    <row r="18167">
      <c r="B18167" s="612"/>
      <c r="H18167" s="612"/>
    </row>
    <row r="18168">
      <c r="B18168" s="612"/>
      <c r="H18168" s="612"/>
    </row>
    <row r="18169">
      <c r="B18169" s="612"/>
      <c r="H18169" s="612"/>
    </row>
    <row r="18170">
      <c r="B18170" s="612"/>
      <c r="H18170" s="612"/>
    </row>
    <row r="18171">
      <c r="B18171" s="612"/>
      <c r="H18171" s="612"/>
    </row>
    <row r="18172">
      <c r="B18172" s="612"/>
      <c r="H18172" s="612"/>
    </row>
    <row r="18173">
      <c r="B18173" s="612"/>
      <c r="H18173" s="612"/>
    </row>
    <row r="18174">
      <c r="B18174" s="612"/>
      <c r="H18174" s="612"/>
    </row>
    <row r="18175">
      <c r="B18175" s="612"/>
      <c r="H18175" s="612"/>
    </row>
    <row r="18176">
      <c r="B18176" s="612"/>
      <c r="H18176" s="612"/>
    </row>
    <row r="18177">
      <c r="B18177" s="612"/>
      <c r="H18177" s="612"/>
    </row>
    <row r="18178">
      <c r="B18178" s="612"/>
      <c r="H18178" s="612"/>
    </row>
    <row r="18179">
      <c r="B18179" s="612"/>
      <c r="H18179" s="612"/>
    </row>
    <row r="18180">
      <c r="B18180" s="612"/>
      <c r="H18180" s="612"/>
    </row>
    <row r="18181">
      <c r="B18181" s="612"/>
      <c r="H18181" s="612"/>
    </row>
    <row r="18182">
      <c r="B18182" s="612"/>
      <c r="H18182" s="612"/>
    </row>
    <row r="18183">
      <c r="B18183" s="612"/>
      <c r="H18183" s="612"/>
    </row>
    <row r="18184">
      <c r="B18184" s="612"/>
      <c r="H18184" s="612"/>
    </row>
    <row r="18185">
      <c r="B18185" s="612"/>
      <c r="H18185" s="612"/>
    </row>
    <row r="18186">
      <c r="B18186" s="612"/>
      <c r="H18186" s="612"/>
    </row>
    <row r="18187">
      <c r="B18187" s="612"/>
      <c r="H18187" s="612"/>
    </row>
    <row r="18188">
      <c r="B18188" s="612"/>
      <c r="H18188" s="612"/>
    </row>
    <row r="18189">
      <c r="B18189" s="612"/>
      <c r="H18189" s="612"/>
    </row>
    <row r="18190">
      <c r="B18190" s="612"/>
      <c r="H18190" s="612"/>
    </row>
    <row r="18191">
      <c r="B18191" s="612"/>
      <c r="H18191" s="612"/>
    </row>
    <row r="18192">
      <c r="B18192" s="612"/>
      <c r="H18192" s="612"/>
    </row>
    <row r="18193">
      <c r="B18193" s="612"/>
      <c r="H18193" s="612"/>
    </row>
    <row r="18194">
      <c r="B18194" s="612"/>
      <c r="H18194" s="612"/>
    </row>
    <row r="18195">
      <c r="B18195" s="612"/>
      <c r="H18195" s="612"/>
    </row>
    <row r="18196">
      <c r="B18196" s="612"/>
      <c r="H18196" s="612"/>
    </row>
    <row r="18197">
      <c r="B18197" s="612"/>
      <c r="H18197" s="612"/>
    </row>
    <row r="18198">
      <c r="B18198" s="612"/>
      <c r="H18198" s="612"/>
    </row>
    <row r="18199">
      <c r="B18199" s="612"/>
      <c r="H18199" s="612"/>
    </row>
    <row r="18200">
      <c r="B18200" s="612"/>
      <c r="H18200" s="612"/>
    </row>
    <row r="18201">
      <c r="B18201" s="612"/>
      <c r="H18201" s="612"/>
    </row>
    <row r="18202">
      <c r="B18202" s="612"/>
      <c r="H18202" s="612"/>
    </row>
    <row r="18203">
      <c r="B18203" s="612"/>
      <c r="H18203" s="612"/>
    </row>
    <row r="18204">
      <c r="B18204" s="612"/>
      <c r="H18204" s="612"/>
    </row>
    <row r="18205">
      <c r="B18205" s="612"/>
      <c r="H18205" s="612"/>
    </row>
    <row r="18206">
      <c r="B18206" s="612"/>
      <c r="H18206" s="612"/>
    </row>
    <row r="18207">
      <c r="B18207" s="612"/>
      <c r="H18207" s="612"/>
    </row>
    <row r="18208">
      <c r="B18208" s="612"/>
      <c r="H18208" s="612"/>
    </row>
    <row r="18209">
      <c r="B18209" s="612"/>
      <c r="H18209" s="612"/>
    </row>
    <row r="18210">
      <c r="B18210" s="612"/>
      <c r="H18210" s="612"/>
    </row>
    <row r="18211">
      <c r="B18211" s="612"/>
      <c r="H18211" s="612"/>
    </row>
    <row r="18212">
      <c r="B18212" s="612"/>
      <c r="H18212" s="612"/>
    </row>
    <row r="18213">
      <c r="B18213" s="612"/>
      <c r="H18213" s="612"/>
    </row>
    <row r="18214">
      <c r="B18214" s="612"/>
      <c r="H18214" s="612"/>
    </row>
    <row r="18215">
      <c r="B18215" s="612"/>
      <c r="H18215" s="612"/>
    </row>
    <row r="18216">
      <c r="B18216" s="612"/>
      <c r="H18216" s="612"/>
    </row>
    <row r="18217">
      <c r="B18217" s="612"/>
      <c r="H18217" s="612"/>
    </row>
    <row r="18218">
      <c r="B18218" s="612"/>
      <c r="H18218" s="612"/>
    </row>
    <row r="18219">
      <c r="B18219" s="612"/>
      <c r="H18219" s="612"/>
    </row>
    <row r="18220">
      <c r="B18220" s="612"/>
      <c r="H18220" s="612"/>
    </row>
    <row r="18221">
      <c r="B18221" s="612"/>
      <c r="H18221" s="612"/>
    </row>
    <row r="18222">
      <c r="B18222" s="612"/>
      <c r="H18222" s="612"/>
    </row>
    <row r="18223">
      <c r="B18223" s="612"/>
      <c r="H18223" s="612"/>
    </row>
    <row r="18224">
      <c r="B18224" s="612"/>
      <c r="H18224" s="612"/>
    </row>
    <row r="18225">
      <c r="B18225" s="612"/>
      <c r="H18225" s="612"/>
    </row>
    <row r="18226">
      <c r="B18226" s="612"/>
      <c r="H18226" s="612"/>
    </row>
    <row r="18227">
      <c r="B18227" s="612"/>
      <c r="H18227" s="612"/>
    </row>
    <row r="18228">
      <c r="B18228" s="612"/>
      <c r="H18228" s="612"/>
    </row>
    <row r="18229">
      <c r="B18229" s="612"/>
      <c r="H18229" s="612"/>
    </row>
    <row r="18230">
      <c r="B18230" s="612"/>
      <c r="H18230" s="612"/>
    </row>
    <row r="18231">
      <c r="B18231" s="612"/>
      <c r="H18231" s="612"/>
    </row>
    <row r="18232">
      <c r="B18232" s="612"/>
      <c r="H18232" s="612"/>
    </row>
    <row r="18233">
      <c r="B18233" s="612"/>
      <c r="H18233" s="612"/>
    </row>
    <row r="18234">
      <c r="B18234" s="612"/>
      <c r="H18234" s="612"/>
    </row>
    <row r="18235">
      <c r="B18235" s="612"/>
      <c r="H18235" s="612"/>
    </row>
    <row r="18236">
      <c r="B18236" s="612"/>
      <c r="H18236" s="612"/>
    </row>
    <row r="18237">
      <c r="B18237" s="612"/>
      <c r="H18237" s="612"/>
    </row>
    <row r="18238">
      <c r="B18238" s="612"/>
      <c r="H18238" s="612"/>
    </row>
    <row r="18239">
      <c r="B18239" s="612"/>
      <c r="H18239" s="612"/>
    </row>
    <row r="18240">
      <c r="B18240" s="612"/>
      <c r="H18240" s="612"/>
    </row>
    <row r="18241">
      <c r="B18241" s="612"/>
      <c r="H18241" s="612"/>
    </row>
    <row r="18242">
      <c r="B18242" s="612"/>
      <c r="H18242" s="612"/>
    </row>
    <row r="18243">
      <c r="B18243" s="612"/>
      <c r="H18243" s="612"/>
    </row>
    <row r="18244">
      <c r="B18244" s="612"/>
      <c r="H18244" s="612"/>
    </row>
    <row r="18245">
      <c r="B18245" s="612"/>
      <c r="H18245" s="612"/>
    </row>
    <row r="18246">
      <c r="B18246" s="612"/>
      <c r="H18246" s="612"/>
    </row>
    <row r="18247">
      <c r="B18247" s="612"/>
      <c r="H18247" s="612"/>
    </row>
    <row r="18248">
      <c r="B18248" s="612"/>
      <c r="H18248" s="612"/>
    </row>
    <row r="18249">
      <c r="B18249" s="612"/>
      <c r="H18249" s="612"/>
    </row>
    <row r="18250">
      <c r="B18250" s="612"/>
      <c r="H18250" s="612"/>
    </row>
    <row r="18251">
      <c r="B18251" s="612"/>
      <c r="H18251" s="612"/>
    </row>
    <row r="18252">
      <c r="B18252" s="612"/>
      <c r="H18252" s="612"/>
    </row>
    <row r="18253">
      <c r="B18253" s="612"/>
      <c r="H18253" s="612"/>
    </row>
    <row r="18254">
      <c r="B18254" s="612"/>
      <c r="H18254" s="612"/>
    </row>
    <row r="18255">
      <c r="B18255" s="612"/>
      <c r="H18255" s="612"/>
    </row>
    <row r="18256">
      <c r="B18256" s="612"/>
      <c r="H18256" s="612"/>
    </row>
    <row r="18257">
      <c r="B18257" s="612"/>
      <c r="H18257" s="612"/>
    </row>
    <row r="18258">
      <c r="B18258" s="612"/>
      <c r="H18258" s="612"/>
    </row>
    <row r="18259">
      <c r="B18259" s="612"/>
      <c r="H18259" s="612"/>
    </row>
    <row r="18260">
      <c r="B18260" s="612"/>
      <c r="H18260" s="612"/>
    </row>
    <row r="18261">
      <c r="B18261" s="612"/>
      <c r="H18261" s="612"/>
    </row>
    <row r="18262">
      <c r="B18262" s="612"/>
      <c r="H18262" s="612"/>
    </row>
    <row r="18263">
      <c r="B18263" s="612"/>
      <c r="H18263" s="612"/>
    </row>
    <row r="18264">
      <c r="B18264" s="612"/>
      <c r="H18264" s="612"/>
    </row>
    <row r="18265">
      <c r="B18265" s="612"/>
      <c r="H18265" s="612"/>
    </row>
    <row r="18266">
      <c r="B18266" s="612"/>
      <c r="H18266" s="612"/>
    </row>
    <row r="18267">
      <c r="B18267" s="612"/>
      <c r="H18267" s="612"/>
    </row>
    <row r="18268">
      <c r="B18268" s="612"/>
      <c r="H18268" s="612"/>
    </row>
    <row r="18269">
      <c r="B18269" s="612"/>
      <c r="H18269" s="612"/>
    </row>
    <row r="18270">
      <c r="B18270" s="612"/>
      <c r="H18270" s="612"/>
    </row>
    <row r="18271">
      <c r="B18271" s="612"/>
      <c r="H18271" s="612"/>
    </row>
    <row r="18272">
      <c r="B18272" s="612"/>
      <c r="H18272" s="612"/>
    </row>
    <row r="18273">
      <c r="B18273" s="612"/>
      <c r="H18273" s="612"/>
    </row>
    <row r="18274">
      <c r="B18274" s="612"/>
      <c r="H18274" s="612"/>
    </row>
    <row r="18275">
      <c r="B18275" s="612"/>
      <c r="H18275" s="612"/>
    </row>
    <row r="18276">
      <c r="B18276" s="612"/>
      <c r="H18276" s="612"/>
    </row>
    <row r="18277">
      <c r="B18277" s="612"/>
      <c r="H18277" s="612"/>
    </row>
    <row r="18278">
      <c r="B18278" s="612"/>
      <c r="H18278" s="612"/>
    </row>
    <row r="18279">
      <c r="B18279" s="612"/>
      <c r="H18279" s="612"/>
    </row>
    <row r="18280">
      <c r="B18280" s="612"/>
      <c r="H18280" s="612"/>
    </row>
    <row r="18281">
      <c r="B18281" s="612"/>
      <c r="H18281" s="612"/>
    </row>
    <row r="18282">
      <c r="B18282" s="612"/>
      <c r="H18282" s="612"/>
    </row>
    <row r="18283">
      <c r="B18283" s="612"/>
      <c r="H18283" s="612"/>
    </row>
    <row r="18284">
      <c r="B18284" s="612"/>
      <c r="H18284" s="612"/>
    </row>
    <row r="18285">
      <c r="B18285" s="612"/>
      <c r="H18285" s="612"/>
    </row>
    <row r="18286">
      <c r="B18286" s="612"/>
      <c r="H18286" s="612"/>
    </row>
    <row r="18287">
      <c r="B18287" s="612"/>
      <c r="H18287" s="612"/>
    </row>
    <row r="18288">
      <c r="B18288" s="612"/>
      <c r="H18288" s="612"/>
    </row>
    <row r="18289">
      <c r="B18289" s="612"/>
      <c r="H18289" s="612"/>
    </row>
    <row r="18290">
      <c r="B18290" s="612"/>
      <c r="H18290" s="612"/>
    </row>
    <row r="18291">
      <c r="B18291" s="612"/>
      <c r="H18291" s="612"/>
    </row>
    <row r="18292">
      <c r="B18292" s="612"/>
      <c r="H18292" s="612"/>
    </row>
    <row r="18293">
      <c r="B18293" s="612"/>
      <c r="H18293" s="612"/>
    </row>
    <row r="18294">
      <c r="B18294" s="612"/>
      <c r="H18294" s="612"/>
    </row>
    <row r="18295">
      <c r="B18295" s="612"/>
      <c r="H18295" s="612"/>
    </row>
    <row r="18296">
      <c r="B18296" s="612"/>
      <c r="H18296" s="612"/>
    </row>
    <row r="18297">
      <c r="B18297" s="612"/>
      <c r="H18297" s="612"/>
    </row>
    <row r="18298">
      <c r="B18298" s="612"/>
      <c r="H18298" s="612"/>
    </row>
    <row r="18299">
      <c r="B18299" s="612"/>
      <c r="H18299" s="612"/>
    </row>
    <row r="18300">
      <c r="B18300" s="612"/>
      <c r="H18300" s="612"/>
    </row>
    <row r="18301">
      <c r="B18301" s="612"/>
      <c r="H18301" s="612"/>
    </row>
    <row r="18302">
      <c r="B18302" s="612"/>
      <c r="H18302" s="612"/>
    </row>
    <row r="18303">
      <c r="B18303" s="612"/>
      <c r="H18303" s="612"/>
    </row>
    <row r="18304">
      <c r="B18304" s="612"/>
      <c r="H18304" s="612"/>
    </row>
    <row r="18305">
      <c r="B18305" s="612"/>
      <c r="H18305" s="612"/>
    </row>
    <row r="18306">
      <c r="B18306" s="612"/>
      <c r="H18306" s="612"/>
    </row>
    <row r="18307">
      <c r="B18307" s="612"/>
      <c r="H18307" s="612"/>
    </row>
    <row r="18308">
      <c r="B18308" s="612"/>
      <c r="H18308" s="612"/>
    </row>
    <row r="18309">
      <c r="B18309" s="612"/>
      <c r="H18309" s="612"/>
    </row>
    <row r="18310">
      <c r="B18310" s="612"/>
      <c r="H18310" s="612"/>
    </row>
    <row r="18311">
      <c r="B18311" s="612"/>
      <c r="H18311" s="612"/>
    </row>
    <row r="18312">
      <c r="B18312" s="612"/>
      <c r="H18312" s="612"/>
    </row>
    <row r="18313">
      <c r="B18313" s="612"/>
      <c r="H18313" s="612"/>
    </row>
    <row r="18314">
      <c r="B18314" s="612"/>
      <c r="H18314" s="612"/>
    </row>
    <row r="18315">
      <c r="B18315" s="612"/>
      <c r="H18315" s="612"/>
    </row>
    <row r="18316">
      <c r="B18316" s="612"/>
      <c r="H18316" s="612"/>
    </row>
    <row r="18317">
      <c r="B18317" s="612"/>
      <c r="H18317" s="612"/>
    </row>
    <row r="18318">
      <c r="B18318" s="612"/>
      <c r="H18318" s="612"/>
    </row>
    <row r="18319">
      <c r="B18319" s="612"/>
      <c r="H18319" s="612"/>
    </row>
    <row r="18320">
      <c r="B18320" s="612"/>
      <c r="H18320" s="612"/>
    </row>
    <row r="18321">
      <c r="B18321" s="612"/>
      <c r="H18321" s="612"/>
    </row>
    <row r="18322">
      <c r="B18322" s="612"/>
      <c r="H18322" s="612"/>
    </row>
    <row r="18323">
      <c r="B18323" s="612"/>
      <c r="H18323" s="612"/>
    </row>
    <row r="18324">
      <c r="B18324" s="612"/>
      <c r="H18324" s="612"/>
    </row>
    <row r="18325">
      <c r="B18325" s="612"/>
      <c r="H18325" s="612"/>
    </row>
    <row r="18326">
      <c r="B18326" s="612"/>
      <c r="H18326" s="612"/>
    </row>
    <row r="18327">
      <c r="B18327" s="612"/>
      <c r="H18327" s="612"/>
    </row>
    <row r="18328">
      <c r="B18328" s="612"/>
      <c r="H18328" s="612"/>
    </row>
    <row r="18329">
      <c r="B18329" s="612"/>
      <c r="H18329" s="612"/>
    </row>
    <row r="18330">
      <c r="B18330" s="612"/>
      <c r="H18330" s="612"/>
    </row>
    <row r="18331">
      <c r="B18331" s="612"/>
      <c r="H18331" s="612"/>
    </row>
    <row r="18332">
      <c r="B18332" s="612"/>
      <c r="H18332" s="612"/>
    </row>
    <row r="18333">
      <c r="B18333" s="612"/>
      <c r="H18333" s="612"/>
    </row>
    <row r="18334">
      <c r="B18334" s="612"/>
      <c r="H18334" s="612"/>
    </row>
    <row r="18335">
      <c r="B18335" s="612"/>
      <c r="H18335" s="612"/>
    </row>
    <row r="18336">
      <c r="B18336" s="612"/>
      <c r="H18336" s="612"/>
    </row>
    <row r="18337">
      <c r="B18337" s="612"/>
      <c r="H18337" s="612"/>
    </row>
    <row r="18338">
      <c r="B18338" s="612"/>
      <c r="H18338" s="612"/>
    </row>
    <row r="18339">
      <c r="B18339" s="612"/>
      <c r="H18339" s="612"/>
    </row>
    <row r="18340">
      <c r="B18340" s="612"/>
      <c r="H18340" s="612"/>
    </row>
    <row r="18341">
      <c r="B18341" s="612"/>
      <c r="H18341" s="612"/>
    </row>
    <row r="18342">
      <c r="B18342" s="612"/>
      <c r="H18342" s="612"/>
    </row>
    <row r="18343">
      <c r="B18343" s="612"/>
      <c r="H18343" s="612"/>
    </row>
    <row r="18344">
      <c r="B18344" s="612"/>
      <c r="H18344" s="612"/>
    </row>
    <row r="18345">
      <c r="B18345" s="612"/>
      <c r="H18345" s="612"/>
    </row>
    <row r="18346">
      <c r="B18346" s="612"/>
      <c r="H18346" s="612"/>
    </row>
    <row r="18347">
      <c r="B18347" s="612"/>
      <c r="H18347" s="612"/>
    </row>
    <row r="18348">
      <c r="B18348" s="612"/>
      <c r="H18348" s="612"/>
    </row>
    <row r="18349">
      <c r="B18349" s="612"/>
      <c r="H18349" s="612"/>
    </row>
    <row r="18350">
      <c r="B18350" s="612"/>
      <c r="H18350" s="612"/>
    </row>
    <row r="18351">
      <c r="B18351" s="612"/>
      <c r="H18351" s="612"/>
    </row>
    <row r="18352">
      <c r="B18352" s="612"/>
      <c r="H18352" s="612"/>
    </row>
    <row r="18353">
      <c r="B18353" s="612"/>
      <c r="H18353" s="612"/>
    </row>
    <row r="18354">
      <c r="B18354" s="612"/>
      <c r="H18354" s="612"/>
    </row>
    <row r="18355">
      <c r="B18355" s="612"/>
      <c r="H18355" s="612"/>
    </row>
    <row r="18356">
      <c r="B18356" s="612"/>
      <c r="H18356" s="612"/>
    </row>
    <row r="18357">
      <c r="B18357" s="612"/>
      <c r="H18357" s="612"/>
    </row>
    <row r="18358">
      <c r="B18358" s="612"/>
      <c r="H18358" s="612"/>
    </row>
    <row r="18359">
      <c r="B18359" s="612"/>
      <c r="H18359" s="612"/>
    </row>
    <row r="18360">
      <c r="B18360" s="612"/>
      <c r="H18360" s="612"/>
    </row>
    <row r="18361">
      <c r="B18361" s="612"/>
      <c r="H18361" s="612"/>
    </row>
    <row r="18362">
      <c r="B18362" s="612"/>
      <c r="H18362" s="612"/>
    </row>
    <row r="18363">
      <c r="B18363" s="612"/>
      <c r="H18363" s="612"/>
    </row>
    <row r="18364">
      <c r="B18364" s="612"/>
      <c r="H18364" s="612"/>
    </row>
    <row r="18365">
      <c r="B18365" s="612"/>
      <c r="H18365" s="612"/>
    </row>
    <row r="18366">
      <c r="B18366" s="612"/>
      <c r="H18366" s="612"/>
    </row>
    <row r="18367">
      <c r="B18367" s="612"/>
      <c r="H18367" s="612"/>
    </row>
    <row r="18368">
      <c r="B18368" s="612"/>
      <c r="H18368" s="612"/>
    </row>
    <row r="18369">
      <c r="B18369" s="612"/>
      <c r="H18369" s="612"/>
    </row>
    <row r="18370">
      <c r="B18370" s="612"/>
      <c r="H18370" s="612"/>
    </row>
    <row r="18371">
      <c r="B18371" s="612"/>
      <c r="H18371" s="612"/>
    </row>
    <row r="18372">
      <c r="B18372" s="612"/>
      <c r="H18372" s="612"/>
    </row>
    <row r="18373">
      <c r="B18373" s="612"/>
      <c r="H18373" s="612"/>
    </row>
    <row r="18374">
      <c r="B18374" s="612"/>
      <c r="H18374" s="612"/>
    </row>
    <row r="18375">
      <c r="B18375" s="612"/>
      <c r="H18375" s="612"/>
    </row>
    <row r="18376">
      <c r="B18376" s="612"/>
      <c r="H18376" s="612"/>
    </row>
    <row r="18377">
      <c r="B18377" s="612"/>
      <c r="H18377" s="612"/>
    </row>
    <row r="18378">
      <c r="B18378" s="612"/>
      <c r="H18378" s="612"/>
    </row>
    <row r="18379">
      <c r="B18379" s="612"/>
      <c r="H18379" s="612"/>
    </row>
    <row r="18380">
      <c r="B18380" s="612"/>
      <c r="H18380" s="612"/>
    </row>
    <row r="18381">
      <c r="B18381" s="612"/>
      <c r="H18381" s="612"/>
    </row>
    <row r="18382">
      <c r="B18382" s="612"/>
      <c r="H18382" s="612"/>
    </row>
    <row r="18383">
      <c r="B18383" s="612"/>
      <c r="H18383" s="612"/>
    </row>
    <row r="18384">
      <c r="B18384" s="612"/>
      <c r="H18384" s="612"/>
    </row>
    <row r="18385">
      <c r="B18385" s="612"/>
      <c r="H18385" s="612"/>
    </row>
    <row r="18386">
      <c r="B18386" s="612"/>
      <c r="H18386" s="612"/>
    </row>
    <row r="18387">
      <c r="B18387" s="612"/>
      <c r="H18387" s="612"/>
    </row>
    <row r="18388">
      <c r="B18388" s="612"/>
      <c r="H18388" s="612"/>
    </row>
    <row r="18389">
      <c r="B18389" s="612"/>
      <c r="H18389" s="612"/>
    </row>
    <row r="18390">
      <c r="B18390" s="612"/>
      <c r="H18390" s="612"/>
    </row>
    <row r="18391">
      <c r="B18391" s="612"/>
      <c r="H18391" s="612"/>
    </row>
    <row r="18392">
      <c r="B18392" s="612"/>
      <c r="H18392" s="612"/>
    </row>
    <row r="18393">
      <c r="B18393" s="612"/>
      <c r="H18393" s="612"/>
    </row>
    <row r="18394">
      <c r="B18394" s="612"/>
      <c r="H18394" s="612"/>
    </row>
    <row r="18395">
      <c r="B18395" s="612"/>
      <c r="H18395" s="612"/>
    </row>
    <row r="18396">
      <c r="B18396" s="612"/>
      <c r="H18396" s="612"/>
    </row>
    <row r="18397">
      <c r="B18397" s="612"/>
      <c r="H18397" s="612"/>
    </row>
    <row r="18398">
      <c r="B18398" s="612"/>
      <c r="H18398" s="612"/>
    </row>
    <row r="18399">
      <c r="B18399" s="612"/>
      <c r="H18399" s="612"/>
    </row>
    <row r="18400">
      <c r="B18400" s="612"/>
      <c r="H18400" s="612"/>
    </row>
    <row r="18401">
      <c r="B18401" s="612"/>
      <c r="H18401" s="612"/>
    </row>
    <row r="18402">
      <c r="B18402" s="612"/>
      <c r="H18402" s="612"/>
    </row>
    <row r="18403">
      <c r="B18403" s="612"/>
      <c r="H18403" s="612"/>
    </row>
    <row r="18404">
      <c r="B18404" s="612"/>
      <c r="H18404" s="612"/>
    </row>
    <row r="18405">
      <c r="B18405" s="612"/>
      <c r="H18405" s="612"/>
    </row>
    <row r="18406">
      <c r="B18406" s="612"/>
      <c r="H18406" s="612"/>
    </row>
    <row r="18407">
      <c r="B18407" s="612"/>
      <c r="H18407" s="612"/>
    </row>
    <row r="18408">
      <c r="B18408" s="612"/>
      <c r="H18408" s="612"/>
    </row>
    <row r="18409">
      <c r="B18409" s="612"/>
      <c r="H18409" s="612"/>
    </row>
    <row r="18410">
      <c r="B18410" s="612"/>
      <c r="H18410" s="612"/>
    </row>
    <row r="18411">
      <c r="B18411" s="612"/>
      <c r="H18411" s="612"/>
    </row>
    <row r="18412">
      <c r="B18412" s="612"/>
      <c r="H18412" s="612"/>
    </row>
    <row r="18413">
      <c r="B18413" s="612"/>
      <c r="H18413" s="612"/>
    </row>
    <row r="18414">
      <c r="B18414" s="612"/>
      <c r="H18414" s="612"/>
    </row>
    <row r="18415">
      <c r="B18415" s="612"/>
      <c r="H18415" s="612"/>
    </row>
    <row r="18416">
      <c r="B18416" s="612"/>
      <c r="H18416" s="612"/>
    </row>
    <row r="18417">
      <c r="B18417" s="612"/>
      <c r="H18417" s="612"/>
    </row>
    <row r="18418">
      <c r="B18418" s="612"/>
      <c r="H18418" s="612"/>
    </row>
    <row r="18419">
      <c r="B18419" s="612"/>
      <c r="H18419" s="612"/>
    </row>
    <row r="18420">
      <c r="B18420" s="612"/>
      <c r="H18420" s="612"/>
    </row>
    <row r="18421">
      <c r="B18421" s="612"/>
      <c r="H18421" s="612"/>
    </row>
    <row r="18422">
      <c r="B18422" s="612"/>
      <c r="H18422" s="612"/>
    </row>
    <row r="18423">
      <c r="B18423" s="612"/>
      <c r="H18423" s="612"/>
    </row>
    <row r="18424">
      <c r="B18424" s="612"/>
      <c r="H18424" s="612"/>
    </row>
    <row r="18425">
      <c r="B18425" s="612"/>
      <c r="H18425" s="612"/>
    </row>
    <row r="18426">
      <c r="B18426" s="612"/>
      <c r="H18426" s="612"/>
    </row>
    <row r="18427">
      <c r="B18427" s="612"/>
      <c r="H18427" s="612"/>
    </row>
    <row r="18428">
      <c r="B18428" s="612"/>
      <c r="H18428" s="612"/>
    </row>
    <row r="18429">
      <c r="B18429" s="612"/>
      <c r="H18429" s="612"/>
    </row>
    <row r="18430">
      <c r="B18430" s="612"/>
      <c r="H18430" s="612"/>
    </row>
    <row r="18431">
      <c r="B18431" s="612"/>
      <c r="H18431" s="612"/>
    </row>
    <row r="18432">
      <c r="B18432" s="612"/>
      <c r="H18432" s="612"/>
    </row>
    <row r="18433">
      <c r="B18433" s="612"/>
      <c r="H18433" s="612"/>
    </row>
    <row r="18434">
      <c r="B18434" s="612"/>
      <c r="H18434" s="612"/>
    </row>
    <row r="18435">
      <c r="B18435" s="612"/>
      <c r="H18435" s="612"/>
    </row>
    <row r="18436">
      <c r="B18436" s="612"/>
      <c r="H18436" s="612"/>
    </row>
    <row r="18437">
      <c r="B18437" s="612"/>
      <c r="H18437" s="612"/>
    </row>
    <row r="18438">
      <c r="B18438" s="612"/>
      <c r="H18438" s="612"/>
    </row>
    <row r="18439">
      <c r="B18439" s="612"/>
      <c r="H18439" s="612"/>
    </row>
    <row r="18440">
      <c r="B18440" s="612"/>
      <c r="H18440" s="612"/>
    </row>
    <row r="18441">
      <c r="B18441" s="612"/>
      <c r="H18441" s="612"/>
    </row>
    <row r="18442">
      <c r="B18442" s="612"/>
      <c r="H18442" s="612"/>
    </row>
    <row r="18443">
      <c r="B18443" s="612"/>
      <c r="H18443" s="612"/>
    </row>
    <row r="18444">
      <c r="B18444" s="612"/>
      <c r="H18444" s="612"/>
    </row>
    <row r="18445">
      <c r="B18445" s="612"/>
      <c r="H18445" s="612"/>
    </row>
    <row r="18446">
      <c r="B18446" s="612"/>
      <c r="H18446" s="612"/>
    </row>
    <row r="18447">
      <c r="B18447" s="612"/>
      <c r="H18447" s="612"/>
    </row>
    <row r="18448">
      <c r="B18448" s="612"/>
      <c r="H18448" s="612"/>
    </row>
    <row r="18449">
      <c r="B18449" s="612"/>
      <c r="H18449" s="612"/>
    </row>
    <row r="18450">
      <c r="B18450" s="612"/>
      <c r="H18450" s="612"/>
    </row>
    <row r="18451">
      <c r="B18451" s="612"/>
      <c r="H18451" s="612"/>
    </row>
    <row r="18452">
      <c r="B18452" s="612"/>
      <c r="H18452" s="612"/>
    </row>
    <row r="18453">
      <c r="B18453" s="612"/>
      <c r="H18453" s="612"/>
    </row>
    <row r="18454">
      <c r="B18454" s="612"/>
      <c r="H18454" s="612"/>
    </row>
    <row r="18455">
      <c r="B18455" s="612"/>
      <c r="H18455" s="612"/>
    </row>
    <row r="18456">
      <c r="B18456" s="612"/>
      <c r="H18456" s="612"/>
    </row>
    <row r="18457">
      <c r="B18457" s="612"/>
      <c r="H18457" s="612"/>
    </row>
    <row r="18458">
      <c r="B18458" s="612"/>
      <c r="H18458" s="612"/>
    </row>
    <row r="18459">
      <c r="B18459" s="612"/>
      <c r="H18459" s="612"/>
    </row>
    <row r="18460">
      <c r="B18460" s="612"/>
      <c r="H18460" s="612"/>
    </row>
    <row r="18461">
      <c r="B18461" s="612"/>
      <c r="H18461" s="612"/>
    </row>
    <row r="18462">
      <c r="B18462" s="612"/>
      <c r="H18462" s="612"/>
    </row>
    <row r="18463">
      <c r="B18463" s="612"/>
      <c r="H18463" s="612"/>
    </row>
    <row r="18464">
      <c r="B18464" s="612"/>
      <c r="H18464" s="612"/>
    </row>
    <row r="18465">
      <c r="B18465" s="612"/>
      <c r="H18465" s="612"/>
    </row>
    <row r="18466">
      <c r="B18466" s="612"/>
      <c r="H18466" s="612"/>
    </row>
    <row r="18467">
      <c r="B18467" s="612"/>
      <c r="H18467" s="612"/>
    </row>
    <row r="18468">
      <c r="B18468" s="612"/>
      <c r="H18468" s="612"/>
    </row>
    <row r="18469">
      <c r="B18469" s="612"/>
      <c r="H18469" s="612"/>
    </row>
    <row r="18470">
      <c r="B18470" s="612"/>
      <c r="H18470" s="612"/>
    </row>
    <row r="18471">
      <c r="B18471" s="612"/>
      <c r="H18471" s="612"/>
    </row>
    <row r="18472">
      <c r="B18472" s="612"/>
      <c r="H18472" s="612"/>
    </row>
    <row r="18473">
      <c r="B18473" s="612"/>
      <c r="H18473" s="612"/>
    </row>
    <row r="18474">
      <c r="B18474" s="612"/>
      <c r="H18474" s="612"/>
    </row>
    <row r="18475">
      <c r="B18475" s="612"/>
      <c r="H18475" s="612"/>
    </row>
    <row r="18476">
      <c r="B18476" s="612"/>
      <c r="H18476" s="612"/>
    </row>
    <row r="18477">
      <c r="B18477" s="612"/>
      <c r="H18477" s="612"/>
    </row>
    <row r="18478">
      <c r="B18478" s="612"/>
      <c r="H18478" s="612"/>
    </row>
    <row r="18479">
      <c r="B18479" s="612"/>
      <c r="H18479" s="612"/>
    </row>
    <row r="18480">
      <c r="B18480" s="612"/>
      <c r="H18480" s="612"/>
    </row>
    <row r="18481">
      <c r="B18481" s="612"/>
      <c r="H18481" s="612"/>
    </row>
    <row r="18482">
      <c r="B18482" s="612"/>
      <c r="H18482" s="612"/>
    </row>
    <row r="18483">
      <c r="B18483" s="612"/>
      <c r="H18483" s="612"/>
    </row>
    <row r="18484">
      <c r="B18484" s="612"/>
      <c r="H18484" s="612"/>
    </row>
    <row r="18485">
      <c r="B18485" s="612"/>
      <c r="H18485" s="612"/>
    </row>
    <row r="18486">
      <c r="B18486" s="612"/>
      <c r="H18486" s="612"/>
    </row>
    <row r="18487">
      <c r="B18487" s="612"/>
      <c r="H18487" s="612"/>
    </row>
    <row r="18488">
      <c r="B18488" s="612"/>
      <c r="H18488" s="612"/>
    </row>
    <row r="18489">
      <c r="B18489" s="612"/>
      <c r="H18489" s="612"/>
    </row>
    <row r="18490">
      <c r="B18490" s="612"/>
      <c r="H18490" s="612"/>
    </row>
    <row r="18491">
      <c r="B18491" s="612"/>
      <c r="H18491" s="612"/>
    </row>
    <row r="18492">
      <c r="B18492" s="612"/>
      <c r="H18492" s="612"/>
    </row>
    <row r="18493">
      <c r="B18493" s="612"/>
      <c r="H18493" s="612"/>
    </row>
    <row r="18494">
      <c r="B18494" s="612"/>
      <c r="H18494" s="612"/>
    </row>
    <row r="18495">
      <c r="B18495" s="612"/>
      <c r="H18495" s="612"/>
    </row>
    <row r="18496">
      <c r="B18496" s="612"/>
      <c r="H18496" s="612"/>
    </row>
    <row r="18497">
      <c r="B18497" s="612"/>
      <c r="H18497" s="612"/>
    </row>
    <row r="18498">
      <c r="B18498" s="612"/>
      <c r="H18498" s="612"/>
    </row>
    <row r="18499">
      <c r="B18499" s="612"/>
      <c r="H18499" s="612"/>
    </row>
    <row r="18500">
      <c r="B18500" s="612"/>
      <c r="H18500" s="612"/>
    </row>
    <row r="18501">
      <c r="B18501" s="612"/>
      <c r="H18501" s="612"/>
    </row>
    <row r="18502">
      <c r="B18502" s="612"/>
      <c r="H18502" s="612"/>
    </row>
    <row r="18503">
      <c r="B18503" s="612"/>
      <c r="H18503" s="612"/>
    </row>
    <row r="18504">
      <c r="B18504" s="612"/>
      <c r="H18504" s="612"/>
    </row>
    <row r="18505">
      <c r="B18505" s="612"/>
      <c r="H18505" s="612"/>
    </row>
    <row r="18506">
      <c r="B18506" s="612"/>
      <c r="H18506" s="612"/>
    </row>
    <row r="18507">
      <c r="B18507" s="612"/>
      <c r="H18507" s="612"/>
    </row>
    <row r="18508">
      <c r="B18508" s="612"/>
      <c r="H18508" s="612"/>
    </row>
    <row r="18509">
      <c r="B18509" s="612"/>
      <c r="H18509" s="612"/>
    </row>
    <row r="18510">
      <c r="B18510" s="612"/>
      <c r="H18510" s="612"/>
    </row>
    <row r="18511">
      <c r="B18511" s="612"/>
      <c r="H18511" s="612"/>
    </row>
    <row r="18512">
      <c r="B18512" s="612"/>
      <c r="H18512" s="612"/>
    </row>
    <row r="18513">
      <c r="B18513" s="612"/>
      <c r="H18513" s="612"/>
    </row>
    <row r="18514">
      <c r="B18514" s="612"/>
      <c r="H18514" s="612"/>
    </row>
    <row r="18515">
      <c r="B18515" s="612"/>
      <c r="H18515" s="612"/>
    </row>
    <row r="18516">
      <c r="B18516" s="612"/>
      <c r="H18516" s="612"/>
    </row>
    <row r="18517">
      <c r="B18517" s="612"/>
      <c r="H18517" s="612"/>
    </row>
    <row r="18518">
      <c r="B18518" s="612"/>
      <c r="H18518" s="612"/>
    </row>
    <row r="18519">
      <c r="B18519" s="612"/>
      <c r="H18519" s="612"/>
    </row>
    <row r="18520">
      <c r="B18520" s="612"/>
      <c r="H18520" s="612"/>
    </row>
    <row r="18521">
      <c r="B18521" s="612"/>
      <c r="H18521" s="612"/>
    </row>
    <row r="18522">
      <c r="B18522" s="612"/>
      <c r="H18522" s="612"/>
    </row>
    <row r="18523">
      <c r="B18523" s="612"/>
      <c r="H18523" s="612"/>
    </row>
    <row r="18524">
      <c r="B18524" s="612"/>
      <c r="H18524" s="612"/>
    </row>
    <row r="18525">
      <c r="B18525" s="612"/>
      <c r="H18525" s="612"/>
    </row>
    <row r="18526">
      <c r="B18526" s="612"/>
      <c r="H18526" s="612"/>
    </row>
    <row r="18527">
      <c r="B18527" s="612"/>
      <c r="H18527" s="612"/>
    </row>
    <row r="18528">
      <c r="B18528" s="612"/>
      <c r="H18528" s="612"/>
    </row>
    <row r="18529">
      <c r="B18529" s="612"/>
      <c r="H18529" s="612"/>
    </row>
    <row r="18530">
      <c r="B18530" s="612"/>
      <c r="H18530" s="612"/>
    </row>
    <row r="18531">
      <c r="B18531" s="612"/>
      <c r="H18531" s="612"/>
    </row>
    <row r="18532">
      <c r="B18532" s="612"/>
      <c r="H18532" s="612"/>
    </row>
    <row r="18533">
      <c r="B18533" s="612"/>
      <c r="H18533" s="612"/>
    </row>
    <row r="18534">
      <c r="B18534" s="612"/>
      <c r="H18534" s="612"/>
    </row>
    <row r="18535">
      <c r="B18535" s="612"/>
      <c r="H18535" s="612"/>
    </row>
    <row r="18536">
      <c r="B18536" s="612"/>
      <c r="H18536" s="612"/>
    </row>
    <row r="18537">
      <c r="B18537" s="612"/>
      <c r="H18537" s="612"/>
    </row>
    <row r="18538">
      <c r="B18538" s="612"/>
      <c r="H18538" s="612"/>
    </row>
    <row r="18539">
      <c r="B18539" s="612"/>
      <c r="H18539" s="612"/>
    </row>
    <row r="18540">
      <c r="B18540" s="612"/>
      <c r="H18540" s="612"/>
    </row>
    <row r="18541">
      <c r="B18541" s="612"/>
      <c r="H18541" s="612"/>
    </row>
    <row r="18542">
      <c r="B18542" s="612"/>
      <c r="H18542" s="612"/>
    </row>
    <row r="18543">
      <c r="B18543" s="612"/>
      <c r="H18543" s="612"/>
    </row>
    <row r="18544">
      <c r="B18544" s="612"/>
      <c r="H18544" s="612"/>
    </row>
    <row r="18545">
      <c r="B18545" s="612"/>
      <c r="H18545" s="612"/>
    </row>
    <row r="18546">
      <c r="B18546" s="612"/>
      <c r="H18546" s="612"/>
    </row>
    <row r="18547">
      <c r="B18547" s="612"/>
      <c r="H18547" s="612"/>
    </row>
    <row r="18548">
      <c r="B18548" s="612"/>
      <c r="H18548" s="612"/>
    </row>
    <row r="18549">
      <c r="B18549" s="612"/>
      <c r="H18549" s="612"/>
    </row>
    <row r="18550">
      <c r="B18550" s="612"/>
      <c r="H18550" s="612"/>
    </row>
    <row r="18551">
      <c r="B18551" s="612"/>
      <c r="H18551" s="612"/>
    </row>
    <row r="18552">
      <c r="B18552" s="612"/>
      <c r="H18552" s="612"/>
    </row>
    <row r="18553">
      <c r="B18553" s="612"/>
      <c r="H18553" s="612"/>
    </row>
    <row r="18554">
      <c r="B18554" s="612"/>
      <c r="H18554" s="612"/>
    </row>
    <row r="18555">
      <c r="B18555" s="612"/>
      <c r="H18555" s="612"/>
    </row>
    <row r="18556">
      <c r="B18556" s="612"/>
      <c r="H18556" s="612"/>
    </row>
    <row r="18557">
      <c r="B18557" s="612"/>
      <c r="H18557" s="612"/>
    </row>
    <row r="18558">
      <c r="B18558" s="612"/>
      <c r="H18558" s="612"/>
    </row>
    <row r="18559">
      <c r="B18559" s="612"/>
      <c r="H18559" s="612"/>
    </row>
    <row r="18560">
      <c r="B18560" s="612"/>
      <c r="H18560" s="612"/>
    </row>
    <row r="18561">
      <c r="B18561" s="612"/>
      <c r="H18561" s="612"/>
    </row>
    <row r="18562">
      <c r="B18562" s="612"/>
      <c r="H18562" s="612"/>
    </row>
    <row r="18563">
      <c r="B18563" s="612"/>
      <c r="H18563" s="612"/>
    </row>
    <row r="18564">
      <c r="B18564" s="612"/>
      <c r="H18564" s="612"/>
    </row>
    <row r="18565">
      <c r="B18565" s="612"/>
      <c r="H18565" s="612"/>
    </row>
    <row r="18566">
      <c r="B18566" s="612"/>
      <c r="H18566" s="612"/>
    </row>
    <row r="18567">
      <c r="B18567" s="612"/>
      <c r="H18567" s="612"/>
    </row>
    <row r="18568">
      <c r="B18568" s="612"/>
      <c r="H18568" s="612"/>
    </row>
    <row r="18569">
      <c r="B18569" s="612"/>
      <c r="H18569" s="612"/>
    </row>
    <row r="18570">
      <c r="B18570" s="612"/>
      <c r="H18570" s="612"/>
    </row>
    <row r="18571">
      <c r="B18571" s="612"/>
      <c r="H18571" s="612"/>
    </row>
    <row r="18572">
      <c r="B18572" s="612"/>
      <c r="H18572" s="612"/>
    </row>
    <row r="18573">
      <c r="B18573" s="612"/>
      <c r="H18573" s="612"/>
    </row>
    <row r="18574">
      <c r="B18574" s="612"/>
      <c r="H18574" s="612"/>
    </row>
    <row r="18575">
      <c r="B18575" s="612"/>
      <c r="H18575" s="612"/>
    </row>
    <row r="18576">
      <c r="B18576" s="612"/>
      <c r="H18576" s="612"/>
    </row>
    <row r="18577">
      <c r="B18577" s="612"/>
      <c r="H18577" s="612"/>
    </row>
    <row r="18578">
      <c r="B18578" s="612"/>
      <c r="H18578" s="612"/>
    </row>
    <row r="18579">
      <c r="B18579" s="612"/>
      <c r="H18579" s="612"/>
    </row>
    <row r="18580">
      <c r="B18580" s="612"/>
      <c r="H18580" s="612"/>
    </row>
    <row r="18581">
      <c r="B18581" s="612"/>
      <c r="H18581" s="612"/>
    </row>
    <row r="18582">
      <c r="B18582" s="612"/>
      <c r="H18582" s="612"/>
    </row>
    <row r="18583">
      <c r="B18583" s="612"/>
      <c r="H18583" s="612"/>
    </row>
    <row r="18584">
      <c r="B18584" s="612"/>
      <c r="H18584" s="612"/>
    </row>
    <row r="18585">
      <c r="B18585" s="612"/>
      <c r="H18585" s="612"/>
    </row>
    <row r="18586">
      <c r="B18586" s="612"/>
      <c r="H18586" s="612"/>
    </row>
    <row r="18587">
      <c r="B18587" s="612"/>
      <c r="H18587" s="612"/>
    </row>
    <row r="18588">
      <c r="B18588" s="612"/>
      <c r="H18588" s="612"/>
    </row>
    <row r="18589">
      <c r="B18589" s="612"/>
      <c r="H18589" s="612"/>
    </row>
    <row r="18590">
      <c r="B18590" s="612"/>
      <c r="H18590" s="612"/>
    </row>
    <row r="18591">
      <c r="B18591" s="612"/>
      <c r="H18591" s="612"/>
    </row>
    <row r="18592">
      <c r="B18592" s="612"/>
      <c r="H18592" s="612"/>
    </row>
    <row r="18593">
      <c r="B18593" s="612"/>
      <c r="H18593" s="612"/>
    </row>
    <row r="18594">
      <c r="B18594" s="612"/>
      <c r="H18594" s="612"/>
    </row>
    <row r="18595">
      <c r="B18595" s="612"/>
      <c r="H18595" s="612"/>
    </row>
    <row r="18596">
      <c r="B18596" s="612"/>
      <c r="H18596" s="612"/>
    </row>
    <row r="18597">
      <c r="B18597" s="612"/>
      <c r="H18597" s="612"/>
    </row>
    <row r="18598">
      <c r="B18598" s="612"/>
      <c r="H18598" s="612"/>
    </row>
    <row r="18599">
      <c r="B18599" s="612"/>
      <c r="H18599" s="612"/>
    </row>
    <row r="18600">
      <c r="B18600" s="612"/>
      <c r="H18600" s="612"/>
    </row>
    <row r="18601">
      <c r="B18601" s="612"/>
      <c r="H18601" s="612"/>
    </row>
    <row r="18602">
      <c r="B18602" s="612"/>
      <c r="H18602" s="612"/>
    </row>
    <row r="18603">
      <c r="B18603" s="612"/>
      <c r="H18603" s="612"/>
    </row>
    <row r="18604">
      <c r="B18604" s="612"/>
      <c r="H18604" s="612"/>
    </row>
    <row r="18605">
      <c r="B18605" s="612"/>
      <c r="H18605" s="612"/>
    </row>
    <row r="18606">
      <c r="B18606" s="612"/>
      <c r="H18606" s="612"/>
    </row>
    <row r="18607">
      <c r="B18607" s="612"/>
      <c r="H18607" s="612"/>
    </row>
    <row r="18608">
      <c r="B18608" s="612"/>
      <c r="H18608" s="612"/>
    </row>
    <row r="18609">
      <c r="B18609" s="612"/>
      <c r="H18609" s="612"/>
    </row>
    <row r="18610">
      <c r="B18610" s="612"/>
      <c r="H18610" s="612"/>
    </row>
    <row r="18611">
      <c r="B18611" s="612"/>
      <c r="H18611" s="612"/>
    </row>
    <row r="18612">
      <c r="B18612" s="612"/>
      <c r="H18612" s="612"/>
    </row>
    <row r="18613">
      <c r="B18613" s="612"/>
      <c r="H18613" s="612"/>
    </row>
    <row r="18614">
      <c r="B18614" s="612"/>
      <c r="H18614" s="612"/>
    </row>
    <row r="18615">
      <c r="B18615" s="612"/>
      <c r="H18615" s="612"/>
    </row>
    <row r="18616">
      <c r="B18616" s="612"/>
      <c r="H18616" s="612"/>
    </row>
    <row r="18617">
      <c r="B18617" s="612"/>
      <c r="H18617" s="612"/>
    </row>
    <row r="18618">
      <c r="B18618" s="612"/>
      <c r="H18618" s="612"/>
    </row>
    <row r="18619">
      <c r="B18619" s="612"/>
      <c r="H18619" s="612"/>
    </row>
    <row r="18620">
      <c r="B18620" s="612"/>
      <c r="H18620" s="612"/>
    </row>
    <row r="18621">
      <c r="B18621" s="612"/>
      <c r="H18621" s="612"/>
    </row>
    <row r="18622">
      <c r="B18622" s="612"/>
      <c r="H18622" s="612"/>
    </row>
    <row r="18623">
      <c r="B18623" s="612"/>
      <c r="H18623" s="612"/>
    </row>
    <row r="18624">
      <c r="B18624" s="612"/>
      <c r="H18624" s="612"/>
    </row>
    <row r="18625">
      <c r="B18625" s="612"/>
      <c r="H18625" s="612"/>
    </row>
    <row r="18626">
      <c r="B18626" s="612"/>
      <c r="H18626" s="612"/>
    </row>
    <row r="18627">
      <c r="B18627" s="612"/>
      <c r="H18627" s="612"/>
    </row>
    <row r="18628">
      <c r="B18628" s="612"/>
      <c r="H18628" s="612"/>
    </row>
    <row r="18629">
      <c r="B18629" s="612"/>
      <c r="H18629" s="612"/>
    </row>
    <row r="18630">
      <c r="B18630" s="612"/>
      <c r="H18630" s="612"/>
    </row>
    <row r="18631">
      <c r="B18631" s="612"/>
      <c r="H18631" s="612"/>
    </row>
    <row r="18632">
      <c r="B18632" s="612"/>
      <c r="H18632" s="612"/>
    </row>
    <row r="18633">
      <c r="B18633" s="612"/>
      <c r="H18633" s="612"/>
    </row>
    <row r="18634">
      <c r="B18634" s="612"/>
      <c r="H18634" s="612"/>
    </row>
    <row r="18635">
      <c r="B18635" s="612"/>
      <c r="H18635" s="612"/>
    </row>
    <row r="18636">
      <c r="B18636" s="612"/>
      <c r="H18636" s="612"/>
    </row>
    <row r="18637">
      <c r="B18637" s="612"/>
      <c r="H18637" s="612"/>
    </row>
    <row r="18638">
      <c r="B18638" s="612"/>
      <c r="H18638" s="612"/>
    </row>
    <row r="18639">
      <c r="B18639" s="612"/>
      <c r="H18639" s="612"/>
    </row>
    <row r="18640">
      <c r="B18640" s="612"/>
      <c r="H18640" s="612"/>
    </row>
    <row r="18641">
      <c r="B18641" s="612"/>
      <c r="H18641" s="612"/>
    </row>
    <row r="18642">
      <c r="B18642" s="612"/>
      <c r="H18642" s="612"/>
    </row>
    <row r="18643">
      <c r="B18643" s="612"/>
      <c r="H18643" s="612"/>
    </row>
    <row r="18644">
      <c r="B18644" s="612"/>
      <c r="H18644" s="612"/>
    </row>
    <row r="18645">
      <c r="B18645" s="612"/>
      <c r="H18645" s="612"/>
    </row>
    <row r="18646">
      <c r="B18646" s="612"/>
      <c r="H18646" s="612"/>
    </row>
    <row r="18647">
      <c r="B18647" s="612"/>
      <c r="H18647" s="612"/>
    </row>
    <row r="18648">
      <c r="B18648" s="612"/>
      <c r="H18648" s="612"/>
    </row>
    <row r="18649">
      <c r="B18649" s="612"/>
      <c r="H18649" s="612"/>
    </row>
    <row r="18650">
      <c r="B18650" s="612"/>
      <c r="H18650" s="612"/>
    </row>
    <row r="18651">
      <c r="B18651" s="612"/>
      <c r="H18651" s="612"/>
    </row>
    <row r="18652">
      <c r="B18652" s="612"/>
      <c r="H18652" s="612"/>
    </row>
    <row r="18653">
      <c r="B18653" s="612"/>
      <c r="H18653" s="612"/>
    </row>
    <row r="18654">
      <c r="B18654" s="612"/>
      <c r="H18654" s="612"/>
    </row>
    <row r="18655">
      <c r="B18655" s="612"/>
      <c r="H18655" s="612"/>
    </row>
    <row r="18656">
      <c r="B18656" s="612"/>
      <c r="H18656" s="612"/>
    </row>
    <row r="18657">
      <c r="B18657" s="612"/>
      <c r="H18657" s="612"/>
    </row>
    <row r="18658">
      <c r="B18658" s="612"/>
      <c r="H18658" s="612"/>
    </row>
    <row r="18659">
      <c r="B18659" s="612"/>
      <c r="H18659" s="612"/>
    </row>
    <row r="18660">
      <c r="B18660" s="612"/>
      <c r="H18660" s="612"/>
    </row>
    <row r="18661">
      <c r="B18661" s="612"/>
      <c r="H18661" s="612"/>
    </row>
    <row r="18662">
      <c r="B18662" s="612"/>
      <c r="H18662" s="612"/>
    </row>
    <row r="18663">
      <c r="B18663" s="612"/>
      <c r="H18663" s="612"/>
    </row>
    <row r="18664">
      <c r="B18664" s="612"/>
      <c r="H18664" s="612"/>
    </row>
    <row r="18665">
      <c r="B18665" s="612"/>
      <c r="H18665" s="612"/>
    </row>
    <row r="18666">
      <c r="B18666" s="612"/>
      <c r="H18666" s="612"/>
    </row>
    <row r="18667">
      <c r="B18667" s="612"/>
      <c r="H18667" s="612"/>
    </row>
    <row r="18668">
      <c r="B18668" s="612"/>
      <c r="H18668" s="612"/>
    </row>
    <row r="18669">
      <c r="B18669" s="612"/>
      <c r="H18669" s="612"/>
    </row>
    <row r="18670">
      <c r="B18670" s="612"/>
      <c r="H18670" s="612"/>
    </row>
    <row r="18671">
      <c r="B18671" s="612"/>
      <c r="H18671" s="612"/>
    </row>
    <row r="18672">
      <c r="B18672" s="612"/>
      <c r="H18672" s="612"/>
    </row>
    <row r="18673">
      <c r="B18673" s="612"/>
      <c r="H18673" s="612"/>
    </row>
    <row r="18674">
      <c r="B18674" s="612"/>
      <c r="H18674" s="612"/>
    </row>
    <row r="18675">
      <c r="B18675" s="612"/>
      <c r="H18675" s="612"/>
    </row>
    <row r="18676">
      <c r="B18676" s="612"/>
      <c r="H18676" s="612"/>
    </row>
    <row r="18677">
      <c r="B18677" s="612"/>
      <c r="H18677" s="612"/>
    </row>
    <row r="18678">
      <c r="B18678" s="612"/>
      <c r="H18678" s="612"/>
    </row>
    <row r="18679">
      <c r="B18679" s="612"/>
      <c r="H18679" s="612"/>
    </row>
    <row r="18680">
      <c r="B18680" s="612"/>
      <c r="H18680" s="612"/>
    </row>
    <row r="18681">
      <c r="B18681" s="612"/>
      <c r="H18681" s="612"/>
    </row>
    <row r="18682">
      <c r="B18682" s="612"/>
      <c r="H18682" s="612"/>
    </row>
    <row r="18683">
      <c r="B18683" s="612"/>
      <c r="H18683" s="612"/>
    </row>
    <row r="18684">
      <c r="B18684" s="612"/>
      <c r="H18684" s="612"/>
    </row>
    <row r="18685">
      <c r="B18685" s="612"/>
      <c r="H18685" s="612"/>
    </row>
    <row r="18686">
      <c r="B18686" s="612"/>
      <c r="H18686" s="612"/>
    </row>
    <row r="18687">
      <c r="B18687" s="612"/>
      <c r="H18687" s="612"/>
    </row>
    <row r="18688">
      <c r="B18688" s="612"/>
      <c r="H18688" s="612"/>
    </row>
    <row r="18689">
      <c r="B18689" s="612"/>
      <c r="H18689" s="612"/>
    </row>
    <row r="18690">
      <c r="B18690" s="612"/>
      <c r="H18690" s="612"/>
    </row>
    <row r="18691">
      <c r="B18691" s="612"/>
      <c r="H18691" s="612"/>
    </row>
    <row r="18692">
      <c r="B18692" s="612"/>
      <c r="H18692" s="612"/>
    </row>
    <row r="18693">
      <c r="B18693" s="612"/>
      <c r="H18693" s="612"/>
    </row>
    <row r="18694">
      <c r="B18694" s="612"/>
      <c r="H18694" s="612"/>
    </row>
    <row r="18695">
      <c r="B18695" s="612"/>
      <c r="H18695" s="612"/>
    </row>
    <row r="18696">
      <c r="B18696" s="612"/>
      <c r="H18696" s="612"/>
    </row>
    <row r="18697">
      <c r="B18697" s="612"/>
      <c r="H18697" s="612"/>
    </row>
    <row r="18698">
      <c r="B18698" s="612"/>
      <c r="H18698" s="612"/>
    </row>
    <row r="18699">
      <c r="B18699" s="612"/>
      <c r="H18699" s="612"/>
    </row>
    <row r="18700">
      <c r="B18700" s="612"/>
      <c r="H18700" s="612"/>
    </row>
    <row r="18701">
      <c r="B18701" s="612"/>
      <c r="H18701" s="612"/>
    </row>
    <row r="18702">
      <c r="B18702" s="612"/>
      <c r="H18702" s="612"/>
    </row>
    <row r="18703">
      <c r="B18703" s="612"/>
      <c r="H18703" s="612"/>
    </row>
    <row r="18704">
      <c r="B18704" s="612"/>
      <c r="H18704" s="612"/>
    </row>
    <row r="18705">
      <c r="B18705" s="612"/>
      <c r="H18705" s="612"/>
    </row>
    <row r="18706">
      <c r="B18706" s="612"/>
      <c r="H18706" s="612"/>
    </row>
    <row r="18707">
      <c r="B18707" s="612"/>
      <c r="H18707" s="612"/>
    </row>
    <row r="18708">
      <c r="B18708" s="612"/>
      <c r="H18708" s="612"/>
    </row>
    <row r="18709">
      <c r="B18709" s="612"/>
      <c r="H18709" s="612"/>
    </row>
    <row r="18710">
      <c r="B18710" s="612"/>
      <c r="H18710" s="612"/>
    </row>
    <row r="18711">
      <c r="B18711" s="612"/>
      <c r="H18711" s="612"/>
    </row>
    <row r="18712">
      <c r="B18712" s="612"/>
      <c r="H18712" s="612"/>
    </row>
    <row r="18713">
      <c r="B18713" s="612"/>
      <c r="H18713" s="612"/>
    </row>
    <row r="18714">
      <c r="B18714" s="612"/>
      <c r="H18714" s="612"/>
    </row>
    <row r="18715">
      <c r="B18715" s="612"/>
      <c r="H18715" s="612"/>
    </row>
    <row r="18716">
      <c r="B18716" s="612"/>
      <c r="H18716" s="612"/>
    </row>
    <row r="18717">
      <c r="B18717" s="612"/>
      <c r="H18717" s="612"/>
    </row>
    <row r="18718">
      <c r="B18718" s="612"/>
      <c r="H18718" s="612"/>
    </row>
    <row r="18719">
      <c r="B18719" s="612"/>
      <c r="H18719" s="612"/>
    </row>
    <row r="18720">
      <c r="B18720" s="612"/>
      <c r="H18720" s="612"/>
    </row>
    <row r="18721">
      <c r="B18721" s="612"/>
      <c r="H18721" s="612"/>
    </row>
    <row r="18722">
      <c r="B18722" s="612"/>
      <c r="H18722" s="612"/>
    </row>
    <row r="18723">
      <c r="B18723" s="612"/>
      <c r="H18723" s="612"/>
    </row>
    <row r="18724">
      <c r="B18724" s="612"/>
      <c r="H18724" s="612"/>
    </row>
    <row r="18725">
      <c r="B18725" s="612"/>
      <c r="H18725" s="612"/>
    </row>
    <row r="18726">
      <c r="B18726" s="612"/>
      <c r="H18726" s="612"/>
    </row>
    <row r="18727">
      <c r="B18727" s="612"/>
      <c r="H18727" s="612"/>
    </row>
    <row r="18728">
      <c r="B18728" s="612"/>
      <c r="H18728" s="612"/>
    </row>
    <row r="18729">
      <c r="B18729" s="612"/>
      <c r="H18729" s="612"/>
    </row>
    <row r="18730">
      <c r="B18730" s="612"/>
      <c r="H18730" s="612"/>
    </row>
    <row r="18731">
      <c r="B18731" s="612"/>
      <c r="H18731" s="612"/>
    </row>
    <row r="18732">
      <c r="B18732" s="612"/>
      <c r="H18732" s="612"/>
    </row>
    <row r="18733">
      <c r="B18733" s="612"/>
      <c r="H18733" s="612"/>
    </row>
    <row r="18734">
      <c r="B18734" s="612"/>
      <c r="H18734" s="612"/>
    </row>
    <row r="18735">
      <c r="B18735" s="612"/>
      <c r="H18735" s="612"/>
    </row>
    <row r="18736">
      <c r="B18736" s="612"/>
      <c r="H18736" s="612"/>
    </row>
    <row r="18737">
      <c r="B18737" s="612"/>
      <c r="H18737" s="612"/>
    </row>
    <row r="18738">
      <c r="B18738" s="612"/>
      <c r="H18738" s="612"/>
    </row>
    <row r="18739">
      <c r="B18739" s="612"/>
      <c r="H18739" s="612"/>
    </row>
    <row r="18740">
      <c r="B18740" s="612"/>
      <c r="H18740" s="612"/>
    </row>
    <row r="18741">
      <c r="B18741" s="612"/>
      <c r="H18741" s="612"/>
    </row>
    <row r="18742">
      <c r="B18742" s="612"/>
      <c r="H18742" s="612"/>
    </row>
    <row r="18743">
      <c r="B18743" s="612"/>
      <c r="H18743" s="612"/>
    </row>
    <row r="18744">
      <c r="B18744" s="612"/>
      <c r="H18744" s="612"/>
    </row>
    <row r="18745">
      <c r="B18745" s="612"/>
      <c r="H18745" s="612"/>
    </row>
    <row r="18746">
      <c r="B18746" s="612"/>
      <c r="H18746" s="612"/>
    </row>
    <row r="18747">
      <c r="B18747" s="612"/>
      <c r="H18747" s="612"/>
    </row>
    <row r="18748">
      <c r="B18748" s="612"/>
      <c r="H18748" s="612"/>
    </row>
    <row r="18749">
      <c r="B18749" s="612"/>
      <c r="H18749" s="612"/>
    </row>
    <row r="18750">
      <c r="B18750" s="612"/>
      <c r="H18750" s="612"/>
    </row>
    <row r="18751">
      <c r="B18751" s="612"/>
      <c r="H18751" s="612"/>
    </row>
    <row r="18752">
      <c r="B18752" s="612"/>
      <c r="H18752" s="612"/>
    </row>
    <row r="18753">
      <c r="B18753" s="612"/>
      <c r="H18753" s="612"/>
    </row>
    <row r="18754">
      <c r="B18754" s="612"/>
      <c r="H18754" s="612"/>
    </row>
    <row r="18755">
      <c r="B18755" s="612"/>
      <c r="H18755" s="612"/>
    </row>
    <row r="18756">
      <c r="B18756" s="612"/>
      <c r="H18756" s="612"/>
    </row>
    <row r="18757">
      <c r="B18757" s="612"/>
      <c r="H18757" s="612"/>
    </row>
    <row r="18758">
      <c r="B18758" s="612"/>
      <c r="H18758" s="612"/>
    </row>
    <row r="18759">
      <c r="B18759" s="612"/>
      <c r="H18759" s="612"/>
    </row>
    <row r="18760">
      <c r="B18760" s="612"/>
      <c r="H18760" s="612"/>
    </row>
    <row r="18761">
      <c r="B18761" s="612"/>
      <c r="H18761" s="612"/>
    </row>
    <row r="18762">
      <c r="B18762" s="612"/>
      <c r="H18762" s="612"/>
    </row>
    <row r="18763">
      <c r="B18763" s="612"/>
      <c r="H18763" s="612"/>
    </row>
    <row r="18764">
      <c r="B18764" s="612"/>
      <c r="H18764" s="612"/>
    </row>
    <row r="18765">
      <c r="B18765" s="612"/>
      <c r="H18765" s="612"/>
    </row>
    <row r="18766">
      <c r="B18766" s="612"/>
      <c r="H18766" s="612"/>
    </row>
    <row r="18767">
      <c r="B18767" s="612"/>
      <c r="H18767" s="612"/>
    </row>
    <row r="18768">
      <c r="B18768" s="612"/>
      <c r="H18768" s="612"/>
    </row>
    <row r="18769">
      <c r="B18769" s="612"/>
      <c r="H18769" s="612"/>
    </row>
    <row r="18770">
      <c r="B18770" s="612"/>
      <c r="H18770" s="612"/>
    </row>
    <row r="18771">
      <c r="B18771" s="612"/>
      <c r="H18771" s="612"/>
    </row>
    <row r="18772">
      <c r="B18772" s="612"/>
      <c r="H18772" s="612"/>
    </row>
    <row r="18773">
      <c r="B18773" s="612"/>
      <c r="H18773" s="612"/>
    </row>
    <row r="18774">
      <c r="B18774" s="612"/>
      <c r="H18774" s="612"/>
    </row>
    <row r="18775">
      <c r="B18775" s="612"/>
      <c r="H18775" s="612"/>
    </row>
    <row r="18776">
      <c r="B18776" s="612"/>
      <c r="H18776" s="612"/>
    </row>
    <row r="18777">
      <c r="B18777" s="612"/>
      <c r="H18777" s="612"/>
    </row>
    <row r="18778">
      <c r="B18778" s="612"/>
      <c r="H18778" s="612"/>
    </row>
    <row r="18779">
      <c r="B18779" s="612"/>
      <c r="H18779" s="612"/>
    </row>
    <row r="18780">
      <c r="B18780" s="612"/>
      <c r="H18780" s="612"/>
    </row>
    <row r="18781">
      <c r="B18781" s="612"/>
      <c r="H18781" s="612"/>
    </row>
    <row r="18782">
      <c r="B18782" s="612"/>
      <c r="H18782" s="612"/>
    </row>
    <row r="18783">
      <c r="B18783" s="612"/>
      <c r="H18783" s="612"/>
    </row>
    <row r="18784">
      <c r="B18784" s="612"/>
      <c r="H18784" s="612"/>
    </row>
    <row r="18785">
      <c r="B18785" s="612"/>
      <c r="H18785" s="612"/>
    </row>
    <row r="18786">
      <c r="B18786" s="612"/>
      <c r="H18786" s="612"/>
    </row>
    <row r="18787">
      <c r="B18787" s="612"/>
      <c r="H18787" s="612"/>
    </row>
    <row r="18788">
      <c r="B18788" s="612"/>
      <c r="H18788" s="612"/>
    </row>
    <row r="18789">
      <c r="B18789" s="612"/>
      <c r="H18789" s="612"/>
    </row>
    <row r="18790">
      <c r="B18790" s="612"/>
      <c r="H18790" s="612"/>
    </row>
    <row r="18791">
      <c r="B18791" s="612"/>
      <c r="H18791" s="612"/>
    </row>
    <row r="18792">
      <c r="B18792" s="612"/>
      <c r="H18792" s="612"/>
    </row>
    <row r="18793">
      <c r="B18793" s="612"/>
      <c r="H18793" s="612"/>
    </row>
    <row r="18794">
      <c r="B18794" s="612"/>
      <c r="H18794" s="612"/>
    </row>
    <row r="18795">
      <c r="B18795" s="612"/>
      <c r="H18795" s="612"/>
    </row>
    <row r="18796">
      <c r="B18796" s="612"/>
      <c r="H18796" s="612"/>
    </row>
    <row r="18797">
      <c r="B18797" s="612"/>
      <c r="H18797" s="612"/>
    </row>
    <row r="18798">
      <c r="B18798" s="612"/>
      <c r="H18798" s="612"/>
    </row>
    <row r="18799">
      <c r="B18799" s="612"/>
      <c r="H18799" s="612"/>
    </row>
    <row r="18800">
      <c r="B18800" s="612"/>
      <c r="H18800" s="612"/>
    </row>
    <row r="18801">
      <c r="B18801" s="612"/>
      <c r="H18801" s="612"/>
    </row>
    <row r="18802">
      <c r="B18802" s="612"/>
      <c r="H18802" s="612"/>
    </row>
    <row r="18803">
      <c r="B18803" s="612"/>
      <c r="H18803" s="612"/>
    </row>
    <row r="18804">
      <c r="B18804" s="612"/>
      <c r="H18804" s="612"/>
    </row>
    <row r="18805">
      <c r="B18805" s="612"/>
      <c r="H18805" s="612"/>
    </row>
    <row r="18806">
      <c r="B18806" s="612"/>
      <c r="H18806" s="612"/>
    </row>
    <row r="18807">
      <c r="B18807" s="612"/>
      <c r="H18807" s="612"/>
    </row>
    <row r="18808">
      <c r="B18808" s="612"/>
      <c r="H18808" s="612"/>
    </row>
    <row r="18809">
      <c r="B18809" s="612"/>
      <c r="H18809" s="612"/>
    </row>
    <row r="18810">
      <c r="B18810" s="612"/>
      <c r="H18810" s="612"/>
    </row>
    <row r="18811">
      <c r="B18811" s="612"/>
      <c r="H18811" s="612"/>
    </row>
    <row r="18812">
      <c r="B18812" s="612"/>
      <c r="H18812" s="612"/>
    </row>
    <row r="18813">
      <c r="B18813" s="612"/>
      <c r="H18813" s="612"/>
    </row>
    <row r="18814">
      <c r="B18814" s="612"/>
      <c r="H18814" s="612"/>
    </row>
    <row r="18815">
      <c r="B18815" s="612"/>
      <c r="H18815" s="612"/>
    </row>
    <row r="18816">
      <c r="B18816" s="612"/>
      <c r="H18816" s="612"/>
    </row>
    <row r="18817">
      <c r="B18817" s="612"/>
      <c r="H18817" s="612"/>
    </row>
    <row r="18818">
      <c r="B18818" s="612"/>
      <c r="H18818" s="612"/>
    </row>
    <row r="18819">
      <c r="B18819" s="612"/>
      <c r="H18819" s="612"/>
    </row>
    <row r="18820">
      <c r="B18820" s="612"/>
      <c r="H18820" s="612"/>
    </row>
    <row r="18821">
      <c r="B18821" s="612"/>
      <c r="H18821" s="612"/>
    </row>
    <row r="18822">
      <c r="B18822" s="612"/>
      <c r="H18822" s="612"/>
    </row>
    <row r="18823">
      <c r="B18823" s="612"/>
      <c r="H18823" s="612"/>
    </row>
    <row r="18824">
      <c r="B18824" s="612"/>
      <c r="H18824" s="612"/>
    </row>
    <row r="18825">
      <c r="B18825" s="612"/>
      <c r="H18825" s="612"/>
    </row>
    <row r="18826">
      <c r="B18826" s="612"/>
      <c r="H18826" s="612"/>
    </row>
    <row r="18827">
      <c r="B18827" s="612"/>
      <c r="H18827" s="612"/>
    </row>
    <row r="18828">
      <c r="B18828" s="612"/>
      <c r="H18828" s="612"/>
    </row>
    <row r="18829">
      <c r="B18829" s="612"/>
      <c r="H18829" s="612"/>
    </row>
    <row r="18830">
      <c r="B18830" s="612"/>
      <c r="H18830" s="612"/>
    </row>
    <row r="18831">
      <c r="B18831" s="612"/>
      <c r="H18831" s="612"/>
    </row>
    <row r="18832">
      <c r="B18832" s="612"/>
      <c r="H18832" s="612"/>
    </row>
    <row r="18833">
      <c r="B18833" s="612"/>
      <c r="H18833" s="612"/>
    </row>
    <row r="18834">
      <c r="B18834" s="612"/>
      <c r="H18834" s="612"/>
    </row>
    <row r="18835">
      <c r="B18835" s="612"/>
      <c r="H18835" s="612"/>
    </row>
    <row r="18836">
      <c r="B18836" s="612"/>
      <c r="H18836" s="612"/>
    </row>
    <row r="18837">
      <c r="B18837" s="612"/>
      <c r="H18837" s="612"/>
    </row>
    <row r="18838">
      <c r="B18838" s="612"/>
      <c r="H18838" s="612"/>
    </row>
    <row r="18839">
      <c r="B18839" s="612"/>
      <c r="H18839" s="612"/>
    </row>
    <row r="18840">
      <c r="B18840" s="612"/>
      <c r="H18840" s="612"/>
    </row>
    <row r="18841">
      <c r="B18841" s="612"/>
      <c r="H18841" s="612"/>
    </row>
    <row r="18842">
      <c r="B18842" s="612"/>
      <c r="H18842" s="612"/>
    </row>
    <row r="18843">
      <c r="B18843" s="612"/>
      <c r="H18843" s="612"/>
    </row>
    <row r="18844">
      <c r="B18844" s="612"/>
      <c r="H18844" s="612"/>
    </row>
    <row r="18845">
      <c r="B18845" s="612"/>
      <c r="H18845" s="612"/>
    </row>
    <row r="18846">
      <c r="B18846" s="612"/>
      <c r="H18846" s="612"/>
    </row>
    <row r="18847">
      <c r="B18847" s="612"/>
      <c r="H18847" s="612"/>
    </row>
    <row r="18848">
      <c r="B18848" s="612"/>
      <c r="H18848" s="612"/>
    </row>
    <row r="18849">
      <c r="B18849" s="612"/>
      <c r="H18849" s="612"/>
    </row>
    <row r="18850">
      <c r="B18850" s="612"/>
      <c r="H18850" s="612"/>
    </row>
    <row r="18851">
      <c r="B18851" s="612"/>
      <c r="H18851" s="612"/>
    </row>
    <row r="18852">
      <c r="B18852" s="612"/>
      <c r="H18852" s="612"/>
    </row>
    <row r="18853">
      <c r="B18853" s="612"/>
      <c r="H18853" s="612"/>
    </row>
    <row r="18854">
      <c r="B18854" s="612"/>
      <c r="H18854" s="612"/>
    </row>
    <row r="18855">
      <c r="B18855" s="612"/>
      <c r="H18855" s="612"/>
    </row>
    <row r="18856">
      <c r="B18856" s="612"/>
      <c r="H18856" s="612"/>
    </row>
    <row r="18857">
      <c r="B18857" s="612"/>
      <c r="H18857" s="612"/>
    </row>
    <row r="18858">
      <c r="B18858" s="612"/>
      <c r="H18858" s="612"/>
    </row>
    <row r="18859">
      <c r="B18859" s="612"/>
      <c r="H18859" s="612"/>
    </row>
    <row r="18860">
      <c r="B18860" s="612"/>
      <c r="H18860" s="612"/>
    </row>
    <row r="18861">
      <c r="B18861" s="612"/>
      <c r="H18861" s="612"/>
    </row>
    <row r="18862">
      <c r="B18862" s="612"/>
      <c r="H18862" s="612"/>
    </row>
    <row r="18863">
      <c r="B18863" s="612"/>
      <c r="H18863" s="612"/>
    </row>
    <row r="18864">
      <c r="B18864" s="612"/>
      <c r="H18864" s="612"/>
    </row>
    <row r="18865">
      <c r="B18865" s="612"/>
      <c r="H18865" s="612"/>
    </row>
    <row r="18866">
      <c r="B18866" s="612"/>
      <c r="H18866" s="612"/>
    </row>
    <row r="18867">
      <c r="B18867" s="612"/>
      <c r="H18867" s="612"/>
    </row>
    <row r="18868">
      <c r="B18868" s="612"/>
      <c r="H18868" s="612"/>
    </row>
    <row r="18869">
      <c r="B18869" s="612"/>
      <c r="H18869" s="612"/>
    </row>
    <row r="18870">
      <c r="B18870" s="612"/>
      <c r="H18870" s="612"/>
    </row>
    <row r="18871">
      <c r="B18871" s="612"/>
      <c r="H18871" s="612"/>
    </row>
    <row r="18872">
      <c r="B18872" s="612"/>
      <c r="H18872" s="612"/>
    </row>
    <row r="18873">
      <c r="B18873" s="612"/>
      <c r="H18873" s="612"/>
    </row>
    <row r="18874">
      <c r="B18874" s="612"/>
      <c r="H18874" s="612"/>
    </row>
    <row r="18875">
      <c r="B18875" s="612"/>
      <c r="H18875" s="612"/>
    </row>
    <row r="18876">
      <c r="B18876" s="612"/>
      <c r="H18876" s="612"/>
    </row>
    <row r="18877">
      <c r="B18877" s="612"/>
      <c r="H18877" s="612"/>
    </row>
    <row r="18878">
      <c r="B18878" s="612"/>
      <c r="H18878" s="612"/>
    </row>
    <row r="18879">
      <c r="B18879" s="612"/>
      <c r="H18879" s="612"/>
    </row>
    <row r="18880">
      <c r="B18880" s="612"/>
      <c r="H18880" s="612"/>
    </row>
    <row r="18881">
      <c r="B18881" s="612"/>
      <c r="H18881" s="612"/>
    </row>
    <row r="18882">
      <c r="B18882" s="612"/>
      <c r="H18882" s="612"/>
    </row>
    <row r="18883">
      <c r="B18883" s="612"/>
      <c r="H18883" s="612"/>
    </row>
    <row r="18884">
      <c r="B18884" s="612"/>
      <c r="H18884" s="612"/>
    </row>
    <row r="18885">
      <c r="B18885" s="612"/>
      <c r="H18885" s="612"/>
    </row>
    <row r="18886">
      <c r="B18886" s="612"/>
      <c r="H18886" s="612"/>
    </row>
    <row r="18887">
      <c r="B18887" s="612"/>
      <c r="H18887" s="612"/>
    </row>
    <row r="18888">
      <c r="B18888" s="612"/>
      <c r="H18888" s="612"/>
    </row>
    <row r="18889">
      <c r="B18889" s="612"/>
      <c r="H18889" s="612"/>
    </row>
    <row r="18890">
      <c r="B18890" s="612"/>
      <c r="H18890" s="612"/>
    </row>
    <row r="18891">
      <c r="B18891" s="612"/>
      <c r="H18891" s="612"/>
    </row>
    <row r="18892">
      <c r="B18892" s="612"/>
      <c r="H18892" s="612"/>
    </row>
    <row r="18893">
      <c r="B18893" s="612"/>
      <c r="H18893" s="612"/>
    </row>
    <row r="18894">
      <c r="B18894" s="612"/>
      <c r="H18894" s="612"/>
    </row>
    <row r="18895">
      <c r="B18895" s="612"/>
      <c r="H18895" s="612"/>
    </row>
    <row r="18896">
      <c r="B18896" s="612"/>
      <c r="H18896" s="612"/>
    </row>
    <row r="18897">
      <c r="B18897" s="612"/>
      <c r="H18897" s="612"/>
    </row>
    <row r="18898">
      <c r="B18898" s="612"/>
      <c r="H18898" s="612"/>
    </row>
    <row r="18899">
      <c r="B18899" s="612"/>
      <c r="H18899" s="612"/>
    </row>
    <row r="18900">
      <c r="B18900" s="612"/>
      <c r="H18900" s="612"/>
    </row>
    <row r="18901">
      <c r="B18901" s="612"/>
      <c r="H18901" s="612"/>
    </row>
    <row r="18902">
      <c r="B18902" s="612"/>
      <c r="H18902" s="612"/>
    </row>
    <row r="18903">
      <c r="B18903" s="612"/>
      <c r="H18903" s="612"/>
    </row>
    <row r="18904">
      <c r="B18904" s="612"/>
      <c r="H18904" s="612"/>
    </row>
    <row r="18905">
      <c r="B18905" s="612"/>
      <c r="H18905" s="612"/>
    </row>
    <row r="18906">
      <c r="B18906" s="612"/>
      <c r="H18906" s="612"/>
    </row>
    <row r="18907">
      <c r="B18907" s="612"/>
      <c r="H18907" s="612"/>
    </row>
    <row r="18908">
      <c r="B18908" s="612"/>
      <c r="H18908" s="612"/>
    </row>
    <row r="18909">
      <c r="B18909" s="612"/>
      <c r="H18909" s="612"/>
    </row>
    <row r="18910">
      <c r="B18910" s="612"/>
      <c r="H18910" s="612"/>
    </row>
    <row r="18911">
      <c r="B18911" s="612"/>
      <c r="H18911" s="612"/>
    </row>
    <row r="18912">
      <c r="B18912" s="612"/>
      <c r="H18912" s="612"/>
    </row>
    <row r="18913">
      <c r="B18913" s="612"/>
      <c r="H18913" s="612"/>
    </row>
    <row r="18914">
      <c r="B18914" s="612"/>
      <c r="H18914" s="612"/>
    </row>
    <row r="18915">
      <c r="B18915" s="612"/>
      <c r="H18915" s="612"/>
    </row>
    <row r="18916">
      <c r="B18916" s="612"/>
      <c r="H18916" s="612"/>
    </row>
    <row r="18917">
      <c r="B18917" s="612"/>
      <c r="H18917" s="612"/>
    </row>
    <row r="18918">
      <c r="B18918" s="612"/>
      <c r="H18918" s="612"/>
    </row>
    <row r="18919">
      <c r="B18919" s="612"/>
      <c r="H18919" s="612"/>
    </row>
    <row r="18920">
      <c r="B18920" s="612"/>
      <c r="H18920" s="612"/>
    </row>
    <row r="18921">
      <c r="B18921" s="612"/>
      <c r="H18921" s="612"/>
    </row>
    <row r="18922">
      <c r="B18922" s="612"/>
      <c r="H18922" s="612"/>
    </row>
    <row r="18923">
      <c r="B18923" s="612"/>
      <c r="H18923" s="612"/>
    </row>
    <row r="18924">
      <c r="B18924" s="612"/>
      <c r="H18924" s="612"/>
    </row>
    <row r="18925">
      <c r="B18925" s="612"/>
      <c r="H18925" s="612"/>
    </row>
    <row r="18926">
      <c r="B18926" s="612"/>
      <c r="H18926" s="612"/>
    </row>
    <row r="18927">
      <c r="B18927" s="612"/>
      <c r="H18927" s="612"/>
    </row>
    <row r="18928">
      <c r="B18928" s="612"/>
      <c r="H18928" s="612"/>
    </row>
    <row r="18929">
      <c r="B18929" s="612"/>
      <c r="H18929" s="612"/>
    </row>
    <row r="18930">
      <c r="B18930" s="612"/>
      <c r="H18930" s="612"/>
    </row>
    <row r="18931">
      <c r="B18931" s="612"/>
      <c r="H18931" s="612"/>
    </row>
    <row r="18932">
      <c r="B18932" s="612"/>
      <c r="H18932" s="612"/>
    </row>
    <row r="18933">
      <c r="B18933" s="612"/>
      <c r="H18933" s="612"/>
    </row>
    <row r="18934">
      <c r="B18934" s="612"/>
      <c r="H18934" s="612"/>
    </row>
    <row r="18935">
      <c r="B18935" s="612"/>
      <c r="H18935" s="612"/>
    </row>
    <row r="18936">
      <c r="B18936" s="612"/>
      <c r="H18936" s="612"/>
    </row>
    <row r="18937">
      <c r="B18937" s="612"/>
      <c r="H18937" s="612"/>
    </row>
    <row r="18938">
      <c r="B18938" s="612"/>
      <c r="H18938" s="612"/>
    </row>
    <row r="18939">
      <c r="B18939" s="612"/>
      <c r="H18939" s="612"/>
    </row>
    <row r="18940">
      <c r="B18940" s="612"/>
      <c r="H18940" s="612"/>
    </row>
    <row r="18941">
      <c r="B18941" s="612"/>
      <c r="H18941" s="612"/>
    </row>
    <row r="18942">
      <c r="B18942" s="612"/>
      <c r="H18942" s="612"/>
    </row>
    <row r="18943">
      <c r="B18943" s="612"/>
      <c r="H18943" s="612"/>
    </row>
    <row r="18944">
      <c r="B18944" s="612"/>
      <c r="H18944" s="612"/>
    </row>
    <row r="18945">
      <c r="B18945" s="612"/>
      <c r="H18945" s="612"/>
    </row>
    <row r="18946">
      <c r="B18946" s="612"/>
      <c r="H18946" s="612"/>
    </row>
    <row r="18947">
      <c r="B18947" s="612"/>
      <c r="H18947" s="612"/>
    </row>
    <row r="18948">
      <c r="B18948" s="612"/>
      <c r="H18948" s="612"/>
    </row>
    <row r="18949">
      <c r="B18949" s="612"/>
      <c r="H18949" s="612"/>
    </row>
    <row r="18950">
      <c r="B18950" s="612"/>
      <c r="H18950" s="612"/>
    </row>
    <row r="18951">
      <c r="B18951" s="612"/>
      <c r="H18951" s="612"/>
    </row>
    <row r="18952">
      <c r="B18952" s="612"/>
      <c r="H18952" s="612"/>
    </row>
    <row r="18953">
      <c r="B18953" s="612"/>
      <c r="H18953" s="612"/>
    </row>
    <row r="18954">
      <c r="B18954" s="612"/>
      <c r="H18954" s="612"/>
    </row>
    <row r="18955">
      <c r="B18955" s="612"/>
      <c r="H18955" s="612"/>
    </row>
    <row r="18956">
      <c r="B18956" s="612"/>
      <c r="H18956" s="612"/>
    </row>
    <row r="18957">
      <c r="B18957" s="612"/>
      <c r="H18957" s="612"/>
    </row>
    <row r="18958">
      <c r="B18958" s="612"/>
      <c r="H18958" s="612"/>
    </row>
    <row r="18959">
      <c r="B18959" s="612"/>
      <c r="H18959" s="612"/>
    </row>
    <row r="18960">
      <c r="B18960" s="612"/>
      <c r="H18960" s="612"/>
    </row>
    <row r="18961">
      <c r="B18961" s="612"/>
      <c r="H18961" s="612"/>
    </row>
    <row r="18962">
      <c r="B18962" s="612"/>
      <c r="H18962" s="612"/>
    </row>
    <row r="18963">
      <c r="B18963" s="612"/>
      <c r="H18963" s="612"/>
    </row>
    <row r="18964">
      <c r="B18964" s="612"/>
      <c r="H18964" s="612"/>
    </row>
    <row r="18965">
      <c r="B18965" s="612"/>
      <c r="H18965" s="612"/>
    </row>
    <row r="18966">
      <c r="B18966" s="612"/>
      <c r="H18966" s="612"/>
    </row>
    <row r="18967">
      <c r="B18967" s="612"/>
      <c r="H18967" s="612"/>
    </row>
    <row r="18968">
      <c r="B18968" s="612"/>
      <c r="H18968" s="612"/>
    </row>
    <row r="18969">
      <c r="B18969" s="612"/>
      <c r="H18969" s="612"/>
    </row>
    <row r="18970">
      <c r="B18970" s="612"/>
      <c r="H18970" s="612"/>
    </row>
    <row r="18971">
      <c r="B18971" s="612"/>
      <c r="H18971" s="612"/>
    </row>
    <row r="18972">
      <c r="B18972" s="612"/>
      <c r="H18972" s="612"/>
    </row>
    <row r="18973">
      <c r="B18973" s="612"/>
      <c r="H18973" s="612"/>
    </row>
    <row r="18974">
      <c r="B18974" s="612"/>
      <c r="H18974" s="612"/>
    </row>
    <row r="18975">
      <c r="B18975" s="612"/>
      <c r="H18975" s="612"/>
    </row>
    <row r="18976">
      <c r="B18976" s="612"/>
      <c r="H18976" s="612"/>
    </row>
    <row r="18977">
      <c r="B18977" s="612"/>
      <c r="H18977" s="612"/>
    </row>
    <row r="18978">
      <c r="B18978" s="612"/>
      <c r="H18978" s="612"/>
    </row>
    <row r="18979">
      <c r="B18979" s="612"/>
      <c r="H18979" s="612"/>
    </row>
    <row r="18980">
      <c r="B18980" s="612"/>
      <c r="H18980" s="612"/>
    </row>
    <row r="18981">
      <c r="B18981" s="612"/>
      <c r="H18981" s="612"/>
    </row>
    <row r="18982">
      <c r="B18982" s="612"/>
      <c r="H18982" s="612"/>
    </row>
    <row r="18983">
      <c r="B18983" s="612"/>
      <c r="H18983" s="612"/>
    </row>
    <row r="18984">
      <c r="B18984" s="612"/>
      <c r="H18984" s="612"/>
    </row>
    <row r="18985">
      <c r="B18985" s="612"/>
      <c r="H18985" s="612"/>
    </row>
    <row r="18986">
      <c r="B18986" s="612"/>
      <c r="H18986" s="612"/>
    </row>
    <row r="18987">
      <c r="B18987" s="612"/>
      <c r="H18987" s="612"/>
    </row>
    <row r="18988">
      <c r="B18988" s="612"/>
      <c r="H18988" s="612"/>
    </row>
    <row r="18989">
      <c r="B18989" s="612"/>
      <c r="H18989" s="612"/>
    </row>
    <row r="18990">
      <c r="B18990" s="612"/>
      <c r="H18990" s="612"/>
    </row>
    <row r="18991">
      <c r="B18991" s="612"/>
      <c r="H18991" s="612"/>
    </row>
    <row r="18992">
      <c r="B18992" s="612"/>
      <c r="H18992" s="612"/>
    </row>
    <row r="18993">
      <c r="B18993" s="612"/>
      <c r="H18993" s="612"/>
    </row>
    <row r="18994">
      <c r="B18994" s="612"/>
      <c r="H18994" s="612"/>
    </row>
    <row r="18995">
      <c r="B18995" s="612"/>
      <c r="H18995" s="612"/>
    </row>
    <row r="18996">
      <c r="B18996" s="612"/>
      <c r="H18996" s="612"/>
    </row>
    <row r="18997">
      <c r="B18997" s="612"/>
      <c r="H18997" s="612"/>
    </row>
    <row r="18998">
      <c r="B18998" s="612"/>
      <c r="H18998" s="612"/>
    </row>
    <row r="18999">
      <c r="B18999" s="612"/>
      <c r="H18999" s="612"/>
    </row>
    <row r="19000">
      <c r="B19000" s="612"/>
      <c r="H19000" s="612"/>
    </row>
    <row r="19001">
      <c r="B19001" s="612"/>
      <c r="H19001" s="612"/>
    </row>
    <row r="19002">
      <c r="B19002" s="612"/>
      <c r="H19002" s="612"/>
    </row>
    <row r="19003">
      <c r="B19003" s="612"/>
      <c r="H19003" s="612"/>
    </row>
    <row r="19004">
      <c r="B19004" s="612"/>
      <c r="H19004" s="612"/>
    </row>
    <row r="19005">
      <c r="B19005" s="612"/>
      <c r="H19005" s="612"/>
    </row>
    <row r="19006">
      <c r="B19006" s="612"/>
      <c r="H19006" s="612"/>
    </row>
    <row r="19007">
      <c r="B19007" s="612"/>
      <c r="H19007" s="612"/>
    </row>
    <row r="19008">
      <c r="B19008" s="612"/>
      <c r="H19008" s="612"/>
    </row>
    <row r="19009">
      <c r="B19009" s="612"/>
      <c r="H19009" s="612"/>
    </row>
    <row r="19010">
      <c r="B19010" s="612"/>
      <c r="H19010" s="612"/>
    </row>
    <row r="19011">
      <c r="B19011" s="612"/>
      <c r="H19011" s="612"/>
    </row>
    <row r="19012">
      <c r="B19012" s="612"/>
      <c r="H19012" s="612"/>
    </row>
    <row r="19013">
      <c r="B19013" s="612"/>
      <c r="H19013" s="612"/>
    </row>
    <row r="19014">
      <c r="B19014" s="612"/>
      <c r="H19014" s="612"/>
    </row>
    <row r="19015">
      <c r="B19015" s="612"/>
      <c r="H19015" s="612"/>
    </row>
    <row r="19016">
      <c r="B19016" s="612"/>
      <c r="H19016" s="612"/>
    </row>
    <row r="19017">
      <c r="B19017" s="612"/>
      <c r="H19017" s="612"/>
    </row>
    <row r="19018">
      <c r="B19018" s="612"/>
      <c r="H19018" s="612"/>
    </row>
    <row r="19019">
      <c r="B19019" s="612"/>
      <c r="H19019" s="612"/>
    </row>
    <row r="19020">
      <c r="B19020" s="612"/>
      <c r="H19020" s="612"/>
    </row>
    <row r="19021">
      <c r="B19021" s="612"/>
      <c r="H19021" s="612"/>
    </row>
    <row r="19022">
      <c r="B19022" s="612"/>
      <c r="H19022" s="612"/>
    </row>
    <row r="19023">
      <c r="B19023" s="612"/>
      <c r="H19023" s="612"/>
    </row>
    <row r="19024">
      <c r="B19024" s="612"/>
      <c r="H19024" s="612"/>
    </row>
    <row r="19025">
      <c r="B19025" s="612"/>
      <c r="H19025" s="612"/>
    </row>
    <row r="19026">
      <c r="B19026" s="612"/>
      <c r="H19026" s="612"/>
    </row>
    <row r="19027">
      <c r="B19027" s="612"/>
      <c r="H19027" s="612"/>
    </row>
    <row r="19028">
      <c r="B19028" s="612"/>
      <c r="H19028" s="612"/>
    </row>
    <row r="19029">
      <c r="B19029" s="612"/>
      <c r="H19029" s="612"/>
    </row>
    <row r="19030">
      <c r="B19030" s="612"/>
      <c r="H19030" s="612"/>
    </row>
    <row r="19031">
      <c r="B19031" s="612"/>
      <c r="H19031" s="612"/>
    </row>
    <row r="19032">
      <c r="B19032" s="612"/>
      <c r="H19032" s="612"/>
    </row>
    <row r="19033">
      <c r="B19033" s="612"/>
      <c r="H19033" s="612"/>
    </row>
    <row r="19034">
      <c r="B19034" s="612"/>
      <c r="H19034" s="612"/>
    </row>
    <row r="19035">
      <c r="B19035" s="612"/>
      <c r="H19035" s="612"/>
    </row>
    <row r="19036">
      <c r="B19036" s="612"/>
      <c r="H19036" s="612"/>
    </row>
    <row r="19037">
      <c r="B19037" s="612"/>
      <c r="H19037" s="612"/>
    </row>
    <row r="19038">
      <c r="B19038" s="612"/>
      <c r="H19038" s="612"/>
    </row>
    <row r="19039">
      <c r="B19039" s="612"/>
      <c r="H19039" s="612"/>
    </row>
    <row r="19040">
      <c r="B19040" s="612"/>
      <c r="H19040" s="612"/>
    </row>
    <row r="19041">
      <c r="B19041" s="612"/>
      <c r="H19041" s="612"/>
    </row>
    <row r="19042">
      <c r="B19042" s="612"/>
      <c r="H19042" s="612"/>
    </row>
    <row r="19043">
      <c r="B19043" s="612"/>
      <c r="H19043" s="612"/>
    </row>
    <row r="19044">
      <c r="B19044" s="612"/>
      <c r="H19044" s="612"/>
    </row>
    <row r="19045">
      <c r="B19045" s="612"/>
      <c r="H19045" s="612"/>
    </row>
    <row r="19046">
      <c r="B19046" s="612"/>
      <c r="H19046" s="612"/>
    </row>
    <row r="19047">
      <c r="B19047" s="612"/>
      <c r="H19047" s="612"/>
    </row>
    <row r="19048">
      <c r="B19048" s="612"/>
      <c r="H19048" s="612"/>
    </row>
    <row r="19049">
      <c r="B19049" s="612"/>
      <c r="H19049" s="612"/>
    </row>
    <row r="19050">
      <c r="B19050" s="612"/>
      <c r="H19050" s="612"/>
    </row>
    <row r="19051">
      <c r="B19051" s="612"/>
      <c r="H19051" s="612"/>
    </row>
    <row r="19052">
      <c r="B19052" s="612"/>
      <c r="H19052" s="612"/>
    </row>
    <row r="19053">
      <c r="B19053" s="612"/>
      <c r="H19053" s="612"/>
    </row>
    <row r="19054">
      <c r="B19054" s="612"/>
      <c r="H19054" s="612"/>
    </row>
    <row r="19055">
      <c r="B19055" s="612"/>
      <c r="H19055" s="612"/>
    </row>
    <row r="19056">
      <c r="B19056" s="612"/>
      <c r="H19056" s="612"/>
    </row>
    <row r="19057">
      <c r="B19057" s="612"/>
      <c r="H19057" s="612"/>
    </row>
    <row r="19058">
      <c r="B19058" s="612"/>
      <c r="H19058" s="612"/>
    </row>
    <row r="19059">
      <c r="B19059" s="612"/>
      <c r="H19059" s="612"/>
    </row>
    <row r="19060">
      <c r="B19060" s="612"/>
      <c r="H19060" s="612"/>
    </row>
    <row r="19061">
      <c r="B19061" s="612"/>
      <c r="H19061" s="612"/>
    </row>
    <row r="19062">
      <c r="B19062" s="612"/>
      <c r="H19062" s="612"/>
    </row>
    <row r="19063">
      <c r="B19063" s="612"/>
      <c r="H19063" s="612"/>
    </row>
    <row r="19064">
      <c r="B19064" s="612"/>
      <c r="H19064" s="612"/>
    </row>
    <row r="19065">
      <c r="B19065" s="612"/>
      <c r="H19065" s="612"/>
    </row>
    <row r="19066">
      <c r="B19066" s="612"/>
      <c r="H19066" s="612"/>
    </row>
    <row r="19067">
      <c r="B19067" s="612"/>
      <c r="H19067" s="612"/>
    </row>
    <row r="19068">
      <c r="B19068" s="612"/>
      <c r="H19068" s="612"/>
    </row>
    <row r="19069">
      <c r="B19069" s="612"/>
      <c r="H19069" s="612"/>
    </row>
    <row r="19070">
      <c r="B19070" s="612"/>
      <c r="H19070" s="612"/>
    </row>
    <row r="19071">
      <c r="B19071" s="612"/>
      <c r="H19071" s="612"/>
    </row>
    <row r="19072">
      <c r="B19072" s="612"/>
      <c r="H19072" s="612"/>
    </row>
    <row r="19073">
      <c r="B19073" s="612"/>
      <c r="H19073" s="612"/>
    </row>
    <row r="19074">
      <c r="B19074" s="612"/>
      <c r="H19074" s="612"/>
    </row>
    <row r="19075">
      <c r="B19075" s="612"/>
      <c r="H19075" s="612"/>
    </row>
    <row r="19076">
      <c r="B19076" s="612"/>
      <c r="H19076" s="612"/>
    </row>
    <row r="19077">
      <c r="B19077" s="612"/>
      <c r="H19077" s="612"/>
    </row>
    <row r="19078">
      <c r="B19078" s="612"/>
      <c r="H19078" s="612"/>
    </row>
    <row r="19079">
      <c r="B19079" s="612"/>
      <c r="H19079" s="612"/>
    </row>
    <row r="19080">
      <c r="B19080" s="612"/>
      <c r="H19080" s="612"/>
    </row>
    <row r="19081">
      <c r="B19081" s="612"/>
      <c r="H19081" s="612"/>
    </row>
    <row r="19082">
      <c r="B19082" s="612"/>
      <c r="H19082" s="612"/>
    </row>
    <row r="19083">
      <c r="B19083" s="612"/>
      <c r="H19083" s="612"/>
    </row>
    <row r="19084">
      <c r="B19084" s="612"/>
      <c r="H19084" s="612"/>
    </row>
    <row r="19085">
      <c r="B19085" s="612"/>
      <c r="H19085" s="612"/>
    </row>
    <row r="19086">
      <c r="B19086" s="612"/>
      <c r="H19086" s="612"/>
    </row>
    <row r="19087">
      <c r="B19087" s="612"/>
      <c r="H19087" s="612"/>
    </row>
    <row r="19088">
      <c r="B19088" s="612"/>
      <c r="H19088" s="612"/>
    </row>
    <row r="19089">
      <c r="B19089" s="612"/>
      <c r="H19089" s="612"/>
    </row>
    <row r="19090">
      <c r="B19090" s="612"/>
      <c r="H19090" s="612"/>
    </row>
    <row r="19091">
      <c r="B19091" s="612"/>
      <c r="H19091" s="612"/>
    </row>
    <row r="19092">
      <c r="B19092" s="612"/>
      <c r="H19092" s="612"/>
    </row>
    <row r="19093">
      <c r="B19093" s="612"/>
      <c r="H19093" s="612"/>
    </row>
    <row r="19094">
      <c r="B19094" s="612"/>
      <c r="H19094" s="612"/>
    </row>
    <row r="19095">
      <c r="B19095" s="612"/>
      <c r="H19095" s="612"/>
    </row>
    <row r="19096">
      <c r="B19096" s="612"/>
      <c r="H19096" s="612"/>
    </row>
    <row r="19097">
      <c r="B19097" s="612"/>
      <c r="H19097" s="612"/>
    </row>
    <row r="19098">
      <c r="B19098" s="612"/>
      <c r="H19098" s="612"/>
    </row>
    <row r="19099">
      <c r="B19099" s="612"/>
      <c r="H19099" s="612"/>
    </row>
    <row r="19100">
      <c r="B19100" s="612"/>
      <c r="H19100" s="612"/>
    </row>
    <row r="19101">
      <c r="B19101" s="612"/>
      <c r="H19101" s="612"/>
    </row>
    <row r="19102">
      <c r="B19102" s="612"/>
      <c r="H19102" s="612"/>
    </row>
    <row r="19103">
      <c r="B19103" s="612"/>
      <c r="H19103" s="612"/>
    </row>
    <row r="19104">
      <c r="B19104" s="612"/>
      <c r="H19104" s="612"/>
    </row>
    <row r="19105">
      <c r="B19105" s="612"/>
      <c r="H19105" s="612"/>
    </row>
    <row r="19106">
      <c r="B19106" s="612"/>
      <c r="H19106" s="612"/>
    </row>
    <row r="19107">
      <c r="B19107" s="612"/>
      <c r="H19107" s="612"/>
    </row>
    <row r="19108">
      <c r="B19108" s="612"/>
      <c r="H19108" s="612"/>
    </row>
    <row r="19109">
      <c r="B19109" s="612"/>
      <c r="H19109" s="612"/>
    </row>
    <row r="19110">
      <c r="B19110" s="612"/>
      <c r="H19110" s="612"/>
    </row>
    <row r="19111">
      <c r="B19111" s="612"/>
      <c r="H19111" s="612"/>
    </row>
    <row r="19112">
      <c r="B19112" s="612"/>
      <c r="H19112" s="612"/>
    </row>
    <row r="19113">
      <c r="B19113" s="612"/>
      <c r="H19113" s="612"/>
    </row>
    <row r="19114">
      <c r="B19114" s="612"/>
      <c r="H19114" s="612"/>
    </row>
    <row r="19115">
      <c r="B19115" s="612"/>
      <c r="H19115" s="612"/>
    </row>
    <row r="19116">
      <c r="B19116" s="612"/>
      <c r="H19116" s="612"/>
    </row>
    <row r="19117">
      <c r="B19117" s="612"/>
      <c r="H19117" s="612"/>
    </row>
    <row r="19118">
      <c r="B19118" s="612"/>
      <c r="H19118" s="612"/>
    </row>
    <row r="19119">
      <c r="B19119" s="612"/>
      <c r="H19119" s="612"/>
    </row>
    <row r="19120">
      <c r="B19120" s="612"/>
      <c r="H19120" s="612"/>
    </row>
    <row r="19121">
      <c r="B19121" s="612"/>
      <c r="H19121" s="612"/>
    </row>
    <row r="19122">
      <c r="B19122" s="612"/>
      <c r="H19122" s="612"/>
    </row>
    <row r="19123">
      <c r="B19123" s="612"/>
      <c r="H19123" s="612"/>
    </row>
    <row r="19124">
      <c r="B19124" s="612"/>
      <c r="H19124" s="612"/>
    </row>
    <row r="19125">
      <c r="B19125" s="612"/>
      <c r="H19125" s="612"/>
    </row>
    <row r="19126">
      <c r="B19126" s="612"/>
      <c r="H19126" s="612"/>
    </row>
    <row r="19127">
      <c r="B19127" s="612"/>
      <c r="H19127" s="612"/>
    </row>
    <row r="19128">
      <c r="B19128" s="612"/>
      <c r="H19128" s="612"/>
    </row>
    <row r="19129">
      <c r="B19129" s="612"/>
      <c r="H19129" s="612"/>
    </row>
    <row r="19130">
      <c r="B19130" s="612"/>
      <c r="H19130" s="612"/>
    </row>
    <row r="19131">
      <c r="B19131" s="612"/>
      <c r="H19131" s="612"/>
    </row>
    <row r="19132">
      <c r="B19132" s="612"/>
      <c r="H19132" s="612"/>
    </row>
    <row r="19133">
      <c r="B19133" s="612"/>
      <c r="H19133" s="612"/>
    </row>
    <row r="19134">
      <c r="B19134" s="612"/>
      <c r="H19134" s="612"/>
    </row>
    <row r="19135">
      <c r="B19135" s="612"/>
      <c r="H19135" s="612"/>
    </row>
    <row r="19136">
      <c r="B19136" s="612"/>
      <c r="H19136" s="612"/>
    </row>
    <row r="19137">
      <c r="B19137" s="612"/>
      <c r="H19137" s="612"/>
    </row>
    <row r="19138">
      <c r="B19138" s="612"/>
      <c r="H19138" s="612"/>
    </row>
    <row r="19139">
      <c r="B19139" s="612"/>
      <c r="H19139" s="612"/>
    </row>
    <row r="19140">
      <c r="B19140" s="612"/>
      <c r="H19140" s="612"/>
    </row>
    <row r="19141">
      <c r="B19141" s="612"/>
      <c r="H19141" s="612"/>
    </row>
    <row r="19142">
      <c r="B19142" s="612"/>
      <c r="H19142" s="612"/>
    </row>
    <row r="19143">
      <c r="B19143" s="612"/>
      <c r="H19143" s="612"/>
    </row>
    <row r="19144">
      <c r="B19144" s="612"/>
      <c r="H19144" s="612"/>
    </row>
    <row r="19145">
      <c r="B19145" s="612"/>
      <c r="H19145" s="612"/>
    </row>
    <row r="19146">
      <c r="B19146" s="612"/>
      <c r="H19146" s="612"/>
    </row>
    <row r="19147">
      <c r="B19147" s="612"/>
      <c r="H19147" s="612"/>
    </row>
    <row r="19148">
      <c r="B19148" s="612"/>
      <c r="H19148" s="612"/>
    </row>
    <row r="19149">
      <c r="B19149" s="612"/>
      <c r="H19149" s="612"/>
    </row>
    <row r="19150">
      <c r="B19150" s="612"/>
      <c r="H19150" s="612"/>
    </row>
    <row r="19151">
      <c r="B19151" s="612"/>
      <c r="H19151" s="612"/>
    </row>
    <row r="19152">
      <c r="B19152" s="612"/>
      <c r="H19152" s="612"/>
    </row>
    <row r="19153">
      <c r="B19153" s="612"/>
      <c r="H19153" s="612"/>
    </row>
    <row r="19154">
      <c r="B19154" s="612"/>
      <c r="H19154" s="612"/>
    </row>
    <row r="19155">
      <c r="B19155" s="612"/>
      <c r="H19155" s="612"/>
    </row>
    <row r="19156">
      <c r="B19156" s="612"/>
      <c r="H19156" s="612"/>
    </row>
    <row r="19157">
      <c r="B19157" s="612"/>
      <c r="H19157" s="612"/>
    </row>
    <row r="19158">
      <c r="B19158" s="612"/>
      <c r="H19158" s="612"/>
    </row>
    <row r="19159">
      <c r="B19159" s="612"/>
      <c r="H19159" s="612"/>
    </row>
    <row r="19160">
      <c r="B19160" s="612"/>
      <c r="H19160" s="612"/>
    </row>
    <row r="19161">
      <c r="B19161" s="612"/>
      <c r="H19161" s="612"/>
    </row>
    <row r="19162">
      <c r="B19162" s="612"/>
      <c r="H19162" s="612"/>
    </row>
    <row r="19163">
      <c r="B19163" s="612"/>
      <c r="H19163" s="612"/>
    </row>
    <row r="19164">
      <c r="B19164" s="612"/>
      <c r="H19164" s="612"/>
    </row>
    <row r="19165">
      <c r="B19165" s="612"/>
      <c r="H19165" s="612"/>
    </row>
    <row r="19166">
      <c r="B19166" s="612"/>
      <c r="H19166" s="612"/>
    </row>
    <row r="19167">
      <c r="B19167" s="612"/>
      <c r="H19167" s="612"/>
    </row>
    <row r="19168">
      <c r="B19168" s="612"/>
      <c r="H19168" s="612"/>
    </row>
    <row r="19169">
      <c r="B19169" s="612"/>
      <c r="H19169" s="612"/>
    </row>
    <row r="19170">
      <c r="B19170" s="612"/>
      <c r="H19170" s="612"/>
    </row>
    <row r="19171">
      <c r="B19171" s="612"/>
      <c r="H19171" s="612"/>
    </row>
    <row r="19172">
      <c r="B19172" s="612"/>
      <c r="H19172" s="612"/>
    </row>
    <row r="19173">
      <c r="B19173" s="612"/>
      <c r="H19173" s="612"/>
    </row>
    <row r="19174">
      <c r="B19174" s="612"/>
      <c r="H19174" s="612"/>
    </row>
    <row r="19175">
      <c r="B19175" s="612"/>
      <c r="H19175" s="612"/>
    </row>
    <row r="19176">
      <c r="B19176" s="612"/>
      <c r="H19176" s="612"/>
    </row>
    <row r="19177">
      <c r="B19177" s="612"/>
      <c r="H19177" s="612"/>
    </row>
    <row r="19178">
      <c r="B19178" s="612"/>
      <c r="H19178" s="612"/>
    </row>
    <row r="19179">
      <c r="B19179" s="612"/>
      <c r="H19179" s="612"/>
    </row>
    <row r="19180">
      <c r="B19180" s="612"/>
      <c r="H19180" s="612"/>
    </row>
    <row r="19181">
      <c r="B19181" s="612"/>
      <c r="H19181" s="612"/>
    </row>
    <row r="19182">
      <c r="B19182" s="612"/>
      <c r="H19182" s="612"/>
    </row>
    <row r="19183">
      <c r="B19183" s="612"/>
      <c r="H19183" s="612"/>
    </row>
    <row r="19184">
      <c r="B19184" s="612"/>
      <c r="H19184" s="612"/>
    </row>
    <row r="19185">
      <c r="B19185" s="612"/>
      <c r="H19185" s="612"/>
    </row>
    <row r="19186">
      <c r="B19186" s="612"/>
      <c r="H19186" s="612"/>
    </row>
    <row r="19187">
      <c r="B19187" s="612"/>
      <c r="H19187" s="612"/>
    </row>
    <row r="19188">
      <c r="B19188" s="612"/>
      <c r="H19188" s="612"/>
    </row>
    <row r="19189">
      <c r="B19189" s="612"/>
      <c r="H19189" s="612"/>
    </row>
    <row r="19190">
      <c r="B19190" s="612"/>
      <c r="H19190" s="612"/>
    </row>
    <row r="19191">
      <c r="B19191" s="612"/>
      <c r="H19191" s="612"/>
    </row>
    <row r="19192">
      <c r="B19192" s="612"/>
      <c r="H19192" s="612"/>
    </row>
    <row r="19193">
      <c r="B19193" s="612"/>
      <c r="H19193" s="612"/>
    </row>
    <row r="19194">
      <c r="B19194" s="612"/>
      <c r="H19194" s="612"/>
    </row>
    <row r="19195">
      <c r="B19195" s="612"/>
      <c r="H19195" s="612"/>
    </row>
    <row r="19196">
      <c r="B19196" s="612"/>
      <c r="H19196" s="612"/>
    </row>
    <row r="19197">
      <c r="B19197" s="612"/>
      <c r="H19197" s="612"/>
    </row>
    <row r="19198">
      <c r="B19198" s="612"/>
      <c r="H19198" s="612"/>
    </row>
    <row r="19199">
      <c r="B19199" s="612"/>
      <c r="H19199" s="612"/>
    </row>
    <row r="19200">
      <c r="B19200" s="612"/>
      <c r="H19200" s="612"/>
    </row>
    <row r="19201">
      <c r="B19201" s="612"/>
      <c r="H19201" s="612"/>
    </row>
    <row r="19202">
      <c r="B19202" s="612"/>
      <c r="H19202" s="612"/>
    </row>
    <row r="19203">
      <c r="B19203" s="612"/>
      <c r="H19203" s="612"/>
    </row>
    <row r="19204">
      <c r="B19204" s="612"/>
      <c r="H19204" s="612"/>
    </row>
    <row r="19205">
      <c r="B19205" s="612"/>
      <c r="H19205" s="612"/>
    </row>
    <row r="19206">
      <c r="B19206" s="612"/>
      <c r="H19206" s="612"/>
    </row>
    <row r="19207">
      <c r="B19207" s="612"/>
      <c r="H19207" s="612"/>
    </row>
    <row r="19208">
      <c r="B19208" s="612"/>
      <c r="H19208" s="612"/>
    </row>
    <row r="19209">
      <c r="B19209" s="612"/>
      <c r="H19209" s="612"/>
    </row>
    <row r="19210">
      <c r="B19210" s="612"/>
      <c r="H19210" s="612"/>
    </row>
    <row r="19211">
      <c r="B19211" s="612"/>
      <c r="H19211" s="612"/>
    </row>
    <row r="19212">
      <c r="B19212" s="612"/>
      <c r="H19212" s="612"/>
    </row>
    <row r="19213">
      <c r="B19213" s="612"/>
      <c r="H19213" s="612"/>
    </row>
    <row r="19214">
      <c r="B19214" s="612"/>
      <c r="H19214" s="612"/>
    </row>
    <row r="19215">
      <c r="B19215" s="612"/>
      <c r="H19215" s="612"/>
    </row>
    <row r="19216">
      <c r="B19216" s="612"/>
      <c r="H19216" s="612"/>
    </row>
    <row r="19217">
      <c r="B19217" s="612"/>
      <c r="H19217" s="612"/>
    </row>
    <row r="19218">
      <c r="B19218" s="612"/>
      <c r="H19218" s="612"/>
    </row>
    <row r="19219">
      <c r="B19219" s="612"/>
      <c r="H19219" s="612"/>
    </row>
    <row r="19220">
      <c r="B19220" s="612"/>
      <c r="H19220" s="612"/>
    </row>
    <row r="19221">
      <c r="B19221" s="612"/>
      <c r="H19221" s="612"/>
    </row>
    <row r="19222">
      <c r="B19222" s="612"/>
      <c r="H19222" s="612"/>
    </row>
    <row r="19223">
      <c r="B19223" s="612"/>
      <c r="H19223" s="612"/>
    </row>
    <row r="19224">
      <c r="B19224" s="612"/>
      <c r="H19224" s="612"/>
    </row>
    <row r="19225">
      <c r="B19225" s="612"/>
      <c r="H19225" s="612"/>
    </row>
    <row r="19226">
      <c r="B19226" s="612"/>
      <c r="H19226" s="612"/>
    </row>
    <row r="19227">
      <c r="B19227" s="612"/>
      <c r="H19227" s="612"/>
    </row>
    <row r="19228">
      <c r="B19228" s="612"/>
      <c r="H19228" s="612"/>
    </row>
    <row r="19229">
      <c r="B19229" s="612"/>
      <c r="H19229" s="612"/>
    </row>
    <row r="19230">
      <c r="B19230" s="612"/>
      <c r="H19230" s="612"/>
    </row>
    <row r="19231">
      <c r="B19231" s="612"/>
      <c r="H19231" s="612"/>
    </row>
    <row r="19232">
      <c r="B19232" s="612"/>
      <c r="H19232" s="612"/>
    </row>
    <row r="19233">
      <c r="B19233" s="612"/>
      <c r="H19233" s="612"/>
    </row>
    <row r="19234">
      <c r="B19234" s="612"/>
      <c r="H19234" s="612"/>
    </row>
    <row r="19235">
      <c r="B19235" s="612"/>
      <c r="H19235" s="612"/>
    </row>
    <row r="19236">
      <c r="B19236" s="612"/>
      <c r="H19236" s="612"/>
    </row>
    <row r="19237">
      <c r="B19237" s="612"/>
      <c r="H19237" s="612"/>
    </row>
    <row r="19238">
      <c r="B19238" s="612"/>
      <c r="H19238" s="612"/>
    </row>
    <row r="19239">
      <c r="B19239" s="612"/>
      <c r="H19239" s="612"/>
    </row>
    <row r="19240">
      <c r="B19240" s="612"/>
      <c r="H19240" s="612"/>
    </row>
    <row r="19241">
      <c r="B19241" s="612"/>
      <c r="H19241" s="612"/>
    </row>
    <row r="19242">
      <c r="B19242" s="612"/>
      <c r="H19242" s="612"/>
    </row>
    <row r="19243">
      <c r="B19243" s="612"/>
      <c r="H19243" s="612"/>
    </row>
    <row r="19244">
      <c r="B19244" s="612"/>
      <c r="H19244" s="612"/>
    </row>
    <row r="19245">
      <c r="B19245" s="612"/>
      <c r="H19245" s="612"/>
    </row>
    <row r="19246">
      <c r="B19246" s="612"/>
      <c r="H19246" s="612"/>
    </row>
    <row r="19247">
      <c r="B19247" s="612"/>
      <c r="H19247" s="612"/>
    </row>
    <row r="19248">
      <c r="B19248" s="612"/>
      <c r="H19248" s="612"/>
    </row>
    <row r="19249">
      <c r="B19249" s="612"/>
      <c r="H19249" s="612"/>
    </row>
    <row r="19250">
      <c r="B19250" s="612"/>
      <c r="H19250" s="612"/>
    </row>
    <row r="19251">
      <c r="B19251" s="612"/>
      <c r="H19251" s="612"/>
    </row>
    <row r="19252">
      <c r="B19252" s="612"/>
      <c r="H19252" s="612"/>
    </row>
    <row r="19253">
      <c r="B19253" s="612"/>
      <c r="H19253" s="612"/>
    </row>
    <row r="19254">
      <c r="B19254" s="612"/>
      <c r="H19254" s="612"/>
    </row>
    <row r="19255">
      <c r="B19255" s="612"/>
      <c r="H19255" s="612"/>
    </row>
    <row r="19256">
      <c r="B19256" s="612"/>
      <c r="H19256" s="612"/>
    </row>
    <row r="19257">
      <c r="B19257" s="612"/>
      <c r="H19257" s="612"/>
    </row>
    <row r="19258">
      <c r="B19258" s="612"/>
      <c r="H19258" s="612"/>
    </row>
    <row r="19259">
      <c r="B19259" s="612"/>
      <c r="H19259" s="612"/>
    </row>
    <row r="19260">
      <c r="B19260" s="612"/>
      <c r="H19260" s="612"/>
    </row>
    <row r="19261">
      <c r="B19261" s="612"/>
      <c r="H19261" s="612"/>
    </row>
    <row r="19262">
      <c r="B19262" s="612"/>
      <c r="H19262" s="612"/>
    </row>
    <row r="19263">
      <c r="B19263" s="612"/>
      <c r="H19263" s="612"/>
    </row>
    <row r="19264">
      <c r="B19264" s="612"/>
      <c r="H19264" s="612"/>
    </row>
    <row r="19265">
      <c r="B19265" s="612"/>
      <c r="H19265" s="612"/>
    </row>
    <row r="19266">
      <c r="B19266" s="612"/>
      <c r="H19266" s="612"/>
    </row>
    <row r="19267">
      <c r="B19267" s="612"/>
      <c r="H19267" s="612"/>
    </row>
    <row r="19268">
      <c r="B19268" s="612"/>
      <c r="H19268" s="612"/>
    </row>
    <row r="19269">
      <c r="B19269" s="612"/>
      <c r="H19269" s="612"/>
    </row>
    <row r="19270">
      <c r="B19270" s="612"/>
      <c r="H19270" s="612"/>
    </row>
    <row r="19271">
      <c r="B19271" s="612"/>
      <c r="H19271" s="612"/>
    </row>
    <row r="19272">
      <c r="B19272" s="612"/>
      <c r="H19272" s="612"/>
    </row>
    <row r="19273">
      <c r="B19273" s="612"/>
      <c r="H19273" s="612"/>
    </row>
    <row r="19274">
      <c r="B19274" s="612"/>
      <c r="H19274" s="612"/>
    </row>
    <row r="19275">
      <c r="B19275" s="612"/>
      <c r="H19275" s="612"/>
    </row>
    <row r="19276">
      <c r="B19276" s="612"/>
      <c r="H19276" s="612"/>
    </row>
    <row r="19277">
      <c r="B19277" s="612"/>
      <c r="H19277" s="612"/>
    </row>
    <row r="19278">
      <c r="B19278" s="612"/>
      <c r="H19278" s="612"/>
    </row>
    <row r="19279">
      <c r="B19279" s="612"/>
      <c r="H19279" s="612"/>
    </row>
    <row r="19280">
      <c r="B19280" s="612"/>
      <c r="H19280" s="612"/>
    </row>
    <row r="19281">
      <c r="B19281" s="612"/>
      <c r="H19281" s="612"/>
    </row>
    <row r="19282">
      <c r="B19282" s="612"/>
      <c r="H19282" s="612"/>
    </row>
    <row r="19283">
      <c r="B19283" s="612"/>
      <c r="H19283" s="612"/>
    </row>
    <row r="19284">
      <c r="B19284" s="612"/>
      <c r="H19284" s="612"/>
    </row>
    <row r="19285">
      <c r="B19285" s="612"/>
      <c r="H19285" s="612"/>
    </row>
    <row r="19286">
      <c r="B19286" s="612"/>
      <c r="H19286" s="612"/>
    </row>
    <row r="19287">
      <c r="B19287" s="612"/>
      <c r="H19287" s="612"/>
    </row>
    <row r="19288">
      <c r="B19288" s="612"/>
      <c r="H19288" s="612"/>
    </row>
    <row r="19289">
      <c r="B19289" s="612"/>
      <c r="H19289" s="612"/>
    </row>
    <row r="19290">
      <c r="B19290" s="612"/>
      <c r="H19290" s="612"/>
    </row>
    <row r="19291">
      <c r="B19291" s="612"/>
      <c r="H19291" s="612"/>
    </row>
    <row r="19292">
      <c r="B19292" s="612"/>
      <c r="H19292" s="612"/>
    </row>
    <row r="19293">
      <c r="B19293" s="612"/>
      <c r="H19293" s="612"/>
    </row>
    <row r="19294">
      <c r="B19294" s="612"/>
      <c r="H19294" s="612"/>
    </row>
    <row r="19295">
      <c r="B19295" s="612"/>
      <c r="H19295" s="612"/>
    </row>
    <row r="19296">
      <c r="B19296" s="612"/>
      <c r="H19296" s="612"/>
    </row>
    <row r="19297">
      <c r="B19297" s="612"/>
      <c r="H19297" s="612"/>
    </row>
    <row r="19298">
      <c r="B19298" s="612"/>
      <c r="H19298" s="612"/>
    </row>
    <row r="19299">
      <c r="B19299" s="612"/>
      <c r="H19299" s="612"/>
    </row>
    <row r="19300">
      <c r="B19300" s="612"/>
      <c r="H19300" s="612"/>
    </row>
    <row r="19301">
      <c r="B19301" s="612"/>
      <c r="H19301" s="612"/>
    </row>
    <row r="19302">
      <c r="B19302" s="612"/>
      <c r="H19302" s="612"/>
    </row>
    <row r="19303">
      <c r="B19303" s="612"/>
      <c r="H19303" s="612"/>
    </row>
    <row r="19304">
      <c r="B19304" s="612"/>
      <c r="H19304" s="612"/>
    </row>
    <row r="19305">
      <c r="B19305" s="612"/>
      <c r="H19305" s="612"/>
    </row>
    <row r="19306">
      <c r="B19306" s="612"/>
      <c r="H19306" s="612"/>
    </row>
    <row r="19307">
      <c r="B19307" s="612"/>
      <c r="H19307" s="612"/>
    </row>
    <row r="19308">
      <c r="B19308" s="612"/>
      <c r="H19308" s="612"/>
    </row>
    <row r="19309">
      <c r="B19309" s="612"/>
      <c r="H19309" s="612"/>
    </row>
    <row r="19310">
      <c r="B19310" s="612"/>
      <c r="H19310" s="612"/>
    </row>
    <row r="19311">
      <c r="B19311" s="612"/>
      <c r="H19311" s="612"/>
    </row>
    <row r="19312">
      <c r="B19312" s="612"/>
      <c r="H19312" s="612"/>
    </row>
    <row r="19313">
      <c r="B19313" s="612"/>
      <c r="H19313" s="612"/>
    </row>
    <row r="19314">
      <c r="B19314" s="612"/>
      <c r="H19314" s="612"/>
    </row>
    <row r="19315">
      <c r="B19315" s="612"/>
      <c r="H19315" s="612"/>
    </row>
    <row r="19316">
      <c r="B19316" s="612"/>
      <c r="H19316" s="612"/>
    </row>
    <row r="19317">
      <c r="B19317" s="612"/>
      <c r="H19317" s="612"/>
    </row>
    <row r="19318">
      <c r="B19318" s="612"/>
      <c r="H19318" s="612"/>
    </row>
    <row r="19319">
      <c r="B19319" s="612"/>
      <c r="H19319" s="612"/>
    </row>
    <row r="19320">
      <c r="B19320" s="612"/>
      <c r="H19320" s="612"/>
    </row>
    <row r="19321">
      <c r="B19321" s="612"/>
      <c r="H19321" s="612"/>
    </row>
    <row r="19322">
      <c r="B19322" s="612"/>
      <c r="H19322" s="612"/>
    </row>
    <row r="19323">
      <c r="B19323" s="612"/>
      <c r="H19323" s="612"/>
    </row>
    <row r="19324">
      <c r="B19324" s="612"/>
      <c r="H19324" s="612"/>
    </row>
    <row r="19325">
      <c r="B19325" s="612"/>
      <c r="H19325" s="612"/>
    </row>
    <row r="19326">
      <c r="B19326" s="612"/>
      <c r="H19326" s="612"/>
    </row>
    <row r="19327">
      <c r="B19327" s="612"/>
      <c r="H19327" s="612"/>
    </row>
    <row r="19328">
      <c r="B19328" s="612"/>
      <c r="H19328" s="612"/>
    </row>
    <row r="19329">
      <c r="B19329" s="612"/>
      <c r="H19329" s="612"/>
    </row>
    <row r="19330">
      <c r="B19330" s="612"/>
      <c r="H19330" s="612"/>
    </row>
    <row r="19331">
      <c r="B19331" s="612"/>
      <c r="H19331" s="612"/>
    </row>
    <row r="19332">
      <c r="B19332" s="612"/>
      <c r="H19332" s="612"/>
    </row>
    <row r="19333">
      <c r="B19333" s="612"/>
      <c r="H19333" s="612"/>
    </row>
    <row r="19334">
      <c r="B19334" s="612"/>
      <c r="H19334" s="612"/>
    </row>
    <row r="19335">
      <c r="B19335" s="612"/>
      <c r="H19335" s="612"/>
    </row>
    <row r="19336">
      <c r="B19336" s="612"/>
      <c r="H19336" s="612"/>
    </row>
    <row r="19337">
      <c r="B19337" s="612"/>
      <c r="H19337" s="612"/>
    </row>
    <row r="19338">
      <c r="B19338" s="612"/>
      <c r="H19338" s="612"/>
    </row>
    <row r="19339">
      <c r="B19339" s="612"/>
      <c r="H19339" s="612"/>
    </row>
    <row r="19340">
      <c r="B19340" s="612"/>
      <c r="H19340" s="612"/>
    </row>
    <row r="19341">
      <c r="B19341" s="612"/>
      <c r="H19341" s="612"/>
    </row>
    <row r="19342">
      <c r="B19342" s="612"/>
      <c r="H19342" s="612"/>
    </row>
    <row r="19343">
      <c r="B19343" s="612"/>
      <c r="H19343" s="612"/>
    </row>
    <row r="19344">
      <c r="B19344" s="612"/>
      <c r="H19344" s="612"/>
    </row>
    <row r="19345">
      <c r="B19345" s="612"/>
      <c r="H19345" s="612"/>
    </row>
    <row r="19346">
      <c r="B19346" s="612"/>
      <c r="H19346" s="612"/>
    </row>
    <row r="19347">
      <c r="B19347" s="612"/>
      <c r="H19347" s="612"/>
    </row>
    <row r="19348">
      <c r="B19348" s="612"/>
      <c r="H19348" s="612"/>
    </row>
    <row r="19349">
      <c r="B19349" s="612"/>
      <c r="H19349" s="612"/>
    </row>
    <row r="19350">
      <c r="B19350" s="612"/>
      <c r="H19350" s="612"/>
    </row>
    <row r="19351">
      <c r="B19351" s="612"/>
      <c r="H19351" s="612"/>
    </row>
    <row r="19352">
      <c r="B19352" s="612"/>
      <c r="H19352" s="612"/>
    </row>
    <row r="19353">
      <c r="B19353" s="612"/>
      <c r="H19353" s="612"/>
    </row>
    <row r="19354">
      <c r="B19354" s="612"/>
      <c r="H19354" s="612"/>
    </row>
    <row r="19355">
      <c r="B19355" s="612"/>
      <c r="H19355" s="612"/>
    </row>
    <row r="19356">
      <c r="B19356" s="612"/>
      <c r="H19356" s="612"/>
    </row>
    <row r="19357">
      <c r="B19357" s="612"/>
      <c r="H19357" s="612"/>
    </row>
    <row r="19358">
      <c r="B19358" s="612"/>
      <c r="H19358" s="612"/>
    </row>
    <row r="19359">
      <c r="B19359" s="612"/>
      <c r="H19359" s="612"/>
    </row>
    <row r="19360">
      <c r="B19360" s="612"/>
      <c r="H19360" s="612"/>
    </row>
    <row r="19361">
      <c r="B19361" s="612"/>
      <c r="H19361" s="612"/>
    </row>
    <row r="19362">
      <c r="B19362" s="612"/>
      <c r="H19362" s="612"/>
    </row>
    <row r="19363">
      <c r="B19363" s="612"/>
      <c r="H19363" s="612"/>
    </row>
    <row r="19364">
      <c r="B19364" s="612"/>
      <c r="H19364" s="612"/>
    </row>
    <row r="19365">
      <c r="B19365" s="612"/>
      <c r="H19365" s="612"/>
    </row>
    <row r="19366">
      <c r="B19366" s="612"/>
      <c r="H19366" s="612"/>
    </row>
    <row r="19367">
      <c r="B19367" s="612"/>
      <c r="H19367" s="612"/>
    </row>
    <row r="19368">
      <c r="B19368" s="612"/>
      <c r="H19368" s="612"/>
    </row>
    <row r="19369">
      <c r="B19369" s="612"/>
      <c r="H19369" s="612"/>
    </row>
    <row r="19370">
      <c r="B19370" s="612"/>
      <c r="H19370" s="612"/>
    </row>
    <row r="19371">
      <c r="B19371" s="612"/>
      <c r="H19371" s="612"/>
    </row>
    <row r="19372">
      <c r="B19372" s="612"/>
      <c r="H19372" s="612"/>
    </row>
    <row r="19373">
      <c r="B19373" s="612"/>
      <c r="H19373" s="612"/>
    </row>
    <row r="19374">
      <c r="B19374" s="612"/>
      <c r="H19374" s="612"/>
    </row>
    <row r="19375">
      <c r="B19375" s="612"/>
      <c r="H19375" s="612"/>
    </row>
    <row r="19376">
      <c r="B19376" s="612"/>
      <c r="H19376" s="612"/>
    </row>
    <row r="19377">
      <c r="B19377" s="612"/>
      <c r="H19377" s="612"/>
    </row>
    <row r="19378">
      <c r="B19378" s="612"/>
      <c r="H19378" s="612"/>
    </row>
    <row r="19379">
      <c r="B19379" s="612"/>
      <c r="H19379" s="612"/>
    </row>
    <row r="19380">
      <c r="B19380" s="612"/>
      <c r="H19380" s="612"/>
    </row>
    <row r="19381">
      <c r="B19381" s="612"/>
      <c r="H19381" s="612"/>
    </row>
    <row r="19382">
      <c r="B19382" s="612"/>
      <c r="H19382" s="612"/>
    </row>
    <row r="19383">
      <c r="B19383" s="612"/>
      <c r="H19383" s="612"/>
    </row>
    <row r="19384">
      <c r="B19384" s="612"/>
      <c r="H19384" s="612"/>
    </row>
    <row r="19385">
      <c r="B19385" s="612"/>
      <c r="H19385" s="612"/>
    </row>
    <row r="19386">
      <c r="B19386" s="612"/>
      <c r="H19386" s="612"/>
    </row>
    <row r="19387">
      <c r="B19387" s="612"/>
      <c r="H19387" s="612"/>
    </row>
    <row r="19388">
      <c r="B19388" s="612"/>
      <c r="H19388" s="612"/>
    </row>
    <row r="19389">
      <c r="B19389" s="612"/>
      <c r="H19389" s="612"/>
    </row>
    <row r="19390">
      <c r="B19390" s="612"/>
      <c r="H19390" s="612"/>
    </row>
    <row r="19391">
      <c r="B19391" s="612"/>
      <c r="H19391" s="612"/>
    </row>
    <row r="19392">
      <c r="B19392" s="612"/>
      <c r="H19392" s="612"/>
    </row>
    <row r="19393">
      <c r="B19393" s="612"/>
      <c r="H19393" s="612"/>
    </row>
    <row r="19394">
      <c r="B19394" s="612"/>
      <c r="H19394" s="612"/>
    </row>
    <row r="19395">
      <c r="B19395" s="612"/>
      <c r="H19395" s="612"/>
    </row>
    <row r="19396">
      <c r="B19396" s="612"/>
      <c r="H19396" s="612"/>
    </row>
    <row r="19397">
      <c r="B19397" s="612"/>
      <c r="H19397" s="612"/>
    </row>
    <row r="19398">
      <c r="B19398" s="612"/>
      <c r="H19398" s="612"/>
    </row>
    <row r="19399">
      <c r="B19399" s="612"/>
      <c r="H19399" s="612"/>
    </row>
    <row r="19400">
      <c r="B19400" s="612"/>
      <c r="H19400" s="612"/>
    </row>
    <row r="19401">
      <c r="B19401" s="612"/>
      <c r="H19401" s="612"/>
    </row>
    <row r="19402">
      <c r="B19402" s="612"/>
      <c r="H19402" s="612"/>
    </row>
    <row r="19403">
      <c r="B19403" s="612"/>
      <c r="H19403" s="612"/>
    </row>
    <row r="19404">
      <c r="B19404" s="612"/>
      <c r="H19404" s="612"/>
    </row>
    <row r="19405">
      <c r="B19405" s="612"/>
      <c r="H19405" s="612"/>
    </row>
    <row r="19406">
      <c r="B19406" s="612"/>
      <c r="H19406" s="612"/>
    </row>
    <row r="19407">
      <c r="B19407" s="612"/>
      <c r="H19407" s="612"/>
    </row>
    <row r="19408">
      <c r="B19408" s="612"/>
      <c r="H19408" s="612"/>
    </row>
    <row r="19409">
      <c r="B19409" s="612"/>
      <c r="H19409" s="612"/>
    </row>
    <row r="19410">
      <c r="B19410" s="612"/>
      <c r="H19410" s="612"/>
    </row>
    <row r="19411">
      <c r="B19411" s="612"/>
      <c r="H19411" s="612"/>
    </row>
    <row r="19412">
      <c r="B19412" s="612"/>
      <c r="H19412" s="612"/>
    </row>
    <row r="19413">
      <c r="B19413" s="612"/>
      <c r="H19413" s="612"/>
    </row>
    <row r="19414">
      <c r="B19414" s="612"/>
      <c r="H19414" s="612"/>
    </row>
    <row r="19415">
      <c r="B19415" s="612"/>
      <c r="H19415" s="612"/>
    </row>
    <row r="19416">
      <c r="B19416" s="612"/>
      <c r="H19416" s="612"/>
    </row>
    <row r="19417">
      <c r="B19417" s="612"/>
      <c r="H19417" s="612"/>
    </row>
    <row r="19418">
      <c r="B19418" s="612"/>
      <c r="H19418" s="612"/>
    </row>
    <row r="19419">
      <c r="B19419" s="612"/>
      <c r="H19419" s="612"/>
    </row>
    <row r="19420">
      <c r="B19420" s="612"/>
      <c r="H19420" s="612"/>
    </row>
    <row r="19421">
      <c r="B19421" s="612"/>
      <c r="H19421" s="612"/>
    </row>
    <row r="19422">
      <c r="B19422" s="612"/>
      <c r="H19422" s="612"/>
    </row>
    <row r="19423">
      <c r="B19423" s="612"/>
      <c r="H19423" s="612"/>
    </row>
    <row r="19424">
      <c r="B19424" s="612"/>
      <c r="H19424" s="612"/>
    </row>
    <row r="19425">
      <c r="B19425" s="612"/>
      <c r="H19425" s="612"/>
    </row>
    <row r="19426">
      <c r="B19426" s="612"/>
      <c r="H19426" s="612"/>
    </row>
    <row r="19427">
      <c r="B19427" s="612"/>
      <c r="H19427" s="612"/>
    </row>
    <row r="19428">
      <c r="B19428" s="612"/>
      <c r="H19428" s="612"/>
    </row>
    <row r="19429">
      <c r="B19429" s="612"/>
      <c r="H19429" s="612"/>
    </row>
    <row r="19430">
      <c r="B19430" s="612"/>
      <c r="H19430" s="612"/>
    </row>
    <row r="19431">
      <c r="B19431" s="612"/>
      <c r="H19431" s="612"/>
    </row>
    <row r="19432">
      <c r="B19432" s="612"/>
      <c r="H19432" s="612"/>
    </row>
    <row r="19433">
      <c r="B19433" s="612"/>
      <c r="H19433" s="612"/>
    </row>
    <row r="19434">
      <c r="B19434" s="612"/>
      <c r="H19434" s="612"/>
    </row>
    <row r="19435">
      <c r="B19435" s="612"/>
      <c r="H19435" s="612"/>
    </row>
    <row r="19436">
      <c r="B19436" s="612"/>
      <c r="H19436" s="612"/>
    </row>
    <row r="19437">
      <c r="B19437" s="612"/>
      <c r="H19437" s="612"/>
    </row>
    <row r="19438">
      <c r="B19438" s="612"/>
      <c r="H19438" s="612"/>
    </row>
    <row r="19439">
      <c r="B19439" s="612"/>
      <c r="H19439" s="612"/>
    </row>
    <row r="19440">
      <c r="B19440" s="612"/>
      <c r="H19440" s="612"/>
    </row>
    <row r="19441">
      <c r="B19441" s="612"/>
      <c r="H19441" s="612"/>
    </row>
    <row r="19442">
      <c r="B19442" s="612"/>
      <c r="H19442" s="612"/>
    </row>
    <row r="19443">
      <c r="B19443" s="612"/>
      <c r="H19443" s="612"/>
    </row>
    <row r="19444">
      <c r="B19444" s="612"/>
      <c r="H19444" s="612"/>
    </row>
    <row r="19445">
      <c r="B19445" s="612"/>
      <c r="H19445" s="612"/>
    </row>
    <row r="19446">
      <c r="B19446" s="612"/>
      <c r="H19446" s="612"/>
    </row>
    <row r="19447">
      <c r="B19447" s="612"/>
      <c r="H19447" s="612"/>
    </row>
    <row r="19448">
      <c r="B19448" s="612"/>
      <c r="H19448" s="612"/>
    </row>
    <row r="19449">
      <c r="B19449" s="612"/>
      <c r="H19449" s="612"/>
    </row>
    <row r="19450">
      <c r="B19450" s="612"/>
      <c r="H19450" s="612"/>
    </row>
    <row r="19451">
      <c r="B19451" s="612"/>
      <c r="H19451" s="612"/>
    </row>
    <row r="19452">
      <c r="B19452" s="612"/>
      <c r="H19452" s="612"/>
    </row>
    <row r="19453">
      <c r="B19453" s="612"/>
      <c r="H19453" s="612"/>
    </row>
    <row r="19454">
      <c r="B19454" s="612"/>
      <c r="H19454" s="612"/>
    </row>
    <row r="19455">
      <c r="B19455" s="612"/>
      <c r="H19455" s="612"/>
    </row>
    <row r="19456">
      <c r="B19456" s="612"/>
      <c r="H19456" s="612"/>
    </row>
    <row r="19457">
      <c r="B19457" s="612"/>
      <c r="H19457" s="612"/>
    </row>
    <row r="19458">
      <c r="B19458" s="612"/>
      <c r="H19458" s="612"/>
    </row>
    <row r="19459">
      <c r="B19459" s="612"/>
      <c r="H19459" s="612"/>
    </row>
    <row r="19460">
      <c r="B19460" s="612"/>
      <c r="H19460" s="612"/>
    </row>
    <row r="19461">
      <c r="B19461" s="612"/>
      <c r="H19461" s="612"/>
    </row>
    <row r="19462">
      <c r="B19462" s="612"/>
      <c r="H19462" s="612"/>
    </row>
    <row r="19463">
      <c r="B19463" s="612"/>
      <c r="H19463" s="612"/>
    </row>
    <row r="19464">
      <c r="B19464" s="612"/>
      <c r="H19464" s="612"/>
    </row>
    <row r="19465">
      <c r="B19465" s="612"/>
      <c r="H19465" s="612"/>
    </row>
    <row r="19466">
      <c r="B19466" s="612"/>
      <c r="H19466" s="612"/>
    </row>
    <row r="19467">
      <c r="B19467" s="612"/>
      <c r="H19467" s="612"/>
    </row>
    <row r="19468">
      <c r="B19468" s="612"/>
      <c r="H19468" s="612"/>
    </row>
    <row r="19469">
      <c r="B19469" s="612"/>
      <c r="H19469" s="612"/>
    </row>
    <row r="19470">
      <c r="B19470" s="612"/>
      <c r="H19470" s="612"/>
    </row>
    <row r="19471">
      <c r="B19471" s="612"/>
      <c r="H19471" s="612"/>
    </row>
    <row r="19472">
      <c r="B19472" s="612"/>
      <c r="H19472" s="612"/>
    </row>
    <row r="19473">
      <c r="B19473" s="612"/>
      <c r="H19473" s="612"/>
    </row>
    <row r="19474">
      <c r="B19474" s="612"/>
      <c r="H19474" s="612"/>
    </row>
    <row r="19475">
      <c r="B19475" s="612"/>
      <c r="H19475" s="612"/>
    </row>
    <row r="19476">
      <c r="B19476" s="612"/>
      <c r="H19476" s="612"/>
    </row>
    <row r="19477">
      <c r="B19477" s="612"/>
      <c r="H19477" s="612"/>
    </row>
    <row r="19478">
      <c r="B19478" s="612"/>
      <c r="H19478" s="612"/>
    </row>
    <row r="19479">
      <c r="B19479" s="612"/>
      <c r="H19479" s="612"/>
    </row>
    <row r="19480">
      <c r="B19480" s="612"/>
      <c r="H19480" s="612"/>
    </row>
    <row r="19481">
      <c r="B19481" s="612"/>
      <c r="H19481" s="612"/>
    </row>
    <row r="19482">
      <c r="B19482" s="612"/>
      <c r="H19482" s="612"/>
    </row>
    <row r="19483">
      <c r="B19483" s="612"/>
      <c r="H19483" s="612"/>
    </row>
    <row r="19484">
      <c r="B19484" s="612"/>
      <c r="H19484" s="612"/>
    </row>
    <row r="19485">
      <c r="B19485" s="612"/>
      <c r="H19485" s="612"/>
    </row>
    <row r="19486">
      <c r="B19486" s="612"/>
      <c r="H19486" s="612"/>
    </row>
    <row r="19487">
      <c r="B19487" s="612"/>
      <c r="H19487" s="612"/>
    </row>
    <row r="19488">
      <c r="B19488" s="612"/>
      <c r="H19488" s="612"/>
    </row>
    <row r="19489">
      <c r="B19489" s="612"/>
      <c r="H19489" s="612"/>
    </row>
    <row r="19490">
      <c r="B19490" s="612"/>
      <c r="H19490" s="612"/>
    </row>
    <row r="19491">
      <c r="B19491" s="612"/>
      <c r="H19491" s="612"/>
    </row>
    <row r="19492">
      <c r="B19492" s="612"/>
      <c r="H19492" s="612"/>
    </row>
    <row r="19493">
      <c r="B19493" s="612"/>
      <c r="H19493" s="612"/>
    </row>
    <row r="19494">
      <c r="B19494" s="612"/>
      <c r="H19494" s="612"/>
    </row>
    <row r="19495">
      <c r="B19495" s="612"/>
      <c r="H19495" s="612"/>
    </row>
    <row r="19496">
      <c r="B19496" s="612"/>
      <c r="H19496" s="612"/>
    </row>
    <row r="19497">
      <c r="B19497" s="612"/>
      <c r="H19497" s="612"/>
    </row>
    <row r="19498">
      <c r="B19498" s="612"/>
      <c r="H19498" s="612"/>
    </row>
    <row r="19499">
      <c r="B19499" s="612"/>
      <c r="H19499" s="612"/>
    </row>
    <row r="19500">
      <c r="B19500" s="612"/>
      <c r="H19500" s="612"/>
    </row>
    <row r="19501">
      <c r="B19501" s="612"/>
      <c r="H19501" s="612"/>
    </row>
    <row r="19502">
      <c r="B19502" s="612"/>
      <c r="H19502" s="612"/>
    </row>
    <row r="19503">
      <c r="B19503" s="612"/>
      <c r="H19503" s="612"/>
    </row>
    <row r="19504">
      <c r="B19504" s="612"/>
      <c r="H19504" s="612"/>
    </row>
    <row r="19505">
      <c r="B19505" s="612"/>
      <c r="H19505" s="612"/>
    </row>
    <row r="19506">
      <c r="B19506" s="612"/>
      <c r="H19506" s="612"/>
    </row>
    <row r="19507">
      <c r="B19507" s="612"/>
      <c r="H19507" s="612"/>
    </row>
    <row r="19508">
      <c r="B19508" s="612"/>
      <c r="H19508" s="612"/>
    </row>
    <row r="19509">
      <c r="B19509" s="612"/>
      <c r="H19509" s="612"/>
    </row>
    <row r="19510">
      <c r="B19510" s="612"/>
      <c r="H19510" s="612"/>
    </row>
    <row r="19511">
      <c r="B19511" s="612"/>
      <c r="H19511" s="612"/>
    </row>
    <row r="19512">
      <c r="B19512" s="612"/>
      <c r="H19512" s="612"/>
    </row>
    <row r="19513">
      <c r="B19513" s="612"/>
      <c r="H19513" s="612"/>
    </row>
    <row r="19514">
      <c r="B19514" s="612"/>
      <c r="H19514" s="612"/>
    </row>
    <row r="19515">
      <c r="B19515" s="612"/>
      <c r="H19515" s="612"/>
    </row>
    <row r="19516">
      <c r="B19516" s="612"/>
      <c r="H19516" s="612"/>
    </row>
    <row r="19517">
      <c r="B19517" s="612"/>
      <c r="H19517" s="612"/>
    </row>
    <row r="19518">
      <c r="B19518" s="612"/>
      <c r="H19518" s="612"/>
    </row>
    <row r="19519">
      <c r="B19519" s="612"/>
      <c r="H19519" s="612"/>
    </row>
    <row r="19520">
      <c r="B19520" s="612"/>
      <c r="H19520" s="612"/>
    </row>
    <row r="19521">
      <c r="B19521" s="612"/>
      <c r="H19521" s="612"/>
    </row>
    <row r="19522">
      <c r="B19522" s="612"/>
      <c r="H19522" s="612"/>
    </row>
    <row r="19523">
      <c r="B19523" s="612"/>
      <c r="H19523" s="612"/>
    </row>
    <row r="19524">
      <c r="B19524" s="612"/>
      <c r="H19524" s="612"/>
    </row>
    <row r="19525">
      <c r="B19525" s="612"/>
      <c r="H19525" s="612"/>
    </row>
    <row r="19526">
      <c r="B19526" s="612"/>
      <c r="H19526" s="612"/>
    </row>
    <row r="19527">
      <c r="B19527" s="612"/>
      <c r="H19527" s="612"/>
    </row>
    <row r="19528">
      <c r="B19528" s="612"/>
      <c r="H19528" s="612"/>
    </row>
    <row r="19529">
      <c r="B19529" s="612"/>
      <c r="H19529" s="612"/>
    </row>
    <row r="19530">
      <c r="B19530" s="612"/>
      <c r="H19530" s="612"/>
    </row>
    <row r="19531">
      <c r="B19531" s="612"/>
      <c r="H19531" s="612"/>
    </row>
    <row r="19532">
      <c r="B19532" s="612"/>
      <c r="H19532" s="612"/>
    </row>
    <row r="19533">
      <c r="B19533" s="612"/>
      <c r="H19533" s="612"/>
    </row>
    <row r="19534">
      <c r="B19534" s="612"/>
      <c r="H19534" s="612"/>
    </row>
    <row r="19535">
      <c r="B19535" s="612"/>
      <c r="H19535" s="612"/>
    </row>
    <row r="19536">
      <c r="B19536" s="612"/>
      <c r="H19536" s="612"/>
    </row>
    <row r="19537">
      <c r="B19537" s="612"/>
      <c r="H19537" s="612"/>
    </row>
    <row r="19538">
      <c r="B19538" s="612"/>
      <c r="H19538" s="612"/>
    </row>
    <row r="19539">
      <c r="B19539" s="612"/>
      <c r="H19539" s="612"/>
    </row>
    <row r="19540">
      <c r="B19540" s="612"/>
      <c r="H19540" s="612"/>
    </row>
    <row r="19541">
      <c r="B19541" s="612"/>
      <c r="H19541" s="612"/>
    </row>
    <row r="19542">
      <c r="B19542" s="612"/>
      <c r="H19542" s="612"/>
    </row>
    <row r="19543">
      <c r="B19543" s="612"/>
      <c r="H19543" s="612"/>
    </row>
    <row r="19544">
      <c r="B19544" s="612"/>
      <c r="H19544" s="612"/>
    </row>
    <row r="19545">
      <c r="B19545" s="612"/>
      <c r="H19545" s="612"/>
    </row>
    <row r="19546">
      <c r="B19546" s="612"/>
      <c r="H19546" s="612"/>
    </row>
    <row r="19547">
      <c r="B19547" s="612"/>
      <c r="H19547" s="612"/>
    </row>
    <row r="19548">
      <c r="B19548" s="612"/>
      <c r="H19548" s="612"/>
    </row>
    <row r="19549">
      <c r="B19549" s="612"/>
      <c r="H19549" s="612"/>
    </row>
    <row r="19550">
      <c r="B19550" s="612"/>
      <c r="H19550" s="612"/>
    </row>
    <row r="19551">
      <c r="B19551" s="612"/>
      <c r="H19551" s="612"/>
    </row>
    <row r="19552">
      <c r="B19552" s="612"/>
      <c r="H19552" s="612"/>
    </row>
    <row r="19553">
      <c r="B19553" s="612"/>
      <c r="H19553" s="612"/>
    </row>
    <row r="19554">
      <c r="B19554" s="612"/>
      <c r="H19554" s="612"/>
    </row>
    <row r="19555">
      <c r="B19555" s="612"/>
      <c r="H19555" s="612"/>
    </row>
    <row r="19556">
      <c r="B19556" s="612"/>
      <c r="H19556" s="612"/>
    </row>
    <row r="19557">
      <c r="B19557" s="612"/>
      <c r="H19557" s="612"/>
    </row>
    <row r="19558">
      <c r="B19558" s="612"/>
      <c r="H19558" s="612"/>
    </row>
    <row r="19559">
      <c r="B19559" s="612"/>
      <c r="H19559" s="612"/>
    </row>
    <row r="19560">
      <c r="B19560" s="612"/>
      <c r="H19560" s="612"/>
    </row>
    <row r="19561">
      <c r="B19561" s="612"/>
      <c r="H19561" s="612"/>
    </row>
    <row r="19562">
      <c r="B19562" s="612"/>
      <c r="H19562" s="612"/>
    </row>
    <row r="19563">
      <c r="B19563" s="612"/>
      <c r="H19563" s="612"/>
    </row>
    <row r="19564">
      <c r="B19564" s="612"/>
      <c r="H19564" s="612"/>
    </row>
    <row r="19565">
      <c r="B19565" s="612"/>
      <c r="H19565" s="612"/>
    </row>
    <row r="19566">
      <c r="B19566" s="612"/>
      <c r="H19566" s="612"/>
    </row>
    <row r="19567">
      <c r="B19567" s="612"/>
      <c r="H19567" s="612"/>
    </row>
    <row r="19568">
      <c r="B19568" s="612"/>
      <c r="H19568" s="612"/>
    </row>
    <row r="19569">
      <c r="B19569" s="612"/>
      <c r="H19569" s="612"/>
    </row>
    <row r="19570">
      <c r="B19570" s="612"/>
      <c r="H19570" s="612"/>
    </row>
    <row r="19571">
      <c r="B19571" s="612"/>
      <c r="H19571" s="612"/>
    </row>
    <row r="19572">
      <c r="B19572" s="612"/>
      <c r="H19572" s="612"/>
    </row>
    <row r="19573">
      <c r="B19573" s="612"/>
      <c r="H19573" s="612"/>
    </row>
    <row r="19574">
      <c r="B19574" s="612"/>
      <c r="H19574" s="612"/>
    </row>
    <row r="19575">
      <c r="B19575" s="612"/>
      <c r="H19575" s="612"/>
    </row>
    <row r="19576">
      <c r="B19576" s="612"/>
      <c r="H19576" s="612"/>
    </row>
    <row r="19577">
      <c r="B19577" s="612"/>
      <c r="H19577" s="612"/>
    </row>
    <row r="19578">
      <c r="B19578" s="612"/>
      <c r="H19578" s="612"/>
    </row>
    <row r="19579">
      <c r="B19579" s="612"/>
      <c r="H19579" s="612"/>
    </row>
    <row r="19580">
      <c r="B19580" s="612"/>
      <c r="H19580" s="612"/>
    </row>
    <row r="19581">
      <c r="B19581" s="612"/>
      <c r="H19581" s="612"/>
    </row>
    <row r="19582">
      <c r="B19582" s="612"/>
      <c r="H19582" s="612"/>
    </row>
    <row r="19583">
      <c r="B19583" s="612"/>
      <c r="H19583" s="612"/>
    </row>
    <row r="19584">
      <c r="B19584" s="612"/>
      <c r="H19584" s="612"/>
    </row>
    <row r="19585">
      <c r="B19585" s="612"/>
      <c r="H19585" s="612"/>
    </row>
    <row r="19586">
      <c r="B19586" s="612"/>
      <c r="H19586" s="612"/>
    </row>
    <row r="19587">
      <c r="B19587" s="612"/>
      <c r="H19587" s="612"/>
    </row>
    <row r="19588">
      <c r="B19588" s="612"/>
      <c r="H19588" s="612"/>
    </row>
    <row r="19589">
      <c r="B19589" s="612"/>
      <c r="H19589" s="612"/>
    </row>
    <row r="19590">
      <c r="B19590" s="612"/>
      <c r="H19590" s="612"/>
    </row>
    <row r="19591">
      <c r="B19591" s="612"/>
      <c r="H19591" s="612"/>
    </row>
    <row r="19592">
      <c r="B19592" s="612"/>
      <c r="H19592" s="612"/>
    </row>
    <row r="19593">
      <c r="B19593" s="612"/>
      <c r="H19593" s="612"/>
    </row>
    <row r="19594">
      <c r="B19594" s="612"/>
      <c r="H19594" s="612"/>
    </row>
    <row r="19595">
      <c r="B19595" s="612"/>
      <c r="H19595" s="612"/>
    </row>
    <row r="19596">
      <c r="B19596" s="612"/>
      <c r="H19596" s="612"/>
    </row>
    <row r="19597">
      <c r="B19597" s="612"/>
      <c r="H19597" s="612"/>
    </row>
    <row r="19598">
      <c r="B19598" s="612"/>
      <c r="H19598" s="612"/>
    </row>
    <row r="19599">
      <c r="B19599" s="612"/>
      <c r="H19599" s="612"/>
    </row>
    <row r="19600">
      <c r="B19600" s="612"/>
      <c r="H19600" s="612"/>
    </row>
    <row r="19601">
      <c r="B19601" s="612"/>
      <c r="H19601" s="612"/>
    </row>
    <row r="19602">
      <c r="B19602" s="612"/>
      <c r="H19602" s="612"/>
    </row>
    <row r="19603">
      <c r="B19603" s="612"/>
      <c r="H19603" s="612"/>
    </row>
    <row r="19604">
      <c r="B19604" s="612"/>
      <c r="H19604" s="612"/>
    </row>
    <row r="19605">
      <c r="B19605" s="612"/>
      <c r="H19605" s="612"/>
    </row>
    <row r="19606">
      <c r="B19606" s="612"/>
      <c r="H19606" s="612"/>
    </row>
    <row r="19607">
      <c r="B19607" s="612"/>
      <c r="H19607" s="612"/>
    </row>
    <row r="19608">
      <c r="B19608" s="612"/>
      <c r="H19608" s="612"/>
    </row>
    <row r="19609">
      <c r="B19609" s="612"/>
      <c r="H19609" s="612"/>
    </row>
    <row r="19610">
      <c r="B19610" s="612"/>
      <c r="H19610" s="612"/>
    </row>
    <row r="19611">
      <c r="B19611" s="612"/>
      <c r="H19611" s="612"/>
    </row>
    <row r="19612">
      <c r="B19612" s="612"/>
      <c r="H19612" s="612"/>
    </row>
    <row r="19613">
      <c r="B19613" s="612"/>
      <c r="H19613" s="612"/>
    </row>
    <row r="19614">
      <c r="B19614" s="612"/>
      <c r="H19614" s="612"/>
    </row>
    <row r="19615">
      <c r="B19615" s="612"/>
      <c r="H19615" s="612"/>
    </row>
    <row r="19616">
      <c r="B19616" s="612"/>
      <c r="H19616" s="612"/>
    </row>
    <row r="19617">
      <c r="B19617" s="612"/>
      <c r="H19617" s="612"/>
    </row>
    <row r="19618">
      <c r="B19618" s="612"/>
      <c r="H19618" s="612"/>
    </row>
    <row r="19619">
      <c r="B19619" s="612"/>
      <c r="H19619" s="612"/>
    </row>
    <row r="19620">
      <c r="B19620" s="612"/>
      <c r="H19620" s="612"/>
    </row>
    <row r="19621">
      <c r="B19621" s="612"/>
      <c r="H19621" s="612"/>
    </row>
    <row r="19622">
      <c r="B19622" s="612"/>
      <c r="H19622" s="612"/>
    </row>
    <row r="19623">
      <c r="B19623" s="612"/>
      <c r="H19623" s="612"/>
    </row>
    <row r="19624">
      <c r="B19624" s="612"/>
      <c r="H19624" s="612"/>
    </row>
    <row r="19625">
      <c r="B19625" s="612"/>
      <c r="H19625" s="612"/>
    </row>
    <row r="19626">
      <c r="B19626" s="612"/>
      <c r="H19626" s="612"/>
    </row>
    <row r="19627">
      <c r="B19627" s="612"/>
      <c r="H19627" s="612"/>
    </row>
    <row r="19628">
      <c r="B19628" s="612"/>
      <c r="H19628" s="612"/>
    </row>
    <row r="19629">
      <c r="B19629" s="612"/>
      <c r="H19629" s="612"/>
    </row>
    <row r="19630">
      <c r="B19630" s="612"/>
      <c r="H19630" s="612"/>
    </row>
    <row r="19631">
      <c r="B19631" s="612"/>
      <c r="H19631" s="612"/>
    </row>
    <row r="19632">
      <c r="B19632" s="612"/>
      <c r="H19632" s="612"/>
    </row>
    <row r="19633">
      <c r="B19633" s="612"/>
      <c r="H19633" s="612"/>
    </row>
    <row r="19634">
      <c r="B19634" s="612"/>
      <c r="H19634" s="612"/>
    </row>
    <row r="19635">
      <c r="B19635" s="612"/>
      <c r="H19635" s="612"/>
    </row>
    <row r="19636">
      <c r="B19636" s="612"/>
      <c r="H19636" s="612"/>
    </row>
    <row r="19637">
      <c r="B19637" s="612"/>
      <c r="H19637" s="612"/>
    </row>
    <row r="19638">
      <c r="B19638" s="612"/>
      <c r="H19638" s="612"/>
    </row>
    <row r="19639">
      <c r="B19639" s="612"/>
      <c r="H19639" s="612"/>
    </row>
    <row r="19640">
      <c r="B19640" s="612"/>
      <c r="H19640" s="612"/>
    </row>
    <row r="19641">
      <c r="B19641" s="612"/>
      <c r="H19641" s="612"/>
    </row>
    <row r="19642">
      <c r="B19642" s="612"/>
      <c r="H19642" s="612"/>
    </row>
    <row r="19643">
      <c r="B19643" s="612"/>
      <c r="H19643" s="612"/>
    </row>
    <row r="19644">
      <c r="B19644" s="612"/>
      <c r="H19644" s="612"/>
    </row>
    <row r="19645">
      <c r="B19645" s="612"/>
      <c r="H19645" s="612"/>
    </row>
    <row r="19646">
      <c r="B19646" s="612"/>
      <c r="H19646" s="612"/>
    </row>
    <row r="19647">
      <c r="B19647" s="612"/>
      <c r="H19647" s="612"/>
    </row>
    <row r="19648">
      <c r="B19648" s="612"/>
      <c r="H19648" s="612"/>
    </row>
    <row r="19649">
      <c r="B19649" s="612"/>
      <c r="H19649" s="612"/>
    </row>
    <row r="19650">
      <c r="B19650" s="612"/>
      <c r="H19650" s="612"/>
    </row>
    <row r="19651">
      <c r="B19651" s="612"/>
      <c r="H19651" s="612"/>
    </row>
    <row r="19652">
      <c r="B19652" s="612"/>
      <c r="H19652" s="612"/>
    </row>
    <row r="19653">
      <c r="B19653" s="612"/>
      <c r="H19653" s="612"/>
    </row>
    <row r="19654">
      <c r="B19654" s="612"/>
      <c r="H19654" s="612"/>
    </row>
    <row r="19655">
      <c r="B19655" s="612"/>
      <c r="H19655" s="612"/>
    </row>
    <row r="19656">
      <c r="B19656" s="612"/>
      <c r="H19656" s="612"/>
    </row>
    <row r="19657">
      <c r="B19657" s="612"/>
      <c r="H19657" s="612"/>
    </row>
    <row r="19658">
      <c r="B19658" s="612"/>
      <c r="H19658" s="612"/>
    </row>
    <row r="19659">
      <c r="B19659" s="612"/>
      <c r="H19659" s="612"/>
    </row>
    <row r="19660">
      <c r="B19660" s="612"/>
      <c r="H19660" s="612"/>
    </row>
    <row r="19661">
      <c r="B19661" s="612"/>
      <c r="H19661" s="612"/>
    </row>
    <row r="19662">
      <c r="B19662" s="612"/>
      <c r="H19662" s="612"/>
    </row>
    <row r="19663">
      <c r="B19663" s="612"/>
      <c r="H19663" s="612"/>
    </row>
    <row r="19664">
      <c r="B19664" s="612"/>
      <c r="H19664" s="612"/>
    </row>
    <row r="19665">
      <c r="B19665" s="612"/>
      <c r="H19665" s="612"/>
    </row>
    <row r="19666">
      <c r="B19666" s="612"/>
      <c r="H19666" s="612"/>
    </row>
    <row r="19667">
      <c r="B19667" s="612"/>
      <c r="H19667" s="612"/>
    </row>
    <row r="19668">
      <c r="B19668" s="612"/>
      <c r="H19668" s="612"/>
    </row>
    <row r="19669">
      <c r="B19669" s="612"/>
      <c r="H19669" s="612"/>
    </row>
    <row r="19670">
      <c r="B19670" s="612"/>
      <c r="H19670" s="612"/>
    </row>
    <row r="19671">
      <c r="B19671" s="612"/>
      <c r="H19671" s="612"/>
    </row>
    <row r="19672">
      <c r="B19672" s="612"/>
      <c r="H19672" s="612"/>
    </row>
    <row r="19673">
      <c r="B19673" s="612"/>
      <c r="H19673" s="612"/>
    </row>
    <row r="19674">
      <c r="B19674" s="612"/>
      <c r="H19674" s="612"/>
    </row>
    <row r="19675">
      <c r="B19675" s="612"/>
      <c r="H19675" s="612"/>
    </row>
    <row r="19676">
      <c r="B19676" s="612"/>
      <c r="H19676" s="612"/>
    </row>
    <row r="19677">
      <c r="B19677" s="612"/>
      <c r="H19677" s="612"/>
    </row>
    <row r="19678">
      <c r="B19678" s="612"/>
      <c r="H19678" s="612"/>
    </row>
    <row r="19679">
      <c r="B19679" s="612"/>
      <c r="H19679" s="612"/>
    </row>
    <row r="19680">
      <c r="B19680" s="612"/>
      <c r="H19680" s="612"/>
    </row>
    <row r="19681">
      <c r="B19681" s="612"/>
      <c r="H19681" s="612"/>
    </row>
    <row r="19682">
      <c r="B19682" s="612"/>
      <c r="H19682" s="612"/>
    </row>
    <row r="19683">
      <c r="B19683" s="612"/>
      <c r="H19683" s="612"/>
    </row>
    <row r="19684">
      <c r="B19684" s="612"/>
      <c r="H19684" s="612"/>
    </row>
    <row r="19685">
      <c r="B19685" s="612"/>
      <c r="H19685" s="612"/>
    </row>
    <row r="19686">
      <c r="B19686" s="612"/>
      <c r="H19686" s="612"/>
    </row>
    <row r="19687">
      <c r="B19687" s="612"/>
      <c r="H19687" s="612"/>
    </row>
    <row r="19688">
      <c r="B19688" s="612"/>
      <c r="H19688" s="612"/>
    </row>
    <row r="19689">
      <c r="B19689" s="612"/>
      <c r="H19689" s="612"/>
    </row>
    <row r="19690">
      <c r="B19690" s="612"/>
      <c r="H19690" s="612"/>
    </row>
    <row r="19691">
      <c r="B19691" s="612"/>
      <c r="H19691" s="612"/>
    </row>
    <row r="19692">
      <c r="B19692" s="612"/>
      <c r="H19692" s="612"/>
    </row>
    <row r="19693">
      <c r="B19693" s="612"/>
      <c r="H19693" s="612"/>
    </row>
    <row r="19694">
      <c r="B19694" s="612"/>
      <c r="H19694" s="612"/>
    </row>
    <row r="19695">
      <c r="B19695" s="612"/>
      <c r="H19695" s="612"/>
    </row>
    <row r="19696">
      <c r="B19696" s="612"/>
      <c r="H19696" s="612"/>
    </row>
    <row r="19697">
      <c r="B19697" s="612"/>
      <c r="H19697" s="612"/>
    </row>
    <row r="19698">
      <c r="B19698" s="612"/>
      <c r="H19698" s="612"/>
    </row>
    <row r="19699">
      <c r="B19699" s="612"/>
      <c r="H19699" s="612"/>
    </row>
    <row r="19700">
      <c r="B19700" s="612"/>
      <c r="H19700" s="612"/>
    </row>
    <row r="19701">
      <c r="B19701" s="612"/>
      <c r="H19701" s="612"/>
    </row>
    <row r="19702">
      <c r="B19702" s="612"/>
      <c r="H19702" s="612"/>
    </row>
    <row r="19703">
      <c r="B19703" s="612"/>
      <c r="H19703" s="612"/>
    </row>
    <row r="19704">
      <c r="B19704" s="612"/>
      <c r="H19704" s="612"/>
    </row>
    <row r="19705">
      <c r="B19705" s="612"/>
      <c r="H19705" s="612"/>
    </row>
    <row r="19706">
      <c r="B19706" s="612"/>
      <c r="H19706" s="612"/>
    </row>
    <row r="19707">
      <c r="B19707" s="612"/>
      <c r="H19707" s="612"/>
    </row>
    <row r="19708">
      <c r="B19708" s="612"/>
      <c r="H19708" s="612"/>
    </row>
    <row r="19709">
      <c r="B19709" s="612"/>
      <c r="H19709" s="612"/>
    </row>
    <row r="19710">
      <c r="B19710" s="612"/>
      <c r="H19710" s="612"/>
    </row>
    <row r="19711">
      <c r="B19711" s="612"/>
      <c r="H19711" s="612"/>
    </row>
    <row r="19712">
      <c r="B19712" s="612"/>
      <c r="H19712" s="612"/>
    </row>
    <row r="19713">
      <c r="B19713" s="612"/>
      <c r="H19713" s="612"/>
    </row>
    <row r="19714">
      <c r="B19714" s="612"/>
      <c r="H19714" s="612"/>
    </row>
    <row r="19715">
      <c r="B19715" s="612"/>
      <c r="H19715" s="612"/>
    </row>
    <row r="19716">
      <c r="B19716" s="612"/>
      <c r="H19716" s="612"/>
    </row>
    <row r="19717">
      <c r="B19717" s="612"/>
      <c r="H19717" s="612"/>
    </row>
    <row r="19718">
      <c r="B19718" s="612"/>
      <c r="H19718" s="612"/>
    </row>
    <row r="19719">
      <c r="B19719" s="612"/>
      <c r="H19719" s="612"/>
    </row>
    <row r="19720">
      <c r="B19720" s="612"/>
      <c r="H19720" s="612"/>
    </row>
    <row r="19721">
      <c r="B19721" s="612"/>
      <c r="H19721" s="612"/>
    </row>
    <row r="19722">
      <c r="B19722" s="612"/>
      <c r="H19722" s="612"/>
    </row>
    <row r="19723">
      <c r="B19723" s="612"/>
      <c r="H19723" s="612"/>
    </row>
    <row r="19724">
      <c r="B19724" s="612"/>
      <c r="H19724" s="612"/>
    </row>
    <row r="19725">
      <c r="B19725" s="612"/>
      <c r="H19725" s="612"/>
    </row>
    <row r="19726">
      <c r="B19726" s="612"/>
      <c r="H19726" s="612"/>
    </row>
    <row r="19727">
      <c r="B19727" s="612"/>
      <c r="H19727" s="612"/>
    </row>
    <row r="19728">
      <c r="B19728" s="612"/>
      <c r="H19728" s="612"/>
    </row>
    <row r="19729">
      <c r="B19729" s="612"/>
      <c r="H19729" s="612"/>
    </row>
    <row r="19730">
      <c r="B19730" s="612"/>
      <c r="H19730" s="612"/>
    </row>
    <row r="19731">
      <c r="B19731" s="612"/>
      <c r="H19731" s="612"/>
    </row>
    <row r="19732">
      <c r="B19732" s="612"/>
      <c r="H19732" s="612"/>
    </row>
    <row r="19733">
      <c r="B19733" s="612"/>
      <c r="H19733" s="612"/>
    </row>
    <row r="19734">
      <c r="B19734" s="612"/>
      <c r="H19734" s="612"/>
    </row>
    <row r="19735">
      <c r="B19735" s="612"/>
      <c r="H19735" s="612"/>
    </row>
    <row r="19736">
      <c r="B19736" s="612"/>
      <c r="H19736" s="612"/>
    </row>
    <row r="19737">
      <c r="B19737" s="612"/>
      <c r="H19737" s="612"/>
    </row>
    <row r="19738">
      <c r="B19738" s="612"/>
      <c r="H19738" s="612"/>
    </row>
    <row r="19739">
      <c r="B19739" s="612"/>
      <c r="H19739" s="612"/>
    </row>
    <row r="19740">
      <c r="B19740" s="612"/>
      <c r="H19740" s="612"/>
    </row>
    <row r="19741">
      <c r="B19741" s="612"/>
      <c r="H19741" s="612"/>
    </row>
    <row r="19742">
      <c r="B19742" s="612"/>
      <c r="H19742" s="612"/>
    </row>
    <row r="19743">
      <c r="B19743" s="612"/>
      <c r="H19743" s="612"/>
    </row>
    <row r="19744">
      <c r="B19744" s="612"/>
      <c r="H19744" s="612"/>
    </row>
    <row r="19745">
      <c r="B19745" s="612"/>
      <c r="H19745" s="612"/>
    </row>
    <row r="19746">
      <c r="B19746" s="612"/>
      <c r="H19746" s="612"/>
    </row>
    <row r="19747">
      <c r="B19747" s="612"/>
      <c r="H19747" s="612"/>
    </row>
    <row r="19748">
      <c r="B19748" s="612"/>
      <c r="H19748" s="612"/>
    </row>
    <row r="19749">
      <c r="B19749" s="612"/>
      <c r="H19749" s="612"/>
    </row>
    <row r="19750">
      <c r="B19750" s="612"/>
      <c r="H19750" s="612"/>
    </row>
    <row r="19751">
      <c r="B19751" s="612"/>
      <c r="H19751" s="612"/>
    </row>
    <row r="19752">
      <c r="B19752" s="612"/>
      <c r="H19752" s="612"/>
    </row>
    <row r="19753">
      <c r="B19753" s="612"/>
      <c r="H19753" s="612"/>
    </row>
    <row r="19754">
      <c r="B19754" s="612"/>
      <c r="H19754" s="612"/>
    </row>
    <row r="19755">
      <c r="B19755" s="612"/>
      <c r="H19755" s="612"/>
    </row>
    <row r="19756">
      <c r="B19756" s="612"/>
      <c r="H19756" s="612"/>
    </row>
    <row r="19757">
      <c r="B19757" s="612"/>
      <c r="H19757" s="612"/>
    </row>
    <row r="19758">
      <c r="B19758" s="612"/>
      <c r="H19758" s="612"/>
    </row>
    <row r="19759">
      <c r="B19759" s="612"/>
      <c r="H19759" s="612"/>
    </row>
    <row r="19760">
      <c r="B19760" s="612"/>
      <c r="H19760" s="612"/>
    </row>
    <row r="19761">
      <c r="B19761" s="612"/>
      <c r="H19761" s="612"/>
    </row>
    <row r="19762">
      <c r="B19762" s="612"/>
      <c r="H19762" s="612"/>
    </row>
    <row r="19763">
      <c r="B19763" s="612"/>
      <c r="H19763" s="612"/>
    </row>
    <row r="19764">
      <c r="B19764" s="612"/>
      <c r="H19764" s="612"/>
    </row>
    <row r="19765">
      <c r="B19765" s="612"/>
      <c r="H19765" s="612"/>
    </row>
    <row r="19766">
      <c r="B19766" s="612"/>
      <c r="H19766" s="612"/>
    </row>
    <row r="19767">
      <c r="B19767" s="612"/>
      <c r="H19767" s="612"/>
    </row>
    <row r="19768">
      <c r="B19768" s="612"/>
      <c r="H19768" s="612"/>
    </row>
    <row r="19769">
      <c r="B19769" s="612"/>
      <c r="H19769" s="612"/>
    </row>
    <row r="19770">
      <c r="B19770" s="612"/>
      <c r="H19770" s="612"/>
    </row>
    <row r="19771">
      <c r="B19771" s="612"/>
      <c r="H19771" s="612"/>
    </row>
    <row r="19772">
      <c r="B19772" s="612"/>
      <c r="H19772" s="612"/>
    </row>
    <row r="19773">
      <c r="B19773" s="612"/>
      <c r="H19773" s="612"/>
    </row>
    <row r="19774">
      <c r="B19774" s="612"/>
      <c r="H19774" s="612"/>
    </row>
    <row r="19775">
      <c r="B19775" s="612"/>
      <c r="H19775" s="612"/>
    </row>
    <row r="19776">
      <c r="B19776" s="612"/>
      <c r="H19776" s="612"/>
    </row>
    <row r="19777">
      <c r="B19777" s="612"/>
      <c r="H19777" s="612"/>
    </row>
    <row r="19778">
      <c r="B19778" s="612"/>
      <c r="H19778" s="612"/>
    </row>
    <row r="19779">
      <c r="B19779" s="612"/>
      <c r="H19779" s="612"/>
    </row>
    <row r="19780">
      <c r="B19780" s="612"/>
      <c r="H19780" s="612"/>
    </row>
    <row r="19781">
      <c r="B19781" s="612"/>
      <c r="H19781" s="612"/>
    </row>
    <row r="19782">
      <c r="B19782" s="612"/>
      <c r="H19782" s="612"/>
    </row>
    <row r="19783">
      <c r="B19783" s="612"/>
      <c r="H19783" s="612"/>
    </row>
    <row r="19784">
      <c r="B19784" s="612"/>
      <c r="H19784" s="612"/>
    </row>
    <row r="19785">
      <c r="B19785" s="612"/>
      <c r="H19785" s="612"/>
    </row>
    <row r="19786">
      <c r="B19786" s="612"/>
      <c r="H19786" s="612"/>
    </row>
    <row r="19787">
      <c r="B19787" s="612"/>
      <c r="H19787" s="612"/>
    </row>
    <row r="19788">
      <c r="B19788" s="612"/>
      <c r="H19788" s="612"/>
    </row>
    <row r="19789">
      <c r="B19789" s="612"/>
      <c r="H19789" s="612"/>
    </row>
    <row r="19790">
      <c r="B19790" s="612"/>
      <c r="H19790" s="612"/>
    </row>
    <row r="19791">
      <c r="B19791" s="612"/>
      <c r="H19791" s="612"/>
    </row>
    <row r="19792">
      <c r="B19792" s="612"/>
      <c r="H19792" s="612"/>
    </row>
    <row r="19793">
      <c r="B19793" s="612"/>
      <c r="H19793" s="612"/>
    </row>
    <row r="19794">
      <c r="B19794" s="612"/>
      <c r="H19794" s="612"/>
    </row>
    <row r="19795">
      <c r="B19795" s="612"/>
      <c r="H19795" s="612"/>
    </row>
    <row r="19796">
      <c r="B19796" s="612"/>
      <c r="H19796" s="612"/>
    </row>
    <row r="19797">
      <c r="B19797" s="612"/>
      <c r="H19797" s="612"/>
    </row>
    <row r="19798">
      <c r="B19798" s="612"/>
      <c r="H19798" s="612"/>
    </row>
    <row r="19799">
      <c r="B19799" s="612"/>
      <c r="H19799" s="612"/>
    </row>
    <row r="19800">
      <c r="B19800" s="612"/>
      <c r="H19800" s="612"/>
    </row>
    <row r="19801">
      <c r="B19801" s="612"/>
      <c r="H19801" s="612"/>
    </row>
    <row r="19802">
      <c r="B19802" s="612"/>
      <c r="H19802" s="612"/>
    </row>
    <row r="19803">
      <c r="B19803" s="612"/>
      <c r="H19803" s="612"/>
    </row>
    <row r="19804">
      <c r="B19804" s="612"/>
      <c r="H19804" s="612"/>
    </row>
    <row r="19805">
      <c r="B19805" s="612"/>
      <c r="H19805" s="612"/>
    </row>
    <row r="19806">
      <c r="B19806" s="612"/>
      <c r="H19806" s="612"/>
    </row>
    <row r="19807">
      <c r="B19807" s="612"/>
      <c r="H19807" s="612"/>
    </row>
    <row r="19808">
      <c r="B19808" s="612"/>
      <c r="H19808" s="612"/>
    </row>
    <row r="19809">
      <c r="B19809" s="612"/>
      <c r="H19809" s="612"/>
    </row>
    <row r="19810">
      <c r="B19810" s="612"/>
      <c r="H19810" s="612"/>
    </row>
    <row r="19811">
      <c r="B19811" s="612"/>
      <c r="H19811" s="612"/>
    </row>
    <row r="19812">
      <c r="B19812" s="612"/>
      <c r="H19812" s="612"/>
    </row>
    <row r="19813">
      <c r="B19813" s="612"/>
      <c r="H19813" s="612"/>
    </row>
    <row r="19814">
      <c r="B19814" s="612"/>
      <c r="H19814" s="612"/>
    </row>
    <row r="19815">
      <c r="B19815" s="612"/>
      <c r="H19815" s="612"/>
    </row>
    <row r="19816">
      <c r="B19816" s="612"/>
      <c r="H19816" s="612"/>
    </row>
    <row r="19817">
      <c r="B19817" s="612"/>
      <c r="H19817" s="612"/>
    </row>
    <row r="19818">
      <c r="B19818" s="612"/>
      <c r="H19818" s="612"/>
    </row>
    <row r="19819">
      <c r="B19819" s="612"/>
      <c r="H19819" s="612"/>
    </row>
    <row r="19820">
      <c r="B19820" s="612"/>
      <c r="H19820" s="612"/>
    </row>
    <row r="19821">
      <c r="B19821" s="612"/>
      <c r="H19821" s="612"/>
    </row>
    <row r="19822">
      <c r="B19822" s="612"/>
      <c r="H19822" s="612"/>
    </row>
    <row r="19823">
      <c r="B19823" s="612"/>
      <c r="H19823" s="612"/>
    </row>
    <row r="19824">
      <c r="B19824" s="612"/>
      <c r="H19824" s="612"/>
    </row>
    <row r="19825">
      <c r="B19825" s="612"/>
      <c r="H19825" s="612"/>
    </row>
    <row r="19826">
      <c r="B19826" s="612"/>
      <c r="H19826" s="612"/>
    </row>
    <row r="19827">
      <c r="B19827" s="612"/>
      <c r="H19827" s="612"/>
    </row>
    <row r="19828">
      <c r="B19828" s="612"/>
      <c r="H19828" s="612"/>
    </row>
    <row r="19829">
      <c r="B19829" s="612"/>
      <c r="H19829" s="612"/>
    </row>
    <row r="19830">
      <c r="B19830" s="612"/>
      <c r="H19830" s="612"/>
    </row>
    <row r="19831">
      <c r="B19831" s="612"/>
      <c r="H19831" s="612"/>
    </row>
    <row r="19832">
      <c r="B19832" s="612"/>
      <c r="H19832" s="612"/>
    </row>
    <row r="19833">
      <c r="B19833" s="612"/>
      <c r="H19833" s="612"/>
    </row>
    <row r="19834">
      <c r="B19834" s="612"/>
      <c r="H19834" s="612"/>
    </row>
    <row r="19835">
      <c r="B19835" s="612"/>
      <c r="H19835" s="612"/>
    </row>
    <row r="19836">
      <c r="B19836" s="612"/>
      <c r="H19836" s="612"/>
    </row>
    <row r="19837">
      <c r="B19837" s="612"/>
      <c r="H19837" s="612"/>
    </row>
    <row r="19838">
      <c r="B19838" s="612"/>
      <c r="H19838" s="612"/>
    </row>
    <row r="19839">
      <c r="B19839" s="612"/>
      <c r="H19839" s="612"/>
    </row>
    <row r="19840">
      <c r="B19840" s="612"/>
      <c r="H19840" s="612"/>
    </row>
    <row r="19841">
      <c r="B19841" s="612"/>
      <c r="H19841" s="612"/>
    </row>
    <row r="19842">
      <c r="B19842" s="612"/>
      <c r="H19842" s="612"/>
    </row>
    <row r="19843">
      <c r="B19843" s="612"/>
      <c r="H19843" s="612"/>
    </row>
    <row r="19844">
      <c r="B19844" s="612"/>
      <c r="H19844" s="612"/>
    </row>
    <row r="19845">
      <c r="B19845" s="612"/>
      <c r="H19845" s="612"/>
    </row>
    <row r="19846">
      <c r="B19846" s="612"/>
      <c r="H19846" s="612"/>
    </row>
    <row r="19847">
      <c r="B19847" s="612"/>
      <c r="H19847" s="612"/>
    </row>
    <row r="19848">
      <c r="B19848" s="612"/>
      <c r="H19848" s="612"/>
    </row>
    <row r="19849">
      <c r="B19849" s="612"/>
      <c r="H19849" s="612"/>
    </row>
    <row r="19850">
      <c r="B19850" s="612"/>
      <c r="H19850" s="612"/>
    </row>
    <row r="19851">
      <c r="B19851" s="612"/>
      <c r="H19851" s="612"/>
    </row>
    <row r="19852">
      <c r="B19852" s="612"/>
      <c r="H19852" s="612"/>
    </row>
    <row r="19853">
      <c r="B19853" s="612"/>
      <c r="H19853" s="612"/>
    </row>
    <row r="19854">
      <c r="B19854" s="612"/>
      <c r="H19854" s="612"/>
    </row>
    <row r="19855">
      <c r="B19855" s="612"/>
      <c r="H19855" s="612"/>
    </row>
    <row r="19856">
      <c r="B19856" s="612"/>
      <c r="H19856" s="612"/>
    </row>
    <row r="19857">
      <c r="B19857" s="612"/>
      <c r="H19857" s="612"/>
    </row>
    <row r="19858">
      <c r="B19858" s="612"/>
      <c r="H19858" s="612"/>
    </row>
    <row r="19859">
      <c r="B19859" s="612"/>
      <c r="H19859" s="612"/>
    </row>
    <row r="19860">
      <c r="B19860" s="612"/>
      <c r="H19860" s="612"/>
    </row>
    <row r="19861">
      <c r="B19861" s="612"/>
      <c r="H19861" s="612"/>
    </row>
    <row r="19862">
      <c r="B19862" s="612"/>
      <c r="H19862" s="612"/>
    </row>
    <row r="19863">
      <c r="B19863" s="612"/>
      <c r="H19863" s="612"/>
    </row>
    <row r="19864">
      <c r="B19864" s="612"/>
      <c r="H19864" s="612"/>
    </row>
    <row r="19865">
      <c r="B19865" s="612"/>
      <c r="H19865" s="612"/>
    </row>
    <row r="19866">
      <c r="B19866" s="612"/>
      <c r="H19866" s="612"/>
    </row>
    <row r="19867">
      <c r="B19867" s="612"/>
      <c r="H19867" s="612"/>
    </row>
    <row r="19868">
      <c r="B19868" s="612"/>
      <c r="H19868" s="612"/>
    </row>
    <row r="19869">
      <c r="B19869" s="612"/>
      <c r="H19869" s="612"/>
    </row>
    <row r="19870">
      <c r="B19870" s="612"/>
      <c r="H19870" s="612"/>
    </row>
    <row r="19871">
      <c r="B19871" s="612"/>
      <c r="H19871" s="612"/>
    </row>
    <row r="19872">
      <c r="B19872" s="612"/>
      <c r="H19872" s="612"/>
    </row>
    <row r="19873">
      <c r="B19873" s="612"/>
      <c r="H19873" s="612"/>
    </row>
    <row r="19874">
      <c r="B19874" s="612"/>
      <c r="H19874" s="612"/>
    </row>
    <row r="19875">
      <c r="B19875" s="612"/>
      <c r="H19875" s="612"/>
    </row>
    <row r="19876">
      <c r="B19876" s="612"/>
      <c r="H19876" s="612"/>
    </row>
    <row r="19877">
      <c r="B19877" s="612"/>
      <c r="H19877" s="612"/>
    </row>
    <row r="19878">
      <c r="B19878" s="612"/>
      <c r="H19878" s="612"/>
    </row>
    <row r="19879">
      <c r="B19879" s="612"/>
      <c r="H19879" s="612"/>
    </row>
    <row r="19880">
      <c r="B19880" s="612"/>
      <c r="H19880" s="612"/>
    </row>
    <row r="19881">
      <c r="B19881" s="612"/>
      <c r="H19881" s="612"/>
    </row>
    <row r="19882">
      <c r="B19882" s="612"/>
      <c r="H19882" s="612"/>
    </row>
    <row r="19883">
      <c r="B19883" s="612"/>
      <c r="H19883" s="612"/>
    </row>
    <row r="19884">
      <c r="B19884" s="612"/>
      <c r="H19884" s="612"/>
    </row>
    <row r="19885">
      <c r="B19885" s="612"/>
      <c r="H19885" s="612"/>
    </row>
    <row r="19886">
      <c r="B19886" s="612"/>
      <c r="H19886" s="612"/>
    </row>
    <row r="19887">
      <c r="B19887" s="612"/>
      <c r="H19887" s="612"/>
    </row>
    <row r="19888">
      <c r="B19888" s="612"/>
      <c r="H19888" s="612"/>
    </row>
    <row r="19889">
      <c r="B19889" s="612"/>
      <c r="H19889" s="612"/>
    </row>
    <row r="19890">
      <c r="B19890" s="612"/>
      <c r="H19890" s="612"/>
    </row>
    <row r="19891">
      <c r="B19891" s="612"/>
      <c r="H19891" s="612"/>
    </row>
    <row r="19892">
      <c r="B19892" s="612"/>
      <c r="H19892" s="612"/>
    </row>
    <row r="19893">
      <c r="B19893" s="612"/>
      <c r="H19893" s="612"/>
    </row>
    <row r="19894">
      <c r="B19894" s="612"/>
      <c r="H19894" s="612"/>
    </row>
    <row r="19895">
      <c r="B19895" s="612"/>
      <c r="H19895" s="612"/>
    </row>
    <row r="19896">
      <c r="B19896" s="612"/>
      <c r="H19896" s="612"/>
    </row>
    <row r="19897">
      <c r="B19897" s="612"/>
      <c r="H19897" s="612"/>
    </row>
    <row r="19898">
      <c r="B19898" s="612"/>
      <c r="H19898" s="612"/>
    </row>
    <row r="19899">
      <c r="B19899" s="612"/>
      <c r="H19899" s="612"/>
    </row>
    <row r="19900">
      <c r="B19900" s="612"/>
      <c r="H19900" s="612"/>
    </row>
    <row r="19901">
      <c r="B19901" s="612"/>
      <c r="H19901" s="612"/>
    </row>
    <row r="19902">
      <c r="B19902" s="612"/>
      <c r="H19902" s="612"/>
    </row>
    <row r="19903">
      <c r="B19903" s="612"/>
      <c r="H19903" s="612"/>
    </row>
    <row r="19904">
      <c r="B19904" s="612"/>
      <c r="H19904" s="612"/>
    </row>
    <row r="19905">
      <c r="B19905" s="612"/>
      <c r="H19905" s="612"/>
    </row>
    <row r="19906">
      <c r="B19906" s="612"/>
      <c r="H19906" s="612"/>
    </row>
    <row r="19907">
      <c r="B19907" s="612"/>
      <c r="H19907" s="612"/>
    </row>
    <row r="19908">
      <c r="B19908" s="612"/>
      <c r="H19908" s="612"/>
    </row>
    <row r="19909">
      <c r="B19909" s="612"/>
      <c r="H19909" s="612"/>
    </row>
    <row r="19910">
      <c r="B19910" s="612"/>
      <c r="H19910" s="612"/>
    </row>
    <row r="19911">
      <c r="B19911" s="612"/>
      <c r="H19911" s="612"/>
    </row>
    <row r="19912">
      <c r="B19912" s="612"/>
      <c r="H19912" s="612"/>
    </row>
    <row r="19913">
      <c r="B19913" s="612"/>
      <c r="H19913" s="612"/>
    </row>
    <row r="19914">
      <c r="B19914" s="612"/>
      <c r="H19914" s="612"/>
    </row>
    <row r="19915">
      <c r="B19915" s="612"/>
      <c r="H19915" s="612"/>
    </row>
    <row r="19916">
      <c r="B19916" s="612"/>
      <c r="H19916" s="612"/>
    </row>
    <row r="19917">
      <c r="B19917" s="612"/>
      <c r="H19917" s="612"/>
    </row>
    <row r="19918">
      <c r="B19918" s="612"/>
      <c r="H19918" s="612"/>
    </row>
    <row r="19919">
      <c r="B19919" s="612"/>
      <c r="H19919" s="612"/>
    </row>
    <row r="19920">
      <c r="B19920" s="612"/>
      <c r="H19920" s="612"/>
    </row>
    <row r="19921">
      <c r="B19921" s="612"/>
      <c r="H19921" s="612"/>
    </row>
    <row r="19922">
      <c r="B19922" s="612"/>
      <c r="H19922" s="612"/>
    </row>
    <row r="19923">
      <c r="B19923" s="612"/>
      <c r="H19923" s="612"/>
    </row>
    <row r="19924">
      <c r="B19924" s="612"/>
      <c r="H19924" s="612"/>
    </row>
    <row r="19925">
      <c r="B19925" s="612"/>
      <c r="H19925" s="612"/>
    </row>
    <row r="19926">
      <c r="B19926" s="612"/>
      <c r="H19926" s="612"/>
    </row>
    <row r="19927">
      <c r="B19927" s="612"/>
      <c r="H19927" s="612"/>
    </row>
    <row r="19928">
      <c r="B19928" s="612"/>
      <c r="H19928" s="612"/>
    </row>
    <row r="19929">
      <c r="B19929" s="612"/>
      <c r="H19929" s="612"/>
    </row>
    <row r="19930">
      <c r="B19930" s="612"/>
      <c r="H19930" s="612"/>
    </row>
    <row r="19931">
      <c r="B19931" s="612"/>
      <c r="H19931" s="612"/>
    </row>
    <row r="19932">
      <c r="B19932" s="612"/>
      <c r="H19932" s="612"/>
    </row>
    <row r="19933">
      <c r="B19933" s="612"/>
      <c r="H19933" s="612"/>
    </row>
    <row r="19934">
      <c r="B19934" s="612"/>
      <c r="H19934" s="612"/>
    </row>
    <row r="19935">
      <c r="B19935" s="612"/>
      <c r="H19935" s="612"/>
    </row>
    <row r="19936">
      <c r="B19936" s="612"/>
      <c r="H19936" s="612"/>
    </row>
    <row r="19937">
      <c r="B19937" s="612"/>
      <c r="H19937" s="612"/>
    </row>
    <row r="19938">
      <c r="B19938" s="612"/>
      <c r="H19938" s="612"/>
    </row>
    <row r="19939">
      <c r="B19939" s="612"/>
      <c r="H19939" s="612"/>
    </row>
    <row r="19940">
      <c r="B19940" s="612"/>
      <c r="H19940" s="612"/>
    </row>
    <row r="19941">
      <c r="B19941" s="612"/>
      <c r="H19941" s="612"/>
    </row>
    <row r="19942">
      <c r="B19942" s="612"/>
      <c r="H19942" s="612"/>
    </row>
    <row r="19943">
      <c r="B19943" s="612"/>
      <c r="H19943" s="612"/>
    </row>
    <row r="19944">
      <c r="B19944" s="612"/>
      <c r="H19944" s="612"/>
    </row>
    <row r="19945">
      <c r="B19945" s="612"/>
      <c r="H19945" s="612"/>
    </row>
    <row r="19946">
      <c r="B19946" s="612"/>
      <c r="H19946" s="612"/>
    </row>
    <row r="19947">
      <c r="B19947" s="612"/>
      <c r="H19947" s="612"/>
    </row>
    <row r="19948">
      <c r="B19948" s="612"/>
      <c r="H19948" s="612"/>
    </row>
    <row r="19949">
      <c r="B19949" s="612"/>
      <c r="H19949" s="612"/>
    </row>
    <row r="19950">
      <c r="B19950" s="612"/>
      <c r="H19950" s="612"/>
    </row>
    <row r="19951">
      <c r="B19951" s="612"/>
      <c r="H19951" s="612"/>
    </row>
    <row r="19952">
      <c r="B19952" s="612"/>
      <c r="H19952" s="612"/>
    </row>
    <row r="19953">
      <c r="B19953" s="612"/>
      <c r="H19953" s="612"/>
    </row>
    <row r="19954">
      <c r="B19954" s="612"/>
      <c r="H19954" s="612"/>
    </row>
    <row r="19955">
      <c r="B19955" s="612"/>
      <c r="H19955" s="612"/>
    </row>
    <row r="19956">
      <c r="B19956" s="612"/>
      <c r="H19956" s="612"/>
    </row>
    <row r="19957">
      <c r="B19957" s="612"/>
      <c r="H19957" s="612"/>
    </row>
    <row r="19958">
      <c r="B19958" s="612"/>
      <c r="H19958" s="612"/>
    </row>
    <row r="19959">
      <c r="B19959" s="612"/>
      <c r="H19959" s="612"/>
    </row>
    <row r="19960">
      <c r="B19960" s="612"/>
      <c r="H19960" s="612"/>
    </row>
    <row r="19961">
      <c r="B19961" s="612"/>
      <c r="H19961" s="612"/>
    </row>
    <row r="19962">
      <c r="B19962" s="612"/>
      <c r="H19962" s="612"/>
    </row>
    <row r="19963">
      <c r="B19963" s="612"/>
      <c r="H19963" s="612"/>
    </row>
    <row r="19964">
      <c r="B19964" s="612"/>
      <c r="H19964" s="612"/>
    </row>
    <row r="19965">
      <c r="B19965" s="612"/>
      <c r="H19965" s="612"/>
    </row>
    <row r="19966">
      <c r="B19966" s="612"/>
      <c r="H19966" s="612"/>
    </row>
    <row r="19967">
      <c r="B19967" s="612"/>
      <c r="H19967" s="612"/>
    </row>
    <row r="19968">
      <c r="B19968" s="612"/>
      <c r="H19968" s="612"/>
    </row>
    <row r="19969">
      <c r="B19969" s="612"/>
      <c r="H19969" s="612"/>
    </row>
    <row r="19970">
      <c r="B19970" s="612"/>
      <c r="H19970" s="612"/>
    </row>
    <row r="19971">
      <c r="B19971" s="612"/>
      <c r="H19971" s="612"/>
    </row>
    <row r="19972">
      <c r="B19972" s="612"/>
      <c r="H19972" s="612"/>
    </row>
    <row r="19973">
      <c r="B19973" s="612"/>
      <c r="H19973" s="612"/>
    </row>
    <row r="19974">
      <c r="B19974" s="612"/>
      <c r="H19974" s="612"/>
    </row>
    <row r="19975">
      <c r="B19975" s="612"/>
      <c r="H19975" s="612"/>
    </row>
    <row r="19976">
      <c r="B19976" s="612"/>
      <c r="H19976" s="612"/>
    </row>
    <row r="19977">
      <c r="B19977" s="612"/>
      <c r="H19977" s="612"/>
    </row>
    <row r="19978">
      <c r="B19978" s="612"/>
      <c r="H19978" s="612"/>
    </row>
    <row r="19979">
      <c r="B19979" s="612"/>
      <c r="H19979" s="612"/>
    </row>
    <row r="19980">
      <c r="B19980" s="612"/>
      <c r="H19980" s="612"/>
    </row>
    <row r="19981">
      <c r="B19981" s="612"/>
      <c r="H19981" s="612"/>
    </row>
    <row r="19982">
      <c r="B19982" s="612"/>
      <c r="H19982" s="612"/>
    </row>
    <row r="19983">
      <c r="B19983" s="612"/>
      <c r="H19983" s="612"/>
    </row>
    <row r="19984">
      <c r="B19984" s="612"/>
      <c r="H19984" s="612"/>
    </row>
    <row r="19985">
      <c r="B19985" s="612"/>
      <c r="H19985" s="612"/>
    </row>
    <row r="19986">
      <c r="B19986" s="612"/>
      <c r="H19986" s="612"/>
    </row>
    <row r="19987">
      <c r="B19987" s="612"/>
      <c r="H19987" s="612"/>
    </row>
    <row r="19988">
      <c r="B19988" s="612"/>
      <c r="H19988" s="612"/>
    </row>
    <row r="19989">
      <c r="B19989" s="612"/>
      <c r="H19989" s="612"/>
    </row>
    <row r="19990">
      <c r="B19990" s="612"/>
      <c r="H19990" s="612"/>
    </row>
    <row r="19991">
      <c r="B19991" s="612"/>
      <c r="H19991" s="612"/>
    </row>
    <row r="19992">
      <c r="B19992" s="612"/>
      <c r="H19992" s="612"/>
    </row>
    <row r="19993">
      <c r="B19993" s="612"/>
      <c r="H19993" s="612"/>
    </row>
    <row r="19994">
      <c r="B19994" s="612"/>
      <c r="H19994" s="612"/>
    </row>
    <row r="19995">
      <c r="B19995" s="612"/>
      <c r="H19995" s="612"/>
    </row>
    <row r="19996">
      <c r="B19996" s="612"/>
      <c r="H19996" s="612"/>
    </row>
    <row r="19997">
      <c r="B19997" s="612"/>
      <c r="H19997" s="612"/>
    </row>
    <row r="19998">
      <c r="B19998" s="612"/>
      <c r="H19998" s="612"/>
    </row>
    <row r="19999">
      <c r="B19999" s="612"/>
      <c r="H19999" s="612"/>
    </row>
    <row r="20000">
      <c r="B20000" s="612"/>
      <c r="H20000" s="612"/>
    </row>
    <row r="20001">
      <c r="B20001" s="612"/>
      <c r="H20001" s="612"/>
    </row>
    <row r="20002">
      <c r="B20002" s="612"/>
      <c r="H20002" s="612"/>
    </row>
    <row r="20003">
      <c r="B20003" s="612"/>
      <c r="H20003" s="612"/>
    </row>
    <row r="20004">
      <c r="B20004" s="612"/>
      <c r="H20004" s="612"/>
    </row>
    <row r="20005">
      <c r="B20005" s="612"/>
      <c r="H20005" s="612"/>
    </row>
    <row r="20006">
      <c r="B20006" s="612"/>
      <c r="H20006" s="612"/>
    </row>
    <row r="20007">
      <c r="B20007" s="612"/>
      <c r="H20007" s="612"/>
    </row>
    <row r="20008">
      <c r="B20008" s="612"/>
      <c r="H20008" s="612"/>
    </row>
    <row r="20009">
      <c r="B20009" s="612"/>
      <c r="H20009" s="612"/>
    </row>
    <row r="20010">
      <c r="B20010" s="612"/>
      <c r="H20010" s="612"/>
    </row>
    <row r="20011">
      <c r="B20011" s="612"/>
      <c r="H20011" s="612"/>
    </row>
    <row r="20012">
      <c r="B20012" s="612"/>
      <c r="H20012" s="612"/>
    </row>
    <row r="20013">
      <c r="B20013" s="612"/>
      <c r="H20013" s="612"/>
    </row>
    <row r="20014">
      <c r="B20014" s="612"/>
      <c r="H20014" s="612"/>
    </row>
    <row r="20015">
      <c r="B20015" s="612"/>
      <c r="H20015" s="612"/>
    </row>
    <row r="20016">
      <c r="B20016" s="612"/>
      <c r="H20016" s="612"/>
    </row>
    <row r="20017">
      <c r="B20017" s="612"/>
      <c r="H20017" s="612"/>
    </row>
    <row r="20018">
      <c r="B20018" s="612"/>
      <c r="H20018" s="612"/>
    </row>
    <row r="20019">
      <c r="B20019" s="612"/>
      <c r="H20019" s="612"/>
    </row>
    <row r="20020">
      <c r="B20020" s="612"/>
      <c r="H20020" s="612"/>
    </row>
    <row r="20021">
      <c r="B20021" s="612"/>
      <c r="H20021" s="612"/>
    </row>
    <row r="20022">
      <c r="B20022" s="612"/>
      <c r="H20022" s="612"/>
    </row>
    <row r="20023">
      <c r="B20023" s="612"/>
      <c r="H20023" s="612"/>
    </row>
    <row r="20024">
      <c r="B20024" s="612"/>
      <c r="H20024" s="612"/>
    </row>
    <row r="20025">
      <c r="B20025" s="612"/>
      <c r="H20025" s="612"/>
    </row>
    <row r="20026">
      <c r="B20026" s="612"/>
      <c r="H20026" s="612"/>
    </row>
    <row r="20027">
      <c r="B20027" s="612"/>
      <c r="H20027" s="612"/>
    </row>
    <row r="20028">
      <c r="B20028" s="612"/>
      <c r="H20028" s="612"/>
    </row>
    <row r="20029">
      <c r="B20029" s="612"/>
      <c r="H20029" s="612"/>
    </row>
    <row r="20030">
      <c r="B20030" s="612"/>
      <c r="H20030" s="612"/>
    </row>
    <row r="20031">
      <c r="B20031" s="612"/>
      <c r="H20031" s="612"/>
    </row>
    <row r="20032">
      <c r="B20032" s="612"/>
      <c r="H20032" s="612"/>
    </row>
    <row r="20033">
      <c r="B20033" s="612"/>
      <c r="H20033" s="612"/>
    </row>
    <row r="20034">
      <c r="B20034" s="612"/>
      <c r="H20034" s="612"/>
    </row>
    <row r="20035">
      <c r="B20035" s="612"/>
      <c r="H20035" s="612"/>
    </row>
    <row r="20036">
      <c r="B20036" s="612"/>
      <c r="H20036" s="612"/>
    </row>
    <row r="20037">
      <c r="B20037" s="612"/>
      <c r="H20037" s="612"/>
    </row>
    <row r="20038">
      <c r="B20038" s="612"/>
      <c r="H20038" s="612"/>
    </row>
    <row r="20039">
      <c r="B20039" s="612"/>
      <c r="H20039" s="612"/>
    </row>
    <row r="20040">
      <c r="B20040" s="612"/>
      <c r="H20040" s="612"/>
    </row>
    <row r="20041">
      <c r="B20041" s="612"/>
      <c r="H20041" s="612"/>
    </row>
    <row r="20042">
      <c r="B20042" s="612"/>
      <c r="H20042" s="612"/>
    </row>
    <row r="20043">
      <c r="B20043" s="612"/>
      <c r="H20043" s="612"/>
    </row>
    <row r="20044">
      <c r="B20044" s="612"/>
      <c r="H20044" s="612"/>
    </row>
    <row r="20045">
      <c r="B20045" s="612"/>
      <c r="H20045" s="612"/>
    </row>
    <row r="20046">
      <c r="B20046" s="612"/>
      <c r="H20046" s="612"/>
    </row>
    <row r="20047">
      <c r="B20047" s="612"/>
      <c r="H20047" s="612"/>
    </row>
    <row r="20048">
      <c r="B20048" s="612"/>
      <c r="H20048" s="612"/>
    </row>
    <row r="20049">
      <c r="B20049" s="612"/>
      <c r="H20049" s="612"/>
    </row>
    <row r="20050">
      <c r="B20050" s="612"/>
      <c r="H20050" s="612"/>
    </row>
    <row r="20051">
      <c r="B20051" s="612"/>
      <c r="H20051" s="612"/>
    </row>
    <row r="20052">
      <c r="B20052" s="612"/>
      <c r="H20052" s="612"/>
    </row>
    <row r="20053">
      <c r="B20053" s="612"/>
      <c r="H20053" s="612"/>
    </row>
    <row r="20054">
      <c r="B20054" s="612"/>
      <c r="H20054" s="612"/>
    </row>
    <row r="20055">
      <c r="B20055" s="612"/>
      <c r="H20055" s="612"/>
    </row>
    <row r="20056">
      <c r="B20056" s="612"/>
      <c r="H20056" s="612"/>
    </row>
    <row r="20057">
      <c r="B20057" s="612"/>
      <c r="H20057" s="612"/>
    </row>
    <row r="20058">
      <c r="B20058" s="612"/>
      <c r="H20058" s="612"/>
    </row>
    <row r="20059">
      <c r="B20059" s="612"/>
      <c r="H20059" s="612"/>
    </row>
    <row r="20060">
      <c r="B20060" s="612"/>
      <c r="H20060" s="612"/>
    </row>
    <row r="20061">
      <c r="B20061" s="612"/>
      <c r="H20061" s="612"/>
    </row>
    <row r="20062">
      <c r="B20062" s="612"/>
      <c r="H20062" s="612"/>
    </row>
    <row r="20063">
      <c r="B20063" s="612"/>
      <c r="H20063" s="612"/>
    </row>
    <row r="20064">
      <c r="B20064" s="612"/>
      <c r="H20064" s="612"/>
    </row>
    <row r="20065">
      <c r="B20065" s="612"/>
      <c r="H20065" s="612"/>
    </row>
    <row r="20066">
      <c r="B20066" s="612"/>
      <c r="H20066" s="612"/>
    </row>
    <row r="20067">
      <c r="B20067" s="612"/>
      <c r="H20067" s="612"/>
    </row>
    <row r="20068">
      <c r="B20068" s="612"/>
      <c r="H20068" s="612"/>
    </row>
    <row r="20069">
      <c r="B20069" s="612"/>
      <c r="H20069" s="612"/>
    </row>
    <row r="20070">
      <c r="B20070" s="612"/>
      <c r="H20070" s="612"/>
    </row>
    <row r="20071">
      <c r="B20071" s="612"/>
      <c r="H20071" s="612"/>
    </row>
    <row r="20072">
      <c r="B20072" s="612"/>
      <c r="H20072" s="612"/>
    </row>
    <row r="20073">
      <c r="B20073" s="612"/>
      <c r="H20073" s="612"/>
    </row>
    <row r="20074">
      <c r="B20074" s="612"/>
      <c r="H20074" s="612"/>
    </row>
    <row r="20075">
      <c r="B20075" s="612"/>
      <c r="H20075" s="612"/>
    </row>
    <row r="20076">
      <c r="B20076" s="612"/>
      <c r="H20076" s="612"/>
    </row>
    <row r="20077">
      <c r="B20077" s="612"/>
      <c r="H20077" s="612"/>
    </row>
    <row r="20078">
      <c r="B20078" s="612"/>
      <c r="H20078" s="612"/>
    </row>
    <row r="20079">
      <c r="B20079" s="612"/>
      <c r="H20079" s="612"/>
    </row>
    <row r="20080">
      <c r="B20080" s="612"/>
      <c r="H20080" s="612"/>
    </row>
    <row r="20081">
      <c r="B20081" s="612"/>
      <c r="H20081" s="612"/>
    </row>
    <row r="20082">
      <c r="B20082" s="612"/>
      <c r="H20082" s="612"/>
    </row>
    <row r="20083">
      <c r="B20083" s="612"/>
      <c r="H20083" s="612"/>
    </row>
    <row r="20084">
      <c r="B20084" s="612"/>
      <c r="H20084" s="612"/>
    </row>
    <row r="20085">
      <c r="B20085" s="612"/>
      <c r="H20085" s="612"/>
    </row>
    <row r="20086">
      <c r="B20086" s="612"/>
      <c r="H20086" s="612"/>
    </row>
    <row r="20087">
      <c r="B20087" s="612"/>
      <c r="H20087" s="612"/>
    </row>
    <row r="20088">
      <c r="B20088" s="612"/>
      <c r="H20088" s="612"/>
    </row>
    <row r="20089">
      <c r="B20089" s="612"/>
      <c r="H20089" s="612"/>
    </row>
    <row r="20090">
      <c r="B20090" s="612"/>
      <c r="H20090" s="612"/>
    </row>
    <row r="20091">
      <c r="B20091" s="612"/>
      <c r="H20091" s="612"/>
    </row>
    <row r="20092">
      <c r="B20092" s="612"/>
      <c r="H20092" s="612"/>
    </row>
    <row r="20093">
      <c r="B20093" s="612"/>
      <c r="H20093" s="612"/>
    </row>
    <row r="20094">
      <c r="B20094" s="612"/>
      <c r="H20094" s="612"/>
    </row>
    <row r="20095">
      <c r="B20095" s="612"/>
      <c r="H20095" s="612"/>
    </row>
    <row r="20096">
      <c r="B20096" s="612"/>
      <c r="H20096" s="612"/>
    </row>
    <row r="20097">
      <c r="B20097" s="612"/>
      <c r="H20097" s="612"/>
    </row>
    <row r="20098">
      <c r="B20098" s="612"/>
      <c r="H20098" s="612"/>
    </row>
    <row r="20099">
      <c r="B20099" s="612"/>
      <c r="H20099" s="612"/>
    </row>
    <row r="20100">
      <c r="B20100" s="612"/>
      <c r="H20100" s="612"/>
    </row>
    <row r="20101">
      <c r="B20101" s="612"/>
      <c r="H20101" s="612"/>
    </row>
    <row r="20102">
      <c r="B20102" s="612"/>
      <c r="H20102" s="612"/>
    </row>
    <row r="20103">
      <c r="B20103" s="612"/>
      <c r="H20103" s="612"/>
    </row>
    <row r="20104">
      <c r="B20104" s="612"/>
      <c r="H20104" s="612"/>
    </row>
    <row r="20105">
      <c r="B20105" s="612"/>
      <c r="H20105" s="612"/>
    </row>
    <row r="20106">
      <c r="B20106" s="612"/>
      <c r="H20106" s="612"/>
    </row>
    <row r="20107">
      <c r="B20107" s="612"/>
      <c r="H20107" s="612"/>
    </row>
    <row r="20108">
      <c r="B20108" s="612"/>
      <c r="H20108" s="612"/>
    </row>
    <row r="20109">
      <c r="B20109" s="612"/>
      <c r="H20109" s="612"/>
    </row>
    <row r="20110">
      <c r="B20110" s="612"/>
      <c r="H20110" s="612"/>
    </row>
    <row r="20111">
      <c r="B20111" s="612"/>
      <c r="H20111" s="612"/>
    </row>
    <row r="20112">
      <c r="B20112" s="612"/>
      <c r="H20112" s="612"/>
    </row>
    <row r="20113">
      <c r="B20113" s="612"/>
      <c r="H20113" s="612"/>
    </row>
    <row r="20114">
      <c r="B20114" s="612"/>
      <c r="H20114" s="612"/>
    </row>
    <row r="20115">
      <c r="B20115" s="612"/>
      <c r="H20115" s="612"/>
    </row>
    <row r="20116">
      <c r="B20116" s="612"/>
      <c r="H20116" s="612"/>
    </row>
    <row r="20117">
      <c r="B20117" s="612"/>
      <c r="H20117" s="612"/>
    </row>
    <row r="20118">
      <c r="B20118" s="612"/>
      <c r="H20118" s="612"/>
    </row>
    <row r="20119">
      <c r="B20119" s="612"/>
      <c r="H20119" s="612"/>
    </row>
    <row r="20120">
      <c r="B20120" s="612"/>
      <c r="H20120" s="612"/>
    </row>
    <row r="20121">
      <c r="B20121" s="612"/>
      <c r="H20121" s="612"/>
    </row>
    <row r="20122">
      <c r="B20122" s="612"/>
      <c r="H20122" s="612"/>
    </row>
    <row r="20123">
      <c r="B20123" s="612"/>
      <c r="H20123" s="612"/>
    </row>
    <row r="20124">
      <c r="B20124" s="612"/>
      <c r="H20124" s="612"/>
    </row>
    <row r="20125">
      <c r="B20125" s="612"/>
      <c r="H20125" s="612"/>
    </row>
    <row r="20126">
      <c r="B20126" s="612"/>
      <c r="H20126" s="612"/>
    </row>
    <row r="20127">
      <c r="B20127" s="612"/>
      <c r="H20127" s="612"/>
    </row>
    <row r="20128">
      <c r="B20128" s="612"/>
      <c r="H20128" s="612"/>
    </row>
    <row r="20129">
      <c r="B20129" s="612"/>
      <c r="H20129" s="612"/>
    </row>
    <row r="20130">
      <c r="B20130" s="612"/>
      <c r="H20130" s="612"/>
    </row>
    <row r="20131">
      <c r="B20131" s="612"/>
      <c r="H20131" s="612"/>
    </row>
    <row r="20132">
      <c r="B20132" s="612"/>
      <c r="H20132" s="612"/>
    </row>
    <row r="20133">
      <c r="B20133" s="612"/>
      <c r="H20133" s="612"/>
    </row>
    <row r="20134">
      <c r="B20134" s="612"/>
      <c r="H20134" s="612"/>
    </row>
    <row r="20135">
      <c r="B20135" s="612"/>
      <c r="H20135" s="612"/>
    </row>
    <row r="20136">
      <c r="B20136" s="612"/>
      <c r="H20136" s="612"/>
    </row>
    <row r="20137">
      <c r="B20137" s="612"/>
      <c r="H20137" s="612"/>
    </row>
    <row r="20138">
      <c r="B20138" s="612"/>
      <c r="H20138" s="612"/>
    </row>
    <row r="20139">
      <c r="B20139" s="612"/>
      <c r="H20139" s="612"/>
    </row>
    <row r="20140">
      <c r="B20140" s="612"/>
      <c r="H20140" s="612"/>
    </row>
    <row r="20141">
      <c r="B20141" s="612"/>
      <c r="H20141" s="612"/>
    </row>
    <row r="20142">
      <c r="B20142" s="612"/>
      <c r="H20142" s="612"/>
    </row>
    <row r="20143">
      <c r="B20143" s="612"/>
      <c r="H20143" s="612"/>
    </row>
    <row r="20144">
      <c r="B20144" s="612"/>
      <c r="H20144" s="612"/>
    </row>
    <row r="20145">
      <c r="B20145" s="612"/>
      <c r="H20145" s="612"/>
    </row>
    <row r="20146">
      <c r="B20146" s="612"/>
      <c r="H20146" s="612"/>
    </row>
    <row r="20147">
      <c r="B20147" s="612"/>
      <c r="H20147" s="612"/>
    </row>
    <row r="20148">
      <c r="B20148" s="612"/>
      <c r="H20148" s="612"/>
    </row>
    <row r="20149">
      <c r="B20149" s="612"/>
      <c r="H20149" s="612"/>
    </row>
    <row r="20150">
      <c r="B20150" s="612"/>
      <c r="H20150" s="612"/>
    </row>
    <row r="20151">
      <c r="B20151" s="612"/>
      <c r="H20151" s="612"/>
    </row>
    <row r="20152">
      <c r="B20152" s="612"/>
      <c r="H20152" s="612"/>
    </row>
    <row r="20153">
      <c r="B20153" s="612"/>
      <c r="H20153" s="612"/>
    </row>
    <row r="20154">
      <c r="B20154" s="612"/>
      <c r="H20154" s="612"/>
    </row>
    <row r="20155">
      <c r="B20155" s="612"/>
      <c r="H20155" s="612"/>
    </row>
    <row r="20156">
      <c r="B20156" s="612"/>
      <c r="H20156" s="612"/>
    </row>
    <row r="20157">
      <c r="B20157" s="612"/>
      <c r="H20157" s="612"/>
    </row>
    <row r="20158">
      <c r="B20158" s="612"/>
      <c r="H20158" s="612"/>
    </row>
    <row r="20159">
      <c r="B20159" s="612"/>
      <c r="H20159" s="612"/>
    </row>
    <row r="20160">
      <c r="B20160" s="612"/>
      <c r="H20160" s="612"/>
    </row>
    <row r="20161">
      <c r="B20161" s="612"/>
      <c r="H20161" s="612"/>
    </row>
    <row r="20162">
      <c r="B20162" s="612"/>
      <c r="H20162" s="612"/>
    </row>
    <row r="20163">
      <c r="B20163" s="612"/>
      <c r="H20163" s="612"/>
    </row>
    <row r="20164">
      <c r="B20164" s="612"/>
      <c r="H20164" s="612"/>
    </row>
    <row r="20165">
      <c r="B20165" s="612"/>
      <c r="H20165" s="612"/>
    </row>
    <row r="20166">
      <c r="B20166" s="612"/>
      <c r="H20166" s="612"/>
    </row>
    <row r="20167">
      <c r="B20167" s="612"/>
      <c r="H20167" s="612"/>
    </row>
    <row r="20168">
      <c r="B20168" s="612"/>
      <c r="H20168" s="612"/>
    </row>
    <row r="20169">
      <c r="B20169" s="612"/>
      <c r="H20169" s="612"/>
    </row>
    <row r="20170">
      <c r="B20170" s="612"/>
      <c r="H20170" s="612"/>
    </row>
    <row r="20171">
      <c r="B20171" s="612"/>
      <c r="H20171" s="612"/>
    </row>
    <row r="20172">
      <c r="B20172" s="612"/>
      <c r="H20172" s="612"/>
    </row>
    <row r="20173">
      <c r="B20173" s="612"/>
      <c r="H20173" s="612"/>
    </row>
    <row r="20174">
      <c r="B20174" s="612"/>
      <c r="H20174" s="612"/>
    </row>
    <row r="20175">
      <c r="B20175" s="612"/>
      <c r="H20175" s="612"/>
    </row>
    <row r="20176">
      <c r="B20176" s="612"/>
      <c r="H20176" s="612"/>
    </row>
    <row r="20177">
      <c r="B20177" s="612"/>
      <c r="H20177" s="612"/>
    </row>
    <row r="20178">
      <c r="B20178" s="612"/>
      <c r="H20178" s="612"/>
    </row>
    <row r="20179">
      <c r="B20179" s="612"/>
      <c r="H20179" s="612"/>
    </row>
    <row r="20180">
      <c r="B20180" s="612"/>
      <c r="H20180" s="612"/>
    </row>
    <row r="20181">
      <c r="B20181" s="612"/>
      <c r="H20181" s="612"/>
    </row>
    <row r="20182">
      <c r="B20182" s="612"/>
      <c r="H20182" s="612"/>
    </row>
    <row r="20183">
      <c r="B20183" s="612"/>
      <c r="H20183" s="612"/>
    </row>
    <row r="20184">
      <c r="B20184" s="612"/>
      <c r="H20184" s="612"/>
    </row>
    <row r="20185">
      <c r="B20185" s="612"/>
      <c r="H20185" s="612"/>
    </row>
    <row r="20186">
      <c r="B20186" s="612"/>
      <c r="H20186" s="612"/>
    </row>
    <row r="20187">
      <c r="B20187" s="612"/>
      <c r="H20187" s="612"/>
    </row>
    <row r="20188">
      <c r="B20188" s="612"/>
      <c r="H20188" s="612"/>
    </row>
    <row r="20189">
      <c r="B20189" s="612"/>
      <c r="H20189" s="612"/>
    </row>
    <row r="20190">
      <c r="B20190" s="612"/>
      <c r="H20190" s="612"/>
    </row>
    <row r="20191">
      <c r="B20191" s="612"/>
      <c r="H20191" s="612"/>
    </row>
    <row r="20192">
      <c r="B20192" s="612"/>
      <c r="H20192" s="612"/>
    </row>
    <row r="20193">
      <c r="B20193" s="612"/>
      <c r="H20193" s="612"/>
    </row>
    <row r="20194">
      <c r="B20194" s="612"/>
      <c r="H20194" s="612"/>
    </row>
    <row r="20195">
      <c r="B20195" s="612"/>
      <c r="H20195" s="612"/>
    </row>
    <row r="20196">
      <c r="B20196" s="612"/>
      <c r="H20196" s="612"/>
    </row>
    <row r="20197">
      <c r="B20197" s="612"/>
      <c r="H20197" s="612"/>
    </row>
    <row r="20198">
      <c r="B20198" s="612"/>
      <c r="H20198" s="612"/>
    </row>
    <row r="20199">
      <c r="B20199" s="612"/>
      <c r="H20199" s="612"/>
    </row>
    <row r="20200">
      <c r="B20200" s="612"/>
      <c r="H20200" s="612"/>
    </row>
    <row r="20201">
      <c r="B20201" s="612"/>
      <c r="H20201" s="612"/>
    </row>
    <row r="20202">
      <c r="B20202" s="612"/>
      <c r="H20202" s="612"/>
    </row>
    <row r="20203">
      <c r="B20203" s="612"/>
      <c r="H20203" s="612"/>
    </row>
    <row r="20204">
      <c r="B20204" s="612"/>
      <c r="H20204" s="612"/>
    </row>
    <row r="20205">
      <c r="B20205" s="612"/>
      <c r="H20205" s="612"/>
    </row>
    <row r="20206">
      <c r="B20206" s="612"/>
      <c r="H20206" s="612"/>
    </row>
    <row r="20207">
      <c r="B20207" s="612"/>
      <c r="H20207" s="612"/>
    </row>
    <row r="20208">
      <c r="B20208" s="612"/>
      <c r="H20208" s="612"/>
    </row>
    <row r="20209">
      <c r="B20209" s="612"/>
      <c r="H20209" s="612"/>
    </row>
    <row r="20210">
      <c r="B20210" s="612"/>
      <c r="H20210" s="612"/>
    </row>
    <row r="20211">
      <c r="B20211" s="612"/>
      <c r="H20211" s="612"/>
    </row>
    <row r="20212">
      <c r="B20212" s="612"/>
      <c r="H20212" s="612"/>
    </row>
    <row r="20213">
      <c r="B20213" s="612"/>
      <c r="H20213" s="612"/>
    </row>
    <row r="20214">
      <c r="B20214" s="612"/>
      <c r="H20214" s="612"/>
    </row>
    <row r="20215">
      <c r="B20215" s="612"/>
      <c r="H20215" s="612"/>
    </row>
    <row r="20216">
      <c r="B20216" s="612"/>
      <c r="H20216" s="612"/>
    </row>
    <row r="20217">
      <c r="B20217" s="612"/>
      <c r="H20217" s="612"/>
    </row>
    <row r="20218">
      <c r="B20218" s="612"/>
      <c r="H20218" s="612"/>
    </row>
    <row r="20219">
      <c r="B20219" s="612"/>
      <c r="H20219" s="612"/>
    </row>
    <row r="20220">
      <c r="B20220" s="612"/>
      <c r="H20220" s="612"/>
    </row>
    <row r="20221">
      <c r="B20221" s="612"/>
      <c r="H20221" s="612"/>
    </row>
    <row r="20222">
      <c r="B20222" s="612"/>
      <c r="H20222" s="612"/>
    </row>
    <row r="20223">
      <c r="B20223" s="612"/>
      <c r="H20223" s="612"/>
    </row>
    <row r="20224">
      <c r="B20224" s="612"/>
      <c r="H20224" s="612"/>
    </row>
    <row r="20225">
      <c r="B20225" s="612"/>
      <c r="H20225" s="612"/>
    </row>
    <row r="20226">
      <c r="B20226" s="612"/>
      <c r="H20226" s="612"/>
    </row>
    <row r="20227">
      <c r="B20227" s="612"/>
      <c r="H20227" s="612"/>
    </row>
    <row r="20228">
      <c r="B20228" s="612"/>
      <c r="H20228" s="612"/>
    </row>
    <row r="20229">
      <c r="B20229" s="612"/>
      <c r="H20229" s="612"/>
    </row>
    <row r="20230">
      <c r="B20230" s="612"/>
      <c r="H20230" s="612"/>
    </row>
    <row r="20231">
      <c r="B20231" s="612"/>
      <c r="H20231" s="612"/>
    </row>
    <row r="20232">
      <c r="B20232" s="612"/>
      <c r="H20232" s="612"/>
    </row>
    <row r="20233">
      <c r="B20233" s="612"/>
      <c r="H20233" s="612"/>
    </row>
    <row r="20234">
      <c r="B20234" s="612"/>
      <c r="H20234" s="612"/>
    </row>
    <row r="20235">
      <c r="B20235" s="612"/>
      <c r="H20235" s="612"/>
    </row>
    <row r="20236">
      <c r="B20236" s="612"/>
      <c r="H20236" s="612"/>
    </row>
    <row r="20237">
      <c r="B20237" s="612"/>
      <c r="H20237" s="612"/>
    </row>
    <row r="20238">
      <c r="B20238" s="612"/>
      <c r="H20238" s="612"/>
    </row>
    <row r="20239">
      <c r="B20239" s="612"/>
      <c r="H20239" s="612"/>
    </row>
    <row r="20240">
      <c r="B20240" s="612"/>
      <c r="H20240" s="612"/>
    </row>
    <row r="20241">
      <c r="B20241" s="612"/>
      <c r="H20241" s="612"/>
    </row>
    <row r="20242">
      <c r="B20242" s="612"/>
      <c r="H20242" s="612"/>
    </row>
    <row r="20243">
      <c r="B20243" s="612"/>
      <c r="H20243" s="612"/>
    </row>
    <row r="20244">
      <c r="B20244" s="612"/>
      <c r="H20244" s="612"/>
    </row>
    <row r="20245">
      <c r="B20245" s="612"/>
      <c r="H20245" s="612"/>
    </row>
    <row r="20246">
      <c r="B20246" s="612"/>
      <c r="H20246" s="612"/>
    </row>
    <row r="20247">
      <c r="B20247" s="612"/>
      <c r="H20247" s="612"/>
    </row>
    <row r="20248">
      <c r="B20248" s="612"/>
      <c r="H20248" s="612"/>
    </row>
    <row r="20249">
      <c r="B20249" s="612"/>
      <c r="H20249" s="612"/>
    </row>
    <row r="20250">
      <c r="B20250" s="612"/>
      <c r="H20250" s="612"/>
    </row>
    <row r="20251">
      <c r="B20251" s="612"/>
      <c r="H20251" s="612"/>
    </row>
    <row r="20252">
      <c r="B20252" s="612"/>
      <c r="H20252" s="612"/>
    </row>
    <row r="20253">
      <c r="B20253" s="612"/>
      <c r="H20253" s="612"/>
    </row>
    <row r="20254">
      <c r="B20254" s="612"/>
      <c r="H20254" s="612"/>
    </row>
    <row r="20255">
      <c r="B20255" s="612"/>
      <c r="H20255" s="612"/>
    </row>
    <row r="20256">
      <c r="B20256" s="612"/>
      <c r="H20256" s="612"/>
    </row>
    <row r="20257">
      <c r="B20257" s="612"/>
      <c r="H20257" s="612"/>
    </row>
    <row r="20258">
      <c r="B20258" s="612"/>
      <c r="H20258" s="612"/>
    </row>
    <row r="20259">
      <c r="B20259" s="612"/>
      <c r="H20259" s="612"/>
    </row>
    <row r="20260">
      <c r="B20260" s="612"/>
      <c r="H20260" s="612"/>
    </row>
    <row r="20261">
      <c r="B20261" s="612"/>
      <c r="H20261" s="612"/>
    </row>
    <row r="20262">
      <c r="B20262" s="612"/>
      <c r="H20262" s="612"/>
    </row>
    <row r="20263">
      <c r="B20263" s="612"/>
      <c r="H20263" s="612"/>
    </row>
    <row r="20264">
      <c r="B20264" s="612"/>
      <c r="H20264" s="612"/>
    </row>
    <row r="20265">
      <c r="B20265" s="612"/>
      <c r="H20265" s="612"/>
    </row>
    <row r="20266">
      <c r="B20266" s="612"/>
      <c r="H20266" s="612"/>
    </row>
    <row r="20267">
      <c r="B20267" s="612"/>
      <c r="H20267" s="612"/>
    </row>
    <row r="20268">
      <c r="B20268" s="612"/>
      <c r="H20268" s="612"/>
    </row>
    <row r="20269">
      <c r="B20269" s="612"/>
      <c r="H20269" s="612"/>
    </row>
    <row r="20270">
      <c r="B20270" s="612"/>
      <c r="H20270" s="612"/>
    </row>
    <row r="20271">
      <c r="B20271" s="612"/>
      <c r="H20271" s="612"/>
    </row>
    <row r="20272">
      <c r="B20272" s="612"/>
      <c r="H20272" s="612"/>
    </row>
    <row r="20273">
      <c r="B20273" s="612"/>
      <c r="H20273" s="612"/>
    </row>
    <row r="20274">
      <c r="B20274" s="612"/>
      <c r="H20274" s="612"/>
    </row>
    <row r="20275">
      <c r="B20275" s="612"/>
      <c r="H20275" s="612"/>
    </row>
    <row r="20276">
      <c r="B20276" s="612"/>
      <c r="H20276" s="612"/>
    </row>
    <row r="20277">
      <c r="B20277" s="612"/>
      <c r="H20277" s="612"/>
    </row>
    <row r="20278">
      <c r="B20278" s="612"/>
      <c r="H20278" s="612"/>
    </row>
    <row r="20279">
      <c r="B20279" s="612"/>
      <c r="H20279" s="612"/>
    </row>
    <row r="20280">
      <c r="B20280" s="612"/>
      <c r="H20280" s="612"/>
    </row>
    <row r="20281">
      <c r="B20281" s="612"/>
      <c r="H20281" s="612"/>
    </row>
    <row r="20282">
      <c r="B20282" s="612"/>
      <c r="H20282" s="612"/>
    </row>
    <row r="20283">
      <c r="B20283" s="612"/>
      <c r="H20283" s="612"/>
    </row>
    <row r="20284">
      <c r="B20284" s="612"/>
      <c r="H20284" s="612"/>
    </row>
    <row r="20285">
      <c r="B20285" s="612"/>
      <c r="H20285" s="612"/>
    </row>
    <row r="20286">
      <c r="B20286" s="612"/>
      <c r="H20286" s="612"/>
    </row>
    <row r="20287">
      <c r="B20287" s="612"/>
      <c r="H20287" s="612"/>
    </row>
    <row r="20288">
      <c r="B20288" s="612"/>
      <c r="H20288" s="612"/>
    </row>
    <row r="20289">
      <c r="B20289" s="612"/>
      <c r="H20289" s="612"/>
    </row>
    <row r="20290">
      <c r="B20290" s="612"/>
      <c r="H20290" s="612"/>
    </row>
    <row r="20291">
      <c r="B20291" s="612"/>
      <c r="H20291" s="612"/>
    </row>
    <row r="20292">
      <c r="B20292" s="612"/>
      <c r="H20292" s="612"/>
    </row>
    <row r="20293">
      <c r="B20293" s="612"/>
      <c r="H20293" s="612"/>
    </row>
    <row r="20294">
      <c r="B20294" s="612"/>
      <c r="H20294" s="612"/>
    </row>
    <row r="20295">
      <c r="B20295" s="612"/>
      <c r="H20295" s="612"/>
    </row>
    <row r="20296">
      <c r="B20296" s="612"/>
      <c r="H20296" s="612"/>
    </row>
    <row r="20297">
      <c r="B20297" s="612"/>
      <c r="H20297" s="612"/>
    </row>
    <row r="20298">
      <c r="B20298" s="612"/>
      <c r="H20298" s="612"/>
    </row>
    <row r="20299">
      <c r="B20299" s="612"/>
      <c r="H20299" s="612"/>
    </row>
    <row r="20300">
      <c r="B20300" s="612"/>
      <c r="H20300" s="612"/>
    </row>
    <row r="20301">
      <c r="B20301" s="612"/>
      <c r="H20301" s="612"/>
    </row>
    <row r="20302">
      <c r="B20302" s="612"/>
      <c r="H20302" s="612"/>
    </row>
    <row r="20303">
      <c r="B20303" s="612"/>
      <c r="H20303" s="612"/>
    </row>
    <row r="20304">
      <c r="B20304" s="612"/>
      <c r="H20304" s="612"/>
    </row>
    <row r="20305">
      <c r="B20305" s="612"/>
      <c r="H20305" s="612"/>
    </row>
    <row r="20306">
      <c r="B20306" s="612"/>
      <c r="H20306" s="612"/>
    </row>
    <row r="20307">
      <c r="B20307" s="612"/>
      <c r="H20307" s="612"/>
    </row>
    <row r="20308">
      <c r="B20308" s="612"/>
      <c r="H20308" s="612"/>
    </row>
    <row r="20309">
      <c r="B20309" s="612"/>
      <c r="H20309" s="612"/>
    </row>
    <row r="20310">
      <c r="B20310" s="612"/>
      <c r="H20310" s="612"/>
    </row>
    <row r="20311">
      <c r="B20311" s="612"/>
      <c r="H20311" s="612"/>
    </row>
    <row r="20312">
      <c r="B20312" s="612"/>
      <c r="H20312" s="612"/>
    </row>
    <row r="20313">
      <c r="B20313" s="612"/>
      <c r="H20313" s="612"/>
    </row>
    <row r="20314">
      <c r="B20314" s="612"/>
      <c r="H20314" s="612"/>
    </row>
    <row r="20315">
      <c r="B20315" s="612"/>
      <c r="H20315" s="612"/>
    </row>
    <row r="20316">
      <c r="B20316" s="612"/>
      <c r="H20316" s="612"/>
    </row>
    <row r="20317">
      <c r="B20317" s="612"/>
      <c r="H20317" s="612"/>
    </row>
    <row r="20318">
      <c r="B20318" s="612"/>
      <c r="H20318" s="612"/>
    </row>
    <row r="20319">
      <c r="B20319" s="612"/>
      <c r="H20319" s="612"/>
    </row>
    <row r="20320">
      <c r="B20320" s="612"/>
      <c r="H20320" s="612"/>
    </row>
    <row r="20321">
      <c r="B20321" s="612"/>
      <c r="H20321" s="612"/>
    </row>
    <row r="20322">
      <c r="B20322" s="612"/>
      <c r="H20322" s="612"/>
    </row>
    <row r="20323">
      <c r="B20323" s="612"/>
      <c r="H20323" s="612"/>
    </row>
    <row r="20324">
      <c r="B20324" s="612"/>
      <c r="H20324" s="612"/>
    </row>
    <row r="20325">
      <c r="B20325" s="612"/>
      <c r="H20325" s="612"/>
    </row>
    <row r="20326">
      <c r="B20326" s="612"/>
      <c r="H20326" s="612"/>
    </row>
    <row r="20327">
      <c r="B20327" s="612"/>
      <c r="H20327" s="612"/>
    </row>
    <row r="20328">
      <c r="B20328" s="612"/>
      <c r="H20328" s="612"/>
    </row>
    <row r="20329">
      <c r="B20329" s="612"/>
      <c r="H20329" s="612"/>
    </row>
    <row r="20330">
      <c r="B20330" s="612"/>
      <c r="H20330" s="612"/>
    </row>
    <row r="20331">
      <c r="B20331" s="612"/>
      <c r="H20331" s="612"/>
    </row>
    <row r="20332">
      <c r="B20332" s="612"/>
      <c r="H20332" s="612"/>
    </row>
    <row r="20333">
      <c r="B20333" s="612"/>
      <c r="H20333" s="612"/>
    </row>
    <row r="20334">
      <c r="B20334" s="612"/>
      <c r="H20334" s="612"/>
    </row>
    <row r="20335">
      <c r="B20335" s="612"/>
      <c r="H20335" s="612"/>
    </row>
    <row r="20336">
      <c r="B20336" s="612"/>
      <c r="H20336" s="612"/>
    </row>
    <row r="20337">
      <c r="B20337" s="612"/>
      <c r="H20337" s="612"/>
    </row>
    <row r="20338">
      <c r="B20338" s="612"/>
      <c r="H20338" s="612"/>
    </row>
    <row r="20339">
      <c r="B20339" s="612"/>
      <c r="H20339" s="612"/>
    </row>
    <row r="20340">
      <c r="B20340" s="612"/>
      <c r="H20340" s="612"/>
    </row>
    <row r="20341">
      <c r="B20341" s="612"/>
      <c r="H20341" s="612"/>
    </row>
    <row r="20342">
      <c r="B20342" s="612"/>
      <c r="H20342" s="612"/>
    </row>
    <row r="20343">
      <c r="B20343" s="612"/>
      <c r="H20343" s="612"/>
    </row>
    <row r="20344">
      <c r="B20344" s="612"/>
      <c r="H20344" s="612"/>
    </row>
    <row r="20345">
      <c r="B20345" s="612"/>
      <c r="H20345" s="612"/>
    </row>
    <row r="20346">
      <c r="B20346" s="612"/>
      <c r="H20346" s="612"/>
    </row>
    <row r="20347">
      <c r="B20347" s="612"/>
      <c r="H20347" s="612"/>
    </row>
    <row r="20348">
      <c r="B20348" s="612"/>
      <c r="H20348" s="612"/>
    </row>
    <row r="20349">
      <c r="B20349" s="612"/>
      <c r="H20349" s="612"/>
    </row>
    <row r="20350">
      <c r="B20350" s="612"/>
      <c r="H20350" s="612"/>
    </row>
    <row r="20351">
      <c r="B20351" s="612"/>
      <c r="H20351" s="612"/>
    </row>
    <row r="20352">
      <c r="B20352" s="612"/>
      <c r="H20352" s="612"/>
    </row>
    <row r="20353">
      <c r="B20353" s="612"/>
      <c r="H20353" s="612"/>
    </row>
    <row r="20354">
      <c r="B20354" s="612"/>
      <c r="H20354" s="612"/>
    </row>
    <row r="20355">
      <c r="B20355" s="612"/>
      <c r="H20355" s="612"/>
    </row>
    <row r="20356">
      <c r="B20356" s="612"/>
      <c r="H20356" s="612"/>
    </row>
    <row r="20357">
      <c r="B20357" s="612"/>
      <c r="H20357" s="612"/>
    </row>
    <row r="20358">
      <c r="B20358" s="612"/>
      <c r="H20358" s="612"/>
    </row>
    <row r="20359">
      <c r="B20359" s="612"/>
      <c r="H20359" s="612"/>
    </row>
    <row r="20360">
      <c r="B20360" s="612"/>
      <c r="H20360" s="612"/>
    </row>
    <row r="20361">
      <c r="B20361" s="612"/>
      <c r="H20361" s="612"/>
    </row>
    <row r="20362">
      <c r="B20362" s="612"/>
      <c r="H20362" s="612"/>
    </row>
    <row r="20363">
      <c r="B20363" s="612"/>
      <c r="H20363" s="612"/>
    </row>
    <row r="20364">
      <c r="B20364" s="612"/>
      <c r="H20364" s="612"/>
    </row>
    <row r="20365">
      <c r="B20365" s="612"/>
      <c r="H20365" s="612"/>
    </row>
    <row r="20366">
      <c r="B20366" s="612"/>
      <c r="H20366" s="612"/>
    </row>
    <row r="20367">
      <c r="B20367" s="612"/>
      <c r="H20367" s="612"/>
    </row>
    <row r="20368">
      <c r="B20368" s="612"/>
      <c r="H20368" s="612"/>
    </row>
    <row r="20369">
      <c r="B20369" s="612"/>
      <c r="H20369" s="612"/>
    </row>
    <row r="20370">
      <c r="B20370" s="612"/>
      <c r="H20370" s="612"/>
    </row>
    <row r="20371">
      <c r="B20371" s="612"/>
      <c r="H20371" s="612"/>
    </row>
    <row r="20372">
      <c r="B20372" s="612"/>
      <c r="H20372" s="612"/>
    </row>
    <row r="20373">
      <c r="B20373" s="612"/>
      <c r="H20373" s="612"/>
    </row>
    <row r="20374">
      <c r="B20374" s="612"/>
      <c r="H20374" s="612"/>
    </row>
    <row r="20375">
      <c r="B20375" s="612"/>
      <c r="H20375" s="612"/>
    </row>
    <row r="20376">
      <c r="B20376" s="612"/>
      <c r="H20376" s="612"/>
    </row>
    <row r="20377">
      <c r="B20377" s="612"/>
      <c r="H20377" s="612"/>
    </row>
    <row r="20378">
      <c r="B20378" s="612"/>
      <c r="H20378" s="612"/>
    </row>
    <row r="20379">
      <c r="B20379" s="612"/>
      <c r="H20379" s="612"/>
    </row>
    <row r="20380">
      <c r="B20380" s="612"/>
      <c r="H20380" s="612"/>
    </row>
    <row r="20381">
      <c r="B20381" s="612"/>
      <c r="H20381" s="612"/>
    </row>
    <row r="20382">
      <c r="B20382" s="612"/>
      <c r="H20382" s="612"/>
    </row>
    <row r="20383">
      <c r="B20383" s="612"/>
      <c r="H20383" s="612"/>
    </row>
    <row r="20384">
      <c r="B20384" s="612"/>
      <c r="H20384" s="612"/>
    </row>
    <row r="20385">
      <c r="B20385" s="612"/>
      <c r="H20385" s="612"/>
    </row>
    <row r="20386">
      <c r="B20386" s="612"/>
      <c r="H20386" s="612"/>
    </row>
    <row r="20387">
      <c r="B20387" s="612"/>
      <c r="H20387" s="612"/>
    </row>
    <row r="20388">
      <c r="B20388" s="612"/>
      <c r="H20388" s="612"/>
    </row>
    <row r="20389">
      <c r="B20389" s="612"/>
      <c r="H20389" s="612"/>
    </row>
    <row r="20390">
      <c r="B20390" s="612"/>
      <c r="H20390" s="612"/>
    </row>
    <row r="20391">
      <c r="B20391" s="612"/>
      <c r="H20391" s="612"/>
    </row>
    <row r="20392">
      <c r="B20392" s="612"/>
      <c r="H20392" s="612"/>
    </row>
    <row r="20393">
      <c r="B20393" s="612"/>
      <c r="H20393" s="612"/>
    </row>
    <row r="20394">
      <c r="B20394" s="612"/>
      <c r="H20394" s="612"/>
    </row>
    <row r="20395">
      <c r="B20395" s="612"/>
      <c r="H20395" s="612"/>
    </row>
    <row r="20396">
      <c r="B20396" s="612"/>
      <c r="H20396" s="612"/>
    </row>
    <row r="20397">
      <c r="B20397" s="612"/>
      <c r="H20397" s="612"/>
    </row>
    <row r="20398">
      <c r="B20398" s="612"/>
      <c r="H20398" s="612"/>
    </row>
    <row r="20399">
      <c r="B20399" s="612"/>
      <c r="H20399" s="612"/>
    </row>
    <row r="20400">
      <c r="B20400" s="612"/>
      <c r="H20400" s="612"/>
    </row>
    <row r="20401">
      <c r="B20401" s="612"/>
      <c r="H20401" s="612"/>
    </row>
    <row r="20402">
      <c r="B20402" s="612"/>
      <c r="H20402" s="612"/>
    </row>
    <row r="20403">
      <c r="B20403" s="612"/>
      <c r="H20403" s="612"/>
    </row>
    <row r="20404">
      <c r="B20404" s="612"/>
      <c r="H20404" s="612"/>
    </row>
    <row r="20405">
      <c r="B20405" s="612"/>
      <c r="H20405" s="612"/>
    </row>
    <row r="20406">
      <c r="B20406" s="612"/>
      <c r="H20406" s="612"/>
    </row>
    <row r="20407">
      <c r="B20407" s="612"/>
      <c r="H20407" s="612"/>
    </row>
    <row r="20408">
      <c r="B20408" s="612"/>
      <c r="H20408" s="612"/>
    </row>
    <row r="20409">
      <c r="B20409" s="612"/>
      <c r="H20409" s="612"/>
    </row>
    <row r="20410">
      <c r="B20410" s="612"/>
      <c r="H20410" s="612"/>
    </row>
    <row r="20411">
      <c r="B20411" s="612"/>
      <c r="H20411" s="612"/>
    </row>
    <row r="20412">
      <c r="B20412" s="612"/>
      <c r="H20412" s="612"/>
    </row>
    <row r="20413">
      <c r="B20413" s="612"/>
      <c r="H20413" s="612"/>
    </row>
    <row r="20414">
      <c r="B20414" s="612"/>
      <c r="H20414" s="612"/>
    </row>
    <row r="20415">
      <c r="B20415" s="612"/>
      <c r="H20415" s="612"/>
    </row>
    <row r="20416">
      <c r="B20416" s="612"/>
      <c r="H20416" s="612"/>
    </row>
    <row r="20417">
      <c r="B20417" s="612"/>
      <c r="H20417" s="612"/>
    </row>
    <row r="20418">
      <c r="B20418" s="612"/>
      <c r="H20418" s="612"/>
    </row>
    <row r="20419">
      <c r="B20419" s="612"/>
      <c r="H20419" s="612"/>
    </row>
    <row r="20420">
      <c r="B20420" s="612"/>
      <c r="H20420" s="612"/>
    </row>
    <row r="20421">
      <c r="B20421" s="612"/>
      <c r="H20421" s="612"/>
    </row>
    <row r="20422">
      <c r="B20422" s="612"/>
      <c r="H20422" s="612"/>
    </row>
    <row r="20423">
      <c r="B20423" s="612"/>
      <c r="H20423" s="612"/>
    </row>
    <row r="20424">
      <c r="B20424" s="612"/>
      <c r="H20424" s="612"/>
    </row>
    <row r="20425">
      <c r="B20425" s="612"/>
      <c r="H20425" s="612"/>
    </row>
    <row r="20426">
      <c r="B20426" s="612"/>
      <c r="H20426" s="612"/>
    </row>
    <row r="20427">
      <c r="B20427" s="612"/>
      <c r="H20427" s="612"/>
    </row>
    <row r="20428">
      <c r="B20428" s="612"/>
      <c r="H20428" s="612"/>
    </row>
    <row r="20429">
      <c r="B20429" s="612"/>
      <c r="H20429" s="612"/>
    </row>
    <row r="20430">
      <c r="B20430" s="612"/>
      <c r="H20430" s="612"/>
    </row>
    <row r="20431">
      <c r="B20431" s="612"/>
      <c r="H20431" s="612"/>
    </row>
    <row r="20432">
      <c r="B20432" s="612"/>
      <c r="H20432" s="612"/>
    </row>
    <row r="20433">
      <c r="B20433" s="612"/>
      <c r="H20433" s="612"/>
    </row>
    <row r="20434">
      <c r="B20434" s="612"/>
      <c r="H20434" s="612"/>
    </row>
    <row r="20435">
      <c r="B20435" s="612"/>
      <c r="H20435" s="612"/>
    </row>
    <row r="20436">
      <c r="B20436" s="612"/>
      <c r="H20436" s="612"/>
    </row>
    <row r="20437">
      <c r="B20437" s="612"/>
      <c r="H20437" s="612"/>
    </row>
    <row r="20438">
      <c r="B20438" s="612"/>
      <c r="H20438" s="612"/>
    </row>
    <row r="20439">
      <c r="B20439" s="612"/>
      <c r="H20439" s="612"/>
    </row>
    <row r="20440">
      <c r="B20440" s="612"/>
      <c r="H20440" s="612"/>
    </row>
    <row r="20441">
      <c r="B20441" s="612"/>
      <c r="H20441" s="612"/>
    </row>
    <row r="20442">
      <c r="B20442" s="612"/>
      <c r="H20442" s="612"/>
    </row>
    <row r="20443">
      <c r="B20443" s="612"/>
      <c r="H20443" s="612"/>
    </row>
    <row r="20444">
      <c r="B20444" s="612"/>
      <c r="H20444" s="612"/>
    </row>
    <row r="20445">
      <c r="B20445" s="612"/>
      <c r="H20445" s="612"/>
    </row>
    <row r="20446">
      <c r="B20446" s="612"/>
      <c r="H20446" s="612"/>
    </row>
    <row r="20447">
      <c r="B20447" s="612"/>
      <c r="H20447" s="612"/>
    </row>
    <row r="20448">
      <c r="B20448" s="612"/>
      <c r="H20448" s="612"/>
    </row>
    <row r="20449">
      <c r="B20449" s="612"/>
      <c r="H20449" s="612"/>
    </row>
    <row r="20450">
      <c r="B20450" s="612"/>
      <c r="H20450" s="612"/>
    </row>
    <row r="20451">
      <c r="B20451" s="612"/>
      <c r="H20451" s="612"/>
    </row>
    <row r="20452">
      <c r="B20452" s="612"/>
      <c r="H20452" s="612"/>
    </row>
    <row r="20453">
      <c r="B20453" s="612"/>
      <c r="H20453" s="612"/>
    </row>
    <row r="20454">
      <c r="B20454" s="612"/>
      <c r="H20454" s="612"/>
    </row>
    <row r="20455">
      <c r="B20455" s="612"/>
      <c r="H20455" s="612"/>
    </row>
    <row r="20456">
      <c r="B20456" s="612"/>
      <c r="H20456" s="612"/>
    </row>
    <row r="20457">
      <c r="B20457" s="612"/>
      <c r="H20457" s="612"/>
    </row>
    <row r="20458">
      <c r="B20458" s="612"/>
      <c r="H20458" s="612"/>
    </row>
    <row r="20459">
      <c r="B20459" s="612"/>
      <c r="H20459" s="612"/>
    </row>
    <row r="20460">
      <c r="B20460" s="612"/>
      <c r="H20460" s="612"/>
    </row>
    <row r="20461">
      <c r="B20461" s="612"/>
      <c r="H20461" s="612"/>
    </row>
    <row r="20462">
      <c r="B20462" s="612"/>
      <c r="H20462" s="612"/>
    </row>
    <row r="20463">
      <c r="B20463" s="612"/>
      <c r="H20463" s="612"/>
    </row>
    <row r="20464">
      <c r="B20464" s="612"/>
      <c r="H20464" s="612"/>
    </row>
    <row r="20465">
      <c r="B20465" s="612"/>
      <c r="H20465" s="612"/>
    </row>
    <row r="20466">
      <c r="B20466" s="612"/>
      <c r="H20466" s="612"/>
    </row>
    <row r="20467">
      <c r="B20467" s="612"/>
      <c r="H20467" s="612"/>
    </row>
    <row r="20468">
      <c r="B20468" s="612"/>
      <c r="H20468" s="612"/>
    </row>
    <row r="20469">
      <c r="B20469" s="612"/>
      <c r="H20469" s="612"/>
    </row>
    <row r="20470">
      <c r="B20470" s="612"/>
      <c r="H20470" s="612"/>
    </row>
    <row r="20471">
      <c r="B20471" s="612"/>
      <c r="H20471" s="612"/>
    </row>
    <row r="20472">
      <c r="B20472" s="612"/>
      <c r="H20472" s="612"/>
    </row>
    <row r="20473">
      <c r="B20473" s="612"/>
      <c r="H20473" s="612"/>
    </row>
    <row r="20474">
      <c r="B20474" s="612"/>
      <c r="H20474" s="612"/>
    </row>
    <row r="20475">
      <c r="B20475" s="612"/>
      <c r="H20475" s="612"/>
    </row>
    <row r="20476">
      <c r="B20476" s="612"/>
      <c r="H20476" s="612"/>
    </row>
    <row r="20477">
      <c r="B20477" s="612"/>
      <c r="H20477" s="612"/>
    </row>
    <row r="20478">
      <c r="B20478" s="612"/>
      <c r="H20478" s="612"/>
    </row>
    <row r="20479">
      <c r="B20479" s="612"/>
      <c r="H20479" s="612"/>
    </row>
    <row r="20480">
      <c r="B20480" s="612"/>
      <c r="H20480" s="612"/>
    </row>
    <row r="20481">
      <c r="B20481" s="612"/>
      <c r="H20481" s="612"/>
    </row>
    <row r="20482">
      <c r="B20482" s="612"/>
      <c r="H20482" s="612"/>
    </row>
    <row r="20483">
      <c r="B20483" s="612"/>
      <c r="H20483" s="612"/>
    </row>
    <row r="20484">
      <c r="B20484" s="612"/>
      <c r="H20484" s="612"/>
    </row>
    <row r="20485">
      <c r="B20485" s="612"/>
      <c r="H20485" s="612"/>
    </row>
    <row r="20486">
      <c r="B20486" s="612"/>
      <c r="H20486" s="612"/>
    </row>
    <row r="20487">
      <c r="B20487" s="612"/>
      <c r="H20487" s="612"/>
    </row>
    <row r="20488">
      <c r="B20488" s="612"/>
      <c r="H20488" s="612"/>
    </row>
    <row r="20489">
      <c r="B20489" s="612"/>
      <c r="H20489" s="612"/>
    </row>
    <row r="20490">
      <c r="B20490" s="612"/>
      <c r="H20490" s="612"/>
    </row>
    <row r="20491">
      <c r="B20491" s="612"/>
      <c r="H20491" s="612"/>
    </row>
    <row r="20492">
      <c r="B20492" s="612"/>
      <c r="H20492" s="612"/>
    </row>
    <row r="20493">
      <c r="B20493" s="612"/>
      <c r="H20493" s="612"/>
    </row>
    <row r="20494">
      <c r="B20494" s="612"/>
      <c r="H20494" s="612"/>
    </row>
    <row r="20495">
      <c r="B20495" s="612"/>
      <c r="H20495" s="612"/>
    </row>
    <row r="20496">
      <c r="B20496" s="612"/>
      <c r="H20496" s="612"/>
    </row>
    <row r="20497">
      <c r="B20497" s="612"/>
      <c r="H20497" s="612"/>
    </row>
    <row r="20498">
      <c r="B20498" s="612"/>
      <c r="H20498" s="612"/>
    </row>
    <row r="20499">
      <c r="B20499" s="612"/>
      <c r="H20499" s="612"/>
    </row>
    <row r="20500">
      <c r="B20500" s="612"/>
      <c r="H20500" s="612"/>
    </row>
    <row r="20501">
      <c r="B20501" s="612"/>
      <c r="H20501" s="612"/>
    </row>
    <row r="20502">
      <c r="B20502" s="612"/>
      <c r="H20502" s="612"/>
    </row>
    <row r="20503">
      <c r="B20503" s="612"/>
      <c r="H20503" s="612"/>
    </row>
    <row r="20504">
      <c r="B20504" s="612"/>
      <c r="H20504" s="612"/>
    </row>
    <row r="20505">
      <c r="B20505" s="612"/>
      <c r="H20505" s="612"/>
    </row>
    <row r="20506">
      <c r="B20506" s="612"/>
      <c r="H20506" s="612"/>
    </row>
    <row r="20507">
      <c r="B20507" s="612"/>
      <c r="H20507" s="612"/>
    </row>
    <row r="20508">
      <c r="B20508" s="612"/>
      <c r="H20508" s="612"/>
    </row>
    <row r="20509">
      <c r="B20509" s="612"/>
      <c r="H20509" s="612"/>
    </row>
    <row r="20510">
      <c r="B20510" s="612"/>
      <c r="H20510" s="612"/>
    </row>
    <row r="20511">
      <c r="B20511" s="612"/>
      <c r="H20511" s="612"/>
    </row>
    <row r="20512">
      <c r="B20512" s="612"/>
      <c r="H20512" s="612"/>
    </row>
    <row r="20513">
      <c r="B20513" s="612"/>
      <c r="H20513" s="612"/>
    </row>
    <row r="20514">
      <c r="B20514" s="612"/>
      <c r="H20514" s="612"/>
    </row>
    <row r="20515">
      <c r="B20515" s="612"/>
      <c r="H20515" s="612"/>
    </row>
    <row r="20516">
      <c r="B20516" s="612"/>
      <c r="H20516" s="612"/>
    </row>
    <row r="20517">
      <c r="B20517" s="612"/>
      <c r="H20517" s="612"/>
    </row>
    <row r="20518">
      <c r="B20518" s="612"/>
      <c r="H20518" s="612"/>
    </row>
    <row r="20519">
      <c r="B20519" s="612"/>
      <c r="H20519" s="612"/>
    </row>
    <row r="20520">
      <c r="B20520" s="612"/>
      <c r="H20520" s="612"/>
    </row>
    <row r="20521">
      <c r="B20521" s="612"/>
      <c r="H20521" s="612"/>
    </row>
    <row r="20522">
      <c r="B20522" s="612"/>
      <c r="H20522" s="612"/>
    </row>
    <row r="20523">
      <c r="B20523" s="612"/>
      <c r="H20523" s="612"/>
    </row>
    <row r="20524">
      <c r="B20524" s="612"/>
      <c r="H20524" s="612"/>
    </row>
    <row r="20525">
      <c r="B20525" s="612"/>
      <c r="H20525" s="612"/>
    </row>
    <row r="20526">
      <c r="B20526" s="612"/>
      <c r="H20526" s="612"/>
    </row>
    <row r="20527">
      <c r="B20527" s="612"/>
      <c r="H20527" s="612"/>
    </row>
    <row r="20528">
      <c r="B20528" s="612"/>
      <c r="H20528" s="612"/>
    </row>
    <row r="20529">
      <c r="B20529" s="612"/>
      <c r="H20529" s="612"/>
    </row>
    <row r="20530">
      <c r="B20530" s="612"/>
      <c r="H20530" s="612"/>
    </row>
    <row r="20531">
      <c r="B20531" s="612"/>
      <c r="H20531" s="612"/>
    </row>
    <row r="20532">
      <c r="B20532" s="612"/>
      <c r="H20532" s="612"/>
    </row>
    <row r="20533">
      <c r="B20533" s="612"/>
      <c r="H20533" s="612"/>
    </row>
    <row r="20534">
      <c r="B20534" s="612"/>
      <c r="H20534" s="612"/>
    </row>
    <row r="20535">
      <c r="B20535" s="612"/>
      <c r="H20535" s="612"/>
    </row>
    <row r="20536">
      <c r="B20536" s="612"/>
      <c r="H20536" s="612"/>
    </row>
    <row r="20537">
      <c r="B20537" s="612"/>
      <c r="H20537" s="612"/>
    </row>
    <row r="20538">
      <c r="B20538" s="612"/>
      <c r="H20538" s="612"/>
    </row>
    <row r="20539">
      <c r="B20539" s="612"/>
      <c r="H20539" s="612"/>
    </row>
    <row r="20540">
      <c r="B20540" s="612"/>
      <c r="H20540" s="612"/>
    </row>
    <row r="20541">
      <c r="B20541" s="612"/>
      <c r="H20541" s="612"/>
    </row>
    <row r="20542">
      <c r="B20542" s="612"/>
      <c r="H20542" s="612"/>
    </row>
    <row r="20543">
      <c r="B20543" s="612"/>
      <c r="H20543" s="612"/>
    </row>
    <row r="20544">
      <c r="B20544" s="612"/>
      <c r="H20544" s="612"/>
    </row>
    <row r="20545">
      <c r="B20545" s="612"/>
      <c r="H20545" s="612"/>
    </row>
    <row r="20546">
      <c r="B20546" s="612"/>
      <c r="H20546" s="612"/>
    </row>
    <row r="20547">
      <c r="B20547" s="612"/>
      <c r="H20547" s="612"/>
    </row>
    <row r="20548">
      <c r="B20548" s="612"/>
      <c r="H20548" s="612"/>
    </row>
    <row r="20549">
      <c r="B20549" s="612"/>
      <c r="H20549" s="612"/>
    </row>
    <row r="20550">
      <c r="B20550" s="612"/>
      <c r="H20550" s="612"/>
    </row>
    <row r="20551">
      <c r="B20551" s="612"/>
      <c r="H20551" s="612"/>
    </row>
    <row r="20552">
      <c r="B20552" s="612"/>
      <c r="H20552" s="612"/>
    </row>
    <row r="20553">
      <c r="B20553" s="612"/>
      <c r="H20553" s="612"/>
    </row>
    <row r="20554">
      <c r="B20554" s="612"/>
      <c r="H20554" s="612"/>
    </row>
    <row r="20555">
      <c r="B20555" s="612"/>
      <c r="H20555" s="612"/>
    </row>
    <row r="20556">
      <c r="B20556" s="612"/>
      <c r="H20556" s="612"/>
    </row>
    <row r="20557">
      <c r="B20557" s="612"/>
      <c r="H20557" s="612"/>
    </row>
    <row r="20558">
      <c r="B20558" s="612"/>
      <c r="H20558" s="612"/>
    </row>
    <row r="20559">
      <c r="B20559" s="612"/>
      <c r="H20559" s="612"/>
    </row>
    <row r="20560">
      <c r="B20560" s="612"/>
      <c r="H20560" s="612"/>
    </row>
    <row r="20561">
      <c r="B20561" s="612"/>
      <c r="H20561" s="612"/>
    </row>
    <row r="20562">
      <c r="B20562" s="612"/>
      <c r="H20562" s="612"/>
    </row>
    <row r="20563">
      <c r="B20563" s="612"/>
      <c r="H20563" s="612"/>
    </row>
    <row r="20564">
      <c r="B20564" s="612"/>
      <c r="H20564" s="612"/>
    </row>
    <row r="20565">
      <c r="B20565" s="612"/>
      <c r="H20565" s="612"/>
    </row>
    <row r="20566">
      <c r="B20566" s="612"/>
      <c r="H20566" s="612"/>
    </row>
    <row r="20567">
      <c r="B20567" s="612"/>
      <c r="H20567" s="612"/>
    </row>
    <row r="20568">
      <c r="B20568" s="612"/>
      <c r="H20568" s="612"/>
    </row>
    <row r="20569">
      <c r="B20569" s="612"/>
      <c r="H20569" s="612"/>
    </row>
    <row r="20570">
      <c r="B20570" s="612"/>
      <c r="H20570" s="612"/>
    </row>
    <row r="20571">
      <c r="B20571" s="612"/>
      <c r="H20571" s="612"/>
    </row>
    <row r="20572">
      <c r="B20572" s="612"/>
      <c r="H20572" s="612"/>
    </row>
    <row r="20573">
      <c r="B20573" s="612"/>
      <c r="H20573" s="612"/>
    </row>
    <row r="20574">
      <c r="B20574" s="612"/>
      <c r="H20574" s="612"/>
    </row>
    <row r="20575">
      <c r="B20575" s="612"/>
      <c r="H20575" s="612"/>
    </row>
    <row r="20576">
      <c r="B20576" s="612"/>
      <c r="H20576" s="612"/>
    </row>
    <row r="20577">
      <c r="B20577" s="612"/>
      <c r="H20577" s="612"/>
    </row>
    <row r="20578">
      <c r="B20578" s="612"/>
      <c r="H20578" s="612"/>
    </row>
    <row r="20579">
      <c r="B20579" s="612"/>
      <c r="H20579" s="612"/>
    </row>
    <row r="20580">
      <c r="B20580" s="612"/>
      <c r="H20580" s="612"/>
    </row>
    <row r="20581">
      <c r="B20581" s="612"/>
      <c r="H20581" s="612"/>
    </row>
    <row r="20582">
      <c r="B20582" s="612"/>
      <c r="H20582" s="612"/>
    </row>
    <row r="20583">
      <c r="B20583" s="612"/>
      <c r="H20583" s="612"/>
    </row>
    <row r="20584">
      <c r="B20584" s="612"/>
      <c r="H20584" s="612"/>
    </row>
    <row r="20585">
      <c r="B20585" s="612"/>
      <c r="H20585" s="612"/>
    </row>
    <row r="20586">
      <c r="B20586" s="612"/>
      <c r="H20586" s="612"/>
    </row>
    <row r="20587">
      <c r="B20587" s="612"/>
      <c r="H20587" s="612"/>
    </row>
    <row r="20588">
      <c r="B20588" s="612"/>
      <c r="H20588" s="612"/>
    </row>
    <row r="20589">
      <c r="B20589" s="612"/>
      <c r="H20589" s="612"/>
    </row>
    <row r="20590">
      <c r="B20590" s="612"/>
      <c r="H20590" s="612"/>
    </row>
    <row r="20591">
      <c r="B20591" s="612"/>
      <c r="H20591" s="612"/>
    </row>
    <row r="20592">
      <c r="B20592" s="612"/>
      <c r="H20592" s="612"/>
    </row>
    <row r="20593">
      <c r="B20593" s="612"/>
      <c r="H20593" s="612"/>
    </row>
    <row r="20594">
      <c r="B20594" s="612"/>
      <c r="H20594" s="612"/>
    </row>
    <row r="20595">
      <c r="B20595" s="612"/>
      <c r="H20595" s="612"/>
    </row>
    <row r="20596">
      <c r="B20596" s="612"/>
      <c r="H20596" s="612"/>
    </row>
    <row r="20597">
      <c r="B20597" s="612"/>
      <c r="H20597" s="612"/>
    </row>
    <row r="20598">
      <c r="B20598" s="612"/>
      <c r="H20598" s="612"/>
    </row>
    <row r="20599">
      <c r="B20599" s="612"/>
      <c r="H20599" s="612"/>
    </row>
    <row r="20600">
      <c r="B20600" s="612"/>
      <c r="H20600" s="612"/>
    </row>
    <row r="20601">
      <c r="B20601" s="612"/>
      <c r="H20601" s="612"/>
    </row>
    <row r="20602">
      <c r="B20602" s="612"/>
      <c r="H20602" s="612"/>
    </row>
    <row r="20603">
      <c r="B20603" s="612"/>
      <c r="H20603" s="612"/>
    </row>
    <row r="20604">
      <c r="B20604" s="612"/>
      <c r="H20604" s="612"/>
    </row>
    <row r="20605">
      <c r="B20605" s="612"/>
      <c r="H20605" s="612"/>
    </row>
    <row r="20606">
      <c r="B20606" s="612"/>
      <c r="H20606" s="612"/>
    </row>
    <row r="20607">
      <c r="B20607" s="612"/>
      <c r="H20607" s="612"/>
    </row>
    <row r="20608">
      <c r="B20608" s="612"/>
      <c r="H20608" s="612"/>
    </row>
    <row r="20609">
      <c r="B20609" s="612"/>
      <c r="H20609" s="612"/>
    </row>
    <row r="20610">
      <c r="B20610" s="612"/>
      <c r="H20610" s="612"/>
    </row>
    <row r="20611">
      <c r="B20611" s="612"/>
      <c r="H20611" s="612"/>
    </row>
    <row r="20612">
      <c r="B20612" s="612"/>
      <c r="H20612" s="612"/>
    </row>
    <row r="20613">
      <c r="B20613" s="612"/>
      <c r="H20613" s="612"/>
    </row>
    <row r="20614">
      <c r="B20614" s="612"/>
      <c r="H20614" s="612"/>
    </row>
    <row r="20615">
      <c r="B20615" s="612"/>
      <c r="H20615" s="612"/>
    </row>
    <row r="20616">
      <c r="B20616" s="612"/>
      <c r="H20616" s="612"/>
    </row>
    <row r="20617">
      <c r="B20617" s="612"/>
      <c r="H20617" s="612"/>
    </row>
    <row r="20618">
      <c r="B20618" s="612"/>
      <c r="H20618" s="612"/>
    </row>
    <row r="20619">
      <c r="B20619" s="612"/>
      <c r="H20619" s="612"/>
    </row>
    <row r="20620">
      <c r="B20620" s="612"/>
      <c r="H20620" s="612"/>
    </row>
    <row r="20621">
      <c r="B20621" s="612"/>
      <c r="H20621" s="612"/>
    </row>
    <row r="20622">
      <c r="B20622" s="612"/>
      <c r="H20622" s="612"/>
    </row>
    <row r="20623">
      <c r="B20623" s="612"/>
      <c r="H20623" s="612"/>
    </row>
    <row r="20624">
      <c r="B20624" s="612"/>
      <c r="H20624" s="612"/>
    </row>
    <row r="20625">
      <c r="B20625" s="612"/>
      <c r="H20625" s="612"/>
    </row>
    <row r="20626">
      <c r="B20626" s="612"/>
      <c r="H20626" s="612"/>
    </row>
    <row r="20627">
      <c r="B20627" s="612"/>
      <c r="H20627" s="612"/>
    </row>
    <row r="20628">
      <c r="B20628" s="612"/>
      <c r="H20628" s="612"/>
    </row>
    <row r="20629">
      <c r="B20629" s="612"/>
      <c r="H20629" s="612"/>
    </row>
    <row r="20630">
      <c r="B20630" s="612"/>
      <c r="H20630" s="612"/>
    </row>
    <row r="20631">
      <c r="B20631" s="612"/>
      <c r="H20631" s="612"/>
    </row>
    <row r="20632">
      <c r="B20632" s="612"/>
      <c r="H20632" s="612"/>
    </row>
    <row r="20633">
      <c r="B20633" s="612"/>
      <c r="H20633" s="612"/>
    </row>
    <row r="20634">
      <c r="B20634" s="612"/>
      <c r="H20634" s="612"/>
    </row>
    <row r="20635">
      <c r="B20635" s="612"/>
      <c r="H20635" s="612"/>
    </row>
    <row r="20636">
      <c r="B20636" s="612"/>
      <c r="H20636" s="612"/>
    </row>
    <row r="20637">
      <c r="B20637" s="612"/>
      <c r="H20637" s="612"/>
    </row>
    <row r="20638">
      <c r="B20638" s="612"/>
      <c r="H20638" s="612"/>
    </row>
    <row r="20639">
      <c r="B20639" s="612"/>
      <c r="H20639" s="612"/>
    </row>
    <row r="20640">
      <c r="B20640" s="612"/>
      <c r="H20640" s="612"/>
    </row>
    <row r="20641">
      <c r="B20641" s="612"/>
      <c r="H20641" s="612"/>
    </row>
    <row r="20642">
      <c r="B20642" s="612"/>
      <c r="H20642" s="612"/>
    </row>
    <row r="20643">
      <c r="B20643" s="612"/>
      <c r="H20643" s="612"/>
    </row>
    <row r="20644">
      <c r="B20644" s="612"/>
      <c r="H20644" s="612"/>
    </row>
    <row r="20645">
      <c r="B20645" s="612"/>
      <c r="H20645" s="612"/>
    </row>
    <row r="20646">
      <c r="B20646" s="612"/>
      <c r="H20646" s="612"/>
    </row>
    <row r="20647">
      <c r="B20647" s="612"/>
      <c r="H20647" s="612"/>
    </row>
    <row r="20648">
      <c r="B20648" s="612"/>
      <c r="H20648" s="612"/>
    </row>
    <row r="20649">
      <c r="B20649" s="612"/>
      <c r="H20649" s="612"/>
    </row>
    <row r="20650">
      <c r="B20650" s="612"/>
      <c r="H20650" s="612"/>
    </row>
    <row r="20651">
      <c r="B20651" s="612"/>
      <c r="H20651" s="612"/>
    </row>
    <row r="20652">
      <c r="B20652" s="612"/>
      <c r="H20652" s="612"/>
    </row>
    <row r="20653">
      <c r="B20653" s="612"/>
      <c r="H20653" s="612"/>
    </row>
    <row r="20654">
      <c r="B20654" s="612"/>
      <c r="H20654" s="612"/>
    </row>
    <row r="20655">
      <c r="B20655" s="612"/>
      <c r="H20655" s="612"/>
    </row>
    <row r="20656">
      <c r="B20656" s="612"/>
      <c r="H20656" s="612"/>
    </row>
    <row r="20657">
      <c r="B20657" s="612"/>
      <c r="H20657" s="612"/>
    </row>
    <row r="20658">
      <c r="B20658" s="612"/>
      <c r="H20658" s="612"/>
    </row>
    <row r="20659">
      <c r="B20659" s="612"/>
      <c r="H20659" s="612"/>
    </row>
    <row r="20660">
      <c r="B20660" s="612"/>
      <c r="H20660" s="612"/>
    </row>
    <row r="20661">
      <c r="B20661" s="612"/>
      <c r="H20661" s="612"/>
    </row>
    <row r="20662">
      <c r="B20662" s="612"/>
      <c r="H20662" s="612"/>
    </row>
    <row r="20663">
      <c r="B20663" s="612"/>
      <c r="H20663" s="612"/>
    </row>
    <row r="20664">
      <c r="B20664" s="612"/>
      <c r="H20664" s="612"/>
    </row>
    <row r="20665">
      <c r="B20665" s="612"/>
      <c r="H20665" s="612"/>
    </row>
    <row r="20666">
      <c r="B20666" s="612"/>
      <c r="H20666" s="612"/>
    </row>
    <row r="20667">
      <c r="B20667" s="612"/>
      <c r="H20667" s="612"/>
    </row>
    <row r="20668">
      <c r="B20668" s="612"/>
      <c r="H20668" s="612"/>
    </row>
    <row r="20669">
      <c r="B20669" s="612"/>
      <c r="H20669" s="612"/>
    </row>
    <row r="20670">
      <c r="B20670" s="612"/>
      <c r="H20670" s="612"/>
    </row>
    <row r="20671">
      <c r="B20671" s="612"/>
      <c r="H20671" s="612"/>
    </row>
    <row r="20672">
      <c r="B20672" s="612"/>
      <c r="H20672" s="612"/>
    </row>
    <row r="20673">
      <c r="B20673" s="612"/>
      <c r="H20673" s="612"/>
    </row>
    <row r="20674">
      <c r="B20674" s="612"/>
      <c r="H20674" s="612"/>
    </row>
    <row r="20675">
      <c r="B20675" s="612"/>
      <c r="H20675" s="612"/>
    </row>
    <row r="20676">
      <c r="B20676" s="612"/>
      <c r="H20676" s="612"/>
    </row>
    <row r="20677">
      <c r="B20677" s="612"/>
      <c r="H20677" s="612"/>
    </row>
    <row r="20678">
      <c r="B20678" s="612"/>
      <c r="H20678" s="612"/>
    </row>
    <row r="20679">
      <c r="B20679" s="612"/>
      <c r="H20679" s="612"/>
    </row>
    <row r="20680">
      <c r="B20680" s="612"/>
      <c r="H20680" s="612"/>
    </row>
    <row r="20681">
      <c r="B20681" s="612"/>
      <c r="H20681" s="612"/>
    </row>
    <row r="20682">
      <c r="B20682" s="612"/>
      <c r="H20682" s="612"/>
    </row>
    <row r="20683">
      <c r="B20683" s="612"/>
      <c r="H20683" s="612"/>
    </row>
    <row r="20684">
      <c r="B20684" s="612"/>
      <c r="H20684" s="612"/>
    </row>
    <row r="20685">
      <c r="B20685" s="612"/>
      <c r="H20685" s="612"/>
    </row>
    <row r="20686">
      <c r="B20686" s="612"/>
      <c r="H20686" s="612"/>
    </row>
    <row r="20687">
      <c r="B20687" s="612"/>
      <c r="H20687" s="612"/>
    </row>
    <row r="20688">
      <c r="B20688" s="612"/>
      <c r="H20688" s="612"/>
    </row>
    <row r="20689">
      <c r="B20689" s="612"/>
      <c r="H20689" s="612"/>
    </row>
    <row r="20690">
      <c r="B20690" s="612"/>
      <c r="H20690" s="612"/>
    </row>
    <row r="20691">
      <c r="B20691" s="612"/>
      <c r="H20691" s="612"/>
    </row>
    <row r="20692">
      <c r="B20692" s="612"/>
      <c r="H20692" s="612"/>
    </row>
    <row r="20693">
      <c r="B20693" s="612"/>
      <c r="H20693" s="612"/>
    </row>
    <row r="20694">
      <c r="B20694" s="612"/>
      <c r="H20694" s="612"/>
    </row>
    <row r="20695">
      <c r="B20695" s="612"/>
      <c r="H20695" s="612"/>
    </row>
    <row r="20696">
      <c r="B20696" s="612"/>
      <c r="H20696" s="612"/>
    </row>
    <row r="20697">
      <c r="B20697" s="612"/>
      <c r="H20697" s="612"/>
    </row>
    <row r="20698">
      <c r="B20698" s="612"/>
      <c r="H20698" s="612"/>
    </row>
    <row r="20699">
      <c r="B20699" s="612"/>
      <c r="H20699" s="612"/>
    </row>
    <row r="20700">
      <c r="B20700" s="612"/>
      <c r="H20700" s="612"/>
    </row>
    <row r="20701">
      <c r="B20701" s="612"/>
      <c r="H20701" s="612"/>
    </row>
    <row r="20702">
      <c r="B20702" s="612"/>
      <c r="H20702" s="612"/>
    </row>
    <row r="20703">
      <c r="B20703" s="612"/>
      <c r="H20703" s="612"/>
    </row>
    <row r="20704">
      <c r="B20704" s="612"/>
      <c r="H20704" s="612"/>
    </row>
    <row r="20705">
      <c r="B20705" s="612"/>
      <c r="H20705" s="612"/>
    </row>
    <row r="20706">
      <c r="B20706" s="612"/>
      <c r="H20706" s="612"/>
    </row>
    <row r="20707">
      <c r="B20707" s="612"/>
      <c r="H20707" s="612"/>
    </row>
    <row r="20708">
      <c r="B20708" s="612"/>
      <c r="H20708" s="612"/>
    </row>
    <row r="20709">
      <c r="B20709" s="612"/>
      <c r="H20709" s="612"/>
    </row>
    <row r="20710">
      <c r="B20710" s="612"/>
      <c r="H20710" s="612"/>
    </row>
    <row r="20711">
      <c r="B20711" s="612"/>
      <c r="H20711" s="612"/>
    </row>
    <row r="20712">
      <c r="B20712" s="612"/>
      <c r="H20712" s="612"/>
    </row>
    <row r="20713">
      <c r="B20713" s="612"/>
      <c r="H20713" s="612"/>
    </row>
    <row r="20714">
      <c r="B20714" s="612"/>
      <c r="H20714" s="612"/>
    </row>
    <row r="20715">
      <c r="B20715" s="612"/>
      <c r="H20715" s="612"/>
    </row>
    <row r="20716">
      <c r="B20716" s="612"/>
      <c r="H20716" s="612"/>
    </row>
    <row r="20717">
      <c r="B20717" s="612"/>
      <c r="H20717" s="612"/>
    </row>
    <row r="20718">
      <c r="B20718" s="612"/>
      <c r="H20718" s="612"/>
    </row>
    <row r="20719">
      <c r="B20719" s="612"/>
      <c r="H20719" s="612"/>
    </row>
    <row r="20720">
      <c r="B20720" s="612"/>
      <c r="H20720" s="612"/>
    </row>
    <row r="20721">
      <c r="B20721" s="612"/>
      <c r="H20721" s="612"/>
    </row>
    <row r="20722">
      <c r="B20722" s="612"/>
      <c r="H20722" s="612"/>
    </row>
    <row r="20723">
      <c r="B20723" s="612"/>
      <c r="H20723" s="612"/>
    </row>
    <row r="20724">
      <c r="B20724" s="612"/>
      <c r="H20724" s="612"/>
    </row>
    <row r="20725">
      <c r="B20725" s="612"/>
      <c r="H20725" s="612"/>
    </row>
    <row r="20726">
      <c r="B20726" s="612"/>
      <c r="H20726" s="612"/>
    </row>
    <row r="20727">
      <c r="B20727" s="612"/>
      <c r="H20727" s="612"/>
    </row>
    <row r="20728">
      <c r="B20728" s="612"/>
      <c r="H20728" s="612"/>
    </row>
    <row r="20729">
      <c r="B20729" s="612"/>
      <c r="H20729" s="612"/>
    </row>
    <row r="20730">
      <c r="B20730" s="612"/>
      <c r="H20730" s="612"/>
    </row>
    <row r="20731">
      <c r="B20731" s="612"/>
      <c r="H20731" s="612"/>
    </row>
    <row r="20732">
      <c r="B20732" s="612"/>
      <c r="H20732" s="612"/>
    </row>
    <row r="20733">
      <c r="B20733" s="612"/>
      <c r="H20733" s="612"/>
    </row>
    <row r="20734">
      <c r="B20734" s="612"/>
      <c r="H20734" s="612"/>
    </row>
    <row r="20735">
      <c r="B20735" s="612"/>
      <c r="H20735" s="612"/>
    </row>
    <row r="20736">
      <c r="B20736" s="612"/>
      <c r="H20736" s="612"/>
    </row>
    <row r="20737">
      <c r="B20737" s="612"/>
      <c r="H20737" s="612"/>
    </row>
    <row r="20738">
      <c r="B20738" s="612"/>
      <c r="H20738" s="612"/>
    </row>
    <row r="20739">
      <c r="B20739" s="612"/>
      <c r="H20739" s="612"/>
    </row>
    <row r="20740">
      <c r="B20740" s="612"/>
      <c r="H20740" s="612"/>
    </row>
    <row r="20741">
      <c r="B20741" s="612"/>
      <c r="H20741" s="612"/>
    </row>
    <row r="20742">
      <c r="B20742" s="612"/>
      <c r="H20742" s="612"/>
    </row>
    <row r="20743">
      <c r="B20743" s="612"/>
      <c r="H20743" s="612"/>
    </row>
    <row r="20744">
      <c r="B20744" s="612"/>
      <c r="H20744" s="612"/>
    </row>
    <row r="20745">
      <c r="B20745" s="612"/>
      <c r="H20745" s="612"/>
    </row>
    <row r="20746">
      <c r="B20746" s="612"/>
      <c r="H20746" s="612"/>
    </row>
    <row r="20747">
      <c r="B20747" s="612"/>
      <c r="H20747" s="612"/>
    </row>
    <row r="20748">
      <c r="B20748" s="612"/>
      <c r="H20748" s="612"/>
    </row>
    <row r="20749">
      <c r="B20749" s="612"/>
      <c r="H20749" s="612"/>
    </row>
    <row r="20750">
      <c r="B20750" s="612"/>
      <c r="H20750" s="612"/>
    </row>
    <row r="20751">
      <c r="B20751" s="612"/>
      <c r="H20751" s="612"/>
    </row>
    <row r="20752">
      <c r="B20752" s="612"/>
      <c r="H20752" s="612"/>
    </row>
    <row r="20753">
      <c r="B20753" s="612"/>
      <c r="H20753" s="612"/>
    </row>
    <row r="20754">
      <c r="B20754" s="612"/>
      <c r="H20754" s="612"/>
    </row>
    <row r="20755">
      <c r="B20755" s="612"/>
      <c r="H20755" s="612"/>
    </row>
    <row r="20756">
      <c r="B20756" s="612"/>
      <c r="H20756" s="612"/>
    </row>
    <row r="20757">
      <c r="B20757" s="612"/>
      <c r="H20757" s="612"/>
    </row>
    <row r="20758">
      <c r="B20758" s="612"/>
      <c r="H20758" s="612"/>
    </row>
    <row r="20759">
      <c r="B20759" s="612"/>
      <c r="H20759" s="612"/>
    </row>
    <row r="20760">
      <c r="B20760" s="612"/>
      <c r="H20760" s="612"/>
    </row>
    <row r="20761">
      <c r="B20761" s="612"/>
      <c r="H20761" s="612"/>
    </row>
    <row r="20762">
      <c r="B20762" s="612"/>
      <c r="H20762" s="612"/>
    </row>
    <row r="20763">
      <c r="B20763" s="612"/>
      <c r="H20763" s="612"/>
    </row>
    <row r="20764">
      <c r="B20764" s="612"/>
      <c r="H20764" s="612"/>
    </row>
    <row r="20765">
      <c r="B20765" s="612"/>
      <c r="H20765" s="612"/>
    </row>
    <row r="20766">
      <c r="B20766" s="612"/>
      <c r="H20766" s="612"/>
    </row>
    <row r="20767">
      <c r="B20767" s="612"/>
      <c r="H20767" s="612"/>
    </row>
    <row r="20768">
      <c r="B20768" s="612"/>
      <c r="H20768" s="612"/>
    </row>
    <row r="20769">
      <c r="B20769" s="612"/>
      <c r="H20769" s="612"/>
    </row>
    <row r="20770">
      <c r="B20770" s="612"/>
      <c r="H20770" s="612"/>
    </row>
    <row r="20771">
      <c r="B20771" s="612"/>
      <c r="H20771" s="612"/>
    </row>
    <row r="20772">
      <c r="B20772" s="612"/>
      <c r="H20772" s="612"/>
    </row>
    <row r="20773">
      <c r="B20773" s="612"/>
      <c r="H20773" s="612"/>
    </row>
    <row r="20774">
      <c r="B20774" s="612"/>
      <c r="H20774" s="612"/>
    </row>
    <row r="20775">
      <c r="B20775" s="612"/>
      <c r="H20775" s="612"/>
    </row>
    <row r="20776">
      <c r="B20776" s="612"/>
      <c r="H20776" s="612"/>
    </row>
    <row r="20777">
      <c r="B20777" s="612"/>
      <c r="H20777" s="612"/>
    </row>
    <row r="20778">
      <c r="B20778" s="612"/>
      <c r="H20778" s="612"/>
    </row>
    <row r="20779">
      <c r="B20779" s="612"/>
      <c r="H20779" s="612"/>
    </row>
    <row r="20780">
      <c r="B20780" s="612"/>
      <c r="H20780" s="612"/>
    </row>
    <row r="20781">
      <c r="B20781" s="612"/>
      <c r="H20781" s="612"/>
    </row>
    <row r="20782">
      <c r="B20782" s="612"/>
      <c r="H20782" s="612"/>
    </row>
    <row r="20783">
      <c r="B20783" s="612"/>
      <c r="H20783" s="612"/>
    </row>
    <row r="20784">
      <c r="B20784" s="612"/>
      <c r="H20784" s="612"/>
    </row>
    <row r="20785">
      <c r="B20785" s="612"/>
      <c r="H20785" s="612"/>
    </row>
    <row r="20786">
      <c r="B20786" s="612"/>
      <c r="H20786" s="612"/>
    </row>
    <row r="20787">
      <c r="B20787" s="612"/>
      <c r="H20787" s="612"/>
    </row>
    <row r="20788">
      <c r="B20788" s="612"/>
      <c r="H20788" s="612"/>
    </row>
    <row r="20789">
      <c r="B20789" s="612"/>
      <c r="H20789" s="612"/>
    </row>
    <row r="20790">
      <c r="B20790" s="612"/>
      <c r="H20790" s="612"/>
    </row>
    <row r="20791">
      <c r="B20791" s="612"/>
      <c r="H20791" s="612"/>
    </row>
    <row r="20792">
      <c r="B20792" s="612"/>
      <c r="H20792" s="612"/>
    </row>
    <row r="20793">
      <c r="B20793" s="612"/>
      <c r="H20793" s="612"/>
    </row>
    <row r="20794">
      <c r="B20794" s="612"/>
      <c r="H20794" s="612"/>
    </row>
    <row r="20795">
      <c r="B20795" s="612"/>
      <c r="H20795" s="612"/>
    </row>
    <row r="20796">
      <c r="B20796" s="612"/>
      <c r="H20796" s="612"/>
    </row>
    <row r="20797">
      <c r="B20797" s="612"/>
      <c r="H20797" s="612"/>
    </row>
    <row r="20798">
      <c r="B20798" s="612"/>
      <c r="H20798" s="612"/>
    </row>
    <row r="20799">
      <c r="B20799" s="612"/>
      <c r="H20799" s="612"/>
    </row>
    <row r="20800">
      <c r="B20800" s="612"/>
      <c r="H20800" s="612"/>
    </row>
    <row r="20801">
      <c r="B20801" s="612"/>
      <c r="H20801" s="612"/>
    </row>
    <row r="20802">
      <c r="B20802" s="612"/>
      <c r="H20802" s="612"/>
    </row>
    <row r="20803">
      <c r="B20803" s="612"/>
      <c r="H20803" s="612"/>
    </row>
    <row r="20804">
      <c r="B20804" s="612"/>
      <c r="H20804" s="612"/>
    </row>
    <row r="20805">
      <c r="B20805" s="612"/>
      <c r="H20805" s="612"/>
    </row>
    <row r="20806">
      <c r="B20806" s="612"/>
      <c r="H20806" s="612"/>
    </row>
    <row r="20807">
      <c r="B20807" s="612"/>
      <c r="H20807" s="612"/>
    </row>
    <row r="20808">
      <c r="B20808" s="612"/>
      <c r="H20808" s="612"/>
    </row>
    <row r="20809">
      <c r="B20809" s="612"/>
      <c r="H20809" s="612"/>
    </row>
    <row r="20810">
      <c r="B20810" s="612"/>
      <c r="H20810" s="612"/>
    </row>
    <row r="20811">
      <c r="B20811" s="612"/>
      <c r="H20811" s="612"/>
    </row>
    <row r="20812">
      <c r="B20812" s="612"/>
      <c r="H20812" s="612"/>
    </row>
    <row r="20813">
      <c r="B20813" s="612"/>
      <c r="H20813" s="612"/>
    </row>
    <row r="20814">
      <c r="B20814" s="612"/>
      <c r="H20814" s="612"/>
    </row>
    <row r="20815">
      <c r="B20815" s="612"/>
      <c r="H20815" s="612"/>
    </row>
    <row r="20816">
      <c r="B20816" s="612"/>
      <c r="H20816" s="612"/>
    </row>
    <row r="20817">
      <c r="B20817" s="612"/>
      <c r="H20817" s="612"/>
    </row>
    <row r="20818">
      <c r="B20818" s="612"/>
      <c r="H20818" s="612"/>
    </row>
    <row r="20819">
      <c r="B20819" s="612"/>
      <c r="H20819" s="612"/>
    </row>
    <row r="20820">
      <c r="B20820" s="612"/>
      <c r="H20820" s="612"/>
    </row>
    <row r="20821">
      <c r="B20821" s="612"/>
      <c r="H20821" s="612"/>
    </row>
    <row r="20822">
      <c r="B20822" s="612"/>
      <c r="H20822" s="612"/>
    </row>
    <row r="20823">
      <c r="B20823" s="612"/>
      <c r="H20823" s="612"/>
    </row>
    <row r="20824">
      <c r="B20824" s="612"/>
      <c r="H20824" s="612"/>
    </row>
    <row r="20825">
      <c r="B20825" s="612"/>
      <c r="H20825" s="612"/>
    </row>
    <row r="20826">
      <c r="B20826" s="612"/>
      <c r="H20826" s="612"/>
    </row>
    <row r="20827">
      <c r="B20827" s="612"/>
      <c r="H20827" s="612"/>
    </row>
    <row r="20828">
      <c r="B20828" s="612"/>
      <c r="H20828" s="612"/>
    </row>
    <row r="20829">
      <c r="B20829" s="612"/>
      <c r="H20829" s="612"/>
    </row>
    <row r="20830">
      <c r="B20830" s="612"/>
      <c r="H20830" s="612"/>
    </row>
    <row r="20831">
      <c r="B20831" s="612"/>
      <c r="H20831" s="612"/>
    </row>
    <row r="20832">
      <c r="B20832" s="612"/>
      <c r="H20832" s="612"/>
    </row>
    <row r="20833">
      <c r="B20833" s="612"/>
      <c r="H20833" s="612"/>
    </row>
    <row r="20834">
      <c r="B20834" s="612"/>
      <c r="H20834" s="612"/>
    </row>
    <row r="20835">
      <c r="B20835" s="612"/>
      <c r="H20835" s="612"/>
    </row>
    <row r="20836">
      <c r="B20836" s="612"/>
      <c r="H20836" s="612"/>
    </row>
    <row r="20837">
      <c r="B20837" s="612"/>
      <c r="H20837" s="612"/>
    </row>
    <row r="20838">
      <c r="B20838" s="612"/>
      <c r="H20838" s="612"/>
    </row>
    <row r="20839">
      <c r="B20839" s="612"/>
      <c r="H20839" s="612"/>
    </row>
    <row r="20840">
      <c r="B20840" s="612"/>
      <c r="H20840" s="612"/>
    </row>
    <row r="20841">
      <c r="B20841" s="612"/>
      <c r="H20841" s="612"/>
    </row>
    <row r="20842">
      <c r="B20842" s="612"/>
      <c r="H20842" s="612"/>
    </row>
    <row r="20843">
      <c r="B20843" s="612"/>
      <c r="H20843" s="612"/>
    </row>
    <row r="20844">
      <c r="B20844" s="612"/>
      <c r="H20844" s="612"/>
    </row>
    <row r="20845">
      <c r="B20845" s="612"/>
      <c r="H20845" s="612"/>
    </row>
    <row r="20846">
      <c r="B20846" s="612"/>
      <c r="H20846" s="612"/>
    </row>
    <row r="20847">
      <c r="B20847" s="612"/>
      <c r="H20847" s="612"/>
    </row>
    <row r="20848">
      <c r="B20848" s="612"/>
      <c r="H20848" s="612"/>
    </row>
    <row r="20849">
      <c r="B20849" s="612"/>
      <c r="H20849" s="612"/>
    </row>
    <row r="20850">
      <c r="B20850" s="612"/>
      <c r="H20850" s="612"/>
    </row>
    <row r="20851">
      <c r="B20851" s="612"/>
      <c r="H20851" s="612"/>
    </row>
    <row r="20852">
      <c r="B20852" s="612"/>
      <c r="H20852" s="612"/>
    </row>
    <row r="20853">
      <c r="B20853" s="612"/>
      <c r="H20853" s="612"/>
    </row>
    <row r="20854">
      <c r="B20854" s="612"/>
      <c r="H20854" s="612"/>
    </row>
    <row r="20855">
      <c r="B20855" s="612"/>
      <c r="H20855" s="612"/>
    </row>
    <row r="20856">
      <c r="B20856" s="612"/>
      <c r="H20856" s="612"/>
    </row>
    <row r="20857">
      <c r="B20857" s="612"/>
      <c r="H20857" s="612"/>
    </row>
    <row r="20858">
      <c r="B20858" s="612"/>
      <c r="H20858" s="612"/>
    </row>
    <row r="20859">
      <c r="B20859" s="612"/>
      <c r="H20859" s="612"/>
    </row>
    <row r="20860">
      <c r="B20860" s="612"/>
      <c r="H20860" s="612"/>
    </row>
    <row r="20861">
      <c r="B20861" s="612"/>
      <c r="H20861" s="612"/>
    </row>
    <row r="20862">
      <c r="B20862" s="612"/>
      <c r="H20862" s="612"/>
    </row>
    <row r="20863">
      <c r="B20863" s="612"/>
      <c r="H20863" s="612"/>
    </row>
    <row r="20864">
      <c r="B20864" s="612"/>
      <c r="H20864" s="612"/>
    </row>
    <row r="20865">
      <c r="B20865" s="612"/>
      <c r="H20865" s="612"/>
    </row>
    <row r="20866">
      <c r="B20866" s="612"/>
      <c r="H20866" s="612"/>
    </row>
    <row r="20867">
      <c r="B20867" s="612"/>
      <c r="H20867" s="612"/>
    </row>
    <row r="20868">
      <c r="B20868" s="612"/>
      <c r="H20868" s="612"/>
    </row>
    <row r="20869">
      <c r="B20869" s="612"/>
      <c r="H20869" s="612"/>
    </row>
    <row r="20870">
      <c r="B20870" s="612"/>
      <c r="H20870" s="612"/>
    </row>
    <row r="20871">
      <c r="B20871" s="612"/>
      <c r="H20871" s="612"/>
    </row>
    <row r="20872">
      <c r="B20872" s="612"/>
      <c r="H20872" s="612"/>
    </row>
    <row r="20873">
      <c r="B20873" s="612"/>
      <c r="H20873" s="612"/>
    </row>
    <row r="20874">
      <c r="B20874" s="612"/>
      <c r="H20874" s="612"/>
    </row>
    <row r="20875">
      <c r="B20875" s="612"/>
      <c r="H20875" s="612"/>
    </row>
    <row r="20876">
      <c r="B20876" s="612"/>
      <c r="H20876" s="612"/>
    </row>
    <row r="20877">
      <c r="B20877" s="612"/>
      <c r="H20877" s="612"/>
    </row>
    <row r="20878">
      <c r="B20878" s="612"/>
      <c r="H20878" s="612"/>
    </row>
    <row r="20879">
      <c r="B20879" s="612"/>
      <c r="H20879" s="612"/>
    </row>
    <row r="20880">
      <c r="B20880" s="612"/>
      <c r="H20880" s="612"/>
    </row>
    <row r="20881">
      <c r="B20881" s="612"/>
      <c r="H20881" s="612"/>
    </row>
    <row r="20882">
      <c r="B20882" s="612"/>
      <c r="H20882" s="612"/>
    </row>
    <row r="20883">
      <c r="B20883" s="612"/>
      <c r="H20883" s="612"/>
    </row>
    <row r="20884">
      <c r="B20884" s="612"/>
      <c r="H20884" s="612"/>
    </row>
    <row r="20885">
      <c r="B20885" s="612"/>
      <c r="H20885" s="612"/>
    </row>
    <row r="20886">
      <c r="B20886" s="612"/>
      <c r="H20886" s="612"/>
    </row>
    <row r="20887">
      <c r="B20887" s="612"/>
      <c r="H20887" s="612"/>
    </row>
    <row r="20888">
      <c r="B20888" s="612"/>
      <c r="H20888" s="612"/>
    </row>
    <row r="20889">
      <c r="B20889" s="612"/>
      <c r="H20889" s="612"/>
    </row>
    <row r="20890">
      <c r="B20890" s="612"/>
      <c r="H20890" s="612"/>
    </row>
    <row r="20891">
      <c r="B20891" s="612"/>
      <c r="H20891" s="612"/>
    </row>
    <row r="20892">
      <c r="B20892" s="612"/>
      <c r="H20892" s="612"/>
    </row>
    <row r="20893">
      <c r="B20893" s="612"/>
      <c r="H20893" s="612"/>
    </row>
    <row r="20894">
      <c r="B20894" s="612"/>
      <c r="H20894" s="612"/>
    </row>
    <row r="20895">
      <c r="B20895" s="612"/>
      <c r="H20895" s="612"/>
    </row>
    <row r="20896">
      <c r="B20896" s="612"/>
      <c r="H20896" s="612"/>
    </row>
    <row r="20897">
      <c r="B20897" s="612"/>
      <c r="H20897" s="612"/>
    </row>
    <row r="20898">
      <c r="B20898" s="612"/>
      <c r="H20898" s="612"/>
    </row>
    <row r="20899">
      <c r="B20899" s="612"/>
      <c r="H20899" s="612"/>
    </row>
    <row r="20900">
      <c r="B20900" s="612"/>
      <c r="H20900" s="612"/>
    </row>
    <row r="20901">
      <c r="B20901" s="612"/>
      <c r="H20901" s="612"/>
    </row>
    <row r="20902">
      <c r="B20902" s="612"/>
      <c r="H20902" s="612"/>
    </row>
    <row r="20903">
      <c r="B20903" s="612"/>
      <c r="H20903" s="612"/>
    </row>
    <row r="20904">
      <c r="B20904" s="612"/>
      <c r="H20904" s="612"/>
    </row>
    <row r="20905">
      <c r="B20905" s="612"/>
      <c r="H20905" s="612"/>
    </row>
    <row r="20906">
      <c r="B20906" s="612"/>
      <c r="H20906" s="612"/>
    </row>
    <row r="20907">
      <c r="B20907" s="612"/>
      <c r="H20907" s="612"/>
    </row>
    <row r="20908">
      <c r="B20908" s="612"/>
      <c r="H20908" s="612"/>
    </row>
    <row r="20909">
      <c r="B20909" s="612"/>
      <c r="H20909" s="612"/>
    </row>
    <row r="20910">
      <c r="B20910" s="612"/>
      <c r="H20910" s="612"/>
    </row>
    <row r="20911">
      <c r="B20911" s="612"/>
      <c r="H20911" s="612"/>
    </row>
    <row r="20912">
      <c r="B20912" s="612"/>
      <c r="H20912" s="612"/>
    </row>
    <row r="20913">
      <c r="B20913" s="612"/>
      <c r="H20913" s="612"/>
    </row>
    <row r="20914">
      <c r="B20914" s="612"/>
      <c r="H20914" s="612"/>
    </row>
    <row r="20915">
      <c r="B20915" s="612"/>
      <c r="H20915" s="612"/>
    </row>
    <row r="20916">
      <c r="B20916" s="612"/>
      <c r="H20916" s="612"/>
    </row>
    <row r="20917">
      <c r="B20917" s="612"/>
      <c r="H20917" s="612"/>
    </row>
    <row r="20918">
      <c r="B20918" s="612"/>
      <c r="H20918" s="612"/>
    </row>
    <row r="20919">
      <c r="B20919" s="612"/>
      <c r="H20919" s="612"/>
    </row>
    <row r="20920">
      <c r="B20920" s="612"/>
      <c r="H20920" s="612"/>
    </row>
    <row r="20921">
      <c r="B20921" s="612"/>
      <c r="H20921" s="612"/>
    </row>
    <row r="20922">
      <c r="B20922" s="612"/>
      <c r="H20922" s="612"/>
    </row>
    <row r="20923">
      <c r="B20923" s="612"/>
      <c r="H20923" s="612"/>
    </row>
    <row r="20924">
      <c r="B20924" s="612"/>
      <c r="H20924" s="612"/>
    </row>
    <row r="20925">
      <c r="B20925" s="612"/>
      <c r="H20925" s="612"/>
    </row>
    <row r="20926">
      <c r="B20926" s="612"/>
      <c r="H20926" s="612"/>
    </row>
    <row r="20927">
      <c r="B20927" s="612"/>
      <c r="H20927" s="612"/>
    </row>
    <row r="20928">
      <c r="B20928" s="612"/>
      <c r="H20928" s="612"/>
    </row>
    <row r="20929">
      <c r="B20929" s="612"/>
      <c r="H20929" s="612"/>
    </row>
    <row r="20930">
      <c r="B20930" s="612"/>
      <c r="H20930" s="612"/>
    </row>
    <row r="20931">
      <c r="B20931" s="612"/>
      <c r="H20931" s="612"/>
    </row>
    <row r="20932">
      <c r="B20932" s="612"/>
      <c r="H20932" s="612"/>
    </row>
    <row r="20933">
      <c r="B20933" s="612"/>
      <c r="H20933" s="612"/>
    </row>
    <row r="20934">
      <c r="B20934" s="612"/>
      <c r="H20934" s="612"/>
    </row>
    <row r="20935">
      <c r="B20935" s="612"/>
      <c r="H20935" s="612"/>
    </row>
    <row r="20936">
      <c r="B20936" s="612"/>
      <c r="H20936" s="612"/>
    </row>
    <row r="20937">
      <c r="B20937" s="612"/>
      <c r="H20937" s="612"/>
    </row>
    <row r="20938">
      <c r="B20938" s="612"/>
      <c r="H20938" s="612"/>
    </row>
    <row r="20939">
      <c r="B20939" s="612"/>
      <c r="H20939" s="612"/>
    </row>
    <row r="20940">
      <c r="B20940" s="612"/>
      <c r="H20940" s="612"/>
    </row>
    <row r="20941">
      <c r="B20941" s="612"/>
      <c r="H20941" s="612"/>
    </row>
    <row r="20942">
      <c r="B20942" s="612"/>
      <c r="H20942" s="612"/>
    </row>
    <row r="20943">
      <c r="B20943" s="612"/>
      <c r="H20943" s="612"/>
    </row>
    <row r="20944">
      <c r="B20944" s="612"/>
      <c r="H20944" s="612"/>
    </row>
    <row r="20945">
      <c r="B20945" s="612"/>
      <c r="H20945" s="612"/>
    </row>
    <row r="20946">
      <c r="B20946" s="612"/>
      <c r="H20946" s="612"/>
    </row>
    <row r="20947">
      <c r="B20947" s="612"/>
      <c r="H20947" s="612"/>
    </row>
    <row r="20948">
      <c r="B20948" s="612"/>
      <c r="H20948" s="612"/>
    </row>
    <row r="20949">
      <c r="B20949" s="612"/>
      <c r="H20949" s="612"/>
    </row>
    <row r="20950">
      <c r="B20950" s="612"/>
      <c r="H20950" s="612"/>
    </row>
    <row r="20951">
      <c r="B20951" s="612"/>
      <c r="H20951" s="612"/>
    </row>
    <row r="20952">
      <c r="B20952" s="612"/>
      <c r="H20952" s="612"/>
    </row>
    <row r="20953">
      <c r="B20953" s="612"/>
      <c r="H20953" s="612"/>
    </row>
    <row r="20954">
      <c r="B20954" s="612"/>
      <c r="H20954" s="612"/>
    </row>
    <row r="20955">
      <c r="B20955" s="612"/>
      <c r="H20955" s="612"/>
    </row>
    <row r="20956">
      <c r="B20956" s="612"/>
      <c r="H20956" s="612"/>
    </row>
    <row r="20957">
      <c r="B20957" s="612"/>
      <c r="H20957" s="612"/>
    </row>
    <row r="20958">
      <c r="B20958" s="612"/>
      <c r="H20958" s="612"/>
    </row>
    <row r="20959">
      <c r="B20959" s="612"/>
      <c r="H20959" s="612"/>
    </row>
    <row r="20960">
      <c r="B20960" s="612"/>
      <c r="H20960" s="612"/>
    </row>
    <row r="20961">
      <c r="B20961" s="612"/>
      <c r="H20961" s="612"/>
    </row>
    <row r="20962">
      <c r="B20962" s="612"/>
      <c r="H20962" s="612"/>
    </row>
    <row r="20963">
      <c r="B20963" s="612"/>
      <c r="H20963" s="612"/>
    </row>
    <row r="20964">
      <c r="B20964" s="612"/>
      <c r="H20964" s="612"/>
    </row>
    <row r="20965">
      <c r="B20965" s="612"/>
      <c r="H20965" s="612"/>
    </row>
    <row r="20966">
      <c r="B20966" s="612"/>
      <c r="H20966" s="612"/>
    </row>
    <row r="20967">
      <c r="B20967" s="612"/>
      <c r="H20967" s="612"/>
    </row>
    <row r="20968">
      <c r="B20968" s="612"/>
      <c r="H20968" s="612"/>
    </row>
    <row r="20969">
      <c r="B20969" s="612"/>
      <c r="H20969" s="612"/>
    </row>
    <row r="20970">
      <c r="B20970" s="612"/>
      <c r="H20970" s="612"/>
    </row>
    <row r="20971">
      <c r="B20971" s="612"/>
      <c r="H20971" s="612"/>
    </row>
    <row r="20972">
      <c r="B20972" s="612"/>
      <c r="H20972" s="612"/>
    </row>
    <row r="20973">
      <c r="B20973" s="612"/>
      <c r="H20973" s="612"/>
    </row>
    <row r="20974">
      <c r="B20974" s="612"/>
      <c r="H20974" s="612"/>
    </row>
    <row r="20975">
      <c r="B20975" s="612"/>
      <c r="H20975" s="612"/>
    </row>
    <row r="20976">
      <c r="B20976" s="612"/>
      <c r="H20976" s="612"/>
    </row>
    <row r="20977">
      <c r="B20977" s="612"/>
      <c r="H20977" s="612"/>
    </row>
    <row r="20978">
      <c r="B20978" s="612"/>
      <c r="H20978" s="612"/>
    </row>
    <row r="20979">
      <c r="B20979" s="612"/>
      <c r="H20979" s="612"/>
    </row>
    <row r="20980">
      <c r="B20980" s="612"/>
      <c r="H20980" s="612"/>
    </row>
    <row r="20981">
      <c r="B20981" s="612"/>
      <c r="H20981" s="612"/>
    </row>
    <row r="20982">
      <c r="B20982" s="612"/>
      <c r="H20982" s="612"/>
    </row>
    <row r="20983">
      <c r="B20983" s="612"/>
      <c r="H20983" s="612"/>
    </row>
    <row r="20984">
      <c r="B20984" s="612"/>
      <c r="H20984" s="612"/>
    </row>
    <row r="20985">
      <c r="B20985" s="612"/>
      <c r="H20985" s="612"/>
    </row>
    <row r="20986">
      <c r="B20986" s="612"/>
      <c r="H20986" s="612"/>
    </row>
    <row r="20987">
      <c r="B20987" s="612"/>
      <c r="H20987" s="612"/>
    </row>
    <row r="20988">
      <c r="B20988" s="612"/>
      <c r="H20988" s="612"/>
    </row>
    <row r="20989">
      <c r="B20989" s="612"/>
      <c r="H20989" s="612"/>
    </row>
    <row r="20990">
      <c r="B20990" s="612"/>
      <c r="H20990" s="612"/>
    </row>
    <row r="20991">
      <c r="B20991" s="612"/>
      <c r="H20991" s="612"/>
    </row>
    <row r="20992">
      <c r="B20992" s="612"/>
      <c r="H20992" s="612"/>
    </row>
    <row r="20993">
      <c r="B20993" s="612"/>
      <c r="H20993" s="612"/>
    </row>
    <row r="20994">
      <c r="B20994" s="612"/>
      <c r="H20994" s="612"/>
    </row>
    <row r="20995">
      <c r="B20995" s="612"/>
      <c r="H20995" s="612"/>
    </row>
    <row r="20996">
      <c r="B20996" s="612"/>
      <c r="H20996" s="612"/>
    </row>
    <row r="20997">
      <c r="B20997" s="612"/>
      <c r="H20997" s="612"/>
    </row>
    <row r="20998">
      <c r="B20998" s="612"/>
      <c r="H20998" s="612"/>
    </row>
    <row r="20999">
      <c r="B20999" s="612"/>
      <c r="H20999" s="612"/>
    </row>
    <row r="21000">
      <c r="B21000" s="612"/>
      <c r="H21000" s="612"/>
    </row>
    <row r="21001">
      <c r="B21001" s="612"/>
      <c r="H21001" s="612"/>
    </row>
    <row r="21002">
      <c r="B21002" s="612"/>
      <c r="H21002" s="612"/>
    </row>
    <row r="21003">
      <c r="B21003" s="612"/>
      <c r="H21003" s="612"/>
    </row>
    <row r="21004">
      <c r="B21004" s="612"/>
      <c r="H21004" s="612"/>
    </row>
    <row r="21005">
      <c r="B21005" s="612"/>
      <c r="H21005" s="612"/>
    </row>
    <row r="21006">
      <c r="B21006" s="612"/>
      <c r="H21006" s="612"/>
    </row>
    <row r="21007">
      <c r="B21007" s="612"/>
      <c r="H21007" s="612"/>
    </row>
    <row r="21008">
      <c r="B21008" s="612"/>
      <c r="H21008" s="612"/>
    </row>
    <row r="21009">
      <c r="B21009" s="612"/>
      <c r="H21009" s="612"/>
    </row>
    <row r="21010">
      <c r="B21010" s="612"/>
      <c r="H21010" s="612"/>
    </row>
    <row r="21011">
      <c r="B21011" s="612"/>
      <c r="H21011" s="612"/>
    </row>
    <row r="21012">
      <c r="B21012" s="612"/>
      <c r="H21012" s="612"/>
    </row>
    <row r="21013">
      <c r="B21013" s="612"/>
      <c r="H21013" s="612"/>
    </row>
    <row r="21014">
      <c r="B21014" s="612"/>
      <c r="H21014" s="612"/>
    </row>
    <row r="21015">
      <c r="B21015" s="612"/>
      <c r="H21015" s="612"/>
    </row>
    <row r="21016">
      <c r="B21016" s="612"/>
      <c r="H21016" s="612"/>
    </row>
    <row r="21017">
      <c r="B21017" s="612"/>
      <c r="H21017" s="612"/>
    </row>
    <row r="21018">
      <c r="B21018" s="612"/>
      <c r="H21018" s="612"/>
    </row>
    <row r="21019">
      <c r="B21019" s="612"/>
      <c r="H21019" s="612"/>
    </row>
    <row r="21020">
      <c r="B21020" s="612"/>
      <c r="H21020" s="612"/>
    </row>
    <row r="21021">
      <c r="B21021" s="612"/>
      <c r="H21021" s="612"/>
    </row>
    <row r="21022">
      <c r="B21022" s="612"/>
      <c r="H21022" s="612"/>
    </row>
    <row r="21023">
      <c r="B21023" s="612"/>
      <c r="H21023" s="612"/>
    </row>
    <row r="21024">
      <c r="B21024" s="612"/>
      <c r="H21024" s="612"/>
    </row>
    <row r="21025">
      <c r="B21025" s="612"/>
      <c r="H21025" s="612"/>
    </row>
    <row r="21026">
      <c r="B21026" s="612"/>
      <c r="H21026" s="612"/>
    </row>
    <row r="21027">
      <c r="B21027" s="612"/>
      <c r="H21027" s="612"/>
    </row>
    <row r="21028">
      <c r="B21028" s="612"/>
      <c r="H21028" s="612"/>
    </row>
    <row r="21029">
      <c r="B21029" s="612"/>
      <c r="H21029" s="612"/>
    </row>
    <row r="21030">
      <c r="B21030" s="612"/>
      <c r="H21030" s="612"/>
    </row>
    <row r="21031">
      <c r="B21031" s="612"/>
      <c r="H21031" s="612"/>
    </row>
    <row r="21032">
      <c r="B21032" s="612"/>
      <c r="H21032" s="612"/>
    </row>
    <row r="21033">
      <c r="B21033" s="612"/>
      <c r="H21033" s="612"/>
    </row>
    <row r="21034">
      <c r="B21034" s="612"/>
      <c r="H21034" s="612"/>
    </row>
    <row r="21035">
      <c r="B21035" s="612"/>
      <c r="H21035" s="612"/>
    </row>
    <row r="21036">
      <c r="B21036" s="612"/>
      <c r="H21036" s="612"/>
    </row>
    <row r="21037">
      <c r="B21037" s="612"/>
      <c r="H21037" s="612"/>
    </row>
    <row r="21038">
      <c r="B21038" s="612"/>
      <c r="H21038" s="612"/>
    </row>
    <row r="21039">
      <c r="B21039" s="612"/>
      <c r="H21039" s="612"/>
    </row>
    <row r="21040">
      <c r="B21040" s="612"/>
      <c r="H21040" s="612"/>
    </row>
    <row r="21041">
      <c r="B21041" s="612"/>
      <c r="H21041" s="612"/>
    </row>
    <row r="21042">
      <c r="B21042" s="612"/>
      <c r="H21042" s="612"/>
    </row>
    <row r="21043">
      <c r="B21043" s="612"/>
      <c r="H21043" s="612"/>
    </row>
    <row r="21044">
      <c r="B21044" s="612"/>
      <c r="H21044" s="612"/>
    </row>
    <row r="21045">
      <c r="B21045" s="612"/>
      <c r="H21045" s="612"/>
    </row>
    <row r="21046">
      <c r="B21046" s="612"/>
      <c r="H21046" s="612"/>
    </row>
    <row r="21047">
      <c r="B21047" s="612"/>
      <c r="H21047" s="612"/>
    </row>
    <row r="21048">
      <c r="B21048" s="612"/>
      <c r="H21048" s="612"/>
    </row>
    <row r="21049">
      <c r="B21049" s="612"/>
      <c r="H21049" s="612"/>
    </row>
    <row r="21050">
      <c r="B21050" s="612"/>
      <c r="H21050" s="612"/>
    </row>
    <row r="21051">
      <c r="B21051" s="612"/>
      <c r="H21051" s="612"/>
    </row>
    <row r="21052">
      <c r="B21052" s="612"/>
      <c r="H21052" s="612"/>
    </row>
    <row r="21053">
      <c r="B21053" s="612"/>
      <c r="H21053" s="612"/>
    </row>
    <row r="21054">
      <c r="B21054" s="612"/>
      <c r="H21054" s="612"/>
    </row>
    <row r="21055">
      <c r="B21055" s="612"/>
      <c r="H21055" s="612"/>
    </row>
    <row r="21056">
      <c r="B21056" s="612"/>
      <c r="H21056" s="612"/>
    </row>
    <row r="21057">
      <c r="B21057" s="612"/>
      <c r="H21057" s="612"/>
    </row>
    <row r="21058">
      <c r="B21058" s="612"/>
      <c r="H21058" s="612"/>
    </row>
    <row r="21059">
      <c r="B21059" s="612"/>
      <c r="H21059" s="612"/>
    </row>
    <row r="21060">
      <c r="B21060" s="612"/>
      <c r="H21060" s="612"/>
    </row>
    <row r="21061">
      <c r="B21061" s="612"/>
      <c r="H21061" s="612"/>
    </row>
    <row r="21062">
      <c r="B21062" s="612"/>
      <c r="H21062" s="612"/>
    </row>
    <row r="21063">
      <c r="B21063" s="612"/>
      <c r="H21063" s="612"/>
    </row>
    <row r="21064">
      <c r="B21064" s="612"/>
      <c r="H21064" s="612"/>
    </row>
    <row r="21065">
      <c r="B21065" s="612"/>
      <c r="H21065" s="612"/>
    </row>
    <row r="21066">
      <c r="B21066" s="612"/>
      <c r="H21066" s="612"/>
    </row>
    <row r="21067">
      <c r="B21067" s="612"/>
      <c r="H21067" s="612"/>
    </row>
    <row r="21068">
      <c r="B21068" s="612"/>
      <c r="H21068" s="612"/>
    </row>
    <row r="21069">
      <c r="B21069" s="612"/>
      <c r="H21069" s="612"/>
    </row>
    <row r="21070">
      <c r="B21070" s="612"/>
      <c r="H21070" s="612"/>
    </row>
    <row r="21071">
      <c r="B21071" s="612"/>
      <c r="H21071" s="612"/>
    </row>
    <row r="21072">
      <c r="B21072" s="612"/>
      <c r="H21072" s="612"/>
    </row>
    <row r="21073">
      <c r="B21073" s="612"/>
      <c r="H21073" s="612"/>
    </row>
    <row r="21074">
      <c r="B21074" s="612"/>
      <c r="H21074" s="612"/>
    </row>
    <row r="21075">
      <c r="B21075" s="612"/>
      <c r="H21075" s="612"/>
    </row>
    <row r="21076">
      <c r="B21076" s="612"/>
      <c r="H21076" s="612"/>
    </row>
    <row r="21077">
      <c r="B21077" s="612"/>
      <c r="H21077" s="612"/>
    </row>
    <row r="21078">
      <c r="B21078" s="612"/>
      <c r="H21078" s="612"/>
    </row>
    <row r="21079">
      <c r="B21079" s="612"/>
      <c r="H21079" s="612"/>
    </row>
    <row r="21080">
      <c r="B21080" s="612"/>
      <c r="H21080" s="612"/>
    </row>
    <row r="21081">
      <c r="B21081" s="612"/>
      <c r="H21081" s="612"/>
    </row>
    <row r="21082">
      <c r="B21082" s="612"/>
      <c r="H21082" s="612"/>
    </row>
    <row r="21083">
      <c r="B21083" s="612"/>
      <c r="H21083" s="612"/>
    </row>
    <row r="21084">
      <c r="B21084" s="612"/>
      <c r="H21084" s="612"/>
    </row>
    <row r="21085">
      <c r="B21085" s="612"/>
      <c r="H21085" s="612"/>
    </row>
    <row r="21086">
      <c r="B21086" s="612"/>
      <c r="H21086" s="612"/>
    </row>
    <row r="21087">
      <c r="B21087" s="612"/>
      <c r="H21087" s="612"/>
    </row>
    <row r="21088">
      <c r="B21088" s="612"/>
      <c r="H21088" s="612"/>
    </row>
    <row r="21089">
      <c r="B21089" s="612"/>
      <c r="H21089" s="612"/>
    </row>
    <row r="21090">
      <c r="B21090" s="612"/>
      <c r="H21090" s="612"/>
    </row>
    <row r="21091">
      <c r="B21091" s="612"/>
      <c r="H21091" s="612"/>
    </row>
    <row r="21092">
      <c r="B21092" s="612"/>
      <c r="H21092" s="612"/>
    </row>
    <row r="21093">
      <c r="B21093" s="612"/>
      <c r="H21093" s="612"/>
    </row>
    <row r="21094">
      <c r="B21094" s="612"/>
      <c r="H21094" s="612"/>
    </row>
    <row r="21095">
      <c r="B21095" s="612"/>
      <c r="H21095" s="612"/>
    </row>
    <row r="21096">
      <c r="B21096" s="612"/>
      <c r="H21096" s="612"/>
    </row>
    <row r="21097">
      <c r="B21097" s="612"/>
      <c r="H21097" s="612"/>
    </row>
    <row r="21098">
      <c r="B21098" s="612"/>
      <c r="H21098" s="612"/>
    </row>
    <row r="21099">
      <c r="B21099" s="612"/>
      <c r="H21099" s="612"/>
    </row>
    <row r="21100">
      <c r="B21100" s="612"/>
      <c r="H21100" s="612"/>
    </row>
    <row r="21101">
      <c r="B21101" s="612"/>
      <c r="H21101" s="612"/>
    </row>
    <row r="21102">
      <c r="B21102" s="612"/>
      <c r="H21102" s="612"/>
    </row>
    <row r="21103">
      <c r="B21103" s="612"/>
      <c r="H21103" s="612"/>
    </row>
    <row r="21104">
      <c r="B21104" s="612"/>
      <c r="H21104" s="612"/>
    </row>
    <row r="21105">
      <c r="B21105" s="612"/>
      <c r="H21105" s="612"/>
    </row>
    <row r="21106">
      <c r="B21106" s="612"/>
      <c r="H21106" s="612"/>
    </row>
    <row r="21107">
      <c r="B21107" s="612"/>
      <c r="H21107" s="612"/>
    </row>
    <row r="21108">
      <c r="B21108" s="612"/>
      <c r="H21108" s="612"/>
    </row>
    <row r="21109">
      <c r="B21109" s="612"/>
      <c r="H21109" s="612"/>
    </row>
    <row r="21110">
      <c r="B21110" s="612"/>
      <c r="H21110" s="612"/>
    </row>
    <row r="21111">
      <c r="B21111" s="612"/>
      <c r="H21111" s="612"/>
    </row>
    <row r="21112">
      <c r="B21112" s="612"/>
      <c r="H21112" s="612"/>
    </row>
    <row r="21113">
      <c r="B21113" s="612"/>
      <c r="H21113" s="612"/>
    </row>
    <row r="21114">
      <c r="B21114" s="612"/>
      <c r="H21114" s="612"/>
    </row>
    <row r="21115">
      <c r="B21115" s="612"/>
      <c r="H21115" s="612"/>
    </row>
    <row r="21116">
      <c r="B21116" s="612"/>
      <c r="H21116" s="612"/>
    </row>
    <row r="21117">
      <c r="B21117" s="612"/>
      <c r="H21117" s="612"/>
    </row>
    <row r="21118">
      <c r="B21118" s="612"/>
      <c r="H21118" s="612"/>
    </row>
    <row r="21119">
      <c r="B21119" s="612"/>
      <c r="H21119" s="612"/>
    </row>
    <row r="21120">
      <c r="B21120" s="612"/>
      <c r="H21120" s="612"/>
    </row>
    <row r="21121">
      <c r="B21121" s="612"/>
      <c r="H21121" s="612"/>
    </row>
    <row r="21122">
      <c r="B21122" s="612"/>
      <c r="H21122" s="612"/>
    </row>
    <row r="21123">
      <c r="B21123" s="612"/>
      <c r="H21123" s="612"/>
    </row>
    <row r="21124">
      <c r="B21124" s="612"/>
      <c r="H21124" s="612"/>
    </row>
    <row r="21125">
      <c r="B21125" s="612"/>
      <c r="H21125" s="612"/>
    </row>
    <row r="21126">
      <c r="B21126" s="612"/>
      <c r="H21126" s="612"/>
    </row>
    <row r="21127">
      <c r="B21127" s="612"/>
      <c r="H21127" s="612"/>
    </row>
    <row r="21128">
      <c r="B21128" s="612"/>
      <c r="H21128" s="612"/>
    </row>
    <row r="21129">
      <c r="B21129" s="612"/>
      <c r="H21129" s="612"/>
    </row>
    <row r="21130">
      <c r="B21130" s="612"/>
      <c r="H21130" s="612"/>
    </row>
    <row r="21131">
      <c r="B21131" s="612"/>
      <c r="H21131" s="612"/>
    </row>
    <row r="21132">
      <c r="B21132" s="612"/>
      <c r="H21132" s="612"/>
    </row>
    <row r="21133">
      <c r="B21133" s="612"/>
      <c r="H21133" s="612"/>
    </row>
    <row r="21134">
      <c r="B21134" s="612"/>
      <c r="H21134" s="612"/>
    </row>
    <row r="21135">
      <c r="B21135" s="612"/>
      <c r="H21135" s="612"/>
    </row>
    <row r="21136">
      <c r="B21136" s="612"/>
      <c r="H21136" s="612"/>
    </row>
    <row r="21137">
      <c r="B21137" s="612"/>
      <c r="H21137" s="612"/>
    </row>
    <row r="21138">
      <c r="B21138" s="612"/>
      <c r="H21138" s="612"/>
    </row>
    <row r="21139">
      <c r="B21139" s="612"/>
      <c r="H21139" s="612"/>
    </row>
    <row r="21140">
      <c r="B21140" s="612"/>
      <c r="H21140" s="612"/>
    </row>
    <row r="21141">
      <c r="B21141" s="612"/>
      <c r="H21141" s="612"/>
    </row>
    <row r="21142">
      <c r="B21142" s="612"/>
      <c r="H21142" s="612"/>
    </row>
    <row r="21143">
      <c r="B21143" s="612"/>
      <c r="H21143" s="612"/>
    </row>
    <row r="21144">
      <c r="B21144" s="612"/>
      <c r="H21144" s="612"/>
    </row>
    <row r="21145">
      <c r="B21145" s="612"/>
      <c r="H21145" s="612"/>
    </row>
    <row r="21146">
      <c r="B21146" s="612"/>
      <c r="H21146" s="612"/>
    </row>
    <row r="21147">
      <c r="B21147" s="612"/>
      <c r="H21147" s="612"/>
    </row>
    <row r="21148">
      <c r="B21148" s="612"/>
      <c r="H21148" s="612"/>
    </row>
    <row r="21149">
      <c r="B21149" s="612"/>
      <c r="H21149" s="612"/>
    </row>
    <row r="21150">
      <c r="B21150" s="612"/>
      <c r="H21150" s="612"/>
    </row>
    <row r="21151">
      <c r="B21151" s="612"/>
      <c r="H21151" s="612"/>
    </row>
    <row r="21152">
      <c r="B21152" s="612"/>
      <c r="H21152" s="612"/>
    </row>
    <row r="21153">
      <c r="B21153" s="612"/>
      <c r="H21153" s="612"/>
    </row>
    <row r="21154">
      <c r="B21154" s="612"/>
      <c r="H21154" s="612"/>
    </row>
    <row r="21155">
      <c r="B21155" s="612"/>
      <c r="H21155" s="612"/>
    </row>
    <row r="21156">
      <c r="B21156" s="612"/>
      <c r="H21156" s="612"/>
    </row>
    <row r="21157">
      <c r="B21157" s="612"/>
      <c r="H21157" s="612"/>
    </row>
    <row r="21158">
      <c r="B21158" s="612"/>
      <c r="H21158" s="612"/>
    </row>
    <row r="21159">
      <c r="B21159" s="612"/>
      <c r="H21159" s="612"/>
    </row>
    <row r="21160">
      <c r="B21160" s="612"/>
      <c r="H21160" s="612"/>
    </row>
    <row r="21161">
      <c r="B21161" s="612"/>
      <c r="H21161" s="612"/>
    </row>
    <row r="21162">
      <c r="B21162" s="612"/>
      <c r="H21162" s="612"/>
    </row>
    <row r="21163">
      <c r="B21163" s="612"/>
      <c r="H21163" s="612"/>
    </row>
    <row r="21164">
      <c r="B21164" s="612"/>
      <c r="H21164" s="612"/>
    </row>
    <row r="21165">
      <c r="B21165" s="612"/>
      <c r="H21165" s="612"/>
    </row>
    <row r="21166">
      <c r="B21166" s="612"/>
      <c r="H21166" s="612"/>
    </row>
    <row r="21167">
      <c r="B21167" s="612"/>
      <c r="H21167" s="612"/>
    </row>
    <row r="21168">
      <c r="B21168" s="612"/>
      <c r="H21168" s="612"/>
    </row>
    <row r="21169">
      <c r="B21169" s="612"/>
      <c r="H21169" s="612"/>
    </row>
    <row r="21170">
      <c r="B21170" s="612"/>
      <c r="H21170" s="612"/>
    </row>
    <row r="21171">
      <c r="B21171" s="612"/>
      <c r="H21171" s="612"/>
    </row>
    <row r="21172">
      <c r="B21172" s="612"/>
      <c r="H21172" s="612"/>
    </row>
    <row r="21173">
      <c r="B21173" s="612"/>
      <c r="H21173" s="612"/>
    </row>
    <row r="21174">
      <c r="B21174" s="612"/>
      <c r="H21174" s="612"/>
    </row>
    <row r="21175">
      <c r="B21175" s="612"/>
      <c r="H21175" s="612"/>
    </row>
    <row r="21176">
      <c r="B21176" s="612"/>
      <c r="H21176" s="612"/>
    </row>
    <row r="21177">
      <c r="B21177" s="612"/>
      <c r="H21177" s="612"/>
    </row>
    <row r="21178">
      <c r="B21178" s="612"/>
      <c r="H21178" s="612"/>
    </row>
    <row r="21179">
      <c r="B21179" s="612"/>
      <c r="H21179" s="612"/>
    </row>
    <row r="21180">
      <c r="B21180" s="612"/>
      <c r="H21180" s="612"/>
    </row>
    <row r="21181">
      <c r="B21181" s="612"/>
      <c r="H21181" s="612"/>
    </row>
    <row r="21182">
      <c r="B21182" s="612"/>
      <c r="H21182" s="612"/>
    </row>
    <row r="21183">
      <c r="B21183" s="612"/>
      <c r="H21183" s="612"/>
    </row>
    <row r="21184">
      <c r="B21184" s="612"/>
      <c r="H21184" s="612"/>
    </row>
    <row r="21185">
      <c r="B21185" s="612"/>
      <c r="H21185" s="612"/>
    </row>
    <row r="21186">
      <c r="B21186" s="612"/>
      <c r="H21186" s="612"/>
    </row>
    <row r="21187">
      <c r="B21187" s="612"/>
      <c r="H21187" s="612"/>
    </row>
    <row r="21188">
      <c r="B21188" s="612"/>
      <c r="H21188" s="612"/>
    </row>
    <row r="21189">
      <c r="B21189" s="612"/>
      <c r="H21189" s="612"/>
    </row>
    <row r="21190">
      <c r="B21190" s="612"/>
      <c r="H21190" s="612"/>
    </row>
    <row r="21191">
      <c r="B21191" s="612"/>
      <c r="H21191" s="612"/>
    </row>
    <row r="21192">
      <c r="B21192" s="612"/>
      <c r="H21192" s="612"/>
    </row>
    <row r="21193">
      <c r="B21193" s="612"/>
      <c r="H21193" s="612"/>
    </row>
    <row r="21194">
      <c r="B21194" s="612"/>
      <c r="H21194" s="612"/>
    </row>
    <row r="21195">
      <c r="B21195" s="612"/>
      <c r="H21195" s="612"/>
    </row>
    <row r="21196">
      <c r="B21196" s="612"/>
      <c r="H21196" s="612"/>
    </row>
    <row r="21197">
      <c r="B21197" s="612"/>
      <c r="H21197" s="612"/>
    </row>
    <row r="21198">
      <c r="B21198" s="612"/>
      <c r="H21198" s="612"/>
    </row>
    <row r="21199">
      <c r="B21199" s="612"/>
      <c r="H21199" s="612"/>
    </row>
    <row r="21200">
      <c r="B21200" s="612"/>
      <c r="H21200" s="612"/>
    </row>
    <row r="21201">
      <c r="B21201" s="612"/>
      <c r="H21201" s="612"/>
    </row>
    <row r="21202">
      <c r="B21202" s="612"/>
      <c r="H21202" s="612"/>
    </row>
    <row r="21203">
      <c r="B21203" s="612"/>
      <c r="H21203" s="612"/>
    </row>
    <row r="21204">
      <c r="B21204" s="612"/>
      <c r="H21204" s="612"/>
    </row>
    <row r="21205">
      <c r="B21205" s="612"/>
      <c r="H21205" s="612"/>
    </row>
    <row r="21206">
      <c r="B21206" s="612"/>
      <c r="H21206" s="612"/>
    </row>
    <row r="21207">
      <c r="B21207" s="612"/>
      <c r="H21207" s="612"/>
    </row>
    <row r="21208">
      <c r="B21208" s="612"/>
      <c r="H21208" s="612"/>
    </row>
    <row r="21209">
      <c r="B21209" s="612"/>
      <c r="H21209" s="612"/>
    </row>
    <row r="21210">
      <c r="B21210" s="612"/>
      <c r="H21210" s="612"/>
    </row>
    <row r="21211">
      <c r="B21211" s="612"/>
      <c r="H21211" s="612"/>
    </row>
    <row r="21212">
      <c r="B21212" s="612"/>
      <c r="H21212" s="612"/>
    </row>
    <row r="21213">
      <c r="B21213" s="612"/>
      <c r="H21213" s="612"/>
    </row>
    <row r="21214">
      <c r="B21214" s="612"/>
      <c r="H21214" s="612"/>
    </row>
    <row r="21215">
      <c r="B21215" s="612"/>
      <c r="H21215" s="612"/>
    </row>
    <row r="21216">
      <c r="B21216" s="612"/>
      <c r="H21216" s="612"/>
    </row>
    <row r="21217">
      <c r="B21217" s="612"/>
      <c r="H21217" s="612"/>
    </row>
    <row r="21218">
      <c r="B21218" s="612"/>
      <c r="H21218" s="612"/>
    </row>
    <row r="21219">
      <c r="B21219" s="612"/>
      <c r="H21219" s="612"/>
    </row>
    <row r="21220">
      <c r="B21220" s="612"/>
      <c r="H21220" s="612"/>
    </row>
    <row r="21221">
      <c r="B21221" s="612"/>
      <c r="H21221" s="612"/>
    </row>
    <row r="21222">
      <c r="B21222" s="612"/>
      <c r="H21222" s="612"/>
    </row>
    <row r="21223">
      <c r="B21223" s="612"/>
      <c r="H21223" s="612"/>
    </row>
    <row r="21224">
      <c r="B21224" s="612"/>
      <c r="H21224" s="612"/>
    </row>
    <row r="21225">
      <c r="B21225" s="612"/>
      <c r="H21225" s="612"/>
    </row>
    <row r="21226">
      <c r="B21226" s="612"/>
      <c r="H21226" s="612"/>
    </row>
    <row r="21227">
      <c r="B21227" s="612"/>
      <c r="H21227" s="612"/>
    </row>
    <row r="21228">
      <c r="B21228" s="612"/>
      <c r="H21228" s="612"/>
    </row>
    <row r="21229">
      <c r="B21229" s="612"/>
      <c r="H21229" s="612"/>
    </row>
    <row r="21230">
      <c r="B21230" s="612"/>
      <c r="H21230" s="612"/>
    </row>
    <row r="21231">
      <c r="B21231" s="612"/>
      <c r="H21231" s="612"/>
    </row>
    <row r="21232">
      <c r="B21232" s="612"/>
      <c r="H21232" s="612"/>
    </row>
    <row r="21233">
      <c r="B21233" s="612"/>
      <c r="H21233" s="612"/>
    </row>
    <row r="21234">
      <c r="B21234" s="612"/>
      <c r="H21234" s="612"/>
    </row>
    <row r="21235">
      <c r="B21235" s="612"/>
      <c r="H21235" s="612"/>
    </row>
    <row r="21236">
      <c r="B21236" s="612"/>
      <c r="H21236" s="612"/>
    </row>
    <row r="21237">
      <c r="B21237" s="612"/>
      <c r="H21237" s="612"/>
    </row>
    <row r="21238">
      <c r="B21238" s="612"/>
      <c r="H21238" s="612"/>
    </row>
    <row r="21239">
      <c r="B21239" s="612"/>
      <c r="H21239" s="612"/>
    </row>
    <row r="21240">
      <c r="B21240" s="612"/>
      <c r="H21240" s="612"/>
    </row>
    <row r="21241">
      <c r="B21241" s="612"/>
      <c r="H21241" s="612"/>
    </row>
    <row r="21242">
      <c r="B21242" s="612"/>
      <c r="H21242" s="612"/>
    </row>
    <row r="21243">
      <c r="B21243" s="612"/>
      <c r="H21243" s="612"/>
    </row>
    <row r="21244">
      <c r="B21244" s="612"/>
      <c r="H21244" s="612"/>
    </row>
    <row r="21245">
      <c r="B21245" s="612"/>
      <c r="H21245" s="612"/>
    </row>
    <row r="21246">
      <c r="B21246" s="612"/>
      <c r="H21246" s="612"/>
    </row>
    <row r="21247">
      <c r="B21247" s="612"/>
      <c r="H21247" s="612"/>
    </row>
    <row r="21248">
      <c r="B21248" s="612"/>
      <c r="H21248" s="612"/>
    </row>
    <row r="21249">
      <c r="B21249" s="612"/>
      <c r="H21249" s="612"/>
    </row>
    <row r="21250">
      <c r="B21250" s="612"/>
      <c r="H21250" s="612"/>
    </row>
    <row r="21251">
      <c r="B21251" s="612"/>
      <c r="H21251" s="612"/>
    </row>
    <row r="21252">
      <c r="B21252" s="612"/>
      <c r="H21252" s="612"/>
    </row>
    <row r="21253">
      <c r="B21253" s="612"/>
      <c r="H21253" s="612"/>
    </row>
    <row r="21254">
      <c r="B21254" s="612"/>
      <c r="H21254" s="612"/>
    </row>
    <row r="21255">
      <c r="B21255" s="612"/>
      <c r="H21255" s="612"/>
    </row>
    <row r="21256">
      <c r="B21256" s="612"/>
      <c r="H21256" s="612"/>
    </row>
    <row r="21257">
      <c r="B21257" s="612"/>
      <c r="H21257" s="612"/>
    </row>
    <row r="21258">
      <c r="B21258" s="612"/>
      <c r="H21258" s="612"/>
    </row>
    <row r="21259">
      <c r="B21259" s="612"/>
      <c r="H21259" s="612"/>
    </row>
    <row r="21260">
      <c r="B21260" s="612"/>
      <c r="H21260" s="612"/>
    </row>
    <row r="21261">
      <c r="B21261" s="612"/>
      <c r="H21261" s="612"/>
    </row>
    <row r="21262">
      <c r="B21262" s="612"/>
      <c r="H21262" s="612"/>
    </row>
    <row r="21263">
      <c r="B21263" s="612"/>
      <c r="H21263" s="612"/>
    </row>
    <row r="21264">
      <c r="B21264" s="612"/>
      <c r="H21264" s="612"/>
    </row>
    <row r="21265">
      <c r="B21265" s="612"/>
      <c r="H21265" s="612"/>
    </row>
    <row r="21266">
      <c r="B21266" s="612"/>
      <c r="H21266" s="612"/>
    </row>
    <row r="21267">
      <c r="B21267" s="612"/>
      <c r="H21267" s="612"/>
    </row>
    <row r="21268">
      <c r="B21268" s="612"/>
      <c r="H21268" s="612"/>
    </row>
    <row r="21269">
      <c r="B21269" s="612"/>
      <c r="H21269" s="612"/>
    </row>
    <row r="21270">
      <c r="B21270" s="612"/>
      <c r="H21270" s="612"/>
    </row>
    <row r="21271">
      <c r="B21271" s="612"/>
      <c r="H21271" s="612"/>
    </row>
    <row r="21272">
      <c r="B21272" s="612"/>
      <c r="H21272" s="612"/>
    </row>
    <row r="21273">
      <c r="B21273" s="612"/>
      <c r="H21273" s="612"/>
    </row>
    <row r="21274">
      <c r="B21274" s="612"/>
      <c r="H21274" s="612"/>
    </row>
    <row r="21275">
      <c r="B21275" s="612"/>
      <c r="H21275" s="612"/>
    </row>
    <row r="21276">
      <c r="B21276" s="612"/>
      <c r="H21276" s="612"/>
    </row>
    <row r="21277">
      <c r="B21277" s="612"/>
      <c r="H21277" s="612"/>
    </row>
    <row r="21278">
      <c r="B21278" s="612"/>
      <c r="H21278" s="612"/>
    </row>
    <row r="21279">
      <c r="B21279" s="612"/>
      <c r="H21279" s="612"/>
    </row>
    <row r="21280">
      <c r="B21280" s="612"/>
      <c r="H21280" s="612"/>
    </row>
    <row r="21281">
      <c r="B21281" s="612"/>
      <c r="H21281" s="612"/>
    </row>
    <row r="21282">
      <c r="B21282" s="612"/>
      <c r="H21282" s="612"/>
    </row>
    <row r="21283">
      <c r="B21283" s="612"/>
      <c r="H21283" s="612"/>
    </row>
    <row r="21284">
      <c r="B21284" s="612"/>
      <c r="H21284" s="612"/>
    </row>
    <row r="21285">
      <c r="B21285" s="612"/>
      <c r="H21285" s="612"/>
    </row>
    <row r="21286">
      <c r="B21286" s="612"/>
      <c r="H21286" s="612"/>
    </row>
    <row r="21287">
      <c r="B21287" s="612"/>
      <c r="H21287" s="612"/>
    </row>
    <row r="21288">
      <c r="B21288" s="612"/>
      <c r="H21288" s="612"/>
    </row>
    <row r="21289">
      <c r="B21289" s="612"/>
      <c r="H21289" s="612"/>
    </row>
    <row r="21290">
      <c r="B21290" s="612"/>
      <c r="H21290" s="612"/>
    </row>
    <row r="21291">
      <c r="B21291" s="612"/>
      <c r="H21291" s="612"/>
    </row>
    <row r="21292">
      <c r="B21292" s="612"/>
      <c r="H21292" s="612"/>
    </row>
    <row r="21293">
      <c r="B21293" s="612"/>
      <c r="H21293" s="612"/>
    </row>
    <row r="21294">
      <c r="B21294" s="612"/>
      <c r="H21294" s="612"/>
    </row>
    <row r="21295">
      <c r="B21295" s="612"/>
      <c r="H21295" s="612"/>
    </row>
    <row r="21296">
      <c r="B21296" s="612"/>
      <c r="H21296" s="612"/>
    </row>
    <row r="21297">
      <c r="B21297" s="612"/>
      <c r="H21297" s="612"/>
    </row>
    <row r="21298">
      <c r="B21298" s="612"/>
      <c r="H21298" s="612"/>
    </row>
    <row r="21299">
      <c r="B21299" s="612"/>
      <c r="H21299" s="612"/>
    </row>
    <row r="21300">
      <c r="B21300" s="612"/>
      <c r="H21300" s="612"/>
    </row>
    <row r="21301">
      <c r="B21301" s="612"/>
      <c r="H21301" s="612"/>
    </row>
    <row r="21302">
      <c r="B21302" s="612"/>
      <c r="H21302" s="612"/>
    </row>
    <row r="21303">
      <c r="B21303" s="612"/>
      <c r="H21303" s="612"/>
    </row>
    <row r="21304">
      <c r="B21304" s="612"/>
      <c r="H21304" s="612"/>
    </row>
    <row r="21305">
      <c r="B21305" s="612"/>
      <c r="H21305" s="612"/>
    </row>
    <row r="21306">
      <c r="B21306" s="612"/>
      <c r="H21306" s="612"/>
    </row>
    <row r="21307">
      <c r="B21307" s="612"/>
      <c r="H21307" s="612"/>
    </row>
    <row r="21308">
      <c r="B21308" s="612"/>
      <c r="H21308" s="612"/>
    </row>
    <row r="21309">
      <c r="B21309" s="612"/>
      <c r="H21309" s="612"/>
    </row>
    <row r="21310">
      <c r="B21310" s="612"/>
      <c r="H21310" s="612"/>
    </row>
    <row r="21311">
      <c r="B21311" s="612"/>
      <c r="H21311" s="612"/>
    </row>
    <row r="21312">
      <c r="B21312" s="612"/>
      <c r="H21312" s="612"/>
    </row>
    <row r="21313">
      <c r="B21313" s="612"/>
      <c r="H21313" s="612"/>
    </row>
    <row r="21314">
      <c r="B21314" s="612"/>
      <c r="H21314" s="612"/>
    </row>
    <row r="21315">
      <c r="B21315" s="612"/>
      <c r="H21315" s="612"/>
    </row>
    <row r="21316">
      <c r="B21316" s="612"/>
      <c r="H21316" s="612"/>
    </row>
    <row r="21317">
      <c r="B21317" s="612"/>
      <c r="H21317" s="612"/>
    </row>
    <row r="21318">
      <c r="B21318" s="612"/>
      <c r="H21318" s="612"/>
    </row>
    <row r="21319">
      <c r="B21319" s="612"/>
      <c r="H21319" s="612"/>
    </row>
    <row r="21320">
      <c r="B21320" s="612"/>
      <c r="H21320" s="612"/>
    </row>
    <row r="21321">
      <c r="B21321" s="612"/>
      <c r="H21321" s="612"/>
    </row>
    <row r="21322">
      <c r="B21322" s="612"/>
      <c r="H21322" s="612"/>
    </row>
    <row r="21323">
      <c r="B21323" s="612"/>
      <c r="H21323" s="612"/>
    </row>
    <row r="21324">
      <c r="B21324" s="612"/>
      <c r="H21324" s="612"/>
    </row>
    <row r="21325">
      <c r="B21325" s="612"/>
      <c r="H21325" s="612"/>
    </row>
    <row r="21326">
      <c r="B21326" s="612"/>
      <c r="H21326" s="612"/>
    </row>
    <row r="21327">
      <c r="B21327" s="612"/>
      <c r="H21327" s="612"/>
    </row>
    <row r="21328">
      <c r="B21328" s="612"/>
      <c r="H21328" s="612"/>
    </row>
    <row r="21329">
      <c r="B21329" s="612"/>
      <c r="H21329" s="612"/>
    </row>
    <row r="21330">
      <c r="B21330" s="612"/>
      <c r="H21330" s="612"/>
    </row>
    <row r="21331">
      <c r="B21331" s="612"/>
      <c r="H21331" s="612"/>
    </row>
    <row r="21332">
      <c r="B21332" s="612"/>
      <c r="H21332" s="612"/>
    </row>
    <row r="21333">
      <c r="B21333" s="612"/>
      <c r="H21333" s="612"/>
    </row>
    <row r="21334">
      <c r="B21334" s="612"/>
      <c r="H21334" s="612"/>
    </row>
    <row r="21335">
      <c r="B21335" s="612"/>
      <c r="H21335" s="612"/>
    </row>
    <row r="21336">
      <c r="B21336" s="612"/>
      <c r="H21336" s="612"/>
    </row>
    <row r="21337">
      <c r="B21337" s="612"/>
      <c r="H21337" s="612"/>
    </row>
    <row r="21338">
      <c r="B21338" s="612"/>
      <c r="H21338" s="612"/>
    </row>
    <row r="21339">
      <c r="B21339" s="612"/>
      <c r="H21339" s="612"/>
    </row>
    <row r="21340">
      <c r="B21340" s="612"/>
      <c r="H21340" s="612"/>
    </row>
    <row r="21341">
      <c r="B21341" s="612"/>
      <c r="H21341" s="612"/>
    </row>
    <row r="21342">
      <c r="B21342" s="612"/>
      <c r="H21342" s="612"/>
    </row>
    <row r="21343">
      <c r="B21343" s="612"/>
      <c r="H21343" s="612"/>
    </row>
    <row r="21344">
      <c r="B21344" s="612"/>
      <c r="H21344" s="612"/>
    </row>
    <row r="21345">
      <c r="B21345" s="612"/>
      <c r="H21345" s="612"/>
    </row>
    <row r="21346">
      <c r="B21346" s="612"/>
      <c r="H21346" s="612"/>
    </row>
    <row r="21347">
      <c r="B21347" s="612"/>
      <c r="H21347" s="612"/>
    </row>
    <row r="21348">
      <c r="B21348" s="612"/>
      <c r="H21348" s="612"/>
    </row>
    <row r="21349">
      <c r="B21349" s="612"/>
      <c r="H21349" s="612"/>
    </row>
    <row r="21350">
      <c r="B21350" s="612"/>
      <c r="H21350" s="612"/>
    </row>
    <row r="21351">
      <c r="B21351" s="612"/>
      <c r="H21351" s="612"/>
    </row>
    <row r="21352">
      <c r="B21352" s="612"/>
      <c r="H21352" s="612"/>
    </row>
    <row r="21353">
      <c r="B21353" s="612"/>
      <c r="H21353" s="612"/>
    </row>
    <row r="21354">
      <c r="B21354" s="612"/>
      <c r="H21354" s="612"/>
    </row>
    <row r="21355">
      <c r="B21355" s="612"/>
      <c r="H21355" s="612"/>
    </row>
    <row r="21356">
      <c r="B21356" s="612"/>
      <c r="H21356" s="612"/>
    </row>
    <row r="21357">
      <c r="B21357" s="612"/>
      <c r="H21357" s="612"/>
    </row>
    <row r="21358">
      <c r="B21358" s="612"/>
      <c r="H21358" s="612"/>
    </row>
    <row r="21359">
      <c r="B21359" s="612"/>
      <c r="H21359" s="612"/>
    </row>
    <row r="21360">
      <c r="B21360" s="612"/>
      <c r="H21360" s="612"/>
    </row>
    <row r="21361">
      <c r="B21361" s="612"/>
      <c r="H21361" s="612"/>
    </row>
    <row r="21362">
      <c r="B21362" s="612"/>
      <c r="H21362" s="612"/>
    </row>
    <row r="21363">
      <c r="B21363" s="612"/>
      <c r="H21363" s="612"/>
    </row>
    <row r="21364">
      <c r="B21364" s="612"/>
      <c r="H21364" s="612"/>
    </row>
    <row r="21365">
      <c r="B21365" s="612"/>
      <c r="H21365" s="612"/>
    </row>
    <row r="21366">
      <c r="B21366" s="612"/>
      <c r="H21366" s="612"/>
    </row>
    <row r="21367">
      <c r="B21367" s="612"/>
      <c r="H21367" s="612"/>
    </row>
    <row r="21368">
      <c r="B21368" s="612"/>
      <c r="H21368" s="612"/>
    </row>
    <row r="21369">
      <c r="B21369" s="612"/>
      <c r="H21369" s="612"/>
    </row>
    <row r="21370">
      <c r="B21370" s="612"/>
      <c r="H21370" s="612"/>
    </row>
    <row r="21371">
      <c r="B21371" s="612"/>
      <c r="H21371" s="612"/>
    </row>
    <row r="21372">
      <c r="B21372" s="612"/>
      <c r="H21372" s="612"/>
    </row>
    <row r="21373">
      <c r="B21373" s="612"/>
      <c r="H21373" s="612"/>
    </row>
    <row r="21374">
      <c r="B21374" s="612"/>
      <c r="H21374" s="612"/>
    </row>
    <row r="21375">
      <c r="B21375" s="612"/>
      <c r="H21375" s="612"/>
    </row>
    <row r="21376">
      <c r="B21376" s="612"/>
      <c r="H21376" s="612"/>
    </row>
    <row r="21377">
      <c r="B21377" s="612"/>
      <c r="H21377" s="612"/>
    </row>
    <row r="21378">
      <c r="B21378" s="612"/>
      <c r="H21378" s="612"/>
    </row>
    <row r="21379">
      <c r="B21379" s="612"/>
      <c r="H21379" s="612"/>
    </row>
    <row r="21380">
      <c r="B21380" s="612"/>
      <c r="H21380" s="612"/>
    </row>
    <row r="21381">
      <c r="B21381" s="612"/>
      <c r="H21381" s="612"/>
    </row>
    <row r="21382">
      <c r="B21382" s="612"/>
      <c r="H21382" s="612"/>
    </row>
    <row r="21383">
      <c r="B21383" s="612"/>
      <c r="H21383" s="612"/>
    </row>
    <row r="21384">
      <c r="B21384" s="612"/>
      <c r="H21384" s="612"/>
    </row>
    <row r="21385">
      <c r="B21385" s="612"/>
      <c r="H21385" s="612"/>
    </row>
    <row r="21386">
      <c r="B21386" s="612"/>
      <c r="H21386" s="612"/>
    </row>
    <row r="21387">
      <c r="B21387" s="612"/>
      <c r="H21387" s="612"/>
    </row>
    <row r="21388">
      <c r="B21388" s="612"/>
      <c r="H21388" s="612"/>
    </row>
    <row r="21389">
      <c r="B21389" s="612"/>
      <c r="H21389" s="612"/>
    </row>
    <row r="21390">
      <c r="B21390" s="612"/>
      <c r="H21390" s="612"/>
    </row>
    <row r="21391">
      <c r="B21391" s="612"/>
      <c r="H21391" s="612"/>
    </row>
    <row r="21392">
      <c r="B21392" s="612"/>
      <c r="H21392" s="612"/>
    </row>
    <row r="21393">
      <c r="B21393" s="612"/>
      <c r="H21393" s="612"/>
    </row>
    <row r="21394">
      <c r="B21394" s="612"/>
      <c r="H21394" s="612"/>
    </row>
    <row r="21395">
      <c r="B21395" s="612"/>
      <c r="H21395" s="612"/>
    </row>
    <row r="21396">
      <c r="B21396" s="612"/>
      <c r="H21396" s="612"/>
    </row>
    <row r="21397">
      <c r="B21397" s="612"/>
      <c r="H21397" s="612"/>
    </row>
    <row r="21398">
      <c r="B21398" s="612"/>
      <c r="H21398" s="612"/>
    </row>
    <row r="21399">
      <c r="B21399" s="612"/>
      <c r="H21399" s="612"/>
    </row>
    <row r="21400">
      <c r="B21400" s="612"/>
      <c r="H21400" s="612"/>
    </row>
    <row r="21401">
      <c r="B21401" s="612"/>
      <c r="H21401" s="612"/>
    </row>
    <row r="21402">
      <c r="B21402" s="612"/>
      <c r="H21402" s="612"/>
    </row>
    <row r="21403">
      <c r="B21403" s="612"/>
      <c r="H21403" s="612"/>
    </row>
    <row r="21404">
      <c r="B21404" s="612"/>
      <c r="H21404" s="612"/>
    </row>
    <row r="21405">
      <c r="B21405" s="612"/>
      <c r="H21405" s="612"/>
    </row>
    <row r="21406">
      <c r="B21406" s="612"/>
      <c r="H21406" s="612"/>
    </row>
    <row r="21407">
      <c r="B21407" s="612"/>
      <c r="H21407" s="612"/>
    </row>
    <row r="21408">
      <c r="B21408" s="612"/>
      <c r="H21408" s="612"/>
    </row>
    <row r="21409">
      <c r="B21409" s="612"/>
      <c r="H21409" s="612"/>
    </row>
    <row r="21410">
      <c r="B21410" s="612"/>
      <c r="H21410" s="612"/>
    </row>
    <row r="21411">
      <c r="B21411" s="612"/>
      <c r="H21411" s="612"/>
    </row>
    <row r="21412">
      <c r="B21412" s="612"/>
      <c r="H21412" s="612"/>
    </row>
    <row r="21413">
      <c r="B21413" s="612"/>
      <c r="H21413" s="612"/>
    </row>
    <row r="21414">
      <c r="B21414" s="612"/>
      <c r="H21414" s="612"/>
    </row>
    <row r="21415">
      <c r="B21415" s="612"/>
      <c r="H21415" s="612"/>
    </row>
    <row r="21416">
      <c r="B21416" s="612"/>
      <c r="H21416" s="612"/>
    </row>
    <row r="21417">
      <c r="B21417" s="612"/>
      <c r="H21417" s="612"/>
    </row>
    <row r="21418">
      <c r="B21418" s="612"/>
      <c r="H21418" s="612"/>
    </row>
    <row r="21419">
      <c r="B21419" s="612"/>
      <c r="H21419" s="612"/>
    </row>
    <row r="21420">
      <c r="B21420" s="612"/>
      <c r="H21420" s="612"/>
    </row>
    <row r="21421">
      <c r="B21421" s="612"/>
      <c r="H21421" s="612"/>
    </row>
    <row r="21422">
      <c r="B21422" s="612"/>
      <c r="H21422" s="612"/>
    </row>
    <row r="21423">
      <c r="B21423" s="612"/>
      <c r="H21423" s="612"/>
    </row>
    <row r="21424">
      <c r="B21424" s="612"/>
      <c r="H21424" s="612"/>
    </row>
    <row r="21425">
      <c r="B21425" s="612"/>
      <c r="H21425" s="612"/>
    </row>
    <row r="21426">
      <c r="B21426" s="612"/>
      <c r="H21426" s="612"/>
    </row>
    <row r="21427">
      <c r="B21427" s="612"/>
      <c r="H21427" s="612"/>
    </row>
    <row r="21428">
      <c r="B21428" s="612"/>
      <c r="H21428" s="612"/>
    </row>
    <row r="21429">
      <c r="B21429" s="612"/>
      <c r="H21429" s="612"/>
    </row>
    <row r="21430">
      <c r="B21430" s="612"/>
      <c r="H21430" s="612"/>
    </row>
    <row r="21431">
      <c r="B21431" s="612"/>
      <c r="H21431" s="612"/>
    </row>
    <row r="21432">
      <c r="B21432" s="612"/>
      <c r="H21432" s="612"/>
    </row>
    <row r="21433">
      <c r="B21433" s="612"/>
      <c r="H21433" s="612"/>
    </row>
    <row r="21434">
      <c r="B21434" s="612"/>
      <c r="H21434" s="612"/>
    </row>
    <row r="21435">
      <c r="B21435" s="612"/>
      <c r="H21435" s="612"/>
    </row>
    <row r="21436">
      <c r="B21436" s="612"/>
      <c r="H21436" s="612"/>
    </row>
    <row r="21437">
      <c r="B21437" s="612"/>
      <c r="H21437" s="612"/>
    </row>
    <row r="21438">
      <c r="B21438" s="612"/>
      <c r="H21438" s="612"/>
    </row>
    <row r="21439">
      <c r="B21439" s="612"/>
      <c r="H21439" s="612"/>
    </row>
    <row r="21440">
      <c r="B21440" s="612"/>
      <c r="H21440" s="612"/>
    </row>
    <row r="21441">
      <c r="B21441" s="612"/>
      <c r="H21441" s="612"/>
    </row>
    <row r="21442">
      <c r="B21442" s="612"/>
      <c r="H21442" s="612"/>
    </row>
    <row r="21443">
      <c r="B21443" s="612"/>
      <c r="H21443" s="612"/>
    </row>
    <row r="21444">
      <c r="B21444" s="612"/>
      <c r="H21444" s="612"/>
    </row>
    <row r="21445">
      <c r="B21445" s="612"/>
      <c r="H21445" s="612"/>
    </row>
    <row r="21446">
      <c r="B21446" s="612"/>
      <c r="H21446" s="612"/>
    </row>
    <row r="21447">
      <c r="B21447" s="612"/>
      <c r="H21447" s="612"/>
    </row>
    <row r="21448">
      <c r="B21448" s="612"/>
      <c r="H21448" s="612"/>
    </row>
    <row r="21449">
      <c r="B21449" s="612"/>
      <c r="H21449" s="612"/>
    </row>
    <row r="21450">
      <c r="B21450" s="612"/>
      <c r="H21450" s="612"/>
    </row>
    <row r="21451">
      <c r="B21451" s="612"/>
      <c r="H21451" s="612"/>
    </row>
    <row r="21452">
      <c r="B21452" s="612"/>
      <c r="H21452" s="612"/>
    </row>
    <row r="21453">
      <c r="B21453" s="612"/>
      <c r="H21453" s="612"/>
    </row>
    <row r="21454">
      <c r="B21454" s="612"/>
      <c r="H21454" s="612"/>
    </row>
    <row r="21455">
      <c r="B21455" s="612"/>
      <c r="H21455" s="612"/>
    </row>
    <row r="21456">
      <c r="B21456" s="612"/>
      <c r="H21456" s="612"/>
    </row>
    <row r="21457">
      <c r="B21457" s="612"/>
      <c r="H21457" s="612"/>
    </row>
    <row r="21458">
      <c r="B21458" s="612"/>
      <c r="H21458" s="612"/>
    </row>
    <row r="21459">
      <c r="B21459" s="612"/>
      <c r="H21459" s="612"/>
    </row>
    <row r="21460">
      <c r="B21460" s="612"/>
      <c r="H21460" s="612"/>
    </row>
    <row r="21461">
      <c r="B21461" s="612"/>
      <c r="H21461" s="612"/>
    </row>
    <row r="21462">
      <c r="B21462" s="612"/>
      <c r="H21462" s="612"/>
    </row>
    <row r="21463">
      <c r="B21463" s="612"/>
      <c r="H21463" s="612"/>
    </row>
    <row r="21464">
      <c r="B21464" s="612"/>
      <c r="H21464" s="612"/>
    </row>
    <row r="21465">
      <c r="B21465" s="612"/>
      <c r="H21465" s="612"/>
    </row>
    <row r="21466">
      <c r="B21466" s="612"/>
      <c r="H21466" s="612"/>
    </row>
    <row r="21467">
      <c r="B21467" s="612"/>
      <c r="H21467" s="612"/>
    </row>
    <row r="21468">
      <c r="B21468" s="612"/>
      <c r="H21468" s="612"/>
    </row>
    <row r="21469">
      <c r="B21469" s="612"/>
      <c r="H21469" s="612"/>
    </row>
    <row r="21470">
      <c r="B21470" s="612"/>
      <c r="H21470" s="612"/>
    </row>
    <row r="21471">
      <c r="B21471" s="612"/>
      <c r="H21471" s="612"/>
    </row>
    <row r="21472">
      <c r="B21472" s="612"/>
      <c r="H21472" s="612"/>
    </row>
    <row r="21473">
      <c r="B21473" s="612"/>
      <c r="H21473" s="612"/>
    </row>
    <row r="21474">
      <c r="B21474" s="612"/>
      <c r="H21474" s="612"/>
    </row>
    <row r="21475">
      <c r="B21475" s="612"/>
      <c r="H21475" s="612"/>
    </row>
    <row r="21476">
      <c r="B21476" s="612"/>
      <c r="H21476" s="612"/>
    </row>
    <row r="21477">
      <c r="B21477" s="612"/>
      <c r="H21477" s="612"/>
    </row>
    <row r="21478">
      <c r="B21478" s="612"/>
      <c r="H21478" s="612"/>
    </row>
    <row r="21479">
      <c r="B21479" s="612"/>
      <c r="H21479" s="612"/>
    </row>
    <row r="21480">
      <c r="B21480" s="612"/>
      <c r="H21480" s="612"/>
    </row>
    <row r="21481">
      <c r="B21481" s="612"/>
      <c r="H21481" s="612"/>
    </row>
    <row r="21482">
      <c r="B21482" s="612"/>
      <c r="H21482" s="612"/>
    </row>
    <row r="21483">
      <c r="B21483" s="612"/>
      <c r="H21483" s="612"/>
    </row>
    <row r="21484">
      <c r="B21484" s="612"/>
      <c r="H21484" s="612"/>
    </row>
    <row r="21485">
      <c r="B21485" s="612"/>
      <c r="H21485" s="612"/>
    </row>
    <row r="21486">
      <c r="B21486" s="612"/>
      <c r="H21486" s="612"/>
    </row>
    <row r="21487">
      <c r="B21487" s="612"/>
      <c r="H21487" s="612"/>
    </row>
    <row r="21488">
      <c r="B21488" s="612"/>
      <c r="H21488" s="612"/>
    </row>
    <row r="21489">
      <c r="B21489" s="612"/>
      <c r="H21489" s="612"/>
    </row>
    <row r="21490">
      <c r="B21490" s="612"/>
      <c r="H21490" s="612"/>
    </row>
    <row r="21491">
      <c r="B21491" s="612"/>
      <c r="H21491" s="612"/>
    </row>
    <row r="21492">
      <c r="B21492" s="612"/>
      <c r="H21492" s="612"/>
    </row>
    <row r="21493">
      <c r="B21493" s="612"/>
      <c r="H21493" s="612"/>
    </row>
    <row r="21494">
      <c r="B21494" s="612"/>
      <c r="H21494" s="612"/>
    </row>
    <row r="21495">
      <c r="B21495" s="612"/>
      <c r="H21495" s="612"/>
    </row>
    <row r="21496">
      <c r="B21496" s="612"/>
      <c r="H21496" s="612"/>
    </row>
    <row r="21497">
      <c r="B21497" s="612"/>
      <c r="H21497" s="612"/>
    </row>
    <row r="21498">
      <c r="B21498" s="612"/>
      <c r="H21498" s="612"/>
    </row>
    <row r="21499">
      <c r="B21499" s="612"/>
      <c r="H21499" s="612"/>
    </row>
    <row r="21500">
      <c r="B21500" s="612"/>
      <c r="H21500" s="612"/>
    </row>
    <row r="21501">
      <c r="B21501" s="612"/>
      <c r="H21501" s="612"/>
    </row>
    <row r="21502">
      <c r="B21502" s="612"/>
      <c r="H21502" s="612"/>
    </row>
    <row r="21503">
      <c r="B21503" s="612"/>
      <c r="H21503" s="612"/>
    </row>
    <row r="21504">
      <c r="B21504" s="612"/>
      <c r="H21504" s="612"/>
    </row>
    <row r="21505">
      <c r="B21505" s="612"/>
      <c r="H21505" s="612"/>
    </row>
    <row r="21506">
      <c r="B21506" s="612"/>
      <c r="H21506" s="612"/>
    </row>
    <row r="21507">
      <c r="B21507" s="612"/>
      <c r="H21507" s="612"/>
    </row>
    <row r="21508">
      <c r="B21508" s="612"/>
      <c r="H21508" s="612"/>
    </row>
    <row r="21509">
      <c r="B21509" s="612"/>
      <c r="H21509" s="612"/>
    </row>
    <row r="21510">
      <c r="B21510" s="612"/>
      <c r="H21510" s="612"/>
    </row>
    <row r="21511">
      <c r="B21511" s="612"/>
      <c r="H21511" s="612"/>
    </row>
    <row r="21512">
      <c r="B21512" s="612"/>
      <c r="H21512" s="612"/>
    </row>
    <row r="21513">
      <c r="B21513" s="612"/>
      <c r="H21513" s="612"/>
    </row>
    <row r="21514">
      <c r="B21514" s="612"/>
      <c r="H21514" s="612"/>
    </row>
    <row r="21515">
      <c r="B21515" s="612"/>
      <c r="H21515" s="612"/>
    </row>
    <row r="21516">
      <c r="B21516" s="612"/>
      <c r="H21516" s="612"/>
    </row>
    <row r="21517">
      <c r="B21517" s="612"/>
      <c r="H21517" s="612"/>
    </row>
    <row r="21518">
      <c r="B21518" s="612"/>
      <c r="H21518" s="612"/>
    </row>
    <row r="21519">
      <c r="B21519" s="612"/>
      <c r="H21519" s="612"/>
    </row>
    <row r="21520">
      <c r="B21520" s="612"/>
      <c r="H21520" s="612"/>
    </row>
    <row r="21521">
      <c r="B21521" s="612"/>
      <c r="H21521" s="612"/>
    </row>
    <row r="21522">
      <c r="B21522" s="612"/>
      <c r="H21522" s="612"/>
    </row>
    <row r="21523">
      <c r="B21523" s="612"/>
      <c r="H21523" s="612"/>
    </row>
    <row r="21524">
      <c r="B21524" s="612"/>
      <c r="H21524" s="612"/>
    </row>
    <row r="21525">
      <c r="B21525" s="612"/>
      <c r="H21525" s="612"/>
    </row>
    <row r="21526">
      <c r="B21526" s="612"/>
      <c r="H21526" s="612"/>
    </row>
    <row r="21527">
      <c r="B21527" s="612"/>
      <c r="H21527" s="612"/>
    </row>
    <row r="21528">
      <c r="B21528" s="612"/>
      <c r="H21528" s="612"/>
    </row>
    <row r="21529">
      <c r="B21529" s="612"/>
      <c r="H21529" s="612"/>
    </row>
    <row r="21530">
      <c r="B21530" s="612"/>
      <c r="H21530" s="612"/>
    </row>
    <row r="21531">
      <c r="B21531" s="612"/>
      <c r="H21531" s="612"/>
    </row>
    <row r="21532">
      <c r="B21532" s="612"/>
      <c r="H21532" s="612"/>
    </row>
    <row r="21533">
      <c r="B21533" s="612"/>
      <c r="H21533" s="612"/>
    </row>
    <row r="21534">
      <c r="B21534" s="612"/>
      <c r="H21534" s="612"/>
    </row>
    <row r="21535">
      <c r="B21535" s="612"/>
      <c r="H21535" s="612"/>
    </row>
    <row r="21536">
      <c r="B21536" s="612"/>
      <c r="H21536" s="612"/>
    </row>
    <row r="21537">
      <c r="B21537" s="612"/>
      <c r="H21537" s="612"/>
    </row>
    <row r="21538">
      <c r="B21538" s="612"/>
      <c r="H21538" s="612"/>
    </row>
    <row r="21539">
      <c r="B21539" s="612"/>
      <c r="H21539" s="612"/>
    </row>
    <row r="21540">
      <c r="B21540" s="612"/>
      <c r="H21540" s="612"/>
    </row>
    <row r="21541">
      <c r="B21541" s="612"/>
      <c r="H21541" s="612"/>
    </row>
    <row r="21542">
      <c r="B21542" s="612"/>
      <c r="H21542" s="612"/>
    </row>
    <row r="21543">
      <c r="B21543" s="612"/>
      <c r="H21543" s="612"/>
    </row>
    <row r="21544">
      <c r="B21544" s="612"/>
      <c r="H21544" s="612"/>
    </row>
    <row r="21545">
      <c r="B21545" s="612"/>
      <c r="H21545" s="612"/>
    </row>
    <row r="21546">
      <c r="B21546" s="612"/>
      <c r="H21546" s="612"/>
    </row>
    <row r="21547">
      <c r="B21547" s="612"/>
      <c r="H21547" s="612"/>
    </row>
    <row r="21548">
      <c r="B21548" s="612"/>
      <c r="H21548" s="612"/>
    </row>
    <row r="21549">
      <c r="B21549" s="612"/>
      <c r="H21549" s="612"/>
    </row>
    <row r="21550">
      <c r="B21550" s="612"/>
      <c r="H21550" s="612"/>
    </row>
    <row r="21551">
      <c r="B21551" s="612"/>
      <c r="H21551" s="612"/>
    </row>
    <row r="21552">
      <c r="B21552" s="612"/>
      <c r="H21552" s="612"/>
    </row>
    <row r="21553">
      <c r="B21553" s="612"/>
      <c r="H21553" s="612"/>
    </row>
    <row r="21554">
      <c r="B21554" s="612"/>
      <c r="H21554" s="612"/>
    </row>
    <row r="21555">
      <c r="B21555" s="612"/>
      <c r="H21555" s="612"/>
    </row>
    <row r="21556">
      <c r="B21556" s="612"/>
      <c r="H21556" s="612"/>
    </row>
    <row r="21557">
      <c r="B21557" s="612"/>
      <c r="H21557" s="612"/>
    </row>
    <row r="21558">
      <c r="B21558" s="612"/>
      <c r="H21558" s="612"/>
    </row>
    <row r="21559">
      <c r="B21559" s="612"/>
      <c r="H21559" s="612"/>
    </row>
    <row r="21560">
      <c r="B21560" s="612"/>
      <c r="H21560" s="612"/>
    </row>
    <row r="21561">
      <c r="B21561" s="612"/>
      <c r="H21561" s="612"/>
    </row>
    <row r="21562">
      <c r="B21562" s="612"/>
      <c r="H21562" s="612"/>
    </row>
    <row r="21563">
      <c r="B21563" s="612"/>
      <c r="H21563" s="612"/>
    </row>
    <row r="21564">
      <c r="B21564" s="612"/>
      <c r="H21564" s="612"/>
    </row>
    <row r="21565">
      <c r="B21565" s="612"/>
      <c r="H21565" s="612"/>
    </row>
    <row r="21566">
      <c r="B21566" s="612"/>
      <c r="H21566" s="612"/>
    </row>
    <row r="21567">
      <c r="B21567" s="612"/>
      <c r="H21567" s="612"/>
    </row>
    <row r="21568">
      <c r="B21568" s="612"/>
      <c r="H21568" s="612"/>
    </row>
    <row r="21569">
      <c r="B21569" s="612"/>
      <c r="H21569" s="612"/>
    </row>
    <row r="21570">
      <c r="B21570" s="612"/>
      <c r="H21570" s="612"/>
    </row>
    <row r="21571">
      <c r="B21571" s="612"/>
      <c r="H21571" s="612"/>
    </row>
    <row r="21572">
      <c r="B21572" s="612"/>
      <c r="H21572" s="612"/>
    </row>
    <row r="21573">
      <c r="B21573" s="612"/>
      <c r="H21573" s="612"/>
    </row>
    <row r="21574">
      <c r="B21574" s="612"/>
      <c r="H21574" s="612"/>
    </row>
    <row r="21575">
      <c r="B21575" s="612"/>
      <c r="H21575" s="612"/>
    </row>
    <row r="21576">
      <c r="B21576" s="612"/>
      <c r="H21576" s="612"/>
    </row>
    <row r="21577">
      <c r="B21577" s="612"/>
      <c r="H21577" s="612"/>
    </row>
    <row r="21578">
      <c r="B21578" s="612"/>
      <c r="H21578" s="612"/>
    </row>
    <row r="21579">
      <c r="B21579" s="612"/>
      <c r="H21579" s="612"/>
    </row>
    <row r="21580">
      <c r="B21580" s="612"/>
      <c r="H21580" s="612"/>
    </row>
    <row r="21581">
      <c r="B21581" s="612"/>
      <c r="H21581" s="612"/>
    </row>
    <row r="21582">
      <c r="B21582" s="612"/>
      <c r="H21582" s="612"/>
    </row>
    <row r="21583">
      <c r="B21583" s="612"/>
      <c r="H21583" s="612"/>
    </row>
    <row r="21584">
      <c r="B21584" s="612"/>
      <c r="H21584" s="612"/>
    </row>
    <row r="21585">
      <c r="B21585" s="612"/>
      <c r="H21585" s="612"/>
    </row>
    <row r="21586">
      <c r="B21586" s="612"/>
      <c r="H21586" s="612"/>
    </row>
    <row r="21587">
      <c r="B21587" s="612"/>
      <c r="H21587" s="612"/>
    </row>
    <row r="21588">
      <c r="B21588" s="612"/>
      <c r="H21588" s="612"/>
    </row>
    <row r="21589">
      <c r="B21589" s="612"/>
      <c r="H21589" s="612"/>
    </row>
    <row r="21590">
      <c r="B21590" s="612"/>
      <c r="H21590" s="612"/>
    </row>
    <row r="21591">
      <c r="B21591" s="612"/>
      <c r="H21591" s="612"/>
    </row>
    <row r="21592">
      <c r="B21592" s="612"/>
      <c r="H21592" s="612"/>
    </row>
    <row r="21593">
      <c r="B21593" s="612"/>
      <c r="H21593" s="612"/>
    </row>
    <row r="21594">
      <c r="B21594" s="612"/>
      <c r="H21594" s="612"/>
    </row>
    <row r="21595">
      <c r="B21595" s="612"/>
      <c r="H21595" s="612"/>
    </row>
    <row r="21596">
      <c r="B21596" s="612"/>
      <c r="H21596" s="612"/>
    </row>
    <row r="21597">
      <c r="B21597" s="612"/>
      <c r="H21597" s="612"/>
    </row>
    <row r="21598">
      <c r="B21598" s="612"/>
      <c r="H21598" s="612"/>
    </row>
    <row r="21599">
      <c r="B21599" s="612"/>
      <c r="H21599" s="612"/>
    </row>
    <row r="21600">
      <c r="B21600" s="612"/>
      <c r="H21600" s="612"/>
    </row>
    <row r="21601">
      <c r="B21601" s="612"/>
      <c r="H21601" s="612"/>
    </row>
    <row r="21602">
      <c r="B21602" s="612"/>
      <c r="H21602" s="612"/>
    </row>
    <row r="21603">
      <c r="B21603" s="612"/>
      <c r="H21603" s="612"/>
    </row>
    <row r="21604">
      <c r="B21604" s="612"/>
      <c r="H21604" s="612"/>
    </row>
    <row r="21605">
      <c r="B21605" s="612"/>
      <c r="H21605" s="612"/>
    </row>
    <row r="21606">
      <c r="B21606" s="612"/>
      <c r="H21606" s="612"/>
    </row>
    <row r="21607">
      <c r="B21607" s="612"/>
      <c r="H21607" s="612"/>
    </row>
    <row r="21608">
      <c r="B21608" s="612"/>
      <c r="H21608" s="612"/>
    </row>
    <row r="21609">
      <c r="B21609" s="612"/>
      <c r="H21609" s="612"/>
    </row>
    <row r="21610">
      <c r="B21610" s="612"/>
      <c r="H21610" s="612"/>
    </row>
    <row r="21611">
      <c r="B21611" s="612"/>
      <c r="H21611" s="612"/>
    </row>
    <row r="21612">
      <c r="B21612" s="612"/>
      <c r="H21612" s="612"/>
    </row>
    <row r="21613">
      <c r="B21613" s="612"/>
      <c r="H21613" s="612"/>
    </row>
    <row r="21614">
      <c r="B21614" s="612"/>
      <c r="H21614" s="612"/>
    </row>
    <row r="21615">
      <c r="B21615" s="612"/>
      <c r="H21615" s="612"/>
    </row>
    <row r="21616">
      <c r="B21616" s="612"/>
      <c r="H21616" s="612"/>
    </row>
    <row r="21617">
      <c r="B21617" s="612"/>
      <c r="H21617" s="612"/>
    </row>
    <row r="21618">
      <c r="B21618" s="612"/>
      <c r="H21618" s="612"/>
    </row>
    <row r="21619">
      <c r="B21619" s="612"/>
      <c r="H21619" s="612"/>
    </row>
    <row r="21620">
      <c r="B21620" s="612"/>
      <c r="H21620" s="612"/>
    </row>
    <row r="21621">
      <c r="B21621" s="612"/>
      <c r="H21621" s="612"/>
    </row>
    <row r="21622">
      <c r="B21622" s="612"/>
      <c r="H21622" s="612"/>
    </row>
    <row r="21623">
      <c r="B21623" s="612"/>
      <c r="H21623" s="612"/>
    </row>
    <row r="21624">
      <c r="B21624" s="612"/>
      <c r="H21624" s="612"/>
    </row>
    <row r="21625">
      <c r="B21625" s="612"/>
      <c r="H21625" s="612"/>
    </row>
    <row r="21626">
      <c r="B21626" s="612"/>
      <c r="H21626" s="612"/>
    </row>
    <row r="21627">
      <c r="B21627" s="612"/>
      <c r="H21627" s="612"/>
    </row>
    <row r="21628">
      <c r="B21628" s="612"/>
      <c r="H21628" s="612"/>
    </row>
    <row r="21629">
      <c r="B21629" s="612"/>
      <c r="H21629" s="612"/>
    </row>
    <row r="21630">
      <c r="B21630" s="612"/>
      <c r="H21630" s="612"/>
    </row>
    <row r="21631">
      <c r="B21631" s="612"/>
      <c r="H21631" s="612"/>
    </row>
    <row r="21632">
      <c r="B21632" s="612"/>
      <c r="H21632" s="612"/>
    </row>
    <row r="21633">
      <c r="B21633" s="612"/>
      <c r="H21633" s="612"/>
    </row>
    <row r="21634">
      <c r="B21634" s="612"/>
      <c r="H21634" s="612"/>
    </row>
    <row r="21635">
      <c r="B21635" s="612"/>
      <c r="H21635" s="612"/>
    </row>
    <row r="21636">
      <c r="B21636" s="612"/>
      <c r="H21636" s="612"/>
    </row>
    <row r="21637">
      <c r="B21637" s="612"/>
      <c r="H21637" s="612"/>
    </row>
    <row r="21638">
      <c r="B21638" s="612"/>
      <c r="H21638" s="612"/>
    </row>
    <row r="21639">
      <c r="B21639" s="612"/>
      <c r="H21639" s="612"/>
    </row>
    <row r="21640">
      <c r="B21640" s="612"/>
      <c r="H21640" s="612"/>
    </row>
    <row r="21641">
      <c r="B21641" s="612"/>
      <c r="H21641" s="612"/>
    </row>
    <row r="21642">
      <c r="B21642" s="612"/>
      <c r="H21642" s="612"/>
    </row>
    <row r="21643">
      <c r="B21643" s="612"/>
      <c r="H21643" s="612"/>
    </row>
    <row r="21644">
      <c r="B21644" s="612"/>
      <c r="H21644" s="612"/>
    </row>
    <row r="21645">
      <c r="B21645" s="612"/>
      <c r="H21645" s="612"/>
    </row>
    <row r="21646">
      <c r="B21646" s="612"/>
      <c r="H21646" s="612"/>
    </row>
    <row r="21647">
      <c r="B21647" s="612"/>
      <c r="H21647" s="612"/>
    </row>
    <row r="21648">
      <c r="B21648" s="612"/>
      <c r="H21648" s="612"/>
    </row>
    <row r="21649">
      <c r="B21649" s="612"/>
      <c r="H21649" s="612"/>
    </row>
    <row r="21650">
      <c r="B21650" s="612"/>
      <c r="H21650" s="612"/>
    </row>
    <row r="21651">
      <c r="B21651" s="612"/>
      <c r="H21651" s="612"/>
    </row>
    <row r="21652">
      <c r="B21652" s="612"/>
      <c r="H21652" s="612"/>
    </row>
    <row r="21653">
      <c r="B21653" s="612"/>
      <c r="H21653" s="612"/>
    </row>
    <row r="21654">
      <c r="B21654" s="612"/>
      <c r="H21654" s="612"/>
    </row>
    <row r="21655">
      <c r="B21655" s="612"/>
      <c r="H21655" s="612"/>
    </row>
    <row r="21656">
      <c r="B21656" s="612"/>
      <c r="H21656" s="612"/>
    </row>
    <row r="21657">
      <c r="B21657" s="612"/>
      <c r="H21657" s="612"/>
    </row>
    <row r="21658">
      <c r="B21658" s="612"/>
      <c r="H21658" s="612"/>
    </row>
    <row r="21659">
      <c r="B21659" s="612"/>
      <c r="H21659" s="612"/>
    </row>
    <row r="21660">
      <c r="B21660" s="612"/>
      <c r="H21660" s="612"/>
    </row>
    <row r="21661">
      <c r="B21661" s="612"/>
      <c r="H21661" s="612"/>
    </row>
    <row r="21662">
      <c r="B21662" s="612"/>
      <c r="H21662" s="612"/>
    </row>
    <row r="21663">
      <c r="B21663" s="612"/>
      <c r="H21663" s="612"/>
    </row>
    <row r="21664">
      <c r="B21664" s="612"/>
      <c r="H21664" s="612"/>
    </row>
    <row r="21665">
      <c r="B21665" s="612"/>
      <c r="H21665" s="612"/>
    </row>
    <row r="21666">
      <c r="B21666" s="612"/>
      <c r="H21666" s="612"/>
    </row>
    <row r="21667">
      <c r="B21667" s="612"/>
      <c r="H21667" s="612"/>
    </row>
    <row r="21668">
      <c r="B21668" s="612"/>
      <c r="H21668" s="612"/>
    </row>
    <row r="21669">
      <c r="B21669" s="612"/>
      <c r="H21669" s="612"/>
    </row>
    <row r="21670">
      <c r="B21670" s="612"/>
      <c r="H21670" s="612"/>
    </row>
    <row r="21671">
      <c r="B21671" s="612"/>
      <c r="H21671" s="612"/>
    </row>
    <row r="21672">
      <c r="B21672" s="612"/>
      <c r="H21672" s="612"/>
    </row>
    <row r="21673">
      <c r="B21673" s="612"/>
      <c r="H21673" s="612"/>
    </row>
    <row r="21674">
      <c r="B21674" s="612"/>
      <c r="H21674" s="612"/>
    </row>
    <row r="21675">
      <c r="B21675" s="612"/>
      <c r="H21675" s="612"/>
    </row>
    <row r="21676">
      <c r="B21676" s="612"/>
      <c r="H21676" s="612"/>
    </row>
    <row r="21677">
      <c r="B21677" s="612"/>
      <c r="H21677" s="612"/>
    </row>
    <row r="21678">
      <c r="B21678" s="612"/>
      <c r="H21678" s="612"/>
    </row>
    <row r="21679">
      <c r="B21679" s="612"/>
      <c r="H21679" s="612"/>
    </row>
    <row r="21680">
      <c r="B21680" s="612"/>
      <c r="H21680" s="612"/>
    </row>
    <row r="21681">
      <c r="B21681" s="612"/>
      <c r="H21681" s="612"/>
    </row>
    <row r="21682">
      <c r="B21682" s="612"/>
      <c r="H21682" s="612"/>
    </row>
    <row r="21683">
      <c r="B21683" s="612"/>
      <c r="H21683" s="612"/>
    </row>
    <row r="21684">
      <c r="B21684" s="612"/>
      <c r="H21684" s="612"/>
    </row>
    <row r="21685">
      <c r="B21685" s="612"/>
      <c r="H21685" s="612"/>
    </row>
    <row r="21686">
      <c r="B21686" s="612"/>
      <c r="H21686" s="612"/>
    </row>
    <row r="21687">
      <c r="B21687" s="612"/>
      <c r="H21687" s="612"/>
    </row>
    <row r="21688">
      <c r="B21688" s="612"/>
      <c r="H21688" s="612"/>
    </row>
    <row r="21689">
      <c r="B21689" s="612"/>
      <c r="H21689" s="612"/>
    </row>
    <row r="21690">
      <c r="B21690" s="612"/>
      <c r="H21690" s="612"/>
    </row>
    <row r="21691">
      <c r="B21691" s="612"/>
      <c r="H21691" s="612"/>
    </row>
    <row r="21692">
      <c r="B21692" s="612"/>
      <c r="H21692" s="612"/>
    </row>
    <row r="21693">
      <c r="B21693" s="612"/>
      <c r="H21693" s="612"/>
    </row>
    <row r="21694">
      <c r="B21694" s="612"/>
      <c r="H21694" s="612"/>
    </row>
    <row r="21695">
      <c r="B21695" s="612"/>
      <c r="H21695" s="612"/>
    </row>
    <row r="21696">
      <c r="B21696" s="612"/>
      <c r="H21696" s="612"/>
    </row>
    <row r="21697">
      <c r="B21697" s="612"/>
      <c r="H21697" s="612"/>
    </row>
    <row r="21698">
      <c r="B21698" s="612"/>
      <c r="H21698" s="612"/>
    </row>
    <row r="21699">
      <c r="B21699" s="612"/>
      <c r="H21699" s="612"/>
    </row>
    <row r="21700">
      <c r="B21700" s="612"/>
      <c r="H21700" s="612"/>
    </row>
    <row r="21701">
      <c r="B21701" s="612"/>
      <c r="H21701" s="612"/>
    </row>
    <row r="21702">
      <c r="B21702" s="612"/>
      <c r="H21702" s="612"/>
    </row>
    <row r="21703">
      <c r="B21703" s="612"/>
      <c r="H21703" s="612"/>
    </row>
    <row r="21704">
      <c r="B21704" s="612"/>
      <c r="H21704" s="612"/>
    </row>
    <row r="21705">
      <c r="B21705" s="612"/>
      <c r="H21705" s="612"/>
    </row>
    <row r="21706">
      <c r="B21706" s="612"/>
      <c r="H21706" s="612"/>
    </row>
    <row r="21707">
      <c r="B21707" s="612"/>
      <c r="H21707" s="612"/>
    </row>
    <row r="21708">
      <c r="B21708" s="612"/>
      <c r="H21708" s="612"/>
    </row>
    <row r="21709">
      <c r="B21709" s="612"/>
      <c r="H21709" s="612"/>
    </row>
    <row r="21710">
      <c r="B21710" s="612"/>
      <c r="H21710" s="612"/>
    </row>
    <row r="21711">
      <c r="B21711" s="612"/>
      <c r="H21711" s="612"/>
    </row>
    <row r="21712">
      <c r="B21712" s="612"/>
      <c r="H21712" s="612"/>
    </row>
    <row r="21713">
      <c r="B21713" s="612"/>
      <c r="H21713" s="612"/>
    </row>
    <row r="21714">
      <c r="B21714" s="612"/>
      <c r="H21714" s="612"/>
    </row>
    <row r="21715">
      <c r="B21715" s="612"/>
      <c r="H21715" s="612"/>
    </row>
    <row r="21716">
      <c r="B21716" s="612"/>
      <c r="H21716" s="612"/>
    </row>
    <row r="21717">
      <c r="B21717" s="612"/>
      <c r="H21717" s="612"/>
    </row>
    <row r="21718">
      <c r="B21718" s="612"/>
      <c r="H21718" s="612"/>
    </row>
    <row r="21719">
      <c r="B21719" s="612"/>
      <c r="H21719" s="612"/>
    </row>
    <row r="21720">
      <c r="B21720" s="612"/>
      <c r="H21720" s="612"/>
    </row>
    <row r="21721">
      <c r="B21721" s="612"/>
      <c r="H21721" s="612"/>
    </row>
    <row r="21722">
      <c r="B21722" s="612"/>
      <c r="H21722" s="612"/>
    </row>
    <row r="21723">
      <c r="B21723" s="612"/>
      <c r="H21723" s="612"/>
    </row>
    <row r="21724">
      <c r="B21724" s="612"/>
      <c r="H21724" s="612"/>
    </row>
    <row r="21725">
      <c r="B21725" s="612"/>
      <c r="H21725" s="612"/>
    </row>
    <row r="21726">
      <c r="B21726" s="612"/>
      <c r="H21726" s="612"/>
    </row>
    <row r="21727">
      <c r="B21727" s="612"/>
      <c r="H21727" s="612"/>
    </row>
    <row r="21728">
      <c r="B21728" s="612"/>
      <c r="H21728" s="612"/>
    </row>
    <row r="21729">
      <c r="B21729" s="612"/>
      <c r="H21729" s="612"/>
    </row>
    <row r="21730">
      <c r="B21730" s="612"/>
      <c r="H21730" s="612"/>
    </row>
    <row r="21731">
      <c r="B21731" s="612"/>
      <c r="H21731" s="612"/>
    </row>
    <row r="21732">
      <c r="B21732" s="612"/>
      <c r="H21732" s="612"/>
    </row>
    <row r="21733">
      <c r="B21733" s="612"/>
      <c r="H21733" s="612"/>
    </row>
    <row r="21734">
      <c r="B21734" s="612"/>
      <c r="H21734" s="612"/>
    </row>
    <row r="21735">
      <c r="B21735" s="612"/>
      <c r="H21735" s="612"/>
    </row>
    <row r="21736">
      <c r="B21736" s="612"/>
      <c r="H21736" s="612"/>
    </row>
    <row r="21737">
      <c r="B21737" s="612"/>
      <c r="H21737" s="612"/>
    </row>
    <row r="21738">
      <c r="B21738" s="612"/>
      <c r="H21738" s="612"/>
    </row>
    <row r="21739">
      <c r="B21739" s="612"/>
      <c r="H21739" s="612"/>
    </row>
    <row r="21740">
      <c r="B21740" s="612"/>
      <c r="H21740" s="612"/>
    </row>
    <row r="21741">
      <c r="B21741" s="612"/>
      <c r="H21741" s="612"/>
    </row>
    <row r="21742">
      <c r="B21742" s="612"/>
      <c r="H21742" s="612"/>
    </row>
    <row r="21743">
      <c r="B21743" s="612"/>
      <c r="H21743" s="612"/>
    </row>
    <row r="21744">
      <c r="B21744" s="612"/>
      <c r="H21744" s="612"/>
    </row>
    <row r="21745">
      <c r="B21745" s="612"/>
      <c r="H21745" s="612"/>
    </row>
    <row r="21746">
      <c r="B21746" s="612"/>
      <c r="H21746" s="612"/>
    </row>
    <row r="21747">
      <c r="B21747" s="612"/>
      <c r="H21747" s="612"/>
    </row>
    <row r="21748">
      <c r="B21748" s="612"/>
      <c r="H21748" s="612"/>
    </row>
    <row r="21749">
      <c r="B21749" s="612"/>
      <c r="H21749" s="612"/>
    </row>
    <row r="21750">
      <c r="B21750" s="612"/>
      <c r="H21750" s="612"/>
    </row>
    <row r="21751">
      <c r="B21751" s="612"/>
      <c r="H21751" s="612"/>
    </row>
    <row r="21752">
      <c r="B21752" s="612"/>
      <c r="H21752" s="612"/>
    </row>
    <row r="21753">
      <c r="B21753" s="612"/>
      <c r="H21753" s="612"/>
    </row>
    <row r="21754">
      <c r="B21754" s="612"/>
      <c r="H21754" s="612"/>
    </row>
    <row r="21755">
      <c r="B21755" s="612"/>
      <c r="H21755" s="612"/>
    </row>
    <row r="21756">
      <c r="B21756" s="612"/>
      <c r="H21756" s="612"/>
    </row>
    <row r="21757">
      <c r="B21757" s="612"/>
      <c r="H21757" s="612"/>
    </row>
    <row r="21758">
      <c r="B21758" s="612"/>
      <c r="H21758" s="612"/>
    </row>
    <row r="21759">
      <c r="B21759" s="612"/>
      <c r="H21759" s="612"/>
    </row>
    <row r="21760">
      <c r="B21760" s="612"/>
      <c r="H21760" s="612"/>
    </row>
    <row r="21761">
      <c r="B21761" s="612"/>
      <c r="H21761" s="612"/>
    </row>
    <row r="21762">
      <c r="B21762" s="612"/>
      <c r="H21762" s="612"/>
    </row>
    <row r="21763">
      <c r="B21763" s="612"/>
      <c r="H21763" s="612"/>
    </row>
    <row r="21764">
      <c r="B21764" s="612"/>
      <c r="H21764" s="612"/>
    </row>
    <row r="21765">
      <c r="B21765" s="612"/>
      <c r="H21765" s="612"/>
    </row>
    <row r="21766">
      <c r="B21766" s="612"/>
      <c r="H21766" s="612"/>
    </row>
    <row r="21767">
      <c r="B21767" s="612"/>
      <c r="H21767" s="612"/>
    </row>
    <row r="21768">
      <c r="B21768" s="612"/>
      <c r="H21768" s="612"/>
    </row>
    <row r="21769">
      <c r="B21769" s="612"/>
      <c r="H21769" s="612"/>
    </row>
    <row r="21770">
      <c r="B21770" s="612"/>
      <c r="H21770" s="612"/>
    </row>
    <row r="21771">
      <c r="B21771" s="612"/>
      <c r="H21771" s="612"/>
    </row>
    <row r="21772">
      <c r="B21772" s="612"/>
      <c r="H21772" s="612"/>
    </row>
    <row r="21773">
      <c r="B21773" s="612"/>
      <c r="H21773" s="612"/>
    </row>
    <row r="21774">
      <c r="B21774" s="612"/>
      <c r="H21774" s="612"/>
    </row>
    <row r="21775">
      <c r="B21775" s="612"/>
      <c r="H21775" s="612"/>
    </row>
    <row r="21776">
      <c r="B21776" s="612"/>
      <c r="H21776" s="612"/>
    </row>
    <row r="21777">
      <c r="B21777" s="612"/>
      <c r="H21777" s="612"/>
    </row>
    <row r="21778">
      <c r="B21778" s="612"/>
      <c r="H21778" s="612"/>
    </row>
    <row r="21779">
      <c r="B21779" s="612"/>
      <c r="H21779" s="612"/>
    </row>
    <row r="21780">
      <c r="B21780" s="612"/>
      <c r="H21780" s="612"/>
    </row>
    <row r="21781">
      <c r="B21781" s="612"/>
      <c r="H21781" s="612"/>
    </row>
    <row r="21782">
      <c r="B21782" s="612"/>
      <c r="H21782" s="612"/>
    </row>
    <row r="21783">
      <c r="B21783" s="612"/>
      <c r="H21783" s="612"/>
    </row>
    <row r="21784">
      <c r="B21784" s="612"/>
      <c r="H21784" s="612"/>
    </row>
    <row r="21785">
      <c r="B21785" s="612"/>
      <c r="H21785" s="612"/>
    </row>
    <row r="21786">
      <c r="B21786" s="612"/>
      <c r="H21786" s="612"/>
    </row>
    <row r="21787">
      <c r="B21787" s="612"/>
      <c r="H21787" s="612"/>
    </row>
    <row r="21788">
      <c r="B21788" s="612"/>
      <c r="H21788" s="612"/>
    </row>
    <row r="21789">
      <c r="B21789" s="612"/>
      <c r="H21789" s="612"/>
    </row>
    <row r="21790">
      <c r="B21790" s="612"/>
      <c r="H21790" s="612"/>
    </row>
    <row r="21791">
      <c r="B21791" s="612"/>
      <c r="H21791" s="612"/>
    </row>
    <row r="21792">
      <c r="B21792" s="612"/>
      <c r="H21792" s="612"/>
    </row>
    <row r="21793">
      <c r="B21793" s="612"/>
      <c r="H21793" s="612"/>
    </row>
    <row r="21794">
      <c r="B21794" s="612"/>
      <c r="H21794" s="612"/>
    </row>
    <row r="21795">
      <c r="B21795" s="612"/>
      <c r="H21795" s="612"/>
    </row>
    <row r="21796">
      <c r="B21796" s="612"/>
      <c r="H21796" s="612"/>
    </row>
    <row r="21797">
      <c r="B21797" s="612"/>
      <c r="H21797" s="612"/>
    </row>
    <row r="21798">
      <c r="B21798" s="612"/>
      <c r="H21798" s="612"/>
    </row>
    <row r="21799">
      <c r="B21799" s="612"/>
      <c r="H21799" s="612"/>
    </row>
    <row r="21800">
      <c r="B21800" s="612"/>
      <c r="H21800" s="612"/>
    </row>
    <row r="21801">
      <c r="B21801" s="612"/>
      <c r="H21801" s="612"/>
    </row>
    <row r="21802">
      <c r="B21802" s="612"/>
      <c r="H21802" s="612"/>
    </row>
    <row r="21803">
      <c r="B21803" s="612"/>
      <c r="H21803" s="612"/>
    </row>
    <row r="21804">
      <c r="B21804" s="612"/>
      <c r="H21804" s="612"/>
    </row>
    <row r="21805">
      <c r="B21805" s="612"/>
      <c r="H21805" s="612"/>
    </row>
    <row r="21806">
      <c r="B21806" s="612"/>
      <c r="H21806" s="612"/>
    </row>
    <row r="21807">
      <c r="B21807" s="612"/>
      <c r="H21807" s="612"/>
    </row>
    <row r="21808">
      <c r="B21808" s="612"/>
      <c r="H21808" s="612"/>
    </row>
    <row r="21809">
      <c r="B21809" s="612"/>
      <c r="H21809" s="612"/>
    </row>
    <row r="21810">
      <c r="B21810" s="612"/>
      <c r="H21810" s="612"/>
    </row>
    <row r="21811">
      <c r="B21811" s="612"/>
      <c r="H21811" s="612"/>
    </row>
    <row r="21812">
      <c r="B21812" s="612"/>
      <c r="H21812" s="612"/>
    </row>
    <row r="21813">
      <c r="B21813" s="612"/>
      <c r="H21813" s="612"/>
    </row>
    <row r="21814">
      <c r="B21814" s="612"/>
      <c r="H21814" s="612"/>
    </row>
    <row r="21815">
      <c r="B21815" s="612"/>
      <c r="H21815" s="612"/>
    </row>
    <row r="21816">
      <c r="B21816" s="612"/>
      <c r="H21816" s="612"/>
    </row>
    <row r="21817">
      <c r="B21817" s="612"/>
      <c r="H21817" s="612"/>
    </row>
    <row r="21818">
      <c r="B21818" s="612"/>
      <c r="H21818" s="612"/>
    </row>
    <row r="21819">
      <c r="B21819" s="612"/>
      <c r="H21819" s="612"/>
    </row>
    <row r="21820">
      <c r="B21820" s="612"/>
      <c r="H21820" s="612"/>
    </row>
    <row r="21821">
      <c r="B21821" s="612"/>
      <c r="H21821" s="612"/>
    </row>
    <row r="21822">
      <c r="B21822" s="612"/>
      <c r="H21822" s="612"/>
    </row>
    <row r="21823">
      <c r="B21823" s="612"/>
      <c r="H21823" s="612"/>
    </row>
    <row r="21824">
      <c r="B21824" s="612"/>
      <c r="H21824" s="612"/>
    </row>
    <row r="21825">
      <c r="B21825" s="612"/>
      <c r="H21825" s="612"/>
    </row>
    <row r="21826">
      <c r="B21826" s="612"/>
      <c r="H21826" s="612"/>
    </row>
    <row r="21827">
      <c r="B21827" s="612"/>
      <c r="H21827" s="612"/>
    </row>
    <row r="21828">
      <c r="B21828" s="612"/>
      <c r="H21828" s="612"/>
    </row>
    <row r="21829">
      <c r="B21829" s="612"/>
      <c r="H21829" s="612"/>
    </row>
    <row r="21830">
      <c r="B21830" s="612"/>
      <c r="H21830" s="612"/>
    </row>
    <row r="21831">
      <c r="B21831" s="612"/>
      <c r="H21831" s="612"/>
    </row>
    <row r="21832">
      <c r="B21832" s="612"/>
      <c r="H21832" s="612"/>
    </row>
    <row r="21833">
      <c r="B21833" s="612"/>
      <c r="H21833" s="612"/>
    </row>
    <row r="21834">
      <c r="B21834" s="612"/>
      <c r="H21834" s="612"/>
    </row>
    <row r="21835">
      <c r="B21835" s="612"/>
      <c r="H21835" s="612"/>
    </row>
    <row r="21836">
      <c r="B21836" s="612"/>
      <c r="H21836" s="612"/>
    </row>
    <row r="21837">
      <c r="B21837" s="612"/>
      <c r="H21837" s="612"/>
    </row>
    <row r="21838">
      <c r="B21838" s="612"/>
      <c r="H21838" s="612"/>
    </row>
    <row r="21839">
      <c r="B21839" s="612"/>
      <c r="H21839" s="612"/>
    </row>
    <row r="21840">
      <c r="B21840" s="612"/>
      <c r="H21840" s="612"/>
    </row>
    <row r="21841">
      <c r="B21841" s="612"/>
      <c r="H21841" s="612"/>
    </row>
    <row r="21842">
      <c r="B21842" s="612"/>
      <c r="H21842" s="612"/>
    </row>
    <row r="21843">
      <c r="B21843" s="612"/>
      <c r="H21843" s="612"/>
    </row>
    <row r="21844">
      <c r="B21844" s="612"/>
      <c r="H21844" s="612"/>
    </row>
    <row r="21845">
      <c r="B21845" s="612"/>
      <c r="H21845" s="612"/>
    </row>
    <row r="21846">
      <c r="B21846" s="612"/>
      <c r="H21846" s="612"/>
    </row>
    <row r="21847">
      <c r="B21847" s="612"/>
      <c r="H21847" s="612"/>
    </row>
    <row r="21848">
      <c r="B21848" s="612"/>
      <c r="H21848" s="612"/>
    </row>
    <row r="21849">
      <c r="B21849" s="612"/>
      <c r="H21849" s="612"/>
    </row>
    <row r="21850">
      <c r="B21850" s="612"/>
      <c r="H21850" s="612"/>
    </row>
    <row r="21851">
      <c r="B21851" s="612"/>
      <c r="H21851" s="612"/>
    </row>
    <row r="21852">
      <c r="B21852" s="612"/>
      <c r="H21852" s="612"/>
    </row>
    <row r="21853">
      <c r="B21853" s="612"/>
      <c r="H21853" s="612"/>
    </row>
    <row r="21854">
      <c r="B21854" s="612"/>
      <c r="H21854" s="612"/>
    </row>
    <row r="21855">
      <c r="B21855" s="612"/>
      <c r="H21855" s="612"/>
    </row>
    <row r="21856">
      <c r="B21856" s="612"/>
      <c r="H21856" s="612"/>
    </row>
    <row r="21857">
      <c r="B21857" s="612"/>
      <c r="H21857" s="612"/>
    </row>
    <row r="21858">
      <c r="B21858" s="612"/>
      <c r="H21858" s="612"/>
    </row>
    <row r="21859">
      <c r="B21859" s="612"/>
      <c r="H21859" s="612"/>
    </row>
    <row r="21860">
      <c r="B21860" s="612"/>
      <c r="H21860" s="612"/>
    </row>
    <row r="21861">
      <c r="B21861" s="612"/>
      <c r="H21861" s="612"/>
    </row>
    <row r="21862">
      <c r="B21862" s="612"/>
      <c r="H21862" s="612"/>
    </row>
    <row r="21863">
      <c r="B21863" s="612"/>
      <c r="H21863" s="612"/>
    </row>
    <row r="21864">
      <c r="B21864" s="612"/>
      <c r="H21864" s="612"/>
    </row>
    <row r="21865">
      <c r="B21865" s="612"/>
      <c r="H21865" s="612"/>
    </row>
    <row r="21866">
      <c r="B21866" s="612"/>
      <c r="H21866" s="612"/>
    </row>
    <row r="21867">
      <c r="B21867" s="612"/>
      <c r="H21867" s="612"/>
    </row>
    <row r="21868">
      <c r="B21868" s="612"/>
      <c r="H21868" s="612"/>
    </row>
    <row r="21869">
      <c r="B21869" s="612"/>
      <c r="H21869" s="612"/>
    </row>
    <row r="21870">
      <c r="B21870" s="612"/>
      <c r="H21870" s="612"/>
    </row>
    <row r="21871">
      <c r="B21871" s="612"/>
      <c r="H21871" s="612"/>
    </row>
    <row r="21872">
      <c r="B21872" s="612"/>
      <c r="H21872" s="612"/>
    </row>
    <row r="21873">
      <c r="B21873" s="612"/>
      <c r="H21873" s="612"/>
    </row>
    <row r="21874">
      <c r="B21874" s="612"/>
      <c r="H21874" s="612"/>
    </row>
    <row r="21875">
      <c r="B21875" s="612"/>
      <c r="H21875" s="612"/>
    </row>
    <row r="21876">
      <c r="B21876" s="612"/>
      <c r="H21876" s="612"/>
    </row>
    <row r="21877">
      <c r="B21877" s="612"/>
      <c r="H21877" s="612"/>
    </row>
    <row r="21878">
      <c r="B21878" s="612"/>
      <c r="H21878" s="612"/>
    </row>
    <row r="21879">
      <c r="B21879" s="612"/>
      <c r="H21879" s="612"/>
    </row>
    <row r="21880">
      <c r="B21880" s="612"/>
      <c r="H21880" s="612"/>
    </row>
    <row r="21881">
      <c r="B21881" s="612"/>
      <c r="H21881" s="612"/>
    </row>
    <row r="21882">
      <c r="B21882" s="612"/>
      <c r="H21882" s="612"/>
    </row>
    <row r="21883">
      <c r="B21883" s="612"/>
      <c r="H21883" s="612"/>
    </row>
    <row r="21884">
      <c r="B21884" s="612"/>
      <c r="H21884" s="612"/>
    </row>
    <row r="21885">
      <c r="B21885" s="612"/>
      <c r="H21885" s="612"/>
    </row>
    <row r="21886">
      <c r="B21886" s="612"/>
      <c r="H21886" s="612"/>
    </row>
    <row r="21887">
      <c r="B21887" s="612"/>
      <c r="H21887" s="612"/>
    </row>
    <row r="21888">
      <c r="B21888" s="612"/>
      <c r="H21888" s="612"/>
    </row>
    <row r="21889">
      <c r="B21889" s="612"/>
      <c r="H21889" s="612"/>
    </row>
    <row r="21890">
      <c r="B21890" s="612"/>
      <c r="H21890" s="612"/>
    </row>
    <row r="21891">
      <c r="B21891" s="612"/>
      <c r="H21891" s="612"/>
    </row>
    <row r="21892">
      <c r="B21892" s="612"/>
      <c r="H21892" s="612"/>
    </row>
    <row r="21893">
      <c r="B21893" s="612"/>
      <c r="H21893" s="612"/>
    </row>
    <row r="21894">
      <c r="B21894" s="612"/>
      <c r="H21894" s="612"/>
    </row>
    <row r="21895">
      <c r="B21895" s="612"/>
      <c r="H21895" s="612"/>
    </row>
    <row r="21896">
      <c r="B21896" s="612"/>
      <c r="H21896" s="612"/>
    </row>
    <row r="21897">
      <c r="B21897" s="612"/>
      <c r="H21897" s="612"/>
    </row>
    <row r="21898">
      <c r="B21898" s="612"/>
      <c r="H21898" s="612"/>
    </row>
    <row r="21899">
      <c r="B21899" s="612"/>
      <c r="H21899" s="612"/>
    </row>
    <row r="21900">
      <c r="B21900" s="612"/>
      <c r="H21900" s="612"/>
    </row>
    <row r="21901">
      <c r="B21901" s="612"/>
      <c r="H21901" s="612"/>
    </row>
    <row r="21902">
      <c r="B21902" s="612"/>
      <c r="H21902" s="612"/>
    </row>
    <row r="21903">
      <c r="B21903" s="612"/>
      <c r="H21903" s="612"/>
    </row>
    <row r="21904">
      <c r="B21904" s="612"/>
      <c r="H21904" s="612"/>
    </row>
    <row r="21905">
      <c r="B21905" s="612"/>
      <c r="H21905" s="612"/>
    </row>
    <row r="21906">
      <c r="B21906" s="612"/>
      <c r="H21906" s="612"/>
    </row>
    <row r="21907">
      <c r="B21907" s="612"/>
      <c r="H21907" s="612"/>
    </row>
    <row r="21908">
      <c r="B21908" s="612"/>
      <c r="H21908" s="612"/>
    </row>
    <row r="21909">
      <c r="B21909" s="612"/>
      <c r="H21909" s="612"/>
    </row>
    <row r="21910">
      <c r="B21910" s="612"/>
      <c r="H21910" s="612"/>
    </row>
    <row r="21911">
      <c r="B21911" s="612"/>
      <c r="H21911" s="612"/>
    </row>
    <row r="21912">
      <c r="B21912" s="612"/>
      <c r="H21912" s="612"/>
    </row>
    <row r="21913">
      <c r="B21913" s="612"/>
      <c r="H21913" s="612"/>
    </row>
    <row r="21914">
      <c r="B21914" s="612"/>
      <c r="H21914" s="612"/>
    </row>
    <row r="21915">
      <c r="B21915" s="612"/>
      <c r="H21915" s="612"/>
    </row>
    <row r="21916">
      <c r="B21916" s="612"/>
      <c r="H21916" s="612"/>
    </row>
    <row r="21917">
      <c r="B21917" s="612"/>
      <c r="H21917" s="612"/>
    </row>
    <row r="21918">
      <c r="B21918" s="612"/>
      <c r="H21918" s="612"/>
    </row>
    <row r="21919">
      <c r="B21919" s="612"/>
      <c r="H21919" s="612"/>
    </row>
    <row r="21920">
      <c r="B21920" s="612"/>
      <c r="H21920" s="612"/>
    </row>
    <row r="21921">
      <c r="B21921" s="612"/>
      <c r="H21921" s="612"/>
    </row>
    <row r="21922">
      <c r="B21922" s="612"/>
      <c r="H21922" s="612"/>
    </row>
    <row r="21923">
      <c r="B21923" s="612"/>
      <c r="H21923" s="612"/>
    </row>
    <row r="21924">
      <c r="B21924" s="612"/>
      <c r="H21924" s="612"/>
    </row>
    <row r="21925">
      <c r="B21925" s="612"/>
      <c r="H21925" s="612"/>
    </row>
    <row r="21926">
      <c r="B21926" s="612"/>
      <c r="H21926" s="612"/>
    </row>
    <row r="21927">
      <c r="B21927" s="612"/>
      <c r="H21927" s="612"/>
    </row>
    <row r="21928">
      <c r="B21928" s="612"/>
      <c r="H21928" s="612"/>
    </row>
    <row r="21929">
      <c r="B21929" s="612"/>
      <c r="H21929" s="612"/>
    </row>
    <row r="21930">
      <c r="B21930" s="612"/>
      <c r="H21930" s="612"/>
    </row>
    <row r="21931">
      <c r="B21931" s="612"/>
      <c r="H21931" s="612"/>
    </row>
    <row r="21932">
      <c r="B21932" s="612"/>
      <c r="H21932" s="612"/>
    </row>
    <row r="21933">
      <c r="B21933" s="612"/>
      <c r="H21933" s="612"/>
    </row>
    <row r="21934">
      <c r="B21934" s="612"/>
      <c r="H21934" s="612"/>
    </row>
    <row r="21935">
      <c r="B21935" s="612"/>
      <c r="H21935" s="612"/>
    </row>
    <row r="21936">
      <c r="B21936" s="612"/>
      <c r="H21936" s="612"/>
    </row>
    <row r="21937">
      <c r="B21937" s="612"/>
      <c r="H21937" s="612"/>
    </row>
    <row r="21938">
      <c r="B21938" s="612"/>
      <c r="H21938" s="612"/>
    </row>
    <row r="21939">
      <c r="B21939" s="612"/>
      <c r="H21939" s="612"/>
    </row>
    <row r="21940">
      <c r="B21940" s="612"/>
      <c r="H21940" s="612"/>
    </row>
    <row r="21941">
      <c r="B21941" s="612"/>
      <c r="H21941" s="612"/>
    </row>
    <row r="21942">
      <c r="B21942" s="612"/>
      <c r="H21942" s="612"/>
    </row>
    <row r="21943">
      <c r="B21943" s="612"/>
      <c r="H21943" s="612"/>
    </row>
    <row r="21944">
      <c r="B21944" s="612"/>
      <c r="H21944" s="612"/>
    </row>
    <row r="21945">
      <c r="B21945" s="612"/>
      <c r="H21945" s="612"/>
    </row>
    <row r="21946">
      <c r="B21946" s="612"/>
      <c r="H21946" s="612"/>
    </row>
    <row r="21947">
      <c r="B21947" s="612"/>
      <c r="H21947" s="612"/>
    </row>
    <row r="21948">
      <c r="B21948" s="612"/>
      <c r="H21948" s="612"/>
    </row>
    <row r="21949">
      <c r="B21949" s="612"/>
      <c r="H21949" s="612"/>
    </row>
    <row r="21950">
      <c r="B21950" s="612"/>
      <c r="H21950" s="612"/>
    </row>
    <row r="21951">
      <c r="B21951" s="612"/>
      <c r="H21951" s="612"/>
    </row>
    <row r="21952">
      <c r="B21952" s="612"/>
      <c r="H21952" s="612"/>
    </row>
    <row r="21953">
      <c r="B21953" s="612"/>
      <c r="H21953" s="612"/>
    </row>
    <row r="21954">
      <c r="B21954" s="612"/>
      <c r="H21954" s="612"/>
    </row>
    <row r="21955">
      <c r="B21955" s="612"/>
      <c r="H21955" s="612"/>
    </row>
    <row r="21956">
      <c r="B21956" s="612"/>
      <c r="H21956" s="612"/>
    </row>
    <row r="21957">
      <c r="B21957" s="612"/>
      <c r="H21957" s="612"/>
    </row>
    <row r="21958">
      <c r="B21958" s="612"/>
      <c r="H21958" s="612"/>
    </row>
    <row r="21959">
      <c r="B21959" s="612"/>
      <c r="H21959" s="612"/>
    </row>
    <row r="21960">
      <c r="B21960" s="612"/>
      <c r="H21960" s="612"/>
    </row>
    <row r="21961">
      <c r="B21961" s="612"/>
      <c r="H21961" s="612"/>
    </row>
    <row r="21962">
      <c r="B21962" s="612"/>
      <c r="H21962" s="612"/>
    </row>
    <row r="21963">
      <c r="B21963" s="612"/>
      <c r="H21963" s="612"/>
    </row>
    <row r="21964">
      <c r="B21964" s="612"/>
      <c r="H21964" s="612"/>
    </row>
    <row r="21965">
      <c r="B21965" s="612"/>
      <c r="H21965" s="612"/>
    </row>
    <row r="21966">
      <c r="B21966" s="612"/>
      <c r="H21966" s="612"/>
    </row>
    <row r="21967">
      <c r="B21967" s="612"/>
      <c r="H21967" s="612"/>
    </row>
    <row r="21968">
      <c r="B21968" s="612"/>
      <c r="H21968" s="612"/>
    </row>
    <row r="21969">
      <c r="B21969" s="612"/>
      <c r="H21969" s="612"/>
    </row>
    <row r="21970">
      <c r="B21970" s="612"/>
      <c r="H21970" s="612"/>
    </row>
    <row r="21971">
      <c r="B21971" s="612"/>
      <c r="H21971" s="612"/>
    </row>
    <row r="21972">
      <c r="B21972" s="612"/>
      <c r="H21972" s="612"/>
    </row>
    <row r="21973">
      <c r="B21973" s="612"/>
      <c r="H21973" s="612"/>
    </row>
    <row r="21974">
      <c r="B21974" s="612"/>
      <c r="H21974" s="612"/>
    </row>
    <row r="21975">
      <c r="B21975" s="612"/>
      <c r="H21975" s="612"/>
    </row>
    <row r="21976">
      <c r="B21976" s="612"/>
      <c r="H21976" s="612"/>
    </row>
    <row r="21977">
      <c r="B21977" s="612"/>
      <c r="H21977" s="612"/>
    </row>
    <row r="21978">
      <c r="B21978" s="612"/>
      <c r="H21978" s="612"/>
    </row>
    <row r="21979">
      <c r="B21979" s="612"/>
      <c r="H21979" s="612"/>
    </row>
    <row r="21980">
      <c r="B21980" s="612"/>
      <c r="H21980" s="612"/>
    </row>
    <row r="21981">
      <c r="B21981" s="612"/>
      <c r="H21981" s="612"/>
    </row>
    <row r="21982">
      <c r="B21982" s="612"/>
      <c r="H21982" s="612"/>
    </row>
    <row r="21983">
      <c r="B21983" s="612"/>
      <c r="H21983" s="612"/>
    </row>
    <row r="21984">
      <c r="B21984" s="612"/>
      <c r="H21984" s="612"/>
    </row>
    <row r="21985">
      <c r="B21985" s="612"/>
      <c r="H21985" s="612"/>
    </row>
    <row r="21986">
      <c r="B21986" s="612"/>
      <c r="H21986" s="612"/>
    </row>
    <row r="21987">
      <c r="B21987" s="612"/>
      <c r="H21987" s="612"/>
    </row>
    <row r="21988">
      <c r="B21988" s="612"/>
      <c r="H21988" s="612"/>
    </row>
    <row r="21989">
      <c r="B21989" s="612"/>
      <c r="H21989" s="612"/>
    </row>
    <row r="21990">
      <c r="B21990" s="612"/>
      <c r="H21990" s="612"/>
    </row>
    <row r="21991">
      <c r="B21991" s="612"/>
      <c r="H21991" s="612"/>
    </row>
    <row r="21992">
      <c r="B21992" s="612"/>
      <c r="H21992" s="612"/>
    </row>
    <row r="21993">
      <c r="B21993" s="612"/>
      <c r="H21993" s="612"/>
    </row>
    <row r="21994">
      <c r="B21994" s="612"/>
      <c r="H21994" s="612"/>
    </row>
    <row r="21995">
      <c r="B21995" s="612"/>
      <c r="H21995" s="612"/>
    </row>
    <row r="21996">
      <c r="B21996" s="612"/>
      <c r="H21996" s="612"/>
    </row>
    <row r="21997">
      <c r="B21997" s="612"/>
      <c r="H21997" s="612"/>
    </row>
    <row r="21998">
      <c r="B21998" s="612"/>
      <c r="H21998" s="612"/>
    </row>
    <row r="21999">
      <c r="B21999" s="612"/>
      <c r="H21999" s="612"/>
    </row>
    <row r="22000">
      <c r="B22000" s="612"/>
      <c r="H22000" s="612"/>
    </row>
    <row r="22001">
      <c r="B22001" s="612"/>
      <c r="H22001" s="612"/>
    </row>
    <row r="22002">
      <c r="B22002" s="612"/>
      <c r="H22002" s="612"/>
    </row>
    <row r="22003">
      <c r="B22003" s="612"/>
      <c r="H22003" s="612"/>
    </row>
    <row r="22004">
      <c r="B22004" s="612"/>
      <c r="H22004" s="612"/>
    </row>
    <row r="22005">
      <c r="B22005" s="612"/>
      <c r="H22005" s="612"/>
    </row>
    <row r="22006">
      <c r="B22006" s="612"/>
      <c r="H22006" s="612"/>
    </row>
    <row r="22007">
      <c r="B22007" s="612"/>
      <c r="H22007" s="612"/>
    </row>
    <row r="22008">
      <c r="B22008" s="612"/>
      <c r="H22008" s="612"/>
    </row>
    <row r="22009">
      <c r="B22009" s="612"/>
      <c r="H22009" s="612"/>
    </row>
    <row r="22010">
      <c r="B22010" s="612"/>
      <c r="H22010" s="612"/>
    </row>
    <row r="22011">
      <c r="B22011" s="612"/>
      <c r="H22011" s="612"/>
    </row>
    <row r="22012">
      <c r="B22012" s="612"/>
      <c r="H22012" s="612"/>
    </row>
    <row r="22013">
      <c r="B22013" s="612"/>
      <c r="H22013" s="612"/>
    </row>
    <row r="22014">
      <c r="B22014" s="612"/>
      <c r="H22014" s="612"/>
    </row>
    <row r="22015">
      <c r="B22015" s="612"/>
      <c r="H22015" s="612"/>
    </row>
    <row r="22016">
      <c r="B22016" s="612"/>
      <c r="H22016" s="612"/>
    </row>
    <row r="22017">
      <c r="B22017" s="612"/>
      <c r="H22017" s="612"/>
    </row>
    <row r="22018">
      <c r="B22018" s="612"/>
      <c r="H22018" s="612"/>
    </row>
    <row r="22019">
      <c r="B22019" s="612"/>
      <c r="H22019" s="612"/>
    </row>
    <row r="22020">
      <c r="B22020" s="612"/>
      <c r="H22020" s="612"/>
    </row>
    <row r="22021">
      <c r="B22021" s="612"/>
      <c r="H22021" s="612"/>
    </row>
    <row r="22022">
      <c r="B22022" s="612"/>
      <c r="H22022" s="612"/>
    </row>
    <row r="22023">
      <c r="B22023" s="612"/>
      <c r="H22023" s="612"/>
    </row>
    <row r="22024">
      <c r="B22024" s="612"/>
      <c r="H22024" s="612"/>
    </row>
    <row r="22025">
      <c r="B22025" s="612"/>
      <c r="H22025" s="612"/>
    </row>
    <row r="22026">
      <c r="B22026" s="612"/>
      <c r="H22026" s="612"/>
    </row>
    <row r="22027">
      <c r="B22027" s="612"/>
      <c r="H22027" s="612"/>
    </row>
    <row r="22028">
      <c r="B22028" s="612"/>
      <c r="H22028" s="612"/>
    </row>
    <row r="22029">
      <c r="B22029" s="612"/>
      <c r="H22029" s="612"/>
    </row>
    <row r="22030">
      <c r="B22030" s="612"/>
      <c r="H22030" s="612"/>
    </row>
    <row r="22031">
      <c r="B22031" s="612"/>
      <c r="H22031" s="612"/>
    </row>
    <row r="22032">
      <c r="B22032" s="612"/>
      <c r="H22032" s="612"/>
    </row>
    <row r="22033">
      <c r="B22033" s="612"/>
      <c r="H22033" s="612"/>
    </row>
    <row r="22034">
      <c r="B22034" s="612"/>
      <c r="H22034" s="612"/>
    </row>
    <row r="22035">
      <c r="B22035" s="612"/>
      <c r="H22035" s="612"/>
    </row>
    <row r="22036">
      <c r="B22036" s="612"/>
      <c r="H22036" s="612"/>
    </row>
    <row r="22037">
      <c r="B22037" s="612"/>
      <c r="H22037" s="612"/>
    </row>
    <row r="22038">
      <c r="B22038" s="612"/>
      <c r="H22038" s="612"/>
    </row>
    <row r="22039">
      <c r="B22039" s="612"/>
      <c r="H22039" s="612"/>
    </row>
    <row r="22040">
      <c r="B22040" s="612"/>
      <c r="H22040" s="612"/>
    </row>
    <row r="22041">
      <c r="B22041" s="612"/>
      <c r="H22041" s="612"/>
    </row>
    <row r="22042">
      <c r="B22042" s="612"/>
      <c r="H22042" s="612"/>
    </row>
    <row r="22043">
      <c r="B22043" s="612"/>
      <c r="H22043" s="612"/>
    </row>
    <row r="22044">
      <c r="B22044" s="612"/>
      <c r="H22044" s="612"/>
    </row>
    <row r="22045">
      <c r="B22045" s="612"/>
      <c r="H22045" s="612"/>
    </row>
    <row r="22046">
      <c r="B22046" s="612"/>
      <c r="H22046" s="612"/>
    </row>
    <row r="22047">
      <c r="B22047" s="612"/>
      <c r="H22047" s="612"/>
    </row>
    <row r="22048">
      <c r="B22048" s="612"/>
      <c r="H22048" s="612"/>
    </row>
    <row r="22049">
      <c r="B22049" s="612"/>
      <c r="H22049" s="612"/>
    </row>
    <row r="22050">
      <c r="B22050" s="612"/>
      <c r="H22050" s="612"/>
    </row>
    <row r="22051">
      <c r="B22051" s="612"/>
      <c r="H22051" s="612"/>
    </row>
    <row r="22052">
      <c r="B22052" s="612"/>
      <c r="H22052" s="612"/>
    </row>
    <row r="22053">
      <c r="B22053" s="612"/>
      <c r="H22053" s="612"/>
    </row>
    <row r="22054">
      <c r="B22054" s="612"/>
      <c r="H22054" s="612"/>
    </row>
    <row r="22055">
      <c r="B22055" s="612"/>
      <c r="H22055" s="612"/>
    </row>
    <row r="22056">
      <c r="B22056" s="612"/>
      <c r="H22056" s="612"/>
    </row>
    <row r="22057">
      <c r="B22057" s="612"/>
      <c r="H22057" s="612"/>
    </row>
    <row r="22058">
      <c r="B22058" s="612"/>
      <c r="H22058" s="612"/>
    </row>
    <row r="22059">
      <c r="B22059" s="612"/>
      <c r="H22059" s="612"/>
    </row>
    <row r="22060">
      <c r="B22060" s="612"/>
      <c r="H22060" s="612"/>
    </row>
    <row r="22061">
      <c r="B22061" s="612"/>
      <c r="H22061" s="612"/>
    </row>
    <row r="22062">
      <c r="B22062" s="612"/>
      <c r="H22062" s="612"/>
    </row>
    <row r="22063">
      <c r="B22063" s="612"/>
      <c r="H22063" s="612"/>
    </row>
    <row r="22064">
      <c r="B22064" s="612"/>
      <c r="H22064" s="612"/>
    </row>
    <row r="22065">
      <c r="B22065" s="612"/>
      <c r="H22065" s="612"/>
    </row>
    <row r="22066">
      <c r="B22066" s="612"/>
      <c r="H22066" s="612"/>
    </row>
    <row r="22067">
      <c r="B22067" s="612"/>
      <c r="H22067" s="612"/>
    </row>
    <row r="22068">
      <c r="B22068" s="612"/>
      <c r="H22068" s="612"/>
    </row>
    <row r="22069">
      <c r="B22069" s="612"/>
      <c r="H22069" s="612"/>
    </row>
    <row r="22070">
      <c r="B22070" s="612"/>
      <c r="H22070" s="612"/>
    </row>
    <row r="22071">
      <c r="B22071" s="612"/>
      <c r="H22071" s="612"/>
    </row>
    <row r="22072">
      <c r="B22072" s="612"/>
      <c r="H22072" s="612"/>
    </row>
    <row r="22073">
      <c r="B22073" s="612"/>
      <c r="H22073" s="612"/>
    </row>
    <row r="22074">
      <c r="B22074" s="612"/>
      <c r="H22074" s="612"/>
    </row>
    <row r="22075">
      <c r="B22075" s="612"/>
      <c r="H22075" s="612"/>
    </row>
    <row r="22076">
      <c r="B22076" s="612"/>
      <c r="H22076" s="612"/>
    </row>
    <row r="22077">
      <c r="B22077" s="612"/>
      <c r="H22077" s="612"/>
    </row>
    <row r="22078">
      <c r="B22078" s="612"/>
      <c r="H22078" s="612"/>
    </row>
    <row r="22079">
      <c r="B22079" s="612"/>
      <c r="H22079" s="612"/>
    </row>
    <row r="22080">
      <c r="B22080" s="612"/>
      <c r="H22080" s="612"/>
    </row>
    <row r="22081">
      <c r="B22081" s="612"/>
      <c r="H22081" s="612"/>
    </row>
    <row r="22082">
      <c r="B22082" s="612"/>
      <c r="H22082" s="612"/>
    </row>
    <row r="22083">
      <c r="B22083" s="612"/>
      <c r="H22083" s="612"/>
    </row>
    <row r="22084">
      <c r="B22084" s="612"/>
      <c r="H22084" s="612"/>
    </row>
    <row r="22085">
      <c r="B22085" s="612"/>
      <c r="H22085" s="612"/>
    </row>
    <row r="22086">
      <c r="B22086" s="612"/>
      <c r="H22086" s="612"/>
    </row>
    <row r="22087">
      <c r="B22087" s="612"/>
      <c r="H22087" s="612"/>
    </row>
    <row r="22088">
      <c r="B22088" s="612"/>
      <c r="H22088" s="612"/>
    </row>
    <row r="22089">
      <c r="B22089" s="612"/>
      <c r="H22089" s="612"/>
    </row>
    <row r="22090">
      <c r="B22090" s="612"/>
      <c r="H22090" s="612"/>
    </row>
    <row r="22091">
      <c r="B22091" s="612"/>
      <c r="H22091" s="612"/>
    </row>
    <row r="22092">
      <c r="B22092" s="612"/>
      <c r="H22092" s="612"/>
    </row>
    <row r="22093">
      <c r="B22093" s="612"/>
      <c r="H22093" s="612"/>
    </row>
    <row r="22094">
      <c r="B22094" s="612"/>
      <c r="H22094" s="612"/>
    </row>
    <row r="22095">
      <c r="B22095" s="612"/>
      <c r="H22095" s="612"/>
    </row>
    <row r="22096">
      <c r="B22096" s="612"/>
      <c r="H22096" s="612"/>
    </row>
    <row r="22097">
      <c r="B22097" s="612"/>
      <c r="H22097" s="612"/>
    </row>
    <row r="22098">
      <c r="B22098" s="612"/>
      <c r="H22098" s="612"/>
    </row>
    <row r="22099">
      <c r="B22099" s="612"/>
      <c r="H22099" s="612"/>
    </row>
    <row r="22100">
      <c r="B22100" s="612"/>
      <c r="H22100" s="612"/>
    </row>
    <row r="22101">
      <c r="B22101" s="612"/>
      <c r="H22101" s="612"/>
    </row>
    <row r="22102">
      <c r="B22102" s="612"/>
      <c r="H22102" s="612"/>
    </row>
    <row r="22103">
      <c r="B22103" s="612"/>
      <c r="H22103" s="612"/>
    </row>
    <row r="22104">
      <c r="B22104" s="612"/>
      <c r="H22104" s="612"/>
    </row>
    <row r="22105">
      <c r="B22105" s="612"/>
      <c r="H22105" s="612"/>
    </row>
    <row r="22106">
      <c r="B22106" s="612"/>
      <c r="H22106" s="612"/>
    </row>
    <row r="22107">
      <c r="B22107" s="612"/>
      <c r="H22107" s="612"/>
    </row>
    <row r="22108">
      <c r="B22108" s="612"/>
      <c r="H22108" s="612"/>
    </row>
    <row r="22109">
      <c r="B22109" s="612"/>
      <c r="H22109" s="612"/>
    </row>
    <row r="22110">
      <c r="B22110" s="612"/>
      <c r="H22110" s="612"/>
    </row>
    <row r="22111">
      <c r="B22111" s="612"/>
      <c r="H22111" s="612"/>
    </row>
    <row r="22112">
      <c r="B22112" s="612"/>
      <c r="H22112" s="612"/>
    </row>
    <row r="22113">
      <c r="B22113" s="612"/>
      <c r="H22113" s="612"/>
    </row>
    <row r="22114">
      <c r="B22114" s="612"/>
      <c r="H22114" s="612"/>
    </row>
    <row r="22115">
      <c r="B22115" s="612"/>
      <c r="H22115" s="612"/>
    </row>
    <row r="22116">
      <c r="B22116" s="612"/>
      <c r="H22116" s="612"/>
    </row>
    <row r="22117">
      <c r="B22117" s="612"/>
      <c r="H22117" s="612"/>
    </row>
    <row r="22118">
      <c r="B22118" s="612"/>
      <c r="H22118" s="612"/>
    </row>
    <row r="22119">
      <c r="B22119" s="612"/>
      <c r="H22119" s="612"/>
    </row>
    <row r="22120">
      <c r="B22120" s="612"/>
      <c r="H22120" s="612"/>
    </row>
    <row r="22121">
      <c r="B22121" s="612"/>
      <c r="H22121" s="612"/>
    </row>
    <row r="22122">
      <c r="B22122" s="612"/>
      <c r="H22122" s="612"/>
    </row>
    <row r="22123">
      <c r="B22123" s="612"/>
      <c r="H22123" s="612"/>
    </row>
    <row r="22124">
      <c r="B22124" s="612"/>
      <c r="H22124" s="612"/>
    </row>
    <row r="22125">
      <c r="B22125" s="612"/>
      <c r="H22125" s="612"/>
    </row>
    <row r="22126">
      <c r="B22126" s="612"/>
      <c r="H22126" s="612"/>
    </row>
    <row r="22127">
      <c r="B22127" s="612"/>
      <c r="H22127" s="612"/>
    </row>
    <row r="22128">
      <c r="B22128" s="612"/>
      <c r="H22128" s="612"/>
    </row>
    <row r="22129">
      <c r="B22129" s="612"/>
      <c r="H22129" s="612"/>
    </row>
    <row r="22130">
      <c r="B22130" s="612"/>
      <c r="H22130" s="612"/>
    </row>
    <row r="22131">
      <c r="B22131" s="612"/>
      <c r="H22131" s="612"/>
    </row>
    <row r="22132">
      <c r="B22132" s="612"/>
      <c r="H22132" s="612"/>
    </row>
    <row r="22133">
      <c r="B22133" s="612"/>
      <c r="H22133" s="612"/>
    </row>
    <row r="22134">
      <c r="B22134" s="612"/>
      <c r="H22134" s="612"/>
    </row>
    <row r="22135">
      <c r="B22135" s="612"/>
      <c r="H22135" s="612"/>
    </row>
    <row r="22136">
      <c r="B22136" s="612"/>
      <c r="H22136" s="612"/>
    </row>
    <row r="22137">
      <c r="B22137" s="612"/>
      <c r="H22137" s="612"/>
    </row>
    <row r="22138">
      <c r="B22138" s="612"/>
      <c r="H22138" s="612"/>
    </row>
    <row r="22139">
      <c r="B22139" s="612"/>
      <c r="H22139" s="612"/>
    </row>
    <row r="22140">
      <c r="B22140" s="612"/>
      <c r="H22140" s="612"/>
    </row>
    <row r="22141">
      <c r="B22141" s="612"/>
      <c r="H22141" s="612"/>
    </row>
    <row r="22142">
      <c r="B22142" s="612"/>
      <c r="H22142" s="612"/>
    </row>
    <row r="22143">
      <c r="B22143" s="612"/>
      <c r="H22143" s="612"/>
    </row>
    <row r="22144">
      <c r="B22144" s="612"/>
      <c r="H22144" s="612"/>
    </row>
    <row r="22145">
      <c r="B22145" s="612"/>
      <c r="H22145" s="612"/>
    </row>
    <row r="22146">
      <c r="B22146" s="612"/>
      <c r="H22146" s="612"/>
    </row>
    <row r="22147">
      <c r="B22147" s="612"/>
      <c r="H22147" s="612"/>
    </row>
    <row r="22148">
      <c r="B22148" s="612"/>
      <c r="H22148" s="612"/>
    </row>
    <row r="22149">
      <c r="B22149" s="612"/>
      <c r="H22149" s="612"/>
    </row>
    <row r="22150">
      <c r="B22150" s="612"/>
      <c r="H22150" s="612"/>
    </row>
    <row r="22151">
      <c r="B22151" s="612"/>
      <c r="H22151" s="612"/>
    </row>
    <row r="22152">
      <c r="B22152" s="612"/>
      <c r="H22152" s="612"/>
    </row>
    <row r="22153">
      <c r="B22153" s="612"/>
      <c r="H22153" s="612"/>
    </row>
    <row r="22154">
      <c r="B22154" s="612"/>
      <c r="H22154" s="612"/>
    </row>
    <row r="22155">
      <c r="B22155" s="612"/>
      <c r="H22155" s="612"/>
    </row>
    <row r="22156">
      <c r="B22156" s="612"/>
      <c r="H22156" s="612"/>
    </row>
    <row r="22157">
      <c r="B22157" s="612"/>
      <c r="H22157" s="612"/>
    </row>
    <row r="22158">
      <c r="B22158" s="612"/>
      <c r="H22158" s="612"/>
    </row>
    <row r="22159">
      <c r="B22159" s="612"/>
      <c r="H22159" s="612"/>
    </row>
    <row r="22160">
      <c r="B22160" s="612"/>
      <c r="H22160" s="612"/>
    </row>
    <row r="22161">
      <c r="B22161" s="612"/>
      <c r="H22161" s="612"/>
    </row>
    <row r="22162">
      <c r="B22162" s="612"/>
      <c r="H22162" s="612"/>
    </row>
    <row r="22163">
      <c r="B22163" s="612"/>
      <c r="H22163" s="612"/>
    </row>
    <row r="22164">
      <c r="B22164" s="612"/>
      <c r="H22164" s="612"/>
    </row>
    <row r="22165">
      <c r="B22165" s="612"/>
      <c r="H22165" s="612"/>
    </row>
    <row r="22166">
      <c r="B22166" s="612"/>
      <c r="H22166" s="612"/>
    </row>
    <row r="22167">
      <c r="B22167" s="612"/>
      <c r="H22167" s="612"/>
    </row>
    <row r="22168">
      <c r="B22168" s="612"/>
      <c r="H22168" s="612"/>
    </row>
    <row r="22169">
      <c r="B22169" s="612"/>
      <c r="H22169" s="612"/>
    </row>
    <row r="22170">
      <c r="B22170" s="612"/>
      <c r="H22170" s="612"/>
    </row>
    <row r="22171">
      <c r="B22171" s="612"/>
      <c r="H22171" s="612"/>
    </row>
    <row r="22172">
      <c r="B22172" s="612"/>
      <c r="H22172" s="612"/>
    </row>
    <row r="22173">
      <c r="B22173" s="612"/>
      <c r="H22173" s="612"/>
    </row>
    <row r="22174">
      <c r="B22174" s="612"/>
      <c r="H22174" s="612"/>
    </row>
    <row r="22175">
      <c r="B22175" s="612"/>
      <c r="H22175" s="612"/>
    </row>
    <row r="22176">
      <c r="B22176" s="612"/>
      <c r="H22176" s="612"/>
    </row>
    <row r="22177">
      <c r="B22177" s="612"/>
      <c r="H22177" s="612"/>
    </row>
    <row r="22178">
      <c r="B22178" s="612"/>
      <c r="H22178" s="612"/>
    </row>
    <row r="22179">
      <c r="B22179" s="612"/>
      <c r="H22179" s="612"/>
    </row>
    <row r="22180">
      <c r="B22180" s="612"/>
      <c r="H22180" s="612"/>
    </row>
    <row r="22181">
      <c r="B22181" s="612"/>
      <c r="H22181" s="612"/>
    </row>
    <row r="22182">
      <c r="B22182" s="612"/>
      <c r="H22182" s="612"/>
    </row>
    <row r="22183">
      <c r="B22183" s="612"/>
      <c r="H22183" s="612"/>
    </row>
    <row r="22184">
      <c r="B22184" s="612"/>
      <c r="H22184" s="612"/>
    </row>
    <row r="22185">
      <c r="B22185" s="612"/>
      <c r="H22185" s="612"/>
    </row>
    <row r="22186">
      <c r="B22186" s="612"/>
      <c r="H22186" s="612"/>
    </row>
    <row r="22187">
      <c r="B22187" s="612"/>
      <c r="H22187" s="612"/>
    </row>
    <row r="22188">
      <c r="B22188" s="612"/>
      <c r="H22188" s="612"/>
    </row>
    <row r="22189">
      <c r="B22189" s="612"/>
      <c r="H22189" s="612"/>
    </row>
    <row r="22190">
      <c r="B22190" s="612"/>
      <c r="H22190" s="612"/>
    </row>
    <row r="22191">
      <c r="B22191" s="612"/>
      <c r="H22191" s="612"/>
    </row>
    <row r="22192">
      <c r="B22192" s="612"/>
      <c r="H22192" s="612"/>
    </row>
    <row r="22193">
      <c r="B22193" s="612"/>
      <c r="H22193" s="612"/>
    </row>
    <row r="22194">
      <c r="B22194" s="612"/>
      <c r="H22194" s="612"/>
    </row>
    <row r="22195">
      <c r="B22195" s="612"/>
      <c r="H22195" s="612"/>
    </row>
    <row r="22196">
      <c r="B22196" s="612"/>
      <c r="H22196" s="612"/>
    </row>
    <row r="22197">
      <c r="B22197" s="612"/>
      <c r="H22197" s="612"/>
    </row>
    <row r="22198">
      <c r="B22198" s="612"/>
      <c r="H22198" s="612"/>
    </row>
    <row r="22199">
      <c r="B22199" s="612"/>
      <c r="H22199" s="612"/>
    </row>
    <row r="22200">
      <c r="B22200" s="612"/>
      <c r="H22200" s="612"/>
    </row>
    <row r="22201">
      <c r="B22201" s="612"/>
      <c r="H22201" s="612"/>
    </row>
    <row r="22202">
      <c r="B22202" s="612"/>
      <c r="H22202" s="612"/>
    </row>
    <row r="22203">
      <c r="B22203" s="612"/>
      <c r="H22203" s="612"/>
    </row>
    <row r="22204">
      <c r="B22204" s="612"/>
      <c r="H22204" s="612"/>
    </row>
    <row r="22205">
      <c r="B22205" s="612"/>
      <c r="H22205" s="612"/>
    </row>
    <row r="22206">
      <c r="B22206" s="612"/>
      <c r="H22206" s="612"/>
    </row>
    <row r="22207">
      <c r="B22207" s="612"/>
      <c r="H22207" s="612"/>
    </row>
    <row r="22208">
      <c r="B22208" s="612"/>
      <c r="H22208" s="612"/>
    </row>
    <row r="22209">
      <c r="B22209" s="612"/>
      <c r="H22209" s="612"/>
    </row>
    <row r="22210">
      <c r="B22210" s="612"/>
      <c r="H22210" s="612"/>
    </row>
    <row r="22211">
      <c r="B22211" s="612"/>
      <c r="H22211" s="612"/>
    </row>
    <row r="22212">
      <c r="B22212" s="612"/>
      <c r="H22212" s="612"/>
    </row>
    <row r="22213">
      <c r="B22213" s="612"/>
      <c r="H22213" s="612"/>
    </row>
    <row r="22214">
      <c r="B22214" s="612"/>
      <c r="H22214" s="612"/>
    </row>
    <row r="22215">
      <c r="B22215" s="612"/>
      <c r="H22215" s="612"/>
    </row>
    <row r="22216">
      <c r="B22216" s="612"/>
      <c r="H22216" s="612"/>
    </row>
    <row r="22217">
      <c r="B22217" s="612"/>
      <c r="H22217" s="612"/>
    </row>
    <row r="22218">
      <c r="B22218" s="612"/>
      <c r="H22218" s="612"/>
    </row>
    <row r="22219">
      <c r="B22219" s="612"/>
      <c r="H22219" s="612"/>
    </row>
    <row r="22220">
      <c r="B22220" s="612"/>
      <c r="H22220" s="612"/>
    </row>
    <row r="22221">
      <c r="B22221" s="612"/>
      <c r="H22221" s="612"/>
    </row>
    <row r="22222">
      <c r="B22222" s="612"/>
      <c r="H22222" s="612"/>
    </row>
    <row r="22223">
      <c r="B22223" s="612"/>
      <c r="H22223" s="612"/>
    </row>
    <row r="22224">
      <c r="B22224" s="612"/>
      <c r="H22224" s="612"/>
    </row>
    <row r="22225">
      <c r="B22225" s="612"/>
      <c r="H22225" s="612"/>
    </row>
    <row r="22226">
      <c r="B22226" s="612"/>
      <c r="H22226" s="612"/>
    </row>
    <row r="22227">
      <c r="B22227" s="612"/>
      <c r="H22227" s="612"/>
    </row>
    <row r="22228">
      <c r="B22228" s="612"/>
      <c r="H22228" s="612"/>
    </row>
    <row r="22229">
      <c r="B22229" s="612"/>
      <c r="H22229" s="612"/>
    </row>
    <row r="22230">
      <c r="B22230" s="612"/>
      <c r="H22230" s="612"/>
    </row>
    <row r="22231">
      <c r="B22231" s="612"/>
      <c r="H22231" s="612"/>
    </row>
    <row r="22232">
      <c r="B22232" s="612"/>
      <c r="H22232" s="612"/>
    </row>
    <row r="22233">
      <c r="B22233" s="612"/>
      <c r="H22233" s="612"/>
    </row>
    <row r="22234">
      <c r="B22234" s="612"/>
      <c r="H22234" s="612"/>
    </row>
    <row r="22235">
      <c r="B22235" s="612"/>
      <c r="H22235" s="612"/>
    </row>
    <row r="22236">
      <c r="B22236" s="612"/>
      <c r="H22236" s="612"/>
    </row>
    <row r="22237">
      <c r="B22237" s="612"/>
      <c r="H22237" s="612"/>
    </row>
    <row r="22238">
      <c r="B22238" s="612"/>
      <c r="H22238" s="612"/>
    </row>
    <row r="22239">
      <c r="B22239" s="612"/>
      <c r="H22239" s="612"/>
    </row>
    <row r="22240">
      <c r="B22240" s="612"/>
      <c r="H22240" s="612"/>
    </row>
    <row r="22241">
      <c r="B22241" s="612"/>
      <c r="H22241" s="612"/>
    </row>
    <row r="22242">
      <c r="B22242" s="612"/>
      <c r="H22242" s="612"/>
    </row>
    <row r="22243">
      <c r="B22243" s="612"/>
      <c r="H22243" s="612"/>
    </row>
    <row r="22244">
      <c r="B22244" s="612"/>
      <c r="H22244" s="612"/>
    </row>
    <row r="22245">
      <c r="B22245" s="612"/>
      <c r="H22245" s="612"/>
    </row>
    <row r="22246">
      <c r="B22246" s="612"/>
      <c r="H22246" s="612"/>
    </row>
    <row r="22247">
      <c r="B22247" s="612"/>
      <c r="H22247" s="612"/>
    </row>
    <row r="22248">
      <c r="B22248" s="612"/>
      <c r="H22248" s="612"/>
    </row>
    <row r="22249">
      <c r="B22249" s="612"/>
      <c r="H22249" s="612"/>
    </row>
    <row r="22250">
      <c r="B22250" s="612"/>
      <c r="H22250" s="612"/>
    </row>
    <row r="22251">
      <c r="B22251" s="612"/>
      <c r="H22251" s="612"/>
    </row>
    <row r="22252">
      <c r="B22252" s="612"/>
      <c r="H22252" s="612"/>
    </row>
    <row r="22253">
      <c r="B22253" s="612"/>
      <c r="H22253" s="612"/>
    </row>
    <row r="22254">
      <c r="B22254" s="612"/>
      <c r="H22254" s="612"/>
    </row>
    <row r="22255">
      <c r="B22255" s="612"/>
      <c r="H22255" s="612"/>
    </row>
    <row r="22256">
      <c r="B22256" s="612"/>
      <c r="H22256" s="612"/>
    </row>
    <row r="22257">
      <c r="B22257" s="612"/>
      <c r="H22257" s="612"/>
    </row>
    <row r="22258">
      <c r="B22258" s="612"/>
      <c r="H22258" s="612"/>
    </row>
    <row r="22259">
      <c r="B22259" s="612"/>
      <c r="H22259" s="612"/>
    </row>
    <row r="22260">
      <c r="B22260" s="612"/>
      <c r="H22260" s="612"/>
    </row>
    <row r="22261">
      <c r="B22261" s="612"/>
      <c r="H22261" s="612"/>
    </row>
    <row r="22262">
      <c r="B22262" s="612"/>
      <c r="H22262" s="612"/>
    </row>
    <row r="22263">
      <c r="B22263" s="612"/>
      <c r="H22263" s="612"/>
    </row>
    <row r="22264">
      <c r="B22264" s="612"/>
      <c r="H22264" s="612"/>
    </row>
    <row r="22265">
      <c r="B22265" s="612"/>
      <c r="H22265" s="612"/>
    </row>
    <row r="22266">
      <c r="B22266" s="612"/>
      <c r="H22266" s="612"/>
    </row>
    <row r="22267">
      <c r="B22267" s="612"/>
      <c r="H22267" s="612"/>
    </row>
    <row r="22268">
      <c r="B22268" s="612"/>
      <c r="H22268" s="612"/>
    </row>
    <row r="22269">
      <c r="B22269" s="612"/>
      <c r="H22269" s="612"/>
    </row>
    <row r="22270">
      <c r="B22270" s="612"/>
      <c r="H22270" s="612"/>
    </row>
    <row r="22271">
      <c r="B22271" s="612"/>
      <c r="H22271" s="612"/>
    </row>
    <row r="22272">
      <c r="B22272" s="612"/>
      <c r="H22272" s="612"/>
    </row>
    <row r="22273">
      <c r="B22273" s="612"/>
      <c r="H22273" s="612"/>
    </row>
    <row r="22274">
      <c r="B22274" s="612"/>
      <c r="H22274" s="612"/>
    </row>
    <row r="22275">
      <c r="B22275" s="612"/>
      <c r="H22275" s="612"/>
    </row>
    <row r="22276">
      <c r="B22276" s="612"/>
      <c r="H22276" s="612"/>
    </row>
    <row r="22277">
      <c r="B22277" s="612"/>
      <c r="H22277" s="612"/>
    </row>
    <row r="22278">
      <c r="B22278" s="612"/>
      <c r="H22278" s="612"/>
    </row>
    <row r="22279">
      <c r="B22279" s="612"/>
      <c r="H22279" s="612"/>
    </row>
    <row r="22280">
      <c r="B22280" s="612"/>
      <c r="H22280" s="612"/>
    </row>
    <row r="22281">
      <c r="B22281" s="612"/>
      <c r="H22281" s="612"/>
    </row>
    <row r="22282">
      <c r="B22282" s="612"/>
      <c r="H22282" s="612"/>
    </row>
    <row r="22283">
      <c r="B22283" s="612"/>
      <c r="H22283" s="612"/>
    </row>
    <row r="22284">
      <c r="B22284" s="612"/>
      <c r="H22284" s="612"/>
    </row>
    <row r="22285">
      <c r="B22285" s="612"/>
      <c r="H22285" s="612"/>
    </row>
    <row r="22286">
      <c r="B22286" s="612"/>
      <c r="H22286" s="612"/>
    </row>
    <row r="22287">
      <c r="B22287" s="612"/>
      <c r="H22287" s="612"/>
    </row>
    <row r="22288">
      <c r="B22288" s="612"/>
      <c r="H22288" s="612"/>
    </row>
    <row r="22289">
      <c r="B22289" s="612"/>
      <c r="H22289" s="612"/>
    </row>
    <row r="22290">
      <c r="B22290" s="612"/>
      <c r="H22290" s="612"/>
    </row>
    <row r="22291">
      <c r="B22291" s="612"/>
      <c r="H22291" s="612"/>
    </row>
    <row r="22292">
      <c r="B22292" s="612"/>
      <c r="H22292" s="612"/>
    </row>
    <row r="22293">
      <c r="B22293" s="612"/>
      <c r="H22293" s="612"/>
    </row>
    <row r="22294">
      <c r="B22294" s="612"/>
      <c r="H22294" s="612"/>
    </row>
    <row r="22295">
      <c r="B22295" s="612"/>
      <c r="H22295" s="612"/>
    </row>
    <row r="22296">
      <c r="B22296" s="612"/>
      <c r="H22296" s="612"/>
    </row>
    <row r="22297">
      <c r="B22297" s="612"/>
      <c r="H22297" s="612"/>
    </row>
    <row r="22298">
      <c r="B22298" s="612"/>
      <c r="H22298" s="612"/>
    </row>
    <row r="22299">
      <c r="B22299" s="612"/>
      <c r="H22299" s="612"/>
    </row>
    <row r="22300">
      <c r="B22300" s="612"/>
      <c r="H22300" s="612"/>
    </row>
    <row r="22301">
      <c r="B22301" s="612"/>
      <c r="H22301" s="612"/>
    </row>
    <row r="22302">
      <c r="B22302" s="612"/>
      <c r="H22302" s="612"/>
    </row>
    <row r="22303">
      <c r="B22303" s="612"/>
      <c r="H22303" s="612"/>
    </row>
    <row r="22304">
      <c r="B22304" s="612"/>
      <c r="H22304" s="612"/>
    </row>
    <row r="22305">
      <c r="B22305" s="612"/>
      <c r="H22305" s="612"/>
    </row>
    <row r="22306">
      <c r="B22306" s="612"/>
      <c r="H22306" s="612"/>
    </row>
    <row r="22307">
      <c r="B22307" s="612"/>
      <c r="H22307" s="612"/>
    </row>
    <row r="22308">
      <c r="B22308" s="612"/>
      <c r="H22308" s="612"/>
    </row>
    <row r="22309">
      <c r="B22309" s="612"/>
      <c r="H22309" s="612"/>
    </row>
    <row r="22310">
      <c r="B22310" s="612"/>
      <c r="H22310" s="612"/>
    </row>
    <row r="22311">
      <c r="B22311" s="612"/>
      <c r="H22311" s="612"/>
    </row>
    <row r="22312">
      <c r="B22312" s="612"/>
      <c r="H22312" s="612"/>
    </row>
    <row r="22313">
      <c r="B22313" s="612"/>
      <c r="H22313" s="612"/>
    </row>
    <row r="22314">
      <c r="B22314" s="612"/>
      <c r="H22314" s="612"/>
    </row>
    <row r="22315">
      <c r="B22315" s="612"/>
      <c r="H22315" s="612"/>
    </row>
    <row r="22316">
      <c r="B22316" s="612"/>
      <c r="H22316" s="612"/>
    </row>
    <row r="22317">
      <c r="B22317" s="612"/>
      <c r="H22317" s="612"/>
    </row>
    <row r="22318">
      <c r="B22318" s="612"/>
      <c r="H22318" s="612"/>
    </row>
    <row r="22319">
      <c r="B22319" s="612"/>
      <c r="H22319" s="612"/>
    </row>
    <row r="22320">
      <c r="B22320" s="612"/>
      <c r="H22320" s="612"/>
    </row>
    <row r="22321">
      <c r="B22321" s="612"/>
      <c r="H22321" s="612"/>
    </row>
    <row r="22322">
      <c r="B22322" s="612"/>
      <c r="H22322" s="612"/>
    </row>
    <row r="22323">
      <c r="B22323" s="612"/>
      <c r="H22323" s="612"/>
    </row>
    <row r="22324">
      <c r="B22324" s="612"/>
      <c r="H22324" s="612"/>
    </row>
    <row r="22325">
      <c r="B22325" s="612"/>
      <c r="H22325" s="612"/>
    </row>
    <row r="22326">
      <c r="B22326" s="612"/>
      <c r="H22326" s="612"/>
    </row>
    <row r="22327">
      <c r="B22327" s="612"/>
      <c r="H22327" s="612"/>
    </row>
    <row r="22328">
      <c r="B22328" s="612"/>
      <c r="H22328" s="612"/>
    </row>
    <row r="22329">
      <c r="B22329" s="612"/>
      <c r="H22329" s="612"/>
    </row>
    <row r="22330">
      <c r="B22330" s="612"/>
      <c r="H22330" s="612"/>
    </row>
    <row r="22331">
      <c r="B22331" s="612"/>
      <c r="H22331" s="612"/>
    </row>
    <row r="22332">
      <c r="B22332" s="612"/>
      <c r="H22332" s="612"/>
    </row>
    <row r="22333">
      <c r="B22333" s="612"/>
      <c r="H22333" s="612"/>
    </row>
    <row r="22334">
      <c r="B22334" s="612"/>
      <c r="H22334" s="612"/>
    </row>
    <row r="22335">
      <c r="B22335" s="612"/>
      <c r="H22335" s="612"/>
    </row>
    <row r="22336">
      <c r="B22336" s="612"/>
      <c r="H22336" s="612"/>
    </row>
    <row r="22337">
      <c r="B22337" s="612"/>
      <c r="H22337" s="612"/>
    </row>
    <row r="22338">
      <c r="B22338" s="612"/>
      <c r="H22338" s="612"/>
    </row>
    <row r="22339">
      <c r="B22339" s="612"/>
      <c r="H22339" s="612"/>
    </row>
    <row r="22340">
      <c r="B22340" s="612"/>
      <c r="H22340" s="612"/>
    </row>
    <row r="22341">
      <c r="B22341" s="612"/>
      <c r="H22341" s="612"/>
    </row>
    <row r="22342">
      <c r="B22342" s="612"/>
      <c r="H22342" s="612"/>
    </row>
    <row r="22343">
      <c r="B22343" s="612"/>
      <c r="H22343" s="612"/>
    </row>
    <row r="22344">
      <c r="B22344" s="612"/>
      <c r="H22344" s="612"/>
    </row>
    <row r="22345">
      <c r="B22345" s="612"/>
      <c r="H22345" s="612"/>
    </row>
    <row r="22346">
      <c r="B22346" s="612"/>
      <c r="H22346" s="612"/>
    </row>
    <row r="22347">
      <c r="B22347" s="612"/>
      <c r="H22347" s="612"/>
    </row>
    <row r="22348">
      <c r="B22348" s="612"/>
      <c r="H22348" s="612"/>
    </row>
    <row r="22349">
      <c r="B22349" s="612"/>
      <c r="H22349" s="612"/>
    </row>
    <row r="22350">
      <c r="B22350" s="612"/>
      <c r="H22350" s="612"/>
    </row>
    <row r="22351">
      <c r="B22351" s="612"/>
      <c r="H22351" s="612"/>
    </row>
    <row r="22352">
      <c r="B22352" s="612"/>
      <c r="H22352" s="612"/>
    </row>
    <row r="22353">
      <c r="B22353" s="612"/>
      <c r="H22353" s="612"/>
    </row>
    <row r="22354">
      <c r="B22354" s="612"/>
      <c r="H22354" s="612"/>
    </row>
    <row r="22355">
      <c r="B22355" s="612"/>
      <c r="H22355" s="612"/>
    </row>
    <row r="22356">
      <c r="B22356" s="612"/>
      <c r="H22356" s="612"/>
    </row>
    <row r="22357">
      <c r="B22357" s="612"/>
      <c r="H22357" s="612"/>
    </row>
    <row r="22358">
      <c r="B22358" s="612"/>
      <c r="H22358" s="612"/>
    </row>
    <row r="22359">
      <c r="B22359" s="612"/>
      <c r="H22359" s="612"/>
    </row>
    <row r="22360">
      <c r="B22360" s="612"/>
      <c r="H22360" s="612"/>
    </row>
    <row r="22361">
      <c r="B22361" s="612"/>
      <c r="H22361" s="612"/>
    </row>
    <row r="22362">
      <c r="B22362" s="612"/>
      <c r="H22362" s="612"/>
    </row>
    <row r="22363">
      <c r="B22363" s="612"/>
      <c r="H22363" s="612"/>
    </row>
    <row r="22364">
      <c r="B22364" s="612"/>
      <c r="H22364" s="612"/>
    </row>
    <row r="22365">
      <c r="B22365" s="612"/>
      <c r="H22365" s="612"/>
    </row>
    <row r="22366">
      <c r="B22366" s="612"/>
      <c r="H22366" s="612"/>
    </row>
    <row r="22367">
      <c r="B22367" s="612"/>
      <c r="H22367" s="612"/>
    </row>
    <row r="22368">
      <c r="B22368" s="612"/>
      <c r="H22368" s="612"/>
    </row>
    <row r="22369">
      <c r="B22369" s="612"/>
      <c r="H22369" s="612"/>
    </row>
    <row r="22370">
      <c r="B22370" s="612"/>
      <c r="H22370" s="612"/>
    </row>
    <row r="22371">
      <c r="B22371" s="612"/>
      <c r="H22371" s="612"/>
    </row>
    <row r="22372">
      <c r="B22372" s="612"/>
      <c r="H22372" s="612"/>
    </row>
    <row r="22373">
      <c r="B22373" s="612"/>
      <c r="H22373" s="612"/>
    </row>
    <row r="22374">
      <c r="B22374" s="612"/>
      <c r="H22374" s="612"/>
    </row>
    <row r="22375">
      <c r="B22375" s="612"/>
      <c r="H22375" s="612"/>
    </row>
    <row r="22376">
      <c r="B22376" s="612"/>
      <c r="H22376" s="612"/>
    </row>
    <row r="22377">
      <c r="B22377" s="612"/>
      <c r="H22377" s="612"/>
    </row>
    <row r="22378">
      <c r="B22378" s="612"/>
      <c r="H22378" s="612"/>
    </row>
    <row r="22379">
      <c r="B22379" s="612"/>
      <c r="H22379" s="612"/>
    </row>
    <row r="22380">
      <c r="B22380" s="612"/>
      <c r="H22380" s="612"/>
    </row>
    <row r="22381">
      <c r="B22381" s="612"/>
      <c r="H22381" s="612"/>
    </row>
    <row r="22382">
      <c r="B22382" s="612"/>
      <c r="H22382" s="612"/>
    </row>
    <row r="22383">
      <c r="B22383" s="612"/>
      <c r="H22383" s="612"/>
    </row>
    <row r="22384">
      <c r="B22384" s="612"/>
      <c r="H22384" s="612"/>
    </row>
    <row r="22385">
      <c r="B22385" s="612"/>
      <c r="H22385" s="612"/>
    </row>
    <row r="22386">
      <c r="B22386" s="612"/>
      <c r="H22386" s="612"/>
    </row>
    <row r="22387">
      <c r="B22387" s="612"/>
      <c r="H22387" s="612"/>
    </row>
    <row r="22388">
      <c r="B22388" s="612"/>
      <c r="H22388" s="612"/>
    </row>
    <row r="22389">
      <c r="B22389" s="612"/>
      <c r="H22389" s="612"/>
    </row>
    <row r="22390">
      <c r="B22390" s="612"/>
      <c r="H22390" s="612"/>
    </row>
    <row r="22391">
      <c r="B22391" s="612"/>
      <c r="H22391" s="612"/>
    </row>
    <row r="22392">
      <c r="B22392" s="612"/>
      <c r="H22392" s="612"/>
    </row>
    <row r="22393">
      <c r="B22393" s="612"/>
      <c r="H22393" s="612"/>
    </row>
    <row r="22394">
      <c r="B22394" s="612"/>
      <c r="H22394" s="612"/>
    </row>
    <row r="22395">
      <c r="B22395" s="612"/>
      <c r="H22395" s="612"/>
    </row>
    <row r="22396">
      <c r="B22396" s="612"/>
      <c r="H22396" s="612"/>
    </row>
    <row r="22397">
      <c r="B22397" s="612"/>
      <c r="H22397" s="612"/>
    </row>
    <row r="22398">
      <c r="B22398" s="612"/>
      <c r="H22398" s="612"/>
    </row>
    <row r="22399">
      <c r="B22399" s="612"/>
      <c r="H22399" s="612"/>
    </row>
    <row r="22400">
      <c r="B22400" s="612"/>
      <c r="H22400" s="612"/>
    </row>
    <row r="22401">
      <c r="B22401" s="612"/>
      <c r="H22401" s="612"/>
    </row>
    <row r="22402">
      <c r="B22402" s="612"/>
      <c r="H22402" s="612"/>
    </row>
    <row r="22403">
      <c r="B22403" s="612"/>
      <c r="H22403" s="612"/>
    </row>
    <row r="22404">
      <c r="B22404" s="612"/>
      <c r="H22404" s="612"/>
    </row>
    <row r="22405">
      <c r="B22405" s="612"/>
      <c r="H22405" s="612"/>
    </row>
    <row r="22406">
      <c r="B22406" s="612"/>
      <c r="H22406" s="612"/>
    </row>
    <row r="22407">
      <c r="B22407" s="612"/>
      <c r="H22407" s="612"/>
    </row>
    <row r="22408">
      <c r="B22408" s="612"/>
      <c r="H22408" s="612"/>
    </row>
    <row r="22409">
      <c r="B22409" s="612"/>
      <c r="H22409" s="612"/>
    </row>
    <row r="22410">
      <c r="B22410" s="612"/>
      <c r="H22410" s="612"/>
    </row>
    <row r="22411">
      <c r="B22411" s="612"/>
      <c r="H22411" s="612"/>
    </row>
    <row r="22412">
      <c r="B22412" s="612"/>
      <c r="H22412" s="612"/>
    </row>
    <row r="22413">
      <c r="B22413" s="612"/>
      <c r="H22413" s="612"/>
    </row>
    <row r="22414">
      <c r="B22414" s="612"/>
      <c r="H22414" s="612"/>
    </row>
    <row r="22415">
      <c r="B22415" s="612"/>
      <c r="H22415" s="612"/>
    </row>
    <row r="22416">
      <c r="B22416" s="612"/>
      <c r="H22416" s="612"/>
    </row>
    <row r="22417">
      <c r="B22417" s="612"/>
      <c r="H22417" s="612"/>
    </row>
    <row r="22418">
      <c r="B22418" s="612"/>
      <c r="H22418" s="612"/>
    </row>
    <row r="22419">
      <c r="B22419" s="612"/>
      <c r="H22419" s="612"/>
    </row>
    <row r="22420">
      <c r="B22420" s="612"/>
      <c r="H22420" s="612"/>
    </row>
    <row r="22421">
      <c r="B22421" s="612"/>
      <c r="H22421" s="612"/>
    </row>
    <row r="22422">
      <c r="B22422" s="612"/>
      <c r="H22422" s="612"/>
    </row>
    <row r="22423">
      <c r="B22423" s="612"/>
      <c r="H22423" s="612"/>
    </row>
    <row r="22424">
      <c r="B22424" s="612"/>
      <c r="H22424" s="612"/>
    </row>
    <row r="22425">
      <c r="B22425" s="612"/>
      <c r="H22425" s="612"/>
    </row>
    <row r="22426">
      <c r="B22426" s="612"/>
      <c r="H22426" s="612"/>
    </row>
    <row r="22427">
      <c r="B22427" s="612"/>
      <c r="H22427" s="612"/>
    </row>
    <row r="22428">
      <c r="B22428" s="612"/>
      <c r="H22428" s="612"/>
    </row>
    <row r="22429">
      <c r="B22429" s="612"/>
      <c r="H22429" s="612"/>
    </row>
    <row r="22430">
      <c r="B22430" s="612"/>
      <c r="H22430" s="612"/>
    </row>
    <row r="22431">
      <c r="B22431" s="612"/>
      <c r="H22431" s="612"/>
    </row>
    <row r="22432">
      <c r="B22432" s="612"/>
      <c r="H22432" s="612"/>
    </row>
    <row r="22433">
      <c r="B22433" s="612"/>
      <c r="H22433" s="612"/>
    </row>
    <row r="22434">
      <c r="B22434" s="612"/>
      <c r="H22434" s="612"/>
    </row>
    <row r="22435">
      <c r="B22435" s="612"/>
      <c r="H22435" s="612"/>
    </row>
    <row r="22436">
      <c r="B22436" s="612"/>
      <c r="H22436" s="612"/>
    </row>
    <row r="22437">
      <c r="B22437" s="612"/>
      <c r="H22437" s="612"/>
    </row>
    <row r="22438">
      <c r="B22438" s="612"/>
      <c r="H22438" s="612"/>
    </row>
    <row r="22439">
      <c r="B22439" s="612"/>
      <c r="H22439" s="612"/>
    </row>
    <row r="22440">
      <c r="B22440" s="612"/>
      <c r="H22440" s="612"/>
    </row>
    <row r="22441">
      <c r="B22441" s="612"/>
      <c r="H22441" s="612"/>
    </row>
    <row r="22442">
      <c r="B22442" s="612"/>
      <c r="H22442" s="612"/>
    </row>
    <row r="22443">
      <c r="B22443" s="612"/>
      <c r="H22443" s="612"/>
    </row>
    <row r="22444">
      <c r="B22444" s="612"/>
      <c r="H22444" s="612"/>
    </row>
    <row r="22445">
      <c r="B22445" s="612"/>
      <c r="H22445" s="612"/>
    </row>
    <row r="22446">
      <c r="B22446" s="612"/>
      <c r="H22446" s="612"/>
    </row>
    <row r="22447">
      <c r="B22447" s="612"/>
      <c r="H22447" s="612"/>
    </row>
    <row r="22448">
      <c r="B22448" s="612"/>
      <c r="H22448" s="612"/>
    </row>
    <row r="22449">
      <c r="B22449" s="612"/>
      <c r="H22449" s="612"/>
    </row>
    <row r="22450">
      <c r="B22450" s="612"/>
      <c r="H22450" s="612"/>
    </row>
    <row r="22451">
      <c r="B22451" s="612"/>
      <c r="H22451" s="612"/>
    </row>
    <row r="22452">
      <c r="B22452" s="612"/>
      <c r="H22452" s="612"/>
    </row>
    <row r="22453">
      <c r="B22453" s="612"/>
      <c r="H22453" s="612"/>
    </row>
    <row r="22454">
      <c r="B22454" s="612"/>
      <c r="H22454" s="612"/>
    </row>
    <row r="22455">
      <c r="B22455" s="612"/>
      <c r="H22455" s="612"/>
    </row>
    <row r="22456">
      <c r="B22456" s="612"/>
      <c r="H22456" s="612"/>
    </row>
    <row r="22457">
      <c r="B22457" s="612"/>
      <c r="H22457" s="612"/>
    </row>
    <row r="22458">
      <c r="B22458" s="612"/>
      <c r="H22458" s="612"/>
    </row>
    <row r="22459">
      <c r="B22459" s="612"/>
      <c r="H22459" s="612"/>
    </row>
    <row r="22460">
      <c r="B22460" s="612"/>
      <c r="H22460" s="612"/>
    </row>
    <row r="22461">
      <c r="B22461" s="612"/>
      <c r="H22461" s="612"/>
    </row>
    <row r="22462">
      <c r="B22462" s="612"/>
      <c r="H22462" s="612"/>
    </row>
    <row r="22463">
      <c r="B22463" s="612"/>
      <c r="H22463" s="612"/>
    </row>
    <row r="22464">
      <c r="B22464" s="612"/>
      <c r="H22464" s="612"/>
    </row>
    <row r="22465">
      <c r="B22465" s="612"/>
      <c r="H22465" s="612"/>
    </row>
    <row r="22466">
      <c r="B22466" s="612"/>
      <c r="H22466" s="612"/>
    </row>
    <row r="22467">
      <c r="B22467" s="612"/>
      <c r="H22467" s="612"/>
    </row>
    <row r="22468">
      <c r="B22468" s="612"/>
      <c r="H22468" s="612"/>
    </row>
    <row r="22469">
      <c r="B22469" s="612"/>
      <c r="H22469" s="612"/>
    </row>
    <row r="22470">
      <c r="B22470" s="612"/>
      <c r="H22470" s="612"/>
    </row>
    <row r="22471">
      <c r="B22471" s="612"/>
      <c r="H22471" s="612"/>
    </row>
    <row r="22472">
      <c r="B22472" s="612"/>
      <c r="H22472" s="612"/>
    </row>
    <row r="22473">
      <c r="B22473" s="612"/>
      <c r="H22473" s="612"/>
    </row>
    <row r="22474">
      <c r="B22474" s="612"/>
      <c r="H22474" s="612"/>
    </row>
    <row r="22475">
      <c r="B22475" s="612"/>
      <c r="H22475" s="612"/>
    </row>
    <row r="22476">
      <c r="B22476" s="612"/>
      <c r="H22476" s="612"/>
    </row>
    <row r="22477">
      <c r="B22477" s="612"/>
      <c r="H22477" s="612"/>
    </row>
    <row r="22478">
      <c r="B22478" s="612"/>
      <c r="H22478" s="612"/>
    </row>
    <row r="22479">
      <c r="B22479" s="612"/>
      <c r="H22479" s="612"/>
    </row>
    <row r="22480">
      <c r="B22480" s="612"/>
      <c r="H22480" s="612"/>
    </row>
    <row r="22481">
      <c r="B22481" s="612"/>
      <c r="H22481" s="612"/>
    </row>
    <row r="22482">
      <c r="B22482" s="612"/>
      <c r="H22482" s="612"/>
    </row>
    <row r="22483">
      <c r="B22483" s="612"/>
      <c r="H22483" s="612"/>
    </row>
    <row r="22484">
      <c r="B22484" s="612"/>
      <c r="H22484" s="612"/>
    </row>
    <row r="22485">
      <c r="B22485" s="612"/>
      <c r="H22485" s="612"/>
    </row>
    <row r="22486">
      <c r="B22486" s="612"/>
      <c r="H22486" s="612"/>
    </row>
    <row r="22487">
      <c r="B22487" s="612"/>
      <c r="H22487" s="612"/>
    </row>
    <row r="22488">
      <c r="B22488" s="612"/>
      <c r="H22488" s="612"/>
    </row>
    <row r="22489">
      <c r="B22489" s="612"/>
      <c r="H22489" s="612"/>
    </row>
    <row r="22490">
      <c r="B22490" s="612"/>
      <c r="H22490" s="612"/>
    </row>
    <row r="22491">
      <c r="B22491" s="612"/>
      <c r="H22491" s="612"/>
    </row>
    <row r="22492">
      <c r="B22492" s="612"/>
      <c r="H22492" s="612"/>
    </row>
    <row r="22493">
      <c r="B22493" s="612"/>
      <c r="H22493" s="612"/>
    </row>
    <row r="22494">
      <c r="B22494" s="612"/>
      <c r="H22494" s="612"/>
    </row>
    <row r="22495">
      <c r="B22495" s="612"/>
      <c r="H22495" s="612"/>
    </row>
    <row r="22496">
      <c r="B22496" s="612"/>
      <c r="H22496" s="612"/>
    </row>
    <row r="22497">
      <c r="B22497" s="612"/>
      <c r="H22497" s="612"/>
    </row>
    <row r="22498">
      <c r="B22498" s="612"/>
      <c r="H22498" s="612"/>
    </row>
    <row r="22499">
      <c r="B22499" s="612"/>
      <c r="H22499" s="612"/>
    </row>
    <row r="22500">
      <c r="B22500" s="612"/>
      <c r="H22500" s="612"/>
    </row>
    <row r="22501">
      <c r="B22501" s="612"/>
      <c r="H22501" s="612"/>
    </row>
    <row r="22502">
      <c r="B22502" s="612"/>
      <c r="H22502" s="612"/>
    </row>
    <row r="22503">
      <c r="B22503" s="612"/>
      <c r="H22503" s="612"/>
    </row>
    <row r="22504">
      <c r="B22504" s="612"/>
      <c r="H22504" s="612"/>
    </row>
    <row r="22505">
      <c r="B22505" s="612"/>
      <c r="H22505" s="612"/>
    </row>
    <row r="22506">
      <c r="B22506" s="612"/>
      <c r="H22506" s="612"/>
    </row>
    <row r="22507">
      <c r="B22507" s="612"/>
      <c r="H22507" s="612"/>
    </row>
    <row r="22508">
      <c r="B22508" s="612"/>
      <c r="H22508" s="612"/>
    </row>
    <row r="22509">
      <c r="B22509" s="612"/>
      <c r="H22509" s="612"/>
    </row>
    <row r="22510">
      <c r="B22510" s="612"/>
      <c r="H22510" s="612"/>
    </row>
    <row r="22511">
      <c r="B22511" s="612"/>
      <c r="H22511" s="612"/>
    </row>
    <row r="22512">
      <c r="B22512" s="612"/>
      <c r="H22512" s="612"/>
    </row>
    <row r="22513">
      <c r="B22513" s="612"/>
      <c r="H22513" s="612"/>
    </row>
    <row r="22514">
      <c r="B22514" s="612"/>
      <c r="H22514" s="612"/>
    </row>
    <row r="22515">
      <c r="B22515" s="612"/>
      <c r="H22515" s="612"/>
    </row>
    <row r="22516">
      <c r="B22516" s="612"/>
      <c r="H22516" s="612"/>
    </row>
    <row r="22517">
      <c r="B22517" s="612"/>
      <c r="H22517" s="612"/>
    </row>
    <row r="22518">
      <c r="B22518" s="612"/>
      <c r="H22518" s="612"/>
    </row>
    <row r="22519">
      <c r="B22519" s="612"/>
      <c r="H22519" s="612"/>
    </row>
    <row r="22520">
      <c r="B22520" s="612"/>
      <c r="H22520" s="612"/>
    </row>
    <row r="22521">
      <c r="B22521" s="612"/>
      <c r="H22521" s="612"/>
    </row>
    <row r="22522">
      <c r="B22522" s="612"/>
      <c r="H22522" s="612"/>
    </row>
    <row r="22523">
      <c r="B22523" s="612"/>
      <c r="H22523" s="612"/>
    </row>
    <row r="22524">
      <c r="B22524" s="612"/>
      <c r="H22524" s="612"/>
    </row>
    <row r="22525">
      <c r="B22525" s="612"/>
      <c r="H22525" s="612"/>
    </row>
    <row r="22526">
      <c r="B22526" s="612"/>
      <c r="H22526" s="612"/>
    </row>
    <row r="22527">
      <c r="B22527" s="612"/>
      <c r="H22527" s="612"/>
    </row>
    <row r="22528">
      <c r="B22528" s="612"/>
      <c r="H22528" s="612"/>
    </row>
    <row r="22529">
      <c r="B22529" s="612"/>
      <c r="H22529" s="612"/>
    </row>
    <row r="22530">
      <c r="B22530" s="612"/>
      <c r="H22530" s="612"/>
    </row>
    <row r="22531">
      <c r="B22531" s="612"/>
      <c r="H22531" s="612"/>
    </row>
    <row r="22532">
      <c r="B22532" s="612"/>
      <c r="H22532" s="612"/>
    </row>
    <row r="22533">
      <c r="B22533" s="612"/>
      <c r="H22533" s="612"/>
    </row>
    <row r="22534">
      <c r="B22534" s="612"/>
      <c r="H22534" s="612"/>
    </row>
    <row r="22535">
      <c r="B22535" s="612"/>
      <c r="H22535" s="612"/>
    </row>
    <row r="22536">
      <c r="B22536" s="612"/>
      <c r="H22536" s="612"/>
    </row>
    <row r="22537">
      <c r="B22537" s="612"/>
      <c r="H22537" s="612"/>
    </row>
    <row r="22538">
      <c r="B22538" s="612"/>
      <c r="H22538" s="612"/>
    </row>
    <row r="22539">
      <c r="B22539" s="612"/>
      <c r="H22539" s="612"/>
    </row>
    <row r="22540">
      <c r="B22540" s="612"/>
      <c r="H22540" s="612"/>
    </row>
    <row r="22541">
      <c r="B22541" s="612"/>
      <c r="H22541" s="612"/>
    </row>
    <row r="22542">
      <c r="B22542" s="612"/>
      <c r="H22542" s="612"/>
    </row>
    <row r="22543">
      <c r="B22543" s="612"/>
      <c r="H22543" s="612"/>
    </row>
    <row r="22544">
      <c r="B22544" s="612"/>
      <c r="H22544" s="612"/>
    </row>
    <row r="22545">
      <c r="B22545" s="612"/>
      <c r="H22545" s="612"/>
    </row>
    <row r="22546">
      <c r="B22546" s="612"/>
      <c r="H22546" s="612"/>
    </row>
    <row r="22547">
      <c r="B22547" s="612"/>
      <c r="H22547" s="612"/>
    </row>
    <row r="22548">
      <c r="B22548" s="612"/>
      <c r="H22548" s="612"/>
    </row>
    <row r="22549">
      <c r="B22549" s="612"/>
      <c r="H22549" s="612"/>
    </row>
    <row r="22550">
      <c r="B22550" s="612"/>
      <c r="H22550" s="612"/>
    </row>
    <row r="22551">
      <c r="B22551" s="612"/>
      <c r="H22551" s="612"/>
    </row>
    <row r="22552">
      <c r="B22552" s="612"/>
      <c r="H22552" s="612"/>
    </row>
    <row r="22553">
      <c r="B22553" s="612"/>
      <c r="H22553" s="612"/>
    </row>
    <row r="22554">
      <c r="B22554" s="612"/>
      <c r="H22554" s="612"/>
    </row>
    <row r="22555">
      <c r="B22555" s="612"/>
      <c r="H22555" s="612"/>
    </row>
    <row r="22556">
      <c r="B22556" s="612"/>
      <c r="H22556" s="612"/>
    </row>
    <row r="22557">
      <c r="B22557" s="612"/>
      <c r="H22557" s="612"/>
    </row>
    <row r="22558">
      <c r="B22558" s="612"/>
      <c r="H22558" s="612"/>
    </row>
    <row r="22559">
      <c r="B22559" s="612"/>
      <c r="H22559" s="612"/>
    </row>
    <row r="22560">
      <c r="B22560" s="612"/>
      <c r="H22560" s="612"/>
    </row>
    <row r="22561">
      <c r="B22561" s="612"/>
      <c r="H22561" s="612"/>
    </row>
    <row r="22562">
      <c r="B22562" s="612"/>
      <c r="H22562" s="612"/>
    </row>
    <row r="22563">
      <c r="B22563" s="612"/>
      <c r="H22563" s="612"/>
    </row>
    <row r="22564">
      <c r="B22564" s="612"/>
      <c r="H22564" s="612"/>
    </row>
    <row r="22565">
      <c r="B22565" s="612"/>
      <c r="H22565" s="612"/>
    </row>
    <row r="22566">
      <c r="B22566" s="612"/>
      <c r="H22566" s="612"/>
    </row>
    <row r="22567">
      <c r="B22567" s="612"/>
      <c r="H22567" s="612"/>
    </row>
    <row r="22568">
      <c r="B22568" s="612"/>
      <c r="H22568" s="612"/>
    </row>
    <row r="22569">
      <c r="B22569" s="612"/>
      <c r="H22569" s="612"/>
    </row>
    <row r="22570">
      <c r="B22570" s="612"/>
      <c r="H22570" s="612"/>
    </row>
    <row r="22571">
      <c r="B22571" s="612"/>
      <c r="H22571" s="612"/>
    </row>
    <row r="22572">
      <c r="B22572" s="612"/>
      <c r="H22572" s="612"/>
    </row>
    <row r="22573">
      <c r="B22573" s="612"/>
      <c r="H22573" s="612"/>
    </row>
    <row r="22574">
      <c r="B22574" s="612"/>
      <c r="H22574" s="612"/>
    </row>
    <row r="22575">
      <c r="B22575" s="612"/>
      <c r="H22575" s="612"/>
    </row>
    <row r="22576">
      <c r="B22576" s="612"/>
      <c r="H22576" s="612"/>
    </row>
    <row r="22577">
      <c r="B22577" s="612"/>
      <c r="H22577" s="612"/>
    </row>
    <row r="22578">
      <c r="B22578" s="612"/>
      <c r="H22578" s="612"/>
    </row>
    <row r="22579">
      <c r="B22579" s="612"/>
      <c r="H22579" s="612"/>
    </row>
    <row r="22580">
      <c r="B22580" s="612"/>
      <c r="H22580" s="612"/>
    </row>
    <row r="22581">
      <c r="B22581" s="612"/>
      <c r="H22581" s="612"/>
    </row>
    <row r="22582">
      <c r="B22582" s="612"/>
      <c r="H22582" s="612"/>
    </row>
    <row r="22583">
      <c r="B22583" s="612"/>
      <c r="H22583" s="612"/>
    </row>
    <row r="22584">
      <c r="B22584" s="612"/>
      <c r="H22584" s="612"/>
    </row>
    <row r="22585">
      <c r="B22585" s="612"/>
      <c r="H22585" s="612"/>
    </row>
    <row r="22586">
      <c r="B22586" s="612"/>
      <c r="H22586" s="612"/>
    </row>
    <row r="22587">
      <c r="B22587" s="612"/>
      <c r="H22587" s="612"/>
    </row>
    <row r="22588">
      <c r="B22588" s="612"/>
      <c r="H22588" s="612"/>
    </row>
    <row r="22589">
      <c r="B22589" s="612"/>
      <c r="H22589" s="612"/>
    </row>
    <row r="22590">
      <c r="B22590" s="612"/>
      <c r="H22590" s="612"/>
    </row>
    <row r="22591">
      <c r="B22591" s="612"/>
      <c r="H22591" s="612"/>
    </row>
    <row r="22592">
      <c r="B22592" s="612"/>
      <c r="H22592" s="612"/>
    </row>
    <row r="22593">
      <c r="B22593" s="612"/>
      <c r="H22593" s="612"/>
    </row>
    <row r="22594">
      <c r="B22594" s="612"/>
      <c r="H22594" s="612"/>
    </row>
    <row r="22595">
      <c r="B22595" s="612"/>
      <c r="H22595" s="612"/>
    </row>
    <row r="22596">
      <c r="B22596" s="612"/>
      <c r="H22596" s="612"/>
    </row>
    <row r="22597">
      <c r="B22597" s="612"/>
      <c r="H22597" s="612"/>
    </row>
    <row r="22598">
      <c r="B22598" s="612"/>
      <c r="H22598" s="612"/>
    </row>
    <row r="22599">
      <c r="B22599" s="612"/>
      <c r="H22599" s="612"/>
    </row>
    <row r="22600">
      <c r="B22600" s="612"/>
      <c r="H22600" s="612"/>
    </row>
    <row r="22601">
      <c r="B22601" s="612"/>
      <c r="H22601" s="612"/>
    </row>
    <row r="22602">
      <c r="B22602" s="612"/>
      <c r="H22602" s="612"/>
    </row>
    <row r="22603">
      <c r="B22603" s="612"/>
      <c r="H22603" s="612"/>
    </row>
    <row r="22604">
      <c r="B22604" s="612"/>
      <c r="H22604" s="612"/>
    </row>
    <row r="22605">
      <c r="B22605" s="612"/>
      <c r="H22605" s="612"/>
    </row>
    <row r="22606">
      <c r="B22606" s="612"/>
      <c r="H22606" s="612"/>
    </row>
    <row r="22607">
      <c r="B22607" s="612"/>
      <c r="H22607" s="612"/>
    </row>
    <row r="22608">
      <c r="B22608" s="612"/>
      <c r="H22608" s="612"/>
    </row>
    <row r="22609">
      <c r="B22609" s="612"/>
      <c r="H22609" s="612"/>
    </row>
    <row r="22610">
      <c r="B22610" s="612"/>
      <c r="H22610" s="612"/>
    </row>
    <row r="22611">
      <c r="B22611" s="612"/>
      <c r="H22611" s="612"/>
    </row>
    <row r="22612">
      <c r="B22612" s="612"/>
      <c r="H22612" s="612"/>
    </row>
    <row r="22613">
      <c r="B22613" s="612"/>
      <c r="H22613" s="612"/>
    </row>
    <row r="22614">
      <c r="B22614" s="612"/>
      <c r="H22614" s="612"/>
    </row>
    <row r="22615">
      <c r="B22615" s="612"/>
      <c r="H22615" s="612"/>
    </row>
    <row r="22616">
      <c r="B22616" s="612"/>
      <c r="H22616" s="612"/>
    </row>
    <row r="22617">
      <c r="B22617" s="612"/>
      <c r="H22617" s="612"/>
    </row>
    <row r="22618">
      <c r="B22618" s="612"/>
      <c r="H22618" s="612"/>
    </row>
    <row r="22619">
      <c r="B22619" s="612"/>
      <c r="H22619" s="612"/>
    </row>
    <row r="22620">
      <c r="B22620" s="612"/>
      <c r="H22620" s="612"/>
    </row>
    <row r="22621">
      <c r="B22621" s="612"/>
      <c r="H22621" s="612"/>
    </row>
    <row r="22622">
      <c r="B22622" s="612"/>
      <c r="H22622" s="612"/>
    </row>
    <row r="22623">
      <c r="B22623" s="612"/>
      <c r="H22623" s="612"/>
    </row>
    <row r="22624">
      <c r="B22624" s="612"/>
      <c r="H22624" s="612"/>
    </row>
    <row r="22625">
      <c r="B22625" s="612"/>
      <c r="H22625" s="612"/>
    </row>
    <row r="22626">
      <c r="B22626" s="612"/>
      <c r="H22626" s="612"/>
    </row>
    <row r="22627">
      <c r="B22627" s="612"/>
      <c r="H22627" s="612"/>
    </row>
    <row r="22628">
      <c r="B22628" s="612"/>
      <c r="H22628" s="612"/>
    </row>
    <row r="22629">
      <c r="B22629" s="612"/>
      <c r="H22629" s="612"/>
    </row>
    <row r="22630">
      <c r="B22630" s="612"/>
      <c r="H22630" s="612"/>
    </row>
    <row r="22631">
      <c r="B22631" s="612"/>
      <c r="H22631" s="612"/>
    </row>
    <row r="22632">
      <c r="B22632" s="612"/>
      <c r="H22632" s="612"/>
    </row>
    <row r="22633">
      <c r="B22633" s="612"/>
      <c r="H22633" s="612"/>
    </row>
    <row r="22634">
      <c r="B22634" s="612"/>
      <c r="H22634" s="612"/>
    </row>
    <row r="22635">
      <c r="B22635" s="612"/>
      <c r="H22635" s="612"/>
    </row>
    <row r="22636">
      <c r="B22636" s="612"/>
      <c r="H22636" s="612"/>
    </row>
    <row r="22637">
      <c r="B22637" s="612"/>
      <c r="H22637" s="612"/>
    </row>
    <row r="22638">
      <c r="B22638" s="612"/>
      <c r="H22638" s="612"/>
    </row>
    <row r="22639">
      <c r="B22639" s="612"/>
      <c r="H22639" s="612"/>
    </row>
    <row r="22640">
      <c r="B22640" s="612"/>
      <c r="H22640" s="612"/>
    </row>
    <row r="22641">
      <c r="B22641" s="612"/>
      <c r="H22641" s="612"/>
    </row>
    <row r="22642">
      <c r="B22642" s="612"/>
      <c r="H22642" s="612"/>
    </row>
    <row r="22643">
      <c r="B22643" s="612"/>
      <c r="H22643" s="612"/>
    </row>
    <row r="22644">
      <c r="B22644" s="612"/>
      <c r="H22644" s="612"/>
    </row>
    <row r="22645">
      <c r="B22645" s="612"/>
      <c r="H22645" s="612"/>
    </row>
    <row r="22646">
      <c r="B22646" s="612"/>
      <c r="H22646" s="612"/>
    </row>
    <row r="22647">
      <c r="B22647" s="612"/>
      <c r="H22647" s="612"/>
    </row>
    <row r="22648">
      <c r="B22648" s="612"/>
      <c r="H22648" s="612"/>
    </row>
    <row r="22649">
      <c r="B22649" s="612"/>
      <c r="H22649" s="612"/>
    </row>
    <row r="22650">
      <c r="B22650" s="612"/>
      <c r="H22650" s="612"/>
    </row>
    <row r="22651">
      <c r="B22651" s="612"/>
      <c r="H22651" s="612"/>
    </row>
    <row r="22652">
      <c r="B22652" s="612"/>
      <c r="H22652" s="612"/>
    </row>
    <row r="22653">
      <c r="B22653" s="612"/>
      <c r="H22653" s="612"/>
    </row>
    <row r="22654">
      <c r="B22654" s="612"/>
      <c r="H22654" s="612"/>
    </row>
    <row r="22655">
      <c r="B22655" s="612"/>
      <c r="H22655" s="612"/>
    </row>
    <row r="22656">
      <c r="B22656" s="612"/>
      <c r="H22656" s="612"/>
    </row>
    <row r="22657">
      <c r="B22657" s="612"/>
      <c r="H22657" s="612"/>
    </row>
    <row r="22658">
      <c r="B22658" s="612"/>
      <c r="H22658" s="612"/>
    </row>
    <row r="22659">
      <c r="B22659" s="612"/>
      <c r="H22659" s="612"/>
    </row>
    <row r="22660">
      <c r="B22660" s="612"/>
      <c r="H22660" s="612"/>
    </row>
    <row r="22661">
      <c r="B22661" s="612"/>
      <c r="H22661" s="612"/>
    </row>
    <row r="22662">
      <c r="B22662" s="612"/>
      <c r="H22662" s="612"/>
    </row>
    <row r="22663">
      <c r="B22663" s="612"/>
      <c r="H22663" s="612"/>
    </row>
    <row r="22664">
      <c r="B22664" s="612"/>
      <c r="H22664" s="612"/>
    </row>
    <row r="22665">
      <c r="B22665" s="612"/>
      <c r="H22665" s="612"/>
    </row>
    <row r="22666">
      <c r="B22666" s="612"/>
      <c r="H22666" s="612"/>
    </row>
    <row r="22667">
      <c r="B22667" s="612"/>
      <c r="H22667" s="612"/>
    </row>
    <row r="22668">
      <c r="B22668" s="612"/>
      <c r="H22668" s="612"/>
    </row>
    <row r="22669">
      <c r="B22669" s="612"/>
      <c r="H22669" s="612"/>
    </row>
    <row r="22670">
      <c r="B22670" s="612"/>
      <c r="H22670" s="612"/>
    </row>
    <row r="22671">
      <c r="B22671" s="612"/>
      <c r="H22671" s="612"/>
    </row>
    <row r="22672">
      <c r="B22672" s="612"/>
      <c r="H22672" s="612"/>
    </row>
    <row r="22673">
      <c r="B22673" s="612"/>
      <c r="H22673" s="612"/>
    </row>
    <row r="22674">
      <c r="B22674" s="612"/>
      <c r="H22674" s="612"/>
    </row>
    <row r="22675">
      <c r="B22675" s="612"/>
      <c r="H22675" s="612"/>
    </row>
    <row r="22676">
      <c r="B22676" s="612"/>
      <c r="H22676" s="612"/>
    </row>
    <row r="22677">
      <c r="B22677" s="612"/>
      <c r="H22677" s="612"/>
    </row>
    <row r="22678">
      <c r="B22678" s="612"/>
      <c r="H22678" s="612"/>
    </row>
    <row r="22679">
      <c r="B22679" s="612"/>
      <c r="H22679" s="612"/>
    </row>
    <row r="22680">
      <c r="B22680" s="612"/>
      <c r="H22680" s="612"/>
    </row>
    <row r="22681">
      <c r="B22681" s="612"/>
      <c r="H22681" s="612"/>
    </row>
    <row r="22682">
      <c r="B22682" s="612"/>
      <c r="H22682" s="612"/>
    </row>
    <row r="22683">
      <c r="B22683" s="612"/>
      <c r="H22683" s="612"/>
    </row>
    <row r="22684">
      <c r="B22684" s="612"/>
      <c r="H22684" s="612"/>
    </row>
    <row r="22685">
      <c r="B22685" s="612"/>
      <c r="H22685" s="612"/>
    </row>
    <row r="22686">
      <c r="B22686" s="612"/>
      <c r="H22686" s="612"/>
    </row>
    <row r="22687">
      <c r="B22687" s="612"/>
      <c r="H22687" s="612"/>
    </row>
    <row r="22688">
      <c r="B22688" s="612"/>
      <c r="H22688" s="612"/>
    </row>
    <row r="22689">
      <c r="B22689" s="612"/>
      <c r="H22689" s="612"/>
    </row>
    <row r="22690">
      <c r="B22690" s="612"/>
      <c r="H22690" s="612"/>
    </row>
    <row r="22691">
      <c r="B22691" s="612"/>
      <c r="H22691" s="612"/>
    </row>
    <row r="22692">
      <c r="B22692" s="612"/>
      <c r="H22692" s="612"/>
    </row>
    <row r="22693">
      <c r="B22693" s="612"/>
      <c r="H22693" s="612"/>
    </row>
    <row r="22694">
      <c r="B22694" s="612"/>
      <c r="H22694" s="612"/>
    </row>
    <row r="22695">
      <c r="B22695" s="612"/>
      <c r="H22695" s="612"/>
    </row>
    <row r="22696">
      <c r="B22696" s="612"/>
      <c r="H22696" s="612"/>
    </row>
    <row r="22697">
      <c r="B22697" s="612"/>
      <c r="H22697" s="612"/>
    </row>
    <row r="22698">
      <c r="B22698" s="612"/>
      <c r="H22698" s="612"/>
    </row>
    <row r="22699">
      <c r="B22699" s="612"/>
      <c r="H22699" s="612"/>
    </row>
    <row r="22700">
      <c r="B22700" s="612"/>
      <c r="H22700" s="612"/>
    </row>
    <row r="22701">
      <c r="B22701" s="612"/>
      <c r="H22701" s="612"/>
    </row>
    <row r="22702">
      <c r="B22702" s="612"/>
      <c r="H22702" s="612"/>
    </row>
    <row r="22703">
      <c r="B22703" s="612"/>
      <c r="H22703" s="612"/>
    </row>
    <row r="22704">
      <c r="B22704" s="612"/>
      <c r="H22704" s="612"/>
    </row>
    <row r="22705">
      <c r="B22705" s="612"/>
      <c r="H22705" s="612"/>
    </row>
    <row r="22706">
      <c r="B22706" s="612"/>
      <c r="H22706" s="612"/>
    </row>
    <row r="22707">
      <c r="B22707" s="612"/>
      <c r="H22707" s="612"/>
    </row>
    <row r="22708">
      <c r="B22708" s="612"/>
      <c r="H22708" s="612"/>
    </row>
    <row r="22709">
      <c r="B22709" s="612"/>
      <c r="H22709" s="612"/>
    </row>
    <row r="22710">
      <c r="B22710" s="612"/>
      <c r="H22710" s="612"/>
    </row>
    <row r="22711">
      <c r="B22711" s="612"/>
      <c r="H22711" s="612"/>
    </row>
    <row r="22712">
      <c r="B22712" s="612"/>
      <c r="H22712" s="612"/>
    </row>
    <row r="22713">
      <c r="B22713" s="612"/>
      <c r="H22713" s="612"/>
    </row>
    <row r="22714">
      <c r="B22714" s="612"/>
      <c r="H22714" s="612"/>
    </row>
    <row r="22715">
      <c r="B22715" s="612"/>
      <c r="H22715" s="612"/>
    </row>
    <row r="22716">
      <c r="B22716" s="612"/>
      <c r="H22716" s="612"/>
    </row>
    <row r="22717">
      <c r="B22717" s="612"/>
      <c r="H22717" s="612"/>
    </row>
    <row r="22718">
      <c r="B22718" s="612"/>
      <c r="H22718" s="612"/>
    </row>
    <row r="22719">
      <c r="B22719" s="612"/>
      <c r="H22719" s="612"/>
    </row>
    <row r="22720">
      <c r="B22720" s="612"/>
      <c r="H22720" s="612"/>
    </row>
    <row r="22721">
      <c r="B22721" s="612"/>
      <c r="H22721" s="612"/>
    </row>
    <row r="22722">
      <c r="B22722" s="612"/>
      <c r="H22722" s="612"/>
    </row>
    <row r="22723">
      <c r="B22723" s="612"/>
      <c r="H22723" s="612"/>
    </row>
    <row r="22724">
      <c r="B22724" s="612"/>
      <c r="H22724" s="612"/>
    </row>
    <row r="22725">
      <c r="B22725" s="612"/>
      <c r="H22725" s="612"/>
    </row>
    <row r="22726">
      <c r="B22726" s="612"/>
      <c r="H22726" s="612"/>
    </row>
    <row r="22727">
      <c r="B22727" s="612"/>
      <c r="H22727" s="612"/>
    </row>
    <row r="22728">
      <c r="B22728" s="612"/>
      <c r="H22728" s="612"/>
    </row>
    <row r="22729">
      <c r="B22729" s="612"/>
      <c r="H22729" s="612"/>
    </row>
    <row r="22730">
      <c r="B22730" s="612"/>
      <c r="H22730" s="612"/>
    </row>
    <row r="22731">
      <c r="B22731" s="612"/>
      <c r="H22731" s="612"/>
    </row>
    <row r="22732">
      <c r="B22732" s="612"/>
      <c r="H22732" s="612"/>
    </row>
    <row r="22733">
      <c r="B22733" s="612"/>
      <c r="H22733" s="612"/>
    </row>
    <row r="22734">
      <c r="B22734" s="612"/>
      <c r="H22734" s="612"/>
    </row>
    <row r="22735">
      <c r="B22735" s="612"/>
      <c r="H22735" s="612"/>
    </row>
    <row r="22736">
      <c r="B22736" s="612"/>
      <c r="H22736" s="612"/>
    </row>
    <row r="22737">
      <c r="B22737" s="612"/>
      <c r="H22737" s="612"/>
    </row>
    <row r="22738">
      <c r="B22738" s="612"/>
      <c r="H22738" s="612"/>
    </row>
    <row r="22739">
      <c r="B22739" s="612"/>
      <c r="H22739" s="612"/>
    </row>
    <row r="22740">
      <c r="B22740" s="612"/>
      <c r="H22740" s="612"/>
    </row>
    <row r="22741">
      <c r="B22741" s="612"/>
      <c r="H22741" s="612"/>
    </row>
    <row r="22742">
      <c r="B22742" s="612"/>
      <c r="H22742" s="612"/>
    </row>
    <row r="22743">
      <c r="B22743" s="612"/>
      <c r="H22743" s="612"/>
    </row>
    <row r="22744">
      <c r="B22744" s="612"/>
      <c r="H22744" s="612"/>
    </row>
    <row r="22745">
      <c r="B22745" s="612"/>
      <c r="H22745" s="612"/>
    </row>
    <row r="22746">
      <c r="B22746" s="612"/>
      <c r="H22746" s="612"/>
    </row>
    <row r="22747">
      <c r="B22747" s="612"/>
      <c r="H22747" s="612"/>
    </row>
    <row r="22748">
      <c r="B22748" s="612"/>
      <c r="H22748" s="612"/>
    </row>
    <row r="22749">
      <c r="B22749" s="612"/>
      <c r="H22749" s="612"/>
    </row>
    <row r="22750">
      <c r="B22750" s="612"/>
      <c r="H22750" s="612"/>
    </row>
    <row r="22751">
      <c r="B22751" s="612"/>
      <c r="H22751" s="612"/>
    </row>
    <row r="22752">
      <c r="B22752" s="612"/>
      <c r="H22752" s="612"/>
    </row>
    <row r="22753">
      <c r="B22753" s="612"/>
      <c r="H22753" s="612"/>
    </row>
    <row r="22754">
      <c r="B22754" s="612"/>
      <c r="H22754" s="612"/>
    </row>
    <row r="22755">
      <c r="B22755" s="612"/>
      <c r="H22755" s="612"/>
    </row>
    <row r="22756">
      <c r="B22756" s="612"/>
      <c r="H22756" s="612"/>
    </row>
    <row r="22757">
      <c r="B22757" s="612"/>
      <c r="H22757" s="612"/>
    </row>
    <row r="22758">
      <c r="B22758" s="612"/>
      <c r="H22758" s="612"/>
    </row>
    <row r="22759">
      <c r="B22759" s="612"/>
      <c r="H22759" s="612"/>
    </row>
    <row r="22760">
      <c r="B22760" s="612"/>
      <c r="H22760" s="612"/>
    </row>
    <row r="22761">
      <c r="B22761" s="612"/>
      <c r="H22761" s="612"/>
    </row>
    <row r="22762">
      <c r="B22762" s="612"/>
      <c r="H22762" s="612"/>
    </row>
    <row r="22763">
      <c r="B22763" s="612"/>
      <c r="H22763" s="612"/>
    </row>
    <row r="22764">
      <c r="B22764" s="612"/>
      <c r="H22764" s="612"/>
    </row>
    <row r="22765">
      <c r="B22765" s="612"/>
      <c r="H22765" s="612"/>
    </row>
    <row r="22766">
      <c r="B22766" s="612"/>
      <c r="H22766" s="612"/>
    </row>
    <row r="22767">
      <c r="B22767" s="612"/>
      <c r="H22767" s="612"/>
    </row>
    <row r="22768">
      <c r="B22768" s="612"/>
      <c r="H22768" s="612"/>
    </row>
    <row r="22769">
      <c r="B22769" s="612"/>
      <c r="H22769" s="612"/>
    </row>
    <row r="22770">
      <c r="B22770" s="612"/>
      <c r="H22770" s="612"/>
    </row>
    <row r="22771">
      <c r="B22771" s="612"/>
      <c r="H22771" s="612"/>
    </row>
    <row r="22772">
      <c r="B22772" s="612"/>
      <c r="H22772" s="612"/>
    </row>
    <row r="22773">
      <c r="B22773" s="612"/>
      <c r="H22773" s="612"/>
    </row>
    <row r="22774">
      <c r="B22774" s="612"/>
      <c r="H22774" s="612"/>
    </row>
    <row r="22775">
      <c r="B22775" s="612"/>
      <c r="H22775" s="612"/>
    </row>
    <row r="22776">
      <c r="B22776" s="612"/>
      <c r="H22776" s="612"/>
    </row>
    <row r="22777">
      <c r="B22777" s="612"/>
      <c r="H22777" s="612"/>
    </row>
    <row r="22778">
      <c r="B22778" s="612"/>
      <c r="H22778" s="612"/>
    </row>
    <row r="22779">
      <c r="B22779" s="612"/>
      <c r="H22779" s="612"/>
    </row>
    <row r="22780">
      <c r="B22780" s="612"/>
      <c r="H22780" s="612"/>
    </row>
    <row r="22781">
      <c r="B22781" s="612"/>
      <c r="H22781" s="612"/>
    </row>
    <row r="22782">
      <c r="B22782" s="612"/>
      <c r="H22782" s="612"/>
    </row>
    <row r="22783">
      <c r="B22783" s="612"/>
      <c r="H22783" s="612"/>
    </row>
    <row r="22784">
      <c r="B22784" s="612"/>
      <c r="H22784" s="612"/>
    </row>
    <row r="22785">
      <c r="B22785" s="612"/>
      <c r="H22785" s="612"/>
    </row>
    <row r="22786">
      <c r="B22786" s="612"/>
      <c r="H22786" s="612"/>
    </row>
    <row r="22787">
      <c r="B22787" s="612"/>
      <c r="H22787" s="612"/>
    </row>
    <row r="22788">
      <c r="B22788" s="612"/>
      <c r="H22788" s="612"/>
    </row>
    <row r="22789">
      <c r="B22789" s="612"/>
      <c r="H22789" s="612"/>
    </row>
    <row r="22790">
      <c r="B22790" s="612"/>
      <c r="H22790" s="612"/>
    </row>
    <row r="22791">
      <c r="B22791" s="612"/>
      <c r="H22791" s="612"/>
    </row>
    <row r="22792">
      <c r="B22792" s="612"/>
      <c r="H22792" s="612"/>
    </row>
    <row r="22793">
      <c r="B22793" s="612"/>
      <c r="H22793" s="612"/>
    </row>
    <row r="22794">
      <c r="B22794" s="612"/>
      <c r="H22794" s="612"/>
    </row>
    <row r="22795">
      <c r="B22795" s="612"/>
      <c r="H22795" s="612"/>
    </row>
    <row r="22796">
      <c r="B22796" s="612"/>
      <c r="H22796" s="612"/>
    </row>
    <row r="22797">
      <c r="B22797" s="612"/>
      <c r="H22797" s="612"/>
    </row>
    <row r="22798">
      <c r="B22798" s="612"/>
      <c r="H22798" s="612"/>
    </row>
    <row r="22799">
      <c r="B22799" s="612"/>
      <c r="H22799" s="612"/>
    </row>
    <row r="22800">
      <c r="B22800" s="612"/>
      <c r="H22800" s="612"/>
    </row>
    <row r="22801">
      <c r="B22801" s="612"/>
      <c r="H22801" s="612"/>
    </row>
    <row r="22802">
      <c r="B22802" s="612"/>
      <c r="H22802" s="612"/>
    </row>
    <row r="22803">
      <c r="B22803" s="612"/>
      <c r="H22803" s="612"/>
    </row>
    <row r="22804">
      <c r="B22804" s="612"/>
      <c r="H22804" s="612"/>
    </row>
    <row r="22805">
      <c r="B22805" s="612"/>
      <c r="H22805" s="612"/>
    </row>
    <row r="22806">
      <c r="B22806" s="612"/>
      <c r="H22806" s="612"/>
    </row>
    <row r="22807">
      <c r="B22807" s="612"/>
      <c r="H22807" s="612"/>
    </row>
    <row r="22808">
      <c r="B22808" s="612"/>
      <c r="H22808" s="612"/>
    </row>
    <row r="22809">
      <c r="B22809" s="612"/>
      <c r="H22809" s="612"/>
    </row>
    <row r="22810">
      <c r="B22810" s="612"/>
      <c r="H22810" s="612"/>
    </row>
    <row r="22811">
      <c r="B22811" s="612"/>
      <c r="H22811" s="612"/>
    </row>
    <row r="22812">
      <c r="B22812" s="612"/>
      <c r="H22812" s="612"/>
    </row>
    <row r="22813">
      <c r="B22813" s="612"/>
      <c r="H22813" s="612"/>
    </row>
    <row r="22814">
      <c r="B22814" s="612"/>
      <c r="H22814" s="612"/>
    </row>
    <row r="22815">
      <c r="B22815" s="612"/>
      <c r="H22815" s="612"/>
    </row>
    <row r="22816">
      <c r="B22816" s="612"/>
      <c r="H22816" s="612"/>
    </row>
    <row r="22817">
      <c r="B22817" s="612"/>
      <c r="H22817" s="612"/>
    </row>
    <row r="22818">
      <c r="B22818" s="612"/>
      <c r="H22818" s="612"/>
    </row>
    <row r="22819">
      <c r="B22819" s="612"/>
      <c r="H22819" s="612"/>
    </row>
    <row r="22820">
      <c r="B22820" s="612"/>
      <c r="H22820" s="612"/>
    </row>
    <row r="22821">
      <c r="B22821" s="612"/>
      <c r="H22821" s="612"/>
    </row>
    <row r="22822">
      <c r="B22822" s="612"/>
      <c r="H22822" s="612"/>
    </row>
    <row r="22823">
      <c r="B22823" s="612"/>
      <c r="H22823" s="612"/>
    </row>
    <row r="22824">
      <c r="B22824" s="612"/>
      <c r="H22824" s="612"/>
    </row>
    <row r="22825">
      <c r="B22825" s="612"/>
      <c r="H22825" s="612"/>
    </row>
    <row r="22826">
      <c r="B22826" s="612"/>
      <c r="H22826" s="612"/>
    </row>
    <row r="22827">
      <c r="B22827" s="612"/>
      <c r="H22827" s="612"/>
    </row>
    <row r="22828">
      <c r="B22828" s="612"/>
      <c r="H22828" s="612"/>
    </row>
    <row r="22829">
      <c r="B22829" s="612"/>
      <c r="H22829" s="612"/>
    </row>
    <row r="22830">
      <c r="B22830" s="612"/>
      <c r="H22830" s="612"/>
    </row>
    <row r="22831">
      <c r="B22831" s="612"/>
      <c r="H22831" s="612"/>
    </row>
    <row r="22832">
      <c r="B22832" s="612"/>
      <c r="H22832" s="612"/>
    </row>
    <row r="22833">
      <c r="B22833" s="612"/>
      <c r="H22833" s="612"/>
    </row>
    <row r="22834">
      <c r="B22834" s="612"/>
      <c r="H22834" s="612"/>
    </row>
    <row r="22835">
      <c r="B22835" s="612"/>
      <c r="H22835" s="612"/>
    </row>
    <row r="22836">
      <c r="B22836" s="612"/>
      <c r="H22836" s="612"/>
    </row>
    <row r="22837">
      <c r="B22837" s="612"/>
      <c r="H22837" s="612"/>
    </row>
    <row r="22838">
      <c r="B22838" s="612"/>
      <c r="H22838" s="612"/>
    </row>
    <row r="22839">
      <c r="B22839" s="612"/>
      <c r="H22839" s="612"/>
    </row>
    <row r="22840">
      <c r="B22840" s="612"/>
      <c r="H22840" s="612"/>
    </row>
    <row r="22841">
      <c r="B22841" s="612"/>
      <c r="H22841" s="612"/>
    </row>
    <row r="22842">
      <c r="B22842" s="612"/>
      <c r="H22842" s="612"/>
    </row>
    <row r="22843">
      <c r="B22843" s="612"/>
      <c r="H22843" s="612"/>
    </row>
    <row r="22844">
      <c r="B22844" s="612"/>
      <c r="H22844" s="612"/>
    </row>
    <row r="22845">
      <c r="B22845" s="612"/>
      <c r="H22845" s="612"/>
    </row>
    <row r="22846">
      <c r="B22846" s="612"/>
      <c r="H22846" s="612"/>
    </row>
    <row r="22847">
      <c r="B22847" s="612"/>
      <c r="H22847" s="612"/>
    </row>
    <row r="22848">
      <c r="B22848" s="612"/>
      <c r="H22848" s="612"/>
    </row>
    <row r="22849">
      <c r="B22849" s="612"/>
      <c r="H22849" s="612"/>
    </row>
    <row r="22850">
      <c r="B22850" s="612"/>
      <c r="H22850" s="612"/>
    </row>
    <row r="22851">
      <c r="B22851" s="612"/>
      <c r="H22851" s="612"/>
    </row>
    <row r="22852">
      <c r="B22852" s="612"/>
      <c r="H22852" s="612"/>
    </row>
    <row r="22853">
      <c r="B22853" s="612"/>
      <c r="H22853" s="612"/>
    </row>
    <row r="22854">
      <c r="B22854" s="612"/>
      <c r="H22854" s="612"/>
    </row>
    <row r="22855">
      <c r="B22855" s="612"/>
      <c r="H22855" s="612"/>
    </row>
    <row r="22856">
      <c r="B22856" s="612"/>
      <c r="H22856" s="612"/>
    </row>
    <row r="22857">
      <c r="B22857" s="612"/>
      <c r="H22857" s="612"/>
    </row>
    <row r="22858">
      <c r="B22858" s="612"/>
      <c r="H22858" s="612"/>
    </row>
    <row r="22859">
      <c r="B22859" s="612"/>
      <c r="H22859" s="612"/>
    </row>
    <row r="22860">
      <c r="B22860" s="612"/>
      <c r="H22860" s="612"/>
    </row>
    <row r="22861">
      <c r="B22861" s="612"/>
      <c r="H22861" s="612"/>
    </row>
    <row r="22862">
      <c r="B22862" s="612"/>
      <c r="H22862" s="612"/>
    </row>
    <row r="22863">
      <c r="B22863" s="612"/>
      <c r="H22863" s="612"/>
    </row>
    <row r="22864">
      <c r="B22864" s="612"/>
      <c r="H22864" s="612"/>
    </row>
    <row r="22865">
      <c r="B22865" s="612"/>
      <c r="H22865" s="612"/>
    </row>
    <row r="22866">
      <c r="B22866" s="612"/>
      <c r="H22866" s="612"/>
    </row>
    <row r="22867">
      <c r="B22867" s="612"/>
      <c r="H22867" s="612"/>
    </row>
    <row r="22868">
      <c r="B22868" s="612"/>
      <c r="H22868" s="612"/>
    </row>
    <row r="22869">
      <c r="B22869" s="612"/>
      <c r="H22869" s="612"/>
    </row>
    <row r="22870">
      <c r="B22870" s="612"/>
      <c r="H22870" s="612"/>
    </row>
    <row r="22871">
      <c r="B22871" s="612"/>
      <c r="H22871" s="612"/>
    </row>
    <row r="22872">
      <c r="B22872" s="612"/>
      <c r="H22872" s="612"/>
    </row>
    <row r="22873">
      <c r="B22873" s="612"/>
      <c r="H22873" s="612"/>
    </row>
    <row r="22874">
      <c r="B22874" s="612"/>
      <c r="H22874" s="612"/>
    </row>
    <row r="22875">
      <c r="B22875" s="612"/>
      <c r="H22875" s="612"/>
    </row>
    <row r="22876">
      <c r="B22876" s="612"/>
      <c r="H22876" s="612"/>
    </row>
    <row r="22877">
      <c r="B22877" s="612"/>
      <c r="H22877" s="612"/>
    </row>
    <row r="22878">
      <c r="B22878" s="612"/>
      <c r="H22878" s="612"/>
    </row>
    <row r="22879">
      <c r="B22879" s="612"/>
      <c r="H22879" s="612"/>
    </row>
    <row r="22880">
      <c r="B22880" s="612"/>
      <c r="H22880" s="612"/>
    </row>
    <row r="22881">
      <c r="B22881" s="612"/>
      <c r="H22881" s="612"/>
    </row>
    <row r="22882">
      <c r="B22882" s="612"/>
      <c r="H22882" s="612"/>
    </row>
    <row r="22883">
      <c r="B22883" s="612"/>
      <c r="H22883" s="612"/>
    </row>
    <row r="22884">
      <c r="B22884" s="612"/>
      <c r="H22884" s="612"/>
    </row>
    <row r="22885">
      <c r="B22885" s="612"/>
      <c r="H22885" s="612"/>
    </row>
    <row r="22886">
      <c r="B22886" s="612"/>
      <c r="H22886" s="612"/>
    </row>
    <row r="22887">
      <c r="B22887" s="612"/>
      <c r="H22887" s="612"/>
    </row>
    <row r="22888">
      <c r="B22888" s="612"/>
      <c r="H22888" s="612"/>
    </row>
    <row r="22889">
      <c r="B22889" s="612"/>
      <c r="H22889" s="612"/>
    </row>
    <row r="22890">
      <c r="B22890" s="612"/>
      <c r="H22890" s="612"/>
    </row>
    <row r="22891">
      <c r="B22891" s="612"/>
      <c r="H22891" s="612"/>
    </row>
    <row r="22892">
      <c r="B22892" s="612"/>
      <c r="H22892" s="612"/>
    </row>
    <row r="22893">
      <c r="B22893" s="612"/>
      <c r="H22893" s="612"/>
    </row>
    <row r="22894">
      <c r="B22894" s="612"/>
      <c r="H22894" s="612"/>
    </row>
    <row r="22895">
      <c r="B22895" s="612"/>
      <c r="H22895" s="612"/>
    </row>
    <row r="22896">
      <c r="B22896" s="612"/>
      <c r="H22896" s="612"/>
    </row>
    <row r="22897">
      <c r="B22897" s="612"/>
      <c r="H22897" s="612"/>
    </row>
    <row r="22898">
      <c r="B22898" s="612"/>
      <c r="H22898" s="612"/>
    </row>
    <row r="22899">
      <c r="B22899" s="612"/>
      <c r="H22899" s="612"/>
    </row>
    <row r="22900">
      <c r="B22900" s="612"/>
      <c r="H22900" s="612"/>
    </row>
    <row r="22901">
      <c r="B22901" s="612"/>
      <c r="H22901" s="612"/>
    </row>
    <row r="22902">
      <c r="B22902" s="612"/>
      <c r="H22902" s="612"/>
    </row>
    <row r="22903">
      <c r="B22903" s="612"/>
      <c r="H22903" s="612"/>
    </row>
    <row r="22904">
      <c r="B22904" s="612"/>
      <c r="H22904" s="612"/>
    </row>
    <row r="22905">
      <c r="B22905" s="612"/>
      <c r="H22905" s="612"/>
    </row>
    <row r="22906">
      <c r="B22906" s="612"/>
      <c r="H22906" s="612"/>
    </row>
    <row r="22907">
      <c r="B22907" s="612"/>
      <c r="H22907" s="612"/>
    </row>
    <row r="22908">
      <c r="B22908" s="612"/>
      <c r="H22908" s="612"/>
    </row>
    <row r="22909">
      <c r="B22909" s="612"/>
      <c r="H22909" s="612"/>
    </row>
    <row r="22910">
      <c r="B22910" s="612"/>
      <c r="H22910" s="612"/>
    </row>
    <row r="22911">
      <c r="B22911" s="612"/>
      <c r="H22911" s="612"/>
    </row>
    <row r="22912">
      <c r="B22912" s="612"/>
      <c r="H22912" s="612"/>
    </row>
    <row r="22913">
      <c r="B22913" s="612"/>
      <c r="H22913" s="612"/>
    </row>
    <row r="22914">
      <c r="B22914" s="612"/>
      <c r="H22914" s="612"/>
    </row>
    <row r="22915">
      <c r="B22915" s="612"/>
      <c r="H22915" s="612"/>
    </row>
    <row r="22916">
      <c r="B22916" s="612"/>
      <c r="H22916" s="612"/>
    </row>
    <row r="22917">
      <c r="B22917" s="612"/>
      <c r="H22917" s="612"/>
    </row>
    <row r="22918">
      <c r="B22918" s="612"/>
      <c r="H22918" s="612"/>
    </row>
    <row r="22919">
      <c r="B22919" s="612"/>
      <c r="H22919" s="612"/>
    </row>
    <row r="22920">
      <c r="B22920" s="612"/>
      <c r="H22920" s="612"/>
    </row>
    <row r="22921">
      <c r="B22921" s="612"/>
      <c r="H22921" s="612"/>
    </row>
    <row r="22922">
      <c r="B22922" s="612"/>
      <c r="H22922" s="612"/>
    </row>
    <row r="22923">
      <c r="B22923" s="612"/>
      <c r="H22923" s="612"/>
    </row>
    <row r="22924">
      <c r="B22924" s="612"/>
      <c r="H22924" s="612"/>
    </row>
    <row r="22925">
      <c r="B22925" s="612"/>
      <c r="H22925" s="612"/>
    </row>
    <row r="22926">
      <c r="B22926" s="612"/>
      <c r="H22926" s="612"/>
    </row>
    <row r="22927">
      <c r="B22927" s="612"/>
      <c r="H22927" s="612"/>
    </row>
    <row r="22928">
      <c r="B22928" s="612"/>
      <c r="H22928" s="612"/>
    </row>
    <row r="22929">
      <c r="B22929" s="612"/>
      <c r="H22929" s="612"/>
    </row>
    <row r="22930">
      <c r="B22930" s="612"/>
      <c r="H22930" s="612"/>
    </row>
    <row r="22931">
      <c r="B22931" s="612"/>
      <c r="H22931" s="612"/>
    </row>
    <row r="22932">
      <c r="B22932" s="612"/>
      <c r="H22932" s="612"/>
    </row>
    <row r="22933">
      <c r="B22933" s="612"/>
      <c r="H22933" s="612"/>
    </row>
    <row r="22934">
      <c r="B22934" s="612"/>
      <c r="H22934" s="612"/>
    </row>
    <row r="22935">
      <c r="B22935" s="612"/>
      <c r="H22935" s="612"/>
    </row>
    <row r="22936">
      <c r="B22936" s="612"/>
      <c r="H22936" s="612"/>
    </row>
    <row r="22937">
      <c r="B22937" s="612"/>
      <c r="H22937" s="612"/>
    </row>
    <row r="22938">
      <c r="B22938" s="612"/>
      <c r="H22938" s="612"/>
    </row>
    <row r="22939">
      <c r="B22939" s="612"/>
      <c r="H22939" s="612"/>
    </row>
    <row r="22940">
      <c r="B22940" s="612"/>
      <c r="H22940" s="612"/>
    </row>
    <row r="22941">
      <c r="B22941" s="612"/>
      <c r="H22941" s="612"/>
    </row>
    <row r="22942">
      <c r="B22942" s="612"/>
      <c r="H22942" s="612"/>
    </row>
    <row r="22943">
      <c r="B22943" s="612"/>
      <c r="H22943" s="612"/>
    </row>
    <row r="22944">
      <c r="B22944" s="612"/>
      <c r="H22944" s="612"/>
    </row>
    <row r="22945">
      <c r="B22945" s="612"/>
      <c r="H22945" s="612"/>
    </row>
    <row r="22946">
      <c r="B22946" s="612"/>
      <c r="H22946" s="612"/>
    </row>
    <row r="22947">
      <c r="B22947" s="612"/>
      <c r="H22947" s="612"/>
    </row>
    <row r="22948">
      <c r="B22948" s="612"/>
      <c r="H22948" s="612"/>
    </row>
    <row r="22949">
      <c r="B22949" s="612"/>
      <c r="H22949" s="612"/>
    </row>
    <row r="22950">
      <c r="B22950" s="612"/>
      <c r="H22950" s="612"/>
    </row>
    <row r="22951">
      <c r="B22951" s="612"/>
      <c r="H22951" s="612"/>
    </row>
    <row r="22952">
      <c r="B22952" s="612"/>
      <c r="H22952" s="612"/>
    </row>
    <row r="22953">
      <c r="B22953" s="612"/>
      <c r="H22953" s="612"/>
    </row>
    <row r="22954">
      <c r="B22954" s="612"/>
      <c r="H22954" s="612"/>
    </row>
    <row r="22955">
      <c r="B22955" s="612"/>
      <c r="H22955" s="612"/>
    </row>
    <row r="22956">
      <c r="B22956" s="612"/>
      <c r="H22956" s="612"/>
    </row>
    <row r="22957">
      <c r="B22957" s="612"/>
      <c r="H22957" s="612"/>
    </row>
    <row r="22958">
      <c r="B22958" s="612"/>
      <c r="H22958" s="612"/>
    </row>
    <row r="22959">
      <c r="B22959" s="612"/>
      <c r="H22959" s="612"/>
    </row>
    <row r="22960">
      <c r="B22960" s="612"/>
      <c r="H22960" s="612"/>
    </row>
    <row r="22961">
      <c r="B22961" s="612"/>
      <c r="H22961" s="612"/>
    </row>
    <row r="22962">
      <c r="B22962" s="612"/>
      <c r="H22962" s="612"/>
    </row>
    <row r="22963">
      <c r="B22963" s="612"/>
      <c r="H22963" s="612"/>
    </row>
    <row r="22964">
      <c r="B22964" s="612"/>
      <c r="H22964" s="612"/>
    </row>
    <row r="22965">
      <c r="B22965" s="612"/>
      <c r="H22965" s="612"/>
    </row>
    <row r="22966">
      <c r="B22966" s="612"/>
      <c r="H22966" s="612"/>
    </row>
    <row r="22967">
      <c r="B22967" s="612"/>
      <c r="H22967" s="612"/>
    </row>
    <row r="22968">
      <c r="B22968" s="612"/>
      <c r="H22968" s="612"/>
    </row>
    <row r="22969">
      <c r="B22969" s="612"/>
      <c r="H22969" s="612"/>
    </row>
    <row r="22970">
      <c r="B22970" s="612"/>
      <c r="H22970" s="612"/>
    </row>
    <row r="22971">
      <c r="B22971" s="612"/>
      <c r="H22971" s="612"/>
    </row>
    <row r="22972">
      <c r="B22972" s="612"/>
      <c r="H22972" s="612"/>
    </row>
    <row r="22973">
      <c r="B22973" s="612"/>
      <c r="H22973" s="612"/>
    </row>
    <row r="22974">
      <c r="B22974" s="612"/>
      <c r="H22974" s="612"/>
    </row>
    <row r="22975">
      <c r="B22975" s="612"/>
      <c r="H22975" s="612"/>
    </row>
    <row r="22976">
      <c r="B22976" s="612"/>
      <c r="H22976" s="612"/>
    </row>
    <row r="22977">
      <c r="B22977" s="612"/>
      <c r="H22977" s="612"/>
    </row>
    <row r="22978">
      <c r="B22978" s="612"/>
      <c r="H22978" s="612"/>
    </row>
    <row r="22979">
      <c r="B22979" s="612"/>
      <c r="H22979" s="612"/>
    </row>
    <row r="22980">
      <c r="B22980" s="612"/>
      <c r="H22980" s="612"/>
    </row>
    <row r="22981">
      <c r="B22981" s="612"/>
      <c r="H22981" s="612"/>
    </row>
    <row r="22982">
      <c r="B22982" s="612"/>
      <c r="H22982" s="612"/>
    </row>
    <row r="22983">
      <c r="B22983" s="612"/>
      <c r="H22983" s="612"/>
    </row>
    <row r="22984">
      <c r="B22984" s="612"/>
      <c r="H22984" s="612"/>
    </row>
    <row r="22985">
      <c r="B22985" s="612"/>
      <c r="H22985" s="612"/>
    </row>
    <row r="22986">
      <c r="B22986" s="612"/>
      <c r="H22986" s="612"/>
    </row>
    <row r="22987">
      <c r="B22987" s="612"/>
      <c r="H22987" s="612"/>
    </row>
    <row r="22988">
      <c r="B22988" s="612"/>
      <c r="H22988" s="612"/>
    </row>
    <row r="22989">
      <c r="B22989" s="612"/>
      <c r="H22989" s="612"/>
    </row>
    <row r="22990">
      <c r="B22990" s="612"/>
      <c r="H22990" s="612"/>
    </row>
    <row r="22991">
      <c r="B22991" s="612"/>
      <c r="H22991" s="612"/>
    </row>
    <row r="22992">
      <c r="B22992" s="612"/>
      <c r="H22992" s="612"/>
    </row>
    <row r="22993">
      <c r="B22993" s="612"/>
      <c r="H22993" s="612"/>
    </row>
    <row r="22994">
      <c r="B22994" s="612"/>
      <c r="H22994" s="612"/>
    </row>
    <row r="22995">
      <c r="B22995" s="612"/>
      <c r="H22995" s="612"/>
    </row>
    <row r="22996">
      <c r="B22996" s="612"/>
      <c r="H22996" s="612"/>
    </row>
    <row r="22997">
      <c r="B22997" s="612"/>
      <c r="H22997" s="612"/>
    </row>
    <row r="22998">
      <c r="B22998" s="612"/>
      <c r="H22998" s="612"/>
    </row>
    <row r="22999">
      <c r="B22999" s="612"/>
      <c r="H22999" s="612"/>
    </row>
    <row r="23000">
      <c r="B23000" s="612"/>
      <c r="H23000" s="612"/>
    </row>
    <row r="23001">
      <c r="B23001" s="612"/>
      <c r="H23001" s="612"/>
    </row>
    <row r="23002">
      <c r="B23002" s="612"/>
      <c r="H23002" s="612"/>
    </row>
    <row r="23003">
      <c r="B23003" s="612"/>
      <c r="H23003" s="612"/>
    </row>
    <row r="23004">
      <c r="B23004" s="612"/>
      <c r="H23004" s="612"/>
    </row>
    <row r="23005">
      <c r="B23005" s="612"/>
      <c r="H23005" s="612"/>
    </row>
    <row r="23006">
      <c r="B23006" s="612"/>
      <c r="H23006" s="612"/>
    </row>
    <row r="23007">
      <c r="B23007" s="612"/>
      <c r="H23007" s="612"/>
    </row>
    <row r="23008">
      <c r="B23008" s="612"/>
      <c r="H23008" s="612"/>
    </row>
    <row r="23009">
      <c r="B23009" s="612"/>
      <c r="H23009" s="612"/>
    </row>
    <row r="23010">
      <c r="B23010" s="612"/>
      <c r="H23010" s="612"/>
    </row>
    <row r="23011">
      <c r="B23011" s="612"/>
      <c r="H23011" s="612"/>
    </row>
    <row r="23012">
      <c r="B23012" s="612"/>
      <c r="H23012" s="612"/>
    </row>
    <row r="23013">
      <c r="B23013" s="612"/>
      <c r="H23013" s="612"/>
    </row>
    <row r="23014">
      <c r="B23014" s="612"/>
      <c r="H23014" s="612"/>
    </row>
    <row r="23015">
      <c r="B23015" s="612"/>
      <c r="H23015" s="612"/>
    </row>
    <row r="23016">
      <c r="B23016" s="612"/>
      <c r="H23016" s="612"/>
    </row>
    <row r="23017">
      <c r="B23017" s="612"/>
      <c r="H23017" s="612"/>
    </row>
    <row r="23018">
      <c r="B23018" s="612"/>
      <c r="H23018" s="612"/>
    </row>
    <row r="23019">
      <c r="B23019" s="612"/>
      <c r="H23019" s="612"/>
    </row>
    <row r="23020">
      <c r="B23020" s="612"/>
      <c r="H23020" s="612"/>
    </row>
    <row r="23021">
      <c r="B23021" s="612"/>
      <c r="H23021" s="612"/>
    </row>
    <row r="23022">
      <c r="B23022" s="612"/>
      <c r="H23022" s="612"/>
    </row>
    <row r="23023">
      <c r="B23023" s="612"/>
      <c r="H23023" s="612"/>
    </row>
    <row r="23024">
      <c r="B23024" s="612"/>
      <c r="H23024" s="612"/>
    </row>
    <row r="23025">
      <c r="B23025" s="612"/>
      <c r="H23025" s="612"/>
    </row>
    <row r="23026">
      <c r="B23026" s="612"/>
      <c r="H23026" s="612"/>
    </row>
    <row r="23027">
      <c r="B23027" s="612"/>
      <c r="H23027" s="612"/>
    </row>
    <row r="23028">
      <c r="B23028" s="612"/>
      <c r="H23028" s="612"/>
    </row>
    <row r="23029">
      <c r="B23029" s="612"/>
      <c r="H23029" s="612"/>
    </row>
    <row r="23030">
      <c r="B23030" s="612"/>
      <c r="H23030" s="612"/>
    </row>
    <row r="23031">
      <c r="B23031" s="612"/>
      <c r="H23031" s="612"/>
    </row>
    <row r="23032">
      <c r="B23032" s="612"/>
      <c r="H23032" s="612"/>
    </row>
    <row r="23033">
      <c r="B23033" s="612"/>
      <c r="H23033" s="612"/>
    </row>
    <row r="23034">
      <c r="B23034" s="612"/>
      <c r="H23034" s="612"/>
    </row>
    <row r="23035">
      <c r="B23035" s="612"/>
      <c r="H23035" s="612"/>
    </row>
    <row r="23036">
      <c r="B23036" s="612"/>
      <c r="H23036" s="612"/>
    </row>
    <row r="23037">
      <c r="B23037" s="612"/>
      <c r="H23037" s="612"/>
    </row>
    <row r="23038">
      <c r="B23038" s="612"/>
      <c r="H23038" s="612"/>
    </row>
    <row r="23039">
      <c r="B23039" s="612"/>
      <c r="H23039" s="612"/>
    </row>
    <row r="23040">
      <c r="B23040" s="612"/>
      <c r="H23040" s="612"/>
    </row>
    <row r="23041">
      <c r="B23041" s="612"/>
      <c r="H23041" s="612"/>
    </row>
    <row r="23042">
      <c r="B23042" s="612"/>
      <c r="H23042" s="612"/>
    </row>
    <row r="23043">
      <c r="B23043" s="612"/>
      <c r="H23043" s="612"/>
    </row>
    <row r="23044">
      <c r="B23044" s="612"/>
      <c r="H23044" s="612"/>
    </row>
    <row r="23045">
      <c r="B23045" s="612"/>
      <c r="H23045" s="612"/>
    </row>
    <row r="23046">
      <c r="B23046" s="612"/>
      <c r="H23046" s="612"/>
    </row>
    <row r="23047">
      <c r="B23047" s="612"/>
      <c r="H23047" s="612"/>
    </row>
    <row r="23048">
      <c r="B23048" s="612"/>
      <c r="H23048" s="612"/>
    </row>
    <row r="23049">
      <c r="B23049" s="612"/>
      <c r="H23049" s="612"/>
    </row>
    <row r="23050">
      <c r="B23050" s="612"/>
      <c r="H23050" s="612"/>
    </row>
    <row r="23051">
      <c r="B23051" s="612"/>
      <c r="H23051" s="612"/>
    </row>
    <row r="23052">
      <c r="B23052" s="612"/>
      <c r="H23052" s="612"/>
    </row>
    <row r="23053">
      <c r="B23053" s="612"/>
      <c r="H23053" s="612"/>
    </row>
    <row r="23054">
      <c r="B23054" s="612"/>
      <c r="H23054" s="612"/>
    </row>
    <row r="23055">
      <c r="B23055" s="612"/>
      <c r="H23055" s="612"/>
    </row>
    <row r="23056">
      <c r="B23056" s="612"/>
      <c r="H23056" s="612"/>
    </row>
    <row r="23057">
      <c r="B23057" s="612"/>
      <c r="H23057" s="612"/>
    </row>
    <row r="23058">
      <c r="B23058" s="612"/>
      <c r="H23058" s="612"/>
    </row>
    <row r="23059">
      <c r="B23059" s="612"/>
      <c r="H23059" s="612"/>
    </row>
    <row r="23060">
      <c r="B23060" s="612"/>
      <c r="H23060" s="612"/>
    </row>
    <row r="23061">
      <c r="B23061" s="612"/>
      <c r="H23061" s="612"/>
    </row>
    <row r="23062">
      <c r="B23062" s="612"/>
      <c r="H23062" s="612"/>
    </row>
    <row r="23063">
      <c r="B23063" s="612"/>
      <c r="H23063" s="612"/>
    </row>
    <row r="23064">
      <c r="B23064" s="612"/>
      <c r="H23064" s="612"/>
    </row>
    <row r="23065">
      <c r="B23065" s="612"/>
      <c r="H23065" s="612"/>
    </row>
    <row r="23066">
      <c r="B23066" s="612"/>
      <c r="H23066" s="612"/>
    </row>
    <row r="23067">
      <c r="B23067" s="612"/>
      <c r="H23067" s="612"/>
    </row>
    <row r="23068">
      <c r="B23068" s="612"/>
      <c r="H23068" s="612"/>
    </row>
    <row r="23069">
      <c r="B23069" s="612"/>
      <c r="H23069" s="612"/>
    </row>
    <row r="23070">
      <c r="B23070" s="612"/>
      <c r="H23070" s="612"/>
    </row>
    <row r="23071">
      <c r="B23071" s="612"/>
      <c r="H23071" s="612"/>
    </row>
    <row r="23072">
      <c r="B23072" s="612"/>
      <c r="H23072" s="612"/>
    </row>
    <row r="23073">
      <c r="B23073" s="612"/>
      <c r="H23073" s="612"/>
    </row>
    <row r="23074">
      <c r="B23074" s="612"/>
      <c r="H23074" s="612"/>
    </row>
    <row r="23075">
      <c r="B23075" s="612"/>
      <c r="H23075" s="612"/>
    </row>
    <row r="23076">
      <c r="B23076" s="612"/>
      <c r="H23076" s="612"/>
    </row>
    <row r="23077">
      <c r="B23077" s="612"/>
      <c r="H23077" s="612"/>
    </row>
    <row r="23078">
      <c r="B23078" s="612"/>
      <c r="H23078" s="612"/>
    </row>
    <row r="23079">
      <c r="B23079" s="612"/>
      <c r="H23079" s="612"/>
    </row>
    <row r="23080">
      <c r="B23080" s="612"/>
      <c r="H23080" s="612"/>
    </row>
    <row r="23081">
      <c r="B23081" s="612"/>
      <c r="H23081" s="612"/>
    </row>
    <row r="23082">
      <c r="B23082" s="612"/>
      <c r="H23082" s="612"/>
    </row>
    <row r="23083">
      <c r="B23083" s="612"/>
      <c r="H23083" s="612"/>
    </row>
    <row r="23084">
      <c r="B23084" s="612"/>
      <c r="H23084" s="612"/>
    </row>
    <row r="23085">
      <c r="B23085" s="612"/>
      <c r="H23085" s="612"/>
    </row>
    <row r="23086">
      <c r="B23086" s="612"/>
      <c r="H23086" s="612"/>
    </row>
    <row r="23087">
      <c r="B23087" s="612"/>
      <c r="H23087" s="612"/>
    </row>
    <row r="23088">
      <c r="B23088" s="612"/>
      <c r="H23088" s="612"/>
    </row>
    <row r="23089">
      <c r="B23089" s="612"/>
      <c r="H23089" s="612"/>
    </row>
    <row r="23090">
      <c r="B23090" s="612"/>
      <c r="H23090" s="612"/>
    </row>
    <row r="23091">
      <c r="B23091" s="612"/>
      <c r="H23091" s="612"/>
    </row>
    <row r="23092">
      <c r="B23092" s="612"/>
      <c r="H23092" s="612"/>
    </row>
    <row r="23093">
      <c r="B23093" s="612"/>
      <c r="H23093" s="612"/>
    </row>
    <row r="23094">
      <c r="B23094" s="612"/>
      <c r="H23094" s="612"/>
    </row>
    <row r="23095">
      <c r="B23095" s="612"/>
      <c r="H23095" s="612"/>
    </row>
    <row r="23096">
      <c r="B23096" s="612"/>
      <c r="H23096" s="612"/>
    </row>
    <row r="23097">
      <c r="B23097" s="612"/>
      <c r="H23097" s="612"/>
    </row>
    <row r="23098">
      <c r="B23098" s="612"/>
      <c r="H23098" s="612"/>
    </row>
    <row r="23099">
      <c r="B23099" s="612"/>
      <c r="H23099" s="612"/>
    </row>
    <row r="23100">
      <c r="B23100" s="612"/>
      <c r="H23100" s="612"/>
    </row>
    <row r="23101">
      <c r="B23101" s="612"/>
      <c r="H23101" s="612"/>
    </row>
    <row r="23102">
      <c r="B23102" s="612"/>
      <c r="H23102" s="612"/>
    </row>
    <row r="23103">
      <c r="B23103" s="612"/>
      <c r="H23103" s="612"/>
    </row>
    <row r="23104">
      <c r="B23104" s="612"/>
      <c r="H23104" s="612"/>
    </row>
    <row r="23105">
      <c r="B23105" s="612"/>
      <c r="H23105" s="612"/>
    </row>
    <row r="23106">
      <c r="B23106" s="612"/>
      <c r="H23106" s="612"/>
    </row>
    <row r="23107">
      <c r="B23107" s="612"/>
      <c r="H23107" s="612"/>
    </row>
    <row r="23108">
      <c r="B23108" s="612"/>
      <c r="H23108" s="612"/>
    </row>
    <row r="23109">
      <c r="B23109" s="612"/>
      <c r="H23109" s="612"/>
    </row>
    <row r="23110">
      <c r="B23110" s="612"/>
      <c r="H23110" s="612"/>
    </row>
    <row r="23111">
      <c r="B23111" s="612"/>
      <c r="H23111" s="612"/>
    </row>
    <row r="23112">
      <c r="B23112" s="612"/>
      <c r="H23112" s="612"/>
    </row>
    <row r="23113">
      <c r="B23113" s="612"/>
      <c r="H23113" s="612"/>
    </row>
    <row r="23114">
      <c r="B23114" s="612"/>
      <c r="H23114" s="612"/>
    </row>
    <row r="23115">
      <c r="B23115" s="612"/>
      <c r="H23115" s="612"/>
    </row>
    <row r="23116">
      <c r="B23116" s="612"/>
      <c r="H23116" s="612"/>
    </row>
    <row r="23117">
      <c r="B23117" s="612"/>
      <c r="H23117" s="612"/>
    </row>
    <row r="23118">
      <c r="B23118" s="612"/>
      <c r="H23118" s="612"/>
    </row>
    <row r="23119">
      <c r="B23119" s="612"/>
      <c r="H23119" s="612"/>
    </row>
    <row r="23120">
      <c r="B23120" s="612"/>
      <c r="H23120" s="612"/>
    </row>
    <row r="23121">
      <c r="B23121" s="612"/>
      <c r="H23121" s="612"/>
    </row>
    <row r="23122">
      <c r="B23122" s="612"/>
      <c r="H23122" s="612"/>
    </row>
    <row r="23123">
      <c r="B23123" s="612"/>
      <c r="H23123" s="612"/>
    </row>
    <row r="23124">
      <c r="B23124" s="612"/>
      <c r="H23124" s="612"/>
    </row>
    <row r="23125">
      <c r="B23125" s="612"/>
      <c r="H23125" s="612"/>
    </row>
    <row r="23126">
      <c r="B23126" s="612"/>
      <c r="H23126" s="612"/>
    </row>
    <row r="23127">
      <c r="B23127" s="612"/>
      <c r="H23127" s="612"/>
    </row>
    <row r="23128">
      <c r="B23128" s="612"/>
      <c r="H23128" s="612"/>
    </row>
    <row r="23129">
      <c r="B23129" s="612"/>
      <c r="H23129" s="612"/>
    </row>
    <row r="23130">
      <c r="B23130" s="612"/>
      <c r="H23130" s="612"/>
    </row>
    <row r="23131">
      <c r="B23131" s="612"/>
      <c r="H23131" s="612"/>
    </row>
    <row r="23132">
      <c r="B23132" s="612"/>
      <c r="H23132" s="612"/>
    </row>
    <row r="23133">
      <c r="B23133" s="612"/>
      <c r="H23133" s="612"/>
    </row>
    <row r="23134">
      <c r="B23134" s="612"/>
      <c r="H23134" s="612"/>
    </row>
    <row r="23135">
      <c r="B23135" s="612"/>
      <c r="H23135" s="612"/>
    </row>
    <row r="23136">
      <c r="B23136" s="612"/>
      <c r="H23136" s="612"/>
    </row>
    <row r="23137">
      <c r="B23137" s="612"/>
      <c r="H23137" s="612"/>
    </row>
    <row r="23138">
      <c r="B23138" s="612"/>
      <c r="H23138" s="612"/>
    </row>
    <row r="23139">
      <c r="B23139" s="612"/>
      <c r="H23139" s="612"/>
    </row>
    <row r="23140">
      <c r="B23140" s="612"/>
      <c r="H23140" s="612"/>
    </row>
    <row r="23141">
      <c r="B23141" s="612"/>
      <c r="H23141" s="612"/>
    </row>
    <row r="23142">
      <c r="B23142" s="612"/>
      <c r="H23142" s="612"/>
    </row>
    <row r="23143">
      <c r="B23143" s="612"/>
      <c r="H23143" s="612"/>
    </row>
    <row r="23144">
      <c r="B23144" s="612"/>
      <c r="H23144" s="612"/>
    </row>
    <row r="23145">
      <c r="B23145" s="612"/>
      <c r="H23145" s="612"/>
    </row>
    <row r="23146">
      <c r="B23146" s="612"/>
      <c r="H23146" s="612"/>
    </row>
    <row r="23147">
      <c r="B23147" s="612"/>
      <c r="H23147" s="612"/>
    </row>
    <row r="23148">
      <c r="B23148" s="612"/>
      <c r="H23148" s="612"/>
    </row>
    <row r="23149">
      <c r="B23149" s="612"/>
      <c r="H23149" s="612"/>
    </row>
    <row r="23150">
      <c r="B23150" s="612"/>
      <c r="H23150" s="612"/>
    </row>
    <row r="23151">
      <c r="B23151" s="612"/>
      <c r="H23151" s="612"/>
    </row>
    <row r="23152">
      <c r="B23152" s="612"/>
      <c r="H23152" s="612"/>
    </row>
    <row r="23153">
      <c r="B23153" s="612"/>
      <c r="H23153" s="612"/>
    </row>
    <row r="23154">
      <c r="B23154" s="612"/>
      <c r="H23154" s="612"/>
    </row>
    <row r="23155">
      <c r="B23155" s="612"/>
      <c r="H23155" s="612"/>
    </row>
    <row r="23156">
      <c r="B23156" s="612"/>
      <c r="H23156" s="612"/>
    </row>
    <row r="23157">
      <c r="B23157" s="612"/>
      <c r="H23157" s="612"/>
    </row>
    <row r="23158">
      <c r="B23158" s="612"/>
      <c r="H23158" s="612"/>
    </row>
    <row r="23159">
      <c r="B23159" s="612"/>
      <c r="H23159" s="612"/>
    </row>
    <row r="23160">
      <c r="B23160" s="612"/>
      <c r="H23160" s="612"/>
    </row>
    <row r="23161">
      <c r="B23161" s="612"/>
      <c r="H23161" s="612"/>
    </row>
    <row r="23162">
      <c r="B23162" s="612"/>
      <c r="H23162" s="612"/>
    </row>
    <row r="23163">
      <c r="B23163" s="612"/>
      <c r="H23163" s="612"/>
    </row>
    <row r="23164">
      <c r="B23164" s="612"/>
      <c r="H23164" s="612"/>
    </row>
    <row r="23165">
      <c r="B23165" s="612"/>
      <c r="H23165" s="612"/>
    </row>
    <row r="23166">
      <c r="B23166" s="612"/>
      <c r="H23166" s="612"/>
    </row>
    <row r="23167">
      <c r="B23167" s="612"/>
      <c r="H23167" s="612"/>
    </row>
    <row r="23168">
      <c r="B23168" s="612"/>
      <c r="H23168" s="612"/>
    </row>
    <row r="23169">
      <c r="B23169" s="612"/>
      <c r="H23169" s="612"/>
    </row>
    <row r="23170">
      <c r="B23170" s="612"/>
      <c r="H23170" s="612"/>
    </row>
    <row r="23171">
      <c r="B23171" s="612"/>
      <c r="H23171" s="612"/>
    </row>
    <row r="23172">
      <c r="B23172" s="612"/>
      <c r="H23172" s="612"/>
    </row>
    <row r="23173">
      <c r="B23173" s="612"/>
      <c r="H23173" s="612"/>
    </row>
    <row r="23174">
      <c r="B23174" s="612"/>
      <c r="H23174" s="612"/>
    </row>
    <row r="23175">
      <c r="B23175" s="612"/>
      <c r="H23175" s="612"/>
    </row>
    <row r="23176">
      <c r="B23176" s="612"/>
      <c r="H23176" s="612"/>
    </row>
    <row r="23177">
      <c r="B23177" s="612"/>
      <c r="H23177" s="612"/>
    </row>
    <row r="23178">
      <c r="B23178" s="612"/>
      <c r="H23178" s="612"/>
    </row>
    <row r="23179">
      <c r="B23179" s="612"/>
      <c r="H23179" s="612"/>
    </row>
    <row r="23180">
      <c r="B23180" s="612"/>
      <c r="H23180" s="612"/>
    </row>
    <row r="23181">
      <c r="B23181" s="612"/>
      <c r="H23181" s="612"/>
    </row>
    <row r="23182">
      <c r="B23182" s="612"/>
      <c r="H23182" s="612"/>
    </row>
    <row r="23183">
      <c r="B23183" s="612"/>
      <c r="H23183" s="612"/>
    </row>
    <row r="23184">
      <c r="B23184" s="612"/>
      <c r="H23184" s="612"/>
    </row>
    <row r="23185">
      <c r="B23185" s="612"/>
      <c r="H23185" s="612"/>
    </row>
    <row r="23186">
      <c r="B23186" s="612"/>
      <c r="H23186" s="612"/>
    </row>
    <row r="23187">
      <c r="B23187" s="612"/>
      <c r="H23187" s="612"/>
    </row>
    <row r="23188">
      <c r="B23188" s="612"/>
      <c r="H23188" s="612"/>
    </row>
    <row r="23189">
      <c r="B23189" s="612"/>
      <c r="H23189" s="612"/>
    </row>
    <row r="23190">
      <c r="B23190" s="612"/>
      <c r="H23190" s="612"/>
    </row>
    <row r="23191">
      <c r="B23191" s="612"/>
      <c r="H23191" s="612"/>
    </row>
    <row r="23192">
      <c r="B23192" s="612"/>
      <c r="H23192" s="612"/>
    </row>
    <row r="23193">
      <c r="B23193" s="612"/>
      <c r="H23193" s="612"/>
    </row>
    <row r="23194">
      <c r="B23194" s="612"/>
      <c r="H23194" s="612"/>
    </row>
    <row r="23195">
      <c r="B23195" s="612"/>
      <c r="H23195" s="612"/>
    </row>
    <row r="23196">
      <c r="B23196" s="612"/>
      <c r="H23196" s="612"/>
    </row>
    <row r="23197">
      <c r="B23197" s="612"/>
      <c r="H23197" s="612"/>
    </row>
    <row r="23198">
      <c r="B23198" s="612"/>
      <c r="H23198" s="612"/>
    </row>
    <row r="23199">
      <c r="B23199" s="612"/>
      <c r="H23199" s="612"/>
    </row>
    <row r="23200">
      <c r="B23200" s="612"/>
      <c r="H23200" s="612"/>
    </row>
    <row r="23201">
      <c r="B23201" s="612"/>
      <c r="H23201" s="612"/>
    </row>
    <row r="23202">
      <c r="B23202" s="612"/>
      <c r="H23202" s="612"/>
    </row>
    <row r="23203">
      <c r="B23203" s="612"/>
      <c r="H23203" s="612"/>
    </row>
    <row r="23204">
      <c r="B23204" s="612"/>
      <c r="H23204" s="612"/>
    </row>
    <row r="23205">
      <c r="B23205" s="612"/>
      <c r="H23205" s="612"/>
    </row>
    <row r="23206">
      <c r="B23206" s="612"/>
      <c r="H23206" s="612"/>
    </row>
    <row r="23207">
      <c r="B23207" s="612"/>
      <c r="H23207" s="612"/>
    </row>
    <row r="23208">
      <c r="B23208" s="612"/>
      <c r="H23208" s="612"/>
    </row>
    <row r="23209">
      <c r="B23209" s="612"/>
      <c r="H23209" s="612"/>
    </row>
    <row r="23210">
      <c r="B23210" s="612"/>
      <c r="H23210" s="612"/>
    </row>
    <row r="23211">
      <c r="B23211" s="612"/>
      <c r="H23211" s="612"/>
    </row>
    <row r="23212">
      <c r="B23212" s="612"/>
      <c r="H23212" s="612"/>
    </row>
    <row r="23213">
      <c r="B23213" s="612"/>
      <c r="H23213" s="612"/>
    </row>
    <row r="23214">
      <c r="B23214" s="612"/>
      <c r="H23214" s="612"/>
    </row>
    <row r="23215">
      <c r="B23215" s="612"/>
      <c r="H23215" s="612"/>
    </row>
    <row r="23216">
      <c r="B23216" s="612"/>
      <c r="H23216" s="612"/>
    </row>
    <row r="23217">
      <c r="B23217" s="612"/>
      <c r="H23217" s="612"/>
    </row>
    <row r="23218">
      <c r="B23218" s="612"/>
      <c r="H23218" s="612"/>
    </row>
    <row r="23219">
      <c r="B23219" s="612"/>
      <c r="H23219" s="612"/>
    </row>
    <row r="23220">
      <c r="B23220" s="612"/>
      <c r="H23220" s="612"/>
    </row>
    <row r="23221">
      <c r="B23221" s="612"/>
      <c r="H23221" s="612"/>
    </row>
    <row r="23222">
      <c r="B23222" s="612"/>
      <c r="H23222" s="612"/>
    </row>
    <row r="23223">
      <c r="B23223" s="612"/>
      <c r="H23223" s="612"/>
    </row>
    <row r="23224">
      <c r="B23224" s="612"/>
      <c r="H23224" s="612"/>
    </row>
    <row r="23225">
      <c r="B23225" s="612"/>
      <c r="H23225" s="612"/>
    </row>
    <row r="23226">
      <c r="B23226" s="612"/>
      <c r="H23226" s="612"/>
    </row>
    <row r="23227">
      <c r="B23227" s="612"/>
      <c r="H23227" s="612"/>
    </row>
    <row r="23228">
      <c r="B23228" s="612"/>
      <c r="H23228" s="612"/>
    </row>
    <row r="23229">
      <c r="B23229" s="612"/>
      <c r="H23229" s="612"/>
    </row>
    <row r="23230">
      <c r="B23230" s="612"/>
      <c r="H23230" s="612"/>
    </row>
    <row r="23231">
      <c r="B23231" s="612"/>
      <c r="H23231" s="612"/>
    </row>
    <row r="23232">
      <c r="B23232" s="612"/>
      <c r="H23232" s="612"/>
    </row>
    <row r="23233">
      <c r="B23233" s="612"/>
      <c r="H23233" s="612"/>
    </row>
    <row r="23234">
      <c r="B23234" s="612"/>
      <c r="H23234" s="612"/>
    </row>
    <row r="23235">
      <c r="B23235" s="612"/>
      <c r="H23235" s="612"/>
    </row>
    <row r="23236">
      <c r="B23236" s="612"/>
      <c r="H23236" s="612"/>
    </row>
    <row r="23237">
      <c r="B23237" s="612"/>
      <c r="H23237" s="612"/>
    </row>
    <row r="23238">
      <c r="B23238" s="612"/>
      <c r="H23238" s="612"/>
    </row>
    <row r="23239">
      <c r="B23239" s="612"/>
      <c r="H23239" s="612"/>
    </row>
    <row r="23240">
      <c r="B23240" s="612"/>
      <c r="H23240" s="612"/>
    </row>
    <row r="23241">
      <c r="B23241" s="612"/>
      <c r="H23241" s="612"/>
    </row>
    <row r="23242">
      <c r="B23242" s="612"/>
      <c r="H23242" s="612"/>
    </row>
    <row r="23243">
      <c r="B23243" s="612"/>
      <c r="H23243" s="612"/>
    </row>
    <row r="23244">
      <c r="B23244" s="612"/>
      <c r="H23244" s="612"/>
    </row>
    <row r="23245">
      <c r="B23245" s="612"/>
      <c r="H23245" s="612"/>
    </row>
    <row r="23246">
      <c r="B23246" s="612"/>
      <c r="H23246" s="612"/>
    </row>
    <row r="23247">
      <c r="B23247" s="612"/>
      <c r="H23247" s="612"/>
    </row>
    <row r="23248">
      <c r="B23248" s="612"/>
      <c r="H23248" s="612"/>
    </row>
    <row r="23249">
      <c r="B23249" s="612"/>
      <c r="H23249" s="612"/>
    </row>
    <row r="23250">
      <c r="B23250" s="612"/>
      <c r="H23250" s="612"/>
    </row>
    <row r="23251">
      <c r="B23251" s="612"/>
      <c r="H23251" s="612"/>
    </row>
    <row r="23252">
      <c r="B23252" s="612"/>
      <c r="H23252" s="612"/>
    </row>
    <row r="23253">
      <c r="B23253" s="612"/>
      <c r="H23253" s="612"/>
    </row>
    <row r="23254">
      <c r="B23254" s="612"/>
      <c r="H23254" s="612"/>
    </row>
    <row r="23255">
      <c r="B23255" s="612"/>
      <c r="H23255" s="612"/>
    </row>
    <row r="23256">
      <c r="B23256" s="612"/>
      <c r="H23256" s="612"/>
    </row>
    <row r="23257">
      <c r="B23257" s="612"/>
      <c r="H23257" s="612"/>
    </row>
    <row r="23258">
      <c r="B23258" s="612"/>
      <c r="H23258" s="612"/>
    </row>
    <row r="23259">
      <c r="B23259" s="612"/>
      <c r="H23259" s="612"/>
    </row>
    <row r="23260">
      <c r="B23260" s="612"/>
      <c r="H23260" s="612"/>
    </row>
    <row r="23261">
      <c r="B23261" s="612"/>
      <c r="H23261" s="612"/>
    </row>
    <row r="23262">
      <c r="B23262" s="612"/>
      <c r="H23262" s="612"/>
    </row>
    <row r="23263">
      <c r="B23263" s="612"/>
      <c r="H23263" s="612"/>
    </row>
    <row r="23264">
      <c r="B23264" s="612"/>
      <c r="H23264" s="612"/>
    </row>
    <row r="23265">
      <c r="B23265" s="612"/>
      <c r="H23265" s="612"/>
    </row>
    <row r="23266">
      <c r="B23266" s="612"/>
      <c r="H23266" s="612"/>
    </row>
    <row r="23267">
      <c r="B23267" s="612"/>
      <c r="H23267" s="612"/>
    </row>
    <row r="23268">
      <c r="B23268" s="612"/>
      <c r="H23268" s="612"/>
    </row>
    <row r="23269">
      <c r="B23269" s="612"/>
      <c r="H23269" s="612"/>
    </row>
    <row r="23270">
      <c r="B23270" s="612"/>
      <c r="H23270" s="612"/>
    </row>
    <row r="23271">
      <c r="B23271" s="612"/>
      <c r="H23271" s="612"/>
    </row>
    <row r="23272">
      <c r="B23272" s="612"/>
      <c r="H23272" s="612"/>
    </row>
    <row r="23273">
      <c r="B23273" s="612"/>
      <c r="H23273" s="612"/>
    </row>
    <row r="23274">
      <c r="B23274" s="612"/>
      <c r="H23274" s="612"/>
    </row>
    <row r="23275">
      <c r="B23275" s="612"/>
      <c r="H23275" s="612"/>
    </row>
    <row r="23276">
      <c r="B23276" s="612"/>
      <c r="H23276" s="612"/>
    </row>
    <row r="23277">
      <c r="B23277" s="612"/>
      <c r="H23277" s="612"/>
    </row>
    <row r="23278">
      <c r="B23278" s="612"/>
      <c r="H23278" s="612"/>
    </row>
    <row r="23279">
      <c r="B23279" s="612"/>
      <c r="H23279" s="612"/>
    </row>
    <row r="23280">
      <c r="B23280" s="612"/>
      <c r="H23280" s="612"/>
    </row>
    <row r="23281">
      <c r="B23281" s="612"/>
      <c r="H23281" s="612"/>
    </row>
    <row r="23282">
      <c r="B23282" s="612"/>
      <c r="H23282" s="612"/>
    </row>
    <row r="23283">
      <c r="B23283" s="612"/>
      <c r="H23283" s="612"/>
    </row>
    <row r="23284">
      <c r="B23284" s="612"/>
      <c r="H23284" s="612"/>
    </row>
    <row r="23285">
      <c r="B23285" s="612"/>
      <c r="H23285" s="612"/>
    </row>
    <row r="23286">
      <c r="B23286" s="612"/>
      <c r="H23286" s="612"/>
    </row>
    <row r="23287">
      <c r="B23287" s="612"/>
      <c r="H23287" s="612"/>
    </row>
    <row r="23288">
      <c r="B23288" s="612"/>
      <c r="H23288" s="612"/>
    </row>
    <row r="23289">
      <c r="B23289" s="612"/>
      <c r="H23289" s="612"/>
    </row>
    <row r="23290">
      <c r="B23290" s="612"/>
      <c r="H23290" s="612"/>
    </row>
    <row r="23291">
      <c r="B23291" s="612"/>
      <c r="H23291" s="612"/>
    </row>
    <row r="23292">
      <c r="B23292" s="612"/>
      <c r="H23292" s="612"/>
    </row>
    <row r="23293">
      <c r="B23293" s="612"/>
      <c r="H23293" s="612"/>
    </row>
    <row r="23294">
      <c r="B23294" s="612"/>
      <c r="H23294" s="612"/>
    </row>
    <row r="23295">
      <c r="B23295" s="612"/>
      <c r="H23295" s="612"/>
    </row>
    <row r="23296">
      <c r="B23296" s="612"/>
      <c r="H23296" s="612"/>
    </row>
    <row r="23297">
      <c r="B23297" s="612"/>
      <c r="H23297" s="612"/>
    </row>
    <row r="23298">
      <c r="B23298" s="612"/>
      <c r="H23298" s="612"/>
    </row>
    <row r="23299">
      <c r="B23299" s="612"/>
      <c r="H23299" s="612"/>
    </row>
    <row r="23300">
      <c r="B23300" s="612"/>
      <c r="H23300" s="612"/>
    </row>
    <row r="23301">
      <c r="B23301" s="612"/>
      <c r="H23301" s="612"/>
    </row>
    <row r="23302">
      <c r="B23302" s="612"/>
      <c r="H23302" s="612"/>
    </row>
    <row r="23303">
      <c r="B23303" s="612"/>
      <c r="H23303" s="612"/>
    </row>
    <row r="23304">
      <c r="B23304" s="612"/>
      <c r="H23304" s="612"/>
    </row>
    <row r="23305">
      <c r="B23305" s="612"/>
      <c r="H23305" s="612"/>
    </row>
    <row r="23306">
      <c r="B23306" s="612"/>
      <c r="H23306" s="612"/>
    </row>
    <row r="23307">
      <c r="B23307" s="612"/>
      <c r="H23307" s="612"/>
    </row>
    <row r="23308">
      <c r="B23308" s="612"/>
      <c r="H23308" s="612"/>
    </row>
    <row r="23309">
      <c r="B23309" s="612"/>
      <c r="H23309" s="612"/>
    </row>
    <row r="23310">
      <c r="B23310" s="612"/>
      <c r="H23310" s="612"/>
    </row>
    <row r="23311">
      <c r="B23311" s="612"/>
      <c r="H23311" s="612"/>
    </row>
    <row r="23312">
      <c r="B23312" s="612"/>
      <c r="H23312" s="612"/>
    </row>
    <row r="23313">
      <c r="B23313" s="612"/>
      <c r="H23313" s="612"/>
    </row>
    <row r="23314">
      <c r="B23314" s="612"/>
      <c r="H23314" s="612"/>
    </row>
    <row r="23315">
      <c r="B23315" s="612"/>
      <c r="H23315" s="612"/>
    </row>
    <row r="23316">
      <c r="B23316" s="612"/>
      <c r="H23316" s="612"/>
    </row>
    <row r="23317">
      <c r="B23317" s="612"/>
      <c r="H23317" s="612"/>
    </row>
    <row r="23318">
      <c r="B23318" s="612"/>
      <c r="H23318" s="612"/>
    </row>
    <row r="23319">
      <c r="B23319" s="612"/>
      <c r="H23319" s="612"/>
    </row>
    <row r="23320">
      <c r="B23320" s="612"/>
      <c r="H23320" s="612"/>
    </row>
    <row r="23321">
      <c r="B23321" s="612"/>
      <c r="H23321" s="612"/>
    </row>
    <row r="23322">
      <c r="B23322" s="612"/>
      <c r="H23322" s="612"/>
    </row>
    <row r="23323">
      <c r="B23323" s="612"/>
      <c r="H23323" s="612"/>
    </row>
    <row r="23324">
      <c r="B23324" s="612"/>
      <c r="H23324" s="612"/>
    </row>
    <row r="23325">
      <c r="B23325" s="612"/>
      <c r="H23325" s="612"/>
    </row>
    <row r="23326">
      <c r="B23326" s="612"/>
      <c r="H23326" s="612"/>
    </row>
    <row r="23327">
      <c r="B23327" s="612"/>
      <c r="H23327" s="612"/>
    </row>
    <row r="23328">
      <c r="B23328" s="612"/>
      <c r="H23328" s="612"/>
    </row>
    <row r="23329">
      <c r="B23329" s="612"/>
      <c r="H23329" s="612"/>
    </row>
    <row r="23330">
      <c r="B23330" s="612"/>
      <c r="H23330" s="612"/>
    </row>
    <row r="23331">
      <c r="B23331" s="612"/>
      <c r="H23331" s="612"/>
    </row>
    <row r="23332">
      <c r="B23332" s="612"/>
      <c r="H23332" s="612"/>
    </row>
    <row r="23333">
      <c r="B23333" s="612"/>
      <c r="H23333" s="612"/>
    </row>
    <row r="23334">
      <c r="B23334" s="612"/>
      <c r="H23334" s="612"/>
    </row>
    <row r="23335">
      <c r="B23335" s="612"/>
      <c r="H23335" s="612"/>
    </row>
    <row r="23336">
      <c r="B23336" s="612"/>
      <c r="H23336" s="612"/>
    </row>
    <row r="23337">
      <c r="B23337" s="612"/>
      <c r="H23337" s="612"/>
    </row>
    <row r="23338">
      <c r="B23338" s="612"/>
      <c r="H23338" s="612"/>
    </row>
    <row r="23339">
      <c r="B23339" s="612"/>
      <c r="H23339" s="612"/>
    </row>
    <row r="23340">
      <c r="B23340" s="612"/>
      <c r="H23340" s="612"/>
    </row>
    <row r="23341">
      <c r="B23341" s="612"/>
      <c r="H23341" s="612"/>
    </row>
    <row r="23342">
      <c r="B23342" s="612"/>
      <c r="H23342" s="612"/>
    </row>
    <row r="23343">
      <c r="B23343" s="612"/>
      <c r="H23343" s="612"/>
    </row>
    <row r="23344">
      <c r="B23344" s="612"/>
      <c r="H23344" s="612"/>
    </row>
    <row r="23345">
      <c r="B23345" s="612"/>
      <c r="H23345" s="612"/>
    </row>
    <row r="23346">
      <c r="B23346" s="612"/>
      <c r="H23346" s="612"/>
    </row>
    <row r="23347">
      <c r="B23347" s="612"/>
      <c r="H23347" s="612"/>
    </row>
    <row r="23348">
      <c r="B23348" s="612"/>
      <c r="H23348" s="612"/>
    </row>
    <row r="23349">
      <c r="B23349" s="612"/>
      <c r="H23349" s="612"/>
    </row>
    <row r="23350">
      <c r="B23350" s="612"/>
      <c r="H23350" s="612"/>
    </row>
    <row r="23351">
      <c r="B23351" s="612"/>
      <c r="H23351" s="612"/>
    </row>
    <row r="23352">
      <c r="B23352" s="612"/>
      <c r="H23352" s="612"/>
    </row>
    <row r="23353">
      <c r="B23353" s="612"/>
      <c r="H23353" s="612"/>
    </row>
    <row r="23354">
      <c r="B23354" s="612"/>
      <c r="H23354" s="612"/>
    </row>
    <row r="23355">
      <c r="B23355" s="612"/>
      <c r="H23355" s="612"/>
    </row>
    <row r="23356">
      <c r="B23356" s="612"/>
      <c r="H23356" s="612"/>
    </row>
    <row r="23357">
      <c r="B23357" s="612"/>
      <c r="H23357" s="612"/>
    </row>
    <row r="23358">
      <c r="B23358" s="612"/>
      <c r="H23358" s="612"/>
    </row>
    <row r="23359">
      <c r="B23359" s="612"/>
      <c r="H23359" s="612"/>
    </row>
    <row r="23360">
      <c r="B23360" s="612"/>
      <c r="H23360" s="612"/>
    </row>
    <row r="23361">
      <c r="B23361" s="612"/>
      <c r="H23361" s="612"/>
    </row>
    <row r="23362">
      <c r="B23362" s="612"/>
      <c r="H23362" s="612"/>
    </row>
    <row r="23363">
      <c r="B23363" s="612"/>
      <c r="H23363" s="612"/>
    </row>
    <row r="23364">
      <c r="B23364" s="612"/>
      <c r="H23364" s="612"/>
    </row>
    <row r="23365">
      <c r="B23365" s="612"/>
      <c r="H23365" s="612"/>
    </row>
    <row r="23366">
      <c r="B23366" s="612"/>
      <c r="H23366" s="612"/>
    </row>
    <row r="23367">
      <c r="B23367" s="612"/>
      <c r="H23367" s="612"/>
    </row>
    <row r="23368">
      <c r="B23368" s="612"/>
      <c r="H23368" s="612"/>
    </row>
    <row r="23369">
      <c r="B23369" s="612"/>
      <c r="H23369" s="612"/>
    </row>
    <row r="23370">
      <c r="B23370" s="612"/>
      <c r="H23370" s="612"/>
    </row>
    <row r="23371">
      <c r="B23371" s="612"/>
      <c r="H23371" s="612"/>
    </row>
    <row r="23372">
      <c r="B23372" s="612"/>
      <c r="H23372" s="612"/>
    </row>
    <row r="23373">
      <c r="B23373" s="612"/>
      <c r="H23373" s="612"/>
    </row>
    <row r="23374">
      <c r="B23374" s="612"/>
      <c r="H23374" s="612"/>
    </row>
    <row r="23375">
      <c r="B23375" s="612"/>
      <c r="H23375" s="612"/>
    </row>
    <row r="23376">
      <c r="B23376" s="612"/>
      <c r="H23376" s="612"/>
    </row>
    <row r="23377">
      <c r="B23377" s="612"/>
      <c r="H23377" s="612"/>
    </row>
    <row r="23378">
      <c r="B23378" s="612"/>
      <c r="H23378" s="612"/>
    </row>
    <row r="23379">
      <c r="B23379" s="612"/>
      <c r="H23379" s="612"/>
    </row>
    <row r="23380">
      <c r="B23380" s="612"/>
      <c r="H23380" s="612"/>
    </row>
    <row r="23381">
      <c r="B23381" s="612"/>
      <c r="H23381" s="612"/>
    </row>
    <row r="23382">
      <c r="B23382" s="612"/>
      <c r="H23382" s="612"/>
    </row>
    <row r="23383">
      <c r="B23383" s="612"/>
      <c r="H23383" s="612"/>
    </row>
    <row r="23384">
      <c r="B23384" s="612"/>
      <c r="H23384" s="612"/>
    </row>
    <row r="23385">
      <c r="B23385" s="612"/>
      <c r="H23385" s="612"/>
    </row>
    <row r="23386">
      <c r="B23386" s="612"/>
      <c r="H23386" s="612"/>
    </row>
    <row r="23387">
      <c r="B23387" s="612"/>
      <c r="H23387" s="612"/>
    </row>
    <row r="23388">
      <c r="B23388" s="612"/>
      <c r="H23388" s="612"/>
    </row>
    <row r="23389">
      <c r="B23389" s="612"/>
      <c r="H23389" s="612"/>
    </row>
    <row r="23390">
      <c r="B23390" s="612"/>
      <c r="H23390" s="612"/>
    </row>
    <row r="23391">
      <c r="B23391" s="612"/>
      <c r="H23391" s="612"/>
    </row>
    <row r="23392">
      <c r="B23392" s="612"/>
      <c r="H23392" s="612"/>
    </row>
    <row r="23393">
      <c r="B23393" s="612"/>
      <c r="H23393" s="612"/>
    </row>
    <row r="23394">
      <c r="B23394" s="612"/>
      <c r="H23394" s="612"/>
    </row>
    <row r="23395">
      <c r="B23395" s="612"/>
      <c r="H23395" s="612"/>
    </row>
    <row r="23396">
      <c r="B23396" s="612"/>
      <c r="H23396" s="612"/>
    </row>
    <row r="23397">
      <c r="B23397" s="612"/>
      <c r="H23397" s="612"/>
    </row>
    <row r="23398">
      <c r="B23398" s="612"/>
      <c r="H23398" s="612"/>
    </row>
    <row r="23399">
      <c r="B23399" s="612"/>
      <c r="H23399" s="612"/>
    </row>
    <row r="23400">
      <c r="B23400" s="612"/>
      <c r="H23400" s="612"/>
    </row>
    <row r="23401">
      <c r="B23401" s="612"/>
      <c r="H23401" s="612"/>
    </row>
    <row r="23402">
      <c r="B23402" s="612"/>
      <c r="H23402" s="612"/>
    </row>
    <row r="23403">
      <c r="B23403" s="612"/>
      <c r="H23403" s="612"/>
    </row>
    <row r="23404">
      <c r="B23404" s="612"/>
      <c r="H23404" s="612"/>
    </row>
    <row r="23405">
      <c r="B23405" s="612"/>
      <c r="H23405" s="612"/>
    </row>
    <row r="23406">
      <c r="B23406" s="612"/>
      <c r="H23406" s="612"/>
    </row>
    <row r="23407">
      <c r="B23407" s="612"/>
      <c r="H23407" s="612"/>
    </row>
    <row r="23408">
      <c r="B23408" s="612"/>
      <c r="H23408" s="612"/>
    </row>
    <row r="23409">
      <c r="B23409" s="612"/>
      <c r="H23409" s="612"/>
    </row>
    <row r="23410">
      <c r="B23410" s="612"/>
      <c r="H23410" s="612"/>
    </row>
    <row r="23411">
      <c r="B23411" s="612"/>
      <c r="H23411" s="612"/>
    </row>
    <row r="23412">
      <c r="B23412" s="612"/>
      <c r="H23412" s="612"/>
    </row>
    <row r="23413">
      <c r="B23413" s="612"/>
      <c r="H23413" s="612"/>
    </row>
    <row r="23414">
      <c r="B23414" s="612"/>
      <c r="H23414" s="612"/>
    </row>
    <row r="23415">
      <c r="B23415" s="612"/>
      <c r="H23415" s="612"/>
    </row>
    <row r="23416">
      <c r="B23416" s="612"/>
      <c r="H23416" s="612"/>
    </row>
    <row r="23417">
      <c r="B23417" s="612"/>
      <c r="H23417" s="612"/>
    </row>
    <row r="23418">
      <c r="B23418" s="612"/>
      <c r="H23418" s="612"/>
    </row>
    <row r="23419">
      <c r="B23419" s="612"/>
      <c r="H23419" s="612"/>
    </row>
    <row r="23420">
      <c r="B23420" s="612"/>
      <c r="H23420" s="612"/>
    </row>
    <row r="23421">
      <c r="B23421" s="612"/>
      <c r="H23421" s="612"/>
    </row>
    <row r="23422">
      <c r="B23422" s="612"/>
      <c r="H23422" s="612"/>
    </row>
    <row r="23423">
      <c r="B23423" s="612"/>
      <c r="H23423" s="612"/>
    </row>
    <row r="23424">
      <c r="B23424" s="612"/>
      <c r="H23424" s="612"/>
    </row>
    <row r="23425">
      <c r="B23425" s="612"/>
      <c r="H23425" s="612"/>
    </row>
    <row r="23426">
      <c r="B23426" s="612"/>
      <c r="H23426" s="612"/>
    </row>
    <row r="23427">
      <c r="B23427" s="612"/>
      <c r="H23427" s="612"/>
    </row>
    <row r="23428">
      <c r="B23428" s="612"/>
      <c r="H23428" s="612"/>
    </row>
    <row r="23429">
      <c r="B23429" s="612"/>
      <c r="H23429" s="612"/>
    </row>
    <row r="23430">
      <c r="B23430" s="612"/>
      <c r="H23430" s="612"/>
    </row>
    <row r="23431">
      <c r="B23431" s="612"/>
      <c r="H23431" s="612"/>
    </row>
    <row r="23432">
      <c r="B23432" s="612"/>
      <c r="H23432" s="612"/>
    </row>
    <row r="23433">
      <c r="B23433" s="612"/>
      <c r="H23433" s="612"/>
    </row>
    <row r="23434">
      <c r="B23434" s="612"/>
      <c r="H23434" s="612"/>
    </row>
    <row r="23435">
      <c r="B23435" s="612"/>
      <c r="H23435" s="612"/>
    </row>
    <row r="23436">
      <c r="B23436" s="612"/>
      <c r="H23436" s="612"/>
    </row>
    <row r="23437">
      <c r="B23437" s="612"/>
      <c r="H23437" s="612"/>
    </row>
    <row r="23438">
      <c r="B23438" s="612"/>
      <c r="H23438" s="612"/>
    </row>
    <row r="23439">
      <c r="B23439" s="612"/>
      <c r="H23439" s="612"/>
    </row>
    <row r="23440">
      <c r="B23440" s="612"/>
      <c r="H23440" s="612"/>
    </row>
    <row r="23441">
      <c r="B23441" s="612"/>
      <c r="H23441" s="612"/>
    </row>
    <row r="23442">
      <c r="B23442" s="612"/>
      <c r="H23442" s="612"/>
    </row>
    <row r="23443">
      <c r="B23443" s="612"/>
      <c r="H23443" s="612"/>
    </row>
    <row r="23444">
      <c r="B23444" s="612"/>
      <c r="H23444" s="612"/>
    </row>
    <row r="23445">
      <c r="B23445" s="612"/>
      <c r="H23445" s="612"/>
    </row>
    <row r="23446">
      <c r="B23446" s="612"/>
      <c r="H23446" s="612"/>
    </row>
    <row r="23447">
      <c r="B23447" s="612"/>
      <c r="H23447" s="612"/>
    </row>
    <row r="23448">
      <c r="B23448" s="612"/>
      <c r="H23448" s="612"/>
    </row>
    <row r="23449">
      <c r="B23449" s="612"/>
      <c r="H23449" s="612"/>
    </row>
    <row r="23450">
      <c r="B23450" s="612"/>
      <c r="H23450" s="612"/>
    </row>
    <row r="23451">
      <c r="B23451" s="612"/>
      <c r="H23451" s="612"/>
    </row>
    <row r="23452">
      <c r="B23452" s="612"/>
      <c r="H23452" s="612"/>
    </row>
    <row r="23453">
      <c r="B23453" s="612"/>
      <c r="H23453" s="612"/>
    </row>
    <row r="23454">
      <c r="B23454" s="612"/>
      <c r="H23454" s="612"/>
    </row>
    <row r="23455">
      <c r="B23455" s="612"/>
      <c r="H23455" s="612"/>
    </row>
    <row r="23456">
      <c r="B23456" s="612"/>
      <c r="H23456" s="612"/>
    </row>
    <row r="23457">
      <c r="B23457" s="612"/>
      <c r="H23457" s="612"/>
    </row>
    <row r="23458">
      <c r="B23458" s="612"/>
      <c r="H23458" s="612"/>
    </row>
    <row r="23459">
      <c r="B23459" s="612"/>
      <c r="H23459" s="612"/>
    </row>
    <row r="23460">
      <c r="B23460" s="612"/>
      <c r="H23460" s="612"/>
    </row>
    <row r="23461">
      <c r="B23461" s="612"/>
      <c r="H23461" s="612"/>
    </row>
    <row r="23462">
      <c r="B23462" s="612"/>
      <c r="H23462" s="612"/>
    </row>
    <row r="23463">
      <c r="B23463" s="612"/>
      <c r="H23463" s="612"/>
    </row>
    <row r="23464">
      <c r="B23464" s="612"/>
      <c r="H23464" s="612"/>
    </row>
    <row r="23465">
      <c r="B23465" s="612"/>
      <c r="H23465" s="612"/>
    </row>
    <row r="23466">
      <c r="B23466" s="612"/>
      <c r="H23466" s="612"/>
    </row>
    <row r="23467">
      <c r="B23467" s="612"/>
      <c r="H23467" s="612"/>
    </row>
    <row r="23468">
      <c r="B23468" s="612"/>
      <c r="H23468" s="612"/>
    </row>
    <row r="23469">
      <c r="B23469" s="612"/>
      <c r="H23469" s="612"/>
    </row>
    <row r="23470">
      <c r="B23470" s="612"/>
      <c r="H23470" s="612"/>
    </row>
    <row r="23471">
      <c r="B23471" s="612"/>
      <c r="H23471" s="612"/>
    </row>
    <row r="23472">
      <c r="B23472" s="612"/>
      <c r="H23472" s="612"/>
    </row>
    <row r="23473">
      <c r="B23473" s="612"/>
      <c r="H23473" s="612"/>
    </row>
    <row r="23474">
      <c r="B23474" s="612"/>
      <c r="H23474" s="612"/>
    </row>
    <row r="23475">
      <c r="B23475" s="612"/>
      <c r="H23475" s="612"/>
    </row>
    <row r="23476">
      <c r="B23476" s="612"/>
      <c r="H23476" s="612"/>
    </row>
    <row r="23477">
      <c r="B23477" s="612"/>
      <c r="H23477" s="612"/>
    </row>
    <row r="23478">
      <c r="B23478" s="612"/>
      <c r="H23478" s="612"/>
    </row>
    <row r="23479">
      <c r="B23479" s="612"/>
      <c r="H23479" s="612"/>
    </row>
    <row r="23480">
      <c r="B23480" s="612"/>
      <c r="H23480" s="612"/>
    </row>
    <row r="23481">
      <c r="B23481" s="612"/>
      <c r="H23481" s="612"/>
    </row>
    <row r="23482">
      <c r="B23482" s="612"/>
      <c r="H23482" s="612"/>
    </row>
    <row r="23483">
      <c r="B23483" s="612"/>
      <c r="H23483" s="612"/>
    </row>
    <row r="23484">
      <c r="B23484" s="612"/>
      <c r="H23484" s="612"/>
    </row>
    <row r="23485">
      <c r="B23485" s="612"/>
      <c r="H23485" s="612"/>
    </row>
    <row r="23486">
      <c r="B23486" s="612"/>
      <c r="H23486" s="612"/>
    </row>
    <row r="23487">
      <c r="B23487" s="612"/>
      <c r="H23487" s="612"/>
    </row>
    <row r="23488">
      <c r="B23488" s="612"/>
      <c r="H23488" s="612"/>
    </row>
    <row r="23489">
      <c r="B23489" s="612"/>
      <c r="H23489" s="612"/>
    </row>
    <row r="23490">
      <c r="B23490" s="612"/>
      <c r="H23490" s="612"/>
    </row>
    <row r="23491">
      <c r="B23491" s="612"/>
      <c r="H23491" s="612"/>
    </row>
    <row r="23492">
      <c r="B23492" s="612"/>
      <c r="H23492" s="612"/>
    </row>
    <row r="23493">
      <c r="B23493" s="612"/>
      <c r="H23493" s="612"/>
    </row>
    <row r="23494">
      <c r="B23494" s="612"/>
      <c r="H23494" s="612"/>
    </row>
    <row r="23495">
      <c r="B23495" s="612"/>
      <c r="H23495" s="612"/>
    </row>
    <row r="23496">
      <c r="B23496" s="612"/>
      <c r="H23496" s="612"/>
    </row>
    <row r="23497">
      <c r="B23497" s="612"/>
      <c r="H23497" s="612"/>
    </row>
    <row r="23498">
      <c r="B23498" s="612"/>
      <c r="H23498" s="612"/>
    </row>
    <row r="23499">
      <c r="B23499" s="612"/>
      <c r="H23499" s="612"/>
    </row>
    <row r="23500">
      <c r="B23500" s="612"/>
      <c r="H23500" s="612"/>
    </row>
    <row r="23501">
      <c r="B23501" s="612"/>
      <c r="H23501" s="612"/>
    </row>
    <row r="23502">
      <c r="B23502" s="612"/>
      <c r="H23502" s="612"/>
    </row>
    <row r="23503">
      <c r="B23503" s="612"/>
      <c r="H23503" s="612"/>
    </row>
    <row r="23504">
      <c r="B23504" s="612"/>
      <c r="H23504" s="612"/>
    </row>
    <row r="23505">
      <c r="B23505" s="612"/>
      <c r="H23505" s="612"/>
    </row>
    <row r="23506">
      <c r="B23506" s="612"/>
      <c r="H23506" s="612"/>
    </row>
    <row r="23507">
      <c r="B23507" s="612"/>
      <c r="H23507" s="612"/>
    </row>
    <row r="23508">
      <c r="B23508" s="612"/>
      <c r="H23508" s="612"/>
    </row>
    <row r="23509">
      <c r="B23509" s="612"/>
      <c r="H23509" s="612"/>
    </row>
    <row r="23510">
      <c r="B23510" s="612"/>
      <c r="H23510" s="612"/>
    </row>
    <row r="23511">
      <c r="B23511" s="612"/>
      <c r="H23511" s="612"/>
    </row>
    <row r="23512">
      <c r="B23512" s="612"/>
      <c r="H23512" s="612"/>
    </row>
    <row r="23513">
      <c r="B23513" s="612"/>
      <c r="H23513" s="612"/>
    </row>
    <row r="23514">
      <c r="B23514" s="612"/>
      <c r="H23514" s="612"/>
    </row>
    <row r="23515">
      <c r="B23515" s="612"/>
      <c r="H23515" s="612"/>
    </row>
    <row r="23516">
      <c r="B23516" s="612"/>
      <c r="H23516" s="612"/>
    </row>
    <row r="23517">
      <c r="B23517" s="612"/>
      <c r="H23517" s="612"/>
    </row>
    <row r="23518">
      <c r="B23518" s="612"/>
      <c r="H23518" s="612"/>
    </row>
    <row r="23519">
      <c r="B23519" s="612"/>
      <c r="H23519" s="612"/>
    </row>
    <row r="23520">
      <c r="B23520" s="612"/>
      <c r="H23520" s="612"/>
    </row>
    <row r="23521">
      <c r="B23521" s="612"/>
      <c r="H23521" s="612"/>
    </row>
    <row r="23522">
      <c r="B23522" s="612"/>
      <c r="H23522" s="612"/>
    </row>
    <row r="23523">
      <c r="B23523" s="612"/>
      <c r="H23523" s="612"/>
    </row>
    <row r="23524">
      <c r="B23524" s="612"/>
      <c r="H23524" s="612"/>
    </row>
    <row r="23525">
      <c r="B23525" s="612"/>
      <c r="H23525" s="612"/>
    </row>
    <row r="23526">
      <c r="B23526" s="612"/>
      <c r="H23526" s="612"/>
    </row>
    <row r="23527">
      <c r="B23527" s="612"/>
      <c r="H23527" s="612"/>
    </row>
    <row r="23528">
      <c r="B23528" s="612"/>
      <c r="H23528" s="612"/>
    </row>
    <row r="23529">
      <c r="B23529" s="612"/>
      <c r="H23529" s="612"/>
    </row>
    <row r="23530">
      <c r="B23530" s="612"/>
      <c r="H23530" s="612"/>
    </row>
    <row r="23531">
      <c r="B23531" s="612"/>
      <c r="H23531" s="612"/>
    </row>
    <row r="23532">
      <c r="B23532" s="612"/>
      <c r="H23532" s="612"/>
    </row>
    <row r="23533">
      <c r="B23533" s="612"/>
      <c r="H23533" s="612"/>
    </row>
    <row r="23534">
      <c r="B23534" s="612"/>
      <c r="H23534" s="612"/>
    </row>
    <row r="23535">
      <c r="B23535" s="612"/>
      <c r="H23535" s="612"/>
    </row>
    <row r="23536">
      <c r="B23536" s="612"/>
      <c r="H23536" s="612"/>
    </row>
    <row r="23537">
      <c r="B23537" s="612"/>
      <c r="H23537" s="612"/>
    </row>
    <row r="23538">
      <c r="B23538" s="612"/>
      <c r="H23538" s="612"/>
    </row>
    <row r="23539">
      <c r="B23539" s="612"/>
      <c r="H23539" s="612"/>
    </row>
    <row r="23540">
      <c r="B23540" s="612"/>
      <c r="H23540" s="612"/>
    </row>
    <row r="23541">
      <c r="B23541" s="612"/>
      <c r="H23541" s="612"/>
    </row>
    <row r="23542">
      <c r="B23542" s="612"/>
      <c r="H23542" s="612"/>
    </row>
    <row r="23543">
      <c r="B23543" s="612"/>
      <c r="H23543" s="612"/>
    </row>
    <row r="23544">
      <c r="B23544" s="612"/>
      <c r="H23544" s="612"/>
    </row>
    <row r="23545">
      <c r="B23545" s="612"/>
      <c r="H23545" s="612"/>
    </row>
    <row r="23546">
      <c r="B23546" s="612"/>
      <c r="H23546" s="612"/>
    </row>
    <row r="23547">
      <c r="B23547" s="612"/>
      <c r="H23547" s="612"/>
    </row>
    <row r="23548">
      <c r="B23548" s="612"/>
      <c r="H23548" s="612"/>
    </row>
    <row r="23549">
      <c r="B23549" s="612"/>
      <c r="H23549" s="612"/>
    </row>
    <row r="23550">
      <c r="B23550" s="612"/>
      <c r="H23550" s="612"/>
    </row>
    <row r="23551">
      <c r="B23551" s="612"/>
      <c r="H23551" s="612"/>
    </row>
    <row r="23552">
      <c r="B23552" s="612"/>
      <c r="H23552" s="612"/>
    </row>
    <row r="23553">
      <c r="B23553" s="612"/>
      <c r="H23553" s="612"/>
    </row>
    <row r="23554">
      <c r="B23554" s="612"/>
      <c r="H23554" s="612"/>
    </row>
    <row r="23555">
      <c r="B23555" s="612"/>
      <c r="H23555" s="612"/>
    </row>
    <row r="23556">
      <c r="B23556" s="612"/>
      <c r="H23556" s="612"/>
    </row>
    <row r="23557">
      <c r="B23557" s="612"/>
      <c r="H23557" s="612"/>
    </row>
    <row r="23558">
      <c r="B23558" s="612"/>
      <c r="H23558" s="612"/>
    </row>
    <row r="23559">
      <c r="B23559" s="612"/>
      <c r="H23559" s="612"/>
    </row>
    <row r="23560">
      <c r="B23560" s="612"/>
      <c r="H23560" s="612"/>
    </row>
    <row r="23561">
      <c r="B23561" s="612"/>
      <c r="H23561" s="612"/>
    </row>
    <row r="23562">
      <c r="B23562" s="612"/>
      <c r="H23562" s="612"/>
    </row>
    <row r="23563">
      <c r="B23563" s="612"/>
      <c r="H23563" s="612"/>
    </row>
    <row r="23564">
      <c r="B23564" s="612"/>
      <c r="H23564" s="612"/>
    </row>
    <row r="23565">
      <c r="B23565" s="612"/>
      <c r="H23565" s="612"/>
    </row>
    <row r="23566">
      <c r="B23566" s="612"/>
      <c r="H23566" s="612"/>
    </row>
    <row r="23567">
      <c r="B23567" s="612"/>
      <c r="H23567" s="612"/>
    </row>
    <row r="23568">
      <c r="B23568" s="612"/>
      <c r="H23568" s="612"/>
    </row>
    <row r="23569">
      <c r="B23569" s="612"/>
      <c r="H23569" s="612"/>
    </row>
    <row r="23570">
      <c r="B23570" s="612"/>
      <c r="H23570" s="612"/>
    </row>
    <row r="23571">
      <c r="B23571" s="612"/>
      <c r="H23571" s="612"/>
    </row>
    <row r="23572">
      <c r="B23572" s="612"/>
      <c r="H23572" s="612"/>
    </row>
    <row r="23573">
      <c r="B23573" s="612"/>
      <c r="H23573" s="612"/>
    </row>
    <row r="23574">
      <c r="B23574" s="612"/>
      <c r="H23574" s="612"/>
    </row>
    <row r="23575">
      <c r="B23575" s="612"/>
      <c r="H23575" s="612"/>
    </row>
    <row r="23576">
      <c r="B23576" s="612"/>
      <c r="H23576" s="612"/>
    </row>
    <row r="23577">
      <c r="B23577" s="612"/>
      <c r="H23577" s="612"/>
    </row>
    <row r="23578">
      <c r="B23578" s="612"/>
      <c r="H23578" s="612"/>
    </row>
    <row r="23579">
      <c r="B23579" s="612"/>
      <c r="H23579" s="612"/>
    </row>
    <row r="23580">
      <c r="B23580" s="612"/>
      <c r="H23580" s="612"/>
    </row>
    <row r="23581">
      <c r="B23581" s="612"/>
      <c r="H23581" s="612"/>
    </row>
    <row r="23582">
      <c r="B23582" s="612"/>
      <c r="H23582" s="612"/>
    </row>
    <row r="23583">
      <c r="B23583" s="612"/>
      <c r="H23583" s="612"/>
    </row>
    <row r="23584">
      <c r="B23584" s="612"/>
      <c r="H23584" s="612"/>
    </row>
    <row r="23585">
      <c r="B23585" s="612"/>
      <c r="H23585" s="612"/>
    </row>
    <row r="23586">
      <c r="B23586" s="612"/>
      <c r="H23586" s="612"/>
    </row>
    <row r="23587">
      <c r="B23587" s="612"/>
      <c r="H23587" s="612"/>
    </row>
    <row r="23588">
      <c r="B23588" s="612"/>
      <c r="H23588" s="612"/>
    </row>
    <row r="23589">
      <c r="B23589" s="612"/>
      <c r="H23589" s="612"/>
    </row>
    <row r="23590">
      <c r="B23590" s="612"/>
      <c r="H23590" s="612"/>
    </row>
    <row r="23591">
      <c r="B23591" s="612"/>
      <c r="H23591" s="612"/>
    </row>
    <row r="23592">
      <c r="B23592" s="612"/>
      <c r="H23592" s="612"/>
    </row>
    <row r="23593">
      <c r="B23593" s="612"/>
      <c r="H23593" s="612"/>
    </row>
    <row r="23594">
      <c r="B23594" s="612"/>
      <c r="H23594" s="612"/>
    </row>
    <row r="23595">
      <c r="B23595" s="612"/>
      <c r="H23595" s="612"/>
    </row>
    <row r="23596">
      <c r="B23596" s="612"/>
      <c r="H23596" s="612"/>
    </row>
    <row r="23597">
      <c r="B23597" s="612"/>
      <c r="H23597" s="612"/>
    </row>
    <row r="23598">
      <c r="B23598" s="612"/>
      <c r="H23598" s="612"/>
    </row>
    <row r="23599">
      <c r="B23599" s="612"/>
      <c r="H23599" s="612"/>
    </row>
    <row r="23600">
      <c r="B23600" s="612"/>
      <c r="H23600" s="612"/>
    </row>
    <row r="23601">
      <c r="B23601" s="612"/>
      <c r="H23601" s="612"/>
    </row>
    <row r="23602">
      <c r="B23602" s="612"/>
      <c r="H23602" s="612"/>
    </row>
    <row r="23603">
      <c r="B23603" s="612"/>
      <c r="H23603" s="612"/>
    </row>
    <row r="23604">
      <c r="B23604" s="612"/>
      <c r="H23604" s="612"/>
    </row>
    <row r="23605">
      <c r="B23605" s="612"/>
      <c r="H23605" s="612"/>
    </row>
    <row r="23606">
      <c r="B23606" s="612"/>
      <c r="H23606" s="612"/>
    </row>
    <row r="23607">
      <c r="B23607" s="612"/>
      <c r="H23607" s="612"/>
    </row>
    <row r="23608">
      <c r="B23608" s="612"/>
      <c r="H23608" s="612"/>
    </row>
    <row r="23609">
      <c r="B23609" s="612"/>
      <c r="H23609" s="612"/>
    </row>
    <row r="23610">
      <c r="B23610" s="612"/>
      <c r="H23610" s="612"/>
    </row>
    <row r="23611">
      <c r="B23611" s="612"/>
      <c r="H23611" s="612"/>
    </row>
    <row r="23612">
      <c r="B23612" s="612"/>
      <c r="H23612" s="612"/>
    </row>
    <row r="23613">
      <c r="B23613" s="612"/>
      <c r="H23613" s="612"/>
    </row>
    <row r="23614">
      <c r="B23614" s="612"/>
      <c r="H23614" s="612"/>
    </row>
    <row r="23615">
      <c r="B23615" s="612"/>
      <c r="H23615" s="612"/>
    </row>
    <row r="23616">
      <c r="B23616" s="612"/>
      <c r="H23616" s="612"/>
    </row>
    <row r="23617">
      <c r="B23617" s="612"/>
      <c r="H23617" s="612"/>
    </row>
    <row r="23618">
      <c r="B23618" s="612"/>
      <c r="H23618" s="612"/>
    </row>
    <row r="23619">
      <c r="B23619" s="612"/>
      <c r="H23619" s="612"/>
    </row>
    <row r="23620">
      <c r="B23620" s="612"/>
      <c r="H23620" s="612"/>
    </row>
    <row r="23621">
      <c r="B23621" s="612"/>
      <c r="H23621" s="612"/>
    </row>
    <row r="23622">
      <c r="B23622" s="612"/>
      <c r="H23622" s="612"/>
    </row>
    <row r="23623">
      <c r="B23623" s="612"/>
      <c r="H23623" s="612"/>
    </row>
    <row r="23624">
      <c r="B23624" s="612"/>
      <c r="H23624" s="612"/>
    </row>
    <row r="23625">
      <c r="B23625" s="612"/>
      <c r="H23625" s="612"/>
    </row>
    <row r="23626">
      <c r="B23626" s="612"/>
      <c r="H23626" s="612"/>
    </row>
    <row r="23627">
      <c r="B23627" s="612"/>
      <c r="H23627" s="612"/>
    </row>
    <row r="23628">
      <c r="B23628" s="612"/>
      <c r="H23628" s="612"/>
    </row>
    <row r="23629">
      <c r="B23629" s="612"/>
      <c r="H23629" s="612"/>
    </row>
    <row r="23630">
      <c r="B23630" s="612"/>
      <c r="H23630" s="612"/>
    </row>
    <row r="23631">
      <c r="B23631" s="612"/>
      <c r="H23631" s="612"/>
    </row>
    <row r="23632">
      <c r="B23632" s="612"/>
      <c r="H23632" s="612"/>
    </row>
    <row r="23633">
      <c r="B23633" s="612"/>
      <c r="H23633" s="612"/>
    </row>
    <row r="23634">
      <c r="B23634" s="612"/>
      <c r="H23634" s="612"/>
    </row>
    <row r="23635">
      <c r="B23635" s="612"/>
      <c r="H23635" s="612"/>
    </row>
    <row r="23636">
      <c r="B23636" s="612"/>
      <c r="H23636" s="612"/>
    </row>
    <row r="23637">
      <c r="B23637" s="612"/>
      <c r="H23637" s="612"/>
    </row>
    <row r="23638">
      <c r="B23638" s="612"/>
      <c r="H23638" s="612"/>
    </row>
    <row r="23639">
      <c r="B23639" s="612"/>
      <c r="H23639" s="612"/>
    </row>
    <row r="23640">
      <c r="B23640" s="612"/>
      <c r="H23640" s="612"/>
    </row>
    <row r="23641">
      <c r="B23641" s="612"/>
      <c r="H23641" s="612"/>
    </row>
    <row r="23642">
      <c r="B23642" s="612"/>
      <c r="H23642" s="612"/>
    </row>
    <row r="23643">
      <c r="B23643" s="612"/>
      <c r="H23643" s="612"/>
    </row>
    <row r="23644">
      <c r="B23644" s="612"/>
      <c r="H23644" s="612"/>
    </row>
    <row r="23645">
      <c r="B23645" s="612"/>
      <c r="H23645" s="612"/>
    </row>
    <row r="23646">
      <c r="B23646" s="612"/>
      <c r="H23646" s="612"/>
    </row>
    <row r="23647">
      <c r="B23647" s="612"/>
      <c r="H23647" s="612"/>
    </row>
    <row r="23648">
      <c r="B23648" s="612"/>
      <c r="H23648" s="612"/>
    </row>
    <row r="23649">
      <c r="B23649" s="612"/>
      <c r="H23649" s="612"/>
    </row>
    <row r="23650">
      <c r="B23650" s="612"/>
      <c r="H23650" s="612"/>
    </row>
    <row r="23651">
      <c r="B23651" s="612"/>
      <c r="H23651" s="612"/>
    </row>
    <row r="23652">
      <c r="B23652" s="612"/>
      <c r="H23652" s="612"/>
    </row>
    <row r="23653">
      <c r="B23653" s="612"/>
      <c r="H23653" s="612"/>
    </row>
    <row r="23654">
      <c r="B23654" s="612"/>
      <c r="H23654" s="612"/>
    </row>
    <row r="23655">
      <c r="B23655" s="612"/>
      <c r="H23655" s="612"/>
    </row>
    <row r="23656">
      <c r="B23656" s="612"/>
      <c r="H23656" s="612"/>
    </row>
    <row r="23657">
      <c r="B23657" s="612"/>
      <c r="H23657" s="612"/>
    </row>
    <row r="23658">
      <c r="B23658" s="612"/>
      <c r="H23658" s="612"/>
    </row>
    <row r="23659">
      <c r="B23659" s="612"/>
      <c r="H23659" s="612"/>
    </row>
    <row r="23660">
      <c r="B23660" s="612"/>
      <c r="H23660" s="612"/>
    </row>
    <row r="23661">
      <c r="B23661" s="612"/>
      <c r="H23661" s="612"/>
    </row>
    <row r="23662">
      <c r="B23662" s="612"/>
      <c r="H23662" s="612"/>
    </row>
    <row r="23663">
      <c r="B23663" s="612"/>
      <c r="H23663" s="612"/>
    </row>
    <row r="23664">
      <c r="B23664" s="612"/>
      <c r="H23664" s="612"/>
    </row>
    <row r="23665">
      <c r="B23665" s="612"/>
      <c r="H23665" s="612"/>
    </row>
    <row r="23666">
      <c r="B23666" s="612"/>
      <c r="H23666" s="612"/>
    </row>
    <row r="23667">
      <c r="B23667" s="612"/>
      <c r="H23667" s="612"/>
    </row>
    <row r="23668">
      <c r="B23668" s="612"/>
      <c r="H23668" s="612"/>
    </row>
    <row r="23669">
      <c r="B23669" s="612"/>
      <c r="H23669" s="612"/>
    </row>
    <row r="23670">
      <c r="B23670" s="612"/>
      <c r="H23670" s="612"/>
    </row>
    <row r="23671">
      <c r="B23671" s="612"/>
      <c r="H23671" s="612"/>
    </row>
    <row r="23672">
      <c r="B23672" s="612"/>
      <c r="H23672" s="612"/>
    </row>
    <row r="23673">
      <c r="B23673" s="612"/>
      <c r="H23673" s="612"/>
    </row>
    <row r="23674">
      <c r="B23674" s="612"/>
      <c r="H23674" s="612"/>
    </row>
    <row r="23675">
      <c r="B23675" s="612"/>
      <c r="H23675" s="612"/>
    </row>
    <row r="23676">
      <c r="B23676" s="612"/>
      <c r="H23676" s="612"/>
    </row>
    <row r="23677">
      <c r="B23677" s="612"/>
      <c r="H23677" s="612"/>
    </row>
    <row r="23678">
      <c r="B23678" s="612"/>
      <c r="H23678" s="612"/>
    </row>
    <row r="23679">
      <c r="B23679" s="612"/>
      <c r="H23679" s="612"/>
    </row>
    <row r="23680">
      <c r="B23680" s="612"/>
      <c r="H23680" s="612"/>
    </row>
    <row r="23681">
      <c r="B23681" s="612"/>
      <c r="H23681" s="612"/>
    </row>
    <row r="23682">
      <c r="B23682" s="612"/>
      <c r="H23682" s="612"/>
    </row>
    <row r="23683">
      <c r="B23683" s="612"/>
      <c r="H23683" s="612"/>
    </row>
    <row r="23684">
      <c r="B23684" s="612"/>
      <c r="H23684" s="612"/>
    </row>
    <row r="23685">
      <c r="B23685" s="612"/>
      <c r="H23685" s="612"/>
    </row>
    <row r="23686">
      <c r="B23686" s="612"/>
      <c r="H23686" s="612"/>
    </row>
    <row r="23687">
      <c r="B23687" s="612"/>
      <c r="H23687" s="612"/>
    </row>
    <row r="23688">
      <c r="B23688" s="612"/>
      <c r="H23688" s="612"/>
    </row>
    <row r="23689">
      <c r="B23689" s="612"/>
      <c r="H23689" s="612"/>
    </row>
    <row r="23690">
      <c r="B23690" s="612"/>
      <c r="H23690" s="612"/>
    </row>
    <row r="23691">
      <c r="B23691" s="612"/>
      <c r="H23691" s="612"/>
    </row>
    <row r="23692">
      <c r="B23692" s="612"/>
      <c r="H23692" s="612"/>
    </row>
    <row r="23693">
      <c r="B23693" s="612"/>
      <c r="H23693" s="612"/>
    </row>
    <row r="23694">
      <c r="B23694" s="612"/>
      <c r="H23694" s="612"/>
    </row>
    <row r="23695">
      <c r="B23695" s="612"/>
      <c r="H23695" s="612"/>
    </row>
    <row r="23696">
      <c r="B23696" s="612"/>
      <c r="H23696" s="612"/>
    </row>
    <row r="23697">
      <c r="B23697" s="612"/>
      <c r="H23697" s="612"/>
    </row>
    <row r="23698">
      <c r="B23698" s="612"/>
      <c r="H23698" s="612"/>
    </row>
    <row r="23699">
      <c r="B23699" s="612"/>
      <c r="H23699" s="612"/>
    </row>
    <row r="23700">
      <c r="B23700" s="612"/>
      <c r="H23700" s="612"/>
    </row>
    <row r="23701">
      <c r="B23701" s="612"/>
      <c r="H23701" s="612"/>
    </row>
    <row r="23702">
      <c r="B23702" s="612"/>
      <c r="H23702" s="612"/>
    </row>
    <row r="23703">
      <c r="B23703" s="612"/>
      <c r="H23703" s="612"/>
    </row>
    <row r="23704">
      <c r="B23704" s="612"/>
      <c r="H23704" s="612"/>
    </row>
    <row r="23705">
      <c r="B23705" s="612"/>
      <c r="H23705" s="612"/>
    </row>
    <row r="23706">
      <c r="B23706" s="612"/>
      <c r="H23706" s="612"/>
    </row>
    <row r="23707">
      <c r="B23707" s="612"/>
      <c r="H23707" s="612"/>
    </row>
    <row r="23708">
      <c r="B23708" s="612"/>
      <c r="H23708" s="612"/>
    </row>
    <row r="23709">
      <c r="B23709" s="612"/>
      <c r="H23709" s="612"/>
    </row>
    <row r="23710">
      <c r="B23710" s="612"/>
      <c r="H23710" s="612"/>
    </row>
    <row r="23711">
      <c r="B23711" s="612"/>
      <c r="H23711" s="612"/>
    </row>
    <row r="23712">
      <c r="B23712" s="612"/>
      <c r="H23712" s="612"/>
    </row>
    <row r="23713">
      <c r="B23713" s="612"/>
      <c r="H23713" s="612"/>
    </row>
    <row r="23714">
      <c r="B23714" s="612"/>
      <c r="H23714" s="612"/>
    </row>
    <row r="23715">
      <c r="B23715" s="612"/>
      <c r="H23715" s="612"/>
    </row>
    <row r="23716">
      <c r="B23716" s="612"/>
      <c r="H23716" s="612"/>
    </row>
    <row r="23717">
      <c r="B23717" s="612"/>
      <c r="H23717" s="612"/>
    </row>
    <row r="23718">
      <c r="B23718" s="612"/>
      <c r="H23718" s="612"/>
    </row>
    <row r="23719">
      <c r="B23719" s="612"/>
      <c r="H23719" s="612"/>
    </row>
    <row r="23720">
      <c r="B23720" s="612"/>
      <c r="H23720" s="612"/>
    </row>
    <row r="23721">
      <c r="B23721" s="612"/>
      <c r="H23721" s="612"/>
    </row>
    <row r="23722">
      <c r="B23722" s="612"/>
      <c r="H23722" s="612"/>
    </row>
    <row r="23723">
      <c r="B23723" s="612"/>
      <c r="H23723" s="612"/>
    </row>
    <row r="23724">
      <c r="B23724" s="612"/>
      <c r="H23724" s="612"/>
    </row>
    <row r="23725">
      <c r="B23725" s="612"/>
      <c r="H23725" s="612"/>
    </row>
    <row r="23726">
      <c r="B23726" s="612"/>
      <c r="H23726" s="612"/>
    </row>
    <row r="23727">
      <c r="B23727" s="612"/>
      <c r="H23727" s="612"/>
    </row>
    <row r="23728">
      <c r="B23728" s="612"/>
      <c r="H23728" s="612"/>
    </row>
    <row r="23729">
      <c r="B23729" s="612"/>
      <c r="H23729" s="612"/>
    </row>
    <row r="23730">
      <c r="B23730" s="612"/>
      <c r="H23730" s="612"/>
    </row>
    <row r="23731">
      <c r="B23731" s="612"/>
      <c r="H23731" s="612"/>
    </row>
    <row r="23732">
      <c r="B23732" s="612"/>
      <c r="H23732" s="612"/>
    </row>
    <row r="23733">
      <c r="B23733" s="612"/>
      <c r="H23733" s="612"/>
    </row>
    <row r="23734">
      <c r="B23734" s="612"/>
      <c r="H23734" s="612"/>
    </row>
    <row r="23735">
      <c r="B23735" s="612"/>
      <c r="H23735" s="612"/>
    </row>
    <row r="23736">
      <c r="B23736" s="612"/>
      <c r="H23736" s="612"/>
    </row>
    <row r="23737">
      <c r="B23737" s="612"/>
      <c r="H23737" s="612"/>
    </row>
    <row r="23738">
      <c r="B23738" s="612"/>
      <c r="H23738" s="612"/>
    </row>
    <row r="23739">
      <c r="B23739" s="612"/>
      <c r="H23739" s="612"/>
    </row>
    <row r="23740">
      <c r="B23740" s="612"/>
      <c r="H23740" s="612"/>
    </row>
    <row r="23741">
      <c r="B23741" s="612"/>
      <c r="H23741" s="612"/>
    </row>
    <row r="23742">
      <c r="B23742" s="612"/>
      <c r="H23742" s="612"/>
    </row>
    <row r="23743">
      <c r="B23743" s="612"/>
      <c r="H23743" s="612"/>
    </row>
    <row r="23744">
      <c r="B23744" s="612"/>
      <c r="H23744" s="612"/>
    </row>
    <row r="23745">
      <c r="B23745" s="612"/>
      <c r="H23745" s="612"/>
    </row>
    <row r="23746">
      <c r="B23746" s="612"/>
      <c r="H23746" s="612"/>
    </row>
    <row r="23747">
      <c r="B23747" s="612"/>
      <c r="H23747" s="612"/>
    </row>
    <row r="23748">
      <c r="B23748" s="612"/>
      <c r="H23748" s="612"/>
    </row>
    <row r="23749">
      <c r="B23749" s="612"/>
      <c r="H23749" s="612"/>
    </row>
    <row r="23750">
      <c r="B23750" s="612"/>
      <c r="H23750" s="612"/>
    </row>
    <row r="23751">
      <c r="B23751" s="612"/>
      <c r="H23751" s="612"/>
    </row>
    <row r="23752">
      <c r="B23752" s="612"/>
      <c r="H23752" s="612"/>
    </row>
    <row r="23753">
      <c r="B23753" s="612"/>
      <c r="H23753" s="612"/>
    </row>
    <row r="23754">
      <c r="B23754" s="612"/>
      <c r="H23754" s="612"/>
    </row>
    <row r="23755">
      <c r="B23755" s="612"/>
      <c r="H23755" s="612"/>
    </row>
    <row r="23756">
      <c r="B23756" s="612"/>
      <c r="H23756" s="612"/>
    </row>
    <row r="23757">
      <c r="B23757" s="612"/>
      <c r="H23757" s="612"/>
    </row>
    <row r="23758">
      <c r="B23758" s="612"/>
      <c r="H23758" s="612"/>
    </row>
    <row r="23759">
      <c r="B23759" s="612"/>
      <c r="H23759" s="612"/>
    </row>
    <row r="23760">
      <c r="B23760" s="612"/>
      <c r="H23760" s="612"/>
    </row>
    <row r="23761">
      <c r="B23761" s="612"/>
      <c r="H23761" s="612"/>
    </row>
    <row r="23762">
      <c r="B23762" s="612"/>
      <c r="H23762" s="612"/>
    </row>
    <row r="23763">
      <c r="B23763" s="612"/>
      <c r="H23763" s="612"/>
    </row>
    <row r="23764">
      <c r="B23764" s="612"/>
      <c r="H23764" s="612"/>
    </row>
    <row r="23765">
      <c r="B23765" s="612"/>
      <c r="H23765" s="612"/>
    </row>
    <row r="23766">
      <c r="B23766" s="612"/>
      <c r="H23766" s="612"/>
    </row>
    <row r="23767">
      <c r="B23767" s="612"/>
      <c r="H23767" s="612"/>
    </row>
    <row r="23768">
      <c r="B23768" s="612"/>
      <c r="H23768" s="612"/>
    </row>
    <row r="23769">
      <c r="B23769" s="612"/>
      <c r="H23769" s="612"/>
    </row>
    <row r="23770">
      <c r="B23770" s="612"/>
      <c r="H23770" s="612"/>
    </row>
    <row r="23771">
      <c r="B23771" s="612"/>
      <c r="H23771" s="612"/>
    </row>
    <row r="23772">
      <c r="B23772" s="612"/>
      <c r="H23772" s="612"/>
    </row>
    <row r="23773">
      <c r="B23773" s="612"/>
      <c r="H23773" s="612"/>
    </row>
    <row r="23774">
      <c r="B23774" s="612"/>
      <c r="H23774" s="612"/>
    </row>
    <row r="23775">
      <c r="B23775" s="612"/>
      <c r="H23775" s="612"/>
    </row>
    <row r="23776">
      <c r="B23776" s="612"/>
      <c r="H23776" s="612"/>
    </row>
    <row r="23777">
      <c r="B23777" s="612"/>
      <c r="H23777" s="612"/>
    </row>
    <row r="23778">
      <c r="B23778" s="612"/>
      <c r="H23778" s="612"/>
    </row>
    <row r="23779">
      <c r="B23779" s="612"/>
      <c r="H23779" s="612"/>
    </row>
    <row r="23780">
      <c r="B23780" s="612"/>
      <c r="H23780" s="612"/>
    </row>
    <row r="23781">
      <c r="B23781" s="612"/>
      <c r="H23781" s="612"/>
    </row>
    <row r="23782">
      <c r="B23782" s="612"/>
      <c r="H23782" s="612"/>
    </row>
    <row r="23783">
      <c r="B23783" s="612"/>
      <c r="H23783" s="612"/>
    </row>
    <row r="23784">
      <c r="B23784" s="612"/>
      <c r="H23784" s="612"/>
    </row>
    <row r="23785">
      <c r="B23785" s="612"/>
      <c r="H23785" s="612"/>
    </row>
    <row r="23786">
      <c r="B23786" s="612"/>
      <c r="H23786" s="612"/>
    </row>
    <row r="23787">
      <c r="B23787" s="612"/>
      <c r="H23787" s="612"/>
    </row>
    <row r="23788">
      <c r="B23788" s="612"/>
      <c r="H23788" s="612"/>
    </row>
    <row r="23789">
      <c r="B23789" s="612"/>
      <c r="H23789" s="612"/>
    </row>
    <row r="23790">
      <c r="B23790" s="612"/>
      <c r="H23790" s="612"/>
    </row>
    <row r="23791">
      <c r="B23791" s="612"/>
      <c r="H23791" s="612"/>
    </row>
    <row r="23792">
      <c r="B23792" s="612"/>
      <c r="H23792" s="612"/>
    </row>
    <row r="23793">
      <c r="B23793" s="612"/>
      <c r="H23793" s="612"/>
    </row>
    <row r="23794">
      <c r="B23794" s="612"/>
      <c r="H23794" s="612"/>
    </row>
    <row r="23795">
      <c r="B23795" s="612"/>
      <c r="H23795" s="612"/>
    </row>
    <row r="23796">
      <c r="B23796" s="612"/>
      <c r="H23796" s="612"/>
    </row>
    <row r="23797">
      <c r="B23797" s="612"/>
      <c r="H23797" s="612"/>
    </row>
    <row r="23798">
      <c r="B23798" s="612"/>
      <c r="H23798" s="612"/>
    </row>
    <row r="23799">
      <c r="B23799" s="612"/>
      <c r="H23799" s="612"/>
    </row>
    <row r="23800">
      <c r="B23800" s="612"/>
      <c r="H23800" s="612"/>
    </row>
    <row r="23801">
      <c r="B23801" s="612"/>
      <c r="H23801" s="612"/>
    </row>
    <row r="23802">
      <c r="B23802" s="612"/>
      <c r="H23802" s="612"/>
    </row>
    <row r="23803">
      <c r="B23803" s="612"/>
      <c r="H23803" s="612"/>
    </row>
    <row r="23804">
      <c r="B23804" s="612"/>
      <c r="H23804" s="612"/>
    </row>
    <row r="23805">
      <c r="B23805" s="612"/>
      <c r="H23805" s="612"/>
    </row>
    <row r="23806">
      <c r="B23806" s="612"/>
      <c r="H23806" s="612"/>
    </row>
    <row r="23807">
      <c r="B23807" s="612"/>
      <c r="H23807" s="612"/>
    </row>
    <row r="23808">
      <c r="B23808" s="612"/>
      <c r="H23808" s="612"/>
    </row>
    <row r="23809">
      <c r="B23809" s="612"/>
      <c r="H23809" s="612"/>
    </row>
    <row r="23810">
      <c r="B23810" s="612"/>
      <c r="H23810" s="612"/>
    </row>
    <row r="23811">
      <c r="B23811" s="612"/>
      <c r="H23811" s="612"/>
    </row>
    <row r="23812">
      <c r="B23812" s="612"/>
      <c r="H23812" s="612"/>
    </row>
    <row r="23813">
      <c r="B23813" s="612"/>
      <c r="H23813" s="612"/>
    </row>
    <row r="23814">
      <c r="B23814" s="612"/>
      <c r="H23814" s="612"/>
    </row>
    <row r="23815">
      <c r="B23815" s="612"/>
      <c r="H23815" s="612"/>
    </row>
    <row r="23816">
      <c r="B23816" s="612"/>
      <c r="H23816" s="612"/>
    </row>
    <row r="23817">
      <c r="B23817" s="612"/>
      <c r="H23817" s="612"/>
    </row>
    <row r="23818">
      <c r="B23818" s="612"/>
      <c r="H23818" s="612"/>
    </row>
    <row r="23819">
      <c r="B23819" s="612"/>
      <c r="H23819" s="612"/>
    </row>
    <row r="23820">
      <c r="B23820" s="612"/>
      <c r="H23820" s="612"/>
    </row>
    <row r="23821">
      <c r="B23821" s="612"/>
      <c r="H23821" s="612"/>
    </row>
    <row r="23822">
      <c r="B23822" s="612"/>
      <c r="H23822" s="612"/>
    </row>
    <row r="23823">
      <c r="B23823" s="612"/>
      <c r="H23823" s="612"/>
    </row>
    <row r="23824">
      <c r="B23824" s="612"/>
      <c r="H23824" s="612"/>
    </row>
    <row r="23825">
      <c r="B23825" s="612"/>
      <c r="H23825" s="612"/>
    </row>
    <row r="23826">
      <c r="B23826" s="612"/>
      <c r="H23826" s="612"/>
    </row>
    <row r="23827">
      <c r="B23827" s="612"/>
      <c r="H23827" s="612"/>
    </row>
    <row r="23828">
      <c r="B23828" s="612"/>
      <c r="H23828" s="612"/>
    </row>
    <row r="23829">
      <c r="B23829" s="612"/>
      <c r="H23829" s="612"/>
    </row>
    <row r="23830">
      <c r="B23830" s="612"/>
      <c r="H23830" s="612"/>
    </row>
    <row r="23831">
      <c r="B23831" s="612"/>
      <c r="H23831" s="612"/>
    </row>
    <row r="23832">
      <c r="B23832" s="612"/>
      <c r="H23832" s="612"/>
    </row>
    <row r="23833">
      <c r="B23833" s="612"/>
      <c r="H23833" s="612"/>
    </row>
    <row r="23834">
      <c r="B23834" s="612"/>
      <c r="H23834" s="612"/>
    </row>
    <row r="23835">
      <c r="B23835" s="612"/>
      <c r="H23835" s="612"/>
    </row>
    <row r="23836">
      <c r="B23836" s="612"/>
      <c r="H23836" s="612"/>
    </row>
    <row r="23837">
      <c r="B23837" s="612"/>
      <c r="H23837" s="612"/>
    </row>
    <row r="23838">
      <c r="B23838" s="612"/>
      <c r="H23838" s="612"/>
    </row>
    <row r="23839">
      <c r="B23839" s="612"/>
      <c r="H23839" s="612"/>
    </row>
    <row r="23840">
      <c r="B23840" s="612"/>
      <c r="H23840" s="612"/>
    </row>
    <row r="23841">
      <c r="B23841" s="612"/>
      <c r="H23841" s="612"/>
    </row>
    <row r="23842">
      <c r="B23842" s="612"/>
      <c r="H23842" s="612"/>
    </row>
    <row r="23843">
      <c r="B23843" s="612"/>
      <c r="H23843" s="612"/>
    </row>
    <row r="23844">
      <c r="B23844" s="612"/>
      <c r="H23844" s="612"/>
    </row>
    <row r="23845">
      <c r="B23845" s="612"/>
      <c r="H23845" s="612"/>
    </row>
    <row r="23846">
      <c r="B23846" s="612"/>
      <c r="H23846" s="612"/>
    </row>
    <row r="23847">
      <c r="B23847" s="612"/>
      <c r="H23847" s="612"/>
    </row>
    <row r="23848">
      <c r="B23848" s="612"/>
      <c r="H23848" s="612"/>
    </row>
    <row r="23849">
      <c r="B23849" s="612"/>
      <c r="H23849" s="612"/>
    </row>
    <row r="23850">
      <c r="B23850" s="612"/>
      <c r="H23850" s="612"/>
    </row>
    <row r="23851">
      <c r="B23851" s="612"/>
      <c r="H23851" s="612"/>
    </row>
    <row r="23852">
      <c r="B23852" s="612"/>
      <c r="H23852" s="612"/>
    </row>
    <row r="23853">
      <c r="B23853" s="612"/>
      <c r="H23853" s="612"/>
    </row>
    <row r="23854">
      <c r="B23854" s="612"/>
      <c r="H23854" s="612"/>
    </row>
    <row r="23855">
      <c r="B23855" s="612"/>
      <c r="H23855" s="612"/>
    </row>
    <row r="23856">
      <c r="B23856" s="612"/>
      <c r="H23856" s="612"/>
    </row>
    <row r="23857">
      <c r="B23857" s="612"/>
      <c r="H23857" s="612"/>
    </row>
    <row r="23858">
      <c r="B23858" s="612"/>
      <c r="H23858" s="612"/>
    </row>
    <row r="23859">
      <c r="B23859" s="612"/>
      <c r="H23859" s="612"/>
    </row>
    <row r="23860">
      <c r="B23860" s="612"/>
      <c r="H23860" s="612"/>
    </row>
    <row r="23861">
      <c r="B23861" s="612"/>
      <c r="H23861" s="612"/>
    </row>
    <row r="23862">
      <c r="B23862" s="612"/>
      <c r="H23862" s="612"/>
    </row>
    <row r="23863">
      <c r="B23863" s="612"/>
      <c r="H23863" s="612"/>
    </row>
    <row r="23864">
      <c r="B23864" s="612"/>
      <c r="H23864" s="612"/>
    </row>
    <row r="23865">
      <c r="B23865" s="612"/>
      <c r="H23865" s="612"/>
    </row>
    <row r="23866">
      <c r="B23866" s="612"/>
      <c r="H23866" s="612"/>
    </row>
    <row r="23867">
      <c r="B23867" s="612"/>
      <c r="H23867" s="612"/>
    </row>
    <row r="23868">
      <c r="B23868" s="612"/>
      <c r="H23868" s="612"/>
    </row>
    <row r="23869">
      <c r="B23869" s="612"/>
      <c r="H23869" s="612"/>
    </row>
    <row r="23870">
      <c r="B23870" s="612"/>
      <c r="H23870" s="612"/>
    </row>
    <row r="23871">
      <c r="B23871" s="612"/>
      <c r="H23871" s="612"/>
    </row>
    <row r="23872">
      <c r="B23872" s="612"/>
      <c r="H23872" s="612"/>
    </row>
    <row r="23873">
      <c r="B23873" s="612"/>
      <c r="H23873" s="612"/>
    </row>
    <row r="23874">
      <c r="B23874" s="612"/>
      <c r="H23874" s="612"/>
    </row>
    <row r="23875">
      <c r="B23875" s="612"/>
      <c r="H23875" s="612"/>
    </row>
    <row r="23876">
      <c r="B23876" s="612"/>
      <c r="H23876" s="612"/>
    </row>
    <row r="23877">
      <c r="B23877" s="612"/>
      <c r="H23877" s="612"/>
    </row>
    <row r="23878">
      <c r="B23878" s="612"/>
      <c r="H23878" s="612"/>
    </row>
    <row r="23879">
      <c r="B23879" s="612"/>
      <c r="H23879" s="612"/>
    </row>
    <row r="23880">
      <c r="B23880" s="612"/>
      <c r="H23880" s="612"/>
    </row>
    <row r="23881">
      <c r="B23881" s="612"/>
      <c r="H23881" s="612"/>
    </row>
    <row r="23882">
      <c r="B23882" s="612"/>
      <c r="H23882" s="612"/>
    </row>
    <row r="23883">
      <c r="B23883" s="612"/>
      <c r="H23883" s="612"/>
    </row>
    <row r="23884">
      <c r="B23884" s="612"/>
      <c r="H23884" s="612"/>
    </row>
    <row r="23885">
      <c r="B23885" s="612"/>
      <c r="H23885" s="612"/>
    </row>
    <row r="23886">
      <c r="B23886" s="612"/>
      <c r="H23886" s="612"/>
    </row>
    <row r="23887">
      <c r="B23887" s="612"/>
      <c r="H23887" s="612"/>
    </row>
    <row r="23888">
      <c r="B23888" s="612"/>
      <c r="H23888" s="612"/>
    </row>
    <row r="23889">
      <c r="B23889" s="612"/>
      <c r="H23889" s="612"/>
    </row>
    <row r="23890">
      <c r="B23890" s="612"/>
      <c r="H23890" s="612"/>
    </row>
    <row r="23891">
      <c r="B23891" s="612"/>
      <c r="H23891" s="612"/>
    </row>
    <row r="23892">
      <c r="B23892" s="612"/>
      <c r="H23892" s="612"/>
    </row>
    <row r="23893">
      <c r="B23893" s="612"/>
      <c r="H23893" s="612"/>
    </row>
    <row r="23894">
      <c r="B23894" s="612"/>
      <c r="H23894" s="612"/>
    </row>
    <row r="23895">
      <c r="B23895" s="612"/>
      <c r="H23895" s="612"/>
    </row>
    <row r="23896">
      <c r="B23896" s="612"/>
      <c r="H23896" s="612"/>
    </row>
    <row r="23897">
      <c r="B23897" s="612"/>
      <c r="H23897" s="612"/>
    </row>
    <row r="23898">
      <c r="B23898" s="612"/>
      <c r="H23898" s="612"/>
    </row>
    <row r="23899">
      <c r="B23899" s="612"/>
      <c r="H23899" s="612"/>
    </row>
    <row r="23900">
      <c r="B23900" s="612"/>
      <c r="H23900" s="612"/>
    </row>
    <row r="23901">
      <c r="B23901" s="612"/>
      <c r="H23901" s="612"/>
    </row>
    <row r="23902">
      <c r="B23902" s="612"/>
      <c r="H23902" s="612"/>
    </row>
    <row r="23903">
      <c r="B23903" s="612"/>
      <c r="H23903" s="612"/>
    </row>
    <row r="23904">
      <c r="B23904" s="612"/>
      <c r="H23904" s="612"/>
    </row>
    <row r="23905">
      <c r="B23905" s="612"/>
      <c r="H23905" s="612"/>
    </row>
    <row r="23906">
      <c r="B23906" s="612"/>
      <c r="H23906" s="612"/>
    </row>
    <row r="23907">
      <c r="B23907" s="612"/>
      <c r="H23907" s="612"/>
    </row>
    <row r="23908">
      <c r="B23908" s="612"/>
      <c r="H23908" s="612"/>
    </row>
    <row r="23909">
      <c r="B23909" s="612"/>
      <c r="H23909" s="612"/>
    </row>
    <row r="23910">
      <c r="B23910" s="612"/>
      <c r="H23910" s="612"/>
    </row>
    <row r="23911">
      <c r="B23911" s="612"/>
      <c r="H23911" s="612"/>
    </row>
    <row r="23912">
      <c r="B23912" s="612"/>
      <c r="H23912" s="612"/>
    </row>
    <row r="23913">
      <c r="B23913" s="612"/>
      <c r="H23913" s="612"/>
    </row>
    <row r="23914">
      <c r="B23914" s="612"/>
      <c r="H23914" s="612"/>
    </row>
    <row r="23915">
      <c r="B23915" s="612"/>
      <c r="H23915" s="612"/>
    </row>
    <row r="23916">
      <c r="B23916" s="612"/>
      <c r="H23916" s="612"/>
    </row>
    <row r="23917">
      <c r="B23917" s="612"/>
      <c r="H23917" s="612"/>
    </row>
    <row r="23918">
      <c r="B23918" s="612"/>
      <c r="H23918" s="612"/>
    </row>
    <row r="23919">
      <c r="B23919" s="612"/>
      <c r="H23919" s="612"/>
    </row>
    <row r="23920">
      <c r="B23920" s="612"/>
      <c r="H23920" s="612"/>
    </row>
    <row r="23921">
      <c r="B23921" s="612"/>
      <c r="H23921" s="612"/>
    </row>
    <row r="23922">
      <c r="B23922" s="612"/>
      <c r="H23922" s="612"/>
    </row>
    <row r="23923">
      <c r="B23923" s="612"/>
      <c r="H23923" s="612"/>
    </row>
    <row r="23924">
      <c r="B23924" s="612"/>
      <c r="H23924" s="612"/>
    </row>
    <row r="23925">
      <c r="B23925" s="612"/>
      <c r="H23925" s="612"/>
    </row>
    <row r="23926">
      <c r="B23926" s="612"/>
      <c r="H23926" s="612"/>
    </row>
    <row r="23927">
      <c r="B23927" s="612"/>
      <c r="H23927" s="612"/>
    </row>
    <row r="23928">
      <c r="B23928" s="612"/>
      <c r="H23928" s="612"/>
    </row>
    <row r="23929">
      <c r="B23929" s="612"/>
      <c r="H23929" s="612"/>
    </row>
    <row r="23930">
      <c r="B23930" s="612"/>
      <c r="H23930" s="612"/>
    </row>
    <row r="23931">
      <c r="B23931" s="612"/>
      <c r="H23931" s="612"/>
    </row>
    <row r="23932">
      <c r="B23932" s="612"/>
      <c r="H23932" s="612"/>
    </row>
    <row r="23933">
      <c r="B23933" s="612"/>
      <c r="H23933" s="612"/>
    </row>
    <row r="23934">
      <c r="B23934" s="612"/>
      <c r="H23934" s="612"/>
    </row>
    <row r="23935">
      <c r="B23935" s="612"/>
      <c r="H23935" s="612"/>
    </row>
    <row r="23936">
      <c r="B23936" s="612"/>
      <c r="H23936" s="612"/>
    </row>
    <row r="23937">
      <c r="B23937" s="612"/>
      <c r="H23937" s="612"/>
    </row>
    <row r="23938">
      <c r="B23938" s="612"/>
      <c r="H23938" s="612"/>
    </row>
    <row r="23939">
      <c r="B23939" s="612"/>
      <c r="H23939" s="612"/>
    </row>
    <row r="23940">
      <c r="B23940" s="612"/>
      <c r="H23940" s="612"/>
    </row>
    <row r="23941">
      <c r="B23941" s="612"/>
      <c r="H23941" s="612"/>
    </row>
    <row r="23942">
      <c r="B23942" s="612"/>
      <c r="H23942" s="612"/>
    </row>
    <row r="23943">
      <c r="B23943" s="612"/>
      <c r="H23943" s="612"/>
    </row>
    <row r="23944">
      <c r="B23944" s="612"/>
      <c r="H23944" s="612"/>
    </row>
    <row r="23945">
      <c r="B23945" s="612"/>
      <c r="H23945" s="612"/>
    </row>
    <row r="23946">
      <c r="B23946" s="612"/>
      <c r="H23946" s="612"/>
    </row>
    <row r="23947">
      <c r="B23947" s="612"/>
      <c r="H23947" s="612"/>
    </row>
    <row r="23948">
      <c r="B23948" s="612"/>
      <c r="H23948" s="612"/>
    </row>
    <row r="23949">
      <c r="B23949" s="612"/>
      <c r="H23949" s="612"/>
    </row>
    <row r="23950">
      <c r="B23950" s="612"/>
      <c r="H23950" s="612"/>
    </row>
    <row r="23951">
      <c r="B23951" s="612"/>
      <c r="H23951" s="612"/>
    </row>
    <row r="23952">
      <c r="B23952" s="612"/>
      <c r="H23952" s="612"/>
    </row>
    <row r="23953">
      <c r="B23953" s="612"/>
      <c r="H23953" s="612"/>
    </row>
    <row r="23954">
      <c r="B23954" s="612"/>
      <c r="H23954" s="612"/>
    </row>
    <row r="23955">
      <c r="B23955" s="612"/>
      <c r="H23955" s="612"/>
    </row>
    <row r="23956">
      <c r="B23956" s="612"/>
      <c r="H23956" s="612"/>
    </row>
    <row r="23957">
      <c r="B23957" s="612"/>
      <c r="H23957" s="612"/>
    </row>
    <row r="23958">
      <c r="B23958" s="612"/>
      <c r="H23958" s="612"/>
    </row>
    <row r="23959">
      <c r="B23959" s="612"/>
      <c r="H23959" s="612"/>
    </row>
    <row r="23960">
      <c r="B23960" s="612"/>
      <c r="H23960" s="612"/>
    </row>
    <row r="23961">
      <c r="B23961" s="612"/>
      <c r="H23961" s="612"/>
    </row>
    <row r="23962">
      <c r="B23962" s="612"/>
      <c r="H23962" s="612"/>
    </row>
    <row r="23963">
      <c r="B23963" s="612"/>
      <c r="H23963" s="612"/>
    </row>
    <row r="23964">
      <c r="B23964" s="612"/>
      <c r="H23964" s="612"/>
    </row>
    <row r="23965">
      <c r="B23965" s="612"/>
      <c r="H23965" s="612"/>
    </row>
    <row r="23966">
      <c r="B23966" s="612"/>
      <c r="H23966" s="612"/>
    </row>
    <row r="23967">
      <c r="B23967" s="612"/>
      <c r="H23967" s="612"/>
    </row>
    <row r="23968">
      <c r="B23968" s="612"/>
      <c r="H23968" s="612"/>
    </row>
    <row r="23969">
      <c r="B23969" s="612"/>
      <c r="H23969" s="612"/>
    </row>
    <row r="23970">
      <c r="B23970" s="612"/>
      <c r="H23970" s="612"/>
    </row>
    <row r="23971">
      <c r="B23971" s="612"/>
      <c r="H23971" s="612"/>
    </row>
    <row r="23972">
      <c r="B23972" s="612"/>
      <c r="H23972" s="612"/>
    </row>
    <row r="23973">
      <c r="B23973" s="612"/>
      <c r="H23973" s="612"/>
    </row>
    <row r="23974">
      <c r="B23974" s="612"/>
      <c r="H23974" s="612"/>
    </row>
    <row r="23975">
      <c r="B23975" s="612"/>
      <c r="H23975" s="612"/>
    </row>
    <row r="23976">
      <c r="B23976" s="612"/>
      <c r="H23976" s="612"/>
    </row>
    <row r="23977">
      <c r="B23977" s="612"/>
      <c r="H23977" s="612"/>
    </row>
    <row r="23978">
      <c r="B23978" s="612"/>
      <c r="H23978" s="612"/>
    </row>
    <row r="23979">
      <c r="B23979" s="612"/>
      <c r="H23979" s="612"/>
    </row>
    <row r="23980">
      <c r="B23980" s="612"/>
      <c r="H23980" s="612"/>
    </row>
    <row r="23981">
      <c r="B23981" s="612"/>
      <c r="H23981" s="612"/>
    </row>
    <row r="23982">
      <c r="B23982" s="612"/>
      <c r="H23982" s="612"/>
    </row>
    <row r="23983">
      <c r="B23983" s="612"/>
      <c r="H23983" s="612"/>
    </row>
    <row r="23984">
      <c r="B23984" s="612"/>
      <c r="H23984" s="612"/>
    </row>
    <row r="23985">
      <c r="B23985" s="612"/>
      <c r="H23985" s="612"/>
    </row>
    <row r="23986">
      <c r="B23986" s="612"/>
      <c r="H23986" s="612"/>
    </row>
    <row r="23987">
      <c r="B23987" s="612"/>
      <c r="H23987" s="612"/>
    </row>
    <row r="23988">
      <c r="B23988" s="612"/>
      <c r="H23988" s="612"/>
    </row>
    <row r="23989">
      <c r="B23989" s="612"/>
      <c r="H23989" s="612"/>
    </row>
    <row r="23990">
      <c r="B23990" s="612"/>
      <c r="H23990" s="612"/>
    </row>
    <row r="23991">
      <c r="B23991" s="612"/>
      <c r="H23991" s="612"/>
    </row>
    <row r="23992">
      <c r="B23992" s="612"/>
      <c r="H23992" s="612"/>
    </row>
    <row r="23993">
      <c r="B23993" s="612"/>
      <c r="H23993" s="612"/>
    </row>
    <row r="23994">
      <c r="B23994" s="612"/>
      <c r="H23994" s="612"/>
    </row>
    <row r="23995">
      <c r="B23995" s="612"/>
      <c r="H23995" s="612"/>
    </row>
    <row r="23996">
      <c r="B23996" s="612"/>
      <c r="H23996" s="612"/>
    </row>
    <row r="23997">
      <c r="B23997" s="612"/>
      <c r="H23997" s="612"/>
    </row>
    <row r="23998">
      <c r="B23998" s="612"/>
      <c r="H23998" s="612"/>
    </row>
    <row r="23999">
      <c r="B23999" s="612"/>
      <c r="H23999" s="612"/>
    </row>
    <row r="24000">
      <c r="B24000" s="612"/>
      <c r="H24000" s="612"/>
    </row>
    <row r="24001">
      <c r="B24001" s="612"/>
      <c r="H24001" s="612"/>
    </row>
    <row r="24002">
      <c r="B24002" s="612"/>
      <c r="H24002" s="612"/>
    </row>
    <row r="24003">
      <c r="B24003" s="612"/>
      <c r="H24003" s="612"/>
    </row>
    <row r="24004">
      <c r="B24004" s="612"/>
      <c r="H24004" s="612"/>
    </row>
    <row r="24005">
      <c r="B24005" s="612"/>
      <c r="H24005" s="612"/>
    </row>
    <row r="24006">
      <c r="B24006" s="612"/>
      <c r="H24006" s="612"/>
    </row>
    <row r="24007">
      <c r="B24007" s="612"/>
      <c r="H24007" s="612"/>
    </row>
    <row r="24008">
      <c r="B24008" s="612"/>
      <c r="H24008" s="612"/>
    </row>
    <row r="24009">
      <c r="B24009" s="612"/>
      <c r="H24009" s="612"/>
    </row>
    <row r="24010">
      <c r="B24010" s="612"/>
      <c r="H24010" s="612"/>
    </row>
    <row r="24011">
      <c r="B24011" s="612"/>
      <c r="H24011" s="612"/>
    </row>
    <row r="24012">
      <c r="B24012" s="612"/>
      <c r="H24012" s="612"/>
    </row>
    <row r="24013">
      <c r="B24013" s="612"/>
      <c r="H24013" s="612"/>
    </row>
    <row r="24014">
      <c r="B24014" s="612"/>
      <c r="H24014" s="612"/>
    </row>
    <row r="24015">
      <c r="B24015" s="612"/>
      <c r="H24015" s="612"/>
    </row>
    <row r="24016">
      <c r="B24016" s="612"/>
      <c r="H24016" s="612"/>
    </row>
    <row r="24017">
      <c r="B24017" s="612"/>
      <c r="H24017" s="612"/>
    </row>
    <row r="24018">
      <c r="B24018" s="612"/>
      <c r="H24018" s="612"/>
    </row>
    <row r="24019">
      <c r="B24019" s="612"/>
      <c r="H24019" s="612"/>
    </row>
    <row r="24020">
      <c r="B24020" s="612"/>
      <c r="H24020" s="612"/>
    </row>
    <row r="24021">
      <c r="B24021" s="612"/>
      <c r="H24021" s="612"/>
    </row>
    <row r="24022">
      <c r="B24022" s="612"/>
      <c r="H24022" s="612"/>
    </row>
    <row r="24023">
      <c r="B24023" s="612"/>
      <c r="H24023" s="612"/>
    </row>
    <row r="24024">
      <c r="B24024" s="612"/>
      <c r="H24024" s="612"/>
    </row>
    <row r="24025">
      <c r="B24025" s="612"/>
      <c r="H24025" s="612"/>
    </row>
    <row r="24026">
      <c r="B24026" s="612"/>
      <c r="H24026" s="612"/>
    </row>
    <row r="24027">
      <c r="B24027" s="612"/>
      <c r="H24027" s="612"/>
    </row>
    <row r="24028">
      <c r="B24028" s="612"/>
      <c r="H24028" s="612"/>
    </row>
    <row r="24029">
      <c r="B24029" s="612"/>
      <c r="H24029" s="612"/>
    </row>
    <row r="24030">
      <c r="B24030" s="612"/>
      <c r="H24030" s="612"/>
    </row>
    <row r="24031">
      <c r="B24031" s="612"/>
      <c r="H24031" s="612"/>
    </row>
    <row r="24032">
      <c r="B24032" s="612"/>
      <c r="H24032" s="612"/>
    </row>
    <row r="24033">
      <c r="B24033" s="612"/>
      <c r="H24033" s="612"/>
    </row>
    <row r="24034">
      <c r="B24034" s="612"/>
      <c r="H24034" s="612"/>
    </row>
    <row r="24035">
      <c r="B24035" s="612"/>
      <c r="H24035" s="612"/>
    </row>
    <row r="24036">
      <c r="B24036" s="612"/>
      <c r="H24036" s="612"/>
    </row>
    <row r="24037">
      <c r="B24037" s="612"/>
      <c r="H24037" s="612"/>
    </row>
    <row r="24038">
      <c r="B24038" s="612"/>
      <c r="H24038" s="612"/>
    </row>
    <row r="24039">
      <c r="B24039" s="612"/>
      <c r="H24039" s="612"/>
    </row>
    <row r="24040">
      <c r="B24040" s="612"/>
      <c r="H24040" s="612"/>
    </row>
    <row r="24041">
      <c r="B24041" s="612"/>
      <c r="H24041" s="612"/>
    </row>
    <row r="24042">
      <c r="B24042" s="612"/>
      <c r="H24042" s="612"/>
    </row>
    <row r="24043">
      <c r="B24043" s="612"/>
      <c r="H24043" s="612"/>
    </row>
    <row r="24044">
      <c r="B24044" s="612"/>
      <c r="H24044" s="612"/>
    </row>
    <row r="24045">
      <c r="B24045" s="612"/>
      <c r="H24045" s="612"/>
    </row>
    <row r="24046">
      <c r="B24046" s="612"/>
      <c r="H24046" s="612"/>
    </row>
    <row r="24047">
      <c r="B24047" s="612"/>
      <c r="H24047" s="612"/>
    </row>
    <row r="24048">
      <c r="B24048" s="612"/>
      <c r="H24048" s="612"/>
    </row>
    <row r="24049">
      <c r="B24049" s="612"/>
      <c r="H24049" s="612"/>
    </row>
    <row r="24050">
      <c r="B24050" s="612"/>
      <c r="H24050" s="612"/>
    </row>
    <row r="24051">
      <c r="B24051" s="612"/>
      <c r="H24051" s="612"/>
    </row>
    <row r="24052">
      <c r="B24052" s="612"/>
      <c r="H24052" s="612"/>
    </row>
    <row r="24053">
      <c r="B24053" s="612"/>
      <c r="H24053" s="612"/>
    </row>
    <row r="24054">
      <c r="B24054" s="612"/>
      <c r="H24054" s="612"/>
    </row>
    <row r="24055">
      <c r="B24055" s="612"/>
      <c r="H24055" s="612"/>
    </row>
    <row r="24056">
      <c r="B24056" s="612"/>
      <c r="H24056" s="612"/>
    </row>
    <row r="24057">
      <c r="B24057" s="612"/>
      <c r="H24057" s="612"/>
    </row>
    <row r="24058">
      <c r="B24058" s="612"/>
      <c r="H24058" s="612"/>
    </row>
    <row r="24059">
      <c r="B24059" s="612"/>
      <c r="H24059" s="612"/>
    </row>
    <row r="24060">
      <c r="B24060" s="612"/>
      <c r="H24060" s="612"/>
    </row>
    <row r="24061">
      <c r="B24061" s="612"/>
      <c r="H24061" s="612"/>
    </row>
    <row r="24062">
      <c r="B24062" s="612"/>
      <c r="H24062" s="612"/>
    </row>
    <row r="24063">
      <c r="B24063" s="612"/>
      <c r="H24063" s="612"/>
    </row>
    <row r="24064">
      <c r="B24064" s="612"/>
      <c r="H24064" s="612"/>
    </row>
    <row r="24065">
      <c r="B24065" s="612"/>
      <c r="H24065" s="612"/>
    </row>
    <row r="24066">
      <c r="B24066" s="612"/>
      <c r="H24066" s="612"/>
    </row>
    <row r="24067">
      <c r="B24067" s="612"/>
      <c r="H24067" s="612"/>
    </row>
    <row r="24068">
      <c r="B24068" s="612"/>
      <c r="H24068" s="612"/>
    </row>
    <row r="24069">
      <c r="B24069" s="612"/>
      <c r="H24069" s="612"/>
    </row>
    <row r="24070">
      <c r="B24070" s="612"/>
      <c r="H24070" s="612"/>
    </row>
    <row r="24071">
      <c r="B24071" s="612"/>
      <c r="H24071" s="612"/>
    </row>
    <row r="24072">
      <c r="B24072" s="612"/>
      <c r="H24072" s="612"/>
    </row>
    <row r="24073">
      <c r="B24073" s="612"/>
      <c r="H24073" s="612"/>
    </row>
    <row r="24074">
      <c r="B24074" s="612"/>
      <c r="H24074" s="612"/>
    </row>
    <row r="24075">
      <c r="B24075" s="612"/>
      <c r="H24075" s="612"/>
    </row>
    <row r="24076">
      <c r="B24076" s="612"/>
      <c r="H24076" s="612"/>
    </row>
    <row r="24077">
      <c r="B24077" s="612"/>
      <c r="H24077" s="612"/>
    </row>
    <row r="24078">
      <c r="B24078" s="612"/>
      <c r="H24078" s="612"/>
    </row>
    <row r="24079">
      <c r="B24079" s="612"/>
      <c r="H24079" s="612"/>
    </row>
    <row r="24080">
      <c r="B24080" s="612"/>
      <c r="H24080" s="612"/>
    </row>
    <row r="24081">
      <c r="B24081" s="612"/>
      <c r="H24081" s="612"/>
    </row>
    <row r="24082">
      <c r="B24082" s="612"/>
      <c r="H24082" s="612"/>
    </row>
    <row r="24083">
      <c r="B24083" s="612"/>
      <c r="H24083" s="612"/>
    </row>
    <row r="24084">
      <c r="B24084" s="612"/>
      <c r="H24084" s="612"/>
    </row>
    <row r="24085">
      <c r="B24085" s="612"/>
      <c r="H24085" s="612"/>
    </row>
    <row r="24086">
      <c r="B24086" s="612"/>
      <c r="H24086" s="612"/>
    </row>
    <row r="24087">
      <c r="B24087" s="612"/>
      <c r="H24087" s="612"/>
    </row>
    <row r="24088">
      <c r="B24088" s="612"/>
      <c r="H24088" s="612"/>
    </row>
    <row r="24089">
      <c r="B24089" s="612"/>
      <c r="H24089" s="612"/>
    </row>
    <row r="24090">
      <c r="B24090" s="612"/>
      <c r="H24090" s="612"/>
    </row>
    <row r="24091">
      <c r="B24091" s="612"/>
      <c r="H24091" s="612"/>
    </row>
    <row r="24092">
      <c r="B24092" s="612"/>
      <c r="H24092" s="612"/>
    </row>
    <row r="24093">
      <c r="B24093" s="612"/>
      <c r="H24093" s="612"/>
    </row>
    <row r="24094">
      <c r="B24094" s="612"/>
      <c r="H24094" s="612"/>
    </row>
    <row r="24095">
      <c r="B24095" s="612"/>
      <c r="H24095" s="612"/>
    </row>
    <row r="24096">
      <c r="B24096" s="612"/>
      <c r="H24096" s="612"/>
    </row>
    <row r="24097">
      <c r="B24097" s="612"/>
      <c r="H24097" s="612"/>
    </row>
    <row r="24098">
      <c r="B24098" s="612"/>
      <c r="H24098" s="612"/>
    </row>
    <row r="24099">
      <c r="B24099" s="612"/>
      <c r="H24099" s="612"/>
    </row>
    <row r="24100">
      <c r="B24100" s="612"/>
      <c r="H24100" s="612"/>
    </row>
    <row r="24101">
      <c r="B24101" s="612"/>
      <c r="H24101" s="612"/>
    </row>
    <row r="24102">
      <c r="B24102" s="612"/>
      <c r="H24102" s="612"/>
    </row>
    <row r="24103">
      <c r="B24103" s="612"/>
      <c r="H24103" s="612"/>
    </row>
    <row r="24104">
      <c r="B24104" s="612"/>
      <c r="H24104" s="612"/>
    </row>
    <row r="24105">
      <c r="B24105" s="612"/>
      <c r="H24105" s="612"/>
    </row>
    <row r="24106">
      <c r="B24106" s="612"/>
      <c r="H24106" s="612"/>
    </row>
    <row r="24107">
      <c r="B24107" s="612"/>
      <c r="H24107" s="612"/>
    </row>
    <row r="24108">
      <c r="B24108" s="612"/>
      <c r="H24108" s="612"/>
    </row>
    <row r="24109">
      <c r="B24109" s="612"/>
      <c r="H24109" s="612"/>
    </row>
    <row r="24110">
      <c r="B24110" s="612"/>
      <c r="H24110" s="612"/>
    </row>
    <row r="24111">
      <c r="B24111" s="612"/>
      <c r="H24111" s="612"/>
    </row>
    <row r="24112">
      <c r="B24112" s="612"/>
      <c r="H24112" s="612"/>
    </row>
    <row r="24113">
      <c r="B24113" s="612"/>
      <c r="H24113" s="612"/>
    </row>
    <row r="24114">
      <c r="B24114" s="612"/>
      <c r="H24114" s="612"/>
    </row>
    <row r="24115">
      <c r="B24115" s="612"/>
      <c r="H24115" s="612"/>
    </row>
    <row r="24116">
      <c r="B24116" s="612"/>
      <c r="H24116" s="612"/>
    </row>
    <row r="24117">
      <c r="B24117" s="612"/>
      <c r="H24117" s="612"/>
    </row>
    <row r="24118">
      <c r="B24118" s="612"/>
      <c r="H24118" s="612"/>
    </row>
    <row r="24119">
      <c r="B24119" s="612"/>
      <c r="H24119" s="612"/>
    </row>
    <row r="24120">
      <c r="B24120" s="612"/>
      <c r="H24120" s="612"/>
    </row>
    <row r="24121">
      <c r="B24121" s="612"/>
      <c r="H24121" s="612"/>
    </row>
    <row r="24122">
      <c r="B24122" s="612"/>
      <c r="H24122" s="612"/>
    </row>
    <row r="24123">
      <c r="B24123" s="612"/>
      <c r="H24123" s="612"/>
    </row>
    <row r="24124">
      <c r="B24124" s="612"/>
      <c r="H24124" s="612"/>
    </row>
    <row r="24125">
      <c r="B24125" s="612"/>
      <c r="H24125" s="612"/>
    </row>
    <row r="24126">
      <c r="B24126" s="612"/>
      <c r="H24126" s="612"/>
    </row>
    <row r="24127">
      <c r="B24127" s="612"/>
      <c r="H24127" s="612"/>
    </row>
    <row r="24128">
      <c r="B24128" s="612"/>
      <c r="H24128" s="612"/>
    </row>
    <row r="24129">
      <c r="B24129" s="612"/>
      <c r="H24129" s="612"/>
    </row>
    <row r="24130">
      <c r="B24130" s="612"/>
      <c r="H24130" s="612"/>
    </row>
    <row r="24131">
      <c r="B24131" s="612"/>
      <c r="H24131" s="612"/>
    </row>
    <row r="24132">
      <c r="B24132" s="612"/>
      <c r="H24132" s="612"/>
    </row>
    <row r="24133">
      <c r="B24133" s="612"/>
      <c r="H24133" s="612"/>
    </row>
    <row r="24134">
      <c r="B24134" s="612"/>
      <c r="H24134" s="612"/>
    </row>
    <row r="24135">
      <c r="B24135" s="612"/>
      <c r="H24135" s="612"/>
    </row>
    <row r="24136">
      <c r="B24136" s="612"/>
      <c r="H24136" s="612"/>
    </row>
    <row r="24137">
      <c r="B24137" s="612"/>
      <c r="H24137" s="612"/>
    </row>
    <row r="24138">
      <c r="B24138" s="612"/>
      <c r="H24138" s="612"/>
    </row>
    <row r="24139">
      <c r="B24139" s="612"/>
      <c r="H24139" s="612"/>
    </row>
    <row r="24140">
      <c r="B24140" s="612"/>
      <c r="H24140" s="612"/>
    </row>
    <row r="24141">
      <c r="B24141" s="612"/>
      <c r="H24141" s="612"/>
    </row>
    <row r="24142">
      <c r="B24142" s="612"/>
      <c r="H24142" s="612"/>
    </row>
    <row r="24143">
      <c r="B24143" s="612"/>
      <c r="H24143" s="612"/>
    </row>
    <row r="24144">
      <c r="B24144" s="612"/>
      <c r="H24144" s="612"/>
    </row>
    <row r="24145">
      <c r="B24145" s="612"/>
      <c r="H24145" s="612"/>
    </row>
    <row r="24146">
      <c r="B24146" s="612"/>
      <c r="H24146" s="612"/>
    </row>
    <row r="24147">
      <c r="B24147" s="612"/>
      <c r="H24147" s="612"/>
    </row>
    <row r="24148">
      <c r="B24148" s="612"/>
      <c r="H24148" s="612"/>
    </row>
    <row r="24149">
      <c r="B24149" s="612"/>
      <c r="H24149" s="612"/>
    </row>
    <row r="24150">
      <c r="B24150" s="612"/>
      <c r="H24150" s="612"/>
    </row>
    <row r="24151">
      <c r="B24151" s="612"/>
      <c r="H24151" s="612"/>
    </row>
    <row r="24152">
      <c r="B24152" s="612"/>
      <c r="H24152" s="612"/>
    </row>
    <row r="24153">
      <c r="B24153" s="612"/>
      <c r="H24153" s="612"/>
    </row>
    <row r="24154">
      <c r="B24154" s="612"/>
      <c r="H24154" s="612"/>
    </row>
    <row r="24155">
      <c r="B24155" s="612"/>
      <c r="H24155" s="612"/>
    </row>
    <row r="24156">
      <c r="B24156" s="612"/>
      <c r="H24156" s="612"/>
    </row>
    <row r="24157">
      <c r="B24157" s="612"/>
      <c r="H24157" s="612"/>
    </row>
    <row r="24158">
      <c r="B24158" s="612"/>
      <c r="H24158" s="612"/>
    </row>
    <row r="24159">
      <c r="B24159" s="612"/>
      <c r="H24159" s="612"/>
    </row>
    <row r="24160">
      <c r="B24160" s="612"/>
      <c r="H24160" s="612"/>
    </row>
    <row r="24161">
      <c r="B24161" s="612"/>
      <c r="H24161" s="612"/>
    </row>
    <row r="24162">
      <c r="B24162" s="612"/>
      <c r="H24162" s="612"/>
    </row>
    <row r="24163">
      <c r="B24163" s="612"/>
      <c r="H24163" s="612"/>
    </row>
    <row r="24164">
      <c r="B24164" s="612"/>
      <c r="H24164" s="612"/>
    </row>
    <row r="24165">
      <c r="B24165" s="612"/>
      <c r="H24165" s="612"/>
    </row>
    <row r="24166">
      <c r="B24166" s="612"/>
      <c r="H24166" s="612"/>
    </row>
    <row r="24167">
      <c r="B24167" s="612"/>
      <c r="H24167" s="612"/>
    </row>
    <row r="24168">
      <c r="B24168" s="612"/>
      <c r="H24168" s="612"/>
    </row>
    <row r="24169">
      <c r="B24169" s="612"/>
      <c r="H24169" s="612"/>
    </row>
    <row r="24170">
      <c r="B24170" s="612"/>
      <c r="H24170" s="612"/>
    </row>
    <row r="24171">
      <c r="B24171" s="612"/>
      <c r="H24171" s="612"/>
    </row>
    <row r="24172">
      <c r="B24172" s="612"/>
      <c r="H24172" s="612"/>
    </row>
    <row r="24173">
      <c r="B24173" s="612"/>
      <c r="H24173" s="612"/>
    </row>
    <row r="24174">
      <c r="B24174" s="612"/>
      <c r="H24174" s="612"/>
    </row>
    <row r="24175">
      <c r="B24175" s="612"/>
      <c r="H24175" s="612"/>
    </row>
    <row r="24176">
      <c r="B24176" s="612"/>
      <c r="H24176" s="612"/>
    </row>
    <row r="24177">
      <c r="B24177" s="612"/>
      <c r="H24177" s="612"/>
    </row>
    <row r="24178">
      <c r="B24178" s="612"/>
      <c r="H24178" s="612"/>
    </row>
    <row r="24179">
      <c r="B24179" s="612"/>
      <c r="H24179" s="612"/>
    </row>
    <row r="24180">
      <c r="B24180" s="612"/>
      <c r="H24180" s="612"/>
    </row>
    <row r="24181">
      <c r="B24181" s="612"/>
      <c r="H24181" s="612"/>
    </row>
    <row r="24182">
      <c r="B24182" s="612"/>
      <c r="H24182" s="612"/>
    </row>
    <row r="24183">
      <c r="B24183" s="612"/>
      <c r="H24183" s="612"/>
    </row>
    <row r="24184">
      <c r="B24184" s="612"/>
      <c r="H24184" s="612"/>
    </row>
    <row r="24185">
      <c r="B24185" s="612"/>
      <c r="H24185" s="612"/>
    </row>
    <row r="24186">
      <c r="B24186" s="612"/>
      <c r="H24186" s="612"/>
    </row>
    <row r="24187">
      <c r="B24187" s="612"/>
      <c r="H24187" s="612"/>
    </row>
    <row r="24188">
      <c r="B24188" s="612"/>
      <c r="H24188" s="612"/>
    </row>
    <row r="24189">
      <c r="B24189" s="612"/>
      <c r="H24189" s="612"/>
    </row>
    <row r="24190">
      <c r="B24190" s="612"/>
      <c r="H24190" s="612"/>
    </row>
    <row r="24191">
      <c r="B24191" s="612"/>
      <c r="H24191" s="612"/>
    </row>
    <row r="24192">
      <c r="B24192" s="612"/>
      <c r="H24192" s="612"/>
    </row>
    <row r="24193">
      <c r="B24193" s="612"/>
      <c r="H24193" s="612"/>
    </row>
    <row r="24194">
      <c r="B24194" s="612"/>
      <c r="H24194" s="612"/>
    </row>
    <row r="24195">
      <c r="B24195" s="612"/>
      <c r="H24195" s="612"/>
    </row>
    <row r="24196">
      <c r="B24196" s="612"/>
      <c r="H24196" s="612"/>
    </row>
    <row r="24197">
      <c r="B24197" s="612"/>
      <c r="H24197" s="612"/>
    </row>
    <row r="24198">
      <c r="B24198" s="612"/>
      <c r="H24198" s="612"/>
    </row>
    <row r="24199">
      <c r="B24199" s="612"/>
      <c r="H24199" s="612"/>
    </row>
    <row r="24200">
      <c r="B24200" s="612"/>
      <c r="H24200" s="612"/>
    </row>
    <row r="24201">
      <c r="B24201" s="612"/>
      <c r="H24201" s="612"/>
    </row>
    <row r="24202">
      <c r="B24202" s="612"/>
      <c r="H24202" s="612"/>
    </row>
    <row r="24203">
      <c r="B24203" s="612"/>
      <c r="H24203" s="612"/>
    </row>
    <row r="24204">
      <c r="B24204" s="612"/>
      <c r="H24204" s="612"/>
    </row>
    <row r="24205">
      <c r="B24205" s="612"/>
      <c r="H24205" s="612"/>
    </row>
    <row r="24206">
      <c r="B24206" s="612"/>
      <c r="H24206" s="612"/>
    </row>
    <row r="24207">
      <c r="B24207" s="612"/>
      <c r="H24207" s="612"/>
    </row>
    <row r="24208">
      <c r="B24208" s="612"/>
      <c r="H24208" s="612"/>
    </row>
    <row r="24209">
      <c r="B24209" s="612"/>
      <c r="H24209" s="612"/>
    </row>
    <row r="24210">
      <c r="B24210" s="612"/>
      <c r="H24210" s="612"/>
    </row>
    <row r="24211">
      <c r="B24211" s="612"/>
      <c r="H24211" s="612"/>
    </row>
    <row r="24212">
      <c r="B24212" s="612"/>
      <c r="H24212" s="612"/>
    </row>
    <row r="24213">
      <c r="B24213" s="612"/>
      <c r="H24213" s="612"/>
    </row>
    <row r="24214">
      <c r="B24214" s="612"/>
      <c r="H24214" s="612"/>
    </row>
    <row r="24215">
      <c r="B24215" s="612"/>
      <c r="H24215" s="612"/>
    </row>
    <row r="24216">
      <c r="B24216" s="612"/>
      <c r="H24216" s="612"/>
    </row>
    <row r="24217">
      <c r="B24217" s="612"/>
      <c r="H24217" s="612"/>
    </row>
    <row r="24218">
      <c r="B24218" s="612"/>
      <c r="H24218" s="612"/>
    </row>
    <row r="24219">
      <c r="B24219" s="612"/>
      <c r="H24219" s="612"/>
    </row>
    <row r="24220">
      <c r="B24220" s="612"/>
      <c r="H24220" s="612"/>
    </row>
    <row r="24221">
      <c r="B24221" s="612"/>
      <c r="H24221" s="612"/>
    </row>
    <row r="24222">
      <c r="B24222" s="612"/>
      <c r="H24222" s="612"/>
    </row>
    <row r="24223">
      <c r="B24223" s="612"/>
      <c r="H24223" s="612"/>
    </row>
    <row r="24224">
      <c r="B24224" s="612"/>
      <c r="H24224" s="612"/>
    </row>
    <row r="24225">
      <c r="B24225" s="612"/>
      <c r="H24225" s="612"/>
    </row>
    <row r="24226">
      <c r="B24226" s="612"/>
      <c r="H24226" s="612"/>
    </row>
    <row r="24227">
      <c r="B24227" s="612"/>
      <c r="H24227" s="612"/>
    </row>
    <row r="24228">
      <c r="B24228" s="612"/>
      <c r="H24228" s="612"/>
    </row>
    <row r="24229">
      <c r="B24229" s="612"/>
      <c r="H24229" s="612"/>
    </row>
    <row r="24230">
      <c r="B24230" s="612"/>
      <c r="H24230" s="612"/>
    </row>
    <row r="24231">
      <c r="B24231" s="612"/>
      <c r="H24231" s="612"/>
    </row>
    <row r="24232">
      <c r="B24232" s="612"/>
      <c r="H24232" s="612"/>
    </row>
    <row r="24233">
      <c r="B24233" s="612"/>
      <c r="H24233" s="612"/>
    </row>
    <row r="24234">
      <c r="B24234" s="612"/>
      <c r="H24234" s="612"/>
    </row>
    <row r="24235">
      <c r="B24235" s="612"/>
      <c r="H24235" s="612"/>
    </row>
    <row r="24236">
      <c r="B24236" s="612"/>
      <c r="H24236" s="612"/>
    </row>
    <row r="24237">
      <c r="B24237" s="612"/>
      <c r="H24237" s="612"/>
    </row>
    <row r="24238">
      <c r="B24238" s="612"/>
      <c r="H24238" s="612"/>
    </row>
    <row r="24239">
      <c r="B24239" s="612"/>
      <c r="H24239" s="612"/>
    </row>
    <row r="24240">
      <c r="B24240" s="612"/>
      <c r="H24240" s="612"/>
    </row>
    <row r="24241">
      <c r="B24241" s="612"/>
      <c r="H24241" s="612"/>
    </row>
    <row r="24242">
      <c r="B24242" s="612"/>
      <c r="H24242" s="612"/>
    </row>
    <row r="24243">
      <c r="B24243" s="612"/>
      <c r="H24243" s="612"/>
    </row>
    <row r="24244">
      <c r="B24244" s="612"/>
      <c r="H24244" s="612"/>
    </row>
    <row r="24245">
      <c r="B24245" s="612"/>
      <c r="H24245" s="612"/>
    </row>
    <row r="24246">
      <c r="B24246" s="612"/>
      <c r="H24246" s="612"/>
    </row>
    <row r="24247">
      <c r="B24247" s="612"/>
      <c r="H24247" s="612"/>
    </row>
    <row r="24248">
      <c r="B24248" s="612"/>
      <c r="H24248" s="612"/>
    </row>
    <row r="24249">
      <c r="B24249" s="612"/>
      <c r="H24249" s="612"/>
    </row>
    <row r="24250">
      <c r="B24250" s="612"/>
      <c r="H24250" s="612"/>
    </row>
    <row r="24251">
      <c r="B24251" s="612"/>
      <c r="H24251" s="612"/>
    </row>
    <row r="24252">
      <c r="B24252" s="612"/>
      <c r="H24252" s="612"/>
    </row>
    <row r="24253">
      <c r="B24253" s="612"/>
      <c r="H24253" s="612"/>
    </row>
    <row r="24254">
      <c r="B24254" s="612"/>
      <c r="H24254" s="612"/>
    </row>
    <row r="24255">
      <c r="B24255" s="612"/>
      <c r="H24255" s="612"/>
    </row>
    <row r="24256">
      <c r="B24256" s="612"/>
      <c r="H24256" s="612"/>
    </row>
    <row r="24257">
      <c r="B24257" s="612"/>
      <c r="H24257" s="612"/>
    </row>
    <row r="24258">
      <c r="B24258" s="612"/>
      <c r="H24258" s="612"/>
    </row>
    <row r="24259">
      <c r="B24259" s="612"/>
      <c r="H24259" s="612"/>
    </row>
    <row r="24260">
      <c r="B24260" s="612"/>
      <c r="H24260" s="612"/>
    </row>
    <row r="24261">
      <c r="B24261" s="612"/>
      <c r="H24261" s="612"/>
    </row>
    <row r="24262">
      <c r="B24262" s="612"/>
      <c r="H24262" s="612"/>
    </row>
    <row r="24263">
      <c r="B24263" s="612"/>
      <c r="H24263" s="612"/>
    </row>
    <row r="24264">
      <c r="B24264" s="612"/>
      <c r="H24264" s="612"/>
    </row>
    <row r="24265">
      <c r="B24265" s="612"/>
      <c r="H24265" s="612"/>
    </row>
    <row r="24266">
      <c r="B24266" s="612"/>
      <c r="H24266" s="612"/>
    </row>
    <row r="24267">
      <c r="B24267" s="612"/>
      <c r="H24267" s="612"/>
    </row>
    <row r="24268">
      <c r="B24268" s="612"/>
      <c r="H24268" s="612"/>
    </row>
    <row r="24269">
      <c r="B24269" s="612"/>
      <c r="H24269" s="612"/>
    </row>
    <row r="24270">
      <c r="B24270" s="612"/>
      <c r="H24270" s="612"/>
    </row>
    <row r="24271">
      <c r="B24271" s="612"/>
      <c r="H24271" s="612"/>
    </row>
    <row r="24272">
      <c r="B24272" s="612"/>
      <c r="H24272" s="612"/>
    </row>
    <row r="24273">
      <c r="B24273" s="612"/>
      <c r="H24273" s="612"/>
    </row>
    <row r="24274">
      <c r="B24274" s="612"/>
      <c r="H24274" s="612"/>
    </row>
    <row r="24275">
      <c r="B24275" s="612"/>
      <c r="H24275" s="612"/>
    </row>
    <row r="24276">
      <c r="B24276" s="612"/>
      <c r="H24276" s="612"/>
    </row>
    <row r="24277">
      <c r="B24277" s="612"/>
      <c r="H24277" s="612"/>
    </row>
    <row r="24278">
      <c r="B24278" s="612"/>
      <c r="H24278" s="612"/>
    </row>
    <row r="24279">
      <c r="B24279" s="612"/>
      <c r="H24279" s="612"/>
    </row>
    <row r="24280">
      <c r="B24280" s="612"/>
      <c r="H24280" s="612"/>
    </row>
    <row r="24281">
      <c r="B24281" s="612"/>
      <c r="H24281" s="612"/>
    </row>
    <row r="24282">
      <c r="B24282" s="612"/>
      <c r="H24282" s="612"/>
    </row>
    <row r="24283">
      <c r="B24283" s="612"/>
      <c r="H24283" s="612"/>
    </row>
    <row r="24284">
      <c r="B24284" s="612"/>
      <c r="H24284" s="612"/>
    </row>
    <row r="24285">
      <c r="B24285" s="612"/>
      <c r="H24285" s="612"/>
    </row>
    <row r="24286">
      <c r="B24286" s="612"/>
      <c r="H24286" s="612"/>
    </row>
    <row r="24287">
      <c r="B24287" s="612"/>
      <c r="H24287" s="612"/>
    </row>
    <row r="24288">
      <c r="B24288" s="612"/>
      <c r="H24288" s="612"/>
    </row>
    <row r="24289">
      <c r="B24289" s="612"/>
      <c r="H24289" s="612"/>
    </row>
    <row r="24290">
      <c r="B24290" s="612"/>
      <c r="H24290" s="612"/>
    </row>
    <row r="24291">
      <c r="B24291" s="612"/>
      <c r="H24291" s="612"/>
    </row>
    <row r="24292">
      <c r="B24292" s="612"/>
      <c r="H24292" s="612"/>
    </row>
    <row r="24293">
      <c r="B24293" s="612"/>
      <c r="H24293" s="612"/>
    </row>
    <row r="24294">
      <c r="B24294" s="612"/>
      <c r="H24294" s="612"/>
    </row>
    <row r="24295">
      <c r="B24295" s="612"/>
      <c r="H24295" s="612"/>
    </row>
    <row r="24296">
      <c r="B24296" s="612"/>
      <c r="H24296" s="612"/>
    </row>
    <row r="24297">
      <c r="B24297" s="612"/>
      <c r="H24297" s="612"/>
    </row>
    <row r="24298">
      <c r="B24298" s="612"/>
      <c r="H24298" s="612"/>
    </row>
    <row r="24299">
      <c r="B24299" s="612"/>
      <c r="H24299" s="612"/>
    </row>
    <row r="24300">
      <c r="B24300" s="612"/>
      <c r="H24300" s="612"/>
    </row>
    <row r="24301">
      <c r="B24301" s="612"/>
      <c r="H24301" s="612"/>
    </row>
    <row r="24302">
      <c r="B24302" s="612"/>
      <c r="H24302" s="612"/>
    </row>
    <row r="24303">
      <c r="B24303" s="612"/>
      <c r="H24303" s="612"/>
    </row>
    <row r="24304">
      <c r="B24304" s="612"/>
      <c r="H24304" s="612"/>
    </row>
    <row r="24305">
      <c r="B24305" s="612"/>
      <c r="H24305" s="612"/>
    </row>
    <row r="24306">
      <c r="B24306" s="612"/>
      <c r="H24306" s="612"/>
    </row>
    <row r="24307">
      <c r="B24307" s="612"/>
      <c r="H24307" s="612"/>
    </row>
    <row r="24308">
      <c r="B24308" s="612"/>
      <c r="H24308" s="612"/>
    </row>
    <row r="24309">
      <c r="B24309" s="612"/>
      <c r="H24309" s="612"/>
    </row>
    <row r="24310">
      <c r="B24310" s="612"/>
      <c r="H24310" s="612"/>
    </row>
    <row r="24311">
      <c r="B24311" s="612"/>
      <c r="H24311" s="612"/>
    </row>
    <row r="24312">
      <c r="B24312" s="612"/>
      <c r="H24312" s="612"/>
    </row>
    <row r="24313">
      <c r="B24313" s="612"/>
      <c r="H24313" s="612"/>
    </row>
    <row r="24314">
      <c r="B24314" s="612"/>
      <c r="H24314" s="612"/>
    </row>
    <row r="24315">
      <c r="B24315" s="612"/>
      <c r="H24315" s="612"/>
    </row>
    <row r="24316">
      <c r="B24316" s="612"/>
      <c r="H24316" s="612"/>
    </row>
    <row r="24317">
      <c r="B24317" s="612"/>
      <c r="H24317" s="612"/>
    </row>
    <row r="24318">
      <c r="B24318" s="612"/>
      <c r="H24318" s="612"/>
    </row>
    <row r="24319">
      <c r="B24319" s="612"/>
      <c r="H24319" s="612"/>
    </row>
    <row r="24320">
      <c r="B24320" s="612"/>
      <c r="H24320" s="612"/>
    </row>
    <row r="24321">
      <c r="B24321" s="612"/>
      <c r="H24321" s="612"/>
    </row>
    <row r="24322">
      <c r="B24322" s="612"/>
      <c r="H24322" s="612"/>
    </row>
    <row r="24323">
      <c r="B24323" s="612"/>
      <c r="H24323" s="612"/>
    </row>
    <row r="24324">
      <c r="B24324" s="612"/>
      <c r="H24324" s="612"/>
    </row>
    <row r="24325">
      <c r="B24325" s="612"/>
      <c r="H24325" s="612"/>
    </row>
    <row r="24326">
      <c r="B24326" s="612"/>
      <c r="H24326" s="612"/>
    </row>
    <row r="24327">
      <c r="B24327" s="612"/>
      <c r="H24327" s="612"/>
    </row>
    <row r="24328">
      <c r="B24328" s="612"/>
      <c r="H24328" s="612"/>
    </row>
    <row r="24329">
      <c r="B24329" s="612"/>
      <c r="H24329" s="612"/>
    </row>
    <row r="24330">
      <c r="B24330" s="612"/>
      <c r="H24330" s="612"/>
    </row>
    <row r="24331">
      <c r="B24331" s="612"/>
      <c r="H24331" s="612"/>
    </row>
    <row r="24332">
      <c r="B24332" s="612"/>
      <c r="H24332" s="612"/>
    </row>
    <row r="24333">
      <c r="B24333" s="612"/>
      <c r="H24333" s="612"/>
    </row>
    <row r="24334">
      <c r="B24334" s="612"/>
      <c r="H24334" s="612"/>
    </row>
    <row r="24335">
      <c r="B24335" s="612"/>
      <c r="H24335" s="612"/>
    </row>
    <row r="24336">
      <c r="B24336" s="612"/>
      <c r="H24336" s="612"/>
    </row>
    <row r="24337">
      <c r="B24337" s="612"/>
      <c r="H24337" s="612"/>
    </row>
    <row r="24338">
      <c r="B24338" s="612"/>
      <c r="H24338" s="612"/>
    </row>
    <row r="24339">
      <c r="B24339" s="612"/>
      <c r="H24339" s="612"/>
    </row>
    <row r="24340">
      <c r="B24340" s="612"/>
      <c r="H24340" s="612"/>
    </row>
    <row r="24341">
      <c r="B24341" s="612"/>
      <c r="H24341" s="612"/>
    </row>
    <row r="24342">
      <c r="B24342" s="612"/>
      <c r="H24342" s="612"/>
    </row>
    <row r="24343">
      <c r="B24343" s="612"/>
      <c r="H24343" s="612"/>
    </row>
    <row r="24344">
      <c r="B24344" s="612"/>
      <c r="H24344" s="612"/>
    </row>
    <row r="24345">
      <c r="B24345" s="612"/>
      <c r="H24345" s="612"/>
    </row>
    <row r="24346">
      <c r="B24346" s="612"/>
      <c r="H24346" s="612"/>
    </row>
    <row r="24347">
      <c r="B24347" s="612"/>
      <c r="H24347" s="612"/>
    </row>
    <row r="24348">
      <c r="B24348" s="612"/>
      <c r="H24348" s="612"/>
    </row>
    <row r="24349">
      <c r="B24349" s="612"/>
      <c r="H24349" s="612"/>
    </row>
    <row r="24350">
      <c r="B24350" s="612"/>
      <c r="H24350" s="612"/>
    </row>
    <row r="24351">
      <c r="B24351" s="612"/>
      <c r="H24351" s="612"/>
    </row>
    <row r="24352">
      <c r="B24352" s="612"/>
      <c r="H24352" s="612"/>
    </row>
    <row r="24353">
      <c r="B24353" s="612"/>
      <c r="H24353" s="612"/>
    </row>
    <row r="24354">
      <c r="B24354" s="612"/>
      <c r="H24354" s="612"/>
    </row>
    <row r="24355">
      <c r="B24355" s="612"/>
      <c r="H24355" s="612"/>
    </row>
    <row r="24356">
      <c r="B24356" s="612"/>
      <c r="H24356" s="612"/>
    </row>
    <row r="24357">
      <c r="B24357" s="612"/>
      <c r="H24357" s="612"/>
    </row>
    <row r="24358">
      <c r="B24358" s="612"/>
      <c r="H24358" s="612"/>
    </row>
    <row r="24359">
      <c r="B24359" s="612"/>
      <c r="H24359" s="612"/>
    </row>
    <row r="24360">
      <c r="B24360" s="612"/>
      <c r="H24360" s="612"/>
    </row>
    <row r="24361">
      <c r="B24361" s="612"/>
      <c r="H24361" s="612"/>
    </row>
    <row r="24362">
      <c r="B24362" s="612"/>
      <c r="H24362" s="612"/>
    </row>
    <row r="24363">
      <c r="B24363" s="612"/>
      <c r="H24363" s="612"/>
    </row>
    <row r="24364">
      <c r="B24364" s="612"/>
      <c r="H24364" s="612"/>
    </row>
    <row r="24365">
      <c r="B24365" s="612"/>
      <c r="H24365" s="612"/>
    </row>
    <row r="24366">
      <c r="B24366" s="612"/>
      <c r="H24366" s="612"/>
    </row>
    <row r="24367">
      <c r="B24367" s="612"/>
      <c r="H24367" s="612"/>
    </row>
    <row r="24368">
      <c r="B24368" s="612"/>
      <c r="H24368" s="612"/>
    </row>
    <row r="24369">
      <c r="B24369" s="612"/>
      <c r="H24369" s="612"/>
    </row>
    <row r="24370">
      <c r="B24370" s="612"/>
      <c r="H24370" s="612"/>
    </row>
    <row r="24371">
      <c r="B24371" s="612"/>
      <c r="H24371" s="612"/>
    </row>
    <row r="24372">
      <c r="B24372" s="612"/>
      <c r="H24372" s="612"/>
    </row>
    <row r="24373">
      <c r="B24373" s="612"/>
      <c r="H24373" s="612"/>
    </row>
    <row r="24374">
      <c r="B24374" s="612"/>
      <c r="H24374" s="612"/>
    </row>
    <row r="24375">
      <c r="B24375" s="612"/>
      <c r="H24375" s="612"/>
    </row>
    <row r="24376">
      <c r="B24376" s="612"/>
      <c r="H24376" s="612"/>
    </row>
    <row r="24377">
      <c r="B24377" s="612"/>
      <c r="H24377" s="612"/>
    </row>
    <row r="24378">
      <c r="B24378" s="612"/>
      <c r="H24378" s="612"/>
    </row>
    <row r="24379">
      <c r="B24379" s="612"/>
      <c r="H24379" s="612"/>
    </row>
    <row r="24380">
      <c r="B24380" s="612"/>
      <c r="H24380" s="612"/>
    </row>
    <row r="24381">
      <c r="B24381" s="612"/>
      <c r="H24381" s="612"/>
    </row>
    <row r="24382">
      <c r="B24382" s="612"/>
      <c r="H24382" s="612"/>
    </row>
    <row r="24383">
      <c r="B24383" s="612"/>
      <c r="H24383" s="612"/>
    </row>
    <row r="24384">
      <c r="B24384" s="612"/>
      <c r="H24384" s="612"/>
    </row>
    <row r="24385">
      <c r="B24385" s="612"/>
      <c r="H24385" s="612"/>
    </row>
    <row r="24386">
      <c r="B24386" s="612"/>
      <c r="H24386" s="612"/>
    </row>
    <row r="24387">
      <c r="B24387" s="612"/>
      <c r="H24387" s="612"/>
    </row>
    <row r="24388">
      <c r="B24388" s="612"/>
      <c r="H24388" s="612"/>
    </row>
    <row r="24389">
      <c r="B24389" s="612"/>
      <c r="H24389" s="612"/>
    </row>
    <row r="24390">
      <c r="B24390" s="612"/>
      <c r="H24390" s="612"/>
    </row>
    <row r="24391">
      <c r="B24391" s="612"/>
      <c r="H24391" s="612"/>
    </row>
    <row r="24392">
      <c r="B24392" s="612"/>
      <c r="H24392" s="612"/>
    </row>
    <row r="24393">
      <c r="B24393" s="612"/>
      <c r="H24393" s="612"/>
    </row>
    <row r="24394">
      <c r="B24394" s="612"/>
      <c r="H24394" s="612"/>
    </row>
    <row r="24395">
      <c r="B24395" s="612"/>
      <c r="H24395" s="612"/>
    </row>
    <row r="24396">
      <c r="B24396" s="612"/>
      <c r="H24396" s="612"/>
    </row>
    <row r="24397">
      <c r="B24397" s="612"/>
      <c r="H24397" s="612"/>
    </row>
    <row r="24398">
      <c r="B24398" s="612"/>
      <c r="H24398" s="612"/>
    </row>
    <row r="24399">
      <c r="B24399" s="612"/>
      <c r="H24399" s="612"/>
    </row>
    <row r="24400">
      <c r="B24400" s="612"/>
      <c r="H24400" s="612"/>
    </row>
    <row r="24401">
      <c r="B24401" s="612"/>
      <c r="H24401" s="612"/>
    </row>
    <row r="24402">
      <c r="B24402" s="612"/>
      <c r="H24402" s="612"/>
    </row>
    <row r="24403">
      <c r="B24403" s="612"/>
      <c r="H24403" s="612"/>
    </row>
    <row r="24404">
      <c r="B24404" s="612"/>
      <c r="H24404" s="612"/>
    </row>
    <row r="24405">
      <c r="B24405" s="612"/>
      <c r="H24405" s="612"/>
    </row>
    <row r="24406">
      <c r="B24406" s="612"/>
      <c r="H24406" s="612"/>
    </row>
    <row r="24407">
      <c r="B24407" s="612"/>
      <c r="H24407" s="612"/>
    </row>
    <row r="24408">
      <c r="B24408" s="612"/>
      <c r="H24408" s="612"/>
    </row>
    <row r="24409">
      <c r="B24409" s="612"/>
      <c r="H24409" s="612"/>
    </row>
    <row r="24410">
      <c r="B24410" s="612"/>
      <c r="H24410" s="612"/>
    </row>
    <row r="24411">
      <c r="B24411" s="612"/>
      <c r="H24411" s="612"/>
    </row>
    <row r="24412">
      <c r="B24412" s="612"/>
      <c r="H24412" s="612"/>
    </row>
    <row r="24413">
      <c r="B24413" s="612"/>
      <c r="H24413" s="612"/>
    </row>
    <row r="24414">
      <c r="B24414" s="612"/>
      <c r="H24414" s="612"/>
    </row>
    <row r="24415">
      <c r="B24415" s="612"/>
      <c r="H24415" s="612"/>
    </row>
    <row r="24416">
      <c r="B24416" s="612"/>
      <c r="H24416" s="612"/>
    </row>
    <row r="24417">
      <c r="B24417" s="612"/>
      <c r="H24417" s="612"/>
    </row>
    <row r="24418">
      <c r="B24418" s="612"/>
      <c r="H24418" s="612"/>
    </row>
    <row r="24419">
      <c r="B24419" s="612"/>
      <c r="H24419" s="612"/>
    </row>
    <row r="24420">
      <c r="B24420" s="612"/>
      <c r="H24420" s="612"/>
    </row>
    <row r="24421">
      <c r="B24421" s="612"/>
      <c r="H24421" s="612"/>
    </row>
    <row r="24422">
      <c r="B24422" s="612"/>
      <c r="H24422" s="612"/>
    </row>
    <row r="24423">
      <c r="B24423" s="612"/>
      <c r="H24423" s="612"/>
    </row>
    <row r="24424">
      <c r="B24424" s="612"/>
      <c r="H24424" s="612"/>
    </row>
    <row r="24425">
      <c r="B24425" s="612"/>
      <c r="H24425" s="612"/>
    </row>
    <row r="24426">
      <c r="B24426" s="612"/>
      <c r="H24426" s="612"/>
    </row>
    <row r="24427">
      <c r="B24427" s="612"/>
      <c r="H24427" s="612"/>
    </row>
    <row r="24428">
      <c r="B24428" s="612"/>
      <c r="H24428" s="612"/>
    </row>
    <row r="24429">
      <c r="B24429" s="612"/>
      <c r="H24429" s="612"/>
    </row>
    <row r="24430">
      <c r="B24430" s="612"/>
      <c r="H24430" s="612"/>
    </row>
    <row r="24431">
      <c r="B24431" s="612"/>
      <c r="H24431" s="612"/>
    </row>
    <row r="24432">
      <c r="B24432" s="612"/>
      <c r="H24432" s="612"/>
    </row>
    <row r="24433">
      <c r="B24433" s="612"/>
      <c r="H24433" s="612"/>
    </row>
    <row r="24434">
      <c r="B24434" s="612"/>
      <c r="H24434" s="612"/>
    </row>
    <row r="24435">
      <c r="B24435" s="612"/>
      <c r="H24435" s="612"/>
    </row>
    <row r="24436">
      <c r="B24436" s="612"/>
      <c r="H24436" s="612"/>
    </row>
    <row r="24437">
      <c r="B24437" s="612"/>
      <c r="H24437" s="612"/>
    </row>
    <row r="24438">
      <c r="B24438" s="612"/>
      <c r="H24438" s="612"/>
    </row>
    <row r="24439">
      <c r="B24439" s="612"/>
      <c r="H24439" s="612"/>
    </row>
    <row r="24440">
      <c r="B24440" s="612"/>
      <c r="H24440" s="612"/>
    </row>
    <row r="24441">
      <c r="B24441" s="612"/>
      <c r="H24441" s="612"/>
    </row>
    <row r="24442">
      <c r="B24442" s="612"/>
      <c r="H24442" s="612"/>
    </row>
    <row r="24443">
      <c r="B24443" s="612"/>
      <c r="H24443" s="612"/>
    </row>
    <row r="24444">
      <c r="B24444" s="612"/>
      <c r="H24444" s="612"/>
    </row>
    <row r="24445">
      <c r="B24445" s="612"/>
      <c r="H24445" s="612"/>
    </row>
    <row r="24446">
      <c r="B24446" s="612"/>
      <c r="H24446" s="612"/>
    </row>
    <row r="24447">
      <c r="B24447" s="612"/>
      <c r="H24447" s="612"/>
    </row>
    <row r="24448">
      <c r="B24448" s="612"/>
      <c r="H24448" s="612"/>
    </row>
    <row r="24449">
      <c r="B24449" s="612"/>
      <c r="H24449" s="612"/>
    </row>
    <row r="24450">
      <c r="B24450" s="612"/>
      <c r="H24450" s="612"/>
    </row>
    <row r="24451">
      <c r="B24451" s="612"/>
      <c r="H24451" s="612"/>
    </row>
    <row r="24452">
      <c r="B24452" s="612"/>
      <c r="H24452" s="612"/>
    </row>
    <row r="24453">
      <c r="B24453" s="612"/>
      <c r="H24453" s="612"/>
    </row>
    <row r="24454">
      <c r="B24454" s="612"/>
      <c r="H24454" s="612"/>
    </row>
    <row r="24455">
      <c r="B24455" s="612"/>
      <c r="H24455" s="612"/>
    </row>
    <row r="24456">
      <c r="B24456" s="612"/>
      <c r="H24456" s="612"/>
    </row>
    <row r="24457">
      <c r="B24457" s="612"/>
      <c r="H24457" s="612"/>
    </row>
    <row r="24458">
      <c r="B24458" s="612"/>
      <c r="H24458" s="612"/>
    </row>
    <row r="24459">
      <c r="B24459" s="612"/>
      <c r="H24459" s="612"/>
    </row>
    <row r="24460">
      <c r="B24460" s="612"/>
      <c r="H24460" s="612"/>
    </row>
    <row r="24461">
      <c r="B24461" s="612"/>
      <c r="H24461" s="612"/>
    </row>
    <row r="24462">
      <c r="B24462" s="612"/>
      <c r="H24462" s="612"/>
    </row>
    <row r="24463">
      <c r="B24463" s="612"/>
      <c r="H24463" s="612"/>
    </row>
    <row r="24464">
      <c r="B24464" s="612"/>
      <c r="H24464" s="612"/>
    </row>
    <row r="24465">
      <c r="B24465" s="612"/>
      <c r="H24465" s="612"/>
    </row>
    <row r="24466">
      <c r="B24466" s="612"/>
      <c r="H24466" s="612"/>
    </row>
    <row r="24467">
      <c r="B24467" s="612"/>
      <c r="H24467" s="612"/>
    </row>
    <row r="24468">
      <c r="B24468" s="612"/>
      <c r="H24468" s="612"/>
    </row>
    <row r="24469">
      <c r="B24469" s="612"/>
      <c r="H24469" s="612"/>
    </row>
    <row r="24470">
      <c r="B24470" s="612"/>
      <c r="H24470" s="612"/>
    </row>
    <row r="24471">
      <c r="B24471" s="612"/>
      <c r="H24471" s="612"/>
    </row>
    <row r="24472">
      <c r="B24472" s="612"/>
      <c r="H24472" s="612"/>
    </row>
    <row r="24473">
      <c r="B24473" s="612"/>
      <c r="H24473" s="612"/>
    </row>
    <row r="24474">
      <c r="B24474" s="612"/>
      <c r="H24474" s="612"/>
    </row>
    <row r="24475">
      <c r="B24475" s="612"/>
      <c r="H24475" s="612"/>
    </row>
    <row r="24476">
      <c r="B24476" s="612"/>
      <c r="H24476" s="612"/>
    </row>
    <row r="24477">
      <c r="B24477" s="612"/>
      <c r="H24477" s="612"/>
    </row>
    <row r="24478">
      <c r="B24478" s="612"/>
      <c r="H24478" s="612"/>
    </row>
    <row r="24479">
      <c r="B24479" s="612"/>
      <c r="H24479" s="612"/>
    </row>
    <row r="24480">
      <c r="B24480" s="612"/>
      <c r="H24480" s="612"/>
    </row>
    <row r="24481">
      <c r="B24481" s="612"/>
      <c r="H24481" s="612"/>
    </row>
    <row r="24482">
      <c r="B24482" s="612"/>
      <c r="H24482" s="612"/>
    </row>
    <row r="24483">
      <c r="B24483" s="612"/>
      <c r="H24483" s="612"/>
    </row>
    <row r="24484">
      <c r="B24484" s="612"/>
      <c r="H24484" s="612"/>
    </row>
    <row r="24485">
      <c r="B24485" s="612"/>
      <c r="H24485" s="612"/>
    </row>
    <row r="24486">
      <c r="B24486" s="612"/>
      <c r="H24486" s="612"/>
    </row>
    <row r="24487">
      <c r="B24487" s="612"/>
      <c r="H24487" s="612"/>
    </row>
    <row r="24488">
      <c r="B24488" s="612"/>
      <c r="H24488" s="612"/>
    </row>
    <row r="24489">
      <c r="B24489" s="612"/>
      <c r="H24489" s="612"/>
    </row>
    <row r="24490">
      <c r="B24490" s="612"/>
      <c r="H24490" s="612"/>
    </row>
    <row r="24491">
      <c r="B24491" s="612"/>
      <c r="H24491" s="612"/>
    </row>
    <row r="24492">
      <c r="B24492" s="612"/>
      <c r="H24492" s="612"/>
    </row>
    <row r="24493">
      <c r="B24493" s="612"/>
      <c r="H24493" s="612"/>
    </row>
    <row r="24494">
      <c r="B24494" s="612"/>
      <c r="H24494" s="612"/>
    </row>
    <row r="24495">
      <c r="B24495" s="612"/>
      <c r="H24495" s="612"/>
    </row>
    <row r="24496">
      <c r="B24496" s="612"/>
      <c r="H24496" s="612"/>
    </row>
    <row r="24497">
      <c r="B24497" s="612"/>
      <c r="H24497" s="612"/>
    </row>
    <row r="24498">
      <c r="B24498" s="612"/>
      <c r="H24498" s="612"/>
    </row>
    <row r="24499">
      <c r="B24499" s="612"/>
      <c r="H24499" s="612"/>
    </row>
    <row r="24500">
      <c r="B24500" s="612"/>
      <c r="H24500" s="612"/>
    </row>
    <row r="24501">
      <c r="B24501" s="612"/>
      <c r="H24501" s="612"/>
    </row>
    <row r="24502">
      <c r="B24502" s="612"/>
      <c r="H24502" s="612"/>
    </row>
    <row r="24503">
      <c r="B24503" s="612"/>
      <c r="H24503" s="612"/>
    </row>
    <row r="24504">
      <c r="B24504" s="612"/>
      <c r="H24504" s="612"/>
    </row>
    <row r="24505">
      <c r="B24505" s="612"/>
      <c r="H24505" s="612"/>
    </row>
    <row r="24506">
      <c r="B24506" s="612"/>
      <c r="H24506" s="612"/>
    </row>
    <row r="24507">
      <c r="B24507" s="612"/>
      <c r="H24507" s="612"/>
    </row>
    <row r="24508">
      <c r="B24508" s="612"/>
      <c r="H24508" s="612"/>
    </row>
    <row r="24509">
      <c r="B24509" s="612"/>
      <c r="H24509" s="612"/>
    </row>
    <row r="24510">
      <c r="B24510" s="612"/>
      <c r="H24510" s="612"/>
    </row>
    <row r="24511">
      <c r="B24511" s="612"/>
      <c r="H24511" s="612"/>
    </row>
    <row r="24512">
      <c r="B24512" s="612"/>
      <c r="H24512" s="612"/>
    </row>
    <row r="24513">
      <c r="B24513" s="612"/>
      <c r="H24513" s="612"/>
    </row>
    <row r="24514">
      <c r="B24514" s="612"/>
      <c r="H24514" s="612"/>
    </row>
    <row r="24515">
      <c r="B24515" s="612"/>
      <c r="H24515" s="612"/>
    </row>
    <row r="24516">
      <c r="B24516" s="612"/>
      <c r="H24516" s="612"/>
    </row>
    <row r="24517">
      <c r="B24517" s="612"/>
      <c r="H24517" s="612"/>
    </row>
    <row r="24518">
      <c r="B24518" s="612"/>
      <c r="H24518" s="612"/>
    </row>
    <row r="24519">
      <c r="B24519" s="612"/>
      <c r="H24519" s="612"/>
    </row>
    <row r="24520">
      <c r="B24520" s="612"/>
      <c r="H24520" s="612"/>
    </row>
    <row r="24521">
      <c r="B24521" s="612"/>
      <c r="H24521" s="612"/>
    </row>
    <row r="24522">
      <c r="B24522" s="612"/>
      <c r="H24522" s="612"/>
    </row>
    <row r="24523">
      <c r="B24523" s="612"/>
      <c r="H24523" s="612"/>
    </row>
    <row r="24524">
      <c r="B24524" s="612"/>
      <c r="H24524" s="612"/>
    </row>
    <row r="24525">
      <c r="B24525" s="612"/>
      <c r="H24525" s="612"/>
    </row>
    <row r="24526">
      <c r="B24526" s="612"/>
      <c r="H24526" s="612"/>
    </row>
    <row r="24527">
      <c r="B24527" s="612"/>
      <c r="H24527" s="612"/>
    </row>
    <row r="24528">
      <c r="B24528" s="612"/>
      <c r="H24528" s="612"/>
    </row>
    <row r="24529">
      <c r="B24529" s="612"/>
      <c r="H24529" s="612"/>
    </row>
    <row r="24530">
      <c r="B24530" s="612"/>
      <c r="H24530" s="612"/>
    </row>
    <row r="24531">
      <c r="B24531" s="612"/>
      <c r="H24531" s="612"/>
    </row>
    <row r="24532">
      <c r="B24532" s="612"/>
      <c r="H24532" s="612"/>
    </row>
    <row r="24533">
      <c r="B24533" s="612"/>
      <c r="H24533" s="612"/>
    </row>
    <row r="24534">
      <c r="B24534" s="612"/>
      <c r="H24534" s="612"/>
    </row>
    <row r="24535">
      <c r="B24535" s="612"/>
      <c r="H24535" s="612"/>
    </row>
    <row r="24536">
      <c r="B24536" s="612"/>
      <c r="H24536" s="612"/>
    </row>
    <row r="24537">
      <c r="B24537" s="612"/>
      <c r="H24537" s="612"/>
    </row>
    <row r="24538">
      <c r="B24538" s="612"/>
      <c r="H24538" s="612"/>
    </row>
    <row r="24539">
      <c r="B24539" s="612"/>
      <c r="H24539" s="612"/>
    </row>
    <row r="24540">
      <c r="B24540" s="612"/>
      <c r="H24540" s="612"/>
    </row>
    <row r="24541">
      <c r="B24541" s="612"/>
      <c r="H24541" s="612"/>
    </row>
    <row r="24542">
      <c r="B24542" s="612"/>
      <c r="H24542" s="612"/>
    </row>
    <row r="24543">
      <c r="B24543" s="612"/>
      <c r="H24543" s="612"/>
    </row>
    <row r="24544">
      <c r="B24544" s="612"/>
      <c r="H24544" s="612"/>
    </row>
    <row r="24545">
      <c r="B24545" s="612"/>
      <c r="H24545" s="612"/>
    </row>
    <row r="24546">
      <c r="B24546" s="612"/>
      <c r="H24546" s="612"/>
    </row>
    <row r="24547">
      <c r="B24547" s="612"/>
      <c r="H24547" s="612"/>
    </row>
    <row r="24548">
      <c r="B24548" s="612"/>
      <c r="H24548" s="612"/>
    </row>
    <row r="24549">
      <c r="B24549" s="612"/>
      <c r="H24549" s="612"/>
    </row>
    <row r="24550">
      <c r="B24550" s="612"/>
      <c r="H24550" s="612"/>
    </row>
    <row r="24551">
      <c r="B24551" s="612"/>
      <c r="H24551" s="612"/>
    </row>
    <row r="24552">
      <c r="B24552" s="612"/>
      <c r="H24552" s="612"/>
    </row>
    <row r="24553">
      <c r="B24553" s="612"/>
      <c r="H24553" s="612"/>
    </row>
    <row r="24554">
      <c r="B24554" s="612"/>
      <c r="H24554" s="612"/>
    </row>
    <row r="24555">
      <c r="B24555" s="612"/>
      <c r="H24555" s="612"/>
    </row>
    <row r="24556">
      <c r="B24556" s="612"/>
      <c r="H24556" s="612"/>
    </row>
    <row r="24557">
      <c r="B24557" s="612"/>
      <c r="H24557" s="612"/>
    </row>
    <row r="24558">
      <c r="B24558" s="612"/>
      <c r="H24558" s="612"/>
    </row>
    <row r="24559">
      <c r="B24559" s="612"/>
      <c r="H24559" s="612"/>
    </row>
    <row r="24560">
      <c r="B24560" s="612"/>
      <c r="H24560" s="612"/>
    </row>
    <row r="24561">
      <c r="B24561" s="612"/>
      <c r="H24561" s="612"/>
    </row>
    <row r="24562">
      <c r="B24562" s="612"/>
      <c r="H24562" s="612"/>
    </row>
    <row r="24563">
      <c r="B24563" s="612"/>
      <c r="H24563" s="612"/>
    </row>
    <row r="24564">
      <c r="B24564" s="612"/>
      <c r="H24564" s="612"/>
    </row>
    <row r="24565">
      <c r="B24565" s="612"/>
      <c r="H24565" s="612"/>
    </row>
    <row r="24566">
      <c r="B24566" s="612"/>
      <c r="H24566" s="612"/>
    </row>
    <row r="24567">
      <c r="B24567" s="612"/>
      <c r="H24567" s="612"/>
    </row>
    <row r="24568">
      <c r="B24568" s="612"/>
      <c r="H24568" s="612"/>
    </row>
    <row r="24569">
      <c r="B24569" s="612"/>
      <c r="H24569" s="612"/>
    </row>
    <row r="24570">
      <c r="B24570" s="612"/>
      <c r="H24570" s="612"/>
    </row>
    <row r="24571">
      <c r="B24571" s="612"/>
      <c r="H24571" s="612"/>
    </row>
    <row r="24572">
      <c r="B24572" s="612"/>
      <c r="H24572" s="612"/>
    </row>
    <row r="24573">
      <c r="B24573" s="612"/>
      <c r="H24573" s="612"/>
    </row>
    <row r="24574">
      <c r="B24574" s="612"/>
      <c r="H24574" s="612"/>
    </row>
    <row r="24575">
      <c r="B24575" s="612"/>
      <c r="H24575" s="612"/>
    </row>
    <row r="24576">
      <c r="B24576" s="612"/>
      <c r="H24576" s="612"/>
    </row>
    <row r="24577">
      <c r="B24577" s="612"/>
      <c r="H24577" s="612"/>
    </row>
    <row r="24578">
      <c r="B24578" s="612"/>
      <c r="H24578" s="612"/>
    </row>
    <row r="24579">
      <c r="B24579" s="612"/>
      <c r="H24579" s="612"/>
    </row>
    <row r="24580">
      <c r="B24580" s="612"/>
      <c r="H24580" s="612"/>
    </row>
    <row r="24581">
      <c r="B24581" s="612"/>
      <c r="H24581" s="612"/>
    </row>
    <row r="24582">
      <c r="B24582" s="612"/>
      <c r="H24582" s="612"/>
    </row>
    <row r="24583">
      <c r="B24583" s="612"/>
      <c r="H24583" s="612"/>
    </row>
    <row r="24584">
      <c r="B24584" s="612"/>
      <c r="H24584" s="612"/>
    </row>
    <row r="24585">
      <c r="B24585" s="612"/>
      <c r="H24585" s="612"/>
    </row>
    <row r="24586">
      <c r="B24586" s="612"/>
      <c r="H24586" s="612"/>
    </row>
    <row r="24587">
      <c r="B24587" s="612"/>
      <c r="H24587" s="612"/>
    </row>
    <row r="24588">
      <c r="B24588" s="612"/>
      <c r="H24588" s="612"/>
    </row>
    <row r="24589">
      <c r="B24589" s="612"/>
      <c r="H24589" s="612"/>
    </row>
    <row r="24590">
      <c r="B24590" s="612"/>
      <c r="H24590" s="612"/>
    </row>
    <row r="24591">
      <c r="B24591" s="612"/>
      <c r="H24591" s="612"/>
    </row>
    <row r="24592">
      <c r="B24592" s="612"/>
      <c r="H24592" s="612"/>
    </row>
    <row r="24593">
      <c r="B24593" s="612"/>
      <c r="H24593" s="612"/>
    </row>
    <row r="24594">
      <c r="B24594" s="612"/>
      <c r="H24594" s="612"/>
    </row>
    <row r="24595">
      <c r="B24595" s="612"/>
      <c r="H24595" s="612"/>
    </row>
    <row r="24596">
      <c r="B24596" s="612"/>
      <c r="H24596" s="612"/>
    </row>
    <row r="24597">
      <c r="B24597" s="612"/>
      <c r="H24597" s="612"/>
    </row>
    <row r="24598">
      <c r="B24598" s="612"/>
      <c r="H24598" s="612"/>
    </row>
    <row r="24599">
      <c r="B24599" s="612"/>
      <c r="H24599" s="612"/>
    </row>
    <row r="24600">
      <c r="B24600" s="612"/>
      <c r="H24600" s="612"/>
    </row>
    <row r="24601">
      <c r="B24601" s="612"/>
      <c r="H24601" s="612"/>
    </row>
    <row r="24602">
      <c r="B24602" s="612"/>
      <c r="H24602" s="612"/>
    </row>
    <row r="24603">
      <c r="B24603" s="612"/>
      <c r="H24603" s="612"/>
    </row>
    <row r="24604">
      <c r="B24604" s="612"/>
      <c r="H24604" s="612"/>
    </row>
    <row r="24605">
      <c r="B24605" s="612"/>
      <c r="H24605" s="612"/>
    </row>
    <row r="24606">
      <c r="B24606" s="612"/>
      <c r="H24606" s="612"/>
    </row>
    <row r="24607">
      <c r="B24607" s="612"/>
      <c r="H24607" s="612"/>
    </row>
    <row r="24608">
      <c r="B24608" s="612"/>
      <c r="H24608" s="612"/>
    </row>
    <row r="24609">
      <c r="B24609" s="612"/>
      <c r="H24609" s="612"/>
    </row>
    <row r="24610">
      <c r="B24610" s="612"/>
      <c r="H24610" s="612"/>
    </row>
    <row r="24611">
      <c r="B24611" s="612"/>
      <c r="H24611" s="612"/>
    </row>
    <row r="24612">
      <c r="B24612" s="612"/>
      <c r="H24612" s="612"/>
    </row>
    <row r="24613">
      <c r="B24613" s="612"/>
      <c r="H24613" s="612"/>
    </row>
    <row r="24614">
      <c r="B24614" s="612"/>
      <c r="H24614" s="612"/>
    </row>
    <row r="24615">
      <c r="B24615" s="612"/>
      <c r="H24615" s="612"/>
    </row>
    <row r="24616">
      <c r="B24616" s="612"/>
      <c r="H24616" s="612"/>
    </row>
    <row r="24617">
      <c r="B24617" s="612"/>
      <c r="H24617" s="612"/>
    </row>
    <row r="24618">
      <c r="B24618" s="612"/>
      <c r="H24618" s="612"/>
    </row>
    <row r="24619">
      <c r="B24619" s="612"/>
      <c r="H24619" s="612"/>
    </row>
    <row r="24620">
      <c r="B24620" s="612"/>
      <c r="H24620" s="612"/>
    </row>
    <row r="24621">
      <c r="B24621" s="612"/>
      <c r="H24621" s="612"/>
    </row>
    <row r="24622">
      <c r="B24622" s="612"/>
      <c r="H24622" s="612"/>
    </row>
    <row r="24623">
      <c r="B24623" s="612"/>
      <c r="H24623" s="612"/>
    </row>
    <row r="24624">
      <c r="B24624" s="612"/>
      <c r="H24624" s="612"/>
    </row>
    <row r="24625">
      <c r="B24625" s="612"/>
      <c r="H24625" s="612"/>
    </row>
    <row r="24626">
      <c r="B24626" s="612"/>
      <c r="H24626" s="612"/>
    </row>
    <row r="24627">
      <c r="B24627" s="612"/>
      <c r="H24627" s="612"/>
    </row>
    <row r="24628">
      <c r="B24628" s="612"/>
      <c r="H24628" s="612"/>
    </row>
    <row r="24629">
      <c r="B24629" s="612"/>
      <c r="H24629" s="612"/>
    </row>
    <row r="24630">
      <c r="B24630" s="612"/>
      <c r="H24630" s="612"/>
    </row>
    <row r="24631">
      <c r="B24631" s="612"/>
      <c r="H24631" s="612"/>
    </row>
    <row r="24632">
      <c r="B24632" s="612"/>
      <c r="H24632" s="612"/>
    </row>
    <row r="24633">
      <c r="B24633" s="612"/>
      <c r="H24633" s="612"/>
    </row>
    <row r="24634">
      <c r="B24634" s="612"/>
      <c r="H24634" s="612"/>
    </row>
    <row r="24635">
      <c r="B24635" s="612"/>
      <c r="H24635" s="612"/>
    </row>
    <row r="24636">
      <c r="B24636" s="612"/>
      <c r="H24636" s="612"/>
    </row>
    <row r="24637">
      <c r="B24637" s="612"/>
      <c r="H24637" s="612"/>
    </row>
    <row r="24638">
      <c r="B24638" s="612"/>
      <c r="H24638" s="612"/>
    </row>
    <row r="24639">
      <c r="B24639" s="612"/>
      <c r="H24639" s="612"/>
    </row>
    <row r="24640">
      <c r="B24640" s="612"/>
      <c r="H24640" s="612"/>
    </row>
    <row r="24641">
      <c r="B24641" s="612"/>
      <c r="H24641" s="612"/>
    </row>
    <row r="24642">
      <c r="B24642" s="612"/>
      <c r="H24642" s="612"/>
    </row>
    <row r="24643">
      <c r="B24643" s="612"/>
      <c r="H24643" s="612"/>
    </row>
    <row r="24644">
      <c r="B24644" s="612"/>
      <c r="H24644" s="612"/>
    </row>
    <row r="24645">
      <c r="B24645" s="612"/>
      <c r="H24645" s="612"/>
    </row>
    <row r="24646">
      <c r="B24646" s="612"/>
      <c r="H24646" s="612"/>
    </row>
    <row r="24647">
      <c r="B24647" s="612"/>
      <c r="H24647" s="612"/>
    </row>
    <row r="24648">
      <c r="B24648" s="612"/>
      <c r="H24648" s="612"/>
    </row>
    <row r="24649">
      <c r="B24649" s="612"/>
      <c r="H24649" s="612"/>
    </row>
    <row r="24650">
      <c r="B24650" s="612"/>
      <c r="H24650" s="612"/>
    </row>
    <row r="24651">
      <c r="B24651" s="612"/>
      <c r="H24651" s="612"/>
    </row>
    <row r="24652">
      <c r="B24652" s="612"/>
      <c r="H24652" s="612"/>
    </row>
    <row r="24653">
      <c r="B24653" s="612"/>
      <c r="H24653" s="612"/>
    </row>
    <row r="24654">
      <c r="B24654" s="612"/>
      <c r="H24654" s="612"/>
    </row>
    <row r="24655">
      <c r="B24655" s="612"/>
      <c r="H24655" s="612"/>
    </row>
    <row r="24656">
      <c r="B24656" s="612"/>
      <c r="H24656" s="612"/>
    </row>
    <row r="24657">
      <c r="B24657" s="612"/>
      <c r="H24657" s="612"/>
    </row>
    <row r="24658">
      <c r="B24658" s="612"/>
      <c r="H24658" s="612"/>
    </row>
    <row r="24659">
      <c r="B24659" s="612"/>
      <c r="H24659" s="612"/>
    </row>
    <row r="24660">
      <c r="B24660" s="612"/>
      <c r="H24660" s="612"/>
    </row>
    <row r="24661">
      <c r="B24661" s="612"/>
      <c r="H24661" s="612"/>
    </row>
    <row r="24662">
      <c r="B24662" s="612"/>
      <c r="H24662" s="612"/>
    </row>
    <row r="24663">
      <c r="B24663" s="612"/>
      <c r="H24663" s="612"/>
    </row>
    <row r="24664">
      <c r="B24664" s="612"/>
      <c r="H24664" s="612"/>
    </row>
    <row r="24665">
      <c r="B24665" s="612"/>
      <c r="H24665" s="612"/>
    </row>
    <row r="24666">
      <c r="B24666" s="612"/>
      <c r="H24666" s="612"/>
    </row>
    <row r="24667">
      <c r="B24667" s="612"/>
      <c r="H24667" s="612"/>
    </row>
    <row r="24668">
      <c r="B24668" s="612"/>
      <c r="H24668" s="612"/>
    </row>
    <row r="24669">
      <c r="B24669" s="612"/>
      <c r="H24669" s="612"/>
    </row>
    <row r="24670">
      <c r="B24670" s="612"/>
      <c r="H24670" s="612"/>
    </row>
    <row r="24671">
      <c r="B24671" s="612"/>
      <c r="H24671" s="612"/>
    </row>
    <row r="24672">
      <c r="B24672" s="612"/>
      <c r="H24672" s="612"/>
    </row>
    <row r="24673">
      <c r="B24673" s="612"/>
      <c r="H24673" s="612"/>
    </row>
    <row r="24674">
      <c r="B24674" s="612"/>
      <c r="H24674" s="612"/>
    </row>
    <row r="24675">
      <c r="B24675" s="612"/>
      <c r="H24675" s="612"/>
    </row>
    <row r="24676">
      <c r="B24676" s="612"/>
      <c r="H24676" s="612"/>
    </row>
    <row r="24677">
      <c r="B24677" s="612"/>
      <c r="H24677" s="612"/>
    </row>
    <row r="24678">
      <c r="B24678" s="612"/>
      <c r="H24678" s="612"/>
    </row>
    <row r="24679">
      <c r="B24679" s="612"/>
      <c r="H24679" s="612"/>
    </row>
    <row r="24680">
      <c r="B24680" s="612"/>
      <c r="H24680" s="612"/>
    </row>
    <row r="24681">
      <c r="B24681" s="612"/>
      <c r="H24681" s="612"/>
    </row>
    <row r="24682">
      <c r="B24682" s="612"/>
      <c r="H24682" s="612"/>
    </row>
    <row r="24683">
      <c r="B24683" s="612"/>
      <c r="H24683" s="612"/>
    </row>
    <row r="24684">
      <c r="B24684" s="612"/>
      <c r="H24684" s="612"/>
    </row>
    <row r="24685">
      <c r="B24685" s="612"/>
      <c r="H24685" s="612"/>
    </row>
    <row r="24686">
      <c r="B24686" s="612"/>
      <c r="H24686" s="612"/>
    </row>
    <row r="24687">
      <c r="B24687" s="612"/>
      <c r="H24687" s="612"/>
    </row>
    <row r="24688">
      <c r="B24688" s="612"/>
      <c r="H24688" s="612"/>
    </row>
    <row r="24689">
      <c r="B24689" s="612"/>
      <c r="H24689" s="612"/>
    </row>
    <row r="24690">
      <c r="B24690" s="612"/>
      <c r="H24690" s="612"/>
    </row>
    <row r="24691">
      <c r="B24691" s="612"/>
      <c r="H24691" s="612"/>
    </row>
    <row r="24692">
      <c r="B24692" s="612"/>
      <c r="H24692" s="612"/>
    </row>
    <row r="24693">
      <c r="B24693" s="612"/>
      <c r="H24693" s="612"/>
    </row>
    <row r="24694">
      <c r="B24694" s="612"/>
      <c r="H24694" s="612"/>
    </row>
    <row r="24695">
      <c r="B24695" s="612"/>
      <c r="H24695" s="612"/>
    </row>
    <row r="24696">
      <c r="B24696" s="612"/>
      <c r="H24696" s="612"/>
    </row>
    <row r="24697">
      <c r="B24697" s="612"/>
      <c r="H24697" s="612"/>
    </row>
    <row r="24698">
      <c r="B24698" s="612"/>
      <c r="H24698" s="612"/>
    </row>
    <row r="24699">
      <c r="B24699" s="612"/>
      <c r="H24699" s="612"/>
    </row>
    <row r="24700">
      <c r="B24700" s="612"/>
      <c r="H24700" s="612"/>
    </row>
    <row r="24701">
      <c r="B24701" s="612"/>
      <c r="H24701" s="612"/>
    </row>
    <row r="24702">
      <c r="B24702" s="612"/>
      <c r="H24702" s="612"/>
    </row>
    <row r="24703">
      <c r="B24703" s="612"/>
      <c r="H24703" s="612"/>
    </row>
    <row r="24704">
      <c r="B24704" s="612"/>
      <c r="H24704" s="612"/>
    </row>
    <row r="24705">
      <c r="B24705" s="612"/>
      <c r="H24705" s="612"/>
    </row>
    <row r="24706">
      <c r="B24706" s="612"/>
      <c r="H24706" s="612"/>
    </row>
    <row r="24707">
      <c r="B24707" s="612"/>
      <c r="H24707" s="612"/>
    </row>
    <row r="24708">
      <c r="B24708" s="612"/>
      <c r="H24708" s="612"/>
    </row>
    <row r="24709">
      <c r="B24709" s="612"/>
      <c r="H24709" s="612"/>
    </row>
    <row r="24710">
      <c r="B24710" s="612"/>
      <c r="H24710" s="612"/>
    </row>
    <row r="24711">
      <c r="B24711" s="612"/>
      <c r="H24711" s="612"/>
    </row>
    <row r="24712">
      <c r="B24712" s="612"/>
      <c r="H24712" s="612"/>
    </row>
    <row r="24713">
      <c r="B24713" s="612"/>
      <c r="H24713" s="612"/>
    </row>
    <row r="24714">
      <c r="B24714" s="612"/>
      <c r="H24714" s="612"/>
    </row>
    <row r="24715">
      <c r="B24715" s="612"/>
      <c r="H24715" s="612"/>
    </row>
    <row r="24716">
      <c r="B24716" s="612"/>
      <c r="H24716" s="612"/>
    </row>
    <row r="24717">
      <c r="B24717" s="612"/>
      <c r="H24717" s="612"/>
    </row>
    <row r="24718">
      <c r="B24718" s="612"/>
      <c r="H24718" s="612"/>
    </row>
    <row r="24719">
      <c r="B24719" s="612"/>
      <c r="H24719" s="612"/>
    </row>
    <row r="24720">
      <c r="B24720" s="612"/>
      <c r="H24720" s="612"/>
    </row>
    <row r="24721">
      <c r="B24721" s="612"/>
      <c r="H24721" s="612"/>
    </row>
    <row r="24722">
      <c r="B24722" s="612"/>
      <c r="H24722" s="612"/>
    </row>
    <row r="24723">
      <c r="B24723" s="612"/>
      <c r="H24723" s="612"/>
    </row>
    <row r="24724">
      <c r="B24724" s="612"/>
      <c r="H24724" s="612"/>
    </row>
    <row r="24725">
      <c r="B24725" s="612"/>
      <c r="H24725" s="612"/>
    </row>
    <row r="24726">
      <c r="B24726" s="612"/>
      <c r="H24726" s="612"/>
    </row>
    <row r="24727">
      <c r="B24727" s="612"/>
      <c r="H24727" s="612"/>
    </row>
    <row r="24728">
      <c r="B24728" s="612"/>
      <c r="H24728" s="612"/>
    </row>
    <row r="24729">
      <c r="B24729" s="612"/>
      <c r="H24729" s="612"/>
    </row>
    <row r="24730">
      <c r="B24730" s="612"/>
      <c r="H24730" s="612"/>
    </row>
    <row r="24731">
      <c r="B24731" s="612"/>
      <c r="H24731" s="612"/>
    </row>
    <row r="24732">
      <c r="B24732" s="612"/>
      <c r="H24732" s="612"/>
    </row>
    <row r="24733">
      <c r="B24733" s="612"/>
      <c r="H24733" s="612"/>
    </row>
    <row r="24734">
      <c r="B24734" s="612"/>
      <c r="H24734" s="612"/>
    </row>
    <row r="24735">
      <c r="B24735" s="612"/>
      <c r="H24735" s="612"/>
    </row>
    <row r="24736">
      <c r="B24736" s="612"/>
      <c r="H24736" s="612"/>
    </row>
    <row r="24737">
      <c r="B24737" s="612"/>
      <c r="H24737" s="612"/>
    </row>
    <row r="24738">
      <c r="B24738" s="612"/>
      <c r="H24738" s="612"/>
    </row>
    <row r="24739">
      <c r="B24739" s="612"/>
      <c r="H24739" s="612"/>
    </row>
    <row r="24740">
      <c r="B24740" s="612"/>
      <c r="H24740" s="612"/>
    </row>
    <row r="24741">
      <c r="B24741" s="612"/>
      <c r="H24741" s="612"/>
    </row>
    <row r="24742">
      <c r="B24742" s="612"/>
      <c r="H24742" s="612"/>
    </row>
    <row r="24743">
      <c r="B24743" s="612"/>
      <c r="H24743" s="612"/>
    </row>
    <row r="24744">
      <c r="B24744" s="612"/>
      <c r="H24744" s="612"/>
    </row>
    <row r="24745">
      <c r="B24745" s="612"/>
      <c r="H24745" s="612"/>
    </row>
    <row r="24746">
      <c r="B24746" s="612"/>
      <c r="H24746" s="612"/>
    </row>
    <row r="24747">
      <c r="B24747" s="612"/>
      <c r="H24747" s="612"/>
    </row>
    <row r="24748">
      <c r="B24748" s="612"/>
      <c r="H24748" s="612"/>
    </row>
    <row r="24749">
      <c r="B24749" s="612"/>
      <c r="H24749" s="612"/>
    </row>
    <row r="24750">
      <c r="B24750" s="612"/>
      <c r="H24750" s="612"/>
    </row>
    <row r="24751">
      <c r="B24751" s="612"/>
      <c r="H24751" s="612"/>
    </row>
    <row r="24752">
      <c r="B24752" s="612"/>
      <c r="H24752" s="612"/>
    </row>
    <row r="24753">
      <c r="B24753" s="612"/>
      <c r="H24753" s="612"/>
    </row>
    <row r="24754">
      <c r="B24754" s="612"/>
      <c r="H24754" s="612"/>
    </row>
    <row r="24755">
      <c r="B24755" s="612"/>
      <c r="H24755" s="612"/>
    </row>
    <row r="24756">
      <c r="B24756" s="612"/>
      <c r="H24756" s="612"/>
    </row>
    <row r="24757">
      <c r="B24757" s="612"/>
      <c r="H24757" s="612"/>
    </row>
    <row r="24758">
      <c r="B24758" s="612"/>
      <c r="H24758" s="612"/>
    </row>
    <row r="24759">
      <c r="B24759" s="612"/>
      <c r="H24759" s="612"/>
    </row>
    <row r="24760">
      <c r="B24760" s="612"/>
      <c r="H24760" s="612"/>
    </row>
    <row r="24761">
      <c r="B24761" s="612"/>
      <c r="H24761" s="612"/>
    </row>
    <row r="24762">
      <c r="B24762" s="612"/>
      <c r="H24762" s="612"/>
    </row>
    <row r="24763">
      <c r="B24763" s="612"/>
      <c r="H24763" s="612"/>
    </row>
    <row r="24764">
      <c r="B24764" s="612"/>
      <c r="H24764" s="612"/>
    </row>
    <row r="24765">
      <c r="B24765" s="612"/>
      <c r="H24765" s="612"/>
    </row>
    <row r="24766">
      <c r="B24766" s="612"/>
      <c r="H24766" s="612"/>
    </row>
    <row r="24767">
      <c r="B24767" s="612"/>
      <c r="H24767" s="612"/>
    </row>
    <row r="24768">
      <c r="B24768" s="612"/>
      <c r="H24768" s="612"/>
    </row>
    <row r="24769">
      <c r="B24769" s="612"/>
      <c r="H24769" s="612"/>
    </row>
    <row r="24770">
      <c r="B24770" s="612"/>
      <c r="H24770" s="612"/>
    </row>
    <row r="24771">
      <c r="B24771" s="612"/>
      <c r="H24771" s="612"/>
    </row>
    <row r="24772">
      <c r="B24772" s="612"/>
      <c r="H24772" s="612"/>
    </row>
    <row r="24773">
      <c r="B24773" s="612"/>
      <c r="H24773" s="612"/>
    </row>
    <row r="24774">
      <c r="B24774" s="612"/>
      <c r="H24774" s="612"/>
    </row>
    <row r="24775">
      <c r="B24775" s="612"/>
      <c r="H24775" s="612"/>
    </row>
    <row r="24776">
      <c r="B24776" s="612"/>
      <c r="H24776" s="612"/>
    </row>
    <row r="24777">
      <c r="B24777" s="612"/>
      <c r="H24777" s="612"/>
    </row>
    <row r="24778">
      <c r="B24778" s="612"/>
      <c r="H24778" s="612"/>
    </row>
    <row r="24779">
      <c r="B24779" s="612"/>
      <c r="H24779" s="612"/>
    </row>
    <row r="24780">
      <c r="B24780" s="612"/>
      <c r="H24780" s="612"/>
    </row>
    <row r="24781">
      <c r="B24781" s="612"/>
      <c r="H24781" s="612"/>
    </row>
    <row r="24782">
      <c r="B24782" s="612"/>
      <c r="H24782" s="612"/>
    </row>
    <row r="24783">
      <c r="B24783" s="612"/>
      <c r="H24783" s="612"/>
    </row>
    <row r="24784">
      <c r="B24784" s="612"/>
      <c r="H24784" s="612"/>
    </row>
    <row r="24785">
      <c r="B24785" s="612"/>
      <c r="H24785" s="612"/>
    </row>
    <row r="24786">
      <c r="B24786" s="612"/>
      <c r="H24786" s="612"/>
    </row>
    <row r="24787">
      <c r="B24787" s="612"/>
      <c r="H24787" s="612"/>
    </row>
    <row r="24788">
      <c r="B24788" s="612"/>
      <c r="H24788" s="612"/>
    </row>
    <row r="24789">
      <c r="B24789" s="612"/>
      <c r="H24789" s="612"/>
    </row>
    <row r="24790">
      <c r="B24790" s="612"/>
      <c r="H24790" s="612"/>
    </row>
    <row r="24791">
      <c r="B24791" s="612"/>
      <c r="H24791" s="612"/>
    </row>
    <row r="24792">
      <c r="B24792" s="612"/>
      <c r="H24792" s="612"/>
    </row>
    <row r="24793">
      <c r="B24793" s="612"/>
      <c r="H24793" s="612"/>
    </row>
    <row r="24794">
      <c r="B24794" s="612"/>
      <c r="H24794" s="612"/>
    </row>
    <row r="24795">
      <c r="B24795" s="612"/>
      <c r="H24795" s="612"/>
    </row>
    <row r="24796">
      <c r="B24796" s="612"/>
      <c r="H24796" s="612"/>
    </row>
    <row r="24797">
      <c r="B24797" s="612"/>
      <c r="H24797" s="612"/>
    </row>
    <row r="24798">
      <c r="B24798" s="612"/>
      <c r="H24798" s="612"/>
    </row>
    <row r="24799">
      <c r="B24799" s="612"/>
      <c r="H24799" s="612"/>
    </row>
    <row r="24800">
      <c r="B24800" s="612"/>
      <c r="H24800" s="612"/>
    </row>
    <row r="24801">
      <c r="B24801" s="612"/>
      <c r="H24801" s="612"/>
    </row>
    <row r="24802">
      <c r="B24802" s="612"/>
      <c r="H24802" s="612"/>
    </row>
    <row r="24803">
      <c r="B24803" s="612"/>
      <c r="H24803" s="612"/>
    </row>
    <row r="24804">
      <c r="B24804" s="612"/>
      <c r="H24804" s="612"/>
    </row>
    <row r="24805">
      <c r="B24805" s="612"/>
      <c r="H24805" s="612"/>
    </row>
    <row r="24806">
      <c r="B24806" s="612"/>
      <c r="H24806" s="612"/>
    </row>
    <row r="24807">
      <c r="B24807" s="612"/>
      <c r="H24807" s="612"/>
    </row>
    <row r="24808">
      <c r="B24808" s="612"/>
      <c r="H24808" s="612"/>
    </row>
    <row r="24809">
      <c r="B24809" s="612"/>
      <c r="H24809" s="612"/>
    </row>
    <row r="24810">
      <c r="B24810" s="612"/>
      <c r="H24810" s="612"/>
    </row>
    <row r="24811">
      <c r="B24811" s="612"/>
      <c r="H24811" s="612"/>
    </row>
    <row r="24812">
      <c r="B24812" s="612"/>
      <c r="H24812" s="612"/>
    </row>
    <row r="24813">
      <c r="B24813" s="612"/>
      <c r="H24813" s="612"/>
    </row>
    <row r="24814">
      <c r="B24814" s="612"/>
      <c r="H24814" s="612"/>
    </row>
    <row r="24815">
      <c r="B24815" s="612"/>
      <c r="H24815" s="612"/>
    </row>
    <row r="24816">
      <c r="B24816" s="612"/>
      <c r="H24816" s="612"/>
    </row>
    <row r="24817">
      <c r="B24817" s="612"/>
      <c r="H24817" s="612"/>
    </row>
    <row r="24818">
      <c r="B24818" s="612"/>
      <c r="H24818" s="612"/>
    </row>
    <row r="24819">
      <c r="B24819" s="612"/>
      <c r="H24819" s="612"/>
    </row>
    <row r="24820">
      <c r="B24820" s="612"/>
      <c r="H24820" s="612"/>
    </row>
    <row r="24821">
      <c r="B24821" s="612"/>
      <c r="H24821" s="612"/>
    </row>
    <row r="24822">
      <c r="B24822" s="612"/>
      <c r="H24822" s="612"/>
    </row>
    <row r="24823">
      <c r="B24823" s="612"/>
      <c r="H24823" s="612"/>
    </row>
    <row r="24824">
      <c r="B24824" s="612"/>
      <c r="H24824" s="612"/>
    </row>
    <row r="24825">
      <c r="B24825" s="612"/>
      <c r="H24825" s="612"/>
    </row>
    <row r="24826">
      <c r="B24826" s="612"/>
      <c r="H24826" s="612"/>
    </row>
    <row r="24827">
      <c r="B24827" s="612"/>
      <c r="H24827" s="612"/>
    </row>
    <row r="24828">
      <c r="B24828" s="612"/>
      <c r="H24828" s="612"/>
    </row>
    <row r="24829">
      <c r="B24829" s="612"/>
      <c r="H24829" s="612"/>
    </row>
    <row r="24830">
      <c r="B24830" s="612"/>
      <c r="H24830" s="612"/>
    </row>
    <row r="24831">
      <c r="B24831" s="612"/>
      <c r="H24831" s="612"/>
    </row>
    <row r="24832">
      <c r="B24832" s="612"/>
      <c r="H24832" s="612"/>
    </row>
    <row r="24833">
      <c r="B24833" s="612"/>
      <c r="H24833" s="612"/>
    </row>
    <row r="24834">
      <c r="B24834" s="612"/>
      <c r="H24834" s="612"/>
    </row>
    <row r="24835">
      <c r="B24835" s="612"/>
      <c r="H24835" s="612"/>
    </row>
    <row r="24836">
      <c r="B24836" s="612"/>
      <c r="H24836" s="612"/>
    </row>
    <row r="24837">
      <c r="B24837" s="612"/>
      <c r="H24837" s="612"/>
    </row>
    <row r="24838">
      <c r="B24838" s="612"/>
      <c r="H24838" s="612"/>
    </row>
    <row r="24839">
      <c r="B24839" s="612"/>
      <c r="H24839" s="612"/>
    </row>
    <row r="24840">
      <c r="B24840" s="612"/>
      <c r="H24840" s="612"/>
    </row>
    <row r="24841">
      <c r="B24841" s="612"/>
      <c r="H24841" s="612"/>
    </row>
    <row r="24842">
      <c r="B24842" s="612"/>
      <c r="H24842" s="612"/>
    </row>
    <row r="24843">
      <c r="B24843" s="612"/>
      <c r="H24843" s="612"/>
    </row>
    <row r="24844">
      <c r="B24844" s="612"/>
      <c r="H24844" s="612"/>
    </row>
    <row r="24845">
      <c r="B24845" s="612"/>
      <c r="H24845" s="612"/>
    </row>
    <row r="24846">
      <c r="B24846" s="612"/>
      <c r="H24846" s="612"/>
    </row>
    <row r="24847">
      <c r="B24847" s="612"/>
      <c r="H24847" s="612"/>
    </row>
    <row r="24848">
      <c r="B24848" s="612"/>
      <c r="H24848" s="612"/>
    </row>
    <row r="24849">
      <c r="B24849" s="612"/>
      <c r="H24849" s="612"/>
    </row>
    <row r="24850">
      <c r="B24850" s="612"/>
      <c r="H24850" s="612"/>
    </row>
    <row r="24851">
      <c r="B24851" s="612"/>
      <c r="H24851" s="612"/>
    </row>
    <row r="24852">
      <c r="B24852" s="612"/>
      <c r="H24852" s="612"/>
    </row>
    <row r="24853">
      <c r="B24853" s="612"/>
      <c r="H24853" s="612"/>
    </row>
    <row r="24854">
      <c r="B24854" s="612"/>
      <c r="H24854" s="612"/>
    </row>
    <row r="24855">
      <c r="B24855" s="612"/>
      <c r="H24855" s="612"/>
    </row>
    <row r="24856">
      <c r="B24856" s="612"/>
      <c r="H24856" s="612"/>
    </row>
    <row r="24857">
      <c r="B24857" s="612"/>
      <c r="H24857" s="612"/>
    </row>
    <row r="24858">
      <c r="B24858" s="612"/>
      <c r="H24858" s="612"/>
    </row>
    <row r="24859">
      <c r="B24859" s="612"/>
      <c r="H24859" s="612"/>
    </row>
    <row r="24860">
      <c r="B24860" s="612"/>
      <c r="H24860" s="612"/>
    </row>
    <row r="24861">
      <c r="B24861" s="612"/>
      <c r="H24861" s="612"/>
    </row>
    <row r="24862">
      <c r="B24862" s="612"/>
      <c r="H24862" s="612"/>
    </row>
    <row r="24863">
      <c r="B24863" s="612"/>
      <c r="H24863" s="612"/>
    </row>
    <row r="24864">
      <c r="B24864" s="612"/>
      <c r="H24864" s="612"/>
    </row>
    <row r="24865">
      <c r="B24865" s="612"/>
      <c r="H24865" s="612"/>
    </row>
    <row r="24866">
      <c r="B24866" s="612"/>
      <c r="H24866" s="612"/>
    </row>
    <row r="24867">
      <c r="B24867" s="612"/>
      <c r="H24867" s="612"/>
    </row>
    <row r="24868">
      <c r="B24868" s="612"/>
      <c r="H24868" s="612"/>
    </row>
    <row r="24869">
      <c r="B24869" s="612"/>
      <c r="H24869" s="612"/>
    </row>
    <row r="24870">
      <c r="B24870" s="612"/>
      <c r="H24870" s="612"/>
    </row>
    <row r="24871">
      <c r="B24871" s="612"/>
      <c r="H24871" s="612"/>
    </row>
    <row r="24872">
      <c r="B24872" s="612"/>
      <c r="H24872" s="612"/>
    </row>
    <row r="24873">
      <c r="B24873" s="612"/>
      <c r="H24873" s="612"/>
    </row>
    <row r="24874">
      <c r="B24874" s="612"/>
      <c r="H24874" s="612"/>
    </row>
    <row r="24875">
      <c r="B24875" s="612"/>
      <c r="H24875" s="612"/>
    </row>
    <row r="24876">
      <c r="B24876" s="612"/>
      <c r="H24876" s="612"/>
    </row>
    <row r="24877">
      <c r="B24877" s="612"/>
      <c r="H24877" s="612"/>
    </row>
    <row r="24878">
      <c r="B24878" s="612"/>
      <c r="H24878" s="612"/>
    </row>
    <row r="24879">
      <c r="B24879" s="612"/>
      <c r="H24879" s="612"/>
    </row>
    <row r="24880">
      <c r="B24880" s="612"/>
      <c r="H24880" s="612"/>
    </row>
    <row r="24881">
      <c r="B24881" s="612"/>
      <c r="H24881" s="612"/>
    </row>
    <row r="24882">
      <c r="B24882" s="612"/>
      <c r="H24882" s="612"/>
    </row>
    <row r="24883">
      <c r="B24883" s="612"/>
      <c r="H24883" s="612"/>
    </row>
    <row r="24884">
      <c r="B24884" s="612"/>
      <c r="H24884" s="612"/>
    </row>
    <row r="24885">
      <c r="B24885" s="612"/>
      <c r="H24885" s="612"/>
    </row>
    <row r="24886">
      <c r="B24886" s="612"/>
      <c r="H24886" s="612"/>
    </row>
    <row r="24887">
      <c r="B24887" s="612"/>
      <c r="H24887" s="612"/>
    </row>
    <row r="24888">
      <c r="B24888" s="612"/>
      <c r="H24888" s="612"/>
    </row>
    <row r="24889">
      <c r="B24889" s="612"/>
      <c r="H24889" s="612"/>
    </row>
    <row r="24890">
      <c r="B24890" s="612"/>
      <c r="H24890" s="612"/>
    </row>
    <row r="24891">
      <c r="B24891" s="612"/>
      <c r="H24891" s="612"/>
    </row>
    <row r="24892">
      <c r="B24892" s="612"/>
      <c r="H24892" s="612"/>
    </row>
    <row r="24893">
      <c r="B24893" s="612"/>
      <c r="H24893" s="612"/>
    </row>
    <row r="24894">
      <c r="B24894" s="612"/>
      <c r="H24894" s="612"/>
    </row>
    <row r="24895">
      <c r="B24895" s="612"/>
      <c r="H24895" s="612"/>
    </row>
    <row r="24896">
      <c r="B24896" s="612"/>
      <c r="H24896" s="612"/>
    </row>
    <row r="24897">
      <c r="B24897" s="612"/>
      <c r="H24897" s="612"/>
    </row>
    <row r="24898">
      <c r="B24898" s="612"/>
      <c r="H24898" s="612"/>
    </row>
    <row r="24899">
      <c r="B24899" s="612"/>
      <c r="H24899" s="612"/>
    </row>
    <row r="24900">
      <c r="B24900" s="612"/>
      <c r="H24900" s="612"/>
    </row>
    <row r="24901">
      <c r="B24901" s="612"/>
      <c r="H24901" s="612"/>
    </row>
    <row r="24902">
      <c r="B24902" s="612"/>
      <c r="H24902" s="612"/>
    </row>
    <row r="24903">
      <c r="B24903" s="612"/>
      <c r="H24903" s="612"/>
    </row>
    <row r="24904">
      <c r="B24904" s="612"/>
      <c r="H24904" s="612"/>
    </row>
    <row r="24905">
      <c r="B24905" s="612"/>
      <c r="H24905" s="612"/>
    </row>
    <row r="24906">
      <c r="B24906" s="612"/>
      <c r="H24906" s="612"/>
    </row>
    <row r="24907">
      <c r="B24907" s="612"/>
      <c r="H24907" s="612"/>
    </row>
    <row r="24908">
      <c r="B24908" s="612"/>
      <c r="H24908" s="612"/>
    </row>
    <row r="24909">
      <c r="B24909" s="612"/>
      <c r="H24909" s="612"/>
    </row>
    <row r="24910">
      <c r="B24910" s="612"/>
      <c r="H24910" s="612"/>
    </row>
    <row r="24911">
      <c r="B24911" s="612"/>
      <c r="H24911" s="612"/>
    </row>
    <row r="24912">
      <c r="B24912" s="612"/>
      <c r="H24912" s="612"/>
    </row>
    <row r="24913">
      <c r="B24913" s="612"/>
      <c r="H24913" s="612"/>
    </row>
    <row r="24914">
      <c r="B24914" s="612"/>
      <c r="H24914" s="612"/>
    </row>
    <row r="24915">
      <c r="B24915" s="612"/>
      <c r="H24915" s="612"/>
    </row>
    <row r="24916">
      <c r="B24916" s="612"/>
      <c r="H24916" s="612"/>
    </row>
    <row r="24917">
      <c r="B24917" s="612"/>
      <c r="H24917" s="612"/>
    </row>
    <row r="24918">
      <c r="B24918" s="612"/>
      <c r="H24918" s="612"/>
    </row>
    <row r="24919">
      <c r="B24919" s="612"/>
      <c r="H24919" s="612"/>
    </row>
    <row r="24920">
      <c r="B24920" s="612"/>
      <c r="H24920" s="612"/>
    </row>
    <row r="24921">
      <c r="B24921" s="612"/>
      <c r="H24921" s="612"/>
    </row>
    <row r="24922">
      <c r="B24922" s="612"/>
      <c r="H24922" s="612"/>
    </row>
    <row r="24923">
      <c r="B24923" s="612"/>
      <c r="H24923" s="612"/>
    </row>
    <row r="24924">
      <c r="B24924" s="612"/>
      <c r="H24924" s="612"/>
    </row>
    <row r="24925">
      <c r="B24925" s="612"/>
      <c r="H24925" s="612"/>
    </row>
    <row r="24926">
      <c r="B24926" s="612"/>
      <c r="H24926" s="612"/>
    </row>
    <row r="24927">
      <c r="B24927" s="612"/>
      <c r="H24927" s="612"/>
    </row>
    <row r="24928">
      <c r="B24928" s="612"/>
      <c r="H24928" s="612"/>
    </row>
    <row r="24929">
      <c r="B24929" s="612"/>
      <c r="H24929" s="612"/>
    </row>
    <row r="24930">
      <c r="B24930" s="612"/>
      <c r="H24930" s="612"/>
    </row>
    <row r="24931">
      <c r="B24931" s="612"/>
      <c r="H24931" s="612"/>
    </row>
    <row r="24932">
      <c r="B24932" s="612"/>
      <c r="H24932" s="612"/>
    </row>
    <row r="24933">
      <c r="B24933" s="612"/>
      <c r="H24933" s="612"/>
    </row>
    <row r="24934">
      <c r="B24934" s="612"/>
      <c r="H24934" s="612"/>
    </row>
    <row r="24935">
      <c r="B24935" s="612"/>
      <c r="H24935" s="612"/>
    </row>
    <row r="24936">
      <c r="B24936" s="612"/>
      <c r="H24936" s="612"/>
    </row>
    <row r="24937">
      <c r="B24937" s="612"/>
      <c r="H24937" s="612"/>
    </row>
    <row r="24938">
      <c r="B24938" s="612"/>
      <c r="H24938" s="612"/>
    </row>
    <row r="24939">
      <c r="B24939" s="612"/>
      <c r="H24939" s="612"/>
    </row>
    <row r="24940">
      <c r="B24940" s="612"/>
      <c r="H24940" s="612"/>
    </row>
    <row r="24941">
      <c r="B24941" s="612"/>
      <c r="H24941" s="612"/>
    </row>
    <row r="24942">
      <c r="B24942" s="612"/>
      <c r="H24942" s="612"/>
    </row>
    <row r="24943">
      <c r="B24943" s="612"/>
      <c r="H24943" s="612"/>
    </row>
    <row r="24944">
      <c r="B24944" s="612"/>
      <c r="H24944" s="612"/>
    </row>
    <row r="24945">
      <c r="B24945" s="612"/>
      <c r="H24945" s="612"/>
    </row>
    <row r="24946">
      <c r="B24946" s="612"/>
      <c r="H24946" s="612"/>
    </row>
    <row r="24947">
      <c r="B24947" s="612"/>
      <c r="H24947" s="612"/>
    </row>
    <row r="24948">
      <c r="B24948" s="612"/>
      <c r="H24948" s="612"/>
    </row>
    <row r="24949">
      <c r="B24949" s="612"/>
      <c r="H24949" s="612"/>
    </row>
    <row r="24950">
      <c r="B24950" s="612"/>
      <c r="H24950" s="612"/>
    </row>
    <row r="24951">
      <c r="B24951" s="612"/>
      <c r="H24951" s="612"/>
    </row>
    <row r="24952">
      <c r="B24952" s="612"/>
      <c r="H24952" s="612"/>
    </row>
    <row r="24953">
      <c r="B24953" s="612"/>
      <c r="H24953" s="612"/>
    </row>
    <row r="24954">
      <c r="B24954" s="612"/>
      <c r="H24954" s="612"/>
    </row>
    <row r="24955">
      <c r="B24955" s="612"/>
      <c r="H24955" s="612"/>
    </row>
    <row r="24956">
      <c r="B24956" s="612"/>
      <c r="H24956" s="612"/>
    </row>
    <row r="24957">
      <c r="B24957" s="612"/>
      <c r="H24957" s="612"/>
    </row>
    <row r="24958">
      <c r="B24958" s="612"/>
      <c r="H24958" s="612"/>
    </row>
    <row r="24959">
      <c r="B24959" s="612"/>
      <c r="H24959" s="612"/>
    </row>
    <row r="24960">
      <c r="B24960" s="612"/>
      <c r="H24960" s="612"/>
    </row>
    <row r="24961">
      <c r="B24961" s="612"/>
      <c r="H24961" s="612"/>
    </row>
    <row r="24962">
      <c r="B24962" s="612"/>
      <c r="H24962" s="612"/>
    </row>
    <row r="24963">
      <c r="B24963" s="612"/>
      <c r="H24963" s="612"/>
    </row>
    <row r="24964">
      <c r="B24964" s="612"/>
      <c r="H24964" s="612"/>
    </row>
    <row r="24965">
      <c r="B24965" s="612"/>
      <c r="H24965" s="612"/>
    </row>
    <row r="24966">
      <c r="B24966" s="612"/>
      <c r="H24966" s="612"/>
    </row>
    <row r="24967">
      <c r="B24967" s="612"/>
      <c r="H24967" s="612"/>
    </row>
    <row r="24968">
      <c r="B24968" s="612"/>
      <c r="H24968" s="612"/>
    </row>
    <row r="24969">
      <c r="B24969" s="612"/>
      <c r="H24969" s="612"/>
    </row>
    <row r="24970">
      <c r="B24970" s="612"/>
      <c r="H24970" s="612"/>
    </row>
    <row r="24971">
      <c r="B24971" s="612"/>
      <c r="H24971" s="612"/>
    </row>
    <row r="24972">
      <c r="B24972" s="612"/>
      <c r="H24972" s="612"/>
    </row>
    <row r="24973">
      <c r="B24973" s="612"/>
      <c r="H24973" s="612"/>
    </row>
    <row r="24974">
      <c r="B24974" s="612"/>
      <c r="H24974" s="612"/>
    </row>
    <row r="24975">
      <c r="B24975" s="612"/>
      <c r="H24975" s="612"/>
    </row>
    <row r="24976">
      <c r="B24976" s="612"/>
      <c r="H24976" s="612"/>
    </row>
    <row r="24977">
      <c r="B24977" s="612"/>
      <c r="H24977" s="612"/>
    </row>
    <row r="24978">
      <c r="B24978" s="612"/>
      <c r="H24978" s="612"/>
    </row>
    <row r="24979">
      <c r="B24979" s="612"/>
      <c r="H24979" s="612"/>
    </row>
    <row r="24980">
      <c r="B24980" s="612"/>
      <c r="H24980" s="612"/>
    </row>
    <row r="24981">
      <c r="B24981" s="612"/>
      <c r="H24981" s="612"/>
    </row>
    <row r="24982">
      <c r="B24982" s="612"/>
      <c r="H24982" s="612"/>
    </row>
    <row r="24983">
      <c r="B24983" s="612"/>
      <c r="H24983" s="612"/>
    </row>
    <row r="24984">
      <c r="B24984" s="612"/>
      <c r="H24984" s="612"/>
    </row>
    <row r="24985">
      <c r="B24985" s="612"/>
      <c r="H24985" s="612"/>
    </row>
    <row r="24986">
      <c r="B24986" s="612"/>
      <c r="H24986" s="612"/>
    </row>
    <row r="24987">
      <c r="B24987" s="612"/>
      <c r="H24987" s="612"/>
    </row>
    <row r="24988">
      <c r="B24988" s="612"/>
      <c r="H24988" s="612"/>
    </row>
    <row r="24989">
      <c r="B24989" s="612"/>
      <c r="H24989" s="612"/>
    </row>
    <row r="24990">
      <c r="B24990" s="612"/>
      <c r="H24990" s="612"/>
    </row>
    <row r="24991">
      <c r="B24991" s="612"/>
      <c r="H24991" s="612"/>
    </row>
    <row r="24992">
      <c r="B24992" s="612"/>
      <c r="H24992" s="612"/>
    </row>
    <row r="24993">
      <c r="B24993" s="612"/>
      <c r="H24993" s="612"/>
    </row>
    <row r="24994">
      <c r="B24994" s="612"/>
      <c r="H24994" s="612"/>
    </row>
    <row r="24995">
      <c r="B24995" s="612"/>
      <c r="H24995" s="612"/>
    </row>
    <row r="24996">
      <c r="B24996" s="612"/>
      <c r="H24996" s="612"/>
    </row>
    <row r="24997">
      <c r="B24997" s="612"/>
      <c r="H24997" s="612"/>
    </row>
    <row r="24998">
      <c r="B24998" s="612"/>
      <c r="H24998" s="612"/>
    </row>
    <row r="24999">
      <c r="B24999" s="612"/>
      <c r="H24999" s="612"/>
    </row>
    <row r="25000">
      <c r="B25000" s="612"/>
      <c r="H25000" s="612"/>
    </row>
    <row r="25001">
      <c r="B25001" s="612"/>
      <c r="H25001" s="612"/>
    </row>
    <row r="25002">
      <c r="B25002" s="612"/>
      <c r="H25002" s="612"/>
    </row>
    <row r="25003">
      <c r="B25003" s="612"/>
      <c r="H25003" s="612"/>
    </row>
    <row r="25004">
      <c r="B25004" s="612"/>
      <c r="H25004" s="612"/>
    </row>
    <row r="25005">
      <c r="B25005" s="612"/>
      <c r="H25005" s="612"/>
    </row>
    <row r="25006">
      <c r="B25006" s="612"/>
      <c r="H25006" s="612"/>
    </row>
    <row r="25007">
      <c r="B25007" s="612"/>
      <c r="H25007" s="612"/>
    </row>
    <row r="25008">
      <c r="B25008" s="612"/>
      <c r="H25008" s="612"/>
    </row>
    <row r="25009">
      <c r="B25009" s="612"/>
      <c r="H25009" s="612"/>
    </row>
    <row r="25010">
      <c r="B25010" s="612"/>
      <c r="H25010" s="612"/>
    </row>
    <row r="25011">
      <c r="B25011" s="612"/>
      <c r="H25011" s="612"/>
    </row>
    <row r="25012">
      <c r="B25012" s="612"/>
      <c r="H25012" s="612"/>
    </row>
    <row r="25013">
      <c r="B25013" s="612"/>
      <c r="H25013" s="612"/>
    </row>
    <row r="25014">
      <c r="B25014" s="612"/>
      <c r="H25014" s="612"/>
    </row>
    <row r="25015">
      <c r="B25015" s="612"/>
      <c r="H25015" s="612"/>
    </row>
    <row r="25016">
      <c r="B25016" s="612"/>
      <c r="H25016" s="612"/>
    </row>
    <row r="25017">
      <c r="B25017" s="612"/>
      <c r="H25017" s="612"/>
    </row>
    <row r="25018">
      <c r="B25018" s="612"/>
      <c r="H25018" s="612"/>
    </row>
    <row r="25019">
      <c r="B25019" s="612"/>
      <c r="H25019" s="612"/>
    </row>
    <row r="25020">
      <c r="B25020" s="612"/>
      <c r="H25020" s="612"/>
    </row>
    <row r="25021">
      <c r="B25021" s="612"/>
      <c r="H25021" s="612"/>
    </row>
    <row r="25022">
      <c r="B25022" s="612"/>
      <c r="H25022" s="612"/>
    </row>
    <row r="25023">
      <c r="B25023" s="612"/>
      <c r="H25023" s="612"/>
    </row>
    <row r="25024">
      <c r="B25024" s="612"/>
      <c r="H25024" s="612"/>
    </row>
    <row r="25025">
      <c r="B25025" s="612"/>
      <c r="H25025" s="612"/>
    </row>
    <row r="25026">
      <c r="B25026" s="612"/>
      <c r="H25026" s="612"/>
    </row>
    <row r="25027">
      <c r="B25027" s="612"/>
      <c r="H25027" s="612"/>
    </row>
    <row r="25028">
      <c r="B25028" s="612"/>
      <c r="H25028" s="612"/>
    </row>
    <row r="25029">
      <c r="B25029" s="612"/>
      <c r="H25029" s="612"/>
    </row>
    <row r="25030">
      <c r="B25030" s="612"/>
      <c r="H25030" s="612"/>
    </row>
    <row r="25031">
      <c r="B25031" s="612"/>
      <c r="H25031" s="612"/>
    </row>
    <row r="25032">
      <c r="B25032" s="612"/>
      <c r="H25032" s="612"/>
    </row>
    <row r="25033">
      <c r="B25033" s="612"/>
      <c r="H25033" s="612"/>
    </row>
    <row r="25034">
      <c r="B25034" s="612"/>
      <c r="H25034" s="612"/>
    </row>
    <row r="25035">
      <c r="B25035" s="612"/>
      <c r="H25035" s="612"/>
    </row>
    <row r="25036">
      <c r="B25036" s="612"/>
      <c r="H25036" s="612"/>
    </row>
    <row r="25037">
      <c r="B25037" s="612"/>
      <c r="H25037" s="612"/>
    </row>
    <row r="25038">
      <c r="B25038" s="612"/>
      <c r="H25038" s="612"/>
    </row>
    <row r="25039">
      <c r="B25039" s="612"/>
      <c r="H25039" s="612"/>
    </row>
    <row r="25040">
      <c r="B25040" s="612"/>
      <c r="H25040" s="612"/>
    </row>
    <row r="25041">
      <c r="B25041" s="612"/>
      <c r="H25041" s="612"/>
    </row>
    <row r="25042">
      <c r="B25042" s="612"/>
      <c r="H25042" s="612"/>
    </row>
    <row r="25043">
      <c r="B25043" s="612"/>
      <c r="H25043" s="612"/>
    </row>
    <row r="25044">
      <c r="B25044" s="612"/>
      <c r="H25044" s="612"/>
    </row>
    <row r="25045">
      <c r="B25045" s="612"/>
      <c r="H25045" s="612"/>
    </row>
    <row r="25046">
      <c r="B25046" s="612"/>
      <c r="H25046" s="612"/>
    </row>
    <row r="25047">
      <c r="B25047" s="612"/>
      <c r="H25047" s="612"/>
    </row>
    <row r="25048">
      <c r="B25048" s="612"/>
      <c r="H25048" s="612"/>
    </row>
    <row r="25049">
      <c r="B25049" s="612"/>
      <c r="H25049" s="612"/>
    </row>
    <row r="25050">
      <c r="B25050" s="612"/>
      <c r="H25050" s="612"/>
    </row>
    <row r="25051">
      <c r="B25051" s="612"/>
      <c r="H25051" s="612"/>
    </row>
    <row r="25052">
      <c r="B25052" s="612"/>
      <c r="H25052" s="612"/>
    </row>
    <row r="25053">
      <c r="B25053" s="612"/>
      <c r="H25053" s="612"/>
    </row>
    <row r="25054">
      <c r="B25054" s="612"/>
      <c r="H25054" s="612"/>
    </row>
    <row r="25055">
      <c r="B25055" s="612"/>
      <c r="H25055" s="612"/>
    </row>
    <row r="25056">
      <c r="B25056" s="612"/>
      <c r="H25056" s="612"/>
    </row>
    <row r="25057">
      <c r="B25057" s="612"/>
      <c r="H25057" s="612"/>
    </row>
    <row r="25058">
      <c r="B25058" s="612"/>
      <c r="H25058" s="612"/>
    </row>
    <row r="25059">
      <c r="B25059" s="612"/>
      <c r="H25059" s="612"/>
    </row>
    <row r="25060">
      <c r="B25060" s="612"/>
      <c r="H25060" s="612"/>
    </row>
    <row r="25061">
      <c r="B25061" s="612"/>
      <c r="H25061" s="612"/>
    </row>
    <row r="25062">
      <c r="B25062" s="612"/>
      <c r="H25062" s="612"/>
    </row>
    <row r="25063">
      <c r="B25063" s="612"/>
      <c r="H25063" s="612"/>
    </row>
    <row r="25064">
      <c r="B25064" s="612"/>
      <c r="H25064" s="612"/>
    </row>
    <row r="25065">
      <c r="B25065" s="612"/>
      <c r="H25065" s="612"/>
    </row>
    <row r="25066">
      <c r="B25066" s="612"/>
      <c r="H25066" s="612"/>
    </row>
    <row r="25067">
      <c r="B25067" s="612"/>
      <c r="H25067" s="612"/>
    </row>
    <row r="25068">
      <c r="B25068" s="612"/>
      <c r="H25068" s="612"/>
    </row>
    <row r="25069">
      <c r="B25069" s="612"/>
      <c r="H25069" s="612"/>
    </row>
    <row r="25070">
      <c r="B25070" s="612"/>
      <c r="H25070" s="612"/>
    </row>
    <row r="25071">
      <c r="B25071" s="612"/>
      <c r="H25071" s="612"/>
    </row>
    <row r="25072">
      <c r="B25072" s="612"/>
      <c r="H25072" s="612"/>
    </row>
    <row r="25073">
      <c r="B25073" s="612"/>
      <c r="H25073" s="612"/>
    </row>
    <row r="25074">
      <c r="B25074" s="612"/>
      <c r="H25074" s="612"/>
    </row>
    <row r="25075">
      <c r="B25075" s="612"/>
      <c r="H25075" s="612"/>
    </row>
    <row r="25076">
      <c r="B25076" s="612"/>
      <c r="H25076" s="612"/>
    </row>
    <row r="25077">
      <c r="B25077" s="612"/>
      <c r="H25077" s="612"/>
    </row>
    <row r="25078">
      <c r="B25078" s="612"/>
      <c r="H25078" s="612"/>
    </row>
    <row r="25079">
      <c r="B25079" s="612"/>
      <c r="H25079" s="612"/>
    </row>
    <row r="25080">
      <c r="B25080" s="612"/>
      <c r="H25080" s="612"/>
    </row>
    <row r="25081">
      <c r="B25081" s="612"/>
      <c r="H25081" s="612"/>
    </row>
    <row r="25082">
      <c r="B25082" s="612"/>
      <c r="H25082" s="612"/>
    </row>
    <row r="25083">
      <c r="B25083" s="612"/>
      <c r="H25083" s="612"/>
    </row>
    <row r="25084">
      <c r="B25084" s="612"/>
      <c r="H25084" s="612"/>
    </row>
    <row r="25085">
      <c r="B25085" s="612"/>
      <c r="H25085" s="612"/>
    </row>
    <row r="25086">
      <c r="B25086" s="612"/>
      <c r="H25086" s="612"/>
    </row>
    <row r="25087">
      <c r="B25087" s="612"/>
      <c r="H25087" s="612"/>
    </row>
    <row r="25088">
      <c r="B25088" s="612"/>
      <c r="H25088" s="612"/>
    </row>
    <row r="25089">
      <c r="B25089" s="612"/>
      <c r="H25089" s="612"/>
    </row>
    <row r="25090">
      <c r="B25090" s="612"/>
      <c r="H25090" s="612"/>
    </row>
    <row r="25091">
      <c r="B25091" s="612"/>
      <c r="H25091" s="612"/>
    </row>
    <row r="25092">
      <c r="B25092" s="612"/>
      <c r="H25092" s="612"/>
    </row>
    <row r="25093">
      <c r="B25093" s="612"/>
      <c r="H25093" s="612"/>
    </row>
    <row r="25094">
      <c r="B25094" s="612"/>
      <c r="H25094" s="612"/>
    </row>
    <row r="25095">
      <c r="B25095" s="612"/>
      <c r="H25095" s="612"/>
    </row>
    <row r="25096">
      <c r="B25096" s="612"/>
      <c r="H25096" s="612"/>
    </row>
    <row r="25097">
      <c r="B25097" s="612"/>
      <c r="H25097" s="612"/>
    </row>
    <row r="25098">
      <c r="B25098" s="612"/>
      <c r="H25098" s="612"/>
    </row>
    <row r="25099">
      <c r="B25099" s="612"/>
      <c r="H25099" s="612"/>
    </row>
    <row r="25100">
      <c r="B25100" s="612"/>
      <c r="H25100" s="612"/>
    </row>
    <row r="25101">
      <c r="B25101" s="612"/>
      <c r="H25101" s="612"/>
    </row>
    <row r="25102">
      <c r="B25102" s="612"/>
      <c r="H25102" s="612"/>
    </row>
    <row r="25103">
      <c r="B25103" s="612"/>
      <c r="H25103" s="612"/>
    </row>
    <row r="25104">
      <c r="B25104" s="612"/>
      <c r="H25104" s="612"/>
    </row>
    <row r="25105">
      <c r="B25105" s="612"/>
      <c r="H25105" s="612"/>
    </row>
    <row r="25106">
      <c r="B25106" s="612"/>
      <c r="H25106" s="612"/>
    </row>
    <row r="25107">
      <c r="B25107" s="612"/>
      <c r="H25107" s="612"/>
    </row>
    <row r="25108">
      <c r="B25108" s="612"/>
      <c r="H25108" s="612"/>
    </row>
    <row r="25109">
      <c r="B25109" s="612"/>
      <c r="H25109" s="612"/>
    </row>
    <row r="25110">
      <c r="B25110" s="612"/>
      <c r="H25110" s="612"/>
    </row>
    <row r="25111">
      <c r="B25111" s="612"/>
      <c r="H25111" s="612"/>
    </row>
    <row r="25112">
      <c r="B25112" s="612"/>
      <c r="H25112" s="612"/>
    </row>
    <row r="25113">
      <c r="B25113" s="612"/>
      <c r="H25113" s="612"/>
    </row>
    <row r="25114">
      <c r="B25114" s="612"/>
      <c r="H25114" s="612"/>
    </row>
    <row r="25115">
      <c r="B25115" s="612"/>
      <c r="H25115" s="612"/>
    </row>
    <row r="25116">
      <c r="B25116" s="612"/>
      <c r="H25116" s="612"/>
    </row>
    <row r="25117">
      <c r="B25117" s="612"/>
      <c r="H25117" s="612"/>
    </row>
    <row r="25118">
      <c r="B25118" s="612"/>
      <c r="H25118" s="612"/>
    </row>
    <row r="25119">
      <c r="B25119" s="612"/>
      <c r="H25119" s="612"/>
    </row>
    <row r="25120">
      <c r="B25120" s="612"/>
      <c r="H25120" s="612"/>
    </row>
    <row r="25121">
      <c r="B25121" s="612"/>
      <c r="H25121" s="612"/>
    </row>
    <row r="25122">
      <c r="B25122" s="612"/>
      <c r="H25122" s="612"/>
    </row>
    <row r="25123">
      <c r="B25123" s="612"/>
      <c r="H25123" s="612"/>
    </row>
    <row r="25124">
      <c r="B25124" s="612"/>
      <c r="H25124" s="612"/>
    </row>
    <row r="25125">
      <c r="B25125" s="612"/>
      <c r="H25125" s="612"/>
    </row>
    <row r="25126">
      <c r="B25126" s="612"/>
      <c r="H25126" s="612"/>
    </row>
    <row r="25127">
      <c r="B25127" s="612"/>
      <c r="H25127" s="612"/>
    </row>
    <row r="25128">
      <c r="B25128" s="612"/>
      <c r="H25128" s="612"/>
    </row>
    <row r="25129">
      <c r="B25129" s="612"/>
      <c r="H25129" s="612"/>
    </row>
    <row r="25130">
      <c r="B25130" s="612"/>
      <c r="H25130" s="612"/>
    </row>
    <row r="25131">
      <c r="B25131" s="612"/>
      <c r="H25131" s="612"/>
    </row>
    <row r="25132">
      <c r="B25132" s="612"/>
      <c r="H25132" s="612"/>
    </row>
    <row r="25133">
      <c r="B25133" s="612"/>
      <c r="H25133" s="612"/>
    </row>
    <row r="25134">
      <c r="B25134" s="612"/>
      <c r="H25134" s="612"/>
    </row>
    <row r="25135">
      <c r="B25135" s="612"/>
      <c r="H25135" s="612"/>
    </row>
    <row r="25136">
      <c r="B25136" s="612"/>
      <c r="H25136" s="612"/>
    </row>
    <row r="25137">
      <c r="B25137" s="612"/>
      <c r="H25137" s="612"/>
    </row>
    <row r="25138">
      <c r="B25138" s="612"/>
      <c r="H25138" s="612"/>
    </row>
    <row r="25139">
      <c r="B25139" s="612"/>
      <c r="H25139" s="612"/>
    </row>
    <row r="25140">
      <c r="B25140" s="612"/>
      <c r="H25140" s="612"/>
    </row>
    <row r="25141">
      <c r="B25141" s="612"/>
      <c r="H25141" s="612"/>
    </row>
    <row r="25142">
      <c r="B25142" s="612"/>
      <c r="H25142" s="612"/>
    </row>
    <row r="25143">
      <c r="B25143" s="612"/>
      <c r="H25143" s="612"/>
    </row>
    <row r="25144">
      <c r="B25144" s="612"/>
      <c r="H25144" s="612"/>
    </row>
    <row r="25145">
      <c r="B25145" s="612"/>
      <c r="H25145" s="612"/>
    </row>
    <row r="25146">
      <c r="B25146" s="612"/>
      <c r="H25146" s="612"/>
    </row>
    <row r="25147">
      <c r="B25147" s="612"/>
      <c r="H25147" s="612"/>
    </row>
    <row r="25148">
      <c r="B25148" s="612"/>
      <c r="H25148" s="612"/>
    </row>
    <row r="25149">
      <c r="B25149" s="612"/>
      <c r="H25149" s="612"/>
    </row>
    <row r="25150">
      <c r="B25150" s="612"/>
      <c r="H25150" s="612"/>
    </row>
    <row r="25151">
      <c r="B25151" s="612"/>
      <c r="H25151" s="612"/>
    </row>
    <row r="25152">
      <c r="B25152" s="612"/>
      <c r="H25152" s="612"/>
    </row>
    <row r="25153">
      <c r="B25153" s="612"/>
      <c r="H25153" s="612"/>
    </row>
    <row r="25154">
      <c r="B25154" s="612"/>
      <c r="H25154" s="612"/>
    </row>
    <row r="25155">
      <c r="B25155" s="612"/>
      <c r="H25155" s="612"/>
    </row>
    <row r="25156">
      <c r="B25156" s="612"/>
      <c r="H25156" s="612"/>
    </row>
    <row r="25157">
      <c r="B25157" s="612"/>
      <c r="H25157" s="612"/>
    </row>
    <row r="25158">
      <c r="B25158" s="612"/>
      <c r="H25158" s="612"/>
    </row>
    <row r="25159">
      <c r="B25159" s="612"/>
      <c r="H25159" s="612"/>
    </row>
    <row r="25160">
      <c r="B25160" s="612"/>
      <c r="H25160" s="612"/>
    </row>
    <row r="25161">
      <c r="B25161" s="612"/>
      <c r="H25161" s="612"/>
    </row>
    <row r="25162">
      <c r="B25162" s="612"/>
      <c r="H25162" s="612"/>
    </row>
    <row r="25163">
      <c r="B25163" s="612"/>
      <c r="H25163" s="612"/>
    </row>
    <row r="25164">
      <c r="B25164" s="612"/>
      <c r="H25164" s="612"/>
    </row>
    <row r="25165">
      <c r="B25165" s="612"/>
      <c r="H25165" s="612"/>
    </row>
    <row r="25166">
      <c r="B25166" s="612"/>
      <c r="H25166" s="612"/>
    </row>
    <row r="25167">
      <c r="B25167" s="612"/>
      <c r="H25167" s="612"/>
    </row>
    <row r="25168">
      <c r="B25168" s="612"/>
      <c r="H25168" s="612"/>
    </row>
    <row r="25169">
      <c r="B25169" s="612"/>
      <c r="H25169" s="612"/>
    </row>
    <row r="25170">
      <c r="B25170" s="612"/>
      <c r="H25170" s="612"/>
    </row>
    <row r="25171">
      <c r="B25171" s="612"/>
      <c r="H25171" s="612"/>
    </row>
    <row r="25172">
      <c r="B25172" s="612"/>
      <c r="H25172" s="612"/>
    </row>
    <row r="25173">
      <c r="B25173" s="612"/>
      <c r="H25173" s="612"/>
    </row>
    <row r="25174">
      <c r="B25174" s="612"/>
      <c r="H25174" s="612"/>
    </row>
    <row r="25175">
      <c r="B25175" s="612"/>
      <c r="H25175" s="612"/>
    </row>
    <row r="25176">
      <c r="B25176" s="612"/>
      <c r="H25176" s="612"/>
    </row>
    <row r="25177">
      <c r="B25177" s="612"/>
      <c r="H25177" s="612"/>
    </row>
    <row r="25178">
      <c r="B25178" s="612"/>
      <c r="H25178" s="612"/>
    </row>
    <row r="25179">
      <c r="B25179" s="612"/>
      <c r="H25179" s="612"/>
    </row>
    <row r="25180">
      <c r="B25180" s="612"/>
      <c r="H25180" s="612"/>
    </row>
    <row r="25181">
      <c r="B25181" s="612"/>
      <c r="H25181" s="612"/>
    </row>
    <row r="25182">
      <c r="B25182" s="612"/>
      <c r="H25182" s="612"/>
    </row>
    <row r="25183">
      <c r="B25183" s="612"/>
      <c r="H25183" s="612"/>
    </row>
    <row r="25184">
      <c r="B25184" s="612"/>
      <c r="H25184" s="612"/>
    </row>
    <row r="25185">
      <c r="B25185" s="612"/>
      <c r="H25185" s="612"/>
    </row>
    <row r="25186">
      <c r="B25186" s="612"/>
      <c r="H25186" s="612"/>
    </row>
    <row r="25187">
      <c r="B25187" s="612"/>
      <c r="H25187" s="612"/>
    </row>
    <row r="25188">
      <c r="B25188" s="612"/>
      <c r="H25188" s="612"/>
    </row>
    <row r="25189">
      <c r="B25189" s="612"/>
      <c r="H25189" s="612"/>
    </row>
    <row r="25190">
      <c r="B25190" s="612"/>
      <c r="H25190" s="612"/>
    </row>
    <row r="25191">
      <c r="B25191" s="612"/>
      <c r="H25191" s="612"/>
    </row>
    <row r="25192">
      <c r="B25192" s="612"/>
      <c r="H25192" s="612"/>
    </row>
    <row r="25193">
      <c r="B25193" s="612"/>
      <c r="H25193" s="612"/>
    </row>
    <row r="25194">
      <c r="B25194" s="612"/>
      <c r="H25194" s="612"/>
    </row>
    <row r="25195">
      <c r="B25195" s="612"/>
      <c r="H25195" s="612"/>
    </row>
    <row r="25196">
      <c r="B25196" s="612"/>
      <c r="H25196" s="612"/>
    </row>
    <row r="25197">
      <c r="B25197" s="612"/>
      <c r="H25197" s="612"/>
    </row>
    <row r="25198">
      <c r="B25198" s="612"/>
      <c r="H25198" s="612"/>
    </row>
    <row r="25199">
      <c r="B25199" s="612"/>
      <c r="H25199" s="612"/>
    </row>
    <row r="25200">
      <c r="B25200" s="612"/>
      <c r="H25200" s="612"/>
    </row>
    <row r="25201">
      <c r="B25201" s="612"/>
      <c r="H25201" s="612"/>
    </row>
    <row r="25202">
      <c r="B25202" s="612"/>
      <c r="H25202" s="612"/>
    </row>
    <row r="25203">
      <c r="B25203" s="612"/>
      <c r="H25203" s="612"/>
    </row>
    <row r="25204">
      <c r="B25204" s="612"/>
      <c r="H25204" s="612"/>
    </row>
    <row r="25205">
      <c r="B25205" s="612"/>
      <c r="H25205" s="612"/>
    </row>
    <row r="25206">
      <c r="B25206" s="612"/>
      <c r="H25206" s="612"/>
    </row>
    <row r="25207">
      <c r="B25207" s="612"/>
      <c r="H25207" s="612"/>
    </row>
    <row r="25208">
      <c r="B25208" s="612"/>
      <c r="H25208" s="612"/>
    </row>
    <row r="25209">
      <c r="B25209" s="612"/>
      <c r="H25209" s="612"/>
    </row>
    <row r="25210">
      <c r="B25210" s="612"/>
      <c r="H25210" s="612"/>
    </row>
    <row r="25211">
      <c r="B25211" s="612"/>
      <c r="H25211" s="612"/>
    </row>
    <row r="25212">
      <c r="B25212" s="612"/>
      <c r="H25212" s="612"/>
    </row>
    <row r="25213">
      <c r="B25213" s="612"/>
      <c r="H25213" s="612"/>
    </row>
    <row r="25214">
      <c r="B25214" s="612"/>
      <c r="H25214" s="612"/>
    </row>
    <row r="25215">
      <c r="B25215" s="612"/>
      <c r="H25215" s="612"/>
    </row>
    <row r="25216">
      <c r="B25216" s="612"/>
      <c r="H25216" s="612"/>
    </row>
    <row r="25217">
      <c r="B25217" s="612"/>
      <c r="H25217" s="612"/>
    </row>
    <row r="25218">
      <c r="B25218" s="612"/>
      <c r="H25218" s="612"/>
    </row>
    <row r="25219">
      <c r="B25219" s="612"/>
      <c r="H25219" s="612"/>
    </row>
    <row r="25220">
      <c r="B25220" s="612"/>
      <c r="H25220" s="612"/>
    </row>
    <row r="25221">
      <c r="B25221" s="612"/>
      <c r="H25221" s="612"/>
    </row>
    <row r="25222">
      <c r="B25222" s="612"/>
      <c r="H25222" s="612"/>
    </row>
    <row r="25223">
      <c r="B25223" s="612"/>
      <c r="H25223" s="612"/>
    </row>
    <row r="25224">
      <c r="B25224" s="612"/>
      <c r="H25224" s="612"/>
    </row>
    <row r="25225">
      <c r="B25225" s="612"/>
      <c r="H25225" s="612"/>
    </row>
    <row r="25226">
      <c r="B25226" s="612"/>
      <c r="H25226" s="612"/>
    </row>
    <row r="25227">
      <c r="B25227" s="612"/>
      <c r="H25227" s="612"/>
    </row>
    <row r="25228">
      <c r="B25228" s="612"/>
      <c r="H25228" s="612"/>
    </row>
    <row r="25229">
      <c r="B25229" s="612"/>
      <c r="H25229" s="612"/>
    </row>
    <row r="25230">
      <c r="B25230" s="612"/>
      <c r="H25230" s="612"/>
    </row>
    <row r="25231">
      <c r="B25231" s="612"/>
      <c r="H25231" s="612"/>
    </row>
    <row r="25232">
      <c r="B25232" s="612"/>
      <c r="H25232" s="612"/>
    </row>
    <row r="25233">
      <c r="B25233" s="612"/>
      <c r="H25233" s="612"/>
    </row>
    <row r="25234">
      <c r="B25234" s="612"/>
      <c r="H25234" s="612"/>
    </row>
    <row r="25235">
      <c r="B25235" s="612"/>
      <c r="H25235" s="612"/>
    </row>
    <row r="25236">
      <c r="B25236" s="612"/>
      <c r="H25236" s="612"/>
    </row>
    <row r="25237">
      <c r="B25237" s="612"/>
      <c r="H25237" s="612"/>
    </row>
    <row r="25238">
      <c r="B25238" s="612"/>
      <c r="H25238" s="612"/>
    </row>
    <row r="25239">
      <c r="B25239" s="612"/>
      <c r="H25239" s="612"/>
    </row>
    <row r="25240">
      <c r="B25240" s="612"/>
      <c r="H25240" s="612"/>
    </row>
    <row r="25241">
      <c r="B25241" s="612"/>
      <c r="H25241" s="612"/>
    </row>
    <row r="25242">
      <c r="B25242" s="612"/>
      <c r="H25242" s="612"/>
    </row>
    <row r="25243">
      <c r="B25243" s="612"/>
      <c r="H25243" s="612"/>
    </row>
    <row r="25244">
      <c r="B25244" s="612"/>
      <c r="H25244" s="612"/>
    </row>
    <row r="25245">
      <c r="B25245" s="612"/>
      <c r="H25245" s="612"/>
    </row>
    <row r="25246">
      <c r="B25246" s="612"/>
      <c r="H25246" s="612"/>
    </row>
    <row r="25247">
      <c r="B25247" s="612"/>
      <c r="H25247" s="612"/>
    </row>
    <row r="25248">
      <c r="B25248" s="612"/>
      <c r="H25248" s="612"/>
    </row>
    <row r="25249">
      <c r="B25249" s="612"/>
      <c r="H25249" s="612"/>
    </row>
    <row r="25250">
      <c r="B25250" s="612"/>
      <c r="H25250" s="612"/>
    </row>
    <row r="25251">
      <c r="B25251" s="612"/>
      <c r="H25251" s="612"/>
    </row>
    <row r="25252">
      <c r="B25252" s="612"/>
      <c r="H25252" s="612"/>
    </row>
    <row r="25253">
      <c r="B25253" s="612"/>
      <c r="H25253" s="612"/>
    </row>
    <row r="25254">
      <c r="B25254" s="612"/>
      <c r="H25254" s="612"/>
    </row>
    <row r="25255">
      <c r="B25255" s="612"/>
      <c r="H25255" s="612"/>
    </row>
    <row r="25256">
      <c r="B25256" s="612"/>
      <c r="H25256" s="612"/>
    </row>
    <row r="25257">
      <c r="B25257" s="612"/>
      <c r="H25257" s="612"/>
    </row>
    <row r="25258">
      <c r="B25258" s="612"/>
      <c r="H25258" s="612"/>
    </row>
    <row r="25259">
      <c r="B25259" s="612"/>
      <c r="H25259" s="612"/>
    </row>
    <row r="25260">
      <c r="B25260" s="612"/>
      <c r="H25260" s="612"/>
    </row>
    <row r="25261">
      <c r="B25261" s="612"/>
      <c r="H25261" s="612"/>
    </row>
    <row r="25262">
      <c r="B25262" s="612"/>
      <c r="H25262" s="612"/>
    </row>
    <row r="25263">
      <c r="B25263" s="612"/>
      <c r="H25263" s="612"/>
    </row>
    <row r="25264">
      <c r="B25264" s="612"/>
      <c r="H25264" s="612"/>
    </row>
    <row r="25265">
      <c r="B25265" s="612"/>
      <c r="H25265" s="612"/>
    </row>
    <row r="25266">
      <c r="B25266" s="612"/>
      <c r="H25266" s="612"/>
    </row>
    <row r="25267">
      <c r="B25267" s="612"/>
      <c r="H25267" s="612"/>
    </row>
    <row r="25268">
      <c r="B25268" s="612"/>
      <c r="H25268" s="612"/>
    </row>
    <row r="25269">
      <c r="B25269" s="612"/>
      <c r="H25269" s="612"/>
    </row>
    <row r="25270">
      <c r="B25270" s="612"/>
      <c r="H25270" s="612"/>
    </row>
    <row r="25271">
      <c r="B25271" s="612"/>
      <c r="H25271" s="612"/>
    </row>
    <row r="25272">
      <c r="B25272" s="612"/>
      <c r="H25272" s="612"/>
    </row>
    <row r="25273">
      <c r="B25273" s="612"/>
      <c r="H25273" s="612"/>
    </row>
    <row r="25274">
      <c r="B25274" s="612"/>
      <c r="H25274" s="612"/>
    </row>
    <row r="25275">
      <c r="B25275" s="612"/>
      <c r="H25275" s="612"/>
    </row>
    <row r="25276">
      <c r="B25276" s="612"/>
      <c r="H25276" s="612"/>
    </row>
    <row r="25277">
      <c r="B25277" s="612"/>
      <c r="H25277" s="612"/>
    </row>
    <row r="25278">
      <c r="B25278" s="612"/>
      <c r="H25278" s="612"/>
    </row>
    <row r="25279">
      <c r="B25279" s="612"/>
      <c r="H25279" s="612"/>
    </row>
    <row r="25280">
      <c r="B25280" s="612"/>
      <c r="H25280" s="612"/>
    </row>
    <row r="25281">
      <c r="B25281" s="612"/>
      <c r="H25281" s="612"/>
    </row>
    <row r="25282">
      <c r="B25282" s="612"/>
      <c r="H25282" s="612"/>
    </row>
    <row r="25283">
      <c r="B25283" s="612"/>
      <c r="H25283" s="612"/>
    </row>
    <row r="25284">
      <c r="B25284" s="612"/>
      <c r="H25284" s="612"/>
    </row>
    <row r="25285">
      <c r="B25285" s="612"/>
      <c r="H25285" s="612"/>
    </row>
    <row r="25286">
      <c r="B25286" s="612"/>
      <c r="H25286" s="612"/>
    </row>
    <row r="25287">
      <c r="B25287" s="612"/>
      <c r="H25287" s="612"/>
    </row>
    <row r="25288">
      <c r="B25288" s="612"/>
      <c r="H25288" s="612"/>
    </row>
    <row r="25289">
      <c r="B25289" s="612"/>
      <c r="H25289" s="612"/>
    </row>
    <row r="25290">
      <c r="B25290" s="612"/>
      <c r="H25290" s="612"/>
    </row>
    <row r="25291">
      <c r="B25291" s="612"/>
      <c r="H25291" s="612"/>
    </row>
    <row r="25292">
      <c r="B25292" s="612"/>
      <c r="H25292" s="612"/>
    </row>
    <row r="25293">
      <c r="B25293" s="612"/>
      <c r="H25293" s="612"/>
    </row>
    <row r="25294">
      <c r="B25294" s="612"/>
      <c r="H25294" s="612"/>
    </row>
    <row r="25295">
      <c r="B25295" s="612"/>
      <c r="H25295" s="612"/>
    </row>
    <row r="25296">
      <c r="B25296" s="612"/>
      <c r="H25296" s="612"/>
    </row>
    <row r="25297">
      <c r="B25297" s="612"/>
      <c r="H25297" s="612"/>
    </row>
    <row r="25298">
      <c r="B25298" s="612"/>
      <c r="H25298" s="612"/>
    </row>
    <row r="25299">
      <c r="B25299" s="612"/>
      <c r="H25299" s="612"/>
    </row>
    <row r="25300">
      <c r="B25300" s="612"/>
      <c r="H25300" s="612"/>
    </row>
    <row r="25301">
      <c r="B25301" s="612"/>
      <c r="H25301" s="612"/>
    </row>
    <row r="25302">
      <c r="B25302" s="612"/>
      <c r="H25302" s="612"/>
    </row>
    <row r="25303">
      <c r="B25303" s="612"/>
      <c r="H25303" s="612"/>
    </row>
    <row r="25304">
      <c r="B25304" s="612"/>
      <c r="H25304" s="612"/>
    </row>
    <row r="25305">
      <c r="B25305" s="612"/>
      <c r="H25305" s="612"/>
    </row>
    <row r="25306">
      <c r="B25306" s="612"/>
      <c r="H25306" s="612"/>
    </row>
    <row r="25307">
      <c r="B25307" s="612"/>
      <c r="H25307" s="612"/>
    </row>
    <row r="25308">
      <c r="B25308" s="612"/>
      <c r="H25308" s="612"/>
    </row>
    <row r="25309">
      <c r="B25309" s="612"/>
      <c r="H25309" s="612"/>
    </row>
    <row r="25310">
      <c r="B25310" s="612"/>
      <c r="H25310" s="612"/>
    </row>
    <row r="25311">
      <c r="B25311" s="612"/>
      <c r="H25311" s="612"/>
    </row>
    <row r="25312">
      <c r="B25312" s="612"/>
      <c r="H25312" s="612"/>
    </row>
    <row r="25313">
      <c r="B25313" s="612"/>
      <c r="H25313" s="612"/>
    </row>
    <row r="25314">
      <c r="B25314" s="612"/>
      <c r="H25314" s="612"/>
    </row>
    <row r="25315">
      <c r="B25315" s="612"/>
      <c r="H25315" s="612"/>
    </row>
    <row r="25316">
      <c r="B25316" s="612"/>
      <c r="H25316" s="612"/>
    </row>
    <row r="25317">
      <c r="B25317" s="612"/>
      <c r="H25317" s="612"/>
    </row>
    <row r="25318">
      <c r="B25318" s="612"/>
      <c r="H25318" s="612"/>
    </row>
    <row r="25319">
      <c r="B25319" s="612"/>
      <c r="H25319" s="612"/>
    </row>
    <row r="25320">
      <c r="B25320" s="612"/>
      <c r="H25320" s="612"/>
    </row>
    <row r="25321">
      <c r="B25321" s="612"/>
      <c r="H25321" s="612"/>
    </row>
    <row r="25322">
      <c r="B25322" s="612"/>
      <c r="H25322" s="612"/>
    </row>
    <row r="25323">
      <c r="B25323" s="612"/>
      <c r="H25323" s="612"/>
    </row>
    <row r="25324">
      <c r="B25324" s="612"/>
      <c r="H25324" s="612"/>
    </row>
    <row r="25325">
      <c r="B25325" s="612"/>
      <c r="H25325" s="612"/>
    </row>
    <row r="25326">
      <c r="B25326" s="612"/>
      <c r="H25326" s="612"/>
    </row>
    <row r="25327">
      <c r="B25327" s="612"/>
      <c r="H25327" s="612"/>
    </row>
    <row r="25328">
      <c r="B25328" s="612"/>
      <c r="H25328" s="612"/>
    </row>
    <row r="25329">
      <c r="B25329" s="612"/>
      <c r="H25329" s="612"/>
    </row>
    <row r="25330">
      <c r="B25330" s="612"/>
      <c r="H25330" s="612"/>
    </row>
    <row r="25331">
      <c r="B25331" s="612"/>
      <c r="H25331" s="612"/>
    </row>
    <row r="25332">
      <c r="B25332" s="612"/>
      <c r="H25332" s="612"/>
    </row>
    <row r="25333">
      <c r="B25333" s="612"/>
      <c r="H25333" s="612"/>
    </row>
    <row r="25334">
      <c r="B25334" s="612"/>
      <c r="H25334" s="612"/>
    </row>
    <row r="25335">
      <c r="B25335" s="612"/>
      <c r="H25335" s="612"/>
    </row>
    <row r="25336">
      <c r="B25336" s="612"/>
      <c r="H25336" s="612"/>
    </row>
    <row r="25337">
      <c r="B25337" s="612"/>
      <c r="H25337" s="612"/>
    </row>
    <row r="25338">
      <c r="B25338" s="612"/>
      <c r="H25338" s="612"/>
    </row>
    <row r="25339">
      <c r="B25339" s="612"/>
      <c r="H25339" s="612"/>
    </row>
    <row r="25340">
      <c r="B25340" s="612"/>
      <c r="H25340" s="612"/>
    </row>
    <row r="25341">
      <c r="B25341" s="612"/>
      <c r="H25341" s="612"/>
    </row>
    <row r="25342">
      <c r="B25342" s="612"/>
      <c r="H25342" s="612"/>
    </row>
    <row r="25343">
      <c r="B25343" s="612"/>
      <c r="H25343" s="612"/>
    </row>
    <row r="25344">
      <c r="B25344" s="612"/>
      <c r="H25344" s="612"/>
    </row>
    <row r="25345">
      <c r="B25345" s="612"/>
      <c r="H25345" s="612"/>
    </row>
    <row r="25346">
      <c r="B25346" s="612"/>
      <c r="H25346" s="612"/>
    </row>
    <row r="25347">
      <c r="B25347" s="612"/>
      <c r="H25347" s="612"/>
    </row>
    <row r="25348">
      <c r="B25348" s="612"/>
      <c r="H25348" s="612"/>
    </row>
    <row r="25349">
      <c r="B25349" s="612"/>
      <c r="H25349" s="612"/>
    </row>
    <row r="25350">
      <c r="B25350" s="612"/>
      <c r="H25350" s="612"/>
    </row>
    <row r="25351">
      <c r="B25351" s="612"/>
      <c r="H25351" s="612"/>
    </row>
    <row r="25352">
      <c r="B25352" s="612"/>
      <c r="H25352" s="612"/>
    </row>
    <row r="25353">
      <c r="B25353" s="612"/>
      <c r="H25353" s="612"/>
    </row>
    <row r="25354">
      <c r="B25354" s="612"/>
      <c r="H25354" s="612"/>
    </row>
    <row r="25355">
      <c r="B25355" s="612"/>
      <c r="H25355" s="612"/>
    </row>
    <row r="25356">
      <c r="B25356" s="612"/>
      <c r="H25356" s="612"/>
    </row>
    <row r="25357">
      <c r="B25357" s="612"/>
      <c r="H25357" s="612"/>
    </row>
    <row r="25358">
      <c r="B25358" s="612"/>
      <c r="H25358" s="612"/>
    </row>
    <row r="25359">
      <c r="B25359" s="612"/>
      <c r="H25359" s="612"/>
    </row>
    <row r="25360">
      <c r="B25360" s="612"/>
      <c r="H25360" s="612"/>
    </row>
    <row r="25361">
      <c r="B25361" s="612"/>
      <c r="H25361" s="612"/>
    </row>
    <row r="25362">
      <c r="B25362" s="612"/>
      <c r="H25362" s="612"/>
    </row>
    <row r="25363">
      <c r="B25363" s="612"/>
      <c r="H25363" s="612"/>
    </row>
    <row r="25364">
      <c r="B25364" s="612"/>
      <c r="H25364" s="612"/>
    </row>
    <row r="25365">
      <c r="B25365" s="612"/>
      <c r="H25365" s="612"/>
    </row>
    <row r="25366">
      <c r="B25366" s="612"/>
      <c r="H25366" s="612"/>
    </row>
    <row r="25367">
      <c r="B25367" s="612"/>
      <c r="H25367" s="612"/>
    </row>
    <row r="25368">
      <c r="B25368" s="612"/>
      <c r="H25368" s="612"/>
    </row>
    <row r="25369">
      <c r="B25369" s="612"/>
      <c r="H25369" s="612"/>
    </row>
    <row r="25370">
      <c r="B25370" s="612"/>
      <c r="H25370" s="612"/>
    </row>
    <row r="25371">
      <c r="B25371" s="612"/>
      <c r="H25371" s="612"/>
    </row>
    <row r="25372">
      <c r="B25372" s="612"/>
      <c r="H25372" s="612"/>
    </row>
    <row r="25373">
      <c r="B25373" s="612"/>
      <c r="H25373" s="612"/>
    </row>
    <row r="25374">
      <c r="B25374" s="612"/>
      <c r="H25374" s="612"/>
    </row>
    <row r="25375">
      <c r="B25375" s="612"/>
      <c r="H25375" s="612"/>
    </row>
    <row r="25376">
      <c r="B25376" s="612"/>
      <c r="H25376" s="612"/>
    </row>
    <row r="25377">
      <c r="B25377" s="612"/>
      <c r="H25377" s="612"/>
    </row>
    <row r="25378">
      <c r="B25378" s="612"/>
      <c r="H25378" s="612"/>
    </row>
    <row r="25379">
      <c r="B25379" s="612"/>
      <c r="H25379" s="612"/>
    </row>
    <row r="25380">
      <c r="B25380" s="612"/>
      <c r="H25380" s="612"/>
    </row>
    <row r="25381">
      <c r="B25381" s="612"/>
      <c r="H25381" s="612"/>
    </row>
    <row r="25382">
      <c r="B25382" s="612"/>
      <c r="H25382" s="612"/>
    </row>
    <row r="25383">
      <c r="B25383" s="612"/>
      <c r="H25383" s="612"/>
    </row>
    <row r="25384">
      <c r="B25384" s="612"/>
      <c r="H25384" s="612"/>
    </row>
    <row r="25385">
      <c r="B25385" s="612"/>
      <c r="H25385" s="612"/>
    </row>
    <row r="25386">
      <c r="B25386" s="612"/>
      <c r="H25386" s="612"/>
    </row>
    <row r="25387">
      <c r="B25387" s="612"/>
      <c r="H25387" s="612"/>
    </row>
    <row r="25388">
      <c r="B25388" s="612"/>
      <c r="H25388" s="612"/>
    </row>
    <row r="25389">
      <c r="B25389" s="612"/>
      <c r="H25389" s="612"/>
    </row>
    <row r="25390">
      <c r="B25390" s="612"/>
      <c r="H25390" s="612"/>
    </row>
    <row r="25391">
      <c r="B25391" s="612"/>
      <c r="H25391" s="612"/>
    </row>
    <row r="25392">
      <c r="B25392" s="612"/>
      <c r="H25392" s="612"/>
    </row>
    <row r="25393">
      <c r="B25393" s="612"/>
      <c r="H25393" s="612"/>
    </row>
    <row r="25394">
      <c r="B25394" s="612"/>
      <c r="H25394" s="612"/>
    </row>
    <row r="25395">
      <c r="B25395" s="612"/>
      <c r="H25395" s="612"/>
    </row>
    <row r="25396">
      <c r="B25396" s="612"/>
      <c r="H25396" s="612"/>
    </row>
    <row r="25397">
      <c r="B25397" s="612"/>
      <c r="H25397" s="612"/>
    </row>
    <row r="25398">
      <c r="B25398" s="612"/>
      <c r="H25398" s="612"/>
    </row>
    <row r="25399">
      <c r="B25399" s="612"/>
      <c r="H25399" s="612"/>
    </row>
    <row r="25400">
      <c r="B25400" s="612"/>
      <c r="H25400" s="612"/>
    </row>
    <row r="25401">
      <c r="B25401" s="612"/>
      <c r="H25401" s="612"/>
    </row>
    <row r="25402">
      <c r="B25402" s="612"/>
      <c r="H25402" s="612"/>
    </row>
    <row r="25403">
      <c r="B25403" s="612"/>
      <c r="H25403" s="612"/>
    </row>
    <row r="25404">
      <c r="B25404" s="612"/>
      <c r="H25404" s="612"/>
    </row>
    <row r="25405">
      <c r="B25405" s="612"/>
      <c r="H25405" s="612"/>
    </row>
    <row r="25406">
      <c r="B25406" s="612"/>
      <c r="H25406" s="612"/>
    </row>
    <row r="25407">
      <c r="B25407" s="612"/>
      <c r="H25407" s="612"/>
    </row>
    <row r="25408">
      <c r="B25408" s="612"/>
      <c r="H25408" s="612"/>
    </row>
    <row r="25409">
      <c r="B25409" s="612"/>
      <c r="H25409" s="612"/>
    </row>
    <row r="25410">
      <c r="B25410" s="612"/>
      <c r="H25410" s="612"/>
    </row>
    <row r="25411">
      <c r="B25411" s="612"/>
      <c r="H25411" s="612"/>
    </row>
    <row r="25412">
      <c r="B25412" s="612"/>
      <c r="H25412" s="612"/>
    </row>
    <row r="25413">
      <c r="B25413" s="612"/>
      <c r="H25413" s="612"/>
    </row>
    <row r="25414">
      <c r="B25414" s="612"/>
      <c r="H25414" s="612"/>
    </row>
    <row r="25415">
      <c r="B25415" s="612"/>
      <c r="H25415" s="612"/>
    </row>
    <row r="25416">
      <c r="B25416" s="612"/>
      <c r="H25416" s="612"/>
    </row>
    <row r="25417">
      <c r="B25417" s="612"/>
      <c r="H25417" s="612"/>
    </row>
    <row r="25418">
      <c r="B25418" s="612"/>
      <c r="H25418" s="612"/>
    </row>
    <row r="25419">
      <c r="B25419" s="612"/>
      <c r="H25419" s="612"/>
    </row>
    <row r="25420">
      <c r="B25420" s="612"/>
      <c r="H25420" s="612"/>
    </row>
    <row r="25421">
      <c r="B25421" s="612"/>
      <c r="H25421" s="612"/>
    </row>
    <row r="25422">
      <c r="B25422" s="612"/>
      <c r="H25422" s="612"/>
    </row>
    <row r="25423">
      <c r="B25423" s="612"/>
      <c r="H25423" s="612"/>
    </row>
    <row r="25424">
      <c r="B25424" s="612"/>
      <c r="H25424" s="612"/>
    </row>
    <row r="25425">
      <c r="B25425" s="612"/>
      <c r="H25425" s="612"/>
    </row>
    <row r="25426">
      <c r="B25426" s="612"/>
      <c r="H25426" s="612"/>
    </row>
    <row r="25427">
      <c r="B25427" s="612"/>
      <c r="H25427" s="612"/>
    </row>
    <row r="25428">
      <c r="B25428" s="612"/>
      <c r="H25428" s="612"/>
    </row>
    <row r="25429">
      <c r="B25429" s="612"/>
      <c r="H25429" s="612"/>
    </row>
    <row r="25430">
      <c r="B25430" s="612"/>
      <c r="H25430" s="612"/>
    </row>
    <row r="25431">
      <c r="B25431" s="612"/>
      <c r="H25431" s="612"/>
    </row>
    <row r="25432">
      <c r="B25432" s="612"/>
      <c r="H25432" s="612"/>
    </row>
    <row r="25433">
      <c r="B25433" s="612"/>
      <c r="H25433" s="612"/>
    </row>
    <row r="25434">
      <c r="B25434" s="612"/>
      <c r="H25434" s="612"/>
    </row>
    <row r="25435">
      <c r="B25435" s="612"/>
      <c r="H25435" s="612"/>
    </row>
    <row r="25436">
      <c r="B25436" s="612"/>
      <c r="H25436" s="612"/>
    </row>
    <row r="25437">
      <c r="B25437" s="612"/>
      <c r="H25437" s="612"/>
    </row>
    <row r="25438">
      <c r="B25438" s="612"/>
      <c r="H25438" s="612"/>
    </row>
    <row r="25439">
      <c r="B25439" s="612"/>
      <c r="H25439" s="612"/>
    </row>
    <row r="25440">
      <c r="B25440" s="612"/>
      <c r="H25440" s="612"/>
    </row>
    <row r="25441">
      <c r="B25441" s="612"/>
      <c r="H25441" s="612"/>
    </row>
    <row r="25442">
      <c r="B25442" s="612"/>
      <c r="H25442" s="612"/>
    </row>
    <row r="25443">
      <c r="B25443" s="612"/>
      <c r="H25443" s="612"/>
    </row>
    <row r="25444">
      <c r="B25444" s="612"/>
      <c r="H25444" s="612"/>
    </row>
    <row r="25445">
      <c r="B25445" s="612"/>
      <c r="H25445" s="612"/>
    </row>
    <row r="25446">
      <c r="B25446" s="612"/>
      <c r="H25446" s="612"/>
    </row>
    <row r="25447">
      <c r="B25447" s="612"/>
      <c r="H25447" s="612"/>
    </row>
    <row r="25448">
      <c r="B25448" s="612"/>
      <c r="H25448" s="612"/>
    </row>
    <row r="25449">
      <c r="B25449" s="612"/>
      <c r="H25449" s="612"/>
    </row>
    <row r="25450">
      <c r="B25450" s="612"/>
      <c r="H25450" s="612"/>
    </row>
    <row r="25451">
      <c r="B25451" s="612"/>
      <c r="H25451" s="612"/>
    </row>
    <row r="25452">
      <c r="B25452" s="612"/>
      <c r="H25452" s="612"/>
    </row>
    <row r="25453">
      <c r="B25453" s="612"/>
      <c r="H25453" s="612"/>
    </row>
    <row r="25454">
      <c r="B25454" s="612"/>
      <c r="H25454" s="612"/>
    </row>
    <row r="25455">
      <c r="B25455" s="612"/>
      <c r="H25455" s="612"/>
    </row>
    <row r="25456">
      <c r="B25456" s="612"/>
      <c r="H25456" s="612"/>
    </row>
    <row r="25457">
      <c r="B25457" s="612"/>
      <c r="H25457" s="612"/>
    </row>
    <row r="25458">
      <c r="B25458" s="612"/>
      <c r="H25458" s="612"/>
    </row>
    <row r="25459">
      <c r="B25459" s="612"/>
      <c r="H25459" s="612"/>
    </row>
    <row r="25460">
      <c r="B25460" s="612"/>
      <c r="H25460" s="612"/>
    </row>
    <row r="25461">
      <c r="B25461" s="612"/>
      <c r="H25461" s="612"/>
    </row>
    <row r="25462">
      <c r="B25462" s="612"/>
      <c r="H25462" s="612"/>
    </row>
    <row r="25463">
      <c r="B25463" s="612"/>
      <c r="H25463" s="612"/>
    </row>
    <row r="25464">
      <c r="B25464" s="612"/>
      <c r="H25464" s="612"/>
    </row>
    <row r="25465">
      <c r="B25465" s="612"/>
      <c r="H25465" s="612"/>
    </row>
    <row r="25466">
      <c r="B25466" s="612"/>
      <c r="H25466" s="612"/>
    </row>
    <row r="25467">
      <c r="B25467" s="612"/>
      <c r="H25467" s="612"/>
    </row>
    <row r="25468">
      <c r="B25468" s="612"/>
      <c r="H25468" s="612"/>
    </row>
    <row r="25469">
      <c r="B25469" s="612"/>
      <c r="H25469" s="612"/>
    </row>
    <row r="25470">
      <c r="B25470" s="612"/>
      <c r="H25470" s="612"/>
    </row>
    <row r="25471">
      <c r="B25471" s="612"/>
      <c r="H25471" s="612"/>
    </row>
    <row r="25472">
      <c r="B25472" s="612"/>
      <c r="H25472" s="612"/>
    </row>
    <row r="25473">
      <c r="B25473" s="612"/>
      <c r="H25473" s="612"/>
    </row>
    <row r="25474">
      <c r="B25474" s="612"/>
      <c r="H25474" s="612"/>
    </row>
    <row r="25475">
      <c r="B25475" s="612"/>
      <c r="H25475" s="612"/>
    </row>
    <row r="25476">
      <c r="B25476" s="612"/>
      <c r="H25476" s="612"/>
    </row>
    <row r="25477">
      <c r="B25477" s="612"/>
      <c r="H25477" s="612"/>
    </row>
    <row r="25478">
      <c r="B25478" s="612"/>
      <c r="H25478" s="612"/>
    </row>
    <row r="25479">
      <c r="B25479" s="612"/>
      <c r="H25479" s="612"/>
    </row>
    <row r="25480">
      <c r="B25480" s="612"/>
      <c r="H25480" s="612"/>
    </row>
    <row r="25481">
      <c r="B25481" s="612"/>
      <c r="H25481" s="612"/>
    </row>
    <row r="25482">
      <c r="B25482" s="612"/>
      <c r="H25482" s="612"/>
    </row>
    <row r="25483">
      <c r="B25483" s="612"/>
      <c r="H25483" s="612"/>
    </row>
    <row r="25484">
      <c r="B25484" s="612"/>
      <c r="H25484" s="612"/>
    </row>
    <row r="25485">
      <c r="B25485" s="612"/>
      <c r="H25485" s="612"/>
    </row>
    <row r="25486">
      <c r="B25486" s="612"/>
      <c r="H25486" s="612"/>
    </row>
    <row r="25487">
      <c r="B25487" s="612"/>
      <c r="H25487" s="612"/>
    </row>
    <row r="25488">
      <c r="B25488" s="612"/>
      <c r="H25488" s="612"/>
    </row>
    <row r="25489">
      <c r="B25489" s="612"/>
      <c r="H25489" s="612"/>
    </row>
    <row r="25490">
      <c r="B25490" s="612"/>
      <c r="H25490" s="612"/>
    </row>
    <row r="25491">
      <c r="B25491" s="612"/>
      <c r="H25491" s="612"/>
    </row>
    <row r="25492">
      <c r="B25492" s="612"/>
      <c r="H25492" s="612"/>
    </row>
    <row r="25493">
      <c r="B25493" s="612"/>
      <c r="H25493" s="612"/>
    </row>
    <row r="25494">
      <c r="B25494" s="612"/>
      <c r="H25494" s="612"/>
    </row>
    <row r="25495">
      <c r="B25495" s="612"/>
      <c r="H25495" s="612"/>
    </row>
    <row r="25496">
      <c r="B25496" s="612"/>
      <c r="H25496" s="612"/>
    </row>
    <row r="25497">
      <c r="B25497" s="612"/>
      <c r="H25497" s="612"/>
    </row>
    <row r="25498">
      <c r="B25498" s="612"/>
      <c r="H25498" s="612"/>
    </row>
    <row r="25499">
      <c r="B25499" s="612"/>
      <c r="H25499" s="612"/>
    </row>
    <row r="25500">
      <c r="B25500" s="612"/>
      <c r="H25500" s="612"/>
    </row>
    <row r="25501">
      <c r="B25501" s="612"/>
      <c r="H25501" s="612"/>
    </row>
    <row r="25502">
      <c r="B25502" s="612"/>
      <c r="H25502" s="612"/>
    </row>
    <row r="25503">
      <c r="B25503" s="612"/>
      <c r="H25503" s="612"/>
    </row>
    <row r="25504">
      <c r="B25504" s="612"/>
      <c r="H25504" s="612"/>
    </row>
    <row r="25505">
      <c r="B25505" s="612"/>
      <c r="H25505" s="612"/>
    </row>
    <row r="25506">
      <c r="B25506" s="612"/>
      <c r="H25506" s="612"/>
    </row>
    <row r="25507">
      <c r="B25507" s="612"/>
      <c r="H25507" s="612"/>
    </row>
    <row r="25508">
      <c r="B25508" s="612"/>
      <c r="H25508" s="612"/>
    </row>
    <row r="25509">
      <c r="B25509" s="612"/>
      <c r="H25509" s="612"/>
    </row>
    <row r="25510">
      <c r="B25510" s="612"/>
      <c r="H25510" s="612"/>
    </row>
    <row r="25511">
      <c r="B25511" s="612"/>
      <c r="H25511" s="612"/>
    </row>
    <row r="25512">
      <c r="B25512" s="612"/>
      <c r="H25512" s="612"/>
    </row>
    <row r="25513">
      <c r="B25513" s="612"/>
      <c r="H25513" s="612"/>
    </row>
    <row r="25514">
      <c r="B25514" s="612"/>
      <c r="H25514" s="612"/>
    </row>
    <row r="25515">
      <c r="B25515" s="612"/>
      <c r="H25515" s="612"/>
    </row>
    <row r="25516">
      <c r="B25516" s="612"/>
      <c r="H25516" s="612"/>
    </row>
    <row r="25517">
      <c r="B25517" s="612"/>
      <c r="H25517" s="612"/>
    </row>
    <row r="25518">
      <c r="B25518" s="612"/>
      <c r="H25518" s="612"/>
    </row>
    <row r="25519">
      <c r="B25519" s="612"/>
      <c r="H25519" s="612"/>
    </row>
    <row r="25520">
      <c r="B25520" s="612"/>
      <c r="H25520" s="612"/>
    </row>
    <row r="25521">
      <c r="B25521" s="612"/>
      <c r="H25521" s="612"/>
    </row>
    <row r="25522">
      <c r="B25522" s="612"/>
      <c r="H25522" s="612"/>
    </row>
    <row r="25523">
      <c r="B25523" s="612"/>
      <c r="H25523" s="612"/>
    </row>
    <row r="25524">
      <c r="B25524" s="612"/>
      <c r="H25524" s="612"/>
    </row>
    <row r="25525">
      <c r="B25525" s="612"/>
      <c r="H25525" s="612"/>
    </row>
    <row r="25526">
      <c r="B25526" s="612"/>
      <c r="H25526" s="612"/>
    </row>
    <row r="25527">
      <c r="B25527" s="612"/>
      <c r="H25527" s="612"/>
    </row>
    <row r="25528">
      <c r="B25528" s="612"/>
      <c r="H25528" s="612"/>
    </row>
    <row r="25529">
      <c r="B25529" s="612"/>
      <c r="H25529" s="612"/>
    </row>
    <row r="25530">
      <c r="B25530" s="612"/>
      <c r="H25530" s="612"/>
    </row>
    <row r="25531">
      <c r="B25531" s="612"/>
      <c r="H25531" s="612"/>
    </row>
    <row r="25532">
      <c r="B25532" s="612"/>
      <c r="H25532" s="612"/>
    </row>
    <row r="25533">
      <c r="B25533" s="612"/>
      <c r="H25533" s="612"/>
    </row>
    <row r="25534">
      <c r="B25534" s="612"/>
      <c r="H25534" s="612"/>
    </row>
    <row r="25535">
      <c r="B25535" s="612"/>
      <c r="H25535" s="612"/>
    </row>
    <row r="25536">
      <c r="B25536" s="612"/>
      <c r="H25536" s="612"/>
    </row>
    <row r="25537">
      <c r="B25537" s="612"/>
      <c r="H25537" s="612"/>
    </row>
    <row r="25538">
      <c r="B25538" s="612"/>
      <c r="H25538" s="612"/>
    </row>
    <row r="25539">
      <c r="B25539" s="612"/>
      <c r="H25539" s="612"/>
    </row>
    <row r="25540">
      <c r="B25540" s="612"/>
      <c r="H25540" s="612"/>
    </row>
    <row r="25541">
      <c r="B25541" s="612"/>
      <c r="H25541" s="612"/>
    </row>
    <row r="25542">
      <c r="B25542" s="612"/>
      <c r="H25542" s="612"/>
    </row>
    <row r="25543">
      <c r="B25543" s="612"/>
      <c r="H25543" s="612"/>
    </row>
    <row r="25544">
      <c r="B25544" s="612"/>
      <c r="H25544" s="612"/>
    </row>
    <row r="25545">
      <c r="B25545" s="612"/>
      <c r="H25545" s="612"/>
    </row>
    <row r="25546">
      <c r="B25546" s="612"/>
      <c r="H25546" s="612"/>
    </row>
    <row r="25547">
      <c r="B25547" s="612"/>
      <c r="H25547" s="612"/>
    </row>
    <row r="25548">
      <c r="B25548" s="612"/>
      <c r="H25548" s="612"/>
    </row>
    <row r="25549">
      <c r="B25549" s="612"/>
      <c r="H25549" s="612"/>
    </row>
    <row r="25550">
      <c r="B25550" s="612"/>
      <c r="H25550" s="612"/>
    </row>
    <row r="25551">
      <c r="B25551" s="612"/>
      <c r="H25551" s="612"/>
    </row>
    <row r="25552">
      <c r="B25552" s="612"/>
      <c r="H25552" s="612"/>
    </row>
    <row r="25553">
      <c r="B25553" s="612"/>
      <c r="H25553" s="612"/>
    </row>
    <row r="25554">
      <c r="B25554" s="612"/>
      <c r="H25554" s="612"/>
    </row>
    <row r="25555">
      <c r="B25555" s="612"/>
      <c r="H25555" s="612"/>
    </row>
    <row r="25556">
      <c r="B25556" s="612"/>
      <c r="H25556" s="612"/>
    </row>
    <row r="25557">
      <c r="B25557" s="612"/>
      <c r="H25557" s="612"/>
    </row>
    <row r="25558">
      <c r="B25558" s="612"/>
      <c r="H25558" s="612"/>
    </row>
    <row r="25559">
      <c r="B25559" s="612"/>
      <c r="H25559" s="612"/>
    </row>
    <row r="25560">
      <c r="B25560" s="612"/>
      <c r="H25560" s="612"/>
    </row>
    <row r="25561">
      <c r="B25561" s="612"/>
      <c r="H25561" s="612"/>
    </row>
    <row r="25562">
      <c r="B25562" s="612"/>
      <c r="H25562" s="612"/>
    </row>
    <row r="25563">
      <c r="B25563" s="612"/>
      <c r="H25563" s="612"/>
    </row>
    <row r="25564">
      <c r="B25564" s="612"/>
      <c r="H25564" s="612"/>
    </row>
    <row r="25565">
      <c r="B25565" s="612"/>
      <c r="H25565" s="612"/>
    </row>
    <row r="25566">
      <c r="B25566" s="612"/>
      <c r="H25566" s="612"/>
    </row>
    <row r="25567">
      <c r="B25567" s="612"/>
      <c r="H25567" s="612"/>
    </row>
    <row r="25568">
      <c r="B25568" s="612"/>
      <c r="H25568" s="612"/>
    </row>
    <row r="25569">
      <c r="B25569" s="612"/>
      <c r="H25569" s="612"/>
    </row>
    <row r="25570">
      <c r="B25570" s="612"/>
      <c r="H25570" s="612"/>
    </row>
    <row r="25571">
      <c r="B25571" s="612"/>
      <c r="H25571" s="612"/>
    </row>
    <row r="25572">
      <c r="B25572" s="612"/>
      <c r="H25572" s="612"/>
    </row>
    <row r="25573">
      <c r="B25573" s="612"/>
      <c r="H25573" s="612"/>
    </row>
    <row r="25574">
      <c r="B25574" s="612"/>
      <c r="H25574" s="612"/>
    </row>
    <row r="25575">
      <c r="B25575" s="612"/>
      <c r="H25575" s="612"/>
    </row>
    <row r="25576">
      <c r="B25576" s="612"/>
      <c r="H25576" s="612"/>
    </row>
    <row r="25577">
      <c r="B25577" s="612"/>
      <c r="H25577" s="612"/>
    </row>
    <row r="25578">
      <c r="B25578" s="612"/>
      <c r="H25578" s="612"/>
    </row>
    <row r="25579">
      <c r="B25579" s="612"/>
      <c r="H25579" s="612"/>
    </row>
    <row r="25580">
      <c r="B25580" s="612"/>
      <c r="H25580" s="612"/>
    </row>
    <row r="25581">
      <c r="B25581" s="612"/>
      <c r="H25581" s="612"/>
    </row>
    <row r="25582">
      <c r="B25582" s="612"/>
      <c r="H25582" s="612"/>
    </row>
    <row r="25583">
      <c r="B25583" s="612"/>
      <c r="H25583" s="612"/>
    </row>
    <row r="25584">
      <c r="B25584" s="612"/>
      <c r="H25584" s="612"/>
    </row>
    <row r="25585">
      <c r="B25585" s="612"/>
      <c r="H25585" s="612"/>
    </row>
    <row r="25586">
      <c r="B25586" s="612"/>
      <c r="H25586" s="612"/>
    </row>
    <row r="25587">
      <c r="B25587" s="612"/>
      <c r="H25587" s="612"/>
    </row>
    <row r="25588">
      <c r="B25588" s="612"/>
      <c r="H25588" s="612"/>
    </row>
    <row r="25589">
      <c r="B25589" s="612"/>
      <c r="H25589" s="612"/>
    </row>
    <row r="25590">
      <c r="B25590" s="612"/>
      <c r="H25590" s="612"/>
    </row>
    <row r="25591">
      <c r="B25591" s="612"/>
      <c r="H25591" s="612"/>
    </row>
    <row r="25592">
      <c r="B25592" s="612"/>
      <c r="H25592" s="612"/>
    </row>
    <row r="25593">
      <c r="B25593" s="612"/>
      <c r="H25593" s="612"/>
    </row>
    <row r="25594">
      <c r="B25594" s="612"/>
      <c r="H25594" s="612"/>
    </row>
    <row r="25595">
      <c r="B25595" s="612"/>
      <c r="H25595" s="612"/>
    </row>
    <row r="25596">
      <c r="B25596" s="612"/>
      <c r="H25596" s="612"/>
    </row>
    <row r="25597">
      <c r="B25597" s="612"/>
      <c r="H25597" s="612"/>
    </row>
    <row r="25598">
      <c r="B25598" s="612"/>
      <c r="H25598" s="612"/>
    </row>
    <row r="25599">
      <c r="B25599" s="612"/>
      <c r="H25599" s="612"/>
    </row>
    <row r="25600">
      <c r="B25600" s="612"/>
      <c r="H25600" s="612"/>
    </row>
    <row r="25601">
      <c r="B25601" s="612"/>
      <c r="H25601" s="612"/>
    </row>
    <row r="25602">
      <c r="B25602" s="612"/>
      <c r="H25602" s="612"/>
    </row>
    <row r="25603">
      <c r="B25603" s="612"/>
      <c r="H25603" s="612"/>
    </row>
    <row r="25604">
      <c r="B25604" s="612"/>
      <c r="H25604" s="612"/>
    </row>
    <row r="25605">
      <c r="B25605" s="612"/>
      <c r="H25605" s="612"/>
    </row>
    <row r="25606">
      <c r="B25606" s="612"/>
      <c r="H25606" s="612"/>
    </row>
    <row r="25607">
      <c r="B25607" s="612"/>
      <c r="H25607" s="612"/>
    </row>
    <row r="25608">
      <c r="B25608" s="612"/>
      <c r="H25608" s="612"/>
    </row>
    <row r="25609">
      <c r="B25609" s="612"/>
      <c r="H25609" s="612"/>
    </row>
    <row r="25610">
      <c r="B25610" s="612"/>
      <c r="H25610" s="612"/>
    </row>
    <row r="25611">
      <c r="B25611" s="612"/>
      <c r="H25611" s="612"/>
    </row>
    <row r="25612">
      <c r="B25612" s="612"/>
      <c r="H25612" s="612"/>
    </row>
    <row r="25613">
      <c r="B25613" s="612"/>
      <c r="H25613" s="612"/>
    </row>
    <row r="25614">
      <c r="B25614" s="612"/>
      <c r="H25614" s="612"/>
    </row>
    <row r="25615">
      <c r="B25615" s="612"/>
      <c r="H25615" s="612"/>
    </row>
    <row r="25616">
      <c r="B25616" s="612"/>
      <c r="H25616" s="612"/>
    </row>
    <row r="25617">
      <c r="B25617" s="612"/>
      <c r="H25617" s="612"/>
    </row>
    <row r="25618">
      <c r="B25618" s="612"/>
      <c r="H25618" s="612"/>
    </row>
    <row r="25619">
      <c r="B25619" s="612"/>
      <c r="H25619" s="612"/>
    </row>
    <row r="25620">
      <c r="B25620" s="612"/>
      <c r="H25620" s="612"/>
    </row>
    <row r="25621">
      <c r="B25621" s="612"/>
      <c r="H25621" s="612"/>
    </row>
    <row r="25622">
      <c r="B25622" s="612"/>
      <c r="H25622" s="612"/>
    </row>
    <row r="25623">
      <c r="B25623" s="612"/>
      <c r="H25623" s="612"/>
    </row>
    <row r="25624">
      <c r="B25624" s="612"/>
      <c r="H25624" s="612"/>
    </row>
    <row r="25625">
      <c r="B25625" s="612"/>
      <c r="H25625" s="612"/>
    </row>
    <row r="25626">
      <c r="B25626" s="612"/>
      <c r="H25626" s="612"/>
    </row>
    <row r="25627">
      <c r="B25627" s="612"/>
      <c r="H25627" s="612"/>
    </row>
    <row r="25628">
      <c r="B25628" s="612"/>
      <c r="H25628" s="612"/>
    </row>
    <row r="25629">
      <c r="B25629" s="612"/>
      <c r="H25629" s="612"/>
    </row>
    <row r="25630">
      <c r="B25630" s="612"/>
      <c r="H25630" s="612"/>
    </row>
    <row r="25631">
      <c r="B25631" s="612"/>
      <c r="H25631" s="612"/>
    </row>
    <row r="25632">
      <c r="B25632" s="612"/>
      <c r="H25632" s="612"/>
    </row>
    <row r="25633">
      <c r="B25633" s="612"/>
      <c r="H25633" s="612"/>
    </row>
    <row r="25634">
      <c r="B25634" s="612"/>
      <c r="H25634" s="612"/>
    </row>
    <row r="25635">
      <c r="B25635" s="612"/>
      <c r="H25635" s="612"/>
    </row>
    <row r="25636">
      <c r="B25636" s="612"/>
      <c r="H25636" s="612"/>
    </row>
    <row r="25637">
      <c r="B25637" s="612"/>
      <c r="H25637" s="612"/>
    </row>
    <row r="25638">
      <c r="B25638" s="612"/>
      <c r="H25638" s="612"/>
    </row>
    <row r="25639">
      <c r="B25639" s="612"/>
      <c r="H25639" s="612"/>
    </row>
    <row r="25640">
      <c r="B25640" s="612"/>
      <c r="H25640" s="612"/>
    </row>
    <row r="25641">
      <c r="B25641" s="612"/>
      <c r="H25641" s="612"/>
    </row>
    <row r="25642">
      <c r="B25642" s="612"/>
      <c r="H25642" s="612"/>
    </row>
    <row r="25643">
      <c r="B25643" s="612"/>
      <c r="H25643" s="612"/>
    </row>
    <row r="25644">
      <c r="B25644" s="612"/>
      <c r="H25644" s="612"/>
    </row>
    <row r="25645">
      <c r="B25645" s="612"/>
      <c r="H25645" s="612"/>
    </row>
    <row r="25646">
      <c r="B25646" s="612"/>
      <c r="H25646" s="612"/>
    </row>
    <row r="25647">
      <c r="B25647" s="612"/>
      <c r="H25647" s="612"/>
    </row>
    <row r="25648">
      <c r="B25648" s="612"/>
      <c r="H25648" s="612"/>
    </row>
    <row r="25649">
      <c r="B25649" s="612"/>
      <c r="H25649" s="612"/>
    </row>
    <row r="25650">
      <c r="B25650" s="612"/>
      <c r="H25650" s="612"/>
    </row>
    <row r="25651">
      <c r="B25651" s="612"/>
      <c r="H25651" s="612"/>
    </row>
    <row r="25652">
      <c r="B25652" s="612"/>
      <c r="H25652" s="612"/>
    </row>
    <row r="25653">
      <c r="B25653" s="612"/>
      <c r="H25653" s="612"/>
    </row>
    <row r="25654">
      <c r="B25654" s="612"/>
      <c r="H25654" s="612"/>
    </row>
    <row r="25655">
      <c r="B25655" s="612"/>
      <c r="H25655" s="612"/>
    </row>
    <row r="25656">
      <c r="B25656" s="612"/>
      <c r="H25656" s="612"/>
    </row>
    <row r="25657">
      <c r="B25657" s="612"/>
      <c r="H25657" s="612"/>
    </row>
    <row r="25658">
      <c r="B25658" s="612"/>
      <c r="H25658" s="612"/>
    </row>
    <row r="25659">
      <c r="B25659" s="612"/>
      <c r="H25659" s="612"/>
    </row>
    <row r="25660">
      <c r="B25660" s="612"/>
      <c r="H25660" s="612"/>
    </row>
    <row r="25661">
      <c r="B25661" s="612"/>
      <c r="H25661" s="612"/>
    </row>
    <row r="25662">
      <c r="B25662" s="612"/>
      <c r="H25662" s="612"/>
    </row>
    <row r="25663">
      <c r="B25663" s="612"/>
      <c r="H25663" s="612"/>
    </row>
    <row r="25664">
      <c r="B25664" s="612"/>
      <c r="H25664" s="612"/>
    </row>
    <row r="25665">
      <c r="B25665" s="612"/>
      <c r="H25665" s="612"/>
    </row>
    <row r="25666">
      <c r="B25666" s="612"/>
      <c r="H25666" s="612"/>
    </row>
    <row r="25667">
      <c r="B25667" s="612"/>
      <c r="H25667" s="612"/>
    </row>
    <row r="25668">
      <c r="B25668" s="612"/>
      <c r="H25668" s="612"/>
    </row>
    <row r="25669">
      <c r="B25669" s="612"/>
      <c r="H25669" s="612"/>
    </row>
    <row r="25670">
      <c r="B25670" s="612"/>
      <c r="H25670" s="612"/>
    </row>
    <row r="25671">
      <c r="B25671" s="612"/>
      <c r="H25671" s="612"/>
    </row>
    <row r="25672">
      <c r="B25672" s="612"/>
      <c r="H25672" s="612"/>
    </row>
    <row r="25673">
      <c r="B25673" s="612"/>
      <c r="H25673" s="612"/>
    </row>
    <row r="25674">
      <c r="B25674" s="612"/>
      <c r="H25674" s="612"/>
    </row>
    <row r="25675">
      <c r="B25675" s="612"/>
      <c r="H25675" s="612"/>
    </row>
    <row r="25676">
      <c r="B25676" s="612"/>
      <c r="H25676" s="612"/>
    </row>
    <row r="25677">
      <c r="B25677" s="612"/>
      <c r="H25677" s="612"/>
    </row>
    <row r="25678">
      <c r="B25678" s="612"/>
      <c r="H25678" s="612"/>
    </row>
    <row r="25679">
      <c r="B25679" s="612"/>
      <c r="H25679" s="612"/>
    </row>
    <row r="25680">
      <c r="B25680" s="612"/>
      <c r="H25680" s="612"/>
    </row>
    <row r="25681">
      <c r="B25681" s="612"/>
      <c r="H25681" s="612"/>
    </row>
    <row r="25682">
      <c r="B25682" s="612"/>
      <c r="H25682" s="612"/>
    </row>
    <row r="25683">
      <c r="B25683" s="612"/>
      <c r="H25683" s="612"/>
    </row>
    <row r="25684">
      <c r="B25684" s="612"/>
      <c r="H25684" s="612"/>
    </row>
    <row r="25685">
      <c r="B25685" s="612"/>
      <c r="H25685" s="612"/>
    </row>
    <row r="25686">
      <c r="B25686" s="612"/>
      <c r="H25686" s="612"/>
    </row>
    <row r="25687">
      <c r="B25687" s="612"/>
      <c r="H25687" s="612"/>
    </row>
    <row r="25688">
      <c r="B25688" s="612"/>
      <c r="H25688" s="612"/>
    </row>
    <row r="25689">
      <c r="B25689" s="612"/>
      <c r="H25689" s="612"/>
    </row>
    <row r="25690">
      <c r="B25690" s="612"/>
      <c r="H25690" s="612"/>
    </row>
    <row r="25691">
      <c r="B25691" s="612"/>
      <c r="H25691" s="612"/>
    </row>
    <row r="25692">
      <c r="B25692" s="612"/>
      <c r="H25692" s="612"/>
    </row>
    <row r="25693">
      <c r="B25693" s="612"/>
      <c r="H25693" s="612"/>
    </row>
    <row r="25694">
      <c r="B25694" s="612"/>
      <c r="H25694" s="612"/>
    </row>
    <row r="25695">
      <c r="B25695" s="612"/>
      <c r="H25695" s="612"/>
    </row>
    <row r="25696">
      <c r="B25696" s="612"/>
      <c r="H25696" s="612"/>
    </row>
    <row r="25697">
      <c r="B25697" s="612"/>
      <c r="H25697" s="612"/>
    </row>
    <row r="25698">
      <c r="B25698" s="612"/>
      <c r="H25698" s="612"/>
    </row>
    <row r="25699">
      <c r="B25699" s="612"/>
      <c r="H25699" s="612"/>
    </row>
    <row r="25700">
      <c r="B25700" s="612"/>
      <c r="H25700" s="612"/>
    </row>
    <row r="25701">
      <c r="B25701" s="612"/>
      <c r="H25701" s="612"/>
    </row>
    <row r="25702">
      <c r="B25702" s="612"/>
      <c r="H25702" s="612"/>
    </row>
    <row r="25703">
      <c r="B25703" s="612"/>
      <c r="H25703" s="612"/>
    </row>
    <row r="25704">
      <c r="B25704" s="612"/>
      <c r="H25704" s="612"/>
    </row>
    <row r="25705">
      <c r="B25705" s="612"/>
      <c r="H25705" s="612"/>
    </row>
    <row r="25706">
      <c r="B25706" s="612"/>
      <c r="H25706" s="612"/>
    </row>
    <row r="25707">
      <c r="B25707" s="612"/>
      <c r="H25707" s="612"/>
    </row>
    <row r="25708">
      <c r="B25708" s="612"/>
      <c r="H25708" s="612"/>
    </row>
    <row r="25709">
      <c r="B25709" s="612"/>
      <c r="H25709" s="612"/>
    </row>
    <row r="25710">
      <c r="B25710" s="612"/>
      <c r="H25710" s="612"/>
    </row>
    <row r="25711">
      <c r="B25711" s="612"/>
      <c r="H25711" s="612"/>
    </row>
    <row r="25712">
      <c r="B25712" s="612"/>
      <c r="H25712" s="612"/>
    </row>
    <row r="25713">
      <c r="B25713" s="612"/>
      <c r="H25713" s="612"/>
    </row>
    <row r="25714">
      <c r="B25714" s="612"/>
      <c r="H25714" s="612"/>
    </row>
    <row r="25715">
      <c r="B25715" s="612"/>
      <c r="H25715" s="612"/>
    </row>
    <row r="25716">
      <c r="B25716" s="612"/>
      <c r="H25716" s="612"/>
    </row>
    <row r="25717">
      <c r="B25717" s="612"/>
      <c r="H25717" s="612"/>
    </row>
    <row r="25718">
      <c r="B25718" s="612"/>
      <c r="H25718" s="612"/>
    </row>
    <row r="25719">
      <c r="B25719" s="612"/>
      <c r="H25719" s="612"/>
    </row>
    <row r="25720">
      <c r="B25720" s="612"/>
      <c r="H25720" s="612"/>
    </row>
    <row r="25721">
      <c r="B25721" s="612"/>
      <c r="H25721" s="612"/>
    </row>
    <row r="25722">
      <c r="B25722" s="612"/>
      <c r="H25722" s="612"/>
    </row>
    <row r="25723">
      <c r="B25723" s="612"/>
      <c r="H25723" s="612"/>
    </row>
    <row r="25724">
      <c r="B25724" s="612"/>
      <c r="H25724" s="612"/>
    </row>
    <row r="25725">
      <c r="B25725" s="612"/>
      <c r="H25725" s="612"/>
    </row>
    <row r="25726">
      <c r="B25726" s="612"/>
      <c r="H25726" s="612"/>
    </row>
    <row r="25727">
      <c r="B25727" s="612"/>
      <c r="H25727" s="612"/>
    </row>
    <row r="25728">
      <c r="B25728" s="612"/>
      <c r="H25728" s="612"/>
    </row>
    <row r="25729">
      <c r="B25729" s="612"/>
      <c r="H25729" s="612"/>
    </row>
    <row r="25730">
      <c r="B25730" s="612"/>
      <c r="H25730" s="612"/>
    </row>
    <row r="25731">
      <c r="B25731" s="612"/>
      <c r="H25731" s="612"/>
    </row>
    <row r="25732">
      <c r="B25732" s="612"/>
      <c r="H25732" s="612"/>
    </row>
    <row r="25733">
      <c r="B25733" s="612"/>
      <c r="H25733" s="612"/>
    </row>
    <row r="25734">
      <c r="B25734" s="612"/>
      <c r="H25734" s="612"/>
    </row>
    <row r="25735">
      <c r="B25735" s="612"/>
      <c r="H25735" s="612"/>
    </row>
    <row r="25736">
      <c r="B25736" s="612"/>
      <c r="H25736" s="612"/>
    </row>
    <row r="25737">
      <c r="B25737" s="612"/>
      <c r="H25737" s="612"/>
    </row>
    <row r="25738">
      <c r="B25738" s="612"/>
      <c r="H25738" s="612"/>
    </row>
    <row r="25739">
      <c r="B25739" s="612"/>
      <c r="H25739" s="612"/>
    </row>
    <row r="25740">
      <c r="B25740" s="612"/>
      <c r="H25740" s="612"/>
    </row>
    <row r="25741">
      <c r="B25741" s="612"/>
      <c r="H25741" s="612"/>
    </row>
    <row r="25742">
      <c r="B25742" s="612"/>
      <c r="H25742" s="612"/>
    </row>
    <row r="25743">
      <c r="B25743" s="612"/>
      <c r="H25743" s="612"/>
    </row>
    <row r="25744">
      <c r="B25744" s="612"/>
      <c r="H25744" s="612"/>
    </row>
    <row r="25745">
      <c r="B25745" s="612"/>
      <c r="H25745" s="612"/>
    </row>
    <row r="25746">
      <c r="B25746" s="612"/>
      <c r="H25746" s="612"/>
    </row>
    <row r="25747">
      <c r="B25747" s="612"/>
      <c r="H25747" s="612"/>
    </row>
    <row r="25748">
      <c r="B25748" s="612"/>
      <c r="H25748" s="612"/>
    </row>
    <row r="25749">
      <c r="B25749" s="612"/>
      <c r="H25749" s="612"/>
    </row>
    <row r="25750">
      <c r="B25750" s="612"/>
      <c r="H25750" s="612"/>
    </row>
    <row r="25751">
      <c r="B25751" s="612"/>
      <c r="H25751" s="612"/>
    </row>
    <row r="25752">
      <c r="B25752" s="612"/>
      <c r="H25752" s="612"/>
    </row>
    <row r="25753">
      <c r="B25753" s="612"/>
      <c r="H25753" s="612"/>
    </row>
    <row r="25754">
      <c r="B25754" s="612"/>
      <c r="H25754" s="612"/>
    </row>
    <row r="25755">
      <c r="B25755" s="612"/>
      <c r="H25755" s="612"/>
    </row>
    <row r="25756">
      <c r="B25756" s="612"/>
      <c r="H25756" s="612"/>
    </row>
    <row r="25757">
      <c r="B25757" s="612"/>
      <c r="H25757" s="612"/>
    </row>
    <row r="25758">
      <c r="B25758" s="612"/>
      <c r="H25758" s="612"/>
    </row>
    <row r="25759">
      <c r="B25759" s="612"/>
      <c r="H25759" s="612"/>
    </row>
    <row r="25760">
      <c r="B25760" s="612"/>
      <c r="H25760" s="612"/>
    </row>
    <row r="25761">
      <c r="B25761" s="612"/>
      <c r="H25761" s="612"/>
    </row>
    <row r="25762">
      <c r="B25762" s="612"/>
      <c r="H25762" s="612"/>
    </row>
    <row r="25763">
      <c r="B25763" s="612"/>
      <c r="H25763" s="612"/>
    </row>
    <row r="25764">
      <c r="B25764" s="612"/>
      <c r="H25764" s="612"/>
    </row>
    <row r="25765">
      <c r="B25765" s="612"/>
      <c r="H25765" s="612"/>
    </row>
    <row r="25766">
      <c r="B25766" s="612"/>
      <c r="H25766" s="612"/>
    </row>
    <row r="25767">
      <c r="B25767" s="612"/>
      <c r="H25767" s="612"/>
    </row>
    <row r="25768">
      <c r="B25768" s="612"/>
      <c r="H25768" s="612"/>
    </row>
    <row r="25769">
      <c r="B25769" s="612"/>
      <c r="H25769" s="612"/>
    </row>
    <row r="25770">
      <c r="B25770" s="612"/>
      <c r="H25770" s="612"/>
    </row>
    <row r="25771">
      <c r="B25771" s="612"/>
      <c r="H25771" s="612"/>
    </row>
    <row r="25772">
      <c r="B25772" s="612"/>
      <c r="H25772" s="612"/>
    </row>
    <row r="25773">
      <c r="B25773" s="612"/>
      <c r="H25773" s="612"/>
    </row>
    <row r="25774">
      <c r="B25774" s="612"/>
      <c r="H25774" s="612"/>
    </row>
    <row r="25775">
      <c r="B25775" s="612"/>
      <c r="H25775" s="612"/>
    </row>
    <row r="25776">
      <c r="B25776" s="612"/>
      <c r="H25776" s="612"/>
    </row>
    <row r="25777">
      <c r="B25777" s="612"/>
      <c r="H25777" s="612"/>
    </row>
    <row r="25778">
      <c r="B25778" s="612"/>
      <c r="H25778" s="612"/>
    </row>
    <row r="25779">
      <c r="B25779" s="612"/>
      <c r="H25779" s="612"/>
    </row>
    <row r="25780">
      <c r="B25780" s="612"/>
      <c r="H25780" s="612"/>
    </row>
    <row r="25781">
      <c r="B25781" s="612"/>
      <c r="H25781" s="612"/>
    </row>
    <row r="25782">
      <c r="B25782" s="612"/>
      <c r="H25782" s="612"/>
    </row>
    <row r="25783">
      <c r="B25783" s="612"/>
      <c r="H25783" s="612"/>
    </row>
    <row r="25784">
      <c r="B25784" s="612"/>
      <c r="H25784" s="612"/>
    </row>
    <row r="25785">
      <c r="B25785" s="612"/>
      <c r="H25785" s="612"/>
    </row>
    <row r="25786">
      <c r="B25786" s="612"/>
      <c r="H25786" s="612"/>
    </row>
    <row r="25787">
      <c r="B25787" s="612"/>
      <c r="H25787" s="612"/>
    </row>
    <row r="25788">
      <c r="B25788" s="612"/>
      <c r="H25788" s="612"/>
    </row>
    <row r="25789">
      <c r="B25789" s="612"/>
      <c r="H25789" s="612"/>
    </row>
    <row r="25790">
      <c r="B25790" s="612"/>
      <c r="H25790" s="612"/>
    </row>
    <row r="25791">
      <c r="B25791" s="612"/>
      <c r="H25791" s="612"/>
    </row>
    <row r="25792">
      <c r="B25792" s="612"/>
      <c r="H25792" s="612"/>
    </row>
    <row r="25793">
      <c r="B25793" s="612"/>
      <c r="H25793" s="612"/>
    </row>
    <row r="25794">
      <c r="B25794" s="612"/>
      <c r="H25794" s="612"/>
    </row>
    <row r="25795">
      <c r="B25795" s="612"/>
      <c r="H25795" s="612"/>
    </row>
    <row r="25796">
      <c r="B25796" s="612"/>
      <c r="H25796" s="612"/>
    </row>
    <row r="25797">
      <c r="B25797" s="612"/>
      <c r="H25797" s="612"/>
    </row>
    <row r="25798">
      <c r="B25798" s="612"/>
      <c r="H25798" s="612"/>
    </row>
    <row r="25799">
      <c r="B25799" s="612"/>
      <c r="H25799" s="612"/>
    </row>
    <row r="25800">
      <c r="B25800" s="612"/>
      <c r="H25800" s="612"/>
    </row>
    <row r="25801">
      <c r="B25801" s="612"/>
      <c r="H25801" s="612"/>
    </row>
    <row r="25802">
      <c r="B25802" s="612"/>
      <c r="H25802" s="612"/>
    </row>
    <row r="25803">
      <c r="B25803" s="612"/>
      <c r="H25803" s="612"/>
    </row>
    <row r="25804">
      <c r="B25804" s="612"/>
      <c r="H25804" s="612"/>
    </row>
    <row r="25805">
      <c r="B25805" s="612"/>
      <c r="H25805" s="612"/>
    </row>
    <row r="25806">
      <c r="B25806" s="612"/>
      <c r="H25806" s="612"/>
    </row>
    <row r="25807">
      <c r="B25807" s="612"/>
      <c r="H25807" s="612"/>
    </row>
    <row r="25808">
      <c r="B25808" s="612"/>
      <c r="H25808" s="612"/>
    </row>
    <row r="25809">
      <c r="B25809" s="612"/>
      <c r="H25809" s="612"/>
    </row>
    <row r="25810">
      <c r="B25810" s="612"/>
      <c r="H25810" s="612"/>
    </row>
    <row r="25811">
      <c r="B25811" s="612"/>
      <c r="H25811" s="612"/>
    </row>
    <row r="25812">
      <c r="B25812" s="612"/>
      <c r="H25812" s="612"/>
    </row>
    <row r="25813">
      <c r="B25813" s="612"/>
      <c r="H25813" s="612"/>
    </row>
    <row r="25814">
      <c r="B25814" s="612"/>
      <c r="H25814" s="612"/>
    </row>
    <row r="25815">
      <c r="B25815" s="612"/>
      <c r="H25815" s="612"/>
    </row>
    <row r="25816">
      <c r="B25816" s="612"/>
      <c r="H25816" s="612"/>
    </row>
    <row r="25817">
      <c r="B25817" s="612"/>
      <c r="H25817" s="612"/>
    </row>
    <row r="25818">
      <c r="B25818" s="612"/>
      <c r="H25818" s="612"/>
    </row>
    <row r="25819">
      <c r="B25819" s="612"/>
      <c r="H25819" s="612"/>
    </row>
    <row r="25820">
      <c r="B25820" s="612"/>
      <c r="H25820" s="612"/>
    </row>
    <row r="25821">
      <c r="B25821" s="612"/>
      <c r="H25821" s="612"/>
    </row>
    <row r="25822">
      <c r="B25822" s="612"/>
      <c r="H25822" s="612"/>
    </row>
    <row r="25823">
      <c r="B25823" s="612"/>
      <c r="H25823" s="612"/>
    </row>
    <row r="25824">
      <c r="B25824" s="612"/>
      <c r="H25824" s="612"/>
    </row>
    <row r="25825">
      <c r="B25825" s="612"/>
      <c r="H25825" s="612"/>
    </row>
    <row r="25826">
      <c r="B25826" s="612"/>
      <c r="H25826" s="612"/>
    </row>
    <row r="25827">
      <c r="B25827" s="612"/>
      <c r="H25827" s="612"/>
    </row>
    <row r="25828">
      <c r="B25828" s="612"/>
      <c r="H25828" s="612"/>
    </row>
    <row r="25829">
      <c r="B25829" s="612"/>
      <c r="H25829" s="612"/>
    </row>
    <row r="25830">
      <c r="B25830" s="612"/>
      <c r="H25830" s="612"/>
    </row>
    <row r="25831">
      <c r="B25831" s="612"/>
      <c r="H25831" s="612"/>
    </row>
    <row r="25832">
      <c r="B25832" s="612"/>
      <c r="H25832" s="612"/>
    </row>
    <row r="25833">
      <c r="B25833" s="612"/>
      <c r="H25833" s="612"/>
    </row>
    <row r="25834">
      <c r="B25834" s="612"/>
      <c r="H25834" s="612"/>
    </row>
    <row r="25835">
      <c r="B25835" s="612"/>
      <c r="H25835" s="612"/>
    </row>
    <row r="25836">
      <c r="B25836" s="612"/>
      <c r="H25836" s="612"/>
    </row>
    <row r="25837">
      <c r="B25837" s="612"/>
      <c r="H25837" s="612"/>
    </row>
    <row r="25838">
      <c r="B25838" s="612"/>
      <c r="H25838" s="612"/>
    </row>
    <row r="25839">
      <c r="B25839" s="612"/>
      <c r="H25839" s="612"/>
    </row>
    <row r="25840">
      <c r="B25840" s="612"/>
      <c r="H25840" s="612"/>
    </row>
    <row r="25841">
      <c r="B25841" s="612"/>
      <c r="H25841" s="612"/>
    </row>
    <row r="25842">
      <c r="B25842" s="612"/>
      <c r="H25842" s="612"/>
    </row>
    <row r="25843">
      <c r="B25843" s="612"/>
      <c r="H25843" s="612"/>
    </row>
    <row r="25844">
      <c r="B25844" s="612"/>
      <c r="H25844" s="612"/>
    </row>
    <row r="25845">
      <c r="B25845" s="612"/>
      <c r="H25845" s="612"/>
    </row>
    <row r="25846">
      <c r="B25846" s="612"/>
      <c r="H25846" s="612"/>
    </row>
    <row r="25847">
      <c r="B25847" s="612"/>
      <c r="H25847" s="612"/>
    </row>
    <row r="25848">
      <c r="B25848" s="612"/>
      <c r="H25848" s="612"/>
    </row>
    <row r="25849">
      <c r="B25849" s="612"/>
      <c r="H25849" s="612"/>
    </row>
    <row r="25850">
      <c r="B25850" s="612"/>
      <c r="H25850" s="612"/>
    </row>
    <row r="25851">
      <c r="B25851" s="612"/>
      <c r="H25851" s="612"/>
    </row>
    <row r="25852">
      <c r="B25852" s="612"/>
      <c r="H25852" s="612"/>
    </row>
    <row r="25853">
      <c r="B25853" s="612"/>
      <c r="H25853" s="612"/>
    </row>
    <row r="25854">
      <c r="B25854" s="612"/>
      <c r="H25854" s="612"/>
    </row>
    <row r="25855">
      <c r="B25855" s="612"/>
      <c r="H25855" s="612"/>
    </row>
    <row r="25856">
      <c r="B25856" s="612"/>
      <c r="H25856" s="612"/>
    </row>
    <row r="25857">
      <c r="B25857" s="612"/>
      <c r="H25857" s="612"/>
    </row>
    <row r="25858">
      <c r="B25858" s="612"/>
      <c r="H25858" s="612"/>
    </row>
    <row r="25859">
      <c r="B25859" s="612"/>
      <c r="H25859" s="612"/>
    </row>
    <row r="25860">
      <c r="B25860" s="612"/>
      <c r="H25860" s="612"/>
    </row>
    <row r="25861">
      <c r="B25861" s="612"/>
      <c r="H25861" s="612"/>
    </row>
    <row r="25862">
      <c r="B25862" s="612"/>
      <c r="H25862" s="612"/>
    </row>
    <row r="25863">
      <c r="B25863" s="612"/>
      <c r="H25863" s="612"/>
    </row>
    <row r="25864">
      <c r="B25864" s="612"/>
      <c r="H25864" s="612"/>
    </row>
    <row r="25865">
      <c r="B25865" s="612"/>
      <c r="H25865" s="612"/>
    </row>
    <row r="25866">
      <c r="B25866" s="612"/>
      <c r="H25866" s="612"/>
    </row>
    <row r="25867">
      <c r="B25867" s="612"/>
      <c r="H25867" s="612"/>
    </row>
    <row r="25868">
      <c r="B25868" s="612"/>
      <c r="H25868" s="612"/>
    </row>
    <row r="25869">
      <c r="B25869" s="612"/>
      <c r="H25869" s="612"/>
    </row>
    <row r="25870">
      <c r="B25870" s="612"/>
      <c r="H25870" s="612"/>
    </row>
    <row r="25871">
      <c r="B25871" s="612"/>
      <c r="H25871" s="612"/>
    </row>
    <row r="25872">
      <c r="B25872" s="612"/>
      <c r="H25872" s="612"/>
    </row>
    <row r="25873">
      <c r="B25873" s="612"/>
      <c r="H25873" s="612"/>
    </row>
    <row r="25874">
      <c r="B25874" s="612"/>
      <c r="H25874" s="612"/>
    </row>
    <row r="25875">
      <c r="B25875" s="612"/>
      <c r="H25875" s="612"/>
    </row>
    <row r="25876">
      <c r="B25876" s="612"/>
      <c r="H25876" s="612"/>
    </row>
    <row r="25877">
      <c r="B25877" s="612"/>
      <c r="H25877" s="612"/>
    </row>
    <row r="25878">
      <c r="B25878" s="612"/>
      <c r="H25878" s="612"/>
    </row>
    <row r="25879">
      <c r="B25879" s="612"/>
      <c r="H25879" s="612"/>
    </row>
    <row r="25880">
      <c r="B25880" s="612"/>
      <c r="H25880" s="612"/>
    </row>
    <row r="25881">
      <c r="B25881" s="612"/>
      <c r="H25881" s="612"/>
    </row>
    <row r="25882">
      <c r="B25882" s="612"/>
      <c r="H25882" s="612"/>
    </row>
    <row r="25883">
      <c r="B25883" s="612"/>
      <c r="H25883" s="612"/>
    </row>
    <row r="25884">
      <c r="B25884" s="612"/>
      <c r="H25884" s="612"/>
    </row>
    <row r="25885">
      <c r="B25885" s="612"/>
      <c r="H25885" s="612"/>
    </row>
    <row r="25886">
      <c r="B25886" s="612"/>
      <c r="H25886" s="612"/>
    </row>
    <row r="25887">
      <c r="B25887" s="612"/>
      <c r="H25887" s="612"/>
    </row>
    <row r="25888">
      <c r="B25888" s="612"/>
      <c r="H25888" s="612"/>
    </row>
    <row r="25889">
      <c r="B25889" s="612"/>
      <c r="H25889" s="612"/>
    </row>
    <row r="25890">
      <c r="B25890" s="612"/>
      <c r="H25890" s="612"/>
    </row>
    <row r="25891">
      <c r="B25891" s="612"/>
      <c r="H25891" s="612"/>
    </row>
    <row r="25892">
      <c r="B25892" s="612"/>
      <c r="H25892" s="612"/>
    </row>
    <row r="25893">
      <c r="B25893" s="612"/>
      <c r="H25893" s="612"/>
    </row>
    <row r="25894">
      <c r="B25894" s="612"/>
      <c r="H25894" s="612"/>
    </row>
    <row r="25895">
      <c r="B25895" s="612"/>
      <c r="H25895" s="612"/>
    </row>
    <row r="25896">
      <c r="B25896" s="612"/>
      <c r="H25896" s="612"/>
    </row>
    <row r="25897">
      <c r="B25897" s="612"/>
      <c r="H25897" s="612"/>
    </row>
    <row r="25898">
      <c r="B25898" s="612"/>
      <c r="H25898" s="612"/>
    </row>
    <row r="25899">
      <c r="B25899" s="612"/>
      <c r="H25899" s="612"/>
    </row>
    <row r="25900">
      <c r="B25900" s="612"/>
      <c r="H25900" s="612"/>
    </row>
    <row r="25901">
      <c r="B25901" s="612"/>
      <c r="H25901" s="612"/>
    </row>
    <row r="25902">
      <c r="B25902" s="612"/>
      <c r="H25902" s="612"/>
    </row>
    <row r="25903">
      <c r="B25903" s="612"/>
      <c r="H25903" s="612"/>
    </row>
    <row r="25904">
      <c r="B25904" s="612"/>
      <c r="H25904" s="612"/>
    </row>
    <row r="25905">
      <c r="B25905" s="612"/>
      <c r="H25905" s="612"/>
    </row>
    <row r="25906">
      <c r="B25906" s="612"/>
      <c r="H25906" s="612"/>
    </row>
    <row r="25907">
      <c r="B25907" s="612"/>
      <c r="H25907" s="612"/>
    </row>
    <row r="25908">
      <c r="B25908" s="612"/>
      <c r="H25908" s="612"/>
    </row>
    <row r="25909">
      <c r="B25909" s="612"/>
      <c r="H25909" s="612"/>
    </row>
    <row r="25910">
      <c r="B25910" s="612"/>
      <c r="H25910" s="612"/>
    </row>
    <row r="25911">
      <c r="B25911" s="612"/>
      <c r="H25911" s="612"/>
    </row>
    <row r="25912">
      <c r="B25912" s="612"/>
      <c r="H25912" s="612"/>
    </row>
    <row r="25913">
      <c r="B25913" s="612"/>
      <c r="H25913" s="612"/>
    </row>
    <row r="25914">
      <c r="B25914" s="612"/>
      <c r="H25914" s="612"/>
    </row>
    <row r="25915">
      <c r="B25915" s="612"/>
      <c r="H25915" s="612"/>
    </row>
    <row r="25916">
      <c r="B25916" s="612"/>
      <c r="H25916" s="612"/>
    </row>
    <row r="25917">
      <c r="B25917" s="612"/>
      <c r="H25917" s="612"/>
    </row>
    <row r="25918">
      <c r="B25918" s="612"/>
      <c r="H25918" s="612"/>
    </row>
    <row r="25919">
      <c r="B25919" s="612"/>
      <c r="H25919" s="612"/>
    </row>
    <row r="25920">
      <c r="B25920" s="612"/>
      <c r="H25920" s="612"/>
    </row>
    <row r="25921">
      <c r="B25921" s="612"/>
      <c r="H25921" s="612"/>
    </row>
    <row r="25922">
      <c r="B25922" s="612"/>
      <c r="H25922" s="612"/>
    </row>
    <row r="25923">
      <c r="B25923" s="612"/>
      <c r="H25923" s="612"/>
    </row>
    <row r="25924">
      <c r="B25924" s="612"/>
      <c r="H25924" s="612"/>
    </row>
    <row r="25925">
      <c r="B25925" s="612"/>
      <c r="H25925" s="612"/>
    </row>
    <row r="25926">
      <c r="B25926" s="612"/>
      <c r="H25926" s="612"/>
    </row>
    <row r="25927">
      <c r="B25927" s="612"/>
      <c r="H25927" s="612"/>
    </row>
    <row r="25928">
      <c r="B25928" s="612"/>
      <c r="H25928" s="612"/>
    </row>
    <row r="25929">
      <c r="B25929" s="612"/>
      <c r="H25929" s="612"/>
    </row>
    <row r="25930">
      <c r="B25930" s="612"/>
      <c r="H25930" s="612"/>
    </row>
    <row r="25931">
      <c r="B25931" s="612"/>
      <c r="H25931" s="612"/>
    </row>
    <row r="25932">
      <c r="B25932" s="612"/>
      <c r="H25932" s="612"/>
    </row>
    <row r="25933">
      <c r="B25933" s="612"/>
      <c r="H25933" s="612"/>
    </row>
    <row r="25934">
      <c r="B25934" s="612"/>
      <c r="H25934" s="612"/>
    </row>
    <row r="25935">
      <c r="B25935" s="612"/>
      <c r="H25935" s="612"/>
    </row>
    <row r="25936">
      <c r="B25936" s="612"/>
      <c r="H25936" s="612"/>
    </row>
    <row r="25937">
      <c r="B25937" s="612"/>
      <c r="H25937" s="612"/>
    </row>
    <row r="25938">
      <c r="B25938" s="612"/>
      <c r="H25938" s="612"/>
    </row>
    <row r="25939">
      <c r="B25939" s="612"/>
      <c r="H25939" s="612"/>
    </row>
    <row r="25940">
      <c r="B25940" s="612"/>
      <c r="H25940" s="612"/>
    </row>
    <row r="25941">
      <c r="B25941" s="612"/>
      <c r="H25941" s="612"/>
    </row>
    <row r="25942">
      <c r="B25942" s="612"/>
      <c r="H25942" s="612"/>
    </row>
    <row r="25943">
      <c r="B25943" s="612"/>
      <c r="H25943" s="612"/>
    </row>
    <row r="25944">
      <c r="B25944" s="612"/>
      <c r="H25944" s="612"/>
    </row>
    <row r="25945">
      <c r="B25945" s="612"/>
      <c r="H25945" s="612"/>
    </row>
    <row r="25946">
      <c r="B25946" s="612"/>
      <c r="H25946" s="612"/>
    </row>
    <row r="25947">
      <c r="B25947" s="612"/>
      <c r="H25947" s="612"/>
    </row>
    <row r="25948">
      <c r="B25948" s="612"/>
      <c r="H25948" s="612"/>
    </row>
    <row r="25949">
      <c r="B25949" s="612"/>
      <c r="H25949" s="612"/>
    </row>
    <row r="25950">
      <c r="B25950" s="612"/>
      <c r="H25950" s="612"/>
    </row>
    <row r="25951">
      <c r="B25951" s="612"/>
      <c r="H25951" s="612"/>
    </row>
    <row r="25952">
      <c r="B25952" s="612"/>
      <c r="H25952" s="612"/>
    </row>
    <row r="25953">
      <c r="B25953" s="612"/>
      <c r="H25953" s="612"/>
    </row>
    <row r="25954">
      <c r="B25954" s="612"/>
      <c r="H25954" s="612"/>
    </row>
    <row r="25955">
      <c r="B25955" s="612"/>
      <c r="H25955" s="612"/>
    </row>
    <row r="25956">
      <c r="B25956" s="612"/>
      <c r="H25956" s="612"/>
    </row>
    <row r="25957">
      <c r="B25957" s="612"/>
      <c r="H25957" s="612"/>
    </row>
    <row r="25958">
      <c r="B25958" s="612"/>
      <c r="H25958" s="612"/>
    </row>
    <row r="25959">
      <c r="B25959" s="612"/>
      <c r="H25959" s="612"/>
    </row>
    <row r="25960">
      <c r="B25960" s="612"/>
      <c r="H25960" s="612"/>
    </row>
    <row r="25961">
      <c r="B25961" s="612"/>
      <c r="H25961" s="612"/>
    </row>
    <row r="25962">
      <c r="B25962" s="612"/>
      <c r="H25962" s="612"/>
    </row>
    <row r="25963">
      <c r="B25963" s="612"/>
      <c r="H25963" s="612"/>
    </row>
    <row r="25964">
      <c r="B25964" s="612"/>
      <c r="H25964" s="612"/>
    </row>
    <row r="25965">
      <c r="B25965" s="612"/>
      <c r="H25965" s="612"/>
    </row>
    <row r="25966">
      <c r="B25966" s="612"/>
      <c r="H25966" s="612"/>
    </row>
    <row r="25967">
      <c r="B25967" s="612"/>
      <c r="H25967" s="612"/>
    </row>
    <row r="25968">
      <c r="B25968" s="612"/>
      <c r="H25968" s="612"/>
    </row>
    <row r="25969">
      <c r="B25969" s="612"/>
      <c r="H25969" s="612"/>
    </row>
    <row r="25970">
      <c r="B25970" s="612"/>
      <c r="H25970" s="612"/>
    </row>
    <row r="25971">
      <c r="B25971" s="612"/>
      <c r="H25971" s="612"/>
    </row>
    <row r="25972">
      <c r="B25972" s="612"/>
      <c r="H25972" s="612"/>
    </row>
    <row r="25973">
      <c r="B25973" s="612"/>
      <c r="H25973" s="612"/>
    </row>
    <row r="25974">
      <c r="B25974" s="612"/>
      <c r="H25974" s="612"/>
    </row>
    <row r="25975">
      <c r="B25975" s="612"/>
      <c r="H25975" s="612"/>
    </row>
    <row r="25976">
      <c r="B25976" s="612"/>
      <c r="H25976" s="612"/>
    </row>
    <row r="25977">
      <c r="B25977" s="612"/>
      <c r="H25977" s="612"/>
    </row>
    <row r="25978">
      <c r="B25978" s="612"/>
      <c r="H25978" s="612"/>
    </row>
    <row r="25979">
      <c r="B25979" s="612"/>
      <c r="H25979" s="612"/>
    </row>
    <row r="25980">
      <c r="B25980" s="612"/>
      <c r="H25980" s="612"/>
    </row>
    <row r="25981">
      <c r="B25981" s="612"/>
      <c r="H25981" s="612"/>
    </row>
    <row r="25982">
      <c r="B25982" s="612"/>
      <c r="H25982" s="612"/>
    </row>
    <row r="25983">
      <c r="B25983" s="612"/>
      <c r="H25983" s="612"/>
    </row>
    <row r="25984">
      <c r="B25984" s="612"/>
      <c r="H25984" s="612"/>
    </row>
    <row r="25985">
      <c r="B25985" s="612"/>
      <c r="H25985" s="612"/>
    </row>
    <row r="25986">
      <c r="B25986" s="612"/>
      <c r="H25986" s="612"/>
    </row>
    <row r="25987">
      <c r="B25987" s="612"/>
      <c r="H25987" s="612"/>
    </row>
    <row r="25988">
      <c r="B25988" s="612"/>
      <c r="H25988" s="612"/>
    </row>
    <row r="25989">
      <c r="B25989" s="612"/>
      <c r="H25989" s="612"/>
    </row>
    <row r="25990">
      <c r="B25990" s="612"/>
      <c r="H25990" s="612"/>
    </row>
    <row r="25991">
      <c r="B25991" s="612"/>
      <c r="H25991" s="612"/>
    </row>
    <row r="25992">
      <c r="B25992" s="612"/>
      <c r="H25992" s="612"/>
    </row>
    <row r="25993">
      <c r="B25993" s="612"/>
      <c r="H25993" s="612"/>
    </row>
    <row r="25994">
      <c r="B25994" s="612"/>
      <c r="H25994" s="612"/>
    </row>
    <row r="25995">
      <c r="B25995" s="612"/>
      <c r="H25995" s="612"/>
    </row>
    <row r="25996">
      <c r="B25996" s="612"/>
      <c r="H25996" s="612"/>
    </row>
    <row r="25997">
      <c r="B25997" s="612"/>
      <c r="H25997" s="612"/>
    </row>
    <row r="25998">
      <c r="B25998" s="612"/>
      <c r="H25998" s="612"/>
    </row>
    <row r="25999">
      <c r="B25999" s="612"/>
      <c r="H25999" s="612"/>
    </row>
    <row r="26000">
      <c r="B26000" s="612"/>
      <c r="H26000" s="612"/>
    </row>
    <row r="26001">
      <c r="B26001" s="612"/>
      <c r="H26001" s="612"/>
    </row>
    <row r="26002">
      <c r="B26002" s="612"/>
      <c r="H26002" s="612"/>
    </row>
    <row r="26003">
      <c r="B26003" s="612"/>
      <c r="H26003" s="612"/>
    </row>
    <row r="26004">
      <c r="B26004" s="612"/>
      <c r="H26004" s="612"/>
    </row>
    <row r="26005">
      <c r="B26005" s="612"/>
      <c r="H26005" s="612"/>
    </row>
    <row r="26006">
      <c r="B26006" s="612"/>
      <c r="H26006" s="612"/>
    </row>
    <row r="26007">
      <c r="B26007" s="612"/>
      <c r="H26007" s="612"/>
    </row>
    <row r="26008">
      <c r="B26008" s="612"/>
      <c r="H26008" s="612"/>
    </row>
    <row r="26009">
      <c r="B26009" s="612"/>
      <c r="H26009" s="612"/>
    </row>
    <row r="26010">
      <c r="B26010" s="612"/>
      <c r="H26010" s="612"/>
    </row>
    <row r="26011">
      <c r="B26011" s="612"/>
      <c r="H26011" s="612"/>
    </row>
    <row r="26012">
      <c r="B26012" s="612"/>
      <c r="H26012" s="612"/>
    </row>
    <row r="26013">
      <c r="B26013" s="612"/>
      <c r="H26013" s="612"/>
    </row>
    <row r="26014">
      <c r="B26014" s="612"/>
      <c r="H26014" s="612"/>
    </row>
    <row r="26015">
      <c r="B26015" s="612"/>
      <c r="H26015" s="612"/>
    </row>
    <row r="26016">
      <c r="B26016" s="612"/>
      <c r="H26016" s="612"/>
    </row>
    <row r="26017">
      <c r="B26017" s="612"/>
      <c r="H26017" s="612"/>
    </row>
    <row r="26018">
      <c r="B26018" s="612"/>
      <c r="H26018" s="612"/>
    </row>
    <row r="26019">
      <c r="B26019" s="612"/>
      <c r="H26019" s="612"/>
    </row>
    <row r="26020">
      <c r="B26020" s="612"/>
      <c r="H26020" s="612"/>
    </row>
    <row r="26021">
      <c r="B26021" s="612"/>
      <c r="H26021" s="612"/>
    </row>
    <row r="26022">
      <c r="B26022" s="612"/>
      <c r="H26022" s="612"/>
    </row>
    <row r="26023">
      <c r="B26023" s="612"/>
      <c r="H26023" s="612"/>
    </row>
    <row r="26024">
      <c r="B26024" s="612"/>
      <c r="H26024" s="612"/>
    </row>
    <row r="26025">
      <c r="B26025" s="612"/>
      <c r="H26025" s="612"/>
    </row>
    <row r="26026">
      <c r="B26026" s="612"/>
      <c r="H26026" s="612"/>
    </row>
    <row r="26027">
      <c r="B26027" s="612"/>
      <c r="H26027" s="612"/>
    </row>
    <row r="26028">
      <c r="B26028" s="612"/>
      <c r="H26028" s="612"/>
    </row>
    <row r="26029">
      <c r="B26029" s="612"/>
      <c r="H26029" s="612"/>
    </row>
    <row r="26030">
      <c r="B26030" s="612"/>
      <c r="H26030" s="612"/>
    </row>
    <row r="26031">
      <c r="B26031" s="612"/>
      <c r="H26031" s="612"/>
    </row>
    <row r="26032">
      <c r="B26032" s="612"/>
      <c r="H26032" s="612"/>
    </row>
    <row r="26033">
      <c r="B26033" s="612"/>
      <c r="H26033" s="612"/>
    </row>
    <row r="26034">
      <c r="B26034" s="612"/>
      <c r="H26034" s="612"/>
    </row>
    <row r="26035">
      <c r="B26035" s="612"/>
      <c r="H26035" s="612"/>
    </row>
    <row r="26036">
      <c r="B26036" s="612"/>
      <c r="H26036" s="612"/>
    </row>
    <row r="26037">
      <c r="B26037" s="612"/>
      <c r="H26037" s="612"/>
    </row>
    <row r="26038">
      <c r="B26038" s="612"/>
      <c r="H26038" s="612"/>
    </row>
    <row r="26039">
      <c r="B26039" s="612"/>
      <c r="H26039" s="612"/>
    </row>
    <row r="26040">
      <c r="B26040" s="612"/>
      <c r="H26040" s="612"/>
    </row>
    <row r="26041">
      <c r="B26041" s="612"/>
      <c r="H26041" s="612"/>
    </row>
    <row r="26042">
      <c r="B26042" s="612"/>
      <c r="H26042" s="612"/>
    </row>
    <row r="26043">
      <c r="B26043" s="612"/>
      <c r="H26043" s="612"/>
    </row>
    <row r="26044">
      <c r="B26044" s="612"/>
      <c r="H26044" s="612"/>
    </row>
    <row r="26045">
      <c r="B26045" s="612"/>
      <c r="H26045" s="612"/>
    </row>
    <row r="26046">
      <c r="B26046" s="612"/>
      <c r="H26046" s="612"/>
    </row>
    <row r="26047">
      <c r="B26047" s="612"/>
      <c r="H26047" s="612"/>
    </row>
    <row r="26048">
      <c r="B26048" s="612"/>
      <c r="H26048" s="612"/>
    </row>
    <row r="26049">
      <c r="B26049" s="612"/>
      <c r="H26049" s="612"/>
    </row>
    <row r="26050">
      <c r="B26050" s="612"/>
      <c r="H26050" s="612"/>
    </row>
    <row r="26051">
      <c r="B26051" s="612"/>
      <c r="H26051" s="612"/>
    </row>
    <row r="26052">
      <c r="B26052" s="612"/>
      <c r="H26052" s="612"/>
    </row>
    <row r="26053">
      <c r="B26053" s="612"/>
      <c r="H26053" s="612"/>
    </row>
    <row r="26054">
      <c r="B26054" s="612"/>
      <c r="H26054" s="612"/>
    </row>
    <row r="26055">
      <c r="B26055" s="612"/>
      <c r="H26055" s="612"/>
    </row>
    <row r="26056">
      <c r="B26056" s="612"/>
      <c r="H26056" s="612"/>
    </row>
    <row r="26057">
      <c r="B26057" s="612"/>
      <c r="H26057" s="612"/>
    </row>
    <row r="26058">
      <c r="B26058" s="612"/>
      <c r="H26058" s="612"/>
    </row>
    <row r="26059">
      <c r="B26059" s="612"/>
      <c r="H26059" s="612"/>
    </row>
    <row r="26060">
      <c r="B26060" s="612"/>
      <c r="H26060" s="612"/>
    </row>
    <row r="26061">
      <c r="B26061" s="612"/>
      <c r="H26061" s="612"/>
    </row>
    <row r="26062">
      <c r="B26062" s="612"/>
      <c r="H26062" s="612"/>
    </row>
    <row r="26063">
      <c r="B26063" s="612"/>
      <c r="H26063" s="612"/>
    </row>
    <row r="26064">
      <c r="B26064" s="612"/>
      <c r="H26064" s="612"/>
    </row>
    <row r="26065">
      <c r="B26065" s="612"/>
      <c r="H26065" s="612"/>
    </row>
    <row r="26066">
      <c r="B26066" s="612"/>
      <c r="H26066" s="612"/>
    </row>
    <row r="26067">
      <c r="B26067" s="612"/>
      <c r="H26067" s="612"/>
    </row>
    <row r="26068">
      <c r="B26068" s="612"/>
      <c r="H26068" s="612"/>
    </row>
    <row r="26069">
      <c r="B26069" s="612"/>
      <c r="H26069" s="612"/>
    </row>
    <row r="26070">
      <c r="B26070" s="612"/>
      <c r="H26070" s="612"/>
    </row>
    <row r="26071">
      <c r="B26071" s="612"/>
      <c r="H26071" s="612"/>
    </row>
    <row r="26072">
      <c r="B26072" s="612"/>
      <c r="H26072" s="612"/>
    </row>
    <row r="26073">
      <c r="B26073" s="612"/>
      <c r="H26073" s="612"/>
    </row>
    <row r="26074">
      <c r="B26074" s="612"/>
      <c r="H26074" s="612"/>
    </row>
    <row r="26075">
      <c r="B26075" s="612"/>
      <c r="H26075" s="612"/>
    </row>
    <row r="26076">
      <c r="B26076" s="612"/>
      <c r="H26076" s="612"/>
    </row>
    <row r="26077">
      <c r="B26077" s="612"/>
      <c r="H26077" s="612"/>
    </row>
    <row r="26078">
      <c r="B26078" s="612"/>
      <c r="H26078" s="612"/>
    </row>
    <row r="26079">
      <c r="B26079" s="612"/>
      <c r="H26079" s="612"/>
    </row>
    <row r="26080">
      <c r="B26080" s="612"/>
      <c r="H26080" s="612"/>
    </row>
    <row r="26081">
      <c r="B26081" s="612"/>
      <c r="H26081" s="612"/>
    </row>
    <row r="26082">
      <c r="B26082" s="612"/>
      <c r="H26082" s="612"/>
    </row>
    <row r="26083">
      <c r="B26083" s="612"/>
      <c r="H26083" s="612"/>
    </row>
    <row r="26084">
      <c r="B26084" s="612"/>
      <c r="H26084" s="612"/>
    </row>
    <row r="26085">
      <c r="B26085" s="612"/>
      <c r="H26085" s="612"/>
    </row>
    <row r="26086">
      <c r="B26086" s="612"/>
      <c r="H26086" s="612"/>
    </row>
    <row r="26087">
      <c r="B26087" s="612"/>
      <c r="H26087" s="612"/>
    </row>
    <row r="26088">
      <c r="B26088" s="612"/>
      <c r="H26088" s="612"/>
    </row>
    <row r="26089">
      <c r="B26089" s="612"/>
      <c r="H26089" s="612"/>
    </row>
    <row r="26090">
      <c r="B26090" s="612"/>
      <c r="H26090" s="612"/>
    </row>
    <row r="26091">
      <c r="B26091" s="612"/>
      <c r="H26091" s="612"/>
    </row>
    <row r="26092">
      <c r="B26092" s="612"/>
      <c r="H26092" s="612"/>
    </row>
    <row r="26093">
      <c r="B26093" s="612"/>
      <c r="H26093" s="612"/>
    </row>
    <row r="26094">
      <c r="B26094" s="612"/>
      <c r="H26094" s="612"/>
    </row>
    <row r="26095">
      <c r="B26095" s="612"/>
      <c r="H26095" s="612"/>
    </row>
    <row r="26096">
      <c r="B26096" s="612"/>
      <c r="H26096" s="612"/>
    </row>
    <row r="26097">
      <c r="B26097" s="612"/>
      <c r="H26097" s="612"/>
    </row>
    <row r="26098">
      <c r="B26098" s="612"/>
      <c r="H26098" s="612"/>
    </row>
    <row r="26099">
      <c r="B26099" s="612"/>
      <c r="H26099" s="612"/>
    </row>
    <row r="26100">
      <c r="B26100" s="612"/>
      <c r="H26100" s="612"/>
    </row>
    <row r="26101">
      <c r="B26101" s="612"/>
      <c r="H26101" s="612"/>
    </row>
    <row r="26102">
      <c r="B26102" s="612"/>
      <c r="H26102" s="612"/>
    </row>
    <row r="26103">
      <c r="B26103" s="612"/>
      <c r="H26103" s="612"/>
    </row>
    <row r="26104">
      <c r="B26104" s="612"/>
      <c r="H26104" s="612"/>
    </row>
    <row r="26105">
      <c r="B26105" s="612"/>
      <c r="H26105" s="612"/>
    </row>
    <row r="26106">
      <c r="B26106" s="612"/>
      <c r="H26106" s="612"/>
    </row>
    <row r="26107">
      <c r="B26107" s="612"/>
      <c r="H26107" s="612"/>
    </row>
    <row r="26108">
      <c r="B26108" s="612"/>
      <c r="H26108" s="612"/>
    </row>
    <row r="26109">
      <c r="B26109" s="612"/>
      <c r="H26109" s="612"/>
    </row>
    <row r="26110">
      <c r="B26110" s="612"/>
      <c r="H26110" s="612"/>
    </row>
    <row r="26111">
      <c r="B26111" s="612"/>
      <c r="H26111" s="612"/>
    </row>
    <row r="26112">
      <c r="B26112" s="612"/>
      <c r="H26112" s="612"/>
    </row>
    <row r="26113">
      <c r="B26113" s="612"/>
      <c r="H26113" s="612"/>
    </row>
    <row r="26114">
      <c r="B26114" s="612"/>
      <c r="H26114" s="612"/>
    </row>
    <row r="26115">
      <c r="B26115" s="612"/>
      <c r="H26115" s="612"/>
    </row>
    <row r="26116">
      <c r="B26116" s="612"/>
      <c r="H26116" s="612"/>
    </row>
    <row r="26117">
      <c r="B26117" s="612"/>
      <c r="H26117" s="612"/>
    </row>
    <row r="26118">
      <c r="B26118" s="612"/>
      <c r="H26118" s="612"/>
    </row>
    <row r="26119">
      <c r="B26119" s="612"/>
      <c r="H26119" s="612"/>
    </row>
    <row r="26120">
      <c r="B26120" s="612"/>
      <c r="H26120" s="612"/>
    </row>
    <row r="26121">
      <c r="B26121" s="612"/>
      <c r="H26121" s="612"/>
    </row>
    <row r="26122">
      <c r="B26122" s="612"/>
      <c r="H26122" s="612"/>
    </row>
    <row r="26123">
      <c r="B26123" s="612"/>
      <c r="H26123" s="612"/>
    </row>
    <row r="26124">
      <c r="B26124" s="612"/>
      <c r="H26124" s="612"/>
    </row>
    <row r="26125">
      <c r="B26125" s="612"/>
      <c r="H26125" s="612"/>
    </row>
    <row r="26126">
      <c r="B26126" s="612"/>
      <c r="H26126" s="612"/>
    </row>
    <row r="26127">
      <c r="B26127" s="612"/>
      <c r="H26127" s="612"/>
    </row>
    <row r="26128">
      <c r="B26128" s="612"/>
      <c r="H26128" s="612"/>
    </row>
    <row r="26129">
      <c r="B26129" s="612"/>
      <c r="H26129" s="612"/>
    </row>
    <row r="26130">
      <c r="B26130" s="612"/>
      <c r="H26130" s="612"/>
    </row>
    <row r="26131">
      <c r="B26131" s="612"/>
      <c r="H26131" s="612"/>
    </row>
    <row r="26132">
      <c r="B26132" s="612"/>
      <c r="H26132" s="612"/>
    </row>
    <row r="26133">
      <c r="B26133" s="612"/>
      <c r="H26133" s="612"/>
    </row>
    <row r="26134">
      <c r="B26134" s="612"/>
      <c r="H26134" s="612"/>
    </row>
    <row r="26135">
      <c r="B26135" s="612"/>
      <c r="H26135" s="612"/>
    </row>
    <row r="26136">
      <c r="B26136" s="612"/>
      <c r="H26136" s="612"/>
    </row>
    <row r="26137">
      <c r="B26137" s="612"/>
      <c r="H26137" s="612"/>
    </row>
    <row r="26138">
      <c r="B26138" s="612"/>
      <c r="H26138" s="612"/>
    </row>
    <row r="26139">
      <c r="B26139" s="612"/>
      <c r="H26139" s="612"/>
    </row>
    <row r="26140">
      <c r="B26140" s="612"/>
      <c r="H26140" s="612"/>
    </row>
    <row r="26141">
      <c r="B26141" s="612"/>
      <c r="H26141" s="612"/>
    </row>
    <row r="26142">
      <c r="B26142" s="612"/>
      <c r="H26142" s="612"/>
    </row>
    <row r="26143">
      <c r="B26143" s="612"/>
      <c r="H26143" s="612"/>
    </row>
    <row r="26144">
      <c r="B26144" s="612"/>
      <c r="H26144" s="612"/>
    </row>
    <row r="26145">
      <c r="B26145" s="612"/>
      <c r="H26145" s="612"/>
    </row>
    <row r="26146">
      <c r="B26146" s="612"/>
      <c r="H26146" s="612"/>
    </row>
    <row r="26147">
      <c r="B26147" s="612"/>
      <c r="H26147" s="612"/>
    </row>
    <row r="26148">
      <c r="B26148" s="612"/>
      <c r="H26148" s="612"/>
    </row>
    <row r="26149">
      <c r="B26149" s="612"/>
      <c r="H26149" s="612"/>
    </row>
    <row r="26150">
      <c r="B26150" s="612"/>
      <c r="H26150" s="612"/>
    </row>
    <row r="26151">
      <c r="B26151" s="612"/>
      <c r="H26151" s="612"/>
    </row>
    <row r="26152">
      <c r="B26152" s="612"/>
      <c r="H26152" s="612"/>
    </row>
    <row r="26153">
      <c r="B26153" s="612"/>
      <c r="H26153" s="612"/>
    </row>
    <row r="26154">
      <c r="B26154" s="612"/>
      <c r="H26154" s="612"/>
    </row>
    <row r="26155">
      <c r="B26155" s="612"/>
      <c r="H26155" s="612"/>
    </row>
    <row r="26156">
      <c r="B26156" s="612"/>
      <c r="H26156" s="612"/>
    </row>
    <row r="26157">
      <c r="B26157" s="612"/>
      <c r="H26157" s="612"/>
    </row>
    <row r="26158">
      <c r="B26158" s="612"/>
      <c r="H26158" s="612"/>
    </row>
    <row r="26159">
      <c r="B26159" s="612"/>
      <c r="H26159" s="612"/>
    </row>
    <row r="26160">
      <c r="B26160" s="612"/>
      <c r="H26160" s="612"/>
    </row>
    <row r="26161">
      <c r="B26161" s="612"/>
      <c r="H26161" s="612"/>
    </row>
    <row r="26162">
      <c r="B26162" s="612"/>
      <c r="H26162" s="612"/>
    </row>
    <row r="26163">
      <c r="B26163" s="612"/>
      <c r="H26163" s="612"/>
    </row>
    <row r="26164">
      <c r="B26164" s="612"/>
      <c r="H26164" s="612"/>
    </row>
    <row r="26165">
      <c r="B26165" s="612"/>
      <c r="H26165" s="612"/>
    </row>
    <row r="26166">
      <c r="B26166" s="612"/>
      <c r="H26166" s="612"/>
    </row>
    <row r="26167">
      <c r="B26167" s="612"/>
      <c r="H26167" s="612"/>
    </row>
    <row r="26168">
      <c r="B26168" s="612"/>
      <c r="H26168" s="612"/>
    </row>
    <row r="26169">
      <c r="B26169" s="612"/>
      <c r="H26169" s="612"/>
    </row>
    <row r="26170">
      <c r="B26170" s="612"/>
      <c r="H26170" s="612"/>
    </row>
    <row r="26171">
      <c r="B26171" s="612"/>
      <c r="H26171" s="612"/>
    </row>
    <row r="26172">
      <c r="B26172" s="612"/>
      <c r="H26172" s="612"/>
    </row>
    <row r="26173">
      <c r="B26173" s="612"/>
      <c r="H26173" s="612"/>
    </row>
    <row r="26174">
      <c r="B26174" s="612"/>
      <c r="H26174" s="612"/>
    </row>
    <row r="26175">
      <c r="B26175" s="612"/>
      <c r="H26175" s="612"/>
    </row>
    <row r="26176">
      <c r="B26176" s="612"/>
      <c r="H26176" s="612"/>
    </row>
    <row r="26177">
      <c r="B26177" s="612"/>
      <c r="H26177" s="612"/>
    </row>
    <row r="26178">
      <c r="B26178" s="612"/>
      <c r="H26178" s="612"/>
    </row>
    <row r="26179">
      <c r="B26179" s="612"/>
      <c r="H26179" s="612"/>
    </row>
    <row r="26180">
      <c r="B26180" s="612"/>
      <c r="H26180" s="612"/>
    </row>
    <row r="26181">
      <c r="B26181" s="612"/>
      <c r="H26181" s="612"/>
    </row>
    <row r="26182">
      <c r="B26182" s="612"/>
      <c r="H26182" s="612"/>
    </row>
    <row r="26183">
      <c r="B26183" s="612"/>
      <c r="H26183" s="612"/>
    </row>
    <row r="26184">
      <c r="B26184" s="612"/>
      <c r="H26184" s="612"/>
    </row>
    <row r="26185">
      <c r="B26185" s="612"/>
      <c r="H26185" s="612"/>
    </row>
    <row r="26186">
      <c r="B26186" s="612"/>
      <c r="H26186" s="612"/>
    </row>
    <row r="26187">
      <c r="B26187" s="612"/>
      <c r="H26187" s="612"/>
    </row>
    <row r="26188">
      <c r="B26188" s="612"/>
      <c r="H26188" s="612"/>
    </row>
    <row r="26189">
      <c r="B26189" s="612"/>
      <c r="H26189" s="612"/>
    </row>
    <row r="26190">
      <c r="B26190" s="612"/>
      <c r="H26190" s="612"/>
    </row>
    <row r="26191">
      <c r="B26191" s="612"/>
      <c r="H26191" s="612"/>
    </row>
    <row r="26192">
      <c r="B26192" s="612"/>
      <c r="H26192" s="612"/>
    </row>
    <row r="26193">
      <c r="B26193" s="612"/>
      <c r="H26193" s="612"/>
    </row>
    <row r="26194">
      <c r="B26194" s="612"/>
      <c r="H26194" s="612"/>
    </row>
    <row r="26195">
      <c r="B26195" s="612"/>
      <c r="H26195" s="612"/>
    </row>
    <row r="26196">
      <c r="B26196" s="612"/>
      <c r="H26196" s="612"/>
    </row>
    <row r="26197">
      <c r="B26197" s="612"/>
      <c r="H26197" s="612"/>
    </row>
    <row r="26198">
      <c r="B26198" s="612"/>
      <c r="H26198" s="612"/>
    </row>
    <row r="26199">
      <c r="B26199" s="612"/>
      <c r="H26199" s="612"/>
    </row>
    <row r="26200">
      <c r="B26200" s="612"/>
      <c r="H26200" s="612"/>
    </row>
    <row r="26201">
      <c r="B26201" s="612"/>
      <c r="H26201" s="612"/>
    </row>
    <row r="26202">
      <c r="B26202" s="612"/>
      <c r="H26202" s="612"/>
    </row>
    <row r="26203">
      <c r="B26203" s="612"/>
      <c r="H26203" s="612"/>
    </row>
    <row r="26204">
      <c r="B26204" s="612"/>
      <c r="H26204" s="612"/>
    </row>
    <row r="26205">
      <c r="B26205" s="612"/>
      <c r="H26205" s="612"/>
    </row>
    <row r="26206">
      <c r="B26206" s="612"/>
      <c r="H26206" s="612"/>
    </row>
    <row r="26207">
      <c r="B26207" s="612"/>
      <c r="H26207" s="612"/>
    </row>
    <row r="26208">
      <c r="B26208" s="612"/>
      <c r="H26208" s="612"/>
    </row>
    <row r="26209">
      <c r="B26209" s="612"/>
      <c r="H26209" s="612"/>
    </row>
    <row r="26210">
      <c r="B26210" s="612"/>
      <c r="H26210" s="612"/>
    </row>
    <row r="26211">
      <c r="B26211" s="612"/>
      <c r="H26211" s="612"/>
    </row>
    <row r="26212">
      <c r="B26212" s="612"/>
      <c r="H26212" s="612"/>
    </row>
    <row r="26213">
      <c r="B26213" s="612"/>
      <c r="H26213" s="612"/>
    </row>
    <row r="26214">
      <c r="B26214" s="612"/>
      <c r="H26214" s="612"/>
    </row>
    <row r="26215">
      <c r="B26215" s="612"/>
      <c r="H26215" s="612"/>
    </row>
    <row r="26216">
      <c r="B26216" s="612"/>
      <c r="H26216" s="612"/>
    </row>
    <row r="26217">
      <c r="B26217" s="612"/>
      <c r="H26217" s="612"/>
    </row>
    <row r="26218">
      <c r="B26218" s="612"/>
      <c r="H26218" s="612"/>
    </row>
    <row r="26219">
      <c r="B26219" s="612"/>
      <c r="H26219" s="612"/>
    </row>
    <row r="26220">
      <c r="B26220" s="612"/>
      <c r="H26220" s="612"/>
    </row>
    <row r="26221">
      <c r="B26221" s="612"/>
      <c r="H26221" s="612"/>
    </row>
    <row r="26222">
      <c r="B26222" s="612"/>
      <c r="H26222" s="612"/>
    </row>
    <row r="26223">
      <c r="B26223" s="612"/>
      <c r="H26223" s="612"/>
    </row>
    <row r="26224">
      <c r="B26224" s="612"/>
      <c r="H26224" s="612"/>
    </row>
    <row r="26225">
      <c r="B26225" s="612"/>
      <c r="H26225" s="612"/>
    </row>
    <row r="26226">
      <c r="B26226" s="612"/>
      <c r="H26226" s="612"/>
    </row>
    <row r="26227">
      <c r="B26227" s="612"/>
      <c r="H26227" s="612"/>
    </row>
    <row r="26228">
      <c r="B26228" s="612"/>
      <c r="H26228" s="612"/>
    </row>
    <row r="26229">
      <c r="B26229" s="612"/>
      <c r="H26229" s="612"/>
    </row>
    <row r="26230">
      <c r="B26230" s="612"/>
      <c r="H26230" s="612"/>
    </row>
    <row r="26231">
      <c r="B26231" s="612"/>
      <c r="H26231" s="612"/>
    </row>
    <row r="26232">
      <c r="B26232" s="612"/>
      <c r="H26232" s="612"/>
    </row>
    <row r="26233">
      <c r="B26233" s="612"/>
      <c r="H26233" s="612"/>
    </row>
    <row r="26234">
      <c r="B26234" s="612"/>
      <c r="H26234" s="612"/>
    </row>
    <row r="26235">
      <c r="B26235" s="612"/>
      <c r="H26235" s="612"/>
    </row>
    <row r="26236">
      <c r="B26236" s="612"/>
      <c r="H26236" s="612"/>
    </row>
    <row r="26237">
      <c r="B26237" s="612"/>
      <c r="H26237" s="612"/>
    </row>
    <row r="26238">
      <c r="B26238" s="612"/>
      <c r="H26238" s="612"/>
    </row>
    <row r="26239">
      <c r="B26239" s="612"/>
      <c r="H26239" s="612"/>
    </row>
    <row r="26240">
      <c r="B26240" s="612"/>
      <c r="H26240" s="612"/>
    </row>
    <row r="26241">
      <c r="B26241" s="612"/>
      <c r="H26241" s="612"/>
    </row>
    <row r="26242">
      <c r="B26242" s="612"/>
      <c r="H26242" s="612"/>
    </row>
    <row r="26243">
      <c r="B26243" s="612"/>
      <c r="H26243" s="612"/>
    </row>
    <row r="26244">
      <c r="B26244" s="612"/>
      <c r="H26244" s="612"/>
    </row>
    <row r="26245">
      <c r="B26245" s="612"/>
      <c r="H26245" s="612"/>
    </row>
    <row r="26246">
      <c r="B26246" s="612"/>
      <c r="H26246" s="612"/>
    </row>
    <row r="26247">
      <c r="B26247" s="612"/>
      <c r="H26247" s="612"/>
    </row>
    <row r="26248">
      <c r="B26248" s="612"/>
      <c r="H26248" s="612"/>
    </row>
    <row r="26249">
      <c r="B26249" s="612"/>
      <c r="H26249" s="612"/>
    </row>
    <row r="26250">
      <c r="B26250" s="612"/>
      <c r="H26250" s="612"/>
    </row>
    <row r="26251">
      <c r="B26251" s="612"/>
      <c r="H26251" s="612"/>
    </row>
    <row r="26252">
      <c r="B26252" s="612"/>
      <c r="H26252" s="612"/>
    </row>
    <row r="26253">
      <c r="B26253" s="612"/>
      <c r="H26253" s="612"/>
    </row>
    <row r="26254">
      <c r="B26254" s="612"/>
      <c r="H26254" s="612"/>
    </row>
    <row r="26255">
      <c r="B26255" s="612"/>
      <c r="H26255" s="612"/>
    </row>
    <row r="26256">
      <c r="B26256" s="612"/>
      <c r="H26256" s="612"/>
    </row>
    <row r="26257">
      <c r="B26257" s="612"/>
      <c r="H26257" s="612"/>
    </row>
    <row r="26258">
      <c r="B26258" s="612"/>
      <c r="H26258" s="612"/>
    </row>
    <row r="26259">
      <c r="B26259" s="612"/>
      <c r="H26259" s="612"/>
    </row>
    <row r="26260">
      <c r="B26260" s="612"/>
      <c r="H26260" s="612"/>
    </row>
    <row r="26261">
      <c r="B26261" s="612"/>
      <c r="H26261" s="612"/>
    </row>
    <row r="26262">
      <c r="B26262" s="612"/>
      <c r="H26262" s="612"/>
    </row>
    <row r="26263">
      <c r="B26263" s="612"/>
      <c r="H26263" s="612"/>
    </row>
    <row r="26264">
      <c r="B26264" s="612"/>
      <c r="H26264" s="612"/>
    </row>
    <row r="26265">
      <c r="B26265" s="612"/>
      <c r="H26265" s="612"/>
    </row>
    <row r="26266">
      <c r="B26266" s="612"/>
      <c r="H26266" s="612"/>
    </row>
    <row r="26267">
      <c r="B26267" s="612"/>
      <c r="H26267" s="612"/>
    </row>
    <row r="26268">
      <c r="B26268" s="612"/>
      <c r="H26268" s="612"/>
    </row>
    <row r="26269">
      <c r="B26269" s="612"/>
      <c r="H26269" s="612"/>
    </row>
    <row r="26270">
      <c r="B26270" s="612"/>
      <c r="H26270" s="612"/>
    </row>
    <row r="26271">
      <c r="B26271" s="612"/>
      <c r="H26271" s="612"/>
    </row>
    <row r="26272">
      <c r="B26272" s="612"/>
      <c r="H26272" s="612"/>
    </row>
    <row r="26273">
      <c r="B26273" s="612"/>
      <c r="H26273" s="612"/>
    </row>
    <row r="26274">
      <c r="B26274" s="612"/>
      <c r="H26274" s="612"/>
    </row>
    <row r="26275">
      <c r="B26275" s="612"/>
      <c r="H26275" s="612"/>
    </row>
    <row r="26276">
      <c r="B26276" s="612"/>
      <c r="H26276" s="612"/>
    </row>
    <row r="26277">
      <c r="B26277" s="612"/>
      <c r="H26277" s="612"/>
    </row>
    <row r="26278">
      <c r="B26278" s="612"/>
      <c r="H26278" s="612"/>
    </row>
    <row r="26279">
      <c r="B26279" s="612"/>
      <c r="H26279" s="612"/>
    </row>
    <row r="26280">
      <c r="B26280" s="612"/>
      <c r="H26280" s="612"/>
    </row>
    <row r="26281">
      <c r="B26281" s="612"/>
      <c r="H26281" s="612"/>
    </row>
    <row r="26282">
      <c r="B26282" s="612"/>
      <c r="H26282" s="612"/>
    </row>
    <row r="26283">
      <c r="B26283" s="612"/>
      <c r="H26283" s="612"/>
    </row>
    <row r="26284">
      <c r="B26284" s="612"/>
      <c r="H26284" s="612"/>
    </row>
    <row r="26285">
      <c r="B26285" s="612"/>
      <c r="H26285" s="612"/>
    </row>
    <row r="26286">
      <c r="B26286" s="612"/>
      <c r="H26286" s="612"/>
    </row>
    <row r="26287">
      <c r="B26287" s="612"/>
      <c r="H26287" s="612"/>
    </row>
    <row r="26288">
      <c r="B26288" s="612"/>
      <c r="H26288" s="612"/>
    </row>
    <row r="26289">
      <c r="B26289" s="612"/>
      <c r="H26289" s="612"/>
    </row>
    <row r="26290">
      <c r="B26290" s="612"/>
      <c r="H26290" s="612"/>
    </row>
    <row r="26291">
      <c r="B26291" s="612"/>
      <c r="H26291" s="612"/>
    </row>
    <row r="26292">
      <c r="B26292" s="612"/>
      <c r="H26292" s="612"/>
    </row>
    <row r="26293">
      <c r="B26293" s="612"/>
      <c r="H26293" s="612"/>
    </row>
    <row r="26294">
      <c r="B26294" s="612"/>
      <c r="H26294" s="612"/>
    </row>
    <row r="26295">
      <c r="B26295" s="612"/>
      <c r="H26295" s="612"/>
    </row>
    <row r="26296">
      <c r="B26296" s="612"/>
      <c r="H26296" s="612"/>
    </row>
    <row r="26297">
      <c r="B26297" s="612"/>
      <c r="H26297" s="612"/>
    </row>
    <row r="26298">
      <c r="B26298" s="612"/>
      <c r="H26298" s="612"/>
    </row>
    <row r="26299">
      <c r="B26299" s="612"/>
      <c r="H26299" s="612"/>
    </row>
    <row r="26300">
      <c r="B26300" s="612"/>
      <c r="H26300" s="612"/>
    </row>
    <row r="26301">
      <c r="B26301" s="612"/>
      <c r="H26301" s="612"/>
    </row>
    <row r="26302">
      <c r="B26302" s="612"/>
      <c r="H26302" s="612"/>
    </row>
    <row r="26303">
      <c r="B26303" s="612"/>
      <c r="H26303" s="612"/>
    </row>
    <row r="26304">
      <c r="B26304" s="612"/>
      <c r="H26304" s="612"/>
    </row>
    <row r="26305">
      <c r="B26305" s="612"/>
      <c r="H26305" s="612"/>
    </row>
    <row r="26306">
      <c r="B26306" s="612"/>
      <c r="H26306" s="612"/>
    </row>
    <row r="26307">
      <c r="B26307" s="612"/>
      <c r="H26307" s="612"/>
    </row>
    <row r="26308">
      <c r="B26308" s="612"/>
      <c r="H26308" s="612"/>
    </row>
    <row r="26309">
      <c r="B26309" s="612"/>
      <c r="H26309" s="612"/>
    </row>
    <row r="26310">
      <c r="B26310" s="612"/>
      <c r="H26310" s="612"/>
    </row>
    <row r="26311">
      <c r="B26311" s="612"/>
      <c r="H26311" s="612"/>
    </row>
    <row r="26312">
      <c r="B26312" s="612"/>
      <c r="H26312" s="612"/>
    </row>
    <row r="26313">
      <c r="B26313" s="612"/>
      <c r="H26313" s="612"/>
    </row>
    <row r="26314">
      <c r="B26314" s="612"/>
      <c r="H26314" s="612"/>
    </row>
    <row r="26315">
      <c r="B26315" s="612"/>
      <c r="H26315" s="612"/>
    </row>
    <row r="26316">
      <c r="B26316" s="612"/>
      <c r="H26316" s="612"/>
    </row>
    <row r="26317">
      <c r="B26317" s="612"/>
      <c r="H26317" s="612"/>
    </row>
    <row r="26318">
      <c r="B26318" s="612"/>
      <c r="H26318" s="612"/>
    </row>
    <row r="26319">
      <c r="B26319" s="612"/>
      <c r="H26319" s="612"/>
    </row>
    <row r="26320">
      <c r="B26320" s="612"/>
      <c r="H26320" s="612"/>
    </row>
    <row r="26321">
      <c r="B26321" s="612"/>
      <c r="H26321" s="612"/>
    </row>
    <row r="26322">
      <c r="B26322" s="612"/>
      <c r="H26322" s="612"/>
    </row>
    <row r="26323">
      <c r="B26323" s="612"/>
      <c r="H26323" s="612"/>
    </row>
    <row r="26324">
      <c r="B26324" s="612"/>
      <c r="H26324" s="612"/>
    </row>
    <row r="26325">
      <c r="B26325" s="612"/>
      <c r="H26325" s="612"/>
    </row>
    <row r="26326">
      <c r="B26326" s="612"/>
      <c r="H26326" s="612"/>
    </row>
    <row r="26327">
      <c r="B26327" s="612"/>
      <c r="H26327" s="612"/>
    </row>
    <row r="26328">
      <c r="B26328" s="612"/>
      <c r="H26328" s="612"/>
    </row>
    <row r="26329">
      <c r="B26329" s="612"/>
      <c r="H26329" s="612"/>
    </row>
    <row r="26330">
      <c r="B26330" s="612"/>
      <c r="H26330" s="612"/>
    </row>
    <row r="26331">
      <c r="B26331" s="612"/>
      <c r="H26331" s="612"/>
    </row>
    <row r="26332">
      <c r="B26332" s="612"/>
      <c r="H26332" s="612"/>
    </row>
    <row r="26333">
      <c r="B26333" s="612"/>
      <c r="H26333" s="612"/>
    </row>
    <row r="26334">
      <c r="B26334" s="612"/>
      <c r="H26334" s="612"/>
    </row>
    <row r="26335">
      <c r="B26335" s="612"/>
      <c r="H26335" s="612"/>
    </row>
    <row r="26336">
      <c r="B26336" s="612"/>
      <c r="H26336" s="612"/>
    </row>
    <row r="26337">
      <c r="B26337" s="612"/>
      <c r="H26337" s="612"/>
    </row>
    <row r="26338">
      <c r="B26338" s="612"/>
      <c r="H26338" s="612"/>
    </row>
    <row r="26339">
      <c r="B26339" s="612"/>
      <c r="H26339" s="612"/>
    </row>
    <row r="26340">
      <c r="B26340" s="612"/>
      <c r="H26340" s="612"/>
    </row>
    <row r="26341">
      <c r="B26341" s="612"/>
      <c r="H26341" s="612"/>
    </row>
    <row r="26342">
      <c r="B26342" s="612"/>
      <c r="H26342" s="612"/>
    </row>
    <row r="26343">
      <c r="B26343" s="612"/>
      <c r="H26343" s="612"/>
    </row>
    <row r="26344">
      <c r="B26344" s="612"/>
      <c r="H26344" s="612"/>
    </row>
    <row r="26345">
      <c r="B26345" s="612"/>
      <c r="H26345" s="612"/>
    </row>
    <row r="26346">
      <c r="B26346" s="612"/>
      <c r="H26346" s="612"/>
    </row>
    <row r="26347">
      <c r="B26347" s="612"/>
      <c r="H26347" s="612"/>
    </row>
    <row r="26348">
      <c r="B26348" s="612"/>
      <c r="H26348" s="612"/>
    </row>
    <row r="26349">
      <c r="B26349" s="612"/>
      <c r="H26349" s="612"/>
    </row>
    <row r="26350">
      <c r="B26350" s="612"/>
      <c r="H26350" s="612"/>
    </row>
    <row r="26351">
      <c r="B26351" s="612"/>
      <c r="H26351" s="612"/>
    </row>
    <row r="26352">
      <c r="B26352" s="612"/>
      <c r="H26352" s="612"/>
    </row>
    <row r="26353">
      <c r="B26353" s="612"/>
      <c r="H26353" s="612"/>
    </row>
    <row r="26354">
      <c r="B26354" s="612"/>
      <c r="H26354" s="612"/>
    </row>
    <row r="26355">
      <c r="B26355" s="612"/>
      <c r="H26355" s="612"/>
    </row>
    <row r="26356">
      <c r="B26356" s="612"/>
      <c r="H26356" s="612"/>
    </row>
    <row r="26357">
      <c r="B26357" s="612"/>
      <c r="H26357" s="612"/>
    </row>
    <row r="26358">
      <c r="B26358" s="612"/>
      <c r="H26358" s="612"/>
    </row>
    <row r="26359">
      <c r="B26359" s="612"/>
      <c r="H26359" s="612"/>
    </row>
    <row r="26360">
      <c r="B26360" s="612"/>
      <c r="H26360" s="612"/>
    </row>
    <row r="26361">
      <c r="B26361" s="612"/>
      <c r="H26361" s="612"/>
    </row>
    <row r="26362">
      <c r="B26362" s="612"/>
      <c r="H26362" s="612"/>
    </row>
    <row r="26363">
      <c r="B26363" s="612"/>
      <c r="H26363" s="612"/>
    </row>
    <row r="26364">
      <c r="B26364" s="612"/>
      <c r="H26364" s="612"/>
    </row>
    <row r="26365">
      <c r="B26365" s="612"/>
      <c r="H26365" s="612"/>
    </row>
    <row r="26366">
      <c r="B26366" s="612"/>
      <c r="H26366" s="612"/>
    </row>
    <row r="26367">
      <c r="B26367" s="612"/>
      <c r="H26367" s="612"/>
    </row>
    <row r="26368">
      <c r="B26368" s="612"/>
      <c r="H26368" s="612"/>
    </row>
    <row r="26369">
      <c r="B26369" s="612"/>
      <c r="H26369" s="612"/>
    </row>
    <row r="26370">
      <c r="B26370" s="612"/>
      <c r="H26370" s="612"/>
    </row>
    <row r="26371">
      <c r="B26371" s="612"/>
      <c r="H26371" s="612"/>
    </row>
    <row r="26372">
      <c r="B26372" s="612"/>
      <c r="H26372" s="612"/>
    </row>
    <row r="26373">
      <c r="B26373" s="612"/>
      <c r="H26373" s="612"/>
    </row>
    <row r="26374">
      <c r="B26374" s="612"/>
      <c r="H26374" s="612"/>
    </row>
    <row r="26375">
      <c r="B26375" s="612"/>
      <c r="H26375" s="612"/>
    </row>
    <row r="26376">
      <c r="B26376" s="612"/>
      <c r="H26376" s="612"/>
    </row>
    <row r="26377">
      <c r="B26377" s="612"/>
      <c r="H26377" s="612"/>
    </row>
    <row r="26378">
      <c r="B26378" s="612"/>
      <c r="H26378" s="612"/>
    </row>
    <row r="26379">
      <c r="B26379" s="612"/>
      <c r="H26379" s="612"/>
    </row>
    <row r="26380">
      <c r="B26380" s="612"/>
      <c r="H26380" s="612"/>
    </row>
    <row r="26381">
      <c r="B26381" s="612"/>
      <c r="H26381" s="612"/>
    </row>
    <row r="26382">
      <c r="B26382" s="612"/>
      <c r="H26382" s="612"/>
    </row>
    <row r="26383">
      <c r="B26383" s="612"/>
      <c r="H26383" s="612"/>
    </row>
    <row r="26384">
      <c r="B26384" s="612"/>
      <c r="H26384" s="612"/>
    </row>
    <row r="26385">
      <c r="B26385" s="612"/>
      <c r="H26385" s="612"/>
    </row>
    <row r="26386">
      <c r="B26386" s="612"/>
      <c r="H26386" s="612"/>
    </row>
    <row r="26387">
      <c r="B26387" s="612"/>
      <c r="H26387" s="612"/>
    </row>
    <row r="26388">
      <c r="B26388" s="612"/>
      <c r="H26388" s="612"/>
    </row>
    <row r="26389">
      <c r="B26389" s="612"/>
      <c r="H26389" s="612"/>
    </row>
    <row r="26390">
      <c r="B26390" s="612"/>
      <c r="H26390" s="612"/>
    </row>
    <row r="26391">
      <c r="B26391" s="612"/>
      <c r="H26391" s="612"/>
    </row>
    <row r="26392">
      <c r="B26392" s="612"/>
      <c r="H26392" s="612"/>
    </row>
    <row r="26393">
      <c r="B26393" s="612"/>
      <c r="H26393" s="612"/>
    </row>
    <row r="26394">
      <c r="B26394" s="612"/>
      <c r="H26394" s="612"/>
    </row>
    <row r="26395">
      <c r="B26395" s="612"/>
      <c r="H26395" s="612"/>
    </row>
    <row r="26396">
      <c r="B26396" s="612"/>
      <c r="H26396" s="612"/>
    </row>
    <row r="26397">
      <c r="B26397" s="612"/>
      <c r="H26397" s="612"/>
    </row>
    <row r="26398">
      <c r="B26398" s="612"/>
      <c r="H26398" s="612"/>
    </row>
    <row r="26399">
      <c r="B26399" s="612"/>
      <c r="H26399" s="612"/>
    </row>
    <row r="26400">
      <c r="B26400" s="612"/>
      <c r="H26400" s="612"/>
    </row>
    <row r="26401">
      <c r="B26401" s="612"/>
      <c r="H26401" s="612"/>
    </row>
    <row r="26402">
      <c r="B26402" s="612"/>
      <c r="H26402" s="612"/>
    </row>
    <row r="26403">
      <c r="B26403" s="612"/>
      <c r="H26403" s="612"/>
    </row>
    <row r="26404">
      <c r="B26404" s="612"/>
      <c r="H26404" s="612"/>
    </row>
    <row r="26405">
      <c r="B26405" s="612"/>
      <c r="H26405" s="612"/>
    </row>
    <row r="26406">
      <c r="B26406" s="612"/>
      <c r="H26406" s="612"/>
    </row>
    <row r="26407">
      <c r="B26407" s="612"/>
      <c r="H26407" s="612"/>
    </row>
    <row r="26408">
      <c r="B26408" s="612"/>
      <c r="H26408" s="612"/>
    </row>
    <row r="26409">
      <c r="B26409" s="612"/>
      <c r="H26409" s="612"/>
    </row>
    <row r="26410">
      <c r="B26410" s="612"/>
      <c r="H26410" s="612"/>
    </row>
    <row r="26411">
      <c r="B26411" s="612"/>
      <c r="H26411" s="612"/>
    </row>
    <row r="26412">
      <c r="B26412" s="612"/>
      <c r="H26412" s="612"/>
    </row>
    <row r="26413">
      <c r="B26413" s="612"/>
      <c r="H26413" s="612"/>
    </row>
    <row r="26414">
      <c r="B26414" s="612"/>
      <c r="H26414" s="612"/>
    </row>
    <row r="26415">
      <c r="B26415" s="612"/>
      <c r="H26415" s="612"/>
    </row>
    <row r="26416">
      <c r="B26416" s="612"/>
      <c r="H26416" s="612"/>
    </row>
    <row r="26417">
      <c r="B26417" s="612"/>
      <c r="H26417" s="612"/>
    </row>
    <row r="26418">
      <c r="B26418" s="612"/>
      <c r="H26418" s="612"/>
    </row>
    <row r="26419">
      <c r="B26419" s="612"/>
      <c r="H26419" s="612"/>
    </row>
    <row r="26420">
      <c r="B26420" s="612"/>
      <c r="H26420" s="612"/>
    </row>
    <row r="26421">
      <c r="B26421" s="612"/>
      <c r="H26421" s="612"/>
    </row>
    <row r="26422">
      <c r="B26422" s="612"/>
      <c r="H26422" s="612"/>
    </row>
    <row r="26423">
      <c r="B26423" s="612"/>
      <c r="H26423" s="612"/>
    </row>
    <row r="26424">
      <c r="B26424" s="612"/>
      <c r="H26424" s="612"/>
    </row>
    <row r="26425">
      <c r="B26425" s="612"/>
      <c r="H26425" s="612"/>
    </row>
    <row r="26426">
      <c r="B26426" s="612"/>
      <c r="H26426" s="612"/>
    </row>
    <row r="26427">
      <c r="B26427" s="612"/>
      <c r="H26427" s="612"/>
    </row>
    <row r="26428">
      <c r="B26428" s="612"/>
      <c r="H26428" s="612"/>
    </row>
    <row r="26429">
      <c r="B26429" s="612"/>
      <c r="H26429" s="612"/>
    </row>
    <row r="26430">
      <c r="B26430" s="612"/>
      <c r="H26430" s="612"/>
    </row>
    <row r="26431">
      <c r="B26431" s="612"/>
      <c r="H26431" s="612"/>
    </row>
    <row r="26432">
      <c r="B26432" s="612"/>
      <c r="H26432" s="612"/>
    </row>
    <row r="26433">
      <c r="B26433" s="612"/>
      <c r="H26433" s="612"/>
    </row>
    <row r="26434">
      <c r="B26434" s="612"/>
      <c r="H26434" s="612"/>
    </row>
    <row r="26435">
      <c r="B26435" s="612"/>
      <c r="H26435" s="612"/>
    </row>
    <row r="26436">
      <c r="B26436" s="612"/>
      <c r="H26436" s="612"/>
    </row>
    <row r="26437">
      <c r="B26437" s="612"/>
      <c r="H26437" s="612"/>
    </row>
    <row r="26438">
      <c r="B26438" s="612"/>
      <c r="H26438" s="612"/>
    </row>
    <row r="26439">
      <c r="B26439" s="612"/>
      <c r="H26439" s="612"/>
    </row>
    <row r="26440">
      <c r="B26440" s="612"/>
      <c r="H26440" s="612"/>
    </row>
    <row r="26441">
      <c r="B26441" s="612"/>
      <c r="H26441" s="612"/>
    </row>
    <row r="26442">
      <c r="B26442" s="612"/>
      <c r="H26442" s="612"/>
    </row>
    <row r="26443">
      <c r="B26443" s="612"/>
      <c r="H26443" s="612"/>
    </row>
    <row r="26444">
      <c r="B26444" s="612"/>
      <c r="H26444" s="612"/>
    </row>
    <row r="26445">
      <c r="B26445" s="612"/>
      <c r="H26445" s="612"/>
    </row>
    <row r="26446">
      <c r="B26446" s="612"/>
      <c r="H26446" s="612"/>
    </row>
    <row r="26447">
      <c r="B26447" s="612"/>
      <c r="H26447" s="612"/>
    </row>
    <row r="26448">
      <c r="B26448" s="612"/>
      <c r="H26448" s="612"/>
    </row>
    <row r="26449">
      <c r="B26449" s="612"/>
      <c r="H26449" s="612"/>
    </row>
    <row r="26450">
      <c r="B26450" s="612"/>
      <c r="H26450" s="612"/>
    </row>
    <row r="26451">
      <c r="B26451" s="612"/>
      <c r="H26451" s="612"/>
    </row>
    <row r="26452">
      <c r="B26452" s="612"/>
      <c r="H26452" s="612"/>
    </row>
    <row r="26453">
      <c r="B26453" s="612"/>
      <c r="H26453" s="612"/>
    </row>
    <row r="26454">
      <c r="B26454" s="612"/>
      <c r="H26454" s="612"/>
    </row>
    <row r="26455">
      <c r="B26455" s="612"/>
      <c r="H26455" s="612"/>
    </row>
    <row r="26456">
      <c r="B26456" s="612"/>
      <c r="H26456" s="612"/>
    </row>
    <row r="26457">
      <c r="B26457" s="612"/>
      <c r="H26457" s="612"/>
    </row>
    <row r="26458">
      <c r="B26458" s="612"/>
      <c r="H26458" s="612"/>
    </row>
    <row r="26459">
      <c r="B26459" s="612"/>
      <c r="H26459" s="612"/>
    </row>
    <row r="26460">
      <c r="B26460" s="612"/>
      <c r="H26460" s="612"/>
    </row>
    <row r="26461">
      <c r="B26461" s="612"/>
      <c r="H26461" s="612"/>
    </row>
    <row r="26462">
      <c r="B26462" s="612"/>
      <c r="H26462" s="612"/>
    </row>
    <row r="26463">
      <c r="B26463" s="612"/>
      <c r="H26463" s="612"/>
    </row>
    <row r="26464">
      <c r="B26464" s="612"/>
      <c r="H26464" s="612"/>
    </row>
    <row r="26465">
      <c r="B26465" s="612"/>
      <c r="H26465" s="612"/>
    </row>
    <row r="26466">
      <c r="B26466" s="612"/>
      <c r="H26466" s="612"/>
    </row>
    <row r="26467">
      <c r="B26467" s="612"/>
      <c r="H26467" s="612"/>
    </row>
    <row r="26468">
      <c r="B26468" s="612"/>
      <c r="H26468" s="612"/>
    </row>
    <row r="26469">
      <c r="B26469" s="612"/>
      <c r="H26469" s="612"/>
    </row>
    <row r="26470">
      <c r="B26470" s="612"/>
      <c r="H26470" s="612"/>
    </row>
    <row r="26471">
      <c r="B26471" s="612"/>
      <c r="H26471" s="612"/>
    </row>
    <row r="26472">
      <c r="B26472" s="612"/>
      <c r="H26472" s="612"/>
    </row>
    <row r="26473">
      <c r="B26473" s="612"/>
      <c r="H26473" s="612"/>
    </row>
    <row r="26474">
      <c r="B26474" s="612"/>
      <c r="H26474" s="612"/>
    </row>
    <row r="26475">
      <c r="B26475" s="612"/>
      <c r="H26475" s="612"/>
    </row>
    <row r="26476">
      <c r="B26476" s="612"/>
      <c r="H26476" s="612"/>
    </row>
    <row r="26477">
      <c r="B26477" s="612"/>
      <c r="H26477" s="612"/>
    </row>
    <row r="26478">
      <c r="B26478" s="612"/>
      <c r="H26478" s="612"/>
    </row>
    <row r="26479">
      <c r="B26479" s="612"/>
      <c r="H26479" s="612"/>
    </row>
    <row r="26480">
      <c r="B26480" s="612"/>
      <c r="H26480" s="612"/>
    </row>
    <row r="26481">
      <c r="B26481" s="612"/>
      <c r="H26481" s="612"/>
    </row>
    <row r="26482">
      <c r="B26482" s="612"/>
      <c r="H26482" s="612"/>
    </row>
    <row r="26483">
      <c r="B26483" s="612"/>
      <c r="H26483" s="612"/>
    </row>
    <row r="26484">
      <c r="B26484" s="612"/>
      <c r="H26484" s="612"/>
    </row>
    <row r="26485">
      <c r="B26485" s="612"/>
      <c r="H26485" s="612"/>
    </row>
    <row r="26486">
      <c r="B26486" s="612"/>
      <c r="H26486" s="612"/>
    </row>
    <row r="26487">
      <c r="B26487" s="612"/>
      <c r="H26487" s="612"/>
    </row>
    <row r="26488">
      <c r="B26488" s="612"/>
      <c r="H26488" s="612"/>
    </row>
    <row r="26489">
      <c r="B26489" s="612"/>
      <c r="H26489" s="612"/>
    </row>
    <row r="26490">
      <c r="B26490" s="612"/>
      <c r="H26490" s="612"/>
    </row>
    <row r="26491">
      <c r="B26491" s="612"/>
      <c r="H26491" s="612"/>
    </row>
    <row r="26492">
      <c r="B26492" s="612"/>
      <c r="H26492" s="612"/>
    </row>
    <row r="26493">
      <c r="B26493" s="612"/>
      <c r="H26493" s="612"/>
    </row>
    <row r="26494">
      <c r="B26494" s="612"/>
      <c r="H26494" s="612"/>
    </row>
    <row r="26495">
      <c r="B26495" s="612"/>
      <c r="H26495" s="612"/>
    </row>
    <row r="26496">
      <c r="B26496" s="612"/>
      <c r="H26496" s="612"/>
    </row>
    <row r="26497">
      <c r="B26497" s="612"/>
      <c r="H26497" s="612"/>
    </row>
    <row r="26498">
      <c r="B26498" s="612"/>
      <c r="H26498" s="612"/>
    </row>
    <row r="26499">
      <c r="B26499" s="612"/>
      <c r="H26499" s="612"/>
    </row>
    <row r="26500">
      <c r="B26500" s="612"/>
      <c r="H26500" s="612"/>
    </row>
    <row r="26501">
      <c r="B26501" s="612"/>
      <c r="H26501" s="612"/>
    </row>
    <row r="26502">
      <c r="B26502" s="612"/>
      <c r="H26502" s="612"/>
    </row>
    <row r="26503">
      <c r="B26503" s="612"/>
      <c r="H26503" s="612"/>
    </row>
    <row r="26504">
      <c r="B26504" s="612"/>
      <c r="H26504" s="612"/>
    </row>
    <row r="26505">
      <c r="B26505" s="612"/>
      <c r="H26505" s="612"/>
    </row>
    <row r="26506">
      <c r="B26506" s="612"/>
      <c r="H26506" s="612"/>
    </row>
    <row r="26507">
      <c r="B26507" s="612"/>
      <c r="H26507" s="612"/>
    </row>
    <row r="26508">
      <c r="B26508" s="612"/>
      <c r="H26508" s="612"/>
    </row>
    <row r="26509">
      <c r="B26509" s="612"/>
      <c r="H26509" s="612"/>
    </row>
    <row r="26510">
      <c r="B26510" s="612"/>
      <c r="H26510" s="612"/>
    </row>
    <row r="26511">
      <c r="B26511" s="612"/>
      <c r="H26511" s="612"/>
    </row>
    <row r="26512">
      <c r="B26512" s="612"/>
      <c r="H26512" s="612"/>
    </row>
    <row r="26513">
      <c r="B26513" s="612"/>
      <c r="H26513" s="612"/>
    </row>
    <row r="26514">
      <c r="B26514" s="612"/>
      <c r="H26514" s="612"/>
    </row>
    <row r="26515">
      <c r="B26515" s="612"/>
      <c r="H26515" s="612"/>
    </row>
    <row r="26516">
      <c r="B26516" s="612"/>
      <c r="H26516" s="612"/>
    </row>
    <row r="26517">
      <c r="B26517" s="612"/>
      <c r="H26517" s="612"/>
    </row>
    <row r="26518">
      <c r="B26518" s="612"/>
      <c r="H26518" s="612"/>
    </row>
    <row r="26519">
      <c r="B26519" s="612"/>
      <c r="H26519" s="612"/>
    </row>
    <row r="26520">
      <c r="B26520" s="612"/>
      <c r="H26520" s="612"/>
    </row>
    <row r="26521">
      <c r="B26521" s="612"/>
      <c r="H26521" s="612"/>
    </row>
    <row r="26522">
      <c r="B26522" s="612"/>
      <c r="H26522" s="612"/>
    </row>
    <row r="26523">
      <c r="B26523" s="612"/>
      <c r="H26523" s="612"/>
    </row>
    <row r="26524">
      <c r="B26524" s="612"/>
      <c r="H26524" s="612"/>
    </row>
    <row r="26525">
      <c r="B26525" s="612"/>
      <c r="H26525" s="612"/>
    </row>
    <row r="26526">
      <c r="B26526" s="612"/>
      <c r="H26526" s="612"/>
    </row>
    <row r="26527">
      <c r="B26527" s="612"/>
      <c r="H26527" s="612"/>
    </row>
    <row r="26528">
      <c r="B26528" s="612"/>
      <c r="H26528" s="612"/>
    </row>
    <row r="26529">
      <c r="B26529" s="612"/>
      <c r="H26529" s="612"/>
    </row>
    <row r="26530">
      <c r="B26530" s="612"/>
      <c r="H26530" s="612"/>
    </row>
    <row r="26531">
      <c r="B26531" s="612"/>
      <c r="H26531" s="612"/>
    </row>
    <row r="26532">
      <c r="B26532" s="612"/>
      <c r="H26532" s="612"/>
    </row>
    <row r="26533">
      <c r="B26533" s="612"/>
      <c r="H26533" s="612"/>
    </row>
    <row r="26534">
      <c r="B26534" s="612"/>
      <c r="H26534" s="612"/>
    </row>
    <row r="26535">
      <c r="B26535" s="612"/>
      <c r="H26535" s="612"/>
    </row>
    <row r="26536">
      <c r="B26536" s="612"/>
      <c r="H26536" s="612"/>
    </row>
    <row r="26537">
      <c r="B26537" s="612"/>
      <c r="H26537" s="612"/>
    </row>
    <row r="26538">
      <c r="B26538" s="612"/>
      <c r="H26538" s="612"/>
    </row>
    <row r="26539">
      <c r="B26539" s="612"/>
      <c r="H26539" s="612"/>
    </row>
    <row r="26540">
      <c r="B26540" s="612"/>
      <c r="H26540" s="612"/>
    </row>
    <row r="26541">
      <c r="B26541" s="612"/>
      <c r="H26541" s="612"/>
    </row>
    <row r="26542">
      <c r="B26542" s="612"/>
      <c r="H26542" s="612"/>
    </row>
    <row r="26543">
      <c r="B26543" s="612"/>
      <c r="H26543" s="612"/>
    </row>
    <row r="26544">
      <c r="B26544" s="612"/>
      <c r="H26544" s="612"/>
    </row>
    <row r="26545">
      <c r="B26545" s="612"/>
      <c r="H26545" s="612"/>
    </row>
    <row r="26546">
      <c r="B26546" s="612"/>
      <c r="H26546" s="612"/>
    </row>
    <row r="26547">
      <c r="B26547" s="612"/>
      <c r="H26547" s="612"/>
    </row>
    <row r="26548">
      <c r="B26548" s="612"/>
      <c r="H26548" s="612"/>
    </row>
    <row r="26549">
      <c r="B26549" s="612"/>
      <c r="H26549" s="612"/>
    </row>
    <row r="26550">
      <c r="B26550" s="612"/>
      <c r="H26550" s="612"/>
    </row>
    <row r="26551">
      <c r="B26551" s="612"/>
      <c r="H26551" s="612"/>
    </row>
    <row r="26552">
      <c r="B26552" s="612"/>
      <c r="H26552" s="612"/>
    </row>
    <row r="26553">
      <c r="B26553" s="612"/>
      <c r="H26553" s="612"/>
    </row>
    <row r="26554">
      <c r="B26554" s="612"/>
      <c r="H26554" s="612"/>
    </row>
    <row r="26555">
      <c r="B26555" s="612"/>
      <c r="H26555" s="612"/>
    </row>
    <row r="26556">
      <c r="B26556" s="612"/>
      <c r="H26556" s="612"/>
    </row>
    <row r="26557">
      <c r="B26557" s="612"/>
      <c r="H26557" s="612"/>
    </row>
    <row r="26558">
      <c r="B26558" s="612"/>
      <c r="H26558" s="612"/>
    </row>
    <row r="26559">
      <c r="B26559" s="612"/>
      <c r="H26559" s="612"/>
    </row>
    <row r="26560">
      <c r="B26560" s="612"/>
      <c r="H26560" s="612"/>
    </row>
    <row r="26561">
      <c r="B26561" s="612"/>
      <c r="H26561" s="612"/>
    </row>
    <row r="26562">
      <c r="B26562" s="612"/>
      <c r="H26562" s="612"/>
    </row>
    <row r="26563">
      <c r="B26563" s="612"/>
      <c r="H26563" s="612"/>
    </row>
    <row r="26564">
      <c r="B26564" s="612"/>
      <c r="H26564" s="612"/>
    </row>
    <row r="26565">
      <c r="B26565" s="612"/>
      <c r="H26565" s="612"/>
    </row>
    <row r="26566">
      <c r="B26566" s="612"/>
      <c r="H26566" s="612"/>
    </row>
    <row r="26567">
      <c r="B26567" s="612"/>
      <c r="H26567" s="612"/>
    </row>
    <row r="26568">
      <c r="B26568" s="612"/>
      <c r="H26568" s="612"/>
    </row>
    <row r="26569">
      <c r="B26569" s="612"/>
      <c r="H26569" s="612"/>
    </row>
    <row r="26570">
      <c r="B26570" s="612"/>
      <c r="H26570" s="612"/>
    </row>
    <row r="26571">
      <c r="B26571" s="612"/>
      <c r="H26571" s="612"/>
    </row>
    <row r="26572">
      <c r="B26572" s="612"/>
      <c r="H26572" s="612"/>
    </row>
    <row r="26573">
      <c r="B26573" s="612"/>
      <c r="H26573" s="612"/>
    </row>
    <row r="26574">
      <c r="B26574" s="612"/>
      <c r="H26574" s="612"/>
    </row>
    <row r="26575">
      <c r="B26575" s="612"/>
      <c r="H26575" s="612"/>
    </row>
    <row r="26576">
      <c r="B26576" s="612"/>
      <c r="H26576" s="612"/>
    </row>
    <row r="26577">
      <c r="B26577" s="612"/>
      <c r="H26577" s="612"/>
    </row>
    <row r="26578">
      <c r="B26578" s="612"/>
      <c r="H26578" s="612"/>
    </row>
    <row r="26579">
      <c r="B26579" s="612"/>
      <c r="H26579" s="612"/>
    </row>
    <row r="26580">
      <c r="B26580" s="612"/>
      <c r="H26580" s="612"/>
    </row>
    <row r="26581">
      <c r="B26581" s="612"/>
      <c r="H26581" s="612"/>
    </row>
    <row r="26582">
      <c r="B26582" s="612"/>
      <c r="H26582" s="612"/>
    </row>
    <row r="26583">
      <c r="B26583" s="612"/>
      <c r="H26583" s="612"/>
    </row>
    <row r="26584">
      <c r="B26584" s="612"/>
      <c r="H26584" s="612"/>
    </row>
    <row r="26585">
      <c r="B26585" s="612"/>
      <c r="H26585" s="612"/>
    </row>
    <row r="26586">
      <c r="B26586" s="612"/>
      <c r="H26586" s="612"/>
    </row>
    <row r="26587">
      <c r="B26587" s="612"/>
      <c r="H26587" s="612"/>
    </row>
    <row r="26588">
      <c r="B26588" s="612"/>
      <c r="H26588" s="612"/>
    </row>
    <row r="26589">
      <c r="B26589" s="612"/>
      <c r="H26589" s="612"/>
    </row>
    <row r="26590">
      <c r="B26590" s="612"/>
      <c r="H26590" s="612"/>
    </row>
    <row r="26591">
      <c r="B26591" s="612"/>
      <c r="H26591" s="612"/>
    </row>
    <row r="26592">
      <c r="B26592" s="612"/>
      <c r="H26592" s="612"/>
    </row>
    <row r="26593">
      <c r="B26593" s="612"/>
      <c r="H26593" s="612"/>
    </row>
    <row r="26594">
      <c r="B26594" s="612"/>
      <c r="H26594" s="612"/>
    </row>
    <row r="26595">
      <c r="B26595" s="612"/>
      <c r="H26595" s="612"/>
    </row>
    <row r="26596">
      <c r="B26596" s="612"/>
      <c r="H26596" s="612"/>
    </row>
    <row r="26597">
      <c r="B26597" s="612"/>
      <c r="H26597" s="612"/>
    </row>
    <row r="26598">
      <c r="B26598" s="612"/>
      <c r="H26598" s="612"/>
    </row>
    <row r="26599">
      <c r="B26599" s="612"/>
      <c r="H26599" s="612"/>
    </row>
    <row r="26600">
      <c r="B26600" s="612"/>
      <c r="H26600" s="612"/>
    </row>
    <row r="26601">
      <c r="B26601" s="612"/>
      <c r="H26601" s="612"/>
    </row>
    <row r="26602">
      <c r="B26602" s="612"/>
      <c r="H26602" s="612"/>
    </row>
    <row r="26603">
      <c r="B26603" s="612"/>
      <c r="H26603" s="612"/>
    </row>
    <row r="26604">
      <c r="B26604" s="612"/>
      <c r="H26604" s="612"/>
    </row>
    <row r="26605">
      <c r="B26605" s="612"/>
      <c r="H26605" s="612"/>
    </row>
    <row r="26606">
      <c r="B26606" s="612"/>
      <c r="H26606" s="612"/>
    </row>
    <row r="26607">
      <c r="B26607" s="612"/>
      <c r="H26607" s="612"/>
    </row>
    <row r="26608">
      <c r="B26608" s="612"/>
      <c r="H26608" s="612"/>
    </row>
    <row r="26609">
      <c r="B26609" s="612"/>
      <c r="H26609" s="612"/>
    </row>
    <row r="26610">
      <c r="B26610" s="612"/>
      <c r="H26610" s="612"/>
    </row>
    <row r="26611">
      <c r="B26611" s="612"/>
      <c r="H26611" s="612"/>
    </row>
    <row r="26612">
      <c r="B26612" s="612"/>
      <c r="H26612" s="612"/>
    </row>
    <row r="26613">
      <c r="B26613" s="612"/>
      <c r="H26613" s="612"/>
    </row>
    <row r="26614">
      <c r="B26614" s="612"/>
      <c r="H26614" s="612"/>
    </row>
    <row r="26615">
      <c r="B26615" s="612"/>
      <c r="H26615" s="612"/>
    </row>
    <row r="26616">
      <c r="B26616" s="612"/>
      <c r="H26616" s="612"/>
    </row>
    <row r="26617">
      <c r="B26617" s="612"/>
      <c r="H26617" s="612"/>
    </row>
    <row r="26618">
      <c r="B26618" s="612"/>
      <c r="H26618" s="612"/>
    </row>
    <row r="26619">
      <c r="B26619" s="612"/>
      <c r="H26619" s="612"/>
    </row>
    <row r="26620">
      <c r="B26620" s="612"/>
      <c r="H26620" s="612"/>
    </row>
    <row r="26621">
      <c r="B26621" s="612"/>
      <c r="H26621" s="612"/>
    </row>
    <row r="26622">
      <c r="B26622" s="612"/>
      <c r="H26622" s="612"/>
    </row>
    <row r="26623">
      <c r="B26623" s="612"/>
      <c r="H26623" s="612"/>
    </row>
    <row r="26624">
      <c r="B26624" s="612"/>
      <c r="H26624" s="612"/>
    </row>
    <row r="26625">
      <c r="B26625" s="612"/>
      <c r="H26625" s="612"/>
    </row>
    <row r="26626">
      <c r="B26626" s="612"/>
      <c r="H26626" s="612"/>
    </row>
    <row r="26627">
      <c r="B26627" s="612"/>
      <c r="H26627" s="612"/>
    </row>
    <row r="26628">
      <c r="B26628" s="612"/>
      <c r="H26628" s="612"/>
    </row>
    <row r="26629">
      <c r="B26629" s="612"/>
      <c r="H26629" s="612"/>
    </row>
    <row r="26630">
      <c r="B26630" s="612"/>
      <c r="H26630" s="612"/>
    </row>
    <row r="26631">
      <c r="B26631" s="612"/>
      <c r="H26631" s="612"/>
    </row>
    <row r="26632">
      <c r="B26632" s="612"/>
      <c r="H26632" s="612"/>
    </row>
    <row r="26633">
      <c r="B26633" s="612"/>
      <c r="H26633" s="612"/>
    </row>
    <row r="26634">
      <c r="B26634" s="612"/>
      <c r="H26634" s="612"/>
    </row>
    <row r="26635">
      <c r="B26635" s="612"/>
      <c r="H26635" s="612"/>
    </row>
    <row r="26636">
      <c r="B26636" s="612"/>
      <c r="H26636" s="612"/>
    </row>
    <row r="26637">
      <c r="B26637" s="612"/>
      <c r="H26637" s="612"/>
    </row>
    <row r="26638">
      <c r="B26638" s="612"/>
      <c r="H26638" s="612"/>
    </row>
    <row r="26639">
      <c r="B26639" s="612"/>
      <c r="H26639" s="612"/>
    </row>
    <row r="26640">
      <c r="B26640" s="612"/>
      <c r="H26640" s="612"/>
    </row>
    <row r="26641">
      <c r="B26641" s="612"/>
      <c r="H26641" s="612"/>
    </row>
    <row r="26642">
      <c r="B26642" s="612"/>
      <c r="H26642" s="612"/>
    </row>
    <row r="26643">
      <c r="B26643" s="612"/>
      <c r="H26643" s="612"/>
    </row>
    <row r="26644">
      <c r="B26644" s="612"/>
      <c r="H26644" s="612"/>
    </row>
    <row r="26645">
      <c r="B26645" s="612"/>
      <c r="H26645" s="612"/>
    </row>
    <row r="26646">
      <c r="B26646" s="612"/>
      <c r="H26646" s="612"/>
    </row>
    <row r="26647">
      <c r="B26647" s="612"/>
      <c r="H26647" s="612"/>
    </row>
    <row r="26648">
      <c r="B26648" s="612"/>
      <c r="H26648" s="612"/>
    </row>
    <row r="26649">
      <c r="B26649" s="612"/>
      <c r="H26649" s="612"/>
    </row>
    <row r="26650">
      <c r="B26650" s="612"/>
      <c r="H26650" s="612"/>
    </row>
    <row r="26651">
      <c r="B26651" s="612"/>
      <c r="H26651" s="612"/>
    </row>
    <row r="26652">
      <c r="B26652" s="612"/>
      <c r="H26652" s="612"/>
    </row>
    <row r="26653">
      <c r="B26653" s="612"/>
      <c r="H26653" s="612"/>
    </row>
    <row r="26654">
      <c r="B26654" s="612"/>
      <c r="H26654" s="612"/>
    </row>
    <row r="26655">
      <c r="B26655" s="612"/>
      <c r="H26655" s="612"/>
    </row>
    <row r="26656">
      <c r="B26656" s="612"/>
      <c r="H26656" s="612"/>
    </row>
    <row r="26657">
      <c r="B26657" s="612"/>
      <c r="H26657" s="612"/>
    </row>
    <row r="26658">
      <c r="B26658" s="612"/>
      <c r="H26658" s="612"/>
    </row>
    <row r="26659">
      <c r="B26659" s="612"/>
      <c r="H26659" s="612"/>
    </row>
    <row r="26660">
      <c r="B26660" s="612"/>
      <c r="H26660" s="612"/>
    </row>
    <row r="26661">
      <c r="B26661" s="612"/>
      <c r="H26661" s="612"/>
    </row>
    <row r="26662">
      <c r="B26662" s="612"/>
      <c r="H26662" s="612"/>
    </row>
    <row r="26663">
      <c r="B26663" s="612"/>
      <c r="H26663" s="612"/>
    </row>
    <row r="26664">
      <c r="B26664" s="612"/>
      <c r="H26664" s="612"/>
    </row>
    <row r="26665">
      <c r="B26665" s="612"/>
      <c r="H26665" s="612"/>
    </row>
    <row r="26666">
      <c r="B26666" s="612"/>
      <c r="H26666" s="612"/>
    </row>
    <row r="26667">
      <c r="B26667" s="612"/>
      <c r="H26667" s="612"/>
    </row>
    <row r="26668">
      <c r="B26668" s="612"/>
      <c r="H26668" s="612"/>
    </row>
    <row r="26669">
      <c r="B26669" s="612"/>
      <c r="H26669" s="612"/>
    </row>
    <row r="26670">
      <c r="B26670" s="612"/>
      <c r="H26670" s="612"/>
    </row>
    <row r="26671">
      <c r="B26671" s="612"/>
      <c r="H26671" s="612"/>
    </row>
    <row r="26672">
      <c r="B26672" s="612"/>
      <c r="H26672" s="612"/>
    </row>
    <row r="26673">
      <c r="B26673" s="612"/>
      <c r="H26673" s="612"/>
    </row>
    <row r="26674">
      <c r="B26674" s="612"/>
      <c r="H26674" s="612"/>
    </row>
    <row r="26675">
      <c r="B26675" s="612"/>
      <c r="H26675" s="612"/>
    </row>
    <row r="26676">
      <c r="B26676" s="612"/>
      <c r="H26676" s="612"/>
    </row>
    <row r="26677">
      <c r="B26677" s="612"/>
      <c r="H26677" s="612"/>
    </row>
    <row r="26678">
      <c r="B26678" s="612"/>
      <c r="H26678" s="612"/>
    </row>
    <row r="26679">
      <c r="B26679" s="612"/>
      <c r="H26679" s="612"/>
    </row>
    <row r="26680">
      <c r="B26680" s="612"/>
      <c r="H26680" s="612"/>
    </row>
    <row r="26681">
      <c r="B26681" s="612"/>
      <c r="H26681" s="612"/>
    </row>
    <row r="26682">
      <c r="B26682" s="612"/>
      <c r="H26682" s="612"/>
    </row>
    <row r="26683">
      <c r="B26683" s="612"/>
      <c r="H26683" s="612"/>
    </row>
    <row r="26684">
      <c r="B26684" s="612"/>
      <c r="H26684" s="612"/>
    </row>
    <row r="26685">
      <c r="B26685" s="612"/>
      <c r="H26685" s="612"/>
    </row>
    <row r="26686">
      <c r="B26686" s="612"/>
      <c r="H26686" s="612"/>
    </row>
    <row r="26687">
      <c r="B26687" s="612"/>
      <c r="H26687" s="612"/>
    </row>
    <row r="26688">
      <c r="B26688" s="612"/>
      <c r="H26688" s="612"/>
    </row>
    <row r="26689">
      <c r="B26689" s="612"/>
      <c r="H26689" s="612"/>
    </row>
    <row r="26690">
      <c r="B26690" s="612"/>
      <c r="H26690" s="612"/>
    </row>
    <row r="26691">
      <c r="B26691" s="612"/>
      <c r="H26691" s="612"/>
    </row>
    <row r="26692">
      <c r="B26692" s="612"/>
      <c r="H26692" s="612"/>
    </row>
    <row r="26693">
      <c r="B26693" s="612"/>
      <c r="H26693" s="612"/>
    </row>
    <row r="26694">
      <c r="B26694" s="612"/>
      <c r="H26694" s="612"/>
    </row>
    <row r="26695">
      <c r="B26695" s="612"/>
      <c r="H26695" s="612"/>
    </row>
    <row r="26696">
      <c r="B26696" s="612"/>
      <c r="H26696" s="612"/>
    </row>
    <row r="26697">
      <c r="B26697" s="612"/>
      <c r="H26697" s="612"/>
    </row>
    <row r="26698">
      <c r="B26698" s="612"/>
      <c r="H26698" s="612"/>
    </row>
    <row r="26699">
      <c r="B26699" s="612"/>
      <c r="H26699" s="612"/>
    </row>
    <row r="26700">
      <c r="B26700" s="612"/>
      <c r="H26700" s="612"/>
    </row>
    <row r="26701">
      <c r="B26701" s="612"/>
      <c r="H26701" s="612"/>
    </row>
    <row r="26702">
      <c r="B26702" s="612"/>
      <c r="H26702" s="612"/>
    </row>
    <row r="26703">
      <c r="B26703" s="612"/>
      <c r="H26703" s="612"/>
    </row>
    <row r="26704">
      <c r="B26704" s="612"/>
      <c r="H26704" s="612"/>
    </row>
    <row r="26705">
      <c r="B26705" s="612"/>
      <c r="H26705" s="612"/>
    </row>
    <row r="26706">
      <c r="B26706" s="612"/>
      <c r="H26706" s="612"/>
    </row>
    <row r="26707">
      <c r="B26707" s="612"/>
      <c r="H26707" s="612"/>
    </row>
    <row r="26708">
      <c r="B26708" s="612"/>
      <c r="H26708" s="612"/>
    </row>
    <row r="26709">
      <c r="B26709" s="612"/>
      <c r="H26709" s="612"/>
    </row>
    <row r="26710">
      <c r="B26710" s="612"/>
      <c r="H26710" s="612"/>
    </row>
    <row r="26711">
      <c r="B26711" s="612"/>
      <c r="H26711" s="612"/>
    </row>
    <row r="26712">
      <c r="B26712" s="612"/>
      <c r="H26712" s="612"/>
    </row>
    <row r="26713">
      <c r="B26713" s="612"/>
      <c r="H26713" s="612"/>
    </row>
    <row r="26714">
      <c r="B26714" s="612"/>
      <c r="H26714" s="612"/>
    </row>
    <row r="26715">
      <c r="B26715" s="612"/>
      <c r="H26715" s="612"/>
    </row>
    <row r="26716">
      <c r="B26716" s="612"/>
      <c r="H26716" s="612"/>
    </row>
    <row r="26717">
      <c r="B26717" s="612"/>
      <c r="H26717" s="612"/>
    </row>
    <row r="26718">
      <c r="B26718" s="612"/>
      <c r="H26718" s="612"/>
    </row>
    <row r="26719">
      <c r="B26719" s="612"/>
      <c r="H26719" s="612"/>
    </row>
    <row r="26720">
      <c r="B26720" s="612"/>
      <c r="H26720" s="612"/>
    </row>
    <row r="26721">
      <c r="B26721" s="612"/>
      <c r="H26721" s="612"/>
    </row>
    <row r="26722">
      <c r="B26722" s="612"/>
      <c r="H26722" s="612"/>
    </row>
    <row r="26723">
      <c r="B26723" s="612"/>
      <c r="H26723" s="612"/>
    </row>
    <row r="26724">
      <c r="B26724" s="612"/>
      <c r="H26724" s="612"/>
    </row>
    <row r="26725">
      <c r="B26725" s="612"/>
      <c r="H26725" s="612"/>
    </row>
    <row r="26726">
      <c r="B26726" s="612"/>
      <c r="H26726" s="612"/>
    </row>
    <row r="26727">
      <c r="B26727" s="612"/>
      <c r="H26727" s="612"/>
    </row>
    <row r="26728">
      <c r="B26728" s="612"/>
      <c r="H26728" s="612"/>
    </row>
    <row r="26729">
      <c r="B26729" s="612"/>
      <c r="H26729" s="612"/>
    </row>
    <row r="26730">
      <c r="B26730" s="612"/>
      <c r="H26730" s="612"/>
    </row>
    <row r="26731">
      <c r="B26731" s="612"/>
      <c r="H26731" s="612"/>
    </row>
    <row r="26732">
      <c r="B26732" s="612"/>
      <c r="H26732" s="612"/>
    </row>
    <row r="26733">
      <c r="B26733" s="612"/>
      <c r="H26733" s="612"/>
    </row>
    <row r="26734">
      <c r="B26734" s="612"/>
      <c r="H26734" s="612"/>
    </row>
    <row r="26735">
      <c r="B26735" s="612"/>
      <c r="H26735" s="612"/>
    </row>
    <row r="26736">
      <c r="B26736" s="612"/>
      <c r="H26736" s="612"/>
    </row>
    <row r="26737">
      <c r="B26737" s="612"/>
      <c r="H26737" s="612"/>
    </row>
    <row r="26738">
      <c r="B26738" s="612"/>
      <c r="H26738" s="612"/>
    </row>
    <row r="26739">
      <c r="B26739" s="612"/>
      <c r="H26739" s="612"/>
    </row>
    <row r="26740">
      <c r="B26740" s="612"/>
      <c r="H26740" s="612"/>
    </row>
    <row r="26741">
      <c r="B26741" s="612"/>
      <c r="H26741" s="612"/>
    </row>
    <row r="26742">
      <c r="B26742" s="612"/>
      <c r="H26742" s="612"/>
    </row>
    <row r="26743">
      <c r="B26743" s="612"/>
      <c r="H26743" s="612"/>
    </row>
    <row r="26744">
      <c r="B26744" s="612"/>
      <c r="H26744" s="612"/>
    </row>
    <row r="26745">
      <c r="B26745" s="612"/>
      <c r="H26745" s="612"/>
    </row>
    <row r="26746">
      <c r="B26746" s="612"/>
      <c r="H26746" s="612"/>
    </row>
    <row r="26747">
      <c r="B26747" s="612"/>
      <c r="H26747" s="612"/>
    </row>
    <row r="26748">
      <c r="B26748" s="612"/>
      <c r="H26748" s="612"/>
    </row>
    <row r="26749">
      <c r="B26749" s="612"/>
      <c r="H26749" s="612"/>
    </row>
    <row r="26750">
      <c r="B26750" s="612"/>
      <c r="H26750" s="612"/>
    </row>
    <row r="26751">
      <c r="B26751" s="612"/>
      <c r="H26751" s="612"/>
    </row>
    <row r="26752">
      <c r="B26752" s="612"/>
      <c r="H26752" s="612"/>
    </row>
    <row r="26753">
      <c r="B26753" s="612"/>
      <c r="H26753" s="612"/>
    </row>
    <row r="26754">
      <c r="B26754" s="612"/>
      <c r="H26754" s="612"/>
    </row>
    <row r="26755">
      <c r="B26755" s="612"/>
      <c r="H26755" s="612"/>
    </row>
    <row r="26756">
      <c r="B26756" s="612"/>
      <c r="H26756" s="612"/>
    </row>
    <row r="26757">
      <c r="B26757" s="612"/>
      <c r="H26757" s="612"/>
    </row>
    <row r="26758">
      <c r="B26758" s="612"/>
      <c r="H26758" s="612"/>
    </row>
    <row r="26759">
      <c r="B26759" s="612"/>
      <c r="H26759" s="612"/>
    </row>
    <row r="26760">
      <c r="B26760" s="612"/>
      <c r="H26760" s="612"/>
    </row>
    <row r="26761">
      <c r="B26761" s="612"/>
      <c r="H26761" s="612"/>
    </row>
    <row r="26762">
      <c r="B26762" s="612"/>
      <c r="H26762" s="612"/>
    </row>
    <row r="26763">
      <c r="B26763" s="612"/>
      <c r="H26763" s="612"/>
    </row>
    <row r="26764">
      <c r="B26764" s="612"/>
      <c r="H26764" s="612"/>
    </row>
    <row r="26765">
      <c r="B26765" s="612"/>
      <c r="H26765" s="612"/>
    </row>
    <row r="26766">
      <c r="B26766" s="612"/>
      <c r="H26766" s="612"/>
    </row>
    <row r="26767">
      <c r="B26767" s="612"/>
      <c r="H26767" s="612"/>
    </row>
    <row r="26768">
      <c r="B26768" s="612"/>
      <c r="H26768" s="612"/>
    </row>
    <row r="26769">
      <c r="B26769" s="612"/>
      <c r="H26769" s="612"/>
    </row>
    <row r="26770">
      <c r="B26770" s="612"/>
      <c r="H26770" s="612"/>
    </row>
    <row r="26771">
      <c r="B26771" s="612"/>
      <c r="H26771" s="612"/>
    </row>
    <row r="26772">
      <c r="B26772" s="612"/>
      <c r="H26772" s="612"/>
    </row>
    <row r="26773">
      <c r="B26773" s="612"/>
      <c r="H26773" s="612"/>
    </row>
    <row r="26774">
      <c r="B26774" s="612"/>
      <c r="H26774" s="612"/>
    </row>
    <row r="26775">
      <c r="B26775" s="612"/>
      <c r="H26775" s="612"/>
    </row>
    <row r="26776">
      <c r="B26776" s="612"/>
      <c r="H26776" s="612"/>
    </row>
    <row r="26777">
      <c r="B26777" s="612"/>
      <c r="H26777" s="612"/>
    </row>
    <row r="26778">
      <c r="B26778" s="612"/>
      <c r="H26778" s="612"/>
    </row>
    <row r="26779">
      <c r="B26779" s="612"/>
      <c r="H26779" s="612"/>
    </row>
    <row r="26780">
      <c r="B26780" s="612"/>
      <c r="H26780" s="612"/>
    </row>
    <row r="26781">
      <c r="B26781" s="612"/>
      <c r="H26781" s="612"/>
    </row>
    <row r="26782">
      <c r="B26782" s="612"/>
      <c r="H26782" s="612"/>
    </row>
    <row r="26783">
      <c r="B26783" s="612"/>
      <c r="H26783" s="612"/>
    </row>
    <row r="26784">
      <c r="B26784" s="612"/>
      <c r="H26784" s="612"/>
    </row>
    <row r="26785">
      <c r="B26785" s="612"/>
      <c r="H26785" s="612"/>
    </row>
    <row r="26786">
      <c r="B26786" s="612"/>
      <c r="H26786" s="612"/>
    </row>
    <row r="26787">
      <c r="B26787" s="612"/>
      <c r="H26787" s="612"/>
    </row>
    <row r="26788">
      <c r="B26788" s="612"/>
      <c r="H26788" s="612"/>
    </row>
    <row r="26789">
      <c r="B26789" s="612"/>
      <c r="H26789" s="612"/>
    </row>
    <row r="26790">
      <c r="B26790" s="612"/>
      <c r="H26790" s="612"/>
    </row>
    <row r="26791">
      <c r="B26791" s="612"/>
      <c r="H26791" s="612"/>
    </row>
    <row r="26792">
      <c r="B26792" s="612"/>
      <c r="H26792" s="612"/>
    </row>
    <row r="26793">
      <c r="B26793" s="612"/>
      <c r="H26793" s="612"/>
    </row>
    <row r="26794">
      <c r="B26794" s="612"/>
      <c r="H26794" s="612"/>
    </row>
    <row r="26795">
      <c r="B26795" s="612"/>
      <c r="H26795" s="612"/>
    </row>
    <row r="26796">
      <c r="B26796" s="612"/>
      <c r="H26796" s="612"/>
    </row>
    <row r="26797">
      <c r="B26797" s="612"/>
      <c r="H26797" s="612"/>
    </row>
    <row r="26798">
      <c r="B26798" s="612"/>
      <c r="H26798" s="612"/>
    </row>
    <row r="26799">
      <c r="B26799" s="612"/>
      <c r="H26799" s="612"/>
    </row>
    <row r="26800">
      <c r="B26800" s="612"/>
      <c r="H26800" s="612"/>
    </row>
    <row r="26801">
      <c r="B26801" s="612"/>
      <c r="H26801" s="612"/>
    </row>
    <row r="26802">
      <c r="B26802" s="612"/>
      <c r="H26802" s="612"/>
    </row>
    <row r="26803">
      <c r="B26803" s="612"/>
      <c r="H26803" s="612"/>
    </row>
    <row r="26804">
      <c r="B26804" s="612"/>
      <c r="H26804" s="612"/>
    </row>
    <row r="26805">
      <c r="B26805" s="612"/>
      <c r="H26805" s="612"/>
    </row>
    <row r="26806">
      <c r="B26806" s="612"/>
      <c r="H26806" s="612"/>
    </row>
    <row r="26807">
      <c r="B26807" s="612"/>
      <c r="H26807" s="612"/>
    </row>
    <row r="26808">
      <c r="B26808" s="612"/>
      <c r="H26808" s="612"/>
    </row>
    <row r="26809">
      <c r="B26809" s="612"/>
      <c r="H26809" s="612"/>
    </row>
    <row r="26810">
      <c r="B26810" s="612"/>
      <c r="H26810" s="612"/>
    </row>
    <row r="26811">
      <c r="B26811" s="612"/>
      <c r="H26811" s="612"/>
    </row>
    <row r="26812">
      <c r="B26812" s="612"/>
      <c r="H26812" s="612"/>
    </row>
    <row r="26813">
      <c r="B26813" s="612"/>
      <c r="H26813" s="612"/>
    </row>
    <row r="26814">
      <c r="B26814" s="612"/>
      <c r="H26814" s="612"/>
    </row>
    <row r="26815">
      <c r="B26815" s="612"/>
      <c r="H26815" s="612"/>
    </row>
    <row r="26816">
      <c r="B26816" s="612"/>
      <c r="H26816" s="612"/>
    </row>
    <row r="26817">
      <c r="B26817" s="612"/>
      <c r="H26817" s="612"/>
    </row>
    <row r="26818">
      <c r="B26818" s="612"/>
      <c r="H26818" s="612"/>
    </row>
    <row r="26819">
      <c r="B26819" s="612"/>
      <c r="H26819" s="612"/>
    </row>
    <row r="26820">
      <c r="B26820" s="612"/>
      <c r="H26820" s="612"/>
    </row>
    <row r="26821">
      <c r="B26821" s="612"/>
      <c r="H26821" s="612"/>
    </row>
    <row r="26822">
      <c r="B26822" s="612"/>
      <c r="H26822" s="612"/>
    </row>
    <row r="26823">
      <c r="B26823" s="612"/>
      <c r="H26823" s="612"/>
    </row>
    <row r="26824">
      <c r="B26824" s="612"/>
      <c r="H26824" s="612"/>
    </row>
    <row r="26825">
      <c r="B26825" s="612"/>
      <c r="H26825" s="612"/>
    </row>
    <row r="26826">
      <c r="B26826" s="612"/>
      <c r="H26826" s="612"/>
    </row>
    <row r="26827">
      <c r="B26827" s="612"/>
      <c r="H26827" s="612"/>
    </row>
    <row r="26828">
      <c r="B26828" s="612"/>
      <c r="H26828" s="612"/>
    </row>
    <row r="26829">
      <c r="B26829" s="612"/>
      <c r="H26829" s="612"/>
    </row>
    <row r="26830">
      <c r="B26830" s="612"/>
      <c r="H26830" s="612"/>
    </row>
    <row r="26831">
      <c r="B26831" s="612"/>
      <c r="H26831" s="612"/>
    </row>
    <row r="26832">
      <c r="B26832" s="612"/>
      <c r="H26832" s="612"/>
    </row>
    <row r="26833">
      <c r="B26833" s="612"/>
      <c r="H26833" s="612"/>
    </row>
    <row r="26834">
      <c r="B26834" s="612"/>
      <c r="H26834" s="612"/>
    </row>
    <row r="26835">
      <c r="B26835" s="612"/>
      <c r="H26835" s="612"/>
    </row>
    <row r="26836">
      <c r="B26836" s="612"/>
      <c r="H26836" s="612"/>
    </row>
    <row r="26837">
      <c r="B26837" s="612"/>
      <c r="H26837" s="612"/>
    </row>
    <row r="26838">
      <c r="B26838" s="612"/>
      <c r="H26838" s="612"/>
    </row>
    <row r="26839">
      <c r="B26839" s="612"/>
      <c r="H26839" s="612"/>
    </row>
    <row r="26840">
      <c r="B26840" s="612"/>
      <c r="H26840" s="612"/>
    </row>
    <row r="26841">
      <c r="B26841" s="612"/>
      <c r="H26841" s="612"/>
    </row>
    <row r="26842">
      <c r="B26842" s="612"/>
      <c r="H26842" s="612"/>
    </row>
    <row r="26843">
      <c r="B26843" s="612"/>
      <c r="H26843" s="612"/>
    </row>
    <row r="26844">
      <c r="B26844" s="612"/>
      <c r="H26844" s="612"/>
    </row>
    <row r="26845">
      <c r="B26845" s="612"/>
      <c r="H26845" s="612"/>
    </row>
    <row r="26846">
      <c r="B26846" s="612"/>
      <c r="H26846" s="612"/>
    </row>
    <row r="26847">
      <c r="B26847" s="612"/>
      <c r="H26847" s="612"/>
    </row>
    <row r="26848">
      <c r="B26848" s="612"/>
      <c r="H26848" s="612"/>
    </row>
    <row r="26849">
      <c r="B26849" s="612"/>
      <c r="H26849" s="612"/>
    </row>
    <row r="26850">
      <c r="B26850" s="612"/>
      <c r="H26850" s="612"/>
    </row>
    <row r="26851">
      <c r="B26851" s="612"/>
      <c r="H26851" s="612"/>
    </row>
    <row r="26852">
      <c r="B26852" s="612"/>
      <c r="H26852" s="612"/>
    </row>
    <row r="26853">
      <c r="B26853" s="612"/>
      <c r="H26853" s="612"/>
    </row>
    <row r="26854">
      <c r="B26854" s="612"/>
      <c r="H26854" s="612"/>
    </row>
    <row r="26855">
      <c r="B26855" s="612"/>
      <c r="H26855" s="612"/>
    </row>
    <row r="26856">
      <c r="B26856" s="612"/>
      <c r="H26856" s="612"/>
    </row>
    <row r="26857">
      <c r="B26857" s="612"/>
      <c r="H26857" s="612"/>
    </row>
    <row r="26858">
      <c r="B26858" s="612"/>
      <c r="H26858" s="612"/>
    </row>
    <row r="26859">
      <c r="B26859" s="612"/>
      <c r="H26859" s="612"/>
    </row>
    <row r="26860">
      <c r="B26860" s="612"/>
      <c r="H26860" s="612"/>
    </row>
    <row r="26861">
      <c r="B26861" s="612"/>
      <c r="H26861" s="612"/>
    </row>
    <row r="26862">
      <c r="B26862" s="612"/>
      <c r="H26862" s="612"/>
    </row>
    <row r="26863">
      <c r="B26863" s="612"/>
      <c r="H26863" s="612"/>
    </row>
    <row r="26864">
      <c r="B26864" s="612"/>
      <c r="H26864" s="612"/>
    </row>
    <row r="26865">
      <c r="B26865" s="612"/>
      <c r="H26865" s="612"/>
    </row>
    <row r="26866">
      <c r="B26866" s="612"/>
      <c r="H26866" s="612"/>
    </row>
    <row r="26867">
      <c r="B26867" s="612"/>
      <c r="H26867" s="612"/>
    </row>
    <row r="26868">
      <c r="B26868" s="612"/>
      <c r="H26868" s="612"/>
    </row>
    <row r="26869">
      <c r="B26869" s="612"/>
      <c r="H26869" s="612"/>
    </row>
    <row r="26870">
      <c r="B26870" s="612"/>
      <c r="H26870" s="612"/>
    </row>
    <row r="26871">
      <c r="B26871" s="612"/>
      <c r="H26871" s="612"/>
    </row>
    <row r="26872">
      <c r="B26872" s="612"/>
      <c r="H26872" s="612"/>
    </row>
    <row r="26873">
      <c r="B26873" s="612"/>
      <c r="H26873" s="612"/>
    </row>
    <row r="26874">
      <c r="B26874" s="612"/>
      <c r="H26874" s="612"/>
    </row>
    <row r="26875">
      <c r="B26875" s="612"/>
      <c r="H26875" s="612"/>
    </row>
    <row r="26876">
      <c r="B26876" s="612"/>
      <c r="H26876" s="612"/>
    </row>
    <row r="26877">
      <c r="B26877" s="612"/>
      <c r="H26877" s="612"/>
    </row>
    <row r="26878">
      <c r="B26878" s="612"/>
      <c r="H26878" s="612"/>
    </row>
    <row r="26879">
      <c r="B26879" s="612"/>
      <c r="H26879" s="612"/>
    </row>
    <row r="26880">
      <c r="B26880" s="612"/>
      <c r="H26880" s="612"/>
    </row>
    <row r="26881">
      <c r="B26881" s="612"/>
      <c r="H26881" s="612"/>
    </row>
    <row r="26882">
      <c r="B26882" s="612"/>
      <c r="H26882" s="612"/>
    </row>
    <row r="26883">
      <c r="B26883" s="612"/>
      <c r="H26883" s="612"/>
    </row>
    <row r="26884">
      <c r="B26884" s="612"/>
      <c r="H26884" s="612"/>
    </row>
    <row r="26885">
      <c r="B26885" s="612"/>
      <c r="H26885" s="612"/>
    </row>
    <row r="26886">
      <c r="B26886" s="612"/>
      <c r="H26886" s="612"/>
    </row>
    <row r="26887">
      <c r="B26887" s="612"/>
      <c r="H26887" s="612"/>
    </row>
    <row r="26888">
      <c r="B26888" s="612"/>
      <c r="H26888" s="612"/>
    </row>
    <row r="26889">
      <c r="B26889" s="612"/>
      <c r="H26889" s="612"/>
    </row>
    <row r="26890">
      <c r="B26890" s="612"/>
      <c r="H26890" s="612"/>
    </row>
    <row r="26891">
      <c r="B26891" s="612"/>
      <c r="H26891" s="612"/>
    </row>
    <row r="26892">
      <c r="B26892" s="612"/>
      <c r="H26892" s="612"/>
    </row>
    <row r="26893">
      <c r="B26893" s="612"/>
      <c r="H26893" s="612"/>
    </row>
    <row r="26894">
      <c r="B26894" s="612"/>
      <c r="H26894" s="612"/>
    </row>
    <row r="26895">
      <c r="B26895" s="612"/>
      <c r="H26895" s="612"/>
    </row>
    <row r="26896">
      <c r="B26896" s="612"/>
      <c r="H26896" s="612"/>
    </row>
    <row r="26897">
      <c r="B26897" s="612"/>
      <c r="H26897" s="612"/>
    </row>
    <row r="26898">
      <c r="B26898" s="612"/>
      <c r="H26898" s="612"/>
    </row>
    <row r="26899">
      <c r="B26899" s="612"/>
      <c r="H26899" s="612"/>
    </row>
    <row r="26900">
      <c r="B26900" s="612"/>
      <c r="H26900" s="612"/>
    </row>
    <row r="26901">
      <c r="B26901" s="612"/>
      <c r="H26901" s="612"/>
    </row>
    <row r="26902">
      <c r="B26902" s="612"/>
      <c r="H26902" s="612"/>
    </row>
    <row r="26903">
      <c r="B26903" s="612"/>
      <c r="H26903" s="612"/>
    </row>
    <row r="26904">
      <c r="B26904" s="612"/>
      <c r="H26904" s="612"/>
    </row>
    <row r="26905">
      <c r="B26905" s="612"/>
      <c r="H26905" s="612"/>
    </row>
    <row r="26906">
      <c r="B26906" s="612"/>
      <c r="H26906" s="612"/>
    </row>
    <row r="26907">
      <c r="B26907" s="612"/>
      <c r="H26907" s="612"/>
    </row>
    <row r="26908">
      <c r="B26908" s="612"/>
      <c r="H26908" s="612"/>
    </row>
    <row r="26909">
      <c r="B26909" s="612"/>
      <c r="H26909" s="612"/>
    </row>
    <row r="26910">
      <c r="B26910" s="612"/>
      <c r="H26910" s="612"/>
    </row>
    <row r="26911">
      <c r="B26911" s="612"/>
      <c r="H26911" s="612"/>
    </row>
    <row r="26912">
      <c r="B26912" s="612"/>
      <c r="H26912" s="612"/>
    </row>
    <row r="26913">
      <c r="B26913" s="612"/>
      <c r="H26913" s="612"/>
    </row>
    <row r="26914">
      <c r="B26914" s="612"/>
      <c r="H26914" s="612"/>
    </row>
    <row r="26915">
      <c r="B26915" s="612"/>
      <c r="H26915" s="612"/>
    </row>
    <row r="26916">
      <c r="B26916" s="612"/>
      <c r="H26916" s="612"/>
    </row>
    <row r="26917">
      <c r="B26917" s="612"/>
      <c r="H26917" s="612"/>
    </row>
    <row r="26918">
      <c r="B26918" s="612"/>
      <c r="H26918" s="612"/>
    </row>
    <row r="26919">
      <c r="B26919" s="612"/>
      <c r="H26919" s="612"/>
    </row>
    <row r="26920">
      <c r="B26920" s="612"/>
      <c r="H26920" s="612"/>
    </row>
    <row r="26921">
      <c r="B26921" s="612"/>
      <c r="H26921" s="612"/>
    </row>
    <row r="26922">
      <c r="B26922" s="612"/>
      <c r="H26922" s="612"/>
    </row>
    <row r="26923">
      <c r="B26923" s="612"/>
      <c r="H26923" s="612"/>
    </row>
    <row r="26924">
      <c r="B26924" s="612"/>
      <c r="H26924" s="612"/>
    </row>
    <row r="26925">
      <c r="B26925" s="612"/>
      <c r="H26925" s="612"/>
    </row>
    <row r="26926">
      <c r="B26926" s="612"/>
      <c r="H26926" s="612"/>
    </row>
    <row r="26927">
      <c r="B26927" s="612"/>
      <c r="H26927" s="612"/>
    </row>
    <row r="26928">
      <c r="B26928" s="612"/>
      <c r="H26928" s="612"/>
    </row>
    <row r="26929">
      <c r="B26929" s="612"/>
      <c r="H26929" s="612"/>
    </row>
    <row r="26930">
      <c r="B26930" s="612"/>
      <c r="H26930" s="612"/>
    </row>
    <row r="26931">
      <c r="B26931" s="612"/>
      <c r="H26931" s="612"/>
    </row>
    <row r="26932">
      <c r="B26932" s="612"/>
      <c r="H26932" s="612"/>
    </row>
    <row r="26933">
      <c r="B26933" s="612"/>
      <c r="H26933" s="612"/>
    </row>
    <row r="26934">
      <c r="B26934" s="612"/>
      <c r="H26934" s="612"/>
    </row>
    <row r="26935">
      <c r="B26935" s="612"/>
      <c r="H26935" s="612"/>
    </row>
    <row r="26936">
      <c r="B26936" s="612"/>
      <c r="H26936" s="612"/>
    </row>
    <row r="26937">
      <c r="B26937" s="612"/>
      <c r="H26937" s="612"/>
    </row>
    <row r="26938">
      <c r="B26938" s="612"/>
      <c r="H26938" s="612"/>
    </row>
    <row r="26939">
      <c r="B26939" s="612"/>
      <c r="H26939" s="612"/>
    </row>
    <row r="26940">
      <c r="B26940" s="612"/>
      <c r="H26940" s="612"/>
    </row>
    <row r="26941">
      <c r="B26941" s="612"/>
      <c r="H26941" s="612"/>
    </row>
    <row r="26942">
      <c r="B26942" s="612"/>
      <c r="H26942" s="612"/>
    </row>
    <row r="26943">
      <c r="B26943" s="612"/>
      <c r="H26943" s="612"/>
    </row>
    <row r="26944">
      <c r="B26944" s="612"/>
      <c r="H26944" s="612"/>
    </row>
    <row r="26945">
      <c r="B26945" s="612"/>
      <c r="H26945" s="612"/>
    </row>
    <row r="26946">
      <c r="B26946" s="612"/>
      <c r="H26946" s="612"/>
    </row>
    <row r="26947">
      <c r="B26947" s="612"/>
      <c r="H26947" s="612"/>
    </row>
    <row r="26948">
      <c r="B26948" s="612"/>
      <c r="H26948" s="612"/>
    </row>
    <row r="26949">
      <c r="B26949" s="612"/>
      <c r="H26949" s="612"/>
    </row>
    <row r="26950">
      <c r="B26950" s="612"/>
      <c r="H26950" s="612"/>
    </row>
    <row r="26951">
      <c r="B26951" s="612"/>
      <c r="H26951" s="612"/>
    </row>
    <row r="26952">
      <c r="B26952" s="612"/>
      <c r="H26952" s="612"/>
    </row>
    <row r="26953">
      <c r="B26953" s="612"/>
      <c r="H26953" s="612"/>
    </row>
    <row r="26954">
      <c r="B26954" s="612"/>
      <c r="H26954" s="612"/>
    </row>
    <row r="26955">
      <c r="B26955" s="612"/>
      <c r="H26955" s="612"/>
    </row>
    <row r="26956">
      <c r="B26956" s="612"/>
      <c r="H26956" s="612"/>
    </row>
    <row r="26957">
      <c r="B26957" s="612"/>
      <c r="H26957" s="612"/>
    </row>
    <row r="26958">
      <c r="B26958" s="612"/>
      <c r="H26958" s="612"/>
    </row>
    <row r="26959">
      <c r="B26959" s="612"/>
      <c r="H26959" s="612"/>
    </row>
    <row r="26960">
      <c r="B26960" s="612"/>
      <c r="H26960" s="612"/>
    </row>
    <row r="26961">
      <c r="B26961" s="612"/>
      <c r="H26961" s="612"/>
    </row>
    <row r="26962">
      <c r="B26962" s="612"/>
      <c r="H26962" s="612"/>
    </row>
    <row r="26963">
      <c r="B26963" s="612"/>
      <c r="H26963" s="612"/>
    </row>
    <row r="26964">
      <c r="B26964" s="612"/>
      <c r="H26964" s="612"/>
    </row>
    <row r="26965">
      <c r="B26965" s="612"/>
      <c r="H26965" s="612"/>
    </row>
    <row r="26966">
      <c r="B26966" s="612"/>
      <c r="H26966" s="612"/>
    </row>
    <row r="26967">
      <c r="B26967" s="612"/>
      <c r="H26967" s="612"/>
    </row>
    <row r="26968">
      <c r="B26968" s="612"/>
      <c r="H26968" s="612"/>
    </row>
    <row r="26969">
      <c r="B26969" s="612"/>
      <c r="H26969" s="612"/>
    </row>
    <row r="26970">
      <c r="B26970" s="612"/>
      <c r="H26970" s="612"/>
    </row>
    <row r="26971">
      <c r="B26971" s="612"/>
      <c r="H26971" s="612"/>
    </row>
    <row r="26972">
      <c r="B26972" s="612"/>
      <c r="H26972" s="612"/>
    </row>
    <row r="26973">
      <c r="B26973" s="612"/>
      <c r="H26973" s="612"/>
    </row>
    <row r="26974">
      <c r="B26974" s="612"/>
      <c r="H26974" s="612"/>
    </row>
    <row r="26975">
      <c r="B26975" s="612"/>
      <c r="H26975" s="612"/>
    </row>
    <row r="26976">
      <c r="B26976" s="612"/>
      <c r="H26976" s="612"/>
    </row>
    <row r="26977">
      <c r="B26977" s="612"/>
      <c r="H26977" s="612"/>
    </row>
    <row r="26978">
      <c r="B26978" s="612"/>
      <c r="H26978" s="612"/>
    </row>
    <row r="26979">
      <c r="B26979" s="612"/>
      <c r="H26979" s="612"/>
    </row>
    <row r="26980">
      <c r="B26980" s="612"/>
      <c r="H26980" s="612"/>
    </row>
    <row r="26981">
      <c r="B26981" s="612"/>
      <c r="H26981" s="612"/>
    </row>
    <row r="26982">
      <c r="B26982" s="612"/>
      <c r="H26982" s="612"/>
    </row>
    <row r="26983">
      <c r="B26983" s="612"/>
      <c r="H26983" s="612"/>
    </row>
    <row r="26984">
      <c r="B26984" s="612"/>
      <c r="H26984" s="612"/>
    </row>
    <row r="26985">
      <c r="B26985" s="612"/>
      <c r="H26985" s="612"/>
    </row>
    <row r="26986">
      <c r="B26986" s="612"/>
      <c r="H26986" s="612"/>
    </row>
    <row r="26987">
      <c r="B26987" s="612"/>
      <c r="H26987" s="612"/>
    </row>
    <row r="26988">
      <c r="B26988" s="612"/>
      <c r="H26988" s="612"/>
    </row>
    <row r="26989">
      <c r="B26989" s="612"/>
      <c r="H26989" s="612"/>
    </row>
    <row r="26990">
      <c r="B26990" s="612"/>
      <c r="H26990" s="612"/>
    </row>
    <row r="26991">
      <c r="B26991" s="612"/>
      <c r="H26991" s="612"/>
    </row>
    <row r="26992">
      <c r="B26992" s="612"/>
      <c r="H26992" s="612"/>
    </row>
    <row r="26993">
      <c r="B26993" s="612"/>
      <c r="H26993" s="612"/>
    </row>
    <row r="26994">
      <c r="B26994" s="612"/>
      <c r="H26994" s="612"/>
    </row>
    <row r="26995">
      <c r="B26995" s="612"/>
      <c r="H26995" s="612"/>
    </row>
    <row r="26996">
      <c r="B26996" s="612"/>
      <c r="H26996" s="612"/>
    </row>
    <row r="26997">
      <c r="B26997" s="612"/>
      <c r="H26997" s="612"/>
    </row>
    <row r="26998">
      <c r="B26998" s="612"/>
      <c r="H26998" s="612"/>
    </row>
    <row r="26999">
      <c r="B26999" s="612"/>
      <c r="H26999" s="612"/>
    </row>
    <row r="27000">
      <c r="B27000" s="612"/>
      <c r="H27000" s="612"/>
    </row>
    <row r="27001">
      <c r="B27001" s="612"/>
      <c r="H27001" s="612"/>
    </row>
    <row r="27002">
      <c r="B27002" s="612"/>
      <c r="H27002" s="612"/>
    </row>
    <row r="27003">
      <c r="B27003" s="612"/>
      <c r="H27003" s="612"/>
    </row>
    <row r="27004">
      <c r="B27004" s="612"/>
      <c r="H27004" s="612"/>
    </row>
    <row r="27005">
      <c r="B27005" s="612"/>
      <c r="H27005" s="612"/>
    </row>
    <row r="27006">
      <c r="B27006" s="612"/>
      <c r="H27006" s="612"/>
    </row>
    <row r="27007">
      <c r="B27007" s="612"/>
      <c r="H27007" s="612"/>
    </row>
    <row r="27008">
      <c r="B27008" s="612"/>
      <c r="H27008" s="612"/>
    </row>
    <row r="27009">
      <c r="B27009" s="612"/>
      <c r="H27009" s="612"/>
    </row>
    <row r="27010">
      <c r="B27010" s="612"/>
      <c r="H27010" s="612"/>
    </row>
    <row r="27011">
      <c r="B27011" s="612"/>
      <c r="H27011" s="612"/>
    </row>
    <row r="27012">
      <c r="B27012" s="612"/>
      <c r="H27012" s="612"/>
    </row>
    <row r="27013">
      <c r="B27013" s="612"/>
      <c r="H27013" s="612"/>
    </row>
    <row r="27014">
      <c r="B27014" s="612"/>
      <c r="H27014" s="612"/>
    </row>
    <row r="27015">
      <c r="B27015" s="612"/>
      <c r="H27015" s="612"/>
    </row>
    <row r="27016">
      <c r="B27016" s="612"/>
      <c r="H27016" s="612"/>
    </row>
    <row r="27017">
      <c r="B27017" s="612"/>
      <c r="H27017" s="612"/>
    </row>
    <row r="27018">
      <c r="B27018" s="612"/>
      <c r="H27018" s="612"/>
    </row>
    <row r="27019">
      <c r="B27019" s="612"/>
      <c r="H27019" s="612"/>
    </row>
    <row r="27020">
      <c r="B27020" s="612"/>
      <c r="H27020" s="612"/>
    </row>
    <row r="27021">
      <c r="B27021" s="612"/>
      <c r="H27021" s="612"/>
    </row>
    <row r="27022">
      <c r="B27022" s="612"/>
      <c r="H27022" s="612"/>
    </row>
    <row r="27023">
      <c r="B27023" s="612"/>
      <c r="H27023" s="612"/>
    </row>
    <row r="27024">
      <c r="B27024" s="612"/>
      <c r="H27024" s="612"/>
    </row>
    <row r="27025">
      <c r="B27025" s="612"/>
      <c r="H27025" s="612"/>
    </row>
    <row r="27026">
      <c r="B27026" s="612"/>
      <c r="H27026" s="612"/>
    </row>
    <row r="27027">
      <c r="B27027" s="612"/>
      <c r="H27027" s="612"/>
    </row>
    <row r="27028">
      <c r="B27028" s="612"/>
      <c r="H27028" s="612"/>
    </row>
    <row r="27029">
      <c r="B27029" s="612"/>
      <c r="H27029" s="612"/>
    </row>
    <row r="27030">
      <c r="B27030" s="612"/>
      <c r="H27030" s="612"/>
    </row>
    <row r="27031">
      <c r="B27031" s="612"/>
      <c r="H27031" s="612"/>
    </row>
    <row r="27032">
      <c r="B27032" s="612"/>
      <c r="H27032" s="612"/>
    </row>
    <row r="27033">
      <c r="B27033" s="612"/>
      <c r="H27033" s="612"/>
    </row>
    <row r="27034">
      <c r="B27034" s="612"/>
      <c r="H27034" s="612"/>
    </row>
    <row r="27035">
      <c r="B27035" s="612"/>
      <c r="H27035" s="612"/>
    </row>
    <row r="27036">
      <c r="B27036" s="612"/>
      <c r="H27036" s="612"/>
    </row>
    <row r="27037">
      <c r="B27037" s="612"/>
      <c r="H27037" s="612"/>
    </row>
    <row r="27038">
      <c r="B27038" s="612"/>
      <c r="H27038" s="612"/>
    </row>
    <row r="27039">
      <c r="B27039" s="612"/>
      <c r="H27039" s="612"/>
    </row>
    <row r="27040">
      <c r="B27040" s="612"/>
      <c r="H27040" s="612"/>
    </row>
    <row r="27041">
      <c r="B27041" s="612"/>
      <c r="H27041" s="612"/>
    </row>
    <row r="27042">
      <c r="B27042" s="612"/>
      <c r="H27042" s="612"/>
    </row>
    <row r="27043">
      <c r="B27043" s="612"/>
      <c r="H27043" s="612"/>
    </row>
    <row r="27044">
      <c r="B27044" s="612"/>
      <c r="H27044" s="612"/>
    </row>
    <row r="27045">
      <c r="B27045" s="612"/>
      <c r="H27045" s="612"/>
    </row>
    <row r="27046">
      <c r="B27046" s="612"/>
      <c r="H27046" s="612"/>
    </row>
    <row r="27047">
      <c r="B27047" s="612"/>
      <c r="H27047" s="612"/>
    </row>
    <row r="27048">
      <c r="B27048" s="612"/>
      <c r="H27048" s="612"/>
    </row>
    <row r="27049">
      <c r="B27049" s="612"/>
      <c r="H27049" s="612"/>
    </row>
    <row r="27050">
      <c r="B27050" s="612"/>
      <c r="H27050" s="612"/>
    </row>
    <row r="27051">
      <c r="B27051" s="612"/>
      <c r="H27051" s="612"/>
    </row>
    <row r="27052">
      <c r="B27052" s="612"/>
      <c r="H27052" s="612"/>
    </row>
    <row r="27053">
      <c r="B27053" s="612"/>
      <c r="H27053" s="612"/>
    </row>
    <row r="27054">
      <c r="B27054" s="612"/>
      <c r="H27054" s="612"/>
    </row>
    <row r="27055">
      <c r="B27055" s="612"/>
      <c r="H27055" s="612"/>
    </row>
    <row r="27056">
      <c r="B27056" s="612"/>
      <c r="H27056" s="612"/>
    </row>
    <row r="27057">
      <c r="B27057" s="612"/>
      <c r="H27057" s="612"/>
    </row>
    <row r="27058">
      <c r="B27058" s="612"/>
      <c r="H27058" s="612"/>
    </row>
    <row r="27059">
      <c r="B27059" s="612"/>
      <c r="H27059" s="612"/>
    </row>
    <row r="27060">
      <c r="B27060" s="612"/>
      <c r="H27060" s="612"/>
    </row>
    <row r="27061">
      <c r="B27061" s="612"/>
      <c r="H27061" s="612"/>
    </row>
    <row r="27062">
      <c r="B27062" s="612"/>
      <c r="H27062" s="612"/>
    </row>
    <row r="27063">
      <c r="B27063" s="612"/>
      <c r="H27063" s="612"/>
    </row>
    <row r="27064">
      <c r="B27064" s="612"/>
      <c r="H27064" s="612"/>
    </row>
    <row r="27065">
      <c r="B27065" s="612"/>
      <c r="H27065" s="612"/>
    </row>
    <row r="27066">
      <c r="B27066" s="612"/>
      <c r="H27066" s="612"/>
    </row>
    <row r="27067">
      <c r="B27067" s="612"/>
      <c r="H27067" s="612"/>
    </row>
    <row r="27068">
      <c r="B27068" s="612"/>
      <c r="H27068" s="612"/>
    </row>
    <row r="27069">
      <c r="B27069" s="612"/>
      <c r="H27069" s="612"/>
    </row>
    <row r="27070">
      <c r="B27070" s="612"/>
      <c r="H27070" s="612"/>
    </row>
    <row r="27071">
      <c r="B27071" s="612"/>
      <c r="H27071" s="612"/>
    </row>
    <row r="27072">
      <c r="B27072" s="612"/>
      <c r="H27072" s="612"/>
    </row>
    <row r="27073">
      <c r="B27073" s="612"/>
      <c r="H27073" s="612"/>
    </row>
    <row r="27074">
      <c r="B27074" s="612"/>
      <c r="H27074" s="612"/>
    </row>
    <row r="27075">
      <c r="B27075" s="612"/>
      <c r="H27075" s="612"/>
    </row>
    <row r="27076">
      <c r="B27076" s="612"/>
      <c r="H27076" s="612"/>
    </row>
    <row r="27077">
      <c r="B27077" s="612"/>
      <c r="H27077" s="612"/>
    </row>
    <row r="27078">
      <c r="B27078" s="612"/>
      <c r="H27078" s="612"/>
    </row>
    <row r="27079">
      <c r="B27079" s="612"/>
      <c r="H27079" s="612"/>
    </row>
    <row r="27080">
      <c r="B27080" s="612"/>
      <c r="H27080" s="612"/>
    </row>
    <row r="27081">
      <c r="B27081" s="612"/>
      <c r="H27081" s="612"/>
    </row>
    <row r="27082">
      <c r="B27082" s="612"/>
      <c r="H27082" s="612"/>
    </row>
    <row r="27083">
      <c r="B27083" s="612"/>
      <c r="H27083" s="612"/>
    </row>
    <row r="27084">
      <c r="B27084" s="612"/>
      <c r="H27084" s="612"/>
    </row>
    <row r="27085">
      <c r="B27085" s="612"/>
      <c r="H27085" s="612"/>
    </row>
    <row r="27086">
      <c r="B27086" s="612"/>
      <c r="H27086" s="612"/>
    </row>
    <row r="27087">
      <c r="B27087" s="612"/>
      <c r="H27087" s="612"/>
    </row>
    <row r="27088">
      <c r="B27088" s="612"/>
      <c r="H27088" s="612"/>
    </row>
    <row r="27089">
      <c r="B27089" s="612"/>
      <c r="H27089" s="612"/>
    </row>
    <row r="27090">
      <c r="B27090" s="612"/>
      <c r="H27090" s="612"/>
    </row>
    <row r="27091">
      <c r="B27091" s="612"/>
      <c r="H27091" s="612"/>
    </row>
    <row r="27092">
      <c r="B27092" s="612"/>
      <c r="H27092" s="612"/>
    </row>
    <row r="27093">
      <c r="B27093" s="612"/>
      <c r="H27093" s="612"/>
    </row>
    <row r="27094">
      <c r="B27094" s="612"/>
      <c r="H27094" s="612"/>
    </row>
    <row r="27095">
      <c r="B27095" s="612"/>
      <c r="H27095" s="612"/>
    </row>
    <row r="27096">
      <c r="B27096" s="612"/>
      <c r="H27096" s="612"/>
    </row>
    <row r="27097">
      <c r="B27097" s="612"/>
      <c r="H27097" s="612"/>
    </row>
    <row r="27098">
      <c r="B27098" s="612"/>
      <c r="H27098" s="612"/>
    </row>
    <row r="27099">
      <c r="B27099" s="612"/>
      <c r="H27099" s="612"/>
    </row>
    <row r="27100">
      <c r="B27100" s="612"/>
      <c r="H27100" s="612"/>
    </row>
    <row r="27101">
      <c r="B27101" s="612"/>
      <c r="H27101" s="612"/>
    </row>
    <row r="27102">
      <c r="B27102" s="612"/>
      <c r="H27102" s="612"/>
    </row>
    <row r="27103">
      <c r="B27103" s="612"/>
      <c r="H27103" s="612"/>
    </row>
    <row r="27104">
      <c r="B27104" s="612"/>
      <c r="H27104" s="612"/>
    </row>
    <row r="27105">
      <c r="B27105" s="612"/>
      <c r="H27105" s="612"/>
    </row>
    <row r="27106">
      <c r="B27106" s="612"/>
      <c r="H27106" s="612"/>
    </row>
    <row r="27107">
      <c r="B27107" s="612"/>
      <c r="H27107" s="612"/>
    </row>
    <row r="27108">
      <c r="B27108" s="612"/>
      <c r="H27108" s="612"/>
    </row>
    <row r="27109">
      <c r="B27109" s="612"/>
      <c r="H27109" s="612"/>
    </row>
    <row r="27110">
      <c r="B27110" s="612"/>
      <c r="H27110" s="612"/>
    </row>
    <row r="27111">
      <c r="B27111" s="612"/>
      <c r="H27111" s="612"/>
    </row>
    <row r="27112">
      <c r="B27112" s="612"/>
      <c r="H27112" s="612"/>
    </row>
    <row r="27113">
      <c r="B27113" s="612"/>
      <c r="H27113" s="612"/>
    </row>
    <row r="27114">
      <c r="B27114" s="612"/>
      <c r="H27114" s="612"/>
    </row>
    <row r="27115">
      <c r="B27115" s="612"/>
      <c r="H27115" s="612"/>
    </row>
    <row r="27116">
      <c r="B27116" s="612"/>
      <c r="H27116" s="612"/>
    </row>
    <row r="27117">
      <c r="B27117" s="612"/>
      <c r="H27117" s="612"/>
    </row>
    <row r="27118">
      <c r="B27118" s="612"/>
      <c r="H27118" s="612"/>
    </row>
    <row r="27119">
      <c r="B27119" s="612"/>
      <c r="H27119" s="612"/>
    </row>
    <row r="27120">
      <c r="B27120" s="612"/>
      <c r="H27120" s="612"/>
    </row>
    <row r="27121">
      <c r="B27121" s="612"/>
      <c r="H27121" s="612"/>
    </row>
    <row r="27122">
      <c r="B27122" s="612"/>
      <c r="H27122" s="612"/>
    </row>
    <row r="27123">
      <c r="B27123" s="612"/>
      <c r="H27123" s="612"/>
    </row>
    <row r="27124">
      <c r="B27124" s="612"/>
      <c r="H27124" s="612"/>
    </row>
    <row r="27125">
      <c r="B27125" s="612"/>
      <c r="H27125" s="612"/>
    </row>
    <row r="27126">
      <c r="B27126" s="612"/>
      <c r="H27126" s="612"/>
    </row>
    <row r="27127">
      <c r="B27127" s="612"/>
      <c r="H27127" s="612"/>
    </row>
    <row r="27128">
      <c r="B27128" s="612"/>
      <c r="H27128" s="612"/>
    </row>
    <row r="27129">
      <c r="B27129" s="612"/>
      <c r="H27129" s="612"/>
    </row>
    <row r="27130">
      <c r="B27130" s="612"/>
      <c r="H27130" s="612"/>
    </row>
    <row r="27131">
      <c r="B27131" s="612"/>
      <c r="H27131" s="612"/>
    </row>
    <row r="27132">
      <c r="B27132" s="612"/>
      <c r="H27132" s="612"/>
    </row>
    <row r="27133">
      <c r="B27133" s="612"/>
      <c r="H27133" s="612"/>
    </row>
    <row r="27134">
      <c r="B27134" s="612"/>
      <c r="H27134" s="612"/>
    </row>
    <row r="27135">
      <c r="B27135" s="612"/>
      <c r="H27135" s="612"/>
    </row>
    <row r="27136">
      <c r="B27136" s="612"/>
      <c r="H27136" s="612"/>
    </row>
    <row r="27137">
      <c r="B27137" s="612"/>
      <c r="H27137" s="612"/>
    </row>
    <row r="27138">
      <c r="B27138" s="612"/>
      <c r="H27138" s="612"/>
    </row>
    <row r="27139">
      <c r="B27139" s="612"/>
      <c r="H27139" s="612"/>
    </row>
    <row r="27140">
      <c r="B27140" s="612"/>
      <c r="H27140" s="612"/>
    </row>
    <row r="27141">
      <c r="B27141" s="612"/>
      <c r="H27141" s="612"/>
    </row>
    <row r="27142">
      <c r="B27142" s="612"/>
      <c r="H27142" s="612"/>
    </row>
    <row r="27143">
      <c r="B27143" s="612"/>
      <c r="H27143" s="612"/>
    </row>
    <row r="27144">
      <c r="B27144" s="612"/>
      <c r="H27144" s="612"/>
    </row>
    <row r="27145">
      <c r="B27145" s="612"/>
      <c r="H27145" s="612"/>
    </row>
    <row r="27146">
      <c r="B27146" s="612"/>
      <c r="H27146" s="612"/>
    </row>
    <row r="27147">
      <c r="B27147" s="612"/>
      <c r="H27147" s="612"/>
    </row>
    <row r="27148">
      <c r="B27148" s="612"/>
      <c r="H27148" s="612"/>
    </row>
    <row r="27149">
      <c r="B27149" s="612"/>
      <c r="H27149" s="612"/>
    </row>
    <row r="27150">
      <c r="B27150" s="612"/>
      <c r="H27150" s="612"/>
    </row>
    <row r="27151">
      <c r="B27151" s="612"/>
      <c r="H27151" s="612"/>
    </row>
    <row r="27152">
      <c r="B27152" s="612"/>
      <c r="H27152" s="612"/>
    </row>
    <row r="27153">
      <c r="B27153" s="612"/>
      <c r="H27153" s="612"/>
    </row>
    <row r="27154">
      <c r="B27154" s="612"/>
      <c r="H27154" s="612"/>
    </row>
    <row r="27155">
      <c r="B27155" s="612"/>
      <c r="H27155" s="612"/>
    </row>
    <row r="27156">
      <c r="B27156" s="612"/>
      <c r="H27156" s="612"/>
    </row>
    <row r="27157">
      <c r="B27157" s="612"/>
      <c r="H27157" s="612"/>
    </row>
    <row r="27158">
      <c r="B27158" s="612"/>
      <c r="H27158" s="612"/>
    </row>
    <row r="27159">
      <c r="B27159" s="612"/>
      <c r="H27159" s="612"/>
    </row>
    <row r="27160">
      <c r="B27160" s="612"/>
      <c r="H27160" s="612"/>
    </row>
    <row r="27161">
      <c r="B27161" s="612"/>
      <c r="H27161" s="612"/>
    </row>
    <row r="27162">
      <c r="B27162" s="612"/>
      <c r="H27162" s="612"/>
    </row>
    <row r="27163">
      <c r="B27163" s="612"/>
      <c r="H27163" s="612"/>
    </row>
    <row r="27164">
      <c r="B27164" s="612"/>
      <c r="H27164" s="612"/>
    </row>
    <row r="27165">
      <c r="B27165" s="612"/>
      <c r="H27165" s="612"/>
    </row>
    <row r="27166">
      <c r="B27166" s="612"/>
      <c r="H27166" s="612"/>
    </row>
    <row r="27167">
      <c r="B27167" s="612"/>
      <c r="H27167" s="612"/>
    </row>
    <row r="27168">
      <c r="B27168" s="612"/>
      <c r="H27168" s="612"/>
    </row>
    <row r="27169">
      <c r="B27169" s="612"/>
      <c r="H27169" s="612"/>
    </row>
    <row r="27170">
      <c r="B27170" s="612"/>
      <c r="H27170" s="612"/>
    </row>
    <row r="27171">
      <c r="B27171" s="612"/>
      <c r="H27171" s="612"/>
    </row>
    <row r="27172">
      <c r="B27172" s="612"/>
      <c r="H27172" s="612"/>
    </row>
    <row r="27173">
      <c r="B27173" s="612"/>
      <c r="H27173" s="612"/>
    </row>
    <row r="27174">
      <c r="B27174" s="612"/>
      <c r="H27174" s="612"/>
    </row>
    <row r="27175">
      <c r="B27175" s="612"/>
      <c r="H27175" s="612"/>
    </row>
    <row r="27176">
      <c r="B27176" s="612"/>
      <c r="H27176" s="612"/>
    </row>
    <row r="27177">
      <c r="B27177" s="612"/>
      <c r="H27177" s="612"/>
    </row>
    <row r="27178">
      <c r="B27178" s="612"/>
      <c r="H27178" s="612"/>
    </row>
    <row r="27179">
      <c r="B27179" s="612"/>
      <c r="H27179" s="612"/>
    </row>
    <row r="27180">
      <c r="B27180" s="612"/>
      <c r="H27180" s="612"/>
    </row>
    <row r="27181">
      <c r="B27181" s="612"/>
      <c r="H27181" s="612"/>
    </row>
    <row r="27182">
      <c r="B27182" s="612"/>
      <c r="H27182" s="612"/>
    </row>
    <row r="27183">
      <c r="B27183" s="612"/>
      <c r="H27183" s="612"/>
    </row>
    <row r="27184">
      <c r="B27184" s="612"/>
      <c r="H27184" s="612"/>
    </row>
    <row r="27185">
      <c r="B27185" s="612"/>
      <c r="H27185" s="612"/>
    </row>
    <row r="27186">
      <c r="B27186" s="612"/>
      <c r="H27186" s="612"/>
    </row>
    <row r="27187">
      <c r="B27187" s="612"/>
      <c r="H27187" s="612"/>
    </row>
    <row r="27188">
      <c r="B27188" s="612"/>
      <c r="H27188" s="612"/>
    </row>
    <row r="27189">
      <c r="B27189" s="612"/>
      <c r="H27189" s="612"/>
    </row>
    <row r="27190">
      <c r="B27190" s="612"/>
      <c r="H27190" s="612"/>
    </row>
    <row r="27191">
      <c r="B27191" s="612"/>
      <c r="H27191" s="612"/>
    </row>
    <row r="27192">
      <c r="B27192" s="612"/>
      <c r="H27192" s="612"/>
    </row>
    <row r="27193">
      <c r="B27193" s="612"/>
      <c r="H27193" s="612"/>
    </row>
    <row r="27194">
      <c r="B27194" s="612"/>
      <c r="H27194" s="612"/>
    </row>
    <row r="27195">
      <c r="B27195" s="612"/>
      <c r="H27195" s="612"/>
    </row>
    <row r="27196">
      <c r="B27196" s="612"/>
      <c r="H27196" s="612"/>
    </row>
    <row r="27197">
      <c r="B27197" s="612"/>
      <c r="H27197" s="612"/>
    </row>
    <row r="27198">
      <c r="B27198" s="612"/>
      <c r="H27198" s="612"/>
    </row>
    <row r="27199">
      <c r="B27199" s="612"/>
      <c r="H27199" s="612"/>
    </row>
    <row r="27200">
      <c r="B27200" s="612"/>
      <c r="H27200" s="612"/>
    </row>
    <row r="27201">
      <c r="B27201" s="612"/>
      <c r="H27201" s="612"/>
    </row>
    <row r="27202">
      <c r="B27202" s="612"/>
      <c r="H27202" s="612"/>
    </row>
    <row r="27203">
      <c r="B27203" s="612"/>
      <c r="H27203" s="612"/>
    </row>
    <row r="27204">
      <c r="B27204" s="612"/>
      <c r="H27204" s="612"/>
    </row>
    <row r="27205">
      <c r="B27205" s="612"/>
      <c r="H27205" s="612"/>
    </row>
    <row r="27206">
      <c r="B27206" s="612"/>
      <c r="H27206" s="612"/>
    </row>
    <row r="27207">
      <c r="B27207" s="612"/>
      <c r="H27207" s="612"/>
    </row>
    <row r="27208">
      <c r="B27208" s="612"/>
      <c r="H27208" s="612"/>
    </row>
    <row r="27209">
      <c r="B27209" s="612"/>
      <c r="H27209" s="612"/>
    </row>
    <row r="27210">
      <c r="B27210" s="612"/>
      <c r="H27210" s="612"/>
    </row>
    <row r="27211">
      <c r="B27211" s="612"/>
      <c r="H27211" s="612"/>
    </row>
    <row r="27212">
      <c r="B27212" s="612"/>
      <c r="H27212" s="612"/>
    </row>
    <row r="27213">
      <c r="B27213" s="612"/>
      <c r="H27213" s="612"/>
    </row>
    <row r="27214">
      <c r="B27214" s="612"/>
      <c r="H27214" s="612"/>
    </row>
    <row r="27215">
      <c r="B27215" s="612"/>
      <c r="H27215" s="612"/>
    </row>
    <row r="27216">
      <c r="B27216" s="612"/>
      <c r="H27216" s="612"/>
    </row>
    <row r="27217">
      <c r="B27217" s="612"/>
      <c r="H27217" s="612"/>
    </row>
    <row r="27218">
      <c r="B27218" s="612"/>
      <c r="H27218" s="612"/>
    </row>
    <row r="27219">
      <c r="B27219" s="612"/>
      <c r="H27219" s="612"/>
    </row>
    <row r="27220">
      <c r="B27220" s="612"/>
      <c r="H27220" s="612"/>
    </row>
    <row r="27221">
      <c r="B27221" s="612"/>
      <c r="H27221" s="612"/>
    </row>
    <row r="27222">
      <c r="B27222" s="612"/>
      <c r="H27222" s="612"/>
    </row>
    <row r="27223">
      <c r="B27223" s="612"/>
      <c r="H27223" s="612"/>
    </row>
    <row r="27224">
      <c r="B27224" s="612"/>
      <c r="H27224" s="612"/>
    </row>
    <row r="27225">
      <c r="B27225" s="612"/>
      <c r="H27225" s="612"/>
    </row>
    <row r="27226">
      <c r="B27226" s="612"/>
      <c r="H27226" s="612"/>
    </row>
    <row r="27227">
      <c r="B27227" s="612"/>
      <c r="H27227" s="612"/>
    </row>
    <row r="27228">
      <c r="B27228" s="612"/>
      <c r="H27228" s="612"/>
    </row>
    <row r="27229">
      <c r="B27229" s="612"/>
      <c r="H27229" s="612"/>
    </row>
    <row r="27230">
      <c r="B27230" s="612"/>
      <c r="H27230" s="612"/>
    </row>
    <row r="27231">
      <c r="B27231" s="612"/>
      <c r="H27231" s="612"/>
    </row>
    <row r="27232">
      <c r="B27232" s="612"/>
      <c r="H27232" s="612"/>
    </row>
    <row r="27233">
      <c r="B27233" s="612"/>
      <c r="H27233" s="612"/>
    </row>
    <row r="27234">
      <c r="B27234" s="612"/>
      <c r="H27234" s="612"/>
    </row>
    <row r="27235">
      <c r="B27235" s="612"/>
      <c r="H27235" s="612"/>
    </row>
    <row r="27236">
      <c r="B27236" s="612"/>
      <c r="H27236" s="612"/>
    </row>
    <row r="27237">
      <c r="B27237" s="612"/>
      <c r="H27237" s="612"/>
    </row>
    <row r="27238">
      <c r="B27238" s="612"/>
      <c r="H27238" s="612"/>
    </row>
    <row r="27239">
      <c r="B27239" s="612"/>
      <c r="H27239" s="612"/>
    </row>
    <row r="27240">
      <c r="B27240" s="612"/>
      <c r="H27240" s="612"/>
    </row>
    <row r="27241">
      <c r="B27241" s="612"/>
      <c r="H27241" s="612"/>
    </row>
    <row r="27242">
      <c r="B27242" s="612"/>
      <c r="H27242" s="612"/>
    </row>
    <row r="27243">
      <c r="B27243" s="612"/>
      <c r="H27243" s="612"/>
    </row>
    <row r="27244">
      <c r="B27244" s="612"/>
      <c r="H27244" s="612"/>
    </row>
    <row r="27245">
      <c r="B27245" s="612"/>
      <c r="H27245" s="612"/>
    </row>
    <row r="27246">
      <c r="B27246" s="612"/>
      <c r="H27246" s="612"/>
    </row>
    <row r="27247">
      <c r="B27247" s="612"/>
      <c r="H27247" s="612"/>
    </row>
    <row r="27248">
      <c r="B27248" s="612"/>
      <c r="H27248" s="612"/>
    </row>
    <row r="27249">
      <c r="B27249" s="612"/>
      <c r="H27249" s="612"/>
    </row>
    <row r="27250">
      <c r="B27250" s="612"/>
      <c r="H27250" s="612"/>
    </row>
    <row r="27251">
      <c r="B27251" s="612"/>
      <c r="H27251" s="612"/>
    </row>
    <row r="27252">
      <c r="B27252" s="612"/>
      <c r="H27252" s="612"/>
    </row>
    <row r="27253">
      <c r="B27253" s="612"/>
      <c r="H27253" s="612"/>
    </row>
    <row r="27254">
      <c r="B27254" s="612"/>
      <c r="H27254" s="612"/>
    </row>
    <row r="27255">
      <c r="B27255" s="612"/>
      <c r="H27255" s="612"/>
    </row>
    <row r="27256">
      <c r="B27256" s="612"/>
      <c r="H27256" s="612"/>
    </row>
    <row r="27257">
      <c r="B27257" s="612"/>
      <c r="H27257" s="612"/>
    </row>
    <row r="27258">
      <c r="B27258" s="612"/>
      <c r="H27258" s="612"/>
    </row>
    <row r="27259">
      <c r="B27259" s="612"/>
      <c r="H27259" s="612"/>
    </row>
    <row r="27260">
      <c r="B27260" s="612"/>
      <c r="H27260" s="612"/>
    </row>
    <row r="27261">
      <c r="B27261" s="612"/>
      <c r="H27261" s="612"/>
    </row>
    <row r="27262">
      <c r="B27262" s="612"/>
      <c r="H27262" s="612"/>
    </row>
    <row r="27263">
      <c r="B27263" s="612"/>
      <c r="H27263" s="612"/>
    </row>
    <row r="27264">
      <c r="B27264" s="612"/>
      <c r="H27264" s="612"/>
    </row>
    <row r="27265">
      <c r="B27265" s="612"/>
      <c r="H27265" s="612"/>
    </row>
    <row r="27266">
      <c r="B27266" s="612"/>
      <c r="H27266" s="612"/>
    </row>
    <row r="27267">
      <c r="B27267" s="612"/>
      <c r="H27267" s="612"/>
    </row>
    <row r="27268">
      <c r="B27268" s="612"/>
      <c r="H27268" s="612"/>
    </row>
    <row r="27269">
      <c r="B27269" s="612"/>
      <c r="H27269" s="612"/>
    </row>
    <row r="27270">
      <c r="B27270" s="612"/>
      <c r="H27270" s="612"/>
    </row>
    <row r="27271">
      <c r="B27271" s="612"/>
      <c r="H27271" s="612"/>
    </row>
    <row r="27272">
      <c r="B27272" s="612"/>
      <c r="H27272" s="612"/>
    </row>
    <row r="27273">
      <c r="B27273" s="612"/>
      <c r="H27273" s="612"/>
    </row>
    <row r="27274">
      <c r="B27274" s="612"/>
      <c r="H27274" s="612"/>
    </row>
    <row r="27275">
      <c r="B27275" s="612"/>
      <c r="H27275" s="612"/>
    </row>
    <row r="27276">
      <c r="B27276" s="612"/>
      <c r="H27276" s="612"/>
    </row>
    <row r="27277">
      <c r="B27277" s="612"/>
      <c r="H27277" s="612"/>
    </row>
    <row r="27278">
      <c r="B27278" s="612"/>
      <c r="H27278" s="612"/>
    </row>
    <row r="27279">
      <c r="B27279" s="612"/>
      <c r="H27279" s="612"/>
    </row>
    <row r="27280">
      <c r="B27280" s="612"/>
      <c r="H27280" s="612"/>
    </row>
    <row r="27281">
      <c r="B27281" s="612"/>
      <c r="H27281" s="612"/>
    </row>
    <row r="27282">
      <c r="B27282" s="612"/>
      <c r="H27282" s="612"/>
    </row>
    <row r="27283">
      <c r="B27283" s="612"/>
      <c r="H27283" s="612"/>
    </row>
    <row r="27284">
      <c r="B27284" s="612"/>
      <c r="H27284" s="612"/>
    </row>
    <row r="27285">
      <c r="B27285" s="612"/>
      <c r="H27285" s="612"/>
    </row>
    <row r="27286">
      <c r="B27286" s="612"/>
      <c r="H27286" s="612"/>
    </row>
    <row r="27287">
      <c r="B27287" s="612"/>
      <c r="H27287" s="612"/>
    </row>
    <row r="27288">
      <c r="B27288" s="612"/>
      <c r="H27288" s="612"/>
    </row>
    <row r="27289">
      <c r="B27289" s="612"/>
      <c r="H27289" s="612"/>
    </row>
    <row r="27290">
      <c r="B27290" s="612"/>
      <c r="H27290" s="612"/>
    </row>
    <row r="27291">
      <c r="B27291" s="612"/>
      <c r="H27291" s="612"/>
    </row>
    <row r="27292">
      <c r="B27292" s="612"/>
      <c r="H27292" s="612"/>
    </row>
    <row r="27293">
      <c r="B27293" s="612"/>
      <c r="H27293" s="612"/>
    </row>
    <row r="27294">
      <c r="B27294" s="612"/>
      <c r="H27294" s="612"/>
    </row>
    <row r="27295">
      <c r="B27295" s="612"/>
      <c r="H27295" s="612"/>
    </row>
    <row r="27296">
      <c r="B27296" s="612"/>
      <c r="H27296" s="612"/>
    </row>
    <row r="27297">
      <c r="B27297" s="612"/>
      <c r="H27297" s="612"/>
    </row>
    <row r="27298">
      <c r="B27298" s="612"/>
      <c r="H27298" s="612"/>
    </row>
    <row r="27299">
      <c r="B27299" s="612"/>
      <c r="H27299" s="612"/>
    </row>
    <row r="27300">
      <c r="B27300" s="612"/>
      <c r="H27300" s="612"/>
    </row>
    <row r="27301">
      <c r="B27301" s="612"/>
      <c r="H27301" s="612"/>
    </row>
    <row r="27302">
      <c r="B27302" s="612"/>
      <c r="H27302" s="612"/>
    </row>
    <row r="27303">
      <c r="B27303" s="612"/>
      <c r="H27303" s="612"/>
    </row>
    <row r="27304">
      <c r="B27304" s="612"/>
      <c r="H27304" s="612"/>
    </row>
    <row r="27305">
      <c r="B27305" s="612"/>
      <c r="H27305" s="612"/>
    </row>
    <row r="27306">
      <c r="B27306" s="612"/>
      <c r="H27306" s="612"/>
    </row>
    <row r="27307">
      <c r="B27307" s="612"/>
      <c r="H27307" s="612"/>
    </row>
    <row r="27308">
      <c r="B27308" s="612"/>
      <c r="H27308" s="612"/>
    </row>
    <row r="27309">
      <c r="B27309" s="612"/>
      <c r="H27309" s="612"/>
    </row>
    <row r="27310">
      <c r="B27310" s="612"/>
      <c r="H27310" s="612"/>
    </row>
    <row r="27311">
      <c r="B27311" s="612"/>
      <c r="H27311" s="612"/>
    </row>
    <row r="27312">
      <c r="B27312" s="612"/>
      <c r="H27312" s="612"/>
    </row>
    <row r="27313">
      <c r="B27313" s="612"/>
      <c r="H27313" s="612"/>
    </row>
    <row r="27314">
      <c r="B27314" s="612"/>
      <c r="H27314" s="612"/>
    </row>
    <row r="27315">
      <c r="B27315" s="612"/>
      <c r="H27315" s="612"/>
    </row>
    <row r="27316">
      <c r="B27316" s="612"/>
      <c r="H27316" s="612"/>
    </row>
    <row r="27317">
      <c r="B27317" s="612"/>
      <c r="H27317" s="612"/>
    </row>
    <row r="27318">
      <c r="B27318" s="612"/>
      <c r="H27318" s="612"/>
    </row>
    <row r="27319">
      <c r="B27319" s="612"/>
      <c r="H27319" s="612"/>
    </row>
    <row r="27320">
      <c r="B27320" s="612"/>
      <c r="H27320" s="612"/>
    </row>
    <row r="27321">
      <c r="B27321" s="612"/>
      <c r="H27321" s="612"/>
    </row>
    <row r="27322">
      <c r="B27322" s="612"/>
      <c r="H27322" s="612"/>
    </row>
    <row r="27323">
      <c r="B27323" s="612"/>
      <c r="H27323" s="612"/>
    </row>
    <row r="27324">
      <c r="B27324" s="612"/>
      <c r="H27324" s="612"/>
    </row>
    <row r="27325">
      <c r="B27325" s="612"/>
      <c r="H27325" s="612"/>
    </row>
    <row r="27326">
      <c r="B27326" s="612"/>
      <c r="H27326" s="612"/>
    </row>
    <row r="27327">
      <c r="B27327" s="612"/>
      <c r="H27327" s="612"/>
    </row>
    <row r="27328">
      <c r="B27328" s="612"/>
      <c r="H27328" s="612"/>
    </row>
    <row r="27329">
      <c r="B27329" s="612"/>
      <c r="H27329" s="612"/>
    </row>
    <row r="27330">
      <c r="B27330" s="612"/>
      <c r="H27330" s="612"/>
    </row>
    <row r="27331">
      <c r="B27331" s="612"/>
      <c r="H27331" s="612"/>
    </row>
    <row r="27332">
      <c r="B27332" s="612"/>
      <c r="H27332" s="612"/>
    </row>
    <row r="27333">
      <c r="B27333" s="612"/>
      <c r="H27333" s="612"/>
    </row>
    <row r="27334">
      <c r="B27334" s="612"/>
      <c r="H27334" s="612"/>
    </row>
    <row r="27335">
      <c r="B27335" s="612"/>
      <c r="H27335" s="612"/>
    </row>
    <row r="27336">
      <c r="B27336" s="612"/>
      <c r="H27336" s="612"/>
    </row>
    <row r="27337">
      <c r="B27337" s="612"/>
      <c r="H27337" s="612"/>
    </row>
    <row r="27338">
      <c r="B27338" s="612"/>
      <c r="H27338" s="612"/>
    </row>
    <row r="27339">
      <c r="B27339" s="612"/>
      <c r="H27339" s="612"/>
    </row>
    <row r="27340">
      <c r="B27340" s="612"/>
      <c r="H27340" s="612"/>
    </row>
    <row r="27341">
      <c r="B27341" s="612"/>
      <c r="H27341" s="612"/>
    </row>
    <row r="27342">
      <c r="B27342" s="612"/>
      <c r="H27342" s="612"/>
    </row>
    <row r="27343">
      <c r="B27343" s="612"/>
      <c r="H27343" s="612"/>
    </row>
    <row r="27344">
      <c r="B27344" s="612"/>
      <c r="H27344" s="612"/>
    </row>
    <row r="27345">
      <c r="B27345" s="612"/>
      <c r="H27345" s="612"/>
    </row>
    <row r="27346">
      <c r="B27346" s="612"/>
      <c r="H27346" s="612"/>
    </row>
    <row r="27347">
      <c r="B27347" s="612"/>
      <c r="H27347" s="612"/>
    </row>
    <row r="27348">
      <c r="B27348" s="612"/>
      <c r="H27348" s="612"/>
    </row>
    <row r="27349">
      <c r="B27349" s="612"/>
      <c r="H27349" s="612"/>
    </row>
    <row r="27350">
      <c r="B27350" s="612"/>
      <c r="H27350" s="612"/>
    </row>
    <row r="27351">
      <c r="B27351" s="612"/>
      <c r="H27351" s="612"/>
    </row>
    <row r="27352">
      <c r="B27352" s="612"/>
      <c r="H27352" s="612"/>
    </row>
    <row r="27353">
      <c r="B27353" s="612"/>
      <c r="H27353" s="612"/>
    </row>
    <row r="27354">
      <c r="B27354" s="612"/>
      <c r="H27354" s="612"/>
    </row>
    <row r="27355">
      <c r="B27355" s="612"/>
      <c r="H27355" s="612"/>
    </row>
    <row r="27356">
      <c r="B27356" s="612"/>
      <c r="H27356" s="612"/>
    </row>
    <row r="27357">
      <c r="B27357" s="612"/>
      <c r="H27357" s="612"/>
    </row>
    <row r="27358">
      <c r="B27358" s="612"/>
      <c r="H27358" s="612"/>
    </row>
    <row r="27359">
      <c r="B27359" s="612"/>
      <c r="H27359" s="612"/>
    </row>
    <row r="27360">
      <c r="B27360" s="612"/>
      <c r="H27360" s="612"/>
    </row>
    <row r="27361">
      <c r="B27361" s="612"/>
      <c r="H27361" s="612"/>
    </row>
    <row r="27362">
      <c r="B27362" s="612"/>
      <c r="H27362" s="612"/>
    </row>
    <row r="27363">
      <c r="B27363" s="612"/>
      <c r="H27363" s="612"/>
    </row>
    <row r="27364">
      <c r="B27364" s="612"/>
      <c r="H27364" s="612"/>
    </row>
    <row r="27365">
      <c r="B27365" s="612"/>
      <c r="H27365" s="612"/>
    </row>
    <row r="27366">
      <c r="B27366" s="612"/>
      <c r="H27366" s="612"/>
    </row>
    <row r="27367">
      <c r="B27367" s="612"/>
      <c r="H27367" s="612"/>
    </row>
    <row r="27368">
      <c r="B27368" s="612"/>
      <c r="H27368" s="612"/>
    </row>
    <row r="27369">
      <c r="B27369" s="612"/>
      <c r="H27369" s="612"/>
    </row>
    <row r="27370">
      <c r="B27370" s="612"/>
      <c r="H27370" s="612"/>
    </row>
    <row r="27371">
      <c r="B27371" s="612"/>
      <c r="H27371" s="612"/>
    </row>
    <row r="27372">
      <c r="B27372" s="612"/>
      <c r="H27372" s="612"/>
    </row>
    <row r="27373">
      <c r="B27373" s="612"/>
      <c r="H27373" s="612"/>
    </row>
    <row r="27374">
      <c r="B27374" s="612"/>
      <c r="H27374" s="612"/>
    </row>
    <row r="27375">
      <c r="B27375" s="612"/>
      <c r="H27375" s="612"/>
    </row>
    <row r="27376">
      <c r="B27376" s="612"/>
      <c r="H27376" s="612"/>
    </row>
    <row r="27377">
      <c r="B27377" s="612"/>
      <c r="H27377" s="612"/>
    </row>
    <row r="27378">
      <c r="B27378" s="612"/>
      <c r="H27378" s="612"/>
    </row>
    <row r="27379">
      <c r="B27379" s="612"/>
      <c r="H27379" s="612"/>
    </row>
    <row r="27380">
      <c r="B27380" s="612"/>
      <c r="H27380" s="612"/>
    </row>
    <row r="27381">
      <c r="B27381" s="612"/>
      <c r="H27381" s="612"/>
    </row>
    <row r="27382">
      <c r="B27382" s="612"/>
      <c r="H27382" s="612"/>
    </row>
    <row r="27383">
      <c r="B27383" s="612"/>
      <c r="H27383" s="612"/>
    </row>
    <row r="27384">
      <c r="B27384" s="612"/>
      <c r="H27384" s="612"/>
    </row>
    <row r="27385">
      <c r="B27385" s="612"/>
      <c r="H27385" s="612"/>
    </row>
    <row r="27386">
      <c r="B27386" s="612"/>
      <c r="H27386" s="612"/>
    </row>
    <row r="27387">
      <c r="B27387" s="612"/>
      <c r="H27387" s="612"/>
    </row>
    <row r="27388">
      <c r="B27388" s="612"/>
      <c r="H27388" s="612"/>
    </row>
    <row r="27389">
      <c r="B27389" s="612"/>
      <c r="H27389" s="612"/>
    </row>
    <row r="27390">
      <c r="B27390" s="612"/>
      <c r="H27390" s="612"/>
    </row>
    <row r="27391">
      <c r="B27391" s="612"/>
      <c r="H27391" s="612"/>
    </row>
    <row r="27392">
      <c r="B27392" s="612"/>
      <c r="H27392" s="612"/>
    </row>
    <row r="27393">
      <c r="B27393" s="612"/>
      <c r="H27393" s="612"/>
    </row>
    <row r="27394">
      <c r="B27394" s="612"/>
      <c r="H27394" s="612"/>
    </row>
    <row r="27395">
      <c r="B27395" s="612"/>
      <c r="H27395" s="612"/>
    </row>
    <row r="27396">
      <c r="B27396" s="612"/>
      <c r="H27396" s="612"/>
    </row>
    <row r="27397">
      <c r="B27397" s="612"/>
      <c r="H27397" s="612"/>
    </row>
    <row r="27398">
      <c r="B27398" s="612"/>
      <c r="H27398" s="612"/>
    </row>
    <row r="27399">
      <c r="B27399" s="612"/>
      <c r="H27399" s="612"/>
    </row>
    <row r="27400">
      <c r="B27400" s="612"/>
      <c r="H27400" s="612"/>
    </row>
    <row r="27401">
      <c r="B27401" s="612"/>
      <c r="H27401" s="612"/>
    </row>
    <row r="27402">
      <c r="B27402" s="612"/>
      <c r="H27402" s="612"/>
    </row>
    <row r="27403">
      <c r="B27403" s="612"/>
      <c r="H27403" s="612"/>
    </row>
    <row r="27404">
      <c r="B27404" s="612"/>
      <c r="H27404" s="612"/>
    </row>
    <row r="27405">
      <c r="B27405" s="612"/>
      <c r="H27405" s="612"/>
    </row>
    <row r="27406">
      <c r="B27406" s="612"/>
      <c r="H27406" s="612"/>
    </row>
    <row r="27407">
      <c r="B27407" s="612"/>
      <c r="H27407" s="612"/>
    </row>
    <row r="27408">
      <c r="B27408" s="612"/>
      <c r="H27408" s="612"/>
    </row>
    <row r="27409">
      <c r="B27409" s="612"/>
      <c r="H27409" s="612"/>
    </row>
    <row r="27410">
      <c r="B27410" s="612"/>
      <c r="H27410" s="612"/>
    </row>
    <row r="27411">
      <c r="B27411" s="612"/>
      <c r="H27411" s="612"/>
    </row>
    <row r="27412">
      <c r="B27412" s="612"/>
      <c r="H27412" s="612"/>
    </row>
    <row r="27413">
      <c r="B27413" s="612"/>
      <c r="H27413" s="612"/>
    </row>
    <row r="27414">
      <c r="B27414" s="612"/>
      <c r="H27414" s="612"/>
    </row>
    <row r="27415">
      <c r="B27415" s="612"/>
      <c r="H27415" s="612"/>
    </row>
    <row r="27416">
      <c r="B27416" s="612"/>
      <c r="H27416" s="612"/>
    </row>
    <row r="27417">
      <c r="B27417" s="612"/>
      <c r="H27417" s="612"/>
    </row>
    <row r="27418">
      <c r="B27418" s="612"/>
      <c r="H27418" s="612"/>
    </row>
    <row r="27419">
      <c r="B27419" s="612"/>
      <c r="H27419" s="612"/>
    </row>
    <row r="27420">
      <c r="B27420" s="612"/>
      <c r="H27420" s="612"/>
    </row>
    <row r="27421">
      <c r="B27421" s="612"/>
      <c r="H27421" s="612"/>
    </row>
    <row r="27422">
      <c r="B27422" s="612"/>
      <c r="H27422" s="612"/>
    </row>
    <row r="27423">
      <c r="B27423" s="612"/>
      <c r="H27423" s="612"/>
    </row>
    <row r="27424">
      <c r="B27424" s="612"/>
      <c r="H27424" s="612"/>
    </row>
    <row r="27425">
      <c r="B27425" s="612"/>
      <c r="H27425" s="612"/>
    </row>
    <row r="27426">
      <c r="B27426" s="612"/>
      <c r="H27426" s="612"/>
    </row>
    <row r="27427">
      <c r="B27427" s="612"/>
      <c r="H27427" s="612"/>
    </row>
    <row r="27428">
      <c r="B27428" s="612"/>
      <c r="H27428" s="612"/>
    </row>
    <row r="27429">
      <c r="B27429" s="612"/>
      <c r="H27429" s="612"/>
    </row>
    <row r="27430">
      <c r="B27430" s="612"/>
      <c r="H27430" s="612"/>
    </row>
    <row r="27431">
      <c r="B27431" s="612"/>
      <c r="H27431" s="612"/>
    </row>
    <row r="27432">
      <c r="B27432" s="612"/>
      <c r="H27432" s="612"/>
    </row>
    <row r="27433">
      <c r="B27433" s="612"/>
      <c r="H27433" s="612"/>
    </row>
    <row r="27434">
      <c r="B27434" s="612"/>
      <c r="H27434" s="612"/>
    </row>
    <row r="27435">
      <c r="B27435" s="612"/>
      <c r="H27435" s="612"/>
    </row>
    <row r="27436">
      <c r="B27436" s="612"/>
      <c r="H27436" s="612"/>
    </row>
    <row r="27437">
      <c r="B27437" s="612"/>
      <c r="H27437" s="612"/>
    </row>
    <row r="27438">
      <c r="B27438" s="612"/>
      <c r="H27438" s="612"/>
    </row>
    <row r="27439">
      <c r="B27439" s="612"/>
      <c r="H27439" s="612"/>
    </row>
    <row r="27440">
      <c r="B27440" s="612"/>
      <c r="H27440" s="612"/>
    </row>
    <row r="27441">
      <c r="B27441" s="612"/>
      <c r="H27441" s="612"/>
    </row>
    <row r="27442">
      <c r="B27442" s="612"/>
      <c r="H27442" s="612"/>
    </row>
    <row r="27443">
      <c r="B27443" s="612"/>
      <c r="H27443" s="612"/>
    </row>
    <row r="27444">
      <c r="B27444" s="612"/>
      <c r="H27444" s="612"/>
    </row>
    <row r="27445">
      <c r="B27445" s="612"/>
      <c r="H27445" s="612"/>
    </row>
    <row r="27446">
      <c r="B27446" s="612"/>
      <c r="H27446" s="612"/>
    </row>
    <row r="27447">
      <c r="B27447" s="612"/>
      <c r="H27447" s="612"/>
    </row>
    <row r="27448">
      <c r="B27448" s="612"/>
      <c r="H27448" s="612"/>
    </row>
    <row r="27449">
      <c r="B27449" s="612"/>
      <c r="H27449" s="612"/>
    </row>
    <row r="27450">
      <c r="B27450" s="612"/>
      <c r="H27450" s="612"/>
    </row>
    <row r="27451">
      <c r="B27451" s="612"/>
      <c r="H27451" s="612"/>
    </row>
    <row r="27452">
      <c r="B27452" s="612"/>
      <c r="H27452" s="612"/>
    </row>
    <row r="27453">
      <c r="B27453" s="612"/>
      <c r="H27453" s="612"/>
    </row>
    <row r="27454">
      <c r="B27454" s="612"/>
      <c r="H27454" s="612"/>
    </row>
    <row r="27455">
      <c r="B27455" s="612"/>
      <c r="H27455" s="612"/>
    </row>
    <row r="27456">
      <c r="B27456" s="612"/>
      <c r="H27456" s="612"/>
    </row>
    <row r="27457">
      <c r="B27457" s="612"/>
      <c r="H27457" s="612"/>
    </row>
    <row r="27458">
      <c r="B27458" s="612"/>
      <c r="H27458" s="612"/>
    </row>
    <row r="27459">
      <c r="B27459" s="612"/>
      <c r="H27459" s="612"/>
    </row>
    <row r="27460">
      <c r="B27460" s="612"/>
      <c r="H27460" s="612"/>
    </row>
    <row r="27461">
      <c r="B27461" s="612"/>
      <c r="H27461" s="612"/>
    </row>
    <row r="27462">
      <c r="B27462" s="612"/>
      <c r="H27462" s="612"/>
    </row>
    <row r="27463">
      <c r="B27463" s="612"/>
      <c r="H27463" s="612"/>
    </row>
    <row r="27464">
      <c r="B27464" s="612"/>
      <c r="H27464" s="612"/>
    </row>
    <row r="27465">
      <c r="B27465" s="612"/>
      <c r="H27465" s="612"/>
    </row>
    <row r="27466">
      <c r="B27466" s="612"/>
      <c r="H27466" s="612"/>
    </row>
    <row r="27467">
      <c r="B27467" s="612"/>
      <c r="H27467" s="612"/>
    </row>
    <row r="27468">
      <c r="B27468" s="612"/>
      <c r="H27468" s="612"/>
    </row>
    <row r="27469">
      <c r="B27469" s="612"/>
      <c r="H27469" s="612"/>
    </row>
    <row r="27470">
      <c r="B27470" s="612"/>
      <c r="H27470" s="612"/>
    </row>
    <row r="27471">
      <c r="B27471" s="612"/>
      <c r="H27471" s="612"/>
    </row>
    <row r="27472">
      <c r="B27472" s="612"/>
      <c r="H27472" s="612"/>
    </row>
    <row r="27473">
      <c r="B27473" s="612"/>
      <c r="H27473" s="612"/>
    </row>
    <row r="27474">
      <c r="B27474" s="612"/>
      <c r="H27474" s="612"/>
    </row>
    <row r="27475">
      <c r="B27475" s="612"/>
      <c r="H27475" s="612"/>
    </row>
    <row r="27476">
      <c r="B27476" s="612"/>
      <c r="H27476" s="612"/>
    </row>
    <row r="27477">
      <c r="B27477" s="612"/>
      <c r="H27477" s="612"/>
    </row>
    <row r="27478">
      <c r="B27478" s="612"/>
      <c r="H27478" s="612"/>
    </row>
    <row r="27479">
      <c r="B27479" s="612"/>
      <c r="H27479" s="612"/>
    </row>
    <row r="27480">
      <c r="B27480" s="612"/>
      <c r="H27480" s="612"/>
    </row>
    <row r="27481">
      <c r="B27481" s="612"/>
      <c r="H27481" s="612"/>
    </row>
    <row r="27482">
      <c r="B27482" s="612"/>
      <c r="H27482" s="612"/>
    </row>
    <row r="27483">
      <c r="B27483" s="612"/>
      <c r="H27483" s="612"/>
    </row>
    <row r="27484">
      <c r="B27484" s="612"/>
      <c r="H27484" s="612"/>
    </row>
    <row r="27485">
      <c r="B27485" s="612"/>
      <c r="H27485" s="612"/>
    </row>
    <row r="27486">
      <c r="B27486" s="612"/>
      <c r="H27486" s="612"/>
    </row>
    <row r="27487">
      <c r="B27487" s="612"/>
      <c r="H27487" s="612"/>
    </row>
    <row r="27488">
      <c r="B27488" s="612"/>
      <c r="H27488" s="612"/>
    </row>
    <row r="27489">
      <c r="B27489" s="612"/>
      <c r="H27489" s="612"/>
    </row>
    <row r="27490">
      <c r="B27490" s="612"/>
      <c r="H27490" s="612"/>
    </row>
    <row r="27491">
      <c r="B27491" s="612"/>
      <c r="H27491" s="612"/>
    </row>
    <row r="27492">
      <c r="B27492" s="612"/>
      <c r="H27492" s="612"/>
    </row>
    <row r="27493">
      <c r="B27493" s="612"/>
      <c r="H27493" s="612"/>
    </row>
    <row r="27494">
      <c r="B27494" s="612"/>
      <c r="H27494" s="612"/>
    </row>
    <row r="27495">
      <c r="B27495" s="612"/>
      <c r="H27495" s="612"/>
    </row>
    <row r="27496">
      <c r="B27496" s="612"/>
      <c r="H27496" s="612"/>
    </row>
    <row r="27497">
      <c r="B27497" s="612"/>
      <c r="H27497" s="612"/>
    </row>
    <row r="27498">
      <c r="B27498" s="612"/>
      <c r="H27498" s="612"/>
    </row>
    <row r="27499">
      <c r="B27499" s="612"/>
      <c r="H27499" s="612"/>
    </row>
    <row r="27500">
      <c r="B27500" s="612"/>
      <c r="H27500" s="612"/>
    </row>
    <row r="27501">
      <c r="B27501" s="612"/>
      <c r="H27501" s="612"/>
    </row>
    <row r="27502">
      <c r="B27502" s="612"/>
      <c r="H27502" s="612"/>
    </row>
    <row r="27503">
      <c r="B27503" s="612"/>
      <c r="H27503" s="612"/>
    </row>
    <row r="27504">
      <c r="B27504" s="612"/>
      <c r="H27504" s="612"/>
    </row>
    <row r="27505">
      <c r="B27505" s="612"/>
      <c r="H27505" s="612"/>
    </row>
    <row r="27506">
      <c r="B27506" s="612"/>
      <c r="H27506" s="612"/>
    </row>
    <row r="27507">
      <c r="B27507" s="612"/>
      <c r="H27507" s="612"/>
    </row>
    <row r="27508">
      <c r="B27508" s="612"/>
      <c r="H27508" s="612"/>
    </row>
    <row r="27509">
      <c r="B27509" s="612"/>
      <c r="H27509" s="612"/>
    </row>
    <row r="27510">
      <c r="B27510" s="612"/>
      <c r="H27510" s="612"/>
    </row>
    <row r="27511">
      <c r="B27511" s="612"/>
      <c r="H27511" s="612"/>
    </row>
    <row r="27512">
      <c r="B27512" s="612"/>
      <c r="H27512" s="612"/>
    </row>
    <row r="27513">
      <c r="B27513" s="612"/>
      <c r="H27513" s="612"/>
    </row>
    <row r="27514">
      <c r="B27514" s="612"/>
      <c r="H27514" s="612"/>
    </row>
    <row r="27515">
      <c r="B27515" s="612"/>
      <c r="H27515" s="612"/>
    </row>
    <row r="27516">
      <c r="B27516" s="612"/>
      <c r="H27516" s="612"/>
    </row>
    <row r="27517">
      <c r="B27517" s="612"/>
      <c r="H27517" s="612"/>
    </row>
    <row r="27518">
      <c r="B27518" s="612"/>
      <c r="H27518" s="612"/>
    </row>
    <row r="27519">
      <c r="B27519" s="612"/>
      <c r="H27519" s="612"/>
    </row>
    <row r="27520">
      <c r="B27520" s="612"/>
      <c r="H27520" s="612"/>
    </row>
    <row r="27521">
      <c r="B27521" s="612"/>
      <c r="H27521" s="612"/>
    </row>
    <row r="27522">
      <c r="B27522" s="612"/>
      <c r="H27522" s="612"/>
    </row>
    <row r="27523">
      <c r="B27523" s="612"/>
      <c r="H27523" s="612"/>
    </row>
    <row r="27524">
      <c r="B27524" s="612"/>
      <c r="H27524" s="612"/>
    </row>
    <row r="27525">
      <c r="B27525" s="612"/>
      <c r="H27525" s="612"/>
    </row>
    <row r="27526">
      <c r="B27526" s="612"/>
      <c r="H27526" s="612"/>
    </row>
    <row r="27527">
      <c r="B27527" s="612"/>
      <c r="H27527" s="612"/>
    </row>
    <row r="27528">
      <c r="B27528" s="612"/>
      <c r="H27528" s="612"/>
    </row>
    <row r="27529">
      <c r="B27529" s="612"/>
      <c r="H27529" s="612"/>
    </row>
    <row r="27530">
      <c r="B27530" s="612"/>
      <c r="H27530" s="612"/>
    </row>
    <row r="27531">
      <c r="B27531" s="612"/>
      <c r="H27531" s="612"/>
    </row>
    <row r="27532">
      <c r="B27532" s="612"/>
      <c r="H27532" s="612"/>
    </row>
    <row r="27533">
      <c r="B27533" s="612"/>
      <c r="H27533" s="612"/>
    </row>
    <row r="27534">
      <c r="B27534" s="612"/>
      <c r="H27534" s="612"/>
    </row>
    <row r="27535">
      <c r="B27535" s="612"/>
      <c r="H27535" s="612"/>
    </row>
    <row r="27536">
      <c r="B27536" s="612"/>
      <c r="H27536" s="612"/>
    </row>
    <row r="27537">
      <c r="B27537" s="612"/>
      <c r="H27537" s="612"/>
    </row>
    <row r="27538">
      <c r="B27538" s="612"/>
      <c r="H27538" s="612"/>
    </row>
    <row r="27539">
      <c r="B27539" s="612"/>
      <c r="H27539" s="612"/>
    </row>
    <row r="27540">
      <c r="B27540" s="612"/>
      <c r="H27540" s="612"/>
    </row>
    <row r="27541">
      <c r="B27541" s="612"/>
      <c r="H27541" s="612"/>
    </row>
    <row r="27542">
      <c r="B27542" s="612"/>
      <c r="H27542" s="612"/>
    </row>
    <row r="27543">
      <c r="B27543" s="612"/>
      <c r="H27543" s="612"/>
    </row>
    <row r="27544">
      <c r="B27544" s="612"/>
      <c r="H27544" s="612"/>
    </row>
    <row r="27545">
      <c r="B27545" s="612"/>
      <c r="H27545" s="612"/>
    </row>
    <row r="27546">
      <c r="B27546" s="612"/>
      <c r="H27546" s="612"/>
    </row>
    <row r="27547">
      <c r="B27547" s="612"/>
      <c r="H27547" s="612"/>
    </row>
    <row r="27548">
      <c r="B27548" s="612"/>
      <c r="H27548" s="612"/>
    </row>
    <row r="27549">
      <c r="B27549" s="612"/>
      <c r="H27549" s="612"/>
    </row>
    <row r="27550">
      <c r="B27550" s="612"/>
      <c r="H27550" s="612"/>
    </row>
    <row r="27551">
      <c r="B27551" s="612"/>
      <c r="H27551" s="612"/>
    </row>
    <row r="27552">
      <c r="B27552" s="612"/>
      <c r="H27552" s="612"/>
    </row>
    <row r="27553">
      <c r="B27553" s="612"/>
      <c r="H27553" s="612"/>
    </row>
    <row r="27554">
      <c r="B27554" s="612"/>
      <c r="H27554" s="612"/>
    </row>
    <row r="27555">
      <c r="B27555" s="612"/>
      <c r="H27555" s="612"/>
    </row>
    <row r="27556">
      <c r="B27556" s="612"/>
      <c r="H27556" s="612"/>
    </row>
    <row r="27557">
      <c r="B27557" s="612"/>
      <c r="H27557" s="612"/>
    </row>
    <row r="27558">
      <c r="B27558" s="612"/>
      <c r="H27558" s="612"/>
    </row>
    <row r="27559">
      <c r="B27559" s="612"/>
      <c r="H27559" s="612"/>
    </row>
    <row r="27560">
      <c r="B27560" s="612"/>
      <c r="H27560" s="612"/>
    </row>
    <row r="27561">
      <c r="B27561" s="612"/>
      <c r="H27561" s="612"/>
    </row>
    <row r="27562">
      <c r="B27562" s="612"/>
      <c r="H27562" s="612"/>
    </row>
    <row r="27563">
      <c r="B27563" s="612"/>
      <c r="H27563" s="612"/>
    </row>
    <row r="27564">
      <c r="B27564" s="612"/>
      <c r="H27564" s="612"/>
    </row>
    <row r="27565">
      <c r="B27565" s="612"/>
      <c r="H27565" s="612"/>
    </row>
    <row r="27566">
      <c r="B27566" s="612"/>
      <c r="H27566" s="612"/>
    </row>
    <row r="27567">
      <c r="B27567" s="612"/>
      <c r="H27567" s="612"/>
    </row>
    <row r="27568">
      <c r="B27568" s="612"/>
      <c r="H27568" s="612"/>
    </row>
    <row r="27569">
      <c r="B27569" s="612"/>
      <c r="H27569" s="612"/>
    </row>
    <row r="27570">
      <c r="B27570" s="612"/>
      <c r="H27570" s="612"/>
    </row>
    <row r="27571">
      <c r="B27571" s="612"/>
      <c r="H27571" s="612"/>
    </row>
    <row r="27572">
      <c r="B27572" s="612"/>
      <c r="H27572" s="612"/>
    </row>
    <row r="27573">
      <c r="B27573" s="612"/>
      <c r="H27573" s="612"/>
    </row>
    <row r="27574">
      <c r="B27574" s="612"/>
      <c r="H27574" s="612"/>
    </row>
    <row r="27575">
      <c r="B27575" s="612"/>
      <c r="H27575" s="612"/>
    </row>
    <row r="27576">
      <c r="B27576" s="612"/>
      <c r="H27576" s="612"/>
    </row>
    <row r="27577">
      <c r="B27577" s="612"/>
      <c r="H27577" s="612"/>
    </row>
    <row r="27578">
      <c r="B27578" s="612"/>
      <c r="H27578" s="612"/>
    </row>
    <row r="27579">
      <c r="B27579" s="612"/>
      <c r="H27579" s="612"/>
    </row>
    <row r="27580">
      <c r="B27580" s="612"/>
      <c r="H27580" s="612"/>
    </row>
    <row r="27581">
      <c r="B27581" s="612"/>
      <c r="H27581" s="612"/>
    </row>
    <row r="27582">
      <c r="B27582" s="612"/>
      <c r="H27582" s="612"/>
    </row>
    <row r="27583">
      <c r="B27583" s="612"/>
      <c r="H27583" s="612"/>
    </row>
    <row r="27584">
      <c r="B27584" s="612"/>
      <c r="H27584" s="612"/>
    </row>
    <row r="27585">
      <c r="B27585" s="612"/>
      <c r="H27585" s="612"/>
    </row>
    <row r="27586">
      <c r="B27586" s="612"/>
      <c r="H27586" s="612"/>
    </row>
    <row r="27587">
      <c r="B27587" s="612"/>
      <c r="H27587" s="612"/>
    </row>
    <row r="27588">
      <c r="B27588" s="612"/>
      <c r="H27588" s="612"/>
    </row>
    <row r="27589">
      <c r="B27589" s="612"/>
      <c r="H27589" s="612"/>
    </row>
    <row r="27590">
      <c r="B27590" s="612"/>
      <c r="H27590" s="612"/>
    </row>
    <row r="27591">
      <c r="B27591" s="612"/>
      <c r="H27591" s="612"/>
    </row>
    <row r="27592">
      <c r="B27592" s="612"/>
      <c r="H27592" s="612"/>
    </row>
    <row r="27593">
      <c r="B27593" s="612"/>
      <c r="H27593" s="612"/>
    </row>
    <row r="27594">
      <c r="B27594" s="612"/>
      <c r="H27594" s="612"/>
    </row>
    <row r="27595">
      <c r="B27595" s="612"/>
      <c r="H27595" s="612"/>
    </row>
    <row r="27596">
      <c r="B27596" s="612"/>
      <c r="H27596" s="612"/>
    </row>
    <row r="27597">
      <c r="B27597" s="612"/>
      <c r="H27597" s="612"/>
    </row>
    <row r="27598">
      <c r="B27598" s="612"/>
      <c r="H27598" s="612"/>
    </row>
    <row r="27599">
      <c r="B27599" s="612"/>
      <c r="H27599" s="612"/>
    </row>
    <row r="27600">
      <c r="B27600" s="612"/>
      <c r="H27600" s="612"/>
    </row>
    <row r="27601">
      <c r="B27601" s="612"/>
      <c r="H27601" s="612"/>
    </row>
    <row r="27602">
      <c r="B27602" s="612"/>
      <c r="H27602" s="612"/>
    </row>
    <row r="27603">
      <c r="B27603" s="612"/>
      <c r="H27603" s="612"/>
    </row>
    <row r="27604">
      <c r="B27604" s="612"/>
      <c r="H27604" s="612"/>
    </row>
    <row r="27605">
      <c r="B27605" s="612"/>
      <c r="H27605" s="612"/>
    </row>
    <row r="27606">
      <c r="B27606" s="612"/>
      <c r="H27606" s="612"/>
    </row>
    <row r="27607">
      <c r="B27607" s="612"/>
      <c r="H27607" s="612"/>
    </row>
    <row r="27608">
      <c r="B27608" s="612"/>
      <c r="H27608" s="612"/>
    </row>
    <row r="27609">
      <c r="B27609" s="612"/>
      <c r="H27609" s="612"/>
    </row>
    <row r="27610">
      <c r="B27610" s="612"/>
      <c r="H27610" s="612"/>
    </row>
    <row r="27611">
      <c r="B27611" s="612"/>
      <c r="H27611" s="612"/>
    </row>
    <row r="27612">
      <c r="B27612" s="612"/>
      <c r="H27612" s="612"/>
    </row>
    <row r="27613">
      <c r="B27613" s="612"/>
      <c r="H27613" s="612"/>
    </row>
    <row r="27614">
      <c r="B27614" s="612"/>
      <c r="H27614" s="612"/>
    </row>
    <row r="27615">
      <c r="B27615" s="612"/>
      <c r="H27615" s="612"/>
    </row>
    <row r="27616">
      <c r="B27616" s="612"/>
      <c r="H27616" s="612"/>
    </row>
    <row r="27617">
      <c r="B27617" s="612"/>
      <c r="H27617" s="612"/>
    </row>
    <row r="27618">
      <c r="B27618" s="612"/>
      <c r="H27618" s="612"/>
    </row>
    <row r="27619">
      <c r="B27619" s="612"/>
      <c r="H27619" s="612"/>
    </row>
    <row r="27620">
      <c r="B27620" s="612"/>
      <c r="H27620" s="612"/>
    </row>
    <row r="27621">
      <c r="B27621" s="612"/>
      <c r="H27621" s="612"/>
    </row>
    <row r="27622">
      <c r="B27622" s="612"/>
      <c r="H27622" s="612"/>
    </row>
    <row r="27623">
      <c r="B27623" s="612"/>
      <c r="H27623" s="612"/>
    </row>
    <row r="27624">
      <c r="B27624" s="612"/>
      <c r="H27624" s="612"/>
    </row>
    <row r="27625">
      <c r="B27625" s="612"/>
      <c r="H27625" s="612"/>
    </row>
    <row r="27626">
      <c r="B27626" s="612"/>
      <c r="H27626" s="612"/>
    </row>
    <row r="27627">
      <c r="B27627" s="612"/>
      <c r="H27627" s="612"/>
    </row>
    <row r="27628">
      <c r="B27628" s="612"/>
      <c r="H27628" s="612"/>
    </row>
    <row r="27629">
      <c r="B27629" s="612"/>
      <c r="H27629" s="612"/>
    </row>
    <row r="27630">
      <c r="B27630" s="612"/>
      <c r="H27630" s="612"/>
    </row>
    <row r="27631">
      <c r="B27631" s="612"/>
      <c r="H27631" s="612"/>
    </row>
    <row r="27632">
      <c r="B27632" s="612"/>
      <c r="H27632" s="612"/>
    </row>
    <row r="27633">
      <c r="B27633" s="612"/>
      <c r="H27633" s="612"/>
    </row>
    <row r="27634">
      <c r="B27634" s="612"/>
      <c r="H27634" s="612"/>
    </row>
    <row r="27635">
      <c r="B27635" s="612"/>
      <c r="H27635" s="612"/>
    </row>
    <row r="27636">
      <c r="B27636" s="612"/>
      <c r="H27636" s="612"/>
    </row>
    <row r="27637">
      <c r="B27637" s="612"/>
      <c r="H27637" s="612"/>
    </row>
    <row r="27638">
      <c r="B27638" s="612"/>
      <c r="H27638" s="612"/>
    </row>
    <row r="27639">
      <c r="B27639" s="612"/>
      <c r="H27639" s="612"/>
    </row>
    <row r="27640">
      <c r="B27640" s="612"/>
      <c r="H27640" s="612"/>
    </row>
    <row r="27641">
      <c r="B27641" s="612"/>
      <c r="H27641" s="612"/>
    </row>
    <row r="27642">
      <c r="B27642" s="612"/>
      <c r="H27642" s="612"/>
    </row>
    <row r="27643">
      <c r="B27643" s="612"/>
      <c r="H27643" s="612"/>
    </row>
    <row r="27644">
      <c r="B27644" s="612"/>
      <c r="H27644" s="612"/>
    </row>
    <row r="27645">
      <c r="B27645" s="612"/>
      <c r="H27645" s="612"/>
    </row>
    <row r="27646">
      <c r="B27646" s="612"/>
      <c r="H27646" s="612"/>
    </row>
    <row r="27647">
      <c r="B27647" s="612"/>
      <c r="H27647" s="612"/>
    </row>
    <row r="27648">
      <c r="B27648" s="612"/>
      <c r="H27648" s="612"/>
    </row>
    <row r="27649">
      <c r="B27649" s="612"/>
      <c r="H27649" s="612"/>
    </row>
    <row r="27650">
      <c r="B27650" s="612"/>
      <c r="H27650" s="612"/>
    </row>
    <row r="27651">
      <c r="B27651" s="612"/>
      <c r="H27651" s="612"/>
    </row>
    <row r="27652">
      <c r="B27652" s="612"/>
      <c r="H27652" s="612"/>
    </row>
    <row r="27653">
      <c r="B27653" s="612"/>
      <c r="H27653" s="612"/>
    </row>
    <row r="27654">
      <c r="B27654" s="612"/>
      <c r="H27654" s="612"/>
    </row>
    <row r="27655">
      <c r="B27655" s="612"/>
      <c r="H27655" s="612"/>
    </row>
    <row r="27656">
      <c r="B27656" s="612"/>
      <c r="H27656" s="612"/>
    </row>
    <row r="27657">
      <c r="B27657" s="612"/>
      <c r="H27657" s="612"/>
    </row>
    <row r="27658">
      <c r="B27658" s="612"/>
      <c r="H27658" s="612"/>
    </row>
    <row r="27659">
      <c r="B27659" s="612"/>
      <c r="H27659" s="612"/>
    </row>
    <row r="27660">
      <c r="B27660" s="612"/>
      <c r="H27660" s="612"/>
    </row>
    <row r="27661">
      <c r="B27661" s="612"/>
      <c r="H27661" s="612"/>
    </row>
    <row r="27662">
      <c r="B27662" s="612"/>
      <c r="H27662" s="612"/>
    </row>
    <row r="27663">
      <c r="B27663" s="612"/>
      <c r="H27663" s="612"/>
    </row>
    <row r="27664">
      <c r="B27664" s="612"/>
      <c r="H27664" s="612"/>
    </row>
    <row r="27665">
      <c r="B27665" s="612"/>
      <c r="H27665" s="612"/>
    </row>
    <row r="27666">
      <c r="B27666" s="612"/>
      <c r="H27666" s="612"/>
    </row>
    <row r="27667">
      <c r="B27667" s="612"/>
      <c r="H27667" s="612"/>
    </row>
    <row r="27668">
      <c r="B27668" s="612"/>
      <c r="H27668" s="612"/>
    </row>
    <row r="27669">
      <c r="B27669" s="612"/>
      <c r="H27669" s="612"/>
    </row>
    <row r="27670">
      <c r="B27670" s="612"/>
      <c r="H27670" s="612"/>
    </row>
    <row r="27671">
      <c r="B27671" s="612"/>
      <c r="H27671" s="612"/>
    </row>
    <row r="27672">
      <c r="B27672" s="612"/>
      <c r="H27672" s="612"/>
    </row>
    <row r="27673">
      <c r="B27673" s="612"/>
      <c r="H27673" s="612"/>
    </row>
    <row r="27674">
      <c r="B27674" s="612"/>
      <c r="H27674" s="612"/>
    </row>
    <row r="27675">
      <c r="B27675" s="612"/>
      <c r="H27675" s="612"/>
    </row>
    <row r="27676">
      <c r="B27676" s="612"/>
      <c r="H27676" s="612"/>
    </row>
    <row r="27677">
      <c r="B27677" s="612"/>
      <c r="H27677" s="612"/>
    </row>
    <row r="27678">
      <c r="B27678" s="612"/>
      <c r="H27678" s="612"/>
    </row>
    <row r="27679">
      <c r="B27679" s="612"/>
      <c r="H27679" s="612"/>
    </row>
    <row r="27680">
      <c r="B27680" s="612"/>
      <c r="H27680" s="612"/>
    </row>
    <row r="27681">
      <c r="B27681" s="612"/>
      <c r="H27681" s="612"/>
    </row>
    <row r="27682">
      <c r="B27682" s="612"/>
      <c r="H27682" s="612"/>
    </row>
    <row r="27683">
      <c r="B27683" s="612"/>
      <c r="H27683" s="612"/>
    </row>
    <row r="27684">
      <c r="B27684" s="612"/>
      <c r="H27684" s="612"/>
    </row>
    <row r="27685">
      <c r="B27685" s="612"/>
      <c r="H27685" s="612"/>
    </row>
    <row r="27686">
      <c r="B27686" s="612"/>
      <c r="H27686" s="612"/>
    </row>
    <row r="27687">
      <c r="B27687" s="612"/>
      <c r="H27687" s="612"/>
    </row>
    <row r="27688">
      <c r="B27688" s="612"/>
      <c r="H27688" s="612"/>
    </row>
    <row r="27689">
      <c r="B27689" s="612"/>
      <c r="H27689" s="612"/>
    </row>
    <row r="27690">
      <c r="B27690" s="612"/>
      <c r="H27690" s="612"/>
    </row>
    <row r="27691">
      <c r="B27691" s="612"/>
      <c r="H27691" s="612"/>
    </row>
    <row r="27692">
      <c r="B27692" s="612"/>
      <c r="H27692" s="612"/>
    </row>
    <row r="27693">
      <c r="B27693" s="612"/>
      <c r="H27693" s="612"/>
    </row>
    <row r="27694">
      <c r="B27694" s="612"/>
      <c r="H27694" s="612"/>
    </row>
    <row r="27695">
      <c r="B27695" s="612"/>
      <c r="H27695" s="612"/>
    </row>
    <row r="27696">
      <c r="B27696" s="612"/>
      <c r="H27696" s="612"/>
    </row>
    <row r="27697">
      <c r="B27697" s="612"/>
      <c r="H27697" s="612"/>
    </row>
    <row r="27698">
      <c r="B27698" s="612"/>
      <c r="H27698" s="612"/>
    </row>
    <row r="27699">
      <c r="B27699" s="612"/>
      <c r="H27699" s="612"/>
    </row>
    <row r="27700">
      <c r="B27700" s="612"/>
      <c r="H27700" s="612"/>
    </row>
    <row r="27701">
      <c r="B27701" s="612"/>
      <c r="H27701" s="612"/>
    </row>
    <row r="27702">
      <c r="B27702" s="612"/>
      <c r="H27702" s="612"/>
    </row>
    <row r="27703">
      <c r="B27703" s="612"/>
      <c r="H27703" s="612"/>
    </row>
    <row r="27704">
      <c r="B27704" s="612"/>
      <c r="H27704" s="612"/>
    </row>
    <row r="27705">
      <c r="B27705" s="612"/>
      <c r="H27705" s="612"/>
    </row>
    <row r="27706">
      <c r="B27706" s="612"/>
      <c r="H27706" s="612"/>
    </row>
    <row r="27707">
      <c r="B27707" s="612"/>
      <c r="H27707" s="612"/>
    </row>
    <row r="27708">
      <c r="B27708" s="612"/>
      <c r="H27708" s="612"/>
    </row>
    <row r="27709">
      <c r="B27709" s="612"/>
      <c r="H27709" s="612"/>
    </row>
    <row r="27710">
      <c r="B27710" s="612"/>
      <c r="H27710" s="612"/>
    </row>
    <row r="27711">
      <c r="B27711" s="612"/>
      <c r="H27711" s="612"/>
    </row>
    <row r="27712">
      <c r="B27712" s="612"/>
      <c r="H27712" s="612"/>
    </row>
    <row r="27713">
      <c r="B27713" s="612"/>
      <c r="H27713" s="612"/>
    </row>
    <row r="27714">
      <c r="B27714" s="612"/>
      <c r="H27714" s="612"/>
    </row>
    <row r="27715">
      <c r="B27715" s="612"/>
      <c r="H27715" s="612"/>
    </row>
    <row r="27716">
      <c r="B27716" s="612"/>
      <c r="H27716" s="612"/>
    </row>
    <row r="27717">
      <c r="B27717" s="612"/>
      <c r="H27717" s="612"/>
    </row>
    <row r="27718">
      <c r="B27718" s="612"/>
      <c r="H27718" s="612"/>
    </row>
    <row r="27719">
      <c r="B27719" s="612"/>
      <c r="H27719" s="612"/>
    </row>
    <row r="27720">
      <c r="B27720" s="612"/>
      <c r="H27720" s="612"/>
    </row>
    <row r="27721">
      <c r="B27721" s="612"/>
      <c r="H27721" s="612"/>
    </row>
    <row r="27722">
      <c r="B27722" s="612"/>
      <c r="H27722" s="612"/>
    </row>
    <row r="27723">
      <c r="B27723" s="612"/>
      <c r="H27723" s="612"/>
    </row>
    <row r="27724">
      <c r="B27724" s="612"/>
      <c r="H27724" s="612"/>
    </row>
    <row r="27725">
      <c r="B27725" s="612"/>
      <c r="H27725" s="612"/>
    </row>
    <row r="27726">
      <c r="B27726" s="612"/>
      <c r="H27726" s="612"/>
    </row>
    <row r="27727">
      <c r="B27727" s="612"/>
      <c r="H27727" s="612"/>
    </row>
    <row r="27728">
      <c r="B27728" s="612"/>
      <c r="H27728" s="612"/>
    </row>
    <row r="27729">
      <c r="B27729" s="612"/>
      <c r="H27729" s="612"/>
    </row>
    <row r="27730">
      <c r="B27730" s="612"/>
      <c r="H27730" s="612"/>
    </row>
    <row r="27731">
      <c r="B27731" s="612"/>
      <c r="H27731" s="612"/>
    </row>
    <row r="27732">
      <c r="B27732" s="612"/>
      <c r="H27732" s="612"/>
    </row>
    <row r="27733">
      <c r="B27733" s="612"/>
      <c r="H27733" s="612"/>
    </row>
    <row r="27734">
      <c r="B27734" s="612"/>
      <c r="H27734" s="612"/>
    </row>
    <row r="27735">
      <c r="B27735" s="612"/>
      <c r="H27735" s="612"/>
    </row>
    <row r="27736">
      <c r="B27736" s="612"/>
      <c r="H27736" s="612"/>
    </row>
    <row r="27737">
      <c r="B27737" s="612"/>
      <c r="H27737" s="612"/>
    </row>
    <row r="27738">
      <c r="B27738" s="612"/>
      <c r="H27738" s="612"/>
    </row>
    <row r="27739">
      <c r="B27739" s="612"/>
      <c r="H27739" s="612"/>
    </row>
    <row r="27740">
      <c r="B27740" s="612"/>
      <c r="H27740" s="612"/>
    </row>
    <row r="27741">
      <c r="B27741" s="612"/>
      <c r="H27741" s="612"/>
    </row>
    <row r="27742">
      <c r="B27742" s="612"/>
      <c r="H27742" s="612"/>
    </row>
    <row r="27743">
      <c r="B27743" s="612"/>
      <c r="H27743" s="612"/>
    </row>
    <row r="27744">
      <c r="B27744" s="612"/>
      <c r="H27744" s="612"/>
    </row>
    <row r="27745">
      <c r="B27745" s="612"/>
      <c r="H27745" s="612"/>
    </row>
    <row r="27746">
      <c r="B27746" s="612"/>
      <c r="H27746" s="612"/>
    </row>
    <row r="27747">
      <c r="B27747" s="612"/>
      <c r="H27747" s="612"/>
    </row>
    <row r="27748">
      <c r="B27748" s="612"/>
      <c r="H27748" s="612"/>
    </row>
    <row r="27749">
      <c r="B27749" s="612"/>
      <c r="H27749" s="612"/>
    </row>
    <row r="27750">
      <c r="B27750" s="612"/>
      <c r="H27750" s="612"/>
    </row>
    <row r="27751">
      <c r="B27751" s="612"/>
      <c r="H27751" s="612"/>
    </row>
    <row r="27752">
      <c r="B27752" s="612"/>
      <c r="H27752" s="612"/>
    </row>
    <row r="27753">
      <c r="B27753" s="612"/>
      <c r="H27753" s="612"/>
    </row>
    <row r="27754">
      <c r="B27754" s="612"/>
      <c r="H27754" s="612"/>
    </row>
    <row r="27755">
      <c r="B27755" s="612"/>
      <c r="H27755" s="612"/>
    </row>
    <row r="27756">
      <c r="B27756" s="612"/>
      <c r="H27756" s="612"/>
    </row>
    <row r="27757">
      <c r="B27757" s="612"/>
      <c r="H27757" s="612"/>
    </row>
    <row r="27758">
      <c r="B27758" s="612"/>
      <c r="H27758" s="612"/>
    </row>
    <row r="27759">
      <c r="B27759" s="612"/>
      <c r="H27759" s="612"/>
    </row>
    <row r="27760">
      <c r="B27760" s="612"/>
      <c r="H27760" s="612"/>
    </row>
    <row r="27761">
      <c r="B27761" s="612"/>
      <c r="H27761" s="612"/>
    </row>
    <row r="27762">
      <c r="B27762" s="612"/>
      <c r="H27762" s="612"/>
    </row>
    <row r="27763">
      <c r="B27763" s="612"/>
      <c r="H27763" s="612"/>
    </row>
    <row r="27764">
      <c r="B27764" s="612"/>
      <c r="H27764" s="612"/>
    </row>
    <row r="27765">
      <c r="B27765" s="612"/>
      <c r="H27765" s="612"/>
    </row>
    <row r="27766">
      <c r="B27766" s="612"/>
      <c r="H27766" s="612"/>
    </row>
    <row r="27767">
      <c r="B27767" s="612"/>
      <c r="H27767" s="612"/>
    </row>
    <row r="27768">
      <c r="B27768" s="612"/>
      <c r="H27768" s="612"/>
    </row>
    <row r="27769">
      <c r="B27769" s="612"/>
      <c r="H27769" s="612"/>
    </row>
    <row r="27770">
      <c r="B27770" s="612"/>
      <c r="H27770" s="612"/>
    </row>
    <row r="27771">
      <c r="B27771" s="612"/>
      <c r="H27771" s="612"/>
    </row>
    <row r="27772">
      <c r="B27772" s="612"/>
      <c r="H27772" s="612"/>
    </row>
    <row r="27773">
      <c r="B27773" s="612"/>
      <c r="H27773" s="612"/>
    </row>
    <row r="27774">
      <c r="B27774" s="612"/>
      <c r="H27774" s="612"/>
    </row>
    <row r="27775">
      <c r="B27775" s="612"/>
      <c r="H27775" s="612"/>
    </row>
    <row r="27776">
      <c r="B27776" s="612"/>
      <c r="H27776" s="612"/>
    </row>
    <row r="27777">
      <c r="B27777" s="612"/>
      <c r="H27777" s="612"/>
    </row>
    <row r="27778">
      <c r="B27778" s="612"/>
      <c r="H27778" s="612"/>
    </row>
    <row r="27779">
      <c r="B27779" s="612"/>
      <c r="H27779" s="612"/>
    </row>
    <row r="27780">
      <c r="B27780" s="612"/>
      <c r="H27780" s="612"/>
    </row>
    <row r="27781">
      <c r="B27781" s="612"/>
      <c r="H27781" s="612"/>
    </row>
    <row r="27782">
      <c r="B27782" s="612"/>
      <c r="H27782" s="612"/>
    </row>
    <row r="27783">
      <c r="B27783" s="612"/>
      <c r="H27783" s="612"/>
    </row>
    <row r="27784">
      <c r="B27784" s="612"/>
      <c r="H27784" s="612"/>
    </row>
    <row r="27785">
      <c r="B27785" s="612"/>
      <c r="H27785" s="612"/>
    </row>
    <row r="27786">
      <c r="B27786" s="612"/>
      <c r="H27786" s="612"/>
    </row>
    <row r="27787">
      <c r="B27787" s="612"/>
      <c r="H27787" s="612"/>
    </row>
    <row r="27788">
      <c r="B27788" s="612"/>
      <c r="H27788" s="612"/>
    </row>
    <row r="27789">
      <c r="B27789" s="612"/>
      <c r="H27789" s="612"/>
    </row>
    <row r="27790">
      <c r="B27790" s="612"/>
      <c r="H27790" s="612"/>
    </row>
    <row r="27791">
      <c r="B27791" s="612"/>
      <c r="H27791" s="612"/>
    </row>
    <row r="27792">
      <c r="B27792" s="612"/>
      <c r="H27792" s="612"/>
    </row>
    <row r="27793">
      <c r="B27793" s="612"/>
      <c r="H27793" s="612"/>
    </row>
    <row r="27794">
      <c r="B27794" s="612"/>
      <c r="H27794" s="612"/>
    </row>
    <row r="27795">
      <c r="B27795" s="612"/>
      <c r="H27795" s="612"/>
    </row>
    <row r="27796">
      <c r="B27796" s="612"/>
      <c r="H27796" s="612"/>
    </row>
    <row r="27797">
      <c r="B27797" s="612"/>
      <c r="H27797" s="612"/>
    </row>
    <row r="27798">
      <c r="B27798" s="612"/>
      <c r="H27798" s="612"/>
    </row>
    <row r="27799">
      <c r="B27799" s="612"/>
      <c r="H27799" s="612"/>
    </row>
    <row r="27800">
      <c r="B27800" s="612"/>
      <c r="H27800" s="612"/>
    </row>
    <row r="27801">
      <c r="B27801" s="612"/>
      <c r="H27801" s="612"/>
    </row>
    <row r="27802">
      <c r="B27802" s="612"/>
      <c r="H27802" s="612"/>
    </row>
    <row r="27803">
      <c r="B27803" s="612"/>
      <c r="H27803" s="612"/>
    </row>
    <row r="27804">
      <c r="B27804" s="612"/>
      <c r="H27804" s="612"/>
    </row>
    <row r="27805">
      <c r="B27805" s="612"/>
      <c r="H27805" s="612"/>
    </row>
    <row r="27806">
      <c r="B27806" s="612"/>
      <c r="H27806" s="612"/>
    </row>
    <row r="27807">
      <c r="B27807" s="612"/>
      <c r="H27807" s="612"/>
    </row>
    <row r="27808">
      <c r="B27808" s="612"/>
      <c r="H27808" s="612"/>
    </row>
    <row r="27809">
      <c r="B27809" s="612"/>
      <c r="H27809" s="612"/>
    </row>
    <row r="27810">
      <c r="B27810" s="612"/>
      <c r="H27810" s="612"/>
    </row>
    <row r="27811">
      <c r="B27811" s="612"/>
      <c r="H27811" s="612"/>
    </row>
    <row r="27812">
      <c r="B27812" s="612"/>
      <c r="H27812" s="612"/>
    </row>
    <row r="27813">
      <c r="B27813" s="612"/>
      <c r="H27813" s="612"/>
    </row>
    <row r="27814">
      <c r="B27814" s="612"/>
      <c r="H27814" s="612"/>
    </row>
    <row r="27815">
      <c r="B27815" s="612"/>
      <c r="H27815" s="612"/>
    </row>
    <row r="27816">
      <c r="B27816" s="612"/>
      <c r="H27816" s="612"/>
    </row>
    <row r="27817">
      <c r="B27817" s="612"/>
      <c r="H27817" s="612"/>
    </row>
    <row r="27818">
      <c r="B27818" s="612"/>
      <c r="H27818" s="612"/>
    </row>
    <row r="27819">
      <c r="B27819" s="612"/>
      <c r="H27819" s="612"/>
    </row>
    <row r="27820">
      <c r="B27820" s="612"/>
      <c r="H27820" s="612"/>
    </row>
    <row r="27821">
      <c r="B27821" s="612"/>
      <c r="H27821" s="612"/>
    </row>
    <row r="27822">
      <c r="B27822" s="612"/>
      <c r="H27822" s="612"/>
    </row>
    <row r="27823">
      <c r="B27823" s="612"/>
      <c r="H27823" s="612"/>
    </row>
    <row r="27824">
      <c r="B27824" s="612"/>
      <c r="H27824" s="612"/>
    </row>
    <row r="27825">
      <c r="B27825" s="612"/>
      <c r="H27825" s="612"/>
    </row>
    <row r="27826">
      <c r="B27826" s="612"/>
      <c r="H27826" s="612"/>
    </row>
    <row r="27827">
      <c r="B27827" s="612"/>
      <c r="H27827" s="612"/>
    </row>
    <row r="27828">
      <c r="B27828" s="612"/>
      <c r="H27828" s="612"/>
    </row>
    <row r="27829">
      <c r="B27829" s="612"/>
      <c r="H27829" s="612"/>
    </row>
    <row r="27830">
      <c r="B27830" s="612"/>
      <c r="H27830" s="612"/>
    </row>
    <row r="27831">
      <c r="B27831" s="612"/>
      <c r="H27831" s="612"/>
    </row>
    <row r="27832">
      <c r="B27832" s="612"/>
      <c r="H27832" s="612"/>
    </row>
    <row r="27833">
      <c r="B27833" s="612"/>
      <c r="H27833" s="612"/>
    </row>
    <row r="27834">
      <c r="B27834" s="612"/>
      <c r="H27834" s="612"/>
    </row>
    <row r="27835">
      <c r="B27835" s="612"/>
      <c r="H27835" s="612"/>
    </row>
    <row r="27836">
      <c r="B27836" s="612"/>
      <c r="H27836" s="612"/>
    </row>
    <row r="27837">
      <c r="B27837" s="612"/>
      <c r="H27837" s="612"/>
    </row>
    <row r="27838">
      <c r="B27838" s="612"/>
      <c r="H27838" s="612"/>
    </row>
    <row r="27839">
      <c r="B27839" s="612"/>
      <c r="H27839" s="612"/>
    </row>
    <row r="27840">
      <c r="B27840" s="612"/>
      <c r="H27840" s="612"/>
    </row>
    <row r="27841">
      <c r="B27841" s="612"/>
      <c r="H27841" s="612"/>
    </row>
    <row r="27842">
      <c r="B27842" s="612"/>
      <c r="H27842" s="612"/>
    </row>
    <row r="27843">
      <c r="B27843" s="612"/>
      <c r="H27843" s="612"/>
    </row>
    <row r="27844">
      <c r="B27844" s="612"/>
      <c r="H27844" s="612"/>
    </row>
    <row r="27845">
      <c r="B27845" s="612"/>
      <c r="H27845" s="612"/>
    </row>
    <row r="27846">
      <c r="B27846" s="612"/>
      <c r="H27846" s="612"/>
    </row>
    <row r="27847">
      <c r="B27847" s="612"/>
      <c r="H27847" s="612"/>
    </row>
    <row r="27848">
      <c r="B27848" s="612"/>
      <c r="H27848" s="612"/>
    </row>
    <row r="27849">
      <c r="B27849" s="612"/>
      <c r="H27849" s="612"/>
    </row>
    <row r="27850">
      <c r="B27850" s="612"/>
      <c r="H27850" s="612"/>
    </row>
    <row r="27851">
      <c r="B27851" s="612"/>
      <c r="H27851" s="612"/>
    </row>
    <row r="27852">
      <c r="B27852" s="612"/>
      <c r="H27852" s="612"/>
    </row>
    <row r="27853">
      <c r="B27853" s="612"/>
      <c r="H27853" s="612"/>
    </row>
    <row r="27854">
      <c r="B27854" s="612"/>
      <c r="H27854" s="612"/>
    </row>
    <row r="27855">
      <c r="B27855" s="612"/>
      <c r="H27855" s="612"/>
    </row>
    <row r="27856">
      <c r="B27856" s="612"/>
      <c r="H27856" s="612"/>
    </row>
    <row r="27857">
      <c r="B27857" s="612"/>
      <c r="H27857" s="612"/>
    </row>
    <row r="27858">
      <c r="B27858" s="612"/>
      <c r="H27858" s="612"/>
    </row>
    <row r="27859">
      <c r="B27859" s="612"/>
      <c r="H27859" s="612"/>
    </row>
    <row r="27860">
      <c r="B27860" s="612"/>
      <c r="H27860" s="612"/>
    </row>
    <row r="27861">
      <c r="B27861" s="612"/>
      <c r="H27861" s="612"/>
    </row>
    <row r="27862">
      <c r="B27862" s="612"/>
      <c r="H27862" s="612"/>
    </row>
    <row r="27863">
      <c r="B27863" s="612"/>
      <c r="H27863" s="612"/>
    </row>
    <row r="27864">
      <c r="B27864" s="612"/>
      <c r="H27864" s="612"/>
    </row>
    <row r="27865">
      <c r="B27865" s="612"/>
      <c r="H27865" s="612"/>
    </row>
    <row r="27866">
      <c r="B27866" s="612"/>
      <c r="H27866" s="612"/>
    </row>
    <row r="27867">
      <c r="B27867" s="612"/>
      <c r="H27867" s="612"/>
    </row>
    <row r="27868">
      <c r="B27868" s="612"/>
      <c r="H27868" s="612"/>
    </row>
    <row r="27869">
      <c r="B27869" s="612"/>
      <c r="H27869" s="612"/>
    </row>
    <row r="27870">
      <c r="B27870" s="612"/>
      <c r="H27870" s="612"/>
    </row>
    <row r="27871">
      <c r="B27871" s="612"/>
      <c r="H27871" s="612"/>
    </row>
    <row r="27872">
      <c r="B27872" s="612"/>
      <c r="H27872" s="612"/>
    </row>
    <row r="27873">
      <c r="B27873" s="612"/>
      <c r="H27873" s="612"/>
    </row>
    <row r="27874">
      <c r="B27874" s="612"/>
      <c r="H27874" s="612"/>
    </row>
    <row r="27875">
      <c r="B27875" s="612"/>
      <c r="H27875" s="612"/>
    </row>
    <row r="27876">
      <c r="B27876" s="612"/>
      <c r="H27876" s="612"/>
    </row>
    <row r="27877">
      <c r="B27877" s="612"/>
      <c r="H27877" s="612"/>
    </row>
    <row r="27878">
      <c r="B27878" s="612"/>
      <c r="H27878" s="612"/>
    </row>
    <row r="27879">
      <c r="B27879" s="612"/>
      <c r="H27879" s="612"/>
    </row>
    <row r="27880">
      <c r="B27880" s="612"/>
      <c r="H27880" s="612"/>
    </row>
    <row r="27881">
      <c r="B27881" s="612"/>
      <c r="H27881" s="612"/>
    </row>
    <row r="27882">
      <c r="B27882" s="612"/>
      <c r="H27882" s="612"/>
    </row>
    <row r="27883">
      <c r="B27883" s="612"/>
      <c r="H27883" s="612"/>
    </row>
    <row r="27884">
      <c r="B27884" s="612"/>
      <c r="H27884" s="612"/>
    </row>
    <row r="27885">
      <c r="B27885" s="612"/>
      <c r="H27885" s="612"/>
    </row>
    <row r="27886">
      <c r="B27886" s="612"/>
      <c r="H27886" s="612"/>
    </row>
    <row r="27887">
      <c r="B27887" s="612"/>
      <c r="H27887" s="612"/>
    </row>
    <row r="27888">
      <c r="B27888" s="612"/>
      <c r="H27888" s="612"/>
    </row>
    <row r="27889">
      <c r="B27889" s="612"/>
      <c r="H27889" s="612"/>
    </row>
    <row r="27890">
      <c r="B27890" s="612"/>
      <c r="H27890" s="612"/>
    </row>
    <row r="27891">
      <c r="B27891" s="612"/>
      <c r="H27891" s="612"/>
    </row>
    <row r="27892">
      <c r="B27892" s="612"/>
      <c r="H27892" s="612"/>
    </row>
    <row r="27893">
      <c r="B27893" s="612"/>
      <c r="H27893" s="612"/>
    </row>
    <row r="27894">
      <c r="B27894" s="612"/>
      <c r="H27894" s="612"/>
    </row>
    <row r="27895">
      <c r="B27895" s="612"/>
      <c r="H27895" s="612"/>
    </row>
    <row r="27896">
      <c r="B27896" s="612"/>
      <c r="H27896" s="612"/>
    </row>
    <row r="27897">
      <c r="B27897" s="612"/>
      <c r="H27897" s="612"/>
    </row>
    <row r="27898">
      <c r="B27898" s="612"/>
      <c r="H27898" s="612"/>
    </row>
    <row r="27899">
      <c r="B27899" s="612"/>
      <c r="H27899" s="612"/>
    </row>
    <row r="27900">
      <c r="B27900" s="612"/>
      <c r="H27900" s="612"/>
    </row>
    <row r="27901">
      <c r="B27901" s="612"/>
      <c r="H27901" s="612"/>
    </row>
    <row r="27902">
      <c r="B27902" s="612"/>
      <c r="H27902" s="612"/>
    </row>
    <row r="27903">
      <c r="B27903" s="612"/>
      <c r="H27903" s="612"/>
    </row>
    <row r="27904">
      <c r="B27904" s="612"/>
      <c r="H27904" s="612"/>
    </row>
    <row r="27905">
      <c r="B27905" s="612"/>
      <c r="H27905" s="612"/>
    </row>
    <row r="27906">
      <c r="B27906" s="612"/>
      <c r="H27906" s="612"/>
    </row>
    <row r="27907">
      <c r="B27907" s="612"/>
      <c r="H27907" s="612"/>
    </row>
    <row r="27908">
      <c r="B27908" s="612"/>
      <c r="H27908" s="612"/>
    </row>
    <row r="27909">
      <c r="B27909" s="612"/>
      <c r="H27909" s="612"/>
    </row>
    <row r="27910">
      <c r="B27910" s="612"/>
      <c r="H27910" s="612"/>
    </row>
    <row r="27911">
      <c r="B27911" s="612"/>
      <c r="H27911" s="612"/>
    </row>
    <row r="27912">
      <c r="B27912" s="612"/>
      <c r="H27912" s="612"/>
    </row>
    <row r="27913">
      <c r="B27913" s="612"/>
      <c r="H27913" s="612"/>
    </row>
    <row r="27914">
      <c r="B27914" s="612"/>
      <c r="H27914" s="612"/>
    </row>
    <row r="27915">
      <c r="B27915" s="612"/>
      <c r="H27915" s="612"/>
    </row>
    <row r="27916">
      <c r="B27916" s="612"/>
      <c r="H27916" s="612"/>
    </row>
    <row r="27917">
      <c r="B27917" s="612"/>
      <c r="H27917" s="612"/>
    </row>
    <row r="27918">
      <c r="B27918" s="612"/>
      <c r="H27918" s="612"/>
    </row>
    <row r="27919">
      <c r="B27919" s="612"/>
      <c r="H27919" s="612"/>
    </row>
    <row r="27920">
      <c r="B27920" s="612"/>
      <c r="H27920" s="612"/>
    </row>
    <row r="27921">
      <c r="B27921" s="612"/>
      <c r="H27921" s="612"/>
    </row>
    <row r="27922">
      <c r="B27922" s="612"/>
      <c r="H27922" s="612"/>
    </row>
    <row r="27923">
      <c r="B27923" s="612"/>
      <c r="H27923" s="612"/>
    </row>
    <row r="27924">
      <c r="B27924" s="612"/>
      <c r="H27924" s="612"/>
    </row>
    <row r="27925">
      <c r="B27925" s="612"/>
      <c r="H27925" s="612"/>
    </row>
    <row r="27926">
      <c r="B27926" s="612"/>
      <c r="H27926" s="612"/>
    </row>
    <row r="27927">
      <c r="B27927" s="612"/>
      <c r="H27927" s="612"/>
    </row>
    <row r="27928">
      <c r="B27928" s="612"/>
      <c r="H27928" s="612"/>
    </row>
    <row r="27929">
      <c r="B27929" s="612"/>
      <c r="H27929" s="612"/>
    </row>
    <row r="27930">
      <c r="B27930" s="612"/>
      <c r="H27930" s="612"/>
    </row>
    <row r="27931">
      <c r="B27931" s="612"/>
      <c r="H27931" s="612"/>
    </row>
    <row r="27932">
      <c r="B27932" s="612"/>
      <c r="H27932" s="612"/>
    </row>
    <row r="27933">
      <c r="B27933" s="612"/>
      <c r="H27933" s="612"/>
    </row>
    <row r="27934">
      <c r="B27934" s="612"/>
      <c r="H27934" s="612"/>
    </row>
    <row r="27935">
      <c r="B27935" s="612"/>
      <c r="H27935" s="612"/>
    </row>
    <row r="27936">
      <c r="B27936" s="612"/>
      <c r="H27936" s="612"/>
    </row>
    <row r="27937">
      <c r="B27937" s="612"/>
      <c r="H27937" s="612"/>
    </row>
    <row r="27938">
      <c r="B27938" s="612"/>
      <c r="H27938" s="612"/>
    </row>
    <row r="27939">
      <c r="B27939" s="612"/>
      <c r="H27939" s="612"/>
    </row>
    <row r="27940">
      <c r="B27940" s="612"/>
      <c r="H27940" s="612"/>
    </row>
    <row r="27941">
      <c r="B27941" s="612"/>
      <c r="H27941" s="612"/>
    </row>
    <row r="27942">
      <c r="B27942" s="612"/>
      <c r="H27942" s="612"/>
    </row>
    <row r="27943">
      <c r="B27943" s="612"/>
      <c r="H27943" s="612"/>
    </row>
    <row r="27944">
      <c r="B27944" s="612"/>
      <c r="H27944" s="612"/>
    </row>
    <row r="27945">
      <c r="B27945" s="612"/>
      <c r="H27945" s="612"/>
    </row>
    <row r="27946">
      <c r="B27946" s="612"/>
      <c r="H27946" s="612"/>
    </row>
    <row r="27947">
      <c r="B27947" s="612"/>
      <c r="H27947" s="612"/>
    </row>
    <row r="27948">
      <c r="B27948" s="612"/>
      <c r="H27948" s="612"/>
    </row>
    <row r="27949">
      <c r="B27949" s="612"/>
      <c r="H27949" s="612"/>
    </row>
    <row r="27950">
      <c r="B27950" s="612"/>
      <c r="H27950" s="612"/>
    </row>
    <row r="27951">
      <c r="B27951" s="612"/>
      <c r="H27951" s="612"/>
    </row>
    <row r="27952">
      <c r="B27952" s="612"/>
      <c r="H27952" s="612"/>
    </row>
    <row r="27953">
      <c r="B27953" s="612"/>
      <c r="H27953" s="612"/>
    </row>
    <row r="27954">
      <c r="B27954" s="612"/>
      <c r="H27954" s="612"/>
    </row>
    <row r="27955">
      <c r="B27955" s="612"/>
      <c r="H27955" s="612"/>
    </row>
    <row r="27956">
      <c r="B27956" s="612"/>
      <c r="H27956" s="612"/>
    </row>
    <row r="27957">
      <c r="B27957" s="612"/>
      <c r="H27957" s="612"/>
    </row>
    <row r="27958">
      <c r="B27958" s="612"/>
      <c r="H27958" s="612"/>
    </row>
    <row r="27959">
      <c r="B27959" s="612"/>
      <c r="H27959" s="612"/>
    </row>
    <row r="27960">
      <c r="B27960" s="612"/>
      <c r="H27960" s="612"/>
    </row>
    <row r="27961">
      <c r="B27961" s="612"/>
      <c r="H27961" s="612"/>
    </row>
    <row r="27962">
      <c r="B27962" s="612"/>
      <c r="H27962" s="612"/>
    </row>
    <row r="27963">
      <c r="B27963" s="612"/>
      <c r="H27963" s="612"/>
    </row>
    <row r="27964">
      <c r="B27964" s="612"/>
      <c r="H27964" s="612"/>
    </row>
    <row r="27965">
      <c r="B27965" s="612"/>
      <c r="H27965" s="612"/>
    </row>
    <row r="27966">
      <c r="B27966" s="612"/>
      <c r="H27966" s="612"/>
    </row>
    <row r="27967">
      <c r="B27967" s="612"/>
      <c r="H27967" s="612"/>
    </row>
    <row r="27968">
      <c r="B27968" s="612"/>
      <c r="H27968" s="612"/>
    </row>
    <row r="27969">
      <c r="B27969" s="612"/>
      <c r="H27969" s="612"/>
    </row>
    <row r="27970">
      <c r="B27970" s="612"/>
      <c r="H27970" s="612"/>
    </row>
    <row r="27971">
      <c r="B27971" s="612"/>
      <c r="H27971" s="612"/>
    </row>
    <row r="27972">
      <c r="B27972" s="612"/>
      <c r="H27972" s="612"/>
    </row>
    <row r="27973">
      <c r="B27973" s="612"/>
      <c r="H27973" s="612"/>
    </row>
    <row r="27974">
      <c r="B27974" s="612"/>
      <c r="H27974" s="612"/>
    </row>
    <row r="27975">
      <c r="B27975" s="612"/>
      <c r="H27975" s="612"/>
    </row>
    <row r="27976">
      <c r="B27976" s="612"/>
      <c r="H27976" s="612"/>
    </row>
    <row r="27977">
      <c r="B27977" s="612"/>
      <c r="H27977" s="612"/>
    </row>
    <row r="27978">
      <c r="B27978" s="612"/>
      <c r="H27978" s="612"/>
    </row>
    <row r="27979">
      <c r="B27979" s="612"/>
      <c r="H27979" s="612"/>
    </row>
    <row r="27980">
      <c r="B27980" s="612"/>
      <c r="H27980" s="612"/>
    </row>
    <row r="27981">
      <c r="B27981" s="612"/>
      <c r="H27981" s="612"/>
    </row>
    <row r="27982">
      <c r="B27982" s="612"/>
      <c r="H27982" s="612"/>
    </row>
    <row r="27983">
      <c r="B27983" s="612"/>
      <c r="H27983" s="612"/>
    </row>
    <row r="27984">
      <c r="B27984" s="612"/>
      <c r="H27984" s="612"/>
    </row>
    <row r="27985">
      <c r="B27985" s="612"/>
      <c r="H27985" s="612"/>
    </row>
    <row r="27986">
      <c r="B27986" s="612"/>
      <c r="H27986" s="612"/>
    </row>
    <row r="27987">
      <c r="B27987" s="612"/>
      <c r="H27987" s="612"/>
    </row>
    <row r="27988">
      <c r="B27988" s="612"/>
      <c r="H27988" s="612"/>
    </row>
    <row r="27989">
      <c r="B27989" s="612"/>
      <c r="H27989" s="612"/>
    </row>
    <row r="27990">
      <c r="B27990" s="612"/>
      <c r="H27990" s="612"/>
    </row>
    <row r="27991">
      <c r="B27991" s="612"/>
      <c r="H27991" s="612"/>
    </row>
    <row r="27992">
      <c r="B27992" s="612"/>
      <c r="H27992" s="612"/>
    </row>
    <row r="27993">
      <c r="B27993" s="612"/>
      <c r="H27993" s="612"/>
    </row>
    <row r="27994">
      <c r="B27994" s="612"/>
      <c r="H27994" s="612"/>
    </row>
    <row r="27995">
      <c r="B27995" s="612"/>
      <c r="H27995" s="612"/>
    </row>
    <row r="27996">
      <c r="B27996" s="612"/>
      <c r="H27996" s="612"/>
    </row>
    <row r="27997">
      <c r="B27997" s="612"/>
      <c r="H27997" s="612"/>
    </row>
    <row r="27998">
      <c r="B27998" s="612"/>
      <c r="H27998" s="612"/>
    </row>
    <row r="27999">
      <c r="B27999" s="612"/>
      <c r="H27999" s="612"/>
    </row>
    <row r="28000">
      <c r="B28000" s="612"/>
      <c r="H28000" s="612"/>
    </row>
    <row r="28001">
      <c r="B28001" s="612"/>
      <c r="H28001" s="612"/>
    </row>
    <row r="28002">
      <c r="B28002" s="612"/>
      <c r="H28002" s="612"/>
    </row>
    <row r="28003">
      <c r="B28003" s="612"/>
      <c r="H28003" s="612"/>
    </row>
    <row r="28004">
      <c r="B28004" s="612"/>
      <c r="H28004" s="612"/>
    </row>
    <row r="28005">
      <c r="B28005" s="612"/>
      <c r="H28005" s="612"/>
    </row>
    <row r="28006">
      <c r="B28006" s="612"/>
      <c r="H28006" s="612"/>
    </row>
    <row r="28007">
      <c r="B28007" s="612"/>
      <c r="H28007" s="612"/>
    </row>
    <row r="28008">
      <c r="B28008" s="612"/>
      <c r="H28008" s="612"/>
    </row>
    <row r="28009">
      <c r="B28009" s="612"/>
      <c r="H28009" s="612"/>
    </row>
    <row r="28010">
      <c r="B28010" s="612"/>
      <c r="H28010" s="612"/>
    </row>
    <row r="28011">
      <c r="B28011" s="612"/>
      <c r="H28011" s="612"/>
    </row>
    <row r="28012">
      <c r="B28012" s="612"/>
      <c r="H28012" s="612"/>
    </row>
    <row r="28013">
      <c r="B28013" s="612"/>
      <c r="H28013" s="612"/>
    </row>
    <row r="28014">
      <c r="B28014" s="612"/>
      <c r="H28014" s="612"/>
    </row>
    <row r="28015">
      <c r="B28015" s="612"/>
      <c r="H28015" s="612"/>
    </row>
    <row r="28016">
      <c r="B28016" s="612"/>
      <c r="H28016" s="612"/>
    </row>
    <row r="28017">
      <c r="B28017" s="612"/>
      <c r="H28017" s="612"/>
    </row>
    <row r="28018">
      <c r="B28018" s="612"/>
      <c r="H28018" s="612"/>
    </row>
    <row r="28019">
      <c r="B28019" s="612"/>
      <c r="H28019" s="612"/>
    </row>
    <row r="28020">
      <c r="B28020" s="612"/>
      <c r="H28020" s="612"/>
    </row>
    <row r="28021">
      <c r="B28021" s="612"/>
      <c r="H28021" s="612"/>
    </row>
    <row r="28022">
      <c r="B28022" s="612"/>
      <c r="H28022" s="612"/>
    </row>
    <row r="28023">
      <c r="B28023" s="612"/>
      <c r="H28023" s="612"/>
    </row>
    <row r="28024">
      <c r="B28024" s="612"/>
      <c r="H28024" s="612"/>
    </row>
    <row r="28025">
      <c r="B28025" s="612"/>
      <c r="H28025" s="612"/>
    </row>
    <row r="28026">
      <c r="B28026" s="612"/>
      <c r="H28026" s="612"/>
    </row>
    <row r="28027">
      <c r="B28027" s="612"/>
      <c r="H28027" s="612"/>
    </row>
    <row r="28028">
      <c r="B28028" s="612"/>
      <c r="H28028" s="612"/>
    </row>
    <row r="28029">
      <c r="B28029" s="612"/>
      <c r="H28029" s="612"/>
    </row>
    <row r="28030">
      <c r="B28030" s="612"/>
      <c r="H28030" s="612"/>
    </row>
    <row r="28031">
      <c r="B28031" s="612"/>
      <c r="H28031" s="612"/>
    </row>
    <row r="28032">
      <c r="B28032" s="612"/>
      <c r="H28032" s="612"/>
    </row>
    <row r="28033">
      <c r="B28033" s="612"/>
      <c r="H28033" s="612"/>
    </row>
    <row r="28034">
      <c r="B28034" s="612"/>
      <c r="H28034" s="612"/>
    </row>
    <row r="28035">
      <c r="B28035" s="612"/>
      <c r="H28035" s="612"/>
    </row>
    <row r="28036">
      <c r="B28036" s="612"/>
      <c r="H28036" s="612"/>
    </row>
    <row r="28037">
      <c r="B28037" s="612"/>
      <c r="H28037" s="612"/>
    </row>
    <row r="28038">
      <c r="B28038" s="612"/>
      <c r="H28038" s="612"/>
    </row>
    <row r="28039">
      <c r="B28039" s="612"/>
      <c r="H28039" s="612"/>
    </row>
    <row r="28040">
      <c r="B28040" s="612"/>
      <c r="H28040" s="612"/>
    </row>
    <row r="28041">
      <c r="B28041" s="612"/>
      <c r="H28041" s="612"/>
    </row>
    <row r="28042">
      <c r="B28042" s="612"/>
      <c r="H28042" s="612"/>
    </row>
    <row r="28043">
      <c r="B28043" s="612"/>
      <c r="H28043" s="612"/>
    </row>
    <row r="28044">
      <c r="B28044" s="612"/>
      <c r="H28044" s="612"/>
    </row>
    <row r="28045">
      <c r="B28045" s="612"/>
      <c r="H28045" s="612"/>
    </row>
    <row r="28046">
      <c r="B28046" s="612"/>
      <c r="H28046" s="612"/>
    </row>
    <row r="28047">
      <c r="B28047" s="612"/>
      <c r="H28047" s="612"/>
    </row>
    <row r="28048">
      <c r="B28048" s="612"/>
      <c r="H28048" s="612"/>
    </row>
    <row r="28049">
      <c r="B28049" s="612"/>
      <c r="H28049" s="612"/>
    </row>
    <row r="28050">
      <c r="B28050" s="612"/>
      <c r="H28050" s="612"/>
    </row>
    <row r="28051">
      <c r="B28051" s="612"/>
      <c r="H28051" s="612"/>
    </row>
    <row r="28052">
      <c r="B28052" s="612"/>
      <c r="H28052" s="612"/>
    </row>
    <row r="28053">
      <c r="B28053" s="612"/>
      <c r="H28053" s="612"/>
    </row>
    <row r="28054">
      <c r="B28054" s="612"/>
      <c r="H28054" s="612"/>
    </row>
    <row r="28055">
      <c r="B28055" s="612"/>
      <c r="H28055" s="612"/>
    </row>
    <row r="28056">
      <c r="B28056" s="612"/>
      <c r="H28056" s="612"/>
    </row>
    <row r="28057">
      <c r="B28057" s="612"/>
      <c r="H28057" s="612"/>
    </row>
    <row r="28058">
      <c r="B28058" s="612"/>
      <c r="H28058" s="612"/>
    </row>
    <row r="28059">
      <c r="B28059" s="612"/>
      <c r="H28059" s="612"/>
    </row>
    <row r="28060">
      <c r="B28060" s="612"/>
      <c r="H28060" s="612"/>
    </row>
    <row r="28061">
      <c r="B28061" s="612"/>
      <c r="H28061" s="612"/>
    </row>
    <row r="28062">
      <c r="B28062" s="612"/>
      <c r="H28062" s="612"/>
    </row>
    <row r="28063">
      <c r="B28063" s="612"/>
      <c r="H28063" s="612"/>
    </row>
    <row r="28064">
      <c r="B28064" s="612"/>
      <c r="H28064" s="612"/>
    </row>
    <row r="28065">
      <c r="B28065" s="612"/>
      <c r="H28065" s="612"/>
    </row>
    <row r="28066">
      <c r="B28066" s="612"/>
      <c r="H28066" s="612"/>
    </row>
    <row r="28067">
      <c r="B28067" s="612"/>
      <c r="H28067" s="612"/>
    </row>
    <row r="28068">
      <c r="B28068" s="612"/>
      <c r="H28068" s="612"/>
    </row>
    <row r="28069">
      <c r="B28069" s="612"/>
      <c r="H28069" s="612"/>
    </row>
    <row r="28070">
      <c r="B28070" s="612"/>
      <c r="H28070" s="612"/>
    </row>
    <row r="28071">
      <c r="B28071" s="612"/>
      <c r="H28071" s="612"/>
    </row>
    <row r="28072">
      <c r="B28072" s="612"/>
      <c r="H28072" s="612"/>
    </row>
    <row r="28073">
      <c r="B28073" s="612"/>
      <c r="H28073" s="612"/>
    </row>
    <row r="28074">
      <c r="B28074" s="612"/>
      <c r="H28074" s="612"/>
    </row>
    <row r="28075">
      <c r="B28075" s="612"/>
      <c r="H28075" s="612"/>
    </row>
    <row r="28076">
      <c r="B28076" s="612"/>
      <c r="H28076" s="612"/>
    </row>
    <row r="28077">
      <c r="B28077" s="612"/>
      <c r="H28077" s="612"/>
    </row>
    <row r="28078">
      <c r="B28078" s="612"/>
      <c r="H28078" s="612"/>
    </row>
    <row r="28079">
      <c r="B28079" s="612"/>
      <c r="H28079" s="612"/>
    </row>
    <row r="28080">
      <c r="B28080" s="612"/>
      <c r="H28080" s="612"/>
    </row>
    <row r="28081">
      <c r="B28081" s="612"/>
      <c r="H28081" s="612"/>
    </row>
    <row r="28082">
      <c r="B28082" s="612"/>
      <c r="H28082" s="612"/>
    </row>
    <row r="28083">
      <c r="B28083" s="612"/>
      <c r="H28083" s="612"/>
    </row>
    <row r="28084">
      <c r="B28084" s="612"/>
      <c r="H28084" s="612"/>
    </row>
    <row r="28085">
      <c r="B28085" s="612"/>
      <c r="H28085" s="612"/>
    </row>
    <row r="28086">
      <c r="B28086" s="612"/>
      <c r="H28086" s="612"/>
    </row>
    <row r="28087">
      <c r="B28087" s="612"/>
      <c r="H28087" s="612"/>
    </row>
    <row r="28088">
      <c r="B28088" s="612"/>
      <c r="H28088" s="612"/>
    </row>
    <row r="28089">
      <c r="B28089" s="612"/>
      <c r="H28089" s="612"/>
    </row>
    <row r="28090">
      <c r="B28090" s="612"/>
      <c r="H28090" s="612"/>
    </row>
    <row r="28091">
      <c r="B28091" s="612"/>
      <c r="H28091" s="612"/>
    </row>
    <row r="28092">
      <c r="B28092" s="612"/>
      <c r="H28092" s="612"/>
    </row>
    <row r="28093">
      <c r="B28093" s="612"/>
      <c r="H28093" s="612"/>
    </row>
    <row r="28094">
      <c r="B28094" s="612"/>
      <c r="H28094" s="612"/>
    </row>
    <row r="28095">
      <c r="B28095" s="612"/>
      <c r="H28095" s="612"/>
    </row>
    <row r="28096">
      <c r="B28096" s="612"/>
      <c r="H28096" s="612"/>
    </row>
    <row r="28097">
      <c r="B28097" s="612"/>
      <c r="H28097" s="612"/>
    </row>
    <row r="28098">
      <c r="B28098" s="612"/>
      <c r="H28098" s="612"/>
    </row>
    <row r="28099">
      <c r="B28099" s="612"/>
      <c r="H28099" s="612"/>
    </row>
    <row r="28100">
      <c r="B28100" s="612"/>
      <c r="H28100" s="612"/>
    </row>
    <row r="28101">
      <c r="B28101" s="612"/>
      <c r="H28101" s="612"/>
    </row>
    <row r="28102">
      <c r="B28102" s="612"/>
      <c r="H28102" s="612"/>
    </row>
    <row r="28103">
      <c r="B28103" s="612"/>
      <c r="H28103" s="612"/>
    </row>
    <row r="28104">
      <c r="B28104" s="612"/>
      <c r="H28104" s="612"/>
    </row>
    <row r="28105">
      <c r="B28105" s="612"/>
      <c r="H28105" s="612"/>
    </row>
    <row r="28106">
      <c r="B28106" s="612"/>
      <c r="H28106" s="612"/>
    </row>
    <row r="28107">
      <c r="B28107" s="612"/>
      <c r="H28107" s="612"/>
    </row>
    <row r="28108">
      <c r="B28108" s="612"/>
      <c r="H28108" s="612"/>
    </row>
    <row r="28109">
      <c r="B28109" s="612"/>
      <c r="H28109" s="612"/>
    </row>
    <row r="28110">
      <c r="B28110" s="612"/>
      <c r="H28110" s="612"/>
    </row>
    <row r="28111">
      <c r="B28111" s="612"/>
      <c r="H28111" s="612"/>
    </row>
    <row r="28112">
      <c r="B28112" s="612"/>
      <c r="H28112" s="612"/>
    </row>
    <row r="28113">
      <c r="B28113" s="612"/>
      <c r="H28113" s="612"/>
    </row>
    <row r="28114">
      <c r="B28114" s="612"/>
      <c r="H28114" s="612"/>
    </row>
    <row r="28115">
      <c r="B28115" s="612"/>
      <c r="H28115" s="612"/>
    </row>
    <row r="28116">
      <c r="B28116" s="612"/>
      <c r="H28116" s="612"/>
    </row>
    <row r="28117">
      <c r="B28117" s="612"/>
      <c r="H28117" s="612"/>
    </row>
    <row r="28118">
      <c r="B28118" s="612"/>
      <c r="H28118" s="612"/>
    </row>
    <row r="28119">
      <c r="B28119" s="612"/>
      <c r="H28119" s="612"/>
    </row>
    <row r="28120">
      <c r="B28120" s="612"/>
      <c r="H28120" s="612"/>
    </row>
    <row r="28121">
      <c r="B28121" s="612"/>
      <c r="H28121" s="612"/>
    </row>
    <row r="28122">
      <c r="B28122" s="612"/>
      <c r="H28122" s="612"/>
    </row>
    <row r="28123">
      <c r="B28123" s="612"/>
      <c r="H28123" s="612"/>
    </row>
    <row r="28124">
      <c r="B28124" s="612"/>
      <c r="H28124" s="612"/>
    </row>
    <row r="28125">
      <c r="B28125" s="612"/>
      <c r="H28125" s="612"/>
    </row>
    <row r="28126">
      <c r="B28126" s="612"/>
      <c r="H28126" s="612"/>
    </row>
    <row r="28127">
      <c r="B28127" s="612"/>
      <c r="H28127" s="612"/>
    </row>
    <row r="28128">
      <c r="B28128" s="612"/>
      <c r="H28128" s="612"/>
    </row>
    <row r="28129">
      <c r="B28129" s="612"/>
      <c r="H28129" s="612"/>
    </row>
    <row r="28130">
      <c r="B28130" s="612"/>
      <c r="H28130" s="612"/>
    </row>
    <row r="28131">
      <c r="B28131" s="612"/>
      <c r="H28131" s="612"/>
    </row>
    <row r="28132">
      <c r="B28132" s="612"/>
      <c r="H28132" s="612"/>
    </row>
    <row r="28133">
      <c r="B28133" s="612"/>
      <c r="H28133" s="612"/>
    </row>
    <row r="28134">
      <c r="B28134" s="612"/>
      <c r="H28134" s="612"/>
    </row>
    <row r="28135">
      <c r="B28135" s="612"/>
      <c r="H28135" s="612"/>
    </row>
    <row r="28136">
      <c r="B28136" s="612"/>
      <c r="H28136" s="612"/>
    </row>
    <row r="28137">
      <c r="B28137" s="612"/>
      <c r="H28137" s="612"/>
    </row>
    <row r="28138">
      <c r="B28138" s="612"/>
      <c r="H28138" s="612"/>
    </row>
    <row r="28139">
      <c r="B28139" s="612"/>
      <c r="H28139" s="612"/>
    </row>
    <row r="28140">
      <c r="B28140" s="612"/>
      <c r="H28140" s="612"/>
    </row>
    <row r="28141">
      <c r="B28141" s="612"/>
      <c r="H28141" s="612"/>
    </row>
    <row r="28142">
      <c r="B28142" s="612"/>
      <c r="H28142" s="612"/>
    </row>
    <row r="28143">
      <c r="B28143" s="612"/>
      <c r="H28143" s="612"/>
    </row>
    <row r="28144">
      <c r="B28144" s="612"/>
      <c r="H28144" s="612"/>
    </row>
    <row r="28145">
      <c r="B28145" s="612"/>
      <c r="H28145" s="612"/>
    </row>
    <row r="28146">
      <c r="B28146" s="612"/>
      <c r="H28146" s="612"/>
    </row>
    <row r="28147">
      <c r="B28147" s="612"/>
      <c r="H28147" s="612"/>
    </row>
    <row r="28148">
      <c r="B28148" s="612"/>
      <c r="H28148" s="612"/>
    </row>
    <row r="28149">
      <c r="B28149" s="612"/>
      <c r="H28149" s="612"/>
    </row>
    <row r="28150">
      <c r="B28150" s="612"/>
      <c r="H28150" s="612"/>
    </row>
    <row r="28151">
      <c r="B28151" s="612"/>
      <c r="H28151" s="612"/>
    </row>
    <row r="28152">
      <c r="B28152" s="612"/>
      <c r="H28152" s="612"/>
    </row>
    <row r="28153">
      <c r="B28153" s="612"/>
      <c r="H28153" s="612"/>
    </row>
    <row r="28154">
      <c r="B28154" s="612"/>
      <c r="H28154" s="612"/>
    </row>
    <row r="28155">
      <c r="B28155" s="612"/>
      <c r="H28155" s="612"/>
    </row>
    <row r="28156">
      <c r="B28156" s="612"/>
      <c r="H28156" s="612"/>
    </row>
    <row r="28157">
      <c r="B28157" s="612"/>
      <c r="H28157" s="612"/>
    </row>
    <row r="28158">
      <c r="B28158" s="612"/>
      <c r="H28158" s="612"/>
    </row>
    <row r="28159">
      <c r="B28159" s="612"/>
      <c r="H28159" s="612"/>
    </row>
    <row r="28160">
      <c r="B28160" s="612"/>
      <c r="H28160" s="612"/>
    </row>
    <row r="28161">
      <c r="B28161" s="612"/>
      <c r="H28161" s="612"/>
    </row>
    <row r="28162">
      <c r="B28162" s="612"/>
      <c r="H28162" s="612"/>
    </row>
    <row r="28163">
      <c r="B28163" s="612"/>
      <c r="H28163" s="612"/>
    </row>
    <row r="28164">
      <c r="B28164" s="612"/>
      <c r="H28164" s="612"/>
    </row>
    <row r="28165">
      <c r="B28165" s="612"/>
      <c r="H28165" s="612"/>
    </row>
    <row r="28166">
      <c r="B28166" s="612"/>
      <c r="H28166" s="612"/>
    </row>
    <row r="28167">
      <c r="B28167" s="612"/>
      <c r="H28167" s="612"/>
    </row>
    <row r="28168">
      <c r="B28168" s="612"/>
      <c r="H28168" s="612"/>
    </row>
    <row r="28169">
      <c r="B28169" s="612"/>
      <c r="H28169" s="612"/>
    </row>
    <row r="28170">
      <c r="B28170" s="612"/>
      <c r="H28170" s="612"/>
    </row>
    <row r="28171">
      <c r="B28171" s="612"/>
      <c r="H28171" s="612"/>
    </row>
    <row r="28172">
      <c r="B28172" s="612"/>
      <c r="H28172" s="612"/>
    </row>
    <row r="28173">
      <c r="B28173" s="612"/>
      <c r="H28173" s="612"/>
    </row>
    <row r="28174">
      <c r="B28174" s="612"/>
      <c r="H28174" s="612"/>
    </row>
    <row r="28175">
      <c r="B28175" s="612"/>
      <c r="H28175" s="612"/>
    </row>
    <row r="28176">
      <c r="B28176" s="612"/>
      <c r="H28176" s="612"/>
    </row>
    <row r="28177">
      <c r="B28177" s="612"/>
      <c r="H28177" s="612"/>
    </row>
    <row r="28178">
      <c r="B28178" s="612"/>
      <c r="H28178" s="612"/>
    </row>
    <row r="28179">
      <c r="B28179" s="612"/>
      <c r="H28179" s="612"/>
    </row>
    <row r="28180">
      <c r="B28180" s="612"/>
      <c r="H28180" s="612"/>
    </row>
    <row r="28181">
      <c r="B28181" s="612"/>
      <c r="H28181" s="612"/>
    </row>
    <row r="28182">
      <c r="B28182" s="612"/>
      <c r="H28182" s="612"/>
    </row>
    <row r="28183">
      <c r="B28183" s="612"/>
      <c r="H28183" s="612"/>
    </row>
    <row r="28184">
      <c r="B28184" s="612"/>
      <c r="H28184" s="612"/>
    </row>
    <row r="28185">
      <c r="B28185" s="612"/>
      <c r="H28185" s="612"/>
    </row>
    <row r="28186">
      <c r="B28186" s="612"/>
      <c r="H28186" s="612"/>
    </row>
    <row r="28187">
      <c r="B28187" s="612"/>
      <c r="H28187" s="612"/>
    </row>
    <row r="28188">
      <c r="B28188" s="612"/>
      <c r="H28188" s="612"/>
    </row>
    <row r="28189">
      <c r="B28189" s="612"/>
      <c r="H28189" s="612"/>
    </row>
    <row r="28190">
      <c r="B28190" s="612"/>
      <c r="H28190" s="612"/>
    </row>
    <row r="28191">
      <c r="B28191" s="612"/>
      <c r="H28191" s="612"/>
    </row>
    <row r="28192">
      <c r="B28192" s="612"/>
      <c r="H28192" s="612"/>
    </row>
    <row r="28193">
      <c r="B28193" s="612"/>
      <c r="H28193" s="612"/>
    </row>
    <row r="28194">
      <c r="B28194" s="612"/>
      <c r="H28194" s="612"/>
    </row>
    <row r="28195">
      <c r="B28195" s="612"/>
      <c r="H28195" s="612"/>
    </row>
    <row r="28196">
      <c r="B28196" s="612"/>
      <c r="H28196" s="612"/>
    </row>
    <row r="28197">
      <c r="B28197" s="612"/>
      <c r="H28197" s="612"/>
    </row>
    <row r="28198">
      <c r="B28198" s="612"/>
      <c r="H28198" s="612"/>
    </row>
    <row r="28199">
      <c r="B28199" s="612"/>
      <c r="H28199" s="612"/>
    </row>
    <row r="28200">
      <c r="B28200" s="612"/>
      <c r="H28200" s="612"/>
    </row>
    <row r="28201">
      <c r="B28201" s="612"/>
      <c r="H28201" s="612"/>
    </row>
    <row r="28202">
      <c r="B28202" s="612"/>
      <c r="H28202" s="612"/>
    </row>
    <row r="28203">
      <c r="B28203" s="612"/>
      <c r="H28203" s="612"/>
    </row>
    <row r="28204">
      <c r="B28204" s="612"/>
      <c r="H28204" s="612"/>
    </row>
    <row r="28205">
      <c r="B28205" s="612"/>
      <c r="H28205" s="612"/>
    </row>
    <row r="28206">
      <c r="B28206" s="612"/>
      <c r="H28206" s="612"/>
    </row>
    <row r="28207">
      <c r="B28207" s="612"/>
      <c r="H28207" s="612"/>
    </row>
    <row r="28208">
      <c r="B28208" s="612"/>
      <c r="H28208" s="612"/>
    </row>
    <row r="28209">
      <c r="B28209" s="612"/>
      <c r="H28209" s="612"/>
    </row>
    <row r="28210">
      <c r="B28210" s="612"/>
      <c r="H28210" s="612"/>
    </row>
    <row r="28211">
      <c r="B28211" s="612"/>
      <c r="H28211" s="612"/>
    </row>
    <row r="28212">
      <c r="B28212" s="612"/>
      <c r="H28212" s="612"/>
    </row>
    <row r="28213">
      <c r="B28213" s="612"/>
      <c r="H28213" s="612"/>
    </row>
    <row r="28214">
      <c r="B28214" s="612"/>
      <c r="H28214" s="612"/>
    </row>
    <row r="28215">
      <c r="B28215" s="612"/>
      <c r="H28215" s="612"/>
    </row>
    <row r="28216">
      <c r="B28216" s="612"/>
      <c r="H28216" s="612"/>
    </row>
    <row r="28217">
      <c r="B28217" s="612"/>
      <c r="H28217" s="612"/>
    </row>
    <row r="28218">
      <c r="B28218" s="612"/>
      <c r="H28218" s="612"/>
    </row>
    <row r="28219">
      <c r="B28219" s="612"/>
      <c r="H28219" s="612"/>
    </row>
    <row r="28220">
      <c r="B28220" s="612"/>
      <c r="H28220" s="612"/>
    </row>
    <row r="28221">
      <c r="B28221" s="612"/>
      <c r="H28221" s="612"/>
    </row>
    <row r="28222">
      <c r="B28222" s="612"/>
      <c r="H28222" s="612"/>
    </row>
    <row r="28223">
      <c r="B28223" s="612"/>
      <c r="H28223" s="612"/>
    </row>
    <row r="28224">
      <c r="B28224" s="612"/>
      <c r="H28224" s="612"/>
    </row>
    <row r="28225">
      <c r="B28225" s="612"/>
      <c r="H28225" s="612"/>
    </row>
    <row r="28226">
      <c r="B28226" s="612"/>
      <c r="H28226" s="612"/>
    </row>
    <row r="28227">
      <c r="B28227" s="612"/>
      <c r="H28227" s="612"/>
    </row>
    <row r="28228">
      <c r="B28228" s="612"/>
      <c r="H28228" s="612"/>
    </row>
    <row r="28229">
      <c r="B28229" s="612"/>
      <c r="H28229" s="612"/>
    </row>
    <row r="28230">
      <c r="B28230" s="612"/>
      <c r="H28230" s="612"/>
    </row>
    <row r="28231">
      <c r="B28231" s="612"/>
      <c r="H28231" s="612"/>
    </row>
    <row r="28232">
      <c r="B28232" s="612"/>
      <c r="H28232" s="612"/>
    </row>
    <row r="28233">
      <c r="B28233" s="612"/>
      <c r="H28233" s="612"/>
    </row>
    <row r="28234">
      <c r="B28234" s="612"/>
      <c r="H28234" s="612"/>
    </row>
    <row r="28235">
      <c r="B28235" s="612"/>
      <c r="H28235" s="612"/>
    </row>
    <row r="28236">
      <c r="B28236" s="612"/>
      <c r="H28236" s="612"/>
    </row>
    <row r="28237">
      <c r="B28237" s="612"/>
      <c r="H28237" s="612"/>
    </row>
    <row r="28238">
      <c r="B28238" s="612"/>
      <c r="H28238" s="612"/>
    </row>
    <row r="28239">
      <c r="B28239" s="612"/>
      <c r="H28239" s="612"/>
    </row>
    <row r="28240">
      <c r="B28240" s="612"/>
      <c r="H28240" s="612"/>
    </row>
    <row r="28241">
      <c r="B28241" s="612"/>
      <c r="H28241" s="612"/>
    </row>
    <row r="28242">
      <c r="B28242" s="612"/>
      <c r="H28242" s="612"/>
    </row>
    <row r="28243">
      <c r="B28243" s="612"/>
      <c r="H28243" s="612"/>
    </row>
    <row r="28244">
      <c r="B28244" s="612"/>
      <c r="H28244" s="612"/>
    </row>
    <row r="28245">
      <c r="B28245" s="612"/>
      <c r="H28245" s="612"/>
    </row>
    <row r="28246">
      <c r="B28246" s="612"/>
      <c r="H28246" s="612"/>
    </row>
    <row r="28247">
      <c r="B28247" s="612"/>
      <c r="H28247" s="612"/>
    </row>
    <row r="28248">
      <c r="B28248" s="612"/>
      <c r="H28248" s="612"/>
    </row>
    <row r="28249">
      <c r="B28249" s="612"/>
      <c r="H28249" s="612"/>
    </row>
    <row r="28250">
      <c r="B28250" s="612"/>
      <c r="H28250" s="612"/>
    </row>
    <row r="28251">
      <c r="B28251" s="612"/>
      <c r="H28251" s="612"/>
    </row>
    <row r="28252">
      <c r="B28252" s="612"/>
      <c r="H28252" s="612"/>
    </row>
    <row r="28253">
      <c r="B28253" s="612"/>
      <c r="H28253" s="612"/>
    </row>
    <row r="28254">
      <c r="B28254" s="612"/>
      <c r="H28254" s="612"/>
    </row>
    <row r="28255">
      <c r="B28255" s="612"/>
      <c r="H28255" s="612"/>
    </row>
    <row r="28256">
      <c r="B28256" s="612"/>
      <c r="H28256" s="612"/>
    </row>
    <row r="28257">
      <c r="B28257" s="612"/>
      <c r="H28257" s="612"/>
    </row>
    <row r="28258">
      <c r="B28258" s="612"/>
      <c r="H28258" s="612"/>
    </row>
    <row r="28259">
      <c r="B28259" s="612"/>
      <c r="H28259" s="612"/>
    </row>
    <row r="28260">
      <c r="B28260" s="612"/>
      <c r="H28260" s="612"/>
    </row>
    <row r="28261">
      <c r="B28261" s="612"/>
      <c r="H28261" s="612"/>
    </row>
    <row r="28262">
      <c r="B28262" s="612"/>
      <c r="H28262" s="612"/>
    </row>
    <row r="28263">
      <c r="B28263" s="612"/>
      <c r="H28263" s="612"/>
    </row>
    <row r="28264">
      <c r="B28264" s="612"/>
      <c r="H28264" s="612"/>
    </row>
    <row r="28265">
      <c r="B28265" s="612"/>
      <c r="H28265" s="612"/>
    </row>
    <row r="28266">
      <c r="B28266" s="612"/>
      <c r="H28266" s="612"/>
    </row>
    <row r="28267">
      <c r="B28267" s="612"/>
      <c r="H28267" s="612"/>
    </row>
    <row r="28268">
      <c r="B28268" s="612"/>
      <c r="H28268" s="612"/>
    </row>
    <row r="28269">
      <c r="B28269" s="612"/>
      <c r="H28269" s="612"/>
    </row>
    <row r="28270">
      <c r="B28270" s="612"/>
      <c r="H28270" s="612"/>
    </row>
    <row r="28271">
      <c r="B28271" s="612"/>
      <c r="H28271" s="612"/>
    </row>
    <row r="28272">
      <c r="B28272" s="612"/>
      <c r="H28272" s="612"/>
    </row>
    <row r="28273">
      <c r="B28273" s="612"/>
      <c r="H28273" s="612"/>
    </row>
    <row r="28274">
      <c r="B28274" s="612"/>
      <c r="H28274" s="612"/>
    </row>
    <row r="28275">
      <c r="B28275" s="612"/>
      <c r="H28275" s="612"/>
    </row>
    <row r="28276">
      <c r="B28276" s="612"/>
      <c r="H28276" s="612"/>
    </row>
    <row r="28277">
      <c r="B28277" s="612"/>
      <c r="H28277" s="612"/>
    </row>
    <row r="28278">
      <c r="B28278" s="612"/>
      <c r="H28278" s="612"/>
    </row>
    <row r="28279">
      <c r="B28279" s="612"/>
      <c r="H28279" s="612"/>
    </row>
    <row r="28280">
      <c r="B28280" s="612"/>
      <c r="H28280" s="612"/>
    </row>
    <row r="28281">
      <c r="B28281" s="612"/>
      <c r="H28281" s="612"/>
    </row>
    <row r="28282">
      <c r="B28282" s="612"/>
      <c r="H28282" s="612"/>
    </row>
    <row r="28283">
      <c r="B28283" s="612"/>
      <c r="H28283" s="612"/>
    </row>
    <row r="28284">
      <c r="B28284" s="612"/>
      <c r="H28284" s="612"/>
    </row>
    <row r="28285">
      <c r="B28285" s="612"/>
      <c r="H28285" s="612"/>
    </row>
    <row r="28286">
      <c r="B28286" s="612"/>
      <c r="H28286" s="612"/>
    </row>
    <row r="28287">
      <c r="B28287" s="612"/>
      <c r="H28287" s="612"/>
    </row>
    <row r="28288">
      <c r="B28288" s="612"/>
      <c r="H28288" s="612"/>
    </row>
    <row r="28289">
      <c r="B28289" s="612"/>
      <c r="H28289" s="612"/>
    </row>
    <row r="28290">
      <c r="B28290" s="612"/>
      <c r="H28290" s="612"/>
    </row>
    <row r="28291">
      <c r="B28291" s="612"/>
      <c r="H28291" s="612"/>
    </row>
    <row r="28292">
      <c r="B28292" s="612"/>
      <c r="H28292" s="612"/>
    </row>
    <row r="28293">
      <c r="B28293" s="612"/>
      <c r="H28293" s="612"/>
    </row>
    <row r="28294">
      <c r="B28294" s="612"/>
      <c r="H28294" s="612"/>
    </row>
    <row r="28295">
      <c r="B28295" s="612"/>
      <c r="H28295" s="612"/>
    </row>
    <row r="28296">
      <c r="B28296" s="612"/>
      <c r="H28296" s="612"/>
    </row>
    <row r="28297">
      <c r="B28297" s="612"/>
      <c r="H28297" s="612"/>
    </row>
    <row r="28298">
      <c r="B28298" s="612"/>
      <c r="H28298" s="612"/>
    </row>
    <row r="28299">
      <c r="B28299" s="612"/>
      <c r="H28299" s="612"/>
    </row>
    <row r="28300">
      <c r="B28300" s="612"/>
      <c r="H28300" s="612"/>
    </row>
    <row r="28301">
      <c r="B28301" s="612"/>
      <c r="H28301" s="612"/>
    </row>
    <row r="28302">
      <c r="B28302" s="612"/>
      <c r="H28302" s="612"/>
    </row>
    <row r="28303">
      <c r="B28303" s="612"/>
      <c r="H28303" s="612"/>
    </row>
    <row r="28304">
      <c r="B28304" s="612"/>
      <c r="H28304" s="612"/>
    </row>
    <row r="28305">
      <c r="B28305" s="612"/>
      <c r="H28305" s="612"/>
    </row>
    <row r="28306">
      <c r="B28306" s="612"/>
      <c r="H28306" s="612"/>
    </row>
    <row r="28307">
      <c r="B28307" s="612"/>
      <c r="H28307" s="612"/>
    </row>
    <row r="28308">
      <c r="B28308" s="612"/>
      <c r="H28308" s="612"/>
    </row>
    <row r="28309">
      <c r="B28309" s="612"/>
      <c r="H28309" s="612"/>
    </row>
    <row r="28310">
      <c r="B28310" s="612"/>
      <c r="H28310" s="612"/>
    </row>
    <row r="28311">
      <c r="B28311" s="612"/>
      <c r="H28311" s="612"/>
    </row>
    <row r="28312">
      <c r="B28312" s="612"/>
      <c r="H28312" s="612"/>
    </row>
    <row r="28313">
      <c r="B28313" s="612"/>
      <c r="H28313" s="612"/>
    </row>
    <row r="28314">
      <c r="B28314" s="612"/>
      <c r="H28314" s="612"/>
    </row>
    <row r="28315">
      <c r="B28315" s="612"/>
      <c r="H28315" s="612"/>
    </row>
    <row r="28316">
      <c r="B28316" s="612"/>
      <c r="H28316" s="612"/>
    </row>
    <row r="28317">
      <c r="B28317" s="612"/>
      <c r="H28317" s="612"/>
    </row>
    <row r="28318">
      <c r="B28318" s="612"/>
      <c r="H28318" s="612"/>
    </row>
    <row r="28319">
      <c r="B28319" s="612"/>
      <c r="H28319" s="612"/>
    </row>
    <row r="28320">
      <c r="B28320" s="612"/>
      <c r="H28320" s="612"/>
    </row>
    <row r="28321">
      <c r="B28321" s="612"/>
      <c r="H28321" s="612"/>
    </row>
    <row r="28322">
      <c r="B28322" s="612"/>
      <c r="H28322" s="612"/>
    </row>
    <row r="28323">
      <c r="B28323" s="612"/>
      <c r="H28323" s="612"/>
    </row>
    <row r="28324">
      <c r="B28324" s="612"/>
      <c r="H28324" s="612"/>
    </row>
    <row r="28325">
      <c r="B28325" s="612"/>
      <c r="H28325" s="612"/>
    </row>
    <row r="28326">
      <c r="B28326" s="612"/>
      <c r="H28326" s="612"/>
    </row>
    <row r="28327">
      <c r="B28327" s="612"/>
      <c r="H28327" s="612"/>
    </row>
    <row r="28328">
      <c r="B28328" s="612"/>
      <c r="H28328" s="612"/>
    </row>
    <row r="28329">
      <c r="B28329" s="612"/>
      <c r="H28329" s="612"/>
    </row>
    <row r="28330">
      <c r="B28330" s="612"/>
      <c r="H28330" s="612"/>
    </row>
    <row r="28331">
      <c r="B28331" s="612"/>
      <c r="H28331" s="612"/>
    </row>
    <row r="28332">
      <c r="B28332" s="612"/>
      <c r="H28332" s="612"/>
    </row>
    <row r="28333">
      <c r="B28333" s="612"/>
      <c r="H28333" s="612"/>
    </row>
    <row r="28334">
      <c r="B28334" s="612"/>
      <c r="H28334" s="612"/>
    </row>
    <row r="28335">
      <c r="B28335" s="612"/>
      <c r="H28335" s="612"/>
    </row>
    <row r="28336">
      <c r="B28336" s="612"/>
      <c r="H28336" s="612"/>
    </row>
    <row r="28337">
      <c r="B28337" s="612"/>
      <c r="H28337" s="612"/>
    </row>
    <row r="28338">
      <c r="B28338" s="612"/>
      <c r="H28338" s="612"/>
    </row>
    <row r="28339">
      <c r="B28339" s="612"/>
      <c r="H28339" s="612"/>
    </row>
    <row r="28340">
      <c r="B28340" s="612"/>
      <c r="H28340" s="612"/>
    </row>
    <row r="28341">
      <c r="B28341" s="612"/>
      <c r="H28341" s="612"/>
    </row>
    <row r="28342">
      <c r="B28342" s="612"/>
      <c r="H28342" s="612"/>
    </row>
    <row r="28343">
      <c r="B28343" s="612"/>
      <c r="H28343" s="612"/>
    </row>
    <row r="28344">
      <c r="B28344" s="612"/>
      <c r="H28344" s="612"/>
    </row>
    <row r="28345">
      <c r="B28345" s="612"/>
      <c r="H28345" s="612"/>
    </row>
    <row r="28346">
      <c r="B28346" s="612"/>
      <c r="H28346" s="612"/>
    </row>
    <row r="28347">
      <c r="B28347" s="612"/>
      <c r="H28347" s="612"/>
    </row>
    <row r="28348">
      <c r="B28348" s="612"/>
      <c r="H28348" s="612"/>
    </row>
    <row r="28349">
      <c r="B28349" s="612"/>
      <c r="H28349" s="612"/>
    </row>
    <row r="28350">
      <c r="B28350" s="612"/>
      <c r="H28350" s="612"/>
    </row>
    <row r="28351">
      <c r="B28351" s="612"/>
      <c r="H28351" s="612"/>
    </row>
    <row r="28352">
      <c r="B28352" s="612"/>
      <c r="H28352" s="612"/>
    </row>
    <row r="28353">
      <c r="B28353" s="612"/>
      <c r="H28353" s="612"/>
    </row>
    <row r="28354">
      <c r="B28354" s="612"/>
      <c r="H28354" s="612"/>
    </row>
    <row r="28355">
      <c r="B28355" s="612"/>
      <c r="H28355" s="612"/>
    </row>
    <row r="28356">
      <c r="B28356" s="612"/>
      <c r="H28356" s="612"/>
    </row>
    <row r="28357">
      <c r="B28357" s="612"/>
      <c r="H28357" s="612"/>
    </row>
    <row r="28358">
      <c r="B28358" s="612"/>
      <c r="H28358" s="612"/>
    </row>
    <row r="28359">
      <c r="B28359" s="612"/>
      <c r="H28359" s="612"/>
    </row>
    <row r="28360">
      <c r="B28360" s="612"/>
      <c r="H28360" s="612"/>
    </row>
    <row r="28361">
      <c r="B28361" s="612"/>
      <c r="H28361" s="612"/>
    </row>
    <row r="28362">
      <c r="B28362" s="612"/>
      <c r="H28362" s="612"/>
    </row>
    <row r="28363">
      <c r="B28363" s="612"/>
      <c r="H28363" s="612"/>
    </row>
    <row r="28364">
      <c r="B28364" s="612"/>
      <c r="H28364" s="612"/>
    </row>
    <row r="28365">
      <c r="B28365" s="612"/>
      <c r="H28365" s="612"/>
    </row>
    <row r="28366">
      <c r="B28366" s="612"/>
      <c r="H28366" s="612"/>
    </row>
    <row r="28367">
      <c r="B28367" s="612"/>
      <c r="H28367" s="612"/>
    </row>
    <row r="28368">
      <c r="B28368" s="612"/>
      <c r="H28368" s="612"/>
    </row>
    <row r="28369">
      <c r="B28369" s="612"/>
      <c r="H28369" s="612"/>
    </row>
    <row r="28370">
      <c r="B28370" s="612"/>
      <c r="H28370" s="612"/>
    </row>
    <row r="28371">
      <c r="B28371" s="612"/>
      <c r="H28371" s="612"/>
    </row>
    <row r="28372">
      <c r="B28372" s="612"/>
      <c r="H28372" s="612"/>
    </row>
    <row r="28373">
      <c r="B28373" s="612"/>
      <c r="H28373" s="612"/>
    </row>
    <row r="28374">
      <c r="B28374" s="612"/>
      <c r="H28374" s="612"/>
    </row>
    <row r="28375">
      <c r="B28375" s="612"/>
      <c r="H28375" s="612"/>
    </row>
    <row r="28376">
      <c r="B28376" s="612"/>
      <c r="H28376" s="612"/>
    </row>
    <row r="28377">
      <c r="B28377" s="612"/>
      <c r="H28377" s="612"/>
    </row>
    <row r="28378">
      <c r="B28378" s="612"/>
      <c r="H28378" s="612"/>
    </row>
    <row r="28379">
      <c r="B28379" s="612"/>
      <c r="H28379" s="612"/>
    </row>
    <row r="28380">
      <c r="B28380" s="612"/>
      <c r="H28380" s="612"/>
    </row>
    <row r="28381">
      <c r="B28381" s="612"/>
      <c r="H28381" s="612"/>
    </row>
    <row r="28382">
      <c r="B28382" s="612"/>
      <c r="H28382" s="612"/>
    </row>
    <row r="28383">
      <c r="B28383" s="612"/>
      <c r="H28383" s="612"/>
    </row>
    <row r="28384">
      <c r="B28384" s="612"/>
      <c r="H28384" s="612"/>
    </row>
    <row r="28385">
      <c r="B28385" s="612"/>
      <c r="H28385" s="612"/>
    </row>
    <row r="28386">
      <c r="B28386" s="612"/>
      <c r="H28386" s="612"/>
    </row>
    <row r="28387">
      <c r="B28387" s="612"/>
      <c r="H28387" s="612"/>
    </row>
    <row r="28388">
      <c r="B28388" s="612"/>
      <c r="H28388" s="612"/>
    </row>
    <row r="28389">
      <c r="B28389" s="612"/>
      <c r="H28389" s="612"/>
    </row>
    <row r="28390">
      <c r="B28390" s="612"/>
      <c r="H28390" s="612"/>
    </row>
    <row r="28391">
      <c r="B28391" s="612"/>
      <c r="H28391" s="612"/>
    </row>
    <row r="28392">
      <c r="B28392" s="612"/>
      <c r="H28392" s="612"/>
    </row>
    <row r="28393">
      <c r="B28393" s="612"/>
      <c r="H28393" s="612"/>
    </row>
    <row r="28394">
      <c r="B28394" s="612"/>
      <c r="H28394" s="612"/>
    </row>
    <row r="28395">
      <c r="B28395" s="612"/>
      <c r="H28395" s="612"/>
    </row>
    <row r="28396">
      <c r="B28396" s="612"/>
      <c r="H28396" s="612"/>
    </row>
    <row r="28397">
      <c r="B28397" s="612"/>
      <c r="H28397" s="612"/>
    </row>
    <row r="28398">
      <c r="B28398" s="612"/>
      <c r="H28398" s="612"/>
    </row>
    <row r="28399">
      <c r="B28399" s="612"/>
      <c r="H28399" s="612"/>
    </row>
    <row r="28400">
      <c r="B28400" s="612"/>
      <c r="H28400" s="612"/>
    </row>
    <row r="28401">
      <c r="B28401" s="612"/>
      <c r="H28401" s="612"/>
    </row>
    <row r="28402">
      <c r="B28402" s="612"/>
      <c r="H28402" s="612"/>
    </row>
    <row r="28403">
      <c r="B28403" s="612"/>
      <c r="H28403" s="612"/>
    </row>
    <row r="28404">
      <c r="B28404" s="612"/>
      <c r="H28404" s="612"/>
    </row>
    <row r="28405">
      <c r="B28405" s="612"/>
      <c r="H28405" s="612"/>
    </row>
    <row r="28406">
      <c r="B28406" s="612"/>
      <c r="H28406" s="612"/>
    </row>
    <row r="28407">
      <c r="B28407" s="612"/>
      <c r="H28407" s="612"/>
    </row>
    <row r="28408">
      <c r="B28408" s="612"/>
      <c r="H28408" s="612"/>
    </row>
    <row r="28409">
      <c r="B28409" s="612"/>
      <c r="H28409" s="612"/>
    </row>
    <row r="28410">
      <c r="B28410" s="612"/>
      <c r="H28410" s="612"/>
    </row>
    <row r="28411">
      <c r="B28411" s="612"/>
      <c r="H28411" s="612"/>
    </row>
    <row r="28412">
      <c r="B28412" s="612"/>
      <c r="H28412" s="612"/>
    </row>
    <row r="28413">
      <c r="B28413" s="612"/>
      <c r="H28413" s="612"/>
    </row>
    <row r="28414">
      <c r="B28414" s="612"/>
      <c r="H28414" s="612"/>
    </row>
    <row r="28415">
      <c r="B28415" s="612"/>
      <c r="H28415" s="612"/>
    </row>
    <row r="28416">
      <c r="B28416" s="612"/>
      <c r="H28416" s="612"/>
    </row>
    <row r="28417">
      <c r="B28417" s="612"/>
      <c r="H28417" s="612"/>
    </row>
    <row r="28418">
      <c r="B28418" s="612"/>
      <c r="H28418" s="612"/>
    </row>
    <row r="28419">
      <c r="B28419" s="612"/>
      <c r="H28419" s="612"/>
    </row>
    <row r="28420">
      <c r="B28420" s="612"/>
      <c r="H28420" s="612"/>
    </row>
    <row r="28421">
      <c r="B28421" s="612"/>
      <c r="H28421" s="612"/>
    </row>
    <row r="28422">
      <c r="B28422" s="612"/>
      <c r="H28422" s="612"/>
    </row>
    <row r="28423">
      <c r="B28423" s="612"/>
      <c r="H28423" s="612"/>
    </row>
    <row r="28424">
      <c r="B28424" s="612"/>
      <c r="H28424" s="612"/>
    </row>
    <row r="28425">
      <c r="B28425" s="612"/>
      <c r="H28425" s="612"/>
    </row>
    <row r="28426">
      <c r="B28426" s="612"/>
      <c r="H28426" s="612"/>
    </row>
    <row r="28427">
      <c r="B28427" s="612"/>
      <c r="H28427" s="612"/>
    </row>
    <row r="28428">
      <c r="B28428" s="612"/>
      <c r="H28428" s="612"/>
    </row>
    <row r="28429">
      <c r="B28429" s="612"/>
      <c r="H28429" s="612"/>
    </row>
    <row r="28430">
      <c r="B28430" s="612"/>
      <c r="H28430" s="612"/>
    </row>
    <row r="28431">
      <c r="B28431" s="612"/>
      <c r="H28431" s="612"/>
    </row>
    <row r="28432">
      <c r="B28432" s="612"/>
      <c r="H28432" s="612"/>
    </row>
    <row r="28433">
      <c r="B28433" s="612"/>
      <c r="H28433" s="612"/>
    </row>
    <row r="28434">
      <c r="B28434" s="612"/>
      <c r="H28434" s="612"/>
    </row>
    <row r="28435">
      <c r="B28435" s="612"/>
      <c r="H28435" s="612"/>
    </row>
    <row r="28436">
      <c r="B28436" s="612"/>
      <c r="H28436" s="612"/>
    </row>
    <row r="28437">
      <c r="B28437" s="612"/>
      <c r="H28437" s="612"/>
    </row>
    <row r="28438">
      <c r="B28438" s="612"/>
      <c r="H28438" s="612"/>
    </row>
    <row r="28439">
      <c r="B28439" s="612"/>
      <c r="H28439" s="612"/>
    </row>
    <row r="28440">
      <c r="B28440" s="612"/>
      <c r="H28440" s="612"/>
    </row>
    <row r="28441">
      <c r="B28441" s="612"/>
      <c r="H28441" s="612"/>
    </row>
    <row r="28442">
      <c r="B28442" s="612"/>
      <c r="H28442" s="612"/>
    </row>
    <row r="28443">
      <c r="B28443" s="612"/>
      <c r="H28443" s="612"/>
    </row>
    <row r="28444">
      <c r="B28444" s="612"/>
      <c r="H28444" s="612"/>
    </row>
    <row r="28445">
      <c r="B28445" s="612"/>
      <c r="H28445" s="612"/>
    </row>
    <row r="28446">
      <c r="B28446" s="612"/>
      <c r="H28446" s="612"/>
    </row>
    <row r="28447">
      <c r="B28447" s="612"/>
      <c r="H28447" s="612"/>
    </row>
    <row r="28448">
      <c r="B28448" s="612"/>
      <c r="H28448" s="612"/>
    </row>
    <row r="28449">
      <c r="B28449" s="612"/>
      <c r="H28449" s="612"/>
    </row>
    <row r="28450">
      <c r="B28450" s="612"/>
      <c r="H28450" s="612"/>
    </row>
    <row r="28451">
      <c r="B28451" s="612"/>
      <c r="H28451" s="612"/>
    </row>
    <row r="28452">
      <c r="B28452" s="612"/>
      <c r="H28452" s="612"/>
    </row>
    <row r="28453">
      <c r="B28453" s="612"/>
      <c r="H28453" s="612"/>
    </row>
    <row r="28454">
      <c r="B28454" s="612"/>
      <c r="H28454" s="612"/>
    </row>
    <row r="28455">
      <c r="B28455" s="612"/>
      <c r="H28455" s="612"/>
    </row>
    <row r="28456">
      <c r="B28456" s="612"/>
      <c r="H28456" s="612"/>
    </row>
    <row r="28457">
      <c r="B28457" s="612"/>
      <c r="H28457" s="612"/>
    </row>
    <row r="28458">
      <c r="B28458" s="612"/>
      <c r="H28458" s="612"/>
    </row>
    <row r="28459">
      <c r="B28459" s="612"/>
      <c r="H28459" s="612"/>
    </row>
    <row r="28460">
      <c r="B28460" s="612"/>
      <c r="H28460" s="612"/>
    </row>
    <row r="28461">
      <c r="B28461" s="612"/>
      <c r="H28461" s="612"/>
    </row>
    <row r="28462">
      <c r="B28462" s="612"/>
      <c r="H28462" s="612"/>
    </row>
    <row r="28463">
      <c r="B28463" s="612"/>
      <c r="H28463" s="612"/>
    </row>
    <row r="28464">
      <c r="B28464" s="612"/>
      <c r="H28464" s="612"/>
    </row>
    <row r="28465">
      <c r="B28465" s="612"/>
      <c r="H28465" s="612"/>
    </row>
    <row r="28466">
      <c r="B28466" s="612"/>
      <c r="H28466" s="612"/>
    </row>
    <row r="28467">
      <c r="B28467" s="612"/>
      <c r="H28467" s="612"/>
    </row>
    <row r="28468">
      <c r="B28468" s="612"/>
      <c r="H28468" s="612"/>
    </row>
    <row r="28469">
      <c r="B28469" s="612"/>
      <c r="H28469" s="612"/>
    </row>
    <row r="28470">
      <c r="B28470" s="612"/>
      <c r="H28470" s="612"/>
    </row>
    <row r="28471">
      <c r="B28471" s="612"/>
      <c r="H28471" s="612"/>
    </row>
    <row r="28472">
      <c r="B28472" s="612"/>
      <c r="H28472" s="612"/>
    </row>
    <row r="28473">
      <c r="B28473" s="612"/>
      <c r="H28473" s="612"/>
    </row>
    <row r="28474">
      <c r="B28474" s="612"/>
      <c r="H28474" s="612"/>
    </row>
    <row r="28475">
      <c r="B28475" s="612"/>
      <c r="H28475" s="612"/>
    </row>
    <row r="28476">
      <c r="B28476" s="612"/>
      <c r="H28476" s="612"/>
    </row>
    <row r="28477">
      <c r="B28477" s="612"/>
      <c r="H28477" s="612"/>
    </row>
    <row r="28478">
      <c r="B28478" s="612"/>
      <c r="H28478" s="612"/>
    </row>
    <row r="28479">
      <c r="B28479" s="612"/>
      <c r="H28479" s="612"/>
    </row>
    <row r="28480">
      <c r="B28480" s="612"/>
      <c r="H28480" s="612"/>
    </row>
    <row r="28481">
      <c r="B28481" s="612"/>
      <c r="H28481" s="612"/>
    </row>
    <row r="28482">
      <c r="B28482" s="612"/>
      <c r="H28482" s="612"/>
    </row>
    <row r="28483">
      <c r="B28483" s="612"/>
      <c r="H28483" s="612"/>
    </row>
    <row r="28484">
      <c r="B28484" s="612"/>
      <c r="H28484" s="612"/>
    </row>
    <row r="28485">
      <c r="B28485" s="612"/>
      <c r="H28485" s="612"/>
    </row>
    <row r="28486">
      <c r="B28486" s="612"/>
      <c r="H28486" s="612"/>
    </row>
    <row r="28487">
      <c r="B28487" s="612"/>
      <c r="H28487" s="612"/>
    </row>
    <row r="28488">
      <c r="B28488" s="612"/>
      <c r="H28488" s="612"/>
    </row>
    <row r="28489">
      <c r="B28489" s="612"/>
      <c r="H28489" s="612"/>
    </row>
    <row r="28490">
      <c r="B28490" s="612"/>
      <c r="H28490" s="612"/>
    </row>
    <row r="28491">
      <c r="B28491" s="612"/>
      <c r="H28491" s="612"/>
    </row>
    <row r="28492">
      <c r="B28492" s="612"/>
      <c r="H28492" s="612"/>
    </row>
    <row r="28493">
      <c r="B28493" s="612"/>
      <c r="H28493" s="612"/>
    </row>
    <row r="28494">
      <c r="B28494" s="612"/>
      <c r="H28494" s="612"/>
    </row>
    <row r="28495">
      <c r="B28495" s="612"/>
      <c r="H28495" s="612"/>
    </row>
    <row r="28496">
      <c r="B28496" s="612"/>
      <c r="H28496" s="612"/>
    </row>
    <row r="28497">
      <c r="B28497" s="612"/>
      <c r="H28497" s="612"/>
    </row>
    <row r="28498">
      <c r="B28498" s="612"/>
      <c r="H28498" s="612"/>
    </row>
    <row r="28499">
      <c r="B28499" s="612"/>
      <c r="H28499" s="612"/>
    </row>
    <row r="28500">
      <c r="B28500" s="612"/>
      <c r="H28500" s="612"/>
    </row>
    <row r="28501">
      <c r="B28501" s="612"/>
      <c r="H28501" s="612"/>
    </row>
    <row r="28502">
      <c r="B28502" s="612"/>
      <c r="H28502" s="612"/>
    </row>
    <row r="28503">
      <c r="B28503" s="612"/>
      <c r="H28503" s="612"/>
    </row>
    <row r="28504">
      <c r="B28504" s="612"/>
      <c r="H28504" s="612"/>
    </row>
    <row r="28505">
      <c r="B28505" s="612"/>
      <c r="H28505" s="612"/>
    </row>
    <row r="28506">
      <c r="B28506" s="612"/>
      <c r="H28506" s="612"/>
    </row>
    <row r="28507">
      <c r="B28507" s="612"/>
      <c r="H28507" s="612"/>
    </row>
    <row r="28508">
      <c r="B28508" s="612"/>
      <c r="H28508" s="612"/>
    </row>
    <row r="28509">
      <c r="B28509" s="612"/>
      <c r="H28509" s="612"/>
    </row>
    <row r="28510">
      <c r="B28510" s="612"/>
      <c r="H28510" s="612"/>
    </row>
    <row r="28511">
      <c r="B28511" s="612"/>
      <c r="H28511" s="612"/>
    </row>
    <row r="28512">
      <c r="B28512" s="612"/>
      <c r="H28512" s="612"/>
    </row>
    <row r="28513">
      <c r="B28513" s="612"/>
      <c r="H28513" s="612"/>
    </row>
    <row r="28514">
      <c r="B28514" s="612"/>
      <c r="H28514" s="612"/>
    </row>
    <row r="28515">
      <c r="B28515" s="612"/>
      <c r="H28515" s="612"/>
    </row>
    <row r="28516">
      <c r="B28516" s="612"/>
      <c r="H28516" s="612"/>
    </row>
    <row r="28517">
      <c r="B28517" s="612"/>
      <c r="H28517" s="612"/>
    </row>
    <row r="28518">
      <c r="B28518" s="612"/>
      <c r="H28518" s="612"/>
    </row>
    <row r="28519">
      <c r="B28519" s="612"/>
      <c r="H28519" s="612"/>
    </row>
    <row r="28520">
      <c r="B28520" s="612"/>
      <c r="H28520" s="612"/>
    </row>
    <row r="28521">
      <c r="B28521" s="612"/>
      <c r="H28521" s="612"/>
    </row>
    <row r="28522">
      <c r="B28522" s="612"/>
      <c r="H28522" s="612"/>
    </row>
    <row r="28523">
      <c r="B28523" s="612"/>
      <c r="H28523" s="612"/>
    </row>
    <row r="28524">
      <c r="B28524" s="612"/>
      <c r="H28524" s="612"/>
    </row>
    <row r="28525">
      <c r="B28525" s="612"/>
      <c r="H28525" s="612"/>
    </row>
    <row r="28526">
      <c r="B28526" s="612"/>
      <c r="H28526" s="612"/>
    </row>
    <row r="28527">
      <c r="B28527" s="612"/>
      <c r="H28527" s="612"/>
    </row>
    <row r="28528">
      <c r="B28528" s="612"/>
      <c r="H28528" s="612"/>
    </row>
    <row r="28529">
      <c r="B28529" s="612"/>
      <c r="H28529" s="612"/>
    </row>
    <row r="28530">
      <c r="B28530" s="612"/>
      <c r="H28530" s="612"/>
    </row>
    <row r="28531">
      <c r="B28531" s="612"/>
      <c r="H28531" s="612"/>
    </row>
    <row r="28532">
      <c r="B28532" s="612"/>
      <c r="H28532" s="612"/>
    </row>
    <row r="28533">
      <c r="B28533" s="612"/>
      <c r="H28533" s="612"/>
    </row>
    <row r="28534">
      <c r="B28534" s="612"/>
      <c r="H28534" s="612"/>
    </row>
    <row r="28535">
      <c r="B28535" s="612"/>
      <c r="H28535" s="612"/>
    </row>
    <row r="28536">
      <c r="B28536" s="612"/>
      <c r="H28536" s="612"/>
    </row>
    <row r="28537">
      <c r="B28537" s="612"/>
      <c r="H28537" s="612"/>
    </row>
    <row r="28538">
      <c r="B28538" s="612"/>
      <c r="H28538" s="612"/>
    </row>
    <row r="28539">
      <c r="B28539" s="612"/>
      <c r="H28539" s="612"/>
    </row>
    <row r="28540">
      <c r="B28540" s="612"/>
      <c r="H28540" s="612"/>
    </row>
    <row r="28541">
      <c r="B28541" s="612"/>
      <c r="H28541" s="612"/>
    </row>
    <row r="28542">
      <c r="B28542" s="612"/>
      <c r="H28542" s="612"/>
    </row>
    <row r="28543">
      <c r="B28543" s="612"/>
      <c r="H28543" s="612"/>
    </row>
    <row r="28544">
      <c r="B28544" s="612"/>
      <c r="H28544" s="612"/>
    </row>
    <row r="28545">
      <c r="B28545" s="612"/>
      <c r="H28545" s="612"/>
    </row>
    <row r="28546">
      <c r="B28546" s="612"/>
      <c r="H28546" s="612"/>
    </row>
    <row r="28547">
      <c r="B28547" s="612"/>
      <c r="H28547" s="612"/>
    </row>
    <row r="28548">
      <c r="B28548" s="612"/>
      <c r="H28548" s="612"/>
    </row>
    <row r="28549">
      <c r="B28549" s="612"/>
      <c r="H28549" s="612"/>
    </row>
    <row r="28550">
      <c r="B28550" s="612"/>
      <c r="H28550" s="612"/>
    </row>
    <row r="28551">
      <c r="B28551" s="612"/>
      <c r="H28551" s="612"/>
    </row>
    <row r="28552">
      <c r="B28552" s="612"/>
      <c r="H28552" s="612"/>
    </row>
    <row r="28553">
      <c r="B28553" s="612"/>
      <c r="H28553" s="612"/>
    </row>
    <row r="28554">
      <c r="B28554" s="612"/>
      <c r="H28554" s="612"/>
    </row>
    <row r="28555">
      <c r="B28555" s="612"/>
      <c r="H28555" s="612"/>
    </row>
    <row r="28556">
      <c r="B28556" s="612"/>
      <c r="H28556" s="612"/>
    </row>
    <row r="28557">
      <c r="B28557" s="612"/>
      <c r="H28557" s="612"/>
    </row>
    <row r="28558">
      <c r="B28558" s="612"/>
      <c r="H28558" s="612"/>
    </row>
    <row r="28559">
      <c r="B28559" s="612"/>
      <c r="H28559" s="612"/>
    </row>
    <row r="28560">
      <c r="B28560" s="612"/>
      <c r="H28560" s="612"/>
    </row>
    <row r="28561">
      <c r="B28561" s="612"/>
      <c r="H28561" s="612"/>
    </row>
    <row r="28562">
      <c r="B28562" s="612"/>
      <c r="H28562" s="612"/>
    </row>
    <row r="28563">
      <c r="B28563" s="612"/>
      <c r="H28563" s="612"/>
    </row>
    <row r="28564">
      <c r="B28564" s="612"/>
      <c r="H28564" s="612"/>
    </row>
    <row r="28565">
      <c r="B28565" s="612"/>
      <c r="H28565" s="612"/>
    </row>
    <row r="28566">
      <c r="B28566" s="612"/>
      <c r="H28566" s="612"/>
    </row>
    <row r="28567">
      <c r="B28567" s="612"/>
      <c r="H28567" s="612"/>
    </row>
    <row r="28568">
      <c r="B28568" s="612"/>
      <c r="H28568" s="612"/>
    </row>
    <row r="28569">
      <c r="B28569" s="612"/>
      <c r="H28569" s="612"/>
    </row>
    <row r="28570">
      <c r="B28570" s="612"/>
      <c r="H28570" s="612"/>
    </row>
    <row r="28571">
      <c r="B28571" s="612"/>
      <c r="H28571" s="612"/>
    </row>
    <row r="28572">
      <c r="B28572" s="612"/>
      <c r="H28572" s="612"/>
    </row>
    <row r="28573">
      <c r="B28573" s="612"/>
      <c r="H28573" s="612"/>
    </row>
    <row r="28574">
      <c r="B28574" s="612"/>
      <c r="H28574" s="612"/>
    </row>
    <row r="28575">
      <c r="B28575" s="612"/>
      <c r="H28575" s="612"/>
    </row>
    <row r="28576">
      <c r="B28576" s="612"/>
      <c r="H28576" s="612"/>
    </row>
    <row r="28577">
      <c r="B28577" s="612"/>
      <c r="H28577" s="612"/>
    </row>
    <row r="28578">
      <c r="B28578" s="612"/>
      <c r="H28578" s="612"/>
    </row>
    <row r="28579">
      <c r="B28579" s="612"/>
      <c r="H28579" s="612"/>
    </row>
    <row r="28580">
      <c r="B28580" s="612"/>
      <c r="H28580" s="612"/>
    </row>
    <row r="28581">
      <c r="B28581" s="612"/>
      <c r="H28581" s="612"/>
    </row>
    <row r="28582">
      <c r="B28582" s="612"/>
      <c r="H28582" s="612"/>
    </row>
    <row r="28583">
      <c r="B28583" s="612"/>
      <c r="H28583" s="612"/>
    </row>
    <row r="28584">
      <c r="B28584" s="612"/>
      <c r="H28584" s="612"/>
    </row>
    <row r="28585">
      <c r="B28585" s="612"/>
      <c r="H28585" s="612"/>
    </row>
    <row r="28586">
      <c r="B28586" s="612"/>
      <c r="H28586" s="612"/>
    </row>
    <row r="28587">
      <c r="B28587" s="612"/>
      <c r="H28587" s="612"/>
    </row>
    <row r="28588">
      <c r="B28588" s="612"/>
      <c r="H28588" s="612"/>
    </row>
    <row r="28589">
      <c r="B28589" s="612"/>
      <c r="H28589" s="612"/>
    </row>
    <row r="28590">
      <c r="B28590" s="612"/>
      <c r="H28590" s="612"/>
    </row>
    <row r="28591">
      <c r="B28591" s="612"/>
      <c r="H28591" s="612"/>
    </row>
    <row r="28592">
      <c r="B28592" s="612"/>
      <c r="H28592" s="612"/>
    </row>
    <row r="28593">
      <c r="B28593" s="612"/>
      <c r="H28593" s="612"/>
    </row>
    <row r="28594">
      <c r="B28594" s="612"/>
      <c r="H28594" s="612"/>
    </row>
    <row r="28595">
      <c r="B28595" s="612"/>
      <c r="H28595" s="612"/>
    </row>
    <row r="28596">
      <c r="B28596" s="612"/>
      <c r="H28596" s="612"/>
    </row>
    <row r="28597">
      <c r="B28597" s="612"/>
      <c r="H28597" s="612"/>
    </row>
    <row r="28598">
      <c r="B28598" s="612"/>
      <c r="H28598" s="612"/>
    </row>
    <row r="28599">
      <c r="B28599" s="612"/>
      <c r="H28599" s="612"/>
    </row>
    <row r="28600">
      <c r="B28600" s="612"/>
      <c r="H28600" s="612"/>
    </row>
    <row r="28601">
      <c r="B28601" s="612"/>
      <c r="H28601" s="612"/>
    </row>
    <row r="28602">
      <c r="B28602" s="612"/>
      <c r="H28602" s="612"/>
    </row>
    <row r="28603">
      <c r="B28603" s="612"/>
      <c r="H28603" s="612"/>
    </row>
    <row r="28604">
      <c r="B28604" s="612"/>
      <c r="H28604" s="612"/>
    </row>
    <row r="28605">
      <c r="B28605" s="612"/>
      <c r="H28605" s="612"/>
    </row>
    <row r="28606">
      <c r="B28606" s="612"/>
      <c r="H28606" s="612"/>
    </row>
    <row r="28607">
      <c r="B28607" s="612"/>
      <c r="H28607" s="612"/>
    </row>
    <row r="28608">
      <c r="B28608" s="612"/>
      <c r="H28608" s="612"/>
    </row>
    <row r="28609">
      <c r="B28609" s="612"/>
      <c r="H28609" s="612"/>
    </row>
    <row r="28610">
      <c r="B28610" s="612"/>
      <c r="H28610" s="612"/>
    </row>
    <row r="28611">
      <c r="B28611" s="612"/>
      <c r="H28611" s="612"/>
    </row>
    <row r="28612">
      <c r="B28612" s="612"/>
      <c r="H28612" s="612"/>
    </row>
    <row r="28613">
      <c r="B28613" s="612"/>
      <c r="H28613" s="612"/>
    </row>
    <row r="28614">
      <c r="B28614" s="612"/>
      <c r="H28614" s="612"/>
    </row>
    <row r="28615">
      <c r="B28615" s="612"/>
      <c r="H28615" s="612"/>
    </row>
    <row r="28616">
      <c r="B28616" s="612"/>
      <c r="H28616" s="612"/>
    </row>
    <row r="28617">
      <c r="B28617" s="612"/>
      <c r="H28617" s="612"/>
    </row>
    <row r="28618">
      <c r="B28618" s="612"/>
      <c r="H28618" s="612"/>
    </row>
    <row r="28619">
      <c r="B28619" s="612"/>
      <c r="H28619" s="612"/>
    </row>
    <row r="28620">
      <c r="B28620" s="612"/>
      <c r="H28620" s="612"/>
    </row>
    <row r="28621">
      <c r="B28621" s="612"/>
      <c r="H28621" s="612"/>
    </row>
    <row r="28622">
      <c r="B28622" s="612"/>
      <c r="H28622" s="612"/>
    </row>
    <row r="28623">
      <c r="B28623" s="612"/>
      <c r="H28623" s="612"/>
    </row>
    <row r="28624">
      <c r="B28624" s="612"/>
      <c r="H28624" s="612"/>
    </row>
    <row r="28625">
      <c r="B28625" s="612"/>
      <c r="H28625" s="612"/>
    </row>
    <row r="28626">
      <c r="B28626" s="612"/>
      <c r="H28626" s="612"/>
    </row>
    <row r="28627">
      <c r="B28627" s="612"/>
      <c r="H28627" s="612"/>
    </row>
    <row r="28628">
      <c r="B28628" s="612"/>
      <c r="H28628" s="612"/>
    </row>
    <row r="28629">
      <c r="B28629" s="612"/>
      <c r="H28629" s="612"/>
    </row>
    <row r="28630">
      <c r="B28630" s="612"/>
      <c r="H28630" s="612"/>
    </row>
    <row r="28631">
      <c r="B28631" s="612"/>
      <c r="H28631" s="612"/>
    </row>
    <row r="28632">
      <c r="B28632" s="612"/>
      <c r="H28632" s="612"/>
    </row>
    <row r="28633">
      <c r="B28633" s="612"/>
      <c r="H28633" s="612"/>
    </row>
    <row r="28634">
      <c r="B28634" s="612"/>
      <c r="H28634" s="612"/>
    </row>
    <row r="28635">
      <c r="B28635" s="612"/>
      <c r="H28635" s="612"/>
    </row>
    <row r="28636">
      <c r="B28636" s="612"/>
      <c r="H28636" s="612"/>
    </row>
    <row r="28637">
      <c r="B28637" s="612"/>
      <c r="H28637" s="612"/>
    </row>
    <row r="28638">
      <c r="B28638" s="612"/>
      <c r="H28638" s="612"/>
    </row>
    <row r="28639">
      <c r="B28639" s="612"/>
      <c r="H28639" s="612"/>
    </row>
    <row r="28640">
      <c r="B28640" s="612"/>
      <c r="H28640" s="612"/>
    </row>
    <row r="28641">
      <c r="B28641" s="612"/>
      <c r="H28641" s="612"/>
    </row>
    <row r="28642">
      <c r="B28642" s="612"/>
      <c r="H28642" s="612"/>
    </row>
    <row r="28643">
      <c r="B28643" s="612"/>
      <c r="H28643" s="612"/>
    </row>
    <row r="28644">
      <c r="B28644" s="612"/>
      <c r="H28644" s="612"/>
    </row>
    <row r="28645">
      <c r="B28645" s="612"/>
      <c r="H28645" s="612"/>
    </row>
    <row r="28646">
      <c r="B28646" s="612"/>
      <c r="H28646" s="612"/>
    </row>
    <row r="28647">
      <c r="B28647" s="612"/>
      <c r="H28647" s="612"/>
    </row>
    <row r="28648">
      <c r="B28648" s="612"/>
      <c r="H28648" s="612"/>
    </row>
    <row r="28649">
      <c r="B28649" s="612"/>
      <c r="H28649" s="612"/>
    </row>
    <row r="28650">
      <c r="B28650" s="612"/>
      <c r="H28650" s="612"/>
    </row>
    <row r="28651">
      <c r="B28651" s="612"/>
      <c r="H28651" s="612"/>
    </row>
    <row r="28652">
      <c r="B28652" s="612"/>
      <c r="H28652" s="612"/>
    </row>
    <row r="28653">
      <c r="B28653" s="612"/>
      <c r="H28653" s="612"/>
    </row>
    <row r="28654">
      <c r="B28654" s="612"/>
      <c r="H28654" s="612"/>
    </row>
    <row r="28655">
      <c r="B28655" s="612"/>
      <c r="H28655" s="612"/>
    </row>
    <row r="28656">
      <c r="B28656" s="612"/>
      <c r="H28656" s="612"/>
    </row>
    <row r="28657">
      <c r="B28657" s="612"/>
      <c r="H28657" s="612"/>
    </row>
    <row r="28658">
      <c r="B28658" s="612"/>
      <c r="H28658" s="612"/>
    </row>
    <row r="28659">
      <c r="B28659" s="612"/>
      <c r="H28659" s="612"/>
    </row>
    <row r="28660">
      <c r="B28660" s="612"/>
      <c r="H28660" s="612"/>
    </row>
    <row r="28661">
      <c r="B28661" s="612"/>
      <c r="H28661" s="612"/>
    </row>
    <row r="28662">
      <c r="B28662" s="612"/>
      <c r="H28662" s="612"/>
    </row>
    <row r="28663">
      <c r="B28663" s="612"/>
      <c r="H28663" s="612"/>
    </row>
    <row r="28664">
      <c r="B28664" s="612"/>
      <c r="H28664" s="612"/>
    </row>
    <row r="28665">
      <c r="B28665" s="612"/>
      <c r="H28665" s="612"/>
    </row>
    <row r="28666">
      <c r="B28666" s="612"/>
      <c r="H28666" s="612"/>
    </row>
    <row r="28667">
      <c r="B28667" s="612"/>
      <c r="H28667" s="612"/>
    </row>
    <row r="28668">
      <c r="B28668" s="612"/>
      <c r="H28668" s="612"/>
    </row>
    <row r="28669">
      <c r="B28669" s="612"/>
      <c r="H28669" s="612"/>
    </row>
    <row r="28670">
      <c r="B28670" s="612"/>
      <c r="H28670" s="612"/>
    </row>
    <row r="28671">
      <c r="B28671" s="612"/>
      <c r="H28671" s="612"/>
    </row>
    <row r="28672">
      <c r="B28672" s="612"/>
      <c r="H28672" s="612"/>
    </row>
    <row r="28673">
      <c r="B28673" s="612"/>
      <c r="H28673" s="612"/>
    </row>
    <row r="28674">
      <c r="B28674" s="612"/>
      <c r="H28674" s="612"/>
    </row>
    <row r="28675">
      <c r="B28675" s="612"/>
      <c r="H28675" s="612"/>
    </row>
    <row r="28676">
      <c r="B28676" s="612"/>
      <c r="H28676" s="612"/>
    </row>
    <row r="28677">
      <c r="B28677" s="612"/>
      <c r="H28677" s="612"/>
    </row>
    <row r="28678">
      <c r="B28678" s="612"/>
      <c r="H28678" s="612"/>
    </row>
    <row r="28679">
      <c r="B28679" s="612"/>
      <c r="H28679" s="612"/>
    </row>
    <row r="28680">
      <c r="B28680" s="612"/>
      <c r="H28680" s="612"/>
    </row>
    <row r="28681">
      <c r="B28681" s="612"/>
      <c r="H28681" s="612"/>
    </row>
    <row r="28682">
      <c r="B28682" s="612"/>
      <c r="H28682" s="612"/>
    </row>
    <row r="28683">
      <c r="B28683" s="612"/>
      <c r="H28683" s="612"/>
    </row>
    <row r="28684">
      <c r="B28684" s="612"/>
      <c r="H28684" s="612"/>
    </row>
    <row r="28685">
      <c r="B28685" s="612"/>
      <c r="H28685" s="612"/>
    </row>
    <row r="28686">
      <c r="B28686" s="612"/>
      <c r="H28686" s="612"/>
    </row>
    <row r="28687">
      <c r="B28687" s="612"/>
      <c r="H28687" s="612"/>
    </row>
    <row r="28688">
      <c r="B28688" s="612"/>
      <c r="H28688" s="612"/>
    </row>
    <row r="28689">
      <c r="B28689" s="612"/>
      <c r="H28689" s="612"/>
    </row>
    <row r="28690">
      <c r="B28690" s="612"/>
      <c r="H28690" s="612"/>
    </row>
    <row r="28691">
      <c r="B28691" s="612"/>
      <c r="H28691" s="612"/>
    </row>
    <row r="28692">
      <c r="B28692" s="612"/>
      <c r="H28692" s="612"/>
    </row>
    <row r="28693">
      <c r="B28693" s="612"/>
      <c r="H28693" s="612"/>
    </row>
    <row r="28694">
      <c r="B28694" s="612"/>
      <c r="H28694" s="612"/>
    </row>
    <row r="28695">
      <c r="B28695" s="612"/>
      <c r="H28695" s="612"/>
    </row>
    <row r="28696">
      <c r="B28696" s="612"/>
      <c r="H28696" s="612"/>
    </row>
    <row r="28697">
      <c r="B28697" s="612"/>
      <c r="H28697" s="612"/>
    </row>
    <row r="28698">
      <c r="B28698" s="612"/>
      <c r="H28698" s="612"/>
    </row>
    <row r="28699">
      <c r="B28699" s="612"/>
      <c r="H28699" s="612"/>
    </row>
    <row r="28700">
      <c r="B28700" s="612"/>
      <c r="H28700" s="612"/>
    </row>
    <row r="28701">
      <c r="B28701" s="612"/>
      <c r="H28701" s="612"/>
    </row>
    <row r="28702">
      <c r="B28702" s="612"/>
      <c r="H28702" s="612"/>
    </row>
    <row r="28703">
      <c r="B28703" s="612"/>
      <c r="H28703" s="612"/>
    </row>
    <row r="28704">
      <c r="B28704" s="612"/>
      <c r="H28704" s="612"/>
    </row>
    <row r="28705">
      <c r="B28705" s="612"/>
      <c r="H28705" s="612"/>
    </row>
    <row r="28706">
      <c r="B28706" s="612"/>
      <c r="H28706" s="612"/>
    </row>
    <row r="28707">
      <c r="B28707" s="612"/>
      <c r="H28707" s="612"/>
    </row>
    <row r="28708">
      <c r="B28708" s="612"/>
      <c r="H28708" s="612"/>
    </row>
    <row r="28709">
      <c r="B28709" s="612"/>
      <c r="H28709" s="612"/>
    </row>
    <row r="28710">
      <c r="B28710" s="612"/>
      <c r="H28710" s="612"/>
    </row>
    <row r="28711">
      <c r="B28711" s="612"/>
      <c r="H28711" s="612"/>
    </row>
    <row r="28712">
      <c r="B28712" s="612"/>
      <c r="H28712" s="612"/>
    </row>
    <row r="28713">
      <c r="B28713" s="612"/>
      <c r="H28713" s="612"/>
    </row>
    <row r="28714">
      <c r="B28714" s="612"/>
      <c r="H28714" s="612"/>
    </row>
    <row r="28715">
      <c r="B28715" s="612"/>
      <c r="H28715" s="612"/>
    </row>
    <row r="28716">
      <c r="B28716" s="612"/>
      <c r="H28716" s="612"/>
    </row>
    <row r="28717">
      <c r="B28717" s="612"/>
      <c r="H28717" s="612"/>
    </row>
    <row r="28718">
      <c r="B28718" s="612"/>
      <c r="H28718" s="612"/>
    </row>
    <row r="28719">
      <c r="B28719" s="612"/>
      <c r="H28719" s="612"/>
    </row>
    <row r="28720">
      <c r="B28720" s="612"/>
      <c r="H28720" s="612"/>
    </row>
    <row r="28721">
      <c r="B28721" s="612"/>
      <c r="H28721" s="612"/>
    </row>
    <row r="28722">
      <c r="B28722" s="612"/>
      <c r="H28722" s="612"/>
    </row>
    <row r="28723">
      <c r="B28723" s="612"/>
      <c r="H28723" s="612"/>
    </row>
    <row r="28724">
      <c r="B28724" s="612"/>
      <c r="H28724" s="612"/>
    </row>
    <row r="28725">
      <c r="B28725" s="612"/>
      <c r="H28725" s="612"/>
    </row>
    <row r="28726">
      <c r="B28726" s="612"/>
      <c r="H28726" s="612"/>
    </row>
    <row r="28727">
      <c r="B28727" s="612"/>
      <c r="H28727" s="612"/>
    </row>
    <row r="28728">
      <c r="B28728" s="612"/>
      <c r="H28728" s="612"/>
    </row>
    <row r="28729">
      <c r="B28729" s="612"/>
      <c r="H28729" s="612"/>
    </row>
    <row r="28730">
      <c r="B28730" s="612"/>
      <c r="H28730" s="612"/>
    </row>
    <row r="28731">
      <c r="B28731" s="612"/>
      <c r="H28731" s="612"/>
    </row>
    <row r="28732">
      <c r="B28732" s="612"/>
      <c r="H28732" s="612"/>
    </row>
    <row r="28733">
      <c r="B28733" s="612"/>
      <c r="H28733" s="612"/>
    </row>
    <row r="28734">
      <c r="B28734" s="612"/>
      <c r="H28734" s="612"/>
    </row>
    <row r="28735">
      <c r="B28735" s="612"/>
      <c r="H28735" s="612"/>
    </row>
    <row r="28736">
      <c r="B28736" s="612"/>
      <c r="H28736" s="612"/>
    </row>
    <row r="28737">
      <c r="B28737" s="612"/>
      <c r="H28737" s="612"/>
    </row>
    <row r="28738">
      <c r="B28738" s="612"/>
      <c r="H28738" s="612"/>
    </row>
    <row r="28739">
      <c r="B28739" s="612"/>
      <c r="H28739" s="612"/>
    </row>
    <row r="28740">
      <c r="B28740" s="612"/>
      <c r="H28740" s="612"/>
    </row>
    <row r="28741">
      <c r="B28741" s="612"/>
      <c r="H28741" s="612"/>
    </row>
    <row r="28742">
      <c r="B28742" s="612"/>
      <c r="H28742" s="612"/>
    </row>
    <row r="28743">
      <c r="B28743" s="612"/>
      <c r="H28743" s="612"/>
    </row>
    <row r="28744">
      <c r="B28744" s="612"/>
      <c r="H28744" s="612"/>
    </row>
    <row r="28745">
      <c r="B28745" s="612"/>
      <c r="H28745" s="612"/>
    </row>
    <row r="28746">
      <c r="B28746" s="612"/>
      <c r="H28746" s="612"/>
    </row>
    <row r="28747">
      <c r="B28747" s="612"/>
      <c r="H28747" s="612"/>
    </row>
    <row r="28748">
      <c r="B28748" s="612"/>
      <c r="H28748" s="612"/>
    </row>
    <row r="28749">
      <c r="B28749" s="612"/>
      <c r="H28749" s="612"/>
    </row>
    <row r="28750">
      <c r="B28750" s="612"/>
      <c r="H28750" s="612"/>
    </row>
    <row r="28751">
      <c r="B28751" s="612"/>
      <c r="H28751" s="612"/>
    </row>
    <row r="28752">
      <c r="B28752" s="612"/>
      <c r="H28752" s="612"/>
    </row>
    <row r="28753">
      <c r="B28753" s="612"/>
      <c r="H28753" s="612"/>
    </row>
    <row r="28754">
      <c r="B28754" s="612"/>
      <c r="H28754" s="612"/>
    </row>
    <row r="28755">
      <c r="B28755" s="612"/>
      <c r="H28755" s="612"/>
    </row>
    <row r="28756">
      <c r="B28756" s="612"/>
      <c r="H28756" s="612"/>
    </row>
    <row r="28757">
      <c r="B28757" s="612"/>
      <c r="H28757" s="612"/>
    </row>
    <row r="28758">
      <c r="B28758" s="612"/>
      <c r="H28758" s="612"/>
    </row>
    <row r="28759">
      <c r="B28759" s="612"/>
      <c r="H28759" s="612"/>
    </row>
    <row r="28760">
      <c r="B28760" s="612"/>
      <c r="H28760" s="612"/>
    </row>
    <row r="28761">
      <c r="B28761" s="612"/>
      <c r="H28761" s="612"/>
    </row>
    <row r="28762">
      <c r="B28762" s="612"/>
      <c r="H28762" s="612"/>
    </row>
    <row r="28763">
      <c r="B28763" s="612"/>
      <c r="H28763" s="612"/>
    </row>
    <row r="28764">
      <c r="B28764" s="612"/>
      <c r="H28764" s="612"/>
    </row>
    <row r="28765">
      <c r="B28765" s="612"/>
      <c r="H28765" s="612"/>
    </row>
    <row r="28766">
      <c r="B28766" s="612"/>
      <c r="H28766" s="612"/>
    </row>
    <row r="28767">
      <c r="B28767" s="612"/>
      <c r="H28767" s="612"/>
    </row>
    <row r="28768">
      <c r="B28768" s="612"/>
      <c r="H28768" s="612"/>
    </row>
    <row r="28769">
      <c r="B28769" s="612"/>
      <c r="H28769" s="612"/>
    </row>
    <row r="28770">
      <c r="B28770" s="612"/>
      <c r="H28770" s="612"/>
    </row>
    <row r="28771">
      <c r="B28771" s="612"/>
      <c r="H28771" s="612"/>
    </row>
    <row r="28772">
      <c r="B28772" s="612"/>
      <c r="H28772" s="612"/>
    </row>
    <row r="28773">
      <c r="B28773" s="612"/>
      <c r="H28773" s="612"/>
    </row>
    <row r="28774">
      <c r="B28774" s="612"/>
      <c r="H28774" s="612"/>
    </row>
    <row r="28775">
      <c r="B28775" s="612"/>
      <c r="H28775" s="612"/>
    </row>
    <row r="28776">
      <c r="B28776" s="612"/>
      <c r="H28776" s="612"/>
    </row>
    <row r="28777">
      <c r="B28777" s="612"/>
      <c r="H28777" s="612"/>
    </row>
    <row r="28778">
      <c r="B28778" s="612"/>
      <c r="H28778" s="612"/>
    </row>
    <row r="28779">
      <c r="B28779" s="612"/>
      <c r="H28779" s="612"/>
    </row>
    <row r="28780">
      <c r="B28780" s="612"/>
      <c r="H28780" s="612"/>
    </row>
    <row r="28781">
      <c r="B28781" s="612"/>
      <c r="H28781" s="612"/>
    </row>
    <row r="28782">
      <c r="B28782" s="612"/>
      <c r="H28782" s="612"/>
    </row>
    <row r="28783">
      <c r="B28783" s="612"/>
      <c r="H28783" s="612"/>
    </row>
    <row r="28784">
      <c r="B28784" s="612"/>
      <c r="H28784" s="612"/>
    </row>
    <row r="28785">
      <c r="B28785" s="612"/>
      <c r="H28785" s="612"/>
    </row>
    <row r="28786">
      <c r="B28786" s="612"/>
      <c r="H28786" s="612"/>
    </row>
    <row r="28787">
      <c r="B28787" s="612"/>
      <c r="H28787" s="612"/>
    </row>
    <row r="28788">
      <c r="B28788" s="612"/>
      <c r="H28788" s="612"/>
    </row>
    <row r="28789">
      <c r="B28789" s="612"/>
      <c r="H28789" s="612"/>
    </row>
    <row r="28790">
      <c r="B28790" s="612"/>
      <c r="H28790" s="612"/>
    </row>
    <row r="28791">
      <c r="B28791" s="612"/>
      <c r="H28791" s="612"/>
    </row>
    <row r="28792">
      <c r="B28792" s="612"/>
      <c r="H28792" s="612"/>
    </row>
    <row r="28793">
      <c r="B28793" s="612"/>
      <c r="H28793" s="612"/>
    </row>
    <row r="28794">
      <c r="B28794" s="612"/>
      <c r="H28794" s="612"/>
    </row>
    <row r="28795">
      <c r="B28795" s="612"/>
      <c r="H28795" s="612"/>
    </row>
    <row r="28796">
      <c r="B28796" s="612"/>
      <c r="H28796" s="612"/>
    </row>
    <row r="28797">
      <c r="B28797" s="612"/>
      <c r="H28797" s="612"/>
    </row>
    <row r="28798">
      <c r="B28798" s="612"/>
      <c r="H28798" s="612"/>
    </row>
    <row r="28799">
      <c r="B28799" s="612"/>
      <c r="H28799" s="612"/>
    </row>
    <row r="28800">
      <c r="B28800" s="612"/>
      <c r="H28800" s="612"/>
    </row>
    <row r="28801">
      <c r="B28801" s="612"/>
      <c r="H28801" s="612"/>
    </row>
    <row r="28802">
      <c r="B28802" s="612"/>
      <c r="H28802" s="612"/>
    </row>
    <row r="28803">
      <c r="B28803" s="612"/>
      <c r="H28803" s="612"/>
    </row>
    <row r="28804">
      <c r="B28804" s="612"/>
      <c r="H28804" s="612"/>
    </row>
    <row r="28805">
      <c r="B28805" s="612"/>
      <c r="H28805" s="612"/>
    </row>
    <row r="28806">
      <c r="B28806" s="612"/>
      <c r="H28806" s="612"/>
    </row>
    <row r="28807">
      <c r="B28807" s="612"/>
      <c r="H28807" s="612"/>
    </row>
    <row r="28808">
      <c r="B28808" s="612"/>
      <c r="H28808" s="612"/>
    </row>
    <row r="28809">
      <c r="B28809" s="612"/>
      <c r="H28809" s="612"/>
    </row>
    <row r="28810">
      <c r="B28810" s="612"/>
      <c r="H28810" s="612"/>
    </row>
    <row r="28811">
      <c r="B28811" s="612"/>
      <c r="H28811" s="612"/>
    </row>
    <row r="28812">
      <c r="B28812" s="612"/>
      <c r="H28812" s="612"/>
    </row>
    <row r="28813">
      <c r="B28813" s="612"/>
      <c r="H28813" s="612"/>
    </row>
    <row r="28814">
      <c r="B28814" s="612"/>
      <c r="H28814" s="612"/>
    </row>
    <row r="28815">
      <c r="B28815" s="612"/>
      <c r="H28815" s="612"/>
    </row>
    <row r="28816">
      <c r="B28816" s="612"/>
      <c r="H28816" s="612"/>
    </row>
    <row r="28817">
      <c r="B28817" s="612"/>
      <c r="H28817" s="612"/>
    </row>
    <row r="28818">
      <c r="B28818" s="612"/>
      <c r="H28818" s="612"/>
    </row>
    <row r="28819">
      <c r="B28819" s="612"/>
      <c r="H28819" s="612"/>
    </row>
    <row r="28820">
      <c r="B28820" s="612"/>
      <c r="H28820" s="612"/>
    </row>
    <row r="28821">
      <c r="B28821" s="612"/>
      <c r="H28821" s="612"/>
    </row>
    <row r="28822">
      <c r="B28822" s="612"/>
      <c r="H28822" s="612"/>
    </row>
    <row r="28823">
      <c r="B28823" s="612"/>
      <c r="H28823" s="612"/>
    </row>
    <row r="28824">
      <c r="B28824" s="612"/>
      <c r="H28824" s="612"/>
    </row>
    <row r="28825">
      <c r="B28825" s="612"/>
      <c r="H28825" s="612"/>
    </row>
    <row r="28826">
      <c r="B28826" s="612"/>
      <c r="H28826" s="612"/>
    </row>
    <row r="28827">
      <c r="B28827" s="612"/>
      <c r="H28827" s="612"/>
    </row>
    <row r="28828">
      <c r="B28828" s="612"/>
      <c r="H28828" s="612"/>
    </row>
    <row r="28829">
      <c r="B28829" s="612"/>
      <c r="H28829" s="612"/>
    </row>
    <row r="28830">
      <c r="B28830" s="612"/>
      <c r="H28830" s="612"/>
    </row>
    <row r="28831">
      <c r="B28831" s="612"/>
      <c r="H28831" s="612"/>
    </row>
    <row r="28832">
      <c r="B28832" s="612"/>
      <c r="H28832" s="612"/>
    </row>
    <row r="28833">
      <c r="B28833" s="612"/>
      <c r="H28833" s="612"/>
    </row>
    <row r="28834">
      <c r="B28834" s="612"/>
      <c r="H28834" s="612"/>
    </row>
    <row r="28835">
      <c r="B28835" s="612"/>
      <c r="H28835" s="612"/>
    </row>
    <row r="28836">
      <c r="B28836" s="612"/>
      <c r="H28836" s="612"/>
    </row>
    <row r="28837">
      <c r="B28837" s="612"/>
      <c r="H28837" s="612"/>
    </row>
    <row r="28838">
      <c r="B28838" s="612"/>
      <c r="H28838" s="612"/>
    </row>
    <row r="28839">
      <c r="B28839" s="612"/>
      <c r="H28839" s="612"/>
    </row>
    <row r="28840">
      <c r="B28840" s="612"/>
      <c r="H28840" s="612"/>
    </row>
    <row r="28841">
      <c r="B28841" s="612"/>
      <c r="H28841" s="612"/>
    </row>
    <row r="28842">
      <c r="B28842" s="612"/>
      <c r="H28842" s="612"/>
    </row>
    <row r="28843">
      <c r="B28843" s="612"/>
      <c r="H28843" s="612"/>
    </row>
    <row r="28844">
      <c r="B28844" s="612"/>
      <c r="H28844" s="612"/>
    </row>
    <row r="28845">
      <c r="B28845" s="612"/>
      <c r="H28845" s="612"/>
    </row>
    <row r="28846">
      <c r="B28846" s="612"/>
      <c r="H28846" s="612"/>
    </row>
    <row r="28847">
      <c r="B28847" s="612"/>
      <c r="H28847" s="612"/>
    </row>
    <row r="28848">
      <c r="B28848" s="612"/>
      <c r="H28848" s="612"/>
    </row>
    <row r="28849">
      <c r="B28849" s="612"/>
      <c r="H28849" s="612"/>
    </row>
    <row r="28850">
      <c r="B28850" s="612"/>
      <c r="H28850" s="612"/>
    </row>
    <row r="28851">
      <c r="B28851" s="612"/>
      <c r="H28851" s="612"/>
    </row>
    <row r="28852">
      <c r="B28852" s="612"/>
      <c r="H28852" s="612"/>
    </row>
    <row r="28853">
      <c r="B28853" s="612"/>
      <c r="H28853" s="612"/>
    </row>
    <row r="28854">
      <c r="B28854" s="612"/>
      <c r="H28854" s="612"/>
    </row>
    <row r="28855">
      <c r="B28855" s="612"/>
      <c r="H28855" s="612"/>
    </row>
    <row r="28856">
      <c r="B28856" s="612"/>
      <c r="H28856" s="612"/>
    </row>
    <row r="28857">
      <c r="B28857" s="612"/>
      <c r="H28857" s="612"/>
    </row>
    <row r="28858">
      <c r="B28858" s="612"/>
      <c r="H28858" s="612"/>
    </row>
    <row r="28859">
      <c r="B28859" s="612"/>
      <c r="H28859" s="612"/>
    </row>
    <row r="28860">
      <c r="B28860" s="612"/>
      <c r="H28860" s="612"/>
    </row>
    <row r="28861">
      <c r="B28861" s="612"/>
      <c r="H28861" s="612"/>
    </row>
    <row r="28862">
      <c r="B28862" s="612"/>
      <c r="H28862" s="612"/>
    </row>
    <row r="28863">
      <c r="B28863" s="612"/>
      <c r="H28863" s="612"/>
    </row>
    <row r="28864">
      <c r="B28864" s="612"/>
      <c r="H28864" s="612"/>
    </row>
    <row r="28865">
      <c r="B28865" s="612"/>
      <c r="H28865" s="612"/>
    </row>
    <row r="28866">
      <c r="B28866" s="612"/>
      <c r="H28866" s="612"/>
    </row>
    <row r="28867">
      <c r="B28867" s="612"/>
      <c r="H28867" s="612"/>
    </row>
    <row r="28868">
      <c r="B28868" s="612"/>
      <c r="H28868" s="612"/>
    </row>
    <row r="28869">
      <c r="B28869" s="612"/>
      <c r="H28869" s="612"/>
    </row>
    <row r="28870">
      <c r="B28870" s="612"/>
      <c r="H28870" s="612"/>
    </row>
    <row r="28871">
      <c r="B28871" s="612"/>
      <c r="H28871" s="612"/>
    </row>
    <row r="28872">
      <c r="B28872" s="612"/>
      <c r="H28872" s="612"/>
    </row>
    <row r="28873">
      <c r="B28873" s="612"/>
      <c r="H28873" s="612"/>
    </row>
    <row r="28874">
      <c r="B28874" s="612"/>
      <c r="H28874" s="612"/>
    </row>
    <row r="28875">
      <c r="B28875" s="612"/>
      <c r="H28875" s="612"/>
    </row>
    <row r="28876">
      <c r="B28876" s="612"/>
      <c r="H28876" s="612"/>
    </row>
    <row r="28877">
      <c r="B28877" s="612"/>
      <c r="H28877" s="612"/>
    </row>
    <row r="28878">
      <c r="B28878" s="612"/>
      <c r="H28878" s="612"/>
    </row>
    <row r="28879">
      <c r="B28879" s="612"/>
      <c r="H28879" s="612"/>
    </row>
    <row r="28880">
      <c r="B28880" s="612"/>
      <c r="H28880" s="612"/>
    </row>
    <row r="28881">
      <c r="B28881" s="612"/>
      <c r="H28881" s="612"/>
    </row>
    <row r="28882">
      <c r="B28882" s="612"/>
      <c r="H28882" s="612"/>
    </row>
    <row r="28883">
      <c r="B28883" s="612"/>
      <c r="H28883" s="612"/>
    </row>
    <row r="28884">
      <c r="B28884" s="612"/>
      <c r="H28884" s="612"/>
    </row>
    <row r="28885">
      <c r="B28885" s="612"/>
      <c r="H28885" s="612"/>
    </row>
    <row r="28886">
      <c r="B28886" s="612"/>
      <c r="H28886" s="612"/>
    </row>
    <row r="28887">
      <c r="B28887" s="612"/>
      <c r="H28887" s="612"/>
    </row>
    <row r="28888">
      <c r="B28888" s="612"/>
      <c r="H28888" s="612"/>
    </row>
    <row r="28889">
      <c r="B28889" s="612"/>
      <c r="H28889" s="612"/>
    </row>
    <row r="28890">
      <c r="B28890" s="612"/>
      <c r="H28890" s="612"/>
    </row>
    <row r="28891">
      <c r="B28891" s="612"/>
      <c r="H28891" s="612"/>
    </row>
    <row r="28892">
      <c r="B28892" s="612"/>
      <c r="H28892" s="612"/>
    </row>
    <row r="28893">
      <c r="B28893" s="612"/>
      <c r="H28893" s="612"/>
    </row>
    <row r="28894">
      <c r="B28894" s="612"/>
      <c r="H28894" s="612"/>
    </row>
    <row r="28895">
      <c r="B28895" s="612"/>
      <c r="H28895" s="612"/>
    </row>
    <row r="28896">
      <c r="B28896" s="612"/>
      <c r="H28896" s="612"/>
    </row>
    <row r="28897">
      <c r="B28897" s="612"/>
      <c r="H28897" s="612"/>
    </row>
    <row r="28898">
      <c r="B28898" s="612"/>
      <c r="H28898" s="612"/>
    </row>
    <row r="28899">
      <c r="B28899" s="612"/>
      <c r="H28899" s="612"/>
    </row>
    <row r="28900">
      <c r="B28900" s="612"/>
      <c r="H28900" s="612"/>
    </row>
    <row r="28901">
      <c r="B28901" s="612"/>
      <c r="H28901" s="612"/>
    </row>
    <row r="28902">
      <c r="B28902" s="612"/>
      <c r="H28902" s="612"/>
    </row>
    <row r="28903">
      <c r="B28903" s="612"/>
      <c r="H28903" s="612"/>
    </row>
    <row r="28904">
      <c r="B28904" s="612"/>
      <c r="H28904" s="612"/>
    </row>
    <row r="28905">
      <c r="B28905" s="612"/>
      <c r="H28905" s="612"/>
    </row>
    <row r="28906">
      <c r="B28906" s="612"/>
      <c r="H28906" s="612"/>
    </row>
    <row r="28907">
      <c r="B28907" s="612"/>
      <c r="H28907" s="612"/>
    </row>
    <row r="28908">
      <c r="B28908" s="612"/>
      <c r="H28908" s="612"/>
    </row>
    <row r="28909">
      <c r="B28909" s="612"/>
      <c r="H28909" s="612"/>
    </row>
    <row r="28910">
      <c r="B28910" s="612"/>
      <c r="H28910" s="612"/>
    </row>
    <row r="28911">
      <c r="B28911" s="612"/>
      <c r="H28911" s="612"/>
    </row>
    <row r="28912">
      <c r="B28912" s="612"/>
      <c r="H28912" s="612"/>
    </row>
    <row r="28913">
      <c r="B28913" s="612"/>
      <c r="H28913" s="612"/>
    </row>
    <row r="28914">
      <c r="B28914" s="612"/>
      <c r="H28914" s="612"/>
    </row>
    <row r="28915">
      <c r="B28915" s="612"/>
      <c r="H28915" s="612"/>
    </row>
    <row r="28916">
      <c r="B28916" s="612"/>
      <c r="H28916" s="612"/>
    </row>
    <row r="28917">
      <c r="B28917" s="612"/>
      <c r="H28917" s="612"/>
    </row>
    <row r="28918">
      <c r="B28918" s="612"/>
      <c r="H28918" s="612"/>
    </row>
    <row r="28919">
      <c r="B28919" s="612"/>
      <c r="H28919" s="612"/>
    </row>
    <row r="28920">
      <c r="B28920" s="612"/>
      <c r="H28920" s="612"/>
    </row>
    <row r="28921">
      <c r="B28921" s="612"/>
      <c r="H28921" s="612"/>
    </row>
    <row r="28922">
      <c r="B28922" s="612"/>
      <c r="H28922" s="612"/>
    </row>
    <row r="28923">
      <c r="B28923" s="612"/>
      <c r="H28923" s="612"/>
    </row>
    <row r="28924">
      <c r="B28924" s="612"/>
      <c r="H28924" s="612"/>
    </row>
    <row r="28925">
      <c r="B28925" s="612"/>
      <c r="H28925" s="612"/>
    </row>
    <row r="28926">
      <c r="B28926" s="612"/>
      <c r="H28926" s="612"/>
    </row>
    <row r="28927">
      <c r="B28927" s="612"/>
      <c r="H28927" s="612"/>
    </row>
    <row r="28928">
      <c r="B28928" s="612"/>
      <c r="H28928" s="612"/>
    </row>
    <row r="28929">
      <c r="B28929" s="612"/>
      <c r="H28929" s="612"/>
    </row>
    <row r="28930">
      <c r="B28930" s="612"/>
      <c r="H28930" s="612"/>
    </row>
    <row r="28931">
      <c r="B28931" s="612"/>
      <c r="H28931" s="612"/>
    </row>
    <row r="28932">
      <c r="B28932" s="612"/>
      <c r="H28932" s="612"/>
    </row>
    <row r="28933">
      <c r="B28933" s="612"/>
      <c r="H28933" s="612"/>
    </row>
    <row r="28934">
      <c r="B28934" s="612"/>
      <c r="H28934" s="612"/>
    </row>
    <row r="28935">
      <c r="B28935" s="612"/>
      <c r="H28935" s="612"/>
    </row>
    <row r="28936">
      <c r="B28936" s="612"/>
      <c r="H28936" s="612"/>
    </row>
    <row r="28937">
      <c r="B28937" s="612"/>
      <c r="H28937" s="612"/>
    </row>
    <row r="28938">
      <c r="B28938" s="612"/>
      <c r="H28938" s="612"/>
    </row>
    <row r="28939">
      <c r="B28939" s="612"/>
      <c r="H28939" s="612"/>
    </row>
    <row r="28940">
      <c r="B28940" s="612"/>
      <c r="H28940" s="612"/>
    </row>
    <row r="28941">
      <c r="B28941" s="612"/>
      <c r="H28941" s="612"/>
    </row>
    <row r="28942">
      <c r="B28942" s="612"/>
      <c r="H28942" s="612"/>
    </row>
    <row r="28943">
      <c r="B28943" s="612"/>
      <c r="H28943" s="612"/>
    </row>
    <row r="28944">
      <c r="B28944" s="612"/>
      <c r="H28944" s="612"/>
    </row>
    <row r="28945">
      <c r="B28945" s="612"/>
      <c r="H28945" s="612"/>
    </row>
    <row r="28946">
      <c r="B28946" s="612"/>
      <c r="H28946" s="612"/>
    </row>
    <row r="28947">
      <c r="B28947" s="612"/>
      <c r="H28947" s="612"/>
    </row>
    <row r="28948">
      <c r="B28948" s="612"/>
      <c r="H28948" s="612"/>
    </row>
    <row r="28949">
      <c r="B28949" s="612"/>
      <c r="H28949" s="612"/>
    </row>
    <row r="28950">
      <c r="B28950" s="612"/>
      <c r="H28950" s="612"/>
    </row>
    <row r="28951">
      <c r="B28951" s="612"/>
      <c r="H28951" s="612"/>
    </row>
    <row r="28952">
      <c r="B28952" s="612"/>
      <c r="H28952" s="612"/>
    </row>
    <row r="28953">
      <c r="B28953" s="612"/>
      <c r="H28953" s="612"/>
    </row>
    <row r="28954">
      <c r="B28954" s="612"/>
      <c r="H28954" s="612"/>
    </row>
    <row r="28955">
      <c r="B28955" s="612"/>
      <c r="H28955" s="612"/>
    </row>
    <row r="28956">
      <c r="B28956" s="612"/>
      <c r="H28956" s="612"/>
    </row>
    <row r="28957">
      <c r="B28957" s="612"/>
      <c r="H28957" s="612"/>
    </row>
    <row r="28958">
      <c r="B28958" s="612"/>
      <c r="H28958" s="612"/>
    </row>
    <row r="28959">
      <c r="B28959" s="612"/>
      <c r="H28959" s="612"/>
    </row>
    <row r="28960">
      <c r="B28960" s="612"/>
      <c r="H28960" s="612"/>
    </row>
    <row r="28961">
      <c r="B28961" s="612"/>
      <c r="H28961" s="612"/>
    </row>
    <row r="28962">
      <c r="B28962" s="612"/>
      <c r="H28962" s="612"/>
    </row>
    <row r="28963">
      <c r="B28963" s="612"/>
      <c r="H28963" s="612"/>
    </row>
    <row r="28964">
      <c r="B28964" s="612"/>
      <c r="H28964" s="612"/>
    </row>
    <row r="28965">
      <c r="B28965" s="612"/>
      <c r="H28965" s="612"/>
    </row>
    <row r="28966">
      <c r="B28966" s="612"/>
      <c r="H28966" s="612"/>
    </row>
    <row r="28967">
      <c r="B28967" s="612"/>
      <c r="H28967" s="612"/>
    </row>
    <row r="28968">
      <c r="B28968" s="612"/>
      <c r="H28968" s="612"/>
    </row>
    <row r="28969">
      <c r="B28969" s="612"/>
      <c r="H28969" s="612"/>
    </row>
    <row r="28970">
      <c r="B28970" s="612"/>
      <c r="H28970" s="612"/>
    </row>
    <row r="28971">
      <c r="B28971" s="612"/>
      <c r="H28971" s="612"/>
    </row>
    <row r="28972">
      <c r="B28972" s="612"/>
      <c r="H28972" s="612"/>
    </row>
    <row r="28973">
      <c r="B28973" s="612"/>
      <c r="H28973" s="612"/>
    </row>
    <row r="28974">
      <c r="B28974" s="612"/>
      <c r="H28974" s="612"/>
    </row>
    <row r="28975">
      <c r="B28975" s="612"/>
      <c r="H28975" s="612"/>
    </row>
    <row r="28976">
      <c r="B28976" s="612"/>
      <c r="H28976" s="612"/>
    </row>
    <row r="28977">
      <c r="B28977" s="612"/>
      <c r="H28977" s="612"/>
    </row>
    <row r="28978">
      <c r="B28978" s="612"/>
      <c r="H28978" s="612"/>
    </row>
    <row r="28979">
      <c r="B28979" s="612"/>
      <c r="H28979" s="612"/>
    </row>
    <row r="28980">
      <c r="B28980" s="612"/>
      <c r="H28980" s="612"/>
    </row>
    <row r="28981">
      <c r="B28981" s="612"/>
      <c r="H28981" s="612"/>
    </row>
    <row r="28982">
      <c r="B28982" s="612"/>
      <c r="H28982" s="612"/>
    </row>
    <row r="28983">
      <c r="B28983" s="612"/>
      <c r="H28983" s="612"/>
    </row>
    <row r="28984">
      <c r="B28984" s="612"/>
      <c r="H28984" s="612"/>
    </row>
    <row r="28985">
      <c r="B28985" s="612"/>
      <c r="H28985" s="612"/>
    </row>
    <row r="28986">
      <c r="B28986" s="612"/>
      <c r="H28986" s="612"/>
    </row>
    <row r="28987">
      <c r="B28987" s="612"/>
      <c r="H28987" s="612"/>
    </row>
    <row r="28988">
      <c r="B28988" s="612"/>
      <c r="H28988" s="612"/>
    </row>
    <row r="28989">
      <c r="B28989" s="612"/>
      <c r="H28989" s="612"/>
    </row>
    <row r="28990">
      <c r="B28990" s="612"/>
      <c r="H28990" s="612"/>
    </row>
    <row r="28991">
      <c r="B28991" s="612"/>
      <c r="H28991" s="612"/>
    </row>
    <row r="28992">
      <c r="B28992" s="612"/>
      <c r="H28992" s="612"/>
    </row>
    <row r="28993">
      <c r="B28993" s="612"/>
      <c r="H28993" s="612"/>
    </row>
    <row r="28994">
      <c r="B28994" s="612"/>
      <c r="H28994" s="612"/>
    </row>
    <row r="28995">
      <c r="B28995" s="612"/>
      <c r="H28995" s="612"/>
    </row>
    <row r="28996">
      <c r="B28996" s="612"/>
      <c r="H28996" s="612"/>
    </row>
    <row r="28997">
      <c r="B28997" s="612"/>
      <c r="H28997" s="612"/>
    </row>
    <row r="28998">
      <c r="B28998" s="612"/>
      <c r="H28998" s="612"/>
    </row>
    <row r="28999">
      <c r="B28999" s="612"/>
      <c r="H28999" s="612"/>
    </row>
    <row r="29000">
      <c r="B29000" s="612"/>
      <c r="H29000" s="612"/>
    </row>
    <row r="29001">
      <c r="B29001" s="612"/>
      <c r="H29001" s="612"/>
    </row>
    <row r="29002">
      <c r="B29002" s="612"/>
      <c r="H29002" s="612"/>
    </row>
    <row r="29003">
      <c r="B29003" s="612"/>
      <c r="H29003" s="612"/>
    </row>
    <row r="29004">
      <c r="B29004" s="612"/>
      <c r="H29004" s="612"/>
    </row>
    <row r="29005">
      <c r="B29005" s="612"/>
      <c r="H29005" s="612"/>
    </row>
    <row r="29006">
      <c r="B29006" s="612"/>
      <c r="H29006" s="612"/>
    </row>
    <row r="29007">
      <c r="B29007" s="612"/>
      <c r="H29007" s="612"/>
    </row>
    <row r="29008">
      <c r="B29008" s="612"/>
      <c r="H29008" s="612"/>
    </row>
    <row r="29009">
      <c r="B29009" s="612"/>
      <c r="H29009" s="612"/>
    </row>
    <row r="29010">
      <c r="B29010" s="612"/>
      <c r="H29010" s="612"/>
    </row>
    <row r="29011">
      <c r="B29011" s="612"/>
      <c r="H29011" s="612"/>
    </row>
    <row r="29012">
      <c r="B29012" s="612"/>
      <c r="H29012" s="612"/>
    </row>
    <row r="29013">
      <c r="B29013" s="612"/>
      <c r="H29013" s="612"/>
    </row>
    <row r="29014">
      <c r="B29014" s="612"/>
      <c r="H29014" s="612"/>
    </row>
    <row r="29015">
      <c r="B29015" s="612"/>
      <c r="H29015" s="612"/>
    </row>
    <row r="29016">
      <c r="B29016" s="612"/>
      <c r="H29016" s="612"/>
    </row>
    <row r="29017">
      <c r="B29017" s="612"/>
      <c r="H29017" s="612"/>
    </row>
    <row r="29018">
      <c r="B29018" s="612"/>
      <c r="H29018" s="612"/>
    </row>
    <row r="29019">
      <c r="B29019" s="612"/>
      <c r="H29019" s="612"/>
    </row>
    <row r="29020">
      <c r="B29020" s="612"/>
      <c r="H29020" s="612"/>
    </row>
    <row r="29021">
      <c r="B29021" s="612"/>
      <c r="H29021" s="612"/>
    </row>
    <row r="29022">
      <c r="B29022" s="612"/>
      <c r="H29022" s="612"/>
    </row>
    <row r="29023">
      <c r="B29023" s="612"/>
      <c r="H29023" s="612"/>
    </row>
    <row r="29024">
      <c r="B29024" s="612"/>
      <c r="H29024" s="612"/>
    </row>
    <row r="29025">
      <c r="B29025" s="612"/>
      <c r="H29025" s="612"/>
    </row>
    <row r="29026">
      <c r="B29026" s="612"/>
      <c r="H29026" s="612"/>
    </row>
    <row r="29027">
      <c r="B29027" s="612"/>
      <c r="H29027" s="612"/>
    </row>
    <row r="29028">
      <c r="B29028" s="612"/>
      <c r="H29028" s="612"/>
    </row>
    <row r="29029">
      <c r="B29029" s="612"/>
      <c r="H29029" s="612"/>
    </row>
    <row r="29030">
      <c r="B29030" s="612"/>
      <c r="H29030" s="612"/>
    </row>
    <row r="29031">
      <c r="B29031" s="612"/>
      <c r="H29031" s="612"/>
    </row>
    <row r="29032">
      <c r="B29032" s="612"/>
      <c r="H29032" s="612"/>
    </row>
    <row r="29033">
      <c r="B29033" s="612"/>
      <c r="H29033" s="612"/>
    </row>
    <row r="29034">
      <c r="B29034" s="612"/>
      <c r="H29034" s="612"/>
    </row>
    <row r="29035">
      <c r="B29035" s="612"/>
      <c r="H29035" s="612"/>
    </row>
    <row r="29036">
      <c r="B29036" s="612"/>
      <c r="H29036" s="612"/>
    </row>
    <row r="29037">
      <c r="B29037" s="612"/>
      <c r="H29037" s="612"/>
    </row>
    <row r="29038">
      <c r="B29038" s="612"/>
      <c r="H29038" s="612"/>
    </row>
    <row r="29039">
      <c r="B29039" s="612"/>
      <c r="H29039" s="612"/>
    </row>
    <row r="29040">
      <c r="B29040" s="612"/>
      <c r="H29040" s="612"/>
    </row>
    <row r="29041">
      <c r="B29041" s="612"/>
      <c r="H29041" s="612"/>
    </row>
    <row r="29042">
      <c r="B29042" s="612"/>
      <c r="H29042" s="612"/>
    </row>
    <row r="29043">
      <c r="B29043" s="612"/>
      <c r="H29043" s="612"/>
    </row>
    <row r="29044">
      <c r="B29044" s="612"/>
      <c r="H29044" s="612"/>
    </row>
    <row r="29045">
      <c r="B29045" s="612"/>
      <c r="H29045" s="612"/>
    </row>
    <row r="29046">
      <c r="B29046" s="612"/>
      <c r="H29046" s="612"/>
    </row>
    <row r="29047">
      <c r="B29047" s="612"/>
      <c r="H29047" s="612"/>
    </row>
    <row r="29048">
      <c r="B29048" s="612"/>
      <c r="H29048" s="612"/>
    </row>
    <row r="29049">
      <c r="B29049" s="612"/>
      <c r="H29049" s="612"/>
    </row>
    <row r="29050">
      <c r="B29050" s="612"/>
      <c r="H29050" s="612"/>
    </row>
    <row r="29051">
      <c r="B29051" s="612"/>
      <c r="H29051" s="612"/>
    </row>
    <row r="29052">
      <c r="B29052" s="612"/>
      <c r="H29052" s="612"/>
    </row>
    <row r="29053">
      <c r="B29053" s="612"/>
      <c r="H29053" s="612"/>
    </row>
    <row r="29054">
      <c r="B29054" s="612"/>
      <c r="H29054" s="612"/>
    </row>
    <row r="29055">
      <c r="B29055" s="612"/>
      <c r="H29055" s="612"/>
    </row>
    <row r="29056">
      <c r="B29056" s="612"/>
      <c r="H29056" s="612"/>
    </row>
    <row r="29057">
      <c r="B29057" s="612"/>
      <c r="H29057" s="612"/>
    </row>
    <row r="29058">
      <c r="B29058" s="612"/>
      <c r="H29058" s="612"/>
    </row>
    <row r="29059">
      <c r="B29059" s="612"/>
      <c r="H29059" s="612"/>
    </row>
    <row r="29060">
      <c r="B29060" s="612"/>
      <c r="H29060" s="612"/>
    </row>
    <row r="29061">
      <c r="B29061" s="612"/>
      <c r="H29061" s="612"/>
    </row>
    <row r="29062">
      <c r="B29062" s="612"/>
      <c r="H29062" s="612"/>
    </row>
    <row r="29063">
      <c r="B29063" s="612"/>
      <c r="H29063" s="612"/>
    </row>
    <row r="29064">
      <c r="B29064" s="612"/>
      <c r="H29064" s="612"/>
    </row>
    <row r="29065">
      <c r="B29065" s="612"/>
      <c r="H29065" s="612"/>
    </row>
    <row r="29066">
      <c r="B29066" s="612"/>
      <c r="H29066" s="612"/>
    </row>
    <row r="29067">
      <c r="B29067" s="612"/>
      <c r="H29067" s="612"/>
    </row>
    <row r="29068">
      <c r="B29068" s="612"/>
      <c r="H29068" s="612"/>
    </row>
    <row r="29069">
      <c r="B29069" s="612"/>
      <c r="H29069" s="612"/>
    </row>
    <row r="29070">
      <c r="B29070" s="612"/>
      <c r="H29070" s="612"/>
    </row>
    <row r="29071">
      <c r="B29071" s="612"/>
      <c r="H29071" s="612"/>
    </row>
    <row r="29072">
      <c r="B29072" s="612"/>
      <c r="H29072" s="612"/>
    </row>
    <row r="29073">
      <c r="B29073" s="612"/>
      <c r="H29073" s="612"/>
    </row>
    <row r="29074">
      <c r="B29074" s="612"/>
      <c r="H29074" s="612"/>
    </row>
    <row r="29075">
      <c r="B29075" s="612"/>
      <c r="H29075" s="612"/>
    </row>
    <row r="29076">
      <c r="B29076" s="612"/>
      <c r="H29076" s="612"/>
    </row>
    <row r="29077">
      <c r="B29077" s="612"/>
      <c r="H29077" s="612"/>
    </row>
    <row r="29078">
      <c r="B29078" s="612"/>
      <c r="H29078" s="612"/>
    </row>
    <row r="29079">
      <c r="B29079" s="612"/>
      <c r="H29079" s="612"/>
    </row>
    <row r="29080">
      <c r="B29080" s="612"/>
      <c r="H29080" s="612"/>
    </row>
    <row r="29081">
      <c r="B29081" s="612"/>
      <c r="H29081" s="612"/>
    </row>
    <row r="29082">
      <c r="B29082" s="612"/>
      <c r="H29082" s="612"/>
    </row>
    <row r="29083">
      <c r="B29083" s="612"/>
      <c r="H29083" s="612"/>
    </row>
    <row r="29084">
      <c r="B29084" s="612"/>
      <c r="H29084" s="612"/>
    </row>
    <row r="29085">
      <c r="B29085" s="612"/>
      <c r="H29085" s="612"/>
    </row>
    <row r="29086">
      <c r="B29086" s="612"/>
      <c r="H29086" s="612"/>
    </row>
    <row r="29087">
      <c r="B29087" s="612"/>
      <c r="H29087" s="612"/>
    </row>
    <row r="29088">
      <c r="B29088" s="612"/>
      <c r="H29088" s="612"/>
    </row>
    <row r="29089">
      <c r="B29089" s="612"/>
      <c r="H29089" s="612"/>
    </row>
    <row r="29090">
      <c r="B29090" s="612"/>
      <c r="H29090" s="612"/>
    </row>
    <row r="29091">
      <c r="B29091" s="612"/>
      <c r="H29091" s="612"/>
    </row>
    <row r="29092">
      <c r="B29092" s="612"/>
      <c r="H29092" s="612"/>
    </row>
    <row r="29093">
      <c r="B29093" s="612"/>
      <c r="H29093" s="612"/>
    </row>
    <row r="29094">
      <c r="B29094" s="612"/>
      <c r="H29094" s="612"/>
    </row>
    <row r="29095">
      <c r="B29095" s="612"/>
      <c r="H29095" s="612"/>
    </row>
    <row r="29096">
      <c r="B29096" s="612"/>
      <c r="H29096" s="612"/>
    </row>
    <row r="29097">
      <c r="B29097" s="612"/>
      <c r="H29097" s="612"/>
    </row>
    <row r="29098">
      <c r="B29098" s="612"/>
      <c r="H29098" s="612"/>
    </row>
    <row r="29099">
      <c r="B29099" s="612"/>
      <c r="H29099" s="612"/>
    </row>
    <row r="29100">
      <c r="B29100" s="612"/>
      <c r="H29100" s="612"/>
    </row>
    <row r="29101">
      <c r="B29101" s="612"/>
      <c r="H29101" s="612"/>
    </row>
    <row r="29102">
      <c r="B29102" s="612"/>
      <c r="H29102" s="612"/>
    </row>
    <row r="29103">
      <c r="B29103" s="612"/>
      <c r="H29103" s="612"/>
    </row>
    <row r="29104">
      <c r="B29104" s="612"/>
      <c r="H29104" s="612"/>
    </row>
    <row r="29105">
      <c r="B29105" s="612"/>
      <c r="H29105" s="612"/>
    </row>
    <row r="29106">
      <c r="B29106" s="612"/>
      <c r="H29106" s="612"/>
    </row>
    <row r="29107">
      <c r="B29107" s="612"/>
      <c r="H29107" s="612"/>
    </row>
    <row r="29108">
      <c r="B29108" s="612"/>
      <c r="H29108" s="612"/>
    </row>
    <row r="29109">
      <c r="B29109" s="612"/>
      <c r="H29109" s="612"/>
    </row>
    <row r="29110">
      <c r="B29110" s="612"/>
      <c r="H29110" s="612"/>
    </row>
    <row r="29111">
      <c r="B29111" s="612"/>
      <c r="H29111" s="612"/>
    </row>
    <row r="29112">
      <c r="B29112" s="612"/>
      <c r="H29112" s="612"/>
    </row>
    <row r="29113">
      <c r="B29113" s="612"/>
      <c r="H29113" s="612"/>
    </row>
    <row r="29114">
      <c r="B29114" s="612"/>
      <c r="H29114" s="612"/>
    </row>
    <row r="29115">
      <c r="B29115" s="612"/>
      <c r="H29115" s="612"/>
    </row>
    <row r="29116">
      <c r="B29116" s="612"/>
      <c r="H29116" s="612"/>
    </row>
    <row r="29117">
      <c r="B29117" s="612"/>
      <c r="H29117" s="612"/>
    </row>
    <row r="29118">
      <c r="B29118" s="612"/>
      <c r="H29118" s="612"/>
    </row>
    <row r="29119">
      <c r="B29119" s="612"/>
      <c r="H29119" s="612"/>
    </row>
    <row r="29120">
      <c r="B29120" s="612"/>
      <c r="H29120" s="612"/>
    </row>
    <row r="29121">
      <c r="B29121" s="612"/>
      <c r="H29121" s="612"/>
    </row>
    <row r="29122">
      <c r="B29122" s="612"/>
      <c r="H29122" s="612"/>
    </row>
    <row r="29123">
      <c r="B29123" s="612"/>
      <c r="H29123" s="612"/>
    </row>
    <row r="29124">
      <c r="B29124" s="612"/>
      <c r="H29124" s="612"/>
    </row>
    <row r="29125">
      <c r="B29125" s="612"/>
      <c r="H29125" s="612"/>
    </row>
    <row r="29126">
      <c r="B29126" s="612"/>
      <c r="H29126" s="612"/>
    </row>
    <row r="29127">
      <c r="B29127" s="612"/>
      <c r="H29127" s="612"/>
    </row>
    <row r="29128">
      <c r="B29128" s="612"/>
      <c r="H29128" s="612"/>
    </row>
    <row r="29129">
      <c r="B29129" s="612"/>
      <c r="H29129" s="612"/>
    </row>
    <row r="29130">
      <c r="B29130" s="612"/>
      <c r="H29130" s="612"/>
    </row>
    <row r="29131">
      <c r="B29131" s="612"/>
      <c r="H29131" s="612"/>
    </row>
    <row r="29132">
      <c r="B29132" s="612"/>
      <c r="H29132" s="612"/>
    </row>
    <row r="29133">
      <c r="B29133" s="612"/>
      <c r="H29133" s="612"/>
    </row>
    <row r="29134">
      <c r="B29134" s="612"/>
      <c r="H29134" s="612"/>
    </row>
    <row r="29135">
      <c r="B29135" s="612"/>
      <c r="H29135" s="612"/>
    </row>
    <row r="29136">
      <c r="B29136" s="612"/>
      <c r="H29136" s="612"/>
    </row>
    <row r="29137">
      <c r="B29137" s="612"/>
      <c r="H29137" s="612"/>
    </row>
    <row r="29138">
      <c r="B29138" s="612"/>
      <c r="H29138" s="612"/>
    </row>
    <row r="29139">
      <c r="B29139" s="612"/>
      <c r="H29139" s="612"/>
    </row>
    <row r="29140">
      <c r="B29140" s="612"/>
      <c r="H29140" s="612"/>
    </row>
    <row r="29141">
      <c r="B29141" s="612"/>
      <c r="H29141" s="612"/>
    </row>
    <row r="29142">
      <c r="B29142" s="612"/>
      <c r="H29142" s="612"/>
    </row>
    <row r="29143">
      <c r="B29143" s="612"/>
      <c r="H29143" s="612"/>
    </row>
    <row r="29144">
      <c r="B29144" s="612"/>
      <c r="H29144" s="612"/>
    </row>
    <row r="29145">
      <c r="B29145" s="612"/>
      <c r="H29145" s="612"/>
    </row>
    <row r="29146">
      <c r="B29146" s="612"/>
      <c r="H29146" s="612"/>
    </row>
    <row r="29147">
      <c r="B29147" s="612"/>
      <c r="H29147" s="612"/>
    </row>
    <row r="29148">
      <c r="B29148" s="612"/>
      <c r="H29148" s="612"/>
    </row>
    <row r="29149">
      <c r="B29149" s="612"/>
      <c r="H29149" s="612"/>
    </row>
    <row r="29150">
      <c r="B29150" s="612"/>
      <c r="H29150" s="612"/>
    </row>
    <row r="29151">
      <c r="B29151" s="612"/>
      <c r="H29151" s="612"/>
    </row>
    <row r="29152">
      <c r="B29152" s="612"/>
      <c r="H29152" s="612"/>
    </row>
    <row r="29153">
      <c r="B29153" s="612"/>
      <c r="H29153" s="612"/>
    </row>
    <row r="29154">
      <c r="B29154" s="612"/>
      <c r="H29154" s="612"/>
    </row>
    <row r="29155">
      <c r="B29155" s="612"/>
      <c r="H29155" s="612"/>
    </row>
    <row r="29156">
      <c r="B29156" s="612"/>
      <c r="H29156" s="612"/>
    </row>
    <row r="29157">
      <c r="B29157" s="612"/>
      <c r="H29157" s="612"/>
    </row>
    <row r="29158">
      <c r="B29158" s="612"/>
      <c r="H29158" s="612"/>
    </row>
    <row r="29159">
      <c r="B29159" s="612"/>
      <c r="H29159" s="612"/>
    </row>
    <row r="29160">
      <c r="B29160" s="612"/>
      <c r="H29160" s="612"/>
    </row>
    <row r="29161">
      <c r="B29161" s="612"/>
      <c r="H29161" s="612"/>
    </row>
    <row r="29162">
      <c r="B29162" s="612"/>
      <c r="H29162" s="612"/>
    </row>
    <row r="29163">
      <c r="B29163" s="612"/>
      <c r="H29163" s="612"/>
    </row>
    <row r="29164">
      <c r="B29164" s="612"/>
      <c r="H29164" s="612"/>
    </row>
    <row r="29165">
      <c r="B29165" s="612"/>
      <c r="H29165" s="612"/>
    </row>
    <row r="29166">
      <c r="B29166" s="612"/>
      <c r="H29166" s="612"/>
    </row>
    <row r="29167">
      <c r="B29167" s="612"/>
      <c r="H29167" s="612"/>
    </row>
    <row r="29168">
      <c r="B29168" s="612"/>
      <c r="H29168" s="612"/>
    </row>
    <row r="29169">
      <c r="B29169" s="612"/>
      <c r="H29169" s="612"/>
    </row>
    <row r="29170">
      <c r="B29170" s="612"/>
      <c r="H29170" s="612"/>
    </row>
    <row r="29171">
      <c r="B29171" s="612"/>
      <c r="H29171" s="612"/>
    </row>
    <row r="29172">
      <c r="B29172" s="612"/>
      <c r="H29172" s="612"/>
    </row>
    <row r="29173">
      <c r="B29173" s="612"/>
      <c r="H29173" s="612"/>
    </row>
    <row r="29174">
      <c r="B29174" s="612"/>
      <c r="H29174" s="612"/>
    </row>
    <row r="29175">
      <c r="B29175" s="612"/>
      <c r="H29175" s="612"/>
    </row>
    <row r="29176">
      <c r="B29176" s="612"/>
      <c r="H29176" s="612"/>
    </row>
    <row r="29177">
      <c r="B29177" s="612"/>
      <c r="H29177" s="612"/>
    </row>
    <row r="29178">
      <c r="B29178" s="612"/>
      <c r="H29178" s="612"/>
    </row>
    <row r="29179">
      <c r="B29179" s="612"/>
      <c r="H29179" s="612"/>
    </row>
    <row r="29180">
      <c r="B29180" s="612"/>
      <c r="H29180" s="612"/>
    </row>
    <row r="29181">
      <c r="B29181" s="612"/>
      <c r="H29181" s="612"/>
    </row>
    <row r="29182">
      <c r="B29182" s="612"/>
      <c r="H29182" s="612"/>
    </row>
    <row r="29183">
      <c r="B29183" s="612"/>
      <c r="H29183" s="612"/>
    </row>
    <row r="29184">
      <c r="B29184" s="612"/>
      <c r="H29184" s="612"/>
    </row>
    <row r="29185">
      <c r="B29185" s="612"/>
      <c r="H29185" s="612"/>
    </row>
    <row r="29186">
      <c r="B29186" s="612"/>
      <c r="H29186" s="612"/>
    </row>
    <row r="29187">
      <c r="B29187" s="612"/>
      <c r="H29187" s="612"/>
    </row>
    <row r="29188">
      <c r="B29188" s="612"/>
      <c r="H29188" s="612"/>
    </row>
    <row r="29189">
      <c r="B29189" s="612"/>
      <c r="H29189" s="612"/>
    </row>
    <row r="29190">
      <c r="B29190" s="612"/>
      <c r="H29190" s="612"/>
    </row>
    <row r="29191">
      <c r="B29191" s="612"/>
      <c r="H29191" s="612"/>
    </row>
    <row r="29192">
      <c r="B29192" s="612"/>
      <c r="H29192" s="612"/>
    </row>
    <row r="29193">
      <c r="B29193" s="612"/>
      <c r="H29193" s="612"/>
    </row>
    <row r="29194">
      <c r="B29194" s="612"/>
      <c r="H29194" s="612"/>
    </row>
    <row r="29195">
      <c r="B29195" s="612"/>
      <c r="H29195" s="612"/>
    </row>
    <row r="29196">
      <c r="B29196" s="612"/>
      <c r="H29196" s="612"/>
    </row>
    <row r="29197">
      <c r="B29197" s="612"/>
      <c r="H29197" s="612"/>
    </row>
    <row r="29198">
      <c r="B29198" s="612"/>
      <c r="H29198" s="612"/>
    </row>
    <row r="29199">
      <c r="B29199" s="612"/>
      <c r="H29199" s="612"/>
    </row>
    <row r="29200">
      <c r="B29200" s="612"/>
      <c r="H29200" s="612"/>
    </row>
    <row r="29201">
      <c r="B29201" s="612"/>
      <c r="H29201" s="612"/>
    </row>
    <row r="29202">
      <c r="B29202" s="612"/>
      <c r="H29202" s="612"/>
    </row>
    <row r="29203">
      <c r="B29203" s="612"/>
      <c r="H29203" s="612"/>
    </row>
    <row r="29204">
      <c r="B29204" s="612"/>
      <c r="H29204" s="612"/>
    </row>
    <row r="29205">
      <c r="B29205" s="612"/>
      <c r="H29205" s="612"/>
    </row>
    <row r="29206">
      <c r="B29206" s="612"/>
      <c r="H29206" s="612"/>
    </row>
    <row r="29207">
      <c r="B29207" s="612"/>
      <c r="H29207" s="612"/>
    </row>
    <row r="29208">
      <c r="B29208" s="612"/>
      <c r="H29208" s="612"/>
    </row>
    <row r="29209">
      <c r="B29209" s="612"/>
      <c r="H29209" s="612"/>
    </row>
    <row r="29210">
      <c r="B29210" s="612"/>
      <c r="H29210" s="612"/>
    </row>
    <row r="29211">
      <c r="B29211" s="612"/>
      <c r="H29211" s="612"/>
    </row>
    <row r="29212">
      <c r="B29212" s="612"/>
      <c r="H29212" s="612"/>
    </row>
    <row r="29213">
      <c r="B29213" s="612"/>
      <c r="H29213" s="612"/>
    </row>
    <row r="29214">
      <c r="B29214" s="612"/>
      <c r="H29214" s="612"/>
    </row>
    <row r="29215">
      <c r="B29215" s="612"/>
      <c r="H29215" s="612"/>
    </row>
    <row r="29216">
      <c r="B29216" s="612"/>
      <c r="H29216" s="612"/>
    </row>
    <row r="29217">
      <c r="B29217" s="612"/>
      <c r="H29217" s="612"/>
    </row>
    <row r="29218">
      <c r="B29218" s="612"/>
      <c r="H29218" s="612"/>
    </row>
    <row r="29219">
      <c r="B29219" s="612"/>
      <c r="H29219" s="612"/>
    </row>
    <row r="29220">
      <c r="B29220" s="612"/>
      <c r="H29220" s="612"/>
    </row>
    <row r="29221">
      <c r="B29221" s="612"/>
      <c r="H29221" s="612"/>
    </row>
    <row r="29222">
      <c r="B29222" s="612"/>
      <c r="H29222" s="612"/>
    </row>
    <row r="29223">
      <c r="B29223" s="612"/>
      <c r="H29223" s="612"/>
    </row>
    <row r="29224">
      <c r="B29224" s="612"/>
      <c r="H29224" s="612"/>
    </row>
    <row r="29225">
      <c r="B29225" s="612"/>
      <c r="H29225" s="612"/>
    </row>
    <row r="29226">
      <c r="B29226" s="612"/>
      <c r="H29226" s="612"/>
    </row>
    <row r="29227">
      <c r="B29227" s="612"/>
      <c r="H29227" s="612"/>
    </row>
    <row r="29228">
      <c r="B29228" s="612"/>
      <c r="H29228" s="612"/>
    </row>
    <row r="29229">
      <c r="B29229" s="612"/>
      <c r="H29229" s="612"/>
    </row>
    <row r="29230">
      <c r="B29230" s="612"/>
      <c r="H29230" s="612"/>
    </row>
    <row r="29231">
      <c r="B29231" s="612"/>
      <c r="H29231" s="612"/>
    </row>
    <row r="29232">
      <c r="B29232" s="612"/>
      <c r="H29232" s="612"/>
    </row>
    <row r="29233">
      <c r="B29233" s="612"/>
      <c r="H29233" s="612"/>
    </row>
    <row r="29234">
      <c r="B29234" s="612"/>
      <c r="H29234" s="612"/>
    </row>
    <row r="29235">
      <c r="B29235" s="612"/>
      <c r="H29235" s="612"/>
    </row>
    <row r="29236">
      <c r="B29236" s="612"/>
      <c r="H29236" s="612"/>
    </row>
    <row r="29237">
      <c r="B29237" s="612"/>
      <c r="H29237" s="612"/>
    </row>
    <row r="29238">
      <c r="B29238" s="612"/>
      <c r="H29238" s="612"/>
    </row>
    <row r="29239">
      <c r="B29239" s="612"/>
      <c r="H29239" s="612"/>
    </row>
    <row r="29240">
      <c r="B29240" s="612"/>
      <c r="H29240" s="612"/>
    </row>
    <row r="29241">
      <c r="B29241" s="612"/>
      <c r="H29241" s="612"/>
    </row>
    <row r="29242">
      <c r="B29242" s="612"/>
      <c r="H29242" s="612"/>
    </row>
    <row r="29243">
      <c r="B29243" s="612"/>
      <c r="H29243" s="612"/>
    </row>
    <row r="29244">
      <c r="B29244" s="612"/>
      <c r="H29244" s="612"/>
    </row>
    <row r="29245">
      <c r="B29245" s="612"/>
      <c r="H29245" s="612"/>
    </row>
    <row r="29246">
      <c r="B29246" s="612"/>
      <c r="H29246" s="612"/>
    </row>
    <row r="29247">
      <c r="B29247" s="612"/>
      <c r="H29247" s="612"/>
    </row>
    <row r="29248">
      <c r="B29248" s="612"/>
      <c r="H29248" s="612"/>
    </row>
    <row r="29249">
      <c r="B29249" s="612"/>
      <c r="H29249" s="612"/>
    </row>
    <row r="29250">
      <c r="B29250" s="612"/>
      <c r="H29250" s="612"/>
    </row>
    <row r="29251">
      <c r="B29251" s="612"/>
      <c r="H29251" s="612"/>
    </row>
    <row r="29252">
      <c r="B29252" s="612"/>
      <c r="H29252" s="612"/>
    </row>
    <row r="29253">
      <c r="B29253" s="612"/>
      <c r="H29253" s="612"/>
    </row>
    <row r="29254">
      <c r="B29254" s="612"/>
      <c r="H29254" s="612"/>
    </row>
    <row r="29255">
      <c r="B29255" s="612"/>
      <c r="H29255" s="612"/>
    </row>
    <row r="29256">
      <c r="B29256" s="612"/>
      <c r="H29256" s="612"/>
    </row>
    <row r="29257">
      <c r="B29257" s="612"/>
      <c r="H29257" s="612"/>
    </row>
    <row r="29258">
      <c r="B29258" s="612"/>
      <c r="H29258" s="612"/>
    </row>
    <row r="29259">
      <c r="B29259" s="612"/>
      <c r="H29259" s="612"/>
    </row>
    <row r="29260">
      <c r="B29260" s="612"/>
      <c r="H29260" s="612"/>
    </row>
    <row r="29261">
      <c r="B29261" s="612"/>
      <c r="H29261" s="612"/>
    </row>
    <row r="29262">
      <c r="B29262" s="612"/>
      <c r="H29262" s="612"/>
    </row>
    <row r="29263">
      <c r="B29263" s="612"/>
      <c r="H29263" s="612"/>
    </row>
    <row r="29264">
      <c r="B29264" s="612"/>
      <c r="H29264" s="612"/>
    </row>
    <row r="29265">
      <c r="B29265" s="612"/>
      <c r="H29265" s="612"/>
    </row>
    <row r="29266">
      <c r="B29266" s="612"/>
      <c r="H29266" s="612"/>
    </row>
    <row r="29267">
      <c r="B29267" s="612"/>
      <c r="H29267" s="612"/>
    </row>
    <row r="29268">
      <c r="B29268" s="612"/>
      <c r="H29268" s="612"/>
    </row>
    <row r="29269">
      <c r="B29269" s="612"/>
      <c r="H29269" s="612"/>
    </row>
    <row r="29270">
      <c r="B29270" s="612"/>
      <c r="H29270" s="612"/>
    </row>
    <row r="29271">
      <c r="B29271" s="612"/>
      <c r="H29271" s="612"/>
    </row>
    <row r="29272">
      <c r="B29272" s="612"/>
      <c r="H29272" s="612"/>
    </row>
    <row r="29273">
      <c r="B29273" s="612"/>
      <c r="H29273" s="612"/>
    </row>
    <row r="29274">
      <c r="B29274" s="612"/>
      <c r="H29274" s="612"/>
    </row>
    <row r="29275">
      <c r="B29275" s="612"/>
      <c r="H29275" s="612"/>
    </row>
    <row r="29276">
      <c r="B29276" s="612"/>
      <c r="H29276" s="612"/>
    </row>
    <row r="29277">
      <c r="B29277" s="612"/>
      <c r="H29277" s="612"/>
    </row>
    <row r="29278">
      <c r="B29278" s="612"/>
      <c r="H29278" s="612"/>
    </row>
    <row r="29279">
      <c r="B29279" s="612"/>
      <c r="H29279" s="612"/>
    </row>
    <row r="29280">
      <c r="B29280" s="612"/>
      <c r="H29280" s="612"/>
    </row>
    <row r="29281">
      <c r="B29281" s="612"/>
      <c r="H29281" s="612"/>
    </row>
    <row r="29282">
      <c r="B29282" s="612"/>
      <c r="H29282" s="612"/>
    </row>
    <row r="29283">
      <c r="B29283" s="612"/>
      <c r="H29283" s="612"/>
    </row>
    <row r="29284">
      <c r="B29284" s="612"/>
      <c r="H29284" s="612"/>
    </row>
    <row r="29285">
      <c r="B29285" s="612"/>
      <c r="H29285" s="612"/>
    </row>
    <row r="29286">
      <c r="B29286" s="612"/>
      <c r="H29286" s="612"/>
    </row>
    <row r="29287">
      <c r="B29287" s="612"/>
      <c r="H29287" s="612"/>
    </row>
    <row r="29288">
      <c r="B29288" s="612"/>
      <c r="H29288" s="612"/>
    </row>
    <row r="29289">
      <c r="B29289" s="612"/>
      <c r="H29289" s="612"/>
    </row>
    <row r="29290">
      <c r="B29290" s="612"/>
      <c r="H29290" s="612"/>
    </row>
    <row r="29291">
      <c r="B29291" s="612"/>
      <c r="H29291" s="612"/>
    </row>
    <row r="29292">
      <c r="B29292" s="612"/>
      <c r="H29292" s="612"/>
    </row>
    <row r="29293">
      <c r="B29293" s="612"/>
      <c r="H29293" s="612"/>
    </row>
    <row r="29294">
      <c r="B29294" s="612"/>
      <c r="H29294" s="612"/>
    </row>
    <row r="29295">
      <c r="B29295" s="612"/>
      <c r="H29295" s="612"/>
    </row>
    <row r="29296">
      <c r="B29296" s="612"/>
      <c r="H29296" s="612"/>
    </row>
    <row r="29297">
      <c r="B29297" s="612"/>
      <c r="H29297" s="612"/>
    </row>
    <row r="29298">
      <c r="B29298" s="612"/>
      <c r="H29298" s="612"/>
    </row>
    <row r="29299">
      <c r="B29299" s="612"/>
      <c r="H29299" s="612"/>
    </row>
    <row r="29300">
      <c r="B29300" s="612"/>
      <c r="H29300" s="612"/>
    </row>
    <row r="29301">
      <c r="B29301" s="612"/>
      <c r="H29301" s="612"/>
    </row>
    <row r="29302">
      <c r="B29302" s="612"/>
      <c r="H29302" s="612"/>
    </row>
    <row r="29303">
      <c r="B29303" s="612"/>
      <c r="H29303" s="612"/>
    </row>
    <row r="29304">
      <c r="B29304" s="612"/>
      <c r="H29304" s="612"/>
    </row>
    <row r="29305">
      <c r="B29305" s="612"/>
      <c r="H29305" s="612"/>
    </row>
    <row r="29306">
      <c r="B29306" s="612"/>
      <c r="H29306" s="612"/>
    </row>
    <row r="29307">
      <c r="B29307" s="612"/>
      <c r="H29307" s="612"/>
    </row>
    <row r="29308">
      <c r="B29308" s="612"/>
      <c r="H29308" s="612"/>
    </row>
    <row r="29309">
      <c r="B29309" s="612"/>
      <c r="H29309" s="612"/>
    </row>
    <row r="29310">
      <c r="B29310" s="612"/>
      <c r="H29310" s="612"/>
    </row>
    <row r="29311">
      <c r="B29311" s="612"/>
      <c r="H29311" s="612"/>
    </row>
    <row r="29312">
      <c r="B29312" s="612"/>
      <c r="H29312" s="612"/>
    </row>
    <row r="29313">
      <c r="B29313" s="612"/>
      <c r="H29313" s="612"/>
    </row>
    <row r="29314">
      <c r="B29314" s="612"/>
      <c r="H29314" s="612"/>
    </row>
    <row r="29315">
      <c r="B29315" s="612"/>
      <c r="H29315" s="612"/>
    </row>
    <row r="29316">
      <c r="B29316" s="612"/>
      <c r="H29316" s="612"/>
    </row>
    <row r="29317">
      <c r="B29317" s="612"/>
      <c r="H29317" s="612"/>
    </row>
    <row r="29318">
      <c r="B29318" s="612"/>
      <c r="H29318" s="612"/>
    </row>
    <row r="29319">
      <c r="B29319" s="612"/>
      <c r="H29319" s="612"/>
    </row>
    <row r="29320">
      <c r="B29320" s="612"/>
      <c r="H29320" s="612"/>
    </row>
    <row r="29321">
      <c r="B29321" s="612"/>
      <c r="H29321" s="612"/>
    </row>
    <row r="29322">
      <c r="B29322" s="612"/>
      <c r="H29322" s="612"/>
    </row>
    <row r="29323">
      <c r="B29323" s="612"/>
      <c r="H29323" s="612"/>
    </row>
    <row r="29324">
      <c r="B29324" s="612"/>
      <c r="H29324" s="612"/>
    </row>
    <row r="29325">
      <c r="B29325" s="612"/>
      <c r="H29325" s="612"/>
    </row>
    <row r="29326">
      <c r="B29326" s="612"/>
      <c r="H29326" s="612"/>
    </row>
    <row r="29327">
      <c r="B29327" s="612"/>
      <c r="H29327" s="612"/>
    </row>
    <row r="29328">
      <c r="B29328" s="612"/>
      <c r="H29328" s="612"/>
    </row>
    <row r="29329">
      <c r="B29329" s="612"/>
      <c r="H29329" s="612"/>
    </row>
    <row r="29330">
      <c r="B29330" s="612"/>
      <c r="H29330" s="612"/>
    </row>
    <row r="29331">
      <c r="B29331" s="612"/>
      <c r="H29331" s="612"/>
    </row>
    <row r="29332">
      <c r="B29332" s="612"/>
      <c r="H29332" s="612"/>
    </row>
    <row r="29333">
      <c r="B29333" s="612"/>
      <c r="H29333" s="612"/>
    </row>
    <row r="29334">
      <c r="B29334" s="612"/>
      <c r="H29334" s="612"/>
    </row>
    <row r="29335">
      <c r="B29335" s="612"/>
      <c r="H29335" s="612"/>
    </row>
    <row r="29336">
      <c r="B29336" s="612"/>
      <c r="H29336" s="612"/>
    </row>
    <row r="29337">
      <c r="B29337" s="612"/>
      <c r="H29337" s="612"/>
    </row>
    <row r="29338">
      <c r="B29338" s="612"/>
      <c r="H29338" s="612"/>
    </row>
    <row r="29339">
      <c r="B29339" s="612"/>
      <c r="H29339" s="612"/>
    </row>
    <row r="29340">
      <c r="B29340" s="612"/>
      <c r="H29340" s="612"/>
    </row>
    <row r="29341">
      <c r="B29341" s="612"/>
      <c r="H29341" s="612"/>
    </row>
    <row r="29342">
      <c r="B29342" s="612"/>
      <c r="H29342" s="612"/>
    </row>
    <row r="29343">
      <c r="B29343" s="612"/>
      <c r="H29343" s="612"/>
    </row>
    <row r="29344">
      <c r="B29344" s="612"/>
      <c r="H29344" s="612"/>
    </row>
    <row r="29345">
      <c r="B29345" s="612"/>
      <c r="H29345" s="612"/>
    </row>
    <row r="29346">
      <c r="B29346" s="612"/>
      <c r="H29346" s="612"/>
    </row>
    <row r="29347">
      <c r="B29347" s="612"/>
      <c r="H29347" s="612"/>
    </row>
    <row r="29348">
      <c r="B29348" s="612"/>
      <c r="H29348" s="612"/>
    </row>
    <row r="29349">
      <c r="B29349" s="612"/>
      <c r="H29349" s="612"/>
    </row>
    <row r="29350">
      <c r="B29350" s="612"/>
      <c r="H29350" s="612"/>
    </row>
    <row r="29351">
      <c r="B29351" s="612"/>
      <c r="H29351" s="612"/>
    </row>
    <row r="29352">
      <c r="B29352" s="612"/>
      <c r="H29352" s="612"/>
    </row>
    <row r="29353">
      <c r="B29353" s="612"/>
      <c r="H29353" s="612"/>
    </row>
    <row r="29354">
      <c r="B29354" s="612"/>
      <c r="H29354" s="612"/>
    </row>
    <row r="29355">
      <c r="B29355" s="612"/>
      <c r="H29355" s="612"/>
    </row>
    <row r="29356">
      <c r="B29356" s="612"/>
      <c r="H29356" s="612"/>
    </row>
    <row r="29357">
      <c r="B29357" s="612"/>
      <c r="H29357" s="612"/>
    </row>
    <row r="29358">
      <c r="B29358" s="612"/>
      <c r="H29358" s="612"/>
    </row>
    <row r="29359">
      <c r="B29359" s="612"/>
      <c r="H29359" s="612"/>
    </row>
    <row r="29360">
      <c r="B29360" s="612"/>
      <c r="H29360" s="612"/>
    </row>
    <row r="29361">
      <c r="B29361" s="612"/>
      <c r="H29361" s="612"/>
    </row>
    <row r="29362">
      <c r="B29362" s="612"/>
      <c r="H29362" s="612"/>
    </row>
    <row r="29363">
      <c r="B29363" s="612"/>
      <c r="H29363" s="612"/>
    </row>
    <row r="29364">
      <c r="B29364" s="612"/>
      <c r="H29364" s="612"/>
    </row>
    <row r="29365">
      <c r="B29365" s="612"/>
      <c r="H29365" s="612"/>
    </row>
    <row r="29366">
      <c r="B29366" s="612"/>
      <c r="H29366" s="612"/>
    </row>
    <row r="29367">
      <c r="B29367" s="612"/>
      <c r="H29367" s="612"/>
    </row>
    <row r="29368">
      <c r="B29368" s="612"/>
      <c r="H29368" s="612"/>
    </row>
    <row r="29369">
      <c r="B29369" s="612"/>
      <c r="H29369" s="612"/>
    </row>
    <row r="29370">
      <c r="B29370" s="612"/>
      <c r="H29370" s="612"/>
    </row>
    <row r="29371">
      <c r="B29371" s="612"/>
      <c r="H29371" s="612"/>
    </row>
    <row r="29372">
      <c r="B29372" s="612"/>
      <c r="H29372" s="612"/>
    </row>
    <row r="29373">
      <c r="B29373" s="612"/>
      <c r="H29373" s="612"/>
    </row>
    <row r="29374">
      <c r="B29374" s="612"/>
      <c r="H29374" s="612"/>
    </row>
    <row r="29375">
      <c r="B29375" s="612"/>
      <c r="H29375" s="612"/>
    </row>
    <row r="29376">
      <c r="B29376" s="612"/>
      <c r="H29376" s="612"/>
    </row>
    <row r="29377">
      <c r="B29377" s="612"/>
      <c r="H29377" s="612"/>
    </row>
    <row r="29378">
      <c r="B29378" s="612"/>
      <c r="H29378" s="612"/>
    </row>
    <row r="29379">
      <c r="B29379" s="612"/>
      <c r="H29379" s="612"/>
    </row>
    <row r="29380">
      <c r="B29380" s="612"/>
      <c r="H29380" s="612"/>
    </row>
    <row r="29381">
      <c r="B29381" s="612"/>
      <c r="H29381" s="612"/>
    </row>
    <row r="29382">
      <c r="B29382" s="612"/>
      <c r="H29382" s="612"/>
    </row>
    <row r="29383">
      <c r="B29383" s="612"/>
      <c r="H29383" s="612"/>
    </row>
    <row r="29384">
      <c r="B29384" s="612"/>
      <c r="H29384" s="612"/>
    </row>
    <row r="29385">
      <c r="B29385" s="612"/>
      <c r="H29385" s="612"/>
    </row>
    <row r="29386">
      <c r="B29386" s="612"/>
      <c r="H29386" s="612"/>
    </row>
    <row r="29387">
      <c r="B29387" s="612"/>
      <c r="H29387" s="612"/>
    </row>
    <row r="29388">
      <c r="B29388" s="612"/>
      <c r="H29388" s="612"/>
    </row>
    <row r="29389">
      <c r="B29389" s="612"/>
      <c r="H29389" s="612"/>
    </row>
    <row r="29390">
      <c r="B29390" s="612"/>
      <c r="H29390" s="612"/>
    </row>
    <row r="29391">
      <c r="B29391" s="612"/>
      <c r="H29391" s="612"/>
    </row>
    <row r="29392">
      <c r="B29392" s="612"/>
      <c r="H29392" s="612"/>
    </row>
    <row r="29393">
      <c r="B29393" s="612"/>
      <c r="H29393" s="612"/>
    </row>
    <row r="29394">
      <c r="B29394" s="612"/>
      <c r="H29394" s="612"/>
    </row>
    <row r="29395">
      <c r="B29395" s="612"/>
      <c r="H29395" s="612"/>
    </row>
    <row r="29396">
      <c r="B29396" s="612"/>
      <c r="H29396" s="612"/>
    </row>
    <row r="29397">
      <c r="B29397" s="612"/>
      <c r="H29397" s="612"/>
    </row>
    <row r="29398">
      <c r="B29398" s="612"/>
      <c r="H29398" s="612"/>
    </row>
    <row r="29399">
      <c r="B29399" s="612"/>
      <c r="H29399" s="612"/>
    </row>
    <row r="29400">
      <c r="B29400" s="612"/>
      <c r="H29400" s="612"/>
    </row>
    <row r="29401">
      <c r="B29401" s="612"/>
      <c r="H29401" s="612"/>
    </row>
    <row r="29402">
      <c r="B29402" s="612"/>
      <c r="H29402" s="612"/>
    </row>
    <row r="29403">
      <c r="B29403" s="612"/>
      <c r="H29403" s="612"/>
    </row>
    <row r="29404">
      <c r="B29404" s="612"/>
      <c r="H29404" s="612"/>
    </row>
    <row r="29405">
      <c r="B29405" s="612"/>
      <c r="H29405" s="612"/>
    </row>
    <row r="29406">
      <c r="B29406" s="612"/>
      <c r="H29406" s="612"/>
    </row>
    <row r="29407">
      <c r="B29407" s="612"/>
      <c r="H29407" s="612"/>
    </row>
    <row r="29408">
      <c r="B29408" s="612"/>
      <c r="H29408" s="612"/>
    </row>
    <row r="29409">
      <c r="B29409" s="612"/>
      <c r="H29409" s="612"/>
    </row>
    <row r="29410">
      <c r="B29410" s="612"/>
      <c r="H29410" s="612"/>
    </row>
    <row r="29411">
      <c r="B29411" s="612"/>
      <c r="H29411" s="612"/>
    </row>
    <row r="29412">
      <c r="B29412" s="612"/>
      <c r="H29412" s="612"/>
    </row>
    <row r="29413">
      <c r="B29413" s="612"/>
      <c r="H29413" s="612"/>
    </row>
    <row r="29414">
      <c r="B29414" s="612"/>
      <c r="H29414" s="612"/>
    </row>
    <row r="29415">
      <c r="B29415" s="612"/>
      <c r="H29415" s="612"/>
    </row>
    <row r="29416">
      <c r="B29416" s="612"/>
      <c r="H29416" s="612"/>
    </row>
    <row r="29417">
      <c r="B29417" s="612"/>
      <c r="H29417" s="612"/>
    </row>
    <row r="29418">
      <c r="B29418" s="612"/>
      <c r="H29418" s="612"/>
    </row>
    <row r="29419">
      <c r="B29419" s="612"/>
      <c r="H29419" s="612"/>
    </row>
    <row r="29420">
      <c r="B29420" s="612"/>
      <c r="H29420" s="612"/>
    </row>
    <row r="29421">
      <c r="B29421" s="612"/>
      <c r="H29421" s="612"/>
    </row>
    <row r="29422">
      <c r="B29422" s="612"/>
      <c r="H29422" s="612"/>
    </row>
    <row r="29423">
      <c r="B29423" s="612"/>
      <c r="H29423" s="612"/>
    </row>
    <row r="29424">
      <c r="B29424" s="612"/>
      <c r="H29424" s="612"/>
    </row>
    <row r="29425">
      <c r="B29425" s="612"/>
      <c r="H29425" s="612"/>
    </row>
    <row r="29426">
      <c r="B29426" s="612"/>
      <c r="H29426" s="612"/>
    </row>
    <row r="29427">
      <c r="B29427" s="612"/>
      <c r="H29427" s="612"/>
    </row>
    <row r="29428">
      <c r="B29428" s="612"/>
      <c r="H29428" s="612"/>
    </row>
    <row r="29429">
      <c r="B29429" s="612"/>
      <c r="H29429" s="612"/>
    </row>
    <row r="29430">
      <c r="B29430" s="612"/>
      <c r="H29430" s="612"/>
    </row>
    <row r="29431">
      <c r="B29431" s="612"/>
      <c r="H29431" s="612"/>
    </row>
    <row r="29432">
      <c r="B29432" s="612"/>
      <c r="H29432" s="612"/>
    </row>
    <row r="29433">
      <c r="B29433" s="612"/>
      <c r="H29433" s="612"/>
    </row>
    <row r="29434">
      <c r="B29434" s="612"/>
      <c r="H29434" s="612"/>
    </row>
    <row r="29435">
      <c r="B29435" s="612"/>
      <c r="H29435" s="612"/>
    </row>
    <row r="29436">
      <c r="B29436" s="612"/>
      <c r="H29436" s="612"/>
    </row>
    <row r="29437">
      <c r="B29437" s="612"/>
      <c r="H29437" s="612"/>
    </row>
    <row r="29438">
      <c r="B29438" s="612"/>
      <c r="H29438" s="612"/>
    </row>
    <row r="29439">
      <c r="B29439" s="612"/>
      <c r="H29439" s="612"/>
    </row>
    <row r="29440">
      <c r="B29440" s="612"/>
      <c r="H29440" s="612"/>
    </row>
    <row r="29441">
      <c r="B29441" s="612"/>
      <c r="H29441" s="612"/>
    </row>
    <row r="29442">
      <c r="B29442" s="612"/>
      <c r="H29442" s="612"/>
    </row>
    <row r="29443">
      <c r="B29443" s="612"/>
      <c r="H29443" s="612"/>
    </row>
    <row r="29444">
      <c r="B29444" s="612"/>
      <c r="H29444" s="612"/>
    </row>
    <row r="29445">
      <c r="B29445" s="612"/>
      <c r="H29445" s="612"/>
    </row>
    <row r="29446">
      <c r="B29446" s="612"/>
      <c r="H29446" s="612"/>
    </row>
    <row r="29447">
      <c r="B29447" s="612"/>
      <c r="H29447" s="612"/>
    </row>
    <row r="29448">
      <c r="B29448" s="612"/>
      <c r="H29448" s="612"/>
    </row>
    <row r="29449">
      <c r="B29449" s="612"/>
      <c r="H29449" s="612"/>
    </row>
    <row r="29450">
      <c r="B29450" s="612"/>
      <c r="H29450" s="612"/>
    </row>
    <row r="29451">
      <c r="B29451" s="612"/>
      <c r="H29451" s="612"/>
    </row>
    <row r="29452">
      <c r="B29452" s="612"/>
      <c r="H29452" s="612"/>
    </row>
    <row r="29453">
      <c r="B29453" s="612"/>
      <c r="H29453" s="612"/>
    </row>
    <row r="29454">
      <c r="B29454" s="612"/>
      <c r="H29454" s="612"/>
    </row>
    <row r="29455">
      <c r="B29455" s="612"/>
      <c r="H29455" s="612"/>
    </row>
    <row r="29456">
      <c r="B29456" s="612"/>
      <c r="H29456" s="612"/>
    </row>
    <row r="29457">
      <c r="B29457" s="612"/>
      <c r="H29457" s="612"/>
    </row>
    <row r="29458">
      <c r="B29458" s="612"/>
      <c r="H29458" s="612"/>
    </row>
    <row r="29459">
      <c r="B29459" s="612"/>
      <c r="H29459" s="612"/>
    </row>
    <row r="29460">
      <c r="B29460" s="612"/>
      <c r="H29460" s="612"/>
    </row>
    <row r="29461">
      <c r="B29461" s="612"/>
      <c r="H29461" s="612"/>
    </row>
    <row r="29462">
      <c r="B29462" s="612"/>
      <c r="H29462" s="612"/>
    </row>
    <row r="29463">
      <c r="B29463" s="612"/>
      <c r="H29463" s="612"/>
    </row>
    <row r="29464">
      <c r="B29464" s="612"/>
      <c r="H29464" s="612"/>
    </row>
    <row r="29465">
      <c r="B29465" s="612"/>
      <c r="H29465" s="612"/>
    </row>
    <row r="29466">
      <c r="B29466" s="612"/>
      <c r="H29466" s="612"/>
    </row>
    <row r="29467">
      <c r="B29467" s="612"/>
      <c r="H29467" s="612"/>
    </row>
    <row r="29468">
      <c r="B29468" s="612"/>
      <c r="H29468" s="612"/>
    </row>
    <row r="29469">
      <c r="B29469" s="612"/>
      <c r="H29469" s="612"/>
    </row>
    <row r="29470">
      <c r="B29470" s="612"/>
      <c r="H29470" s="612"/>
    </row>
    <row r="29471">
      <c r="B29471" s="612"/>
      <c r="H29471" s="612"/>
    </row>
    <row r="29472">
      <c r="B29472" s="612"/>
      <c r="H29472" s="612"/>
    </row>
    <row r="29473">
      <c r="B29473" s="612"/>
      <c r="H29473" s="612"/>
    </row>
    <row r="29474">
      <c r="B29474" s="612"/>
      <c r="H29474" s="612"/>
    </row>
    <row r="29475">
      <c r="B29475" s="612"/>
      <c r="H29475" s="612"/>
    </row>
    <row r="29476">
      <c r="B29476" s="612"/>
      <c r="H29476" s="612"/>
    </row>
    <row r="29477">
      <c r="B29477" s="612"/>
      <c r="H29477" s="612"/>
    </row>
    <row r="29478">
      <c r="B29478" s="612"/>
      <c r="H29478" s="612"/>
    </row>
    <row r="29479">
      <c r="B29479" s="612"/>
      <c r="H29479" s="612"/>
    </row>
    <row r="29480">
      <c r="B29480" s="612"/>
      <c r="H29480" s="612"/>
    </row>
    <row r="29481">
      <c r="B29481" s="612"/>
      <c r="H29481" s="612"/>
    </row>
    <row r="29482">
      <c r="B29482" s="612"/>
      <c r="H29482" s="612"/>
    </row>
    <row r="29483">
      <c r="B29483" s="612"/>
      <c r="H29483" s="612"/>
    </row>
    <row r="29484">
      <c r="B29484" s="612"/>
      <c r="H29484" s="612"/>
    </row>
    <row r="29485">
      <c r="B29485" s="612"/>
      <c r="H29485" s="612"/>
    </row>
    <row r="29486">
      <c r="B29486" s="612"/>
      <c r="H29486" s="612"/>
    </row>
    <row r="29487">
      <c r="B29487" s="612"/>
      <c r="H29487" s="612"/>
    </row>
    <row r="29488">
      <c r="B29488" s="612"/>
      <c r="H29488" s="612"/>
    </row>
    <row r="29489">
      <c r="B29489" s="612"/>
      <c r="H29489" s="612"/>
    </row>
    <row r="29490">
      <c r="B29490" s="612"/>
      <c r="H29490" s="612"/>
    </row>
    <row r="29491">
      <c r="B29491" s="612"/>
      <c r="H29491" s="612"/>
    </row>
    <row r="29492">
      <c r="B29492" s="612"/>
      <c r="H29492" s="612"/>
    </row>
    <row r="29493">
      <c r="B29493" s="612"/>
      <c r="H29493" s="612"/>
    </row>
    <row r="29494">
      <c r="B29494" s="612"/>
      <c r="H29494" s="612"/>
    </row>
    <row r="29495">
      <c r="B29495" s="612"/>
      <c r="H29495" s="612"/>
    </row>
    <row r="29496">
      <c r="B29496" s="612"/>
      <c r="H29496" s="612"/>
    </row>
    <row r="29497">
      <c r="B29497" s="612"/>
      <c r="H29497" s="612"/>
    </row>
    <row r="29498">
      <c r="B29498" s="612"/>
      <c r="H29498" s="612"/>
    </row>
    <row r="29499">
      <c r="B29499" s="612"/>
      <c r="H29499" s="612"/>
    </row>
    <row r="29500">
      <c r="B29500" s="612"/>
      <c r="H29500" s="612"/>
    </row>
    <row r="29501">
      <c r="B29501" s="612"/>
      <c r="H29501" s="612"/>
    </row>
    <row r="29502">
      <c r="B29502" s="612"/>
      <c r="H29502" s="612"/>
    </row>
    <row r="29503">
      <c r="B29503" s="612"/>
      <c r="H29503" s="612"/>
    </row>
    <row r="29504">
      <c r="B29504" s="612"/>
      <c r="H29504" s="612"/>
    </row>
    <row r="29505">
      <c r="B29505" s="612"/>
      <c r="H29505" s="612"/>
    </row>
    <row r="29506">
      <c r="B29506" s="612"/>
      <c r="H29506" s="612"/>
    </row>
    <row r="29507">
      <c r="B29507" s="612"/>
      <c r="H29507" s="612"/>
    </row>
    <row r="29508">
      <c r="B29508" s="612"/>
      <c r="H29508" s="612"/>
    </row>
    <row r="29509">
      <c r="B29509" s="612"/>
      <c r="H29509" s="612"/>
    </row>
    <row r="29510">
      <c r="B29510" s="612"/>
      <c r="H29510" s="612"/>
    </row>
    <row r="29511">
      <c r="B29511" s="612"/>
      <c r="H29511" s="612"/>
    </row>
    <row r="29512">
      <c r="B29512" s="612"/>
      <c r="H29512" s="612"/>
    </row>
    <row r="29513">
      <c r="B29513" s="612"/>
      <c r="H29513" s="612"/>
    </row>
    <row r="29514">
      <c r="B29514" s="612"/>
      <c r="H29514" s="612"/>
    </row>
    <row r="29515">
      <c r="B29515" s="612"/>
      <c r="H29515" s="612"/>
    </row>
    <row r="29516">
      <c r="B29516" s="612"/>
      <c r="H29516" s="612"/>
    </row>
    <row r="29517">
      <c r="B29517" s="612"/>
      <c r="H29517" s="612"/>
    </row>
    <row r="29518">
      <c r="B29518" s="612"/>
      <c r="H29518" s="612"/>
    </row>
    <row r="29519">
      <c r="B29519" s="612"/>
      <c r="H29519" s="612"/>
    </row>
    <row r="29520">
      <c r="B29520" s="612"/>
      <c r="H29520" s="612"/>
    </row>
    <row r="29521">
      <c r="B29521" s="612"/>
      <c r="H29521" s="612"/>
    </row>
    <row r="29522">
      <c r="B29522" s="612"/>
      <c r="H29522" s="612"/>
    </row>
    <row r="29523">
      <c r="B29523" s="612"/>
      <c r="H29523" s="612"/>
    </row>
    <row r="29524">
      <c r="B29524" s="612"/>
      <c r="H29524" s="612"/>
    </row>
    <row r="29525">
      <c r="B29525" s="612"/>
      <c r="H29525" s="612"/>
    </row>
    <row r="29526">
      <c r="B29526" s="612"/>
      <c r="H29526" s="612"/>
    </row>
    <row r="29527">
      <c r="B29527" s="612"/>
      <c r="H29527" s="612"/>
    </row>
    <row r="29528">
      <c r="B29528" s="612"/>
      <c r="H29528" s="612"/>
    </row>
    <row r="29529">
      <c r="B29529" s="612"/>
      <c r="H29529" s="612"/>
    </row>
    <row r="29530">
      <c r="B29530" s="612"/>
      <c r="H29530" s="612"/>
    </row>
    <row r="29531">
      <c r="B29531" s="612"/>
      <c r="H29531" s="612"/>
    </row>
    <row r="29532">
      <c r="B29532" s="612"/>
      <c r="H29532" s="612"/>
    </row>
    <row r="29533">
      <c r="B29533" s="612"/>
      <c r="H29533" s="612"/>
    </row>
    <row r="29534">
      <c r="B29534" s="612"/>
      <c r="H29534" s="612"/>
    </row>
    <row r="29535">
      <c r="B29535" s="612"/>
      <c r="H29535" s="612"/>
    </row>
    <row r="29536">
      <c r="B29536" s="612"/>
      <c r="H29536" s="612"/>
    </row>
    <row r="29537">
      <c r="B29537" s="612"/>
      <c r="H29537" s="612"/>
    </row>
    <row r="29538">
      <c r="B29538" s="612"/>
      <c r="H29538" s="612"/>
    </row>
    <row r="29539">
      <c r="B29539" s="612"/>
      <c r="H29539" s="612"/>
    </row>
    <row r="29540">
      <c r="B29540" s="612"/>
      <c r="H29540" s="612"/>
    </row>
    <row r="29541">
      <c r="B29541" s="612"/>
      <c r="H29541" s="612"/>
    </row>
    <row r="29542">
      <c r="B29542" s="612"/>
      <c r="H29542" s="612"/>
    </row>
    <row r="29543">
      <c r="B29543" s="612"/>
      <c r="H29543" s="612"/>
    </row>
    <row r="29544">
      <c r="B29544" s="612"/>
      <c r="H29544" s="612"/>
    </row>
    <row r="29545">
      <c r="B29545" s="612"/>
      <c r="H29545" s="612"/>
    </row>
    <row r="29546">
      <c r="B29546" s="612"/>
      <c r="H29546" s="612"/>
    </row>
    <row r="29547">
      <c r="B29547" s="612"/>
      <c r="H29547" s="612"/>
    </row>
    <row r="29548">
      <c r="B29548" s="612"/>
      <c r="H29548" s="612"/>
    </row>
    <row r="29549">
      <c r="B29549" s="612"/>
      <c r="H29549" s="612"/>
    </row>
    <row r="29550">
      <c r="B29550" s="612"/>
      <c r="H29550" s="612"/>
    </row>
    <row r="29551">
      <c r="B29551" s="612"/>
      <c r="H29551" s="612"/>
    </row>
    <row r="29552">
      <c r="B29552" s="612"/>
      <c r="H29552" s="612"/>
    </row>
    <row r="29553">
      <c r="B29553" s="612"/>
      <c r="H29553" s="612"/>
    </row>
    <row r="29554">
      <c r="B29554" s="612"/>
      <c r="H29554" s="612"/>
    </row>
    <row r="29555">
      <c r="B29555" s="612"/>
      <c r="H29555" s="612"/>
    </row>
    <row r="29556">
      <c r="B29556" s="612"/>
      <c r="H29556" s="612"/>
    </row>
    <row r="29557">
      <c r="B29557" s="612"/>
      <c r="H29557" s="612"/>
    </row>
    <row r="29558">
      <c r="B29558" s="612"/>
      <c r="H29558" s="612"/>
    </row>
    <row r="29559">
      <c r="B29559" s="612"/>
      <c r="H29559" s="612"/>
    </row>
    <row r="29560">
      <c r="B29560" s="612"/>
      <c r="H29560" s="612"/>
    </row>
    <row r="29561">
      <c r="B29561" s="612"/>
      <c r="H29561" s="612"/>
    </row>
    <row r="29562">
      <c r="B29562" s="612"/>
      <c r="H29562" s="612"/>
    </row>
    <row r="29563">
      <c r="B29563" s="612"/>
      <c r="H29563" s="612"/>
    </row>
    <row r="29564">
      <c r="B29564" s="612"/>
      <c r="H29564" s="612"/>
    </row>
    <row r="29565">
      <c r="B29565" s="612"/>
      <c r="H29565" s="612"/>
    </row>
    <row r="29566">
      <c r="B29566" s="612"/>
      <c r="H29566" s="612"/>
    </row>
    <row r="29567">
      <c r="B29567" s="612"/>
      <c r="H29567" s="612"/>
    </row>
    <row r="29568">
      <c r="B29568" s="612"/>
      <c r="H29568" s="612"/>
    </row>
    <row r="29569">
      <c r="B29569" s="612"/>
      <c r="H29569" s="612"/>
    </row>
    <row r="29570">
      <c r="B29570" s="612"/>
      <c r="H29570" s="612"/>
    </row>
    <row r="29571">
      <c r="B29571" s="612"/>
      <c r="H29571" s="612"/>
    </row>
    <row r="29572">
      <c r="B29572" s="612"/>
      <c r="H29572" s="612"/>
    </row>
    <row r="29573">
      <c r="B29573" s="612"/>
      <c r="H29573" s="612"/>
    </row>
    <row r="29574">
      <c r="B29574" s="612"/>
      <c r="H29574" s="612"/>
    </row>
    <row r="29575">
      <c r="B29575" s="612"/>
      <c r="H29575" s="612"/>
    </row>
    <row r="29576">
      <c r="B29576" s="612"/>
      <c r="H29576" s="612"/>
    </row>
    <row r="29577">
      <c r="B29577" s="612"/>
      <c r="H29577" s="612"/>
    </row>
    <row r="29578">
      <c r="B29578" s="612"/>
      <c r="H29578" s="612"/>
    </row>
    <row r="29579">
      <c r="B29579" s="612"/>
      <c r="H29579" s="612"/>
    </row>
    <row r="29580">
      <c r="B29580" s="612"/>
      <c r="H29580" s="612"/>
    </row>
    <row r="29581">
      <c r="B29581" s="612"/>
      <c r="H29581" s="612"/>
    </row>
    <row r="29582">
      <c r="B29582" s="612"/>
      <c r="H29582" s="612"/>
    </row>
    <row r="29583">
      <c r="B29583" s="612"/>
      <c r="H29583" s="612"/>
    </row>
    <row r="29584">
      <c r="B29584" s="612"/>
      <c r="H29584" s="612"/>
    </row>
    <row r="29585">
      <c r="B29585" s="612"/>
      <c r="H29585" s="612"/>
    </row>
    <row r="29586">
      <c r="B29586" s="612"/>
      <c r="H29586" s="612"/>
    </row>
    <row r="29587">
      <c r="B29587" s="612"/>
      <c r="H29587" s="612"/>
    </row>
    <row r="29588">
      <c r="B29588" s="612"/>
      <c r="H29588" s="612"/>
    </row>
    <row r="29589">
      <c r="B29589" s="612"/>
      <c r="H29589" s="612"/>
    </row>
    <row r="29590">
      <c r="B29590" s="612"/>
      <c r="H29590" s="612"/>
    </row>
    <row r="29591">
      <c r="B29591" s="612"/>
      <c r="H29591" s="612"/>
    </row>
    <row r="29592">
      <c r="B29592" s="612"/>
      <c r="H29592" s="612"/>
    </row>
    <row r="29593">
      <c r="B29593" s="612"/>
      <c r="H29593" s="612"/>
    </row>
    <row r="29594">
      <c r="B29594" s="612"/>
      <c r="H29594" s="612"/>
    </row>
    <row r="29595">
      <c r="B29595" s="612"/>
      <c r="H29595" s="612"/>
    </row>
    <row r="29596">
      <c r="B29596" s="612"/>
      <c r="H29596" s="612"/>
    </row>
    <row r="29597">
      <c r="B29597" s="612"/>
      <c r="H29597" s="612"/>
    </row>
    <row r="29598">
      <c r="B29598" s="612"/>
      <c r="H29598" s="612"/>
    </row>
    <row r="29599">
      <c r="B29599" s="612"/>
      <c r="H29599" s="612"/>
    </row>
    <row r="29600">
      <c r="B29600" s="612"/>
      <c r="H29600" s="612"/>
    </row>
    <row r="29601">
      <c r="B29601" s="612"/>
      <c r="H29601" s="612"/>
    </row>
    <row r="29602">
      <c r="B29602" s="612"/>
      <c r="H29602" s="612"/>
    </row>
    <row r="29603">
      <c r="B29603" s="612"/>
      <c r="H29603" s="612"/>
    </row>
    <row r="29604">
      <c r="B29604" s="612"/>
      <c r="H29604" s="612"/>
    </row>
    <row r="29605">
      <c r="B29605" s="612"/>
      <c r="H29605" s="612"/>
    </row>
    <row r="29606">
      <c r="B29606" s="612"/>
      <c r="H29606" s="612"/>
    </row>
    <row r="29607">
      <c r="B29607" s="612"/>
      <c r="H29607" s="612"/>
    </row>
    <row r="29608">
      <c r="B29608" s="612"/>
      <c r="H29608" s="612"/>
    </row>
    <row r="29609">
      <c r="B29609" s="612"/>
      <c r="H29609" s="612"/>
    </row>
    <row r="29610">
      <c r="B29610" s="612"/>
      <c r="H29610" s="612"/>
    </row>
    <row r="29611">
      <c r="B29611" s="612"/>
      <c r="H29611" s="612"/>
    </row>
    <row r="29612">
      <c r="B29612" s="612"/>
      <c r="H29612" s="612"/>
    </row>
    <row r="29613">
      <c r="B29613" s="612"/>
      <c r="H29613" s="612"/>
    </row>
    <row r="29614">
      <c r="B29614" s="612"/>
      <c r="H29614" s="612"/>
    </row>
    <row r="29615">
      <c r="B29615" s="612"/>
      <c r="H29615" s="612"/>
    </row>
    <row r="29616">
      <c r="B29616" s="612"/>
      <c r="H29616" s="612"/>
    </row>
    <row r="29617">
      <c r="B29617" s="612"/>
      <c r="H29617" s="612"/>
    </row>
    <row r="29618">
      <c r="B29618" s="612"/>
      <c r="H29618" s="612"/>
    </row>
    <row r="29619">
      <c r="B29619" s="612"/>
      <c r="H29619" s="612"/>
    </row>
    <row r="29620">
      <c r="B29620" s="612"/>
      <c r="H29620" s="612"/>
    </row>
    <row r="29621">
      <c r="B29621" s="612"/>
      <c r="H29621" s="612"/>
    </row>
    <row r="29622">
      <c r="B29622" s="612"/>
      <c r="H29622" s="612"/>
    </row>
    <row r="29623">
      <c r="B29623" s="612"/>
      <c r="H29623" s="612"/>
    </row>
    <row r="29624">
      <c r="B29624" s="612"/>
      <c r="H29624" s="612"/>
    </row>
    <row r="29625">
      <c r="B29625" s="612"/>
      <c r="H29625" s="612"/>
    </row>
    <row r="29626">
      <c r="B29626" s="612"/>
      <c r="H29626" s="612"/>
    </row>
    <row r="29627">
      <c r="B29627" s="612"/>
      <c r="H29627" s="612"/>
    </row>
    <row r="29628">
      <c r="B29628" s="612"/>
      <c r="H29628" s="612"/>
    </row>
    <row r="29629">
      <c r="B29629" s="612"/>
      <c r="H29629" s="612"/>
    </row>
    <row r="29630">
      <c r="B29630" s="612"/>
      <c r="H29630" s="612"/>
    </row>
    <row r="29631">
      <c r="B29631" s="612"/>
      <c r="H29631" s="612"/>
    </row>
    <row r="29632">
      <c r="B29632" s="612"/>
      <c r="H29632" s="612"/>
    </row>
    <row r="29633">
      <c r="B29633" s="612"/>
      <c r="H29633" s="612"/>
    </row>
    <row r="29634">
      <c r="B29634" s="612"/>
      <c r="H29634" s="612"/>
    </row>
    <row r="29635">
      <c r="B29635" s="612"/>
      <c r="H29635" s="612"/>
    </row>
    <row r="29636">
      <c r="B29636" s="612"/>
      <c r="H29636" s="612"/>
    </row>
    <row r="29637">
      <c r="B29637" s="612"/>
      <c r="H29637" s="612"/>
    </row>
    <row r="29638">
      <c r="B29638" s="612"/>
      <c r="H29638" s="612"/>
    </row>
    <row r="29639">
      <c r="B29639" s="612"/>
      <c r="H29639" s="612"/>
    </row>
    <row r="29640">
      <c r="B29640" s="612"/>
      <c r="H29640" s="612"/>
    </row>
    <row r="29641">
      <c r="B29641" s="612"/>
      <c r="H29641" s="612"/>
    </row>
    <row r="29642">
      <c r="B29642" s="612"/>
      <c r="H29642" s="612"/>
    </row>
    <row r="29643">
      <c r="B29643" s="612"/>
      <c r="H29643" s="612"/>
    </row>
    <row r="29644">
      <c r="B29644" s="612"/>
      <c r="H29644" s="612"/>
    </row>
    <row r="29645">
      <c r="B29645" s="612"/>
      <c r="H29645" s="612"/>
    </row>
    <row r="29646">
      <c r="B29646" s="612"/>
      <c r="H29646" s="612"/>
    </row>
    <row r="29647">
      <c r="B29647" s="612"/>
      <c r="H29647" s="612"/>
    </row>
    <row r="29648">
      <c r="B29648" s="612"/>
      <c r="H29648" s="612"/>
    </row>
    <row r="29649">
      <c r="B29649" s="612"/>
      <c r="H29649" s="612"/>
    </row>
    <row r="29650">
      <c r="B29650" s="612"/>
      <c r="H29650" s="612"/>
    </row>
    <row r="29651">
      <c r="B29651" s="612"/>
      <c r="H29651" s="612"/>
    </row>
    <row r="29652">
      <c r="B29652" s="612"/>
      <c r="H29652" s="612"/>
    </row>
    <row r="29653">
      <c r="B29653" s="612"/>
      <c r="H29653" s="612"/>
    </row>
    <row r="29654">
      <c r="B29654" s="612"/>
      <c r="H29654" s="612"/>
    </row>
    <row r="29655">
      <c r="B29655" s="612"/>
      <c r="H29655" s="612"/>
    </row>
    <row r="29656">
      <c r="B29656" s="612"/>
      <c r="H29656" s="612"/>
    </row>
    <row r="29657">
      <c r="B29657" s="612"/>
      <c r="H29657" s="612"/>
    </row>
    <row r="29658">
      <c r="B29658" s="612"/>
      <c r="H29658" s="612"/>
    </row>
    <row r="29659">
      <c r="B29659" s="612"/>
      <c r="H29659" s="612"/>
    </row>
    <row r="29660">
      <c r="B29660" s="612"/>
      <c r="H29660" s="612"/>
    </row>
    <row r="29661">
      <c r="B29661" s="612"/>
      <c r="H29661" s="612"/>
    </row>
    <row r="29662">
      <c r="B29662" s="612"/>
      <c r="H29662" s="612"/>
    </row>
    <row r="29663">
      <c r="B29663" s="612"/>
      <c r="H29663" s="612"/>
    </row>
    <row r="29664">
      <c r="B29664" s="612"/>
      <c r="H29664" s="612"/>
    </row>
    <row r="29665">
      <c r="B29665" s="612"/>
      <c r="H29665" s="612"/>
    </row>
    <row r="29666">
      <c r="B29666" s="612"/>
      <c r="H29666" s="612"/>
    </row>
    <row r="29667">
      <c r="B29667" s="612"/>
      <c r="H29667" s="612"/>
    </row>
    <row r="29668">
      <c r="B29668" s="612"/>
      <c r="H29668" s="612"/>
    </row>
    <row r="29669">
      <c r="B29669" s="612"/>
      <c r="H29669" s="612"/>
    </row>
    <row r="29670">
      <c r="B29670" s="612"/>
      <c r="H29670" s="612"/>
    </row>
    <row r="29671">
      <c r="B29671" s="612"/>
      <c r="H29671" s="612"/>
    </row>
    <row r="29672">
      <c r="B29672" s="612"/>
      <c r="H29672" s="612"/>
    </row>
    <row r="29673">
      <c r="B29673" s="612"/>
      <c r="H29673" s="612"/>
    </row>
    <row r="29674">
      <c r="B29674" s="612"/>
      <c r="H29674" s="612"/>
    </row>
    <row r="29675">
      <c r="B29675" s="612"/>
      <c r="H29675" s="612"/>
    </row>
    <row r="29676">
      <c r="B29676" s="612"/>
      <c r="H29676" s="612"/>
    </row>
    <row r="29677">
      <c r="B29677" s="612"/>
      <c r="H29677" s="612"/>
    </row>
    <row r="29678">
      <c r="B29678" s="612"/>
      <c r="H29678" s="612"/>
    </row>
    <row r="29679">
      <c r="B29679" s="612"/>
      <c r="H29679" s="612"/>
    </row>
    <row r="29680">
      <c r="B29680" s="612"/>
      <c r="H29680" s="612"/>
    </row>
    <row r="29681">
      <c r="B29681" s="612"/>
      <c r="H29681" s="612"/>
    </row>
    <row r="29682">
      <c r="B29682" s="612"/>
      <c r="H29682" s="612"/>
    </row>
    <row r="29683">
      <c r="B29683" s="612"/>
      <c r="H29683" s="612"/>
    </row>
    <row r="29684">
      <c r="B29684" s="612"/>
      <c r="H29684" s="612"/>
    </row>
    <row r="29685">
      <c r="B29685" s="612"/>
      <c r="H29685" s="612"/>
    </row>
    <row r="29686">
      <c r="B29686" s="612"/>
      <c r="H29686" s="612"/>
    </row>
    <row r="29687">
      <c r="B29687" s="612"/>
      <c r="H29687" s="612"/>
    </row>
    <row r="29688">
      <c r="B29688" s="612"/>
      <c r="H29688" s="612"/>
    </row>
    <row r="29689">
      <c r="B29689" s="612"/>
      <c r="H29689" s="612"/>
    </row>
    <row r="29690">
      <c r="B29690" s="612"/>
      <c r="H29690" s="612"/>
    </row>
    <row r="29691">
      <c r="B29691" s="612"/>
      <c r="H29691" s="612"/>
    </row>
    <row r="29692">
      <c r="B29692" s="612"/>
      <c r="H29692" s="612"/>
    </row>
    <row r="29693">
      <c r="B29693" s="612"/>
      <c r="H29693" s="612"/>
    </row>
    <row r="29694">
      <c r="B29694" s="612"/>
      <c r="H29694" s="612"/>
    </row>
    <row r="29695">
      <c r="B29695" s="612"/>
      <c r="H29695" s="612"/>
    </row>
    <row r="29696">
      <c r="B29696" s="612"/>
      <c r="H29696" s="612"/>
    </row>
    <row r="29697">
      <c r="B29697" s="612"/>
      <c r="H29697" s="612"/>
    </row>
    <row r="29698">
      <c r="B29698" s="612"/>
      <c r="H29698" s="612"/>
    </row>
    <row r="29699">
      <c r="B29699" s="612"/>
      <c r="H29699" s="612"/>
    </row>
    <row r="29700">
      <c r="B29700" s="612"/>
      <c r="H29700" s="612"/>
    </row>
    <row r="29701">
      <c r="B29701" s="612"/>
      <c r="H29701" s="612"/>
    </row>
    <row r="29702">
      <c r="B29702" s="612"/>
      <c r="H29702" s="612"/>
    </row>
    <row r="29703">
      <c r="B29703" s="612"/>
      <c r="H29703" s="612"/>
    </row>
    <row r="29704">
      <c r="B29704" s="612"/>
      <c r="H29704" s="612"/>
    </row>
    <row r="29705">
      <c r="B29705" s="612"/>
      <c r="H29705" s="612"/>
    </row>
    <row r="29706">
      <c r="B29706" s="612"/>
      <c r="H29706" s="612"/>
    </row>
    <row r="29707">
      <c r="B29707" s="612"/>
      <c r="H29707" s="612"/>
    </row>
    <row r="29708">
      <c r="B29708" s="612"/>
      <c r="H29708" s="612"/>
    </row>
    <row r="29709">
      <c r="B29709" s="612"/>
      <c r="H29709" s="612"/>
    </row>
    <row r="29710">
      <c r="B29710" s="612"/>
      <c r="H29710" s="612"/>
    </row>
    <row r="29711">
      <c r="B29711" s="612"/>
      <c r="H29711" s="612"/>
    </row>
    <row r="29712">
      <c r="B29712" s="612"/>
      <c r="H29712" s="612"/>
    </row>
    <row r="29713">
      <c r="B29713" s="612"/>
      <c r="H29713" s="612"/>
    </row>
    <row r="29714">
      <c r="B29714" s="612"/>
      <c r="H29714" s="612"/>
    </row>
    <row r="29715">
      <c r="B29715" s="612"/>
      <c r="H29715" s="612"/>
    </row>
    <row r="29716">
      <c r="B29716" s="612"/>
      <c r="H29716" s="612"/>
    </row>
    <row r="29717">
      <c r="B29717" s="612"/>
      <c r="H29717" s="612"/>
    </row>
    <row r="29718">
      <c r="B29718" s="612"/>
      <c r="H29718" s="612"/>
    </row>
    <row r="29719">
      <c r="B29719" s="612"/>
      <c r="H29719" s="612"/>
    </row>
    <row r="29720">
      <c r="B29720" s="612"/>
      <c r="H29720" s="612"/>
    </row>
    <row r="29721">
      <c r="B29721" s="612"/>
      <c r="H29721" s="612"/>
    </row>
    <row r="29722">
      <c r="B29722" s="612"/>
      <c r="H29722" s="612"/>
    </row>
    <row r="29723">
      <c r="B29723" s="612"/>
      <c r="H29723" s="612"/>
    </row>
    <row r="29724">
      <c r="B29724" s="612"/>
      <c r="H29724" s="612"/>
    </row>
    <row r="29725">
      <c r="B29725" s="612"/>
      <c r="H29725" s="612"/>
    </row>
    <row r="29726">
      <c r="B29726" s="612"/>
      <c r="H29726" s="612"/>
    </row>
    <row r="29727">
      <c r="B29727" s="612"/>
      <c r="H29727" s="612"/>
    </row>
    <row r="29728">
      <c r="B29728" s="612"/>
      <c r="H29728" s="612"/>
    </row>
    <row r="29729">
      <c r="B29729" s="612"/>
      <c r="H29729" s="612"/>
    </row>
    <row r="29730">
      <c r="B29730" s="612"/>
      <c r="H29730" s="612"/>
    </row>
    <row r="29731">
      <c r="B29731" s="612"/>
      <c r="H29731" s="612"/>
    </row>
    <row r="29732">
      <c r="B29732" s="612"/>
      <c r="H29732" s="612"/>
    </row>
    <row r="29733">
      <c r="B29733" s="612"/>
      <c r="H29733" s="612"/>
    </row>
    <row r="29734">
      <c r="B29734" s="612"/>
      <c r="H29734" s="612"/>
    </row>
    <row r="29735">
      <c r="B29735" s="612"/>
      <c r="H29735" s="612"/>
    </row>
    <row r="29736">
      <c r="B29736" s="612"/>
      <c r="H29736" s="612"/>
    </row>
    <row r="29737">
      <c r="B29737" s="612"/>
      <c r="H29737" s="612"/>
    </row>
    <row r="29738">
      <c r="B29738" s="612"/>
      <c r="H29738" s="612"/>
    </row>
    <row r="29739">
      <c r="B29739" s="612"/>
      <c r="H29739" s="612"/>
    </row>
    <row r="29740">
      <c r="B29740" s="612"/>
      <c r="H29740" s="612"/>
    </row>
    <row r="29741">
      <c r="B29741" s="612"/>
      <c r="H29741" s="612"/>
    </row>
    <row r="29742">
      <c r="B29742" s="612"/>
      <c r="H29742" s="612"/>
    </row>
    <row r="29743">
      <c r="B29743" s="612"/>
      <c r="H29743" s="612"/>
    </row>
    <row r="29744">
      <c r="B29744" s="612"/>
      <c r="H29744" s="612"/>
    </row>
    <row r="29745">
      <c r="B29745" s="612"/>
      <c r="H29745" s="612"/>
    </row>
    <row r="29746">
      <c r="B29746" s="612"/>
      <c r="H29746" s="612"/>
    </row>
    <row r="29747">
      <c r="B29747" s="612"/>
      <c r="H29747" s="612"/>
    </row>
    <row r="29748">
      <c r="B29748" s="612"/>
      <c r="H29748" s="612"/>
    </row>
    <row r="29749">
      <c r="B29749" s="612"/>
      <c r="H29749" s="612"/>
    </row>
    <row r="29750">
      <c r="B29750" s="612"/>
      <c r="H29750" s="612"/>
    </row>
    <row r="29751">
      <c r="B29751" s="612"/>
      <c r="H29751" s="612"/>
    </row>
    <row r="29752">
      <c r="B29752" s="612"/>
      <c r="H29752" s="612"/>
    </row>
    <row r="29753">
      <c r="B29753" s="612"/>
      <c r="H29753" s="612"/>
    </row>
    <row r="29754">
      <c r="B29754" s="612"/>
      <c r="H29754" s="612"/>
    </row>
    <row r="29755">
      <c r="B29755" s="612"/>
      <c r="H29755" s="612"/>
    </row>
    <row r="29756">
      <c r="B29756" s="612"/>
      <c r="H29756" s="612"/>
    </row>
    <row r="29757">
      <c r="B29757" s="612"/>
      <c r="H29757" s="612"/>
    </row>
    <row r="29758">
      <c r="B29758" s="612"/>
      <c r="H29758" s="612"/>
    </row>
    <row r="29759">
      <c r="B29759" s="612"/>
      <c r="H29759" s="612"/>
    </row>
    <row r="29760">
      <c r="B29760" s="612"/>
      <c r="H29760" s="612"/>
    </row>
    <row r="29761">
      <c r="B29761" s="612"/>
      <c r="H29761" s="612"/>
    </row>
    <row r="29762">
      <c r="B29762" s="612"/>
      <c r="H29762" s="612"/>
    </row>
    <row r="29763">
      <c r="B29763" s="612"/>
      <c r="H29763" s="612"/>
    </row>
    <row r="29764">
      <c r="B29764" s="612"/>
      <c r="H29764" s="612"/>
    </row>
    <row r="29765">
      <c r="B29765" s="612"/>
      <c r="H29765" s="612"/>
    </row>
    <row r="29766">
      <c r="B29766" s="612"/>
      <c r="H29766" s="612"/>
    </row>
    <row r="29767">
      <c r="B29767" s="612"/>
      <c r="H29767" s="612"/>
    </row>
    <row r="29768">
      <c r="B29768" s="612"/>
      <c r="H29768" s="612"/>
    </row>
    <row r="29769">
      <c r="B29769" s="612"/>
      <c r="H29769" s="612"/>
    </row>
    <row r="29770">
      <c r="B29770" s="612"/>
      <c r="H29770" s="612"/>
    </row>
    <row r="29771">
      <c r="B29771" s="612"/>
      <c r="H29771" s="612"/>
    </row>
    <row r="29772">
      <c r="B29772" s="612"/>
      <c r="H29772" s="612"/>
    </row>
    <row r="29773">
      <c r="B29773" s="612"/>
      <c r="H29773" s="612"/>
    </row>
    <row r="29774">
      <c r="B29774" s="612"/>
      <c r="H29774" s="612"/>
    </row>
    <row r="29775">
      <c r="B29775" s="612"/>
      <c r="H29775" s="612"/>
    </row>
    <row r="29776">
      <c r="B29776" s="612"/>
      <c r="H29776" s="612"/>
    </row>
    <row r="29777">
      <c r="B29777" s="612"/>
      <c r="H29777" s="612"/>
    </row>
    <row r="29778">
      <c r="B29778" s="612"/>
      <c r="H29778" s="612"/>
    </row>
    <row r="29779">
      <c r="B29779" s="612"/>
      <c r="H29779" s="612"/>
    </row>
    <row r="29780">
      <c r="B29780" s="612"/>
      <c r="H29780" s="612"/>
    </row>
    <row r="29781">
      <c r="B29781" s="612"/>
      <c r="H29781" s="612"/>
    </row>
    <row r="29782">
      <c r="B29782" s="612"/>
      <c r="H29782" s="612"/>
    </row>
    <row r="29783">
      <c r="B29783" s="612"/>
      <c r="H29783" s="612"/>
    </row>
    <row r="29784">
      <c r="B29784" s="612"/>
      <c r="H29784" s="612"/>
    </row>
    <row r="29785">
      <c r="B29785" s="612"/>
      <c r="H29785" s="612"/>
    </row>
    <row r="29786">
      <c r="B29786" s="612"/>
      <c r="H29786" s="612"/>
    </row>
    <row r="29787">
      <c r="B29787" s="612"/>
      <c r="H29787" s="612"/>
    </row>
    <row r="29788">
      <c r="B29788" s="612"/>
      <c r="H29788" s="612"/>
    </row>
    <row r="29789">
      <c r="B29789" s="612"/>
      <c r="H29789" s="612"/>
    </row>
    <row r="29790">
      <c r="B29790" s="612"/>
      <c r="H29790" s="612"/>
    </row>
    <row r="29791">
      <c r="B29791" s="612"/>
      <c r="H29791" s="612"/>
    </row>
    <row r="29792">
      <c r="B29792" s="612"/>
      <c r="H29792" s="612"/>
    </row>
    <row r="29793">
      <c r="B29793" s="612"/>
      <c r="H29793" s="612"/>
    </row>
    <row r="29794">
      <c r="B29794" s="612"/>
      <c r="H29794" s="612"/>
    </row>
    <row r="29795">
      <c r="B29795" s="612"/>
      <c r="H29795" s="612"/>
    </row>
    <row r="29796">
      <c r="B29796" s="612"/>
      <c r="H29796" s="612"/>
    </row>
    <row r="29797">
      <c r="B29797" s="612"/>
      <c r="H29797" s="612"/>
    </row>
    <row r="29798">
      <c r="B29798" s="612"/>
      <c r="H29798" s="612"/>
    </row>
    <row r="29799">
      <c r="B29799" s="612"/>
      <c r="H29799" s="612"/>
    </row>
    <row r="29800">
      <c r="B29800" s="612"/>
      <c r="H29800" s="612"/>
    </row>
    <row r="29801">
      <c r="B29801" s="612"/>
      <c r="H29801" s="612"/>
    </row>
    <row r="29802">
      <c r="B29802" s="612"/>
      <c r="H29802" s="612"/>
    </row>
    <row r="29803">
      <c r="B29803" s="612"/>
      <c r="H29803" s="612"/>
    </row>
    <row r="29804">
      <c r="B29804" s="612"/>
      <c r="H29804" s="612"/>
    </row>
    <row r="29805">
      <c r="B29805" s="612"/>
      <c r="H29805" s="612"/>
    </row>
    <row r="29806">
      <c r="B29806" s="612"/>
      <c r="H29806" s="612"/>
    </row>
    <row r="29807">
      <c r="B29807" s="612"/>
      <c r="H29807" s="612"/>
    </row>
    <row r="29808">
      <c r="B29808" s="612"/>
      <c r="H29808" s="612"/>
    </row>
    <row r="29809">
      <c r="B29809" s="612"/>
      <c r="H29809" s="612"/>
    </row>
    <row r="29810">
      <c r="B29810" s="612"/>
      <c r="H29810" s="612"/>
    </row>
    <row r="29811">
      <c r="B29811" s="612"/>
      <c r="H29811" s="612"/>
    </row>
    <row r="29812">
      <c r="B29812" s="612"/>
      <c r="H29812" s="612"/>
    </row>
    <row r="29813">
      <c r="B29813" s="612"/>
      <c r="H29813" s="612"/>
    </row>
    <row r="29814">
      <c r="B29814" s="612"/>
      <c r="H29814" s="612"/>
    </row>
    <row r="29815">
      <c r="B29815" s="612"/>
      <c r="H29815" s="612"/>
    </row>
    <row r="29816">
      <c r="B29816" s="612"/>
      <c r="H29816" s="612"/>
    </row>
    <row r="29817">
      <c r="B29817" s="612"/>
      <c r="H29817" s="612"/>
    </row>
    <row r="29818">
      <c r="B29818" s="612"/>
      <c r="H29818" s="612"/>
    </row>
    <row r="29819">
      <c r="B29819" s="612"/>
      <c r="H29819" s="612"/>
    </row>
    <row r="29820">
      <c r="B29820" s="612"/>
      <c r="H29820" s="612"/>
    </row>
    <row r="29821">
      <c r="B29821" s="612"/>
      <c r="H29821" s="612"/>
    </row>
    <row r="29822">
      <c r="B29822" s="612"/>
      <c r="H29822" s="612"/>
    </row>
    <row r="29823">
      <c r="B29823" s="612"/>
      <c r="H29823" s="612"/>
    </row>
    <row r="29824">
      <c r="B29824" s="612"/>
      <c r="H29824" s="612"/>
    </row>
    <row r="29825">
      <c r="B29825" s="612"/>
      <c r="H29825" s="612"/>
    </row>
    <row r="29826">
      <c r="B29826" s="612"/>
      <c r="H29826" s="612"/>
    </row>
    <row r="29827">
      <c r="B29827" s="612"/>
      <c r="H29827" s="612"/>
    </row>
    <row r="29828">
      <c r="B29828" s="612"/>
      <c r="H29828" s="612"/>
    </row>
    <row r="29829">
      <c r="B29829" s="612"/>
      <c r="H29829" s="612"/>
    </row>
    <row r="29830">
      <c r="B29830" s="612"/>
      <c r="H29830" s="612"/>
    </row>
    <row r="29831">
      <c r="B29831" s="612"/>
      <c r="H29831" s="612"/>
    </row>
    <row r="29832">
      <c r="B29832" s="612"/>
      <c r="H29832" s="612"/>
    </row>
    <row r="29833">
      <c r="B29833" s="612"/>
      <c r="H29833" s="612"/>
    </row>
    <row r="29834">
      <c r="B29834" s="612"/>
      <c r="H29834" s="612"/>
    </row>
    <row r="29835">
      <c r="B29835" s="612"/>
      <c r="H29835" s="612"/>
    </row>
    <row r="29836">
      <c r="B29836" s="612"/>
      <c r="H29836" s="612"/>
    </row>
    <row r="29837">
      <c r="B29837" s="612"/>
      <c r="H29837" s="612"/>
    </row>
    <row r="29838">
      <c r="B29838" s="612"/>
      <c r="H29838" s="612"/>
    </row>
    <row r="29839">
      <c r="B29839" s="612"/>
      <c r="H29839" s="612"/>
    </row>
    <row r="29840">
      <c r="B29840" s="612"/>
      <c r="H29840" s="612"/>
    </row>
    <row r="29841">
      <c r="B29841" s="612"/>
      <c r="H29841" s="612"/>
    </row>
    <row r="29842">
      <c r="B29842" s="612"/>
      <c r="H29842" s="612"/>
    </row>
    <row r="29843">
      <c r="B29843" s="612"/>
      <c r="H29843" s="612"/>
    </row>
    <row r="29844">
      <c r="B29844" s="612"/>
      <c r="H29844" s="612"/>
    </row>
    <row r="29845">
      <c r="B29845" s="612"/>
      <c r="H29845" s="612"/>
    </row>
    <row r="29846">
      <c r="B29846" s="612"/>
      <c r="H29846" s="612"/>
    </row>
    <row r="29847">
      <c r="B29847" s="612"/>
      <c r="H29847" s="612"/>
    </row>
    <row r="29848">
      <c r="B29848" s="612"/>
      <c r="H29848" s="612"/>
    </row>
    <row r="29849">
      <c r="B29849" s="612"/>
      <c r="H29849" s="612"/>
    </row>
    <row r="29850">
      <c r="B29850" s="612"/>
      <c r="H29850" s="612"/>
    </row>
    <row r="29851">
      <c r="B29851" s="612"/>
      <c r="H29851" s="612"/>
    </row>
    <row r="29852">
      <c r="B29852" s="612"/>
      <c r="H29852" s="612"/>
    </row>
    <row r="29853">
      <c r="B29853" s="612"/>
      <c r="H29853" s="612"/>
    </row>
    <row r="29854">
      <c r="B29854" s="612"/>
      <c r="H29854" s="612"/>
    </row>
    <row r="29855">
      <c r="B29855" s="612"/>
      <c r="H29855" s="612"/>
    </row>
    <row r="29856">
      <c r="B29856" s="612"/>
      <c r="H29856" s="612"/>
    </row>
    <row r="29857">
      <c r="B29857" s="612"/>
      <c r="H29857" s="612"/>
    </row>
    <row r="29858">
      <c r="B29858" s="612"/>
      <c r="H29858" s="612"/>
    </row>
    <row r="29859">
      <c r="B29859" s="612"/>
      <c r="H29859" s="612"/>
    </row>
    <row r="29860">
      <c r="B29860" s="612"/>
      <c r="H29860" s="612"/>
    </row>
    <row r="29861">
      <c r="B29861" s="612"/>
      <c r="H29861" s="612"/>
    </row>
    <row r="29862">
      <c r="B29862" s="612"/>
      <c r="H29862" s="612"/>
    </row>
    <row r="29863">
      <c r="B29863" s="612"/>
      <c r="H29863" s="612"/>
    </row>
    <row r="29864">
      <c r="B29864" s="612"/>
      <c r="H29864" s="612"/>
    </row>
    <row r="29865">
      <c r="B29865" s="612"/>
      <c r="H29865" s="612"/>
    </row>
    <row r="29866">
      <c r="B29866" s="612"/>
      <c r="H29866" s="612"/>
    </row>
    <row r="29867">
      <c r="B29867" s="612"/>
      <c r="H29867" s="612"/>
    </row>
    <row r="29868">
      <c r="B29868" s="612"/>
      <c r="H29868" s="612"/>
    </row>
    <row r="29869">
      <c r="B29869" s="612"/>
      <c r="H29869" s="612"/>
    </row>
    <row r="29870">
      <c r="B29870" s="612"/>
      <c r="H29870" s="612"/>
    </row>
    <row r="29871">
      <c r="B29871" s="612"/>
      <c r="H29871" s="612"/>
    </row>
    <row r="29872">
      <c r="B29872" s="612"/>
      <c r="H29872" s="612"/>
    </row>
    <row r="29873">
      <c r="B29873" s="612"/>
      <c r="H29873" s="612"/>
    </row>
    <row r="29874">
      <c r="B29874" s="612"/>
      <c r="H29874" s="612"/>
    </row>
    <row r="29875">
      <c r="B29875" s="612"/>
      <c r="H29875" s="612"/>
    </row>
    <row r="29876">
      <c r="B29876" s="612"/>
      <c r="H29876" s="612"/>
    </row>
    <row r="29877">
      <c r="B29877" s="612"/>
      <c r="H29877" s="612"/>
    </row>
    <row r="29878">
      <c r="B29878" s="612"/>
      <c r="H29878" s="612"/>
    </row>
    <row r="29879">
      <c r="B29879" s="612"/>
      <c r="H29879" s="612"/>
    </row>
    <row r="29880">
      <c r="B29880" s="612"/>
      <c r="H29880" s="612"/>
    </row>
    <row r="29881">
      <c r="B29881" s="612"/>
      <c r="H29881" s="612"/>
    </row>
    <row r="29882">
      <c r="B29882" s="612"/>
      <c r="H29882" s="612"/>
    </row>
    <row r="29883">
      <c r="B29883" s="612"/>
      <c r="H29883" s="612"/>
    </row>
    <row r="29884">
      <c r="B29884" s="612"/>
      <c r="H29884" s="612"/>
    </row>
    <row r="29885">
      <c r="B29885" s="612"/>
      <c r="H29885" s="612"/>
    </row>
    <row r="29886">
      <c r="B29886" s="612"/>
      <c r="H29886" s="612"/>
    </row>
    <row r="29887">
      <c r="B29887" s="612"/>
      <c r="H29887" s="612"/>
    </row>
    <row r="29888">
      <c r="B29888" s="612"/>
      <c r="H29888" s="612"/>
    </row>
    <row r="29889">
      <c r="B29889" s="612"/>
      <c r="H29889" s="612"/>
    </row>
    <row r="29890">
      <c r="B29890" s="612"/>
      <c r="H29890" s="612"/>
    </row>
    <row r="29891">
      <c r="B29891" s="612"/>
      <c r="H29891" s="612"/>
    </row>
    <row r="29892">
      <c r="B29892" s="612"/>
      <c r="H29892" s="612"/>
    </row>
    <row r="29893">
      <c r="B29893" s="612"/>
      <c r="H29893" s="612"/>
    </row>
    <row r="29894">
      <c r="B29894" s="612"/>
      <c r="H29894" s="612"/>
    </row>
    <row r="29895">
      <c r="B29895" s="612"/>
      <c r="H29895" s="612"/>
    </row>
    <row r="29896">
      <c r="B29896" s="612"/>
      <c r="H29896" s="612"/>
    </row>
    <row r="29897">
      <c r="B29897" s="612"/>
      <c r="H29897" s="612"/>
    </row>
    <row r="29898">
      <c r="B29898" s="612"/>
      <c r="H29898" s="612"/>
    </row>
    <row r="29899">
      <c r="B29899" s="612"/>
      <c r="H29899" s="612"/>
    </row>
    <row r="29900">
      <c r="B29900" s="612"/>
      <c r="H29900" s="612"/>
    </row>
    <row r="29901">
      <c r="B29901" s="612"/>
      <c r="H29901" s="612"/>
    </row>
    <row r="29902">
      <c r="B29902" s="612"/>
      <c r="H29902" s="612"/>
    </row>
    <row r="29903">
      <c r="B29903" s="612"/>
      <c r="H29903" s="612"/>
    </row>
    <row r="29904">
      <c r="B29904" s="612"/>
      <c r="H29904" s="612"/>
    </row>
    <row r="29905">
      <c r="B29905" s="612"/>
      <c r="H29905" s="612"/>
    </row>
    <row r="29906">
      <c r="B29906" s="612"/>
      <c r="H29906" s="612"/>
    </row>
    <row r="29907">
      <c r="B29907" s="612"/>
      <c r="H29907" s="612"/>
    </row>
    <row r="29908">
      <c r="B29908" s="612"/>
      <c r="H29908" s="612"/>
    </row>
    <row r="29909">
      <c r="B29909" s="612"/>
      <c r="H29909" s="612"/>
    </row>
    <row r="29910">
      <c r="B29910" s="612"/>
      <c r="H29910" s="612"/>
    </row>
    <row r="29911">
      <c r="B29911" s="612"/>
      <c r="H29911" s="612"/>
    </row>
    <row r="29912">
      <c r="B29912" s="612"/>
      <c r="H29912" s="612"/>
    </row>
    <row r="29913">
      <c r="B29913" s="612"/>
      <c r="H29913" s="612"/>
    </row>
    <row r="29914">
      <c r="B29914" s="612"/>
      <c r="H29914" s="612"/>
    </row>
    <row r="29915">
      <c r="B29915" s="612"/>
      <c r="H29915" s="612"/>
    </row>
    <row r="29916">
      <c r="B29916" s="612"/>
      <c r="H29916" s="612"/>
    </row>
    <row r="29917">
      <c r="B29917" s="612"/>
      <c r="H29917" s="612"/>
    </row>
    <row r="29918">
      <c r="B29918" s="612"/>
      <c r="H29918" s="612"/>
    </row>
    <row r="29919">
      <c r="B29919" s="612"/>
      <c r="H29919" s="612"/>
    </row>
    <row r="29920">
      <c r="B29920" s="612"/>
      <c r="H29920" s="612"/>
    </row>
    <row r="29921">
      <c r="B29921" s="612"/>
      <c r="H29921" s="612"/>
    </row>
    <row r="29922">
      <c r="B29922" s="612"/>
      <c r="H29922" s="612"/>
    </row>
    <row r="29923">
      <c r="B29923" s="612"/>
      <c r="H29923" s="612"/>
    </row>
    <row r="29924">
      <c r="B29924" s="612"/>
      <c r="H29924" s="612"/>
    </row>
    <row r="29925">
      <c r="B29925" s="612"/>
      <c r="H29925" s="612"/>
    </row>
    <row r="29926">
      <c r="B29926" s="612"/>
      <c r="H29926" s="612"/>
    </row>
    <row r="29927">
      <c r="B29927" s="612"/>
      <c r="H29927" s="612"/>
    </row>
    <row r="29928">
      <c r="B29928" s="612"/>
      <c r="H29928" s="612"/>
    </row>
    <row r="29929">
      <c r="B29929" s="612"/>
      <c r="H29929" s="612"/>
    </row>
    <row r="29930">
      <c r="B29930" s="612"/>
      <c r="H29930" s="612"/>
    </row>
    <row r="29931">
      <c r="B29931" s="612"/>
      <c r="H29931" s="612"/>
    </row>
    <row r="29932">
      <c r="B29932" s="612"/>
      <c r="H29932" s="612"/>
    </row>
    <row r="29933">
      <c r="B29933" s="612"/>
      <c r="H29933" s="612"/>
    </row>
    <row r="29934">
      <c r="B29934" s="612"/>
      <c r="H29934" s="612"/>
    </row>
    <row r="29935">
      <c r="B29935" s="612"/>
      <c r="H29935" s="612"/>
    </row>
    <row r="29936">
      <c r="B29936" s="612"/>
      <c r="H29936" s="612"/>
    </row>
    <row r="29937">
      <c r="B29937" s="612"/>
      <c r="H29937" s="612"/>
    </row>
    <row r="29938">
      <c r="B29938" s="612"/>
      <c r="H29938" s="612"/>
    </row>
    <row r="29939">
      <c r="B29939" s="612"/>
      <c r="H29939" s="612"/>
    </row>
    <row r="29940">
      <c r="B29940" s="612"/>
      <c r="H29940" s="612"/>
    </row>
    <row r="29941">
      <c r="B29941" s="612"/>
      <c r="H29941" s="612"/>
    </row>
    <row r="29942">
      <c r="B29942" s="612"/>
      <c r="H29942" s="612"/>
    </row>
    <row r="29943">
      <c r="B29943" s="612"/>
      <c r="H29943" s="612"/>
    </row>
    <row r="29944">
      <c r="B29944" s="612"/>
      <c r="H29944" s="612"/>
    </row>
    <row r="29945">
      <c r="B29945" s="612"/>
      <c r="H29945" s="612"/>
    </row>
    <row r="29946">
      <c r="B29946" s="612"/>
      <c r="H29946" s="612"/>
    </row>
    <row r="29947">
      <c r="B29947" s="612"/>
      <c r="H29947" s="612"/>
    </row>
    <row r="29948">
      <c r="B29948" s="612"/>
      <c r="H29948" s="612"/>
    </row>
    <row r="29949">
      <c r="B29949" s="612"/>
      <c r="H29949" s="612"/>
    </row>
    <row r="29950">
      <c r="B29950" s="612"/>
      <c r="H29950" s="612"/>
    </row>
    <row r="29951">
      <c r="B29951" s="612"/>
      <c r="H29951" s="612"/>
    </row>
    <row r="29952">
      <c r="B29952" s="612"/>
      <c r="H29952" s="612"/>
    </row>
    <row r="29953">
      <c r="B29953" s="612"/>
      <c r="H29953" s="612"/>
    </row>
    <row r="29954">
      <c r="B29954" s="612"/>
      <c r="H29954" s="612"/>
    </row>
    <row r="29955">
      <c r="B29955" s="612"/>
      <c r="H29955" s="612"/>
    </row>
    <row r="29956">
      <c r="B29956" s="612"/>
      <c r="H29956" s="612"/>
    </row>
    <row r="29957">
      <c r="B29957" s="612"/>
      <c r="H29957" s="612"/>
    </row>
    <row r="29958">
      <c r="B29958" s="612"/>
      <c r="H29958" s="612"/>
    </row>
    <row r="29959">
      <c r="B29959" s="612"/>
      <c r="H29959" s="612"/>
    </row>
    <row r="29960">
      <c r="B29960" s="612"/>
      <c r="H29960" s="612"/>
    </row>
    <row r="29961">
      <c r="B29961" s="612"/>
      <c r="H29961" s="612"/>
    </row>
    <row r="29962">
      <c r="B29962" s="612"/>
      <c r="H29962" s="612"/>
    </row>
    <row r="29963">
      <c r="B29963" s="612"/>
      <c r="H29963" s="612"/>
    </row>
    <row r="29964">
      <c r="B29964" s="612"/>
      <c r="H29964" s="612"/>
    </row>
    <row r="29965">
      <c r="B29965" s="612"/>
      <c r="H29965" s="612"/>
    </row>
    <row r="29966">
      <c r="B29966" s="612"/>
      <c r="H29966" s="612"/>
    </row>
    <row r="29967">
      <c r="B29967" s="612"/>
      <c r="H29967" s="612"/>
    </row>
    <row r="29968">
      <c r="B29968" s="612"/>
      <c r="H29968" s="612"/>
    </row>
    <row r="29969">
      <c r="B29969" s="612"/>
      <c r="H29969" s="612"/>
    </row>
    <row r="29970">
      <c r="B29970" s="612"/>
      <c r="H29970" s="612"/>
    </row>
    <row r="29971">
      <c r="B29971" s="612"/>
      <c r="H29971" s="612"/>
    </row>
    <row r="29972">
      <c r="B29972" s="612"/>
      <c r="H29972" s="612"/>
    </row>
    <row r="29973">
      <c r="B29973" s="612"/>
      <c r="H29973" s="612"/>
    </row>
    <row r="29974">
      <c r="B29974" s="612"/>
      <c r="H29974" s="612"/>
    </row>
    <row r="29975">
      <c r="B29975" s="612"/>
      <c r="H29975" s="612"/>
    </row>
    <row r="29976">
      <c r="B29976" s="612"/>
      <c r="H29976" s="612"/>
    </row>
    <row r="29977">
      <c r="B29977" s="612"/>
      <c r="H29977" s="612"/>
    </row>
    <row r="29978">
      <c r="B29978" s="612"/>
      <c r="H29978" s="612"/>
    </row>
    <row r="29979">
      <c r="B29979" s="612"/>
      <c r="H29979" s="612"/>
    </row>
    <row r="29980">
      <c r="B29980" s="612"/>
      <c r="H29980" s="612"/>
    </row>
    <row r="29981">
      <c r="B29981" s="612"/>
      <c r="H29981" s="612"/>
    </row>
    <row r="29982">
      <c r="B29982" s="612"/>
      <c r="H29982" s="612"/>
    </row>
    <row r="29983">
      <c r="B29983" s="612"/>
      <c r="H29983" s="612"/>
    </row>
    <row r="29984">
      <c r="B29984" s="612"/>
      <c r="H29984" s="612"/>
    </row>
    <row r="29985">
      <c r="B29985" s="612"/>
      <c r="H29985" s="612"/>
    </row>
    <row r="29986">
      <c r="B29986" s="612"/>
      <c r="H29986" s="612"/>
    </row>
    <row r="29987">
      <c r="B29987" s="612"/>
      <c r="H29987" s="612"/>
    </row>
    <row r="29988">
      <c r="B29988" s="612"/>
      <c r="H29988" s="612"/>
    </row>
    <row r="29989">
      <c r="B29989" s="612"/>
      <c r="H29989" s="612"/>
    </row>
    <row r="29990">
      <c r="B29990" s="612"/>
      <c r="H29990" s="612"/>
    </row>
    <row r="29991">
      <c r="B29991" s="612"/>
      <c r="H29991" s="612"/>
    </row>
    <row r="29992">
      <c r="B29992" s="612"/>
      <c r="H29992" s="612"/>
    </row>
    <row r="29993">
      <c r="B29993" s="612"/>
      <c r="H29993" s="612"/>
    </row>
    <row r="29994">
      <c r="B29994" s="612"/>
      <c r="H29994" s="612"/>
    </row>
    <row r="29995">
      <c r="B29995" s="612"/>
      <c r="H29995" s="612"/>
    </row>
    <row r="29996">
      <c r="B29996" s="612"/>
      <c r="H29996" s="612"/>
    </row>
    <row r="29997">
      <c r="B29997" s="612"/>
      <c r="H29997" s="612"/>
    </row>
    <row r="29998">
      <c r="B29998" s="612"/>
      <c r="H29998" s="612"/>
    </row>
    <row r="29999">
      <c r="B29999" s="612"/>
      <c r="H29999" s="612"/>
    </row>
    <row r="30000">
      <c r="B30000" s="612"/>
      <c r="H30000" s="612"/>
    </row>
    <row r="30001">
      <c r="B30001" s="612"/>
      <c r="H30001" s="612"/>
    </row>
    <row r="30002">
      <c r="B30002" s="612"/>
      <c r="H30002" s="612"/>
    </row>
    <row r="30003">
      <c r="B30003" s="612"/>
      <c r="H30003" s="612"/>
    </row>
    <row r="30004">
      <c r="B30004" s="612"/>
      <c r="H30004" s="612"/>
    </row>
    <row r="30005">
      <c r="B30005" s="612"/>
      <c r="H30005" s="612"/>
    </row>
    <row r="30006">
      <c r="B30006" s="612"/>
      <c r="H30006" s="612"/>
    </row>
    <row r="30007">
      <c r="B30007" s="612"/>
      <c r="H30007" s="612"/>
    </row>
    <row r="30008">
      <c r="B30008" s="612"/>
      <c r="H30008" s="612"/>
    </row>
    <row r="30009">
      <c r="B30009" s="612"/>
      <c r="H30009" s="612"/>
    </row>
    <row r="30010">
      <c r="B30010" s="612"/>
      <c r="H30010" s="612"/>
    </row>
    <row r="30011">
      <c r="B30011" s="612"/>
      <c r="H30011" s="612"/>
    </row>
    <row r="30012">
      <c r="B30012" s="612"/>
      <c r="H30012" s="612"/>
    </row>
    <row r="30013">
      <c r="B30013" s="612"/>
      <c r="H30013" s="612"/>
    </row>
    <row r="30014">
      <c r="B30014" s="612"/>
      <c r="H30014" s="612"/>
    </row>
    <row r="30015">
      <c r="B30015" s="612"/>
      <c r="H30015" s="612"/>
    </row>
    <row r="30016">
      <c r="B30016" s="612"/>
      <c r="H30016" s="612"/>
    </row>
    <row r="30017">
      <c r="B30017" s="612"/>
      <c r="H30017" s="612"/>
    </row>
    <row r="30018">
      <c r="B30018" s="612"/>
      <c r="H30018" s="612"/>
    </row>
    <row r="30019">
      <c r="B30019" s="612"/>
      <c r="H30019" s="612"/>
    </row>
    <row r="30020">
      <c r="B30020" s="612"/>
      <c r="H30020" s="612"/>
    </row>
    <row r="30021">
      <c r="B30021" s="612"/>
      <c r="H30021" s="612"/>
    </row>
    <row r="30022">
      <c r="B30022" s="612"/>
      <c r="H30022" s="612"/>
    </row>
    <row r="30023">
      <c r="B30023" s="612"/>
      <c r="H30023" s="612"/>
    </row>
    <row r="30024">
      <c r="B30024" s="612"/>
      <c r="H30024" s="612"/>
    </row>
    <row r="30025">
      <c r="B30025" s="612"/>
      <c r="H30025" s="612"/>
    </row>
    <row r="30026">
      <c r="B30026" s="612"/>
      <c r="H30026" s="612"/>
    </row>
    <row r="30027">
      <c r="B30027" s="612"/>
      <c r="H30027" s="612"/>
    </row>
    <row r="30028">
      <c r="B30028" s="612"/>
      <c r="H30028" s="612"/>
    </row>
    <row r="30029">
      <c r="B30029" s="612"/>
      <c r="H30029" s="612"/>
    </row>
    <row r="30030">
      <c r="B30030" s="612"/>
      <c r="H30030" s="612"/>
    </row>
    <row r="30031">
      <c r="B30031" s="612"/>
      <c r="H30031" s="612"/>
    </row>
    <row r="30032">
      <c r="B30032" s="612"/>
      <c r="H30032" s="612"/>
    </row>
    <row r="30033">
      <c r="B30033" s="612"/>
      <c r="H30033" s="612"/>
    </row>
    <row r="30034">
      <c r="B30034" s="612"/>
      <c r="H30034" s="612"/>
    </row>
    <row r="30035">
      <c r="B30035" s="612"/>
      <c r="H30035" s="612"/>
    </row>
    <row r="30036">
      <c r="B30036" s="612"/>
      <c r="H30036" s="612"/>
    </row>
    <row r="30037">
      <c r="B30037" s="612"/>
      <c r="H30037" s="612"/>
    </row>
    <row r="30038">
      <c r="B30038" s="612"/>
      <c r="H30038" s="612"/>
    </row>
    <row r="30039">
      <c r="B30039" s="612"/>
      <c r="H30039" s="612"/>
    </row>
    <row r="30040">
      <c r="B30040" s="612"/>
      <c r="H30040" s="612"/>
    </row>
    <row r="30041">
      <c r="B30041" s="612"/>
      <c r="H30041" s="612"/>
    </row>
    <row r="30042">
      <c r="B30042" s="612"/>
      <c r="H30042" s="612"/>
    </row>
    <row r="30043">
      <c r="B30043" s="612"/>
      <c r="H30043" s="612"/>
    </row>
    <row r="30044">
      <c r="B30044" s="612"/>
      <c r="H30044" s="612"/>
    </row>
    <row r="30045">
      <c r="B30045" s="612"/>
      <c r="H30045" s="612"/>
    </row>
    <row r="30046">
      <c r="B30046" s="612"/>
      <c r="H30046" s="612"/>
    </row>
    <row r="30047">
      <c r="B30047" s="612"/>
      <c r="H30047" s="612"/>
    </row>
    <row r="30048">
      <c r="B30048" s="612"/>
      <c r="H30048" s="612"/>
    </row>
    <row r="30049">
      <c r="B30049" s="612"/>
      <c r="H30049" s="612"/>
    </row>
    <row r="30050">
      <c r="B30050" s="612"/>
      <c r="H30050" s="612"/>
    </row>
    <row r="30051">
      <c r="B30051" s="612"/>
      <c r="H30051" s="612"/>
    </row>
    <row r="30052">
      <c r="B30052" s="612"/>
      <c r="H30052" s="612"/>
    </row>
    <row r="30053">
      <c r="B30053" s="612"/>
      <c r="H30053" s="612"/>
    </row>
    <row r="30054">
      <c r="B30054" s="612"/>
      <c r="H30054" s="612"/>
    </row>
    <row r="30055">
      <c r="B30055" s="612"/>
      <c r="H30055" s="612"/>
    </row>
    <row r="30056">
      <c r="B30056" s="612"/>
      <c r="H30056" s="612"/>
    </row>
    <row r="30057">
      <c r="B30057" s="612"/>
      <c r="H30057" s="612"/>
    </row>
    <row r="30058">
      <c r="B30058" s="612"/>
      <c r="H30058" s="612"/>
    </row>
    <row r="30059">
      <c r="B30059" s="612"/>
      <c r="H30059" s="612"/>
    </row>
    <row r="30060">
      <c r="B30060" s="612"/>
      <c r="H30060" s="612"/>
    </row>
    <row r="30061">
      <c r="B30061" s="612"/>
      <c r="H30061" s="612"/>
    </row>
    <row r="30062">
      <c r="B30062" s="612"/>
      <c r="H30062" s="612"/>
    </row>
    <row r="30063">
      <c r="B30063" s="612"/>
      <c r="H30063" s="612"/>
    </row>
    <row r="30064">
      <c r="B30064" s="612"/>
      <c r="H30064" s="612"/>
    </row>
    <row r="30065">
      <c r="B30065" s="612"/>
      <c r="H30065" s="612"/>
    </row>
    <row r="30066">
      <c r="B30066" s="612"/>
      <c r="H30066" s="612"/>
    </row>
    <row r="30067">
      <c r="B30067" s="612"/>
      <c r="H30067" s="612"/>
    </row>
    <row r="30068">
      <c r="B30068" s="612"/>
      <c r="H30068" s="612"/>
    </row>
    <row r="30069">
      <c r="B30069" s="612"/>
      <c r="H30069" s="612"/>
    </row>
    <row r="30070">
      <c r="B30070" s="612"/>
      <c r="H30070" s="612"/>
    </row>
    <row r="30071">
      <c r="B30071" s="612"/>
      <c r="H30071" s="612"/>
    </row>
    <row r="30072">
      <c r="B30072" s="612"/>
      <c r="H30072" s="612"/>
    </row>
    <row r="30073">
      <c r="B30073" s="612"/>
      <c r="H30073" s="612"/>
    </row>
    <row r="30074">
      <c r="B30074" s="612"/>
      <c r="H30074" s="612"/>
    </row>
    <row r="30075">
      <c r="B30075" s="612"/>
      <c r="H30075" s="612"/>
    </row>
    <row r="30076">
      <c r="B30076" s="612"/>
      <c r="H30076" s="612"/>
    </row>
    <row r="30077">
      <c r="B30077" s="612"/>
      <c r="H30077" s="612"/>
    </row>
    <row r="30078">
      <c r="B30078" s="612"/>
      <c r="H30078" s="612"/>
    </row>
    <row r="30079">
      <c r="B30079" s="612"/>
      <c r="H30079" s="612"/>
    </row>
    <row r="30080">
      <c r="B30080" s="612"/>
      <c r="H30080" s="612"/>
    </row>
    <row r="30081">
      <c r="B30081" s="612"/>
      <c r="H30081" s="612"/>
    </row>
    <row r="30082">
      <c r="B30082" s="612"/>
      <c r="H30082" s="612"/>
    </row>
    <row r="30083">
      <c r="B30083" s="612"/>
      <c r="H30083" s="612"/>
    </row>
    <row r="30084">
      <c r="B30084" s="612"/>
      <c r="H30084" s="612"/>
    </row>
    <row r="30085">
      <c r="B30085" s="612"/>
      <c r="H30085" s="612"/>
    </row>
    <row r="30086">
      <c r="B30086" s="612"/>
      <c r="H30086" s="612"/>
    </row>
    <row r="30087">
      <c r="B30087" s="612"/>
      <c r="H30087" s="612"/>
    </row>
    <row r="30088">
      <c r="B30088" s="612"/>
      <c r="H30088" s="612"/>
    </row>
    <row r="30089">
      <c r="B30089" s="612"/>
      <c r="H30089" s="612"/>
    </row>
    <row r="30090">
      <c r="B30090" s="612"/>
      <c r="H30090" s="612"/>
    </row>
    <row r="30091">
      <c r="B30091" s="612"/>
      <c r="H30091" s="612"/>
    </row>
    <row r="30092">
      <c r="B30092" s="612"/>
      <c r="H30092" s="612"/>
    </row>
    <row r="30093">
      <c r="B30093" s="612"/>
      <c r="H30093" s="612"/>
    </row>
    <row r="30094">
      <c r="B30094" s="612"/>
      <c r="H30094" s="612"/>
    </row>
    <row r="30095">
      <c r="B30095" s="612"/>
      <c r="H30095" s="612"/>
    </row>
    <row r="30096">
      <c r="B30096" s="612"/>
      <c r="H30096" s="612"/>
    </row>
    <row r="30097">
      <c r="B30097" s="612"/>
      <c r="H30097" s="612"/>
    </row>
    <row r="30098">
      <c r="B30098" s="612"/>
      <c r="H30098" s="612"/>
    </row>
    <row r="30099">
      <c r="B30099" s="612"/>
      <c r="H30099" s="612"/>
    </row>
    <row r="30100">
      <c r="B30100" s="612"/>
      <c r="H30100" s="612"/>
    </row>
    <row r="30101">
      <c r="B30101" s="612"/>
      <c r="H30101" s="612"/>
    </row>
    <row r="30102">
      <c r="B30102" s="612"/>
      <c r="H30102" s="612"/>
    </row>
    <row r="30103">
      <c r="B30103" s="612"/>
      <c r="H30103" s="612"/>
    </row>
    <row r="30104">
      <c r="B30104" s="612"/>
      <c r="H30104" s="612"/>
    </row>
    <row r="30105">
      <c r="B30105" s="612"/>
      <c r="H30105" s="612"/>
    </row>
    <row r="30106">
      <c r="B30106" s="612"/>
      <c r="H30106" s="612"/>
    </row>
    <row r="30107">
      <c r="B30107" s="612"/>
      <c r="H30107" s="612"/>
    </row>
    <row r="30108">
      <c r="B30108" s="612"/>
      <c r="H30108" s="612"/>
    </row>
    <row r="30109">
      <c r="B30109" s="612"/>
      <c r="H30109" s="612"/>
    </row>
    <row r="30110">
      <c r="B30110" s="612"/>
      <c r="H30110" s="612"/>
    </row>
    <row r="30111">
      <c r="B30111" s="612"/>
      <c r="H30111" s="612"/>
    </row>
    <row r="30112">
      <c r="B30112" s="612"/>
      <c r="H30112" s="612"/>
    </row>
    <row r="30113">
      <c r="B30113" s="612"/>
      <c r="H30113" s="612"/>
    </row>
    <row r="30114">
      <c r="B30114" s="612"/>
      <c r="H30114" s="612"/>
    </row>
    <row r="30115">
      <c r="B30115" s="612"/>
      <c r="H30115" s="612"/>
    </row>
    <row r="30116">
      <c r="B30116" s="612"/>
      <c r="H30116" s="612"/>
    </row>
    <row r="30117">
      <c r="B30117" s="612"/>
      <c r="H30117" s="612"/>
    </row>
    <row r="30118">
      <c r="B30118" s="612"/>
      <c r="H30118" s="612"/>
    </row>
    <row r="30119">
      <c r="B30119" s="612"/>
      <c r="H30119" s="612"/>
    </row>
    <row r="30120">
      <c r="B30120" s="612"/>
      <c r="H30120" s="612"/>
    </row>
    <row r="30121">
      <c r="B30121" s="612"/>
      <c r="H30121" s="612"/>
    </row>
    <row r="30122">
      <c r="B30122" s="612"/>
      <c r="H30122" s="612"/>
    </row>
    <row r="30123">
      <c r="B30123" s="612"/>
      <c r="H30123" s="612"/>
    </row>
    <row r="30124">
      <c r="B30124" s="612"/>
      <c r="H30124" s="612"/>
    </row>
    <row r="30125">
      <c r="B30125" s="612"/>
      <c r="H30125" s="612"/>
    </row>
    <row r="30126">
      <c r="B30126" s="612"/>
      <c r="H30126" s="612"/>
    </row>
    <row r="30127">
      <c r="B30127" s="612"/>
      <c r="H30127" s="612"/>
    </row>
    <row r="30128">
      <c r="B30128" s="612"/>
      <c r="H30128" s="612"/>
    </row>
    <row r="30129">
      <c r="B30129" s="612"/>
      <c r="H30129" s="612"/>
    </row>
    <row r="30130">
      <c r="B30130" s="612"/>
      <c r="H30130" s="612"/>
    </row>
    <row r="30131">
      <c r="B30131" s="612"/>
      <c r="H30131" s="612"/>
    </row>
    <row r="30132">
      <c r="B30132" s="612"/>
      <c r="H30132" s="612"/>
    </row>
    <row r="30133">
      <c r="B30133" s="612"/>
      <c r="H30133" s="612"/>
    </row>
    <row r="30134">
      <c r="B30134" s="612"/>
      <c r="H30134" s="612"/>
    </row>
    <row r="30135">
      <c r="B30135" s="612"/>
      <c r="H30135" s="612"/>
    </row>
    <row r="30136">
      <c r="B30136" s="612"/>
      <c r="H30136" s="612"/>
    </row>
    <row r="30137">
      <c r="B30137" s="612"/>
      <c r="H30137" s="612"/>
    </row>
    <row r="30138">
      <c r="B30138" s="612"/>
      <c r="H30138" s="612"/>
    </row>
    <row r="30139">
      <c r="B30139" s="612"/>
      <c r="H30139" s="612"/>
    </row>
    <row r="30140">
      <c r="B30140" s="612"/>
      <c r="H30140" s="612"/>
    </row>
    <row r="30141">
      <c r="B30141" s="612"/>
      <c r="H30141" s="612"/>
    </row>
    <row r="30142">
      <c r="B30142" s="612"/>
      <c r="H30142" s="612"/>
    </row>
    <row r="30143">
      <c r="B30143" s="612"/>
      <c r="H30143" s="612"/>
    </row>
    <row r="30144">
      <c r="B30144" s="612"/>
      <c r="H30144" s="612"/>
    </row>
    <row r="30145">
      <c r="B30145" s="612"/>
      <c r="H30145" s="612"/>
    </row>
    <row r="30146">
      <c r="B30146" s="612"/>
      <c r="H30146" s="612"/>
    </row>
    <row r="30147">
      <c r="B30147" s="612"/>
      <c r="H30147" s="612"/>
    </row>
    <row r="30148">
      <c r="B30148" s="612"/>
      <c r="H30148" s="612"/>
    </row>
    <row r="30149">
      <c r="B30149" s="612"/>
      <c r="H30149" s="612"/>
    </row>
    <row r="30150">
      <c r="B30150" s="612"/>
      <c r="H30150" s="612"/>
    </row>
    <row r="30151">
      <c r="B30151" s="612"/>
      <c r="H30151" s="612"/>
    </row>
    <row r="30152">
      <c r="B30152" s="612"/>
      <c r="H30152" s="612"/>
    </row>
    <row r="30153">
      <c r="B30153" s="612"/>
      <c r="H30153" s="612"/>
    </row>
    <row r="30154">
      <c r="B30154" s="612"/>
      <c r="H30154" s="612"/>
    </row>
    <row r="30155">
      <c r="B30155" s="612"/>
      <c r="H30155" s="612"/>
    </row>
    <row r="30156">
      <c r="B30156" s="612"/>
      <c r="H30156" s="612"/>
    </row>
    <row r="30157">
      <c r="B30157" s="612"/>
      <c r="H30157" s="612"/>
    </row>
    <row r="30158">
      <c r="B30158" s="612"/>
      <c r="H30158" s="612"/>
    </row>
    <row r="30159">
      <c r="B30159" s="612"/>
      <c r="H30159" s="612"/>
    </row>
    <row r="30160">
      <c r="B30160" s="612"/>
      <c r="H30160" s="612"/>
    </row>
    <row r="30161">
      <c r="B30161" s="612"/>
      <c r="H30161" s="612"/>
    </row>
    <row r="30162">
      <c r="B30162" s="612"/>
      <c r="H30162" s="612"/>
    </row>
    <row r="30163">
      <c r="B30163" s="612"/>
      <c r="H30163" s="612"/>
    </row>
    <row r="30164">
      <c r="B30164" s="612"/>
      <c r="H30164" s="612"/>
    </row>
    <row r="30165">
      <c r="B30165" s="612"/>
      <c r="H30165" s="612"/>
    </row>
    <row r="30166">
      <c r="B30166" s="612"/>
      <c r="H30166" s="612"/>
    </row>
    <row r="30167">
      <c r="B30167" s="612"/>
      <c r="H30167" s="612"/>
    </row>
    <row r="30168">
      <c r="B30168" s="612"/>
      <c r="H30168" s="612"/>
    </row>
    <row r="30169">
      <c r="B30169" s="612"/>
      <c r="H30169" s="612"/>
    </row>
    <row r="30170">
      <c r="B30170" s="612"/>
      <c r="H30170" s="612"/>
    </row>
    <row r="30171">
      <c r="B30171" s="612"/>
      <c r="H30171" s="612"/>
    </row>
    <row r="30172">
      <c r="B30172" s="612"/>
      <c r="H30172" s="612"/>
    </row>
    <row r="30173">
      <c r="B30173" s="612"/>
      <c r="H30173" s="612"/>
    </row>
    <row r="30174">
      <c r="B30174" s="612"/>
      <c r="H30174" s="612"/>
    </row>
    <row r="30175">
      <c r="B30175" s="612"/>
      <c r="H30175" s="612"/>
    </row>
    <row r="30176">
      <c r="B30176" s="612"/>
      <c r="H30176" s="612"/>
    </row>
    <row r="30177">
      <c r="B30177" s="612"/>
      <c r="H30177" s="612"/>
    </row>
    <row r="30178">
      <c r="B30178" s="612"/>
      <c r="H30178" s="612"/>
    </row>
    <row r="30179">
      <c r="B30179" s="612"/>
      <c r="H30179" s="612"/>
    </row>
    <row r="30180">
      <c r="B30180" s="612"/>
      <c r="H30180" s="612"/>
    </row>
    <row r="30181">
      <c r="B30181" s="612"/>
      <c r="H30181" s="612"/>
    </row>
    <row r="30182">
      <c r="B30182" s="612"/>
      <c r="H30182" s="612"/>
    </row>
    <row r="30183">
      <c r="B30183" s="612"/>
      <c r="H30183" s="612"/>
    </row>
    <row r="30184">
      <c r="B30184" s="612"/>
      <c r="H30184" s="612"/>
    </row>
    <row r="30185">
      <c r="B30185" s="612"/>
      <c r="H30185" s="612"/>
    </row>
    <row r="30186">
      <c r="B30186" s="612"/>
      <c r="H30186" s="612"/>
    </row>
    <row r="30187">
      <c r="B30187" s="612"/>
      <c r="H30187" s="612"/>
    </row>
    <row r="30188">
      <c r="B30188" s="612"/>
      <c r="H30188" s="612"/>
    </row>
    <row r="30189">
      <c r="B30189" s="612"/>
      <c r="H30189" s="612"/>
    </row>
    <row r="30190">
      <c r="B30190" s="612"/>
      <c r="H30190" s="612"/>
    </row>
    <row r="30191">
      <c r="B30191" s="612"/>
      <c r="H30191" s="612"/>
    </row>
    <row r="30192">
      <c r="B30192" s="612"/>
      <c r="H30192" s="612"/>
    </row>
    <row r="30193">
      <c r="B30193" s="612"/>
      <c r="H30193" s="612"/>
    </row>
    <row r="30194">
      <c r="B30194" s="612"/>
      <c r="H30194" s="612"/>
    </row>
    <row r="30195">
      <c r="B30195" s="612"/>
      <c r="H30195" s="612"/>
    </row>
    <row r="30196">
      <c r="B30196" s="612"/>
      <c r="H30196" s="612"/>
    </row>
    <row r="30197">
      <c r="B30197" s="612"/>
      <c r="H30197" s="612"/>
    </row>
    <row r="30198">
      <c r="B30198" s="612"/>
      <c r="H30198" s="612"/>
    </row>
    <row r="30199">
      <c r="B30199" s="612"/>
      <c r="H30199" s="612"/>
    </row>
    <row r="30200">
      <c r="B30200" s="612"/>
      <c r="H30200" s="612"/>
    </row>
    <row r="30201">
      <c r="B30201" s="612"/>
      <c r="H30201" s="612"/>
    </row>
    <row r="30202">
      <c r="B30202" s="612"/>
      <c r="H30202" s="612"/>
    </row>
    <row r="30203">
      <c r="B30203" s="612"/>
      <c r="H30203" s="612"/>
    </row>
    <row r="30204">
      <c r="B30204" s="612"/>
      <c r="H30204" s="612"/>
    </row>
    <row r="30205">
      <c r="B30205" s="612"/>
      <c r="H30205" s="612"/>
    </row>
    <row r="30206">
      <c r="B30206" s="612"/>
      <c r="H30206" s="612"/>
    </row>
    <row r="30207">
      <c r="B30207" s="612"/>
      <c r="H30207" s="612"/>
    </row>
    <row r="30208">
      <c r="B30208" s="612"/>
      <c r="H30208" s="612"/>
    </row>
    <row r="30209">
      <c r="B30209" s="612"/>
      <c r="H30209" s="612"/>
    </row>
    <row r="30210">
      <c r="B30210" s="612"/>
      <c r="H30210" s="612"/>
    </row>
    <row r="30211">
      <c r="B30211" s="612"/>
      <c r="H30211" s="612"/>
    </row>
    <row r="30212">
      <c r="B30212" s="612"/>
      <c r="H30212" s="612"/>
    </row>
    <row r="30213">
      <c r="B30213" s="612"/>
      <c r="H30213" s="612"/>
    </row>
    <row r="30214">
      <c r="B30214" s="612"/>
      <c r="H30214" s="612"/>
    </row>
    <row r="30215">
      <c r="B30215" s="612"/>
      <c r="H30215" s="612"/>
    </row>
    <row r="30216">
      <c r="B30216" s="612"/>
      <c r="H30216" s="612"/>
    </row>
    <row r="30217">
      <c r="B30217" s="612"/>
      <c r="H30217" s="612"/>
    </row>
    <row r="30218">
      <c r="B30218" s="612"/>
      <c r="H30218" s="612"/>
    </row>
    <row r="30219">
      <c r="B30219" s="612"/>
      <c r="H30219" s="612"/>
    </row>
    <row r="30220">
      <c r="B30220" s="612"/>
      <c r="H30220" s="612"/>
    </row>
    <row r="30221">
      <c r="B30221" s="612"/>
      <c r="H30221" s="612"/>
    </row>
    <row r="30222">
      <c r="B30222" s="612"/>
      <c r="H30222" s="612"/>
    </row>
    <row r="30223">
      <c r="B30223" s="612"/>
      <c r="H30223" s="612"/>
    </row>
    <row r="30224">
      <c r="B30224" s="612"/>
      <c r="H30224" s="612"/>
    </row>
    <row r="30225">
      <c r="B30225" s="612"/>
      <c r="H30225" s="612"/>
    </row>
    <row r="30226">
      <c r="B30226" s="612"/>
      <c r="H30226" s="612"/>
    </row>
    <row r="30227">
      <c r="B30227" s="612"/>
      <c r="H30227" s="612"/>
    </row>
    <row r="30228">
      <c r="B30228" s="612"/>
      <c r="H30228" s="612"/>
    </row>
    <row r="30229">
      <c r="B30229" s="612"/>
      <c r="H30229" s="612"/>
    </row>
    <row r="30230">
      <c r="B30230" s="612"/>
      <c r="H30230" s="612"/>
    </row>
    <row r="30231">
      <c r="B30231" s="612"/>
      <c r="H30231" s="612"/>
    </row>
    <row r="30232">
      <c r="B30232" s="612"/>
      <c r="H30232" s="612"/>
    </row>
    <row r="30233">
      <c r="B30233" s="612"/>
      <c r="H30233" s="612"/>
    </row>
    <row r="30234">
      <c r="B30234" s="612"/>
      <c r="H30234" s="612"/>
    </row>
    <row r="30235">
      <c r="B30235" s="612"/>
      <c r="H30235" s="612"/>
    </row>
    <row r="30236">
      <c r="B30236" s="612"/>
      <c r="H30236" s="612"/>
    </row>
    <row r="30237">
      <c r="B30237" s="612"/>
      <c r="H30237" s="612"/>
    </row>
    <row r="30238">
      <c r="B30238" s="612"/>
      <c r="H30238" s="612"/>
    </row>
    <row r="30239">
      <c r="B30239" s="612"/>
      <c r="H30239" s="612"/>
    </row>
    <row r="30240">
      <c r="B30240" s="612"/>
      <c r="H30240" s="612"/>
    </row>
    <row r="30241">
      <c r="B30241" s="612"/>
      <c r="H30241" s="612"/>
    </row>
    <row r="30242">
      <c r="B30242" s="612"/>
      <c r="H30242" s="612"/>
    </row>
    <row r="30243">
      <c r="B30243" s="612"/>
      <c r="H30243" s="612"/>
    </row>
    <row r="30244">
      <c r="B30244" s="612"/>
      <c r="H30244" s="612"/>
    </row>
    <row r="30245">
      <c r="B30245" s="612"/>
      <c r="H30245" s="612"/>
    </row>
    <row r="30246">
      <c r="B30246" s="612"/>
      <c r="H30246" s="612"/>
    </row>
    <row r="30247">
      <c r="B30247" s="612"/>
      <c r="H30247" s="612"/>
    </row>
    <row r="30248">
      <c r="B30248" s="612"/>
      <c r="H30248" s="612"/>
    </row>
    <row r="30249">
      <c r="B30249" s="612"/>
      <c r="H30249" s="612"/>
    </row>
    <row r="30250">
      <c r="B30250" s="612"/>
      <c r="H30250" s="612"/>
    </row>
    <row r="30251">
      <c r="B30251" s="612"/>
      <c r="H30251" s="612"/>
    </row>
    <row r="30252">
      <c r="B30252" s="612"/>
      <c r="H30252" s="612"/>
    </row>
    <row r="30253">
      <c r="B30253" s="612"/>
      <c r="H30253" s="612"/>
    </row>
    <row r="30254">
      <c r="B30254" s="612"/>
      <c r="H30254" s="612"/>
    </row>
    <row r="30255">
      <c r="B30255" s="612"/>
      <c r="H30255" s="612"/>
    </row>
    <row r="30256">
      <c r="B30256" s="612"/>
      <c r="H30256" s="612"/>
    </row>
    <row r="30257">
      <c r="B30257" s="612"/>
      <c r="H30257" s="612"/>
    </row>
    <row r="30258">
      <c r="B30258" s="612"/>
      <c r="H30258" s="612"/>
    </row>
    <row r="30259">
      <c r="B30259" s="612"/>
      <c r="H30259" s="612"/>
    </row>
    <row r="30260">
      <c r="B30260" s="612"/>
      <c r="H30260" s="612"/>
    </row>
    <row r="30261">
      <c r="B30261" s="612"/>
      <c r="H30261" s="612"/>
    </row>
    <row r="30262">
      <c r="B30262" s="612"/>
      <c r="H30262" s="612"/>
    </row>
    <row r="30263">
      <c r="B30263" s="612"/>
      <c r="H30263" s="612"/>
    </row>
    <row r="30264">
      <c r="B30264" s="612"/>
      <c r="H30264" s="612"/>
    </row>
    <row r="30265">
      <c r="B30265" s="612"/>
      <c r="H30265" s="612"/>
    </row>
    <row r="30266">
      <c r="B30266" s="612"/>
      <c r="H30266" s="612"/>
    </row>
    <row r="30267">
      <c r="B30267" s="612"/>
      <c r="H30267" s="612"/>
    </row>
    <row r="30268">
      <c r="B30268" s="612"/>
      <c r="H30268" s="612"/>
    </row>
    <row r="30269">
      <c r="B30269" s="612"/>
      <c r="H30269" s="612"/>
    </row>
    <row r="30270">
      <c r="B30270" s="612"/>
      <c r="H30270" s="612"/>
    </row>
    <row r="30271">
      <c r="B30271" s="612"/>
      <c r="H30271" s="612"/>
    </row>
    <row r="30272">
      <c r="B30272" s="612"/>
      <c r="H30272" s="612"/>
    </row>
    <row r="30273">
      <c r="B30273" s="612"/>
      <c r="H30273" s="612"/>
    </row>
    <row r="30274">
      <c r="B30274" s="612"/>
      <c r="H30274" s="612"/>
    </row>
    <row r="30275">
      <c r="B30275" s="612"/>
      <c r="H30275" s="612"/>
    </row>
    <row r="30276">
      <c r="B30276" s="612"/>
      <c r="H30276" s="612"/>
    </row>
    <row r="30277">
      <c r="B30277" s="612"/>
      <c r="H30277" s="612"/>
    </row>
    <row r="30278">
      <c r="B30278" s="612"/>
      <c r="H30278" s="612"/>
    </row>
    <row r="30279">
      <c r="B30279" s="612"/>
      <c r="H30279" s="612"/>
    </row>
    <row r="30280">
      <c r="B30280" s="612"/>
      <c r="H30280" s="612"/>
    </row>
    <row r="30281">
      <c r="B30281" s="612"/>
      <c r="H30281" s="612"/>
    </row>
    <row r="30282">
      <c r="B30282" s="612"/>
      <c r="H30282" s="612"/>
    </row>
    <row r="30283">
      <c r="B30283" s="612"/>
      <c r="H30283" s="612"/>
    </row>
    <row r="30284">
      <c r="B30284" s="612"/>
      <c r="H30284" s="612"/>
    </row>
    <row r="30285">
      <c r="B30285" s="612"/>
      <c r="H30285" s="612"/>
    </row>
    <row r="30286">
      <c r="B30286" s="612"/>
      <c r="H30286" s="612"/>
    </row>
    <row r="30287">
      <c r="B30287" s="612"/>
      <c r="H30287" s="612"/>
    </row>
    <row r="30288">
      <c r="B30288" s="612"/>
      <c r="H30288" s="612"/>
    </row>
    <row r="30289">
      <c r="B30289" s="612"/>
      <c r="H30289" s="612"/>
    </row>
    <row r="30290">
      <c r="B30290" s="612"/>
      <c r="H30290" s="612"/>
    </row>
    <row r="30291">
      <c r="B30291" s="612"/>
      <c r="H30291" s="612"/>
    </row>
    <row r="30292">
      <c r="B30292" s="612"/>
      <c r="H30292" s="612"/>
    </row>
    <row r="30293">
      <c r="B30293" s="612"/>
      <c r="H30293" s="612"/>
    </row>
    <row r="30294">
      <c r="B30294" s="612"/>
      <c r="H30294" s="612"/>
    </row>
    <row r="30295">
      <c r="B30295" s="612"/>
      <c r="H30295" s="612"/>
    </row>
    <row r="30296">
      <c r="B30296" s="612"/>
      <c r="H30296" s="612"/>
    </row>
    <row r="30297">
      <c r="B30297" s="612"/>
      <c r="H30297" s="612"/>
    </row>
    <row r="30298">
      <c r="B30298" s="612"/>
      <c r="H30298" s="612"/>
    </row>
    <row r="30299">
      <c r="B30299" s="612"/>
      <c r="H30299" s="612"/>
    </row>
    <row r="30300">
      <c r="B30300" s="612"/>
      <c r="H30300" s="612"/>
    </row>
    <row r="30301">
      <c r="B30301" s="612"/>
      <c r="H30301" s="612"/>
    </row>
    <row r="30302">
      <c r="B30302" s="612"/>
      <c r="H30302" s="612"/>
    </row>
    <row r="30303">
      <c r="B30303" s="612"/>
      <c r="H30303" s="612"/>
    </row>
    <row r="30304">
      <c r="B30304" s="612"/>
      <c r="H30304" s="612"/>
    </row>
    <row r="30305">
      <c r="B30305" s="612"/>
      <c r="H30305" s="612"/>
    </row>
    <row r="30306">
      <c r="B30306" s="612"/>
      <c r="H30306" s="612"/>
    </row>
    <row r="30307">
      <c r="B30307" s="612"/>
      <c r="H30307" s="612"/>
    </row>
    <row r="30308">
      <c r="B30308" s="612"/>
      <c r="H30308" s="612"/>
    </row>
    <row r="30309">
      <c r="B30309" s="612"/>
      <c r="H30309" s="612"/>
    </row>
    <row r="30310">
      <c r="B30310" s="612"/>
      <c r="H30310" s="612"/>
    </row>
    <row r="30311">
      <c r="B30311" s="612"/>
      <c r="H30311" s="612"/>
    </row>
    <row r="30312">
      <c r="B30312" s="612"/>
      <c r="H30312" s="612"/>
    </row>
    <row r="30313">
      <c r="B30313" s="612"/>
      <c r="H30313" s="612"/>
    </row>
    <row r="30314">
      <c r="B30314" s="612"/>
      <c r="H30314" s="612"/>
    </row>
    <row r="30315">
      <c r="B30315" s="612"/>
      <c r="H30315" s="612"/>
    </row>
    <row r="30316">
      <c r="B30316" s="612"/>
      <c r="H30316" s="612"/>
    </row>
    <row r="30317">
      <c r="B30317" s="612"/>
      <c r="H30317" s="612"/>
    </row>
    <row r="30318">
      <c r="B30318" s="612"/>
      <c r="H30318" s="612"/>
    </row>
    <row r="30319">
      <c r="B30319" s="612"/>
      <c r="H30319" s="612"/>
    </row>
    <row r="30320">
      <c r="B30320" s="612"/>
      <c r="H30320" s="612"/>
    </row>
    <row r="30321">
      <c r="B30321" s="612"/>
      <c r="H30321" s="612"/>
    </row>
    <row r="30322">
      <c r="B30322" s="612"/>
      <c r="H30322" s="612"/>
    </row>
    <row r="30323">
      <c r="B30323" s="612"/>
      <c r="H30323" s="612"/>
    </row>
    <row r="30324">
      <c r="B30324" s="612"/>
      <c r="H30324" s="612"/>
    </row>
    <row r="30325">
      <c r="B30325" s="612"/>
      <c r="H30325" s="612"/>
    </row>
    <row r="30326">
      <c r="B30326" s="612"/>
      <c r="H30326" s="612"/>
    </row>
    <row r="30327">
      <c r="B30327" s="612"/>
      <c r="H30327" s="612"/>
    </row>
    <row r="30328">
      <c r="B30328" s="612"/>
      <c r="H30328" s="612"/>
    </row>
    <row r="30329">
      <c r="B30329" s="612"/>
      <c r="H30329" s="612"/>
    </row>
    <row r="30330">
      <c r="B30330" s="612"/>
      <c r="H30330" s="612"/>
    </row>
    <row r="30331">
      <c r="B30331" s="612"/>
      <c r="H30331" s="612"/>
    </row>
    <row r="30332">
      <c r="B30332" s="612"/>
      <c r="H30332" s="612"/>
    </row>
    <row r="30333">
      <c r="B30333" s="612"/>
      <c r="H30333" s="612"/>
    </row>
    <row r="30334">
      <c r="B30334" s="612"/>
      <c r="H30334" s="612"/>
    </row>
    <row r="30335">
      <c r="B30335" s="612"/>
      <c r="H30335" s="612"/>
    </row>
    <row r="30336">
      <c r="B30336" s="612"/>
      <c r="H30336" s="612"/>
    </row>
    <row r="30337">
      <c r="B30337" s="612"/>
      <c r="H30337" s="612"/>
    </row>
    <row r="30338">
      <c r="B30338" s="612"/>
      <c r="H30338" s="612"/>
    </row>
    <row r="30339">
      <c r="B30339" s="612"/>
      <c r="H30339" s="612"/>
    </row>
    <row r="30340">
      <c r="B30340" s="612"/>
      <c r="H30340" s="612"/>
    </row>
    <row r="30341">
      <c r="B30341" s="612"/>
      <c r="H30341" s="612"/>
    </row>
    <row r="30342">
      <c r="B30342" s="612"/>
      <c r="H30342" s="612"/>
    </row>
    <row r="30343">
      <c r="B30343" s="612"/>
      <c r="H30343" s="612"/>
    </row>
    <row r="30344">
      <c r="B30344" s="612"/>
      <c r="H30344" s="612"/>
    </row>
    <row r="30345">
      <c r="B30345" s="612"/>
      <c r="H30345" s="612"/>
    </row>
    <row r="30346">
      <c r="B30346" s="612"/>
      <c r="H30346" s="612"/>
    </row>
    <row r="30347">
      <c r="B30347" s="612"/>
      <c r="H30347" s="612"/>
    </row>
    <row r="30348">
      <c r="B30348" s="612"/>
      <c r="H30348" s="612"/>
    </row>
    <row r="30349">
      <c r="B30349" s="612"/>
      <c r="H30349" s="612"/>
    </row>
    <row r="30350">
      <c r="B30350" s="612"/>
      <c r="H30350" s="612"/>
    </row>
    <row r="30351">
      <c r="B30351" s="612"/>
      <c r="H30351" s="612"/>
    </row>
    <row r="30352">
      <c r="B30352" s="612"/>
      <c r="H30352" s="612"/>
    </row>
    <row r="30353">
      <c r="B30353" s="612"/>
      <c r="H30353" s="612"/>
    </row>
    <row r="30354">
      <c r="B30354" s="612"/>
      <c r="H30354" s="612"/>
    </row>
    <row r="30355">
      <c r="B30355" s="612"/>
      <c r="H30355" s="612"/>
    </row>
    <row r="30356">
      <c r="B30356" s="612"/>
      <c r="H30356" s="612"/>
    </row>
    <row r="30357">
      <c r="B30357" s="612"/>
      <c r="H30357" s="612"/>
    </row>
    <row r="30358">
      <c r="B30358" s="612"/>
      <c r="H30358" s="612"/>
    </row>
    <row r="30359">
      <c r="B30359" s="612"/>
      <c r="H30359" s="612"/>
    </row>
    <row r="30360">
      <c r="B30360" s="612"/>
      <c r="H30360" s="612"/>
    </row>
    <row r="30361">
      <c r="B30361" s="612"/>
      <c r="H30361" s="612"/>
    </row>
    <row r="30362">
      <c r="B30362" s="612"/>
      <c r="H30362" s="612"/>
    </row>
    <row r="30363">
      <c r="B30363" s="612"/>
      <c r="H30363" s="612"/>
    </row>
    <row r="30364">
      <c r="B30364" s="612"/>
      <c r="H30364" s="612"/>
    </row>
    <row r="30365">
      <c r="B30365" s="612"/>
      <c r="H30365" s="612"/>
    </row>
    <row r="30366">
      <c r="B30366" s="612"/>
      <c r="H30366" s="612"/>
    </row>
    <row r="30367">
      <c r="B30367" s="612"/>
      <c r="H30367" s="612"/>
    </row>
    <row r="30368">
      <c r="B30368" s="612"/>
      <c r="H30368" s="612"/>
    </row>
    <row r="30369">
      <c r="B30369" s="612"/>
      <c r="H30369" s="612"/>
    </row>
    <row r="30370">
      <c r="B30370" s="612"/>
      <c r="H30370" s="612"/>
    </row>
    <row r="30371">
      <c r="B30371" s="612"/>
      <c r="H30371" s="612"/>
    </row>
    <row r="30372">
      <c r="B30372" s="612"/>
      <c r="H30372" s="612"/>
    </row>
    <row r="30373">
      <c r="B30373" s="612"/>
      <c r="H30373" s="612"/>
    </row>
    <row r="30374">
      <c r="B30374" s="612"/>
      <c r="H30374" s="612"/>
    </row>
    <row r="30375">
      <c r="B30375" s="612"/>
      <c r="H30375" s="612"/>
    </row>
    <row r="30376">
      <c r="B30376" s="612"/>
      <c r="H30376" s="612"/>
    </row>
    <row r="30377">
      <c r="B30377" s="612"/>
      <c r="H30377" s="612"/>
    </row>
    <row r="30378">
      <c r="B30378" s="612"/>
      <c r="H30378" s="612"/>
    </row>
    <row r="30379">
      <c r="B30379" s="612"/>
      <c r="H30379" s="612"/>
    </row>
    <row r="30380">
      <c r="B30380" s="612"/>
      <c r="H30380" s="612"/>
    </row>
    <row r="30381">
      <c r="B30381" s="612"/>
      <c r="H30381" s="612"/>
    </row>
    <row r="30382">
      <c r="B30382" s="612"/>
      <c r="H30382" s="612"/>
    </row>
    <row r="30383">
      <c r="B30383" s="612"/>
      <c r="H30383" s="612"/>
    </row>
    <row r="30384">
      <c r="B30384" s="612"/>
      <c r="H30384" s="612"/>
    </row>
    <row r="30385">
      <c r="B30385" s="612"/>
      <c r="H30385" s="612"/>
    </row>
    <row r="30386">
      <c r="B30386" s="612"/>
      <c r="H30386" s="612"/>
    </row>
    <row r="30387">
      <c r="B30387" s="612"/>
      <c r="H30387" s="612"/>
    </row>
    <row r="30388">
      <c r="B30388" s="612"/>
      <c r="H30388" s="612"/>
    </row>
    <row r="30389">
      <c r="B30389" s="612"/>
      <c r="H30389" s="612"/>
    </row>
    <row r="30390">
      <c r="B30390" s="612"/>
      <c r="H30390" s="612"/>
    </row>
    <row r="30391">
      <c r="B30391" s="612"/>
      <c r="H30391" s="612"/>
    </row>
    <row r="30392">
      <c r="B30392" s="612"/>
      <c r="H30392" s="612"/>
    </row>
    <row r="30393">
      <c r="B30393" s="612"/>
      <c r="H30393" s="612"/>
    </row>
    <row r="30394">
      <c r="B30394" s="612"/>
      <c r="H30394" s="612"/>
    </row>
    <row r="30395">
      <c r="B30395" s="612"/>
      <c r="H30395" s="612"/>
    </row>
    <row r="30396">
      <c r="B30396" s="612"/>
      <c r="H30396" s="612"/>
    </row>
    <row r="30397">
      <c r="B30397" s="612"/>
      <c r="H30397" s="612"/>
    </row>
    <row r="30398">
      <c r="B30398" s="612"/>
      <c r="H30398" s="612"/>
    </row>
    <row r="30399">
      <c r="B30399" s="612"/>
      <c r="H30399" s="612"/>
    </row>
    <row r="30400">
      <c r="B30400" s="612"/>
      <c r="H30400" s="612"/>
    </row>
    <row r="30401">
      <c r="B30401" s="612"/>
      <c r="H30401" s="612"/>
    </row>
    <row r="30402">
      <c r="B30402" s="612"/>
      <c r="H30402" s="612"/>
    </row>
    <row r="30403">
      <c r="B30403" s="612"/>
      <c r="H30403" s="612"/>
    </row>
    <row r="30404">
      <c r="B30404" s="612"/>
      <c r="H30404" s="612"/>
    </row>
    <row r="30405">
      <c r="B30405" s="612"/>
      <c r="H30405" s="612"/>
    </row>
    <row r="30406">
      <c r="B30406" s="612"/>
      <c r="H30406" s="612"/>
    </row>
    <row r="30407">
      <c r="B30407" s="612"/>
      <c r="H30407" s="612"/>
    </row>
    <row r="30408">
      <c r="B30408" s="612"/>
      <c r="H30408" s="612"/>
    </row>
    <row r="30409">
      <c r="B30409" s="612"/>
      <c r="H30409" s="612"/>
    </row>
    <row r="30410">
      <c r="B30410" s="612"/>
      <c r="H30410" s="612"/>
    </row>
    <row r="30411">
      <c r="B30411" s="612"/>
      <c r="H30411" s="612"/>
    </row>
    <row r="30412">
      <c r="B30412" s="612"/>
      <c r="H30412" s="612"/>
    </row>
    <row r="30413">
      <c r="B30413" s="612"/>
      <c r="H30413" s="612"/>
    </row>
    <row r="30414">
      <c r="B30414" s="612"/>
      <c r="H30414" s="612"/>
    </row>
    <row r="30415">
      <c r="B30415" s="612"/>
      <c r="H30415" s="612"/>
    </row>
    <row r="30416">
      <c r="B30416" s="612"/>
      <c r="H30416" s="612"/>
    </row>
    <row r="30417">
      <c r="B30417" s="612"/>
      <c r="H30417" s="612"/>
    </row>
    <row r="30418">
      <c r="B30418" s="612"/>
      <c r="H30418" s="612"/>
    </row>
    <row r="30419">
      <c r="B30419" s="612"/>
      <c r="H30419" s="612"/>
    </row>
    <row r="30420">
      <c r="B30420" s="612"/>
      <c r="H30420" s="612"/>
    </row>
    <row r="30421">
      <c r="B30421" s="612"/>
      <c r="H30421" s="612"/>
    </row>
    <row r="30422">
      <c r="B30422" s="612"/>
      <c r="H30422" s="612"/>
    </row>
    <row r="30423">
      <c r="B30423" s="612"/>
      <c r="H30423" s="612"/>
    </row>
    <row r="30424">
      <c r="B30424" s="612"/>
      <c r="H30424" s="612"/>
    </row>
    <row r="30425">
      <c r="B30425" s="612"/>
      <c r="H30425" s="612"/>
    </row>
    <row r="30426">
      <c r="B30426" s="612"/>
      <c r="H30426" s="612"/>
    </row>
    <row r="30427">
      <c r="B30427" s="612"/>
      <c r="H30427" s="612"/>
    </row>
    <row r="30428">
      <c r="B30428" s="612"/>
      <c r="H30428" s="612"/>
    </row>
    <row r="30429">
      <c r="B30429" s="612"/>
      <c r="H30429" s="612"/>
    </row>
    <row r="30430">
      <c r="B30430" s="612"/>
      <c r="H30430" s="612"/>
    </row>
    <row r="30431">
      <c r="B30431" s="612"/>
      <c r="H30431" s="612"/>
    </row>
    <row r="30432">
      <c r="B30432" s="612"/>
      <c r="H30432" s="612"/>
    </row>
    <row r="30433">
      <c r="B30433" s="612"/>
      <c r="H30433" s="612"/>
    </row>
    <row r="30434">
      <c r="B30434" s="612"/>
      <c r="H30434" s="612"/>
    </row>
    <row r="30435">
      <c r="B30435" s="612"/>
      <c r="H30435" s="612"/>
    </row>
    <row r="30436">
      <c r="B30436" s="612"/>
      <c r="H30436" s="612"/>
    </row>
    <row r="30437">
      <c r="B30437" s="612"/>
      <c r="H30437" s="612"/>
    </row>
    <row r="30438">
      <c r="B30438" s="612"/>
      <c r="H30438" s="612"/>
    </row>
    <row r="30439">
      <c r="B30439" s="612"/>
      <c r="H30439" s="612"/>
    </row>
    <row r="30440">
      <c r="B30440" s="612"/>
      <c r="H30440" s="612"/>
    </row>
    <row r="30441">
      <c r="B30441" s="612"/>
      <c r="H30441" s="612"/>
    </row>
    <row r="30442">
      <c r="B30442" s="612"/>
      <c r="H30442" s="612"/>
    </row>
    <row r="30443">
      <c r="B30443" s="612"/>
      <c r="H30443" s="612"/>
    </row>
    <row r="30444">
      <c r="B30444" s="612"/>
      <c r="H30444" s="612"/>
    </row>
    <row r="30445">
      <c r="B30445" s="612"/>
      <c r="H30445" s="612"/>
    </row>
    <row r="30446">
      <c r="B30446" s="612"/>
      <c r="H30446" s="612"/>
    </row>
    <row r="30447">
      <c r="B30447" s="612"/>
      <c r="H30447" s="612"/>
    </row>
    <row r="30448">
      <c r="B30448" s="612"/>
      <c r="H30448" s="612"/>
    </row>
    <row r="30449">
      <c r="B30449" s="612"/>
      <c r="H30449" s="612"/>
    </row>
    <row r="30450">
      <c r="B30450" s="612"/>
      <c r="H30450" s="612"/>
    </row>
    <row r="30451">
      <c r="B30451" s="612"/>
      <c r="H30451" s="612"/>
    </row>
    <row r="30452">
      <c r="B30452" s="612"/>
      <c r="H30452" s="612"/>
    </row>
    <row r="30453">
      <c r="B30453" s="612"/>
      <c r="H30453" s="612"/>
    </row>
    <row r="30454">
      <c r="B30454" s="612"/>
      <c r="H30454" s="612"/>
    </row>
    <row r="30455">
      <c r="B30455" s="612"/>
      <c r="H30455" s="612"/>
    </row>
    <row r="30456">
      <c r="B30456" s="612"/>
      <c r="H30456" s="612"/>
    </row>
    <row r="30457">
      <c r="B30457" s="612"/>
      <c r="H30457" s="612"/>
    </row>
    <row r="30458">
      <c r="B30458" s="612"/>
      <c r="H30458" s="612"/>
    </row>
    <row r="30459">
      <c r="B30459" s="612"/>
      <c r="H30459" s="612"/>
    </row>
    <row r="30460">
      <c r="B30460" s="612"/>
      <c r="H30460" s="612"/>
    </row>
    <row r="30461">
      <c r="B30461" s="612"/>
      <c r="H30461" s="612"/>
    </row>
    <row r="30462">
      <c r="B30462" s="612"/>
      <c r="H30462" s="612"/>
    </row>
    <row r="30463">
      <c r="B30463" s="612"/>
      <c r="H30463" s="612"/>
    </row>
    <row r="30464">
      <c r="B30464" s="612"/>
      <c r="H30464" s="612"/>
    </row>
    <row r="30465">
      <c r="B30465" s="612"/>
      <c r="H30465" s="612"/>
    </row>
    <row r="30466">
      <c r="B30466" s="612"/>
      <c r="H30466" s="612"/>
    </row>
    <row r="30467">
      <c r="B30467" s="612"/>
      <c r="H30467" s="612"/>
    </row>
    <row r="30468">
      <c r="B30468" s="612"/>
      <c r="H30468" s="612"/>
    </row>
    <row r="30469">
      <c r="B30469" s="612"/>
      <c r="H30469" s="612"/>
    </row>
    <row r="30470">
      <c r="B30470" s="612"/>
      <c r="H30470" s="612"/>
    </row>
    <row r="30471">
      <c r="B30471" s="612"/>
      <c r="H30471" s="612"/>
    </row>
    <row r="30472">
      <c r="B30472" s="612"/>
      <c r="H30472" s="612"/>
    </row>
    <row r="30473">
      <c r="B30473" s="612"/>
      <c r="H30473" s="612"/>
    </row>
    <row r="30474">
      <c r="B30474" s="612"/>
      <c r="H30474" s="612"/>
    </row>
    <row r="30475">
      <c r="B30475" s="612"/>
      <c r="H30475" s="612"/>
    </row>
    <row r="30476">
      <c r="B30476" s="612"/>
      <c r="H30476" s="612"/>
    </row>
    <row r="30477">
      <c r="B30477" s="612"/>
      <c r="H30477" s="612"/>
    </row>
    <row r="30478">
      <c r="B30478" s="612"/>
      <c r="H30478" s="612"/>
    </row>
    <row r="30479">
      <c r="B30479" s="612"/>
      <c r="H30479" s="612"/>
    </row>
    <row r="30480">
      <c r="B30480" s="612"/>
      <c r="H30480" s="612"/>
    </row>
    <row r="30481">
      <c r="B30481" s="612"/>
      <c r="H30481" s="612"/>
    </row>
    <row r="30482">
      <c r="B30482" s="612"/>
      <c r="H30482" s="612"/>
    </row>
    <row r="30483">
      <c r="B30483" s="612"/>
      <c r="H30483" s="612"/>
    </row>
    <row r="30484">
      <c r="B30484" s="612"/>
      <c r="H30484" s="612"/>
    </row>
    <row r="30485">
      <c r="B30485" s="612"/>
      <c r="H30485" s="612"/>
    </row>
    <row r="30486">
      <c r="B30486" s="612"/>
      <c r="H30486" s="612"/>
    </row>
    <row r="30487">
      <c r="B30487" s="612"/>
      <c r="H30487" s="612"/>
    </row>
    <row r="30488">
      <c r="B30488" s="612"/>
      <c r="H30488" s="612"/>
    </row>
    <row r="30489">
      <c r="B30489" s="612"/>
      <c r="H30489" s="612"/>
    </row>
    <row r="30490">
      <c r="B30490" s="612"/>
      <c r="H30490" s="612"/>
    </row>
    <row r="30491">
      <c r="B30491" s="612"/>
      <c r="H30491" s="612"/>
    </row>
    <row r="30492">
      <c r="B30492" s="612"/>
      <c r="H30492" s="612"/>
    </row>
    <row r="30493">
      <c r="B30493" s="612"/>
      <c r="H30493" s="612"/>
    </row>
    <row r="30494">
      <c r="B30494" s="612"/>
      <c r="H30494" s="612"/>
    </row>
    <row r="30495">
      <c r="B30495" s="612"/>
      <c r="H30495" s="612"/>
    </row>
    <row r="30496">
      <c r="B30496" s="612"/>
      <c r="H30496" s="612"/>
    </row>
    <row r="30497">
      <c r="B30497" s="612"/>
      <c r="H30497" s="612"/>
    </row>
    <row r="30498">
      <c r="B30498" s="612"/>
      <c r="H30498" s="612"/>
    </row>
    <row r="30499">
      <c r="B30499" s="612"/>
      <c r="H30499" s="612"/>
    </row>
    <row r="30500">
      <c r="B30500" s="612"/>
      <c r="H30500" s="612"/>
    </row>
    <row r="30501">
      <c r="B30501" s="612"/>
      <c r="H30501" s="612"/>
    </row>
    <row r="30502">
      <c r="B30502" s="612"/>
      <c r="H30502" s="612"/>
    </row>
    <row r="30503">
      <c r="B30503" s="612"/>
      <c r="H30503" s="612"/>
    </row>
    <row r="30504">
      <c r="B30504" s="612"/>
      <c r="H30504" s="612"/>
    </row>
    <row r="30505">
      <c r="B30505" s="612"/>
      <c r="H30505" s="612"/>
    </row>
    <row r="30506">
      <c r="B30506" s="612"/>
      <c r="H30506" s="612"/>
    </row>
    <row r="30507">
      <c r="B30507" s="612"/>
      <c r="H30507" s="612"/>
    </row>
    <row r="30508">
      <c r="B30508" s="612"/>
      <c r="H30508" s="612"/>
    </row>
    <row r="30509">
      <c r="B30509" s="612"/>
      <c r="H30509" s="612"/>
    </row>
    <row r="30510">
      <c r="B30510" s="612"/>
      <c r="H30510" s="612"/>
    </row>
    <row r="30511">
      <c r="B30511" s="612"/>
      <c r="H30511" s="612"/>
    </row>
    <row r="30512">
      <c r="B30512" s="612"/>
      <c r="H30512" s="612"/>
    </row>
    <row r="30513">
      <c r="B30513" s="612"/>
      <c r="H30513" s="612"/>
    </row>
    <row r="30514">
      <c r="B30514" s="612"/>
      <c r="H30514" s="612"/>
    </row>
    <row r="30515">
      <c r="B30515" s="612"/>
      <c r="H30515" s="612"/>
    </row>
    <row r="30516">
      <c r="B30516" s="612"/>
      <c r="H30516" s="612"/>
    </row>
    <row r="30517">
      <c r="B30517" s="612"/>
      <c r="H30517" s="612"/>
    </row>
    <row r="30518">
      <c r="B30518" s="612"/>
      <c r="H30518" s="612"/>
    </row>
    <row r="30519">
      <c r="B30519" s="612"/>
      <c r="H30519" s="612"/>
    </row>
    <row r="30520">
      <c r="B30520" s="612"/>
      <c r="H30520" s="612"/>
    </row>
    <row r="30521">
      <c r="B30521" s="612"/>
      <c r="H30521" s="612"/>
    </row>
    <row r="30522">
      <c r="B30522" s="612"/>
      <c r="H30522" s="612"/>
    </row>
    <row r="30523">
      <c r="B30523" s="612"/>
      <c r="H30523" s="612"/>
    </row>
    <row r="30524">
      <c r="B30524" s="612"/>
      <c r="H30524" s="612"/>
    </row>
    <row r="30525">
      <c r="B30525" s="612"/>
      <c r="H30525" s="612"/>
    </row>
    <row r="30526">
      <c r="B30526" s="612"/>
      <c r="H30526" s="612"/>
    </row>
    <row r="30527">
      <c r="B30527" s="612"/>
      <c r="H30527" s="612"/>
    </row>
    <row r="30528">
      <c r="B30528" s="612"/>
      <c r="H30528" s="612"/>
    </row>
    <row r="30529">
      <c r="B30529" s="612"/>
      <c r="H30529" s="612"/>
    </row>
    <row r="30530">
      <c r="B30530" s="612"/>
      <c r="H30530" s="612"/>
    </row>
    <row r="30531">
      <c r="B30531" s="612"/>
      <c r="H30531" s="612"/>
    </row>
    <row r="30532">
      <c r="B30532" s="612"/>
      <c r="H30532" s="612"/>
    </row>
    <row r="30533">
      <c r="B30533" s="612"/>
      <c r="H30533" s="612"/>
    </row>
    <row r="30534">
      <c r="B30534" s="612"/>
      <c r="H30534" s="612"/>
    </row>
    <row r="30535">
      <c r="B30535" s="612"/>
      <c r="H30535" s="612"/>
    </row>
    <row r="30536">
      <c r="B30536" s="612"/>
      <c r="H30536" s="612"/>
    </row>
    <row r="30537">
      <c r="B30537" s="612"/>
      <c r="H30537" s="612"/>
    </row>
    <row r="30538">
      <c r="B30538" s="612"/>
      <c r="H30538" s="612"/>
    </row>
    <row r="30539">
      <c r="B30539" s="612"/>
      <c r="H30539" s="612"/>
    </row>
    <row r="30540">
      <c r="B30540" s="612"/>
      <c r="H30540" s="612"/>
    </row>
    <row r="30541">
      <c r="B30541" s="612"/>
      <c r="H30541" s="612"/>
    </row>
    <row r="30542">
      <c r="B30542" s="612"/>
      <c r="H30542" s="612"/>
    </row>
    <row r="30543">
      <c r="B30543" s="612"/>
      <c r="H30543" s="612"/>
    </row>
    <row r="30544">
      <c r="B30544" s="612"/>
      <c r="H30544" s="612"/>
    </row>
    <row r="30545">
      <c r="B30545" s="612"/>
      <c r="H30545" s="612"/>
    </row>
    <row r="30546">
      <c r="B30546" s="612"/>
      <c r="H30546" s="612"/>
    </row>
    <row r="30547">
      <c r="B30547" s="612"/>
      <c r="H30547" s="612"/>
    </row>
    <row r="30548">
      <c r="B30548" s="612"/>
      <c r="H30548" s="612"/>
    </row>
    <row r="30549">
      <c r="B30549" s="612"/>
      <c r="H30549" s="612"/>
    </row>
    <row r="30550">
      <c r="B30550" s="612"/>
      <c r="H30550" s="612"/>
    </row>
    <row r="30551">
      <c r="B30551" s="612"/>
      <c r="H30551" s="612"/>
    </row>
    <row r="30552">
      <c r="B30552" s="612"/>
      <c r="H30552" s="612"/>
    </row>
    <row r="30553">
      <c r="B30553" s="612"/>
      <c r="H30553" s="612"/>
    </row>
    <row r="30554">
      <c r="B30554" s="612"/>
      <c r="H30554" s="612"/>
    </row>
    <row r="30555">
      <c r="B30555" s="612"/>
      <c r="H30555" s="612"/>
    </row>
    <row r="30556">
      <c r="B30556" s="612"/>
      <c r="H30556" s="612"/>
    </row>
    <row r="30557">
      <c r="B30557" s="612"/>
      <c r="H30557" s="612"/>
    </row>
    <row r="30558">
      <c r="B30558" s="612"/>
      <c r="H30558" s="612"/>
    </row>
    <row r="30559">
      <c r="B30559" s="612"/>
      <c r="H30559" s="612"/>
    </row>
    <row r="30560">
      <c r="B30560" s="612"/>
      <c r="H30560" s="612"/>
    </row>
    <row r="30561">
      <c r="B30561" s="612"/>
      <c r="H30561" s="612"/>
    </row>
    <row r="30562">
      <c r="B30562" s="612"/>
      <c r="H30562" s="612"/>
    </row>
    <row r="30563">
      <c r="B30563" s="612"/>
      <c r="H30563" s="612"/>
    </row>
    <row r="30564">
      <c r="B30564" s="612"/>
      <c r="H30564" s="612"/>
    </row>
    <row r="30565">
      <c r="B30565" s="612"/>
      <c r="H30565" s="612"/>
    </row>
    <row r="30566">
      <c r="B30566" s="612"/>
      <c r="H30566" s="612"/>
    </row>
    <row r="30567">
      <c r="B30567" s="612"/>
      <c r="H30567" s="612"/>
    </row>
    <row r="30568">
      <c r="B30568" s="612"/>
      <c r="H30568" s="612"/>
    </row>
    <row r="30569">
      <c r="B30569" s="612"/>
      <c r="H30569" s="612"/>
    </row>
    <row r="30570">
      <c r="B30570" s="612"/>
      <c r="H30570" s="612"/>
    </row>
    <row r="30571">
      <c r="B30571" s="612"/>
      <c r="H30571" s="612"/>
    </row>
    <row r="30572">
      <c r="B30572" s="612"/>
      <c r="H30572" s="612"/>
    </row>
    <row r="30573">
      <c r="B30573" s="612"/>
      <c r="H30573" s="612"/>
    </row>
    <row r="30574">
      <c r="B30574" s="612"/>
      <c r="H30574" s="612"/>
    </row>
    <row r="30575">
      <c r="B30575" s="612"/>
      <c r="H30575" s="612"/>
    </row>
    <row r="30576">
      <c r="B30576" s="612"/>
      <c r="H30576" s="612"/>
    </row>
    <row r="30577">
      <c r="B30577" s="612"/>
      <c r="H30577" s="612"/>
    </row>
    <row r="30578">
      <c r="B30578" s="612"/>
      <c r="H30578" s="612"/>
    </row>
    <row r="30579">
      <c r="B30579" s="612"/>
      <c r="H30579" s="612"/>
    </row>
    <row r="30580">
      <c r="B30580" s="612"/>
      <c r="H30580" s="612"/>
    </row>
    <row r="30581">
      <c r="B30581" s="612"/>
      <c r="H30581" s="612"/>
    </row>
    <row r="30582">
      <c r="B30582" s="612"/>
      <c r="H30582" s="612"/>
    </row>
    <row r="30583">
      <c r="B30583" s="612"/>
      <c r="H30583" s="612"/>
    </row>
    <row r="30584">
      <c r="B30584" s="612"/>
      <c r="H30584" s="612"/>
    </row>
    <row r="30585">
      <c r="B30585" s="612"/>
      <c r="H30585" s="612"/>
    </row>
    <row r="30586">
      <c r="B30586" s="612"/>
      <c r="H30586" s="612"/>
    </row>
    <row r="30587">
      <c r="B30587" s="612"/>
      <c r="H30587" s="612"/>
    </row>
    <row r="30588">
      <c r="B30588" s="612"/>
      <c r="H30588" s="612"/>
    </row>
    <row r="30589">
      <c r="B30589" s="612"/>
      <c r="H30589" s="612"/>
    </row>
    <row r="30590">
      <c r="B30590" s="612"/>
      <c r="H30590" s="612"/>
    </row>
    <row r="30591">
      <c r="B30591" s="612"/>
      <c r="H30591" s="612"/>
    </row>
    <row r="30592">
      <c r="B30592" s="612"/>
      <c r="H30592" s="612"/>
    </row>
    <row r="30593">
      <c r="B30593" s="612"/>
      <c r="H30593" s="612"/>
    </row>
    <row r="30594">
      <c r="B30594" s="612"/>
      <c r="H30594" s="612"/>
    </row>
    <row r="30595">
      <c r="B30595" s="612"/>
      <c r="H30595" s="612"/>
    </row>
    <row r="30596">
      <c r="B30596" s="612"/>
      <c r="H30596" s="612"/>
    </row>
    <row r="30597">
      <c r="B30597" s="612"/>
      <c r="H30597" s="612"/>
    </row>
    <row r="30598">
      <c r="B30598" s="612"/>
      <c r="H30598" s="612"/>
    </row>
    <row r="30599">
      <c r="B30599" s="612"/>
      <c r="H30599" s="612"/>
    </row>
    <row r="30600">
      <c r="B30600" s="612"/>
      <c r="H30600" s="612"/>
    </row>
    <row r="30601">
      <c r="B30601" s="612"/>
      <c r="H30601" s="612"/>
    </row>
    <row r="30602">
      <c r="B30602" s="612"/>
      <c r="H30602" s="612"/>
    </row>
    <row r="30603">
      <c r="B30603" s="612"/>
      <c r="H30603" s="612"/>
    </row>
    <row r="30604">
      <c r="B30604" s="612"/>
      <c r="H30604" s="612"/>
    </row>
    <row r="30605">
      <c r="B30605" s="612"/>
      <c r="H30605" s="612"/>
    </row>
    <row r="30606">
      <c r="B30606" s="612"/>
      <c r="H30606" s="612"/>
    </row>
    <row r="30607">
      <c r="B30607" s="612"/>
      <c r="H30607" s="612"/>
    </row>
    <row r="30608">
      <c r="B30608" s="612"/>
      <c r="H30608" s="612"/>
    </row>
    <row r="30609">
      <c r="B30609" s="612"/>
      <c r="H30609" s="612"/>
    </row>
    <row r="30610">
      <c r="B30610" s="612"/>
      <c r="H30610" s="612"/>
    </row>
    <row r="30611">
      <c r="B30611" s="612"/>
      <c r="H30611" s="612"/>
    </row>
    <row r="30612">
      <c r="B30612" s="612"/>
      <c r="H30612" s="612"/>
    </row>
    <row r="30613">
      <c r="B30613" s="612"/>
      <c r="H30613" s="612"/>
    </row>
    <row r="30614">
      <c r="B30614" s="612"/>
      <c r="H30614" s="612"/>
    </row>
    <row r="30615">
      <c r="B30615" s="612"/>
      <c r="H30615" s="612"/>
    </row>
    <row r="30616">
      <c r="B30616" s="612"/>
      <c r="H30616" s="612"/>
    </row>
    <row r="30617">
      <c r="B30617" s="612"/>
      <c r="H30617" s="612"/>
    </row>
    <row r="30618">
      <c r="B30618" s="612"/>
      <c r="H30618" s="612"/>
    </row>
    <row r="30619">
      <c r="B30619" s="612"/>
      <c r="H30619" s="612"/>
    </row>
    <row r="30620">
      <c r="B30620" s="612"/>
      <c r="H30620" s="612"/>
    </row>
    <row r="30621">
      <c r="B30621" s="612"/>
      <c r="H30621" s="612"/>
    </row>
    <row r="30622">
      <c r="B30622" s="612"/>
      <c r="H30622" s="612"/>
    </row>
    <row r="30623">
      <c r="B30623" s="612"/>
      <c r="H30623" s="612"/>
    </row>
    <row r="30624">
      <c r="B30624" s="612"/>
      <c r="H30624" s="612"/>
    </row>
    <row r="30625">
      <c r="B30625" s="612"/>
      <c r="H30625" s="612"/>
    </row>
    <row r="30626">
      <c r="B30626" s="612"/>
      <c r="H30626" s="612"/>
    </row>
    <row r="30627">
      <c r="B30627" s="612"/>
      <c r="H30627" s="612"/>
    </row>
    <row r="30628">
      <c r="B30628" s="612"/>
      <c r="H30628" s="612"/>
    </row>
    <row r="30629">
      <c r="B30629" s="612"/>
      <c r="H30629" s="612"/>
    </row>
    <row r="30630">
      <c r="B30630" s="612"/>
      <c r="H30630" s="612"/>
    </row>
    <row r="30631">
      <c r="B30631" s="612"/>
      <c r="H30631" s="612"/>
    </row>
    <row r="30632">
      <c r="B30632" s="612"/>
      <c r="H30632" s="612"/>
    </row>
    <row r="30633">
      <c r="B30633" s="612"/>
      <c r="H30633" s="612"/>
    </row>
    <row r="30634">
      <c r="B30634" s="612"/>
      <c r="H30634" s="612"/>
    </row>
    <row r="30635">
      <c r="B30635" s="612"/>
      <c r="H30635" s="612"/>
    </row>
    <row r="30636">
      <c r="B30636" s="612"/>
      <c r="H30636" s="612"/>
    </row>
    <row r="30637">
      <c r="B30637" s="612"/>
      <c r="H30637" s="612"/>
    </row>
    <row r="30638">
      <c r="B30638" s="612"/>
      <c r="H30638" s="612"/>
    </row>
    <row r="30639">
      <c r="B30639" s="612"/>
      <c r="H30639" s="612"/>
    </row>
    <row r="30640">
      <c r="B30640" s="612"/>
      <c r="H30640" s="612"/>
    </row>
    <row r="30641">
      <c r="B30641" s="612"/>
      <c r="H30641" s="612"/>
    </row>
    <row r="30642">
      <c r="B30642" s="612"/>
      <c r="H30642" s="612"/>
    </row>
    <row r="30643">
      <c r="B30643" s="612"/>
      <c r="H30643" s="612"/>
    </row>
    <row r="30644">
      <c r="B30644" s="612"/>
      <c r="H30644" s="612"/>
    </row>
    <row r="30645">
      <c r="B30645" s="612"/>
      <c r="H30645" s="612"/>
    </row>
    <row r="30646">
      <c r="B30646" s="612"/>
      <c r="H30646" s="612"/>
    </row>
    <row r="30647">
      <c r="B30647" s="612"/>
      <c r="H30647" s="612"/>
    </row>
    <row r="30648">
      <c r="B30648" s="612"/>
      <c r="H30648" s="612"/>
    </row>
    <row r="30649">
      <c r="B30649" s="612"/>
      <c r="H30649" s="612"/>
    </row>
    <row r="30650">
      <c r="B30650" s="612"/>
      <c r="H30650" s="612"/>
    </row>
    <row r="30651">
      <c r="B30651" s="612"/>
      <c r="H30651" s="612"/>
    </row>
    <row r="30652">
      <c r="B30652" s="612"/>
      <c r="H30652" s="612"/>
    </row>
    <row r="30653">
      <c r="B30653" s="612"/>
      <c r="H30653" s="612"/>
    </row>
    <row r="30654">
      <c r="B30654" s="612"/>
      <c r="H30654" s="612"/>
    </row>
    <row r="30655">
      <c r="B30655" s="612"/>
      <c r="H30655" s="612"/>
    </row>
    <row r="30656">
      <c r="B30656" s="612"/>
      <c r="H30656" s="612"/>
    </row>
    <row r="30657">
      <c r="B30657" s="612"/>
      <c r="H30657" s="612"/>
    </row>
    <row r="30658">
      <c r="B30658" s="612"/>
      <c r="H30658" s="612"/>
    </row>
    <row r="30659">
      <c r="B30659" s="612"/>
      <c r="H30659" s="612"/>
    </row>
    <row r="30660">
      <c r="B30660" s="612"/>
      <c r="H30660" s="612"/>
    </row>
    <row r="30661">
      <c r="B30661" s="612"/>
      <c r="H30661" s="612"/>
    </row>
    <row r="30662">
      <c r="B30662" s="612"/>
      <c r="H30662" s="612"/>
    </row>
    <row r="30663">
      <c r="B30663" s="612"/>
      <c r="H30663" s="612"/>
    </row>
    <row r="30664">
      <c r="B30664" s="612"/>
      <c r="H30664" s="612"/>
    </row>
    <row r="30665">
      <c r="B30665" s="612"/>
      <c r="H30665" s="612"/>
    </row>
    <row r="30666">
      <c r="B30666" s="612"/>
      <c r="H30666" s="612"/>
    </row>
    <row r="30667">
      <c r="B30667" s="612"/>
      <c r="H30667" s="612"/>
    </row>
    <row r="30668">
      <c r="B30668" s="612"/>
      <c r="H30668" s="612"/>
    </row>
    <row r="30669">
      <c r="B30669" s="612"/>
      <c r="H30669" s="612"/>
    </row>
    <row r="30670">
      <c r="B30670" s="612"/>
      <c r="H30670" s="612"/>
    </row>
    <row r="30671">
      <c r="B30671" s="612"/>
      <c r="H30671" s="612"/>
    </row>
    <row r="30672">
      <c r="B30672" s="612"/>
      <c r="H30672" s="612"/>
    </row>
    <row r="30673">
      <c r="B30673" s="612"/>
      <c r="H30673" s="612"/>
    </row>
    <row r="30674">
      <c r="B30674" s="612"/>
      <c r="H30674" s="612"/>
    </row>
    <row r="30675">
      <c r="B30675" s="612"/>
      <c r="H30675" s="612"/>
    </row>
    <row r="30676">
      <c r="B30676" s="612"/>
      <c r="H30676" s="612"/>
    </row>
    <row r="30677">
      <c r="B30677" s="612"/>
      <c r="H30677" s="612"/>
    </row>
    <row r="30678">
      <c r="B30678" s="612"/>
      <c r="H30678" s="612"/>
    </row>
    <row r="30679">
      <c r="B30679" s="612"/>
      <c r="H30679" s="612"/>
    </row>
    <row r="30680">
      <c r="B30680" s="612"/>
      <c r="H30680" s="612"/>
    </row>
    <row r="30681">
      <c r="B30681" s="612"/>
      <c r="H30681" s="612"/>
    </row>
    <row r="30682">
      <c r="B30682" s="612"/>
      <c r="H30682" s="612"/>
    </row>
    <row r="30683">
      <c r="B30683" s="612"/>
      <c r="H30683" s="612"/>
    </row>
    <row r="30684">
      <c r="B30684" s="612"/>
      <c r="H30684" s="612"/>
    </row>
    <row r="30685">
      <c r="B30685" s="612"/>
      <c r="H30685" s="612"/>
    </row>
    <row r="30686">
      <c r="B30686" s="612"/>
      <c r="H30686" s="612"/>
    </row>
    <row r="30687">
      <c r="B30687" s="612"/>
      <c r="H30687" s="612"/>
    </row>
    <row r="30688">
      <c r="B30688" s="612"/>
      <c r="H30688" s="612"/>
    </row>
    <row r="30689">
      <c r="B30689" s="612"/>
      <c r="H30689" s="612"/>
    </row>
    <row r="30690">
      <c r="B30690" s="612"/>
      <c r="H30690" s="612"/>
    </row>
    <row r="30691">
      <c r="B30691" s="612"/>
      <c r="H30691" s="612"/>
    </row>
    <row r="30692">
      <c r="B30692" s="612"/>
      <c r="H30692" s="612"/>
    </row>
    <row r="30693">
      <c r="B30693" s="612"/>
      <c r="H30693" s="612"/>
    </row>
    <row r="30694">
      <c r="B30694" s="612"/>
      <c r="H30694" s="612"/>
    </row>
    <row r="30695">
      <c r="B30695" s="612"/>
      <c r="H30695" s="612"/>
    </row>
    <row r="30696">
      <c r="B30696" s="612"/>
      <c r="H30696" s="612"/>
    </row>
    <row r="30697">
      <c r="B30697" s="612"/>
      <c r="H30697" s="612"/>
    </row>
    <row r="30698">
      <c r="B30698" s="612"/>
      <c r="H30698" s="612"/>
    </row>
    <row r="30699">
      <c r="B30699" s="612"/>
      <c r="H30699" s="612"/>
    </row>
    <row r="30700">
      <c r="B30700" s="612"/>
      <c r="H30700" s="612"/>
    </row>
    <row r="30701">
      <c r="B30701" s="612"/>
      <c r="H30701" s="612"/>
    </row>
    <row r="30702">
      <c r="B30702" s="612"/>
      <c r="H30702" s="612"/>
    </row>
    <row r="30703">
      <c r="B30703" s="612"/>
      <c r="H30703" s="612"/>
    </row>
    <row r="30704">
      <c r="B30704" s="612"/>
      <c r="H30704" s="612"/>
    </row>
    <row r="30705">
      <c r="B30705" s="612"/>
      <c r="H30705" s="612"/>
    </row>
    <row r="30706">
      <c r="B30706" s="612"/>
      <c r="H30706" s="612"/>
    </row>
    <row r="30707">
      <c r="B30707" s="612"/>
      <c r="H30707" s="612"/>
    </row>
    <row r="30708">
      <c r="B30708" s="612"/>
      <c r="H30708" s="612"/>
    </row>
    <row r="30709">
      <c r="B30709" s="612"/>
      <c r="H30709" s="612"/>
    </row>
    <row r="30710">
      <c r="B30710" s="612"/>
      <c r="H30710" s="612"/>
    </row>
    <row r="30711">
      <c r="B30711" s="612"/>
      <c r="H30711" s="612"/>
    </row>
    <row r="30712">
      <c r="B30712" s="612"/>
      <c r="H30712" s="612"/>
    </row>
    <row r="30713">
      <c r="B30713" s="612"/>
      <c r="H30713" s="612"/>
    </row>
    <row r="30714">
      <c r="B30714" s="612"/>
      <c r="H30714" s="612"/>
    </row>
    <row r="30715">
      <c r="B30715" s="612"/>
      <c r="H30715" s="612"/>
    </row>
    <row r="30716">
      <c r="B30716" s="612"/>
      <c r="H30716" s="612"/>
    </row>
    <row r="30717">
      <c r="B30717" s="612"/>
      <c r="H30717" s="612"/>
    </row>
    <row r="30718">
      <c r="B30718" s="612"/>
      <c r="H30718" s="612"/>
    </row>
    <row r="30719">
      <c r="B30719" s="612"/>
      <c r="H30719" s="612"/>
    </row>
    <row r="30720">
      <c r="B30720" s="612"/>
      <c r="H30720" s="612"/>
    </row>
    <row r="30721">
      <c r="B30721" s="612"/>
      <c r="H30721" s="612"/>
    </row>
    <row r="30722">
      <c r="B30722" s="612"/>
      <c r="H30722" s="612"/>
    </row>
    <row r="30723">
      <c r="B30723" s="612"/>
      <c r="H30723" s="612"/>
    </row>
    <row r="30724">
      <c r="B30724" s="612"/>
      <c r="H30724" s="612"/>
    </row>
    <row r="30725">
      <c r="B30725" s="612"/>
      <c r="H30725" s="612"/>
    </row>
    <row r="30726">
      <c r="B30726" s="612"/>
      <c r="H30726" s="612"/>
    </row>
    <row r="30727">
      <c r="B30727" s="612"/>
      <c r="H30727" s="612"/>
    </row>
    <row r="30728">
      <c r="B30728" s="612"/>
      <c r="H30728" s="612"/>
    </row>
    <row r="30729">
      <c r="B30729" s="612"/>
      <c r="H30729" s="612"/>
    </row>
    <row r="30730">
      <c r="B30730" s="612"/>
      <c r="H30730" s="612"/>
    </row>
    <row r="30731">
      <c r="B30731" s="612"/>
      <c r="H30731" s="612"/>
    </row>
    <row r="30732">
      <c r="B30732" s="612"/>
      <c r="H30732" s="612"/>
    </row>
    <row r="30733">
      <c r="B30733" s="612"/>
      <c r="H30733" s="612"/>
    </row>
    <row r="30734">
      <c r="B30734" s="612"/>
      <c r="H30734" s="612"/>
    </row>
    <row r="30735">
      <c r="B30735" s="612"/>
      <c r="H30735" s="612"/>
    </row>
    <row r="30736">
      <c r="B30736" s="612"/>
      <c r="H30736" s="612"/>
    </row>
    <row r="30737">
      <c r="B30737" s="612"/>
      <c r="H30737" s="612"/>
    </row>
    <row r="30738">
      <c r="B30738" s="612"/>
      <c r="H30738" s="612"/>
    </row>
    <row r="30739">
      <c r="B30739" s="612"/>
      <c r="H30739" s="612"/>
    </row>
    <row r="30740">
      <c r="B30740" s="612"/>
      <c r="H30740" s="612"/>
    </row>
    <row r="30741">
      <c r="B30741" s="612"/>
      <c r="H30741" s="612"/>
    </row>
    <row r="30742">
      <c r="B30742" s="612"/>
      <c r="H30742" s="612"/>
    </row>
    <row r="30743">
      <c r="B30743" s="612"/>
      <c r="H30743" s="612"/>
    </row>
    <row r="30744">
      <c r="B30744" s="612"/>
      <c r="H30744" s="612"/>
    </row>
    <row r="30745">
      <c r="B30745" s="612"/>
      <c r="H30745" s="612"/>
    </row>
    <row r="30746">
      <c r="B30746" s="612"/>
      <c r="H30746" s="612"/>
    </row>
    <row r="30747">
      <c r="B30747" s="612"/>
      <c r="H30747" s="612"/>
    </row>
    <row r="30748">
      <c r="B30748" s="612"/>
      <c r="H30748" s="612"/>
    </row>
    <row r="30749">
      <c r="B30749" s="612"/>
      <c r="H30749" s="612"/>
    </row>
    <row r="30750">
      <c r="B30750" s="612"/>
      <c r="H30750" s="612"/>
    </row>
    <row r="30751">
      <c r="B30751" s="612"/>
      <c r="H30751" s="612"/>
    </row>
    <row r="30752">
      <c r="B30752" s="612"/>
      <c r="H30752" s="612"/>
    </row>
    <row r="30753">
      <c r="B30753" s="612"/>
      <c r="H30753" s="612"/>
    </row>
    <row r="30754">
      <c r="B30754" s="612"/>
      <c r="H30754" s="612"/>
    </row>
    <row r="30755">
      <c r="B30755" s="612"/>
      <c r="H30755" s="612"/>
    </row>
    <row r="30756">
      <c r="B30756" s="612"/>
      <c r="H30756" s="612"/>
    </row>
    <row r="30757">
      <c r="B30757" s="612"/>
      <c r="H30757" s="612"/>
    </row>
    <row r="30758">
      <c r="B30758" s="612"/>
      <c r="H30758" s="612"/>
    </row>
    <row r="30759">
      <c r="B30759" s="612"/>
      <c r="H30759" s="612"/>
    </row>
    <row r="30760">
      <c r="B30760" s="612"/>
      <c r="H30760" s="612"/>
    </row>
    <row r="30761">
      <c r="B30761" s="612"/>
      <c r="H30761" s="612"/>
    </row>
    <row r="30762">
      <c r="B30762" s="612"/>
      <c r="H30762" s="612"/>
    </row>
    <row r="30763">
      <c r="B30763" s="612"/>
      <c r="H30763" s="612"/>
    </row>
    <row r="30764">
      <c r="B30764" s="612"/>
      <c r="H30764" s="612"/>
    </row>
    <row r="30765">
      <c r="B30765" s="612"/>
      <c r="H30765" s="612"/>
    </row>
    <row r="30766">
      <c r="B30766" s="612"/>
      <c r="H30766" s="612"/>
    </row>
    <row r="30767">
      <c r="B30767" s="612"/>
      <c r="H30767" s="612"/>
    </row>
    <row r="30768">
      <c r="B30768" s="612"/>
      <c r="H30768" s="612"/>
    </row>
    <row r="30769">
      <c r="B30769" s="612"/>
      <c r="H30769" s="612"/>
    </row>
    <row r="30770">
      <c r="B30770" s="612"/>
      <c r="H30770" s="612"/>
    </row>
    <row r="30771">
      <c r="B30771" s="612"/>
      <c r="H30771" s="612"/>
    </row>
    <row r="30772">
      <c r="B30772" s="612"/>
      <c r="H30772" s="612"/>
    </row>
    <row r="30773">
      <c r="B30773" s="612"/>
      <c r="H30773" s="612"/>
    </row>
    <row r="30774">
      <c r="B30774" s="612"/>
      <c r="H30774" s="612"/>
    </row>
    <row r="30775">
      <c r="B30775" s="612"/>
      <c r="H30775" s="612"/>
    </row>
    <row r="30776">
      <c r="B30776" s="612"/>
      <c r="H30776" s="612"/>
    </row>
    <row r="30777">
      <c r="B30777" s="612"/>
      <c r="H30777" s="612"/>
    </row>
    <row r="30778">
      <c r="B30778" s="612"/>
      <c r="H30778" s="612"/>
    </row>
    <row r="30779">
      <c r="B30779" s="612"/>
      <c r="H30779" s="612"/>
    </row>
    <row r="30780">
      <c r="B30780" s="612"/>
      <c r="H30780" s="612"/>
    </row>
    <row r="30781">
      <c r="B30781" s="612"/>
      <c r="H30781" s="612"/>
    </row>
    <row r="30782">
      <c r="B30782" s="612"/>
      <c r="H30782" s="612"/>
    </row>
    <row r="30783">
      <c r="B30783" s="612"/>
      <c r="H30783" s="612"/>
    </row>
    <row r="30784">
      <c r="B30784" s="612"/>
      <c r="H30784" s="612"/>
    </row>
    <row r="30785">
      <c r="B30785" s="612"/>
      <c r="H30785" s="612"/>
    </row>
    <row r="30786">
      <c r="B30786" s="612"/>
      <c r="H30786" s="612"/>
    </row>
    <row r="30787">
      <c r="B30787" s="612"/>
      <c r="H30787" s="612"/>
    </row>
    <row r="30788">
      <c r="B30788" s="612"/>
      <c r="H30788" s="612"/>
    </row>
    <row r="30789">
      <c r="B30789" s="612"/>
      <c r="H30789" s="612"/>
    </row>
    <row r="30790">
      <c r="B30790" s="612"/>
      <c r="H30790" s="612"/>
    </row>
    <row r="30791">
      <c r="B30791" s="612"/>
      <c r="H30791" s="612"/>
    </row>
    <row r="30792">
      <c r="B30792" s="612"/>
      <c r="H30792" s="612"/>
    </row>
    <row r="30793">
      <c r="B30793" s="612"/>
      <c r="H30793" s="612"/>
    </row>
    <row r="30794">
      <c r="B30794" s="612"/>
      <c r="H30794" s="612"/>
    </row>
    <row r="30795">
      <c r="B30795" s="612"/>
      <c r="H30795" s="612"/>
    </row>
    <row r="30796">
      <c r="B30796" s="612"/>
      <c r="H30796" s="612"/>
    </row>
    <row r="30797">
      <c r="B30797" s="612"/>
      <c r="H30797" s="612"/>
    </row>
    <row r="30798">
      <c r="B30798" s="612"/>
      <c r="H30798" s="612"/>
    </row>
    <row r="30799">
      <c r="B30799" s="612"/>
      <c r="H30799" s="612"/>
    </row>
    <row r="30800">
      <c r="B30800" s="612"/>
      <c r="H30800" s="612"/>
    </row>
    <row r="30801">
      <c r="B30801" s="612"/>
      <c r="H30801" s="612"/>
    </row>
    <row r="30802">
      <c r="B30802" s="612"/>
      <c r="H30802" s="612"/>
    </row>
    <row r="30803">
      <c r="B30803" s="612"/>
      <c r="H30803" s="612"/>
    </row>
    <row r="30804">
      <c r="B30804" s="612"/>
      <c r="H30804" s="612"/>
    </row>
    <row r="30805">
      <c r="B30805" s="612"/>
      <c r="H30805" s="612"/>
    </row>
    <row r="30806">
      <c r="B30806" s="612"/>
      <c r="H30806" s="612"/>
    </row>
    <row r="30807">
      <c r="B30807" s="612"/>
      <c r="H30807" s="612"/>
    </row>
    <row r="30808">
      <c r="B30808" s="612"/>
      <c r="H30808" s="612"/>
    </row>
    <row r="30809">
      <c r="B30809" s="612"/>
      <c r="H30809" s="612"/>
    </row>
    <row r="30810">
      <c r="B30810" s="612"/>
      <c r="H30810" s="612"/>
    </row>
    <row r="30811">
      <c r="B30811" s="612"/>
      <c r="H30811" s="612"/>
    </row>
    <row r="30812">
      <c r="B30812" s="612"/>
      <c r="H30812" s="612"/>
    </row>
    <row r="30813">
      <c r="B30813" s="612"/>
      <c r="H30813" s="612"/>
    </row>
    <row r="30814">
      <c r="B30814" s="612"/>
      <c r="H30814" s="612"/>
    </row>
    <row r="30815">
      <c r="B30815" s="612"/>
      <c r="H30815" s="612"/>
    </row>
    <row r="30816">
      <c r="B30816" s="612"/>
      <c r="H30816" s="612"/>
    </row>
    <row r="30817">
      <c r="B30817" s="612"/>
      <c r="H30817" s="612"/>
    </row>
    <row r="30818">
      <c r="B30818" s="612"/>
      <c r="H30818" s="612"/>
    </row>
    <row r="30819">
      <c r="B30819" s="612"/>
      <c r="H30819" s="612"/>
    </row>
    <row r="30820">
      <c r="B30820" s="612"/>
      <c r="H30820" s="612"/>
    </row>
    <row r="30821">
      <c r="B30821" s="612"/>
      <c r="H30821" s="612"/>
    </row>
    <row r="30822">
      <c r="B30822" s="612"/>
      <c r="H30822" s="612"/>
    </row>
    <row r="30823">
      <c r="B30823" s="612"/>
      <c r="H30823" s="612"/>
    </row>
    <row r="30824">
      <c r="B30824" s="612"/>
      <c r="H30824" s="612"/>
    </row>
    <row r="30825">
      <c r="B30825" s="612"/>
      <c r="H30825" s="612"/>
    </row>
    <row r="30826">
      <c r="B30826" s="612"/>
      <c r="H30826" s="612"/>
    </row>
    <row r="30827">
      <c r="B30827" s="612"/>
      <c r="H30827" s="612"/>
    </row>
    <row r="30828">
      <c r="B30828" s="612"/>
      <c r="H30828" s="612"/>
    </row>
    <row r="30829">
      <c r="B30829" s="612"/>
      <c r="H30829" s="612"/>
    </row>
    <row r="30830">
      <c r="B30830" s="612"/>
      <c r="H30830" s="612"/>
    </row>
    <row r="30831">
      <c r="B30831" s="612"/>
      <c r="H30831" s="612"/>
    </row>
    <row r="30832">
      <c r="B30832" s="612"/>
      <c r="H30832" s="612"/>
    </row>
    <row r="30833">
      <c r="B30833" s="612"/>
      <c r="H30833" s="612"/>
    </row>
    <row r="30834">
      <c r="B30834" s="612"/>
      <c r="H30834" s="612"/>
    </row>
    <row r="30835">
      <c r="B30835" s="612"/>
      <c r="H30835" s="612"/>
    </row>
    <row r="30836">
      <c r="B30836" s="612"/>
      <c r="H30836" s="612"/>
    </row>
    <row r="30837">
      <c r="B30837" s="612"/>
      <c r="H30837" s="612"/>
    </row>
    <row r="30838">
      <c r="B30838" s="612"/>
      <c r="H30838" s="612"/>
    </row>
    <row r="30839">
      <c r="B30839" s="612"/>
      <c r="H30839" s="612"/>
    </row>
    <row r="30840">
      <c r="B30840" s="612"/>
      <c r="H30840" s="612"/>
    </row>
    <row r="30841">
      <c r="B30841" s="612"/>
      <c r="H30841" s="612"/>
    </row>
    <row r="30842">
      <c r="B30842" s="612"/>
      <c r="H30842" s="612"/>
    </row>
    <row r="30843">
      <c r="B30843" s="612"/>
      <c r="H30843" s="612"/>
    </row>
    <row r="30844">
      <c r="B30844" s="612"/>
      <c r="H30844" s="612"/>
    </row>
    <row r="30845">
      <c r="B30845" s="612"/>
      <c r="H30845" s="612"/>
    </row>
    <row r="30846">
      <c r="B30846" s="612"/>
      <c r="H30846" s="612"/>
    </row>
    <row r="30847">
      <c r="B30847" s="612"/>
      <c r="H30847" s="612"/>
    </row>
    <row r="30848">
      <c r="B30848" s="612"/>
      <c r="H30848" s="612"/>
    </row>
    <row r="30849">
      <c r="B30849" s="612"/>
      <c r="H30849" s="612"/>
    </row>
    <row r="30850">
      <c r="B30850" s="612"/>
      <c r="H30850" s="612"/>
    </row>
    <row r="30851">
      <c r="B30851" s="612"/>
      <c r="H30851" s="612"/>
    </row>
    <row r="30852">
      <c r="B30852" s="612"/>
      <c r="H30852" s="612"/>
    </row>
    <row r="30853">
      <c r="B30853" s="612"/>
      <c r="H30853" s="612"/>
    </row>
    <row r="30854">
      <c r="B30854" s="612"/>
      <c r="H30854" s="612"/>
    </row>
    <row r="30855">
      <c r="B30855" s="612"/>
      <c r="H30855" s="612"/>
    </row>
    <row r="30856">
      <c r="B30856" s="612"/>
      <c r="H30856" s="612"/>
    </row>
    <row r="30857">
      <c r="B30857" s="612"/>
      <c r="H30857" s="612"/>
    </row>
    <row r="30858">
      <c r="B30858" s="612"/>
      <c r="H30858" s="612"/>
    </row>
    <row r="30859">
      <c r="B30859" s="612"/>
      <c r="H30859" s="612"/>
    </row>
    <row r="30860">
      <c r="B30860" s="612"/>
      <c r="H30860" s="612"/>
    </row>
    <row r="30861">
      <c r="B30861" s="612"/>
      <c r="H30861" s="612"/>
    </row>
    <row r="30862">
      <c r="B30862" s="612"/>
      <c r="H30862" s="612"/>
    </row>
    <row r="30863">
      <c r="B30863" s="612"/>
      <c r="H30863" s="612"/>
    </row>
    <row r="30864">
      <c r="B30864" s="612"/>
      <c r="H30864" s="612"/>
    </row>
    <row r="30865">
      <c r="B30865" s="612"/>
      <c r="H30865" s="612"/>
    </row>
    <row r="30866">
      <c r="B30866" s="612"/>
      <c r="H30866" s="612"/>
    </row>
    <row r="30867">
      <c r="B30867" s="612"/>
      <c r="H30867" s="612"/>
    </row>
    <row r="30868">
      <c r="B30868" s="612"/>
      <c r="H30868" s="612"/>
    </row>
    <row r="30869">
      <c r="B30869" s="612"/>
      <c r="H30869" s="612"/>
    </row>
    <row r="30870">
      <c r="B30870" s="612"/>
      <c r="H30870" s="612"/>
    </row>
    <row r="30871">
      <c r="B30871" s="612"/>
      <c r="H30871" s="612"/>
    </row>
    <row r="30872">
      <c r="B30872" s="612"/>
      <c r="H30872" s="612"/>
    </row>
    <row r="30873">
      <c r="B30873" s="612"/>
      <c r="H30873" s="612"/>
    </row>
    <row r="30874">
      <c r="B30874" s="612"/>
      <c r="H30874" s="612"/>
    </row>
    <row r="30875">
      <c r="B30875" s="612"/>
      <c r="H30875" s="612"/>
    </row>
    <row r="30876">
      <c r="B30876" s="612"/>
      <c r="H30876" s="612"/>
    </row>
    <row r="30877">
      <c r="B30877" s="612"/>
      <c r="H30877" s="612"/>
    </row>
    <row r="30878">
      <c r="B30878" s="612"/>
      <c r="H30878" s="612"/>
    </row>
    <row r="30879">
      <c r="B30879" s="612"/>
      <c r="H30879" s="612"/>
    </row>
    <row r="30880">
      <c r="B30880" s="612"/>
      <c r="H30880" s="612"/>
    </row>
    <row r="30881">
      <c r="B30881" s="612"/>
      <c r="H30881" s="612"/>
    </row>
    <row r="30882">
      <c r="B30882" s="612"/>
      <c r="H30882" s="612"/>
    </row>
    <row r="30883">
      <c r="B30883" s="612"/>
      <c r="H30883" s="612"/>
    </row>
    <row r="30884">
      <c r="B30884" s="612"/>
      <c r="H30884" s="612"/>
    </row>
    <row r="30885">
      <c r="B30885" s="612"/>
      <c r="H30885" s="612"/>
    </row>
    <row r="30886">
      <c r="B30886" s="612"/>
      <c r="H30886" s="612"/>
    </row>
    <row r="30887">
      <c r="B30887" s="612"/>
      <c r="H30887" s="612"/>
    </row>
    <row r="30888">
      <c r="B30888" s="612"/>
      <c r="H30888" s="612"/>
    </row>
    <row r="30889">
      <c r="B30889" s="612"/>
      <c r="H30889" s="612"/>
    </row>
    <row r="30890">
      <c r="B30890" s="612"/>
      <c r="H30890" s="612"/>
    </row>
    <row r="30891">
      <c r="B30891" s="612"/>
      <c r="H30891" s="612"/>
    </row>
    <row r="30892">
      <c r="B30892" s="612"/>
      <c r="H30892" s="612"/>
    </row>
    <row r="30893">
      <c r="B30893" s="612"/>
      <c r="H30893" s="612"/>
    </row>
    <row r="30894">
      <c r="B30894" s="612"/>
      <c r="H30894" s="612"/>
    </row>
    <row r="30895">
      <c r="B30895" s="612"/>
      <c r="H30895" s="612"/>
    </row>
    <row r="30896">
      <c r="B30896" s="612"/>
      <c r="H30896" s="612"/>
    </row>
    <row r="30897">
      <c r="B30897" s="612"/>
      <c r="H30897" s="612"/>
    </row>
    <row r="30898">
      <c r="B30898" s="612"/>
      <c r="H30898" s="612"/>
    </row>
    <row r="30899">
      <c r="B30899" s="612"/>
      <c r="H30899" s="612"/>
    </row>
    <row r="30900">
      <c r="B30900" s="612"/>
      <c r="H30900" s="612"/>
    </row>
    <row r="30901">
      <c r="B30901" s="612"/>
      <c r="H30901" s="612"/>
    </row>
    <row r="30902">
      <c r="B30902" s="612"/>
      <c r="H30902" s="612"/>
    </row>
    <row r="30903">
      <c r="B30903" s="612"/>
      <c r="H30903" s="612"/>
    </row>
    <row r="30904">
      <c r="B30904" s="612"/>
      <c r="H30904" s="612"/>
    </row>
    <row r="30905">
      <c r="B30905" s="612"/>
      <c r="H30905" s="612"/>
    </row>
    <row r="30906">
      <c r="B30906" s="612"/>
      <c r="H30906" s="612"/>
    </row>
    <row r="30907">
      <c r="B30907" s="612"/>
      <c r="H30907" s="612"/>
    </row>
    <row r="30908">
      <c r="B30908" s="612"/>
      <c r="H30908" s="612"/>
    </row>
    <row r="30909">
      <c r="B30909" s="612"/>
      <c r="H30909" s="612"/>
    </row>
    <row r="30910">
      <c r="B30910" s="612"/>
      <c r="H30910" s="612"/>
    </row>
    <row r="30911">
      <c r="B30911" s="612"/>
      <c r="H30911" s="612"/>
    </row>
    <row r="30912">
      <c r="B30912" s="612"/>
      <c r="H30912" s="612"/>
    </row>
    <row r="30913">
      <c r="B30913" s="612"/>
      <c r="H30913" s="612"/>
    </row>
    <row r="30914">
      <c r="B30914" s="612"/>
      <c r="H30914" s="612"/>
    </row>
    <row r="30915">
      <c r="B30915" s="612"/>
      <c r="H30915" s="612"/>
    </row>
    <row r="30916">
      <c r="B30916" s="612"/>
      <c r="H30916" s="612"/>
    </row>
    <row r="30917">
      <c r="B30917" s="612"/>
      <c r="H30917" s="612"/>
    </row>
    <row r="30918">
      <c r="B30918" s="612"/>
      <c r="H30918" s="612"/>
    </row>
    <row r="30919">
      <c r="B30919" s="612"/>
      <c r="H30919" s="612"/>
    </row>
    <row r="30920">
      <c r="B30920" s="612"/>
      <c r="H30920" s="612"/>
    </row>
    <row r="30921">
      <c r="B30921" s="612"/>
      <c r="H30921" s="612"/>
    </row>
    <row r="30922">
      <c r="B30922" s="612"/>
      <c r="H30922" s="612"/>
    </row>
    <row r="30923">
      <c r="B30923" s="612"/>
      <c r="H30923" s="612"/>
    </row>
    <row r="30924">
      <c r="B30924" s="612"/>
      <c r="H30924" s="612"/>
    </row>
    <row r="30925">
      <c r="B30925" s="612"/>
      <c r="H30925" s="612"/>
    </row>
    <row r="30926">
      <c r="B30926" s="612"/>
      <c r="H30926" s="612"/>
    </row>
    <row r="30927">
      <c r="B30927" s="612"/>
      <c r="H30927" s="612"/>
    </row>
    <row r="30928">
      <c r="B30928" s="612"/>
      <c r="H30928" s="612"/>
    </row>
    <row r="30929">
      <c r="B30929" s="612"/>
      <c r="H30929" s="612"/>
    </row>
    <row r="30930">
      <c r="B30930" s="612"/>
      <c r="H30930" s="612"/>
    </row>
    <row r="30931">
      <c r="B30931" s="612"/>
      <c r="H30931" s="612"/>
    </row>
    <row r="30932">
      <c r="B30932" s="612"/>
      <c r="H30932" s="612"/>
    </row>
    <row r="30933">
      <c r="B30933" s="612"/>
      <c r="H30933" s="612"/>
    </row>
    <row r="30934">
      <c r="B30934" s="612"/>
      <c r="H30934" s="612"/>
    </row>
    <row r="30935">
      <c r="B30935" s="612"/>
      <c r="H30935" s="612"/>
    </row>
    <row r="30936">
      <c r="B30936" s="612"/>
      <c r="H30936" s="612"/>
    </row>
    <row r="30937">
      <c r="B30937" s="612"/>
      <c r="H30937" s="612"/>
    </row>
    <row r="30938">
      <c r="B30938" s="612"/>
      <c r="H30938" s="612"/>
    </row>
    <row r="30939">
      <c r="B30939" s="612"/>
      <c r="H30939" s="612"/>
    </row>
    <row r="30940">
      <c r="B30940" s="612"/>
      <c r="H30940" s="612"/>
    </row>
    <row r="30941">
      <c r="B30941" s="612"/>
      <c r="H30941" s="612"/>
    </row>
    <row r="30942">
      <c r="B30942" s="612"/>
      <c r="H30942" s="612"/>
    </row>
    <row r="30943">
      <c r="B30943" s="612"/>
      <c r="H30943" s="612"/>
    </row>
    <row r="30944">
      <c r="B30944" s="612"/>
      <c r="H30944" s="612"/>
    </row>
    <row r="30945">
      <c r="B30945" s="612"/>
      <c r="H30945" s="612"/>
    </row>
    <row r="30946">
      <c r="B30946" s="612"/>
      <c r="H30946" s="612"/>
    </row>
    <row r="30947">
      <c r="B30947" s="612"/>
      <c r="H30947" s="612"/>
    </row>
    <row r="30948">
      <c r="B30948" s="612"/>
      <c r="H30948" s="612"/>
    </row>
    <row r="30949">
      <c r="B30949" s="612"/>
      <c r="H30949" s="612"/>
    </row>
    <row r="30950">
      <c r="B30950" s="612"/>
      <c r="H30950" s="612"/>
    </row>
    <row r="30951">
      <c r="B30951" s="612"/>
      <c r="H30951" s="612"/>
    </row>
    <row r="30952">
      <c r="B30952" s="612"/>
      <c r="H30952" s="612"/>
    </row>
    <row r="30953">
      <c r="B30953" s="612"/>
      <c r="H30953" s="612"/>
    </row>
    <row r="30954">
      <c r="B30954" s="612"/>
      <c r="H30954" s="612"/>
    </row>
    <row r="30955">
      <c r="B30955" s="612"/>
      <c r="H30955" s="612"/>
    </row>
    <row r="30956">
      <c r="B30956" s="612"/>
      <c r="H30956" s="612"/>
    </row>
    <row r="30957">
      <c r="B30957" s="612"/>
      <c r="H30957" s="612"/>
    </row>
    <row r="30958">
      <c r="B30958" s="612"/>
      <c r="H30958" s="612"/>
    </row>
    <row r="30959">
      <c r="B30959" s="612"/>
      <c r="H30959" s="612"/>
    </row>
    <row r="30960">
      <c r="B30960" s="612"/>
      <c r="H30960" s="612"/>
    </row>
    <row r="30961">
      <c r="B30961" s="612"/>
      <c r="H30961" s="612"/>
    </row>
    <row r="30962">
      <c r="B30962" s="612"/>
      <c r="H30962" s="612"/>
    </row>
    <row r="30963">
      <c r="B30963" s="612"/>
      <c r="H30963" s="612"/>
    </row>
    <row r="30964">
      <c r="B30964" s="612"/>
      <c r="H30964" s="612"/>
    </row>
    <row r="30965">
      <c r="B30965" s="612"/>
      <c r="H30965" s="612"/>
    </row>
    <row r="30966">
      <c r="B30966" s="612"/>
      <c r="H30966" s="612"/>
    </row>
    <row r="30967">
      <c r="B30967" s="612"/>
      <c r="H30967" s="612"/>
    </row>
    <row r="30968">
      <c r="B30968" s="612"/>
      <c r="H30968" s="612"/>
    </row>
    <row r="30969">
      <c r="B30969" s="612"/>
      <c r="H30969" s="612"/>
    </row>
    <row r="30970">
      <c r="B30970" s="612"/>
      <c r="H30970" s="612"/>
    </row>
    <row r="30971">
      <c r="B30971" s="612"/>
      <c r="H30971" s="612"/>
    </row>
    <row r="30972">
      <c r="B30972" s="612"/>
      <c r="H30972" s="612"/>
    </row>
    <row r="30973">
      <c r="B30973" s="612"/>
      <c r="H30973" s="612"/>
    </row>
    <row r="30974">
      <c r="B30974" s="612"/>
      <c r="H30974" s="612"/>
    </row>
    <row r="30975">
      <c r="B30975" s="612"/>
      <c r="H30975" s="612"/>
    </row>
    <row r="30976">
      <c r="B30976" s="612"/>
      <c r="H30976" s="612"/>
    </row>
    <row r="30977">
      <c r="B30977" s="612"/>
      <c r="H30977" s="612"/>
    </row>
    <row r="30978">
      <c r="B30978" s="612"/>
      <c r="H30978" s="612"/>
    </row>
    <row r="30979">
      <c r="B30979" s="612"/>
      <c r="H30979" s="612"/>
    </row>
    <row r="30980">
      <c r="B30980" s="612"/>
      <c r="H30980" s="612"/>
    </row>
    <row r="30981">
      <c r="B30981" s="612"/>
      <c r="H30981" s="612"/>
    </row>
    <row r="30982">
      <c r="B30982" s="612"/>
      <c r="H30982" s="612"/>
    </row>
    <row r="30983">
      <c r="B30983" s="612"/>
      <c r="H30983" s="612"/>
    </row>
    <row r="30984">
      <c r="B30984" s="612"/>
      <c r="H30984" s="612"/>
    </row>
    <row r="30985">
      <c r="B30985" s="612"/>
      <c r="H30985" s="612"/>
    </row>
    <row r="30986">
      <c r="B30986" s="612"/>
      <c r="H30986" s="612"/>
    </row>
    <row r="30987">
      <c r="B30987" s="612"/>
      <c r="H30987" s="612"/>
    </row>
    <row r="30988">
      <c r="B30988" s="612"/>
      <c r="H30988" s="612"/>
    </row>
    <row r="30989">
      <c r="B30989" s="612"/>
      <c r="H30989" s="612"/>
    </row>
    <row r="30990">
      <c r="B30990" s="612"/>
      <c r="H30990" s="612"/>
    </row>
    <row r="30991">
      <c r="B30991" s="612"/>
      <c r="H30991" s="612"/>
    </row>
    <row r="30992">
      <c r="B30992" s="612"/>
      <c r="H30992" s="612"/>
    </row>
    <row r="30993">
      <c r="B30993" s="612"/>
      <c r="H30993" s="612"/>
    </row>
    <row r="30994">
      <c r="B30994" s="612"/>
      <c r="H30994" s="612"/>
    </row>
    <row r="30995">
      <c r="B30995" s="612"/>
      <c r="H30995" s="612"/>
    </row>
    <row r="30996">
      <c r="B30996" s="612"/>
      <c r="H30996" s="612"/>
    </row>
    <row r="30997">
      <c r="B30997" s="612"/>
      <c r="H30997" s="612"/>
    </row>
    <row r="30998">
      <c r="B30998" s="612"/>
      <c r="H30998" s="612"/>
    </row>
    <row r="30999">
      <c r="B30999" s="612"/>
      <c r="H30999" s="612"/>
    </row>
    <row r="31000">
      <c r="B31000" s="612"/>
      <c r="H31000" s="612"/>
    </row>
    <row r="31001">
      <c r="B31001" s="612"/>
      <c r="H31001" s="612"/>
    </row>
    <row r="31002">
      <c r="B31002" s="612"/>
      <c r="H31002" s="612"/>
    </row>
    <row r="31003">
      <c r="B31003" s="612"/>
      <c r="H31003" s="612"/>
    </row>
    <row r="31004">
      <c r="B31004" s="612"/>
      <c r="H31004" s="612"/>
    </row>
    <row r="31005">
      <c r="B31005" s="612"/>
      <c r="H31005" s="612"/>
    </row>
    <row r="31006">
      <c r="B31006" s="612"/>
      <c r="H31006" s="612"/>
    </row>
    <row r="31007">
      <c r="B31007" s="612"/>
      <c r="H31007" s="612"/>
    </row>
    <row r="31008">
      <c r="B31008" s="612"/>
      <c r="H31008" s="612"/>
    </row>
    <row r="31009">
      <c r="B31009" s="612"/>
      <c r="H31009" s="612"/>
    </row>
    <row r="31010">
      <c r="B31010" s="612"/>
      <c r="H31010" s="612"/>
    </row>
    <row r="31011">
      <c r="B31011" s="612"/>
      <c r="H31011" s="612"/>
    </row>
    <row r="31012">
      <c r="B31012" s="612"/>
      <c r="H31012" s="612"/>
    </row>
    <row r="31013">
      <c r="B31013" s="612"/>
      <c r="H31013" s="612"/>
    </row>
    <row r="31014">
      <c r="B31014" s="612"/>
      <c r="H31014" s="612"/>
    </row>
    <row r="31015">
      <c r="B31015" s="612"/>
      <c r="H31015" s="612"/>
    </row>
    <row r="31016">
      <c r="B31016" s="612"/>
      <c r="H31016" s="612"/>
    </row>
    <row r="31017">
      <c r="B31017" s="612"/>
      <c r="H31017" s="612"/>
    </row>
    <row r="31018">
      <c r="B31018" s="612"/>
      <c r="H31018" s="612"/>
    </row>
    <row r="31019">
      <c r="B31019" s="612"/>
      <c r="H31019" s="612"/>
    </row>
    <row r="31020">
      <c r="B31020" s="612"/>
      <c r="H31020" s="612"/>
    </row>
    <row r="31021">
      <c r="B31021" s="612"/>
      <c r="H31021" s="612"/>
    </row>
    <row r="31022">
      <c r="B31022" s="612"/>
      <c r="H31022" s="612"/>
    </row>
    <row r="31023">
      <c r="B31023" s="612"/>
      <c r="H31023" s="612"/>
    </row>
    <row r="31024">
      <c r="B31024" s="612"/>
      <c r="H31024" s="612"/>
    </row>
    <row r="31025">
      <c r="B31025" s="612"/>
      <c r="H31025" s="612"/>
    </row>
    <row r="31026">
      <c r="B31026" s="612"/>
      <c r="H31026" s="612"/>
    </row>
    <row r="31027">
      <c r="B31027" s="612"/>
      <c r="H31027" s="612"/>
    </row>
    <row r="31028">
      <c r="B31028" s="612"/>
      <c r="H31028" s="612"/>
    </row>
    <row r="31029">
      <c r="B31029" s="612"/>
      <c r="H31029" s="612"/>
    </row>
    <row r="31030">
      <c r="B31030" s="612"/>
      <c r="H31030" s="612"/>
    </row>
    <row r="31031">
      <c r="B31031" s="612"/>
      <c r="H31031" s="612"/>
    </row>
    <row r="31032">
      <c r="B31032" s="612"/>
      <c r="H31032" s="612"/>
    </row>
    <row r="31033">
      <c r="B31033" s="612"/>
      <c r="H31033" s="612"/>
    </row>
    <row r="31034">
      <c r="B31034" s="612"/>
      <c r="H31034" s="612"/>
    </row>
    <row r="31035">
      <c r="B31035" s="612"/>
      <c r="H31035" s="612"/>
    </row>
    <row r="31036">
      <c r="B31036" s="612"/>
      <c r="H31036" s="612"/>
    </row>
    <row r="31037">
      <c r="B31037" s="612"/>
      <c r="H31037" s="612"/>
    </row>
    <row r="31038">
      <c r="B31038" s="612"/>
      <c r="H31038" s="612"/>
    </row>
    <row r="31039">
      <c r="B31039" s="612"/>
      <c r="H31039" s="612"/>
    </row>
    <row r="31040">
      <c r="B31040" s="612"/>
      <c r="H31040" s="612"/>
    </row>
    <row r="31041">
      <c r="B31041" s="612"/>
      <c r="H31041" s="612"/>
    </row>
    <row r="31042">
      <c r="B31042" s="612"/>
      <c r="H31042" s="612"/>
    </row>
    <row r="31043">
      <c r="B31043" s="612"/>
      <c r="H31043" s="612"/>
    </row>
    <row r="31044">
      <c r="B31044" s="612"/>
      <c r="H31044" s="612"/>
    </row>
    <row r="31045">
      <c r="B31045" s="612"/>
      <c r="H31045" s="612"/>
    </row>
    <row r="31046">
      <c r="B31046" s="612"/>
      <c r="H31046" s="612"/>
    </row>
    <row r="31047">
      <c r="B31047" s="612"/>
      <c r="H31047" s="612"/>
    </row>
    <row r="31048">
      <c r="B31048" s="612"/>
      <c r="H31048" s="612"/>
    </row>
    <row r="31049">
      <c r="B31049" s="612"/>
      <c r="H31049" s="612"/>
    </row>
    <row r="31050">
      <c r="B31050" s="612"/>
      <c r="H31050" s="612"/>
    </row>
    <row r="31051">
      <c r="B31051" s="612"/>
      <c r="H31051" s="612"/>
    </row>
    <row r="31052">
      <c r="B31052" s="612"/>
      <c r="H31052" s="612"/>
    </row>
    <row r="31053">
      <c r="B31053" s="612"/>
      <c r="H31053" s="612"/>
    </row>
    <row r="31054">
      <c r="B31054" s="612"/>
      <c r="H31054" s="612"/>
    </row>
    <row r="31055">
      <c r="B31055" s="612"/>
      <c r="H31055" s="612"/>
    </row>
    <row r="31056">
      <c r="B31056" s="612"/>
      <c r="H31056" s="612"/>
    </row>
    <row r="31057">
      <c r="B31057" s="612"/>
      <c r="H31057" s="612"/>
    </row>
    <row r="31058">
      <c r="B31058" s="612"/>
      <c r="H31058" s="612"/>
    </row>
    <row r="31059">
      <c r="B31059" s="612"/>
      <c r="H31059" s="612"/>
    </row>
    <row r="31060">
      <c r="B31060" s="612"/>
      <c r="H31060" s="612"/>
    </row>
    <row r="31061">
      <c r="B31061" s="612"/>
      <c r="H31061" s="612"/>
    </row>
    <row r="31062">
      <c r="B31062" s="612"/>
      <c r="H31062" s="612"/>
    </row>
    <row r="31063">
      <c r="B31063" s="612"/>
      <c r="H31063" s="612"/>
    </row>
    <row r="31064">
      <c r="B31064" s="612"/>
      <c r="H31064" s="612"/>
    </row>
    <row r="31065">
      <c r="B31065" s="612"/>
      <c r="H31065" s="612"/>
    </row>
    <row r="31066">
      <c r="B31066" s="612"/>
      <c r="H31066" s="612"/>
    </row>
    <row r="31067">
      <c r="B31067" s="612"/>
      <c r="H31067" s="612"/>
    </row>
    <row r="31068">
      <c r="B31068" s="612"/>
      <c r="H31068" s="612"/>
    </row>
    <row r="31069">
      <c r="B31069" s="612"/>
      <c r="H31069" s="612"/>
    </row>
    <row r="31070">
      <c r="B31070" s="612"/>
      <c r="H31070" s="612"/>
    </row>
    <row r="31071">
      <c r="B31071" s="612"/>
      <c r="H31071" s="612"/>
    </row>
    <row r="31072">
      <c r="B31072" s="612"/>
      <c r="H31072" s="612"/>
    </row>
    <row r="31073">
      <c r="B31073" s="612"/>
      <c r="H31073" s="612"/>
    </row>
    <row r="31074">
      <c r="B31074" s="612"/>
      <c r="H31074" s="612"/>
    </row>
    <row r="31075">
      <c r="B31075" s="612"/>
      <c r="H31075" s="612"/>
    </row>
    <row r="31076">
      <c r="B31076" s="612"/>
      <c r="H31076" s="612"/>
    </row>
    <row r="31077">
      <c r="B31077" s="612"/>
      <c r="H31077" s="612"/>
    </row>
    <row r="31078">
      <c r="B31078" s="612"/>
      <c r="H31078" s="612"/>
    </row>
    <row r="31079">
      <c r="B31079" s="612"/>
      <c r="H31079" s="612"/>
    </row>
    <row r="31080">
      <c r="B31080" s="612"/>
      <c r="H31080" s="612"/>
    </row>
    <row r="31081">
      <c r="B31081" s="612"/>
      <c r="H31081" s="612"/>
    </row>
    <row r="31082">
      <c r="B31082" s="612"/>
      <c r="H31082" s="612"/>
    </row>
    <row r="31083">
      <c r="B31083" s="612"/>
      <c r="H31083" s="612"/>
    </row>
    <row r="31084">
      <c r="B31084" s="612"/>
      <c r="H31084" s="612"/>
    </row>
    <row r="31085">
      <c r="B31085" s="612"/>
      <c r="H31085" s="612"/>
    </row>
    <row r="31086">
      <c r="B31086" s="612"/>
      <c r="H31086" s="612"/>
    </row>
    <row r="31087">
      <c r="B31087" s="612"/>
      <c r="H31087" s="612"/>
    </row>
    <row r="31088">
      <c r="B31088" s="612"/>
      <c r="H31088" s="612"/>
    </row>
    <row r="31089">
      <c r="B31089" s="612"/>
      <c r="H31089" s="612"/>
    </row>
    <row r="31090">
      <c r="B31090" s="612"/>
      <c r="H31090" s="612"/>
    </row>
    <row r="31091">
      <c r="B31091" s="612"/>
      <c r="H31091" s="612"/>
    </row>
    <row r="31092">
      <c r="B31092" s="612"/>
      <c r="H31092" s="612"/>
    </row>
    <row r="31093">
      <c r="B31093" s="612"/>
      <c r="H31093" s="612"/>
    </row>
    <row r="31094">
      <c r="B31094" s="612"/>
      <c r="H31094" s="612"/>
    </row>
    <row r="31095">
      <c r="B31095" s="612"/>
      <c r="H31095" s="612"/>
    </row>
    <row r="31096">
      <c r="B31096" s="612"/>
      <c r="H31096" s="612"/>
    </row>
    <row r="31097">
      <c r="B31097" s="612"/>
      <c r="H31097" s="612"/>
    </row>
    <row r="31098">
      <c r="B31098" s="612"/>
      <c r="H31098" s="612"/>
    </row>
    <row r="31099">
      <c r="B31099" s="612"/>
      <c r="H31099" s="612"/>
    </row>
    <row r="31100">
      <c r="B31100" s="612"/>
      <c r="H31100" s="612"/>
    </row>
    <row r="31101">
      <c r="B31101" s="612"/>
      <c r="H31101" s="612"/>
    </row>
    <row r="31102">
      <c r="B31102" s="612"/>
      <c r="H31102" s="612"/>
    </row>
    <row r="31103">
      <c r="B31103" s="612"/>
      <c r="H31103" s="612"/>
    </row>
    <row r="31104">
      <c r="B31104" s="612"/>
      <c r="H31104" s="612"/>
    </row>
    <row r="31105">
      <c r="B31105" s="612"/>
      <c r="H31105" s="612"/>
    </row>
    <row r="31106">
      <c r="B31106" s="612"/>
      <c r="H31106" s="612"/>
    </row>
    <row r="31107">
      <c r="B31107" s="612"/>
      <c r="H31107" s="612"/>
    </row>
    <row r="31108">
      <c r="B31108" s="612"/>
      <c r="H31108" s="612"/>
    </row>
    <row r="31109">
      <c r="B31109" s="612"/>
      <c r="H31109" s="612"/>
    </row>
    <row r="31110">
      <c r="B31110" s="612"/>
      <c r="H31110" s="612"/>
    </row>
    <row r="31111">
      <c r="B31111" s="612"/>
      <c r="H31111" s="612"/>
    </row>
    <row r="31112">
      <c r="B31112" s="612"/>
      <c r="H31112" s="612"/>
    </row>
    <row r="31113">
      <c r="B31113" s="612"/>
      <c r="H31113" s="612"/>
    </row>
    <row r="31114">
      <c r="B31114" s="612"/>
      <c r="H31114" s="612"/>
    </row>
    <row r="31115">
      <c r="B31115" s="612"/>
      <c r="H31115" s="612"/>
    </row>
    <row r="31116">
      <c r="B31116" s="612"/>
      <c r="H31116" s="612"/>
    </row>
    <row r="31117">
      <c r="B31117" s="612"/>
      <c r="H31117" s="612"/>
    </row>
    <row r="31118">
      <c r="B31118" s="612"/>
      <c r="H31118" s="612"/>
    </row>
    <row r="31119">
      <c r="B31119" s="612"/>
      <c r="H31119" s="612"/>
    </row>
    <row r="31120">
      <c r="B31120" s="612"/>
      <c r="H31120" s="612"/>
    </row>
    <row r="31121">
      <c r="B31121" s="612"/>
      <c r="H31121" s="612"/>
    </row>
    <row r="31122">
      <c r="B31122" s="612"/>
      <c r="H31122" s="612"/>
    </row>
    <row r="31123">
      <c r="B31123" s="612"/>
      <c r="H31123" s="612"/>
    </row>
    <row r="31124">
      <c r="B31124" s="612"/>
      <c r="H31124" s="612"/>
    </row>
    <row r="31125">
      <c r="B31125" s="612"/>
      <c r="H31125" s="612"/>
    </row>
    <row r="31126">
      <c r="B31126" s="612"/>
      <c r="H31126" s="612"/>
    </row>
    <row r="31127">
      <c r="B31127" s="612"/>
      <c r="H31127" s="612"/>
    </row>
    <row r="31128">
      <c r="B31128" s="612"/>
      <c r="H31128" s="612"/>
    </row>
    <row r="31129">
      <c r="B31129" s="612"/>
      <c r="H31129" s="612"/>
    </row>
    <row r="31130">
      <c r="B31130" s="612"/>
      <c r="H31130" s="612"/>
    </row>
    <row r="31131">
      <c r="B31131" s="612"/>
      <c r="H31131" s="612"/>
    </row>
    <row r="31132">
      <c r="B31132" s="612"/>
      <c r="H31132" s="612"/>
    </row>
    <row r="31133">
      <c r="B31133" s="612"/>
      <c r="H31133" s="612"/>
    </row>
    <row r="31134">
      <c r="B31134" s="612"/>
      <c r="H31134" s="612"/>
    </row>
    <row r="31135">
      <c r="B31135" s="612"/>
      <c r="H31135" s="612"/>
    </row>
    <row r="31136">
      <c r="B31136" s="612"/>
      <c r="H31136" s="612"/>
    </row>
    <row r="31137">
      <c r="B31137" s="612"/>
      <c r="H31137" s="612"/>
    </row>
    <row r="31138">
      <c r="B31138" s="612"/>
      <c r="H31138" s="612"/>
    </row>
    <row r="31139">
      <c r="B31139" s="612"/>
      <c r="H31139" s="612"/>
    </row>
    <row r="31140">
      <c r="B31140" s="612"/>
      <c r="H31140" s="612"/>
    </row>
    <row r="31141">
      <c r="B31141" s="612"/>
      <c r="H31141" s="612"/>
    </row>
    <row r="31142">
      <c r="B31142" s="612"/>
      <c r="H31142" s="612"/>
    </row>
    <row r="31143">
      <c r="B31143" s="612"/>
      <c r="H31143" s="612"/>
    </row>
    <row r="31144">
      <c r="B31144" s="612"/>
      <c r="H31144" s="612"/>
    </row>
    <row r="31145">
      <c r="B31145" s="612"/>
      <c r="H31145" s="612"/>
    </row>
    <row r="31146">
      <c r="B31146" s="612"/>
      <c r="H31146" s="612"/>
    </row>
    <row r="31147">
      <c r="B31147" s="612"/>
      <c r="H31147" s="612"/>
    </row>
    <row r="31148">
      <c r="B31148" s="612"/>
      <c r="H31148" s="612"/>
    </row>
    <row r="31149">
      <c r="B31149" s="612"/>
      <c r="H31149" s="612"/>
    </row>
    <row r="31150">
      <c r="B31150" s="612"/>
      <c r="H31150" s="612"/>
    </row>
    <row r="31151">
      <c r="B31151" s="612"/>
      <c r="H31151" s="612"/>
    </row>
    <row r="31152">
      <c r="B31152" s="612"/>
      <c r="H31152" s="612"/>
    </row>
    <row r="31153">
      <c r="B31153" s="612"/>
      <c r="H31153" s="612"/>
    </row>
    <row r="31154">
      <c r="B31154" s="612"/>
      <c r="H31154" s="612"/>
    </row>
    <row r="31155">
      <c r="B31155" s="612"/>
      <c r="H31155" s="612"/>
    </row>
    <row r="31156">
      <c r="B31156" s="612"/>
      <c r="H31156" s="612"/>
    </row>
    <row r="31157">
      <c r="B31157" s="612"/>
      <c r="H31157" s="612"/>
    </row>
    <row r="31158">
      <c r="B31158" s="612"/>
      <c r="H31158" s="612"/>
    </row>
    <row r="31159">
      <c r="B31159" s="612"/>
      <c r="H31159" s="612"/>
    </row>
    <row r="31160">
      <c r="B31160" s="612"/>
      <c r="H31160" s="612"/>
    </row>
    <row r="31161">
      <c r="B31161" s="612"/>
      <c r="H31161" s="612"/>
    </row>
    <row r="31162">
      <c r="B31162" s="612"/>
      <c r="H31162" s="612"/>
    </row>
    <row r="31163">
      <c r="B31163" s="612"/>
      <c r="H31163" s="612"/>
    </row>
    <row r="31164">
      <c r="B31164" s="612"/>
      <c r="H31164" s="612"/>
    </row>
    <row r="31165">
      <c r="B31165" s="612"/>
      <c r="H31165" s="612"/>
    </row>
    <row r="31166">
      <c r="B31166" s="612"/>
      <c r="H31166" s="612"/>
    </row>
    <row r="31167">
      <c r="B31167" s="612"/>
      <c r="H31167" s="612"/>
    </row>
    <row r="31168">
      <c r="B31168" s="612"/>
      <c r="H31168" s="612"/>
    </row>
    <row r="31169">
      <c r="B31169" s="612"/>
      <c r="H31169" s="612"/>
    </row>
    <row r="31170">
      <c r="B31170" s="612"/>
      <c r="H31170" s="612"/>
    </row>
    <row r="31171">
      <c r="B31171" s="612"/>
      <c r="H31171" s="612"/>
    </row>
    <row r="31172">
      <c r="B31172" s="612"/>
      <c r="H31172" s="612"/>
    </row>
    <row r="31173">
      <c r="B31173" s="612"/>
      <c r="H31173" s="612"/>
    </row>
    <row r="31174">
      <c r="B31174" s="612"/>
      <c r="H31174" s="612"/>
    </row>
    <row r="31175">
      <c r="B31175" s="612"/>
      <c r="H31175" s="612"/>
    </row>
    <row r="31176">
      <c r="B31176" s="612"/>
      <c r="H31176" s="612"/>
    </row>
    <row r="31177">
      <c r="B31177" s="612"/>
      <c r="H31177" s="612"/>
    </row>
    <row r="31178">
      <c r="B31178" s="612"/>
      <c r="H31178" s="612"/>
    </row>
    <row r="31179">
      <c r="B31179" s="612"/>
      <c r="H31179" s="612"/>
    </row>
    <row r="31180">
      <c r="B31180" s="612"/>
      <c r="H31180" s="612"/>
    </row>
    <row r="31181">
      <c r="B31181" s="612"/>
      <c r="H31181" s="612"/>
    </row>
    <row r="31182">
      <c r="B31182" s="612"/>
      <c r="H31182" s="612"/>
    </row>
    <row r="31183">
      <c r="B31183" s="612"/>
      <c r="H31183" s="612"/>
    </row>
    <row r="31184">
      <c r="B31184" s="612"/>
      <c r="H31184" s="612"/>
    </row>
    <row r="31185">
      <c r="B31185" s="612"/>
      <c r="H31185" s="612"/>
    </row>
    <row r="31186">
      <c r="B31186" s="612"/>
      <c r="H31186" s="612"/>
    </row>
    <row r="31187">
      <c r="B31187" s="612"/>
      <c r="H31187" s="612"/>
    </row>
    <row r="31188">
      <c r="B31188" s="612"/>
      <c r="H31188" s="612"/>
    </row>
    <row r="31189">
      <c r="B31189" s="612"/>
      <c r="H31189" s="612"/>
    </row>
    <row r="31190">
      <c r="B31190" s="612"/>
      <c r="H31190" s="612"/>
    </row>
    <row r="31191">
      <c r="B31191" s="612"/>
      <c r="H31191" s="612"/>
    </row>
    <row r="31192">
      <c r="B31192" s="612"/>
      <c r="H31192" s="612"/>
    </row>
    <row r="31193">
      <c r="B31193" s="612"/>
      <c r="H31193" s="612"/>
    </row>
    <row r="31194">
      <c r="B31194" s="612"/>
      <c r="H31194" s="612"/>
    </row>
    <row r="31195">
      <c r="B31195" s="612"/>
      <c r="H31195" s="612"/>
    </row>
    <row r="31196">
      <c r="B31196" s="612"/>
      <c r="H31196" s="612"/>
    </row>
    <row r="31197">
      <c r="B31197" s="612"/>
      <c r="H31197" s="612"/>
    </row>
    <row r="31198">
      <c r="B31198" s="612"/>
      <c r="H31198" s="612"/>
    </row>
    <row r="31199">
      <c r="B31199" s="612"/>
      <c r="H31199" s="612"/>
    </row>
    <row r="31200">
      <c r="B31200" s="612"/>
      <c r="H31200" s="612"/>
    </row>
    <row r="31201">
      <c r="B31201" s="612"/>
      <c r="H31201" s="612"/>
    </row>
    <row r="31202">
      <c r="B31202" s="612"/>
      <c r="H31202" s="612"/>
    </row>
    <row r="31203">
      <c r="B31203" s="612"/>
      <c r="H31203" s="612"/>
    </row>
    <row r="31204">
      <c r="B31204" s="612"/>
      <c r="H31204" s="612"/>
    </row>
    <row r="31205">
      <c r="B31205" s="612"/>
      <c r="H31205" s="612"/>
    </row>
    <row r="31206">
      <c r="B31206" s="612"/>
      <c r="H31206" s="612"/>
    </row>
    <row r="31207">
      <c r="B31207" s="612"/>
      <c r="H31207" s="612"/>
    </row>
    <row r="31208">
      <c r="B31208" s="612"/>
      <c r="H31208" s="612"/>
    </row>
    <row r="31209">
      <c r="B31209" s="612"/>
      <c r="H31209" s="612"/>
    </row>
    <row r="31210">
      <c r="B31210" s="612"/>
      <c r="H31210" s="612"/>
    </row>
    <row r="31211">
      <c r="B31211" s="612"/>
      <c r="H31211" s="612"/>
    </row>
    <row r="31212">
      <c r="B31212" s="612"/>
      <c r="H31212" s="612"/>
    </row>
    <row r="31213">
      <c r="B31213" s="612"/>
      <c r="H31213" s="612"/>
    </row>
    <row r="31214">
      <c r="B31214" s="612"/>
      <c r="H31214" s="612"/>
    </row>
    <row r="31215">
      <c r="B31215" s="612"/>
      <c r="H31215" s="612"/>
    </row>
    <row r="31216">
      <c r="B31216" s="612"/>
      <c r="H31216" s="612"/>
    </row>
    <row r="31217">
      <c r="B31217" s="612"/>
      <c r="H31217" s="612"/>
    </row>
    <row r="31218">
      <c r="B31218" s="612"/>
      <c r="H31218" s="612"/>
    </row>
    <row r="31219">
      <c r="B31219" s="612"/>
      <c r="H31219" s="612"/>
    </row>
    <row r="31220">
      <c r="B31220" s="612"/>
      <c r="H31220" s="612"/>
    </row>
    <row r="31221">
      <c r="B31221" s="612"/>
      <c r="H31221" s="612"/>
    </row>
    <row r="31222">
      <c r="B31222" s="612"/>
      <c r="H31222" s="612"/>
    </row>
    <row r="31223">
      <c r="B31223" s="612"/>
      <c r="H31223" s="612"/>
    </row>
    <row r="31224">
      <c r="B31224" s="612"/>
      <c r="H31224" s="612"/>
    </row>
    <row r="31225">
      <c r="B31225" s="612"/>
      <c r="H31225" s="612"/>
    </row>
    <row r="31226">
      <c r="B31226" s="612"/>
      <c r="H31226" s="612"/>
    </row>
    <row r="31227">
      <c r="B31227" s="612"/>
      <c r="H31227" s="612"/>
    </row>
    <row r="31228">
      <c r="B31228" s="612"/>
      <c r="H31228" s="612"/>
    </row>
    <row r="31229">
      <c r="B31229" s="612"/>
      <c r="H31229" s="612"/>
    </row>
    <row r="31230">
      <c r="B31230" s="612"/>
      <c r="H31230" s="612"/>
    </row>
    <row r="31231">
      <c r="B31231" s="612"/>
      <c r="H31231" s="612"/>
    </row>
    <row r="31232">
      <c r="B31232" s="612"/>
      <c r="H31232" s="612"/>
    </row>
    <row r="31233">
      <c r="B31233" s="612"/>
      <c r="H31233" s="612"/>
    </row>
    <row r="31234">
      <c r="B31234" s="612"/>
      <c r="H31234" s="612"/>
    </row>
    <row r="31235">
      <c r="B31235" s="612"/>
      <c r="H31235" s="612"/>
    </row>
    <row r="31236">
      <c r="B31236" s="612"/>
      <c r="H31236" s="612"/>
    </row>
    <row r="31237">
      <c r="B31237" s="612"/>
      <c r="H31237" s="612"/>
    </row>
    <row r="31238">
      <c r="B31238" s="612"/>
      <c r="H31238" s="612"/>
    </row>
    <row r="31239">
      <c r="B31239" s="612"/>
      <c r="H31239" s="612"/>
    </row>
    <row r="31240">
      <c r="B31240" s="612"/>
      <c r="H31240" s="612"/>
    </row>
    <row r="31241">
      <c r="B31241" s="612"/>
      <c r="H31241" s="612"/>
    </row>
    <row r="31242">
      <c r="B31242" s="612"/>
      <c r="H31242" s="612"/>
    </row>
    <row r="31243">
      <c r="B31243" s="612"/>
      <c r="H31243" s="612"/>
    </row>
    <row r="31244">
      <c r="B31244" s="612"/>
      <c r="H31244" s="612"/>
    </row>
    <row r="31245">
      <c r="B31245" s="612"/>
      <c r="H31245" s="612"/>
    </row>
    <row r="31246">
      <c r="B31246" s="612"/>
      <c r="H31246" s="612"/>
    </row>
    <row r="31247">
      <c r="B31247" s="612"/>
      <c r="H31247" s="612"/>
    </row>
    <row r="31248">
      <c r="B31248" s="612"/>
      <c r="H31248" s="612"/>
    </row>
    <row r="31249">
      <c r="B31249" s="612"/>
      <c r="H31249" s="612"/>
    </row>
    <row r="31250">
      <c r="B31250" s="612"/>
      <c r="H31250" s="612"/>
    </row>
    <row r="31251">
      <c r="B31251" s="612"/>
      <c r="H31251" s="612"/>
    </row>
    <row r="31252">
      <c r="B31252" s="612"/>
      <c r="H31252" s="612"/>
    </row>
    <row r="31253">
      <c r="B31253" s="612"/>
      <c r="H31253" s="612"/>
    </row>
    <row r="31254">
      <c r="B31254" s="612"/>
      <c r="H31254" s="612"/>
    </row>
    <row r="31255">
      <c r="B31255" s="612"/>
      <c r="H31255" s="612"/>
    </row>
    <row r="31256">
      <c r="B31256" s="612"/>
      <c r="H31256" s="612"/>
    </row>
    <row r="31257">
      <c r="B31257" s="612"/>
      <c r="H31257" s="612"/>
    </row>
    <row r="31258">
      <c r="B31258" s="612"/>
      <c r="H31258" s="612"/>
    </row>
    <row r="31259">
      <c r="B31259" s="612"/>
      <c r="H31259" s="612"/>
    </row>
    <row r="31260">
      <c r="B31260" s="612"/>
      <c r="H31260" s="612"/>
    </row>
    <row r="31261">
      <c r="B31261" s="612"/>
      <c r="H31261" s="612"/>
    </row>
    <row r="31262">
      <c r="B31262" s="612"/>
      <c r="H31262" s="612"/>
    </row>
    <row r="31263">
      <c r="B31263" s="612"/>
      <c r="H31263" s="612"/>
    </row>
    <row r="31264">
      <c r="B31264" s="612"/>
      <c r="H31264" s="612"/>
    </row>
    <row r="31265">
      <c r="B31265" s="612"/>
      <c r="H31265" s="612"/>
    </row>
    <row r="31266">
      <c r="B31266" s="612"/>
      <c r="H31266" s="612"/>
    </row>
    <row r="31267">
      <c r="B31267" s="612"/>
      <c r="H31267" s="612"/>
    </row>
    <row r="31268">
      <c r="B31268" s="612"/>
      <c r="H31268" s="612"/>
    </row>
    <row r="31269">
      <c r="B31269" s="612"/>
      <c r="H31269" s="612"/>
    </row>
    <row r="31270">
      <c r="B31270" s="612"/>
      <c r="H31270" s="612"/>
    </row>
    <row r="31271">
      <c r="B31271" s="612"/>
      <c r="H31271" s="612"/>
    </row>
    <row r="31272">
      <c r="B31272" s="612"/>
      <c r="H31272" s="612"/>
    </row>
    <row r="31273">
      <c r="B31273" s="612"/>
      <c r="H31273" s="612"/>
    </row>
    <row r="31274">
      <c r="B31274" s="612"/>
      <c r="H31274" s="612"/>
    </row>
    <row r="31275">
      <c r="B31275" s="612"/>
      <c r="H31275" s="612"/>
    </row>
    <row r="31276">
      <c r="B31276" s="612"/>
      <c r="H31276" s="612"/>
    </row>
    <row r="31277">
      <c r="B31277" s="612"/>
      <c r="H31277" s="612"/>
    </row>
    <row r="31278">
      <c r="B31278" s="612"/>
      <c r="H31278" s="612"/>
    </row>
    <row r="31279">
      <c r="B31279" s="612"/>
      <c r="H31279" s="612"/>
    </row>
    <row r="31280">
      <c r="B31280" s="612"/>
      <c r="H31280" s="612"/>
    </row>
    <row r="31281">
      <c r="B31281" s="612"/>
      <c r="H31281" s="612"/>
    </row>
    <row r="31282">
      <c r="B31282" s="612"/>
      <c r="H31282" s="612"/>
    </row>
    <row r="31283">
      <c r="B31283" s="612"/>
      <c r="H31283" s="612"/>
    </row>
    <row r="31284">
      <c r="B31284" s="612"/>
      <c r="H31284" s="612"/>
    </row>
    <row r="31285">
      <c r="B31285" s="612"/>
      <c r="H31285" s="612"/>
    </row>
    <row r="31286">
      <c r="B31286" s="612"/>
      <c r="H31286" s="612"/>
    </row>
    <row r="31287">
      <c r="B31287" s="612"/>
      <c r="H31287" s="612"/>
    </row>
    <row r="31288">
      <c r="B31288" s="612"/>
      <c r="H31288" s="612"/>
    </row>
    <row r="31289">
      <c r="B31289" s="612"/>
      <c r="H31289" s="612"/>
    </row>
    <row r="31290">
      <c r="B31290" s="612"/>
      <c r="H31290" s="612"/>
    </row>
    <row r="31291">
      <c r="B31291" s="612"/>
      <c r="H31291" s="612"/>
    </row>
    <row r="31292">
      <c r="B31292" s="612"/>
      <c r="H31292" s="612"/>
    </row>
    <row r="31293">
      <c r="B31293" s="612"/>
      <c r="H31293" s="612"/>
    </row>
    <row r="31294">
      <c r="B31294" s="612"/>
      <c r="H31294" s="612"/>
    </row>
    <row r="31295">
      <c r="B31295" s="612"/>
      <c r="H31295" s="612"/>
    </row>
    <row r="31296">
      <c r="B31296" s="612"/>
      <c r="H31296" s="612"/>
    </row>
    <row r="31297">
      <c r="B31297" s="612"/>
      <c r="H31297" s="612"/>
    </row>
    <row r="31298">
      <c r="B31298" s="612"/>
      <c r="H31298" s="612"/>
    </row>
    <row r="31299">
      <c r="B31299" s="612"/>
      <c r="H31299" s="612"/>
    </row>
    <row r="31300">
      <c r="B31300" s="612"/>
      <c r="H31300" s="612"/>
    </row>
    <row r="31301">
      <c r="B31301" s="612"/>
      <c r="H31301" s="612"/>
    </row>
    <row r="31302">
      <c r="B31302" s="612"/>
      <c r="H31302" s="612"/>
    </row>
    <row r="31303">
      <c r="B31303" s="612"/>
      <c r="H31303" s="612"/>
    </row>
    <row r="31304">
      <c r="B31304" s="612"/>
      <c r="H31304" s="612"/>
    </row>
    <row r="31305">
      <c r="B31305" s="612"/>
      <c r="H31305" s="612"/>
    </row>
    <row r="31306">
      <c r="B31306" s="612"/>
      <c r="H31306" s="612"/>
    </row>
    <row r="31307">
      <c r="B31307" s="612"/>
      <c r="H31307" s="612"/>
    </row>
    <row r="31308">
      <c r="B31308" s="612"/>
      <c r="H31308" s="612"/>
    </row>
    <row r="31309">
      <c r="B31309" s="612"/>
      <c r="H31309" s="612"/>
    </row>
    <row r="31310">
      <c r="B31310" s="612"/>
      <c r="H31310" s="612"/>
    </row>
    <row r="31311">
      <c r="B31311" s="612"/>
      <c r="H31311" s="612"/>
    </row>
    <row r="31312">
      <c r="B31312" s="612"/>
      <c r="H31312" s="612"/>
    </row>
    <row r="31313">
      <c r="B31313" s="612"/>
      <c r="H31313" s="612"/>
    </row>
    <row r="31314">
      <c r="B31314" s="612"/>
      <c r="H31314" s="612"/>
    </row>
    <row r="31315">
      <c r="B31315" s="612"/>
      <c r="H31315" s="612"/>
    </row>
    <row r="31316">
      <c r="B31316" s="612"/>
      <c r="H31316" s="612"/>
    </row>
    <row r="31317">
      <c r="B31317" s="612"/>
      <c r="H31317" s="612"/>
    </row>
    <row r="31318">
      <c r="B31318" s="612"/>
      <c r="H31318" s="612"/>
    </row>
    <row r="31319">
      <c r="B31319" s="612"/>
      <c r="H31319" s="612"/>
    </row>
    <row r="31320">
      <c r="B31320" s="612"/>
      <c r="H31320" s="612"/>
    </row>
    <row r="31321">
      <c r="B31321" s="612"/>
      <c r="H31321" s="612"/>
    </row>
    <row r="31322">
      <c r="B31322" s="612"/>
      <c r="H31322" s="612"/>
    </row>
    <row r="31323">
      <c r="B31323" s="612"/>
      <c r="H31323" s="612"/>
    </row>
    <row r="31324">
      <c r="B31324" s="612"/>
      <c r="H31324" s="612"/>
    </row>
    <row r="31325">
      <c r="B31325" s="612"/>
      <c r="H31325" s="612"/>
    </row>
    <row r="31326">
      <c r="B31326" s="612"/>
      <c r="H31326" s="612"/>
    </row>
    <row r="31327">
      <c r="B31327" s="612"/>
      <c r="H31327" s="612"/>
    </row>
    <row r="31328">
      <c r="B31328" s="612"/>
      <c r="H31328" s="612"/>
    </row>
    <row r="31329">
      <c r="B31329" s="612"/>
      <c r="H31329" s="612"/>
    </row>
    <row r="31330">
      <c r="B31330" s="612"/>
      <c r="H31330" s="612"/>
    </row>
    <row r="31331">
      <c r="B31331" s="612"/>
      <c r="H31331" s="612"/>
    </row>
    <row r="31332">
      <c r="B31332" s="612"/>
      <c r="H31332" s="612"/>
    </row>
    <row r="31333">
      <c r="B31333" s="612"/>
      <c r="H31333" s="612"/>
    </row>
    <row r="31334">
      <c r="B31334" s="612"/>
      <c r="H31334" s="612"/>
    </row>
    <row r="31335">
      <c r="B31335" s="612"/>
      <c r="H31335" s="612"/>
    </row>
    <row r="31336">
      <c r="B31336" s="612"/>
      <c r="H31336" s="612"/>
    </row>
    <row r="31337">
      <c r="B31337" s="612"/>
      <c r="H31337" s="612"/>
    </row>
    <row r="31338">
      <c r="B31338" s="612"/>
      <c r="H31338" s="612"/>
    </row>
    <row r="31339">
      <c r="B31339" s="612"/>
      <c r="H31339" s="612"/>
    </row>
    <row r="31340">
      <c r="B31340" s="612"/>
      <c r="H31340" s="612"/>
    </row>
    <row r="31341">
      <c r="B31341" s="612"/>
      <c r="H31341" s="612"/>
    </row>
    <row r="31342">
      <c r="B31342" s="612"/>
      <c r="H31342" s="612"/>
    </row>
    <row r="31343">
      <c r="B31343" s="612"/>
      <c r="H31343" s="612"/>
    </row>
    <row r="31344">
      <c r="B31344" s="612"/>
      <c r="H31344" s="612"/>
    </row>
    <row r="31345">
      <c r="B31345" s="612"/>
      <c r="H31345" s="612"/>
    </row>
    <row r="31346">
      <c r="B31346" s="612"/>
      <c r="H31346" s="612"/>
    </row>
    <row r="31347">
      <c r="B31347" s="612"/>
      <c r="H31347" s="612"/>
    </row>
    <row r="31348">
      <c r="B31348" s="612"/>
      <c r="H31348" s="612"/>
    </row>
    <row r="31349">
      <c r="B31349" s="612"/>
      <c r="H31349" s="612"/>
    </row>
    <row r="31350">
      <c r="B31350" s="612"/>
      <c r="H31350" s="612"/>
    </row>
    <row r="31351">
      <c r="B31351" s="612"/>
      <c r="H31351" s="612"/>
    </row>
    <row r="31352">
      <c r="B31352" s="612"/>
      <c r="H31352" s="612"/>
    </row>
    <row r="31353">
      <c r="B31353" s="612"/>
      <c r="H31353" s="612"/>
    </row>
    <row r="31354">
      <c r="B31354" s="612"/>
      <c r="H31354" s="612"/>
    </row>
    <row r="31355">
      <c r="B31355" s="612"/>
      <c r="H31355" s="612"/>
    </row>
    <row r="31356">
      <c r="B31356" s="612"/>
      <c r="H31356" s="612"/>
    </row>
    <row r="31357">
      <c r="B31357" s="612"/>
      <c r="H31357" s="612"/>
    </row>
    <row r="31358">
      <c r="B31358" s="612"/>
      <c r="H31358" s="612"/>
    </row>
    <row r="31359">
      <c r="B31359" s="612"/>
      <c r="H31359" s="612"/>
    </row>
    <row r="31360">
      <c r="B31360" s="612"/>
      <c r="H31360" s="612"/>
    </row>
    <row r="31361">
      <c r="B31361" s="612"/>
      <c r="H31361" s="612"/>
    </row>
    <row r="31362">
      <c r="B31362" s="612"/>
      <c r="H31362" s="612"/>
    </row>
    <row r="31363">
      <c r="B31363" s="612"/>
      <c r="H31363" s="612"/>
    </row>
    <row r="31364">
      <c r="B31364" s="612"/>
      <c r="H31364" s="612"/>
    </row>
    <row r="31365">
      <c r="B31365" s="612"/>
      <c r="H31365" s="612"/>
    </row>
    <row r="31366">
      <c r="B31366" s="612"/>
      <c r="H31366" s="612"/>
    </row>
    <row r="31367">
      <c r="B31367" s="612"/>
      <c r="H31367" s="612"/>
    </row>
    <row r="31368">
      <c r="B31368" s="612"/>
      <c r="H31368" s="612"/>
    </row>
    <row r="31369">
      <c r="B31369" s="612"/>
      <c r="H31369" s="612"/>
    </row>
    <row r="31370">
      <c r="B31370" s="612"/>
      <c r="H31370" s="612"/>
    </row>
    <row r="31371">
      <c r="B31371" s="612"/>
      <c r="H31371" s="612"/>
    </row>
    <row r="31372">
      <c r="B31372" s="612"/>
      <c r="H31372" s="612"/>
    </row>
    <row r="31373">
      <c r="B31373" s="612"/>
      <c r="H31373" s="612"/>
    </row>
    <row r="31374">
      <c r="B31374" s="612"/>
      <c r="H31374" s="612"/>
    </row>
    <row r="31375">
      <c r="B31375" s="612"/>
      <c r="H31375" s="612"/>
    </row>
    <row r="31376">
      <c r="B31376" s="612"/>
      <c r="H31376" s="612"/>
    </row>
    <row r="31377">
      <c r="B31377" s="612"/>
      <c r="H31377" s="612"/>
    </row>
    <row r="31378">
      <c r="B31378" s="612"/>
      <c r="H31378" s="612"/>
    </row>
    <row r="31379">
      <c r="B31379" s="612"/>
      <c r="H31379" s="612"/>
    </row>
    <row r="31380">
      <c r="B31380" s="612"/>
      <c r="H31380" s="612"/>
    </row>
    <row r="31381">
      <c r="B31381" s="612"/>
      <c r="H31381" s="612"/>
    </row>
    <row r="31382">
      <c r="B31382" s="612"/>
      <c r="H31382" s="612"/>
    </row>
    <row r="31383">
      <c r="B31383" s="612"/>
      <c r="H31383" s="612"/>
    </row>
    <row r="31384">
      <c r="B31384" s="612"/>
      <c r="H31384" s="612"/>
    </row>
    <row r="31385">
      <c r="B31385" s="612"/>
      <c r="H31385" s="612"/>
    </row>
    <row r="31386">
      <c r="B31386" s="612"/>
      <c r="H31386" s="612"/>
    </row>
    <row r="31387">
      <c r="B31387" s="612"/>
      <c r="H31387" s="612"/>
    </row>
    <row r="31388">
      <c r="B31388" s="612"/>
      <c r="H31388" s="612"/>
    </row>
    <row r="31389">
      <c r="B31389" s="612"/>
      <c r="H31389" s="612"/>
    </row>
    <row r="31390">
      <c r="B31390" s="612"/>
      <c r="H31390" s="612"/>
    </row>
    <row r="31391">
      <c r="B31391" s="612"/>
      <c r="H31391" s="612"/>
    </row>
    <row r="31392">
      <c r="B31392" s="612"/>
      <c r="H31392" s="612"/>
    </row>
    <row r="31393">
      <c r="B31393" s="612"/>
      <c r="H31393" s="612"/>
    </row>
    <row r="31394">
      <c r="B31394" s="612"/>
      <c r="H31394" s="612"/>
    </row>
    <row r="31395">
      <c r="B31395" s="612"/>
      <c r="H31395" s="612"/>
    </row>
    <row r="31396">
      <c r="B31396" s="612"/>
      <c r="H31396" s="612"/>
    </row>
    <row r="31397">
      <c r="B31397" s="612"/>
      <c r="H31397" s="612"/>
    </row>
    <row r="31398">
      <c r="B31398" s="612"/>
      <c r="H31398" s="612"/>
    </row>
    <row r="31399">
      <c r="B31399" s="612"/>
      <c r="H31399" s="612"/>
    </row>
    <row r="31400">
      <c r="B31400" s="612"/>
      <c r="H31400" s="612"/>
    </row>
    <row r="31401">
      <c r="B31401" s="612"/>
      <c r="H31401" s="612"/>
    </row>
    <row r="31402">
      <c r="B31402" s="612"/>
      <c r="H31402" s="612"/>
    </row>
    <row r="31403">
      <c r="B31403" s="612"/>
      <c r="H31403" s="612"/>
    </row>
    <row r="31404">
      <c r="B31404" s="612"/>
      <c r="H31404" s="612"/>
    </row>
    <row r="31405">
      <c r="B31405" s="612"/>
      <c r="H31405" s="612"/>
    </row>
    <row r="31406">
      <c r="B31406" s="612"/>
      <c r="H31406" s="612"/>
    </row>
    <row r="31407">
      <c r="B31407" s="612"/>
      <c r="H31407" s="612"/>
    </row>
    <row r="31408">
      <c r="B31408" s="612"/>
      <c r="H31408" s="612"/>
    </row>
    <row r="31409">
      <c r="B31409" s="612"/>
      <c r="H31409" s="612"/>
    </row>
    <row r="31410">
      <c r="B31410" s="612"/>
      <c r="H31410" s="612"/>
    </row>
    <row r="31411">
      <c r="B31411" s="612"/>
      <c r="H31411" s="612"/>
    </row>
    <row r="31412">
      <c r="B31412" s="612"/>
      <c r="H31412" s="612"/>
    </row>
    <row r="31413">
      <c r="B31413" s="612"/>
      <c r="H31413" s="612"/>
    </row>
    <row r="31414">
      <c r="B31414" s="612"/>
      <c r="H31414" s="612"/>
    </row>
    <row r="31415">
      <c r="B31415" s="612"/>
      <c r="H31415" s="612"/>
    </row>
    <row r="31416">
      <c r="B31416" s="612"/>
      <c r="H31416" s="612"/>
    </row>
    <row r="31417">
      <c r="B31417" s="612"/>
      <c r="H31417" s="612"/>
    </row>
    <row r="31418">
      <c r="B31418" s="612"/>
      <c r="H31418" s="612"/>
    </row>
    <row r="31419">
      <c r="B31419" s="612"/>
      <c r="H31419" s="612"/>
    </row>
    <row r="31420">
      <c r="B31420" s="612"/>
      <c r="H31420" s="612"/>
    </row>
    <row r="31421">
      <c r="B31421" s="612"/>
      <c r="H31421" s="612"/>
    </row>
    <row r="31422">
      <c r="B31422" s="612"/>
      <c r="H31422" s="612"/>
    </row>
    <row r="31423">
      <c r="B31423" s="612"/>
      <c r="H31423" s="612"/>
    </row>
    <row r="31424">
      <c r="B31424" s="612"/>
      <c r="H31424" s="612"/>
    </row>
    <row r="31425">
      <c r="B31425" s="612"/>
      <c r="H31425" s="612"/>
    </row>
    <row r="31426">
      <c r="B31426" s="612"/>
      <c r="H31426" s="612"/>
    </row>
    <row r="31427">
      <c r="B31427" s="612"/>
      <c r="H31427" s="612"/>
    </row>
    <row r="31428">
      <c r="B31428" s="612"/>
      <c r="H31428" s="612"/>
    </row>
    <row r="31429">
      <c r="B31429" s="612"/>
      <c r="H31429" s="612"/>
    </row>
    <row r="31430">
      <c r="B31430" s="612"/>
      <c r="H31430" s="612"/>
    </row>
    <row r="31431">
      <c r="B31431" s="612"/>
      <c r="H31431" s="612"/>
    </row>
    <row r="31432">
      <c r="B31432" s="612"/>
      <c r="H31432" s="612"/>
    </row>
    <row r="31433">
      <c r="B31433" s="612"/>
      <c r="H31433" s="612"/>
    </row>
    <row r="31434">
      <c r="B31434" s="612"/>
      <c r="H31434" s="612"/>
    </row>
    <row r="31435">
      <c r="B31435" s="612"/>
      <c r="H31435" s="612"/>
    </row>
    <row r="31436">
      <c r="B31436" s="612"/>
      <c r="H31436" s="612"/>
    </row>
    <row r="31437">
      <c r="B31437" s="612"/>
      <c r="H31437" s="612"/>
    </row>
    <row r="31438">
      <c r="B31438" s="612"/>
      <c r="H31438" s="612"/>
    </row>
    <row r="31439">
      <c r="B31439" s="612"/>
      <c r="H31439" s="612"/>
    </row>
    <row r="31440">
      <c r="B31440" s="612"/>
      <c r="H31440" s="612"/>
    </row>
    <row r="31441">
      <c r="B31441" s="612"/>
      <c r="H31441" s="612"/>
    </row>
    <row r="31442">
      <c r="B31442" s="612"/>
      <c r="H31442" s="612"/>
    </row>
    <row r="31443">
      <c r="B31443" s="612"/>
      <c r="H31443" s="612"/>
    </row>
    <row r="31444">
      <c r="B31444" s="612"/>
      <c r="H31444" s="612"/>
    </row>
    <row r="31445">
      <c r="B31445" s="612"/>
      <c r="H31445" s="612"/>
    </row>
    <row r="31446">
      <c r="B31446" s="612"/>
      <c r="H31446" s="612"/>
    </row>
    <row r="31447">
      <c r="B31447" s="612"/>
      <c r="H31447" s="612"/>
    </row>
    <row r="31448">
      <c r="B31448" s="612"/>
      <c r="H31448" s="612"/>
    </row>
    <row r="31449">
      <c r="B31449" s="612"/>
      <c r="H31449" s="612"/>
    </row>
    <row r="31450">
      <c r="B31450" s="612"/>
      <c r="H31450" s="612"/>
    </row>
    <row r="31451">
      <c r="B31451" s="612"/>
      <c r="H31451" s="612"/>
    </row>
    <row r="31452">
      <c r="B31452" s="612"/>
      <c r="H31452" s="612"/>
    </row>
    <row r="31453">
      <c r="B31453" s="612"/>
      <c r="H31453" s="612"/>
    </row>
    <row r="31454">
      <c r="B31454" s="612"/>
      <c r="H31454" s="612"/>
    </row>
    <row r="31455">
      <c r="B31455" s="612"/>
      <c r="H31455" s="612"/>
    </row>
    <row r="31456">
      <c r="B31456" s="612"/>
      <c r="H31456" s="612"/>
    </row>
    <row r="31457">
      <c r="B31457" s="612"/>
      <c r="H31457" s="612"/>
    </row>
    <row r="31458">
      <c r="B31458" s="612"/>
      <c r="H31458" s="612"/>
    </row>
    <row r="31459">
      <c r="B31459" s="612"/>
      <c r="H31459" s="612"/>
    </row>
    <row r="31460">
      <c r="B31460" s="612"/>
      <c r="H31460" s="612"/>
    </row>
    <row r="31461">
      <c r="B31461" s="612"/>
      <c r="H31461" s="612"/>
    </row>
    <row r="31462">
      <c r="B31462" s="612"/>
      <c r="H31462" s="612"/>
    </row>
    <row r="31463">
      <c r="B31463" s="612"/>
      <c r="H31463" s="612"/>
    </row>
    <row r="31464">
      <c r="B31464" s="612"/>
      <c r="H31464" s="612"/>
    </row>
    <row r="31465">
      <c r="B31465" s="612"/>
      <c r="H31465" s="612"/>
    </row>
    <row r="31466">
      <c r="B31466" s="612"/>
      <c r="H31466" s="612"/>
    </row>
    <row r="31467">
      <c r="B31467" s="612"/>
      <c r="H31467" s="612"/>
    </row>
    <row r="31468">
      <c r="B31468" s="612"/>
      <c r="H31468" s="612"/>
    </row>
    <row r="31469">
      <c r="B31469" s="612"/>
      <c r="H31469" s="612"/>
    </row>
    <row r="31470">
      <c r="B31470" s="612"/>
      <c r="H31470" s="612"/>
    </row>
    <row r="31471">
      <c r="B31471" s="612"/>
      <c r="H31471" s="612"/>
    </row>
    <row r="31472">
      <c r="B31472" s="612"/>
      <c r="H31472" s="612"/>
    </row>
    <row r="31473">
      <c r="B31473" s="612"/>
      <c r="H31473" s="612"/>
    </row>
    <row r="31474">
      <c r="B31474" s="612"/>
      <c r="H31474" s="612"/>
    </row>
    <row r="31475">
      <c r="B31475" s="612"/>
      <c r="H31475" s="612"/>
    </row>
    <row r="31476">
      <c r="B31476" s="612"/>
      <c r="H31476" s="612"/>
    </row>
    <row r="31477">
      <c r="B31477" s="612"/>
      <c r="H31477" s="612"/>
    </row>
    <row r="31478">
      <c r="B31478" s="612"/>
      <c r="H31478" s="612"/>
    </row>
    <row r="31479">
      <c r="B31479" s="612"/>
      <c r="H31479" s="612"/>
    </row>
    <row r="31480">
      <c r="B31480" s="612"/>
      <c r="H31480" s="612"/>
    </row>
    <row r="31481">
      <c r="B31481" s="612"/>
      <c r="H31481" s="612"/>
    </row>
    <row r="31482">
      <c r="B31482" s="612"/>
      <c r="H31482" s="612"/>
    </row>
    <row r="31483">
      <c r="B31483" s="612"/>
      <c r="H31483" s="612"/>
    </row>
    <row r="31484">
      <c r="B31484" s="612"/>
      <c r="H31484" s="612"/>
    </row>
    <row r="31485">
      <c r="B31485" s="612"/>
      <c r="H31485" s="612"/>
    </row>
    <row r="31486">
      <c r="B31486" s="612"/>
      <c r="H31486" s="612"/>
    </row>
    <row r="31487">
      <c r="B31487" s="612"/>
      <c r="H31487" s="612"/>
    </row>
    <row r="31488">
      <c r="B31488" s="612"/>
      <c r="H31488" s="612"/>
    </row>
    <row r="31489">
      <c r="B31489" s="612"/>
      <c r="H31489" s="612"/>
    </row>
    <row r="31490">
      <c r="B31490" s="612"/>
      <c r="H31490" s="612"/>
    </row>
    <row r="31491">
      <c r="B31491" s="612"/>
      <c r="H31491" s="612"/>
    </row>
    <row r="31492">
      <c r="B31492" s="612"/>
      <c r="H31492" s="612"/>
    </row>
    <row r="31493">
      <c r="B31493" s="612"/>
      <c r="H31493" s="612"/>
    </row>
    <row r="31494">
      <c r="B31494" s="612"/>
      <c r="H31494" s="612"/>
    </row>
    <row r="31495">
      <c r="B31495" s="612"/>
      <c r="H31495" s="612"/>
    </row>
    <row r="31496">
      <c r="B31496" s="612"/>
      <c r="H31496" s="612"/>
    </row>
    <row r="31497">
      <c r="B31497" s="612"/>
      <c r="H31497" s="612"/>
    </row>
    <row r="31498">
      <c r="B31498" s="612"/>
      <c r="H31498" s="612"/>
    </row>
    <row r="31499">
      <c r="B31499" s="612"/>
      <c r="H31499" s="612"/>
    </row>
    <row r="31500">
      <c r="B31500" s="612"/>
      <c r="H31500" s="612"/>
    </row>
    <row r="31501">
      <c r="B31501" s="612"/>
      <c r="H31501" s="612"/>
    </row>
    <row r="31502">
      <c r="B31502" s="612"/>
      <c r="H31502" s="612"/>
    </row>
    <row r="31503">
      <c r="B31503" s="612"/>
      <c r="H31503" s="612"/>
    </row>
    <row r="31504">
      <c r="B31504" s="612"/>
      <c r="H31504" s="612"/>
    </row>
    <row r="31505">
      <c r="B31505" s="612"/>
      <c r="H31505" s="612"/>
    </row>
    <row r="31506">
      <c r="B31506" s="612"/>
      <c r="H31506" s="612"/>
    </row>
    <row r="31507">
      <c r="B31507" s="612"/>
      <c r="H31507" s="612"/>
    </row>
    <row r="31508">
      <c r="B31508" s="612"/>
      <c r="H31508" s="612"/>
    </row>
    <row r="31509">
      <c r="B31509" s="612"/>
      <c r="H31509" s="612"/>
    </row>
    <row r="31510">
      <c r="B31510" s="612"/>
      <c r="H31510" s="612"/>
    </row>
    <row r="31511">
      <c r="B31511" s="612"/>
      <c r="H31511" s="612"/>
    </row>
    <row r="31512">
      <c r="B31512" s="612"/>
      <c r="H31512" s="612"/>
    </row>
    <row r="31513">
      <c r="B31513" s="612"/>
      <c r="H31513" s="612"/>
    </row>
    <row r="31514">
      <c r="B31514" s="612"/>
      <c r="H31514" s="612"/>
    </row>
    <row r="31515">
      <c r="B31515" s="612"/>
      <c r="H31515" s="612"/>
    </row>
    <row r="31516">
      <c r="B31516" s="612"/>
      <c r="H31516" s="612"/>
    </row>
    <row r="31517">
      <c r="B31517" s="612"/>
      <c r="H31517" s="612"/>
    </row>
    <row r="31518">
      <c r="B31518" s="612"/>
      <c r="H31518" s="612"/>
    </row>
    <row r="31519">
      <c r="B31519" s="612"/>
      <c r="H31519" s="612"/>
    </row>
    <row r="31520">
      <c r="B31520" s="612"/>
      <c r="H31520" s="612"/>
    </row>
    <row r="31521">
      <c r="B31521" s="612"/>
      <c r="H31521" s="612"/>
    </row>
    <row r="31522">
      <c r="B31522" s="612"/>
      <c r="H31522" s="612"/>
    </row>
    <row r="31523">
      <c r="B31523" s="612"/>
      <c r="H31523" s="612"/>
    </row>
    <row r="31524">
      <c r="B31524" s="612"/>
      <c r="H31524" s="612"/>
    </row>
    <row r="31525">
      <c r="B31525" s="612"/>
      <c r="H31525" s="612"/>
    </row>
    <row r="31526">
      <c r="B31526" s="612"/>
      <c r="H31526" s="612"/>
    </row>
    <row r="31527">
      <c r="B31527" s="612"/>
      <c r="H31527" s="612"/>
    </row>
    <row r="31528">
      <c r="B31528" s="612"/>
      <c r="H31528" s="612"/>
    </row>
    <row r="31529">
      <c r="B31529" s="612"/>
      <c r="H31529" s="612"/>
    </row>
    <row r="31530">
      <c r="B31530" s="612"/>
      <c r="H31530" s="612"/>
    </row>
    <row r="31531">
      <c r="B31531" s="612"/>
      <c r="H31531" s="612"/>
    </row>
    <row r="31532">
      <c r="B31532" s="612"/>
      <c r="H31532" s="612"/>
    </row>
    <row r="31533">
      <c r="B31533" s="612"/>
      <c r="H31533" s="612"/>
    </row>
    <row r="31534">
      <c r="B31534" s="612"/>
      <c r="H31534" s="612"/>
    </row>
    <row r="31535">
      <c r="B31535" s="612"/>
      <c r="H31535" s="612"/>
    </row>
    <row r="31536">
      <c r="B31536" s="612"/>
      <c r="H31536" s="612"/>
    </row>
    <row r="31537">
      <c r="B31537" s="612"/>
      <c r="H31537" s="612"/>
    </row>
    <row r="31538">
      <c r="B31538" s="612"/>
      <c r="H31538" s="612"/>
    </row>
    <row r="31539">
      <c r="B31539" s="612"/>
      <c r="H31539" s="612"/>
    </row>
    <row r="31540">
      <c r="B31540" s="612"/>
      <c r="H31540" s="612"/>
    </row>
    <row r="31541">
      <c r="B31541" s="612"/>
      <c r="H31541" s="612"/>
    </row>
    <row r="31542">
      <c r="B31542" s="612"/>
      <c r="H31542" s="612"/>
    </row>
    <row r="31543">
      <c r="B31543" s="612"/>
      <c r="H31543" s="612"/>
    </row>
    <row r="31544">
      <c r="B31544" s="612"/>
      <c r="H31544" s="612"/>
    </row>
    <row r="31545">
      <c r="B31545" s="612"/>
      <c r="H31545" s="612"/>
    </row>
    <row r="31546">
      <c r="B31546" s="612"/>
      <c r="H31546" s="612"/>
    </row>
    <row r="31547">
      <c r="B31547" s="612"/>
      <c r="H31547" s="612"/>
    </row>
    <row r="31548">
      <c r="B31548" s="612"/>
      <c r="H31548" s="612"/>
    </row>
    <row r="31549">
      <c r="B31549" s="612"/>
      <c r="H31549" s="612"/>
    </row>
    <row r="31550">
      <c r="B31550" s="612"/>
      <c r="H31550" s="612"/>
    </row>
    <row r="31551">
      <c r="B31551" s="612"/>
      <c r="H31551" s="612"/>
    </row>
    <row r="31552">
      <c r="B31552" s="612"/>
      <c r="H31552" s="612"/>
    </row>
    <row r="31553">
      <c r="B31553" s="612"/>
      <c r="H31553" s="612"/>
    </row>
    <row r="31554">
      <c r="B31554" s="612"/>
      <c r="H31554" s="612"/>
    </row>
    <row r="31555">
      <c r="B31555" s="612"/>
      <c r="H31555" s="612"/>
    </row>
    <row r="31556">
      <c r="B31556" s="612"/>
      <c r="H31556" s="612"/>
    </row>
    <row r="31557">
      <c r="B31557" s="612"/>
      <c r="H31557" s="612"/>
    </row>
    <row r="31558">
      <c r="B31558" s="612"/>
      <c r="H31558" s="612"/>
    </row>
    <row r="31559">
      <c r="B31559" s="612"/>
      <c r="H31559" s="612"/>
    </row>
    <row r="31560">
      <c r="B31560" s="612"/>
      <c r="H31560" s="612"/>
    </row>
    <row r="31561">
      <c r="B31561" s="612"/>
      <c r="H31561" s="612"/>
    </row>
    <row r="31562">
      <c r="B31562" s="612"/>
      <c r="H31562" s="612"/>
    </row>
    <row r="31563">
      <c r="B31563" s="612"/>
      <c r="H31563" s="612"/>
    </row>
    <row r="31564">
      <c r="B31564" s="612"/>
      <c r="H31564" s="612"/>
    </row>
    <row r="31565">
      <c r="B31565" s="612"/>
      <c r="H31565" s="612"/>
    </row>
    <row r="31566">
      <c r="B31566" s="612"/>
      <c r="H31566" s="612"/>
    </row>
    <row r="31567">
      <c r="B31567" s="612"/>
      <c r="H31567" s="612"/>
    </row>
    <row r="31568">
      <c r="B31568" s="612"/>
      <c r="H31568" s="612"/>
    </row>
    <row r="31569">
      <c r="B31569" s="612"/>
      <c r="H31569" s="612"/>
    </row>
    <row r="31570">
      <c r="B31570" s="612"/>
      <c r="H31570" s="612"/>
    </row>
    <row r="31571">
      <c r="B31571" s="612"/>
      <c r="H31571" s="612"/>
    </row>
    <row r="31572">
      <c r="B31572" s="612"/>
      <c r="H31572" s="612"/>
    </row>
    <row r="31573">
      <c r="B31573" s="612"/>
      <c r="H31573" s="612"/>
    </row>
    <row r="31574">
      <c r="B31574" s="612"/>
      <c r="H31574" s="612"/>
    </row>
    <row r="31575">
      <c r="B31575" s="612"/>
      <c r="H31575" s="612"/>
    </row>
    <row r="31576">
      <c r="B31576" s="612"/>
      <c r="H31576" s="612"/>
    </row>
    <row r="31577">
      <c r="B31577" s="612"/>
      <c r="H31577" s="612"/>
    </row>
    <row r="31578">
      <c r="B31578" s="612"/>
      <c r="H31578" s="612"/>
    </row>
    <row r="31579">
      <c r="B31579" s="612"/>
      <c r="H31579" s="612"/>
    </row>
    <row r="31580">
      <c r="B31580" s="612"/>
      <c r="H31580" s="612"/>
    </row>
    <row r="31581">
      <c r="B31581" s="612"/>
      <c r="H31581" s="612"/>
    </row>
    <row r="31582">
      <c r="B31582" s="612"/>
      <c r="H31582" s="612"/>
    </row>
    <row r="31583">
      <c r="B31583" s="612"/>
      <c r="H31583" s="612"/>
    </row>
    <row r="31584">
      <c r="B31584" s="612"/>
      <c r="H31584" s="612"/>
    </row>
    <row r="31585">
      <c r="B31585" s="612"/>
      <c r="H31585" s="612"/>
    </row>
    <row r="31586">
      <c r="B31586" s="612"/>
      <c r="H31586" s="612"/>
    </row>
    <row r="31587">
      <c r="B31587" s="612"/>
      <c r="H31587" s="612"/>
    </row>
    <row r="31588">
      <c r="B31588" s="612"/>
      <c r="H31588" s="612"/>
    </row>
    <row r="31589">
      <c r="B31589" s="612"/>
      <c r="H31589" s="612"/>
    </row>
    <row r="31590">
      <c r="B31590" s="612"/>
      <c r="H31590" s="612"/>
    </row>
    <row r="31591">
      <c r="B31591" s="612"/>
      <c r="H31591" s="612"/>
    </row>
    <row r="31592">
      <c r="B31592" s="612"/>
      <c r="H31592" s="612"/>
    </row>
    <row r="31593">
      <c r="B31593" s="612"/>
      <c r="H31593" s="612"/>
    </row>
    <row r="31594">
      <c r="B31594" s="612"/>
      <c r="H31594" s="612"/>
    </row>
    <row r="31595">
      <c r="B31595" s="612"/>
      <c r="H31595" s="612"/>
    </row>
    <row r="31596">
      <c r="B31596" s="612"/>
      <c r="H31596" s="612"/>
    </row>
    <row r="31597">
      <c r="B31597" s="612"/>
      <c r="H31597" s="612"/>
    </row>
    <row r="31598">
      <c r="B31598" s="612"/>
      <c r="H31598" s="612"/>
    </row>
    <row r="31599">
      <c r="B31599" s="612"/>
      <c r="H31599" s="612"/>
    </row>
    <row r="31600">
      <c r="B31600" s="612"/>
      <c r="H31600" s="612"/>
    </row>
    <row r="31601">
      <c r="B31601" s="612"/>
      <c r="H31601" s="612"/>
    </row>
    <row r="31602">
      <c r="B31602" s="612"/>
      <c r="H31602" s="612"/>
    </row>
    <row r="31603">
      <c r="B31603" s="612"/>
      <c r="H31603" s="612"/>
    </row>
    <row r="31604">
      <c r="B31604" s="612"/>
      <c r="H31604" s="612"/>
    </row>
    <row r="31605">
      <c r="B31605" s="612"/>
      <c r="H31605" s="612"/>
    </row>
    <row r="31606">
      <c r="B31606" s="612"/>
      <c r="H31606" s="612"/>
    </row>
    <row r="31607">
      <c r="B31607" s="612"/>
      <c r="H31607" s="612"/>
    </row>
    <row r="31608">
      <c r="B31608" s="612"/>
      <c r="H31608" s="612"/>
    </row>
    <row r="31609">
      <c r="B31609" s="612"/>
      <c r="H31609" s="612"/>
    </row>
    <row r="31610">
      <c r="B31610" s="612"/>
      <c r="H31610" s="612"/>
    </row>
    <row r="31611">
      <c r="B31611" s="612"/>
      <c r="H31611" s="612"/>
    </row>
    <row r="31612">
      <c r="B31612" s="612"/>
      <c r="H31612" s="612"/>
    </row>
    <row r="31613">
      <c r="B31613" s="612"/>
      <c r="H31613" s="612"/>
    </row>
    <row r="31614">
      <c r="B31614" s="612"/>
      <c r="H31614" s="612"/>
    </row>
    <row r="31615">
      <c r="B31615" s="612"/>
      <c r="H31615" s="612"/>
    </row>
    <row r="31616">
      <c r="B31616" s="612"/>
      <c r="H31616" s="612"/>
    </row>
    <row r="31617">
      <c r="B31617" s="612"/>
      <c r="H31617" s="612"/>
    </row>
    <row r="31618">
      <c r="B31618" s="612"/>
      <c r="H31618" s="612"/>
    </row>
    <row r="31619">
      <c r="B31619" s="612"/>
      <c r="H31619" s="612"/>
    </row>
    <row r="31620">
      <c r="B31620" s="612"/>
      <c r="H31620" s="612"/>
    </row>
    <row r="31621">
      <c r="B31621" s="612"/>
      <c r="H31621" s="612"/>
    </row>
    <row r="31622">
      <c r="B31622" s="612"/>
      <c r="H31622" s="612"/>
    </row>
    <row r="31623">
      <c r="B31623" s="612"/>
      <c r="H31623" s="612"/>
    </row>
    <row r="31624">
      <c r="B31624" s="612"/>
      <c r="H31624" s="612"/>
    </row>
    <row r="31625">
      <c r="B31625" s="612"/>
      <c r="H31625" s="612"/>
    </row>
    <row r="31626">
      <c r="B31626" s="612"/>
      <c r="H31626" s="612"/>
    </row>
    <row r="31627">
      <c r="B31627" s="612"/>
      <c r="H31627" s="612"/>
    </row>
    <row r="31628">
      <c r="B31628" s="612"/>
      <c r="H31628" s="612"/>
    </row>
    <row r="31629">
      <c r="B31629" s="612"/>
      <c r="H31629" s="612"/>
    </row>
    <row r="31630">
      <c r="B31630" s="612"/>
      <c r="H31630" s="612"/>
    </row>
    <row r="31631">
      <c r="B31631" s="612"/>
      <c r="H31631" s="612"/>
    </row>
    <row r="31632">
      <c r="B31632" s="612"/>
      <c r="H31632" s="612"/>
    </row>
    <row r="31633">
      <c r="B31633" s="612"/>
      <c r="H31633" s="612"/>
    </row>
    <row r="31634">
      <c r="B31634" s="612"/>
      <c r="H31634" s="612"/>
    </row>
    <row r="31635">
      <c r="B31635" s="612"/>
      <c r="H31635" s="612"/>
    </row>
    <row r="31636">
      <c r="B31636" s="612"/>
      <c r="H31636" s="612"/>
    </row>
    <row r="31637">
      <c r="B31637" s="612"/>
      <c r="H31637" s="612"/>
    </row>
    <row r="31638">
      <c r="B31638" s="612"/>
      <c r="H31638" s="612"/>
    </row>
    <row r="31639">
      <c r="B31639" s="612"/>
      <c r="H31639" s="612"/>
    </row>
    <row r="31640">
      <c r="B31640" s="612"/>
      <c r="H31640" s="612"/>
    </row>
    <row r="31641">
      <c r="B31641" s="612"/>
      <c r="H31641" s="612"/>
    </row>
    <row r="31642">
      <c r="B31642" s="612"/>
      <c r="H31642" s="612"/>
    </row>
    <row r="31643">
      <c r="B31643" s="612"/>
      <c r="H31643" s="612"/>
    </row>
    <row r="31644">
      <c r="B31644" s="612"/>
      <c r="H31644" s="612"/>
    </row>
    <row r="31645">
      <c r="B31645" s="612"/>
      <c r="H31645" s="612"/>
    </row>
    <row r="31646">
      <c r="B31646" s="612"/>
      <c r="H31646" s="612"/>
    </row>
    <row r="31647">
      <c r="B31647" s="612"/>
      <c r="H31647" s="612"/>
    </row>
    <row r="31648">
      <c r="B31648" s="612"/>
      <c r="H31648" s="612"/>
    </row>
    <row r="31649">
      <c r="B31649" s="612"/>
      <c r="H31649" s="612"/>
    </row>
    <row r="31650">
      <c r="B31650" s="612"/>
      <c r="H31650" s="612"/>
    </row>
    <row r="31651">
      <c r="B31651" s="612"/>
      <c r="H31651" s="612"/>
    </row>
    <row r="31652">
      <c r="B31652" s="612"/>
      <c r="H31652" s="612"/>
    </row>
    <row r="31653">
      <c r="B31653" s="612"/>
      <c r="H31653" s="612"/>
    </row>
    <row r="31654">
      <c r="B31654" s="612"/>
      <c r="H31654" s="612"/>
    </row>
    <row r="31655">
      <c r="B31655" s="612"/>
      <c r="H31655" s="612"/>
    </row>
    <row r="31656">
      <c r="B31656" s="612"/>
      <c r="H31656" s="612"/>
    </row>
    <row r="31657">
      <c r="B31657" s="612"/>
      <c r="H31657" s="612"/>
    </row>
    <row r="31658">
      <c r="B31658" s="612"/>
      <c r="H31658" s="612"/>
    </row>
    <row r="31659">
      <c r="B31659" s="612"/>
      <c r="H31659" s="612"/>
    </row>
    <row r="31660">
      <c r="B31660" s="612"/>
      <c r="H31660" s="612"/>
    </row>
    <row r="31661">
      <c r="B31661" s="612"/>
      <c r="H31661" s="612"/>
    </row>
    <row r="31662">
      <c r="B31662" s="612"/>
      <c r="H31662" s="612"/>
    </row>
    <row r="31663">
      <c r="B31663" s="612"/>
      <c r="H31663" s="612"/>
    </row>
    <row r="31664">
      <c r="B31664" s="612"/>
      <c r="H31664" s="612"/>
    </row>
    <row r="31665">
      <c r="B31665" s="612"/>
      <c r="H31665" s="612"/>
    </row>
    <row r="31666">
      <c r="B31666" s="612"/>
      <c r="H31666" s="612"/>
    </row>
    <row r="31667">
      <c r="B31667" s="612"/>
      <c r="H31667" s="612"/>
    </row>
    <row r="31668">
      <c r="B31668" s="612"/>
      <c r="H31668" s="612"/>
    </row>
    <row r="31669">
      <c r="B31669" s="612"/>
      <c r="H31669" s="612"/>
    </row>
    <row r="31670">
      <c r="B31670" s="612"/>
      <c r="H31670" s="612"/>
    </row>
    <row r="31671">
      <c r="B31671" s="612"/>
      <c r="H31671" s="612"/>
    </row>
    <row r="31672">
      <c r="B31672" s="612"/>
      <c r="H31672" s="612"/>
    </row>
    <row r="31673">
      <c r="B31673" s="612"/>
      <c r="H31673" s="612"/>
    </row>
    <row r="31674">
      <c r="B31674" s="612"/>
      <c r="H31674" s="612"/>
    </row>
    <row r="31675">
      <c r="B31675" s="612"/>
      <c r="H31675" s="612"/>
    </row>
    <row r="31676">
      <c r="B31676" s="612"/>
      <c r="H31676" s="612"/>
    </row>
    <row r="31677">
      <c r="B31677" s="612"/>
      <c r="H31677" s="612"/>
    </row>
    <row r="31678">
      <c r="B31678" s="612"/>
      <c r="H31678" s="612"/>
    </row>
    <row r="31679">
      <c r="B31679" s="612"/>
      <c r="H31679" s="612"/>
    </row>
    <row r="31680">
      <c r="B31680" s="612"/>
      <c r="H31680" s="612"/>
    </row>
    <row r="31681">
      <c r="B31681" s="612"/>
      <c r="H31681" s="612"/>
    </row>
    <row r="31682">
      <c r="B31682" s="612"/>
      <c r="H31682" s="612"/>
    </row>
    <row r="31683">
      <c r="B31683" s="612"/>
      <c r="H31683" s="612"/>
    </row>
    <row r="31684">
      <c r="B31684" s="612"/>
      <c r="H31684" s="612"/>
    </row>
    <row r="31685">
      <c r="B31685" s="612"/>
      <c r="H31685" s="612"/>
    </row>
    <row r="31686">
      <c r="B31686" s="612"/>
      <c r="H31686" s="612"/>
    </row>
    <row r="31687">
      <c r="B31687" s="612"/>
      <c r="H31687" s="612"/>
    </row>
    <row r="31688">
      <c r="B31688" s="612"/>
      <c r="H31688" s="612"/>
    </row>
    <row r="31689">
      <c r="B31689" s="612"/>
      <c r="H31689" s="612"/>
    </row>
    <row r="31690">
      <c r="B31690" s="612"/>
      <c r="H31690" s="612"/>
    </row>
    <row r="31691">
      <c r="B31691" s="612"/>
      <c r="H31691" s="612"/>
    </row>
    <row r="31692">
      <c r="B31692" s="612"/>
      <c r="H31692" s="612"/>
    </row>
    <row r="31693">
      <c r="B31693" s="612"/>
      <c r="H31693" s="612"/>
    </row>
    <row r="31694">
      <c r="B31694" s="612"/>
      <c r="H31694" s="612"/>
    </row>
    <row r="31695">
      <c r="B31695" s="612"/>
      <c r="H31695" s="612"/>
    </row>
    <row r="31696">
      <c r="B31696" s="612"/>
      <c r="H31696" s="612"/>
    </row>
    <row r="31697">
      <c r="B31697" s="612"/>
      <c r="H31697" s="612"/>
    </row>
    <row r="31698">
      <c r="B31698" s="612"/>
      <c r="H31698" s="612"/>
    </row>
    <row r="31699">
      <c r="B31699" s="612"/>
      <c r="H31699" s="612"/>
    </row>
    <row r="31700">
      <c r="B31700" s="612"/>
      <c r="H31700" s="612"/>
    </row>
    <row r="31701">
      <c r="B31701" s="612"/>
      <c r="H31701" s="612"/>
    </row>
    <row r="31702">
      <c r="B31702" s="612"/>
      <c r="H31702" s="612"/>
    </row>
    <row r="31703">
      <c r="B31703" s="612"/>
      <c r="H31703" s="612"/>
    </row>
    <row r="31704">
      <c r="B31704" s="612"/>
      <c r="H31704" s="612"/>
    </row>
    <row r="31705">
      <c r="B31705" s="612"/>
      <c r="H31705" s="612"/>
    </row>
    <row r="31706">
      <c r="B31706" s="612"/>
      <c r="H31706" s="612"/>
    </row>
    <row r="31707">
      <c r="B31707" s="612"/>
      <c r="H31707" s="612"/>
    </row>
    <row r="31708">
      <c r="B31708" s="612"/>
      <c r="H31708" s="612"/>
    </row>
    <row r="31709">
      <c r="B31709" s="612"/>
      <c r="H31709" s="612"/>
    </row>
    <row r="31710">
      <c r="B31710" s="612"/>
      <c r="H31710" s="612"/>
    </row>
    <row r="31711">
      <c r="B31711" s="612"/>
      <c r="H31711" s="612"/>
    </row>
    <row r="31712">
      <c r="B31712" s="612"/>
      <c r="H31712" s="612"/>
    </row>
    <row r="31713">
      <c r="B31713" s="612"/>
      <c r="H31713" s="612"/>
    </row>
    <row r="31714">
      <c r="B31714" s="612"/>
      <c r="H31714" s="612"/>
    </row>
    <row r="31715">
      <c r="B31715" s="612"/>
      <c r="H31715" s="612"/>
    </row>
    <row r="31716">
      <c r="B31716" s="612"/>
      <c r="H31716" s="612"/>
    </row>
    <row r="31717">
      <c r="B31717" s="612"/>
      <c r="H31717" s="612"/>
    </row>
    <row r="31718">
      <c r="B31718" s="612"/>
      <c r="H31718" s="612"/>
    </row>
    <row r="31719">
      <c r="B31719" s="612"/>
      <c r="H31719" s="612"/>
    </row>
    <row r="31720">
      <c r="B31720" s="612"/>
      <c r="H31720" s="612"/>
    </row>
    <row r="31721">
      <c r="B31721" s="612"/>
      <c r="H31721" s="612"/>
    </row>
    <row r="31722">
      <c r="B31722" s="612"/>
      <c r="H31722" s="612"/>
    </row>
    <row r="31723">
      <c r="B31723" s="612"/>
      <c r="H31723" s="612"/>
    </row>
    <row r="31724">
      <c r="B31724" s="612"/>
      <c r="H31724" s="612"/>
    </row>
    <row r="31725">
      <c r="B31725" s="612"/>
      <c r="H31725" s="612"/>
    </row>
    <row r="31726">
      <c r="B31726" s="612"/>
      <c r="H31726" s="612"/>
    </row>
    <row r="31727">
      <c r="B31727" s="612"/>
      <c r="H31727" s="612"/>
    </row>
    <row r="31728">
      <c r="B31728" s="612"/>
      <c r="H31728" s="612"/>
    </row>
    <row r="31729">
      <c r="B31729" s="612"/>
      <c r="H31729" s="612"/>
    </row>
    <row r="31730">
      <c r="B31730" s="612"/>
      <c r="H31730" s="612"/>
    </row>
    <row r="31731">
      <c r="B31731" s="612"/>
      <c r="H31731" s="612"/>
    </row>
    <row r="31732">
      <c r="B31732" s="612"/>
      <c r="H31732" s="612"/>
    </row>
    <row r="31733">
      <c r="B31733" s="612"/>
      <c r="H31733" s="612"/>
    </row>
    <row r="31734">
      <c r="B31734" s="612"/>
      <c r="H31734" s="612"/>
    </row>
    <row r="31735">
      <c r="B31735" s="612"/>
      <c r="H31735" s="612"/>
    </row>
    <row r="31736">
      <c r="B31736" s="612"/>
      <c r="H31736" s="612"/>
    </row>
    <row r="31737">
      <c r="B31737" s="612"/>
      <c r="H31737" s="612"/>
    </row>
    <row r="31738">
      <c r="B31738" s="612"/>
      <c r="H31738" s="612"/>
    </row>
    <row r="31739">
      <c r="B31739" s="612"/>
      <c r="H31739" s="612"/>
    </row>
    <row r="31740">
      <c r="B31740" s="612"/>
      <c r="H31740" s="612"/>
    </row>
    <row r="31741">
      <c r="B31741" s="612"/>
      <c r="H31741" s="612"/>
    </row>
    <row r="31742">
      <c r="B31742" s="612"/>
      <c r="H31742" s="612"/>
    </row>
    <row r="31743">
      <c r="B31743" s="612"/>
      <c r="H31743" s="612"/>
    </row>
    <row r="31744">
      <c r="B31744" s="612"/>
      <c r="H31744" s="612"/>
    </row>
    <row r="31745">
      <c r="B31745" s="612"/>
      <c r="H31745" s="612"/>
    </row>
    <row r="31746">
      <c r="B31746" s="612"/>
      <c r="H31746" s="612"/>
    </row>
    <row r="31747">
      <c r="B31747" s="612"/>
      <c r="H31747" s="612"/>
    </row>
    <row r="31748">
      <c r="B31748" s="612"/>
      <c r="H31748" s="612"/>
    </row>
    <row r="31749">
      <c r="B31749" s="612"/>
      <c r="H31749" s="612"/>
    </row>
    <row r="31750">
      <c r="B31750" s="612"/>
      <c r="H31750" s="612"/>
    </row>
    <row r="31751">
      <c r="B31751" s="612"/>
      <c r="H31751" s="612"/>
    </row>
    <row r="31752">
      <c r="B31752" s="612"/>
      <c r="H31752" s="612"/>
    </row>
    <row r="31753">
      <c r="B31753" s="612"/>
      <c r="H31753" s="612"/>
    </row>
    <row r="31754">
      <c r="B31754" s="612"/>
      <c r="H31754" s="612"/>
    </row>
    <row r="31755">
      <c r="B31755" s="612"/>
      <c r="H31755" s="612"/>
    </row>
    <row r="31756">
      <c r="B31756" s="612"/>
      <c r="H31756" s="612"/>
    </row>
    <row r="31757">
      <c r="B31757" s="612"/>
      <c r="H31757" s="612"/>
    </row>
    <row r="31758">
      <c r="B31758" s="612"/>
      <c r="H31758" s="612"/>
    </row>
    <row r="31759">
      <c r="B31759" s="612"/>
      <c r="H31759" s="612"/>
    </row>
    <row r="31760">
      <c r="B31760" s="612"/>
      <c r="H31760" s="612"/>
    </row>
    <row r="31761">
      <c r="B31761" s="612"/>
      <c r="H31761" s="612"/>
    </row>
    <row r="31762">
      <c r="B31762" s="612"/>
      <c r="H31762" s="612"/>
    </row>
    <row r="31763">
      <c r="B31763" s="612"/>
      <c r="H31763" s="612"/>
    </row>
    <row r="31764">
      <c r="B31764" s="612"/>
      <c r="H31764" s="612"/>
    </row>
    <row r="31765">
      <c r="B31765" s="612"/>
      <c r="H31765" s="612"/>
    </row>
    <row r="31766">
      <c r="B31766" s="612"/>
      <c r="H31766" s="612"/>
    </row>
    <row r="31767">
      <c r="B31767" s="612"/>
      <c r="H31767" s="612"/>
    </row>
    <row r="31768">
      <c r="B31768" s="612"/>
      <c r="H31768" s="612"/>
    </row>
    <row r="31769">
      <c r="B31769" s="612"/>
      <c r="H31769" s="612"/>
    </row>
    <row r="31770">
      <c r="B31770" s="612"/>
      <c r="H31770" s="612"/>
    </row>
    <row r="31771">
      <c r="B31771" s="612"/>
      <c r="H31771" s="612"/>
    </row>
    <row r="31772">
      <c r="B31772" s="612"/>
      <c r="H31772" s="612"/>
    </row>
    <row r="31773">
      <c r="B31773" s="612"/>
      <c r="H31773" s="612"/>
    </row>
    <row r="31774">
      <c r="B31774" s="612"/>
      <c r="H31774" s="612"/>
    </row>
    <row r="31775">
      <c r="B31775" s="612"/>
      <c r="H31775" s="612"/>
    </row>
    <row r="31776">
      <c r="B31776" s="612"/>
      <c r="H31776" s="612"/>
    </row>
    <row r="31777">
      <c r="B31777" s="612"/>
      <c r="H31777" s="612"/>
    </row>
    <row r="31778">
      <c r="B31778" s="612"/>
      <c r="H31778" s="612"/>
    </row>
    <row r="31779">
      <c r="B31779" s="612"/>
      <c r="H31779" s="612"/>
    </row>
    <row r="31780">
      <c r="B31780" s="612"/>
      <c r="H31780" s="612"/>
    </row>
    <row r="31781">
      <c r="B31781" s="612"/>
      <c r="H31781" s="612"/>
    </row>
    <row r="31782">
      <c r="B31782" s="612"/>
      <c r="H31782" s="612"/>
    </row>
    <row r="31783">
      <c r="B31783" s="612"/>
      <c r="H31783" s="612"/>
    </row>
    <row r="31784">
      <c r="B31784" s="612"/>
      <c r="H31784" s="612"/>
    </row>
    <row r="31785">
      <c r="B31785" s="612"/>
      <c r="H31785" s="612"/>
    </row>
    <row r="31786">
      <c r="B31786" s="612"/>
      <c r="H31786" s="612"/>
    </row>
    <row r="31787">
      <c r="B31787" s="612"/>
      <c r="H31787" s="612"/>
    </row>
    <row r="31788">
      <c r="B31788" s="612"/>
      <c r="H31788" s="612"/>
    </row>
    <row r="31789">
      <c r="B31789" s="612"/>
      <c r="H31789" s="612"/>
    </row>
    <row r="31790">
      <c r="B31790" s="612"/>
      <c r="H31790" s="612"/>
    </row>
    <row r="31791">
      <c r="B31791" s="612"/>
      <c r="H31791" s="612"/>
    </row>
    <row r="31792">
      <c r="B31792" s="612"/>
      <c r="H31792" s="612"/>
    </row>
    <row r="31793">
      <c r="B31793" s="612"/>
      <c r="H31793" s="612"/>
    </row>
    <row r="31794">
      <c r="B31794" s="612"/>
      <c r="H31794" s="612"/>
    </row>
    <row r="31795">
      <c r="B31795" s="612"/>
      <c r="H31795" s="612"/>
    </row>
    <row r="31796">
      <c r="B31796" s="612"/>
      <c r="H31796" s="612"/>
    </row>
    <row r="31797">
      <c r="B31797" s="612"/>
      <c r="H31797" s="612"/>
    </row>
    <row r="31798">
      <c r="B31798" s="612"/>
      <c r="H31798" s="612"/>
    </row>
    <row r="31799">
      <c r="B31799" s="612"/>
      <c r="H31799" s="612"/>
    </row>
    <row r="31800">
      <c r="B31800" s="612"/>
      <c r="H31800" s="612"/>
    </row>
    <row r="31801">
      <c r="B31801" s="612"/>
      <c r="H31801" s="612"/>
    </row>
    <row r="31802">
      <c r="B31802" s="612"/>
      <c r="H31802" s="612"/>
    </row>
    <row r="31803">
      <c r="B31803" s="612"/>
      <c r="H31803" s="612"/>
    </row>
    <row r="31804">
      <c r="B31804" s="612"/>
      <c r="H31804" s="612"/>
    </row>
    <row r="31805">
      <c r="B31805" s="612"/>
      <c r="H31805" s="612"/>
    </row>
    <row r="31806">
      <c r="B31806" s="612"/>
      <c r="H31806" s="612"/>
    </row>
    <row r="31807">
      <c r="B31807" s="612"/>
      <c r="H31807" s="612"/>
    </row>
    <row r="31808">
      <c r="B31808" s="612"/>
      <c r="H31808" s="612"/>
    </row>
    <row r="31809">
      <c r="B31809" s="612"/>
      <c r="H31809" s="612"/>
    </row>
    <row r="31810">
      <c r="B31810" s="612"/>
      <c r="H31810" s="612"/>
    </row>
    <row r="31811">
      <c r="B31811" s="612"/>
      <c r="H31811" s="612"/>
    </row>
    <row r="31812">
      <c r="B31812" s="612"/>
      <c r="H31812" s="612"/>
    </row>
    <row r="31813">
      <c r="B31813" s="612"/>
      <c r="H31813" s="612"/>
    </row>
    <row r="31814">
      <c r="B31814" s="612"/>
      <c r="H31814" s="612"/>
    </row>
    <row r="31815">
      <c r="B31815" s="612"/>
      <c r="H31815" s="612"/>
    </row>
    <row r="31816">
      <c r="B31816" s="612"/>
      <c r="H31816" s="612"/>
    </row>
    <row r="31817">
      <c r="B31817" s="612"/>
      <c r="H31817" s="612"/>
    </row>
    <row r="31818">
      <c r="B31818" s="612"/>
      <c r="H31818" s="612"/>
    </row>
    <row r="31819">
      <c r="B31819" s="612"/>
      <c r="H31819" s="612"/>
    </row>
    <row r="31820">
      <c r="B31820" s="612"/>
      <c r="H31820" s="612"/>
    </row>
    <row r="31821">
      <c r="B31821" s="612"/>
      <c r="H31821" s="612"/>
    </row>
    <row r="31822">
      <c r="B31822" s="612"/>
      <c r="H31822" s="612"/>
    </row>
    <row r="31823">
      <c r="B31823" s="612"/>
      <c r="H31823" s="612"/>
    </row>
    <row r="31824">
      <c r="B31824" s="612"/>
      <c r="H31824" s="612"/>
    </row>
    <row r="31825">
      <c r="B31825" s="612"/>
      <c r="H31825" s="612"/>
    </row>
    <row r="31826">
      <c r="B31826" s="612"/>
      <c r="H31826" s="612"/>
    </row>
    <row r="31827">
      <c r="B31827" s="612"/>
      <c r="H31827" s="612"/>
    </row>
    <row r="31828">
      <c r="B31828" s="612"/>
      <c r="H31828" s="612"/>
    </row>
    <row r="31829">
      <c r="B31829" s="612"/>
      <c r="H31829" s="612"/>
    </row>
    <row r="31830">
      <c r="B31830" s="612"/>
      <c r="H31830" s="612"/>
    </row>
    <row r="31831">
      <c r="B31831" s="612"/>
      <c r="H31831" s="612"/>
    </row>
    <row r="31832">
      <c r="B31832" s="612"/>
      <c r="H31832" s="612"/>
    </row>
    <row r="31833">
      <c r="B31833" s="612"/>
      <c r="H31833" s="612"/>
    </row>
    <row r="31834">
      <c r="B31834" s="612"/>
      <c r="H31834" s="612"/>
    </row>
    <row r="31835">
      <c r="B31835" s="612"/>
      <c r="H31835" s="612"/>
    </row>
    <row r="31836">
      <c r="B31836" s="612"/>
      <c r="H31836" s="612"/>
    </row>
    <row r="31837">
      <c r="B31837" s="612"/>
      <c r="H31837" s="612"/>
    </row>
    <row r="31838">
      <c r="B31838" s="612"/>
      <c r="H31838" s="612"/>
    </row>
    <row r="31839">
      <c r="B31839" s="612"/>
      <c r="H31839" s="612"/>
    </row>
    <row r="31840">
      <c r="B31840" s="612"/>
      <c r="H31840" s="612"/>
    </row>
    <row r="31841">
      <c r="B31841" s="612"/>
      <c r="H31841" s="612"/>
    </row>
    <row r="31842">
      <c r="B31842" s="612"/>
      <c r="H31842" s="612"/>
    </row>
    <row r="31843">
      <c r="B31843" s="612"/>
      <c r="H31843" s="612"/>
    </row>
    <row r="31844">
      <c r="B31844" s="612"/>
      <c r="H31844" s="612"/>
    </row>
    <row r="31845">
      <c r="B31845" s="612"/>
      <c r="H31845" s="612"/>
    </row>
    <row r="31846">
      <c r="B31846" s="612"/>
      <c r="H31846" s="612"/>
    </row>
    <row r="31847">
      <c r="B31847" s="612"/>
      <c r="H31847" s="612"/>
    </row>
    <row r="31848">
      <c r="B31848" s="612"/>
      <c r="H31848" s="612"/>
    </row>
    <row r="31849">
      <c r="B31849" s="612"/>
      <c r="H31849" s="612"/>
    </row>
    <row r="31850">
      <c r="B31850" s="612"/>
      <c r="H31850" s="612"/>
    </row>
    <row r="31851">
      <c r="B31851" s="612"/>
      <c r="H31851" s="612"/>
    </row>
    <row r="31852">
      <c r="B31852" s="612"/>
      <c r="H31852" s="612"/>
    </row>
    <row r="31853">
      <c r="B31853" s="612"/>
      <c r="H31853" s="612"/>
    </row>
    <row r="31854">
      <c r="B31854" s="612"/>
      <c r="H31854" s="612"/>
    </row>
    <row r="31855">
      <c r="B31855" s="612"/>
      <c r="H31855" s="612"/>
    </row>
    <row r="31856">
      <c r="B31856" s="612"/>
      <c r="H31856" s="612"/>
    </row>
    <row r="31857">
      <c r="B31857" s="612"/>
      <c r="H31857" s="612"/>
    </row>
    <row r="31858">
      <c r="B31858" s="612"/>
      <c r="H31858" s="612"/>
    </row>
    <row r="31859">
      <c r="B31859" s="612"/>
      <c r="H31859" s="612"/>
    </row>
    <row r="31860">
      <c r="B31860" s="612"/>
      <c r="H31860" s="612"/>
    </row>
    <row r="31861">
      <c r="B31861" s="612"/>
      <c r="H31861" s="612"/>
    </row>
    <row r="31862">
      <c r="B31862" s="612"/>
      <c r="H31862" s="612"/>
    </row>
    <row r="31863">
      <c r="B31863" s="612"/>
      <c r="H31863" s="612"/>
    </row>
    <row r="31864">
      <c r="B31864" s="612"/>
      <c r="H31864" s="612"/>
    </row>
    <row r="31865">
      <c r="B31865" s="612"/>
      <c r="H31865" s="612"/>
    </row>
    <row r="31866">
      <c r="B31866" s="612"/>
      <c r="H31866" s="612"/>
    </row>
    <row r="31867">
      <c r="B31867" s="612"/>
      <c r="H31867" s="612"/>
    </row>
    <row r="31868">
      <c r="B31868" s="612"/>
      <c r="H31868" s="612"/>
    </row>
    <row r="31869">
      <c r="B31869" s="612"/>
      <c r="H31869" s="612"/>
    </row>
    <row r="31870">
      <c r="B31870" s="612"/>
      <c r="H31870" s="612"/>
    </row>
    <row r="31871">
      <c r="B31871" s="612"/>
      <c r="H31871" s="612"/>
    </row>
    <row r="31872">
      <c r="B31872" s="612"/>
      <c r="H31872" s="612"/>
    </row>
    <row r="31873">
      <c r="B31873" s="612"/>
      <c r="H31873" s="612"/>
    </row>
    <row r="31874">
      <c r="B31874" s="612"/>
      <c r="H31874" s="612"/>
    </row>
    <row r="31875">
      <c r="B31875" s="612"/>
      <c r="H31875" s="612"/>
    </row>
    <row r="31876">
      <c r="B31876" s="612"/>
      <c r="H31876" s="612"/>
    </row>
    <row r="31877">
      <c r="B31877" s="612"/>
      <c r="H31877" s="612"/>
    </row>
    <row r="31878">
      <c r="B31878" s="612"/>
      <c r="H31878" s="612"/>
    </row>
    <row r="31879">
      <c r="B31879" s="612"/>
      <c r="H31879" s="612"/>
    </row>
    <row r="31880">
      <c r="B31880" s="612"/>
      <c r="H31880" s="612"/>
    </row>
    <row r="31881">
      <c r="B31881" s="612"/>
      <c r="H31881" s="612"/>
    </row>
    <row r="31882">
      <c r="B31882" s="612"/>
      <c r="H31882" s="612"/>
    </row>
    <row r="31883">
      <c r="B31883" s="612"/>
      <c r="H31883" s="612"/>
    </row>
    <row r="31884">
      <c r="B31884" s="612"/>
      <c r="H31884" s="612"/>
    </row>
    <row r="31885">
      <c r="B31885" s="612"/>
      <c r="H31885" s="612"/>
    </row>
    <row r="31886">
      <c r="B31886" s="612"/>
      <c r="H31886" s="612"/>
    </row>
    <row r="31887">
      <c r="B31887" s="612"/>
      <c r="H31887" s="612"/>
    </row>
    <row r="31888">
      <c r="B31888" s="612"/>
      <c r="H31888" s="612"/>
    </row>
    <row r="31889">
      <c r="B31889" s="612"/>
      <c r="H31889" s="612"/>
    </row>
    <row r="31890">
      <c r="B31890" s="612"/>
      <c r="H31890" s="612"/>
    </row>
    <row r="31891">
      <c r="B31891" s="612"/>
      <c r="H31891" s="612"/>
    </row>
    <row r="31892">
      <c r="B31892" s="612"/>
      <c r="H31892" s="612"/>
    </row>
    <row r="31893">
      <c r="B31893" s="612"/>
      <c r="H31893" s="612"/>
    </row>
    <row r="31894">
      <c r="B31894" s="612"/>
      <c r="H31894" s="612"/>
    </row>
    <row r="31895">
      <c r="B31895" s="612"/>
      <c r="H31895" s="612"/>
    </row>
    <row r="31896">
      <c r="B31896" s="612"/>
      <c r="H31896" s="612"/>
    </row>
    <row r="31897">
      <c r="B31897" s="612"/>
      <c r="H31897" s="612"/>
    </row>
    <row r="31898">
      <c r="B31898" s="612"/>
      <c r="H31898" s="612"/>
    </row>
    <row r="31899">
      <c r="B31899" s="612"/>
      <c r="H31899" s="612"/>
    </row>
    <row r="31900">
      <c r="B31900" s="612"/>
      <c r="H31900" s="612"/>
    </row>
    <row r="31901">
      <c r="B31901" s="612"/>
      <c r="H31901" s="612"/>
    </row>
    <row r="31902">
      <c r="B31902" s="612"/>
      <c r="H31902" s="612"/>
    </row>
    <row r="31903">
      <c r="B31903" s="612"/>
      <c r="H31903" s="612"/>
    </row>
    <row r="31904">
      <c r="B31904" s="612"/>
      <c r="H31904" s="612"/>
    </row>
    <row r="31905">
      <c r="B31905" s="612"/>
      <c r="H31905" s="612"/>
    </row>
    <row r="31906">
      <c r="B31906" s="612"/>
      <c r="H31906" s="612"/>
    </row>
    <row r="31907">
      <c r="B31907" s="612"/>
      <c r="H31907" s="612"/>
    </row>
    <row r="31908">
      <c r="B31908" s="612"/>
      <c r="H31908" s="612"/>
    </row>
    <row r="31909">
      <c r="B31909" s="612"/>
      <c r="H31909" s="612"/>
    </row>
    <row r="31910">
      <c r="B31910" s="612"/>
      <c r="H31910" s="612"/>
    </row>
    <row r="31911">
      <c r="B31911" s="612"/>
      <c r="H31911" s="612"/>
    </row>
    <row r="31912">
      <c r="B31912" s="612"/>
      <c r="H31912" s="612"/>
    </row>
    <row r="31913">
      <c r="B31913" s="612"/>
      <c r="H31913" s="612"/>
    </row>
    <row r="31914">
      <c r="B31914" s="612"/>
      <c r="H31914" s="612"/>
    </row>
    <row r="31915">
      <c r="B31915" s="612"/>
      <c r="H31915" s="612"/>
    </row>
    <row r="31916">
      <c r="B31916" s="612"/>
      <c r="H31916" s="612"/>
    </row>
    <row r="31917">
      <c r="B31917" s="612"/>
      <c r="H31917" s="612"/>
    </row>
    <row r="31918">
      <c r="B31918" s="612"/>
      <c r="H31918" s="612"/>
    </row>
    <row r="31919">
      <c r="B31919" s="612"/>
      <c r="H31919" s="612"/>
    </row>
    <row r="31920">
      <c r="B31920" s="612"/>
      <c r="H31920" s="612"/>
    </row>
    <row r="31921">
      <c r="B31921" s="612"/>
      <c r="H31921" s="612"/>
    </row>
    <row r="31922">
      <c r="B31922" s="612"/>
      <c r="H31922" s="612"/>
    </row>
    <row r="31923">
      <c r="B31923" s="612"/>
      <c r="H31923" s="612"/>
    </row>
    <row r="31924">
      <c r="B31924" s="612"/>
      <c r="H31924" s="612"/>
    </row>
    <row r="31925">
      <c r="B31925" s="612"/>
      <c r="H31925" s="612"/>
    </row>
    <row r="31926">
      <c r="B31926" s="612"/>
      <c r="H31926" s="612"/>
    </row>
    <row r="31927">
      <c r="B31927" s="612"/>
      <c r="H31927" s="612"/>
    </row>
    <row r="31928">
      <c r="B31928" s="612"/>
      <c r="H31928" s="612"/>
    </row>
    <row r="31929">
      <c r="B31929" s="612"/>
      <c r="H31929" s="612"/>
    </row>
    <row r="31930">
      <c r="B31930" s="612"/>
      <c r="H31930" s="612"/>
    </row>
    <row r="31931">
      <c r="B31931" s="612"/>
      <c r="H31931" s="612"/>
    </row>
    <row r="31932">
      <c r="B31932" s="612"/>
      <c r="H31932" s="612"/>
    </row>
    <row r="31933">
      <c r="B31933" s="612"/>
      <c r="H31933" s="612"/>
    </row>
    <row r="31934">
      <c r="B31934" s="612"/>
      <c r="H31934" s="612"/>
    </row>
    <row r="31935">
      <c r="B31935" s="612"/>
      <c r="H31935" s="612"/>
    </row>
    <row r="31936">
      <c r="B31936" s="612"/>
      <c r="H31936" s="612"/>
    </row>
    <row r="31937">
      <c r="B31937" s="612"/>
      <c r="H31937" s="612"/>
    </row>
    <row r="31938">
      <c r="B31938" s="612"/>
      <c r="H31938" s="612"/>
    </row>
    <row r="31939">
      <c r="B31939" s="612"/>
      <c r="H31939" s="612"/>
    </row>
    <row r="31940">
      <c r="B31940" s="612"/>
      <c r="H31940" s="612"/>
    </row>
    <row r="31941">
      <c r="B31941" s="612"/>
      <c r="H31941" s="612"/>
    </row>
    <row r="31942">
      <c r="B31942" s="612"/>
      <c r="H31942" s="612"/>
    </row>
    <row r="31943">
      <c r="B31943" s="612"/>
      <c r="H31943" s="612"/>
    </row>
    <row r="31944">
      <c r="B31944" s="612"/>
      <c r="H31944" s="612"/>
    </row>
    <row r="31945">
      <c r="B31945" s="612"/>
      <c r="H31945" s="612"/>
    </row>
    <row r="31946">
      <c r="B31946" s="612"/>
      <c r="H31946" s="612"/>
    </row>
    <row r="31947">
      <c r="B31947" s="612"/>
      <c r="H31947" s="612"/>
    </row>
    <row r="31948">
      <c r="B31948" s="612"/>
      <c r="H31948" s="612"/>
    </row>
    <row r="31949">
      <c r="B31949" s="612"/>
      <c r="H31949" s="612"/>
    </row>
    <row r="31950">
      <c r="B31950" s="612"/>
      <c r="H31950" s="612"/>
    </row>
    <row r="31951">
      <c r="B31951" s="612"/>
      <c r="H31951" s="612"/>
    </row>
    <row r="31952">
      <c r="B31952" s="612"/>
      <c r="H31952" s="612"/>
    </row>
    <row r="31953">
      <c r="B31953" s="612"/>
      <c r="H31953" s="612"/>
    </row>
    <row r="31954">
      <c r="B31954" s="612"/>
      <c r="H31954" s="612"/>
    </row>
    <row r="31955">
      <c r="B31955" s="612"/>
      <c r="H31955" s="612"/>
    </row>
    <row r="31956">
      <c r="B31956" s="612"/>
      <c r="H31956" s="612"/>
    </row>
    <row r="31957">
      <c r="B31957" s="612"/>
      <c r="H31957" s="612"/>
    </row>
    <row r="31958">
      <c r="B31958" s="612"/>
      <c r="H31958" s="612"/>
    </row>
    <row r="31959">
      <c r="B31959" s="612"/>
      <c r="H31959" s="612"/>
    </row>
    <row r="31960">
      <c r="B31960" s="612"/>
      <c r="H31960" s="612"/>
    </row>
    <row r="31961">
      <c r="B31961" s="612"/>
      <c r="H31961" s="612"/>
    </row>
    <row r="31962">
      <c r="B31962" s="612"/>
      <c r="H31962" s="612"/>
    </row>
    <row r="31963">
      <c r="B31963" s="612"/>
      <c r="H31963" s="612"/>
    </row>
    <row r="31964">
      <c r="B31964" s="612"/>
      <c r="H31964" s="612"/>
    </row>
    <row r="31965">
      <c r="B31965" s="612"/>
      <c r="H31965" s="612"/>
    </row>
    <row r="31966">
      <c r="B31966" s="612"/>
      <c r="H31966" s="612"/>
    </row>
    <row r="31967">
      <c r="B31967" s="612"/>
      <c r="H31967" s="612"/>
    </row>
    <row r="31968">
      <c r="B31968" s="612"/>
      <c r="H31968" s="612"/>
    </row>
    <row r="31969">
      <c r="B31969" s="612"/>
      <c r="H31969" s="612"/>
    </row>
    <row r="31970">
      <c r="B31970" s="612"/>
      <c r="H31970" s="612"/>
    </row>
    <row r="31971">
      <c r="B31971" s="612"/>
      <c r="H31971" s="612"/>
    </row>
    <row r="31972">
      <c r="B31972" s="612"/>
      <c r="H31972" s="612"/>
    </row>
    <row r="31973">
      <c r="B31973" s="612"/>
      <c r="H31973" s="612"/>
    </row>
    <row r="31974">
      <c r="B31974" s="612"/>
      <c r="H31974" s="612"/>
    </row>
    <row r="31975">
      <c r="B31975" s="612"/>
      <c r="H31975" s="612"/>
    </row>
    <row r="31976">
      <c r="B31976" s="612"/>
      <c r="H31976" s="612"/>
    </row>
    <row r="31977">
      <c r="B31977" s="612"/>
      <c r="H31977" s="612"/>
    </row>
    <row r="31978">
      <c r="B31978" s="612"/>
      <c r="H31978" s="612"/>
    </row>
    <row r="31979">
      <c r="B31979" s="612"/>
      <c r="H31979" s="612"/>
    </row>
    <row r="31980">
      <c r="B31980" s="612"/>
      <c r="H31980" s="612"/>
    </row>
    <row r="31981">
      <c r="B31981" s="612"/>
      <c r="H31981" s="612"/>
    </row>
    <row r="31982">
      <c r="B31982" s="612"/>
      <c r="H31982" s="612"/>
    </row>
    <row r="31983">
      <c r="B31983" s="612"/>
      <c r="H31983" s="612"/>
    </row>
    <row r="31984">
      <c r="B31984" s="612"/>
      <c r="H31984" s="612"/>
    </row>
    <row r="31985">
      <c r="B31985" s="612"/>
      <c r="H31985" s="612"/>
    </row>
    <row r="31986">
      <c r="B31986" s="612"/>
      <c r="H31986" s="612"/>
    </row>
    <row r="31987">
      <c r="B31987" s="612"/>
      <c r="H31987" s="612"/>
    </row>
    <row r="31988">
      <c r="B31988" s="612"/>
      <c r="H31988" s="612"/>
    </row>
    <row r="31989">
      <c r="B31989" s="612"/>
      <c r="H31989" s="612"/>
    </row>
    <row r="31990">
      <c r="B31990" s="612"/>
      <c r="H31990" s="612"/>
    </row>
    <row r="31991">
      <c r="B31991" s="612"/>
      <c r="H31991" s="612"/>
    </row>
    <row r="31992">
      <c r="B31992" s="612"/>
      <c r="H31992" s="612"/>
    </row>
    <row r="31993">
      <c r="B31993" s="612"/>
      <c r="H31993" s="612"/>
    </row>
    <row r="31994">
      <c r="B31994" s="612"/>
      <c r="H31994" s="612"/>
    </row>
    <row r="31995">
      <c r="B31995" s="612"/>
      <c r="H31995" s="612"/>
    </row>
    <row r="31996">
      <c r="B31996" s="612"/>
      <c r="H31996" s="612"/>
    </row>
    <row r="31997">
      <c r="B31997" s="612"/>
      <c r="H31997" s="612"/>
    </row>
    <row r="31998">
      <c r="B31998" s="612"/>
      <c r="H31998" s="612"/>
    </row>
    <row r="31999">
      <c r="B31999" s="612"/>
      <c r="H31999" s="612"/>
    </row>
    <row r="32000">
      <c r="B32000" s="612"/>
      <c r="H32000" s="612"/>
    </row>
    <row r="32001">
      <c r="B32001" s="612"/>
      <c r="H32001" s="612"/>
    </row>
    <row r="32002">
      <c r="B32002" s="612"/>
      <c r="H32002" s="612"/>
    </row>
    <row r="32003">
      <c r="B32003" s="612"/>
      <c r="H32003" s="612"/>
    </row>
    <row r="32004">
      <c r="B32004" s="612"/>
      <c r="H32004" s="612"/>
    </row>
    <row r="32005">
      <c r="B32005" s="612"/>
      <c r="H32005" s="612"/>
    </row>
    <row r="32006">
      <c r="B32006" s="612"/>
      <c r="H32006" s="612"/>
    </row>
    <row r="32007">
      <c r="B32007" s="612"/>
      <c r="H32007" s="612"/>
    </row>
    <row r="32008">
      <c r="B32008" s="612"/>
      <c r="H32008" s="612"/>
    </row>
    <row r="32009">
      <c r="B32009" s="612"/>
      <c r="H32009" s="612"/>
    </row>
    <row r="32010">
      <c r="B32010" s="612"/>
      <c r="H32010" s="612"/>
    </row>
    <row r="32011">
      <c r="B32011" s="612"/>
      <c r="H32011" s="612"/>
    </row>
    <row r="32012">
      <c r="B32012" s="612"/>
      <c r="H32012" s="612"/>
    </row>
    <row r="32013">
      <c r="B32013" s="612"/>
      <c r="H32013" s="612"/>
    </row>
    <row r="32014">
      <c r="B32014" s="612"/>
      <c r="H32014" s="612"/>
    </row>
    <row r="32015">
      <c r="B32015" s="612"/>
      <c r="H32015" s="612"/>
    </row>
    <row r="32016">
      <c r="B32016" s="612"/>
      <c r="H32016" s="612"/>
    </row>
    <row r="32017">
      <c r="B32017" s="612"/>
      <c r="H32017" s="612"/>
    </row>
    <row r="32018">
      <c r="B32018" s="612"/>
      <c r="H32018" s="612"/>
    </row>
    <row r="32019">
      <c r="B32019" s="612"/>
      <c r="H32019" s="612"/>
    </row>
    <row r="32020">
      <c r="B32020" s="612"/>
      <c r="H32020" s="612"/>
    </row>
    <row r="32021">
      <c r="B32021" s="612"/>
      <c r="H32021" s="612"/>
    </row>
    <row r="32022">
      <c r="B32022" s="612"/>
      <c r="H32022" s="612"/>
    </row>
    <row r="32023">
      <c r="B32023" s="612"/>
      <c r="H32023" s="612"/>
    </row>
    <row r="32024">
      <c r="B32024" s="612"/>
      <c r="H32024" s="612"/>
    </row>
    <row r="32025">
      <c r="B32025" s="612"/>
      <c r="H32025" s="612"/>
    </row>
    <row r="32026">
      <c r="B32026" s="612"/>
      <c r="H32026" s="612"/>
    </row>
    <row r="32027">
      <c r="B32027" s="612"/>
      <c r="H32027" s="612"/>
    </row>
    <row r="32028">
      <c r="B32028" s="612"/>
      <c r="H32028" s="612"/>
    </row>
    <row r="32029">
      <c r="B32029" s="612"/>
      <c r="H32029" s="612"/>
    </row>
    <row r="32030">
      <c r="B32030" s="612"/>
      <c r="H32030" s="612"/>
    </row>
    <row r="32031">
      <c r="B32031" s="612"/>
      <c r="H32031" s="612"/>
    </row>
    <row r="32032">
      <c r="B32032" s="612"/>
      <c r="H32032" s="612"/>
    </row>
    <row r="32033">
      <c r="B32033" s="612"/>
      <c r="H32033" s="612"/>
    </row>
    <row r="32034">
      <c r="B32034" s="612"/>
      <c r="H32034" s="612"/>
    </row>
    <row r="32035">
      <c r="B32035" s="612"/>
      <c r="H32035" s="612"/>
    </row>
    <row r="32036">
      <c r="B32036" s="612"/>
      <c r="H32036" s="612"/>
    </row>
    <row r="32037">
      <c r="B32037" s="612"/>
      <c r="H32037" s="612"/>
    </row>
    <row r="32038">
      <c r="B32038" s="612"/>
      <c r="H32038" s="612"/>
    </row>
    <row r="32039">
      <c r="B32039" s="612"/>
      <c r="H32039" s="612"/>
    </row>
    <row r="32040">
      <c r="B32040" s="612"/>
      <c r="H32040" s="612"/>
    </row>
    <row r="32041">
      <c r="B32041" s="612"/>
      <c r="H32041" s="612"/>
    </row>
    <row r="32042">
      <c r="B32042" s="612"/>
      <c r="H32042" s="612"/>
    </row>
    <row r="32043">
      <c r="B32043" s="612"/>
      <c r="H32043" s="612"/>
    </row>
    <row r="32044">
      <c r="B32044" s="612"/>
      <c r="H32044" s="612"/>
    </row>
    <row r="32045">
      <c r="B32045" s="612"/>
      <c r="H32045" s="612"/>
    </row>
    <row r="32046">
      <c r="B32046" s="612"/>
      <c r="H32046" s="612"/>
    </row>
    <row r="32047">
      <c r="B32047" s="612"/>
      <c r="H32047" s="612"/>
    </row>
    <row r="32048">
      <c r="B32048" s="612"/>
      <c r="H32048" s="612"/>
    </row>
    <row r="32049">
      <c r="B32049" s="612"/>
      <c r="H32049" s="612"/>
    </row>
    <row r="32050">
      <c r="B32050" s="612"/>
      <c r="H32050" s="612"/>
    </row>
    <row r="32051">
      <c r="B32051" s="612"/>
      <c r="H32051" s="612"/>
    </row>
    <row r="32052">
      <c r="B32052" s="612"/>
      <c r="H32052" s="612"/>
    </row>
    <row r="32053">
      <c r="B32053" s="612"/>
      <c r="H32053" s="612"/>
    </row>
    <row r="32054">
      <c r="B32054" s="612"/>
      <c r="H32054" s="612"/>
    </row>
    <row r="32055">
      <c r="B32055" s="612"/>
      <c r="H32055" s="612"/>
    </row>
    <row r="32056">
      <c r="B32056" s="612"/>
      <c r="H32056" s="612"/>
    </row>
    <row r="32057">
      <c r="B32057" s="612"/>
      <c r="H32057" s="612"/>
    </row>
    <row r="32058">
      <c r="B32058" s="612"/>
      <c r="H32058" s="612"/>
    </row>
    <row r="32059">
      <c r="B32059" s="612"/>
      <c r="H32059" s="612"/>
    </row>
    <row r="32060">
      <c r="B32060" s="612"/>
      <c r="H32060" s="612"/>
    </row>
    <row r="32061">
      <c r="B32061" s="612"/>
      <c r="H32061" s="612"/>
    </row>
    <row r="32062">
      <c r="B32062" s="612"/>
      <c r="H32062" s="612"/>
    </row>
    <row r="32063">
      <c r="B32063" s="612"/>
      <c r="H32063" s="612"/>
    </row>
    <row r="32064">
      <c r="B32064" s="612"/>
      <c r="H32064" s="612"/>
    </row>
    <row r="32065">
      <c r="B32065" s="612"/>
      <c r="H32065" s="612"/>
    </row>
    <row r="32066">
      <c r="B32066" s="612"/>
      <c r="H32066" s="612"/>
    </row>
    <row r="32067">
      <c r="B32067" s="612"/>
      <c r="H32067" s="612"/>
    </row>
    <row r="32068">
      <c r="B32068" s="612"/>
      <c r="H32068" s="612"/>
    </row>
    <row r="32069">
      <c r="B32069" s="612"/>
      <c r="H32069" s="612"/>
    </row>
    <row r="32070">
      <c r="B32070" s="612"/>
      <c r="H32070" s="612"/>
    </row>
    <row r="32071">
      <c r="B32071" s="612"/>
      <c r="H32071" s="612"/>
    </row>
    <row r="32072">
      <c r="B32072" s="612"/>
      <c r="H32072" s="612"/>
    </row>
    <row r="32073">
      <c r="B32073" s="612"/>
      <c r="H32073" s="612"/>
    </row>
    <row r="32074">
      <c r="B32074" s="612"/>
      <c r="H32074" s="612"/>
    </row>
    <row r="32075">
      <c r="B32075" s="612"/>
      <c r="H32075" s="612"/>
    </row>
    <row r="32076">
      <c r="B32076" s="612"/>
      <c r="H32076" s="612"/>
    </row>
    <row r="32077">
      <c r="B32077" s="612"/>
      <c r="H32077" s="612"/>
    </row>
    <row r="32078">
      <c r="B32078" s="612"/>
      <c r="H32078" s="612"/>
    </row>
    <row r="32079">
      <c r="B32079" s="612"/>
      <c r="H32079" s="612"/>
    </row>
    <row r="32080">
      <c r="B32080" s="612"/>
      <c r="H32080" s="612"/>
    </row>
    <row r="32081">
      <c r="B32081" s="612"/>
      <c r="H32081" s="612"/>
    </row>
    <row r="32082">
      <c r="B32082" s="612"/>
      <c r="H32082" s="612"/>
    </row>
    <row r="32083">
      <c r="B32083" s="612"/>
      <c r="H32083" s="612"/>
    </row>
    <row r="32084">
      <c r="B32084" s="612"/>
      <c r="H32084" s="612"/>
    </row>
    <row r="32085">
      <c r="B32085" s="612"/>
      <c r="H32085" s="612"/>
    </row>
    <row r="32086">
      <c r="B32086" s="612"/>
      <c r="H32086" s="612"/>
    </row>
    <row r="32087">
      <c r="B32087" s="612"/>
      <c r="H32087" s="612"/>
    </row>
    <row r="32088">
      <c r="B32088" s="612"/>
      <c r="H32088" s="612"/>
    </row>
    <row r="32089">
      <c r="B32089" s="612"/>
      <c r="H32089" s="612"/>
    </row>
    <row r="32090">
      <c r="B32090" s="612"/>
      <c r="H32090" s="612"/>
    </row>
    <row r="32091">
      <c r="B32091" s="612"/>
      <c r="H32091" s="612"/>
    </row>
    <row r="32092">
      <c r="B32092" s="612"/>
      <c r="H32092" s="612"/>
    </row>
    <row r="32093">
      <c r="B32093" s="612"/>
      <c r="H32093" s="612"/>
    </row>
    <row r="32094">
      <c r="B32094" s="612"/>
      <c r="H32094" s="612"/>
    </row>
    <row r="32095">
      <c r="B32095" s="612"/>
      <c r="H32095" s="612"/>
    </row>
    <row r="32096">
      <c r="B32096" s="612"/>
      <c r="H32096" s="612"/>
    </row>
    <row r="32097">
      <c r="B32097" s="612"/>
      <c r="H32097" s="612"/>
    </row>
    <row r="32098">
      <c r="B32098" s="612"/>
      <c r="H32098" s="612"/>
    </row>
    <row r="32099">
      <c r="B32099" s="612"/>
      <c r="H32099" s="612"/>
    </row>
    <row r="32100">
      <c r="B32100" s="612"/>
      <c r="H32100" s="612"/>
    </row>
    <row r="32101">
      <c r="B32101" s="612"/>
      <c r="H32101" s="612"/>
    </row>
    <row r="32102">
      <c r="B32102" s="612"/>
      <c r="H32102" s="612"/>
    </row>
    <row r="32103">
      <c r="B32103" s="612"/>
      <c r="H32103" s="612"/>
    </row>
    <row r="32104">
      <c r="B32104" s="612"/>
      <c r="H32104" s="612"/>
    </row>
    <row r="32105">
      <c r="B32105" s="612"/>
      <c r="H32105" s="612"/>
    </row>
    <row r="32106">
      <c r="B32106" s="612"/>
      <c r="H32106" s="612"/>
    </row>
    <row r="32107">
      <c r="B32107" s="612"/>
      <c r="H32107" s="612"/>
    </row>
    <row r="32108">
      <c r="B32108" s="612"/>
      <c r="H32108" s="612"/>
    </row>
    <row r="32109">
      <c r="B32109" s="612"/>
      <c r="H32109" s="612"/>
    </row>
    <row r="32110">
      <c r="B32110" s="612"/>
      <c r="H32110" s="612"/>
    </row>
    <row r="32111">
      <c r="B32111" s="612"/>
      <c r="H32111" s="612"/>
    </row>
    <row r="32112">
      <c r="B32112" s="612"/>
      <c r="H32112" s="612"/>
    </row>
    <row r="32113">
      <c r="B32113" s="612"/>
      <c r="H32113" s="612"/>
    </row>
    <row r="32114">
      <c r="B32114" s="612"/>
      <c r="H32114" s="612"/>
    </row>
    <row r="32115">
      <c r="B32115" s="612"/>
      <c r="H32115" s="612"/>
    </row>
    <row r="32116">
      <c r="B32116" s="612"/>
      <c r="H32116" s="612"/>
    </row>
    <row r="32117">
      <c r="B32117" s="612"/>
      <c r="H32117" s="612"/>
    </row>
    <row r="32118">
      <c r="B32118" s="612"/>
      <c r="H32118" s="612"/>
    </row>
    <row r="32119">
      <c r="B32119" s="612"/>
      <c r="H32119" s="612"/>
    </row>
    <row r="32120">
      <c r="B32120" s="612"/>
      <c r="H32120" s="612"/>
    </row>
    <row r="32121">
      <c r="B32121" s="612"/>
      <c r="H32121" s="612"/>
    </row>
    <row r="32122">
      <c r="B32122" s="612"/>
      <c r="H32122" s="612"/>
    </row>
    <row r="32123">
      <c r="B32123" s="612"/>
      <c r="H32123" s="612"/>
    </row>
    <row r="32124">
      <c r="B32124" s="612"/>
      <c r="H32124" s="612"/>
    </row>
    <row r="32125">
      <c r="B32125" s="612"/>
      <c r="H32125" s="612"/>
    </row>
    <row r="32126">
      <c r="B32126" s="612"/>
      <c r="H32126" s="612"/>
    </row>
    <row r="32127">
      <c r="B32127" s="612"/>
      <c r="H32127" s="612"/>
    </row>
    <row r="32128">
      <c r="B32128" s="612"/>
      <c r="H32128" s="612"/>
    </row>
    <row r="32129">
      <c r="B32129" s="612"/>
      <c r="H32129" s="612"/>
    </row>
    <row r="32130">
      <c r="B32130" s="612"/>
      <c r="H32130" s="612"/>
    </row>
    <row r="32131">
      <c r="B32131" s="612"/>
      <c r="H32131" s="612"/>
    </row>
    <row r="32132">
      <c r="B32132" s="612"/>
      <c r="H32132" s="612"/>
    </row>
    <row r="32133">
      <c r="B32133" s="612"/>
      <c r="H32133" s="612"/>
    </row>
    <row r="32134">
      <c r="B32134" s="612"/>
      <c r="H32134" s="612"/>
    </row>
    <row r="32135">
      <c r="B32135" s="612"/>
      <c r="H32135" s="612"/>
    </row>
    <row r="32136">
      <c r="B32136" s="612"/>
      <c r="H32136" s="612"/>
    </row>
    <row r="32137">
      <c r="B32137" s="612"/>
      <c r="H32137" s="612"/>
    </row>
    <row r="32138">
      <c r="B32138" s="612"/>
      <c r="H32138" s="612"/>
    </row>
    <row r="32139">
      <c r="B32139" s="612"/>
      <c r="H32139" s="612"/>
    </row>
    <row r="32140">
      <c r="B32140" s="612"/>
      <c r="H32140" s="612"/>
    </row>
    <row r="32141">
      <c r="B32141" s="612"/>
      <c r="H32141" s="612"/>
    </row>
    <row r="32142">
      <c r="B32142" s="612"/>
      <c r="H32142" s="612"/>
    </row>
    <row r="32143">
      <c r="B32143" s="612"/>
      <c r="H32143" s="612"/>
    </row>
    <row r="32144">
      <c r="B32144" s="612"/>
      <c r="H32144" s="612"/>
    </row>
    <row r="32145">
      <c r="B32145" s="612"/>
      <c r="H32145" s="612"/>
    </row>
    <row r="32146">
      <c r="B32146" s="612"/>
      <c r="H32146" s="612"/>
    </row>
    <row r="32147">
      <c r="B32147" s="612"/>
      <c r="H32147" s="612"/>
    </row>
    <row r="32148">
      <c r="B32148" s="612"/>
      <c r="H32148" s="612"/>
    </row>
    <row r="32149">
      <c r="B32149" s="612"/>
      <c r="H32149" s="612"/>
    </row>
    <row r="32150">
      <c r="B32150" s="612"/>
      <c r="H32150" s="612"/>
    </row>
    <row r="32151">
      <c r="B32151" s="612"/>
      <c r="H32151" s="612"/>
    </row>
    <row r="32152">
      <c r="B32152" s="612"/>
      <c r="H32152" s="612"/>
    </row>
    <row r="32153">
      <c r="B32153" s="612"/>
      <c r="H32153" s="612"/>
    </row>
    <row r="32154">
      <c r="B32154" s="612"/>
      <c r="H32154" s="612"/>
    </row>
    <row r="32155">
      <c r="B32155" s="612"/>
      <c r="H32155" s="612"/>
    </row>
    <row r="32156">
      <c r="B32156" s="612"/>
      <c r="H32156" s="612"/>
    </row>
    <row r="32157">
      <c r="B32157" s="612"/>
      <c r="H32157" s="612"/>
    </row>
    <row r="32158">
      <c r="B32158" s="612"/>
      <c r="H32158" s="612"/>
    </row>
    <row r="32159">
      <c r="B32159" s="612"/>
      <c r="H32159" s="612"/>
    </row>
    <row r="32160">
      <c r="B32160" s="612"/>
      <c r="H32160" s="612"/>
    </row>
    <row r="32161">
      <c r="B32161" s="612"/>
      <c r="H32161" s="612"/>
    </row>
    <row r="32162">
      <c r="B32162" s="612"/>
      <c r="H32162" s="612"/>
    </row>
    <row r="32163">
      <c r="B32163" s="612"/>
      <c r="H32163" s="612"/>
    </row>
    <row r="32164">
      <c r="B32164" s="612"/>
      <c r="H32164" s="612"/>
    </row>
    <row r="32165">
      <c r="B32165" s="612"/>
      <c r="H32165" s="612"/>
    </row>
    <row r="32166">
      <c r="B32166" s="612"/>
      <c r="H32166" s="612"/>
    </row>
    <row r="32167">
      <c r="B32167" s="612"/>
      <c r="H32167" s="612"/>
    </row>
    <row r="32168">
      <c r="B32168" s="612"/>
      <c r="H32168" s="612"/>
    </row>
    <row r="32169">
      <c r="B32169" s="612"/>
      <c r="H32169" s="612"/>
    </row>
    <row r="32170">
      <c r="B32170" s="612"/>
      <c r="H32170" s="612"/>
    </row>
    <row r="32171">
      <c r="B32171" s="612"/>
      <c r="H32171" s="612"/>
    </row>
    <row r="32172">
      <c r="B32172" s="612"/>
      <c r="H32172" s="612"/>
    </row>
    <row r="32173">
      <c r="B32173" s="612"/>
      <c r="H32173" s="612"/>
    </row>
    <row r="32174">
      <c r="B32174" s="612"/>
      <c r="H32174" s="612"/>
    </row>
    <row r="32175">
      <c r="B32175" s="612"/>
      <c r="H32175" s="612"/>
    </row>
    <row r="32176">
      <c r="B32176" s="612"/>
      <c r="H32176" s="612"/>
    </row>
    <row r="32177">
      <c r="B32177" s="612"/>
      <c r="H32177" s="612"/>
    </row>
    <row r="32178">
      <c r="B32178" s="612"/>
      <c r="H32178" s="612"/>
    </row>
    <row r="32179">
      <c r="B32179" s="612"/>
      <c r="H32179" s="612"/>
    </row>
    <row r="32180">
      <c r="B32180" s="612"/>
      <c r="H32180" s="612"/>
    </row>
    <row r="32181">
      <c r="B32181" s="612"/>
      <c r="H32181" s="612"/>
    </row>
    <row r="32182">
      <c r="B32182" s="612"/>
      <c r="H32182" s="612"/>
    </row>
    <row r="32183">
      <c r="B32183" s="612"/>
      <c r="H32183" s="612"/>
    </row>
    <row r="32184">
      <c r="B32184" s="612"/>
      <c r="H32184" s="612"/>
    </row>
    <row r="32185">
      <c r="B32185" s="612"/>
      <c r="H32185" s="612"/>
    </row>
    <row r="32186">
      <c r="B32186" s="612"/>
      <c r="H32186" s="612"/>
    </row>
    <row r="32187">
      <c r="B32187" s="612"/>
      <c r="H32187" s="612"/>
    </row>
    <row r="32188">
      <c r="B32188" s="612"/>
      <c r="H32188" s="612"/>
    </row>
    <row r="32189">
      <c r="B32189" s="612"/>
      <c r="H32189" s="612"/>
    </row>
    <row r="32190">
      <c r="B32190" s="612"/>
      <c r="H32190" s="612"/>
    </row>
    <row r="32191">
      <c r="B32191" s="612"/>
      <c r="H32191" s="612"/>
    </row>
    <row r="32192">
      <c r="B32192" s="612"/>
      <c r="H32192" s="612"/>
    </row>
    <row r="32193">
      <c r="B32193" s="612"/>
      <c r="H32193" s="612"/>
    </row>
    <row r="32194">
      <c r="B32194" s="612"/>
      <c r="H32194" s="612"/>
    </row>
    <row r="32195">
      <c r="B32195" s="612"/>
      <c r="H32195" s="612"/>
    </row>
    <row r="32196">
      <c r="B32196" s="612"/>
      <c r="H32196" s="612"/>
    </row>
    <row r="32197">
      <c r="B32197" s="612"/>
      <c r="H32197" s="612"/>
    </row>
    <row r="32198">
      <c r="B32198" s="612"/>
      <c r="H32198" s="612"/>
    </row>
    <row r="32199">
      <c r="B32199" s="612"/>
      <c r="H32199" s="612"/>
    </row>
    <row r="32200">
      <c r="B32200" s="612"/>
      <c r="H32200" s="612"/>
    </row>
    <row r="32201">
      <c r="B32201" s="612"/>
      <c r="H32201" s="612"/>
    </row>
    <row r="32202">
      <c r="B32202" s="612"/>
      <c r="H32202" s="612"/>
    </row>
    <row r="32203">
      <c r="B32203" s="612"/>
      <c r="H32203" s="612"/>
    </row>
    <row r="32204">
      <c r="B32204" s="612"/>
      <c r="H32204" s="612"/>
    </row>
    <row r="32205">
      <c r="B32205" s="612"/>
      <c r="H32205" s="612"/>
    </row>
    <row r="32206">
      <c r="B32206" s="612"/>
      <c r="H32206" s="612"/>
    </row>
    <row r="32207">
      <c r="B32207" s="612"/>
      <c r="H32207" s="612"/>
    </row>
    <row r="32208">
      <c r="B32208" s="612"/>
      <c r="H32208" s="612"/>
    </row>
    <row r="32209">
      <c r="B32209" s="612"/>
      <c r="H32209" s="612"/>
    </row>
    <row r="32210">
      <c r="B32210" s="612"/>
      <c r="H32210" s="612"/>
    </row>
    <row r="32211">
      <c r="B32211" s="612"/>
      <c r="H32211" s="612"/>
    </row>
    <row r="32212">
      <c r="B32212" s="612"/>
      <c r="H32212" s="612"/>
    </row>
    <row r="32213">
      <c r="B32213" s="612"/>
      <c r="H32213" s="612"/>
    </row>
    <row r="32214">
      <c r="B32214" s="612"/>
      <c r="H32214" s="612"/>
    </row>
    <row r="32215">
      <c r="B32215" s="612"/>
      <c r="H32215" s="612"/>
    </row>
    <row r="32216">
      <c r="B32216" s="612"/>
      <c r="H32216" s="612"/>
    </row>
    <row r="32217">
      <c r="B32217" s="612"/>
      <c r="H32217" s="612"/>
    </row>
    <row r="32218">
      <c r="B32218" s="612"/>
      <c r="H32218" s="612"/>
    </row>
    <row r="32219">
      <c r="B32219" s="612"/>
      <c r="H32219" s="612"/>
    </row>
    <row r="32220">
      <c r="B32220" s="612"/>
      <c r="H32220" s="612"/>
    </row>
    <row r="32221">
      <c r="B32221" s="612"/>
      <c r="H32221" s="612"/>
    </row>
    <row r="32222">
      <c r="B32222" s="612"/>
      <c r="H32222" s="612"/>
    </row>
    <row r="32223">
      <c r="B32223" s="612"/>
      <c r="H32223" s="612"/>
    </row>
    <row r="32224">
      <c r="B32224" s="612"/>
      <c r="H32224" s="612"/>
    </row>
    <row r="32225">
      <c r="B32225" s="612"/>
      <c r="H32225" s="612"/>
    </row>
    <row r="32226">
      <c r="B32226" s="612"/>
      <c r="H32226" s="612"/>
    </row>
    <row r="32227">
      <c r="B32227" s="612"/>
      <c r="H32227" s="612"/>
    </row>
    <row r="32228">
      <c r="B32228" s="612"/>
      <c r="H32228" s="612"/>
    </row>
    <row r="32229">
      <c r="B32229" s="612"/>
      <c r="H32229" s="612"/>
    </row>
    <row r="32230">
      <c r="B32230" s="612"/>
      <c r="H32230" s="612"/>
    </row>
    <row r="32231">
      <c r="B32231" s="612"/>
      <c r="H32231" s="612"/>
    </row>
    <row r="32232">
      <c r="B32232" s="612"/>
      <c r="H32232" s="612"/>
    </row>
    <row r="32233">
      <c r="B32233" s="612"/>
      <c r="H32233" s="612"/>
    </row>
    <row r="32234">
      <c r="B32234" s="612"/>
      <c r="H32234" s="612"/>
    </row>
    <row r="32235">
      <c r="B32235" s="612"/>
      <c r="H32235" s="612"/>
    </row>
    <row r="32236">
      <c r="B32236" s="612"/>
      <c r="H32236" s="612"/>
    </row>
    <row r="32237">
      <c r="B32237" s="612"/>
      <c r="H32237" s="612"/>
    </row>
    <row r="32238">
      <c r="B32238" s="612"/>
      <c r="H32238" s="612"/>
    </row>
    <row r="32239">
      <c r="B32239" s="612"/>
      <c r="H32239" s="612"/>
    </row>
    <row r="32240">
      <c r="B32240" s="612"/>
      <c r="H32240" s="612"/>
    </row>
    <row r="32241">
      <c r="B32241" s="612"/>
      <c r="H32241" s="612"/>
    </row>
    <row r="32242">
      <c r="B32242" s="612"/>
      <c r="H32242" s="612"/>
    </row>
    <row r="32243">
      <c r="B32243" s="612"/>
      <c r="H32243" s="612"/>
    </row>
    <row r="32244">
      <c r="B32244" s="612"/>
      <c r="H32244" s="612"/>
    </row>
    <row r="32245">
      <c r="B32245" s="612"/>
      <c r="H32245" s="612"/>
    </row>
    <row r="32246">
      <c r="B32246" s="612"/>
      <c r="H32246" s="612"/>
    </row>
    <row r="32247">
      <c r="B32247" s="612"/>
      <c r="H32247" s="612"/>
    </row>
    <row r="32248">
      <c r="B32248" s="612"/>
      <c r="H32248" s="612"/>
    </row>
    <row r="32249">
      <c r="B32249" s="612"/>
      <c r="H32249" s="612"/>
    </row>
    <row r="32250">
      <c r="B32250" s="612"/>
      <c r="H32250" s="612"/>
    </row>
    <row r="32251">
      <c r="B32251" s="612"/>
      <c r="H32251" s="612"/>
    </row>
    <row r="32252">
      <c r="B32252" s="612"/>
      <c r="H32252" s="612"/>
    </row>
    <row r="32253">
      <c r="B32253" s="612"/>
      <c r="H32253" s="612"/>
    </row>
    <row r="32254">
      <c r="B32254" s="612"/>
      <c r="H32254" s="612"/>
    </row>
    <row r="32255">
      <c r="B32255" s="612"/>
      <c r="H32255" s="612"/>
    </row>
    <row r="32256">
      <c r="B32256" s="612"/>
      <c r="H32256" s="612"/>
    </row>
    <row r="32257">
      <c r="B32257" s="612"/>
      <c r="H32257" s="612"/>
    </row>
    <row r="32258">
      <c r="B32258" s="612"/>
      <c r="H32258" s="612"/>
    </row>
    <row r="32259">
      <c r="B32259" s="612"/>
      <c r="H32259" s="612"/>
    </row>
    <row r="32260">
      <c r="B32260" s="612"/>
      <c r="H32260" s="612"/>
    </row>
    <row r="32261">
      <c r="B32261" s="612"/>
      <c r="H32261" s="612"/>
    </row>
    <row r="32262">
      <c r="B32262" s="612"/>
      <c r="H32262" s="612"/>
    </row>
    <row r="32263">
      <c r="B32263" s="612"/>
      <c r="H32263" s="612"/>
    </row>
    <row r="32264">
      <c r="B32264" s="612"/>
      <c r="H32264" s="612"/>
    </row>
    <row r="32265">
      <c r="B32265" s="612"/>
      <c r="H32265" s="612"/>
    </row>
    <row r="32266">
      <c r="B32266" s="612"/>
      <c r="H32266" s="612"/>
    </row>
    <row r="32267">
      <c r="B32267" s="612"/>
      <c r="H32267" s="612"/>
    </row>
    <row r="32268">
      <c r="B32268" s="612"/>
      <c r="H32268" s="612"/>
    </row>
    <row r="32269">
      <c r="B32269" s="612"/>
      <c r="H32269" s="612"/>
    </row>
    <row r="32270">
      <c r="B32270" s="612"/>
      <c r="H32270" s="612"/>
    </row>
    <row r="32271">
      <c r="B32271" s="612"/>
      <c r="H32271" s="612"/>
    </row>
    <row r="32272">
      <c r="B32272" s="612"/>
      <c r="H32272" s="612"/>
    </row>
    <row r="32273">
      <c r="B32273" s="612"/>
      <c r="H32273" s="612"/>
    </row>
    <row r="32274">
      <c r="B32274" s="612"/>
      <c r="H32274" s="612"/>
    </row>
    <row r="32275">
      <c r="B32275" s="612"/>
      <c r="H32275" s="612"/>
    </row>
    <row r="32276">
      <c r="B32276" s="612"/>
      <c r="H32276" s="612"/>
    </row>
    <row r="32277">
      <c r="B32277" s="612"/>
      <c r="H32277" s="612"/>
    </row>
    <row r="32278">
      <c r="B32278" s="612"/>
      <c r="H32278" s="612"/>
    </row>
    <row r="32279">
      <c r="B32279" s="612"/>
      <c r="H32279" s="612"/>
    </row>
    <row r="32280">
      <c r="B32280" s="612"/>
      <c r="H32280" s="612"/>
    </row>
    <row r="32281">
      <c r="B32281" s="612"/>
      <c r="H32281" s="612"/>
    </row>
    <row r="32282">
      <c r="B32282" s="612"/>
      <c r="H32282" s="612"/>
    </row>
    <row r="32283">
      <c r="B32283" s="612"/>
      <c r="H32283" s="612"/>
    </row>
    <row r="32284">
      <c r="B32284" s="612"/>
      <c r="H32284" s="612"/>
    </row>
    <row r="32285">
      <c r="B32285" s="612"/>
      <c r="H32285" s="612"/>
    </row>
    <row r="32286">
      <c r="B32286" s="612"/>
      <c r="H32286" s="612"/>
    </row>
    <row r="32287">
      <c r="B32287" s="612"/>
      <c r="H32287" s="612"/>
    </row>
    <row r="32288">
      <c r="B32288" s="612"/>
      <c r="H32288" s="612"/>
    </row>
    <row r="32289">
      <c r="B32289" s="612"/>
      <c r="H32289" s="612"/>
    </row>
    <row r="32290">
      <c r="B32290" s="612"/>
      <c r="H32290" s="612"/>
    </row>
    <row r="32291">
      <c r="B32291" s="612"/>
      <c r="H32291" s="612"/>
    </row>
    <row r="32292">
      <c r="B32292" s="612"/>
      <c r="H32292" s="612"/>
    </row>
    <row r="32293">
      <c r="B32293" s="612"/>
      <c r="H32293" s="612"/>
    </row>
    <row r="32294">
      <c r="B32294" s="612"/>
      <c r="H32294" s="612"/>
    </row>
    <row r="32295">
      <c r="B32295" s="612"/>
      <c r="H32295" s="612"/>
    </row>
    <row r="32296">
      <c r="B32296" s="612"/>
      <c r="H32296" s="612"/>
    </row>
    <row r="32297">
      <c r="B32297" s="612"/>
      <c r="H32297" s="612"/>
    </row>
    <row r="32298">
      <c r="B32298" s="612"/>
      <c r="H32298" s="612"/>
    </row>
    <row r="32299">
      <c r="B32299" s="612"/>
      <c r="H32299" s="612"/>
    </row>
    <row r="32300">
      <c r="B32300" s="612"/>
      <c r="H32300" s="612"/>
    </row>
    <row r="32301">
      <c r="B32301" s="612"/>
      <c r="H32301" s="612"/>
    </row>
    <row r="32302">
      <c r="B32302" s="612"/>
      <c r="H32302" s="612"/>
    </row>
    <row r="32303">
      <c r="B32303" s="612"/>
      <c r="H32303" s="612"/>
    </row>
    <row r="32304">
      <c r="B32304" s="612"/>
      <c r="H32304" s="612"/>
    </row>
    <row r="32305">
      <c r="B32305" s="612"/>
      <c r="H32305" s="612"/>
    </row>
    <row r="32306">
      <c r="B32306" s="612"/>
      <c r="H32306" s="612"/>
    </row>
    <row r="32307">
      <c r="B32307" s="612"/>
      <c r="H32307" s="612"/>
    </row>
    <row r="32308">
      <c r="B32308" s="612"/>
      <c r="H32308" s="612"/>
    </row>
    <row r="32309">
      <c r="B32309" s="612"/>
      <c r="H32309" s="612"/>
    </row>
    <row r="32310">
      <c r="B32310" s="612"/>
      <c r="H32310" s="612"/>
    </row>
    <row r="32311">
      <c r="B32311" s="612"/>
      <c r="H32311" s="612"/>
    </row>
    <row r="32312">
      <c r="B32312" s="612"/>
      <c r="H32312" s="612"/>
    </row>
    <row r="32313">
      <c r="B32313" s="612"/>
      <c r="H32313" s="612"/>
    </row>
    <row r="32314">
      <c r="B32314" s="612"/>
      <c r="H32314" s="612"/>
    </row>
    <row r="32315">
      <c r="B32315" s="612"/>
      <c r="H32315" s="612"/>
    </row>
    <row r="32316">
      <c r="B32316" s="612"/>
      <c r="H32316" s="612"/>
    </row>
    <row r="32317">
      <c r="B32317" s="612"/>
      <c r="H32317" s="612"/>
    </row>
    <row r="32318">
      <c r="B32318" s="612"/>
      <c r="H32318" s="612"/>
    </row>
    <row r="32319">
      <c r="B32319" s="612"/>
      <c r="H32319" s="612"/>
    </row>
    <row r="32320">
      <c r="B32320" s="612"/>
      <c r="H32320" s="612"/>
    </row>
    <row r="32321">
      <c r="B32321" s="612"/>
      <c r="H32321" s="612"/>
    </row>
    <row r="32322">
      <c r="B32322" s="612"/>
      <c r="H32322" s="612"/>
    </row>
    <row r="32323">
      <c r="B32323" s="612"/>
      <c r="H32323" s="612"/>
    </row>
    <row r="32324">
      <c r="B32324" s="612"/>
      <c r="H32324" s="612"/>
    </row>
    <row r="32325">
      <c r="B32325" s="612"/>
      <c r="H32325" s="612"/>
    </row>
    <row r="32326">
      <c r="B32326" s="612"/>
      <c r="H32326" s="612"/>
    </row>
    <row r="32327">
      <c r="B32327" s="612"/>
      <c r="H32327" s="612"/>
    </row>
    <row r="32328">
      <c r="B32328" s="612"/>
      <c r="H32328" s="612"/>
    </row>
    <row r="32329">
      <c r="B32329" s="612"/>
      <c r="H32329" s="612"/>
    </row>
    <row r="32330">
      <c r="B32330" s="612"/>
      <c r="H32330" s="612"/>
    </row>
    <row r="32331">
      <c r="B32331" s="612"/>
      <c r="H32331" s="612"/>
    </row>
    <row r="32332">
      <c r="B32332" s="612"/>
      <c r="H32332" s="612"/>
    </row>
    <row r="32333">
      <c r="B32333" s="612"/>
      <c r="H32333" s="612"/>
    </row>
    <row r="32334">
      <c r="B32334" s="612"/>
      <c r="H32334" s="612"/>
    </row>
    <row r="32335">
      <c r="B32335" s="612"/>
      <c r="H32335" s="612"/>
    </row>
    <row r="32336">
      <c r="B32336" s="612"/>
      <c r="H32336" s="612"/>
    </row>
    <row r="32337">
      <c r="B32337" s="612"/>
      <c r="H32337" s="612"/>
    </row>
    <row r="32338">
      <c r="B32338" s="612"/>
      <c r="H32338" s="612"/>
    </row>
    <row r="32339">
      <c r="B32339" s="612"/>
      <c r="H32339" s="612"/>
    </row>
    <row r="32340">
      <c r="B32340" s="612"/>
      <c r="H32340" s="612"/>
    </row>
    <row r="32341">
      <c r="B32341" s="612"/>
      <c r="H32341" s="612"/>
    </row>
    <row r="32342">
      <c r="B32342" s="612"/>
      <c r="H32342" s="612"/>
    </row>
    <row r="32343">
      <c r="B32343" s="612"/>
      <c r="H32343" s="612"/>
    </row>
    <row r="32344">
      <c r="B32344" s="612"/>
      <c r="H32344" s="612"/>
    </row>
    <row r="32345">
      <c r="B32345" s="612"/>
      <c r="H32345" s="612"/>
    </row>
    <row r="32346">
      <c r="B32346" s="612"/>
      <c r="H32346" s="612"/>
    </row>
    <row r="32347">
      <c r="B32347" s="612"/>
      <c r="H32347" s="612"/>
    </row>
    <row r="32348">
      <c r="B32348" s="612"/>
      <c r="H32348" s="612"/>
    </row>
    <row r="32349">
      <c r="B32349" s="612"/>
      <c r="H32349" s="612"/>
    </row>
    <row r="32350">
      <c r="B32350" s="612"/>
      <c r="H32350" s="612"/>
    </row>
    <row r="32351">
      <c r="B32351" s="612"/>
      <c r="H32351" s="612"/>
    </row>
    <row r="32352">
      <c r="B32352" s="612"/>
      <c r="H32352" s="612"/>
    </row>
    <row r="32353">
      <c r="B32353" s="612"/>
      <c r="H32353" s="612"/>
    </row>
    <row r="32354">
      <c r="B32354" s="612"/>
      <c r="H32354" s="612"/>
    </row>
    <row r="32355">
      <c r="B32355" s="612"/>
      <c r="H32355" s="612"/>
    </row>
    <row r="32356">
      <c r="B32356" s="612"/>
      <c r="H32356" s="612"/>
    </row>
    <row r="32357">
      <c r="B32357" s="612"/>
      <c r="H32357" s="612"/>
    </row>
    <row r="32358">
      <c r="B32358" s="612"/>
      <c r="H32358" s="612"/>
    </row>
    <row r="32359">
      <c r="B32359" s="612"/>
      <c r="H32359" s="612"/>
    </row>
    <row r="32360">
      <c r="B32360" s="612"/>
      <c r="H32360" s="612"/>
    </row>
    <row r="32361">
      <c r="B32361" s="612"/>
      <c r="H32361" s="612"/>
    </row>
    <row r="32362">
      <c r="B32362" s="612"/>
      <c r="H32362" s="612"/>
    </row>
    <row r="32363">
      <c r="B32363" s="612"/>
      <c r="H32363" s="612"/>
    </row>
    <row r="32364">
      <c r="B32364" s="612"/>
      <c r="H32364" s="612"/>
    </row>
    <row r="32365">
      <c r="B32365" s="612"/>
      <c r="H32365" s="612"/>
    </row>
    <row r="32366">
      <c r="B32366" s="612"/>
      <c r="H32366" s="612"/>
    </row>
    <row r="32367">
      <c r="B32367" s="612"/>
      <c r="H32367" s="612"/>
    </row>
    <row r="32368">
      <c r="B32368" s="612"/>
      <c r="H32368" s="612"/>
    </row>
    <row r="32369">
      <c r="B32369" s="612"/>
      <c r="H32369" s="612"/>
    </row>
    <row r="32370">
      <c r="B32370" s="612"/>
      <c r="H32370" s="612"/>
    </row>
    <row r="32371">
      <c r="B32371" s="612"/>
      <c r="H32371" s="612"/>
    </row>
    <row r="32372">
      <c r="B32372" s="612"/>
      <c r="H32372" s="612"/>
    </row>
    <row r="32373">
      <c r="B32373" s="612"/>
      <c r="H32373" s="612"/>
    </row>
    <row r="32374">
      <c r="B32374" s="612"/>
      <c r="H32374" s="612"/>
    </row>
    <row r="32375">
      <c r="B32375" s="612"/>
      <c r="H32375" s="612"/>
    </row>
    <row r="32376">
      <c r="B32376" s="612"/>
      <c r="H32376" s="612"/>
    </row>
    <row r="32377">
      <c r="B32377" s="612"/>
      <c r="H32377" s="612"/>
    </row>
    <row r="32378">
      <c r="B32378" s="612"/>
      <c r="H32378" s="612"/>
    </row>
    <row r="32379">
      <c r="B32379" s="612"/>
      <c r="H32379" s="612"/>
    </row>
    <row r="32380">
      <c r="B32380" s="612"/>
      <c r="H32380" s="612"/>
    </row>
    <row r="32381">
      <c r="B32381" s="612"/>
      <c r="H32381" s="612"/>
    </row>
    <row r="32382">
      <c r="B32382" s="612"/>
      <c r="H32382" s="612"/>
    </row>
    <row r="32383">
      <c r="B32383" s="612"/>
      <c r="H32383" s="612"/>
    </row>
    <row r="32384">
      <c r="B32384" s="612"/>
      <c r="H32384" s="612"/>
    </row>
    <row r="32385">
      <c r="B32385" s="612"/>
      <c r="H32385" s="612"/>
    </row>
    <row r="32386">
      <c r="B32386" s="612"/>
      <c r="H32386" s="612"/>
    </row>
    <row r="32387">
      <c r="B32387" s="612"/>
      <c r="H32387" s="612"/>
    </row>
    <row r="32388">
      <c r="B32388" s="612"/>
      <c r="H32388" s="612"/>
    </row>
    <row r="32389">
      <c r="B32389" s="612"/>
      <c r="H32389" s="612"/>
    </row>
    <row r="32390">
      <c r="B32390" s="612"/>
      <c r="H32390" s="612"/>
    </row>
    <row r="32391">
      <c r="B32391" s="612"/>
      <c r="H32391" s="612"/>
    </row>
    <row r="32392">
      <c r="B32392" s="612"/>
      <c r="H32392" s="612"/>
    </row>
    <row r="32393">
      <c r="B32393" s="612"/>
      <c r="H32393" s="612"/>
    </row>
    <row r="32394">
      <c r="B32394" s="612"/>
      <c r="H32394" s="612"/>
    </row>
    <row r="32395">
      <c r="B32395" s="612"/>
      <c r="H32395" s="612"/>
    </row>
    <row r="32396">
      <c r="B32396" s="612"/>
      <c r="H32396" s="612"/>
    </row>
    <row r="32397">
      <c r="B32397" s="612"/>
      <c r="H32397" s="612"/>
    </row>
    <row r="32398">
      <c r="B32398" s="612"/>
      <c r="H32398" s="612"/>
    </row>
    <row r="32399">
      <c r="B32399" s="612"/>
      <c r="H32399" s="612"/>
    </row>
    <row r="32400">
      <c r="B32400" s="612"/>
      <c r="H32400" s="612"/>
    </row>
    <row r="32401">
      <c r="B32401" s="612"/>
      <c r="H32401" s="612"/>
    </row>
    <row r="32402">
      <c r="B32402" s="612"/>
      <c r="H32402" s="612"/>
    </row>
    <row r="32403">
      <c r="B32403" s="612"/>
      <c r="H32403" s="612"/>
    </row>
    <row r="32404">
      <c r="B32404" s="612"/>
      <c r="H32404" s="612"/>
    </row>
    <row r="32405">
      <c r="B32405" s="612"/>
      <c r="H32405" s="612"/>
    </row>
    <row r="32406">
      <c r="B32406" s="612"/>
      <c r="H32406" s="612"/>
    </row>
    <row r="32407">
      <c r="B32407" s="612"/>
      <c r="H32407" s="612"/>
    </row>
    <row r="32408">
      <c r="B32408" s="612"/>
      <c r="H32408" s="612"/>
    </row>
    <row r="32409">
      <c r="B32409" s="612"/>
      <c r="H32409" s="612"/>
    </row>
    <row r="32410">
      <c r="B32410" s="612"/>
      <c r="H32410" s="612"/>
    </row>
    <row r="32411">
      <c r="B32411" s="612"/>
      <c r="H32411" s="612"/>
    </row>
    <row r="32412">
      <c r="B32412" s="612"/>
      <c r="H32412" s="612"/>
    </row>
    <row r="32413">
      <c r="B32413" s="612"/>
      <c r="H32413" s="612"/>
    </row>
    <row r="32414">
      <c r="B32414" s="612"/>
      <c r="H32414" s="612"/>
    </row>
    <row r="32415">
      <c r="B32415" s="612"/>
      <c r="H32415" s="612"/>
    </row>
    <row r="32416">
      <c r="B32416" s="612"/>
      <c r="H32416" s="612"/>
    </row>
    <row r="32417">
      <c r="B32417" s="612"/>
      <c r="H32417" s="612"/>
    </row>
    <row r="32418">
      <c r="B32418" s="612"/>
      <c r="H32418" s="612"/>
    </row>
    <row r="32419">
      <c r="B32419" s="612"/>
      <c r="H32419" s="612"/>
    </row>
    <row r="32420">
      <c r="B32420" s="612"/>
      <c r="H32420" s="612"/>
    </row>
    <row r="32421">
      <c r="B32421" s="612"/>
      <c r="H32421" s="612"/>
    </row>
    <row r="32422">
      <c r="B32422" s="612"/>
      <c r="H32422" s="612"/>
    </row>
    <row r="32423">
      <c r="B32423" s="612"/>
      <c r="H32423" s="612"/>
    </row>
    <row r="32424">
      <c r="B32424" s="612"/>
      <c r="H32424" s="612"/>
    </row>
    <row r="32425">
      <c r="B32425" s="612"/>
      <c r="H32425" s="612"/>
    </row>
    <row r="32426">
      <c r="B32426" s="612"/>
      <c r="H32426" s="612"/>
    </row>
    <row r="32427">
      <c r="B32427" s="612"/>
      <c r="H32427" s="612"/>
    </row>
    <row r="32428">
      <c r="B32428" s="612"/>
      <c r="H32428" s="612"/>
    </row>
    <row r="32429">
      <c r="B32429" s="612"/>
      <c r="H32429" s="612"/>
    </row>
    <row r="32430">
      <c r="B32430" s="612"/>
      <c r="H32430" s="612"/>
    </row>
    <row r="32431">
      <c r="B32431" s="612"/>
      <c r="H32431" s="612"/>
    </row>
    <row r="32432">
      <c r="B32432" s="612"/>
      <c r="H32432" s="612"/>
    </row>
    <row r="32433">
      <c r="B32433" s="612"/>
      <c r="H32433" s="612"/>
    </row>
    <row r="32434">
      <c r="B32434" s="612"/>
      <c r="H32434" s="612"/>
    </row>
    <row r="32435">
      <c r="B32435" s="612"/>
      <c r="H32435" s="612"/>
    </row>
    <row r="32436">
      <c r="B32436" s="612"/>
      <c r="H32436" s="612"/>
    </row>
    <row r="32437">
      <c r="B32437" s="612"/>
      <c r="H32437" s="612"/>
    </row>
    <row r="32438">
      <c r="B32438" s="612"/>
      <c r="H32438" s="612"/>
    </row>
    <row r="32439">
      <c r="B32439" s="612"/>
      <c r="H32439" s="612"/>
    </row>
    <row r="32440">
      <c r="B32440" s="612"/>
      <c r="H32440" s="612"/>
    </row>
    <row r="32441">
      <c r="B32441" s="612"/>
      <c r="H32441" s="612"/>
    </row>
    <row r="32442">
      <c r="B32442" s="612"/>
      <c r="H32442" s="612"/>
    </row>
    <row r="32443">
      <c r="B32443" s="612"/>
      <c r="H32443" s="612"/>
    </row>
    <row r="32444">
      <c r="B32444" s="612"/>
      <c r="H32444" s="612"/>
    </row>
    <row r="32445">
      <c r="B32445" s="612"/>
      <c r="H32445" s="612"/>
    </row>
    <row r="32446">
      <c r="B32446" s="612"/>
      <c r="H32446" s="612"/>
    </row>
    <row r="32447">
      <c r="B32447" s="612"/>
      <c r="H32447" s="612"/>
    </row>
    <row r="32448">
      <c r="B32448" s="612"/>
      <c r="H32448" s="612"/>
    </row>
    <row r="32449">
      <c r="B32449" s="612"/>
      <c r="H32449" s="612"/>
    </row>
    <row r="32450">
      <c r="B32450" s="612"/>
      <c r="H32450" s="612"/>
    </row>
    <row r="32451">
      <c r="B32451" s="612"/>
      <c r="H32451" s="612"/>
    </row>
    <row r="32452">
      <c r="B32452" s="612"/>
      <c r="H32452" s="612"/>
    </row>
    <row r="32453">
      <c r="B32453" s="612"/>
      <c r="H32453" s="612"/>
    </row>
    <row r="32454">
      <c r="B32454" s="612"/>
      <c r="H32454" s="612"/>
    </row>
    <row r="32455">
      <c r="B32455" s="612"/>
      <c r="H32455" s="612"/>
    </row>
    <row r="32456">
      <c r="B32456" s="612"/>
      <c r="H32456" s="612"/>
    </row>
    <row r="32457">
      <c r="B32457" s="612"/>
      <c r="H32457" s="612"/>
    </row>
    <row r="32458">
      <c r="B32458" s="612"/>
      <c r="H32458" s="612"/>
    </row>
    <row r="32459">
      <c r="B32459" s="612"/>
      <c r="H32459" s="612"/>
    </row>
    <row r="32460">
      <c r="B32460" s="612"/>
      <c r="H32460" s="612"/>
    </row>
    <row r="32461">
      <c r="B32461" s="612"/>
      <c r="H32461" s="612"/>
    </row>
    <row r="32462">
      <c r="B32462" s="612"/>
      <c r="H32462" s="612"/>
    </row>
    <row r="32463">
      <c r="B32463" s="612"/>
      <c r="H32463" s="612"/>
    </row>
    <row r="32464">
      <c r="B32464" s="612"/>
      <c r="H32464" s="612"/>
    </row>
    <row r="32465">
      <c r="B32465" s="612"/>
      <c r="H32465" s="612"/>
    </row>
    <row r="32466">
      <c r="B32466" s="612"/>
      <c r="H32466" s="612"/>
    </row>
    <row r="32467">
      <c r="B32467" s="612"/>
      <c r="H32467" s="612"/>
    </row>
    <row r="32468">
      <c r="B32468" s="612"/>
      <c r="H32468" s="612"/>
    </row>
    <row r="32469">
      <c r="B32469" s="612"/>
      <c r="H32469" s="612"/>
    </row>
    <row r="32470">
      <c r="B32470" s="612"/>
      <c r="H32470" s="612"/>
    </row>
    <row r="32471">
      <c r="B32471" s="612"/>
      <c r="H32471" s="612"/>
    </row>
    <row r="32472">
      <c r="B32472" s="612"/>
      <c r="H32472" s="612"/>
    </row>
    <row r="32473">
      <c r="B32473" s="612"/>
      <c r="H32473" s="612"/>
    </row>
    <row r="32474">
      <c r="B32474" s="612"/>
      <c r="H32474" s="612"/>
    </row>
    <row r="32475">
      <c r="B32475" s="612"/>
      <c r="H32475" s="612"/>
    </row>
    <row r="32476">
      <c r="B32476" s="612"/>
      <c r="H32476" s="612"/>
    </row>
    <row r="32477">
      <c r="B32477" s="612"/>
      <c r="H32477" s="612"/>
    </row>
    <row r="32478">
      <c r="B32478" s="612"/>
      <c r="H32478" s="612"/>
    </row>
    <row r="32479">
      <c r="B32479" s="612"/>
      <c r="H32479" s="612"/>
    </row>
    <row r="32480">
      <c r="B32480" s="612"/>
      <c r="H32480" s="612"/>
    </row>
    <row r="32481">
      <c r="B32481" s="612"/>
      <c r="H32481" s="612"/>
    </row>
    <row r="32482">
      <c r="B32482" s="612"/>
      <c r="H32482" s="612"/>
    </row>
    <row r="32483">
      <c r="B32483" s="612"/>
      <c r="H32483" s="612"/>
    </row>
    <row r="32484">
      <c r="B32484" s="612"/>
      <c r="H32484" s="612"/>
    </row>
    <row r="32485">
      <c r="B32485" s="612"/>
      <c r="H32485" s="612"/>
    </row>
    <row r="32486">
      <c r="B32486" s="612"/>
      <c r="H32486" s="612"/>
    </row>
    <row r="32487">
      <c r="B32487" s="612"/>
      <c r="H32487" s="612"/>
    </row>
    <row r="32488">
      <c r="B32488" s="612"/>
      <c r="H32488" s="612"/>
    </row>
    <row r="32489">
      <c r="B32489" s="612"/>
      <c r="H32489" s="612"/>
    </row>
    <row r="32490">
      <c r="B32490" s="612"/>
      <c r="H32490" s="612"/>
    </row>
    <row r="32491">
      <c r="B32491" s="612"/>
      <c r="H32491" s="612"/>
    </row>
    <row r="32492">
      <c r="B32492" s="612"/>
      <c r="H32492" s="612"/>
    </row>
    <row r="32493">
      <c r="B32493" s="612"/>
      <c r="H32493" s="612"/>
    </row>
    <row r="32494">
      <c r="B32494" s="612"/>
      <c r="H32494" s="612"/>
    </row>
    <row r="32495">
      <c r="B32495" s="612"/>
      <c r="H32495" s="612"/>
    </row>
    <row r="32496">
      <c r="B32496" s="612"/>
      <c r="H32496" s="612"/>
    </row>
    <row r="32497">
      <c r="B32497" s="612"/>
      <c r="H32497" s="612"/>
    </row>
    <row r="32498">
      <c r="B32498" s="612"/>
      <c r="H32498" s="612"/>
    </row>
    <row r="32499">
      <c r="B32499" s="612"/>
      <c r="H32499" s="612"/>
    </row>
    <row r="32500">
      <c r="B32500" s="612"/>
      <c r="H32500" s="612"/>
    </row>
    <row r="32501">
      <c r="B32501" s="612"/>
      <c r="H32501" s="612"/>
    </row>
    <row r="32502">
      <c r="B32502" s="612"/>
      <c r="H32502" s="612"/>
    </row>
    <row r="32503">
      <c r="B32503" s="612"/>
      <c r="H32503" s="612"/>
    </row>
    <row r="32504">
      <c r="B32504" s="612"/>
      <c r="H32504" s="612"/>
    </row>
    <row r="32505">
      <c r="B32505" s="612"/>
      <c r="H32505" s="612"/>
    </row>
    <row r="32506">
      <c r="B32506" s="612"/>
      <c r="H32506" s="612"/>
    </row>
    <row r="32507">
      <c r="B32507" s="612"/>
      <c r="H32507" s="612"/>
    </row>
    <row r="32508">
      <c r="B32508" s="612"/>
      <c r="H32508" s="612"/>
    </row>
    <row r="32509">
      <c r="B32509" s="612"/>
      <c r="H32509" s="612"/>
    </row>
    <row r="32510">
      <c r="B32510" s="612"/>
      <c r="H32510" s="612"/>
    </row>
    <row r="32511">
      <c r="B32511" s="612"/>
      <c r="H32511" s="612"/>
    </row>
    <row r="32512">
      <c r="B32512" s="612"/>
      <c r="H32512" s="612"/>
    </row>
    <row r="32513">
      <c r="B32513" s="612"/>
      <c r="H32513" s="612"/>
    </row>
    <row r="32514">
      <c r="B32514" s="612"/>
      <c r="H32514" s="612"/>
    </row>
    <row r="32515">
      <c r="B32515" s="612"/>
      <c r="H32515" s="612"/>
    </row>
    <row r="32516">
      <c r="B32516" s="612"/>
      <c r="H32516" s="612"/>
    </row>
    <row r="32517">
      <c r="B32517" s="612"/>
      <c r="H32517" s="612"/>
    </row>
    <row r="32518">
      <c r="B32518" s="612"/>
      <c r="H32518" s="612"/>
    </row>
    <row r="32519">
      <c r="B32519" s="612"/>
      <c r="H32519" s="612"/>
    </row>
    <row r="32520">
      <c r="B32520" s="612"/>
      <c r="H32520" s="612"/>
    </row>
    <row r="32521">
      <c r="B32521" s="612"/>
      <c r="H32521" s="612"/>
    </row>
    <row r="32522">
      <c r="B32522" s="612"/>
      <c r="H32522" s="612"/>
    </row>
    <row r="32523">
      <c r="B32523" s="612"/>
      <c r="H32523" s="612"/>
    </row>
    <row r="32524">
      <c r="B32524" s="612"/>
      <c r="H32524" s="612"/>
    </row>
    <row r="32525">
      <c r="B32525" s="612"/>
      <c r="H32525" s="612"/>
    </row>
    <row r="32526">
      <c r="B32526" s="612"/>
      <c r="H32526" s="612"/>
    </row>
    <row r="32527">
      <c r="B32527" s="612"/>
      <c r="H32527" s="612"/>
    </row>
    <row r="32528">
      <c r="B32528" s="612"/>
      <c r="H32528" s="612"/>
    </row>
    <row r="32529">
      <c r="B32529" s="612"/>
      <c r="H32529" s="612"/>
    </row>
    <row r="32530">
      <c r="B32530" s="612"/>
      <c r="H32530" s="612"/>
    </row>
    <row r="32531">
      <c r="B32531" s="612"/>
      <c r="H32531" s="612"/>
    </row>
    <row r="32532">
      <c r="B32532" s="612"/>
      <c r="H32532" s="612"/>
    </row>
    <row r="32533">
      <c r="B32533" s="612"/>
      <c r="H32533" s="612"/>
    </row>
    <row r="32534">
      <c r="B32534" s="612"/>
      <c r="H32534" s="612"/>
    </row>
    <row r="32535">
      <c r="B32535" s="612"/>
      <c r="H32535" s="612"/>
    </row>
    <row r="32536">
      <c r="B32536" s="612"/>
      <c r="H32536" s="612"/>
    </row>
    <row r="32537">
      <c r="B32537" s="612"/>
      <c r="H32537" s="612"/>
    </row>
    <row r="32538">
      <c r="B32538" s="612"/>
      <c r="H32538" s="612"/>
    </row>
    <row r="32539">
      <c r="B32539" s="612"/>
      <c r="H32539" s="612"/>
    </row>
    <row r="32540">
      <c r="B32540" s="612"/>
      <c r="H32540" s="612"/>
    </row>
    <row r="32541">
      <c r="B32541" s="612"/>
      <c r="H32541" s="612"/>
    </row>
    <row r="32542">
      <c r="B32542" s="612"/>
      <c r="H32542" s="612"/>
    </row>
    <row r="32543">
      <c r="B32543" s="612"/>
      <c r="H32543" s="612"/>
    </row>
    <row r="32544">
      <c r="B32544" s="612"/>
      <c r="H32544" s="612"/>
    </row>
    <row r="32545">
      <c r="B32545" s="612"/>
      <c r="H32545" s="612"/>
    </row>
    <row r="32546">
      <c r="B32546" s="612"/>
      <c r="H32546" s="612"/>
    </row>
    <row r="32547">
      <c r="B32547" s="612"/>
      <c r="H32547" s="612"/>
    </row>
    <row r="32548">
      <c r="B32548" s="612"/>
      <c r="H32548" s="612"/>
    </row>
    <row r="32549">
      <c r="B32549" s="612"/>
      <c r="H32549" s="612"/>
    </row>
    <row r="32550">
      <c r="B32550" s="612"/>
      <c r="H32550" s="612"/>
    </row>
    <row r="32551">
      <c r="B32551" s="612"/>
      <c r="H32551" s="612"/>
    </row>
    <row r="32552">
      <c r="B32552" s="612"/>
      <c r="H32552" s="612"/>
    </row>
    <row r="32553">
      <c r="B32553" s="612"/>
      <c r="H32553" s="612"/>
    </row>
    <row r="32554">
      <c r="B32554" s="612"/>
      <c r="H32554" s="612"/>
    </row>
    <row r="32555">
      <c r="B32555" s="612"/>
      <c r="H32555" s="612"/>
    </row>
    <row r="32556">
      <c r="B32556" s="612"/>
      <c r="H32556" s="612"/>
    </row>
    <row r="32557">
      <c r="B32557" s="612"/>
      <c r="H32557" s="612"/>
    </row>
    <row r="32558">
      <c r="B32558" s="612"/>
      <c r="H32558" s="612"/>
    </row>
    <row r="32559">
      <c r="B32559" s="612"/>
      <c r="H32559" s="612"/>
    </row>
    <row r="32560">
      <c r="B32560" s="612"/>
      <c r="H32560" s="612"/>
    </row>
    <row r="32561">
      <c r="B32561" s="612"/>
      <c r="H32561" s="612"/>
    </row>
    <row r="32562">
      <c r="B32562" s="612"/>
      <c r="H32562" s="612"/>
    </row>
    <row r="32563">
      <c r="B32563" s="612"/>
      <c r="H32563" s="612"/>
    </row>
    <row r="32564">
      <c r="B32564" s="612"/>
      <c r="H32564" s="612"/>
    </row>
    <row r="32565">
      <c r="B32565" s="612"/>
      <c r="H32565" s="612"/>
    </row>
    <row r="32566">
      <c r="B32566" s="612"/>
      <c r="H32566" s="612"/>
    </row>
    <row r="32567">
      <c r="B32567" s="612"/>
      <c r="H32567" s="612"/>
    </row>
    <row r="32568">
      <c r="B32568" s="612"/>
      <c r="H32568" s="612"/>
    </row>
    <row r="32569">
      <c r="B32569" s="612"/>
      <c r="H32569" s="612"/>
    </row>
    <row r="32570">
      <c r="B32570" s="612"/>
      <c r="H32570" s="612"/>
    </row>
    <row r="32571">
      <c r="B32571" s="612"/>
      <c r="H32571" s="612"/>
    </row>
    <row r="32572">
      <c r="B32572" s="612"/>
      <c r="H32572" s="612"/>
    </row>
    <row r="32573">
      <c r="B32573" s="612"/>
      <c r="H32573" s="612"/>
    </row>
    <row r="32574">
      <c r="B32574" s="612"/>
      <c r="H32574" s="612"/>
    </row>
    <row r="32575">
      <c r="B32575" s="612"/>
      <c r="H32575" s="612"/>
    </row>
    <row r="32576">
      <c r="B32576" s="612"/>
      <c r="H32576" s="612"/>
    </row>
    <row r="32577">
      <c r="B32577" s="612"/>
      <c r="H32577" s="612"/>
    </row>
    <row r="32578">
      <c r="B32578" s="612"/>
      <c r="H32578" s="612"/>
    </row>
    <row r="32579">
      <c r="B32579" s="612"/>
      <c r="H32579" s="612"/>
    </row>
    <row r="32580">
      <c r="B32580" s="612"/>
      <c r="H32580" s="612"/>
    </row>
    <row r="32581">
      <c r="B32581" s="612"/>
      <c r="H32581" s="612"/>
    </row>
    <row r="32582">
      <c r="B32582" s="612"/>
      <c r="H32582" s="612"/>
    </row>
    <row r="32583">
      <c r="B32583" s="612"/>
      <c r="H32583" s="612"/>
    </row>
    <row r="32584">
      <c r="B32584" s="612"/>
      <c r="H32584" s="612"/>
    </row>
    <row r="32585">
      <c r="B32585" s="612"/>
      <c r="H32585" s="612"/>
    </row>
    <row r="32586">
      <c r="B32586" s="612"/>
      <c r="H32586" s="612"/>
    </row>
    <row r="32587">
      <c r="B32587" s="612"/>
      <c r="H32587" s="612"/>
    </row>
    <row r="32588">
      <c r="B32588" s="612"/>
      <c r="H32588" s="612"/>
    </row>
    <row r="32589">
      <c r="B32589" s="612"/>
      <c r="H32589" s="612"/>
    </row>
    <row r="32590">
      <c r="B32590" s="612"/>
      <c r="H32590" s="612"/>
    </row>
    <row r="32591">
      <c r="B32591" s="612"/>
      <c r="H32591" s="612"/>
    </row>
    <row r="32592">
      <c r="B32592" s="612"/>
      <c r="H32592" s="612"/>
    </row>
    <row r="32593">
      <c r="B32593" s="612"/>
      <c r="H32593" s="612"/>
    </row>
    <row r="32594">
      <c r="B32594" s="612"/>
      <c r="H32594" s="612"/>
    </row>
    <row r="32595">
      <c r="B32595" s="612"/>
      <c r="H32595" s="612"/>
    </row>
    <row r="32596">
      <c r="B32596" s="612"/>
      <c r="H32596" s="612"/>
    </row>
    <row r="32597">
      <c r="B32597" s="612"/>
      <c r="H32597" s="612"/>
    </row>
    <row r="32598">
      <c r="B32598" s="612"/>
      <c r="H32598" s="612"/>
    </row>
    <row r="32599">
      <c r="B32599" s="612"/>
      <c r="H32599" s="612"/>
    </row>
    <row r="32600">
      <c r="B32600" s="612"/>
      <c r="H32600" s="612"/>
    </row>
    <row r="32601">
      <c r="B32601" s="612"/>
      <c r="H32601" s="612"/>
    </row>
    <row r="32602">
      <c r="B32602" s="612"/>
      <c r="H32602" s="612"/>
    </row>
    <row r="32603">
      <c r="B32603" s="612"/>
      <c r="H32603" s="612"/>
    </row>
    <row r="32604">
      <c r="B32604" s="612"/>
      <c r="H32604" s="612"/>
    </row>
    <row r="32605">
      <c r="B32605" s="612"/>
      <c r="H32605" s="612"/>
    </row>
    <row r="32606">
      <c r="B32606" s="612"/>
      <c r="H32606" s="612"/>
    </row>
    <row r="32607">
      <c r="B32607" s="612"/>
      <c r="H32607" s="612"/>
    </row>
    <row r="32608">
      <c r="B32608" s="612"/>
      <c r="H32608" s="612"/>
    </row>
    <row r="32609">
      <c r="B32609" s="612"/>
      <c r="H32609" s="612"/>
    </row>
    <row r="32610">
      <c r="B32610" s="612"/>
      <c r="H32610" s="612"/>
    </row>
    <row r="32611">
      <c r="B32611" s="612"/>
      <c r="H32611" s="612"/>
    </row>
    <row r="32612">
      <c r="B32612" s="612"/>
      <c r="H32612" s="612"/>
    </row>
    <row r="32613">
      <c r="B32613" s="612"/>
      <c r="H32613" s="612"/>
    </row>
    <row r="32614">
      <c r="B32614" s="612"/>
      <c r="H32614" s="612"/>
    </row>
    <row r="32615">
      <c r="B32615" s="612"/>
      <c r="H32615" s="612"/>
    </row>
    <row r="32616">
      <c r="B32616" s="612"/>
      <c r="H32616" s="612"/>
    </row>
    <row r="32617">
      <c r="B32617" s="612"/>
      <c r="H32617" s="612"/>
    </row>
    <row r="32618">
      <c r="B32618" s="612"/>
      <c r="H32618" s="612"/>
    </row>
    <row r="32619">
      <c r="B32619" s="612"/>
      <c r="H32619" s="612"/>
    </row>
    <row r="32620">
      <c r="B32620" s="612"/>
      <c r="H32620" s="612"/>
    </row>
    <row r="32621">
      <c r="B32621" s="612"/>
      <c r="H32621" s="612"/>
    </row>
    <row r="32622">
      <c r="B32622" s="612"/>
      <c r="H32622" s="612"/>
    </row>
    <row r="32623">
      <c r="B32623" s="612"/>
      <c r="H32623" s="612"/>
    </row>
    <row r="32624">
      <c r="B32624" s="612"/>
      <c r="H32624" s="612"/>
    </row>
    <row r="32625">
      <c r="B32625" s="612"/>
      <c r="H32625" s="612"/>
    </row>
    <row r="32626">
      <c r="B32626" s="612"/>
      <c r="H32626" s="612"/>
    </row>
    <row r="32627">
      <c r="B32627" s="612"/>
      <c r="H32627" s="612"/>
    </row>
    <row r="32628">
      <c r="B32628" s="612"/>
      <c r="H32628" s="612"/>
    </row>
    <row r="32629">
      <c r="B32629" s="612"/>
      <c r="H32629" s="612"/>
    </row>
    <row r="32630">
      <c r="B32630" s="612"/>
      <c r="H32630" s="612"/>
    </row>
    <row r="32631">
      <c r="B32631" s="612"/>
      <c r="H32631" s="612"/>
    </row>
    <row r="32632">
      <c r="B32632" s="612"/>
      <c r="H32632" s="612"/>
    </row>
    <row r="32633">
      <c r="B32633" s="612"/>
      <c r="H32633" s="612"/>
    </row>
    <row r="32634">
      <c r="B32634" s="612"/>
      <c r="H32634" s="612"/>
    </row>
    <row r="32635">
      <c r="B32635" s="612"/>
      <c r="H32635" s="612"/>
    </row>
    <row r="32636">
      <c r="B32636" s="612"/>
      <c r="H32636" s="612"/>
    </row>
    <row r="32637">
      <c r="B32637" s="612"/>
      <c r="H32637" s="612"/>
    </row>
    <row r="32638">
      <c r="B32638" s="612"/>
      <c r="H32638" s="612"/>
    </row>
    <row r="32639">
      <c r="B32639" s="612"/>
      <c r="H32639" s="612"/>
    </row>
    <row r="32640">
      <c r="B32640" s="612"/>
      <c r="H32640" s="612"/>
    </row>
    <row r="32641">
      <c r="B32641" s="612"/>
      <c r="H32641" s="612"/>
    </row>
    <row r="32642">
      <c r="B32642" s="612"/>
      <c r="H32642" s="612"/>
    </row>
    <row r="32643">
      <c r="B32643" s="612"/>
      <c r="H32643" s="612"/>
    </row>
    <row r="32644">
      <c r="B32644" s="612"/>
      <c r="H32644" s="612"/>
    </row>
    <row r="32645">
      <c r="B32645" s="612"/>
      <c r="H32645" s="612"/>
    </row>
    <row r="32646">
      <c r="B32646" s="612"/>
      <c r="H32646" s="612"/>
    </row>
    <row r="32647">
      <c r="B32647" s="612"/>
      <c r="H32647" s="612"/>
    </row>
    <row r="32648">
      <c r="B32648" s="612"/>
      <c r="H32648" s="612"/>
    </row>
    <row r="32649">
      <c r="B32649" s="612"/>
      <c r="H32649" s="612"/>
    </row>
    <row r="32650">
      <c r="B32650" s="612"/>
      <c r="H32650" s="612"/>
    </row>
    <row r="32651">
      <c r="B32651" s="612"/>
      <c r="H32651" s="612"/>
    </row>
    <row r="32652">
      <c r="B32652" s="612"/>
      <c r="H32652" s="612"/>
    </row>
    <row r="32653">
      <c r="B32653" s="612"/>
      <c r="H32653" s="612"/>
    </row>
    <row r="32654">
      <c r="B32654" s="612"/>
      <c r="H32654" s="612"/>
    </row>
    <row r="32655">
      <c r="B32655" s="612"/>
      <c r="H32655" s="612"/>
    </row>
    <row r="32656">
      <c r="B32656" s="612"/>
      <c r="H32656" s="612"/>
    </row>
    <row r="32657">
      <c r="B32657" s="612"/>
      <c r="H32657" s="612"/>
    </row>
    <row r="32658">
      <c r="B32658" s="612"/>
      <c r="H32658" s="612"/>
    </row>
    <row r="32659">
      <c r="B32659" s="612"/>
      <c r="H32659" s="612"/>
    </row>
    <row r="32660">
      <c r="B32660" s="612"/>
      <c r="H32660" s="612"/>
    </row>
    <row r="32661">
      <c r="B32661" s="612"/>
      <c r="H32661" s="612"/>
    </row>
    <row r="32662">
      <c r="B32662" s="612"/>
      <c r="H32662" s="612"/>
    </row>
    <row r="32663">
      <c r="B32663" s="612"/>
      <c r="H32663" s="612"/>
    </row>
    <row r="32664">
      <c r="B32664" s="612"/>
      <c r="H32664" s="612"/>
    </row>
    <row r="32665">
      <c r="B32665" s="612"/>
      <c r="H32665" s="612"/>
    </row>
    <row r="32666">
      <c r="B32666" s="612"/>
      <c r="H32666" s="612"/>
    </row>
    <row r="32667">
      <c r="B32667" s="612"/>
      <c r="H32667" s="612"/>
    </row>
    <row r="32668">
      <c r="B32668" s="612"/>
      <c r="H32668" s="612"/>
    </row>
    <row r="32669">
      <c r="B32669" s="612"/>
      <c r="H32669" s="612"/>
    </row>
    <row r="32670">
      <c r="B32670" s="612"/>
      <c r="H32670" s="612"/>
    </row>
    <row r="32671">
      <c r="B32671" s="612"/>
      <c r="H32671" s="612"/>
    </row>
    <row r="32672">
      <c r="B32672" s="612"/>
      <c r="H32672" s="612"/>
    </row>
    <row r="32673">
      <c r="B32673" s="612"/>
      <c r="H32673" s="612"/>
    </row>
    <row r="32674">
      <c r="B32674" s="612"/>
      <c r="H32674" s="612"/>
    </row>
    <row r="32675">
      <c r="B32675" s="612"/>
      <c r="H32675" s="612"/>
    </row>
    <row r="32676">
      <c r="B32676" s="612"/>
      <c r="H32676" s="612"/>
    </row>
    <row r="32677">
      <c r="B32677" s="612"/>
      <c r="H32677" s="612"/>
    </row>
    <row r="32678">
      <c r="B32678" s="612"/>
      <c r="H32678" s="612"/>
    </row>
    <row r="32679">
      <c r="B32679" s="612"/>
      <c r="H32679" s="612"/>
    </row>
    <row r="32680">
      <c r="B32680" s="612"/>
      <c r="H32680" s="612"/>
    </row>
    <row r="32681">
      <c r="B32681" s="612"/>
      <c r="H32681" s="612"/>
    </row>
    <row r="32682">
      <c r="B32682" s="612"/>
      <c r="H32682" s="612"/>
    </row>
    <row r="32683">
      <c r="B32683" s="612"/>
      <c r="H32683" s="612"/>
    </row>
    <row r="32684">
      <c r="B32684" s="612"/>
      <c r="H32684" s="612"/>
    </row>
    <row r="32685">
      <c r="B32685" s="612"/>
      <c r="H32685" s="612"/>
    </row>
    <row r="32686">
      <c r="B32686" s="612"/>
      <c r="H32686" s="612"/>
    </row>
    <row r="32687">
      <c r="B32687" s="612"/>
      <c r="H32687" s="612"/>
    </row>
    <row r="32688">
      <c r="B32688" s="612"/>
      <c r="H32688" s="612"/>
    </row>
    <row r="32689">
      <c r="B32689" s="612"/>
      <c r="H32689" s="612"/>
    </row>
    <row r="32690">
      <c r="B32690" s="612"/>
      <c r="H32690" s="612"/>
    </row>
    <row r="32691">
      <c r="B32691" s="612"/>
      <c r="H32691" s="612"/>
    </row>
    <row r="32692">
      <c r="B32692" s="612"/>
      <c r="H32692" s="612"/>
    </row>
    <row r="32693">
      <c r="B32693" s="612"/>
      <c r="H32693" s="612"/>
    </row>
    <row r="32694">
      <c r="B32694" s="612"/>
      <c r="H32694" s="612"/>
    </row>
    <row r="32695">
      <c r="B32695" s="612"/>
      <c r="H32695" s="612"/>
    </row>
    <row r="32696">
      <c r="B32696" s="612"/>
      <c r="H32696" s="612"/>
    </row>
    <row r="32697">
      <c r="B32697" s="612"/>
      <c r="H32697" s="612"/>
    </row>
    <row r="32698">
      <c r="B32698" s="612"/>
      <c r="H32698" s="612"/>
    </row>
    <row r="32699">
      <c r="B32699" s="612"/>
      <c r="H32699" s="612"/>
    </row>
    <row r="32700">
      <c r="B32700" s="612"/>
      <c r="H32700" s="612"/>
    </row>
    <row r="32701">
      <c r="B32701" s="612"/>
      <c r="H32701" s="612"/>
    </row>
    <row r="32702">
      <c r="B32702" s="612"/>
      <c r="H32702" s="612"/>
    </row>
    <row r="32703">
      <c r="B32703" s="612"/>
      <c r="H32703" s="612"/>
    </row>
    <row r="32704">
      <c r="B32704" s="612"/>
      <c r="H32704" s="612"/>
    </row>
    <row r="32705">
      <c r="B32705" s="612"/>
      <c r="H32705" s="612"/>
    </row>
    <row r="32706">
      <c r="B32706" s="612"/>
      <c r="H32706" s="612"/>
    </row>
    <row r="32707">
      <c r="B32707" s="612"/>
      <c r="H32707" s="612"/>
    </row>
    <row r="32708">
      <c r="B32708" s="612"/>
      <c r="H32708" s="612"/>
    </row>
    <row r="32709">
      <c r="B32709" s="612"/>
      <c r="H32709" s="612"/>
    </row>
    <row r="32710">
      <c r="B32710" s="612"/>
      <c r="H32710" s="612"/>
    </row>
    <row r="32711">
      <c r="B32711" s="612"/>
      <c r="H32711" s="612"/>
    </row>
    <row r="32712">
      <c r="B32712" s="612"/>
      <c r="H32712" s="612"/>
    </row>
    <row r="32713">
      <c r="B32713" s="612"/>
      <c r="H32713" s="612"/>
    </row>
    <row r="32714">
      <c r="B32714" s="612"/>
      <c r="H32714" s="612"/>
    </row>
    <row r="32715">
      <c r="B32715" s="612"/>
      <c r="H32715" s="612"/>
    </row>
    <row r="32716">
      <c r="B32716" s="612"/>
      <c r="H32716" s="612"/>
    </row>
    <row r="32717">
      <c r="B32717" s="612"/>
      <c r="H32717" s="612"/>
    </row>
    <row r="32718">
      <c r="B32718" s="612"/>
      <c r="H32718" s="612"/>
    </row>
    <row r="32719">
      <c r="B32719" s="612"/>
      <c r="H32719" s="612"/>
    </row>
    <row r="32720">
      <c r="B32720" s="612"/>
      <c r="H32720" s="612"/>
    </row>
    <row r="32721">
      <c r="B32721" s="612"/>
      <c r="H32721" s="612"/>
    </row>
    <row r="32722">
      <c r="B32722" s="612"/>
      <c r="H32722" s="612"/>
    </row>
    <row r="32723">
      <c r="B32723" s="612"/>
      <c r="H32723" s="612"/>
    </row>
    <row r="32724">
      <c r="B32724" s="612"/>
      <c r="H32724" s="612"/>
    </row>
    <row r="32725">
      <c r="B32725" s="612"/>
      <c r="H32725" s="612"/>
    </row>
    <row r="32726">
      <c r="B32726" s="612"/>
      <c r="H32726" s="612"/>
    </row>
    <row r="32727">
      <c r="B32727" s="612"/>
      <c r="H32727" s="612"/>
    </row>
    <row r="32728">
      <c r="B32728" s="612"/>
      <c r="H32728" s="612"/>
    </row>
    <row r="32729">
      <c r="B32729" s="612"/>
      <c r="H32729" s="612"/>
    </row>
    <row r="32730">
      <c r="B32730" s="612"/>
      <c r="H32730" s="612"/>
    </row>
    <row r="32731">
      <c r="B32731" s="612"/>
      <c r="H32731" s="612"/>
    </row>
    <row r="32732">
      <c r="B32732" s="612"/>
      <c r="H32732" s="612"/>
    </row>
    <row r="32733">
      <c r="B32733" s="612"/>
      <c r="H32733" s="612"/>
    </row>
    <row r="32734">
      <c r="B32734" s="612"/>
      <c r="H32734" s="612"/>
    </row>
    <row r="32735">
      <c r="B32735" s="612"/>
      <c r="H32735" s="612"/>
    </row>
    <row r="32736">
      <c r="B32736" s="612"/>
      <c r="H32736" s="612"/>
    </row>
    <row r="32737">
      <c r="B32737" s="612"/>
      <c r="H32737" s="612"/>
    </row>
    <row r="32738">
      <c r="B32738" s="612"/>
      <c r="H32738" s="612"/>
    </row>
    <row r="32739">
      <c r="B32739" s="612"/>
      <c r="H32739" s="612"/>
    </row>
    <row r="32740">
      <c r="B32740" s="612"/>
      <c r="H32740" s="612"/>
    </row>
    <row r="32741">
      <c r="B32741" s="612"/>
      <c r="H32741" s="612"/>
    </row>
    <row r="32742">
      <c r="B32742" s="612"/>
      <c r="H32742" s="612"/>
    </row>
    <row r="32743">
      <c r="B32743" s="612"/>
      <c r="H32743" s="612"/>
    </row>
    <row r="32744">
      <c r="B32744" s="612"/>
      <c r="H32744" s="612"/>
    </row>
    <row r="32745">
      <c r="B32745" s="612"/>
      <c r="H32745" s="612"/>
    </row>
    <row r="32746">
      <c r="B32746" s="612"/>
      <c r="H32746" s="612"/>
    </row>
    <row r="32747">
      <c r="B32747" s="612"/>
      <c r="H32747" s="612"/>
    </row>
    <row r="32748">
      <c r="B32748" s="612"/>
      <c r="H32748" s="612"/>
    </row>
    <row r="32749">
      <c r="B32749" s="612"/>
      <c r="H32749" s="612"/>
    </row>
    <row r="32750">
      <c r="B32750" s="612"/>
      <c r="H32750" s="612"/>
    </row>
    <row r="32751">
      <c r="B32751" s="612"/>
      <c r="H32751" s="612"/>
    </row>
    <row r="32752">
      <c r="B32752" s="612"/>
      <c r="H32752" s="612"/>
    </row>
    <row r="32753">
      <c r="B32753" s="612"/>
      <c r="H32753" s="612"/>
    </row>
    <row r="32754">
      <c r="B32754" s="612"/>
      <c r="H32754" s="612"/>
    </row>
    <row r="32755">
      <c r="B32755" s="612"/>
      <c r="H32755" s="612"/>
    </row>
    <row r="32756">
      <c r="B32756" s="612"/>
      <c r="H32756" s="612"/>
    </row>
    <row r="32757">
      <c r="B32757" s="612"/>
      <c r="H32757" s="612"/>
    </row>
    <row r="32758">
      <c r="B32758" s="612"/>
      <c r="H32758" s="612"/>
    </row>
    <row r="32759">
      <c r="B32759" s="612"/>
      <c r="H32759" s="612"/>
    </row>
    <row r="32760">
      <c r="B32760" s="612"/>
      <c r="H32760" s="612"/>
    </row>
    <row r="32761">
      <c r="B32761" s="612"/>
      <c r="H32761" s="612"/>
    </row>
    <row r="32762">
      <c r="B32762" s="612"/>
      <c r="H32762" s="612"/>
    </row>
    <row r="32763">
      <c r="B32763" s="612"/>
      <c r="H32763" s="612"/>
    </row>
    <row r="32764">
      <c r="B32764" s="612"/>
      <c r="H32764" s="612"/>
    </row>
    <row r="32765">
      <c r="B32765" s="612"/>
      <c r="H32765" s="612"/>
    </row>
    <row r="32766">
      <c r="B32766" s="612"/>
      <c r="H32766" s="612"/>
    </row>
    <row r="32767">
      <c r="B32767" s="612"/>
      <c r="H32767" s="612"/>
    </row>
    <row r="32768">
      <c r="B32768" s="612"/>
      <c r="H32768" s="612"/>
    </row>
    <row r="32769">
      <c r="B32769" s="612"/>
      <c r="H32769" s="612"/>
    </row>
    <row r="32770">
      <c r="B32770" s="612"/>
      <c r="H32770" s="612"/>
    </row>
    <row r="32771">
      <c r="B32771" s="612"/>
      <c r="H32771" s="612"/>
    </row>
    <row r="32772">
      <c r="B32772" s="612"/>
      <c r="H32772" s="612"/>
    </row>
    <row r="32773">
      <c r="B32773" s="612"/>
      <c r="H32773" s="612"/>
    </row>
    <row r="32774">
      <c r="B32774" s="612"/>
      <c r="H32774" s="612"/>
    </row>
    <row r="32775">
      <c r="B32775" s="612"/>
      <c r="H32775" s="612"/>
    </row>
    <row r="32776">
      <c r="B32776" s="612"/>
      <c r="H32776" s="612"/>
    </row>
    <row r="32777">
      <c r="B32777" s="612"/>
      <c r="H32777" s="612"/>
    </row>
    <row r="32778">
      <c r="B32778" s="612"/>
      <c r="H32778" s="612"/>
    </row>
    <row r="32779">
      <c r="B32779" s="612"/>
      <c r="H32779" s="612"/>
    </row>
    <row r="32780">
      <c r="B32780" s="612"/>
      <c r="H32780" s="612"/>
    </row>
    <row r="32781">
      <c r="B32781" s="612"/>
      <c r="H32781" s="612"/>
    </row>
    <row r="32782">
      <c r="B32782" s="612"/>
      <c r="H32782" s="612"/>
    </row>
    <row r="32783">
      <c r="B32783" s="612"/>
      <c r="H32783" s="612"/>
    </row>
    <row r="32784">
      <c r="B32784" s="612"/>
      <c r="H32784" s="612"/>
    </row>
    <row r="32785">
      <c r="B32785" s="612"/>
      <c r="H32785" s="612"/>
    </row>
    <row r="32786">
      <c r="B32786" s="612"/>
      <c r="H32786" s="612"/>
    </row>
    <row r="32787">
      <c r="B32787" s="612"/>
      <c r="H32787" s="612"/>
    </row>
    <row r="32788">
      <c r="B32788" s="612"/>
      <c r="H32788" s="612"/>
    </row>
    <row r="32789">
      <c r="B32789" s="612"/>
      <c r="H32789" s="612"/>
    </row>
    <row r="32790">
      <c r="B32790" s="612"/>
      <c r="H32790" s="612"/>
    </row>
    <row r="32791">
      <c r="B32791" s="612"/>
      <c r="H32791" s="612"/>
    </row>
    <row r="32792">
      <c r="B32792" s="612"/>
      <c r="H32792" s="612"/>
    </row>
    <row r="32793">
      <c r="B32793" s="612"/>
      <c r="H32793" s="612"/>
    </row>
    <row r="32794">
      <c r="B32794" s="612"/>
      <c r="H32794" s="612"/>
    </row>
    <row r="32795">
      <c r="B32795" s="612"/>
      <c r="H32795" s="612"/>
    </row>
    <row r="32796">
      <c r="B32796" s="612"/>
      <c r="H32796" s="612"/>
    </row>
    <row r="32797">
      <c r="B32797" s="612"/>
      <c r="H32797" s="612"/>
    </row>
    <row r="32798">
      <c r="B32798" s="612"/>
      <c r="H32798" s="612"/>
    </row>
    <row r="32799">
      <c r="B32799" s="612"/>
      <c r="H32799" s="612"/>
    </row>
    <row r="32800">
      <c r="B32800" s="612"/>
      <c r="H32800" s="612"/>
    </row>
    <row r="32801">
      <c r="B32801" s="612"/>
      <c r="H32801" s="612"/>
    </row>
    <row r="32802">
      <c r="B32802" s="612"/>
      <c r="H32802" s="612"/>
    </row>
    <row r="32803">
      <c r="B32803" s="612"/>
      <c r="H32803" s="612"/>
    </row>
    <row r="32804">
      <c r="B32804" s="612"/>
      <c r="H32804" s="612"/>
    </row>
    <row r="32805">
      <c r="B32805" s="612"/>
      <c r="H32805" s="612"/>
    </row>
    <row r="32806">
      <c r="B32806" s="612"/>
      <c r="H32806" s="612"/>
    </row>
    <row r="32807">
      <c r="B32807" s="612"/>
      <c r="H32807" s="612"/>
    </row>
    <row r="32808">
      <c r="B32808" s="612"/>
      <c r="H32808" s="612"/>
    </row>
    <row r="32809">
      <c r="B32809" s="612"/>
      <c r="H32809" s="612"/>
    </row>
    <row r="32810">
      <c r="B32810" s="612"/>
      <c r="H32810" s="612"/>
    </row>
    <row r="32811">
      <c r="B32811" s="612"/>
      <c r="H32811" s="612"/>
    </row>
    <row r="32812">
      <c r="B32812" s="612"/>
      <c r="H32812" s="612"/>
    </row>
    <row r="32813">
      <c r="B32813" s="612"/>
      <c r="H32813" s="612"/>
    </row>
    <row r="32814">
      <c r="B32814" s="612"/>
      <c r="H32814" s="612"/>
    </row>
    <row r="32815">
      <c r="B32815" s="612"/>
      <c r="H32815" s="612"/>
    </row>
    <row r="32816">
      <c r="B32816" s="612"/>
      <c r="H32816" s="612"/>
    </row>
    <row r="32817">
      <c r="B32817" s="612"/>
      <c r="H32817" s="612"/>
    </row>
    <row r="32818">
      <c r="B32818" s="612"/>
      <c r="H32818" s="612"/>
    </row>
    <row r="32819">
      <c r="B32819" s="612"/>
      <c r="H32819" s="612"/>
    </row>
    <row r="32820">
      <c r="B32820" s="612"/>
      <c r="H32820" s="612"/>
    </row>
    <row r="32821">
      <c r="B32821" s="612"/>
      <c r="H32821" s="612"/>
    </row>
    <row r="32822">
      <c r="B32822" s="612"/>
      <c r="H32822" s="612"/>
    </row>
    <row r="32823">
      <c r="B32823" s="612"/>
      <c r="H32823" s="612"/>
    </row>
    <row r="32824">
      <c r="B32824" s="612"/>
      <c r="H32824" s="612"/>
    </row>
    <row r="32825">
      <c r="B32825" s="612"/>
      <c r="H32825" s="612"/>
    </row>
    <row r="32826">
      <c r="B32826" s="612"/>
      <c r="H32826" s="612"/>
    </row>
    <row r="32827">
      <c r="B32827" s="612"/>
      <c r="H32827" s="612"/>
    </row>
    <row r="32828">
      <c r="B32828" s="612"/>
      <c r="H32828" s="612"/>
    </row>
    <row r="32829">
      <c r="B32829" s="612"/>
      <c r="H32829" s="612"/>
    </row>
    <row r="32830">
      <c r="B32830" s="612"/>
      <c r="H32830" s="612"/>
    </row>
    <row r="32831">
      <c r="B32831" s="612"/>
      <c r="H32831" s="612"/>
    </row>
    <row r="32832">
      <c r="B32832" s="612"/>
      <c r="H32832" s="612"/>
    </row>
    <row r="32833">
      <c r="B32833" s="612"/>
      <c r="H32833" s="612"/>
    </row>
    <row r="32834">
      <c r="B32834" s="612"/>
      <c r="H32834" s="612"/>
    </row>
    <row r="32835">
      <c r="B32835" s="612"/>
      <c r="H32835" s="612"/>
    </row>
    <row r="32836">
      <c r="B32836" s="612"/>
      <c r="H32836" s="612"/>
    </row>
    <row r="32837">
      <c r="B32837" s="612"/>
      <c r="H32837" s="612"/>
    </row>
    <row r="32838">
      <c r="B32838" s="612"/>
      <c r="H32838" s="612"/>
    </row>
    <row r="32839">
      <c r="B32839" s="612"/>
      <c r="H32839" s="612"/>
    </row>
    <row r="32840">
      <c r="B32840" s="612"/>
      <c r="H32840" s="612"/>
    </row>
    <row r="32841">
      <c r="B32841" s="612"/>
      <c r="H32841" s="612"/>
    </row>
    <row r="32842">
      <c r="B32842" s="612"/>
      <c r="H32842" s="612"/>
    </row>
    <row r="32843">
      <c r="B32843" s="612"/>
      <c r="H32843" s="612"/>
    </row>
    <row r="32844">
      <c r="B32844" s="612"/>
      <c r="H32844" s="612"/>
    </row>
    <row r="32845">
      <c r="B32845" s="612"/>
      <c r="H32845" s="612"/>
    </row>
    <row r="32846">
      <c r="B32846" s="612"/>
      <c r="H32846" s="612"/>
    </row>
    <row r="32847">
      <c r="B32847" s="612"/>
      <c r="H32847" s="612"/>
    </row>
    <row r="32848">
      <c r="B32848" s="612"/>
      <c r="H32848" s="612"/>
    </row>
    <row r="32849">
      <c r="B32849" s="612"/>
      <c r="H32849" s="612"/>
    </row>
    <row r="32850">
      <c r="B32850" s="612"/>
      <c r="H32850" s="612"/>
    </row>
    <row r="32851">
      <c r="B32851" s="612"/>
      <c r="H32851" s="612"/>
    </row>
    <row r="32852">
      <c r="B32852" s="612"/>
      <c r="H32852" s="612"/>
    </row>
    <row r="32853">
      <c r="B32853" s="612"/>
      <c r="H32853" s="612"/>
    </row>
    <row r="32854">
      <c r="B32854" s="612"/>
      <c r="H32854" s="612"/>
    </row>
    <row r="32855">
      <c r="B32855" s="612"/>
      <c r="H32855" s="612"/>
    </row>
    <row r="32856">
      <c r="B32856" s="612"/>
      <c r="H32856" s="612"/>
    </row>
    <row r="32857">
      <c r="B32857" s="612"/>
      <c r="H32857" s="612"/>
    </row>
    <row r="32858">
      <c r="B32858" s="612"/>
      <c r="H32858" s="612"/>
    </row>
    <row r="32859">
      <c r="B32859" s="612"/>
      <c r="H32859" s="612"/>
    </row>
    <row r="32860">
      <c r="B32860" s="612"/>
      <c r="H32860" s="612"/>
    </row>
    <row r="32861">
      <c r="B32861" s="612"/>
      <c r="H32861" s="612"/>
    </row>
    <row r="32862">
      <c r="B32862" s="612"/>
      <c r="H32862" s="612"/>
    </row>
    <row r="32863">
      <c r="B32863" s="612"/>
      <c r="H32863" s="612"/>
    </row>
    <row r="32864">
      <c r="B32864" s="612"/>
      <c r="H32864" s="612"/>
    </row>
    <row r="32865">
      <c r="B32865" s="612"/>
      <c r="H32865" s="612"/>
    </row>
    <row r="32866">
      <c r="B32866" s="612"/>
      <c r="H32866" s="612"/>
    </row>
    <row r="32867">
      <c r="B32867" s="612"/>
      <c r="H32867" s="612"/>
    </row>
    <row r="32868">
      <c r="B32868" s="612"/>
      <c r="H32868" s="612"/>
    </row>
    <row r="32869">
      <c r="B32869" s="612"/>
      <c r="H32869" s="612"/>
    </row>
    <row r="32870">
      <c r="B32870" s="612"/>
      <c r="H32870" s="612"/>
    </row>
    <row r="32871">
      <c r="B32871" s="612"/>
      <c r="H32871" s="612"/>
    </row>
    <row r="32872">
      <c r="B32872" s="612"/>
      <c r="H32872" s="612"/>
    </row>
    <row r="32873">
      <c r="B32873" s="612"/>
      <c r="H32873" s="612"/>
    </row>
    <row r="32874">
      <c r="B32874" s="612"/>
      <c r="H32874" s="612"/>
    </row>
    <row r="32875">
      <c r="B32875" s="612"/>
      <c r="H32875" s="612"/>
    </row>
    <row r="32876">
      <c r="B32876" s="612"/>
      <c r="H32876" s="612"/>
    </row>
    <row r="32877">
      <c r="B32877" s="612"/>
      <c r="H32877" s="612"/>
    </row>
    <row r="32878">
      <c r="B32878" s="612"/>
      <c r="H32878" s="612"/>
    </row>
    <row r="32879">
      <c r="B32879" s="612"/>
      <c r="H32879" s="612"/>
    </row>
    <row r="32880">
      <c r="B32880" s="612"/>
      <c r="H32880" s="612"/>
    </row>
    <row r="32881">
      <c r="B32881" s="612"/>
      <c r="H32881" s="612"/>
    </row>
    <row r="32882">
      <c r="B32882" s="612"/>
      <c r="H32882" s="612"/>
    </row>
    <row r="32883">
      <c r="B32883" s="612"/>
      <c r="H32883" s="612"/>
    </row>
    <row r="32884">
      <c r="B32884" s="612"/>
      <c r="H32884" s="612"/>
    </row>
    <row r="32885">
      <c r="B32885" s="612"/>
      <c r="H32885" s="612"/>
    </row>
    <row r="32886">
      <c r="B32886" s="612"/>
      <c r="H32886" s="612"/>
    </row>
    <row r="32887">
      <c r="B32887" s="612"/>
      <c r="H32887" s="612"/>
    </row>
    <row r="32888">
      <c r="B32888" s="612"/>
      <c r="H32888" s="612"/>
    </row>
    <row r="32889">
      <c r="B32889" s="612"/>
      <c r="H32889" s="612"/>
    </row>
    <row r="32890">
      <c r="B32890" s="612"/>
      <c r="H32890" s="612"/>
    </row>
    <row r="32891">
      <c r="B32891" s="612"/>
      <c r="H32891" s="612"/>
    </row>
    <row r="32892">
      <c r="B32892" s="612"/>
      <c r="H32892" s="612"/>
    </row>
    <row r="32893">
      <c r="B32893" s="612"/>
      <c r="H32893" s="612"/>
    </row>
    <row r="32894">
      <c r="B32894" s="612"/>
      <c r="H32894" s="612"/>
    </row>
    <row r="32895">
      <c r="B32895" s="612"/>
      <c r="H32895" s="612"/>
    </row>
    <row r="32896">
      <c r="B32896" s="612"/>
      <c r="H32896" s="612"/>
    </row>
    <row r="32897">
      <c r="B32897" s="612"/>
      <c r="H32897" s="612"/>
    </row>
    <row r="32898">
      <c r="B32898" s="612"/>
      <c r="H32898" s="612"/>
    </row>
    <row r="32899">
      <c r="B32899" s="612"/>
      <c r="H32899" s="612"/>
    </row>
    <row r="32900">
      <c r="B32900" s="612"/>
      <c r="H32900" s="612"/>
    </row>
    <row r="32901">
      <c r="B32901" s="612"/>
      <c r="H32901" s="612"/>
    </row>
    <row r="32902">
      <c r="B32902" s="612"/>
      <c r="H32902" s="612"/>
    </row>
    <row r="32903">
      <c r="B32903" s="612"/>
      <c r="H32903" s="612"/>
    </row>
    <row r="32904">
      <c r="B32904" s="612"/>
      <c r="H32904" s="612"/>
    </row>
    <row r="32905">
      <c r="B32905" s="612"/>
      <c r="H32905" s="612"/>
    </row>
    <row r="32906">
      <c r="B32906" s="612"/>
      <c r="H32906" s="612"/>
    </row>
    <row r="32907">
      <c r="B32907" s="612"/>
      <c r="H32907" s="612"/>
    </row>
    <row r="32908">
      <c r="B32908" s="612"/>
      <c r="H32908" s="612"/>
    </row>
    <row r="32909">
      <c r="B32909" s="612"/>
      <c r="H32909" s="612"/>
    </row>
    <row r="32910">
      <c r="B32910" s="612"/>
      <c r="H32910" s="612"/>
    </row>
    <row r="32911">
      <c r="B32911" s="612"/>
      <c r="H32911" s="612"/>
    </row>
    <row r="32912">
      <c r="B32912" s="612"/>
      <c r="H32912" s="612"/>
    </row>
    <row r="32913">
      <c r="B32913" s="612"/>
      <c r="H32913" s="612"/>
    </row>
    <row r="32914">
      <c r="B32914" s="612"/>
      <c r="H32914" s="612"/>
    </row>
    <row r="32915">
      <c r="B32915" s="612"/>
      <c r="H32915" s="612"/>
    </row>
    <row r="32916">
      <c r="B32916" s="612"/>
      <c r="H32916" s="612"/>
    </row>
    <row r="32917">
      <c r="B32917" s="612"/>
      <c r="H32917" s="612"/>
    </row>
    <row r="32918">
      <c r="B32918" s="612"/>
      <c r="H32918" s="612"/>
    </row>
    <row r="32919">
      <c r="B32919" s="612"/>
      <c r="H32919" s="612"/>
    </row>
    <row r="32920">
      <c r="B32920" s="612"/>
      <c r="H32920" s="612"/>
    </row>
    <row r="32921">
      <c r="B32921" s="612"/>
      <c r="H32921" s="612"/>
    </row>
    <row r="32922">
      <c r="B32922" s="612"/>
      <c r="H32922" s="612"/>
    </row>
    <row r="32923">
      <c r="B32923" s="612"/>
      <c r="H32923" s="612"/>
    </row>
    <row r="32924">
      <c r="B32924" s="612"/>
      <c r="H32924" s="612"/>
    </row>
    <row r="32925">
      <c r="B32925" s="612"/>
      <c r="H32925" s="612"/>
    </row>
    <row r="32926">
      <c r="B32926" s="612"/>
      <c r="H32926" s="612"/>
    </row>
    <row r="32927">
      <c r="B32927" s="612"/>
      <c r="H32927" s="612"/>
    </row>
    <row r="32928">
      <c r="B32928" s="612"/>
      <c r="H32928" s="612"/>
    </row>
    <row r="32929">
      <c r="B32929" s="612"/>
      <c r="H32929" s="612"/>
    </row>
    <row r="32930">
      <c r="B32930" s="612"/>
      <c r="H32930" s="612"/>
    </row>
    <row r="32931">
      <c r="B32931" s="612"/>
      <c r="H32931" s="612"/>
    </row>
    <row r="32932">
      <c r="B32932" s="612"/>
      <c r="H32932" s="612"/>
    </row>
    <row r="32933">
      <c r="B32933" s="612"/>
      <c r="H32933" s="612"/>
    </row>
    <row r="32934">
      <c r="B32934" s="612"/>
      <c r="H32934" s="612"/>
    </row>
    <row r="32935">
      <c r="B32935" s="612"/>
      <c r="H32935" s="612"/>
    </row>
    <row r="32936">
      <c r="B32936" s="612"/>
      <c r="H32936" s="612"/>
    </row>
    <row r="32937">
      <c r="B32937" s="612"/>
      <c r="H32937" s="612"/>
    </row>
    <row r="32938">
      <c r="B32938" s="612"/>
      <c r="H32938" s="612"/>
    </row>
    <row r="32939">
      <c r="B32939" s="612"/>
      <c r="H32939" s="612"/>
    </row>
    <row r="32940">
      <c r="B32940" s="612"/>
      <c r="H32940" s="612"/>
    </row>
    <row r="32941">
      <c r="B32941" s="612"/>
      <c r="H32941" s="612"/>
    </row>
    <row r="32942">
      <c r="B32942" s="612"/>
      <c r="H32942" s="612"/>
    </row>
    <row r="32943">
      <c r="B32943" s="612"/>
      <c r="H32943" s="612"/>
    </row>
    <row r="32944">
      <c r="B32944" s="612"/>
      <c r="H32944" s="612"/>
    </row>
    <row r="32945">
      <c r="B32945" s="612"/>
      <c r="H32945" s="612"/>
    </row>
    <row r="32946">
      <c r="B32946" s="612"/>
      <c r="H32946" s="612"/>
    </row>
    <row r="32947">
      <c r="B32947" s="612"/>
      <c r="H32947" s="612"/>
    </row>
    <row r="32948">
      <c r="B32948" s="612"/>
      <c r="H32948" s="612"/>
    </row>
    <row r="32949">
      <c r="B32949" s="612"/>
      <c r="H32949" s="612"/>
    </row>
    <row r="32950">
      <c r="B32950" s="612"/>
      <c r="H32950" s="612"/>
    </row>
    <row r="32951">
      <c r="B32951" s="612"/>
      <c r="H32951" s="612"/>
    </row>
    <row r="32952">
      <c r="B32952" s="612"/>
      <c r="H32952" s="612"/>
    </row>
    <row r="32953">
      <c r="B32953" s="612"/>
      <c r="H32953" s="612"/>
    </row>
    <row r="32954">
      <c r="B32954" s="612"/>
      <c r="H32954" s="612"/>
    </row>
    <row r="32955">
      <c r="B32955" s="612"/>
      <c r="H32955" s="612"/>
    </row>
    <row r="32956">
      <c r="B32956" s="612"/>
      <c r="H32956" s="612"/>
    </row>
    <row r="32957">
      <c r="B32957" s="612"/>
      <c r="H32957" s="612"/>
    </row>
    <row r="32958">
      <c r="B32958" s="612"/>
      <c r="H32958" s="612"/>
    </row>
    <row r="32959">
      <c r="B32959" s="612"/>
      <c r="H32959" s="612"/>
    </row>
    <row r="32960">
      <c r="B32960" s="612"/>
      <c r="H32960" s="612"/>
    </row>
    <row r="32961">
      <c r="B32961" s="612"/>
      <c r="H32961" s="612"/>
    </row>
    <row r="32962">
      <c r="B32962" s="612"/>
      <c r="H32962" s="612"/>
    </row>
    <row r="32963">
      <c r="B32963" s="612"/>
      <c r="H32963" s="612"/>
    </row>
    <row r="32964">
      <c r="B32964" s="612"/>
      <c r="H32964" s="612"/>
    </row>
    <row r="32965">
      <c r="B32965" s="612"/>
      <c r="H32965" s="612"/>
    </row>
    <row r="32966">
      <c r="B32966" s="612"/>
      <c r="H32966" s="612"/>
    </row>
    <row r="32967">
      <c r="B32967" s="612"/>
      <c r="H32967" s="612"/>
    </row>
    <row r="32968">
      <c r="B32968" s="612"/>
      <c r="H32968" s="612"/>
    </row>
    <row r="32969">
      <c r="B32969" s="612"/>
      <c r="H32969" s="612"/>
    </row>
    <row r="32970">
      <c r="B32970" s="612"/>
      <c r="H32970" s="612"/>
    </row>
    <row r="32971">
      <c r="B32971" s="612"/>
      <c r="H32971" s="612"/>
    </row>
    <row r="32972">
      <c r="B32972" s="612"/>
      <c r="H32972" s="612"/>
    </row>
    <row r="32973">
      <c r="B32973" s="612"/>
      <c r="H32973" s="612"/>
    </row>
    <row r="32974">
      <c r="B32974" s="612"/>
      <c r="H32974" s="612"/>
    </row>
    <row r="32975">
      <c r="B32975" s="612"/>
      <c r="H32975" s="612"/>
    </row>
    <row r="32976">
      <c r="B32976" s="612"/>
      <c r="H32976" s="612"/>
    </row>
    <row r="32977">
      <c r="B32977" s="612"/>
      <c r="H32977" s="612"/>
    </row>
    <row r="32978">
      <c r="B32978" s="612"/>
      <c r="H32978" s="612"/>
    </row>
    <row r="32979">
      <c r="B32979" s="612"/>
      <c r="H32979" s="612"/>
    </row>
    <row r="32980">
      <c r="B32980" s="612"/>
      <c r="H32980" s="612"/>
    </row>
    <row r="32981">
      <c r="B32981" s="612"/>
      <c r="H32981" s="612"/>
    </row>
    <row r="32982">
      <c r="B32982" s="612"/>
      <c r="H32982" s="612"/>
    </row>
    <row r="32983">
      <c r="B32983" s="612"/>
      <c r="H32983" s="612"/>
    </row>
    <row r="32984">
      <c r="B32984" s="612"/>
      <c r="H32984" s="612"/>
    </row>
    <row r="32985">
      <c r="B32985" s="612"/>
      <c r="H32985" s="612"/>
    </row>
    <row r="32986">
      <c r="B32986" s="612"/>
      <c r="H32986" s="612"/>
    </row>
    <row r="32987">
      <c r="B32987" s="612"/>
      <c r="H32987" s="612"/>
    </row>
    <row r="32988">
      <c r="B32988" s="612"/>
      <c r="H32988" s="612"/>
    </row>
    <row r="32989">
      <c r="B32989" s="612"/>
      <c r="H32989" s="612"/>
    </row>
    <row r="32990">
      <c r="B32990" s="612"/>
      <c r="H32990" s="612"/>
    </row>
    <row r="32991">
      <c r="B32991" s="612"/>
      <c r="H32991" s="612"/>
    </row>
    <row r="32992">
      <c r="B32992" s="612"/>
      <c r="H32992" s="612"/>
    </row>
    <row r="32993">
      <c r="B32993" s="612"/>
      <c r="H32993" s="612"/>
    </row>
    <row r="32994">
      <c r="B32994" s="612"/>
      <c r="H32994" s="612"/>
    </row>
    <row r="32995">
      <c r="B32995" s="612"/>
      <c r="H32995" s="612"/>
    </row>
    <row r="32996">
      <c r="B32996" s="612"/>
      <c r="H32996" s="612"/>
    </row>
    <row r="32997">
      <c r="B32997" s="612"/>
      <c r="H32997" s="612"/>
    </row>
    <row r="32998">
      <c r="B32998" s="612"/>
      <c r="H32998" s="612"/>
    </row>
    <row r="32999">
      <c r="B32999" s="612"/>
      <c r="H32999" s="612"/>
    </row>
    <row r="33000">
      <c r="B33000" s="612"/>
      <c r="H33000" s="612"/>
    </row>
    <row r="33001">
      <c r="B33001" s="612"/>
      <c r="H33001" s="612"/>
    </row>
    <row r="33002">
      <c r="B33002" s="612"/>
      <c r="H33002" s="612"/>
    </row>
    <row r="33003">
      <c r="B33003" s="612"/>
      <c r="H33003" s="612"/>
    </row>
    <row r="33004">
      <c r="B33004" s="612"/>
      <c r="H33004" s="612"/>
    </row>
    <row r="33005">
      <c r="B33005" s="612"/>
      <c r="H33005" s="612"/>
    </row>
    <row r="33006">
      <c r="B33006" s="612"/>
      <c r="H33006" s="612"/>
    </row>
    <row r="33007">
      <c r="B33007" s="612"/>
      <c r="H33007" s="612"/>
    </row>
    <row r="33008">
      <c r="B33008" s="612"/>
      <c r="H33008" s="612"/>
    </row>
    <row r="33009">
      <c r="B33009" s="612"/>
      <c r="H33009" s="612"/>
    </row>
    <row r="33010">
      <c r="B33010" s="612"/>
      <c r="H33010" s="612"/>
    </row>
    <row r="33011">
      <c r="B33011" s="612"/>
      <c r="H33011" s="612"/>
    </row>
    <row r="33012">
      <c r="B33012" s="612"/>
      <c r="H33012" s="612"/>
    </row>
    <row r="33013">
      <c r="B33013" s="612"/>
      <c r="H33013" s="612"/>
    </row>
    <row r="33014">
      <c r="B33014" s="612"/>
      <c r="H33014" s="612"/>
    </row>
    <row r="33015">
      <c r="B33015" s="612"/>
      <c r="H33015" s="612"/>
    </row>
    <row r="33016">
      <c r="B33016" s="612"/>
      <c r="H33016" s="612"/>
    </row>
    <row r="33017">
      <c r="B33017" s="612"/>
      <c r="H33017" s="612"/>
    </row>
    <row r="33018">
      <c r="B33018" s="612"/>
      <c r="H33018" s="612"/>
    </row>
    <row r="33019">
      <c r="B33019" s="612"/>
      <c r="H33019" s="612"/>
    </row>
    <row r="33020">
      <c r="B33020" s="612"/>
      <c r="H33020" s="612"/>
    </row>
    <row r="33021">
      <c r="B33021" s="612"/>
      <c r="H33021" s="612"/>
    </row>
    <row r="33022">
      <c r="B33022" s="612"/>
      <c r="H33022" s="612"/>
    </row>
    <row r="33023">
      <c r="B33023" s="612"/>
      <c r="H33023" s="612"/>
    </row>
    <row r="33024">
      <c r="B33024" s="612"/>
      <c r="H33024" s="612"/>
    </row>
    <row r="33025">
      <c r="B33025" s="612"/>
      <c r="H33025" s="612"/>
    </row>
    <row r="33026">
      <c r="B33026" s="612"/>
      <c r="H33026" s="612"/>
    </row>
    <row r="33027">
      <c r="B33027" s="612"/>
      <c r="H33027" s="612"/>
    </row>
    <row r="33028">
      <c r="B33028" s="612"/>
      <c r="H33028" s="612"/>
    </row>
    <row r="33029">
      <c r="B33029" s="612"/>
      <c r="H33029" s="612"/>
    </row>
    <row r="33030">
      <c r="B33030" s="612"/>
      <c r="H33030" s="612"/>
    </row>
    <row r="33031">
      <c r="B33031" s="612"/>
      <c r="H33031" s="612"/>
    </row>
    <row r="33032">
      <c r="B33032" s="612"/>
      <c r="H33032" s="612"/>
    </row>
    <row r="33033">
      <c r="B33033" s="612"/>
      <c r="H33033" s="612"/>
    </row>
    <row r="33034">
      <c r="B33034" s="612"/>
      <c r="H33034" s="612"/>
    </row>
    <row r="33035">
      <c r="B33035" s="612"/>
      <c r="H33035" s="612"/>
    </row>
    <row r="33036">
      <c r="B33036" s="612"/>
      <c r="H33036" s="612"/>
    </row>
    <row r="33037">
      <c r="B33037" s="612"/>
      <c r="H33037" s="612"/>
    </row>
    <row r="33038">
      <c r="B33038" s="612"/>
      <c r="H33038" s="612"/>
    </row>
    <row r="33039">
      <c r="B33039" s="612"/>
      <c r="H33039" s="612"/>
    </row>
    <row r="33040">
      <c r="B33040" s="612"/>
      <c r="H33040" s="612"/>
    </row>
    <row r="33041">
      <c r="B33041" s="612"/>
      <c r="H33041" s="612"/>
    </row>
    <row r="33042">
      <c r="B33042" s="612"/>
      <c r="H33042" s="612"/>
    </row>
    <row r="33043">
      <c r="B33043" s="612"/>
      <c r="H33043" s="612"/>
    </row>
    <row r="33044">
      <c r="B33044" s="612"/>
      <c r="H33044" s="612"/>
    </row>
    <row r="33045">
      <c r="B33045" s="612"/>
      <c r="H33045" s="612"/>
    </row>
    <row r="33046">
      <c r="B33046" s="612"/>
      <c r="H33046" s="612"/>
    </row>
    <row r="33047">
      <c r="B33047" s="612"/>
      <c r="H33047" s="612"/>
    </row>
    <row r="33048">
      <c r="B33048" s="612"/>
      <c r="H33048" s="612"/>
    </row>
    <row r="33049">
      <c r="B33049" s="612"/>
      <c r="H33049" s="612"/>
    </row>
    <row r="33050">
      <c r="B33050" s="612"/>
      <c r="H33050" s="612"/>
    </row>
    <row r="33051">
      <c r="B33051" s="612"/>
      <c r="H33051" s="612"/>
    </row>
    <row r="33052">
      <c r="B33052" s="612"/>
      <c r="H33052" s="612"/>
    </row>
    <row r="33053">
      <c r="B33053" s="612"/>
      <c r="H33053" s="612"/>
    </row>
    <row r="33054">
      <c r="B33054" s="612"/>
      <c r="H33054" s="612"/>
    </row>
    <row r="33055">
      <c r="B33055" s="612"/>
      <c r="H33055" s="612"/>
    </row>
    <row r="33056">
      <c r="B33056" s="612"/>
      <c r="H33056" s="612"/>
    </row>
    <row r="33057">
      <c r="B33057" s="612"/>
      <c r="H33057" s="612"/>
    </row>
    <row r="33058">
      <c r="B33058" s="612"/>
      <c r="H33058" s="612"/>
    </row>
    <row r="33059">
      <c r="B33059" s="612"/>
      <c r="H33059" s="612"/>
    </row>
    <row r="33060">
      <c r="B33060" s="612"/>
      <c r="H33060" s="612"/>
    </row>
    <row r="33061">
      <c r="B33061" s="612"/>
      <c r="H33061" s="612"/>
    </row>
    <row r="33062">
      <c r="B33062" s="612"/>
      <c r="H33062" s="612"/>
    </row>
    <row r="33063">
      <c r="B33063" s="612"/>
      <c r="H33063" s="612"/>
    </row>
    <row r="33064">
      <c r="B33064" s="612"/>
      <c r="H33064" s="612"/>
    </row>
    <row r="33065">
      <c r="B33065" s="612"/>
      <c r="H33065" s="612"/>
    </row>
    <row r="33066">
      <c r="B33066" s="612"/>
      <c r="H33066" s="612"/>
    </row>
    <row r="33067">
      <c r="B33067" s="612"/>
      <c r="H33067" s="612"/>
    </row>
    <row r="33068">
      <c r="B33068" s="612"/>
      <c r="H33068" s="612"/>
    </row>
    <row r="33069">
      <c r="B33069" s="612"/>
      <c r="H33069" s="612"/>
    </row>
    <row r="33070">
      <c r="B33070" s="612"/>
      <c r="H33070" s="612"/>
    </row>
    <row r="33071">
      <c r="B33071" s="612"/>
      <c r="H33071" s="612"/>
    </row>
    <row r="33072">
      <c r="B33072" s="612"/>
      <c r="H33072" s="612"/>
    </row>
    <row r="33073">
      <c r="B33073" s="612"/>
      <c r="H33073" s="612"/>
    </row>
    <row r="33074">
      <c r="B33074" s="612"/>
      <c r="H33074" s="612"/>
    </row>
    <row r="33075">
      <c r="B33075" s="612"/>
      <c r="H33075" s="612"/>
    </row>
    <row r="33076">
      <c r="B33076" s="612"/>
      <c r="H33076" s="612"/>
    </row>
    <row r="33077">
      <c r="B33077" s="612"/>
      <c r="H33077" s="612"/>
    </row>
    <row r="33078">
      <c r="B33078" s="612"/>
      <c r="H33078" s="612"/>
    </row>
    <row r="33079">
      <c r="B33079" s="612"/>
      <c r="H33079" s="612"/>
    </row>
    <row r="33080">
      <c r="B33080" s="612"/>
      <c r="H33080" s="612"/>
    </row>
    <row r="33081">
      <c r="B33081" s="612"/>
      <c r="H33081" s="612"/>
    </row>
    <row r="33082">
      <c r="B33082" s="612"/>
      <c r="H33082" s="612"/>
    </row>
    <row r="33083">
      <c r="B33083" s="612"/>
      <c r="H33083" s="612"/>
    </row>
    <row r="33084">
      <c r="B33084" s="612"/>
      <c r="H33084" s="612"/>
    </row>
    <row r="33085">
      <c r="B33085" s="612"/>
      <c r="H33085" s="612"/>
    </row>
    <row r="33086">
      <c r="B33086" s="612"/>
      <c r="H33086" s="612"/>
    </row>
    <row r="33087">
      <c r="B33087" s="612"/>
      <c r="H33087" s="612"/>
    </row>
    <row r="33088">
      <c r="B33088" s="612"/>
      <c r="H33088" s="612"/>
    </row>
    <row r="33089">
      <c r="B33089" s="612"/>
      <c r="H33089" s="612"/>
    </row>
    <row r="33090">
      <c r="B33090" s="612"/>
      <c r="H33090" s="612"/>
    </row>
    <row r="33091">
      <c r="B33091" s="612"/>
      <c r="H33091" s="612"/>
    </row>
    <row r="33092">
      <c r="B33092" s="612"/>
      <c r="H33092" s="612"/>
    </row>
    <row r="33093">
      <c r="B33093" s="612"/>
      <c r="H33093" s="612"/>
    </row>
    <row r="33094">
      <c r="B33094" s="612"/>
      <c r="H33094" s="612"/>
    </row>
    <row r="33095">
      <c r="B33095" s="612"/>
      <c r="H33095" s="612"/>
    </row>
    <row r="33096">
      <c r="B33096" s="612"/>
      <c r="H33096" s="612"/>
    </row>
    <row r="33097">
      <c r="B33097" s="612"/>
      <c r="H33097" s="612"/>
    </row>
    <row r="33098">
      <c r="B33098" s="612"/>
      <c r="H33098" s="612"/>
    </row>
    <row r="33099">
      <c r="B33099" s="612"/>
      <c r="H33099" s="612"/>
    </row>
    <row r="33100">
      <c r="B33100" s="612"/>
      <c r="H33100" s="612"/>
    </row>
    <row r="33101">
      <c r="B33101" s="612"/>
      <c r="H33101" s="612"/>
    </row>
    <row r="33102">
      <c r="B33102" s="612"/>
      <c r="H33102" s="612"/>
    </row>
    <row r="33103">
      <c r="B33103" s="612"/>
      <c r="H33103" s="612"/>
    </row>
    <row r="33104">
      <c r="B33104" s="612"/>
      <c r="H33104" s="612"/>
    </row>
    <row r="33105">
      <c r="B33105" s="612"/>
      <c r="H33105" s="612"/>
    </row>
    <row r="33106">
      <c r="B33106" s="612"/>
      <c r="H33106" s="612"/>
    </row>
    <row r="33107">
      <c r="B33107" s="612"/>
      <c r="H33107" s="612"/>
    </row>
    <row r="33108">
      <c r="B33108" s="612"/>
      <c r="H33108" s="612"/>
    </row>
    <row r="33109">
      <c r="B33109" s="612"/>
      <c r="H33109" s="612"/>
    </row>
    <row r="33110">
      <c r="B33110" s="612"/>
      <c r="H33110" s="612"/>
    </row>
    <row r="33111">
      <c r="B33111" s="612"/>
      <c r="H33111" s="612"/>
    </row>
    <row r="33112">
      <c r="B33112" s="612"/>
      <c r="H33112" s="612"/>
    </row>
    <row r="33113">
      <c r="B33113" s="612"/>
      <c r="H33113" s="612"/>
    </row>
    <row r="33114">
      <c r="B33114" s="612"/>
      <c r="H33114" s="612"/>
    </row>
    <row r="33115">
      <c r="B33115" s="612"/>
      <c r="H33115" s="612"/>
    </row>
    <row r="33116">
      <c r="B33116" s="612"/>
      <c r="H33116" s="612"/>
    </row>
    <row r="33117">
      <c r="B33117" s="612"/>
      <c r="H33117" s="612"/>
    </row>
    <row r="33118">
      <c r="B33118" s="612"/>
      <c r="H33118" s="612"/>
    </row>
    <row r="33119">
      <c r="B33119" s="612"/>
      <c r="H33119" s="612"/>
    </row>
    <row r="33120">
      <c r="B33120" s="612"/>
      <c r="H33120" s="612"/>
    </row>
    <row r="33121">
      <c r="B33121" s="612"/>
      <c r="H33121" s="612"/>
    </row>
    <row r="33122">
      <c r="B33122" s="612"/>
      <c r="H33122" s="612"/>
    </row>
    <row r="33123">
      <c r="B33123" s="612"/>
      <c r="H33123" s="612"/>
    </row>
    <row r="33124">
      <c r="B33124" s="612"/>
      <c r="H33124" s="612"/>
    </row>
    <row r="33125">
      <c r="B33125" s="612"/>
      <c r="H33125" s="612"/>
    </row>
    <row r="33126">
      <c r="B33126" s="612"/>
      <c r="H33126" s="612"/>
    </row>
    <row r="33127">
      <c r="B33127" s="612"/>
      <c r="H33127" s="612"/>
    </row>
    <row r="33128">
      <c r="B33128" s="612"/>
      <c r="H33128" s="612"/>
    </row>
    <row r="33129">
      <c r="B33129" s="612"/>
      <c r="H33129" s="612"/>
    </row>
    <row r="33130">
      <c r="B33130" s="612"/>
      <c r="H33130" s="612"/>
    </row>
    <row r="33131">
      <c r="B33131" s="612"/>
      <c r="H33131" s="612"/>
    </row>
    <row r="33132">
      <c r="B33132" s="612"/>
      <c r="H33132" s="612"/>
    </row>
    <row r="33133">
      <c r="B33133" s="612"/>
      <c r="H33133" s="612"/>
    </row>
    <row r="33134">
      <c r="B33134" s="612"/>
      <c r="H33134" s="612"/>
    </row>
    <row r="33135">
      <c r="B33135" s="612"/>
      <c r="H33135" s="612"/>
    </row>
    <row r="33136">
      <c r="B33136" s="612"/>
      <c r="H33136" s="612"/>
    </row>
    <row r="33137">
      <c r="B33137" s="612"/>
      <c r="H33137" s="612"/>
    </row>
    <row r="33138">
      <c r="B33138" s="612"/>
      <c r="H33138" s="612"/>
    </row>
    <row r="33139">
      <c r="B33139" s="612"/>
      <c r="H33139" s="612"/>
    </row>
    <row r="33140">
      <c r="B33140" s="612"/>
      <c r="H33140" s="612"/>
    </row>
    <row r="33141">
      <c r="B33141" s="612"/>
      <c r="H33141" s="612"/>
    </row>
    <row r="33142">
      <c r="B33142" s="612"/>
      <c r="H33142" s="612"/>
    </row>
    <row r="33143">
      <c r="B33143" s="612"/>
      <c r="H33143" s="612"/>
    </row>
    <row r="33144">
      <c r="B33144" s="612"/>
      <c r="H33144" s="612"/>
    </row>
    <row r="33145">
      <c r="B33145" s="612"/>
      <c r="H33145" s="612"/>
    </row>
    <row r="33146">
      <c r="B33146" s="612"/>
      <c r="H33146" s="612"/>
    </row>
    <row r="33147">
      <c r="B33147" s="612"/>
      <c r="H33147" s="612"/>
    </row>
    <row r="33148">
      <c r="B33148" s="612"/>
      <c r="H33148" s="612"/>
    </row>
    <row r="33149">
      <c r="B33149" s="612"/>
      <c r="H33149" s="612"/>
    </row>
    <row r="33150">
      <c r="B33150" s="612"/>
      <c r="H33150" s="612"/>
    </row>
    <row r="33151">
      <c r="B33151" s="612"/>
      <c r="H33151" s="612"/>
    </row>
    <row r="33152">
      <c r="B33152" s="612"/>
      <c r="H33152" s="612"/>
    </row>
    <row r="33153">
      <c r="B33153" s="612"/>
      <c r="H33153" s="612"/>
    </row>
    <row r="33154">
      <c r="B33154" s="612"/>
      <c r="H33154" s="612"/>
    </row>
    <row r="33155">
      <c r="B33155" s="612"/>
      <c r="H33155" s="612"/>
    </row>
    <row r="33156">
      <c r="B33156" s="612"/>
      <c r="H33156" s="612"/>
    </row>
    <row r="33157">
      <c r="B33157" s="612"/>
      <c r="H33157" s="612"/>
    </row>
    <row r="33158">
      <c r="B33158" s="612"/>
      <c r="H33158" s="612"/>
    </row>
    <row r="33159">
      <c r="B33159" s="612"/>
      <c r="H33159" s="612"/>
    </row>
    <row r="33160">
      <c r="B33160" s="612"/>
      <c r="H33160" s="612"/>
    </row>
    <row r="33161">
      <c r="B33161" s="612"/>
      <c r="H33161" s="612"/>
    </row>
    <row r="33162">
      <c r="B33162" s="612"/>
      <c r="H33162" s="612"/>
    </row>
    <row r="33163">
      <c r="B33163" s="612"/>
      <c r="H33163" s="612"/>
    </row>
    <row r="33164">
      <c r="B33164" s="612"/>
      <c r="H33164" s="612"/>
    </row>
    <row r="33165">
      <c r="B33165" s="612"/>
      <c r="H33165" s="612"/>
    </row>
    <row r="33166">
      <c r="B33166" s="612"/>
      <c r="H33166" s="612"/>
    </row>
    <row r="33167">
      <c r="B33167" s="612"/>
      <c r="H33167" s="612"/>
    </row>
    <row r="33168">
      <c r="B33168" s="612"/>
      <c r="H33168" s="612"/>
    </row>
    <row r="33169">
      <c r="B33169" s="612"/>
      <c r="H33169" s="612"/>
    </row>
    <row r="33170">
      <c r="B33170" s="612"/>
      <c r="H33170" s="612"/>
    </row>
    <row r="33171">
      <c r="B33171" s="612"/>
      <c r="H33171" s="612"/>
    </row>
    <row r="33172">
      <c r="B33172" s="612"/>
      <c r="H33172" s="612"/>
    </row>
    <row r="33173">
      <c r="B33173" s="612"/>
      <c r="H33173" s="612"/>
    </row>
    <row r="33174">
      <c r="B33174" s="612"/>
      <c r="H33174" s="612"/>
    </row>
    <row r="33175">
      <c r="B33175" s="612"/>
      <c r="H33175" s="612"/>
    </row>
    <row r="33176">
      <c r="B33176" s="612"/>
      <c r="H33176" s="612"/>
    </row>
    <row r="33177">
      <c r="B33177" s="612"/>
      <c r="H33177" s="612"/>
    </row>
    <row r="33178">
      <c r="B33178" s="612"/>
      <c r="H33178" s="612"/>
    </row>
    <row r="33179">
      <c r="B33179" s="612"/>
      <c r="H33179" s="612"/>
    </row>
    <row r="33180">
      <c r="B33180" s="612"/>
      <c r="H33180" s="612"/>
    </row>
    <row r="33181">
      <c r="B33181" s="612"/>
      <c r="H33181" s="612"/>
    </row>
    <row r="33182">
      <c r="B33182" s="612"/>
      <c r="H33182" s="612"/>
    </row>
    <row r="33183">
      <c r="B33183" s="612"/>
      <c r="H33183" s="612"/>
    </row>
    <row r="33184">
      <c r="B33184" s="612"/>
      <c r="H33184" s="612"/>
    </row>
    <row r="33185">
      <c r="B33185" s="612"/>
      <c r="H33185" s="612"/>
    </row>
    <row r="33186">
      <c r="B33186" s="612"/>
      <c r="H33186" s="612"/>
    </row>
    <row r="33187">
      <c r="B33187" s="612"/>
      <c r="H33187" s="612"/>
    </row>
    <row r="33188">
      <c r="B33188" s="612"/>
      <c r="H33188" s="612"/>
    </row>
    <row r="33189">
      <c r="B33189" s="612"/>
      <c r="H33189" s="612"/>
    </row>
    <row r="33190">
      <c r="B33190" s="612"/>
      <c r="H33190" s="612"/>
    </row>
    <row r="33191">
      <c r="B33191" s="612"/>
      <c r="H33191" s="612"/>
    </row>
    <row r="33192">
      <c r="B33192" s="612"/>
      <c r="H33192" s="612"/>
    </row>
    <row r="33193">
      <c r="B33193" s="612"/>
      <c r="H33193" s="612"/>
    </row>
    <row r="33194">
      <c r="B33194" s="612"/>
      <c r="H33194" s="612"/>
    </row>
    <row r="33195">
      <c r="B33195" s="612"/>
      <c r="H33195" s="612"/>
    </row>
    <row r="33196">
      <c r="B33196" s="612"/>
      <c r="H33196" s="612"/>
    </row>
    <row r="33197">
      <c r="B33197" s="612"/>
      <c r="H33197" s="612"/>
    </row>
    <row r="33198">
      <c r="B33198" s="612"/>
      <c r="H33198" s="612"/>
    </row>
    <row r="33199">
      <c r="B33199" s="612"/>
      <c r="H33199" s="612"/>
    </row>
    <row r="33200">
      <c r="B33200" s="612"/>
      <c r="H33200" s="612"/>
    </row>
    <row r="33201">
      <c r="B33201" s="612"/>
      <c r="H33201" s="612"/>
    </row>
    <row r="33202">
      <c r="B33202" s="612"/>
      <c r="H33202" s="612"/>
    </row>
    <row r="33203">
      <c r="B33203" s="612"/>
      <c r="H33203" s="612"/>
    </row>
    <row r="33204">
      <c r="B33204" s="612"/>
      <c r="H33204" s="612"/>
    </row>
    <row r="33205">
      <c r="B33205" s="612"/>
      <c r="H33205" s="612"/>
    </row>
    <row r="33206">
      <c r="B33206" s="612"/>
      <c r="H33206" s="612"/>
    </row>
    <row r="33207">
      <c r="B33207" s="612"/>
      <c r="H33207" s="612"/>
    </row>
    <row r="33208">
      <c r="B33208" s="612"/>
      <c r="H33208" s="612"/>
    </row>
    <row r="33209">
      <c r="B33209" s="612"/>
      <c r="H33209" s="612"/>
    </row>
    <row r="33210">
      <c r="B33210" s="612"/>
      <c r="H33210" s="612"/>
    </row>
    <row r="33211">
      <c r="B33211" s="612"/>
      <c r="H33211" s="612"/>
    </row>
    <row r="33212">
      <c r="B33212" s="612"/>
      <c r="H33212" s="612"/>
    </row>
    <row r="33213">
      <c r="B33213" s="612"/>
      <c r="H33213" s="612"/>
    </row>
    <row r="33214">
      <c r="B33214" s="612"/>
      <c r="H33214" s="612"/>
    </row>
    <row r="33215">
      <c r="B33215" s="612"/>
      <c r="H33215" s="612"/>
    </row>
    <row r="33216">
      <c r="B33216" s="612"/>
      <c r="H33216" s="612"/>
    </row>
    <row r="33217">
      <c r="B33217" s="612"/>
      <c r="H33217" s="612"/>
    </row>
    <row r="33218">
      <c r="B33218" s="612"/>
      <c r="H33218" s="612"/>
    </row>
    <row r="33219">
      <c r="B33219" s="612"/>
      <c r="H33219" s="612"/>
    </row>
    <row r="33220">
      <c r="B33220" s="612"/>
      <c r="H33220" s="612"/>
    </row>
    <row r="33221">
      <c r="B33221" s="612"/>
      <c r="H33221" s="612"/>
    </row>
    <row r="33222">
      <c r="B33222" s="612"/>
      <c r="H33222" s="612"/>
    </row>
    <row r="33223">
      <c r="B33223" s="612"/>
      <c r="H33223" s="612"/>
    </row>
    <row r="33224">
      <c r="B33224" s="612"/>
      <c r="H33224" s="612"/>
    </row>
    <row r="33225">
      <c r="B33225" s="612"/>
      <c r="H33225" s="612"/>
    </row>
    <row r="33226">
      <c r="B33226" s="612"/>
      <c r="H33226" s="612"/>
    </row>
    <row r="33227">
      <c r="B33227" s="612"/>
      <c r="H33227" s="612"/>
    </row>
    <row r="33228">
      <c r="B33228" s="612"/>
      <c r="H33228" s="612"/>
    </row>
    <row r="33229">
      <c r="B33229" s="612"/>
      <c r="H33229" s="612"/>
    </row>
    <row r="33230">
      <c r="B33230" s="612"/>
      <c r="H33230" s="612"/>
    </row>
    <row r="33231">
      <c r="B33231" s="612"/>
      <c r="H33231" s="612"/>
    </row>
    <row r="33232">
      <c r="B33232" s="612"/>
      <c r="H33232" s="612"/>
    </row>
    <row r="33233">
      <c r="B33233" s="612"/>
      <c r="H33233" s="612"/>
    </row>
    <row r="33234">
      <c r="B33234" s="612"/>
      <c r="H33234" s="612"/>
    </row>
    <row r="33235">
      <c r="B33235" s="612"/>
      <c r="H33235" s="612"/>
    </row>
    <row r="33236">
      <c r="B33236" s="612"/>
      <c r="H33236" s="612"/>
    </row>
    <row r="33237">
      <c r="B33237" s="612"/>
      <c r="H33237" s="612"/>
    </row>
    <row r="33238">
      <c r="B33238" s="612"/>
      <c r="H33238" s="612"/>
    </row>
    <row r="33239">
      <c r="B33239" s="612"/>
      <c r="H33239" s="612"/>
    </row>
    <row r="33240">
      <c r="B33240" s="612"/>
      <c r="H33240" s="612"/>
    </row>
    <row r="33241">
      <c r="B33241" s="612"/>
      <c r="H33241" s="612"/>
    </row>
    <row r="33242">
      <c r="B33242" s="612"/>
      <c r="H33242" s="612"/>
    </row>
    <row r="33243">
      <c r="B33243" s="612"/>
      <c r="H33243" s="612"/>
    </row>
    <row r="33244">
      <c r="B33244" s="612"/>
      <c r="H33244" s="612"/>
    </row>
    <row r="33245">
      <c r="B33245" s="612"/>
      <c r="H33245" s="612"/>
    </row>
    <row r="33246">
      <c r="B33246" s="612"/>
      <c r="H33246" s="612"/>
    </row>
    <row r="33247">
      <c r="B33247" s="612"/>
      <c r="H33247" s="612"/>
    </row>
    <row r="33248">
      <c r="B33248" s="612"/>
      <c r="H33248" s="612"/>
    </row>
    <row r="33249">
      <c r="B33249" s="612"/>
      <c r="H33249" s="612"/>
    </row>
    <row r="33250">
      <c r="B33250" s="612"/>
      <c r="H33250" s="612"/>
    </row>
    <row r="33251">
      <c r="B33251" s="612"/>
      <c r="H33251" s="612"/>
    </row>
    <row r="33252">
      <c r="B33252" s="612"/>
      <c r="H33252" s="612"/>
    </row>
    <row r="33253">
      <c r="B33253" s="612"/>
      <c r="H33253" s="612"/>
    </row>
    <row r="33254">
      <c r="B33254" s="612"/>
      <c r="H33254" s="612"/>
    </row>
    <row r="33255">
      <c r="B33255" s="612"/>
      <c r="H33255" s="612"/>
    </row>
    <row r="33256">
      <c r="B33256" s="612"/>
      <c r="H33256" s="612"/>
    </row>
    <row r="33257">
      <c r="B33257" s="612"/>
      <c r="H33257" s="612"/>
    </row>
    <row r="33258">
      <c r="B33258" s="612"/>
      <c r="H33258" s="612"/>
    </row>
    <row r="33259">
      <c r="B33259" s="612"/>
      <c r="H33259" s="612"/>
    </row>
    <row r="33260">
      <c r="B33260" s="612"/>
      <c r="H33260" s="612"/>
    </row>
    <row r="33261">
      <c r="B33261" s="612"/>
      <c r="H33261" s="612"/>
    </row>
    <row r="33262">
      <c r="B33262" s="612"/>
      <c r="H33262" s="612"/>
    </row>
    <row r="33263">
      <c r="B33263" s="612"/>
      <c r="H33263" s="612"/>
    </row>
    <row r="33264">
      <c r="B33264" s="612"/>
      <c r="H33264" s="612"/>
    </row>
    <row r="33265">
      <c r="B33265" s="612"/>
      <c r="H33265" s="612"/>
    </row>
    <row r="33266">
      <c r="B33266" s="612"/>
      <c r="H33266" s="612"/>
    </row>
    <row r="33267">
      <c r="B33267" s="612"/>
      <c r="H33267" s="612"/>
    </row>
    <row r="33268">
      <c r="B33268" s="612"/>
      <c r="H33268" s="612"/>
    </row>
    <row r="33269">
      <c r="B33269" s="612"/>
      <c r="H33269" s="612"/>
    </row>
    <row r="33270">
      <c r="B33270" s="612"/>
      <c r="H33270" s="612"/>
    </row>
    <row r="33271">
      <c r="B33271" s="612"/>
      <c r="H33271" s="612"/>
    </row>
    <row r="33272">
      <c r="B33272" s="612"/>
      <c r="H33272" s="612"/>
    </row>
    <row r="33273">
      <c r="B33273" s="612"/>
      <c r="H33273" s="612"/>
    </row>
    <row r="33274">
      <c r="B33274" s="612"/>
      <c r="H33274" s="612"/>
    </row>
    <row r="33275">
      <c r="B33275" s="612"/>
      <c r="H33275" s="612"/>
    </row>
    <row r="33276">
      <c r="B33276" s="612"/>
      <c r="H33276" s="612"/>
    </row>
    <row r="33277">
      <c r="B33277" s="612"/>
      <c r="H33277" s="612"/>
    </row>
    <row r="33278">
      <c r="B33278" s="612"/>
      <c r="H33278" s="612"/>
    </row>
    <row r="33279">
      <c r="B33279" s="612"/>
      <c r="H33279" s="612"/>
    </row>
    <row r="33280">
      <c r="B33280" s="612"/>
      <c r="H33280" s="612"/>
    </row>
    <row r="33281">
      <c r="B33281" s="612"/>
      <c r="H33281" s="612"/>
    </row>
    <row r="33282">
      <c r="B33282" s="612"/>
      <c r="H33282" s="612"/>
    </row>
    <row r="33283">
      <c r="B33283" s="612"/>
      <c r="H33283" s="612"/>
    </row>
    <row r="33284">
      <c r="B33284" s="612"/>
      <c r="H33284" s="612"/>
    </row>
    <row r="33285">
      <c r="B33285" s="612"/>
      <c r="H33285" s="612"/>
    </row>
    <row r="33286">
      <c r="B33286" s="612"/>
      <c r="H33286" s="612"/>
    </row>
    <row r="33287">
      <c r="B33287" s="612"/>
      <c r="H33287" s="612"/>
    </row>
    <row r="33288">
      <c r="B33288" s="612"/>
      <c r="H33288" s="612"/>
    </row>
    <row r="33289">
      <c r="B33289" s="612"/>
      <c r="H33289" s="612"/>
    </row>
    <row r="33290">
      <c r="B33290" s="612"/>
      <c r="H33290" s="612"/>
    </row>
    <row r="33291">
      <c r="B33291" s="612"/>
      <c r="H33291" s="612"/>
    </row>
    <row r="33292">
      <c r="B33292" s="612"/>
      <c r="H33292" s="612"/>
    </row>
    <row r="33293">
      <c r="B33293" s="612"/>
      <c r="H33293" s="612"/>
    </row>
    <row r="33294">
      <c r="B33294" s="612"/>
      <c r="H33294" s="612"/>
    </row>
    <row r="33295">
      <c r="B33295" s="612"/>
      <c r="H33295" s="612"/>
    </row>
    <row r="33296">
      <c r="B33296" s="612"/>
      <c r="H33296" s="612"/>
    </row>
    <row r="33297">
      <c r="B33297" s="612"/>
      <c r="H33297" s="612"/>
    </row>
    <row r="33298">
      <c r="B33298" s="612"/>
      <c r="H33298" s="612"/>
    </row>
    <row r="33299">
      <c r="B33299" s="612"/>
      <c r="H33299" s="612"/>
    </row>
    <row r="33300">
      <c r="B33300" s="612"/>
      <c r="H33300" s="612"/>
    </row>
    <row r="33301">
      <c r="B33301" s="612"/>
      <c r="H33301" s="612"/>
    </row>
    <row r="33302">
      <c r="B33302" s="612"/>
      <c r="H33302" s="612"/>
    </row>
    <row r="33303">
      <c r="B33303" s="612"/>
      <c r="H33303" s="612"/>
    </row>
    <row r="33304">
      <c r="B33304" s="612"/>
      <c r="H33304" s="612"/>
    </row>
    <row r="33305">
      <c r="B33305" s="612"/>
      <c r="H33305" s="612"/>
    </row>
    <row r="33306">
      <c r="B33306" s="612"/>
      <c r="H33306" s="612"/>
    </row>
    <row r="33307">
      <c r="B33307" s="612"/>
      <c r="H33307" s="612"/>
    </row>
    <row r="33308">
      <c r="B33308" s="612"/>
      <c r="H33308" s="612"/>
    </row>
    <row r="33309">
      <c r="B33309" s="612"/>
      <c r="H33309" s="612"/>
    </row>
    <row r="33310">
      <c r="B33310" s="612"/>
      <c r="H33310" s="612"/>
    </row>
    <row r="33311">
      <c r="B33311" s="612"/>
      <c r="H33311" s="612"/>
    </row>
    <row r="33312">
      <c r="B33312" s="612"/>
      <c r="H33312" s="612"/>
    </row>
    <row r="33313">
      <c r="B33313" s="612"/>
      <c r="H33313" s="612"/>
    </row>
    <row r="33314">
      <c r="B33314" s="612"/>
      <c r="H33314" s="612"/>
    </row>
    <row r="33315">
      <c r="B33315" s="612"/>
      <c r="H33315" s="612"/>
    </row>
    <row r="33316">
      <c r="B33316" s="612"/>
      <c r="H33316" s="612"/>
    </row>
    <row r="33317">
      <c r="B33317" s="612"/>
      <c r="H33317" s="612"/>
    </row>
    <row r="33318">
      <c r="B33318" s="612"/>
      <c r="H33318" s="612"/>
    </row>
    <row r="33319">
      <c r="B33319" s="612"/>
      <c r="H33319" s="612"/>
    </row>
    <row r="33320">
      <c r="B33320" s="612"/>
      <c r="H33320" s="612"/>
    </row>
    <row r="33321">
      <c r="B33321" s="612"/>
      <c r="H33321" s="612"/>
    </row>
    <row r="33322">
      <c r="B33322" s="612"/>
      <c r="H33322" s="612"/>
    </row>
    <row r="33323">
      <c r="B33323" s="612"/>
      <c r="H33323" s="612"/>
    </row>
    <row r="33324">
      <c r="B33324" s="612"/>
      <c r="H33324" s="612"/>
    </row>
    <row r="33325">
      <c r="B33325" s="612"/>
      <c r="H33325" s="612"/>
    </row>
    <row r="33326">
      <c r="B33326" s="612"/>
      <c r="H33326" s="612"/>
    </row>
    <row r="33327">
      <c r="B33327" s="612"/>
      <c r="H33327" s="612"/>
    </row>
    <row r="33328">
      <c r="B33328" s="612"/>
      <c r="H33328" s="612"/>
    </row>
    <row r="33329">
      <c r="B33329" s="612"/>
      <c r="H33329" s="612"/>
    </row>
    <row r="33330">
      <c r="B33330" s="612"/>
      <c r="H33330" s="612"/>
    </row>
    <row r="33331">
      <c r="B33331" s="612"/>
      <c r="H33331" s="612"/>
    </row>
    <row r="33332">
      <c r="B33332" s="612"/>
      <c r="H33332" s="612"/>
    </row>
    <row r="33333">
      <c r="B33333" s="612"/>
      <c r="H33333" s="612"/>
    </row>
    <row r="33334">
      <c r="B33334" s="612"/>
      <c r="H33334" s="612"/>
    </row>
    <row r="33335">
      <c r="B33335" s="612"/>
      <c r="H33335" s="612"/>
    </row>
    <row r="33336">
      <c r="B33336" s="612"/>
      <c r="H33336" s="612"/>
    </row>
    <row r="33337">
      <c r="B33337" s="612"/>
      <c r="H33337" s="612"/>
    </row>
    <row r="33338">
      <c r="B33338" s="612"/>
      <c r="H33338" s="612"/>
    </row>
    <row r="33339">
      <c r="B33339" s="612"/>
      <c r="H33339" s="612"/>
    </row>
    <row r="33340">
      <c r="B33340" s="612"/>
      <c r="H33340" s="612"/>
    </row>
    <row r="33341">
      <c r="B33341" s="612"/>
      <c r="H33341" s="612"/>
    </row>
    <row r="33342">
      <c r="B33342" s="612"/>
      <c r="H33342" s="612"/>
    </row>
    <row r="33343">
      <c r="B33343" s="612"/>
      <c r="H33343" s="612"/>
    </row>
    <row r="33344">
      <c r="B33344" s="612"/>
      <c r="H33344" s="612"/>
    </row>
    <row r="33345">
      <c r="B33345" s="612"/>
      <c r="H33345" s="612"/>
    </row>
    <row r="33346">
      <c r="B33346" s="612"/>
      <c r="H33346" s="612"/>
    </row>
    <row r="33347">
      <c r="B33347" s="612"/>
      <c r="H33347" s="612"/>
    </row>
    <row r="33348">
      <c r="B33348" s="612"/>
      <c r="H33348" s="612"/>
    </row>
    <row r="33349">
      <c r="B33349" s="612"/>
      <c r="H33349" s="612"/>
    </row>
    <row r="33350">
      <c r="B33350" s="612"/>
      <c r="H33350" s="612"/>
    </row>
    <row r="33351">
      <c r="B33351" s="612"/>
      <c r="H33351" s="612"/>
    </row>
    <row r="33352">
      <c r="B33352" s="612"/>
      <c r="H33352" s="612"/>
    </row>
    <row r="33353">
      <c r="B33353" s="612"/>
      <c r="H33353" s="612"/>
    </row>
    <row r="33354">
      <c r="B33354" s="612"/>
      <c r="H33354" s="612"/>
    </row>
    <row r="33355">
      <c r="B33355" s="612"/>
      <c r="H33355" s="612"/>
    </row>
    <row r="33356">
      <c r="B33356" s="612"/>
      <c r="H33356" s="612"/>
    </row>
    <row r="33357">
      <c r="B33357" s="612"/>
      <c r="H33357" s="612"/>
    </row>
    <row r="33358">
      <c r="B33358" s="612"/>
      <c r="H33358" s="612"/>
    </row>
    <row r="33359">
      <c r="B33359" s="612"/>
      <c r="H33359" s="612"/>
    </row>
    <row r="33360">
      <c r="B33360" s="612"/>
      <c r="H33360" s="612"/>
    </row>
    <row r="33361">
      <c r="B33361" s="612"/>
      <c r="H33361" s="612"/>
    </row>
    <row r="33362">
      <c r="B33362" s="612"/>
      <c r="H33362" s="612"/>
    </row>
    <row r="33363">
      <c r="B33363" s="612"/>
      <c r="H33363" s="612"/>
    </row>
    <row r="33364">
      <c r="B33364" s="612"/>
      <c r="H33364" s="612"/>
    </row>
    <row r="33365">
      <c r="B33365" s="612"/>
      <c r="H33365" s="612"/>
    </row>
    <row r="33366">
      <c r="B33366" s="612"/>
      <c r="H33366" s="612"/>
    </row>
    <row r="33367">
      <c r="B33367" s="612"/>
      <c r="H33367" s="612"/>
    </row>
    <row r="33368">
      <c r="B33368" s="612"/>
      <c r="H33368" s="612"/>
    </row>
    <row r="33369">
      <c r="B33369" s="612"/>
      <c r="H33369" s="612"/>
    </row>
    <row r="33370">
      <c r="B33370" s="612"/>
      <c r="H33370" s="612"/>
    </row>
    <row r="33371">
      <c r="B33371" s="612"/>
      <c r="H33371" s="612"/>
    </row>
    <row r="33372">
      <c r="B33372" s="612"/>
      <c r="H33372" s="612"/>
    </row>
    <row r="33373">
      <c r="B33373" s="612"/>
      <c r="H33373" s="612"/>
    </row>
    <row r="33374">
      <c r="B33374" s="612"/>
      <c r="H33374" s="612"/>
    </row>
    <row r="33375">
      <c r="B33375" s="612"/>
      <c r="H33375" s="612"/>
    </row>
    <row r="33376">
      <c r="B33376" s="612"/>
      <c r="H33376" s="612"/>
    </row>
    <row r="33377">
      <c r="B33377" s="612"/>
      <c r="H33377" s="612"/>
    </row>
    <row r="33378">
      <c r="B33378" s="612"/>
      <c r="H33378" s="612"/>
    </row>
    <row r="33379">
      <c r="B33379" s="612"/>
      <c r="H33379" s="612"/>
    </row>
    <row r="33380">
      <c r="B33380" s="612"/>
      <c r="H33380" s="612"/>
    </row>
    <row r="33381">
      <c r="B33381" s="612"/>
      <c r="H33381" s="612"/>
    </row>
    <row r="33382">
      <c r="B33382" s="612"/>
      <c r="H33382" s="612"/>
    </row>
    <row r="33383">
      <c r="B33383" s="612"/>
      <c r="H33383" s="612"/>
    </row>
    <row r="33384">
      <c r="B33384" s="612"/>
      <c r="H33384" s="612"/>
    </row>
    <row r="33385">
      <c r="B33385" s="612"/>
      <c r="H33385" s="612"/>
    </row>
    <row r="33386">
      <c r="B33386" s="612"/>
      <c r="H33386" s="612"/>
    </row>
    <row r="33387">
      <c r="B33387" s="612"/>
      <c r="H33387" s="612"/>
    </row>
    <row r="33388">
      <c r="B33388" s="612"/>
      <c r="H33388" s="612"/>
    </row>
    <row r="33389">
      <c r="B33389" s="612"/>
      <c r="H33389" s="612"/>
    </row>
    <row r="33390">
      <c r="B33390" s="612"/>
      <c r="H33390" s="612"/>
    </row>
    <row r="33391">
      <c r="B33391" s="612"/>
      <c r="H33391" s="612"/>
    </row>
    <row r="33392">
      <c r="B33392" s="612"/>
      <c r="H33392" s="612"/>
    </row>
    <row r="33393">
      <c r="B33393" s="612"/>
      <c r="H33393" s="612"/>
    </row>
    <row r="33394">
      <c r="B33394" s="612"/>
      <c r="H33394" s="612"/>
    </row>
    <row r="33395">
      <c r="B33395" s="612"/>
      <c r="H33395" s="612"/>
    </row>
    <row r="33396">
      <c r="B33396" s="612"/>
      <c r="H33396" s="612"/>
    </row>
    <row r="33397">
      <c r="B33397" s="612"/>
      <c r="H33397" s="612"/>
    </row>
    <row r="33398">
      <c r="B33398" s="612"/>
      <c r="H33398" s="612"/>
    </row>
    <row r="33399">
      <c r="B33399" s="612"/>
      <c r="H33399" s="612"/>
    </row>
    <row r="33400">
      <c r="B33400" s="612"/>
      <c r="H33400" s="612"/>
    </row>
    <row r="33401">
      <c r="B33401" s="612"/>
      <c r="H33401" s="612"/>
    </row>
    <row r="33402">
      <c r="B33402" s="612"/>
      <c r="H33402" s="612"/>
    </row>
    <row r="33403">
      <c r="B33403" s="612"/>
      <c r="H33403" s="612"/>
    </row>
    <row r="33404">
      <c r="B33404" s="612"/>
      <c r="H33404" s="612"/>
    </row>
    <row r="33405">
      <c r="B33405" s="612"/>
      <c r="H33405" s="612"/>
    </row>
    <row r="33406">
      <c r="B33406" s="612"/>
      <c r="H33406" s="612"/>
    </row>
    <row r="33407">
      <c r="B33407" s="612"/>
      <c r="H33407" s="612"/>
    </row>
    <row r="33408">
      <c r="B33408" s="612"/>
      <c r="H33408" s="612"/>
    </row>
    <row r="33409">
      <c r="B33409" s="612"/>
      <c r="H33409" s="612"/>
    </row>
    <row r="33410">
      <c r="B33410" s="612"/>
      <c r="H33410" s="612"/>
    </row>
    <row r="33411">
      <c r="B33411" s="612"/>
      <c r="H33411" s="612"/>
    </row>
    <row r="33412">
      <c r="B33412" s="612"/>
      <c r="H33412" s="612"/>
    </row>
    <row r="33413">
      <c r="B33413" s="612"/>
      <c r="H33413" s="612"/>
    </row>
    <row r="33414">
      <c r="B33414" s="612"/>
      <c r="H33414" s="612"/>
    </row>
    <row r="33415">
      <c r="B33415" s="612"/>
      <c r="H33415" s="612"/>
    </row>
    <row r="33416">
      <c r="B33416" s="612"/>
      <c r="H33416" s="612"/>
    </row>
    <row r="33417">
      <c r="B33417" s="612"/>
      <c r="H33417" s="612"/>
    </row>
    <row r="33418">
      <c r="B33418" s="612"/>
      <c r="H33418" s="612"/>
    </row>
    <row r="33419">
      <c r="B33419" s="612"/>
      <c r="H33419" s="612"/>
    </row>
    <row r="33420">
      <c r="B33420" s="612"/>
      <c r="H33420" s="612"/>
    </row>
    <row r="33421">
      <c r="B33421" s="612"/>
      <c r="H33421" s="612"/>
    </row>
    <row r="33422">
      <c r="B33422" s="612"/>
      <c r="H33422" s="612"/>
    </row>
    <row r="33423">
      <c r="B33423" s="612"/>
      <c r="H33423" s="612"/>
    </row>
    <row r="33424">
      <c r="B33424" s="612"/>
      <c r="H33424" s="612"/>
    </row>
    <row r="33425">
      <c r="B33425" s="612"/>
      <c r="H33425" s="612"/>
    </row>
    <row r="33426">
      <c r="B33426" s="612"/>
      <c r="H33426" s="612"/>
    </row>
    <row r="33427">
      <c r="B33427" s="612"/>
      <c r="H33427" s="612"/>
    </row>
    <row r="33428">
      <c r="B33428" s="612"/>
      <c r="H33428" s="612"/>
    </row>
    <row r="33429">
      <c r="B33429" s="612"/>
      <c r="H33429" s="612"/>
    </row>
    <row r="33430">
      <c r="B33430" s="612"/>
      <c r="H33430" s="612"/>
    </row>
    <row r="33431">
      <c r="B33431" s="612"/>
      <c r="H33431" s="612"/>
    </row>
    <row r="33432">
      <c r="B33432" s="612"/>
      <c r="H33432" s="612"/>
    </row>
    <row r="33433">
      <c r="B33433" s="612"/>
      <c r="H33433" s="612"/>
    </row>
    <row r="33434">
      <c r="B33434" s="612"/>
      <c r="H33434" s="612"/>
    </row>
    <row r="33435">
      <c r="B33435" s="612"/>
      <c r="H33435" s="612"/>
    </row>
    <row r="33436">
      <c r="B33436" s="612"/>
      <c r="H33436" s="612"/>
    </row>
    <row r="33437">
      <c r="B33437" s="612"/>
      <c r="H33437" s="612"/>
    </row>
    <row r="33438">
      <c r="B33438" s="612"/>
      <c r="H33438" s="612"/>
    </row>
    <row r="33439">
      <c r="B33439" s="612"/>
      <c r="H33439" s="612"/>
    </row>
    <row r="33440">
      <c r="B33440" s="612"/>
      <c r="H33440" s="612"/>
    </row>
    <row r="33441">
      <c r="B33441" s="612"/>
      <c r="H33441" s="612"/>
    </row>
    <row r="33442">
      <c r="B33442" s="612"/>
      <c r="H33442" s="612"/>
    </row>
    <row r="33443">
      <c r="B33443" s="612"/>
      <c r="H33443" s="612"/>
    </row>
    <row r="33444">
      <c r="B33444" s="612"/>
      <c r="H33444" s="612"/>
    </row>
    <row r="33445">
      <c r="B33445" s="612"/>
      <c r="H33445" s="612"/>
    </row>
    <row r="33446">
      <c r="B33446" s="612"/>
      <c r="H33446" s="612"/>
    </row>
    <row r="33447">
      <c r="B33447" s="612"/>
      <c r="H33447" s="612"/>
    </row>
    <row r="33448">
      <c r="B33448" s="612"/>
      <c r="H33448" s="612"/>
    </row>
    <row r="33449">
      <c r="B33449" s="612"/>
      <c r="H33449" s="612"/>
    </row>
    <row r="33450">
      <c r="B33450" s="612"/>
      <c r="H33450" s="612"/>
    </row>
    <row r="33451">
      <c r="B33451" s="612"/>
      <c r="H33451" s="612"/>
    </row>
    <row r="33452">
      <c r="B33452" s="612"/>
      <c r="H33452" s="612"/>
    </row>
    <row r="33453">
      <c r="B33453" s="612"/>
      <c r="H33453" s="612"/>
    </row>
    <row r="33454">
      <c r="B33454" s="612"/>
      <c r="H33454" s="612"/>
    </row>
    <row r="33455">
      <c r="B33455" s="612"/>
      <c r="H33455" s="612"/>
    </row>
    <row r="33456">
      <c r="B33456" s="612"/>
      <c r="H33456" s="612"/>
    </row>
    <row r="33457">
      <c r="B33457" s="612"/>
      <c r="H33457" s="612"/>
    </row>
    <row r="33458">
      <c r="B33458" s="612"/>
      <c r="H33458" s="612"/>
    </row>
    <row r="33459">
      <c r="B33459" s="612"/>
      <c r="H33459" s="612"/>
    </row>
    <row r="33460">
      <c r="B33460" s="612"/>
      <c r="H33460" s="612"/>
    </row>
    <row r="33461">
      <c r="B33461" s="612"/>
      <c r="H33461" s="612"/>
    </row>
    <row r="33462">
      <c r="B33462" s="612"/>
      <c r="H33462" s="612"/>
    </row>
    <row r="33463">
      <c r="B33463" s="612"/>
      <c r="H33463" s="612"/>
    </row>
    <row r="33464">
      <c r="B33464" s="612"/>
      <c r="H33464" s="612"/>
    </row>
    <row r="33465">
      <c r="B33465" s="612"/>
      <c r="H33465" s="612"/>
    </row>
    <row r="33466">
      <c r="B33466" s="612"/>
      <c r="H33466" s="612"/>
    </row>
    <row r="33467">
      <c r="B33467" s="612"/>
      <c r="H33467" s="612"/>
    </row>
    <row r="33468">
      <c r="B33468" s="612"/>
      <c r="H33468" s="612"/>
    </row>
    <row r="33469">
      <c r="B33469" s="612"/>
      <c r="H33469" s="612"/>
    </row>
    <row r="33470">
      <c r="B33470" s="612"/>
      <c r="H33470" s="612"/>
    </row>
    <row r="33471">
      <c r="B33471" s="612"/>
      <c r="H33471" s="612"/>
    </row>
    <row r="33472">
      <c r="B33472" s="612"/>
      <c r="H33472" s="612"/>
    </row>
    <row r="33473">
      <c r="B33473" s="612"/>
      <c r="H33473" s="612"/>
    </row>
    <row r="33474">
      <c r="B33474" s="612"/>
      <c r="H33474" s="612"/>
    </row>
    <row r="33475">
      <c r="B33475" s="612"/>
      <c r="H33475" s="612"/>
    </row>
    <row r="33476">
      <c r="B33476" s="612"/>
      <c r="H33476" s="612"/>
    </row>
    <row r="33477">
      <c r="B33477" s="612"/>
      <c r="H33477" s="612"/>
    </row>
    <row r="33478">
      <c r="B33478" s="612"/>
      <c r="H33478" s="612"/>
    </row>
    <row r="33479">
      <c r="B33479" s="612"/>
      <c r="H33479" s="612"/>
    </row>
    <row r="33480">
      <c r="B33480" s="612"/>
      <c r="H33480" s="612"/>
    </row>
    <row r="33481">
      <c r="B33481" s="612"/>
      <c r="H33481" s="612"/>
    </row>
    <row r="33482">
      <c r="B33482" s="612"/>
      <c r="H33482" s="612"/>
    </row>
    <row r="33483">
      <c r="B33483" s="612"/>
      <c r="H33483" s="612"/>
    </row>
    <row r="33484">
      <c r="B33484" s="612"/>
      <c r="H33484" s="612"/>
    </row>
    <row r="33485">
      <c r="B33485" s="612"/>
      <c r="H33485" s="612"/>
    </row>
    <row r="33486">
      <c r="B33486" s="612"/>
      <c r="H33486" s="612"/>
    </row>
    <row r="33487">
      <c r="B33487" s="612"/>
      <c r="H33487" s="612"/>
    </row>
    <row r="33488">
      <c r="B33488" s="612"/>
      <c r="H33488" s="612"/>
    </row>
    <row r="33489">
      <c r="B33489" s="612"/>
      <c r="H33489" s="612"/>
    </row>
    <row r="33490">
      <c r="B33490" s="612"/>
      <c r="H33490" s="612"/>
    </row>
    <row r="33491">
      <c r="B33491" s="612"/>
      <c r="H33491" s="612"/>
    </row>
    <row r="33492">
      <c r="B33492" s="612"/>
      <c r="H33492" s="612"/>
    </row>
    <row r="33493">
      <c r="B33493" s="612"/>
      <c r="H33493" s="612"/>
    </row>
    <row r="33494">
      <c r="B33494" s="612"/>
      <c r="H33494" s="612"/>
    </row>
    <row r="33495">
      <c r="B33495" s="612"/>
      <c r="H33495" s="612"/>
    </row>
    <row r="33496">
      <c r="B33496" s="612"/>
      <c r="H33496" s="612"/>
    </row>
    <row r="33497">
      <c r="B33497" s="612"/>
      <c r="H33497" s="612"/>
    </row>
    <row r="33498">
      <c r="B33498" s="612"/>
      <c r="H33498" s="612"/>
    </row>
    <row r="33499">
      <c r="B33499" s="612"/>
      <c r="H33499" s="612"/>
    </row>
    <row r="33500">
      <c r="B33500" s="612"/>
      <c r="H33500" s="612"/>
    </row>
    <row r="33501">
      <c r="B33501" s="612"/>
      <c r="H33501" s="612"/>
    </row>
    <row r="33502">
      <c r="B33502" s="612"/>
      <c r="H33502" s="612"/>
    </row>
    <row r="33503">
      <c r="B33503" s="612"/>
      <c r="H33503" s="612"/>
    </row>
    <row r="33504">
      <c r="B33504" s="612"/>
      <c r="H33504" s="612"/>
    </row>
    <row r="33505">
      <c r="B33505" s="612"/>
      <c r="H33505" s="612"/>
    </row>
    <row r="33506">
      <c r="B33506" s="612"/>
      <c r="H33506" s="612"/>
    </row>
    <row r="33507">
      <c r="B33507" s="612"/>
      <c r="H33507" s="612"/>
    </row>
    <row r="33508">
      <c r="B33508" s="612"/>
      <c r="H33508" s="612"/>
    </row>
    <row r="33509">
      <c r="B33509" s="612"/>
      <c r="H33509" s="612"/>
    </row>
    <row r="33510">
      <c r="B33510" s="612"/>
      <c r="H33510" s="612"/>
    </row>
    <row r="33511">
      <c r="B33511" s="612"/>
      <c r="H33511" s="612"/>
    </row>
    <row r="33512">
      <c r="B33512" s="612"/>
      <c r="H33512" s="612"/>
    </row>
    <row r="33513">
      <c r="B33513" s="612"/>
      <c r="H33513" s="612"/>
    </row>
    <row r="33514">
      <c r="B33514" s="612"/>
      <c r="H33514" s="612"/>
    </row>
    <row r="33515">
      <c r="B33515" s="612"/>
      <c r="H33515" s="612"/>
    </row>
    <row r="33516">
      <c r="B33516" s="612"/>
      <c r="H33516" s="612"/>
    </row>
    <row r="33517">
      <c r="B33517" s="612"/>
      <c r="H33517" s="612"/>
    </row>
    <row r="33518">
      <c r="B33518" s="612"/>
      <c r="H33518" s="612"/>
    </row>
    <row r="33519">
      <c r="B33519" s="612"/>
      <c r="H33519" s="612"/>
    </row>
    <row r="33520">
      <c r="B33520" s="612"/>
      <c r="H33520" s="612"/>
    </row>
    <row r="33521">
      <c r="B33521" s="612"/>
      <c r="H33521" s="612"/>
    </row>
    <row r="33522">
      <c r="B33522" s="612"/>
      <c r="H33522" s="612"/>
    </row>
    <row r="33523">
      <c r="B33523" s="612"/>
      <c r="H33523" s="612"/>
    </row>
    <row r="33524">
      <c r="B33524" s="612"/>
      <c r="H33524" s="612"/>
    </row>
    <row r="33525">
      <c r="B33525" s="612"/>
      <c r="H33525" s="612"/>
    </row>
    <row r="33526">
      <c r="B33526" s="612"/>
      <c r="H33526" s="612"/>
    </row>
    <row r="33527">
      <c r="B33527" s="612"/>
      <c r="H33527" s="612"/>
    </row>
    <row r="33528">
      <c r="B33528" s="612"/>
      <c r="H33528" s="612"/>
    </row>
    <row r="33529">
      <c r="B33529" s="612"/>
      <c r="H33529" s="612"/>
    </row>
    <row r="33530">
      <c r="B33530" s="612"/>
      <c r="H33530" s="612"/>
    </row>
    <row r="33531">
      <c r="B33531" s="612"/>
      <c r="H33531" s="612"/>
    </row>
    <row r="33532">
      <c r="B33532" s="612"/>
      <c r="H33532" s="612"/>
    </row>
    <row r="33533">
      <c r="B33533" s="612"/>
      <c r="H33533" s="612"/>
    </row>
    <row r="33534">
      <c r="B33534" s="612"/>
      <c r="H33534" s="612"/>
    </row>
    <row r="33535">
      <c r="B33535" s="612"/>
      <c r="H33535" s="612"/>
    </row>
    <row r="33536">
      <c r="B33536" s="612"/>
      <c r="H33536" s="612"/>
    </row>
    <row r="33537">
      <c r="B33537" s="612"/>
      <c r="H33537" s="612"/>
    </row>
    <row r="33538">
      <c r="B33538" s="612"/>
      <c r="H33538" s="612"/>
    </row>
    <row r="33539">
      <c r="B33539" s="612"/>
      <c r="H33539" s="612"/>
    </row>
    <row r="33540">
      <c r="B33540" s="612"/>
      <c r="H33540" s="612"/>
    </row>
    <row r="33541">
      <c r="B33541" s="612"/>
      <c r="H33541" s="612"/>
    </row>
    <row r="33542">
      <c r="B33542" s="612"/>
      <c r="H33542" s="612"/>
    </row>
    <row r="33543">
      <c r="B33543" s="612"/>
      <c r="H33543" s="612"/>
    </row>
    <row r="33544">
      <c r="B33544" s="612"/>
      <c r="H33544" s="612"/>
    </row>
    <row r="33545">
      <c r="B33545" s="612"/>
      <c r="H33545" s="612"/>
    </row>
    <row r="33546">
      <c r="B33546" s="612"/>
      <c r="H33546" s="612"/>
    </row>
    <row r="33547">
      <c r="B33547" s="612"/>
      <c r="H33547" s="612"/>
    </row>
    <row r="33548">
      <c r="B33548" s="612"/>
      <c r="H33548" s="612"/>
    </row>
    <row r="33549">
      <c r="B33549" s="612"/>
      <c r="H33549" s="612"/>
    </row>
    <row r="33550">
      <c r="B33550" s="612"/>
      <c r="H33550" s="612"/>
    </row>
    <row r="33551">
      <c r="B33551" s="612"/>
      <c r="H33551" s="612"/>
    </row>
    <row r="33552">
      <c r="B33552" s="612"/>
      <c r="H33552" s="612"/>
    </row>
    <row r="33553">
      <c r="B33553" s="612"/>
      <c r="H33553" s="612"/>
    </row>
    <row r="33554">
      <c r="B33554" s="612"/>
      <c r="H33554" s="612"/>
    </row>
    <row r="33555">
      <c r="B33555" s="612"/>
      <c r="H33555" s="612"/>
    </row>
    <row r="33556">
      <c r="B33556" s="612"/>
      <c r="H33556" s="612"/>
    </row>
    <row r="33557">
      <c r="B33557" s="612"/>
      <c r="H33557" s="612"/>
    </row>
    <row r="33558">
      <c r="B33558" s="612"/>
      <c r="H33558" s="612"/>
    </row>
    <row r="33559">
      <c r="B33559" s="612"/>
      <c r="H33559" s="612"/>
    </row>
    <row r="33560">
      <c r="B33560" s="612"/>
      <c r="H33560" s="612"/>
    </row>
    <row r="33561">
      <c r="B33561" s="612"/>
      <c r="H33561" s="612"/>
    </row>
    <row r="33562">
      <c r="B33562" s="612"/>
      <c r="H33562" s="612"/>
    </row>
    <row r="33563">
      <c r="B33563" s="612"/>
      <c r="H33563" s="612"/>
    </row>
    <row r="33564">
      <c r="B33564" s="612"/>
      <c r="H33564" s="612"/>
    </row>
    <row r="33565">
      <c r="B33565" s="612"/>
      <c r="H33565" s="612"/>
    </row>
    <row r="33566">
      <c r="B33566" s="612"/>
      <c r="H33566" s="612"/>
    </row>
    <row r="33567">
      <c r="B33567" s="612"/>
      <c r="H33567" s="612"/>
    </row>
    <row r="33568">
      <c r="B33568" s="612"/>
      <c r="H33568" s="612"/>
    </row>
    <row r="33569">
      <c r="B33569" s="612"/>
      <c r="H33569" s="612"/>
    </row>
    <row r="33570">
      <c r="B33570" s="612"/>
      <c r="H33570" s="612"/>
    </row>
    <row r="33571">
      <c r="B33571" s="612"/>
      <c r="H33571" s="612"/>
    </row>
    <row r="33572">
      <c r="B33572" s="612"/>
      <c r="H33572" s="612"/>
    </row>
    <row r="33573">
      <c r="B33573" s="612"/>
      <c r="H33573" s="612"/>
    </row>
    <row r="33574">
      <c r="B33574" s="612"/>
      <c r="H33574" s="612"/>
    </row>
    <row r="33575">
      <c r="B33575" s="612"/>
      <c r="H33575" s="612"/>
    </row>
    <row r="33576">
      <c r="B33576" s="612"/>
      <c r="H33576" s="612"/>
    </row>
    <row r="33577">
      <c r="B33577" s="612"/>
      <c r="H33577" s="612"/>
    </row>
    <row r="33578">
      <c r="B33578" s="612"/>
      <c r="H33578" s="612"/>
    </row>
    <row r="33579">
      <c r="B33579" s="612"/>
      <c r="H33579" s="612"/>
    </row>
    <row r="33580">
      <c r="B33580" s="612"/>
      <c r="H33580" s="612"/>
    </row>
    <row r="33581">
      <c r="B33581" s="612"/>
      <c r="H33581" s="612"/>
    </row>
    <row r="33582">
      <c r="B33582" s="612"/>
      <c r="H33582" s="612"/>
    </row>
    <row r="33583">
      <c r="B33583" s="612"/>
      <c r="H33583" s="612"/>
    </row>
    <row r="33584">
      <c r="B33584" s="612"/>
      <c r="H33584" s="612"/>
    </row>
    <row r="33585">
      <c r="B33585" s="612"/>
      <c r="H33585" s="612"/>
    </row>
    <row r="33586">
      <c r="B33586" s="612"/>
      <c r="H33586" s="612"/>
    </row>
    <row r="33587">
      <c r="B33587" s="612"/>
      <c r="H33587" s="612"/>
    </row>
    <row r="33588">
      <c r="B33588" s="612"/>
      <c r="H33588" s="612"/>
    </row>
    <row r="33589">
      <c r="B33589" s="612"/>
      <c r="H33589" s="612"/>
    </row>
    <row r="33590">
      <c r="B33590" s="612"/>
      <c r="H33590" s="612"/>
    </row>
    <row r="33591">
      <c r="B33591" s="612"/>
      <c r="H33591" s="612"/>
    </row>
    <row r="33592">
      <c r="B33592" s="612"/>
      <c r="H33592" s="612"/>
    </row>
    <row r="33593">
      <c r="B33593" s="612"/>
      <c r="H33593" s="612"/>
    </row>
    <row r="33594">
      <c r="B33594" s="612"/>
      <c r="H33594" s="612"/>
    </row>
    <row r="33595">
      <c r="B33595" s="612"/>
      <c r="H33595" s="612"/>
    </row>
    <row r="33596">
      <c r="B33596" s="612"/>
      <c r="H33596" s="612"/>
    </row>
    <row r="33597">
      <c r="B33597" s="612"/>
      <c r="H33597" s="612"/>
    </row>
    <row r="33598">
      <c r="B33598" s="612"/>
      <c r="H33598" s="612"/>
    </row>
    <row r="33599">
      <c r="B33599" s="612"/>
      <c r="H33599" s="612"/>
    </row>
    <row r="33600">
      <c r="B33600" s="612"/>
      <c r="H33600" s="612"/>
    </row>
    <row r="33601">
      <c r="B33601" s="612"/>
      <c r="H33601" s="612"/>
    </row>
    <row r="33602">
      <c r="B33602" s="612"/>
      <c r="H33602" s="612"/>
    </row>
    <row r="33603">
      <c r="B33603" s="612"/>
      <c r="H33603" s="612"/>
    </row>
    <row r="33604">
      <c r="B33604" s="612"/>
      <c r="H33604" s="612"/>
    </row>
    <row r="33605">
      <c r="B33605" s="612"/>
      <c r="H33605" s="612"/>
    </row>
    <row r="33606">
      <c r="B33606" s="612"/>
      <c r="H33606" s="612"/>
    </row>
    <row r="33607">
      <c r="B33607" s="612"/>
      <c r="H33607" s="612"/>
    </row>
    <row r="33608">
      <c r="B33608" s="612"/>
      <c r="H33608" s="612"/>
    </row>
    <row r="33609">
      <c r="B33609" s="612"/>
      <c r="H33609" s="612"/>
    </row>
    <row r="33610">
      <c r="B33610" s="612"/>
      <c r="H33610" s="612"/>
    </row>
    <row r="33611">
      <c r="B33611" s="612"/>
      <c r="H33611" s="612"/>
    </row>
    <row r="33612">
      <c r="B33612" s="612"/>
      <c r="H33612" s="612"/>
    </row>
    <row r="33613">
      <c r="B33613" s="612"/>
      <c r="H33613" s="612"/>
    </row>
    <row r="33614">
      <c r="B33614" s="612"/>
      <c r="H33614" s="612"/>
    </row>
    <row r="33615">
      <c r="B33615" s="612"/>
      <c r="H33615" s="612"/>
    </row>
    <row r="33616">
      <c r="B33616" s="612"/>
      <c r="H33616" s="612"/>
    </row>
    <row r="33617">
      <c r="B33617" s="612"/>
      <c r="H33617" s="612"/>
    </row>
    <row r="33618">
      <c r="B33618" s="612"/>
      <c r="H33618" s="612"/>
    </row>
    <row r="33619">
      <c r="B33619" s="612"/>
      <c r="H33619" s="612"/>
    </row>
    <row r="33620">
      <c r="B33620" s="612"/>
      <c r="H33620" s="612"/>
    </row>
    <row r="33621">
      <c r="B33621" s="612"/>
      <c r="H33621" s="612"/>
    </row>
    <row r="33622">
      <c r="B33622" s="612"/>
      <c r="H33622" s="612"/>
    </row>
    <row r="33623">
      <c r="B33623" s="612"/>
      <c r="H33623" s="612"/>
    </row>
    <row r="33624">
      <c r="B33624" s="612"/>
      <c r="H33624" s="612"/>
    </row>
    <row r="33625">
      <c r="B33625" s="612"/>
      <c r="H33625" s="612"/>
    </row>
    <row r="33626">
      <c r="B33626" s="612"/>
      <c r="H33626" s="612"/>
    </row>
    <row r="33627">
      <c r="B33627" s="612"/>
      <c r="H33627" s="612"/>
    </row>
    <row r="33628">
      <c r="B33628" s="612"/>
      <c r="H33628" s="612"/>
    </row>
    <row r="33629">
      <c r="B33629" s="612"/>
      <c r="H33629" s="612"/>
    </row>
    <row r="33630">
      <c r="B33630" s="612"/>
      <c r="H33630" s="612"/>
    </row>
    <row r="33631">
      <c r="B33631" s="612"/>
      <c r="H33631" s="612"/>
    </row>
    <row r="33632">
      <c r="B33632" s="612"/>
      <c r="H33632" s="612"/>
    </row>
    <row r="33633">
      <c r="B33633" s="612"/>
      <c r="H33633" s="612"/>
    </row>
    <row r="33634">
      <c r="B33634" s="612"/>
      <c r="H33634" s="612"/>
    </row>
    <row r="33635">
      <c r="B33635" s="612"/>
      <c r="H33635" s="612"/>
    </row>
    <row r="33636">
      <c r="B33636" s="612"/>
      <c r="H33636" s="612"/>
    </row>
    <row r="33637">
      <c r="B33637" s="612"/>
      <c r="H33637" s="612"/>
    </row>
    <row r="33638">
      <c r="B33638" s="612"/>
      <c r="H33638" s="612"/>
    </row>
    <row r="33639">
      <c r="B33639" s="612"/>
      <c r="H33639" s="612"/>
    </row>
    <row r="33640">
      <c r="B33640" s="612"/>
      <c r="H33640" s="612"/>
    </row>
    <row r="33641">
      <c r="B33641" s="612"/>
      <c r="H33641" s="612"/>
    </row>
    <row r="33642">
      <c r="B33642" s="612"/>
      <c r="H33642" s="612"/>
    </row>
    <row r="33643">
      <c r="B33643" s="612"/>
      <c r="H33643" s="612"/>
    </row>
    <row r="33644">
      <c r="B33644" s="612"/>
      <c r="H33644" s="612"/>
    </row>
    <row r="33645">
      <c r="B33645" s="612"/>
      <c r="H33645" s="612"/>
    </row>
    <row r="33646">
      <c r="B33646" s="612"/>
      <c r="H33646" s="612"/>
    </row>
    <row r="33647">
      <c r="B33647" s="612"/>
      <c r="H33647" s="612"/>
    </row>
    <row r="33648">
      <c r="B33648" s="612"/>
      <c r="H33648" s="612"/>
    </row>
    <row r="33649">
      <c r="B33649" s="612"/>
      <c r="H33649" s="612"/>
    </row>
    <row r="33650">
      <c r="B33650" s="612"/>
      <c r="H33650" s="612"/>
    </row>
    <row r="33651">
      <c r="B33651" s="612"/>
      <c r="H33651" s="612"/>
    </row>
    <row r="33652">
      <c r="B33652" s="612"/>
      <c r="H33652" s="612"/>
    </row>
    <row r="33653">
      <c r="B33653" s="612"/>
      <c r="H33653" s="612"/>
    </row>
    <row r="33654">
      <c r="B33654" s="612"/>
      <c r="H33654" s="612"/>
    </row>
    <row r="33655">
      <c r="B33655" s="612"/>
      <c r="H33655" s="612"/>
    </row>
    <row r="33656">
      <c r="B33656" s="612"/>
      <c r="H33656" s="612"/>
    </row>
    <row r="33657">
      <c r="B33657" s="612"/>
      <c r="H33657" s="612"/>
    </row>
    <row r="33658">
      <c r="B33658" s="612"/>
      <c r="H33658" s="612"/>
    </row>
    <row r="33659">
      <c r="B33659" s="612"/>
      <c r="H33659" s="612"/>
    </row>
    <row r="33660">
      <c r="B33660" s="612"/>
      <c r="H33660" s="612"/>
    </row>
    <row r="33661">
      <c r="B33661" s="612"/>
      <c r="H33661" s="612"/>
    </row>
    <row r="33662">
      <c r="B33662" s="612"/>
      <c r="H33662" s="612"/>
    </row>
    <row r="33663">
      <c r="B33663" s="612"/>
      <c r="H33663" s="612"/>
    </row>
    <row r="33664">
      <c r="B33664" s="612"/>
      <c r="H33664" s="612"/>
    </row>
    <row r="33665">
      <c r="B33665" s="612"/>
      <c r="H33665" s="612"/>
    </row>
    <row r="33666">
      <c r="B33666" s="612"/>
      <c r="H33666" s="612"/>
    </row>
    <row r="33667">
      <c r="B33667" s="612"/>
      <c r="H33667" s="612"/>
    </row>
    <row r="33668">
      <c r="B33668" s="612"/>
      <c r="H33668" s="612"/>
    </row>
    <row r="33669">
      <c r="B33669" s="612"/>
      <c r="H33669" s="612"/>
    </row>
    <row r="33670">
      <c r="B33670" s="612"/>
      <c r="H33670" s="612"/>
    </row>
    <row r="33671">
      <c r="B33671" s="612"/>
      <c r="H33671" s="612"/>
    </row>
    <row r="33672">
      <c r="B33672" s="612"/>
      <c r="H33672" s="612"/>
    </row>
    <row r="33673">
      <c r="B33673" s="612"/>
      <c r="H33673" s="612"/>
    </row>
    <row r="33674">
      <c r="B33674" s="612"/>
      <c r="H33674" s="612"/>
    </row>
    <row r="33675">
      <c r="B33675" s="612"/>
      <c r="H33675" s="612"/>
    </row>
    <row r="33676">
      <c r="B33676" s="612"/>
      <c r="H33676" s="612"/>
    </row>
    <row r="33677">
      <c r="B33677" s="612"/>
      <c r="H33677" s="612"/>
    </row>
    <row r="33678">
      <c r="B33678" s="612"/>
      <c r="H33678" s="612"/>
    </row>
    <row r="33679">
      <c r="B33679" s="612"/>
      <c r="H33679" s="612"/>
    </row>
    <row r="33680">
      <c r="B33680" s="612"/>
      <c r="H33680" s="612"/>
    </row>
    <row r="33681">
      <c r="B33681" s="612"/>
      <c r="H33681" s="612"/>
    </row>
    <row r="33682">
      <c r="B33682" s="612"/>
      <c r="H33682" s="612"/>
    </row>
    <row r="33683">
      <c r="B33683" s="612"/>
      <c r="H33683" s="612"/>
    </row>
    <row r="33684">
      <c r="B33684" s="612"/>
      <c r="H33684" s="612"/>
    </row>
    <row r="33685">
      <c r="B33685" s="612"/>
      <c r="H33685" s="612"/>
    </row>
    <row r="33686">
      <c r="B33686" s="612"/>
      <c r="H33686" s="612"/>
    </row>
    <row r="33687">
      <c r="B33687" s="612"/>
      <c r="H33687" s="612"/>
    </row>
    <row r="33688">
      <c r="B33688" s="612"/>
      <c r="H33688" s="612"/>
    </row>
    <row r="33689">
      <c r="B33689" s="612"/>
      <c r="H33689" s="612"/>
    </row>
    <row r="33690">
      <c r="B33690" s="612"/>
      <c r="H33690" s="612"/>
    </row>
    <row r="33691">
      <c r="B33691" s="612"/>
      <c r="H33691" s="612"/>
    </row>
    <row r="33692">
      <c r="B33692" s="612"/>
      <c r="H33692" s="612"/>
    </row>
    <row r="33693">
      <c r="B33693" s="612"/>
      <c r="H33693" s="612"/>
    </row>
    <row r="33694">
      <c r="B33694" s="612"/>
      <c r="H33694" s="612"/>
    </row>
    <row r="33695">
      <c r="B33695" s="612"/>
      <c r="H33695" s="612"/>
    </row>
    <row r="33696">
      <c r="B33696" s="612"/>
      <c r="H33696" s="612"/>
    </row>
    <row r="33697">
      <c r="B33697" s="612"/>
      <c r="H33697" s="612"/>
    </row>
    <row r="33698">
      <c r="B33698" s="612"/>
      <c r="H33698" s="612"/>
    </row>
    <row r="33699">
      <c r="B33699" s="612"/>
      <c r="H33699" s="612"/>
    </row>
    <row r="33700">
      <c r="B33700" s="612"/>
      <c r="H33700" s="612"/>
    </row>
    <row r="33701">
      <c r="B33701" s="612"/>
      <c r="H33701" s="612"/>
    </row>
    <row r="33702">
      <c r="B33702" s="612"/>
      <c r="H33702" s="612"/>
    </row>
    <row r="33703">
      <c r="B33703" s="612"/>
      <c r="H33703" s="612"/>
    </row>
    <row r="33704">
      <c r="B33704" s="612"/>
      <c r="H33704" s="612"/>
    </row>
    <row r="33705">
      <c r="B33705" s="612"/>
      <c r="H33705" s="612"/>
    </row>
    <row r="33706">
      <c r="B33706" s="612"/>
      <c r="H33706" s="612"/>
    </row>
    <row r="33707">
      <c r="B33707" s="612"/>
      <c r="H33707" s="612"/>
    </row>
    <row r="33708">
      <c r="B33708" s="612"/>
      <c r="H33708" s="612"/>
    </row>
    <row r="33709">
      <c r="B33709" s="612"/>
      <c r="H33709" s="612"/>
    </row>
    <row r="33710">
      <c r="B33710" s="612"/>
      <c r="H33710" s="612"/>
    </row>
    <row r="33711">
      <c r="B33711" s="612"/>
      <c r="H33711" s="612"/>
    </row>
    <row r="33712">
      <c r="B33712" s="612"/>
      <c r="H33712" s="612"/>
    </row>
    <row r="33713">
      <c r="B33713" s="612"/>
      <c r="H33713" s="612"/>
    </row>
    <row r="33714">
      <c r="B33714" s="612"/>
      <c r="H33714" s="612"/>
    </row>
    <row r="33715">
      <c r="B33715" s="612"/>
      <c r="H33715" s="612"/>
    </row>
    <row r="33716">
      <c r="B33716" s="612"/>
      <c r="H33716" s="612"/>
    </row>
    <row r="33717">
      <c r="B33717" s="612"/>
      <c r="H33717" s="612"/>
    </row>
    <row r="33718">
      <c r="B33718" s="612"/>
      <c r="H33718" s="612"/>
    </row>
    <row r="33719">
      <c r="B33719" s="612"/>
      <c r="H33719" s="612"/>
    </row>
    <row r="33720">
      <c r="B33720" s="612"/>
      <c r="H33720" s="612"/>
    </row>
    <row r="33721">
      <c r="B33721" s="612"/>
      <c r="H33721" s="612"/>
    </row>
    <row r="33722">
      <c r="B33722" s="612"/>
      <c r="H33722" s="612"/>
    </row>
    <row r="33723">
      <c r="B33723" s="612"/>
      <c r="H33723" s="612"/>
    </row>
    <row r="33724">
      <c r="B33724" s="612"/>
      <c r="H33724" s="612"/>
    </row>
    <row r="33725">
      <c r="B33725" s="612"/>
      <c r="H33725" s="612"/>
    </row>
    <row r="33726">
      <c r="B33726" s="612"/>
      <c r="H33726" s="612"/>
    </row>
    <row r="33727">
      <c r="B33727" s="612"/>
      <c r="H33727" s="612"/>
    </row>
    <row r="33728">
      <c r="B33728" s="612"/>
      <c r="H33728" s="612"/>
    </row>
    <row r="33729">
      <c r="B33729" s="612"/>
      <c r="H33729" s="612"/>
    </row>
    <row r="33730">
      <c r="B33730" s="612"/>
      <c r="H33730" s="612"/>
    </row>
    <row r="33731">
      <c r="B33731" s="612"/>
      <c r="H33731" s="612"/>
    </row>
    <row r="33732">
      <c r="B33732" s="612"/>
      <c r="H33732" s="612"/>
    </row>
    <row r="33733">
      <c r="B33733" s="612"/>
      <c r="H33733" s="612"/>
    </row>
    <row r="33734">
      <c r="B33734" s="612"/>
      <c r="H33734" s="612"/>
    </row>
    <row r="33735">
      <c r="B33735" s="612"/>
      <c r="H33735" s="612"/>
    </row>
    <row r="33736">
      <c r="B33736" s="612"/>
      <c r="H33736" s="612"/>
    </row>
    <row r="33737">
      <c r="B33737" s="612"/>
      <c r="H33737" s="612"/>
    </row>
    <row r="33738">
      <c r="B33738" s="612"/>
      <c r="H33738" s="612"/>
    </row>
    <row r="33739">
      <c r="B33739" s="612"/>
      <c r="H33739" s="612"/>
    </row>
    <row r="33740">
      <c r="B33740" s="612"/>
      <c r="H33740" s="612"/>
    </row>
    <row r="33741">
      <c r="B33741" s="612"/>
      <c r="H33741" s="612"/>
    </row>
    <row r="33742">
      <c r="B33742" s="612"/>
      <c r="H33742" s="612"/>
    </row>
    <row r="33743">
      <c r="B33743" s="612"/>
      <c r="H33743" s="612"/>
    </row>
    <row r="33744">
      <c r="B33744" s="612"/>
      <c r="H33744" s="612"/>
    </row>
    <row r="33745">
      <c r="B33745" s="612"/>
      <c r="H33745" s="612"/>
    </row>
    <row r="33746">
      <c r="B33746" s="612"/>
      <c r="H33746" s="612"/>
    </row>
    <row r="33747">
      <c r="B33747" s="612"/>
      <c r="H33747" s="612"/>
    </row>
    <row r="33748">
      <c r="B33748" s="612"/>
      <c r="H33748" s="612"/>
    </row>
    <row r="33749">
      <c r="B33749" s="612"/>
      <c r="H33749" s="612"/>
    </row>
    <row r="33750">
      <c r="B33750" s="612"/>
      <c r="H33750" s="612"/>
    </row>
    <row r="33751">
      <c r="B33751" s="612"/>
      <c r="H33751" s="612"/>
    </row>
    <row r="33752">
      <c r="B33752" s="612"/>
      <c r="H33752" s="612"/>
    </row>
    <row r="33753">
      <c r="B33753" s="612"/>
      <c r="H33753" s="612"/>
    </row>
    <row r="33754">
      <c r="B33754" s="612"/>
      <c r="H33754" s="612"/>
    </row>
    <row r="33755">
      <c r="B33755" s="612"/>
      <c r="H33755" s="612"/>
    </row>
    <row r="33756">
      <c r="B33756" s="612"/>
      <c r="H33756" s="612"/>
    </row>
    <row r="33757">
      <c r="B33757" s="612"/>
      <c r="H33757" s="612"/>
    </row>
    <row r="33758">
      <c r="B33758" s="612"/>
      <c r="H33758" s="612"/>
    </row>
    <row r="33759">
      <c r="B33759" s="612"/>
      <c r="H33759" s="612"/>
    </row>
    <row r="33760">
      <c r="B33760" s="612"/>
      <c r="H33760" s="612"/>
    </row>
    <row r="33761">
      <c r="B33761" s="612"/>
      <c r="H33761" s="612"/>
    </row>
    <row r="33762">
      <c r="B33762" s="612"/>
      <c r="H33762" s="612"/>
    </row>
    <row r="33763">
      <c r="B33763" s="612"/>
      <c r="H33763" s="612"/>
    </row>
    <row r="33764">
      <c r="B33764" s="612"/>
      <c r="H33764" s="612"/>
    </row>
    <row r="33765">
      <c r="B33765" s="612"/>
      <c r="H33765" s="612"/>
    </row>
    <row r="33766">
      <c r="B33766" s="612"/>
      <c r="H33766" s="612"/>
    </row>
    <row r="33767">
      <c r="B33767" s="612"/>
      <c r="H33767" s="612"/>
    </row>
    <row r="33768">
      <c r="B33768" s="612"/>
      <c r="H33768" s="612"/>
    </row>
    <row r="33769">
      <c r="B33769" s="612"/>
      <c r="H33769" s="612"/>
    </row>
    <row r="33770">
      <c r="B33770" s="612"/>
      <c r="H33770" s="612"/>
    </row>
    <row r="33771">
      <c r="B33771" s="612"/>
      <c r="H33771" s="612"/>
    </row>
    <row r="33772">
      <c r="B33772" s="612"/>
      <c r="H33772" s="612"/>
    </row>
    <row r="33773">
      <c r="B33773" s="612"/>
      <c r="H33773" s="612"/>
    </row>
    <row r="33774">
      <c r="B33774" s="612"/>
      <c r="H33774" s="612"/>
    </row>
    <row r="33775">
      <c r="B33775" s="612"/>
      <c r="H33775" s="612"/>
    </row>
    <row r="33776">
      <c r="B33776" s="612"/>
      <c r="H33776" s="612"/>
    </row>
    <row r="33777">
      <c r="B33777" s="612"/>
      <c r="H33777" s="612"/>
    </row>
    <row r="33778">
      <c r="B33778" s="612"/>
      <c r="H33778" s="612"/>
    </row>
    <row r="33779">
      <c r="B33779" s="612"/>
      <c r="H33779" s="612"/>
    </row>
    <row r="33780">
      <c r="B33780" s="612"/>
      <c r="H33780" s="612"/>
    </row>
    <row r="33781">
      <c r="B33781" s="612"/>
      <c r="H33781" s="612"/>
    </row>
    <row r="33782">
      <c r="B33782" s="612"/>
      <c r="H33782" s="612"/>
    </row>
    <row r="33783">
      <c r="B33783" s="612"/>
      <c r="H33783" s="612"/>
    </row>
    <row r="33784">
      <c r="B33784" s="612"/>
      <c r="H33784" s="612"/>
    </row>
    <row r="33785">
      <c r="B33785" s="612"/>
      <c r="H33785" s="612"/>
    </row>
    <row r="33786">
      <c r="B33786" s="612"/>
      <c r="H33786" s="612"/>
    </row>
    <row r="33787">
      <c r="B33787" s="612"/>
      <c r="H33787" s="612"/>
    </row>
    <row r="33788">
      <c r="B33788" s="612"/>
      <c r="H33788" s="612"/>
    </row>
    <row r="33789">
      <c r="B33789" s="612"/>
      <c r="H33789" s="612"/>
    </row>
    <row r="33790">
      <c r="B33790" s="612"/>
      <c r="H33790" s="612"/>
    </row>
    <row r="33791">
      <c r="B33791" s="612"/>
      <c r="H33791" s="612"/>
    </row>
    <row r="33792">
      <c r="B33792" s="612"/>
      <c r="H33792" s="612"/>
    </row>
    <row r="33793">
      <c r="B33793" s="612"/>
      <c r="H33793" s="612"/>
    </row>
    <row r="33794">
      <c r="B33794" s="612"/>
      <c r="H33794" s="612"/>
    </row>
    <row r="33795">
      <c r="B33795" s="612"/>
      <c r="H33795" s="612"/>
    </row>
    <row r="33796">
      <c r="B33796" s="612"/>
      <c r="H33796" s="612"/>
    </row>
    <row r="33797">
      <c r="B33797" s="612"/>
      <c r="H33797" s="612"/>
    </row>
    <row r="33798">
      <c r="B33798" s="612"/>
      <c r="H33798" s="612"/>
    </row>
    <row r="33799">
      <c r="B33799" s="612"/>
      <c r="H33799" s="612"/>
    </row>
    <row r="33800">
      <c r="B33800" s="612"/>
      <c r="H33800" s="612"/>
    </row>
    <row r="33801">
      <c r="B33801" s="612"/>
      <c r="H33801" s="612"/>
    </row>
    <row r="33802">
      <c r="B33802" s="612"/>
      <c r="H33802" s="612"/>
    </row>
    <row r="33803">
      <c r="B33803" s="612"/>
      <c r="H33803" s="612"/>
    </row>
    <row r="33804">
      <c r="B33804" s="612"/>
      <c r="H33804" s="612"/>
    </row>
    <row r="33805">
      <c r="B33805" s="612"/>
      <c r="H33805" s="612"/>
    </row>
    <row r="33806">
      <c r="B33806" s="612"/>
      <c r="H33806" s="612"/>
    </row>
    <row r="33807">
      <c r="B33807" s="612"/>
      <c r="H33807" s="612"/>
    </row>
    <row r="33808">
      <c r="B33808" s="612"/>
      <c r="H33808" s="612"/>
    </row>
    <row r="33809">
      <c r="B33809" s="612"/>
      <c r="H33809" s="612"/>
    </row>
    <row r="33810">
      <c r="B33810" s="612"/>
      <c r="H33810" s="612"/>
    </row>
    <row r="33811">
      <c r="B33811" s="612"/>
      <c r="H33811" s="612"/>
    </row>
    <row r="33812">
      <c r="B33812" s="612"/>
      <c r="H33812" s="612"/>
    </row>
    <row r="33813">
      <c r="B33813" s="612"/>
      <c r="H33813" s="612"/>
    </row>
    <row r="33814">
      <c r="B33814" s="612"/>
      <c r="H33814" s="612"/>
    </row>
    <row r="33815">
      <c r="B33815" s="612"/>
      <c r="H33815" s="612"/>
    </row>
    <row r="33816">
      <c r="B33816" s="612"/>
      <c r="H33816" s="612"/>
    </row>
    <row r="33817">
      <c r="B33817" s="612"/>
      <c r="H33817" s="612"/>
    </row>
    <row r="33818">
      <c r="B33818" s="612"/>
      <c r="H33818" s="612"/>
    </row>
    <row r="33819">
      <c r="B33819" s="612"/>
      <c r="H33819" s="612"/>
    </row>
    <row r="33820">
      <c r="B33820" s="612"/>
      <c r="H33820" s="612"/>
    </row>
    <row r="33821">
      <c r="B33821" s="612"/>
      <c r="H33821" s="612"/>
    </row>
    <row r="33822">
      <c r="B33822" s="612"/>
      <c r="H33822" s="612"/>
    </row>
    <row r="33823">
      <c r="B33823" s="612"/>
      <c r="H33823" s="612"/>
    </row>
    <row r="33824">
      <c r="B33824" s="612"/>
      <c r="H33824" s="612"/>
    </row>
    <row r="33825">
      <c r="B33825" s="612"/>
      <c r="H33825" s="612"/>
    </row>
    <row r="33826">
      <c r="B33826" s="612"/>
      <c r="H33826" s="612"/>
    </row>
    <row r="33827">
      <c r="B33827" s="612"/>
      <c r="H33827" s="612"/>
    </row>
    <row r="33828">
      <c r="B33828" s="612"/>
      <c r="H33828" s="612"/>
    </row>
    <row r="33829">
      <c r="B33829" s="612"/>
      <c r="H33829" s="612"/>
    </row>
    <row r="33830">
      <c r="B33830" s="612"/>
      <c r="H33830" s="612"/>
    </row>
    <row r="33831">
      <c r="B33831" s="612"/>
      <c r="H33831" s="612"/>
    </row>
    <row r="33832">
      <c r="B33832" s="612"/>
      <c r="H33832" s="612"/>
    </row>
    <row r="33833">
      <c r="B33833" s="612"/>
      <c r="H33833" s="612"/>
    </row>
    <row r="33834">
      <c r="B33834" s="612"/>
      <c r="H33834" s="612"/>
    </row>
    <row r="33835">
      <c r="B33835" s="612"/>
      <c r="H33835" s="612"/>
    </row>
    <row r="33836">
      <c r="B33836" s="612"/>
      <c r="H33836" s="612"/>
    </row>
    <row r="33837">
      <c r="B33837" s="612"/>
      <c r="H33837" s="612"/>
    </row>
    <row r="33838">
      <c r="B33838" s="612"/>
      <c r="H33838" s="612"/>
    </row>
    <row r="33839">
      <c r="B33839" s="612"/>
      <c r="H33839" s="612"/>
    </row>
    <row r="33840">
      <c r="B33840" s="612"/>
      <c r="H33840" s="612"/>
    </row>
    <row r="33841">
      <c r="B33841" s="612"/>
      <c r="H33841" s="612"/>
    </row>
    <row r="33842">
      <c r="B33842" s="612"/>
      <c r="H33842" s="612"/>
    </row>
    <row r="33843">
      <c r="B33843" s="612"/>
      <c r="H33843" s="612"/>
    </row>
    <row r="33844">
      <c r="B33844" s="612"/>
      <c r="H33844" s="612"/>
    </row>
    <row r="33845">
      <c r="B33845" s="612"/>
      <c r="H33845" s="612"/>
    </row>
    <row r="33846">
      <c r="B33846" s="612"/>
      <c r="H33846" s="612"/>
    </row>
    <row r="33847">
      <c r="B33847" s="612"/>
      <c r="H33847" s="612"/>
    </row>
    <row r="33848">
      <c r="B33848" s="612"/>
      <c r="H33848" s="612"/>
    </row>
    <row r="33849">
      <c r="B33849" s="612"/>
      <c r="H33849" s="612"/>
    </row>
    <row r="33850">
      <c r="B33850" s="612"/>
      <c r="H33850" s="612"/>
    </row>
    <row r="33851">
      <c r="B33851" s="612"/>
      <c r="H33851" s="612"/>
    </row>
    <row r="33852">
      <c r="B33852" s="612"/>
      <c r="H33852" s="612"/>
    </row>
    <row r="33853">
      <c r="B33853" s="612"/>
      <c r="H33853" s="612"/>
    </row>
    <row r="33854">
      <c r="B33854" s="612"/>
      <c r="H33854" s="612"/>
    </row>
    <row r="33855">
      <c r="B33855" s="612"/>
      <c r="H33855" s="612"/>
    </row>
    <row r="33856">
      <c r="B33856" s="612"/>
      <c r="H33856" s="612"/>
    </row>
    <row r="33857">
      <c r="B33857" s="612"/>
      <c r="H33857" s="612"/>
    </row>
    <row r="33858">
      <c r="B33858" s="612"/>
      <c r="H33858" s="612"/>
    </row>
    <row r="33859">
      <c r="B33859" s="612"/>
      <c r="H33859" s="612"/>
    </row>
    <row r="33860">
      <c r="B33860" s="612"/>
      <c r="H33860" s="612"/>
    </row>
    <row r="33861">
      <c r="B33861" s="612"/>
      <c r="H33861" s="612"/>
    </row>
    <row r="33862">
      <c r="B33862" s="612"/>
      <c r="H33862" s="612"/>
    </row>
    <row r="33863">
      <c r="B33863" s="612"/>
      <c r="H33863" s="612"/>
    </row>
    <row r="33864">
      <c r="B33864" s="612"/>
      <c r="H33864" s="612"/>
    </row>
    <row r="33865">
      <c r="B33865" s="612"/>
      <c r="H33865" s="612"/>
    </row>
    <row r="33866">
      <c r="B33866" s="612"/>
      <c r="H33866" s="612"/>
    </row>
    <row r="33867">
      <c r="B33867" s="612"/>
      <c r="H33867" s="612"/>
    </row>
    <row r="33868">
      <c r="B33868" s="612"/>
      <c r="H33868" s="612"/>
    </row>
    <row r="33869">
      <c r="B33869" s="612"/>
      <c r="H33869" s="612"/>
    </row>
    <row r="33870">
      <c r="B33870" s="612"/>
      <c r="H33870" s="612"/>
    </row>
    <row r="33871">
      <c r="B33871" s="612"/>
      <c r="H33871" s="612"/>
    </row>
    <row r="33872">
      <c r="B33872" s="612"/>
      <c r="H33872" s="612"/>
    </row>
    <row r="33873">
      <c r="B33873" s="612"/>
      <c r="H33873" s="612"/>
    </row>
    <row r="33874">
      <c r="B33874" s="612"/>
      <c r="H33874" s="612"/>
    </row>
    <row r="33875">
      <c r="B33875" s="612"/>
      <c r="H33875" s="612"/>
    </row>
    <row r="33876">
      <c r="B33876" s="612"/>
      <c r="H33876" s="612"/>
    </row>
    <row r="33877">
      <c r="B33877" s="612"/>
      <c r="H33877" s="612"/>
    </row>
    <row r="33878">
      <c r="B33878" s="612"/>
      <c r="H33878" s="612"/>
    </row>
    <row r="33879">
      <c r="B33879" s="612"/>
      <c r="H33879" s="612"/>
    </row>
    <row r="33880">
      <c r="B33880" s="612"/>
      <c r="H33880" s="612"/>
    </row>
    <row r="33881">
      <c r="B33881" s="612"/>
      <c r="H33881" s="612"/>
    </row>
    <row r="33882">
      <c r="B33882" s="612"/>
      <c r="H33882" s="612"/>
    </row>
    <row r="33883">
      <c r="B33883" s="612"/>
      <c r="H33883" s="612"/>
    </row>
    <row r="33884">
      <c r="B33884" s="612"/>
      <c r="H33884" s="612"/>
    </row>
    <row r="33885">
      <c r="B33885" s="612"/>
      <c r="H33885" s="612"/>
    </row>
    <row r="33886">
      <c r="B33886" s="612"/>
      <c r="H33886" s="612"/>
    </row>
    <row r="33887">
      <c r="B33887" s="612"/>
      <c r="H33887" s="612"/>
    </row>
    <row r="33888">
      <c r="B33888" s="612"/>
      <c r="H33888" s="612"/>
    </row>
    <row r="33889">
      <c r="B33889" s="612"/>
      <c r="H33889" s="612"/>
    </row>
    <row r="33890">
      <c r="B33890" s="612"/>
      <c r="H33890" s="612"/>
    </row>
    <row r="33891">
      <c r="B33891" s="612"/>
      <c r="H33891" s="612"/>
    </row>
    <row r="33892">
      <c r="B33892" s="612"/>
      <c r="H33892" s="612"/>
    </row>
    <row r="33893">
      <c r="B33893" s="612"/>
      <c r="H33893" s="612"/>
    </row>
    <row r="33894">
      <c r="B33894" s="612"/>
      <c r="H33894" s="612"/>
    </row>
    <row r="33895">
      <c r="B33895" s="612"/>
      <c r="H33895" s="612"/>
    </row>
    <row r="33896">
      <c r="B33896" s="612"/>
      <c r="H33896" s="612"/>
    </row>
    <row r="33897">
      <c r="B33897" s="612"/>
      <c r="H33897" s="612"/>
    </row>
    <row r="33898">
      <c r="B33898" s="612"/>
      <c r="H33898" s="612"/>
    </row>
    <row r="33899">
      <c r="B33899" s="612"/>
      <c r="H33899" s="612"/>
    </row>
    <row r="33900">
      <c r="B33900" s="612"/>
      <c r="H33900" s="612"/>
    </row>
    <row r="33901">
      <c r="B33901" s="612"/>
      <c r="H33901" s="612"/>
    </row>
    <row r="33902">
      <c r="B33902" s="612"/>
      <c r="H33902" s="612"/>
    </row>
    <row r="33903">
      <c r="B33903" s="612"/>
      <c r="H33903" s="612"/>
    </row>
    <row r="33904">
      <c r="B33904" s="612"/>
      <c r="H33904" s="612"/>
    </row>
    <row r="33905">
      <c r="B33905" s="612"/>
      <c r="H33905" s="612"/>
    </row>
    <row r="33906">
      <c r="B33906" s="612"/>
      <c r="H33906" s="612"/>
    </row>
    <row r="33907">
      <c r="B33907" s="612"/>
      <c r="H33907" s="612"/>
    </row>
    <row r="33908">
      <c r="B33908" s="612"/>
      <c r="H33908" s="612"/>
    </row>
    <row r="33909">
      <c r="B33909" s="612"/>
      <c r="H33909" s="612"/>
    </row>
    <row r="33910">
      <c r="B33910" s="612"/>
      <c r="H33910" s="612"/>
    </row>
    <row r="33911">
      <c r="B33911" s="612"/>
      <c r="H33911" s="612"/>
    </row>
    <row r="33912">
      <c r="B33912" s="612"/>
      <c r="H33912" s="612"/>
    </row>
    <row r="33913">
      <c r="B33913" s="612"/>
      <c r="H33913" s="612"/>
    </row>
    <row r="33914">
      <c r="B33914" s="612"/>
      <c r="H33914" s="612"/>
    </row>
    <row r="33915">
      <c r="B33915" s="612"/>
      <c r="H33915" s="612"/>
    </row>
    <row r="33916">
      <c r="B33916" s="612"/>
      <c r="H33916" s="612"/>
    </row>
    <row r="33917">
      <c r="B33917" s="612"/>
      <c r="H33917" s="612"/>
    </row>
    <row r="33918">
      <c r="B33918" s="612"/>
      <c r="H33918" s="612"/>
    </row>
    <row r="33919">
      <c r="B33919" s="612"/>
      <c r="H33919" s="612"/>
    </row>
    <row r="33920">
      <c r="B33920" s="612"/>
      <c r="H33920" s="612"/>
    </row>
    <row r="33921">
      <c r="B33921" s="612"/>
      <c r="H33921" s="612"/>
    </row>
    <row r="33922">
      <c r="B33922" s="612"/>
      <c r="H33922" s="612"/>
    </row>
    <row r="33923">
      <c r="B33923" s="612"/>
      <c r="H33923" s="612"/>
    </row>
    <row r="33924">
      <c r="B33924" s="612"/>
      <c r="H33924" s="612"/>
    </row>
    <row r="33925">
      <c r="B33925" s="612"/>
      <c r="H33925" s="612"/>
    </row>
    <row r="33926">
      <c r="B33926" s="612"/>
      <c r="H33926" s="612"/>
    </row>
    <row r="33927">
      <c r="B33927" s="612"/>
      <c r="H33927" s="612"/>
    </row>
    <row r="33928">
      <c r="B33928" s="612"/>
      <c r="H33928" s="612"/>
    </row>
    <row r="33929">
      <c r="B33929" s="612"/>
      <c r="H33929" s="612"/>
    </row>
    <row r="33930">
      <c r="B33930" s="612"/>
      <c r="H33930" s="612"/>
    </row>
    <row r="33931">
      <c r="B33931" s="612"/>
      <c r="H33931" s="612"/>
    </row>
    <row r="33932">
      <c r="B33932" s="612"/>
      <c r="H33932" s="612"/>
    </row>
    <row r="33933">
      <c r="B33933" s="612"/>
      <c r="H33933" s="612"/>
    </row>
    <row r="33934">
      <c r="B33934" s="612"/>
      <c r="H33934" s="612"/>
    </row>
    <row r="33935">
      <c r="B33935" s="612"/>
      <c r="H33935" s="612"/>
    </row>
    <row r="33936">
      <c r="B33936" s="612"/>
      <c r="H33936" s="612"/>
    </row>
    <row r="33937">
      <c r="B33937" s="612"/>
      <c r="H33937" s="612"/>
    </row>
    <row r="33938">
      <c r="B33938" s="612"/>
      <c r="H33938" s="612"/>
    </row>
    <row r="33939">
      <c r="B33939" s="612"/>
      <c r="H33939" s="612"/>
    </row>
    <row r="33940">
      <c r="B33940" s="612"/>
      <c r="H33940" s="612"/>
    </row>
    <row r="33941">
      <c r="B33941" s="612"/>
      <c r="H33941" s="612"/>
    </row>
    <row r="33942">
      <c r="B33942" s="612"/>
      <c r="H33942" s="612"/>
    </row>
    <row r="33943">
      <c r="B33943" s="612"/>
      <c r="H33943" s="612"/>
    </row>
    <row r="33944">
      <c r="B33944" s="612"/>
      <c r="H33944" s="612"/>
    </row>
    <row r="33945">
      <c r="B33945" s="612"/>
      <c r="H33945" s="612"/>
    </row>
    <row r="33946">
      <c r="B33946" s="612"/>
      <c r="H33946" s="612"/>
    </row>
    <row r="33947">
      <c r="B33947" s="612"/>
      <c r="H33947" s="612"/>
    </row>
    <row r="33948">
      <c r="B33948" s="612"/>
      <c r="H33948" s="612"/>
    </row>
    <row r="33949">
      <c r="B33949" s="612"/>
      <c r="H33949" s="612"/>
    </row>
    <row r="33950">
      <c r="B33950" s="612"/>
      <c r="H33950" s="612"/>
    </row>
    <row r="33951">
      <c r="B33951" s="612"/>
      <c r="H33951" s="612"/>
    </row>
    <row r="33952">
      <c r="B33952" s="612"/>
      <c r="H33952" s="612"/>
    </row>
    <row r="33953">
      <c r="B33953" s="612"/>
      <c r="H33953" s="612"/>
    </row>
    <row r="33954">
      <c r="B33954" s="612"/>
      <c r="H33954" s="612"/>
    </row>
    <row r="33955">
      <c r="B33955" s="612"/>
      <c r="H33955" s="612"/>
    </row>
    <row r="33956">
      <c r="B33956" s="612"/>
      <c r="H33956" s="612"/>
    </row>
    <row r="33957">
      <c r="B33957" s="612"/>
      <c r="H33957" s="612"/>
    </row>
    <row r="33958">
      <c r="B33958" s="612"/>
      <c r="H33958" s="612"/>
    </row>
    <row r="33959">
      <c r="B33959" s="612"/>
      <c r="H33959" s="612"/>
    </row>
    <row r="33960">
      <c r="B33960" s="612"/>
      <c r="H33960" s="612"/>
    </row>
    <row r="33961">
      <c r="B33961" s="612"/>
      <c r="H33961" s="612"/>
    </row>
    <row r="33962">
      <c r="B33962" s="612"/>
      <c r="H33962" s="612"/>
    </row>
    <row r="33963">
      <c r="B33963" s="612"/>
      <c r="H33963" s="612"/>
    </row>
    <row r="33964">
      <c r="B33964" s="612"/>
      <c r="H33964" s="612"/>
    </row>
    <row r="33965">
      <c r="B33965" s="612"/>
      <c r="H33965" s="612"/>
    </row>
    <row r="33966">
      <c r="B33966" s="612"/>
      <c r="H33966" s="612"/>
    </row>
    <row r="33967">
      <c r="B33967" s="612"/>
      <c r="H33967" s="612"/>
    </row>
    <row r="33968">
      <c r="B33968" s="612"/>
      <c r="H33968" s="612"/>
    </row>
    <row r="33969">
      <c r="B33969" s="612"/>
      <c r="H33969" s="612"/>
    </row>
    <row r="33970">
      <c r="B33970" s="612"/>
      <c r="H33970" s="612"/>
    </row>
    <row r="33971">
      <c r="B33971" s="612"/>
      <c r="H33971" s="612"/>
    </row>
    <row r="33972">
      <c r="B33972" s="612"/>
      <c r="H33972" s="612"/>
    </row>
    <row r="33973">
      <c r="B33973" s="612"/>
      <c r="H33973" s="612"/>
    </row>
    <row r="33974">
      <c r="B33974" s="612"/>
      <c r="H33974" s="612"/>
    </row>
    <row r="33975">
      <c r="B33975" s="612"/>
      <c r="H33975" s="612"/>
    </row>
    <row r="33976">
      <c r="B33976" s="612"/>
      <c r="H33976" s="612"/>
    </row>
    <row r="33977">
      <c r="B33977" s="612"/>
      <c r="H33977" s="612"/>
    </row>
    <row r="33978">
      <c r="B33978" s="612"/>
      <c r="H33978" s="612"/>
    </row>
    <row r="33979">
      <c r="B33979" s="612"/>
      <c r="H33979" s="612"/>
    </row>
    <row r="33980">
      <c r="B33980" s="612"/>
      <c r="H33980" s="612"/>
    </row>
    <row r="33981">
      <c r="B33981" s="612"/>
      <c r="H33981" s="612"/>
    </row>
    <row r="33982">
      <c r="B33982" s="612"/>
      <c r="H33982" s="612"/>
    </row>
    <row r="33983">
      <c r="B33983" s="612"/>
      <c r="H33983" s="612"/>
    </row>
    <row r="33984">
      <c r="B33984" s="612"/>
      <c r="H33984" s="612"/>
    </row>
    <row r="33985">
      <c r="B33985" s="612"/>
      <c r="H33985" s="612"/>
    </row>
    <row r="33986">
      <c r="B33986" s="612"/>
      <c r="H33986" s="612"/>
    </row>
    <row r="33987">
      <c r="B33987" s="612"/>
      <c r="H33987" s="612"/>
    </row>
    <row r="33988">
      <c r="B33988" s="612"/>
      <c r="H33988" s="612"/>
    </row>
    <row r="33989">
      <c r="B33989" s="612"/>
      <c r="H33989" s="612"/>
    </row>
    <row r="33990">
      <c r="B33990" s="612"/>
      <c r="H33990" s="612"/>
    </row>
    <row r="33991">
      <c r="B33991" s="612"/>
      <c r="H33991" s="612"/>
    </row>
    <row r="33992">
      <c r="B33992" s="612"/>
      <c r="H33992" s="612"/>
    </row>
    <row r="33993">
      <c r="B33993" s="612"/>
      <c r="H33993" s="612"/>
    </row>
    <row r="33994">
      <c r="B33994" s="612"/>
      <c r="H33994" s="612"/>
    </row>
    <row r="33995">
      <c r="B33995" s="612"/>
      <c r="H33995" s="612"/>
    </row>
    <row r="33996">
      <c r="B33996" s="612"/>
      <c r="H33996" s="612"/>
    </row>
    <row r="33997">
      <c r="B33997" s="612"/>
      <c r="H33997" s="612"/>
    </row>
    <row r="33998">
      <c r="B33998" s="612"/>
      <c r="H33998" s="612"/>
    </row>
    <row r="33999">
      <c r="B33999" s="612"/>
      <c r="H33999" s="612"/>
    </row>
    <row r="34000">
      <c r="B34000" s="612"/>
      <c r="H34000" s="612"/>
    </row>
    <row r="34001">
      <c r="B34001" s="612"/>
      <c r="H34001" s="612"/>
    </row>
    <row r="34002">
      <c r="B34002" s="612"/>
      <c r="H34002" s="612"/>
    </row>
    <row r="34003">
      <c r="B34003" s="612"/>
      <c r="H34003" s="612"/>
    </row>
    <row r="34004">
      <c r="B34004" s="612"/>
      <c r="H34004" s="612"/>
    </row>
    <row r="34005">
      <c r="B34005" s="612"/>
      <c r="H34005" s="612"/>
    </row>
    <row r="34006">
      <c r="B34006" s="612"/>
      <c r="H34006" s="612"/>
    </row>
    <row r="34007">
      <c r="B34007" s="612"/>
      <c r="H34007" s="612"/>
    </row>
    <row r="34008">
      <c r="B34008" s="612"/>
      <c r="H34008" s="612"/>
    </row>
    <row r="34009">
      <c r="B34009" s="612"/>
      <c r="H34009" s="612"/>
    </row>
    <row r="34010">
      <c r="B34010" s="612"/>
      <c r="H34010" s="612"/>
    </row>
    <row r="34011">
      <c r="B34011" s="612"/>
      <c r="H34011" s="612"/>
    </row>
    <row r="34012">
      <c r="B34012" s="612"/>
      <c r="H34012" s="612"/>
    </row>
    <row r="34013">
      <c r="B34013" s="612"/>
      <c r="H34013" s="612"/>
    </row>
    <row r="34014">
      <c r="B34014" s="612"/>
      <c r="H34014" s="612"/>
    </row>
    <row r="34015">
      <c r="B34015" s="612"/>
      <c r="H34015" s="612"/>
    </row>
    <row r="34016">
      <c r="B34016" s="612"/>
      <c r="H34016" s="612"/>
    </row>
    <row r="34017">
      <c r="B34017" s="612"/>
      <c r="H34017" s="612"/>
    </row>
    <row r="34018">
      <c r="B34018" s="612"/>
      <c r="H34018" s="612"/>
    </row>
    <row r="34019">
      <c r="B34019" s="612"/>
      <c r="H34019" s="612"/>
    </row>
    <row r="34020">
      <c r="B34020" s="612"/>
      <c r="H34020" s="612"/>
    </row>
    <row r="34021">
      <c r="B34021" s="612"/>
      <c r="H34021" s="612"/>
    </row>
    <row r="34022">
      <c r="B34022" s="612"/>
      <c r="H34022" s="612"/>
    </row>
    <row r="34023">
      <c r="B34023" s="612"/>
      <c r="H34023" s="612"/>
    </row>
    <row r="34024">
      <c r="B34024" s="612"/>
      <c r="H34024" s="612"/>
    </row>
    <row r="34025">
      <c r="B34025" s="612"/>
      <c r="H34025" s="612"/>
    </row>
    <row r="34026">
      <c r="B34026" s="612"/>
      <c r="H34026" s="612"/>
    </row>
    <row r="34027">
      <c r="B34027" s="612"/>
      <c r="H34027" s="612"/>
    </row>
    <row r="34028">
      <c r="B34028" s="612"/>
      <c r="H34028" s="612"/>
    </row>
    <row r="34029">
      <c r="B34029" s="612"/>
      <c r="H34029" s="612"/>
    </row>
    <row r="34030">
      <c r="B34030" s="612"/>
      <c r="H34030" s="612"/>
    </row>
    <row r="34031">
      <c r="B34031" s="612"/>
      <c r="H34031" s="612"/>
    </row>
    <row r="34032">
      <c r="B34032" s="612"/>
      <c r="H34032" s="612"/>
    </row>
    <row r="34033">
      <c r="B34033" s="612"/>
      <c r="H34033" s="612"/>
    </row>
    <row r="34034">
      <c r="B34034" s="612"/>
      <c r="H34034" s="612"/>
    </row>
    <row r="34035">
      <c r="B34035" s="612"/>
      <c r="H34035" s="612"/>
    </row>
    <row r="34036">
      <c r="B34036" s="612"/>
      <c r="H34036" s="612"/>
    </row>
    <row r="34037">
      <c r="B34037" s="612"/>
      <c r="H34037" s="612"/>
    </row>
    <row r="34038">
      <c r="B34038" s="612"/>
      <c r="H34038" s="612"/>
    </row>
    <row r="34039">
      <c r="B34039" s="612"/>
      <c r="H34039" s="612"/>
    </row>
    <row r="34040">
      <c r="B34040" s="612"/>
      <c r="H34040" s="612"/>
    </row>
    <row r="34041">
      <c r="B34041" s="612"/>
      <c r="H34041" s="612"/>
    </row>
    <row r="34042">
      <c r="B34042" s="612"/>
      <c r="H34042" s="612"/>
    </row>
    <row r="34043">
      <c r="B34043" s="612"/>
      <c r="H34043" s="612"/>
    </row>
    <row r="34044">
      <c r="B34044" s="612"/>
      <c r="H34044" s="612"/>
    </row>
    <row r="34045">
      <c r="B34045" s="612"/>
      <c r="H34045" s="612"/>
    </row>
    <row r="34046">
      <c r="B34046" s="612"/>
      <c r="H34046" s="612"/>
    </row>
    <row r="34047">
      <c r="B34047" s="612"/>
      <c r="H34047" s="612"/>
    </row>
    <row r="34048">
      <c r="B34048" s="612"/>
      <c r="H34048" s="612"/>
    </row>
    <row r="34049">
      <c r="B34049" s="612"/>
      <c r="H34049" s="612"/>
    </row>
    <row r="34050">
      <c r="B34050" s="612"/>
      <c r="H34050" s="612"/>
    </row>
    <row r="34051">
      <c r="B34051" s="612"/>
      <c r="H34051" s="612"/>
    </row>
    <row r="34052">
      <c r="B34052" s="612"/>
      <c r="H34052" s="612"/>
    </row>
    <row r="34053">
      <c r="B34053" s="612"/>
      <c r="H34053" s="612"/>
    </row>
    <row r="34054">
      <c r="B34054" s="612"/>
      <c r="H34054" s="612"/>
    </row>
    <row r="34055">
      <c r="B34055" s="612"/>
      <c r="H34055" s="612"/>
    </row>
    <row r="34056">
      <c r="B34056" s="612"/>
      <c r="H34056" s="612"/>
    </row>
    <row r="34057">
      <c r="B34057" s="612"/>
      <c r="H34057" s="612"/>
    </row>
    <row r="34058">
      <c r="B34058" s="612"/>
      <c r="H34058" s="612"/>
    </row>
    <row r="34059">
      <c r="B34059" s="612"/>
      <c r="H34059" s="612"/>
    </row>
    <row r="34060">
      <c r="B34060" s="612"/>
      <c r="H34060" s="612"/>
    </row>
    <row r="34061">
      <c r="B34061" s="612"/>
      <c r="H34061" s="612"/>
    </row>
    <row r="34062">
      <c r="B34062" s="612"/>
      <c r="H34062" s="612"/>
    </row>
    <row r="34063">
      <c r="B34063" s="612"/>
      <c r="H34063" s="612"/>
    </row>
    <row r="34064">
      <c r="B34064" s="612"/>
      <c r="H34064" s="612"/>
    </row>
    <row r="34065">
      <c r="B34065" s="612"/>
      <c r="H34065" s="612"/>
    </row>
    <row r="34066">
      <c r="B34066" s="612"/>
      <c r="H34066" s="612"/>
    </row>
    <row r="34067">
      <c r="B34067" s="612"/>
      <c r="H34067" s="612"/>
    </row>
    <row r="34068">
      <c r="B34068" s="612"/>
      <c r="H34068" s="612"/>
    </row>
    <row r="34069">
      <c r="B34069" s="612"/>
      <c r="H34069" s="612"/>
    </row>
    <row r="34070">
      <c r="B34070" s="612"/>
      <c r="H34070" s="612"/>
    </row>
    <row r="34071">
      <c r="B34071" s="612"/>
      <c r="H34071" s="612"/>
    </row>
    <row r="34072">
      <c r="B34072" s="612"/>
      <c r="H34072" s="612"/>
    </row>
    <row r="34073">
      <c r="B34073" s="612"/>
      <c r="H34073" s="612"/>
    </row>
    <row r="34074">
      <c r="B34074" s="612"/>
      <c r="H34074" s="612"/>
    </row>
    <row r="34075">
      <c r="B34075" s="612"/>
      <c r="H34075" s="612"/>
    </row>
    <row r="34076">
      <c r="B34076" s="612"/>
      <c r="H34076" s="612"/>
    </row>
    <row r="34077">
      <c r="B34077" s="612"/>
      <c r="H34077" s="612"/>
    </row>
    <row r="34078">
      <c r="B34078" s="612"/>
      <c r="H34078" s="612"/>
    </row>
    <row r="34079">
      <c r="B34079" s="612"/>
      <c r="H34079" s="612"/>
    </row>
    <row r="34080">
      <c r="B34080" s="612"/>
      <c r="H34080" s="612"/>
    </row>
    <row r="34081">
      <c r="B34081" s="612"/>
      <c r="H34081" s="612"/>
    </row>
    <row r="34082">
      <c r="B34082" s="612"/>
      <c r="H34082" s="612"/>
    </row>
    <row r="34083">
      <c r="B34083" s="612"/>
      <c r="H34083" s="612"/>
    </row>
    <row r="34084">
      <c r="B34084" s="612"/>
      <c r="H34084" s="612"/>
    </row>
    <row r="34085">
      <c r="B34085" s="612"/>
      <c r="H34085" s="612"/>
    </row>
    <row r="34086">
      <c r="B34086" s="612"/>
      <c r="H34086" s="612"/>
    </row>
    <row r="34087">
      <c r="B34087" s="612"/>
      <c r="H34087" s="612"/>
    </row>
    <row r="34088">
      <c r="B34088" s="612"/>
      <c r="H34088" s="612"/>
    </row>
    <row r="34089">
      <c r="B34089" s="612"/>
      <c r="H34089" s="612"/>
    </row>
    <row r="34090">
      <c r="B34090" s="612"/>
      <c r="H34090" s="612"/>
    </row>
    <row r="34091">
      <c r="B34091" s="612"/>
      <c r="H34091" s="612"/>
    </row>
    <row r="34092">
      <c r="B34092" s="612"/>
      <c r="H34092" s="612"/>
    </row>
    <row r="34093">
      <c r="B34093" s="612"/>
      <c r="H34093" s="612"/>
    </row>
    <row r="34094">
      <c r="B34094" s="612"/>
      <c r="H34094" s="612"/>
    </row>
    <row r="34095">
      <c r="B34095" s="612"/>
      <c r="H34095" s="612"/>
    </row>
    <row r="34096">
      <c r="B34096" s="612"/>
      <c r="H34096" s="612"/>
    </row>
    <row r="34097">
      <c r="B34097" s="612"/>
      <c r="H34097" s="612"/>
    </row>
    <row r="34098">
      <c r="B34098" s="612"/>
      <c r="H34098" s="612"/>
    </row>
    <row r="34099">
      <c r="B34099" s="612"/>
      <c r="H34099" s="612"/>
    </row>
    <row r="34100">
      <c r="B34100" s="612"/>
      <c r="H34100" s="612"/>
    </row>
    <row r="34101">
      <c r="B34101" s="612"/>
      <c r="H34101" s="612"/>
    </row>
    <row r="34102">
      <c r="B34102" s="612"/>
      <c r="H34102" s="612"/>
    </row>
    <row r="34103">
      <c r="B34103" s="612"/>
      <c r="H34103" s="612"/>
    </row>
    <row r="34104">
      <c r="B34104" s="612"/>
      <c r="H34104" s="612"/>
    </row>
    <row r="34105">
      <c r="B34105" s="612"/>
      <c r="H34105" s="612"/>
    </row>
    <row r="34106">
      <c r="B34106" s="612"/>
      <c r="H34106" s="612"/>
    </row>
    <row r="34107">
      <c r="B34107" s="612"/>
      <c r="H34107" s="612"/>
    </row>
    <row r="34108">
      <c r="B34108" s="612"/>
      <c r="H34108" s="612"/>
    </row>
    <row r="34109">
      <c r="B34109" s="612"/>
      <c r="H34109" s="612"/>
    </row>
    <row r="34110">
      <c r="B34110" s="612"/>
      <c r="H34110" s="612"/>
    </row>
    <row r="34111">
      <c r="B34111" s="612"/>
      <c r="H34111" s="612"/>
    </row>
    <row r="34112">
      <c r="B34112" s="612"/>
      <c r="H34112" s="612"/>
    </row>
    <row r="34113">
      <c r="B34113" s="612"/>
      <c r="H34113" s="612"/>
    </row>
    <row r="34114">
      <c r="B34114" s="612"/>
      <c r="H34114" s="612"/>
    </row>
    <row r="34115">
      <c r="B34115" s="612"/>
      <c r="H34115" s="612"/>
    </row>
    <row r="34116">
      <c r="B34116" s="612"/>
      <c r="H34116" s="612"/>
    </row>
    <row r="34117">
      <c r="B34117" s="612"/>
      <c r="H34117" s="612"/>
    </row>
    <row r="34118">
      <c r="B34118" s="612"/>
      <c r="H34118" s="612"/>
    </row>
    <row r="34119">
      <c r="B34119" s="612"/>
      <c r="H34119" s="612"/>
    </row>
    <row r="34120">
      <c r="B34120" s="612"/>
      <c r="H34120" s="612"/>
    </row>
    <row r="34121">
      <c r="B34121" s="612"/>
      <c r="H34121" s="612"/>
    </row>
    <row r="34122">
      <c r="B34122" s="612"/>
      <c r="H34122" s="612"/>
    </row>
    <row r="34123">
      <c r="B34123" s="612"/>
      <c r="H34123" s="612"/>
    </row>
    <row r="34124">
      <c r="B34124" s="612"/>
      <c r="H34124" s="612"/>
    </row>
    <row r="34125">
      <c r="B34125" s="612"/>
      <c r="H34125" s="612"/>
    </row>
    <row r="34126">
      <c r="B34126" s="612"/>
      <c r="H34126" s="612"/>
    </row>
    <row r="34127">
      <c r="B34127" s="612"/>
      <c r="H34127" s="612"/>
    </row>
    <row r="34128">
      <c r="B34128" s="612"/>
      <c r="H34128" s="612"/>
    </row>
    <row r="34129">
      <c r="B34129" s="612"/>
      <c r="H34129" s="612"/>
    </row>
    <row r="34130">
      <c r="B34130" s="612"/>
      <c r="H34130" s="612"/>
    </row>
    <row r="34131">
      <c r="B34131" s="612"/>
      <c r="H34131" s="612"/>
    </row>
    <row r="34132">
      <c r="B34132" s="612"/>
      <c r="H34132" s="612"/>
    </row>
    <row r="34133">
      <c r="B34133" s="612"/>
      <c r="H34133" s="612"/>
    </row>
    <row r="34134">
      <c r="B34134" s="612"/>
      <c r="H34134" s="612"/>
    </row>
    <row r="34135">
      <c r="B34135" s="612"/>
      <c r="H34135" s="612"/>
    </row>
    <row r="34136">
      <c r="B34136" s="612"/>
      <c r="H34136" s="612"/>
    </row>
    <row r="34137">
      <c r="B34137" s="612"/>
      <c r="H34137" s="612"/>
    </row>
    <row r="34138">
      <c r="B34138" s="612"/>
      <c r="H34138" s="612"/>
    </row>
    <row r="34139">
      <c r="B34139" s="612"/>
      <c r="H34139" s="612"/>
    </row>
    <row r="34140">
      <c r="B34140" s="612"/>
      <c r="H34140" s="612"/>
    </row>
    <row r="34141">
      <c r="B34141" s="612"/>
      <c r="H34141" s="612"/>
    </row>
    <row r="34142">
      <c r="B34142" s="612"/>
      <c r="H34142" s="612"/>
    </row>
    <row r="34143">
      <c r="B34143" s="612"/>
      <c r="H34143" s="612"/>
    </row>
    <row r="34144">
      <c r="B34144" s="612"/>
      <c r="H34144" s="612"/>
    </row>
    <row r="34145">
      <c r="B34145" s="612"/>
      <c r="H34145" s="612"/>
    </row>
    <row r="34146">
      <c r="B34146" s="612"/>
      <c r="H34146" s="612"/>
    </row>
    <row r="34147">
      <c r="B34147" s="612"/>
      <c r="H34147" s="612"/>
    </row>
    <row r="34148">
      <c r="B34148" s="612"/>
      <c r="H34148" s="612"/>
    </row>
    <row r="34149">
      <c r="B34149" s="612"/>
      <c r="H34149" s="612"/>
    </row>
    <row r="34150">
      <c r="B34150" s="612"/>
      <c r="H34150" s="612"/>
    </row>
    <row r="34151">
      <c r="B34151" s="612"/>
      <c r="H34151" s="612"/>
    </row>
    <row r="34152">
      <c r="B34152" s="612"/>
      <c r="H34152" s="612"/>
    </row>
    <row r="34153">
      <c r="B34153" s="612"/>
      <c r="H34153" s="612"/>
    </row>
    <row r="34154">
      <c r="B34154" s="612"/>
      <c r="H34154" s="612"/>
    </row>
    <row r="34155">
      <c r="B34155" s="612"/>
      <c r="H34155" s="612"/>
    </row>
    <row r="34156">
      <c r="B34156" s="612"/>
      <c r="H34156" s="612"/>
    </row>
    <row r="34157">
      <c r="B34157" s="612"/>
      <c r="H34157" s="612"/>
    </row>
    <row r="34158">
      <c r="B34158" s="612"/>
      <c r="H34158" s="612"/>
    </row>
    <row r="34159">
      <c r="B34159" s="612"/>
      <c r="H34159" s="612"/>
    </row>
    <row r="34160">
      <c r="B34160" s="612"/>
      <c r="H34160" s="612"/>
    </row>
    <row r="34161">
      <c r="B34161" s="612"/>
      <c r="H34161" s="612"/>
    </row>
    <row r="34162">
      <c r="B34162" s="612"/>
      <c r="H34162" s="612"/>
    </row>
    <row r="34163">
      <c r="B34163" s="612"/>
      <c r="H34163" s="612"/>
    </row>
    <row r="34164">
      <c r="B34164" s="612"/>
      <c r="H34164" s="612"/>
    </row>
    <row r="34165">
      <c r="B34165" s="612"/>
      <c r="H34165" s="612"/>
    </row>
    <row r="34166">
      <c r="B34166" s="612"/>
      <c r="H34166" s="612"/>
    </row>
    <row r="34167">
      <c r="B34167" s="612"/>
      <c r="H34167" s="612"/>
    </row>
    <row r="34168">
      <c r="B34168" s="612"/>
      <c r="H34168" s="612"/>
    </row>
    <row r="34169">
      <c r="B34169" s="612"/>
      <c r="H34169" s="612"/>
    </row>
    <row r="34170">
      <c r="B34170" s="612"/>
      <c r="H34170" s="612"/>
    </row>
    <row r="34171">
      <c r="B34171" s="612"/>
      <c r="H34171" s="612"/>
    </row>
    <row r="34172">
      <c r="B34172" s="612"/>
      <c r="H34172" s="612"/>
    </row>
    <row r="34173">
      <c r="B34173" s="612"/>
      <c r="H34173" s="612"/>
    </row>
    <row r="34174">
      <c r="B34174" s="612"/>
      <c r="H34174" s="612"/>
    </row>
    <row r="34175">
      <c r="B34175" s="612"/>
      <c r="H34175" s="612"/>
    </row>
    <row r="34176">
      <c r="B34176" s="612"/>
      <c r="H34176" s="612"/>
    </row>
    <row r="34177">
      <c r="B34177" s="612"/>
      <c r="H34177" s="612"/>
    </row>
    <row r="34178">
      <c r="B34178" s="612"/>
      <c r="H34178" s="612"/>
    </row>
    <row r="34179">
      <c r="B34179" s="612"/>
      <c r="H34179" s="612"/>
    </row>
    <row r="34180">
      <c r="B34180" s="612"/>
      <c r="H34180" s="612"/>
    </row>
    <row r="34181">
      <c r="B34181" s="612"/>
      <c r="H34181" s="612"/>
    </row>
    <row r="34182">
      <c r="B34182" s="612"/>
      <c r="H34182" s="612"/>
    </row>
    <row r="34183">
      <c r="B34183" s="612"/>
      <c r="H34183" s="612"/>
    </row>
    <row r="34184">
      <c r="B34184" s="612"/>
      <c r="H34184" s="612"/>
    </row>
    <row r="34185">
      <c r="B34185" s="612"/>
      <c r="H34185" s="612"/>
    </row>
    <row r="34186">
      <c r="B34186" s="612"/>
      <c r="H34186" s="612"/>
    </row>
    <row r="34187">
      <c r="B34187" s="612"/>
      <c r="H34187" s="612"/>
    </row>
    <row r="34188">
      <c r="B34188" s="612"/>
      <c r="H34188" s="612"/>
    </row>
    <row r="34189">
      <c r="B34189" s="612"/>
      <c r="H34189" s="612"/>
    </row>
    <row r="34190">
      <c r="B34190" s="612"/>
      <c r="H34190" s="612"/>
    </row>
    <row r="34191">
      <c r="B34191" s="612"/>
      <c r="H34191" s="612"/>
    </row>
    <row r="34192">
      <c r="B34192" s="612"/>
      <c r="H34192" s="612"/>
    </row>
    <row r="34193">
      <c r="B34193" s="612"/>
      <c r="H34193" s="612"/>
    </row>
    <row r="34194">
      <c r="B34194" s="612"/>
      <c r="H34194" s="612"/>
    </row>
    <row r="34195">
      <c r="B34195" s="612"/>
      <c r="H34195" s="612"/>
    </row>
    <row r="34196">
      <c r="B34196" s="612"/>
      <c r="H34196" s="612"/>
    </row>
    <row r="34197">
      <c r="B34197" s="612"/>
      <c r="H34197" s="612"/>
    </row>
    <row r="34198">
      <c r="B34198" s="612"/>
      <c r="H34198" s="612"/>
    </row>
    <row r="34199">
      <c r="B34199" s="612"/>
      <c r="H34199" s="612"/>
    </row>
    <row r="34200">
      <c r="B34200" s="612"/>
      <c r="H34200" s="612"/>
    </row>
    <row r="34201">
      <c r="B34201" s="612"/>
      <c r="H34201" s="612"/>
    </row>
    <row r="34202">
      <c r="B34202" s="612"/>
      <c r="H34202" s="612"/>
    </row>
    <row r="34203">
      <c r="B34203" s="612"/>
      <c r="H34203" s="612"/>
    </row>
    <row r="34204">
      <c r="B34204" s="612"/>
      <c r="H34204" s="612"/>
    </row>
    <row r="34205">
      <c r="B34205" s="612"/>
      <c r="H34205" s="612"/>
    </row>
    <row r="34206">
      <c r="B34206" s="612"/>
      <c r="H34206" s="612"/>
    </row>
    <row r="34207">
      <c r="B34207" s="612"/>
      <c r="H34207" s="612"/>
    </row>
    <row r="34208">
      <c r="B34208" s="612"/>
      <c r="H34208" s="612"/>
    </row>
    <row r="34209">
      <c r="B34209" s="612"/>
      <c r="H34209" s="612"/>
    </row>
    <row r="34210">
      <c r="B34210" s="612"/>
      <c r="H34210" s="612"/>
    </row>
    <row r="34211">
      <c r="B34211" s="612"/>
      <c r="H34211" s="612"/>
    </row>
    <row r="34212">
      <c r="B34212" s="612"/>
      <c r="H34212" s="612"/>
    </row>
    <row r="34213">
      <c r="B34213" s="612"/>
      <c r="H34213" s="612"/>
    </row>
    <row r="34214">
      <c r="B34214" s="612"/>
      <c r="H34214" s="612"/>
    </row>
    <row r="34215">
      <c r="B34215" s="612"/>
      <c r="H34215" s="612"/>
    </row>
    <row r="34216">
      <c r="B34216" s="612"/>
      <c r="H34216" s="612"/>
    </row>
    <row r="34217">
      <c r="B34217" s="612"/>
      <c r="H34217" s="612"/>
    </row>
    <row r="34218">
      <c r="B34218" s="612"/>
      <c r="H34218" s="612"/>
    </row>
    <row r="34219">
      <c r="B34219" s="612"/>
      <c r="H34219" s="612"/>
    </row>
    <row r="34220">
      <c r="B34220" s="612"/>
      <c r="H34220" s="612"/>
    </row>
    <row r="34221">
      <c r="B34221" s="612"/>
      <c r="H34221" s="612"/>
    </row>
    <row r="34222">
      <c r="B34222" s="612"/>
      <c r="H34222" s="612"/>
    </row>
    <row r="34223">
      <c r="B34223" s="612"/>
      <c r="H34223" s="612"/>
    </row>
    <row r="34224">
      <c r="B34224" s="612"/>
      <c r="H34224" s="612"/>
    </row>
    <row r="34225">
      <c r="B34225" s="612"/>
      <c r="H34225" s="612"/>
    </row>
    <row r="34226">
      <c r="B34226" s="612"/>
      <c r="H34226" s="612"/>
    </row>
    <row r="34227">
      <c r="B34227" s="612"/>
      <c r="H34227" s="612"/>
    </row>
    <row r="34228">
      <c r="B34228" s="612"/>
      <c r="H34228" s="612"/>
    </row>
    <row r="34229">
      <c r="B34229" s="612"/>
      <c r="H34229" s="612"/>
    </row>
    <row r="34230">
      <c r="B34230" s="612"/>
      <c r="H34230" s="612"/>
    </row>
    <row r="34231">
      <c r="B34231" s="612"/>
      <c r="H34231" s="612"/>
    </row>
    <row r="34232">
      <c r="B34232" s="612"/>
      <c r="H34232" s="612"/>
    </row>
    <row r="34233">
      <c r="B34233" s="612"/>
      <c r="H34233" s="612"/>
    </row>
    <row r="34234">
      <c r="B34234" s="612"/>
      <c r="H34234" s="612"/>
    </row>
    <row r="34235">
      <c r="B34235" s="612"/>
      <c r="H34235" s="612"/>
    </row>
    <row r="34236">
      <c r="B34236" s="612"/>
      <c r="H34236" s="612"/>
    </row>
    <row r="34237">
      <c r="B34237" s="612"/>
      <c r="H34237" s="612"/>
    </row>
    <row r="34238">
      <c r="B34238" s="612"/>
      <c r="H34238" s="612"/>
    </row>
    <row r="34239">
      <c r="B34239" s="612"/>
      <c r="H34239" s="612"/>
    </row>
    <row r="34240">
      <c r="B34240" s="612"/>
      <c r="H34240" s="612"/>
    </row>
    <row r="34241">
      <c r="B34241" s="612"/>
      <c r="H34241" s="612"/>
    </row>
    <row r="34242">
      <c r="B34242" s="612"/>
      <c r="H34242" s="612"/>
    </row>
    <row r="34243">
      <c r="B34243" s="612"/>
      <c r="H34243" s="612"/>
    </row>
    <row r="34244">
      <c r="B34244" s="612"/>
      <c r="H34244" s="612"/>
    </row>
    <row r="34245">
      <c r="B34245" s="612"/>
      <c r="H34245" s="612"/>
    </row>
    <row r="34246">
      <c r="B34246" s="612"/>
      <c r="H34246" s="612"/>
    </row>
    <row r="34247">
      <c r="B34247" s="612"/>
      <c r="H34247" s="612"/>
    </row>
    <row r="34248">
      <c r="B34248" s="612"/>
      <c r="H34248" s="612"/>
    </row>
    <row r="34249">
      <c r="B34249" s="612"/>
      <c r="H34249" s="612"/>
    </row>
    <row r="34250">
      <c r="B34250" s="612"/>
      <c r="H34250" s="612"/>
    </row>
    <row r="34251">
      <c r="B34251" s="612"/>
      <c r="H34251" s="612"/>
    </row>
    <row r="34252">
      <c r="B34252" s="612"/>
      <c r="H34252" s="612"/>
    </row>
    <row r="34253">
      <c r="B34253" s="612"/>
      <c r="H34253" s="612"/>
    </row>
    <row r="34254">
      <c r="B34254" s="612"/>
      <c r="H34254" s="612"/>
    </row>
    <row r="34255">
      <c r="B34255" s="612"/>
      <c r="H34255" s="612"/>
    </row>
    <row r="34256">
      <c r="B34256" s="612"/>
      <c r="H34256" s="612"/>
    </row>
    <row r="34257">
      <c r="B34257" s="612"/>
      <c r="H34257" s="612"/>
    </row>
    <row r="34258">
      <c r="B34258" s="612"/>
      <c r="H34258" s="612"/>
    </row>
    <row r="34259">
      <c r="B34259" s="612"/>
      <c r="H34259" s="612"/>
    </row>
    <row r="34260">
      <c r="B34260" s="612"/>
      <c r="H34260" s="612"/>
    </row>
    <row r="34261">
      <c r="B34261" s="612"/>
      <c r="H34261" s="612"/>
    </row>
    <row r="34262">
      <c r="B34262" s="612"/>
      <c r="H34262" s="612"/>
    </row>
    <row r="34263">
      <c r="B34263" s="612"/>
      <c r="H34263" s="612"/>
    </row>
    <row r="34264">
      <c r="B34264" s="612"/>
      <c r="H34264" s="612"/>
    </row>
    <row r="34265">
      <c r="B34265" s="612"/>
      <c r="H34265" s="612"/>
    </row>
    <row r="34266">
      <c r="B34266" s="612"/>
      <c r="H34266" s="612"/>
    </row>
    <row r="34267">
      <c r="B34267" s="612"/>
      <c r="H34267" s="612"/>
    </row>
    <row r="34268">
      <c r="B34268" s="612"/>
      <c r="H34268" s="612"/>
    </row>
    <row r="34269">
      <c r="B34269" s="612"/>
      <c r="H34269" s="612"/>
    </row>
    <row r="34270">
      <c r="B34270" s="612"/>
      <c r="H34270" s="612"/>
    </row>
    <row r="34271">
      <c r="B34271" s="612"/>
      <c r="H34271" s="612"/>
    </row>
    <row r="34272">
      <c r="B34272" s="612"/>
      <c r="H34272" s="612"/>
    </row>
    <row r="34273">
      <c r="B34273" s="612"/>
      <c r="H34273" s="612"/>
    </row>
    <row r="34274">
      <c r="B34274" s="612"/>
      <c r="H34274" s="612"/>
    </row>
    <row r="34275">
      <c r="B34275" s="612"/>
      <c r="H34275" s="612"/>
    </row>
    <row r="34276">
      <c r="B34276" s="612"/>
      <c r="H34276" s="612"/>
    </row>
    <row r="34277">
      <c r="B34277" s="612"/>
      <c r="H34277" s="612"/>
    </row>
    <row r="34278">
      <c r="B34278" s="612"/>
      <c r="H34278" s="612"/>
    </row>
    <row r="34279">
      <c r="B34279" s="612"/>
      <c r="H34279" s="612"/>
    </row>
    <row r="34280">
      <c r="B34280" s="612"/>
      <c r="H34280" s="612"/>
    </row>
    <row r="34281">
      <c r="B34281" s="612"/>
      <c r="H34281" s="612"/>
    </row>
    <row r="34282">
      <c r="B34282" s="612"/>
      <c r="H34282" s="612"/>
    </row>
    <row r="34283">
      <c r="B34283" s="612"/>
      <c r="H34283" s="612"/>
    </row>
    <row r="34284">
      <c r="B34284" s="612"/>
      <c r="H34284" s="612"/>
    </row>
    <row r="34285">
      <c r="B34285" s="612"/>
      <c r="H34285" s="612"/>
    </row>
    <row r="34286">
      <c r="B34286" s="612"/>
      <c r="H34286" s="612"/>
    </row>
    <row r="34287">
      <c r="B34287" s="612"/>
      <c r="H34287" s="612"/>
    </row>
    <row r="34288">
      <c r="B34288" s="612"/>
      <c r="H34288" s="612"/>
    </row>
    <row r="34289">
      <c r="B34289" s="612"/>
      <c r="H34289" s="612"/>
    </row>
    <row r="34290">
      <c r="B34290" s="612"/>
      <c r="H34290" s="612"/>
    </row>
    <row r="34291">
      <c r="B34291" s="612"/>
      <c r="H34291" s="612"/>
    </row>
    <row r="34292">
      <c r="B34292" s="612"/>
      <c r="H34292" s="612"/>
    </row>
    <row r="34293">
      <c r="B34293" s="612"/>
      <c r="H34293" s="612"/>
    </row>
    <row r="34294">
      <c r="B34294" s="612"/>
      <c r="H34294" s="612"/>
    </row>
    <row r="34295">
      <c r="B34295" s="612"/>
      <c r="H34295" s="612"/>
    </row>
    <row r="34296">
      <c r="B34296" s="612"/>
      <c r="H34296" s="612"/>
    </row>
    <row r="34297">
      <c r="B34297" s="612"/>
      <c r="H34297" s="612"/>
    </row>
    <row r="34298">
      <c r="B34298" s="612"/>
      <c r="H34298" s="612"/>
    </row>
    <row r="34299">
      <c r="B34299" s="612"/>
      <c r="H34299" s="612"/>
    </row>
    <row r="34300">
      <c r="B34300" s="612"/>
      <c r="H34300" s="612"/>
    </row>
    <row r="34301">
      <c r="B34301" s="612"/>
      <c r="H34301" s="612"/>
    </row>
    <row r="34302">
      <c r="B34302" s="612"/>
      <c r="H34302" s="612"/>
    </row>
    <row r="34303">
      <c r="B34303" s="612"/>
      <c r="H34303" s="612"/>
    </row>
    <row r="34304">
      <c r="B34304" s="612"/>
      <c r="H34304" s="612"/>
    </row>
    <row r="34305">
      <c r="B34305" s="612"/>
      <c r="H34305" s="612"/>
    </row>
    <row r="34306">
      <c r="B34306" s="612"/>
      <c r="H34306" s="612"/>
    </row>
    <row r="34307">
      <c r="B34307" s="612"/>
      <c r="H34307" s="612"/>
    </row>
    <row r="34308">
      <c r="B34308" s="612"/>
      <c r="H34308" s="612"/>
    </row>
    <row r="34309">
      <c r="B34309" s="612"/>
      <c r="H34309" s="612"/>
    </row>
    <row r="34310">
      <c r="B34310" s="612"/>
      <c r="H34310" s="612"/>
    </row>
    <row r="34311">
      <c r="B34311" s="612"/>
      <c r="H34311" s="612"/>
    </row>
    <row r="34312">
      <c r="B34312" s="612"/>
      <c r="H34312" s="612"/>
    </row>
    <row r="34313">
      <c r="B34313" s="612"/>
      <c r="H34313" s="612"/>
    </row>
    <row r="34314">
      <c r="B34314" s="612"/>
      <c r="H34314" s="612"/>
    </row>
    <row r="34315">
      <c r="B34315" s="612"/>
      <c r="H34315" s="612"/>
    </row>
    <row r="34316">
      <c r="B34316" s="612"/>
      <c r="H34316" s="612"/>
    </row>
    <row r="34317">
      <c r="B34317" s="612"/>
      <c r="H34317" s="612"/>
    </row>
    <row r="34318">
      <c r="B34318" s="612"/>
      <c r="H34318" s="612"/>
    </row>
    <row r="34319">
      <c r="B34319" s="612"/>
      <c r="H34319" s="612"/>
    </row>
    <row r="34320">
      <c r="B34320" s="612"/>
      <c r="H34320" s="612"/>
    </row>
    <row r="34321">
      <c r="B34321" s="612"/>
      <c r="H34321" s="612"/>
    </row>
    <row r="34322">
      <c r="B34322" s="612"/>
      <c r="H34322" s="612"/>
    </row>
    <row r="34323">
      <c r="B34323" s="612"/>
      <c r="H34323" s="612"/>
    </row>
    <row r="34324">
      <c r="B34324" s="612"/>
      <c r="H34324" s="612"/>
    </row>
    <row r="34325">
      <c r="B34325" s="612"/>
      <c r="H34325" s="612"/>
    </row>
    <row r="34326">
      <c r="B34326" s="612"/>
      <c r="H34326" s="612"/>
    </row>
    <row r="34327">
      <c r="B34327" s="612"/>
      <c r="H34327" s="612"/>
    </row>
    <row r="34328">
      <c r="B34328" s="612"/>
      <c r="H34328" s="612"/>
    </row>
    <row r="34329">
      <c r="B34329" s="612"/>
      <c r="H34329" s="612"/>
    </row>
    <row r="34330">
      <c r="B34330" s="612"/>
      <c r="H34330" s="612"/>
    </row>
    <row r="34331">
      <c r="B34331" s="612"/>
      <c r="H34331" s="612"/>
    </row>
    <row r="34332">
      <c r="B34332" s="612"/>
      <c r="H34332" s="612"/>
    </row>
    <row r="34333">
      <c r="B34333" s="612"/>
      <c r="H34333" s="612"/>
    </row>
    <row r="34334">
      <c r="B34334" s="612"/>
      <c r="H34334" s="612"/>
    </row>
    <row r="34335">
      <c r="B34335" s="612"/>
      <c r="H34335" s="612"/>
    </row>
    <row r="34336">
      <c r="B34336" s="612"/>
      <c r="H34336" s="612"/>
    </row>
    <row r="34337">
      <c r="B34337" s="612"/>
      <c r="H34337" s="612"/>
    </row>
    <row r="34338">
      <c r="B34338" s="612"/>
      <c r="H34338" s="612"/>
    </row>
    <row r="34339">
      <c r="B34339" s="612"/>
      <c r="H34339" s="612"/>
    </row>
    <row r="34340">
      <c r="B34340" s="612"/>
      <c r="H34340" s="612"/>
    </row>
    <row r="34341">
      <c r="B34341" s="612"/>
      <c r="H34341" s="612"/>
    </row>
    <row r="34342">
      <c r="B34342" s="612"/>
      <c r="H34342" s="612"/>
    </row>
    <row r="34343">
      <c r="B34343" s="612"/>
      <c r="H34343" s="612"/>
    </row>
    <row r="34344">
      <c r="B34344" s="612"/>
      <c r="H34344" s="612"/>
    </row>
    <row r="34345">
      <c r="B34345" s="612"/>
      <c r="H34345" s="612"/>
    </row>
    <row r="34346">
      <c r="B34346" s="612"/>
      <c r="H34346" s="612"/>
    </row>
    <row r="34347">
      <c r="B34347" s="612"/>
      <c r="H34347" s="612"/>
    </row>
    <row r="34348">
      <c r="B34348" s="612"/>
      <c r="H34348" s="612"/>
    </row>
    <row r="34349">
      <c r="B34349" s="612"/>
      <c r="H34349" s="612"/>
    </row>
    <row r="34350">
      <c r="B34350" s="612"/>
      <c r="H34350" s="612"/>
    </row>
    <row r="34351">
      <c r="B34351" s="612"/>
      <c r="H34351" s="612"/>
    </row>
    <row r="34352">
      <c r="B34352" s="612"/>
      <c r="H34352" s="612"/>
    </row>
    <row r="34353">
      <c r="B34353" s="612"/>
      <c r="H34353" s="612"/>
    </row>
    <row r="34354">
      <c r="B34354" s="612"/>
      <c r="H34354" s="612"/>
    </row>
    <row r="34355">
      <c r="B34355" s="612"/>
      <c r="H34355" s="612"/>
    </row>
    <row r="34356">
      <c r="B34356" s="612"/>
      <c r="H34356" s="612"/>
    </row>
    <row r="34357">
      <c r="B34357" s="612"/>
      <c r="H34357" s="612"/>
    </row>
    <row r="34358">
      <c r="B34358" s="612"/>
      <c r="H34358" s="612"/>
    </row>
    <row r="34359">
      <c r="B34359" s="612"/>
      <c r="H34359" s="612"/>
    </row>
    <row r="34360">
      <c r="B34360" s="612"/>
      <c r="H34360" s="612"/>
    </row>
    <row r="34361">
      <c r="B34361" s="612"/>
      <c r="H34361" s="612"/>
    </row>
    <row r="34362">
      <c r="B34362" s="612"/>
      <c r="H34362" s="612"/>
    </row>
    <row r="34363">
      <c r="B34363" s="612"/>
      <c r="H34363" s="612"/>
    </row>
    <row r="34364">
      <c r="B34364" s="612"/>
      <c r="H34364" s="612"/>
    </row>
    <row r="34365">
      <c r="B34365" s="612"/>
      <c r="H34365" s="612"/>
    </row>
    <row r="34366">
      <c r="B34366" s="612"/>
      <c r="H34366" s="612"/>
    </row>
    <row r="34367">
      <c r="B34367" s="612"/>
      <c r="H34367" s="612"/>
    </row>
    <row r="34368">
      <c r="B34368" s="612"/>
      <c r="H34368" s="612"/>
    </row>
    <row r="34369">
      <c r="B34369" s="612"/>
      <c r="H34369" s="612"/>
    </row>
    <row r="34370">
      <c r="B34370" s="612"/>
      <c r="H34370" s="612"/>
    </row>
    <row r="34371">
      <c r="B34371" s="612"/>
      <c r="H34371" s="612"/>
    </row>
    <row r="34372">
      <c r="B34372" s="612"/>
      <c r="H34372" s="612"/>
    </row>
    <row r="34373">
      <c r="B34373" s="612"/>
      <c r="H34373" s="612"/>
    </row>
    <row r="34374">
      <c r="B34374" s="612"/>
      <c r="H34374" s="612"/>
    </row>
    <row r="34375">
      <c r="B34375" s="612"/>
      <c r="H34375" s="612"/>
    </row>
    <row r="34376">
      <c r="B34376" s="612"/>
      <c r="H34376" s="612"/>
    </row>
    <row r="34377">
      <c r="B34377" s="612"/>
      <c r="H34377" s="612"/>
    </row>
    <row r="34378">
      <c r="B34378" s="612"/>
      <c r="H34378" s="612"/>
    </row>
    <row r="34379">
      <c r="B34379" s="612"/>
      <c r="H34379" s="612"/>
    </row>
    <row r="34380">
      <c r="B34380" s="612"/>
      <c r="H34380" s="612"/>
    </row>
    <row r="34381">
      <c r="B34381" s="612"/>
      <c r="H34381" s="612"/>
    </row>
    <row r="34382">
      <c r="B34382" s="612"/>
      <c r="H34382" s="612"/>
    </row>
    <row r="34383">
      <c r="B34383" s="612"/>
      <c r="H34383" s="612"/>
    </row>
    <row r="34384">
      <c r="B34384" s="612"/>
      <c r="H34384" s="612"/>
    </row>
    <row r="34385">
      <c r="B34385" s="612"/>
      <c r="H34385" s="612"/>
    </row>
    <row r="34386">
      <c r="B34386" s="612"/>
      <c r="H34386" s="612"/>
    </row>
    <row r="34387">
      <c r="B34387" s="612"/>
      <c r="H34387" s="612"/>
    </row>
    <row r="34388">
      <c r="B34388" s="612"/>
      <c r="H34388" s="612"/>
    </row>
    <row r="34389">
      <c r="B34389" s="612"/>
      <c r="H34389" s="612"/>
    </row>
    <row r="34390">
      <c r="B34390" s="612"/>
      <c r="H34390" s="612"/>
    </row>
    <row r="34391">
      <c r="B34391" s="612"/>
      <c r="H34391" s="612"/>
    </row>
    <row r="34392">
      <c r="B34392" s="612"/>
      <c r="H34392" s="612"/>
    </row>
    <row r="34393">
      <c r="B34393" s="612"/>
      <c r="H34393" s="612"/>
    </row>
    <row r="34394">
      <c r="B34394" s="612"/>
      <c r="H34394" s="612"/>
    </row>
    <row r="34395">
      <c r="B34395" s="612"/>
      <c r="H34395" s="612"/>
    </row>
    <row r="34396">
      <c r="B34396" s="612"/>
      <c r="H34396" s="612"/>
    </row>
    <row r="34397">
      <c r="B34397" s="612"/>
      <c r="H34397" s="612"/>
    </row>
    <row r="34398">
      <c r="B34398" s="612"/>
      <c r="H34398" s="612"/>
    </row>
    <row r="34399">
      <c r="B34399" s="612"/>
      <c r="H34399" s="612"/>
    </row>
    <row r="34400">
      <c r="B34400" s="612"/>
      <c r="H34400" s="612"/>
    </row>
    <row r="34401">
      <c r="B34401" s="612"/>
      <c r="H34401" s="612"/>
    </row>
    <row r="34402">
      <c r="B34402" s="612"/>
      <c r="H34402" s="612"/>
    </row>
    <row r="34403">
      <c r="B34403" s="612"/>
      <c r="H34403" s="612"/>
    </row>
    <row r="34404">
      <c r="B34404" s="612"/>
      <c r="H34404" s="612"/>
    </row>
    <row r="34405">
      <c r="B34405" s="612"/>
      <c r="H34405" s="612"/>
    </row>
    <row r="34406">
      <c r="B34406" s="612"/>
      <c r="H34406" s="612"/>
    </row>
    <row r="34407">
      <c r="B34407" s="612"/>
      <c r="H34407" s="612"/>
    </row>
    <row r="34408">
      <c r="B34408" s="612"/>
      <c r="H34408" s="612"/>
    </row>
    <row r="34409">
      <c r="B34409" s="612"/>
      <c r="H34409" s="612"/>
    </row>
    <row r="34410">
      <c r="B34410" s="612"/>
      <c r="H34410" s="612"/>
    </row>
    <row r="34411">
      <c r="B34411" s="612"/>
      <c r="H34411" s="612"/>
    </row>
    <row r="34412">
      <c r="B34412" s="612"/>
      <c r="H34412" s="612"/>
    </row>
    <row r="34413">
      <c r="B34413" s="612"/>
      <c r="H34413" s="612"/>
    </row>
    <row r="34414">
      <c r="B34414" s="612"/>
      <c r="H34414" s="612"/>
    </row>
    <row r="34415">
      <c r="B34415" s="612"/>
      <c r="H34415" s="612"/>
    </row>
    <row r="34416">
      <c r="B34416" s="612"/>
      <c r="H34416" s="612"/>
    </row>
    <row r="34417">
      <c r="B34417" s="612"/>
      <c r="H34417" s="612"/>
    </row>
    <row r="34418">
      <c r="B34418" s="612"/>
      <c r="H34418" s="612"/>
    </row>
    <row r="34419">
      <c r="B34419" s="612"/>
      <c r="H34419" s="612"/>
    </row>
    <row r="34420">
      <c r="B34420" s="612"/>
      <c r="H34420" s="612"/>
    </row>
    <row r="34421">
      <c r="B34421" s="612"/>
      <c r="H34421" s="612"/>
    </row>
    <row r="34422">
      <c r="B34422" s="612"/>
      <c r="H34422" s="612"/>
    </row>
    <row r="34423">
      <c r="B34423" s="612"/>
      <c r="H34423" s="612"/>
    </row>
    <row r="34424">
      <c r="B34424" s="612"/>
      <c r="H34424" s="612"/>
    </row>
    <row r="34425">
      <c r="B34425" s="612"/>
      <c r="H34425" s="612"/>
    </row>
    <row r="34426">
      <c r="B34426" s="612"/>
      <c r="H34426" s="612"/>
    </row>
    <row r="34427">
      <c r="B34427" s="612"/>
      <c r="H34427" s="612"/>
    </row>
    <row r="34428">
      <c r="B34428" s="612"/>
      <c r="H34428" s="612"/>
    </row>
    <row r="34429">
      <c r="B34429" s="612"/>
      <c r="H34429" s="612"/>
    </row>
    <row r="34430">
      <c r="B34430" s="612"/>
      <c r="H34430" s="612"/>
    </row>
    <row r="34431">
      <c r="B34431" s="612"/>
      <c r="H34431" s="612"/>
    </row>
    <row r="34432">
      <c r="B34432" s="612"/>
      <c r="H34432" s="612"/>
    </row>
    <row r="34433">
      <c r="B34433" s="612"/>
      <c r="H34433" s="612"/>
    </row>
    <row r="34434">
      <c r="B34434" s="612"/>
      <c r="H34434" s="612"/>
    </row>
    <row r="34435">
      <c r="B34435" s="612"/>
      <c r="H34435" s="612"/>
    </row>
    <row r="34436">
      <c r="B34436" s="612"/>
      <c r="H34436" s="612"/>
    </row>
    <row r="34437">
      <c r="B34437" s="612"/>
      <c r="H34437" s="612"/>
    </row>
    <row r="34438">
      <c r="B34438" s="612"/>
      <c r="H34438" s="612"/>
    </row>
    <row r="34439">
      <c r="B34439" s="612"/>
      <c r="H34439" s="612"/>
    </row>
    <row r="34440">
      <c r="B34440" s="612"/>
      <c r="H34440" s="612"/>
    </row>
    <row r="34441">
      <c r="B34441" s="612"/>
      <c r="H34441" s="612"/>
    </row>
    <row r="34442">
      <c r="B34442" s="612"/>
      <c r="H34442" s="612"/>
    </row>
    <row r="34443">
      <c r="B34443" s="612"/>
      <c r="H34443" s="612"/>
    </row>
    <row r="34444">
      <c r="B34444" s="612"/>
      <c r="H34444" s="612"/>
    </row>
    <row r="34445">
      <c r="B34445" s="612"/>
      <c r="H34445" s="612"/>
    </row>
    <row r="34446">
      <c r="B34446" s="612"/>
      <c r="H34446" s="612"/>
    </row>
    <row r="34447">
      <c r="B34447" s="612"/>
      <c r="H34447" s="612"/>
    </row>
    <row r="34448">
      <c r="B34448" s="612"/>
      <c r="H34448" s="612"/>
    </row>
    <row r="34449">
      <c r="B34449" s="612"/>
      <c r="H34449" s="612"/>
    </row>
    <row r="34450">
      <c r="B34450" s="612"/>
      <c r="H34450" s="612"/>
    </row>
    <row r="34451">
      <c r="B34451" s="612"/>
      <c r="H34451" s="612"/>
    </row>
    <row r="34452">
      <c r="B34452" s="612"/>
      <c r="H34452" s="612"/>
    </row>
    <row r="34453">
      <c r="B34453" s="612"/>
      <c r="H34453" s="612"/>
    </row>
    <row r="34454">
      <c r="B34454" s="612"/>
      <c r="H34454" s="612"/>
    </row>
    <row r="34455">
      <c r="B34455" s="612"/>
      <c r="H34455" s="612"/>
    </row>
    <row r="34456">
      <c r="B34456" s="612"/>
      <c r="H34456" s="612"/>
    </row>
    <row r="34457">
      <c r="B34457" s="612"/>
      <c r="H34457" s="612"/>
    </row>
    <row r="34458">
      <c r="B34458" s="612"/>
      <c r="H34458" s="612"/>
    </row>
    <row r="34459">
      <c r="B34459" s="612"/>
      <c r="H34459" s="612"/>
    </row>
    <row r="34460">
      <c r="B34460" s="612"/>
      <c r="H34460" s="612"/>
    </row>
    <row r="34461">
      <c r="B34461" s="612"/>
      <c r="H34461" s="612"/>
    </row>
    <row r="34462">
      <c r="B34462" s="612"/>
      <c r="H34462" s="612"/>
    </row>
    <row r="34463">
      <c r="B34463" s="612"/>
      <c r="H34463" s="612"/>
    </row>
    <row r="34464">
      <c r="B34464" s="612"/>
      <c r="H34464" s="612"/>
    </row>
    <row r="34465">
      <c r="B34465" s="612"/>
      <c r="H34465" s="612"/>
    </row>
    <row r="34466">
      <c r="B34466" s="612"/>
      <c r="H34466" s="612"/>
    </row>
    <row r="34467">
      <c r="B34467" s="612"/>
      <c r="H34467" s="612"/>
    </row>
    <row r="34468">
      <c r="B34468" s="612"/>
      <c r="H34468" s="612"/>
    </row>
    <row r="34469">
      <c r="B34469" s="612"/>
      <c r="H34469" s="612"/>
    </row>
    <row r="34470">
      <c r="B34470" s="612"/>
      <c r="H34470" s="612"/>
    </row>
    <row r="34471">
      <c r="B34471" s="612"/>
      <c r="H34471" s="612"/>
    </row>
    <row r="34472">
      <c r="B34472" s="612"/>
      <c r="H34472" s="612"/>
    </row>
    <row r="34473">
      <c r="B34473" s="612"/>
      <c r="H34473" s="612"/>
    </row>
    <row r="34474">
      <c r="B34474" s="612"/>
      <c r="H34474" s="612"/>
    </row>
    <row r="34475">
      <c r="B34475" s="612"/>
      <c r="H34475" s="612"/>
    </row>
    <row r="34476">
      <c r="B34476" s="612"/>
      <c r="H34476" s="612"/>
    </row>
    <row r="34477">
      <c r="B34477" s="612"/>
      <c r="H34477" s="612"/>
    </row>
    <row r="34478">
      <c r="B34478" s="612"/>
      <c r="H34478" s="612"/>
    </row>
    <row r="34479">
      <c r="B34479" s="612"/>
      <c r="H34479" s="612"/>
    </row>
    <row r="34480">
      <c r="B34480" s="612"/>
      <c r="H34480" s="612"/>
    </row>
    <row r="34481">
      <c r="B34481" s="612"/>
      <c r="H34481" s="612"/>
    </row>
    <row r="34482">
      <c r="B34482" s="612"/>
      <c r="H34482" s="612"/>
    </row>
    <row r="34483">
      <c r="B34483" s="612"/>
      <c r="H34483" s="612"/>
    </row>
    <row r="34484">
      <c r="B34484" s="612"/>
      <c r="H34484" s="612"/>
    </row>
    <row r="34485">
      <c r="B34485" s="612"/>
      <c r="H34485" s="612"/>
    </row>
    <row r="34486">
      <c r="B34486" s="612"/>
      <c r="H34486" s="612"/>
    </row>
    <row r="34487">
      <c r="B34487" s="612"/>
      <c r="H34487" s="612"/>
    </row>
    <row r="34488">
      <c r="B34488" s="612"/>
      <c r="H34488" s="612"/>
    </row>
    <row r="34489">
      <c r="B34489" s="612"/>
      <c r="H34489" s="612"/>
    </row>
    <row r="34490">
      <c r="B34490" s="612"/>
      <c r="H34490" s="612"/>
    </row>
    <row r="34491">
      <c r="B34491" s="612"/>
      <c r="H34491" s="612"/>
    </row>
    <row r="34492">
      <c r="B34492" s="612"/>
      <c r="H34492" s="612"/>
    </row>
    <row r="34493">
      <c r="B34493" s="612"/>
      <c r="H34493" s="612"/>
    </row>
    <row r="34494">
      <c r="B34494" s="612"/>
      <c r="H34494" s="612"/>
    </row>
    <row r="34495">
      <c r="B34495" s="612"/>
      <c r="H34495" s="612"/>
    </row>
    <row r="34496">
      <c r="B34496" s="612"/>
      <c r="H34496" s="612"/>
    </row>
    <row r="34497">
      <c r="B34497" s="612"/>
      <c r="H34497" s="612"/>
    </row>
    <row r="34498">
      <c r="B34498" s="612"/>
      <c r="H34498" s="612"/>
    </row>
    <row r="34499">
      <c r="B34499" s="612"/>
      <c r="H34499" s="612"/>
    </row>
    <row r="34500">
      <c r="B34500" s="612"/>
      <c r="H34500" s="612"/>
    </row>
    <row r="34501">
      <c r="B34501" s="612"/>
      <c r="H34501" s="612"/>
    </row>
    <row r="34502">
      <c r="B34502" s="612"/>
      <c r="H34502" s="612"/>
    </row>
    <row r="34503">
      <c r="B34503" s="612"/>
      <c r="H34503" s="612"/>
    </row>
    <row r="34504">
      <c r="B34504" s="612"/>
      <c r="H34504" s="612"/>
    </row>
    <row r="34505">
      <c r="B34505" s="612"/>
      <c r="H34505" s="612"/>
    </row>
    <row r="34506">
      <c r="B34506" s="612"/>
      <c r="H34506" s="612"/>
    </row>
    <row r="34507">
      <c r="B34507" s="612"/>
      <c r="H34507" s="612"/>
    </row>
    <row r="34508">
      <c r="B34508" s="612"/>
      <c r="H34508" s="612"/>
    </row>
    <row r="34509">
      <c r="B34509" s="612"/>
      <c r="H34509" s="612"/>
    </row>
    <row r="34510">
      <c r="B34510" s="612"/>
      <c r="H34510" s="612"/>
    </row>
    <row r="34511">
      <c r="B34511" s="612"/>
      <c r="H34511" s="612"/>
    </row>
    <row r="34512">
      <c r="B34512" s="612"/>
      <c r="H34512" s="612"/>
    </row>
    <row r="34513">
      <c r="B34513" s="612"/>
      <c r="H34513" s="612"/>
    </row>
    <row r="34514">
      <c r="B34514" s="612"/>
      <c r="H34514" s="612"/>
    </row>
    <row r="34515">
      <c r="B34515" s="612"/>
      <c r="H34515" s="612"/>
    </row>
    <row r="34516">
      <c r="B34516" s="612"/>
      <c r="H34516" s="612"/>
    </row>
    <row r="34517">
      <c r="B34517" s="612"/>
      <c r="H34517" s="612"/>
    </row>
    <row r="34518">
      <c r="B34518" s="612"/>
      <c r="H34518" s="612"/>
    </row>
    <row r="34519">
      <c r="B34519" s="612"/>
      <c r="H34519" s="612"/>
    </row>
    <row r="34520">
      <c r="B34520" s="612"/>
      <c r="H34520" s="612"/>
    </row>
    <row r="34521">
      <c r="B34521" s="612"/>
      <c r="H34521" s="612"/>
    </row>
    <row r="34522">
      <c r="B34522" s="612"/>
      <c r="H34522" s="612"/>
    </row>
    <row r="34523">
      <c r="B34523" s="612"/>
      <c r="H34523" s="612"/>
    </row>
    <row r="34524">
      <c r="B34524" s="612"/>
      <c r="H34524" s="612"/>
    </row>
    <row r="34525">
      <c r="B34525" s="612"/>
      <c r="H34525" s="612"/>
    </row>
    <row r="34526">
      <c r="B34526" s="612"/>
      <c r="H34526" s="612"/>
    </row>
    <row r="34527">
      <c r="B34527" s="612"/>
      <c r="H34527" s="612"/>
    </row>
    <row r="34528">
      <c r="B34528" s="612"/>
      <c r="H34528" s="612"/>
    </row>
    <row r="34529">
      <c r="B34529" s="612"/>
      <c r="H34529" s="612"/>
    </row>
    <row r="34530">
      <c r="B34530" s="612"/>
      <c r="H34530" s="612"/>
    </row>
    <row r="34531">
      <c r="B34531" s="612"/>
      <c r="H34531" s="612"/>
    </row>
    <row r="34532">
      <c r="B34532" s="612"/>
      <c r="H34532" s="612"/>
    </row>
    <row r="34533">
      <c r="B34533" s="612"/>
      <c r="H34533" s="612"/>
    </row>
    <row r="34534">
      <c r="B34534" s="612"/>
      <c r="H34534" s="612"/>
    </row>
    <row r="34535">
      <c r="B34535" s="612"/>
      <c r="H34535" s="612"/>
    </row>
    <row r="34536">
      <c r="B34536" s="612"/>
      <c r="H34536" s="612"/>
    </row>
    <row r="34537">
      <c r="B34537" s="612"/>
      <c r="H34537" s="612"/>
    </row>
    <row r="34538">
      <c r="B34538" s="612"/>
      <c r="H34538" s="612"/>
    </row>
    <row r="34539">
      <c r="B34539" s="612"/>
      <c r="H34539" s="612"/>
    </row>
    <row r="34540">
      <c r="B34540" s="612"/>
      <c r="H34540" s="612"/>
    </row>
    <row r="34541">
      <c r="B34541" s="612"/>
      <c r="H34541" s="612"/>
    </row>
    <row r="34542">
      <c r="B34542" s="612"/>
      <c r="H34542" s="612"/>
    </row>
    <row r="34543">
      <c r="B34543" s="612"/>
      <c r="H34543" s="612"/>
    </row>
    <row r="34544">
      <c r="B34544" s="612"/>
      <c r="H34544" s="612"/>
    </row>
    <row r="34545">
      <c r="B34545" s="612"/>
      <c r="H34545" s="612"/>
    </row>
    <row r="34546">
      <c r="B34546" s="612"/>
      <c r="H34546" s="612"/>
    </row>
    <row r="34547">
      <c r="B34547" s="612"/>
      <c r="H34547" s="612"/>
    </row>
    <row r="34548">
      <c r="B34548" s="612"/>
      <c r="H34548" s="612"/>
    </row>
    <row r="34549">
      <c r="B34549" s="612"/>
      <c r="H34549" s="612"/>
    </row>
    <row r="34550">
      <c r="B34550" s="612"/>
      <c r="H34550" s="612"/>
    </row>
    <row r="34551">
      <c r="B34551" s="612"/>
      <c r="H34551" s="612"/>
    </row>
    <row r="34552">
      <c r="B34552" s="612"/>
      <c r="H34552" s="612"/>
    </row>
    <row r="34553">
      <c r="B34553" s="612"/>
      <c r="H34553" s="612"/>
    </row>
    <row r="34554">
      <c r="B34554" s="612"/>
      <c r="H34554" s="612"/>
    </row>
    <row r="34555">
      <c r="B34555" s="612"/>
      <c r="H34555" s="612"/>
    </row>
    <row r="34556">
      <c r="B34556" s="612"/>
      <c r="H34556" s="612"/>
    </row>
    <row r="34557">
      <c r="B34557" s="612"/>
      <c r="H34557" s="612"/>
    </row>
    <row r="34558">
      <c r="B34558" s="612"/>
      <c r="H34558" s="612"/>
    </row>
    <row r="34559">
      <c r="B34559" s="612"/>
      <c r="H34559" s="612"/>
    </row>
    <row r="34560">
      <c r="B34560" s="612"/>
      <c r="H34560" s="612"/>
    </row>
    <row r="34561">
      <c r="B34561" s="612"/>
      <c r="H34561" s="612"/>
    </row>
    <row r="34562">
      <c r="B34562" s="612"/>
      <c r="H34562" s="612"/>
    </row>
    <row r="34563">
      <c r="B34563" s="612"/>
      <c r="H34563" s="612"/>
    </row>
    <row r="34564">
      <c r="B34564" s="612"/>
      <c r="H34564" s="612"/>
    </row>
    <row r="34565">
      <c r="B34565" s="612"/>
      <c r="H34565" s="612"/>
    </row>
    <row r="34566">
      <c r="B34566" s="612"/>
      <c r="H34566" s="612"/>
    </row>
    <row r="34567">
      <c r="B34567" s="612"/>
      <c r="H34567" s="612"/>
    </row>
    <row r="34568">
      <c r="B34568" s="612"/>
      <c r="H34568" s="612"/>
    </row>
    <row r="34569">
      <c r="B34569" s="612"/>
      <c r="H34569" s="612"/>
    </row>
    <row r="34570">
      <c r="B34570" s="612"/>
      <c r="H34570" s="612"/>
    </row>
    <row r="34571">
      <c r="B34571" s="612"/>
      <c r="H34571" s="612"/>
    </row>
    <row r="34572">
      <c r="B34572" s="612"/>
      <c r="H34572" s="612"/>
    </row>
    <row r="34573">
      <c r="B34573" s="612"/>
      <c r="H34573" s="612"/>
    </row>
    <row r="34574">
      <c r="B34574" s="612"/>
      <c r="H34574" s="612"/>
    </row>
    <row r="34575">
      <c r="B34575" s="612"/>
      <c r="H34575" s="612"/>
    </row>
    <row r="34576">
      <c r="B34576" s="612"/>
      <c r="H34576" s="612"/>
    </row>
    <row r="34577">
      <c r="B34577" s="612"/>
      <c r="H34577" s="612"/>
    </row>
    <row r="34578">
      <c r="B34578" s="612"/>
      <c r="H34578" s="612"/>
    </row>
    <row r="34579">
      <c r="B34579" s="612"/>
      <c r="H34579" s="612"/>
    </row>
    <row r="34580">
      <c r="B34580" s="612"/>
      <c r="H34580" s="612"/>
    </row>
    <row r="34581">
      <c r="B34581" s="612"/>
      <c r="H34581" s="612"/>
    </row>
    <row r="34582">
      <c r="B34582" s="612"/>
      <c r="H34582" s="612"/>
    </row>
    <row r="34583">
      <c r="B34583" s="612"/>
      <c r="H34583" s="612"/>
    </row>
    <row r="34584">
      <c r="B34584" s="612"/>
      <c r="H34584" s="612"/>
    </row>
    <row r="34585">
      <c r="B34585" s="612"/>
      <c r="H34585" s="612"/>
    </row>
    <row r="34586">
      <c r="B34586" s="612"/>
      <c r="H34586" s="612"/>
    </row>
    <row r="34587">
      <c r="B34587" s="612"/>
      <c r="H34587" s="612"/>
    </row>
    <row r="34588">
      <c r="B34588" s="612"/>
      <c r="H34588" s="612"/>
    </row>
    <row r="34589">
      <c r="B34589" s="612"/>
      <c r="H34589" s="612"/>
    </row>
    <row r="34590">
      <c r="B34590" s="612"/>
      <c r="H34590" s="612"/>
    </row>
    <row r="34591">
      <c r="B34591" s="612"/>
      <c r="H34591" s="612"/>
    </row>
    <row r="34592">
      <c r="B34592" s="612"/>
      <c r="H34592" s="612"/>
    </row>
    <row r="34593">
      <c r="B34593" s="612"/>
      <c r="H34593" s="612"/>
    </row>
    <row r="34594">
      <c r="B34594" s="612"/>
      <c r="H34594" s="612"/>
    </row>
    <row r="34595">
      <c r="B34595" s="612"/>
      <c r="H34595" s="612"/>
    </row>
    <row r="34596">
      <c r="B34596" s="612"/>
      <c r="H34596" s="612"/>
    </row>
    <row r="34597">
      <c r="B34597" s="612"/>
      <c r="H34597" s="612"/>
    </row>
    <row r="34598">
      <c r="B34598" s="612"/>
      <c r="H34598" s="612"/>
    </row>
    <row r="34599">
      <c r="B34599" s="612"/>
      <c r="H34599" s="612"/>
    </row>
    <row r="34600">
      <c r="B34600" s="612"/>
      <c r="H34600" s="612"/>
    </row>
    <row r="34601">
      <c r="B34601" s="612"/>
      <c r="H34601" s="612"/>
    </row>
    <row r="34602">
      <c r="B34602" s="612"/>
      <c r="H34602" s="612"/>
    </row>
    <row r="34603">
      <c r="B34603" s="612"/>
      <c r="H34603" s="612"/>
    </row>
    <row r="34604">
      <c r="B34604" s="612"/>
      <c r="H34604" s="612"/>
    </row>
    <row r="34605">
      <c r="B34605" s="612"/>
      <c r="H34605" s="612"/>
    </row>
    <row r="34606">
      <c r="B34606" s="612"/>
      <c r="H34606" s="612"/>
    </row>
    <row r="34607">
      <c r="B34607" s="612"/>
      <c r="H34607" s="612"/>
    </row>
    <row r="34608">
      <c r="B34608" s="612"/>
      <c r="H34608" s="612"/>
    </row>
    <row r="34609">
      <c r="B34609" s="612"/>
      <c r="H34609" s="612"/>
    </row>
    <row r="34610">
      <c r="B34610" s="612"/>
      <c r="H34610" s="612"/>
    </row>
    <row r="34611">
      <c r="B34611" s="612"/>
      <c r="H34611" s="612"/>
    </row>
    <row r="34612">
      <c r="B34612" s="612"/>
      <c r="H34612" s="612"/>
    </row>
    <row r="34613">
      <c r="B34613" s="612"/>
      <c r="H34613" s="612"/>
    </row>
    <row r="34614">
      <c r="B34614" s="612"/>
      <c r="H34614" s="612"/>
    </row>
    <row r="34615">
      <c r="B34615" s="612"/>
      <c r="H34615" s="612"/>
    </row>
    <row r="34616">
      <c r="B34616" s="612"/>
      <c r="H34616" s="612"/>
    </row>
    <row r="34617">
      <c r="B34617" s="612"/>
      <c r="H34617" s="612"/>
    </row>
    <row r="34618">
      <c r="B34618" s="612"/>
      <c r="H34618" s="612"/>
    </row>
    <row r="34619">
      <c r="B34619" s="612"/>
      <c r="H34619" s="612"/>
    </row>
    <row r="34620">
      <c r="B34620" s="612"/>
      <c r="H34620" s="612"/>
    </row>
    <row r="34621">
      <c r="B34621" s="612"/>
      <c r="H34621" s="612"/>
    </row>
    <row r="34622">
      <c r="B34622" s="612"/>
      <c r="H34622" s="612"/>
    </row>
    <row r="34623">
      <c r="B34623" s="612"/>
      <c r="H34623" s="612"/>
    </row>
    <row r="34624">
      <c r="B34624" s="612"/>
      <c r="H34624" s="612"/>
    </row>
    <row r="34625">
      <c r="B34625" s="612"/>
      <c r="H34625" s="612"/>
    </row>
    <row r="34626">
      <c r="B34626" s="612"/>
      <c r="H34626" s="612"/>
    </row>
    <row r="34627">
      <c r="B34627" s="612"/>
      <c r="H34627" s="612"/>
    </row>
    <row r="34628">
      <c r="B34628" s="612"/>
      <c r="H34628" s="612"/>
    </row>
    <row r="34629">
      <c r="B34629" s="612"/>
      <c r="H34629" s="612"/>
    </row>
    <row r="34630">
      <c r="B34630" s="612"/>
      <c r="H34630" s="612"/>
    </row>
    <row r="34631">
      <c r="B34631" s="612"/>
      <c r="H34631" s="612"/>
    </row>
    <row r="34632">
      <c r="B34632" s="612"/>
      <c r="H34632" s="612"/>
    </row>
    <row r="34633">
      <c r="B34633" s="612"/>
      <c r="H34633" s="612"/>
    </row>
    <row r="34634">
      <c r="B34634" s="612"/>
      <c r="H34634" s="612"/>
    </row>
    <row r="34635">
      <c r="B34635" s="612"/>
      <c r="H34635" s="612"/>
    </row>
    <row r="34636">
      <c r="B34636" s="612"/>
      <c r="H34636" s="612"/>
    </row>
    <row r="34637">
      <c r="B34637" s="612"/>
      <c r="H34637" s="612"/>
    </row>
    <row r="34638">
      <c r="B34638" s="612"/>
      <c r="H34638" s="612"/>
    </row>
    <row r="34639">
      <c r="B34639" s="612"/>
      <c r="H34639" s="612"/>
    </row>
    <row r="34640">
      <c r="B34640" s="612"/>
      <c r="H34640" s="612"/>
    </row>
    <row r="34641">
      <c r="B34641" s="612"/>
      <c r="H34641" s="612"/>
    </row>
    <row r="34642">
      <c r="B34642" s="612"/>
      <c r="H34642" s="612"/>
    </row>
    <row r="34643">
      <c r="B34643" s="612"/>
      <c r="H34643" s="612"/>
    </row>
    <row r="34644">
      <c r="B34644" s="612"/>
      <c r="H34644" s="612"/>
    </row>
    <row r="34645">
      <c r="B34645" s="612"/>
      <c r="H34645" s="612"/>
    </row>
    <row r="34646">
      <c r="B34646" s="612"/>
      <c r="H34646" s="612"/>
    </row>
    <row r="34647">
      <c r="B34647" s="612"/>
      <c r="H34647" s="612"/>
    </row>
    <row r="34648">
      <c r="B34648" s="612"/>
      <c r="H34648" s="612"/>
    </row>
    <row r="34649">
      <c r="B34649" s="612"/>
      <c r="H34649" s="612"/>
    </row>
    <row r="34650">
      <c r="B34650" s="612"/>
      <c r="H34650" s="612"/>
    </row>
    <row r="34651">
      <c r="B34651" s="612"/>
      <c r="H34651" s="612"/>
    </row>
    <row r="34652">
      <c r="B34652" s="612"/>
      <c r="H34652" s="612"/>
    </row>
    <row r="34653">
      <c r="B34653" s="612"/>
      <c r="H34653" s="612"/>
    </row>
    <row r="34654">
      <c r="B34654" s="612"/>
      <c r="H34654" s="612"/>
    </row>
    <row r="34655">
      <c r="B34655" s="612"/>
      <c r="H34655" s="612"/>
    </row>
    <row r="34656">
      <c r="B34656" s="612"/>
      <c r="H34656" s="612"/>
    </row>
    <row r="34657">
      <c r="B34657" s="612"/>
      <c r="H34657" s="612"/>
    </row>
    <row r="34658">
      <c r="B34658" s="612"/>
      <c r="H34658" s="612"/>
    </row>
    <row r="34659">
      <c r="B34659" s="612"/>
      <c r="H34659" s="612"/>
    </row>
    <row r="34660">
      <c r="B34660" s="612"/>
      <c r="H34660" s="612"/>
    </row>
    <row r="34661">
      <c r="B34661" s="612"/>
      <c r="H34661" s="612"/>
    </row>
    <row r="34662">
      <c r="B34662" s="612"/>
      <c r="H34662" s="612"/>
    </row>
    <row r="34663">
      <c r="B34663" s="612"/>
      <c r="H34663" s="612"/>
    </row>
    <row r="34664">
      <c r="B34664" s="612"/>
      <c r="H34664" s="612"/>
    </row>
    <row r="34665">
      <c r="B34665" s="612"/>
      <c r="H34665" s="612"/>
    </row>
    <row r="34666">
      <c r="B34666" s="612"/>
      <c r="H34666" s="612"/>
    </row>
    <row r="34667">
      <c r="B34667" s="612"/>
      <c r="H34667" s="612"/>
    </row>
    <row r="34668">
      <c r="B34668" s="612"/>
      <c r="H34668" s="612"/>
    </row>
    <row r="34669">
      <c r="B34669" s="612"/>
      <c r="H34669" s="612"/>
    </row>
    <row r="34670">
      <c r="B34670" s="612"/>
      <c r="H34670" s="612"/>
    </row>
    <row r="34671">
      <c r="B34671" s="612"/>
      <c r="H34671" s="612"/>
    </row>
    <row r="34672">
      <c r="B34672" s="612"/>
      <c r="H34672" s="612"/>
    </row>
    <row r="34673">
      <c r="B34673" s="612"/>
      <c r="H34673" s="612"/>
    </row>
    <row r="34674">
      <c r="B34674" s="612"/>
      <c r="H34674" s="612"/>
    </row>
    <row r="34675">
      <c r="B34675" s="612"/>
      <c r="H34675" s="612"/>
    </row>
    <row r="34676">
      <c r="B34676" s="612"/>
      <c r="H34676" s="612"/>
    </row>
    <row r="34677">
      <c r="B34677" s="612"/>
      <c r="H34677" s="612"/>
    </row>
    <row r="34678">
      <c r="B34678" s="612"/>
      <c r="H34678" s="612"/>
    </row>
    <row r="34679">
      <c r="B34679" s="612"/>
      <c r="H34679" s="612"/>
    </row>
    <row r="34680">
      <c r="B34680" s="612"/>
      <c r="H34680" s="612"/>
    </row>
    <row r="34681">
      <c r="B34681" s="612"/>
      <c r="H34681" s="612"/>
    </row>
    <row r="34682">
      <c r="B34682" s="612"/>
      <c r="H34682" s="612"/>
    </row>
    <row r="34683">
      <c r="B34683" s="612"/>
      <c r="H34683" s="612"/>
    </row>
    <row r="34684">
      <c r="B34684" s="612"/>
      <c r="H34684" s="612"/>
    </row>
    <row r="34685">
      <c r="B34685" s="612"/>
      <c r="H34685" s="612"/>
    </row>
    <row r="34686">
      <c r="B34686" s="612"/>
      <c r="H34686" s="612"/>
    </row>
    <row r="34687">
      <c r="B34687" s="612"/>
      <c r="H34687" s="612"/>
    </row>
    <row r="34688">
      <c r="B34688" s="612"/>
      <c r="H34688" s="612"/>
    </row>
    <row r="34689">
      <c r="B34689" s="612"/>
      <c r="H34689" s="612"/>
    </row>
    <row r="34690">
      <c r="B34690" s="612"/>
      <c r="H34690" s="612"/>
    </row>
    <row r="34691">
      <c r="B34691" s="612"/>
      <c r="H34691" s="612"/>
    </row>
    <row r="34692">
      <c r="B34692" s="612"/>
      <c r="H34692" s="612"/>
    </row>
    <row r="34693">
      <c r="B34693" s="612"/>
      <c r="H34693" s="612"/>
    </row>
    <row r="34694">
      <c r="B34694" s="612"/>
      <c r="H34694" s="612"/>
    </row>
    <row r="34695">
      <c r="B34695" s="612"/>
      <c r="H34695" s="612"/>
    </row>
    <row r="34696">
      <c r="B34696" s="612"/>
      <c r="H34696" s="612"/>
    </row>
    <row r="34697">
      <c r="B34697" s="612"/>
      <c r="H34697" s="612"/>
    </row>
    <row r="34698">
      <c r="B34698" s="612"/>
      <c r="H34698" s="612"/>
    </row>
    <row r="34699">
      <c r="B34699" s="612"/>
      <c r="H34699" s="612"/>
    </row>
    <row r="34700">
      <c r="B34700" s="612"/>
      <c r="H34700" s="612"/>
    </row>
    <row r="34701">
      <c r="B34701" s="612"/>
      <c r="H34701" s="612"/>
    </row>
    <row r="34702">
      <c r="B34702" s="612"/>
      <c r="H34702" s="612"/>
    </row>
    <row r="34703">
      <c r="B34703" s="612"/>
      <c r="H34703" s="612"/>
    </row>
    <row r="34704">
      <c r="B34704" s="612"/>
      <c r="H34704" s="612"/>
    </row>
    <row r="34705">
      <c r="B34705" s="612"/>
      <c r="H34705" s="612"/>
    </row>
    <row r="34706">
      <c r="B34706" s="612"/>
      <c r="H34706" s="612"/>
    </row>
    <row r="34707">
      <c r="B34707" s="612"/>
      <c r="H34707" s="612"/>
    </row>
    <row r="34708">
      <c r="B34708" s="612"/>
      <c r="H34708" s="612"/>
    </row>
    <row r="34709">
      <c r="B34709" s="612"/>
      <c r="H34709" s="612"/>
    </row>
    <row r="34710">
      <c r="B34710" s="612"/>
      <c r="H34710" s="612"/>
    </row>
    <row r="34711">
      <c r="B34711" s="612"/>
      <c r="H34711" s="612"/>
    </row>
    <row r="34712">
      <c r="B34712" s="612"/>
      <c r="H34712" s="612"/>
    </row>
    <row r="34713">
      <c r="B34713" s="612"/>
      <c r="H34713" s="612"/>
    </row>
    <row r="34714">
      <c r="B34714" s="612"/>
      <c r="H34714" s="612"/>
    </row>
    <row r="34715">
      <c r="B34715" s="612"/>
      <c r="H34715" s="612"/>
    </row>
    <row r="34716">
      <c r="B34716" s="612"/>
      <c r="H34716" s="612"/>
    </row>
    <row r="34717">
      <c r="B34717" s="612"/>
      <c r="H34717" s="612"/>
    </row>
    <row r="34718">
      <c r="B34718" s="612"/>
      <c r="H34718" s="612"/>
    </row>
    <row r="34719">
      <c r="B34719" s="612"/>
      <c r="H34719" s="612"/>
    </row>
    <row r="34720">
      <c r="B34720" s="612"/>
      <c r="H34720" s="612"/>
    </row>
    <row r="34721">
      <c r="B34721" s="612"/>
      <c r="H34721" s="612"/>
    </row>
    <row r="34722">
      <c r="B34722" s="612"/>
      <c r="H34722" s="612"/>
    </row>
    <row r="34723">
      <c r="B34723" s="612"/>
      <c r="H34723" s="612"/>
    </row>
    <row r="34724">
      <c r="B34724" s="612"/>
      <c r="H34724" s="612"/>
    </row>
    <row r="34725">
      <c r="B34725" s="612"/>
      <c r="H34725" s="612"/>
    </row>
    <row r="34726">
      <c r="B34726" s="612"/>
      <c r="H34726" s="612"/>
    </row>
    <row r="34727">
      <c r="B34727" s="612"/>
      <c r="H34727" s="612"/>
    </row>
    <row r="34728">
      <c r="B34728" s="612"/>
      <c r="H34728" s="612"/>
    </row>
    <row r="34729">
      <c r="B34729" s="612"/>
      <c r="H34729" s="612"/>
    </row>
    <row r="34730">
      <c r="B34730" s="612"/>
      <c r="H34730" s="612"/>
    </row>
    <row r="34731">
      <c r="B34731" s="612"/>
      <c r="H34731" s="612"/>
    </row>
    <row r="34732">
      <c r="B34732" s="612"/>
      <c r="H34732" s="612"/>
    </row>
    <row r="34733">
      <c r="B34733" s="612"/>
      <c r="H34733" s="612"/>
    </row>
    <row r="34734">
      <c r="B34734" s="612"/>
      <c r="H34734" s="612"/>
    </row>
    <row r="34735">
      <c r="B34735" s="612"/>
      <c r="H34735" s="612"/>
    </row>
    <row r="34736">
      <c r="B34736" s="612"/>
      <c r="H34736" s="612"/>
    </row>
    <row r="34737">
      <c r="B34737" s="612"/>
      <c r="H34737" s="612"/>
    </row>
    <row r="34738">
      <c r="B34738" s="612"/>
      <c r="H34738" s="612"/>
    </row>
    <row r="34739">
      <c r="B34739" s="612"/>
      <c r="H34739" s="612"/>
    </row>
    <row r="34740">
      <c r="B34740" s="612"/>
      <c r="H34740" s="612"/>
    </row>
    <row r="34741">
      <c r="B34741" s="612"/>
      <c r="H34741" s="612"/>
    </row>
    <row r="34742">
      <c r="B34742" s="612"/>
      <c r="H34742" s="612"/>
    </row>
    <row r="34743">
      <c r="B34743" s="612"/>
      <c r="H34743" s="612"/>
    </row>
    <row r="34744">
      <c r="B34744" s="612"/>
      <c r="H34744" s="612"/>
    </row>
    <row r="34745">
      <c r="B34745" s="612"/>
      <c r="H34745" s="612"/>
    </row>
    <row r="34746">
      <c r="B34746" s="612"/>
      <c r="H34746" s="612"/>
    </row>
    <row r="34747">
      <c r="B34747" s="612"/>
      <c r="H34747" s="612"/>
    </row>
    <row r="34748">
      <c r="B34748" s="612"/>
      <c r="H34748" s="612"/>
    </row>
    <row r="34749">
      <c r="B34749" s="612"/>
      <c r="H34749" s="612"/>
    </row>
    <row r="34750">
      <c r="B34750" s="612"/>
      <c r="H34750" s="612"/>
    </row>
    <row r="34751">
      <c r="B34751" s="612"/>
      <c r="H34751" s="612"/>
    </row>
    <row r="34752">
      <c r="B34752" s="612"/>
      <c r="H34752" s="612"/>
    </row>
    <row r="34753">
      <c r="B34753" s="612"/>
      <c r="H34753" s="612"/>
    </row>
    <row r="34754">
      <c r="B34754" s="612"/>
      <c r="H34754" s="612"/>
    </row>
    <row r="34755">
      <c r="B34755" s="612"/>
      <c r="H34755" s="612"/>
    </row>
    <row r="34756">
      <c r="B34756" s="612"/>
      <c r="H34756" s="612"/>
    </row>
    <row r="34757">
      <c r="B34757" s="612"/>
      <c r="H34757" s="612"/>
    </row>
    <row r="34758">
      <c r="B34758" s="612"/>
      <c r="H34758" s="612"/>
    </row>
    <row r="34759">
      <c r="B34759" s="612"/>
      <c r="H34759" s="612"/>
    </row>
    <row r="34760">
      <c r="B34760" s="612"/>
      <c r="H34760" s="612"/>
    </row>
    <row r="34761">
      <c r="B34761" s="612"/>
      <c r="H34761" s="612"/>
    </row>
    <row r="34762">
      <c r="B34762" s="612"/>
      <c r="H34762" s="612"/>
    </row>
    <row r="34763">
      <c r="B34763" s="612"/>
      <c r="H34763" s="612"/>
    </row>
    <row r="34764">
      <c r="B34764" s="612"/>
      <c r="H34764" s="612"/>
    </row>
    <row r="34765">
      <c r="B34765" s="612"/>
      <c r="H34765" s="612"/>
    </row>
    <row r="34766">
      <c r="B34766" s="612"/>
      <c r="H34766" s="612"/>
    </row>
    <row r="34767">
      <c r="B34767" s="612"/>
      <c r="H34767" s="612"/>
    </row>
    <row r="34768">
      <c r="B34768" s="612"/>
      <c r="H34768" s="612"/>
    </row>
    <row r="34769">
      <c r="B34769" s="612"/>
      <c r="H34769" s="612"/>
    </row>
    <row r="34770">
      <c r="B34770" s="612"/>
      <c r="H34770" s="612"/>
    </row>
    <row r="34771">
      <c r="B34771" s="612"/>
      <c r="H34771" s="612"/>
    </row>
    <row r="34772">
      <c r="B34772" s="612"/>
      <c r="H34772" s="612"/>
    </row>
    <row r="34773">
      <c r="B34773" s="612"/>
      <c r="H34773" s="612"/>
    </row>
    <row r="34774">
      <c r="B34774" s="612"/>
      <c r="H34774" s="612"/>
    </row>
    <row r="34775">
      <c r="B34775" s="612"/>
      <c r="H34775" s="612"/>
    </row>
    <row r="34776">
      <c r="B34776" s="612"/>
      <c r="H34776" s="612"/>
    </row>
    <row r="34777">
      <c r="B34777" s="612"/>
      <c r="H34777" s="612"/>
    </row>
    <row r="34778">
      <c r="B34778" s="612"/>
      <c r="H34778" s="612"/>
    </row>
    <row r="34779">
      <c r="B34779" s="612"/>
      <c r="H34779" s="612"/>
    </row>
    <row r="34780">
      <c r="B34780" s="612"/>
      <c r="H34780" s="612"/>
    </row>
    <row r="34781">
      <c r="B34781" s="612"/>
      <c r="H34781" s="612"/>
    </row>
    <row r="34782">
      <c r="B34782" s="612"/>
      <c r="H34782" s="612"/>
    </row>
    <row r="34783">
      <c r="B34783" s="612"/>
      <c r="H34783" s="612"/>
    </row>
    <row r="34784">
      <c r="B34784" s="612"/>
      <c r="H34784" s="612"/>
    </row>
    <row r="34785">
      <c r="B34785" s="612"/>
      <c r="H34785" s="612"/>
    </row>
    <row r="34786">
      <c r="B34786" s="612"/>
      <c r="H34786" s="612"/>
    </row>
    <row r="34787">
      <c r="B34787" s="612"/>
      <c r="H34787" s="612"/>
    </row>
    <row r="34788">
      <c r="B34788" s="612"/>
      <c r="H34788" s="612"/>
    </row>
    <row r="34789">
      <c r="B34789" s="612"/>
      <c r="H34789" s="612"/>
    </row>
    <row r="34790">
      <c r="B34790" s="612"/>
      <c r="H34790" s="612"/>
    </row>
    <row r="34791">
      <c r="B34791" s="612"/>
      <c r="H34791" s="612"/>
    </row>
    <row r="34792">
      <c r="B34792" s="612"/>
      <c r="H34792" s="612"/>
    </row>
    <row r="34793">
      <c r="B34793" s="612"/>
      <c r="H34793" s="612"/>
    </row>
    <row r="34794">
      <c r="B34794" s="612"/>
      <c r="H34794" s="612"/>
    </row>
    <row r="34795">
      <c r="B34795" s="612"/>
      <c r="H34795" s="612"/>
    </row>
    <row r="34796">
      <c r="B34796" s="612"/>
      <c r="H34796" s="612"/>
    </row>
    <row r="34797">
      <c r="B34797" s="612"/>
      <c r="H34797" s="612"/>
    </row>
    <row r="34798">
      <c r="B34798" s="612"/>
      <c r="H34798" s="612"/>
    </row>
    <row r="34799">
      <c r="B34799" s="612"/>
      <c r="H34799" s="612"/>
    </row>
    <row r="34800">
      <c r="B34800" s="612"/>
      <c r="H34800" s="612"/>
    </row>
    <row r="34801">
      <c r="B34801" s="612"/>
      <c r="H34801" s="612"/>
    </row>
    <row r="34802">
      <c r="B34802" s="612"/>
      <c r="H34802" s="612"/>
    </row>
    <row r="34803">
      <c r="B34803" s="612"/>
      <c r="H34803" s="612"/>
    </row>
    <row r="34804">
      <c r="B34804" s="612"/>
      <c r="H34804" s="612"/>
    </row>
    <row r="34805">
      <c r="B34805" s="612"/>
      <c r="H34805" s="612"/>
    </row>
    <row r="34806">
      <c r="B34806" s="612"/>
      <c r="H34806" s="612"/>
    </row>
    <row r="34807">
      <c r="B34807" s="612"/>
      <c r="H34807" s="612"/>
    </row>
    <row r="34808">
      <c r="B34808" s="612"/>
      <c r="H34808" s="612"/>
    </row>
    <row r="34809">
      <c r="B34809" s="612"/>
      <c r="H34809" s="612"/>
    </row>
    <row r="34810">
      <c r="B34810" s="612"/>
      <c r="H34810" s="612"/>
    </row>
    <row r="34811">
      <c r="B34811" s="612"/>
      <c r="H34811" s="612"/>
    </row>
    <row r="34812">
      <c r="B34812" s="612"/>
      <c r="H34812" s="612"/>
    </row>
    <row r="34813">
      <c r="B34813" s="612"/>
      <c r="H34813" s="612"/>
    </row>
    <row r="34814">
      <c r="B34814" s="612"/>
      <c r="H34814" s="612"/>
    </row>
    <row r="34815">
      <c r="B34815" s="612"/>
      <c r="H34815" s="612"/>
    </row>
    <row r="34816">
      <c r="B34816" s="612"/>
      <c r="H34816" s="612"/>
    </row>
    <row r="34817">
      <c r="B34817" s="612"/>
      <c r="H34817" s="612"/>
    </row>
    <row r="34818">
      <c r="B34818" s="612"/>
      <c r="H34818" s="612"/>
    </row>
    <row r="34819">
      <c r="B34819" s="612"/>
      <c r="H34819" s="612"/>
    </row>
    <row r="34820">
      <c r="B34820" s="612"/>
      <c r="H34820" s="612"/>
    </row>
    <row r="34821">
      <c r="B34821" s="612"/>
      <c r="H34821" s="612"/>
    </row>
    <row r="34822">
      <c r="B34822" s="612"/>
      <c r="H34822" s="612"/>
    </row>
    <row r="34823">
      <c r="B34823" s="612"/>
      <c r="H34823" s="612"/>
    </row>
    <row r="34824">
      <c r="B34824" s="612"/>
      <c r="H34824" s="612"/>
    </row>
    <row r="34825">
      <c r="B34825" s="612"/>
      <c r="H34825" s="612"/>
    </row>
    <row r="34826">
      <c r="B34826" s="612"/>
      <c r="H34826" s="612"/>
    </row>
    <row r="34827">
      <c r="B34827" s="612"/>
      <c r="H34827" s="612"/>
    </row>
    <row r="34828">
      <c r="B34828" s="612"/>
      <c r="H34828" s="612"/>
    </row>
    <row r="34829">
      <c r="B34829" s="612"/>
      <c r="H34829" s="612"/>
    </row>
    <row r="34830">
      <c r="B34830" s="612"/>
      <c r="H34830" s="612"/>
    </row>
    <row r="34831">
      <c r="B34831" s="612"/>
      <c r="H34831" s="612"/>
    </row>
    <row r="34832">
      <c r="B34832" s="612"/>
      <c r="H34832" s="612"/>
    </row>
    <row r="34833">
      <c r="B34833" s="612"/>
      <c r="H34833" s="612"/>
    </row>
    <row r="34834">
      <c r="B34834" s="612"/>
      <c r="H34834" s="612"/>
    </row>
    <row r="34835">
      <c r="B34835" s="612"/>
      <c r="H34835" s="612"/>
    </row>
    <row r="34836">
      <c r="B34836" s="612"/>
      <c r="H34836" s="612"/>
    </row>
    <row r="34837">
      <c r="B34837" s="612"/>
      <c r="H34837" s="612"/>
    </row>
    <row r="34838">
      <c r="B34838" s="612"/>
      <c r="H34838" s="612"/>
    </row>
    <row r="34839">
      <c r="B34839" s="612"/>
      <c r="H34839" s="612"/>
    </row>
    <row r="34840">
      <c r="B34840" s="612"/>
      <c r="H34840" s="612"/>
    </row>
    <row r="34841">
      <c r="B34841" s="612"/>
      <c r="H34841" s="612"/>
    </row>
    <row r="34842">
      <c r="B34842" s="612"/>
      <c r="H34842" s="612"/>
    </row>
    <row r="34843">
      <c r="B34843" s="612"/>
      <c r="H34843" s="612"/>
    </row>
    <row r="34844">
      <c r="B34844" s="612"/>
      <c r="H34844" s="612"/>
    </row>
    <row r="34845">
      <c r="B34845" s="612"/>
      <c r="H34845" s="612"/>
    </row>
    <row r="34846">
      <c r="B34846" s="612"/>
      <c r="H34846" s="612"/>
    </row>
    <row r="34847">
      <c r="B34847" s="612"/>
      <c r="H34847" s="612"/>
    </row>
    <row r="34848">
      <c r="B34848" s="612"/>
      <c r="H34848" s="612"/>
    </row>
    <row r="34849">
      <c r="B34849" s="612"/>
      <c r="H34849" s="612"/>
    </row>
    <row r="34850">
      <c r="B34850" s="612"/>
      <c r="H34850" s="612"/>
    </row>
    <row r="34851">
      <c r="B34851" s="612"/>
      <c r="H34851" s="612"/>
    </row>
    <row r="34852">
      <c r="B34852" s="612"/>
      <c r="H34852" s="612"/>
    </row>
    <row r="34853">
      <c r="B34853" s="612"/>
      <c r="H34853" s="612"/>
    </row>
    <row r="34854">
      <c r="B34854" s="612"/>
      <c r="H34854" s="612"/>
    </row>
    <row r="34855">
      <c r="B34855" s="612"/>
      <c r="H34855" s="612"/>
    </row>
    <row r="34856">
      <c r="B34856" s="612"/>
      <c r="H34856" s="612"/>
    </row>
    <row r="34857">
      <c r="B34857" s="612"/>
      <c r="H34857" s="612"/>
    </row>
    <row r="34858">
      <c r="B34858" s="612"/>
      <c r="H34858" s="612"/>
    </row>
    <row r="34859">
      <c r="B34859" s="612"/>
      <c r="H34859" s="612"/>
    </row>
    <row r="34860">
      <c r="B34860" s="612"/>
      <c r="H34860" s="612"/>
    </row>
    <row r="34861">
      <c r="B34861" s="612"/>
      <c r="H34861" s="612"/>
    </row>
    <row r="34862">
      <c r="B34862" s="612"/>
      <c r="H34862" s="612"/>
    </row>
    <row r="34863">
      <c r="B34863" s="612"/>
      <c r="H34863" s="612"/>
    </row>
    <row r="34864">
      <c r="B34864" s="612"/>
      <c r="H34864" s="612"/>
    </row>
    <row r="34865">
      <c r="B34865" s="612"/>
      <c r="H34865" s="612"/>
    </row>
    <row r="34866">
      <c r="B34866" s="612"/>
      <c r="H34866" s="612"/>
    </row>
    <row r="34867">
      <c r="B34867" s="612"/>
      <c r="H34867" s="612"/>
    </row>
    <row r="34868">
      <c r="B34868" s="612"/>
      <c r="H34868" s="612"/>
    </row>
    <row r="34869">
      <c r="B34869" s="612"/>
      <c r="H34869" s="612"/>
    </row>
    <row r="34870">
      <c r="B34870" s="612"/>
      <c r="H34870" s="612"/>
    </row>
    <row r="34871">
      <c r="B34871" s="612"/>
      <c r="H34871" s="612"/>
    </row>
    <row r="34872">
      <c r="B34872" s="612"/>
      <c r="H34872" s="612"/>
    </row>
    <row r="34873">
      <c r="B34873" s="612"/>
      <c r="H34873" s="612"/>
    </row>
    <row r="34874">
      <c r="B34874" s="612"/>
      <c r="H34874" s="612"/>
    </row>
    <row r="34875">
      <c r="B34875" s="612"/>
      <c r="H34875" s="612"/>
    </row>
    <row r="34876">
      <c r="B34876" s="612"/>
      <c r="H34876" s="612"/>
    </row>
    <row r="34877">
      <c r="B34877" s="612"/>
      <c r="H34877" s="612"/>
    </row>
    <row r="34878">
      <c r="B34878" s="612"/>
      <c r="H34878" s="612"/>
    </row>
    <row r="34879">
      <c r="B34879" s="612"/>
      <c r="H34879" s="612"/>
    </row>
    <row r="34880">
      <c r="B34880" s="612"/>
      <c r="H34880" s="612"/>
    </row>
    <row r="34881">
      <c r="B34881" s="612"/>
      <c r="H34881" s="612"/>
    </row>
    <row r="34882">
      <c r="B34882" s="612"/>
      <c r="H34882" s="612"/>
    </row>
    <row r="34883">
      <c r="B34883" s="612"/>
      <c r="H34883" s="612"/>
    </row>
    <row r="34884">
      <c r="B34884" s="612"/>
      <c r="H34884" s="612"/>
    </row>
    <row r="34885">
      <c r="B34885" s="612"/>
      <c r="H34885" s="612"/>
    </row>
    <row r="34886">
      <c r="B34886" s="612"/>
      <c r="H34886" s="612"/>
    </row>
    <row r="34887">
      <c r="B34887" s="612"/>
      <c r="H34887" s="612"/>
    </row>
    <row r="34888">
      <c r="B34888" s="612"/>
      <c r="H34888" s="612"/>
    </row>
    <row r="34889">
      <c r="B34889" s="612"/>
      <c r="H34889" s="612"/>
    </row>
    <row r="34890">
      <c r="B34890" s="612"/>
      <c r="H34890" s="612"/>
    </row>
    <row r="34891">
      <c r="B34891" s="612"/>
      <c r="H34891" s="612"/>
    </row>
    <row r="34892">
      <c r="B34892" s="612"/>
      <c r="H34892" s="612"/>
    </row>
    <row r="34893">
      <c r="B34893" s="612"/>
      <c r="H34893" s="612"/>
    </row>
    <row r="34894">
      <c r="B34894" s="612"/>
      <c r="H34894" s="612"/>
    </row>
    <row r="34895">
      <c r="B34895" s="612"/>
      <c r="H34895" s="612"/>
    </row>
    <row r="34896">
      <c r="B34896" s="612"/>
      <c r="H34896" s="612"/>
    </row>
    <row r="34897">
      <c r="B34897" s="612"/>
      <c r="H34897" s="612"/>
    </row>
    <row r="34898">
      <c r="B34898" s="612"/>
      <c r="H34898" s="612"/>
    </row>
    <row r="34899">
      <c r="B34899" s="612"/>
      <c r="H34899" s="612"/>
    </row>
    <row r="34900">
      <c r="B34900" s="612"/>
      <c r="H34900" s="612"/>
    </row>
    <row r="34901">
      <c r="B34901" s="612"/>
      <c r="H34901" s="612"/>
    </row>
    <row r="34902">
      <c r="B34902" s="612"/>
      <c r="H34902" s="612"/>
    </row>
    <row r="34903">
      <c r="B34903" s="612"/>
      <c r="H34903" s="612"/>
    </row>
    <row r="34904">
      <c r="B34904" s="612"/>
      <c r="H34904" s="612"/>
    </row>
    <row r="34905">
      <c r="B34905" s="612"/>
      <c r="H34905" s="612"/>
    </row>
    <row r="34906">
      <c r="B34906" s="612"/>
      <c r="H34906" s="612"/>
    </row>
    <row r="34907">
      <c r="B34907" s="612"/>
      <c r="H34907" s="612"/>
    </row>
    <row r="34908">
      <c r="B34908" s="612"/>
      <c r="H34908" s="612"/>
    </row>
    <row r="34909">
      <c r="B34909" s="612"/>
      <c r="H34909" s="612"/>
    </row>
    <row r="34910">
      <c r="B34910" s="612"/>
      <c r="H34910" s="612"/>
    </row>
    <row r="34911">
      <c r="B34911" s="612"/>
      <c r="H34911" s="612"/>
    </row>
    <row r="34912">
      <c r="B34912" s="612"/>
      <c r="H34912" s="612"/>
    </row>
    <row r="34913">
      <c r="B34913" s="612"/>
      <c r="H34913" s="612"/>
    </row>
    <row r="34914">
      <c r="B34914" s="612"/>
      <c r="H34914" s="612"/>
    </row>
    <row r="34915">
      <c r="B34915" s="612"/>
      <c r="H34915" s="612"/>
    </row>
    <row r="34916">
      <c r="B34916" s="612"/>
      <c r="H34916" s="612"/>
    </row>
    <row r="34917">
      <c r="B34917" s="612"/>
      <c r="H34917" s="612"/>
    </row>
    <row r="34918">
      <c r="B34918" s="612"/>
      <c r="H34918" s="612"/>
    </row>
    <row r="34919">
      <c r="B34919" s="612"/>
      <c r="H34919" s="612"/>
    </row>
    <row r="34920">
      <c r="B34920" s="612"/>
      <c r="H34920" s="612"/>
    </row>
    <row r="34921">
      <c r="B34921" s="612"/>
      <c r="H34921" s="612"/>
    </row>
    <row r="34922">
      <c r="B34922" s="612"/>
      <c r="H34922" s="612"/>
    </row>
    <row r="34923">
      <c r="B34923" s="612"/>
      <c r="H34923" s="612"/>
    </row>
    <row r="34924">
      <c r="B34924" s="612"/>
      <c r="H34924" s="612"/>
    </row>
    <row r="34925">
      <c r="B34925" s="612"/>
      <c r="H34925" s="612"/>
    </row>
    <row r="34926">
      <c r="B34926" s="612"/>
      <c r="H34926" s="612"/>
    </row>
    <row r="34927">
      <c r="B34927" s="612"/>
      <c r="H34927" s="612"/>
    </row>
    <row r="34928">
      <c r="B34928" s="612"/>
      <c r="H34928" s="612"/>
    </row>
    <row r="34929">
      <c r="B34929" s="612"/>
      <c r="H34929" s="612"/>
    </row>
    <row r="34930">
      <c r="B34930" s="612"/>
      <c r="H34930" s="612"/>
    </row>
    <row r="34931">
      <c r="B34931" s="612"/>
      <c r="H34931" s="612"/>
    </row>
    <row r="34932">
      <c r="B34932" s="612"/>
      <c r="H34932" s="612"/>
    </row>
    <row r="34933">
      <c r="B34933" s="612"/>
      <c r="H34933" s="612"/>
    </row>
    <row r="34934">
      <c r="B34934" s="612"/>
      <c r="H34934" s="612"/>
    </row>
    <row r="34935">
      <c r="B34935" s="612"/>
      <c r="H34935" s="612"/>
    </row>
    <row r="34936">
      <c r="B34936" s="612"/>
      <c r="H34936" s="612"/>
    </row>
    <row r="34937">
      <c r="B34937" s="612"/>
      <c r="H34937" s="612"/>
    </row>
    <row r="34938">
      <c r="B34938" s="612"/>
      <c r="H34938" s="612"/>
    </row>
    <row r="34939">
      <c r="B34939" s="612"/>
      <c r="H34939" s="612"/>
    </row>
    <row r="34940">
      <c r="B34940" s="612"/>
      <c r="H34940" s="612"/>
    </row>
    <row r="34941">
      <c r="B34941" s="612"/>
      <c r="H34941" s="612"/>
    </row>
    <row r="34942">
      <c r="B34942" s="612"/>
      <c r="H34942" s="612"/>
    </row>
    <row r="34943">
      <c r="B34943" s="612"/>
      <c r="H34943" s="612"/>
    </row>
    <row r="34944">
      <c r="B34944" s="612"/>
      <c r="H34944" s="612"/>
    </row>
    <row r="34945">
      <c r="B34945" s="612"/>
      <c r="H34945" s="612"/>
    </row>
    <row r="34946">
      <c r="B34946" s="612"/>
      <c r="H34946" s="612"/>
    </row>
    <row r="34947">
      <c r="B34947" s="612"/>
      <c r="H34947" s="612"/>
    </row>
    <row r="34948">
      <c r="B34948" s="612"/>
      <c r="H34948" s="612"/>
    </row>
    <row r="34949">
      <c r="B34949" s="612"/>
      <c r="H34949" s="612"/>
    </row>
    <row r="34950">
      <c r="B34950" s="612"/>
      <c r="H34950" s="612"/>
    </row>
    <row r="34951">
      <c r="B34951" s="612"/>
      <c r="H34951" s="612"/>
    </row>
    <row r="34952">
      <c r="B34952" s="612"/>
      <c r="H34952" s="612"/>
    </row>
    <row r="34953">
      <c r="B34953" s="612"/>
      <c r="H34953" s="612"/>
    </row>
    <row r="34954">
      <c r="B34954" s="612"/>
      <c r="H34954" s="612"/>
    </row>
    <row r="34955">
      <c r="B34955" s="612"/>
      <c r="H34955" s="612"/>
    </row>
    <row r="34956">
      <c r="B34956" s="612"/>
      <c r="H34956" s="612"/>
    </row>
    <row r="34957">
      <c r="B34957" s="612"/>
      <c r="H34957" s="612"/>
    </row>
    <row r="34958">
      <c r="B34958" s="612"/>
      <c r="H34958" s="612"/>
    </row>
    <row r="34959">
      <c r="B34959" s="612"/>
      <c r="H34959" s="612"/>
    </row>
    <row r="34960">
      <c r="B34960" s="612"/>
      <c r="H34960" s="612"/>
    </row>
    <row r="34961">
      <c r="B34961" s="612"/>
      <c r="H34961" s="612"/>
    </row>
    <row r="34962">
      <c r="B34962" s="612"/>
      <c r="H34962" s="612"/>
    </row>
    <row r="34963">
      <c r="B34963" s="612"/>
      <c r="H34963" s="612"/>
    </row>
    <row r="34964">
      <c r="B34964" s="612"/>
      <c r="H34964" s="612"/>
    </row>
    <row r="34965">
      <c r="B34965" s="612"/>
      <c r="H34965" s="612"/>
    </row>
    <row r="34966">
      <c r="B34966" s="612"/>
      <c r="H34966" s="612"/>
    </row>
    <row r="34967">
      <c r="B34967" s="612"/>
      <c r="H34967" s="612"/>
    </row>
    <row r="34968">
      <c r="B34968" s="612"/>
      <c r="H34968" s="612"/>
    </row>
    <row r="34969">
      <c r="B34969" s="612"/>
      <c r="H34969" s="612"/>
    </row>
    <row r="34970">
      <c r="B34970" s="612"/>
      <c r="H34970" s="612"/>
    </row>
    <row r="34971">
      <c r="B34971" s="612"/>
      <c r="H34971" s="612"/>
    </row>
    <row r="34972">
      <c r="B34972" s="612"/>
      <c r="H34972" s="612"/>
    </row>
    <row r="34973">
      <c r="B34973" s="612"/>
      <c r="H34973" s="612"/>
    </row>
    <row r="34974">
      <c r="B34974" s="612"/>
      <c r="H34974" s="612"/>
    </row>
    <row r="34975">
      <c r="B34975" s="612"/>
      <c r="H34975" s="612"/>
    </row>
    <row r="34976">
      <c r="B34976" s="612"/>
      <c r="H34976" s="612"/>
    </row>
    <row r="34977">
      <c r="B34977" s="612"/>
      <c r="H34977" s="612"/>
    </row>
    <row r="34978">
      <c r="B34978" s="612"/>
      <c r="H34978" s="612"/>
    </row>
    <row r="34979">
      <c r="B34979" s="612"/>
      <c r="H34979" s="612"/>
    </row>
    <row r="34980">
      <c r="B34980" s="612"/>
      <c r="H34980" s="612"/>
    </row>
    <row r="34981">
      <c r="B34981" s="612"/>
      <c r="H34981" s="612"/>
    </row>
    <row r="34982">
      <c r="B34982" s="612"/>
      <c r="H34982" s="612"/>
    </row>
    <row r="34983">
      <c r="B34983" s="612"/>
      <c r="H34983" s="612"/>
    </row>
    <row r="34984">
      <c r="B34984" s="612"/>
      <c r="H34984" s="612"/>
    </row>
    <row r="34985">
      <c r="B34985" s="612"/>
      <c r="H34985" s="612"/>
    </row>
    <row r="34986">
      <c r="B34986" s="612"/>
      <c r="H34986" s="612"/>
    </row>
    <row r="34987">
      <c r="B34987" s="612"/>
      <c r="H34987" s="612"/>
    </row>
    <row r="34988">
      <c r="B34988" s="612"/>
      <c r="H34988" s="612"/>
    </row>
    <row r="34989">
      <c r="B34989" s="612"/>
      <c r="H34989" s="612"/>
    </row>
    <row r="34990">
      <c r="B34990" s="612"/>
      <c r="H34990" s="612"/>
    </row>
    <row r="34991">
      <c r="B34991" s="612"/>
      <c r="H34991" s="612"/>
    </row>
    <row r="34992">
      <c r="B34992" s="612"/>
      <c r="H34992" s="612"/>
    </row>
    <row r="34993">
      <c r="B34993" s="612"/>
      <c r="H34993" s="612"/>
    </row>
    <row r="34994">
      <c r="B34994" s="612"/>
      <c r="H34994" s="612"/>
    </row>
    <row r="34995">
      <c r="B34995" s="612"/>
      <c r="H34995" s="612"/>
    </row>
    <row r="34996">
      <c r="B34996" s="612"/>
      <c r="H34996" s="612"/>
    </row>
    <row r="34997">
      <c r="B34997" s="612"/>
      <c r="H34997" s="612"/>
    </row>
    <row r="34998">
      <c r="B34998" s="612"/>
      <c r="H34998" s="612"/>
    </row>
    <row r="34999">
      <c r="B34999" s="612"/>
      <c r="H34999" s="612"/>
    </row>
    <row r="35000">
      <c r="B35000" s="612"/>
      <c r="H35000" s="612"/>
    </row>
    <row r="35001">
      <c r="B35001" s="612"/>
      <c r="H35001" s="612"/>
    </row>
    <row r="35002">
      <c r="B35002" s="612"/>
      <c r="H35002" s="612"/>
    </row>
    <row r="35003">
      <c r="B35003" s="612"/>
      <c r="H35003" s="612"/>
    </row>
    <row r="35004">
      <c r="B35004" s="612"/>
      <c r="H35004" s="612"/>
    </row>
    <row r="35005">
      <c r="B35005" s="612"/>
      <c r="H35005" s="612"/>
    </row>
    <row r="35006">
      <c r="B35006" s="612"/>
      <c r="H35006" s="612"/>
    </row>
    <row r="35007">
      <c r="B35007" s="612"/>
      <c r="H35007" s="612"/>
    </row>
    <row r="35008">
      <c r="B35008" s="612"/>
      <c r="H35008" s="612"/>
    </row>
    <row r="35009">
      <c r="B35009" s="612"/>
      <c r="H35009" s="612"/>
    </row>
    <row r="35010">
      <c r="B35010" s="612"/>
      <c r="H35010" s="612"/>
    </row>
    <row r="35011">
      <c r="B35011" s="612"/>
      <c r="H35011" s="612"/>
    </row>
    <row r="35012">
      <c r="B35012" s="612"/>
      <c r="H35012" s="612"/>
    </row>
    <row r="35013">
      <c r="B35013" s="612"/>
      <c r="H35013" s="612"/>
    </row>
    <row r="35014">
      <c r="B35014" s="612"/>
      <c r="H35014" s="612"/>
    </row>
    <row r="35015">
      <c r="B35015" s="612"/>
      <c r="H35015" s="612"/>
    </row>
    <row r="35016">
      <c r="B35016" s="612"/>
      <c r="H35016" s="612"/>
    </row>
    <row r="35017">
      <c r="B35017" s="612"/>
      <c r="H35017" s="612"/>
    </row>
    <row r="35018">
      <c r="B35018" s="612"/>
      <c r="H35018" s="612"/>
    </row>
    <row r="35019">
      <c r="B35019" s="612"/>
      <c r="H35019" s="612"/>
    </row>
    <row r="35020">
      <c r="B35020" s="612"/>
      <c r="H35020" s="612"/>
    </row>
    <row r="35021">
      <c r="B35021" s="612"/>
      <c r="H35021" s="612"/>
    </row>
    <row r="35022">
      <c r="B35022" s="612"/>
      <c r="H35022" s="612"/>
    </row>
    <row r="35023">
      <c r="B35023" s="612"/>
      <c r="H35023" s="612"/>
    </row>
    <row r="35024">
      <c r="B35024" s="612"/>
      <c r="H35024" s="612"/>
    </row>
    <row r="35025">
      <c r="B35025" s="612"/>
      <c r="H35025" s="612"/>
    </row>
    <row r="35026">
      <c r="B35026" s="612"/>
      <c r="H35026" s="612"/>
    </row>
    <row r="35027">
      <c r="B35027" s="612"/>
      <c r="H35027" s="612"/>
    </row>
    <row r="35028">
      <c r="B35028" s="612"/>
      <c r="H35028" s="612"/>
    </row>
    <row r="35029">
      <c r="B35029" s="612"/>
      <c r="H35029" s="612"/>
    </row>
    <row r="35030">
      <c r="B35030" s="612"/>
      <c r="H35030" s="612"/>
    </row>
    <row r="35031">
      <c r="B35031" s="612"/>
      <c r="H35031" s="612"/>
    </row>
    <row r="35032">
      <c r="B35032" s="612"/>
      <c r="H35032" s="612"/>
    </row>
    <row r="35033">
      <c r="B35033" s="612"/>
      <c r="H35033" s="612"/>
    </row>
    <row r="35034">
      <c r="B35034" s="612"/>
      <c r="H35034" s="612"/>
    </row>
    <row r="35035">
      <c r="B35035" s="612"/>
      <c r="H35035" s="612"/>
    </row>
    <row r="35036">
      <c r="B35036" s="612"/>
      <c r="H35036" s="612"/>
    </row>
    <row r="35037">
      <c r="B35037" s="612"/>
      <c r="H35037" s="612"/>
    </row>
    <row r="35038">
      <c r="B35038" s="612"/>
      <c r="H35038" s="612"/>
    </row>
    <row r="35039">
      <c r="B35039" s="612"/>
      <c r="H35039" s="612"/>
    </row>
    <row r="35040">
      <c r="B35040" s="612"/>
      <c r="H35040" s="612"/>
    </row>
    <row r="35041">
      <c r="B35041" s="612"/>
      <c r="H35041" s="612"/>
    </row>
    <row r="35042">
      <c r="B35042" s="612"/>
      <c r="H35042" s="612"/>
    </row>
    <row r="35043">
      <c r="B35043" s="612"/>
      <c r="H35043" s="612"/>
    </row>
    <row r="35044">
      <c r="B35044" s="612"/>
      <c r="H35044" s="612"/>
    </row>
    <row r="35045">
      <c r="B35045" s="612"/>
      <c r="H35045" s="612"/>
    </row>
    <row r="35046">
      <c r="B35046" s="612"/>
      <c r="H35046" s="612"/>
    </row>
    <row r="35047">
      <c r="B35047" s="612"/>
      <c r="H35047" s="612"/>
    </row>
    <row r="35048">
      <c r="B35048" s="612"/>
      <c r="H35048" s="612"/>
    </row>
    <row r="35049">
      <c r="B35049" s="612"/>
      <c r="H35049" s="612"/>
    </row>
    <row r="35050">
      <c r="B35050" s="612"/>
      <c r="H35050" s="612"/>
    </row>
    <row r="35051">
      <c r="B35051" s="612"/>
      <c r="H35051" s="612"/>
    </row>
    <row r="35052">
      <c r="B35052" s="612"/>
      <c r="H35052" s="612"/>
    </row>
    <row r="35053">
      <c r="B35053" s="612"/>
      <c r="H35053" s="612"/>
    </row>
    <row r="35054">
      <c r="B35054" s="612"/>
      <c r="H35054" s="612"/>
    </row>
    <row r="35055">
      <c r="B35055" s="612"/>
      <c r="H35055" s="612"/>
    </row>
    <row r="35056">
      <c r="B35056" s="612"/>
      <c r="H35056" s="612"/>
    </row>
    <row r="35057">
      <c r="B35057" s="612"/>
      <c r="H35057" s="612"/>
    </row>
    <row r="35058">
      <c r="B35058" s="612"/>
      <c r="H35058" s="612"/>
    </row>
    <row r="35059">
      <c r="B35059" s="612"/>
      <c r="H35059" s="612"/>
    </row>
    <row r="35060">
      <c r="B35060" s="612"/>
      <c r="H35060" s="612"/>
    </row>
    <row r="35061">
      <c r="B35061" s="612"/>
      <c r="H35061" s="612"/>
    </row>
    <row r="35062">
      <c r="B35062" s="612"/>
      <c r="H35062" s="612"/>
    </row>
    <row r="35063">
      <c r="B35063" s="612"/>
      <c r="H35063" s="612"/>
    </row>
    <row r="35064">
      <c r="B35064" s="612"/>
      <c r="H35064" s="612"/>
    </row>
    <row r="35065">
      <c r="B35065" s="612"/>
      <c r="H35065" s="612"/>
    </row>
    <row r="35066">
      <c r="B35066" s="612"/>
      <c r="H35066" s="612"/>
    </row>
    <row r="35067">
      <c r="B35067" s="612"/>
      <c r="H35067" s="612"/>
    </row>
    <row r="35068">
      <c r="B35068" s="612"/>
      <c r="H35068" s="612"/>
    </row>
    <row r="35069">
      <c r="B35069" s="612"/>
      <c r="H35069" s="612"/>
    </row>
    <row r="35070">
      <c r="B35070" s="612"/>
      <c r="H35070" s="612"/>
    </row>
    <row r="35071">
      <c r="B35071" s="612"/>
      <c r="H35071" s="612"/>
    </row>
    <row r="35072">
      <c r="B35072" s="612"/>
      <c r="H35072" s="612"/>
    </row>
    <row r="35073">
      <c r="B35073" s="612"/>
      <c r="H35073" s="612"/>
    </row>
    <row r="35074">
      <c r="B35074" s="612"/>
      <c r="H35074" s="612"/>
    </row>
    <row r="35075">
      <c r="B35075" s="612"/>
      <c r="H35075" s="612"/>
    </row>
    <row r="35076">
      <c r="B35076" s="612"/>
      <c r="H35076" s="612"/>
    </row>
    <row r="35077">
      <c r="B35077" s="612"/>
      <c r="H35077" s="612"/>
    </row>
    <row r="35078">
      <c r="B35078" s="612"/>
      <c r="H35078" s="612"/>
    </row>
    <row r="35079">
      <c r="B35079" s="612"/>
      <c r="H35079" s="612"/>
    </row>
    <row r="35080">
      <c r="B35080" s="612"/>
      <c r="H35080" s="612"/>
    </row>
    <row r="35081">
      <c r="B35081" s="612"/>
      <c r="H35081" s="612"/>
    </row>
    <row r="35082">
      <c r="B35082" s="612"/>
      <c r="H35082" s="612"/>
    </row>
    <row r="35083">
      <c r="B35083" s="612"/>
      <c r="H35083" s="612"/>
    </row>
    <row r="35084">
      <c r="B35084" s="612"/>
      <c r="H35084" s="612"/>
    </row>
    <row r="35085">
      <c r="B35085" s="612"/>
      <c r="H35085" s="612"/>
    </row>
    <row r="35086">
      <c r="B35086" s="612"/>
      <c r="H35086" s="612"/>
    </row>
    <row r="35087">
      <c r="B35087" s="612"/>
      <c r="H35087" s="612"/>
    </row>
    <row r="35088">
      <c r="B35088" s="612"/>
      <c r="H35088" s="612"/>
    </row>
    <row r="35089">
      <c r="B35089" s="612"/>
      <c r="H35089" s="612"/>
    </row>
    <row r="35090">
      <c r="B35090" s="612"/>
      <c r="H35090" s="612"/>
    </row>
    <row r="35091">
      <c r="B35091" s="612"/>
      <c r="H35091" s="612"/>
    </row>
    <row r="35092">
      <c r="B35092" s="612"/>
      <c r="H35092" s="612"/>
    </row>
    <row r="35093">
      <c r="B35093" s="612"/>
      <c r="H35093" s="612"/>
    </row>
    <row r="35094">
      <c r="B35094" s="612"/>
      <c r="H35094" s="612"/>
    </row>
    <row r="35095">
      <c r="B35095" s="612"/>
      <c r="H35095" s="612"/>
    </row>
    <row r="35096">
      <c r="B35096" s="612"/>
      <c r="H35096" s="612"/>
    </row>
    <row r="35097">
      <c r="B35097" s="612"/>
      <c r="H35097" s="612"/>
    </row>
    <row r="35098">
      <c r="B35098" s="612"/>
      <c r="H35098" s="612"/>
    </row>
    <row r="35099">
      <c r="B35099" s="612"/>
      <c r="H35099" s="612"/>
    </row>
    <row r="35100">
      <c r="B35100" s="612"/>
      <c r="H35100" s="612"/>
    </row>
    <row r="35101">
      <c r="B35101" s="612"/>
      <c r="H35101" s="612"/>
    </row>
    <row r="35102">
      <c r="B35102" s="612"/>
      <c r="H35102" s="612"/>
    </row>
    <row r="35103">
      <c r="B35103" s="612"/>
      <c r="H35103" s="612"/>
    </row>
    <row r="35104">
      <c r="B35104" s="612"/>
      <c r="H35104" s="612"/>
    </row>
    <row r="35105">
      <c r="B35105" s="612"/>
      <c r="H35105" s="612"/>
    </row>
    <row r="35106">
      <c r="B35106" s="612"/>
      <c r="H35106" s="612"/>
    </row>
    <row r="35107">
      <c r="B35107" s="612"/>
      <c r="H35107" s="612"/>
    </row>
    <row r="35108">
      <c r="B35108" s="612"/>
      <c r="H35108" s="612"/>
    </row>
    <row r="35109">
      <c r="B35109" s="612"/>
      <c r="H35109" s="612"/>
    </row>
    <row r="35110">
      <c r="B35110" s="612"/>
      <c r="H35110" s="612"/>
    </row>
    <row r="35111">
      <c r="B35111" s="612"/>
      <c r="H35111" s="612"/>
    </row>
    <row r="35112">
      <c r="B35112" s="612"/>
      <c r="H35112" s="612"/>
    </row>
    <row r="35113">
      <c r="B35113" s="612"/>
      <c r="H35113" s="612"/>
    </row>
    <row r="35114">
      <c r="B35114" s="612"/>
      <c r="H35114" s="612"/>
    </row>
    <row r="35115">
      <c r="B35115" s="612"/>
      <c r="H35115" s="612"/>
    </row>
    <row r="35116">
      <c r="B35116" s="612"/>
      <c r="H35116" s="612"/>
    </row>
    <row r="35117">
      <c r="B35117" s="612"/>
      <c r="H35117" s="612"/>
    </row>
    <row r="35118">
      <c r="B35118" s="612"/>
      <c r="H35118" s="612"/>
    </row>
    <row r="35119">
      <c r="B35119" s="612"/>
      <c r="H35119" s="612"/>
    </row>
    <row r="35120">
      <c r="B35120" s="612"/>
      <c r="H35120" s="612"/>
    </row>
    <row r="35121">
      <c r="B35121" s="612"/>
      <c r="H35121" s="612"/>
    </row>
    <row r="35122">
      <c r="B35122" s="612"/>
      <c r="H35122" s="612"/>
    </row>
    <row r="35123">
      <c r="B35123" s="612"/>
      <c r="H35123" s="612"/>
    </row>
    <row r="35124">
      <c r="B35124" s="612"/>
      <c r="H35124" s="612"/>
    </row>
    <row r="35125">
      <c r="B35125" s="612"/>
      <c r="H35125" s="612"/>
    </row>
    <row r="35126">
      <c r="B35126" s="612"/>
      <c r="H35126" s="612"/>
    </row>
    <row r="35127">
      <c r="B35127" s="612"/>
      <c r="H35127" s="612"/>
    </row>
    <row r="35128">
      <c r="B35128" s="612"/>
      <c r="H35128" s="612"/>
    </row>
    <row r="35129">
      <c r="B35129" s="612"/>
      <c r="H35129" s="612"/>
    </row>
    <row r="35130">
      <c r="B35130" s="612"/>
      <c r="H35130" s="612"/>
    </row>
    <row r="35131">
      <c r="B35131" s="612"/>
      <c r="H35131" s="612"/>
    </row>
    <row r="35132">
      <c r="B35132" s="612"/>
      <c r="H35132" s="612"/>
    </row>
    <row r="35133">
      <c r="B35133" s="612"/>
      <c r="H35133" s="612"/>
    </row>
    <row r="35134">
      <c r="B35134" s="612"/>
      <c r="H35134" s="612"/>
    </row>
    <row r="35135">
      <c r="B35135" s="612"/>
      <c r="H35135" s="612"/>
    </row>
    <row r="35136">
      <c r="B35136" s="612"/>
      <c r="H35136" s="612"/>
    </row>
    <row r="35137">
      <c r="B35137" s="612"/>
      <c r="H35137" s="612"/>
    </row>
    <row r="35138">
      <c r="B35138" s="612"/>
      <c r="H35138" s="612"/>
    </row>
    <row r="35139">
      <c r="B35139" s="612"/>
      <c r="H35139" s="612"/>
    </row>
    <row r="35140">
      <c r="B35140" s="612"/>
      <c r="H35140" s="612"/>
    </row>
    <row r="35141">
      <c r="B35141" s="612"/>
      <c r="H35141" s="612"/>
    </row>
    <row r="35142">
      <c r="B35142" s="612"/>
      <c r="H35142" s="612"/>
    </row>
    <row r="35143">
      <c r="B35143" s="612"/>
      <c r="H35143" s="612"/>
    </row>
    <row r="35144">
      <c r="B35144" s="612"/>
      <c r="H35144" s="612"/>
    </row>
    <row r="35145">
      <c r="B35145" s="612"/>
      <c r="H35145" s="612"/>
    </row>
    <row r="35146">
      <c r="B35146" s="612"/>
      <c r="H35146" s="612"/>
    </row>
    <row r="35147">
      <c r="B35147" s="612"/>
      <c r="H35147" s="612"/>
    </row>
    <row r="35148">
      <c r="B35148" s="612"/>
      <c r="H35148" s="612"/>
    </row>
    <row r="35149">
      <c r="B35149" s="612"/>
      <c r="H35149" s="612"/>
    </row>
    <row r="35150">
      <c r="B35150" s="612"/>
      <c r="H35150" s="612"/>
    </row>
    <row r="35151">
      <c r="B35151" s="612"/>
      <c r="H35151" s="612"/>
    </row>
    <row r="35152">
      <c r="B35152" s="612"/>
      <c r="H35152" s="612"/>
    </row>
    <row r="35153">
      <c r="B35153" s="612"/>
      <c r="H35153" s="612"/>
    </row>
    <row r="35154">
      <c r="B35154" s="612"/>
      <c r="H35154" s="612"/>
    </row>
    <row r="35155">
      <c r="B35155" s="612"/>
      <c r="H35155" s="612"/>
    </row>
    <row r="35156">
      <c r="B35156" s="612"/>
      <c r="H35156" s="612"/>
    </row>
    <row r="35157">
      <c r="B35157" s="612"/>
      <c r="H35157" s="612"/>
    </row>
    <row r="35158">
      <c r="B35158" s="612"/>
      <c r="H35158" s="612"/>
    </row>
    <row r="35159">
      <c r="B35159" s="612"/>
      <c r="H35159" s="612"/>
    </row>
    <row r="35160">
      <c r="B35160" s="612"/>
      <c r="H35160" s="612"/>
    </row>
    <row r="35161">
      <c r="B35161" s="612"/>
      <c r="H35161" s="612"/>
    </row>
    <row r="35162">
      <c r="B35162" s="612"/>
      <c r="H35162" s="612"/>
    </row>
    <row r="35163">
      <c r="B35163" s="612"/>
      <c r="H35163" s="612"/>
    </row>
    <row r="35164">
      <c r="B35164" s="612"/>
      <c r="H35164" s="612"/>
    </row>
    <row r="35165">
      <c r="B35165" s="612"/>
      <c r="H35165" s="612"/>
    </row>
    <row r="35166">
      <c r="B35166" s="612"/>
      <c r="H35166" s="612"/>
    </row>
    <row r="35167">
      <c r="B35167" s="612"/>
      <c r="H35167" s="612"/>
    </row>
    <row r="35168">
      <c r="B35168" s="612"/>
      <c r="H35168" s="612"/>
    </row>
    <row r="35169">
      <c r="B35169" s="612"/>
      <c r="H35169" s="612"/>
    </row>
    <row r="35170">
      <c r="B35170" s="612"/>
      <c r="H35170" s="612"/>
    </row>
    <row r="35171">
      <c r="B35171" s="612"/>
      <c r="H35171" s="612"/>
    </row>
    <row r="35172">
      <c r="B35172" s="612"/>
      <c r="H35172" s="612"/>
    </row>
    <row r="35173">
      <c r="B35173" s="612"/>
      <c r="H35173" s="612"/>
    </row>
    <row r="35174">
      <c r="B35174" s="612"/>
      <c r="H35174" s="612"/>
    </row>
    <row r="35175">
      <c r="B35175" s="612"/>
      <c r="H35175" s="612"/>
    </row>
    <row r="35176">
      <c r="B35176" s="612"/>
      <c r="H35176" s="612"/>
    </row>
    <row r="35177">
      <c r="B35177" s="612"/>
      <c r="H35177" s="612"/>
    </row>
    <row r="35178">
      <c r="B35178" s="612"/>
      <c r="H35178" s="612"/>
    </row>
    <row r="35179">
      <c r="B35179" s="612"/>
      <c r="H35179" s="612"/>
    </row>
    <row r="35180">
      <c r="B35180" s="612"/>
      <c r="H35180" s="612"/>
    </row>
    <row r="35181">
      <c r="B35181" s="612"/>
      <c r="H35181" s="612"/>
    </row>
    <row r="35182">
      <c r="B35182" s="612"/>
      <c r="H35182" s="612"/>
    </row>
    <row r="35183">
      <c r="B35183" s="612"/>
      <c r="H35183" s="612"/>
    </row>
    <row r="35184">
      <c r="B35184" s="612"/>
      <c r="H35184" s="612"/>
    </row>
    <row r="35185">
      <c r="B35185" s="612"/>
      <c r="H35185" s="612"/>
    </row>
    <row r="35186">
      <c r="B35186" s="612"/>
      <c r="H35186" s="612"/>
    </row>
    <row r="35187">
      <c r="B35187" s="612"/>
      <c r="H35187" s="612"/>
    </row>
    <row r="35188">
      <c r="B35188" s="612"/>
      <c r="H35188" s="612"/>
    </row>
    <row r="35189">
      <c r="B35189" s="612"/>
      <c r="H35189" s="612"/>
    </row>
    <row r="35190">
      <c r="B35190" s="612"/>
      <c r="H35190" s="612"/>
    </row>
    <row r="35191">
      <c r="B35191" s="612"/>
      <c r="H35191" s="612"/>
    </row>
    <row r="35192">
      <c r="B35192" s="612"/>
      <c r="H35192" s="612"/>
    </row>
    <row r="35193">
      <c r="B35193" s="612"/>
      <c r="H35193" s="612"/>
    </row>
    <row r="35194">
      <c r="B35194" s="612"/>
      <c r="H35194" s="612"/>
    </row>
    <row r="35195">
      <c r="B35195" s="612"/>
      <c r="H35195" s="612"/>
    </row>
    <row r="35196">
      <c r="B35196" s="612"/>
      <c r="H35196" s="612"/>
    </row>
    <row r="35197">
      <c r="B35197" s="612"/>
      <c r="H35197" s="612"/>
    </row>
    <row r="35198">
      <c r="B35198" s="612"/>
      <c r="H35198" s="612"/>
    </row>
    <row r="35199">
      <c r="B35199" s="612"/>
      <c r="H35199" s="612"/>
    </row>
    <row r="35200">
      <c r="B35200" s="612"/>
      <c r="H35200" s="612"/>
    </row>
    <row r="35201">
      <c r="B35201" s="612"/>
      <c r="H35201" s="612"/>
    </row>
    <row r="35202">
      <c r="B35202" s="612"/>
      <c r="H35202" s="612"/>
    </row>
    <row r="35203">
      <c r="B35203" s="612"/>
      <c r="H35203" s="612"/>
    </row>
    <row r="35204">
      <c r="B35204" s="612"/>
      <c r="H35204" s="612"/>
    </row>
    <row r="35205">
      <c r="B35205" s="612"/>
      <c r="H35205" s="612"/>
    </row>
    <row r="35206">
      <c r="B35206" s="612"/>
      <c r="H35206" s="612"/>
    </row>
    <row r="35207">
      <c r="B35207" s="612"/>
      <c r="H35207" s="612"/>
    </row>
    <row r="35208">
      <c r="B35208" s="612"/>
      <c r="H35208" s="612"/>
    </row>
    <row r="35209">
      <c r="B35209" s="612"/>
      <c r="H35209" s="612"/>
    </row>
    <row r="35210">
      <c r="B35210" s="612"/>
      <c r="H35210" s="612"/>
    </row>
    <row r="35211">
      <c r="B35211" s="612"/>
      <c r="H35211" s="612"/>
    </row>
    <row r="35212">
      <c r="B35212" s="612"/>
      <c r="H35212" s="612"/>
    </row>
    <row r="35213">
      <c r="B35213" s="612"/>
      <c r="H35213" s="612"/>
    </row>
    <row r="35214">
      <c r="B35214" s="612"/>
      <c r="H35214" s="612"/>
    </row>
    <row r="35215">
      <c r="B35215" s="612"/>
      <c r="H35215" s="612"/>
    </row>
    <row r="35216">
      <c r="B35216" s="612"/>
      <c r="H35216" s="612"/>
    </row>
    <row r="35217">
      <c r="B35217" s="612"/>
      <c r="H35217" s="612"/>
    </row>
    <row r="35218">
      <c r="B35218" s="612"/>
      <c r="H35218" s="612"/>
    </row>
    <row r="35219">
      <c r="B35219" s="612"/>
      <c r="H35219" s="612"/>
    </row>
    <row r="35220">
      <c r="B35220" s="612"/>
      <c r="H35220" s="612"/>
    </row>
    <row r="35221">
      <c r="B35221" s="612"/>
      <c r="H35221" s="612"/>
    </row>
    <row r="35222">
      <c r="B35222" s="612"/>
      <c r="H35222" s="612"/>
    </row>
    <row r="35223">
      <c r="B35223" s="612"/>
      <c r="H35223" s="612"/>
    </row>
    <row r="35224">
      <c r="B35224" s="612"/>
      <c r="H35224" s="612"/>
    </row>
    <row r="35225">
      <c r="B35225" s="612"/>
      <c r="H35225" s="612"/>
    </row>
    <row r="35226">
      <c r="B35226" s="612"/>
      <c r="H35226" s="612"/>
    </row>
    <row r="35227">
      <c r="B35227" s="612"/>
      <c r="H35227" s="612"/>
    </row>
    <row r="35228">
      <c r="B35228" s="612"/>
      <c r="H35228" s="612"/>
    </row>
    <row r="35229">
      <c r="B35229" s="612"/>
      <c r="H35229" s="612"/>
    </row>
    <row r="35230">
      <c r="B35230" s="612"/>
      <c r="H35230" s="612"/>
    </row>
    <row r="35231">
      <c r="B35231" s="612"/>
      <c r="H35231" s="612"/>
    </row>
    <row r="35232">
      <c r="B35232" s="612"/>
      <c r="H35232" s="612"/>
    </row>
    <row r="35233">
      <c r="B35233" s="612"/>
      <c r="H35233" s="612"/>
    </row>
    <row r="35234">
      <c r="B35234" s="612"/>
      <c r="H35234" s="612"/>
    </row>
    <row r="35235">
      <c r="B35235" s="612"/>
      <c r="H35235" s="612"/>
    </row>
    <row r="35236">
      <c r="B35236" s="612"/>
      <c r="H35236" s="612"/>
    </row>
    <row r="35237">
      <c r="B35237" s="612"/>
      <c r="H35237" s="612"/>
    </row>
    <row r="35238">
      <c r="B35238" s="612"/>
      <c r="H35238" s="612"/>
    </row>
    <row r="35239">
      <c r="B35239" s="612"/>
      <c r="H35239" s="612"/>
    </row>
    <row r="35240">
      <c r="B35240" s="612"/>
      <c r="H35240" s="612"/>
    </row>
    <row r="35241">
      <c r="B35241" s="612"/>
      <c r="H35241" s="612"/>
    </row>
    <row r="35242">
      <c r="B35242" s="612"/>
      <c r="H35242" s="612"/>
    </row>
    <row r="35243">
      <c r="B35243" s="612"/>
      <c r="H35243" s="612"/>
    </row>
    <row r="35244">
      <c r="B35244" s="612"/>
      <c r="H35244" s="612"/>
    </row>
    <row r="35245">
      <c r="B35245" s="612"/>
      <c r="H35245" s="612"/>
    </row>
    <row r="35246">
      <c r="B35246" s="612"/>
      <c r="H35246" s="612"/>
    </row>
    <row r="35247">
      <c r="B35247" s="612"/>
      <c r="H35247" s="612"/>
    </row>
    <row r="35248">
      <c r="B35248" s="612"/>
      <c r="H35248" s="612"/>
    </row>
    <row r="35249">
      <c r="B35249" s="612"/>
      <c r="H35249" s="612"/>
    </row>
    <row r="35250">
      <c r="B35250" s="612"/>
      <c r="H35250" s="612"/>
    </row>
    <row r="35251">
      <c r="B35251" s="612"/>
      <c r="H35251" s="612"/>
    </row>
    <row r="35252">
      <c r="B35252" s="612"/>
      <c r="H35252" s="612"/>
    </row>
    <row r="35253">
      <c r="B35253" s="612"/>
      <c r="H35253" s="612"/>
    </row>
    <row r="35254">
      <c r="B35254" s="612"/>
      <c r="H35254" s="612"/>
    </row>
    <row r="35255">
      <c r="B35255" s="612"/>
      <c r="H35255" s="612"/>
    </row>
    <row r="35256">
      <c r="B35256" s="612"/>
      <c r="H35256" s="612"/>
    </row>
    <row r="35257">
      <c r="B35257" s="612"/>
      <c r="H35257" s="612"/>
    </row>
    <row r="35258">
      <c r="B35258" s="612"/>
      <c r="H35258" s="612"/>
    </row>
    <row r="35259">
      <c r="B35259" s="612"/>
      <c r="H35259" s="612"/>
    </row>
    <row r="35260">
      <c r="B35260" s="612"/>
      <c r="H35260" s="612"/>
    </row>
    <row r="35261">
      <c r="B35261" s="612"/>
      <c r="H35261" s="612"/>
    </row>
    <row r="35262">
      <c r="B35262" s="612"/>
      <c r="H35262" s="612"/>
    </row>
    <row r="35263">
      <c r="B35263" s="612"/>
      <c r="H35263" s="612"/>
    </row>
    <row r="35264">
      <c r="B35264" s="612"/>
      <c r="H35264" s="612"/>
    </row>
    <row r="35265">
      <c r="B35265" s="612"/>
      <c r="H35265" s="612"/>
    </row>
    <row r="35266">
      <c r="B35266" s="612"/>
      <c r="H35266" s="612"/>
    </row>
    <row r="35267">
      <c r="B35267" s="612"/>
      <c r="H35267" s="612"/>
    </row>
    <row r="35268">
      <c r="B35268" s="612"/>
      <c r="H35268" s="612"/>
    </row>
    <row r="35269">
      <c r="B35269" s="612"/>
      <c r="H35269" s="612"/>
    </row>
    <row r="35270">
      <c r="B35270" s="612"/>
      <c r="H35270" s="612"/>
    </row>
    <row r="35271">
      <c r="B35271" s="612"/>
      <c r="H35271" s="612"/>
    </row>
    <row r="35272">
      <c r="B35272" s="612"/>
      <c r="H35272" s="612"/>
    </row>
    <row r="35273">
      <c r="B35273" s="612"/>
      <c r="H35273" s="612"/>
    </row>
    <row r="35274">
      <c r="B35274" s="612"/>
      <c r="H35274" s="612"/>
    </row>
    <row r="35275">
      <c r="B35275" s="612"/>
      <c r="H35275" s="612"/>
    </row>
    <row r="35276">
      <c r="B35276" s="612"/>
      <c r="H35276" s="612"/>
    </row>
    <row r="35277">
      <c r="B35277" s="612"/>
      <c r="H35277" s="612"/>
    </row>
    <row r="35278">
      <c r="B35278" s="612"/>
      <c r="H35278" s="612"/>
    </row>
    <row r="35279">
      <c r="B35279" s="612"/>
      <c r="H35279" s="612"/>
    </row>
    <row r="35280">
      <c r="B35280" s="612"/>
      <c r="H35280" s="612"/>
    </row>
    <row r="35281">
      <c r="B35281" s="612"/>
      <c r="H35281" s="612"/>
    </row>
    <row r="35282">
      <c r="B35282" s="612"/>
      <c r="H35282" s="612"/>
    </row>
    <row r="35283">
      <c r="B35283" s="612"/>
      <c r="H35283" s="612"/>
    </row>
    <row r="35284">
      <c r="B35284" s="612"/>
      <c r="H35284" s="612"/>
    </row>
    <row r="35285">
      <c r="B35285" s="612"/>
      <c r="H35285" s="612"/>
    </row>
    <row r="35286">
      <c r="B35286" s="612"/>
      <c r="H35286" s="612"/>
    </row>
    <row r="35287">
      <c r="B35287" s="612"/>
      <c r="H35287" s="612"/>
    </row>
    <row r="35288">
      <c r="B35288" s="612"/>
      <c r="H35288" s="612"/>
    </row>
    <row r="35289">
      <c r="B35289" s="612"/>
      <c r="H35289" s="612"/>
    </row>
    <row r="35290">
      <c r="B35290" s="612"/>
      <c r="H35290" s="612"/>
    </row>
    <row r="35291">
      <c r="B35291" s="612"/>
      <c r="H35291" s="612"/>
    </row>
    <row r="35292">
      <c r="B35292" s="612"/>
      <c r="H35292" s="612"/>
    </row>
    <row r="35293">
      <c r="B35293" s="612"/>
      <c r="H35293" s="612"/>
    </row>
    <row r="35294">
      <c r="B35294" s="612"/>
      <c r="H35294" s="612"/>
    </row>
    <row r="35295">
      <c r="B35295" s="612"/>
      <c r="H35295" s="612"/>
    </row>
    <row r="35296">
      <c r="B35296" s="612"/>
      <c r="H35296" s="612"/>
    </row>
    <row r="35297">
      <c r="B35297" s="612"/>
      <c r="H35297" s="612"/>
    </row>
    <row r="35298">
      <c r="B35298" s="612"/>
      <c r="H35298" s="612"/>
    </row>
    <row r="35299">
      <c r="B35299" s="612"/>
      <c r="H35299" s="612"/>
    </row>
    <row r="35300">
      <c r="B35300" s="612"/>
      <c r="H35300" s="612"/>
    </row>
    <row r="35301">
      <c r="B35301" s="612"/>
      <c r="H35301" s="612"/>
    </row>
    <row r="35302">
      <c r="B35302" s="612"/>
      <c r="H35302" s="612"/>
    </row>
    <row r="35303">
      <c r="B35303" s="612"/>
      <c r="H35303" s="612"/>
    </row>
    <row r="35304">
      <c r="B35304" s="612"/>
      <c r="H35304" s="612"/>
    </row>
    <row r="35305">
      <c r="B35305" s="612"/>
      <c r="H35305" s="612"/>
    </row>
    <row r="35306">
      <c r="B35306" s="612"/>
      <c r="H35306" s="612"/>
    </row>
    <row r="35307">
      <c r="B35307" s="612"/>
      <c r="H35307" s="612"/>
    </row>
    <row r="35308">
      <c r="B35308" s="612"/>
      <c r="H35308" s="612"/>
    </row>
    <row r="35309">
      <c r="B35309" s="612"/>
      <c r="H35309" s="612"/>
    </row>
    <row r="35310">
      <c r="B35310" s="612"/>
      <c r="H35310" s="612"/>
    </row>
    <row r="35311">
      <c r="B35311" s="612"/>
      <c r="H35311" s="612"/>
    </row>
    <row r="35312">
      <c r="B35312" s="612"/>
      <c r="H35312" s="612"/>
    </row>
    <row r="35313">
      <c r="B35313" s="612"/>
      <c r="H35313" s="612"/>
    </row>
    <row r="35314">
      <c r="B35314" s="612"/>
      <c r="H35314" s="612"/>
    </row>
    <row r="35315">
      <c r="B35315" s="612"/>
      <c r="H35315" s="612"/>
    </row>
    <row r="35316">
      <c r="B35316" s="612"/>
      <c r="H35316" s="612"/>
    </row>
    <row r="35317">
      <c r="B35317" s="612"/>
      <c r="H35317" s="612"/>
    </row>
    <row r="35318">
      <c r="B35318" s="612"/>
      <c r="H35318" s="612"/>
    </row>
    <row r="35319">
      <c r="B35319" s="612"/>
      <c r="H35319" s="612"/>
    </row>
    <row r="35320">
      <c r="B35320" s="612"/>
      <c r="H35320" s="612"/>
    </row>
    <row r="35321">
      <c r="B35321" s="612"/>
      <c r="H35321" s="612"/>
    </row>
    <row r="35322">
      <c r="B35322" s="612"/>
      <c r="H35322" s="612"/>
    </row>
    <row r="35323">
      <c r="B35323" s="612"/>
      <c r="H35323" s="612"/>
    </row>
    <row r="35324">
      <c r="B35324" s="612"/>
      <c r="H35324" s="612"/>
    </row>
    <row r="35325">
      <c r="B35325" s="612"/>
      <c r="H35325" s="612"/>
    </row>
    <row r="35326">
      <c r="B35326" s="612"/>
      <c r="H35326" s="612"/>
    </row>
    <row r="35327">
      <c r="B35327" s="612"/>
      <c r="H35327" s="612"/>
    </row>
    <row r="35328">
      <c r="B35328" s="612"/>
      <c r="H35328" s="612"/>
    </row>
    <row r="35329">
      <c r="B35329" s="612"/>
      <c r="H35329" s="612"/>
    </row>
    <row r="35330">
      <c r="B35330" s="612"/>
      <c r="H35330" s="612"/>
    </row>
    <row r="35331">
      <c r="B35331" s="612"/>
      <c r="H35331" s="612"/>
    </row>
    <row r="35332">
      <c r="B35332" s="612"/>
      <c r="H35332" s="612"/>
    </row>
    <row r="35333">
      <c r="B35333" s="612"/>
      <c r="H35333" s="612"/>
    </row>
    <row r="35334">
      <c r="B35334" s="612"/>
      <c r="H35334" s="612"/>
    </row>
    <row r="35335">
      <c r="B35335" s="612"/>
      <c r="H35335" s="612"/>
    </row>
    <row r="35336">
      <c r="B35336" s="612"/>
      <c r="H35336" s="612"/>
    </row>
    <row r="35337">
      <c r="B35337" s="612"/>
      <c r="H35337" s="612"/>
    </row>
    <row r="35338">
      <c r="B35338" s="612"/>
      <c r="H35338" s="612"/>
    </row>
    <row r="35339">
      <c r="B35339" s="612"/>
      <c r="H35339" s="612"/>
    </row>
    <row r="35340">
      <c r="B35340" s="612"/>
      <c r="H35340" s="612"/>
    </row>
    <row r="35341">
      <c r="B35341" s="612"/>
      <c r="H35341" s="612"/>
    </row>
    <row r="35342">
      <c r="B35342" s="612"/>
      <c r="H35342" s="612"/>
    </row>
    <row r="35343">
      <c r="B35343" s="612"/>
      <c r="H35343" s="612"/>
    </row>
    <row r="35344">
      <c r="B35344" s="612"/>
      <c r="H35344" s="612"/>
    </row>
    <row r="35345">
      <c r="B35345" s="612"/>
      <c r="H35345" s="612"/>
    </row>
    <row r="35346">
      <c r="B35346" s="612"/>
      <c r="H35346" s="612"/>
    </row>
    <row r="35347">
      <c r="B35347" s="612"/>
      <c r="H35347" s="612"/>
    </row>
    <row r="35348">
      <c r="B35348" s="612"/>
      <c r="H35348" s="612"/>
    </row>
    <row r="35349">
      <c r="B35349" s="612"/>
      <c r="H35349" s="612"/>
    </row>
    <row r="35350">
      <c r="B35350" s="612"/>
      <c r="H35350" s="612"/>
    </row>
    <row r="35351">
      <c r="B35351" s="612"/>
      <c r="H35351" s="612"/>
    </row>
    <row r="35352">
      <c r="B35352" s="612"/>
      <c r="H35352" s="612"/>
    </row>
    <row r="35353">
      <c r="B35353" s="612"/>
      <c r="H35353" s="612"/>
    </row>
    <row r="35354">
      <c r="B35354" s="612"/>
      <c r="H35354" s="612"/>
    </row>
    <row r="35355">
      <c r="B35355" s="612"/>
      <c r="H35355" s="612"/>
    </row>
    <row r="35356">
      <c r="B35356" s="612"/>
      <c r="H35356" s="612"/>
    </row>
    <row r="35357">
      <c r="B35357" s="612"/>
      <c r="H35357" s="612"/>
    </row>
    <row r="35358">
      <c r="B35358" s="612"/>
      <c r="H35358" s="612"/>
    </row>
    <row r="35359">
      <c r="B35359" s="612"/>
      <c r="H35359" s="612"/>
    </row>
    <row r="35360">
      <c r="B35360" s="612"/>
      <c r="H35360" s="612"/>
    </row>
    <row r="35361">
      <c r="B35361" s="612"/>
      <c r="H35361" s="612"/>
    </row>
    <row r="35362">
      <c r="B35362" s="612"/>
      <c r="H35362" s="612"/>
    </row>
    <row r="35363">
      <c r="B35363" s="612"/>
      <c r="H35363" s="612"/>
    </row>
    <row r="35364">
      <c r="B35364" s="612"/>
      <c r="H35364" s="612"/>
    </row>
    <row r="35365">
      <c r="B35365" s="612"/>
      <c r="H35365" s="612"/>
    </row>
    <row r="35366">
      <c r="B35366" s="612"/>
      <c r="H35366" s="612"/>
    </row>
    <row r="35367">
      <c r="B35367" s="612"/>
      <c r="H35367" s="612"/>
    </row>
    <row r="35368">
      <c r="B35368" s="612"/>
      <c r="H35368" s="612"/>
    </row>
    <row r="35369">
      <c r="B35369" s="612"/>
      <c r="H35369" s="612"/>
    </row>
    <row r="35370">
      <c r="B35370" s="612"/>
      <c r="H35370" s="612"/>
    </row>
    <row r="35371">
      <c r="B35371" s="612"/>
      <c r="H35371" s="612"/>
    </row>
    <row r="35372">
      <c r="B35372" s="612"/>
      <c r="H35372" s="612"/>
    </row>
    <row r="35373">
      <c r="B35373" s="612"/>
      <c r="H35373" s="612"/>
    </row>
    <row r="35374">
      <c r="B35374" s="612"/>
      <c r="H35374" s="612"/>
    </row>
    <row r="35375">
      <c r="B35375" s="612"/>
      <c r="H35375" s="612"/>
    </row>
    <row r="35376">
      <c r="B35376" s="612"/>
      <c r="H35376" s="612"/>
    </row>
    <row r="35377">
      <c r="B35377" s="612"/>
      <c r="H35377" s="612"/>
    </row>
    <row r="35378">
      <c r="B35378" s="612"/>
      <c r="H35378" s="612"/>
    </row>
    <row r="35379">
      <c r="B35379" s="612"/>
      <c r="H35379" s="612"/>
    </row>
    <row r="35380">
      <c r="B35380" s="612"/>
      <c r="H35380" s="612"/>
    </row>
    <row r="35381">
      <c r="B35381" s="612"/>
      <c r="H35381" s="612"/>
    </row>
    <row r="35382">
      <c r="B35382" s="612"/>
      <c r="H35382" s="612"/>
    </row>
    <row r="35383">
      <c r="B35383" s="612"/>
      <c r="H35383" s="612"/>
    </row>
    <row r="35384">
      <c r="B35384" s="612"/>
      <c r="H35384" s="612"/>
    </row>
    <row r="35385">
      <c r="B35385" s="612"/>
      <c r="H35385" s="612"/>
    </row>
    <row r="35386">
      <c r="B35386" s="612"/>
      <c r="H35386" s="612"/>
    </row>
    <row r="35387">
      <c r="B35387" s="612"/>
      <c r="H35387" s="612"/>
    </row>
    <row r="35388">
      <c r="B35388" s="612"/>
      <c r="H35388" s="612"/>
    </row>
    <row r="35389">
      <c r="B35389" s="612"/>
      <c r="H35389" s="612"/>
    </row>
    <row r="35390">
      <c r="B35390" s="612"/>
      <c r="H35390" s="612"/>
    </row>
    <row r="35391">
      <c r="B35391" s="612"/>
      <c r="H35391" s="612"/>
    </row>
    <row r="35392">
      <c r="B35392" s="612"/>
      <c r="H35392" s="612"/>
    </row>
    <row r="35393">
      <c r="B35393" s="612"/>
      <c r="H35393" s="612"/>
    </row>
    <row r="35394">
      <c r="B35394" s="612"/>
      <c r="H35394" s="612"/>
    </row>
    <row r="35395">
      <c r="B35395" s="612"/>
      <c r="H35395" s="612"/>
    </row>
    <row r="35396">
      <c r="B35396" s="612"/>
      <c r="H35396" s="612"/>
    </row>
    <row r="35397">
      <c r="B35397" s="612"/>
      <c r="H35397" s="612"/>
    </row>
    <row r="35398">
      <c r="B35398" s="612"/>
      <c r="H35398" s="612"/>
    </row>
    <row r="35399">
      <c r="B35399" s="612"/>
      <c r="H35399" s="612"/>
    </row>
    <row r="35400">
      <c r="B35400" s="612"/>
      <c r="H35400" s="612"/>
    </row>
    <row r="35401">
      <c r="B35401" s="612"/>
      <c r="H35401" s="612"/>
    </row>
    <row r="35402">
      <c r="B35402" s="612"/>
      <c r="H35402" s="612"/>
    </row>
    <row r="35403">
      <c r="B35403" s="612"/>
      <c r="H35403" s="612"/>
    </row>
    <row r="35404">
      <c r="B35404" s="612"/>
      <c r="H35404" s="612"/>
    </row>
    <row r="35405">
      <c r="B35405" s="612"/>
      <c r="H35405" s="612"/>
    </row>
    <row r="35406">
      <c r="B35406" s="612"/>
      <c r="H35406" s="612"/>
    </row>
    <row r="35407">
      <c r="B35407" s="612"/>
      <c r="H35407" s="612"/>
    </row>
    <row r="35408">
      <c r="B35408" s="612"/>
      <c r="H35408" s="612"/>
    </row>
    <row r="35409">
      <c r="B35409" s="612"/>
      <c r="H35409" s="612"/>
    </row>
    <row r="35410">
      <c r="B35410" s="612"/>
      <c r="H35410" s="612"/>
    </row>
    <row r="35411">
      <c r="B35411" s="612"/>
      <c r="H35411" s="612"/>
    </row>
    <row r="35412">
      <c r="B35412" s="612"/>
      <c r="H35412" s="612"/>
    </row>
    <row r="35413">
      <c r="B35413" s="612"/>
      <c r="H35413" s="612"/>
    </row>
    <row r="35414">
      <c r="B35414" s="612"/>
      <c r="H35414" s="612"/>
    </row>
    <row r="35415">
      <c r="B35415" s="612"/>
      <c r="H35415" s="612"/>
    </row>
    <row r="35416">
      <c r="B35416" s="612"/>
      <c r="H35416" s="612"/>
    </row>
    <row r="35417">
      <c r="B35417" s="612"/>
      <c r="H35417" s="612"/>
    </row>
    <row r="35418">
      <c r="B35418" s="612"/>
      <c r="H35418" s="612"/>
    </row>
    <row r="35419">
      <c r="B35419" s="612"/>
      <c r="H35419" s="612"/>
    </row>
    <row r="35420">
      <c r="B35420" s="612"/>
      <c r="H35420" s="612"/>
    </row>
    <row r="35421">
      <c r="B35421" s="612"/>
      <c r="H35421" s="612"/>
    </row>
    <row r="35422">
      <c r="B35422" s="612"/>
      <c r="H35422" s="612"/>
    </row>
    <row r="35423">
      <c r="B35423" s="612"/>
      <c r="H35423" s="612"/>
    </row>
    <row r="35424">
      <c r="B35424" s="612"/>
      <c r="H35424" s="612"/>
    </row>
    <row r="35425">
      <c r="B35425" s="612"/>
      <c r="H35425" s="612"/>
    </row>
    <row r="35426">
      <c r="B35426" s="612"/>
      <c r="H35426" s="612"/>
    </row>
    <row r="35427">
      <c r="B35427" s="612"/>
      <c r="H35427" s="612"/>
    </row>
    <row r="35428">
      <c r="B35428" s="612"/>
      <c r="H35428" s="612"/>
    </row>
    <row r="35429">
      <c r="B35429" s="612"/>
      <c r="H35429" s="612"/>
    </row>
    <row r="35430">
      <c r="B35430" s="612"/>
      <c r="H35430" s="612"/>
    </row>
    <row r="35431">
      <c r="B35431" s="612"/>
      <c r="H35431" s="612"/>
    </row>
    <row r="35432">
      <c r="B35432" s="612"/>
      <c r="H35432" s="612"/>
    </row>
    <row r="35433">
      <c r="B35433" s="612"/>
      <c r="H35433" s="612"/>
    </row>
    <row r="35434">
      <c r="B35434" s="612"/>
      <c r="H35434" s="612"/>
    </row>
    <row r="35435">
      <c r="B35435" s="612"/>
      <c r="H35435" s="612"/>
    </row>
    <row r="35436">
      <c r="B35436" s="612"/>
      <c r="H35436" s="612"/>
    </row>
    <row r="35437">
      <c r="B35437" s="612"/>
      <c r="H35437" s="612"/>
    </row>
    <row r="35438">
      <c r="B35438" s="612"/>
      <c r="H35438" s="612"/>
    </row>
    <row r="35439">
      <c r="B35439" s="612"/>
      <c r="H35439" s="612"/>
    </row>
    <row r="35440">
      <c r="B35440" s="612"/>
      <c r="H35440" s="612"/>
    </row>
    <row r="35441">
      <c r="B35441" s="612"/>
      <c r="H35441" s="612"/>
    </row>
    <row r="35442">
      <c r="B35442" s="612"/>
      <c r="H35442" s="612"/>
    </row>
    <row r="35443">
      <c r="B35443" s="612"/>
      <c r="H35443" s="612"/>
    </row>
    <row r="35444">
      <c r="B35444" s="612"/>
      <c r="H35444" s="612"/>
    </row>
    <row r="35445">
      <c r="B35445" s="612"/>
      <c r="H35445" s="612"/>
    </row>
    <row r="35446">
      <c r="B35446" s="612"/>
      <c r="H35446" s="612"/>
    </row>
    <row r="35447">
      <c r="B35447" s="612"/>
      <c r="H35447" s="612"/>
    </row>
    <row r="35448">
      <c r="B35448" s="612"/>
      <c r="H35448" s="612"/>
    </row>
    <row r="35449">
      <c r="B35449" s="612"/>
      <c r="H35449" s="612"/>
    </row>
    <row r="35450">
      <c r="B35450" s="612"/>
      <c r="H35450" s="612"/>
    </row>
    <row r="35451">
      <c r="B35451" s="612"/>
      <c r="H35451" s="612"/>
    </row>
    <row r="35452">
      <c r="B35452" s="612"/>
      <c r="H35452" s="612"/>
    </row>
    <row r="35453">
      <c r="B35453" s="612"/>
      <c r="H35453" s="612"/>
    </row>
    <row r="35454">
      <c r="B35454" s="612"/>
      <c r="H35454" s="612"/>
    </row>
    <row r="35455">
      <c r="B35455" s="612"/>
      <c r="H35455" s="612"/>
    </row>
    <row r="35456">
      <c r="B35456" s="612"/>
      <c r="H35456" s="612"/>
    </row>
    <row r="35457">
      <c r="B35457" s="612"/>
      <c r="H35457" s="612"/>
    </row>
    <row r="35458">
      <c r="B35458" s="612"/>
      <c r="H35458" s="612"/>
    </row>
    <row r="35459">
      <c r="B35459" s="612"/>
      <c r="H35459" s="612"/>
    </row>
    <row r="35460">
      <c r="B35460" s="612"/>
      <c r="H35460" s="612"/>
    </row>
    <row r="35461">
      <c r="B35461" s="612"/>
      <c r="H35461" s="612"/>
    </row>
    <row r="35462">
      <c r="B35462" s="612"/>
      <c r="H35462" s="612"/>
    </row>
    <row r="35463">
      <c r="B35463" s="612"/>
      <c r="H35463" s="612"/>
    </row>
    <row r="35464">
      <c r="B35464" s="612"/>
      <c r="H35464" s="612"/>
    </row>
    <row r="35465">
      <c r="B35465" s="612"/>
      <c r="H35465" s="612"/>
    </row>
    <row r="35466">
      <c r="B35466" s="612"/>
      <c r="H35466" s="612"/>
    </row>
    <row r="35467">
      <c r="B35467" s="612"/>
      <c r="H35467" s="612"/>
    </row>
    <row r="35468">
      <c r="B35468" s="612"/>
      <c r="H35468" s="612"/>
    </row>
    <row r="35469">
      <c r="B35469" s="612"/>
      <c r="H35469" s="612"/>
    </row>
    <row r="35470">
      <c r="B35470" s="612"/>
      <c r="H35470" s="612"/>
    </row>
    <row r="35471">
      <c r="B35471" s="612"/>
      <c r="H35471" s="612"/>
    </row>
    <row r="35472">
      <c r="B35472" s="612"/>
      <c r="H35472" s="612"/>
    </row>
    <row r="35473">
      <c r="B35473" s="612"/>
      <c r="H35473" s="612"/>
    </row>
    <row r="35474">
      <c r="B35474" s="612"/>
      <c r="H35474" s="612"/>
    </row>
    <row r="35475">
      <c r="B35475" s="612"/>
      <c r="H35475" s="612"/>
    </row>
    <row r="35476">
      <c r="B35476" s="612"/>
      <c r="H35476" s="612"/>
    </row>
    <row r="35477">
      <c r="B35477" s="612"/>
      <c r="H35477" s="612"/>
    </row>
    <row r="35478">
      <c r="B35478" s="612"/>
      <c r="H35478" s="612"/>
    </row>
    <row r="35479">
      <c r="B35479" s="612"/>
      <c r="H35479" s="612"/>
    </row>
    <row r="35480">
      <c r="B35480" s="612"/>
      <c r="H35480" s="612"/>
    </row>
    <row r="35481">
      <c r="B35481" s="612"/>
      <c r="H35481" s="612"/>
    </row>
    <row r="35482">
      <c r="B35482" s="612"/>
      <c r="H35482" s="612"/>
    </row>
    <row r="35483">
      <c r="B35483" s="612"/>
      <c r="H35483" s="612"/>
    </row>
    <row r="35484">
      <c r="B35484" s="612"/>
      <c r="H35484" s="612"/>
    </row>
    <row r="35485">
      <c r="B35485" s="612"/>
      <c r="H35485" s="612"/>
    </row>
    <row r="35486">
      <c r="B35486" s="612"/>
      <c r="H35486" s="612"/>
    </row>
    <row r="35487">
      <c r="B35487" s="612"/>
      <c r="H35487" s="612"/>
    </row>
    <row r="35488">
      <c r="B35488" s="612"/>
      <c r="H35488" s="612"/>
    </row>
    <row r="35489">
      <c r="B35489" s="612"/>
      <c r="H35489" s="612"/>
    </row>
    <row r="35490">
      <c r="B35490" s="612"/>
      <c r="H35490" s="612"/>
    </row>
    <row r="35491">
      <c r="B35491" s="612"/>
      <c r="H35491" s="612"/>
    </row>
    <row r="35492">
      <c r="B35492" s="612"/>
      <c r="H35492" s="612"/>
    </row>
    <row r="35493">
      <c r="B35493" s="612"/>
      <c r="H35493" s="612"/>
    </row>
    <row r="35494">
      <c r="B35494" s="612"/>
      <c r="H35494" s="612"/>
    </row>
    <row r="35495">
      <c r="B35495" s="612"/>
      <c r="H35495" s="612"/>
    </row>
    <row r="35496">
      <c r="B35496" s="612"/>
      <c r="H35496" s="612"/>
    </row>
    <row r="35497">
      <c r="B35497" s="612"/>
      <c r="H35497" s="612"/>
    </row>
    <row r="35498">
      <c r="B35498" s="612"/>
      <c r="H35498" s="612"/>
    </row>
    <row r="35499">
      <c r="B35499" s="612"/>
      <c r="H35499" s="612"/>
    </row>
    <row r="35500">
      <c r="B35500" s="612"/>
      <c r="H35500" s="612"/>
    </row>
    <row r="35501">
      <c r="B35501" s="612"/>
      <c r="H35501" s="612"/>
    </row>
    <row r="35502">
      <c r="B35502" s="612"/>
      <c r="H35502" s="612"/>
    </row>
    <row r="35503">
      <c r="B35503" s="612"/>
      <c r="H35503" s="612"/>
    </row>
    <row r="35504">
      <c r="B35504" s="612"/>
      <c r="H35504" s="612"/>
    </row>
    <row r="35505">
      <c r="B35505" s="612"/>
      <c r="H35505" s="612"/>
    </row>
    <row r="35506">
      <c r="B35506" s="612"/>
      <c r="H35506" s="612"/>
    </row>
    <row r="35507">
      <c r="B35507" s="612"/>
      <c r="H35507" s="612"/>
    </row>
    <row r="35508">
      <c r="B35508" s="612"/>
      <c r="H35508" s="612"/>
    </row>
    <row r="35509">
      <c r="B35509" s="612"/>
      <c r="H35509" s="612"/>
    </row>
    <row r="35510">
      <c r="B35510" s="612"/>
      <c r="H35510" s="612"/>
    </row>
    <row r="35511">
      <c r="B35511" s="612"/>
      <c r="H35511" s="612"/>
    </row>
    <row r="35512">
      <c r="B35512" s="612"/>
      <c r="H35512" s="612"/>
    </row>
    <row r="35513">
      <c r="B35513" s="612"/>
      <c r="H35513" s="612"/>
    </row>
    <row r="35514">
      <c r="B35514" s="612"/>
      <c r="H35514" s="612"/>
    </row>
    <row r="35515">
      <c r="B35515" s="612"/>
      <c r="H35515" s="612"/>
    </row>
    <row r="35516">
      <c r="B35516" s="612"/>
      <c r="H35516" s="612"/>
    </row>
    <row r="35517">
      <c r="B35517" s="612"/>
      <c r="H35517" s="612"/>
    </row>
    <row r="35518">
      <c r="B35518" s="612"/>
      <c r="H35518" s="612"/>
    </row>
    <row r="35519">
      <c r="B35519" s="612"/>
      <c r="H35519" s="612"/>
    </row>
    <row r="35520">
      <c r="B35520" s="612"/>
      <c r="H35520" s="612"/>
    </row>
    <row r="35521">
      <c r="B35521" s="612"/>
      <c r="H35521" s="612"/>
    </row>
    <row r="35522">
      <c r="B35522" s="612"/>
      <c r="H35522" s="612"/>
    </row>
    <row r="35523">
      <c r="B35523" s="612"/>
      <c r="H35523" s="612"/>
    </row>
    <row r="35524">
      <c r="B35524" s="612"/>
      <c r="H35524" s="612"/>
    </row>
    <row r="35525">
      <c r="B35525" s="612"/>
      <c r="H35525" s="612"/>
    </row>
    <row r="35526">
      <c r="B35526" s="612"/>
      <c r="H35526" s="612"/>
    </row>
    <row r="35527">
      <c r="B35527" s="612"/>
      <c r="H35527" s="612"/>
    </row>
    <row r="35528">
      <c r="B35528" s="612"/>
      <c r="H35528" s="612"/>
    </row>
    <row r="35529">
      <c r="B35529" s="612"/>
      <c r="H35529" s="612"/>
    </row>
    <row r="35530">
      <c r="B35530" s="612"/>
      <c r="H35530" s="612"/>
    </row>
    <row r="35531">
      <c r="B35531" s="612"/>
      <c r="H35531" s="612"/>
    </row>
    <row r="35532">
      <c r="B35532" s="612"/>
      <c r="H35532" s="612"/>
    </row>
    <row r="35533">
      <c r="B35533" s="612"/>
      <c r="H35533" s="612"/>
    </row>
    <row r="35534">
      <c r="B35534" s="612"/>
      <c r="H35534" s="612"/>
    </row>
    <row r="35535">
      <c r="B35535" s="612"/>
      <c r="H35535" s="612"/>
    </row>
    <row r="35536">
      <c r="B35536" s="612"/>
      <c r="H35536" s="612"/>
    </row>
    <row r="35537">
      <c r="B35537" s="612"/>
      <c r="H35537" s="612"/>
    </row>
    <row r="35538">
      <c r="B35538" s="612"/>
      <c r="H35538" s="612"/>
    </row>
    <row r="35539">
      <c r="B35539" s="612"/>
      <c r="H35539" s="612"/>
    </row>
    <row r="35540">
      <c r="B35540" s="612"/>
      <c r="H35540" s="612"/>
    </row>
    <row r="35541">
      <c r="B35541" s="612"/>
      <c r="H35541" s="612"/>
    </row>
    <row r="35542">
      <c r="B35542" s="612"/>
      <c r="H35542" s="612"/>
    </row>
    <row r="35543">
      <c r="B35543" s="612"/>
      <c r="H35543" s="612"/>
    </row>
    <row r="35544">
      <c r="B35544" s="612"/>
      <c r="H35544" s="612"/>
    </row>
    <row r="35545">
      <c r="B35545" s="612"/>
      <c r="H35545" s="612"/>
    </row>
    <row r="35546">
      <c r="B35546" s="612"/>
      <c r="H35546" s="612"/>
    </row>
    <row r="35547">
      <c r="B35547" s="612"/>
      <c r="H35547" s="612"/>
    </row>
    <row r="35548">
      <c r="B35548" s="612"/>
      <c r="H35548" s="612"/>
    </row>
    <row r="35549">
      <c r="B35549" s="612"/>
      <c r="H35549" s="612"/>
    </row>
    <row r="35550">
      <c r="B35550" s="612"/>
      <c r="H35550" s="612"/>
    </row>
    <row r="35551">
      <c r="B35551" s="612"/>
      <c r="H35551" s="612"/>
    </row>
    <row r="35552">
      <c r="B35552" s="612"/>
      <c r="H35552" s="612"/>
    </row>
    <row r="35553">
      <c r="B35553" s="612"/>
      <c r="H35553" s="612"/>
    </row>
    <row r="35554">
      <c r="B35554" s="612"/>
      <c r="H35554" s="612"/>
    </row>
    <row r="35555">
      <c r="B35555" s="612"/>
      <c r="H35555" s="612"/>
    </row>
    <row r="35556">
      <c r="B35556" s="612"/>
      <c r="H35556" s="612"/>
    </row>
    <row r="35557">
      <c r="B35557" s="612"/>
      <c r="H35557" s="612"/>
    </row>
    <row r="35558">
      <c r="B35558" s="612"/>
      <c r="H35558" s="612"/>
    </row>
    <row r="35559">
      <c r="B35559" s="612"/>
      <c r="H35559" s="612"/>
    </row>
    <row r="35560">
      <c r="B35560" s="612"/>
      <c r="H35560" s="612"/>
    </row>
    <row r="35561">
      <c r="B35561" s="612"/>
      <c r="H35561" s="612"/>
    </row>
    <row r="35562">
      <c r="B35562" s="612"/>
      <c r="H35562" s="612"/>
    </row>
    <row r="35563">
      <c r="B35563" s="612"/>
      <c r="H35563" s="612"/>
    </row>
    <row r="35564">
      <c r="B35564" s="612"/>
      <c r="H35564" s="612"/>
    </row>
    <row r="35565">
      <c r="B35565" s="612"/>
      <c r="H35565" s="612"/>
    </row>
    <row r="35566">
      <c r="B35566" s="612"/>
      <c r="H35566" s="612"/>
    </row>
    <row r="35567">
      <c r="B35567" s="612"/>
      <c r="H35567" s="612"/>
    </row>
    <row r="35568">
      <c r="B35568" s="612"/>
      <c r="H35568" s="612"/>
    </row>
    <row r="35569">
      <c r="B35569" s="612"/>
      <c r="H35569" s="612"/>
    </row>
    <row r="35570">
      <c r="B35570" s="612"/>
      <c r="H35570" s="612"/>
    </row>
    <row r="35571">
      <c r="B35571" s="612"/>
      <c r="H35571" s="612"/>
    </row>
    <row r="35572">
      <c r="B35572" s="612"/>
      <c r="H35572" s="612"/>
    </row>
    <row r="35573">
      <c r="B35573" s="612"/>
      <c r="H35573" s="612"/>
    </row>
    <row r="35574">
      <c r="B35574" s="612"/>
      <c r="H35574" s="612"/>
    </row>
    <row r="35575">
      <c r="B35575" s="612"/>
      <c r="H35575" s="612"/>
    </row>
    <row r="35576">
      <c r="B35576" s="612"/>
      <c r="H35576" s="612"/>
    </row>
    <row r="35577">
      <c r="B35577" s="612"/>
      <c r="H35577" s="612"/>
    </row>
    <row r="35578">
      <c r="B35578" s="612"/>
      <c r="H35578" s="612"/>
    </row>
    <row r="35579">
      <c r="B35579" s="612"/>
      <c r="H35579" s="612"/>
    </row>
    <row r="35580">
      <c r="B35580" s="612"/>
      <c r="H35580" s="612"/>
    </row>
    <row r="35581">
      <c r="B35581" s="612"/>
      <c r="H35581" s="612"/>
    </row>
    <row r="35582">
      <c r="B35582" s="612"/>
      <c r="H35582" s="612"/>
    </row>
    <row r="35583">
      <c r="B35583" s="612"/>
      <c r="H35583" s="612"/>
    </row>
    <row r="35584">
      <c r="B35584" s="612"/>
      <c r="H35584" s="612"/>
    </row>
    <row r="35585">
      <c r="B35585" s="612"/>
      <c r="H35585" s="612"/>
    </row>
    <row r="35586">
      <c r="B35586" s="612"/>
      <c r="H35586" s="612"/>
    </row>
    <row r="35587">
      <c r="B35587" s="612"/>
      <c r="H35587" s="612"/>
    </row>
    <row r="35588">
      <c r="B35588" s="612"/>
      <c r="H35588" s="612"/>
    </row>
    <row r="35589">
      <c r="B35589" s="612"/>
      <c r="H35589" s="612"/>
    </row>
    <row r="35590">
      <c r="B35590" s="612"/>
      <c r="H35590" s="612"/>
    </row>
    <row r="35591">
      <c r="B35591" s="612"/>
      <c r="H35591" s="612"/>
    </row>
    <row r="35592">
      <c r="B35592" s="612"/>
      <c r="H35592" s="612"/>
    </row>
    <row r="35593">
      <c r="B35593" s="612"/>
      <c r="H35593" s="612"/>
    </row>
    <row r="35594">
      <c r="B35594" s="612"/>
      <c r="H35594" s="612"/>
    </row>
    <row r="35595">
      <c r="B35595" s="612"/>
      <c r="H35595" s="612"/>
    </row>
    <row r="35596">
      <c r="B35596" s="612"/>
      <c r="H35596" s="612"/>
    </row>
    <row r="35597">
      <c r="B35597" s="612"/>
      <c r="H35597" s="612"/>
    </row>
    <row r="35598">
      <c r="B35598" s="612"/>
      <c r="H35598" s="612"/>
    </row>
    <row r="35599">
      <c r="B35599" s="612"/>
      <c r="H35599" s="612"/>
    </row>
    <row r="35600">
      <c r="B35600" s="612"/>
      <c r="H35600" s="612"/>
    </row>
    <row r="35601">
      <c r="B35601" s="612"/>
      <c r="H35601" s="612"/>
    </row>
    <row r="35602">
      <c r="B35602" s="612"/>
      <c r="H35602" s="612"/>
    </row>
    <row r="35603">
      <c r="B35603" s="612"/>
      <c r="H35603" s="612"/>
    </row>
    <row r="35604">
      <c r="B35604" s="612"/>
      <c r="H35604" s="612"/>
    </row>
    <row r="35605">
      <c r="B35605" s="612"/>
      <c r="H35605" s="612"/>
    </row>
    <row r="35606">
      <c r="B35606" s="612"/>
      <c r="H35606" s="612"/>
    </row>
    <row r="35607">
      <c r="B35607" s="612"/>
      <c r="H35607" s="612"/>
    </row>
    <row r="35608">
      <c r="B35608" s="612"/>
      <c r="H35608" s="612"/>
    </row>
    <row r="35609">
      <c r="B35609" s="612"/>
      <c r="H35609" s="612"/>
    </row>
    <row r="35610">
      <c r="B35610" s="612"/>
      <c r="H35610" s="612"/>
    </row>
    <row r="35611">
      <c r="B35611" s="612"/>
      <c r="H35611" s="612"/>
    </row>
    <row r="35612">
      <c r="B35612" s="612"/>
      <c r="H35612" s="612"/>
    </row>
    <row r="35613">
      <c r="B35613" s="612"/>
      <c r="H35613" s="612"/>
    </row>
    <row r="35614">
      <c r="B35614" s="612"/>
      <c r="H35614" s="612"/>
    </row>
    <row r="35615">
      <c r="B35615" s="612"/>
      <c r="H35615" s="612"/>
    </row>
    <row r="35616">
      <c r="B35616" s="612"/>
      <c r="H35616" s="612"/>
    </row>
    <row r="35617">
      <c r="B35617" s="612"/>
      <c r="H35617" s="612"/>
    </row>
    <row r="35618">
      <c r="B35618" s="612"/>
      <c r="H35618" s="612"/>
    </row>
    <row r="35619">
      <c r="B35619" s="612"/>
      <c r="H35619" s="612"/>
    </row>
    <row r="35620">
      <c r="B35620" s="612"/>
      <c r="H35620" s="612"/>
    </row>
    <row r="35621">
      <c r="B35621" s="612"/>
      <c r="H35621" s="612"/>
    </row>
    <row r="35622">
      <c r="B35622" s="612"/>
      <c r="H35622" s="612"/>
    </row>
    <row r="35623">
      <c r="B35623" s="612"/>
      <c r="H35623" s="612"/>
    </row>
    <row r="35624">
      <c r="B35624" s="612"/>
      <c r="H35624" s="612"/>
    </row>
    <row r="35625">
      <c r="B35625" s="612"/>
      <c r="H35625" s="612"/>
    </row>
    <row r="35626">
      <c r="B35626" s="612"/>
      <c r="H35626" s="612"/>
    </row>
    <row r="35627">
      <c r="B35627" s="612"/>
      <c r="H35627" s="612"/>
    </row>
    <row r="35628">
      <c r="B35628" s="612"/>
      <c r="H35628" s="612"/>
    </row>
    <row r="35629">
      <c r="B35629" s="612"/>
      <c r="H35629" s="612"/>
    </row>
    <row r="35630">
      <c r="B35630" s="612"/>
      <c r="H35630" s="612"/>
    </row>
    <row r="35631">
      <c r="B35631" s="612"/>
      <c r="H35631" s="612"/>
    </row>
    <row r="35632">
      <c r="B35632" s="612"/>
      <c r="H35632" s="612"/>
    </row>
    <row r="35633">
      <c r="B35633" s="612"/>
      <c r="H35633" s="612"/>
    </row>
    <row r="35634">
      <c r="B35634" s="612"/>
      <c r="H35634" s="612"/>
    </row>
    <row r="35635">
      <c r="B35635" s="612"/>
      <c r="H35635" s="612"/>
    </row>
    <row r="35636">
      <c r="B35636" s="612"/>
      <c r="H35636" s="612"/>
    </row>
    <row r="35637">
      <c r="B35637" s="612"/>
      <c r="H35637" s="612"/>
    </row>
    <row r="35638">
      <c r="B35638" s="612"/>
      <c r="H35638" s="612"/>
    </row>
    <row r="35639">
      <c r="B35639" s="612"/>
      <c r="H35639" s="612"/>
    </row>
    <row r="35640">
      <c r="B35640" s="612"/>
      <c r="H35640" s="612"/>
    </row>
    <row r="35641">
      <c r="B35641" s="612"/>
      <c r="H35641" s="612"/>
    </row>
    <row r="35642">
      <c r="B35642" s="612"/>
      <c r="H35642" s="612"/>
    </row>
    <row r="35643">
      <c r="B35643" s="612"/>
      <c r="H35643" s="612"/>
    </row>
    <row r="35644">
      <c r="B35644" s="612"/>
      <c r="H35644" s="612"/>
    </row>
    <row r="35645">
      <c r="B35645" s="612"/>
      <c r="H35645" s="612"/>
    </row>
    <row r="35646">
      <c r="B35646" s="612"/>
      <c r="H35646" s="612"/>
    </row>
    <row r="35647">
      <c r="B35647" s="612"/>
      <c r="H35647" s="612"/>
    </row>
    <row r="35648">
      <c r="B35648" s="612"/>
      <c r="H35648" s="612"/>
    </row>
    <row r="35649">
      <c r="B35649" s="612"/>
      <c r="H35649" s="612"/>
    </row>
    <row r="35650">
      <c r="B35650" s="612"/>
      <c r="H35650" s="612"/>
    </row>
    <row r="35651">
      <c r="B35651" s="612"/>
      <c r="H35651" s="612"/>
    </row>
    <row r="35652">
      <c r="B35652" s="612"/>
      <c r="H35652" s="612"/>
    </row>
    <row r="35653">
      <c r="B35653" s="612"/>
      <c r="H35653" s="612"/>
    </row>
    <row r="35654">
      <c r="B35654" s="612"/>
      <c r="H35654" s="612"/>
    </row>
    <row r="35655">
      <c r="B35655" s="612"/>
      <c r="H35655" s="612"/>
    </row>
    <row r="35656">
      <c r="B35656" s="612"/>
      <c r="H35656" s="612"/>
    </row>
    <row r="35657">
      <c r="B35657" s="612"/>
      <c r="H35657" s="612"/>
    </row>
    <row r="35658">
      <c r="B35658" s="612"/>
      <c r="H35658" s="612"/>
    </row>
    <row r="35659">
      <c r="B35659" s="612"/>
      <c r="H35659" s="612"/>
    </row>
    <row r="35660">
      <c r="B35660" s="612"/>
      <c r="H35660" s="612"/>
    </row>
    <row r="35661">
      <c r="B35661" s="612"/>
      <c r="H35661" s="612"/>
    </row>
    <row r="35662">
      <c r="B35662" s="612"/>
      <c r="H35662" s="612"/>
    </row>
    <row r="35663">
      <c r="B35663" s="612"/>
      <c r="H35663" s="612"/>
    </row>
    <row r="35664">
      <c r="B35664" s="612"/>
      <c r="H35664" s="612"/>
    </row>
    <row r="35665">
      <c r="B35665" s="612"/>
      <c r="H35665" s="612"/>
    </row>
    <row r="35666">
      <c r="B35666" s="612"/>
      <c r="H35666" s="612"/>
    </row>
    <row r="35667">
      <c r="B35667" s="612"/>
      <c r="H35667" s="612"/>
    </row>
    <row r="35668">
      <c r="B35668" s="612"/>
      <c r="H35668" s="612"/>
    </row>
    <row r="35669">
      <c r="B35669" s="612"/>
      <c r="H35669" s="612"/>
    </row>
    <row r="35670">
      <c r="B35670" s="612"/>
      <c r="H35670" s="612"/>
    </row>
    <row r="35671">
      <c r="B35671" s="612"/>
      <c r="H35671" s="612"/>
    </row>
    <row r="35672">
      <c r="B35672" s="612"/>
      <c r="H35672" s="612"/>
    </row>
    <row r="35673">
      <c r="B35673" s="612"/>
      <c r="H35673" s="612"/>
    </row>
    <row r="35674">
      <c r="B35674" s="612"/>
      <c r="H35674" s="612"/>
    </row>
    <row r="35675">
      <c r="B35675" s="612"/>
      <c r="H35675" s="612"/>
    </row>
    <row r="35676">
      <c r="B35676" s="612"/>
      <c r="H35676" s="612"/>
    </row>
    <row r="35677">
      <c r="B35677" s="612"/>
      <c r="H35677" s="612"/>
    </row>
    <row r="35678">
      <c r="B35678" s="612"/>
      <c r="H35678" s="612"/>
    </row>
    <row r="35679">
      <c r="B35679" s="612"/>
      <c r="H35679" s="612"/>
    </row>
    <row r="35680">
      <c r="B35680" s="612"/>
      <c r="H35680" s="612"/>
    </row>
    <row r="35681">
      <c r="B35681" s="612"/>
      <c r="H35681" s="612"/>
    </row>
    <row r="35682">
      <c r="B35682" s="612"/>
      <c r="H35682" s="612"/>
    </row>
    <row r="35683">
      <c r="B35683" s="612"/>
      <c r="H35683" s="612"/>
    </row>
    <row r="35684">
      <c r="B35684" s="612"/>
      <c r="H35684" s="612"/>
    </row>
    <row r="35685">
      <c r="B35685" s="612"/>
      <c r="H35685" s="612"/>
    </row>
    <row r="35686">
      <c r="B35686" s="612"/>
      <c r="H35686" s="612"/>
    </row>
    <row r="35687">
      <c r="B35687" s="612"/>
      <c r="H35687" s="612"/>
    </row>
    <row r="35688">
      <c r="B35688" s="612"/>
      <c r="H35688" s="612"/>
    </row>
    <row r="35689">
      <c r="B35689" s="612"/>
      <c r="H35689" s="612"/>
    </row>
    <row r="35690">
      <c r="B35690" s="612"/>
      <c r="H35690" s="612"/>
    </row>
    <row r="35691">
      <c r="B35691" s="612"/>
      <c r="H35691" s="612"/>
    </row>
    <row r="35692">
      <c r="B35692" s="612"/>
      <c r="H35692" s="612"/>
    </row>
    <row r="35693">
      <c r="B35693" s="612"/>
      <c r="H35693" s="612"/>
    </row>
    <row r="35694">
      <c r="B35694" s="612"/>
      <c r="H35694" s="612"/>
    </row>
    <row r="35695">
      <c r="B35695" s="612"/>
      <c r="H35695" s="612"/>
    </row>
    <row r="35696">
      <c r="B35696" s="612"/>
      <c r="H35696" s="612"/>
    </row>
    <row r="35697">
      <c r="B35697" s="612"/>
      <c r="H35697" s="612"/>
    </row>
    <row r="35698">
      <c r="B35698" s="612"/>
      <c r="H35698" s="612"/>
    </row>
    <row r="35699">
      <c r="B35699" s="612"/>
      <c r="H35699" s="612"/>
    </row>
    <row r="35700">
      <c r="B35700" s="612"/>
      <c r="H35700" s="612"/>
    </row>
    <row r="35701">
      <c r="B35701" s="612"/>
      <c r="H35701" s="612"/>
    </row>
    <row r="35702">
      <c r="B35702" s="612"/>
      <c r="H35702" s="612"/>
    </row>
    <row r="35703">
      <c r="B35703" s="612"/>
      <c r="H35703" s="612"/>
    </row>
    <row r="35704">
      <c r="B35704" s="612"/>
      <c r="H35704" s="612"/>
    </row>
    <row r="35705">
      <c r="B35705" s="612"/>
      <c r="H35705" s="612"/>
    </row>
    <row r="35706">
      <c r="B35706" s="612"/>
      <c r="H35706" s="612"/>
    </row>
    <row r="35707">
      <c r="B35707" s="612"/>
      <c r="H35707" s="612"/>
    </row>
    <row r="35708">
      <c r="B35708" s="612"/>
      <c r="H35708" s="612"/>
    </row>
    <row r="35709">
      <c r="B35709" s="612"/>
      <c r="H35709" s="612"/>
    </row>
    <row r="35710">
      <c r="B35710" s="612"/>
      <c r="H35710" s="612"/>
    </row>
    <row r="35711">
      <c r="B35711" s="612"/>
      <c r="H35711" s="612"/>
    </row>
    <row r="35712">
      <c r="B35712" s="612"/>
      <c r="H35712" s="612"/>
    </row>
    <row r="35713">
      <c r="B35713" s="612"/>
      <c r="H35713" s="612"/>
    </row>
    <row r="35714">
      <c r="B35714" s="612"/>
      <c r="H35714" s="612"/>
    </row>
    <row r="35715">
      <c r="B35715" s="612"/>
      <c r="H35715" s="612"/>
    </row>
    <row r="35716">
      <c r="B35716" s="612"/>
      <c r="H35716" s="612"/>
    </row>
    <row r="35717">
      <c r="B35717" s="612"/>
      <c r="H35717" s="612"/>
    </row>
    <row r="35718">
      <c r="B35718" s="612"/>
      <c r="H35718" s="612"/>
    </row>
    <row r="35719">
      <c r="B35719" s="612"/>
      <c r="H35719" s="612"/>
    </row>
    <row r="35720">
      <c r="B35720" s="612"/>
      <c r="H35720" s="612"/>
    </row>
    <row r="35721">
      <c r="B35721" s="612"/>
      <c r="H35721" s="612"/>
    </row>
    <row r="35722">
      <c r="B35722" s="612"/>
      <c r="H35722" s="612"/>
    </row>
    <row r="35723">
      <c r="B35723" s="612"/>
      <c r="H35723" s="612"/>
    </row>
    <row r="35724">
      <c r="B35724" s="612"/>
      <c r="H35724" s="612"/>
    </row>
    <row r="35725">
      <c r="B35725" s="612"/>
      <c r="H35725" s="612"/>
    </row>
    <row r="35726">
      <c r="B35726" s="612"/>
      <c r="H35726" s="612"/>
    </row>
    <row r="35727">
      <c r="B35727" s="612"/>
      <c r="H35727" s="612"/>
    </row>
    <row r="35728">
      <c r="B35728" s="612"/>
      <c r="H35728" s="612"/>
    </row>
    <row r="35729">
      <c r="B35729" s="612"/>
      <c r="H35729" s="612"/>
    </row>
    <row r="35730">
      <c r="B35730" s="612"/>
      <c r="H35730" s="612"/>
    </row>
    <row r="35731">
      <c r="B35731" s="612"/>
      <c r="H35731" s="612"/>
    </row>
    <row r="35732">
      <c r="B35732" s="612"/>
      <c r="H35732" s="612"/>
    </row>
    <row r="35733">
      <c r="B35733" s="612"/>
      <c r="H35733" s="612"/>
    </row>
    <row r="35734">
      <c r="B35734" s="612"/>
      <c r="H35734" s="612"/>
    </row>
    <row r="35735">
      <c r="B35735" s="612"/>
      <c r="H35735" s="612"/>
    </row>
    <row r="35736">
      <c r="B35736" s="612"/>
      <c r="H35736" s="612"/>
    </row>
    <row r="35737">
      <c r="B35737" s="612"/>
      <c r="H35737" s="612"/>
    </row>
    <row r="35738">
      <c r="B35738" s="612"/>
      <c r="H35738" s="612"/>
    </row>
    <row r="35739">
      <c r="B35739" s="612"/>
      <c r="H35739" s="612"/>
    </row>
    <row r="35740">
      <c r="B35740" s="612"/>
      <c r="H35740" s="612"/>
    </row>
    <row r="35741">
      <c r="B35741" s="612"/>
      <c r="H35741" s="612"/>
    </row>
    <row r="35742">
      <c r="B35742" s="612"/>
      <c r="H35742" s="612"/>
    </row>
    <row r="35743">
      <c r="B35743" s="612"/>
      <c r="H35743" s="612"/>
    </row>
    <row r="35744">
      <c r="B35744" s="612"/>
      <c r="H35744" s="612"/>
    </row>
    <row r="35745">
      <c r="B35745" s="612"/>
      <c r="H35745" s="612"/>
    </row>
    <row r="35746">
      <c r="B35746" s="612"/>
      <c r="H35746" s="612"/>
    </row>
    <row r="35747">
      <c r="B35747" s="612"/>
      <c r="H35747" s="612"/>
    </row>
    <row r="35748">
      <c r="B35748" s="612"/>
      <c r="H35748" s="612"/>
    </row>
    <row r="35749">
      <c r="B35749" s="612"/>
      <c r="H35749" s="612"/>
    </row>
    <row r="35750">
      <c r="B35750" s="612"/>
      <c r="H35750" s="612"/>
    </row>
    <row r="35751">
      <c r="B35751" s="612"/>
      <c r="H35751" s="612"/>
    </row>
    <row r="35752">
      <c r="B35752" s="612"/>
      <c r="H35752" s="612"/>
    </row>
    <row r="35753">
      <c r="B35753" s="612"/>
      <c r="H35753" s="612"/>
    </row>
    <row r="35754">
      <c r="B35754" s="612"/>
      <c r="H35754" s="612"/>
    </row>
    <row r="35755">
      <c r="B35755" s="612"/>
      <c r="H35755" s="612"/>
    </row>
    <row r="35756">
      <c r="B35756" s="612"/>
      <c r="H35756" s="612"/>
    </row>
    <row r="35757">
      <c r="B35757" s="612"/>
      <c r="H35757" s="612"/>
    </row>
    <row r="35758">
      <c r="B35758" s="612"/>
      <c r="H35758" s="612"/>
    </row>
    <row r="35759">
      <c r="B35759" s="612"/>
      <c r="H35759" s="612"/>
    </row>
    <row r="35760">
      <c r="B35760" s="612"/>
      <c r="H35760" s="612"/>
    </row>
    <row r="35761">
      <c r="B35761" s="612"/>
      <c r="H35761" s="612"/>
    </row>
    <row r="35762">
      <c r="B35762" s="612"/>
      <c r="H35762" s="612"/>
    </row>
    <row r="35763">
      <c r="B35763" s="612"/>
      <c r="H35763" s="612"/>
    </row>
    <row r="35764">
      <c r="B35764" s="612"/>
      <c r="H35764" s="612"/>
    </row>
    <row r="35765">
      <c r="B35765" s="612"/>
      <c r="H35765" s="612"/>
    </row>
    <row r="35766">
      <c r="B35766" s="612"/>
      <c r="H35766" s="612"/>
    </row>
    <row r="35767">
      <c r="B35767" s="612"/>
      <c r="H35767" s="612"/>
    </row>
    <row r="35768">
      <c r="B35768" s="612"/>
      <c r="H35768" s="612"/>
    </row>
    <row r="35769">
      <c r="B35769" s="612"/>
      <c r="H35769" s="612"/>
    </row>
    <row r="35770">
      <c r="B35770" s="612"/>
      <c r="H35770" s="612"/>
    </row>
    <row r="35771">
      <c r="B35771" s="612"/>
      <c r="H35771" s="612"/>
    </row>
    <row r="35772">
      <c r="B35772" s="612"/>
      <c r="H35772" s="612"/>
    </row>
    <row r="35773">
      <c r="B35773" s="612"/>
      <c r="H35773" s="612"/>
    </row>
    <row r="35774">
      <c r="B35774" s="612"/>
      <c r="H35774" s="612"/>
    </row>
    <row r="35775">
      <c r="B35775" s="612"/>
      <c r="H35775" s="612"/>
    </row>
    <row r="35776">
      <c r="B35776" s="612"/>
      <c r="H35776" s="612"/>
    </row>
    <row r="35777">
      <c r="B35777" s="612"/>
      <c r="H35777" s="612"/>
    </row>
    <row r="35778">
      <c r="B35778" s="612"/>
      <c r="H35778" s="612"/>
    </row>
    <row r="35779">
      <c r="B35779" s="612"/>
      <c r="H35779" s="612"/>
    </row>
    <row r="35780">
      <c r="B35780" s="612"/>
      <c r="H35780" s="612"/>
    </row>
    <row r="35781">
      <c r="B35781" s="612"/>
      <c r="H35781" s="612"/>
    </row>
    <row r="35782">
      <c r="B35782" s="612"/>
      <c r="H35782" s="612"/>
    </row>
    <row r="35783">
      <c r="B35783" s="612"/>
      <c r="H35783" s="612"/>
    </row>
    <row r="35784">
      <c r="B35784" s="612"/>
      <c r="H35784" s="612"/>
    </row>
    <row r="35785">
      <c r="B35785" s="612"/>
      <c r="H35785" s="612"/>
    </row>
    <row r="35786">
      <c r="B35786" s="612"/>
      <c r="H35786" s="612"/>
    </row>
    <row r="35787">
      <c r="B35787" s="612"/>
      <c r="H35787" s="612"/>
    </row>
    <row r="35788">
      <c r="B35788" s="612"/>
      <c r="H35788" s="612"/>
    </row>
    <row r="35789">
      <c r="B35789" s="612"/>
      <c r="H35789" s="612"/>
    </row>
    <row r="35790">
      <c r="B35790" s="612"/>
      <c r="H35790" s="612"/>
    </row>
    <row r="35791">
      <c r="B35791" s="612"/>
      <c r="H35791" s="612"/>
    </row>
    <row r="35792">
      <c r="B35792" s="612"/>
      <c r="H35792" s="612"/>
    </row>
    <row r="35793">
      <c r="B35793" s="612"/>
      <c r="H35793" s="612"/>
    </row>
    <row r="35794">
      <c r="B35794" s="612"/>
      <c r="H35794" s="612"/>
    </row>
    <row r="35795">
      <c r="B35795" s="612"/>
      <c r="H35795" s="612"/>
    </row>
    <row r="35796">
      <c r="B35796" s="612"/>
      <c r="H35796" s="612"/>
    </row>
    <row r="35797">
      <c r="B35797" s="612"/>
      <c r="H35797" s="612"/>
    </row>
    <row r="35798">
      <c r="B35798" s="612"/>
      <c r="H35798" s="612"/>
    </row>
    <row r="35799">
      <c r="B35799" s="612"/>
      <c r="H35799" s="612"/>
    </row>
    <row r="35800">
      <c r="B35800" s="612"/>
      <c r="H35800" s="612"/>
    </row>
    <row r="35801">
      <c r="B35801" s="612"/>
      <c r="H35801" s="612"/>
    </row>
    <row r="35802">
      <c r="B35802" s="612"/>
      <c r="H35802" s="612"/>
    </row>
    <row r="35803">
      <c r="B35803" s="612"/>
      <c r="H35803" s="612"/>
    </row>
    <row r="35804">
      <c r="B35804" s="612"/>
      <c r="H35804" s="612"/>
    </row>
    <row r="35805">
      <c r="B35805" s="612"/>
      <c r="H35805" s="612"/>
    </row>
    <row r="35806">
      <c r="B35806" s="612"/>
      <c r="H35806" s="612"/>
    </row>
    <row r="35807">
      <c r="B35807" s="612"/>
      <c r="H35807" s="612"/>
    </row>
    <row r="35808">
      <c r="B35808" s="612"/>
      <c r="H35808" s="612"/>
    </row>
    <row r="35809">
      <c r="B35809" s="612"/>
      <c r="H35809" s="612"/>
    </row>
    <row r="35810">
      <c r="B35810" s="612"/>
      <c r="H35810" s="612"/>
    </row>
    <row r="35811">
      <c r="B35811" s="612"/>
      <c r="H35811" s="612"/>
    </row>
    <row r="35812">
      <c r="B35812" s="612"/>
      <c r="H35812" s="612"/>
    </row>
    <row r="35813">
      <c r="B35813" s="612"/>
      <c r="H35813" s="612"/>
    </row>
    <row r="35814">
      <c r="B35814" s="612"/>
      <c r="H35814" s="612"/>
    </row>
    <row r="35815">
      <c r="B35815" s="612"/>
      <c r="H35815" s="612"/>
    </row>
    <row r="35816">
      <c r="B35816" s="612"/>
      <c r="H35816" s="612"/>
    </row>
    <row r="35817">
      <c r="B35817" s="612"/>
      <c r="H35817" s="612"/>
    </row>
    <row r="35818">
      <c r="B35818" s="612"/>
      <c r="H35818" s="612"/>
    </row>
    <row r="35819">
      <c r="B35819" s="612"/>
      <c r="H35819" s="612"/>
    </row>
    <row r="35820">
      <c r="B35820" s="612"/>
      <c r="H35820" s="612"/>
    </row>
    <row r="35821">
      <c r="B35821" s="612"/>
      <c r="H35821" s="612"/>
    </row>
    <row r="35822">
      <c r="B35822" s="612"/>
      <c r="H35822" s="612"/>
    </row>
    <row r="35823">
      <c r="B35823" s="612"/>
      <c r="H35823" s="612"/>
    </row>
    <row r="35824">
      <c r="B35824" s="612"/>
      <c r="H35824" s="612"/>
    </row>
    <row r="35825">
      <c r="B35825" s="612"/>
      <c r="H35825" s="612"/>
    </row>
    <row r="35826">
      <c r="B35826" s="612"/>
      <c r="H35826" s="612"/>
    </row>
    <row r="35827">
      <c r="B35827" s="612"/>
      <c r="H35827" s="612"/>
    </row>
    <row r="35828">
      <c r="B35828" s="612"/>
      <c r="H35828" s="612"/>
    </row>
    <row r="35829">
      <c r="B35829" s="612"/>
      <c r="H35829" s="612"/>
    </row>
    <row r="35830">
      <c r="B35830" s="612"/>
      <c r="H35830" s="612"/>
    </row>
    <row r="35831">
      <c r="B35831" s="612"/>
      <c r="H35831" s="612"/>
    </row>
    <row r="35832">
      <c r="B35832" s="612"/>
      <c r="H35832" s="612"/>
    </row>
    <row r="35833">
      <c r="B35833" s="612"/>
      <c r="H35833" s="612"/>
    </row>
    <row r="35834">
      <c r="B35834" s="612"/>
      <c r="H35834" s="612"/>
    </row>
    <row r="35835">
      <c r="B35835" s="612"/>
      <c r="H35835" s="612"/>
    </row>
    <row r="35836">
      <c r="B35836" s="612"/>
      <c r="H35836" s="612"/>
    </row>
    <row r="35837">
      <c r="B35837" s="612"/>
      <c r="H35837" s="612"/>
    </row>
    <row r="35838">
      <c r="B35838" s="612"/>
      <c r="H35838" s="612"/>
    </row>
    <row r="35839">
      <c r="B35839" s="612"/>
      <c r="H35839" s="612"/>
    </row>
    <row r="35840">
      <c r="B35840" s="612"/>
      <c r="H35840" s="612"/>
    </row>
    <row r="35841">
      <c r="B35841" s="612"/>
      <c r="H35841" s="612"/>
    </row>
    <row r="35842">
      <c r="B35842" s="612"/>
      <c r="H35842" s="612"/>
    </row>
    <row r="35843">
      <c r="B35843" s="612"/>
      <c r="H35843" s="612"/>
    </row>
    <row r="35844">
      <c r="B35844" s="612"/>
      <c r="H35844" s="612"/>
    </row>
    <row r="35845">
      <c r="B35845" s="612"/>
      <c r="H35845" s="612"/>
    </row>
    <row r="35846">
      <c r="B35846" s="612"/>
      <c r="H35846" s="612"/>
    </row>
    <row r="35847">
      <c r="B35847" s="612"/>
      <c r="H35847" s="612"/>
    </row>
    <row r="35848">
      <c r="B35848" s="612"/>
      <c r="H35848" s="612"/>
    </row>
    <row r="35849">
      <c r="B35849" s="612"/>
      <c r="H35849" s="612"/>
    </row>
    <row r="35850">
      <c r="B35850" s="612"/>
      <c r="H35850" s="612"/>
    </row>
    <row r="35851">
      <c r="B35851" s="612"/>
      <c r="H35851" s="612"/>
    </row>
    <row r="35852">
      <c r="B35852" s="612"/>
      <c r="H35852" s="612"/>
    </row>
    <row r="35853">
      <c r="B35853" s="612"/>
      <c r="H35853" s="612"/>
    </row>
    <row r="35854">
      <c r="B35854" s="612"/>
      <c r="H35854" s="612"/>
    </row>
    <row r="35855">
      <c r="B35855" s="612"/>
      <c r="H35855" s="612"/>
    </row>
    <row r="35856">
      <c r="B35856" s="612"/>
      <c r="H35856" s="612"/>
    </row>
    <row r="35857">
      <c r="B35857" s="612"/>
      <c r="H35857" s="612"/>
    </row>
    <row r="35858">
      <c r="B35858" s="612"/>
      <c r="H35858" s="612"/>
    </row>
    <row r="35859">
      <c r="B35859" s="612"/>
      <c r="H35859" s="612"/>
    </row>
    <row r="35860">
      <c r="B35860" s="612"/>
      <c r="H35860" s="612"/>
    </row>
    <row r="35861">
      <c r="B35861" s="612"/>
      <c r="H35861" s="612"/>
    </row>
    <row r="35862">
      <c r="B35862" s="612"/>
      <c r="H35862" s="612"/>
    </row>
    <row r="35863">
      <c r="B35863" s="612"/>
      <c r="H35863" s="612"/>
    </row>
    <row r="35864">
      <c r="B35864" s="612"/>
      <c r="H35864" s="612"/>
    </row>
    <row r="35865">
      <c r="B35865" s="612"/>
      <c r="H35865" s="612"/>
    </row>
    <row r="35866">
      <c r="B35866" s="612"/>
      <c r="H35866" s="612"/>
    </row>
    <row r="35867">
      <c r="B35867" s="612"/>
      <c r="H35867" s="612"/>
    </row>
    <row r="35868">
      <c r="B35868" s="612"/>
      <c r="H35868" s="612"/>
    </row>
    <row r="35869">
      <c r="B35869" s="612"/>
      <c r="H35869" s="612"/>
    </row>
    <row r="35870">
      <c r="B35870" s="612"/>
      <c r="H35870" s="612"/>
    </row>
    <row r="35871">
      <c r="B35871" s="612"/>
      <c r="H35871" s="612"/>
    </row>
    <row r="35872">
      <c r="B35872" s="612"/>
      <c r="H35872" s="612"/>
    </row>
    <row r="35873">
      <c r="B35873" s="612"/>
      <c r="H35873" s="612"/>
    </row>
    <row r="35874">
      <c r="B35874" s="612"/>
      <c r="H35874" s="612"/>
    </row>
    <row r="35875">
      <c r="B35875" s="612"/>
      <c r="H35875" s="612"/>
    </row>
    <row r="35876">
      <c r="B35876" s="612"/>
      <c r="H35876" s="612"/>
    </row>
    <row r="35877">
      <c r="B35877" s="612"/>
      <c r="H35877" s="612"/>
    </row>
    <row r="35878">
      <c r="B35878" s="612"/>
      <c r="H35878" s="612"/>
    </row>
    <row r="35879">
      <c r="B35879" s="612"/>
      <c r="H35879" s="612"/>
    </row>
    <row r="35880">
      <c r="B35880" s="612"/>
      <c r="H35880" s="612"/>
    </row>
    <row r="35881">
      <c r="B35881" s="612"/>
      <c r="H35881" s="612"/>
    </row>
    <row r="35882">
      <c r="B35882" s="612"/>
      <c r="H35882" s="612"/>
    </row>
    <row r="35883">
      <c r="B35883" s="612"/>
      <c r="H35883" s="612"/>
    </row>
    <row r="35884">
      <c r="B35884" s="612"/>
      <c r="H35884" s="612"/>
    </row>
    <row r="35885">
      <c r="B35885" s="612"/>
      <c r="H35885" s="612"/>
    </row>
    <row r="35886">
      <c r="B35886" s="612"/>
      <c r="H35886" s="612"/>
    </row>
    <row r="35887">
      <c r="B35887" s="612"/>
      <c r="H35887" s="612"/>
    </row>
    <row r="35888">
      <c r="B35888" s="612"/>
      <c r="H35888" s="612"/>
    </row>
    <row r="35889">
      <c r="B35889" s="612"/>
      <c r="H35889" s="612"/>
    </row>
    <row r="35890">
      <c r="B35890" s="612"/>
      <c r="H35890" s="612"/>
    </row>
    <row r="35891">
      <c r="B35891" s="612"/>
      <c r="H35891" s="612"/>
    </row>
    <row r="35892">
      <c r="B35892" s="612"/>
      <c r="H35892" s="612"/>
    </row>
    <row r="35893">
      <c r="B35893" s="612"/>
      <c r="H35893" s="612"/>
    </row>
    <row r="35894">
      <c r="B35894" s="612"/>
      <c r="H35894" s="612"/>
    </row>
    <row r="35895">
      <c r="B35895" s="612"/>
      <c r="H35895" s="612"/>
    </row>
    <row r="35896">
      <c r="B35896" s="612"/>
      <c r="H35896" s="612"/>
    </row>
    <row r="35897">
      <c r="B35897" s="612"/>
      <c r="H35897" s="612"/>
    </row>
    <row r="35898">
      <c r="B35898" s="612"/>
      <c r="H35898" s="612"/>
    </row>
    <row r="35899">
      <c r="B35899" s="612"/>
      <c r="H35899" s="612"/>
    </row>
    <row r="35900">
      <c r="B35900" s="612"/>
      <c r="H35900" s="612"/>
    </row>
    <row r="35901">
      <c r="B35901" s="612"/>
      <c r="H35901" s="612"/>
    </row>
    <row r="35902">
      <c r="B35902" s="612"/>
      <c r="H35902" s="612"/>
    </row>
    <row r="35903">
      <c r="B35903" s="612"/>
      <c r="H35903" s="612"/>
    </row>
    <row r="35904">
      <c r="B35904" s="612"/>
      <c r="H35904" s="612"/>
    </row>
    <row r="35905">
      <c r="B35905" s="612"/>
      <c r="H35905" s="612"/>
    </row>
    <row r="35906">
      <c r="B35906" s="612"/>
      <c r="H35906" s="612"/>
    </row>
    <row r="35907">
      <c r="B35907" s="612"/>
      <c r="H35907" s="612"/>
    </row>
    <row r="35908">
      <c r="B35908" s="612"/>
      <c r="H35908" s="612"/>
    </row>
    <row r="35909">
      <c r="B35909" s="612"/>
      <c r="H35909" s="612"/>
    </row>
    <row r="35910">
      <c r="B35910" s="612"/>
      <c r="H35910" s="612"/>
    </row>
    <row r="35911">
      <c r="B35911" s="612"/>
      <c r="H35911" s="612"/>
    </row>
    <row r="35912">
      <c r="B35912" s="612"/>
      <c r="H35912" s="612"/>
    </row>
    <row r="35913">
      <c r="B35913" s="612"/>
      <c r="H35913" s="612"/>
    </row>
    <row r="35914">
      <c r="B35914" s="612"/>
      <c r="H35914" s="612"/>
    </row>
    <row r="35915">
      <c r="B35915" s="612"/>
      <c r="H35915" s="612"/>
    </row>
    <row r="35916">
      <c r="B35916" s="612"/>
      <c r="H35916" s="612"/>
    </row>
    <row r="35917">
      <c r="B35917" s="612"/>
      <c r="H35917" s="612"/>
    </row>
    <row r="35918">
      <c r="B35918" s="612"/>
      <c r="H35918" s="612"/>
    </row>
    <row r="35919">
      <c r="B35919" s="612"/>
      <c r="H35919" s="612"/>
    </row>
    <row r="35920">
      <c r="B35920" s="612"/>
      <c r="H35920" s="612"/>
    </row>
    <row r="35921">
      <c r="B35921" s="612"/>
      <c r="H35921" s="612"/>
    </row>
    <row r="35922">
      <c r="B35922" s="612"/>
      <c r="H35922" s="612"/>
    </row>
    <row r="35923">
      <c r="B35923" s="612"/>
      <c r="H35923" s="612"/>
    </row>
    <row r="35924">
      <c r="B35924" s="612"/>
      <c r="H35924" s="612"/>
    </row>
    <row r="35925">
      <c r="B35925" s="612"/>
      <c r="H35925" s="612"/>
    </row>
    <row r="35926">
      <c r="B35926" s="612"/>
      <c r="H35926" s="612"/>
    </row>
    <row r="35927">
      <c r="B35927" s="612"/>
      <c r="H35927" s="612"/>
    </row>
    <row r="35928">
      <c r="B35928" s="612"/>
      <c r="H35928" s="612"/>
    </row>
    <row r="35929">
      <c r="B35929" s="612"/>
      <c r="H35929" s="612"/>
    </row>
    <row r="35930">
      <c r="B35930" s="612"/>
      <c r="H35930" s="612"/>
    </row>
    <row r="35931">
      <c r="B35931" s="612"/>
      <c r="H35931" s="612"/>
    </row>
    <row r="35932">
      <c r="B35932" s="612"/>
      <c r="H35932" s="612"/>
    </row>
    <row r="35933">
      <c r="B35933" s="612"/>
      <c r="H35933" s="612"/>
    </row>
    <row r="35934">
      <c r="B35934" s="612"/>
      <c r="H35934" s="612"/>
    </row>
    <row r="35935">
      <c r="B35935" s="612"/>
      <c r="H35935" s="612"/>
    </row>
    <row r="35936">
      <c r="B35936" s="612"/>
      <c r="H35936" s="612"/>
    </row>
    <row r="35937">
      <c r="B35937" s="612"/>
      <c r="H35937" s="612"/>
    </row>
    <row r="35938">
      <c r="B35938" s="612"/>
      <c r="H35938" s="612"/>
    </row>
    <row r="35939">
      <c r="B35939" s="612"/>
      <c r="H35939" s="612"/>
    </row>
    <row r="35940">
      <c r="B35940" s="612"/>
      <c r="H35940" s="612"/>
    </row>
    <row r="35941">
      <c r="B35941" s="612"/>
      <c r="H35941" s="612"/>
    </row>
    <row r="35942">
      <c r="B35942" s="612"/>
      <c r="H35942" s="612"/>
    </row>
    <row r="35943">
      <c r="B35943" s="612"/>
      <c r="H35943" s="612"/>
    </row>
    <row r="35944">
      <c r="B35944" s="612"/>
      <c r="H35944" s="612"/>
    </row>
    <row r="35945">
      <c r="B35945" s="612"/>
      <c r="H35945" s="612"/>
    </row>
    <row r="35946">
      <c r="B35946" s="612"/>
      <c r="H35946" s="612"/>
    </row>
    <row r="35947">
      <c r="B35947" s="612"/>
      <c r="H35947" s="612"/>
    </row>
    <row r="35948">
      <c r="B35948" s="612"/>
      <c r="H35948" s="612"/>
    </row>
    <row r="35949">
      <c r="B35949" s="612"/>
      <c r="H35949" s="612"/>
    </row>
    <row r="35950">
      <c r="B35950" s="612"/>
      <c r="H35950" s="612"/>
    </row>
    <row r="35951">
      <c r="B35951" s="612"/>
      <c r="H35951" s="612"/>
    </row>
    <row r="35952">
      <c r="B35952" s="612"/>
      <c r="H35952" s="612"/>
    </row>
    <row r="35953">
      <c r="B35953" s="612"/>
      <c r="H35953" s="612"/>
    </row>
    <row r="35954">
      <c r="B35954" s="612"/>
      <c r="H35954" s="612"/>
    </row>
    <row r="35955">
      <c r="B35955" s="612"/>
      <c r="H35955" s="612"/>
    </row>
    <row r="35956">
      <c r="B35956" s="612"/>
      <c r="H35956" s="612"/>
    </row>
    <row r="35957">
      <c r="B35957" s="612"/>
      <c r="H35957" s="612"/>
    </row>
    <row r="35958">
      <c r="B35958" s="612"/>
      <c r="H35958" s="612"/>
    </row>
    <row r="35959">
      <c r="B35959" s="612"/>
      <c r="H35959" s="612"/>
    </row>
    <row r="35960">
      <c r="B35960" s="612"/>
      <c r="H35960" s="612"/>
    </row>
    <row r="35961">
      <c r="B35961" s="612"/>
      <c r="H35961" s="612"/>
    </row>
    <row r="35962">
      <c r="B35962" s="612"/>
      <c r="H35962" s="612"/>
    </row>
    <row r="35963">
      <c r="B35963" s="612"/>
      <c r="H35963" s="612"/>
    </row>
    <row r="35964">
      <c r="B35964" s="612"/>
      <c r="H35964" s="612"/>
    </row>
    <row r="35965">
      <c r="B35965" s="612"/>
      <c r="H35965" s="612"/>
    </row>
    <row r="35966">
      <c r="B35966" s="612"/>
      <c r="H35966" s="612"/>
    </row>
    <row r="35967">
      <c r="B35967" s="612"/>
      <c r="H35967" s="612"/>
    </row>
    <row r="35968">
      <c r="B35968" s="612"/>
      <c r="H35968" s="612"/>
    </row>
    <row r="35969">
      <c r="B35969" s="612"/>
      <c r="H35969" s="612"/>
    </row>
    <row r="35970">
      <c r="B35970" s="612"/>
      <c r="H35970" s="612"/>
    </row>
    <row r="35971">
      <c r="B35971" s="612"/>
      <c r="H35971" s="612"/>
    </row>
    <row r="35972">
      <c r="B35972" s="612"/>
      <c r="H35972" s="612"/>
    </row>
    <row r="35973">
      <c r="B35973" s="612"/>
      <c r="H35973" s="612"/>
    </row>
    <row r="35974">
      <c r="B35974" s="612"/>
      <c r="H35974" s="612"/>
    </row>
    <row r="35975">
      <c r="B35975" s="612"/>
      <c r="H35975" s="612"/>
    </row>
    <row r="35976">
      <c r="B35976" s="612"/>
      <c r="H35976" s="612"/>
    </row>
    <row r="35977">
      <c r="B35977" s="612"/>
      <c r="H35977" s="612"/>
    </row>
    <row r="35978">
      <c r="B35978" s="612"/>
      <c r="H35978" s="612"/>
    </row>
    <row r="35979">
      <c r="B35979" s="612"/>
      <c r="H35979" s="612"/>
    </row>
    <row r="35980">
      <c r="B35980" s="612"/>
      <c r="H35980" s="612"/>
    </row>
    <row r="35981">
      <c r="B35981" s="612"/>
      <c r="H35981" s="612"/>
    </row>
    <row r="35982">
      <c r="B35982" s="612"/>
      <c r="H35982" s="612"/>
    </row>
    <row r="35983">
      <c r="B35983" s="612"/>
      <c r="H35983" s="612"/>
    </row>
    <row r="35984">
      <c r="B35984" s="612"/>
      <c r="H35984" s="612"/>
    </row>
    <row r="35985">
      <c r="B35985" s="612"/>
      <c r="H35985" s="612"/>
    </row>
    <row r="35986">
      <c r="B35986" s="612"/>
      <c r="H35986" s="612"/>
    </row>
    <row r="35987">
      <c r="B35987" s="612"/>
      <c r="H35987" s="612"/>
    </row>
    <row r="35988">
      <c r="B35988" s="612"/>
      <c r="H35988" s="612"/>
    </row>
    <row r="35989">
      <c r="B35989" s="612"/>
      <c r="H35989" s="612"/>
    </row>
    <row r="35990">
      <c r="B35990" s="612"/>
      <c r="H35990" s="612"/>
    </row>
    <row r="35991">
      <c r="B35991" s="612"/>
      <c r="H35991" s="612"/>
    </row>
    <row r="35992">
      <c r="B35992" s="612"/>
      <c r="H35992" s="612"/>
    </row>
    <row r="35993">
      <c r="B35993" s="612"/>
      <c r="H35993" s="612"/>
    </row>
    <row r="35994">
      <c r="B35994" s="612"/>
      <c r="H35994" s="612"/>
    </row>
    <row r="35995">
      <c r="B35995" s="612"/>
      <c r="H35995" s="612"/>
    </row>
    <row r="35996">
      <c r="B35996" s="612"/>
      <c r="H35996" s="612"/>
    </row>
    <row r="35997">
      <c r="B35997" s="612"/>
      <c r="H35997" s="612"/>
    </row>
    <row r="35998">
      <c r="B35998" s="612"/>
      <c r="H35998" s="612"/>
    </row>
    <row r="35999">
      <c r="B35999" s="612"/>
      <c r="H35999" s="612"/>
    </row>
    <row r="36000">
      <c r="B36000" s="612"/>
      <c r="H36000" s="612"/>
    </row>
    <row r="36001">
      <c r="B36001" s="612"/>
      <c r="H36001" s="612"/>
    </row>
    <row r="36002">
      <c r="B36002" s="612"/>
      <c r="H36002" s="612"/>
    </row>
    <row r="36003">
      <c r="B36003" s="612"/>
      <c r="H36003" s="612"/>
    </row>
    <row r="36004">
      <c r="B36004" s="612"/>
      <c r="H36004" s="612"/>
    </row>
    <row r="36005">
      <c r="B36005" s="612"/>
      <c r="H36005" s="612"/>
    </row>
    <row r="36006">
      <c r="B36006" s="612"/>
      <c r="H36006" s="612"/>
    </row>
    <row r="36007">
      <c r="B36007" s="612"/>
      <c r="H36007" s="612"/>
    </row>
    <row r="36008">
      <c r="B36008" s="612"/>
      <c r="H36008" s="612"/>
    </row>
    <row r="36009">
      <c r="B36009" s="612"/>
      <c r="H36009" s="612"/>
    </row>
    <row r="36010">
      <c r="B36010" s="612"/>
      <c r="H36010" s="612"/>
    </row>
    <row r="36011">
      <c r="B36011" s="612"/>
      <c r="H36011" s="612"/>
    </row>
    <row r="36012">
      <c r="B36012" s="612"/>
      <c r="H36012" s="612"/>
    </row>
    <row r="36013">
      <c r="B36013" s="612"/>
      <c r="H36013" s="612"/>
    </row>
    <row r="36014">
      <c r="B36014" s="612"/>
      <c r="H36014" s="612"/>
    </row>
    <row r="36015">
      <c r="B36015" s="612"/>
      <c r="H36015" s="612"/>
    </row>
    <row r="36016">
      <c r="B36016" s="612"/>
      <c r="H36016" s="612"/>
    </row>
    <row r="36017">
      <c r="B36017" s="612"/>
      <c r="H36017" s="612"/>
    </row>
    <row r="36018">
      <c r="B36018" s="612"/>
      <c r="H36018" s="612"/>
    </row>
    <row r="36019">
      <c r="B36019" s="612"/>
      <c r="H36019" s="612"/>
    </row>
    <row r="36020">
      <c r="B36020" s="612"/>
      <c r="H36020" s="612"/>
    </row>
    <row r="36021">
      <c r="B36021" s="612"/>
      <c r="H36021" s="612"/>
    </row>
    <row r="36022">
      <c r="B36022" s="612"/>
      <c r="H36022" s="612"/>
    </row>
    <row r="36023">
      <c r="B36023" s="612"/>
      <c r="H36023" s="612"/>
    </row>
    <row r="36024">
      <c r="B36024" s="612"/>
      <c r="H36024" s="612"/>
    </row>
    <row r="36025">
      <c r="B36025" s="612"/>
      <c r="H36025" s="612"/>
    </row>
    <row r="36026">
      <c r="B36026" s="612"/>
      <c r="H36026" s="612"/>
    </row>
    <row r="36027">
      <c r="B36027" s="612"/>
      <c r="H36027" s="612"/>
    </row>
    <row r="36028">
      <c r="B36028" s="612"/>
      <c r="H36028" s="612"/>
    </row>
    <row r="36029">
      <c r="B36029" s="612"/>
      <c r="H36029" s="612"/>
    </row>
    <row r="36030">
      <c r="B36030" s="612"/>
      <c r="H36030" s="612"/>
    </row>
    <row r="36031">
      <c r="B36031" s="612"/>
      <c r="H36031" s="612"/>
    </row>
    <row r="36032">
      <c r="B36032" s="612"/>
      <c r="H36032" s="612"/>
    </row>
    <row r="36033">
      <c r="B36033" s="612"/>
      <c r="H36033" s="612"/>
    </row>
    <row r="36034">
      <c r="B36034" s="612"/>
      <c r="H36034" s="612"/>
    </row>
    <row r="36035">
      <c r="B36035" s="612"/>
      <c r="H36035" s="612"/>
    </row>
    <row r="36036">
      <c r="B36036" s="612"/>
      <c r="H36036" s="612"/>
    </row>
    <row r="36037">
      <c r="B36037" s="612"/>
      <c r="H36037" s="612"/>
    </row>
    <row r="36038">
      <c r="B36038" s="612"/>
      <c r="H36038" s="612"/>
    </row>
    <row r="36039">
      <c r="B36039" s="612"/>
      <c r="H36039" s="612"/>
    </row>
    <row r="36040">
      <c r="B36040" s="612"/>
      <c r="H36040" s="612"/>
    </row>
    <row r="36041">
      <c r="B36041" s="612"/>
      <c r="H36041" s="612"/>
    </row>
    <row r="36042">
      <c r="B36042" s="612"/>
      <c r="H36042" s="612"/>
    </row>
    <row r="36043">
      <c r="B36043" s="612"/>
      <c r="H36043" s="612"/>
    </row>
    <row r="36044">
      <c r="B36044" s="612"/>
      <c r="H36044" s="612"/>
    </row>
    <row r="36045">
      <c r="B36045" s="612"/>
      <c r="H36045" s="612"/>
    </row>
    <row r="36046">
      <c r="B36046" s="612"/>
      <c r="H36046" s="612"/>
    </row>
    <row r="36047">
      <c r="B36047" s="612"/>
      <c r="H36047" s="612"/>
    </row>
    <row r="36048">
      <c r="B36048" s="612"/>
      <c r="H36048" s="612"/>
    </row>
    <row r="36049">
      <c r="B36049" s="612"/>
      <c r="H36049" s="612"/>
    </row>
    <row r="36050">
      <c r="B36050" s="612"/>
      <c r="H36050" s="612"/>
    </row>
    <row r="36051">
      <c r="B36051" s="612"/>
      <c r="H36051" s="612"/>
    </row>
    <row r="36052">
      <c r="B36052" s="612"/>
      <c r="H36052" s="612"/>
    </row>
    <row r="36053">
      <c r="B36053" s="612"/>
      <c r="H36053" s="612"/>
    </row>
    <row r="36054">
      <c r="B36054" s="612"/>
      <c r="H36054" s="612"/>
    </row>
    <row r="36055">
      <c r="B36055" s="612"/>
      <c r="H36055" s="612"/>
    </row>
    <row r="36056">
      <c r="B36056" s="612"/>
      <c r="H36056" s="612"/>
    </row>
    <row r="36057">
      <c r="B36057" s="612"/>
      <c r="H36057" s="612"/>
    </row>
    <row r="36058">
      <c r="B36058" s="612"/>
      <c r="H36058" s="612"/>
    </row>
    <row r="36059">
      <c r="B36059" s="612"/>
      <c r="H36059" s="612"/>
    </row>
    <row r="36060">
      <c r="B36060" s="612"/>
      <c r="H36060" s="612"/>
    </row>
    <row r="36061">
      <c r="B36061" s="612"/>
      <c r="H36061" s="612"/>
    </row>
    <row r="36062">
      <c r="B36062" s="612"/>
      <c r="H36062" s="612"/>
    </row>
    <row r="36063">
      <c r="B36063" s="612"/>
      <c r="H36063" s="612"/>
    </row>
    <row r="36064">
      <c r="B36064" s="612"/>
      <c r="H36064" s="612"/>
    </row>
    <row r="36065">
      <c r="B36065" s="612"/>
      <c r="H36065" s="612"/>
    </row>
    <row r="36066">
      <c r="B36066" s="612"/>
      <c r="H36066" s="612"/>
    </row>
    <row r="36067">
      <c r="B36067" s="612"/>
      <c r="H36067" s="612"/>
    </row>
    <row r="36068">
      <c r="B36068" s="612"/>
      <c r="H36068" s="612"/>
    </row>
    <row r="36069">
      <c r="B36069" s="612"/>
      <c r="H36069" s="612"/>
    </row>
    <row r="36070">
      <c r="B36070" s="612"/>
      <c r="H36070" s="612"/>
    </row>
    <row r="36071">
      <c r="B36071" s="612"/>
      <c r="H36071" s="612"/>
    </row>
    <row r="36072">
      <c r="B36072" s="612"/>
      <c r="H36072" s="612"/>
    </row>
    <row r="36073">
      <c r="B36073" s="612"/>
      <c r="H36073" s="612"/>
    </row>
    <row r="36074">
      <c r="B36074" s="612"/>
      <c r="H36074" s="612"/>
    </row>
    <row r="36075">
      <c r="B36075" s="612"/>
      <c r="H36075" s="612"/>
    </row>
    <row r="36076">
      <c r="B36076" s="612"/>
      <c r="H36076" s="612"/>
    </row>
    <row r="36077">
      <c r="B36077" s="612"/>
      <c r="H36077" s="612"/>
    </row>
    <row r="36078">
      <c r="B36078" s="612"/>
      <c r="H36078" s="612"/>
    </row>
    <row r="36079">
      <c r="B36079" s="612"/>
      <c r="H36079" s="612"/>
    </row>
    <row r="36080">
      <c r="B36080" s="612"/>
      <c r="H36080" s="612"/>
    </row>
    <row r="36081">
      <c r="B36081" s="612"/>
      <c r="H36081" s="612"/>
    </row>
    <row r="36082">
      <c r="B36082" s="612"/>
      <c r="H36082" s="612"/>
    </row>
    <row r="36083">
      <c r="B36083" s="612"/>
      <c r="H36083" s="612"/>
    </row>
    <row r="36084">
      <c r="B36084" s="612"/>
      <c r="H36084" s="612"/>
    </row>
    <row r="36085">
      <c r="B36085" s="612"/>
      <c r="H36085" s="612"/>
    </row>
    <row r="36086">
      <c r="B36086" s="612"/>
      <c r="H36086" s="612"/>
    </row>
    <row r="36087">
      <c r="B36087" s="612"/>
      <c r="H36087" s="612"/>
    </row>
    <row r="36088">
      <c r="B36088" s="612"/>
      <c r="H36088" s="612"/>
    </row>
    <row r="36089">
      <c r="B36089" s="612"/>
      <c r="H36089" s="612"/>
    </row>
    <row r="36090">
      <c r="B36090" s="612"/>
      <c r="H36090" s="612"/>
    </row>
    <row r="36091">
      <c r="B36091" s="612"/>
      <c r="H36091" s="612"/>
    </row>
    <row r="36092">
      <c r="B36092" s="612"/>
      <c r="H36092" s="612"/>
    </row>
    <row r="36093">
      <c r="B36093" s="612"/>
      <c r="H36093" s="612"/>
    </row>
    <row r="36094">
      <c r="B36094" s="612"/>
      <c r="H36094" s="612"/>
    </row>
    <row r="36095">
      <c r="B36095" s="612"/>
      <c r="H36095" s="612"/>
    </row>
    <row r="36096">
      <c r="B36096" s="612"/>
      <c r="H36096" s="612"/>
    </row>
    <row r="36097">
      <c r="B36097" s="612"/>
      <c r="H36097" s="612"/>
    </row>
    <row r="36098">
      <c r="B36098" s="612"/>
      <c r="H36098" s="612"/>
    </row>
    <row r="36099">
      <c r="B36099" s="612"/>
      <c r="H36099" s="612"/>
    </row>
    <row r="36100">
      <c r="B36100" s="612"/>
      <c r="H36100" s="612"/>
    </row>
    <row r="36101">
      <c r="B36101" s="612"/>
      <c r="H36101" s="612"/>
    </row>
    <row r="36102">
      <c r="B36102" s="612"/>
      <c r="H36102" s="612"/>
    </row>
    <row r="36103">
      <c r="B36103" s="612"/>
      <c r="H36103" s="612"/>
    </row>
    <row r="36104">
      <c r="B36104" s="612"/>
      <c r="H36104" s="612"/>
    </row>
    <row r="36105">
      <c r="B36105" s="612"/>
      <c r="H36105" s="612"/>
    </row>
    <row r="36106">
      <c r="B36106" s="612"/>
      <c r="H36106" s="612"/>
    </row>
    <row r="36107">
      <c r="B36107" s="612"/>
      <c r="H36107" s="612"/>
    </row>
    <row r="36108">
      <c r="B36108" s="612"/>
      <c r="H36108" s="612"/>
    </row>
    <row r="36109">
      <c r="B36109" s="612"/>
      <c r="H36109" s="612"/>
    </row>
    <row r="36110">
      <c r="B36110" s="612"/>
      <c r="H36110" s="612"/>
    </row>
    <row r="36111">
      <c r="B36111" s="612"/>
      <c r="H36111" s="612"/>
    </row>
    <row r="36112">
      <c r="B36112" s="612"/>
      <c r="H36112" s="612"/>
    </row>
    <row r="36113">
      <c r="B36113" s="612"/>
      <c r="H36113" s="612"/>
    </row>
    <row r="36114">
      <c r="B36114" s="612"/>
      <c r="H36114" s="612"/>
    </row>
    <row r="36115">
      <c r="B36115" s="612"/>
      <c r="H36115" s="612"/>
    </row>
    <row r="36116">
      <c r="B36116" s="612"/>
      <c r="H36116" s="612"/>
    </row>
    <row r="36117">
      <c r="B36117" s="612"/>
      <c r="H36117" s="612"/>
    </row>
    <row r="36118">
      <c r="B36118" s="612"/>
      <c r="H36118" s="612"/>
    </row>
    <row r="36119">
      <c r="B36119" s="612"/>
      <c r="H36119" s="612"/>
    </row>
    <row r="36120">
      <c r="B36120" s="612"/>
      <c r="H36120" s="612"/>
    </row>
    <row r="36121">
      <c r="B36121" s="612"/>
      <c r="H36121" s="612"/>
    </row>
    <row r="36122">
      <c r="B36122" s="612"/>
      <c r="H36122" s="612"/>
    </row>
    <row r="36123">
      <c r="B36123" s="612"/>
      <c r="H36123" s="612"/>
    </row>
    <row r="36124">
      <c r="B36124" s="612"/>
      <c r="H36124" s="612"/>
    </row>
    <row r="36125">
      <c r="B36125" s="612"/>
      <c r="H36125" s="612"/>
    </row>
    <row r="36126">
      <c r="B36126" s="612"/>
      <c r="H36126" s="612"/>
    </row>
    <row r="36127">
      <c r="B36127" s="612"/>
      <c r="H36127" s="612"/>
    </row>
    <row r="36128">
      <c r="B36128" s="612"/>
      <c r="H36128" s="612"/>
    </row>
    <row r="36129">
      <c r="B36129" s="612"/>
      <c r="H36129" s="612"/>
    </row>
    <row r="36130">
      <c r="B36130" s="612"/>
      <c r="H36130" s="612"/>
    </row>
    <row r="36131">
      <c r="B36131" s="612"/>
      <c r="H36131" s="612"/>
    </row>
    <row r="36132">
      <c r="B36132" s="612"/>
      <c r="H36132" s="612"/>
    </row>
    <row r="36133">
      <c r="B36133" s="612"/>
      <c r="H36133" s="612"/>
    </row>
    <row r="36134">
      <c r="B36134" s="612"/>
      <c r="H36134" s="612"/>
    </row>
    <row r="36135">
      <c r="B36135" s="612"/>
      <c r="H36135" s="612"/>
    </row>
    <row r="36136">
      <c r="B36136" s="612"/>
      <c r="H36136" s="612"/>
    </row>
    <row r="36137">
      <c r="B36137" s="612"/>
      <c r="H36137" s="612"/>
    </row>
    <row r="36138">
      <c r="B36138" s="612"/>
      <c r="H36138" s="612"/>
    </row>
    <row r="36139">
      <c r="B36139" s="612"/>
      <c r="H36139" s="612"/>
    </row>
    <row r="36140">
      <c r="B36140" s="612"/>
      <c r="H36140" s="612"/>
    </row>
    <row r="36141">
      <c r="B36141" s="612"/>
      <c r="H36141" s="612"/>
    </row>
    <row r="36142">
      <c r="B36142" s="612"/>
      <c r="H36142" s="612"/>
    </row>
    <row r="36143">
      <c r="B36143" s="612"/>
      <c r="H36143" s="612"/>
    </row>
    <row r="36144">
      <c r="B36144" s="612"/>
      <c r="H36144" s="612"/>
    </row>
    <row r="36145">
      <c r="B36145" s="612"/>
      <c r="H36145" s="612"/>
    </row>
    <row r="36146">
      <c r="B36146" s="612"/>
      <c r="H36146" s="612"/>
    </row>
    <row r="36147">
      <c r="B36147" s="612"/>
      <c r="H36147" s="612"/>
    </row>
    <row r="36148">
      <c r="B36148" s="612"/>
      <c r="H36148" s="612"/>
    </row>
    <row r="36149">
      <c r="B36149" s="612"/>
      <c r="H36149" s="612"/>
    </row>
    <row r="36150">
      <c r="B36150" s="612"/>
      <c r="H36150" s="612"/>
    </row>
    <row r="36151">
      <c r="B36151" s="612"/>
      <c r="H36151" s="612"/>
    </row>
    <row r="36152">
      <c r="B36152" s="612"/>
      <c r="H36152" s="612"/>
    </row>
    <row r="36153">
      <c r="B36153" s="612"/>
      <c r="H36153" s="612"/>
    </row>
    <row r="36154">
      <c r="B36154" s="612"/>
      <c r="H36154" s="612"/>
    </row>
    <row r="36155">
      <c r="B36155" s="612"/>
      <c r="H36155" s="612"/>
    </row>
    <row r="36156">
      <c r="B36156" s="612"/>
      <c r="H36156" s="612"/>
    </row>
    <row r="36157">
      <c r="B36157" s="612"/>
      <c r="H36157" s="612"/>
    </row>
    <row r="36158">
      <c r="B36158" s="612"/>
      <c r="H36158" s="612"/>
    </row>
    <row r="36159">
      <c r="B36159" s="612"/>
      <c r="H36159" s="612"/>
    </row>
    <row r="36160">
      <c r="B36160" s="612"/>
      <c r="H36160" s="612"/>
    </row>
    <row r="36161">
      <c r="B36161" s="612"/>
      <c r="H36161" s="612"/>
    </row>
    <row r="36162">
      <c r="B36162" s="612"/>
      <c r="H36162" s="612"/>
    </row>
    <row r="36163">
      <c r="B36163" s="612"/>
      <c r="H36163" s="612"/>
    </row>
    <row r="36164">
      <c r="B36164" s="612"/>
      <c r="H36164" s="612"/>
    </row>
    <row r="36165">
      <c r="B36165" s="612"/>
      <c r="H36165" s="612"/>
    </row>
    <row r="36166">
      <c r="B36166" s="612"/>
      <c r="H36166" s="612"/>
    </row>
    <row r="36167">
      <c r="B36167" s="612"/>
      <c r="H36167" s="612"/>
    </row>
    <row r="36168">
      <c r="B36168" s="612"/>
      <c r="H36168" s="612"/>
    </row>
    <row r="36169">
      <c r="B36169" s="612"/>
      <c r="H36169" s="612"/>
    </row>
    <row r="36170">
      <c r="B36170" s="612"/>
      <c r="H36170" s="612"/>
    </row>
    <row r="36171">
      <c r="B36171" s="612"/>
      <c r="H36171" s="612"/>
    </row>
    <row r="36172">
      <c r="B36172" s="612"/>
      <c r="H36172" s="612"/>
    </row>
    <row r="36173">
      <c r="B36173" s="612"/>
      <c r="H36173" s="612"/>
    </row>
    <row r="36174">
      <c r="B36174" s="612"/>
      <c r="H36174" s="612"/>
    </row>
    <row r="36175">
      <c r="B36175" s="612"/>
      <c r="H36175" s="612"/>
    </row>
    <row r="36176">
      <c r="B36176" s="612"/>
      <c r="H36176" s="612"/>
    </row>
    <row r="36177">
      <c r="B36177" s="612"/>
      <c r="H36177" s="612"/>
    </row>
    <row r="36178">
      <c r="B36178" s="612"/>
      <c r="H36178" s="612"/>
    </row>
    <row r="36179">
      <c r="B36179" s="612"/>
      <c r="H36179" s="612"/>
    </row>
    <row r="36180">
      <c r="B36180" s="612"/>
      <c r="H36180" s="612"/>
    </row>
    <row r="36181">
      <c r="B36181" s="612"/>
      <c r="H36181" s="612"/>
    </row>
    <row r="36182">
      <c r="B36182" s="612"/>
      <c r="H36182" s="612"/>
    </row>
    <row r="36183">
      <c r="B36183" s="612"/>
      <c r="H36183" s="612"/>
    </row>
    <row r="36184">
      <c r="B36184" s="612"/>
      <c r="H36184" s="612"/>
    </row>
    <row r="36185">
      <c r="B36185" s="612"/>
      <c r="H36185" s="612"/>
    </row>
    <row r="36186">
      <c r="B36186" s="612"/>
      <c r="H36186" s="612"/>
    </row>
    <row r="36187">
      <c r="B36187" s="612"/>
      <c r="H36187" s="612"/>
    </row>
    <row r="36188">
      <c r="B36188" s="612"/>
      <c r="H36188" s="612"/>
    </row>
    <row r="36189">
      <c r="B36189" s="612"/>
      <c r="H36189" s="612"/>
    </row>
    <row r="36190">
      <c r="B36190" s="612"/>
      <c r="H36190" s="612"/>
    </row>
    <row r="36191">
      <c r="B36191" s="612"/>
      <c r="H36191" s="612"/>
    </row>
    <row r="36192">
      <c r="B36192" s="612"/>
      <c r="H36192" s="612"/>
    </row>
    <row r="36193">
      <c r="B36193" s="612"/>
      <c r="H36193" s="612"/>
    </row>
    <row r="36194">
      <c r="B36194" s="612"/>
      <c r="H36194" s="612"/>
    </row>
    <row r="36195">
      <c r="B36195" s="612"/>
      <c r="H36195" s="612"/>
    </row>
    <row r="36196">
      <c r="B36196" s="612"/>
      <c r="H36196" s="612"/>
    </row>
    <row r="36197">
      <c r="B36197" s="612"/>
      <c r="H36197" s="612"/>
    </row>
    <row r="36198">
      <c r="B36198" s="612"/>
      <c r="H36198" s="612"/>
    </row>
    <row r="36199">
      <c r="B36199" s="612"/>
      <c r="H36199" s="612"/>
    </row>
    <row r="36200">
      <c r="B36200" s="612"/>
      <c r="H36200" s="612"/>
    </row>
    <row r="36201">
      <c r="B36201" s="612"/>
      <c r="H36201" s="612"/>
    </row>
    <row r="36202">
      <c r="B36202" s="612"/>
      <c r="H36202" s="612"/>
    </row>
    <row r="36203">
      <c r="B36203" s="612"/>
      <c r="H36203" s="612"/>
    </row>
    <row r="36204">
      <c r="B36204" s="612"/>
      <c r="H36204" s="612"/>
    </row>
    <row r="36205">
      <c r="B36205" s="612"/>
      <c r="H36205" s="612"/>
    </row>
    <row r="36206">
      <c r="B36206" s="612"/>
      <c r="H36206" s="612"/>
    </row>
    <row r="36207">
      <c r="B36207" s="612"/>
      <c r="H36207" s="612"/>
    </row>
    <row r="36208">
      <c r="B36208" s="612"/>
      <c r="H36208" s="612"/>
    </row>
    <row r="36209">
      <c r="B36209" s="612"/>
      <c r="H36209" s="612"/>
    </row>
    <row r="36210">
      <c r="B36210" s="612"/>
      <c r="H36210" s="612"/>
    </row>
    <row r="36211">
      <c r="B36211" s="612"/>
      <c r="H36211" s="612"/>
    </row>
    <row r="36212">
      <c r="B36212" s="612"/>
      <c r="H36212" s="612"/>
    </row>
    <row r="36213">
      <c r="B36213" s="612"/>
      <c r="H36213" s="612"/>
    </row>
    <row r="36214">
      <c r="B36214" s="612"/>
      <c r="H36214" s="612"/>
    </row>
    <row r="36215">
      <c r="B36215" s="612"/>
      <c r="H36215" s="612"/>
    </row>
    <row r="36216">
      <c r="B36216" s="612"/>
      <c r="H36216" s="612"/>
    </row>
    <row r="36217">
      <c r="B36217" s="612"/>
      <c r="H36217" s="612"/>
    </row>
    <row r="36218">
      <c r="B36218" s="612"/>
      <c r="H36218" s="612"/>
    </row>
    <row r="36219">
      <c r="B36219" s="612"/>
      <c r="H36219" s="612"/>
    </row>
    <row r="36220">
      <c r="B36220" s="612"/>
      <c r="H36220" s="612"/>
    </row>
    <row r="36221">
      <c r="B36221" s="612"/>
      <c r="H36221" s="612"/>
    </row>
    <row r="36222">
      <c r="B36222" s="612"/>
      <c r="H36222" s="612"/>
    </row>
    <row r="36223">
      <c r="B36223" s="612"/>
      <c r="H36223" s="612"/>
    </row>
    <row r="36224">
      <c r="B36224" s="612"/>
      <c r="H36224" s="612"/>
    </row>
    <row r="36225">
      <c r="B36225" s="612"/>
      <c r="H36225" s="612"/>
    </row>
    <row r="36226">
      <c r="B36226" s="612"/>
      <c r="H36226" s="612"/>
    </row>
    <row r="36227">
      <c r="B36227" s="612"/>
      <c r="H36227" s="612"/>
    </row>
    <row r="36228">
      <c r="B36228" s="612"/>
      <c r="H36228" s="612"/>
    </row>
    <row r="36229">
      <c r="B36229" s="612"/>
      <c r="H36229" s="612"/>
    </row>
    <row r="36230">
      <c r="B36230" s="612"/>
      <c r="H36230" s="612"/>
    </row>
    <row r="36231">
      <c r="B36231" s="612"/>
      <c r="H36231" s="612"/>
    </row>
    <row r="36232">
      <c r="B36232" s="612"/>
      <c r="H36232" s="612"/>
    </row>
    <row r="36233">
      <c r="B36233" s="612"/>
      <c r="H36233" s="612"/>
    </row>
    <row r="36234">
      <c r="B36234" s="612"/>
      <c r="H36234" s="612"/>
    </row>
    <row r="36235">
      <c r="B36235" s="612"/>
      <c r="H36235" s="612"/>
    </row>
    <row r="36236">
      <c r="B36236" s="612"/>
      <c r="H36236" s="612"/>
    </row>
    <row r="36237">
      <c r="B36237" s="612"/>
      <c r="H36237" s="612"/>
    </row>
    <row r="36238">
      <c r="B36238" s="612"/>
      <c r="H36238" s="612"/>
    </row>
    <row r="36239">
      <c r="B36239" s="612"/>
      <c r="H36239" s="612"/>
    </row>
    <row r="36240">
      <c r="B36240" s="612"/>
      <c r="H36240" s="612"/>
    </row>
    <row r="36241">
      <c r="B36241" s="612"/>
      <c r="H36241" s="612"/>
    </row>
    <row r="36242">
      <c r="B36242" s="612"/>
      <c r="H36242" s="612"/>
    </row>
    <row r="36243">
      <c r="B36243" s="612"/>
      <c r="H36243" s="612"/>
    </row>
    <row r="36244">
      <c r="B36244" s="612"/>
      <c r="H36244" s="612"/>
    </row>
    <row r="36245">
      <c r="B36245" s="612"/>
      <c r="H36245" s="612"/>
    </row>
    <row r="36246">
      <c r="B36246" s="612"/>
      <c r="H36246" s="612"/>
    </row>
    <row r="36247">
      <c r="B36247" s="612"/>
      <c r="H36247" s="612"/>
    </row>
    <row r="36248">
      <c r="B36248" s="612"/>
      <c r="H36248" s="612"/>
    </row>
    <row r="36249">
      <c r="B36249" s="612"/>
      <c r="H36249" s="612"/>
    </row>
    <row r="36250">
      <c r="B36250" s="612"/>
      <c r="H36250" s="612"/>
    </row>
    <row r="36251">
      <c r="B36251" s="612"/>
      <c r="H36251" s="612"/>
    </row>
    <row r="36252">
      <c r="B36252" s="612"/>
      <c r="H36252" s="612"/>
    </row>
    <row r="36253">
      <c r="B36253" s="612"/>
      <c r="H36253" s="612"/>
    </row>
    <row r="36254">
      <c r="B36254" s="612"/>
      <c r="H36254" s="612"/>
    </row>
    <row r="36255">
      <c r="B36255" s="612"/>
      <c r="H36255" s="612"/>
    </row>
    <row r="36256">
      <c r="B36256" s="612"/>
      <c r="H36256" s="612"/>
    </row>
    <row r="36257">
      <c r="B36257" s="612"/>
      <c r="H36257" s="612"/>
    </row>
    <row r="36258">
      <c r="B36258" s="612"/>
      <c r="H36258" s="612"/>
    </row>
    <row r="36259">
      <c r="B36259" s="612"/>
      <c r="H36259" s="612"/>
    </row>
    <row r="36260">
      <c r="B36260" s="612"/>
      <c r="H36260" s="612"/>
    </row>
    <row r="36261">
      <c r="B36261" s="612"/>
      <c r="H36261" s="612"/>
    </row>
    <row r="36262">
      <c r="B36262" s="612"/>
      <c r="H36262" s="612"/>
    </row>
    <row r="36263">
      <c r="B36263" s="612"/>
      <c r="H36263" s="612"/>
    </row>
    <row r="36264">
      <c r="B36264" s="612"/>
      <c r="H36264" s="612"/>
    </row>
    <row r="36265">
      <c r="B36265" s="612"/>
      <c r="H36265" s="612"/>
    </row>
    <row r="36266">
      <c r="B36266" s="612"/>
      <c r="H36266" s="612"/>
    </row>
    <row r="36267">
      <c r="B36267" s="612"/>
      <c r="H36267" s="612"/>
    </row>
    <row r="36268">
      <c r="B36268" s="612"/>
      <c r="H36268" s="612"/>
    </row>
    <row r="36269">
      <c r="B36269" s="612"/>
      <c r="H36269" s="612"/>
    </row>
    <row r="36270">
      <c r="B36270" s="612"/>
      <c r="H36270" s="612"/>
    </row>
    <row r="36271">
      <c r="B36271" s="612"/>
      <c r="H36271" s="612"/>
    </row>
    <row r="36272">
      <c r="B36272" s="612"/>
      <c r="H36272" s="612"/>
    </row>
    <row r="36273">
      <c r="B36273" s="612"/>
      <c r="H36273" s="612"/>
    </row>
    <row r="36274">
      <c r="B36274" s="612"/>
      <c r="H36274" s="612"/>
    </row>
    <row r="36275">
      <c r="B36275" s="612"/>
      <c r="H36275" s="612"/>
    </row>
    <row r="36276">
      <c r="B36276" s="612"/>
      <c r="H36276" s="612"/>
    </row>
    <row r="36277">
      <c r="B36277" s="612"/>
      <c r="H36277" s="612"/>
    </row>
    <row r="36278">
      <c r="B36278" s="612"/>
      <c r="H36278" s="612"/>
    </row>
    <row r="36279">
      <c r="B36279" s="612"/>
      <c r="H36279" s="612"/>
    </row>
    <row r="36280">
      <c r="B36280" s="612"/>
      <c r="H36280" s="612"/>
    </row>
    <row r="36281">
      <c r="B36281" s="612"/>
      <c r="H36281" s="612"/>
    </row>
    <row r="36282">
      <c r="B36282" s="612"/>
      <c r="H36282" s="612"/>
    </row>
    <row r="36283">
      <c r="B36283" s="612"/>
      <c r="H36283" s="612"/>
    </row>
    <row r="36284">
      <c r="B36284" s="612"/>
      <c r="H36284" s="612"/>
    </row>
    <row r="36285">
      <c r="B36285" s="612"/>
      <c r="H36285" s="612"/>
    </row>
    <row r="36286">
      <c r="B36286" s="612"/>
      <c r="H36286" s="612"/>
    </row>
    <row r="36287">
      <c r="B36287" s="612"/>
      <c r="H36287" s="612"/>
    </row>
    <row r="36288">
      <c r="B36288" s="612"/>
      <c r="H36288" s="612"/>
    </row>
    <row r="36289">
      <c r="B36289" s="612"/>
      <c r="H36289" s="612"/>
    </row>
    <row r="36290">
      <c r="B36290" s="612"/>
      <c r="H36290" s="612"/>
    </row>
    <row r="36291">
      <c r="B36291" s="612"/>
      <c r="H36291" s="612"/>
    </row>
    <row r="36292">
      <c r="B36292" s="612"/>
      <c r="H36292" s="612"/>
    </row>
    <row r="36293">
      <c r="B36293" s="612"/>
      <c r="H36293" s="612"/>
    </row>
    <row r="36294">
      <c r="B36294" s="612"/>
      <c r="H36294" s="612"/>
    </row>
    <row r="36295">
      <c r="B36295" s="612"/>
      <c r="H36295" s="612"/>
    </row>
    <row r="36296">
      <c r="B36296" s="612"/>
      <c r="H36296" s="612"/>
    </row>
    <row r="36297">
      <c r="B36297" s="612"/>
      <c r="H36297" s="612"/>
    </row>
    <row r="36298">
      <c r="B36298" s="612"/>
      <c r="H36298" s="612"/>
    </row>
    <row r="36299">
      <c r="B36299" s="612"/>
      <c r="H36299" s="612"/>
    </row>
    <row r="36300">
      <c r="B36300" s="612"/>
      <c r="H36300" s="612"/>
    </row>
    <row r="36301">
      <c r="B36301" s="612"/>
      <c r="H36301" s="612"/>
    </row>
    <row r="36302">
      <c r="B36302" s="612"/>
      <c r="H36302" s="612"/>
    </row>
    <row r="36303">
      <c r="B36303" s="612"/>
      <c r="H36303" s="612"/>
    </row>
    <row r="36304">
      <c r="B36304" s="612"/>
      <c r="H36304" s="612"/>
    </row>
    <row r="36305">
      <c r="B36305" s="612"/>
      <c r="H36305" s="612"/>
    </row>
    <row r="36306">
      <c r="B36306" s="612"/>
      <c r="H36306" s="612"/>
    </row>
    <row r="36307">
      <c r="B36307" s="612"/>
      <c r="H36307" s="612"/>
    </row>
    <row r="36308">
      <c r="B36308" s="612"/>
      <c r="H36308" s="612"/>
    </row>
    <row r="36309">
      <c r="B36309" s="612"/>
      <c r="H36309" s="612"/>
    </row>
    <row r="36310">
      <c r="B36310" s="612"/>
      <c r="H36310" s="612"/>
    </row>
    <row r="36311">
      <c r="B36311" s="612"/>
      <c r="H36311" s="612"/>
    </row>
    <row r="36312">
      <c r="B36312" s="612"/>
      <c r="H36312" s="612"/>
    </row>
    <row r="36313">
      <c r="B36313" s="612"/>
      <c r="H36313" s="612"/>
    </row>
    <row r="36314">
      <c r="B36314" s="612"/>
      <c r="H36314" s="612"/>
    </row>
    <row r="36315">
      <c r="B36315" s="612"/>
      <c r="H36315" s="612"/>
    </row>
    <row r="36316">
      <c r="B36316" s="612"/>
      <c r="H36316" s="612"/>
    </row>
    <row r="36317">
      <c r="B36317" s="612"/>
      <c r="H36317" s="612"/>
    </row>
    <row r="36318">
      <c r="B36318" s="612"/>
      <c r="H36318" s="612"/>
    </row>
    <row r="36319">
      <c r="B36319" s="612"/>
      <c r="H36319" s="612"/>
    </row>
    <row r="36320">
      <c r="B36320" s="612"/>
      <c r="H36320" s="612"/>
    </row>
    <row r="36321">
      <c r="B36321" s="612"/>
      <c r="H36321" s="612"/>
    </row>
    <row r="36322">
      <c r="B36322" s="612"/>
      <c r="H36322" s="612"/>
    </row>
    <row r="36323">
      <c r="B36323" s="612"/>
      <c r="H36323" s="612"/>
    </row>
    <row r="36324">
      <c r="B36324" s="612"/>
      <c r="H36324" s="612"/>
    </row>
    <row r="36325">
      <c r="B36325" s="612"/>
      <c r="H36325" s="612"/>
    </row>
    <row r="36326">
      <c r="B36326" s="612"/>
      <c r="H36326" s="612"/>
    </row>
    <row r="36327">
      <c r="B36327" s="612"/>
      <c r="H36327" s="612"/>
    </row>
    <row r="36328">
      <c r="B36328" s="612"/>
      <c r="H36328" s="612"/>
    </row>
    <row r="36329">
      <c r="B36329" s="612"/>
      <c r="H36329" s="612"/>
    </row>
    <row r="36330">
      <c r="B36330" s="612"/>
      <c r="H36330" s="612"/>
    </row>
    <row r="36331">
      <c r="B36331" s="612"/>
      <c r="H36331" s="612"/>
    </row>
    <row r="36332">
      <c r="B36332" s="612"/>
      <c r="H36332" s="612"/>
    </row>
    <row r="36333">
      <c r="B36333" s="612"/>
      <c r="H36333" s="612"/>
    </row>
    <row r="36334">
      <c r="B36334" s="612"/>
      <c r="H36334" s="612"/>
    </row>
    <row r="36335">
      <c r="B36335" s="612"/>
      <c r="H36335" s="612"/>
    </row>
    <row r="36336">
      <c r="B36336" s="612"/>
      <c r="H36336" s="612"/>
    </row>
    <row r="36337">
      <c r="B36337" s="612"/>
      <c r="H36337" s="612"/>
    </row>
    <row r="36338">
      <c r="B36338" s="612"/>
      <c r="H36338" s="612"/>
    </row>
    <row r="36339">
      <c r="B36339" s="612"/>
      <c r="H36339" s="612"/>
    </row>
    <row r="36340">
      <c r="B36340" s="612"/>
      <c r="H36340" s="612"/>
    </row>
    <row r="36341">
      <c r="B36341" s="612"/>
      <c r="H36341" s="612"/>
    </row>
    <row r="36342">
      <c r="B36342" s="612"/>
      <c r="H36342" s="612"/>
    </row>
    <row r="36343">
      <c r="B36343" s="612"/>
      <c r="H36343" s="612"/>
    </row>
    <row r="36344">
      <c r="B36344" s="612"/>
      <c r="H36344" s="612"/>
    </row>
    <row r="36345">
      <c r="B36345" s="612"/>
      <c r="H36345" s="612"/>
    </row>
    <row r="36346">
      <c r="B36346" s="612"/>
      <c r="H36346" s="612"/>
    </row>
    <row r="36347">
      <c r="B36347" s="612"/>
      <c r="H36347" s="612"/>
    </row>
    <row r="36348">
      <c r="B36348" s="612"/>
      <c r="H36348" s="612"/>
    </row>
    <row r="36349">
      <c r="B36349" s="612"/>
      <c r="H36349" s="612"/>
    </row>
    <row r="36350">
      <c r="B36350" s="612"/>
      <c r="H36350" s="612"/>
    </row>
    <row r="36351">
      <c r="B36351" s="612"/>
      <c r="H36351" s="612"/>
    </row>
    <row r="36352">
      <c r="B36352" s="612"/>
      <c r="H36352" s="612"/>
    </row>
    <row r="36353">
      <c r="B36353" s="612"/>
      <c r="H36353" s="612"/>
    </row>
    <row r="36354">
      <c r="B36354" s="612"/>
      <c r="H36354" s="612"/>
    </row>
    <row r="36355">
      <c r="B36355" s="612"/>
      <c r="H36355" s="612"/>
    </row>
    <row r="36356">
      <c r="B36356" s="612"/>
      <c r="H36356" s="612"/>
    </row>
    <row r="36357">
      <c r="B36357" s="612"/>
      <c r="H36357" s="612"/>
    </row>
    <row r="36358">
      <c r="B36358" s="612"/>
      <c r="H36358" s="612"/>
    </row>
    <row r="36359">
      <c r="B36359" s="612"/>
      <c r="H36359" s="612"/>
    </row>
    <row r="36360">
      <c r="B36360" s="612"/>
      <c r="H36360" s="612"/>
    </row>
    <row r="36361">
      <c r="B36361" s="612"/>
      <c r="H36361" s="612"/>
    </row>
    <row r="36362">
      <c r="B36362" s="612"/>
      <c r="H36362" s="612"/>
    </row>
    <row r="36363">
      <c r="B36363" s="612"/>
      <c r="H36363" s="612"/>
    </row>
    <row r="36364">
      <c r="B36364" s="612"/>
      <c r="H36364" s="612"/>
    </row>
    <row r="36365">
      <c r="B36365" s="612"/>
      <c r="H36365" s="612"/>
    </row>
    <row r="36366">
      <c r="B36366" s="612"/>
      <c r="H36366" s="612"/>
    </row>
    <row r="36367">
      <c r="B36367" s="612"/>
      <c r="H36367" s="612"/>
    </row>
    <row r="36368">
      <c r="B36368" s="612"/>
      <c r="H36368" s="612"/>
    </row>
    <row r="36369">
      <c r="B36369" s="612"/>
      <c r="H36369" s="612"/>
    </row>
    <row r="36370">
      <c r="B36370" s="612"/>
      <c r="H36370" s="612"/>
    </row>
    <row r="36371">
      <c r="B36371" s="612"/>
      <c r="H36371" s="612"/>
    </row>
    <row r="36372">
      <c r="B36372" s="612"/>
      <c r="H36372" s="612"/>
    </row>
    <row r="36373">
      <c r="B36373" s="612"/>
      <c r="H36373" s="612"/>
    </row>
    <row r="36374">
      <c r="B36374" s="612"/>
      <c r="H36374" s="612"/>
    </row>
    <row r="36375">
      <c r="B36375" s="612"/>
      <c r="H36375" s="612"/>
    </row>
    <row r="36376">
      <c r="B36376" s="612"/>
      <c r="H36376" s="612"/>
    </row>
    <row r="36377">
      <c r="B36377" s="612"/>
      <c r="H36377" s="612"/>
    </row>
    <row r="36378">
      <c r="B36378" s="612"/>
      <c r="H36378" s="612"/>
    </row>
    <row r="36379">
      <c r="B36379" s="612"/>
      <c r="H36379" s="612"/>
    </row>
    <row r="36380">
      <c r="B36380" s="612"/>
      <c r="H36380" s="612"/>
    </row>
    <row r="36381">
      <c r="B36381" s="612"/>
      <c r="H36381" s="612"/>
    </row>
    <row r="36382">
      <c r="B36382" s="612"/>
      <c r="H36382" s="612"/>
    </row>
    <row r="36383">
      <c r="B36383" s="612"/>
      <c r="H36383" s="612"/>
    </row>
    <row r="36384">
      <c r="B36384" s="612"/>
      <c r="H36384" s="612"/>
    </row>
    <row r="36385">
      <c r="B36385" s="612"/>
      <c r="H36385" s="612"/>
    </row>
    <row r="36386">
      <c r="B36386" s="612"/>
      <c r="H36386" s="612"/>
    </row>
    <row r="36387">
      <c r="B36387" s="612"/>
      <c r="H36387" s="612"/>
    </row>
    <row r="36388">
      <c r="B36388" s="612"/>
      <c r="H36388" s="612"/>
    </row>
    <row r="36389">
      <c r="B36389" s="612"/>
      <c r="H36389" s="612"/>
    </row>
    <row r="36390">
      <c r="B36390" s="612"/>
      <c r="H36390" s="612"/>
    </row>
    <row r="36391">
      <c r="B36391" s="612"/>
      <c r="H36391" s="612"/>
    </row>
    <row r="36392">
      <c r="B36392" s="612"/>
      <c r="H36392" s="612"/>
    </row>
    <row r="36393">
      <c r="B36393" s="612"/>
      <c r="H36393" s="612"/>
    </row>
    <row r="36394">
      <c r="B36394" s="612"/>
      <c r="H36394" s="612"/>
    </row>
    <row r="36395">
      <c r="B36395" s="612"/>
      <c r="H36395" s="612"/>
    </row>
    <row r="36396">
      <c r="B36396" s="612"/>
      <c r="H36396" s="612"/>
    </row>
    <row r="36397">
      <c r="B36397" s="612"/>
      <c r="H36397" s="612"/>
    </row>
    <row r="36398">
      <c r="B36398" s="612"/>
      <c r="H36398" s="612"/>
    </row>
    <row r="36399">
      <c r="B36399" s="612"/>
      <c r="H36399" s="612"/>
    </row>
    <row r="36400">
      <c r="B36400" s="612"/>
      <c r="H36400" s="612"/>
    </row>
    <row r="36401">
      <c r="B36401" s="612"/>
      <c r="H36401" s="612"/>
    </row>
    <row r="36402">
      <c r="B36402" s="612"/>
      <c r="H36402" s="612"/>
    </row>
    <row r="36403">
      <c r="B36403" s="612"/>
      <c r="H36403" s="612"/>
    </row>
    <row r="36404">
      <c r="B36404" s="612"/>
      <c r="H36404" s="612"/>
    </row>
    <row r="36405">
      <c r="B36405" s="612"/>
      <c r="H36405" s="612"/>
    </row>
    <row r="36406">
      <c r="B36406" s="612"/>
      <c r="H36406" s="612"/>
    </row>
    <row r="36407">
      <c r="B36407" s="612"/>
      <c r="H36407" s="612"/>
    </row>
    <row r="36408">
      <c r="B36408" s="612"/>
      <c r="H36408" s="612"/>
    </row>
    <row r="36409">
      <c r="B36409" s="612"/>
      <c r="H36409" s="612"/>
    </row>
    <row r="36410">
      <c r="B36410" s="612"/>
      <c r="H36410" s="612"/>
    </row>
    <row r="36411">
      <c r="B36411" s="612"/>
      <c r="H36411" s="612"/>
    </row>
    <row r="36412">
      <c r="B36412" s="612"/>
      <c r="H36412" s="612"/>
    </row>
    <row r="36413">
      <c r="B36413" s="612"/>
      <c r="H36413" s="612"/>
    </row>
    <row r="36414">
      <c r="B36414" s="612"/>
      <c r="H36414" s="612"/>
    </row>
    <row r="36415">
      <c r="B36415" s="612"/>
      <c r="H36415" s="612"/>
    </row>
    <row r="36416">
      <c r="B36416" s="612"/>
      <c r="H36416" s="612"/>
    </row>
    <row r="36417">
      <c r="B36417" s="612"/>
      <c r="H36417" s="612"/>
    </row>
    <row r="36418">
      <c r="B36418" s="612"/>
      <c r="H36418" s="612"/>
    </row>
    <row r="36419">
      <c r="B36419" s="612"/>
      <c r="H36419" s="612"/>
    </row>
    <row r="36420">
      <c r="B36420" s="612"/>
      <c r="H36420" s="612"/>
    </row>
    <row r="36421">
      <c r="B36421" s="612"/>
      <c r="H36421" s="612"/>
    </row>
    <row r="36422">
      <c r="B36422" s="612"/>
      <c r="H36422" s="612"/>
    </row>
    <row r="36423">
      <c r="B36423" s="612"/>
      <c r="H36423" s="612"/>
    </row>
    <row r="36424">
      <c r="B36424" s="612"/>
      <c r="H36424" s="612"/>
    </row>
    <row r="36425">
      <c r="B36425" s="612"/>
      <c r="H36425" s="612"/>
    </row>
    <row r="36426">
      <c r="B36426" s="612"/>
      <c r="H36426" s="612"/>
    </row>
    <row r="36427">
      <c r="B36427" s="612"/>
      <c r="H36427" s="612"/>
    </row>
    <row r="36428">
      <c r="B36428" s="612"/>
      <c r="H36428" s="612"/>
    </row>
    <row r="36429">
      <c r="B36429" s="612"/>
      <c r="H36429" s="612"/>
    </row>
    <row r="36430">
      <c r="B36430" s="612"/>
      <c r="H36430" s="612"/>
    </row>
    <row r="36431">
      <c r="B36431" s="612"/>
      <c r="H36431" s="612"/>
    </row>
    <row r="36432">
      <c r="B36432" s="612"/>
      <c r="H36432" s="612"/>
    </row>
    <row r="36433">
      <c r="B36433" s="612"/>
      <c r="H36433" s="612"/>
    </row>
    <row r="36434">
      <c r="B36434" s="612"/>
      <c r="H36434" s="612"/>
    </row>
    <row r="36435">
      <c r="B36435" s="612"/>
      <c r="H36435" s="612"/>
    </row>
    <row r="36436">
      <c r="B36436" s="612"/>
      <c r="H36436" s="612"/>
    </row>
    <row r="36437">
      <c r="B36437" s="612"/>
      <c r="H36437" s="612"/>
    </row>
    <row r="36438">
      <c r="B36438" s="612"/>
      <c r="H36438" s="612"/>
    </row>
    <row r="36439">
      <c r="B36439" s="612"/>
      <c r="H36439" s="612"/>
    </row>
    <row r="36440">
      <c r="B36440" s="612"/>
      <c r="H36440" s="612"/>
    </row>
    <row r="36441">
      <c r="B36441" s="612"/>
      <c r="H36441" s="612"/>
    </row>
    <row r="36442">
      <c r="B36442" s="612"/>
      <c r="H36442" s="612"/>
    </row>
    <row r="36443">
      <c r="B36443" s="612"/>
      <c r="H36443" s="612"/>
    </row>
    <row r="36444">
      <c r="B36444" s="612"/>
      <c r="H36444" s="612"/>
    </row>
    <row r="36445">
      <c r="B36445" s="612"/>
      <c r="H36445" s="612"/>
    </row>
    <row r="36446">
      <c r="B36446" s="612"/>
      <c r="H36446" s="612"/>
    </row>
    <row r="36447">
      <c r="B36447" s="612"/>
      <c r="H36447" s="612"/>
    </row>
    <row r="36448">
      <c r="B36448" s="612"/>
      <c r="H36448" s="612"/>
    </row>
    <row r="36449">
      <c r="B36449" s="612"/>
      <c r="H36449" s="612"/>
    </row>
    <row r="36450">
      <c r="B36450" s="612"/>
      <c r="H36450" s="612"/>
    </row>
    <row r="36451">
      <c r="B36451" s="612"/>
      <c r="H36451" s="612"/>
    </row>
    <row r="36452">
      <c r="B36452" s="612"/>
      <c r="H36452" s="612"/>
    </row>
    <row r="36453">
      <c r="B36453" s="612"/>
      <c r="H36453" s="612"/>
    </row>
    <row r="36454">
      <c r="B36454" s="612"/>
      <c r="H36454" s="612"/>
    </row>
    <row r="36455">
      <c r="B36455" s="612"/>
      <c r="H36455" s="612"/>
    </row>
    <row r="36456">
      <c r="B36456" s="612"/>
      <c r="H36456" s="612"/>
    </row>
    <row r="36457">
      <c r="B36457" s="612"/>
      <c r="H36457" s="612"/>
    </row>
    <row r="36458">
      <c r="B36458" s="612"/>
      <c r="H36458" s="612"/>
    </row>
    <row r="36459">
      <c r="B36459" s="612"/>
      <c r="H36459" s="612"/>
    </row>
    <row r="36460">
      <c r="B36460" s="612"/>
      <c r="H36460" s="612"/>
    </row>
    <row r="36461">
      <c r="B36461" s="612"/>
      <c r="H36461" s="612"/>
    </row>
    <row r="36462">
      <c r="B36462" s="612"/>
      <c r="H36462" s="612"/>
    </row>
    <row r="36463">
      <c r="B36463" s="612"/>
      <c r="H36463" s="612"/>
    </row>
    <row r="36464">
      <c r="B36464" s="612"/>
      <c r="H36464" s="612"/>
    </row>
    <row r="36465">
      <c r="B36465" s="612"/>
      <c r="H36465" s="612"/>
    </row>
    <row r="36466">
      <c r="B36466" s="612"/>
      <c r="H36466" s="612"/>
    </row>
    <row r="36467">
      <c r="B36467" s="612"/>
      <c r="H36467" s="612"/>
    </row>
    <row r="36468">
      <c r="B36468" s="612"/>
      <c r="H36468" s="612"/>
    </row>
    <row r="36469">
      <c r="B36469" s="612"/>
      <c r="H36469" s="612"/>
    </row>
    <row r="36470">
      <c r="B36470" s="612"/>
      <c r="H36470" s="612"/>
    </row>
    <row r="36471">
      <c r="B36471" s="612"/>
      <c r="H36471" s="612"/>
    </row>
    <row r="36472">
      <c r="B36472" s="612"/>
      <c r="H36472" s="612"/>
    </row>
    <row r="36473">
      <c r="B36473" s="612"/>
      <c r="H36473" s="612"/>
    </row>
    <row r="36474">
      <c r="B36474" s="612"/>
      <c r="H36474" s="612"/>
    </row>
    <row r="36475">
      <c r="B36475" s="612"/>
      <c r="H36475" s="612"/>
    </row>
    <row r="36476">
      <c r="B36476" s="612"/>
      <c r="H36476" s="612"/>
    </row>
    <row r="36477">
      <c r="B36477" s="612"/>
      <c r="H36477" s="612"/>
    </row>
    <row r="36478">
      <c r="B36478" s="612"/>
      <c r="H36478" s="612"/>
    </row>
    <row r="36479">
      <c r="B36479" s="612"/>
      <c r="H36479" s="612"/>
    </row>
    <row r="36480">
      <c r="B36480" s="612"/>
      <c r="H36480" s="612"/>
    </row>
    <row r="36481">
      <c r="B36481" s="612"/>
      <c r="H36481" s="612"/>
    </row>
    <row r="36482">
      <c r="B36482" s="612"/>
      <c r="H36482" s="612"/>
    </row>
    <row r="36483">
      <c r="B36483" s="612"/>
      <c r="H36483" s="612"/>
    </row>
    <row r="36484">
      <c r="B36484" s="612"/>
      <c r="H36484" s="612"/>
    </row>
    <row r="36485">
      <c r="B36485" s="612"/>
      <c r="H36485" s="612"/>
    </row>
    <row r="36486">
      <c r="B36486" s="612"/>
      <c r="H36486" s="612"/>
    </row>
    <row r="36487">
      <c r="B36487" s="612"/>
      <c r="H36487" s="612"/>
    </row>
    <row r="36488">
      <c r="B36488" s="612"/>
      <c r="H36488" s="612"/>
    </row>
    <row r="36489">
      <c r="B36489" s="612"/>
      <c r="H36489" s="612"/>
    </row>
    <row r="36490">
      <c r="B36490" s="612"/>
      <c r="H36490" s="612"/>
    </row>
    <row r="36491">
      <c r="B36491" s="612"/>
      <c r="H36491" s="612"/>
    </row>
    <row r="36492">
      <c r="B36492" s="612"/>
      <c r="H36492" s="612"/>
    </row>
    <row r="36493">
      <c r="B36493" s="612"/>
      <c r="H36493" s="612"/>
    </row>
    <row r="36494">
      <c r="B36494" s="612"/>
      <c r="H36494" s="612"/>
    </row>
    <row r="36495">
      <c r="B36495" s="612"/>
      <c r="H36495" s="612"/>
    </row>
    <row r="36496">
      <c r="B36496" s="612"/>
      <c r="H36496" s="612"/>
    </row>
    <row r="36497">
      <c r="B36497" s="612"/>
      <c r="H36497" s="612"/>
    </row>
    <row r="36498">
      <c r="B36498" s="612"/>
      <c r="H36498" s="612"/>
    </row>
    <row r="36499">
      <c r="B36499" s="612"/>
      <c r="H36499" s="612"/>
    </row>
    <row r="36500">
      <c r="B36500" s="612"/>
      <c r="H36500" s="612"/>
    </row>
    <row r="36501">
      <c r="B36501" s="612"/>
      <c r="H36501" s="612"/>
    </row>
    <row r="36502">
      <c r="B36502" s="612"/>
      <c r="H36502" s="612"/>
    </row>
    <row r="36503">
      <c r="B36503" s="612"/>
      <c r="H36503" s="612"/>
    </row>
    <row r="36504">
      <c r="B36504" s="612"/>
      <c r="H36504" s="612"/>
    </row>
    <row r="36505">
      <c r="B36505" s="612"/>
      <c r="H36505" s="612"/>
    </row>
    <row r="36506">
      <c r="B36506" s="612"/>
      <c r="H36506" s="612"/>
    </row>
    <row r="36507">
      <c r="B36507" s="612"/>
      <c r="H36507" s="612"/>
    </row>
    <row r="36508">
      <c r="B36508" s="612"/>
      <c r="H36508" s="612"/>
    </row>
    <row r="36509">
      <c r="B36509" s="612"/>
      <c r="H36509" s="612"/>
    </row>
    <row r="36510">
      <c r="B36510" s="612"/>
      <c r="H36510" s="612"/>
    </row>
    <row r="36511">
      <c r="B36511" s="612"/>
      <c r="H36511" s="612"/>
    </row>
    <row r="36512">
      <c r="B36512" s="612"/>
      <c r="H36512" s="612"/>
    </row>
    <row r="36513">
      <c r="B36513" s="612"/>
      <c r="H36513" s="612"/>
    </row>
    <row r="36514">
      <c r="B36514" s="612"/>
      <c r="H36514" s="612"/>
    </row>
    <row r="36515">
      <c r="B36515" s="612"/>
      <c r="H36515" s="612"/>
    </row>
    <row r="36516">
      <c r="B36516" s="612"/>
      <c r="H36516" s="612"/>
    </row>
    <row r="36517">
      <c r="B36517" s="612"/>
      <c r="H36517" s="612"/>
    </row>
    <row r="36518">
      <c r="B36518" s="612"/>
      <c r="H36518" s="612"/>
    </row>
    <row r="36519">
      <c r="B36519" s="612"/>
      <c r="H36519" s="612"/>
    </row>
    <row r="36520">
      <c r="B36520" s="612"/>
      <c r="H36520" s="612"/>
    </row>
    <row r="36521">
      <c r="B36521" s="612"/>
      <c r="H36521" s="612"/>
    </row>
    <row r="36522">
      <c r="B36522" s="612"/>
      <c r="H36522" s="612"/>
    </row>
    <row r="36523">
      <c r="B36523" s="612"/>
      <c r="H36523" s="612"/>
    </row>
    <row r="36524">
      <c r="B36524" s="612"/>
      <c r="H36524" s="612"/>
    </row>
    <row r="36525">
      <c r="B36525" s="612"/>
      <c r="H36525" s="612"/>
    </row>
    <row r="36526">
      <c r="B36526" s="612"/>
      <c r="H36526" s="612"/>
    </row>
    <row r="36527">
      <c r="B36527" s="612"/>
      <c r="H36527" s="612"/>
    </row>
    <row r="36528">
      <c r="B36528" s="612"/>
      <c r="H36528" s="612"/>
    </row>
    <row r="36529">
      <c r="B36529" s="612"/>
      <c r="H36529" s="612"/>
    </row>
    <row r="36530">
      <c r="B36530" s="612"/>
      <c r="H36530" s="612"/>
    </row>
    <row r="36531">
      <c r="B36531" s="612"/>
      <c r="H36531" s="612"/>
    </row>
    <row r="36532">
      <c r="B36532" s="612"/>
      <c r="H36532" s="612"/>
    </row>
    <row r="36533">
      <c r="B36533" s="612"/>
      <c r="H36533" s="612"/>
    </row>
    <row r="36534">
      <c r="B36534" s="612"/>
      <c r="H36534" s="612"/>
    </row>
    <row r="36535">
      <c r="B36535" s="612"/>
      <c r="H36535" s="612"/>
    </row>
    <row r="36536">
      <c r="B36536" s="612"/>
      <c r="H36536" s="612"/>
    </row>
    <row r="36537">
      <c r="B36537" s="612"/>
      <c r="H36537" s="612"/>
    </row>
    <row r="36538">
      <c r="B36538" s="612"/>
      <c r="H36538" s="612"/>
    </row>
    <row r="36539">
      <c r="B36539" s="612"/>
      <c r="H36539" s="612"/>
    </row>
    <row r="36540">
      <c r="B36540" s="612"/>
      <c r="H36540" s="612"/>
    </row>
    <row r="36541">
      <c r="B36541" s="612"/>
      <c r="H36541" s="612"/>
    </row>
    <row r="36542">
      <c r="B36542" s="612"/>
      <c r="H36542" s="612"/>
    </row>
    <row r="36543">
      <c r="B36543" s="612"/>
      <c r="H36543" s="612"/>
    </row>
    <row r="36544">
      <c r="B36544" s="612"/>
      <c r="H36544" s="612"/>
    </row>
    <row r="36545">
      <c r="B36545" s="612"/>
      <c r="H36545" s="612"/>
    </row>
    <row r="36546">
      <c r="B36546" s="612"/>
      <c r="H36546" s="612"/>
    </row>
    <row r="36547">
      <c r="B36547" s="612"/>
      <c r="H36547" s="612"/>
    </row>
    <row r="36548">
      <c r="B36548" s="612"/>
      <c r="H36548" s="612"/>
    </row>
    <row r="36549">
      <c r="B36549" s="612"/>
      <c r="H36549" s="612"/>
    </row>
    <row r="36550">
      <c r="B36550" s="612"/>
      <c r="H36550" s="612"/>
    </row>
    <row r="36551">
      <c r="B36551" s="612"/>
      <c r="H36551" s="612"/>
    </row>
    <row r="36552">
      <c r="B36552" s="612"/>
      <c r="H36552" s="612"/>
    </row>
    <row r="36553">
      <c r="B36553" s="612"/>
      <c r="H36553" s="612"/>
    </row>
    <row r="36554">
      <c r="B36554" s="612"/>
      <c r="H36554" s="612"/>
    </row>
    <row r="36555">
      <c r="B36555" s="612"/>
      <c r="H36555" s="612"/>
    </row>
    <row r="36556">
      <c r="B36556" s="612"/>
      <c r="H36556" s="612"/>
    </row>
    <row r="36557">
      <c r="B36557" s="612"/>
      <c r="H36557" s="612"/>
    </row>
    <row r="36558">
      <c r="B36558" s="612"/>
      <c r="H36558" s="612"/>
    </row>
    <row r="36559">
      <c r="B36559" s="612"/>
      <c r="H36559" s="612"/>
    </row>
    <row r="36560">
      <c r="B36560" s="612"/>
      <c r="H36560" s="612"/>
    </row>
    <row r="36561">
      <c r="B36561" s="612"/>
      <c r="H36561" s="612"/>
    </row>
    <row r="36562">
      <c r="B36562" s="612"/>
      <c r="H36562" s="612"/>
    </row>
    <row r="36563">
      <c r="B36563" s="612"/>
      <c r="H36563" s="612"/>
    </row>
    <row r="36564">
      <c r="B36564" s="612"/>
      <c r="H36564" s="612"/>
    </row>
    <row r="36565">
      <c r="B36565" s="612"/>
      <c r="H36565" s="612"/>
    </row>
    <row r="36566">
      <c r="B36566" s="612"/>
      <c r="H36566" s="612"/>
    </row>
    <row r="36567">
      <c r="B36567" s="612"/>
      <c r="H36567" s="612"/>
    </row>
    <row r="36568">
      <c r="B36568" s="612"/>
      <c r="H36568" s="612"/>
    </row>
    <row r="36569">
      <c r="B36569" s="612"/>
      <c r="H36569" s="612"/>
    </row>
    <row r="36570">
      <c r="B36570" s="612"/>
      <c r="H36570" s="612"/>
    </row>
    <row r="36571">
      <c r="B36571" s="612"/>
      <c r="H36571" s="612"/>
    </row>
    <row r="36572">
      <c r="B36572" s="612"/>
      <c r="H36572" s="612"/>
    </row>
    <row r="36573">
      <c r="B36573" s="612"/>
      <c r="H36573" s="612"/>
    </row>
    <row r="36574">
      <c r="B36574" s="612"/>
      <c r="H36574" s="612"/>
    </row>
    <row r="36575">
      <c r="B36575" s="612"/>
      <c r="H36575" s="612"/>
    </row>
    <row r="36576">
      <c r="B36576" s="612"/>
      <c r="H36576" s="612"/>
    </row>
    <row r="36577">
      <c r="B36577" s="612"/>
      <c r="H36577" s="612"/>
    </row>
    <row r="36578">
      <c r="B36578" s="612"/>
      <c r="H36578" s="612"/>
    </row>
    <row r="36579">
      <c r="B36579" s="612"/>
      <c r="H36579" s="612"/>
    </row>
    <row r="36580">
      <c r="B36580" s="612"/>
      <c r="H36580" s="612"/>
    </row>
    <row r="36581">
      <c r="B36581" s="612"/>
      <c r="H36581" s="612"/>
    </row>
    <row r="36582">
      <c r="B36582" s="612"/>
      <c r="H36582" s="612"/>
    </row>
    <row r="36583">
      <c r="B36583" s="612"/>
      <c r="H36583" s="612"/>
    </row>
    <row r="36584">
      <c r="B36584" s="612"/>
      <c r="H36584" s="612"/>
    </row>
    <row r="36585">
      <c r="B36585" s="612"/>
      <c r="H36585" s="612"/>
    </row>
    <row r="36586">
      <c r="B36586" s="612"/>
      <c r="H36586" s="612"/>
    </row>
    <row r="36587">
      <c r="B36587" s="612"/>
      <c r="H36587" s="612"/>
    </row>
    <row r="36588">
      <c r="B36588" s="612"/>
      <c r="H36588" s="612"/>
    </row>
    <row r="36589">
      <c r="B36589" s="612"/>
      <c r="H36589" s="612"/>
    </row>
    <row r="36590">
      <c r="B36590" s="612"/>
      <c r="H36590" s="612"/>
    </row>
    <row r="36591">
      <c r="B36591" s="612"/>
      <c r="H36591" s="612"/>
    </row>
    <row r="36592">
      <c r="B36592" s="612"/>
      <c r="H36592" s="612"/>
    </row>
    <row r="36593">
      <c r="B36593" s="612"/>
      <c r="H36593" s="612"/>
    </row>
    <row r="36594">
      <c r="B36594" s="612"/>
      <c r="H36594" s="612"/>
    </row>
    <row r="36595">
      <c r="B36595" s="612"/>
      <c r="H36595" s="612"/>
    </row>
    <row r="36596">
      <c r="B36596" s="612"/>
      <c r="H36596" s="612"/>
    </row>
    <row r="36597">
      <c r="B36597" s="612"/>
      <c r="H36597" s="612"/>
    </row>
    <row r="36598">
      <c r="B36598" s="612"/>
      <c r="H36598" s="612"/>
    </row>
    <row r="36599">
      <c r="B36599" s="612"/>
      <c r="H36599" s="612"/>
    </row>
    <row r="36600">
      <c r="B36600" s="612"/>
      <c r="H36600" s="612"/>
    </row>
    <row r="36601">
      <c r="B36601" s="612"/>
      <c r="H36601" s="612"/>
    </row>
    <row r="36602">
      <c r="B36602" s="612"/>
      <c r="H36602" s="612"/>
    </row>
    <row r="36603">
      <c r="B36603" s="612"/>
      <c r="H36603" s="612"/>
    </row>
    <row r="36604">
      <c r="B36604" s="612"/>
      <c r="H36604" s="612"/>
    </row>
    <row r="36605">
      <c r="B36605" s="612"/>
      <c r="H36605" s="612"/>
    </row>
    <row r="36606">
      <c r="B36606" s="612"/>
      <c r="H36606" s="612"/>
    </row>
    <row r="36607">
      <c r="B36607" s="612"/>
      <c r="H36607" s="612"/>
    </row>
    <row r="36608">
      <c r="B36608" s="612"/>
      <c r="H36608" s="612"/>
    </row>
    <row r="36609">
      <c r="B36609" s="612"/>
      <c r="H36609" s="612"/>
    </row>
    <row r="36610">
      <c r="B36610" s="612"/>
      <c r="H36610" s="612"/>
    </row>
    <row r="36611">
      <c r="B36611" s="612"/>
      <c r="H36611" s="612"/>
    </row>
    <row r="36612">
      <c r="B36612" s="612"/>
      <c r="H36612" s="612"/>
    </row>
    <row r="36613">
      <c r="B36613" s="612"/>
      <c r="H36613" s="612"/>
    </row>
    <row r="36614">
      <c r="B36614" s="612"/>
      <c r="H36614" s="612"/>
    </row>
    <row r="36615">
      <c r="B36615" s="612"/>
      <c r="H36615" s="612"/>
    </row>
    <row r="36616">
      <c r="B36616" s="612"/>
      <c r="H36616" s="612"/>
    </row>
    <row r="36617">
      <c r="B36617" s="612"/>
      <c r="H36617" s="612"/>
    </row>
    <row r="36618">
      <c r="B36618" s="612"/>
      <c r="H36618" s="612"/>
    </row>
    <row r="36619">
      <c r="B36619" s="612"/>
      <c r="H36619" s="612"/>
    </row>
    <row r="36620">
      <c r="B36620" s="612"/>
      <c r="H36620" s="612"/>
    </row>
    <row r="36621">
      <c r="B36621" s="612"/>
      <c r="H36621" s="612"/>
    </row>
    <row r="36622">
      <c r="B36622" s="612"/>
      <c r="H36622" s="612"/>
    </row>
    <row r="36623">
      <c r="B36623" s="612"/>
      <c r="H36623" s="612"/>
    </row>
    <row r="36624">
      <c r="B36624" s="612"/>
      <c r="H36624" s="612"/>
    </row>
    <row r="36625">
      <c r="B36625" s="612"/>
      <c r="H36625" s="612"/>
    </row>
    <row r="36626">
      <c r="B36626" s="612"/>
      <c r="H36626" s="612"/>
    </row>
    <row r="36627">
      <c r="B36627" s="612"/>
      <c r="H36627" s="612"/>
    </row>
    <row r="36628">
      <c r="B36628" s="612"/>
      <c r="H36628" s="612"/>
    </row>
    <row r="36629">
      <c r="B36629" s="612"/>
      <c r="H36629" s="612"/>
    </row>
    <row r="36630">
      <c r="B36630" s="612"/>
      <c r="H36630" s="612"/>
    </row>
    <row r="36631">
      <c r="B36631" s="612"/>
      <c r="H36631" s="612"/>
    </row>
    <row r="36632">
      <c r="B36632" s="612"/>
      <c r="H36632" s="612"/>
    </row>
    <row r="36633">
      <c r="B36633" s="612"/>
      <c r="H36633" s="612"/>
    </row>
    <row r="36634">
      <c r="B36634" s="612"/>
      <c r="H36634" s="612"/>
    </row>
    <row r="36635">
      <c r="B36635" s="612"/>
      <c r="H36635" s="612"/>
    </row>
    <row r="36636">
      <c r="B36636" s="612"/>
      <c r="H36636" s="612"/>
    </row>
    <row r="36637">
      <c r="B36637" s="612"/>
      <c r="H36637" s="612"/>
    </row>
    <row r="36638">
      <c r="B36638" s="612"/>
      <c r="H36638" s="612"/>
    </row>
    <row r="36639">
      <c r="B36639" s="612"/>
      <c r="H36639" s="612"/>
    </row>
    <row r="36640">
      <c r="B36640" s="612"/>
      <c r="H36640" s="612"/>
    </row>
    <row r="36641">
      <c r="B36641" s="612"/>
      <c r="H36641" s="612"/>
    </row>
    <row r="36642">
      <c r="B36642" s="612"/>
      <c r="H36642" s="612"/>
    </row>
    <row r="36643">
      <c r="B36643" s="612"/>
      <c r="H36643" s="612"/>
    </row>
    <row r="36644">
      <c r="B36644" s="612"/>
      <c r="H36644" s="612"/>
    </row>
    <row r="36645">
      <c r="B36645" s="612"/>
      <c r="H36645" s="612"/>
    </row>
    <row r="36646">
      <c r="B36646" s="612"/>
      <c r="H36646" s="612"/>
    </row>
    <row r="36647">
      <c r="B36647" s="612"/>
      <c r="H36647" s="612"/>
    </row>
    <row r="36648">
      <c r="B36648" s="612"/>
      <c r="H36648" s="612"/>
    </row>
    <row r="36649">
      <c r="B36649" s="612"/>
      <c r="H36649" s="612"/>
    </row>
    <row r="36650">
      <c r="B36650" s="612"/>
      <c r="H36650" s="612"/>
    </row>
    <row r="36651">
      <c r="B36651" s="612"/>
      <c r="H36651" s="612"/>
    </row>
    <row r="36652">
      <c r="B36652" s="612"/>
      <c r="H36652" s="612"/>
    </row>
    <row r="36653">
      <c r="B36653" s="612"/>
      <c r="H36653" s="612"/>
    </row>
    <row r="36654">
      <c r="B36654" s="612"/>
      <c r="H36654" s="612"/>
    </row>
    <row r="36655">
      <c r="B36655" s="612"/>
      <c r="H36655" s="612"/>
    </row>
    <row r="36656">
      <c r="B36656" s="612"/>
      <c r="H36656" s="612"/>
    </row>
    <row r="36657">
      <c r="B36657" s="612"/>
      <c r="H36657" s="612"/>
    </row>
    <row r="36658">
      <c r="B36658" s="612"/>
      <c r="H36658" s="612"/>
    </row>
    <row r="36659">
      <c r="B36659" s="612"/>
      <c r="H36659" s="612"/>
    </row>
    <row r="36660">
      <c r="B36660" s="612"/>
      <c r="H36660" s="612"/>
    </row>
    <row r="36661">
      <c r="B36661" s="612"/>
      <c r="H36661" s="612"/>
    </row>
    <row r="36662">
      <c r="B36662" s="612"/>
      <c r="H36662" s="612"/>
    </row>
    <row r="36663">
      <c r="B36663" s="612"/>
      <c r="H36663" s="612"/>
    </row>
    <row r="36664">
      <c r="B36664" s="612"/>
      <c r="H36664" s="612"/>
    </row>
    <row r="36665">
      <c r="B36665" s="612"/>
      <c r="H36665" s="612"/>
    </row>
    <row r="36666">
      <c r="B36666" s="612"/>
      <c r="H36666" s="612"/>
    </row>
    <row r="36667">
      <c r="B36667" s="612"/>
      <c r="H36667" s="612"/>
    </row>
    <row r="36668">
      <c r="B36668" s="612"/>
      <c r="H36668" s="612"/>
    </row>
    <row r="36669">
      <c r="B36669" s="612"/>
      <c r="H36669" s="612"/>
    </row>
    <row r="36670">
      <c r="B36670" s="612"/>
      <c r="H36670" s="612"/>
    </row>
    <row r="36671">
      <c r="B36671" s="612"/>
      <c r="H36671" s="612"/>
    </row>
    <row r="36672">
      <c r="B36672" s="612"/>
      <c r="H36672" s="612"/>
    </row>
    <row r="36673">
      <c r="B36673" s="612"/>
      <c r="H36673" s="612"/>
    </row>
    <row r="36674">
      <c r="B36674" s="612"/>
      <c r="H36674" s="612"/>
    </row>
    <row r="36675">
      <c r="B36675" s="612"/>
      <c r="H36675" s="612"/>
    </row>
    <row r="36676">
      <c r="B36676" s="612"/>
      <c r="H36676" s="612"/>
    </row>
    <row r="36677">
      <c r="B36677" s="612"/>
      <c r="H36677" s="612"/>
    </row>
    <row r="36678">
      <c r="B36678" s="612"/>
      <c r="H36678" s="612"/>
    </row>
    <row r="36679">
      <c r="B36679" s="612"/>
      <c r="H36679" s="612"/>
    </row>
    <row r="36680">
      <c r="B36680" s="612"/>
      <c r="H36680" s="612"/>
    </row>
    <row r="36681">
      <c r="B36681" s="612"/>
      <c r="H36681" s="612"/>
    </row>
    <row r="36682">
      <c r="B36682" s="612"/>
      <c r="H36682" s="612"/>
    </row>
    <row r="36683">
      <c r="B36683" s="612"/>
      <c r="H36683" s="612"/>
    </row>
    <row r="36684">
      <c r="B36684" s="612"/>
      <c r="H36684" s="612"/>
    </row>
    <row r="36685">
      <c r="B36685" s="612"/>
      <c r="H36685" s="612"/>
    </row>
    <row r="36686">
      <c r="B36686" s="612"/>
      <c r="H36686" s="612"/>
    </row>
    <row r="36687">
      <c r="B36687" s="612"/>
      <c r="H36687" s="612"/>
    </row>
    <row r="36688">
      <c r="B36688" s="612"/>
      <c r="H36688" s="612"/>
    </row>
    <row r="36689">
      <c r="B36689" s="612"/>
      <c r="H36689" s="612"/>
    </row>
    <row r="36690">
      <c r="B36690" s="612"/>
      <c r="H36690" s="612"/>
    </row>
    <row r="36691">
      <c r="B36691" s="612"/>
      <c r="H36691" s="612"/>
    </row>
    <row r="36692">
      <c r="B36692" s="612"/>
      <c r="H36692" s="612"/>
    </row>
    <row r="36693">
      <c r="B36693" s="612"/>
      <c r="H36693" s="612"/>
    </row>
    <row r="36694">
      <c r="B36694" s="612"/>
      <c r="H36694" s="612"/>
    </row>
    <row r="36695">
      <c r="B36695" s="612"/>
      <c r="H36695" s="612"/>
    </row>
    <row r="36696">
      <c r="B36696" s="612"/>
      <c r="H36696" s="612"/>
    </row>
    <row r="36697">
      <c r="B36697" s="612"/>
      <c r="H36697" s="612"/>
    </row>
    <row r="36698">
      <c r="B36698" s="612"/>
      <c r="H36698" s="612"/>
    </row>
    <row r="36699">
      <c r="B36699" s="612"/>
      <c r="H36699" s="612"/>
    </row>
    <row r="36700">
      <c r="B36700" s="612"/>
      <c r="H36700" s="612"/>
    </row>
    <row r="36701">
      <c r="B36701" s="612"/>
      <c r="H36701" s="612"/>
    </row>
    <row r="36702">
      <c r="B36702" s="612"/>
      <c r="H36702" s="612"/>
    </row>
    <row r="36703">
      <c r="B36703" s="612"/>
      <c r="H36703" s="612"/>
    </row>
    <row r="36704">
      <c r="B36704" s="612"/>
      <c r="H36704" s="612"/>
    </row>
    <row r="36705">
      <c r="B36705" s="612"/>
      <c r="H36705" s="612"/>
    </row>
    <row r="36706">
      <c r="B36706" s="612"/>
      <c r="H36706" s="612"/>
    </row>
    <row r="36707">
      <c r="B36707" s="612"/>
      <c r="H36707" s="612"/>
    </row>
    <row r="36708">
      <c r="B36708" s="612"/>
      <c r="H36708" s="612"/>
    </row>
    <row r="36709">
      <c r="B36709" s="612"/>
      <c r="H36709" s="612"/>
    </row>
    <row r="36710">
      <c r="B36710" s="612"/>
      <c r="H36710" s="612"/>
    </row>
    <row r="36711">
      <c r="B36711" s="612"/>
      <c r="H36711" s="612"/>
    </row>
    <row r="36712">
      <c r="B36712" s="612"/>
      <c r="H36712" s="612"/>
    </row>
    <row r="36713">
      <c r="B36713" s="612"/>
      <c r="H36713" s="612"/>
    </row>
    <row r="36714">
      <c r="B36714" s="612"/>
      <c r="H36714" s="612"/>
    </row>
    <row r="36715">
      <c r="B36715" s="612"/>
      <c r="H36715" s="612"/>
    </row>
    <row r="36716">
      <c r="B36716" s="612"/>
      <c r="H36716" s="612"/>
    </row>
    <row r="36717">
      <c r="B36717" s="612"/>
      <c r="H36717" s="612"/>
    </row>
    <row r="36718">
      <c r="B36718" s="612"/>
      <c r="H36718" s="612"/>
    </row>
    <row r="36719">
      <c r="B36719" s="612"/>
      <c r="H36719" s="612"/>
    </row>
    <row r="36720">
      <c r="B36720" s="612"/>
      <c r="H36720" s="612"/>
    </row>
    <row r="36721">
      <c r="B36721" s="612"/>
      <c r="H36721" s="612"/>
    </row>
    <row r="36722">
      <c r="B36722" s="612"/>
      <c r="H36722" s="612"/>
    </row>
    <row r="36723">
      <c r="B36723" s="612"/>
      <c r="H36723" s="612"/>
    </row>
    <row r="36724">
      <c r="B36724" s="612"/>
      <c r="H36724" s="612"/>
    </row>
    <row r="36725">
      <c r="B36725" s="612"/>
      <c r="H36725" s="612"/>
    </row>
    <row r="36726">
      <c r="B36726" s="612"/>
      <c r="H36726" s="612"/>
    </row>
    <row r="36727">
      <c r="B36727" s="612"/>
      <c r="H36727" s="612"/>
    </row>
    <row r="36728">
      <c r="B36728" s="612"/>
      <c r="H36728" s="612"/>
    </row>
    <row r="36729">
      <c r="B36729" s="612"/>
      <c r="H36729" s="612"/>
    </row>
    <row r="36730">
      <c r="B36730" s="612"/>
      <c r="H36730" s="612"/>
    </row>
    <row r="36731">
      <c r="B36731" s="612"/>
      <c r="H36731" s="612"/>
    </row>
    <row r="36732">
      <c r="B36732" s="612"/>
      <c r="H36732" s="612"/>
    </row>
    <row r="36733">
      <c r="B36733" s="612"/>
      <c r="H36733" s="612"/>
    </row>
    <row r="36734">
      <c r="B36734" s="612"/>
      <c r="H36734" s="612"/>
    </row>
    <row r="36735">
      <c r="B36735" s="612"/>
      <c r="H36735" s="612"/>
    </row>
    <row r="36736">
      <c r="B36736" s="612"/>
      <c r="H36736" s="612"/>
    </row>
    <row r="36737">
      <c r="B36737" s="612"/>
      <c r="H36737" s="612"/>
    </row>
    <row r="36738">
      <c r="B36738" s="612"/>
      <c r="H36738" s="612"/>
    </row>
    <row r="36739">
      <c r="B36739" s="612"/>
      <c r="H36739" s="612"/>
    </row>
    <row r="36740">
      <c r="B36740" s="612"/>
      <c r="H36740" s="612"/>
    </row>
    <row r="36741">
      <c r="B36741" s="612"/>
      <c r="H36741" s="612"/>
    </row>
    <row r="36742">
      <c r="B36742" s="612"/>
      <c r="H36742" s="612"/>
    </row>
    <row r="36743">
      <c r="B36743" s="612"/>
      <c r="H36743" s="612"/>
    </row>
    <row r="36744">
      <c r="B36744" s="612"/>
      <c r="H36744" s="612"/>
    </row>
    <row r="36745">
      <c r="B36745" s="612"/>
      <c r="H36745" s="612"/>
    </row>
    <row r="36746">
      <c r="B36746" s="612"/>
      <c r="H36746" s="612"/>
    </row>
    <row r="36747">
      <c r="B36747" s="612"/>
      <c r="H36747" s="612"/>
    </row>
    <row r="36748">
      <c r="B36748" s="612"/>
      <c r="H36748" s="612"/>
    </row>
    <row r="36749">
      <c r="B36749" s="612"/>
      <c r="H36749" s="612"/>
    </row>
    <row r="36750">
      <c r="B36750" s="612"/>
      <c r="H36750" s="612"/>
    </row>
    <row r="36751">
      <c r="B36751" s="612"/>
      <c r="H36751" s="612"/>
    </row>
    <row r="36752">
      <c r="B36752" s="612"/>
      <c r="H36752" s="612"/>
    </row>
    <row r="36753">
      <c r="B36753" s="612"/>
      <c r="H36753" s="612"/>
    </row>
    <row r="36754">
      <c r="B36754" s="612"/>
      <c r="H36754" s="612"/>
    </row>
    <row r="36755">
      <c r="B36755" s="612"/>
      <c r="H36755" s="612"/>
    </row>
    <row r="36756">
      <c r="B36756" s="612"/>
      <c r="H36756" s="612"/>
    </row>
    <row r="36757">
      <c r="B36757" s="612"/>
      <c r="H36757" s="612"/>
    </row>
    <row r="36758">
      <c r="B36758" s="612"/>
      <c r="H36758" s="612"/>
    </row>
    <row r="36759">
      <c r="B36759" s="612"/>
      <c r="H36759" s="612"/>
    </row>
    <row r="36760">
      <c r="B36760" s="612"/>
      <c r="H36760" s="612"/>
    </row>
    <row r="36761">
      <c r="B36761" s="612"/>
      <c r="H36761" s="612"/>
    </row>
    <row r="36762">
      <c r="B36762" s="612"/>
      <c r="H36762" s="612"/>
    </row>
    <row r="36763">
      <c r="B36763" s="612"/>
      <c r="H36763" s="612"/>
    </row>
    <row r="36764">
      <c r="B36764" s="612"/>
      <c r="H36764" s="612"/>
    </row>
    <row r="36765">
      <c r="B36765" s="612"/>
      <c r="H36765" s="612"/>
    </row>
    <row r="36766">
      <c r="B36766" s="612"/>
      <c r="H36766" s="612"/>
    </row>
    <row r="36767">
      <c r="B36767" s="612"/>
      <c r="H36767" s="612"/>
    </row>
    <row r="36768">
      <c r="B36768" s="612"/>
      <c r="H36768" s="612"/>
    </row>
    <row r="36769">
      <c r="B36769" s="612"/>
      <c r="H36769" s="612"/>
    </row>
    <row r="36770">
      <c r="B36770" s="612"/>
      <c r="H36770" s="612"/>
    </row>
    <row r="36771">
      <c r="B36771" s="612"/>
      <c r="H36771" s="612"/>
    </row>
    <row r="36772">
      <c r="B36772" s="612"/>
      <c r="H36772" s="612"/>
    </row>
    <row r="36773">
      <c r="B36773" s="612"/>
      <c r="H36773" s="612"/>
    </row>
    <row r="36774">
      <c r="B36774" s="612"/>
      <c r="H36774" s="612"/>
    </row>
    <row r="36775">
      <c r="B36775" s="612"/>
      <c r="H36775" s="612"/>
    </row>
    <row r="36776">
      <c r="B36776" s="612"/>
      <c r="H36776" s="612"/>
    </row>
    <row r="36777">
      <c r="B36777" s="612"/>
      <c r="H36777" s="612"/>
    </row>
    <row r="36778">
      <c r="B36778" s="612"/>
      <c r="H36778" s="612"/>
    </row>
    <row r="36779">
      <c r="B36779" s="612"/>
      <c r="H36779" s="612"/>
    </row>
    <row r="36780">
      <c r="B36780" s="612"/>
      <c r="H36780" s="612"/>
    </row>
    <row r="36781">
      <c r="B36781" s="612"/>
      <c r="H36781" s="612"/>
    </row>
    <row r="36782">
      <c r="B36782" s="612"/>
      <c r="H36782" s="612"/>
    </row>
    <row r="36783">
      <c r="B36783" s="612"/>
      <c r="H36783" s="612"/>
    </row>
    <row r="36784">
      <c r="B36784" s="612"/>
      <c r="H36784" s="612"/>
    </row>
    <row r="36785">
      <c r="B36785" s="612"/>
      <c r="H36785" s="612"/>
    </row>
    <row r="36786">
      <c r="B36786" s="612"/>
      <c r="H36786" s="612"/>
    </row>
    <row r="36787">
      <c r="B36787" s="612"/>
      <c r="H36787" s="612"/>
    </row>
    <row r="36788">
      <c r="B36788" s="612"/>
      <c r="H36788" s="612"/>
    </row>
    <row r="36789">
      <c r="B36789" s="612"/>
      <c r="H36789" s="612"/>
    </row>
    <row r="36790">
      <c r="B36790" s="612"/>
      <c r="H36790" s="612"/>
    </row>
    <row r="36791">
      <c r="B36791" s="612"/>
      <c r="H36791" s="612"/>
    </row>
    <row r="36792">
      <c r="B36792" s="612"/>
      <c r="H36792" s="612"/>
    </row>
    <row r="36793">
      <c r="B36793" s="612"/>
      <c r="H36793" s="612"/>
    </row>
    <row r="36794">
      <c r="B36794" s="612"/>
      <c r="H36794" s="612"/>
    </row>
    <row r="36795">
      <c r="B36795" s="612"/>
      <c r="H36795" s="612"/>
    </row>
    <row r="36796">
      <c r="B36796" s="612"/>
      <c r="H36796" s="612"/>
    </row>
    <row r="36797">
      <c r="B36797" s="612"/>
      <c r="H36797" s="612"/>
    </row>
    <row r="36798">
      <c r="B36798" s="612"/>
      <c r="H36798" s="612"/>
    </row>
    <row r="36799">
      <c r="B36799" s="612"/>
      <c r="H36799" s="612"/>
    </row>
    <row r="36800">
      <c r="B36800" s="612"/>
      <c r="H36800" s="612"/>
    </row>
    <row r="36801">
      <c r="B36801" s="612"/>
      <c r="H36801" s="612"/>
    </row>
    <row r="36802">
      <c r="B36802" s="612"/>
      <c r="H36802" s="612"/>
    </row>
    <row r="36803">
      <c r="B36803" s="612"/>
      <c r="H36803" s="612"/>
    </row>
    <row r="36804">
      <c r="B36804" s="612"/>
      <c r="H36804" s="612"/>
    </row>
    <row r="36805">
      <c r="B36805" s="612"/>
      <c r="H36805" s="612"/>
    </row>
    <row r="36806">
      <c r="B36806" s="612"/>
      <c r="H36806" s="612"/>
    </row>
    <row r="36807">
      <c r="B36807" s="612"/>
      <c r="H36807" s="612"/>
    </row>
    <row r="36808">
      <c r="B36808" s="612"/>
      <c r="H36808" s="612"/>
    </row>
    <row r="36809">
      <c r="B36809" s="612"/>
      <c r="H36809" s="612"/>
    </row>
    <row r="36810">
      <c r="B36810" s="612"/>
      <c r="H36810" s="612"/>
    </row>
    <row r="36811">
      <c r="B36811" s="612"/>
      <c r="H36811" s="612"/>
    </row>
    <row r="36812">
      <c r="B36812" s="612"/>
      <c r="H36812" s="612"/>
    </row>
    <row r="36813">
      <c r="B36813" s="612"/>
      <c r="H36813" s="612"/>
    </row>
    <row r="36814">
      <c r="B36814" s="612"/>
      <c r="H36814" s="612"/>
    </row>
    <row r="36815">
      <c r="B36815" s="612"/>
      <c r="H36815" s="612"/>
    </row>
    <row r="36816">
      <c r="B36816" s="612"/>
      <c r="H36816" s="612"/>
    </row>
    <row r="36817">
      <c r="B36817" s="612"/>
      <c r="H36817" s="612"/>
    </row>
    <row r="36818">
      <c r="B36818" s="612"/>
      <c r="H36818" s="612"/>
    </row>
    <row r="36819">
      <c r="B36819" s="612"/>
      <c r="H36819" s="612"/>
    </row>
    <row r="36820">
      <c r="B36820" s="612"/>
      <c r="H36820" s="612"/>
    </row>
    <row r="36821">
      <c r="B36821" s="612"/>
      <c r="H36821" s="612"/>
    </row>
    <row r="36822">
      <c r="B36822" s="612"/>
      <c r="H36822" s="612"/>
    </row>
    <row r="36823">
      <c r="B36823" s="612"/>
      <c r="H36823" s="612"/>
    </row>
    <row r="36824">
      <c r="B36824" s="612"/>
      <c r="H36824" s="612"/>
    </row>
    <row r="36825">
      <c r="B36825" s="612"/>
      <c r="H36825" s="612"/>
    </row>
    <row r="36826">
      <c r="B36826" s="612"/>
      <c r="H36826" s="612"/>
    </row>
    <row r="36827">
      <c r="B36827" s="612"/>
      <c r="H36827" s="612"/>
    </row>
    <row r="36828">
      <c r="B36828" s="612"/>
      <c r="H36828" s="612"/>
    </row>
    <row r="36829">
      <c r="B36829" s="612"/>
      <c r="H36829" s="612"/>
    </row>
    <row r="36830">
      <c r="B36830" s="612"/>
      <c r="H36830" s="612"/>
    </row>
    <row r="36831">
      <c r="B36831" s="612"/>
      <c r="H36831" s="612"/>
    </row>
    <row r="36832">
      <c r="B36832" s="612"/>
      <c r="H36832" s="612"/>
    </row>
    <row r="36833">
      <c r="B36833" s="612"/>
      <c r="H36833" s="612"/>
    </row>
    <row r="36834">
      <c r="B36834" s="612"/>
      <c r="H36834" s="612"/>
    </row>
    <row r="36835">
      <c r="B36835" s="612"/>
      <c r="H36835" s="612"/>
    </row>
    <row r="36836">
      <c r="B36836" s="612"/>
      <c r="H36836" s="612"/>
    </row>
    <row r="36837">
      <c r="B36837" s="612"/>
      <c r="H36837" s="612"/>
    </row>
    <row r="36838">
      <c r="B36838" s="612"/>
      <c r="H36838" s="612"/>
    </row>
    <row r="36839">
      <c r="B36839" s="612"/>
      <c r="H36839" s="612"/>
    </row>
    <row r="36840">
      <c r="B36840" s="612"/>
      <c r="H36840" s="612"/>
    </row>
    <row r="36841">
      <c r="B36841" s="612"/>
      <c r="H36841" s="612"/>
    </row>
    <row r="36842">
      <c r="B36842" s="612"/>
      <c r="H36842" s="612"/>
    </row>
    <row r="36843">
      <c r="B36843" s="612"/>
      <c r="H36843" s="612"/>
    </row>
    <row r="36844">
      <c r="B36844" s="612"/>
      <c r="H36844" s="612"/>
    </row>
    <row r="36845">
      <c r="B36845" s="612"/>
      <c r="H36845" s="612"/>
    </row>
    <row r="36846">
      <c r="B36846" s="612"/>
      <c r="H36846" s="612"/>
    </row>
    <row r="36847">
      <c r="B36847" s="612"/>
      <c r="H36847" s="612"/>
    </row>
    <row r="36848">
      <c r="B36848" s="612"/>
      <c r="H36848" s="612"/>
    </row>
    <row r="36849">
      <c r="B36849" s="612"/>
      <c r="H36849" s="612"/>
    </row>
    <row r="36850">
      <c r="B36850" s="612"/>
      <c r="H36850" s="612"/>
    </row>
    <row r="36851">
      <c r="B36851" s="612"/>
      <c r="H36851" s="612"/>
    </row>
    <row r="36852">
      <c r="B36852" s="612"/>
      <c r="H36852" s="612"/>
    </row>
    <row r="36853">
      <c r="B36853" s="612"/>
      <c r="H36853" s="612"/>
    </row>
    <row r="36854">
      <c r="B36854" s="612"/>
      <c r="H36854" s="612"/>
    </row>
    <row r="36855">
      <c r="B36855" s="612"/>
      <c r="H36855" s="612"/>
    </row>
    <row r="36856">
      <c r="B36856" s="612"/>
      <c r="H36856" s="612"/>
    </row>
    <row r="36857">
      <c r="B36857" s="612"/>
      <c r="H36857" s="612"/>
    </row>
    <row r="36858">
      <c r="B36858" s="612"/>
      <c r="H36858" s="612"/>
    </row>
    <row r="36859">
      <c r="B36859" s="612"/>
      <c r="H36859" s="612"/>
    </row>
    <row r="36860">
      <c r="B36860" s="612"/>
      <c r="H36860" s="612"/>
    </row>
    <row r="36861">
      <c r="B36861" s="612"/>
      <c r="H36861" s="612"/>
    </row>
    <row r="36862">
      <c r="B36862" s="612"/>
      <c r="H36862" s="612"/>
    </row>
    <row r="36863">
      <c r="B36863" s="612"/>
      <c r="H36863" s="612"/>
    </row>
    <row r="36864">
      <c r="B36864" s="612"/>
      <c r="H36864" s="612"/>
    </row>
    <row r="36865">
      <c r="B36865" s="612"/>
      <c r="H36865" s="612"/>
    </row>
    <row r="36866">
      <c r="B36866" s="612"/>
      <c r="H36866" s="612"/>
    </row>
    <row r="36867">
      <c r="B36867" s="612"/>
      <c r="H36867" s="612"/>
    </row>
    <row r="36868">
      <c r="B36868" s="612"/>
      <c r="H36868" s="612"/>
    </row>
    <row r="36869">
      <c r="B36869" s="612"/>
      <c r="H36869" s="612"/>
    </row>
    <row r="36870">
      <c r="B36870" s="612"/>
      <c r="H36870" s="612"/>
    </row>
    <row r="36871">
      <c r="B36871" s="612"/>
      <c r="H36871" s="612"/>
    </row>
    <row r="36872">
      <c r="B36872" s="612"/>
      <c r="H36872" s="612"/>
    </row>
    <row r="36873">
      <c r="B36873" s="612"/>
      <c r="H36873" s="612"/>
    </row>
    <row r="36874">
      <c r="B36874" s="612"/>
      <c r="H36874" s="612"/>
    </row>
    <row r="36875">
      <c r="B36875" s="612"/>
      <c r="H36875" s="612"/>
    </row>
    <row r="36876">
      <c r="B36876" s="612"/>
      <c r="H36876" s="612"/>
    </row>
    <row r="36877">
      <c r="B36877" s="612"/>
      <c r="H36877" s="612"/>
    </row>
    <row r="36878">
      <c r="B36878" s="612"/>
      <c r="H36878" s="612"/>
    </row>
    <row r="36879">
      <c r="B36879" s="612"/>
      <c r="H36879" s="612"/>
    </row>
    <row r="36880">
      <c r="B36880" s="612"/>
      <c r="H36880" s="612"/>
    </row>
    <row r="36881">
      <c r="B36881" s="612"/>
      <c r="H36881" s="612"/>
    </row>
    <row r="36882">
      <c r="B36882" s="612"/>
      <c r="H36882" s="612"/>
    </row>
    <row r="36883">
      <c r="B36883" s="612"/>
      <c r="H36883" s="612"/>
    </row>
    <row r="36884">
      <c r="B36884" s="612"/>
      <c r="H36884" s="612"/>
    </row>
    <row r="36885">
      <c r="B36885" s="612"/>
      <c r="H36885" s="612"/>
    </row>
    <row r="36886">
      <c r="B36886" s="612"/>
      <c r="H36886" s="612"/>
    </row>
    <row r="36887">
      <c r="B36887" s="612"/>
      <c r="H36887" s="612"/>
    </row>
    <row r="36888">
      <c r="B36888" s="612"/>
      <c r="H36888" s="612"/>
    </row>
    <row r="36889">
      <c r="B36889" s="612"/>
      <c r="H36889" s="612"/>
    </row>
    <row r="36890">
      <c r="B36890" s="612"/>
      <c r="H36890" s="612"/>
    </row>
    <row r="36891">
      <c r="B36891" s="612"/>
      <c r="H36891" s="612"/>
    </row>
    <row r="36892">
      <c r="B36892" s="612"/>
      <c r="H36892" s="612"/>
    </row>
    <row r="36893">
      <c r="B36893" s="612"/>
      <c r="H36893" s="612"/>
    </row>
    <row r="36894">
      <c r="B36894" s="612"/>
      <c r="H36894" s="612"/>
    </row>
    <row r="36895">
      <c r="B36895" s="612"/>
      <c r="H36895" s="612"/>
    </row>
    <row r="36896">
      <c r="B36896" s="612"/>
      <c r="H36896" s="612"/>
    </row>
    <row r="36897">
      <c r="B36897" s="612"/>
      <c r="H36897" s="612"/>
    </row>
    <row r="36898">
      <c r="B36898" s="612"/>
      <c r="H36898" s="612"/>
    </row>
    <row r="36899">
      <c r="B36899" s="612"/>
      <c r="H36899" s="612"/>
    </row>
    <row r="36900">
      <c r="B36900" s="612"/>
      <c r="H36900" s="612"/>
    </row>
    <row r="36901">
      <c r="B36901" s="612"/>
      <c r="H36901" s="612"/>
    </row>
    <row r="36902">
      <c r="B36902" s="612"/>
      <c r="H36902" s="612"/>
    </row>
    <row r="36903">
      <c r="B36903" s="612"/>
      <c r="H36903" s="612"/>
    </row>
    <row r="36904">
      <c r="B36904" s="612"/>
      <c r="H36904" s="612"/>
    </row>
    <row r="36905">
      <c r="B36905" s="612"/>
      <c r="H36905" s="612"/>
    </row>
    <row r="36906">
      <c r="B36906" s="612"/>
      <c r="H36906" s="612"/>
    </row>
    <row r="36907">
      <c r="B36907" s="612"/>
      <c r="H36907" s="612"/>
    </row>
    <row r="36908">
      <c r="B36908" s="612"/>
      <c r="H36908" s="612"/>
    </row>
    <row r="36909">
      <c r="B36909" s="612"/>
      <c r="H36909" s="612"/>
    </row>
    <row r="36910">
      <c r="B36910" s="612"/>
      <c r="H36910" s="612"/>
    </row>
    <row r="36911">
      <c r="B36911" s="612"/>
      <c r="H36911" s="612"/>
    </row>
    <row r="36912">
      <c r="B36912" s="612"/>
      <c r="H36912" s="612"/>
    </row>
    <row r="36913">
      <c r="B36913" s="612"/>
      <c r="H36913" s="612"/>
    </row>
    <row r="36914">
      <c r="B36914" s="612"/>
      <c r="H36914" s="612"/>
    </row>
    <row r="36915">
      <c r="B36915" s="612"/>
      <c r="H36915" s="612"/>
    </row>
    <row r="36916">
      <c r="B36916" s="612"/>
      <c r="H36916" s="612"/>
    </row>
    <row r="36917">
      <c r="B36917" s="612"/>
      <c r="H36917" s="612"/>
    </row>
    <row r="36918">
      <c r="B36918" s="612"/>
      <c r="H36918" s="612"/>
    </row>
    <row r="36919">
      <c r="B36919" s="612"/>
      <c r="H36919" s="612"/>
    </row>
    <row r="36920">
      <c r="B36920" s="612"/>
      <c r="H36920" s="612"/>
    </row>
    <row r="36921">
      <c r="B36921" s="612"/>
      <c r="H36921" s="612"/>
    </row>
    <row r="36922">
      <c r="B36922" s="612"/>
      <c r="H36922" s="612"/>
    </row>
    <row r="36923">
      <c r="B36923" s="612"/>
      <c r="H36923" s="612"/>
    </row>
    <row r="36924">
      <c r="B36924" s="612"/>
      <c r="H36924" s="612"/>
    </row>
    <row r="36925">
      <c r="B36925" s="612"/>
      <c r="H36925" s="612"/>
    </row>
    <row r="36926">
      <c r="B36926" s="612"/>
      <c r="H36926" s="612"/>
    </row>
    <row r="36927">
      <c r="B36927" s="612"/>
      <c r="H36927" s="612"/>
    </row>
    <row r="36928">
      <c r="B36928" s="612"/>
      <c r="H36928" s="612"/>
    </row>
    <row r="36929">
      <c r="B36929" s="612"/>
      <c r="H36929" s="612"/>
    </row>
    <row r="36930">
      <c r="B36930" s="612"/>
      <c r="H36930" s="612"/>
    </row>
    <row r="36931">
      <c r="B36931" s="612"/>
      <c r="H36931" s="612"/>
    </row>
    <row r="36932">
      <c r="B36932" s="612"/>
      <c r="H36932" s="612"/>
    </row>
    <row r="36933">
      <c r="B36933" s="612"/>
      <c r="H36933" s="612"/>
    </row>
    <row r="36934">
      <c r="B36934" s="612"/>
      <c r="H36934" s="612"/>
    </row>
    <row r="36935">
      <c r="B36935" s="612"/>
      <c r="H36935" s="612"/>
    </row>
    <row r="36936">
      <c r="B36936" s="612"/>
      <c r="H36936" s="612"/>
    </row>
    <row r="36937">
      <c r="B36937" s="612"/>
      <c r="H36937" s="612"/>
    </row>
    <row r="36938">
      <c r="B36938" s="612"/>
      <c r="H36938" s="612"/>
    </row>
    <row r="36939">
      <c r="B36939" s="612"/>
      <c r="H36939" s="612"/>
    </row>
    <row r="36940">
      <c r="B36940" s="612"/>
      <c r="H36940" s="612"/>
    </row>
    <row r="36941">
      <c r="B36941" s="612"/>
      <c r="H36941" s="612"/>
    </row>
    <row r="36942">
      <c r="B36942" s="612"/>
      <c r="H36942" s="612"/>
    </row>
    <row r="36943">
      <c r="B36943" s="612"/>
      <c r="H36943" s="612"/>
    </row>
    <row r="36944">
      <c r="B36944" s="612"/>
      <c r="H36944" s="612"/>
    </row>
    <row r="36945">
      <c r="B36945" s="612"/>
      <c r="H36945" s="612"/>
    </row>
    <row r="36946">
      <c r="B36946" s="612"/>
      <c r="H36946" s="612"/>
    </row>
    <row r="36947">
      <c r="B36947" s="612"/>
      <c r="H36947" s="612"/>
    </row>
    <row r="36948">
      <c r="B36948" s="612"/>
      <c r="H36948" s="612"/>
    </row>
    <row r="36949">
      <c r="B36949" s="612"/>
      <c r="H36949" s="612"/>
    </row>
    <row r="36950">
      <c r="B36950" s="612"/>
      <c r="H36950" s="612"/>
    </row>
    <row r="36951">
      <c r="B36951" s="612"/>
      <c r="H36951" s="612"/>
    </row>
    <row r="36952">
      <c r="B36952" s="612"/>
      <c r="H36952" s="612"/>
    </row>
    <row r="36953">
      <c r="B36953" s="612"/>
      <c r="H36953" s="612"/>
    </row>
    <row r="36954">
      <c r="B36954" s="612"/>
      <c r="H36954" s="612"/>
    </row>
    <row r="36955">
      <c r="B36955" s="612"/>
      <c r="H36955" s="612"/>
    </row>
    <row r="36956">
      <c r="B36956" s="612"/>
      <c r="H36956" s="612"/>
    </row>
    <row r="36957">
      <c r="B36957" s="612"/>
      <c r="H36957" s="612"/>
    </row>
    <row r="36958">
      <c r="B36958" s="612"/>
      <c r="H36958" s="612"/>
    </row>
    <row r="36959">
      <c r="B36959" s="612"/>
      <c r="H36959" s="612"/>
    </row>
    <row r="36960">
      <c r="B36960" s="612"/>
      <c r="H36960" s="612"/>
    </row>
    <row r="36961">
      <c r="B36961" s="612"/>
      <c r="H36961" s="612"/>
    </row>
    <row r="36962">
      <c r="B36962" s="612"/>
      <c r="H36962" s="612"/>
    </row>
    <row r="36963">
      <c r="B36963" s="612"/>
      <c r="H36963" s="612"/>
    </row>
    <row r="36964">
      <c r="B36964" s="612"/>
      <c r="H36964" s="612"/>
    </row>
    <row r="36965">
      <c r="B36965" s="612"/>
      <c r="H36965" s="612"/>
    </row>
    <row r="36966">
      <c r="B36966" s="612"/>
      <c r="H36966" s="612"/>
    </row>
    <row r="36967">
      <c r="B36967" s="612"/>
      <c r="H36967" s="612"/>
    </row>
    <row r="36968">
      <c r="B36968" s="612"/>
      <c r="H36968" s="612"/>
    </row>
    <row r="36969">
      <c r="B36969" s="612"/>
      <c r="H36969" s="612"/>
    </row>
    <row r="36970">
      <c r="B36970" s="612"/>
      <c r="H36970" s="612"/>
    </row>
    <row r="36971">
      <c r="B36971" s="612"/>
      <c r="H36971" s="612"/>
    </row>
    <row r="36972">
      <c r="B36972" s="612"/>
      <c r="H36972" s="612"/>
    </row>
    <row r="36973">
      <c r="B36973" s="612"/>
      <c r="H36973" s="612"/>
    </row>
    <row r="36974">
      <c r="B36974" s="612"/>
      <c r="H36974" s="612"/>
    </row>
    <row r="36975">
      <c r="B36975" s="612"/>
      <c r="H36975" s="612"/>
    </row>
    <row r="36976">
      <c r="B36976" s="612"/>
      <c r="H36976" s="612"/>
    </row>
    <row r="36977">
      <c r="B36977" s="612"/>
      <c r="H36977" s="612"/>
    </row>
    <row r="36978">
      <c r="B36978" s="612"/>
      <c r="H36978" s="612"/>
    </row>
    <row r="36979">
      <c r="B36979" s="612"/>
      <c r="H36979" s="612"/>
    </row>
    <row r="36980">
      <c r="B36980" s="612"/>
      <c r="H36980" s="612"/>
    </row>
    <row r="36981">
      <c r="B36981" s="612"/>
      <c r="H36981" s="612"/>
    </row>
    <row r="36982">
      <c r="B36982" s="612"/>
      <c r="H36982" s="612"/>
    </row>
    <row r="36983">
      <c r="B36983" s="612"/>
      <c r="H36983" s="612"/>
    </row>
    <row r="36984">
      <c r="B36984" s="612"/>
      <c r="H36984" s="612"/>
    </row>
    <row r="36985">
      <c r="B36985" s="612"/>
      <c r="H36985" s="612"/>
    </row>
    <row r="36986">
      <c r="B36986" s="612"/>
      <c r="H36986" s="612"/>
    </row>
    <row r="36987">
      <c r="B36987" s="612"/>
      <c r="H36987" s="612"/>
    </row>
    <row r="36988">
      <c r="B36988" s="612"/>
      <c r="H36988" s="612"/>
    </row>
    <row r="36989">
      <c r="B36989" s="612"/>
      <c r="H36989" s="612"/>
    </row>
    <row r="36990">
      <c r="B36990" s="612"/>
      <c r="H36990" s="612"/>
    </row>
    <row r="36991">
      <c r="B36991" s="612"/>
      <c r="H36991" s="612"/>
    </row>
    <row r="36992">
      <c r="B36992" s="612"/>
      <c r="H36992" s="612"/>
    </row>
    <row r="36993">
      <c r="B36993" s="612"/>
      <c r="H36993" s="612"/>
    </row>
    <row r="36994">
      <c r="B36994" s="612"/>
      <c r="H36994" s="612"/>
    </row>
    <row r="36995">
      <c r="B36995" s="612"/>
      <c r="H36995" s="612"/>
    </row>
    <row r="36996">
      <c r="B36996" s="612"/>
      <c r="H36996" s="612"/>
    </row>
    <row r="36997">
      <c r="B36997" s="612"/>
      <c r="H36997" s="612"/>
    </row>
    <row r="36998">
      <c r="B36998" s="612"/>
      <c r="H36998" s="612"/>
    </row>
    <row r="36999">
      <c r="B36999" s="612"/>
      <c r="H36999" s="612"/>
    </row>
    <row r="37000">
      <c r="B37000" s="612"/>
      <c r="H37000" s="612"/>
    </row>
    <row r="37001">
      <c r="B37001" s="612"/>
      <c r="H37001" s="612"/>
    </row>
    <row r="37002">
      <c r="B37002" s="612"/>
      <c r="H37002" s="612"/>
    </row>
    <row r="37003">
      <c r="B37003" s="612"/>
      <c r="H37003" s="612"/>
    </row>
    <row r="37004">
      <c r="B37004" s="612"/>
      <c r="H37004" s="612"/>
    </row>
    <row r="37005">
      <c r="B37005" s="612"/>
      <c r="H37005" s="612"/>
    </row>
    <row r="37006">
      <c r="B37006" s="612"/>
      <c r="H37006" s="612"/>
    </row>
    <row r="37007">
      <c r="B37007" s="612"/>
      <c r="H37007" s="612"/>
    </row>
    <row r="37008">
      <c r="B37008" s="612"/>
      <c r="H37008" s="612"/>
    </row>
    <row r="37009">
      <c r="B37009" s="612"/>
      <c r="H37009" s="612"/>
    </row>
    <row r="37010">
      <c r="B37010" s="612"/>
      <c r="H37010" s="612"/>
    </row>
    <row r="37011">
      <c r="B37011" s="612"/>
      <c r="H37011" s="612"/>
    </row>
    <row r="37012">
      <c r="B37012" s="612"/>
      <c r="H37012" s="612"/>
    </row>
    <row r="37013">
      <c r="B37013" s="612"/>
      <c r="H37013" s="612"/>
    </row>
    <row r="37014">
      <c r="B37014" s="612"/>
      <c r="H37014" s="612"/>
    </row>
    <row r="37015">
      <c r="B37015" s="612"/>
      <c r="H37015" s="612"/>
    </row>
    <row r="37016">
      <c r="B37016" s="612"/>
      <c r="H37016" s="612"/>
    </row>
    <row r="37017">
      <c r="B37017" s="612"/>
      <c r="H37017" s="612"/>
    </row>
    <row r="37018">
      <c r="B37018" s="612"/>
      <c r="H37018" s="612"/>
    </row>
    <row r="37019">
      <c r="B37019" s="612"/>
      <c r="H37019" s="612"/>
    </row>
    <row r="37020">
      <c r="B37020" s="612"/>
      <c r="H37020" s="612"/>
    </row>
    <row r="37021">
      <c r="B37021" s="612"/>
      <c r="H37021" s="612"/>
    </row>
    <row r="37022">
      <c r="B37022" s="612"/>
      <c r="H37022" s="612"/>
    </row>
    <row r="37023">
      <c r="B37023" s="612"/>
      <c r="H37023" s="612"/>
    </row>
    <row r="37024">
      <c r="B37024" s="612"/>
      <c r="H37024" s="612"/>
    </row>
    <row r="37025">
      <c r="B37025" s="612"/>
      <c r="H37025" s="612"/>
    </row>
    <row r="37026">
      <c r="B37026" s="612"/>
      <c r="H37026" s="612"/>
    </row>
    <row r="37027">
      <c r="B37027" s="612"/>
      <c r="H37027" s="612"/>
    </row>
    <row r="37028">
      <c r="B37028" s="612"/>
      <c r="H37028" s="612"/>
    </row>
    <row r="37029">
      <c r="B37029" s="612"/>
      <c r="H37029" s="612"/>
    </row>
    <row r="37030">
      <c r="B37030" s="612"/>
      <c r="H37030" s="612"/>
    </row>
    <row r="37031">
      <c r="B37031" s="612"/>
      <c r="H37031" s="612"/>
    </row>
    <row r="37032">
      <c r="B37032" s="612"/>
      <c r="H37032" s="612"/>
    </row>
    <row r="37033">
      <c r="B37033" s="612"/>
      <c r="H37033" s="612"/>
    </row>
    <row r="37034">
      <c r="B37034" s="612"/>
      <c r="H37034" s="612"/>
    </row>
    <row r="37035">
      <c r="B37035" s="612"/>
      <c r="H37035" s="612"/>
    </row>
    <row r="37036">
      <c r="B37036" s="612"/>
      <c r="H37036" s="612"/>
    </row>
    <row r="37037">
      <c r="B37037" s="612"/>
      <c r="H37037" s="612"/>
    </row>
    <row r="37038">
      <c r="B37038" s="612"/>
      <c r="H37038" s="612"/>
    </row>
    <row r="37039">
      <c r="B37039" s="612"/>
      <c r="H37039" s="612"/>
    </row>
    <row r="37040">
      <c r="B37040" s="612"/>
      <c r="H37040" s="612"/>
    </row>
    <row r="37041">
      <c r="B37041" s="612"/>
      <c r="H37041" s="612"/>
    </row>
    <row r="37042">
      <c r="B37042" s="612"/>
      <c r="H37042" s="612"/>
    </row>
    <row r="37043">
      <c r="B37043" s="612"/>
      <c r="H37043" s="612"/>
    </row>
    <row r="37044">
      <c r="B37044" s="612"/>
      <c r="H37044" s="612"/>
    </row>
    <row r="37045">
      <c r="B37045" s="612"/>
      <c r="H37045" s="612"/>
    </row>
    <row r="37046">
      <c r="B37046" s="612"/>
      <c r="H37046" s="612"/>
    </row>
    <row r="37047">
      <c r="B37047" s="612"/>
      <c r="H37047" s="612"/>
    </row>
    <row r="37048">
      <c r="B37048" s="612"/>
      <c r="H37048" s="612"/>
    </row>
    <row r="37049">
      <c r="B37049" s="612"/>
      <c r="H37049" s="612"/>
    </row>
    <row r="37050">
      <c r="B37050" s="612"/>
      <c r="H37050" s="612"/>
    </row>
    <row r="37051">
      <c r="B37051" s="612"/>
      <c r="H37051" s="612"/>
    </row>
    <row r="37052">
      <c r="B37052" s="612"/>
      <c r="H37052" s="612"/>
    </row>
    <row r="37053">
      <c r="B37053" s="612"/>
      <c r="H37053" s="612"/>
    </row>
    <row r="37054">
      <c r="B37054" s="612"/>
      <c r="H37054" s="612"/>
    </row>
    <row r="37055">
      <c r="B37055" s="612"/>
      <c r="H37055" s="612"/>
    </row>
    <row r="37056">
      <c r="B37056" s="612"/>
      <c r="H37056" s="612"/>
    </row>
    <row r="37057">
      <c r="B37057" s="612"/>
      <c r="H37057" s="612"/>
    </row>
    <row r="37058">
      <c r="B37058" s="612"/>
      <c r="H37058" s="612"/>
    </row>
    <row r="37059">
      <c r="B37059" s="612"/>
      <c r="H37059" s="612"/>
    </row>
    <row r="37060">
      <c r="B37060" s="612"/>
      <c r="H37060" s="612"/>
    </row>
    <row r="37061">
      <c r="B37061" s="612"/>
      <c r="H37061" s="612"/>
    </row>
    <row r="37062">
      <c r="B37062" s="612"/>
      <c r="H37062" s="612"/>
    </row>
    <row r="37063">
      <c r="B37063" s="612"/>
      <c r="H37063" s="612"/>
    </row>
    <row r="37064">
      <c r="B37064" s="612"/>
      <c r="H37064" s="612"/>
    </row>
    <row r="37065">
      <c r="B37065" s="612"/>
      <c r="H37065" s="612"/>
    </row>
    <row r="37066">
      <c r="B37066" s="612"/>
      <c r="H37066" s="612"/>
    </row>
    <row r="37067">
      <c r="B37067" s="612"/>
      <c r="H37067" s="612"/>
    </row>
    <row r="37068">
      <c r="B37068" s="612"/>
      <c r="H37068" s="612"/>
    </row>
    <row r="37069">
      <c r="B37069" s="612"/>
      <c r="H37069" s="612"/>
    </row>
    <row r="37070">
      <c r="B37070" s="612"/>
      <c r="H37070" s="612"/>
    </row>
    <row r="37071">
      <c r="B37071" s="612"/>
      <c r="H37071" s="612"/>
    </row>
    <row r="37072">
      <c r="B37072" s="612"/>
      <c r="H37072" s="612"/>
    </row>
    <row r="37073">
      <c r="B37073" s="612"/>
      <c r="H37073" s="612"/>
    </row>
    <row r="37074">
      <c r="B37074" s="612"/>
      <c r="H37074" s="612"/>
    </row>
    <row r="37075">
      <c r="B37075" s="612"/>
      <c r="H37075" s="612"/>
    </row>
    <row r="37076">
      <c r="B37076" s="612"/>
      <c r="H37076" s="612"/>
    </row>
    <row r="37077">
      <c r="B37077" s="612"/>
      <c r="H37077" s="612"/>
    </row>
    <row r="37078">
      <c r="B37078" s="612"/>
      <c r="H37078" s="612"/>
    </row>
    <row r="37079">
      <c r="B37079" s="612"/>
      <c r="H37079" s="612"/>
    </row>
    <row r="37080">
      <c r="B37080" s="612"/>
      <c r="H37080" s="612"/>
    </row>
    <row r="37081">
      <c r="B37081" s="612"/>
      <c r="H37081" s="612"/>
    </row>
    <row r="37082">
      <c r="B37082" s="612"/>
      <c r="H37082" s="612"/>
    </row>
    <row r="37083">
      <c r="B37083" s="612"/>
      <c r="H37083" s="612"/>
    </row>
    <row r="37084">
      <c r="B37084" s="612"/>
      <c r="H37084" s="612"/>
    </row>
    <row r="37085">
      <c r="B37085" s="612"/>
      <c r="H37085" s="612"/>
    </row>
    <row r="37086">
      <c r="B37086" s="612"/>
      <c r="H37086" s="612"/>
    </row>
    <row r="37087">
      <c r="B37087" s="612"/>
      <c r="H37087" s="612"/>
    </row>
    <row r="37088">
      <c r="B37088" s="612"/>
      <c r="H37088" s="612"/>
    </row>
    <row r="37089">
      <c r="B37089" s="612"/>
      <c r="H37089" s="612"/>
    </row>
    <row r="37090">
      <c r="B37090" s="612"/>
      <c r="H37090" s="612"/>
    </row>
    <row r="37091">
      <c r="B37091" s="612"/>
      <c r="H37091" s="612"/>
    </row>
    <row r="37092">
      <c r="B37092" s="612"/>
      <c r="H37092" s="612"/>
    </row>
    <row r="37093">
      <c r="B37093" s="612"/>
      <c r="H37093" s="612"/>
    </row>
    <row r="37094">
      <c r="B37094" s="612"/>
      <c r="H37094" s="612"/>
    </row>
    <row r="37095">
      <c r="B37095" s="612"/>
      <c r="H37095" s="612"/>
    </row>
    <row r="37096">
      <c r="B37096" s="612"/>
      <c r="H37096" s="612"/>
    </row>
    <row r="37097">
      <c r="B37097" s="612"/>
      <c r="H37097" s="612"/>
    </row>
    <row r="37098">
      <c r="B37098" s="612"/>
      <c r="H37098" s="612"/>
    </row>
    <row r="37099">
      <c r="B37099" s="612"/>
      <c r="H37099" s="612"/>
    </row>
    <row r="37100">
      <c r="B37100" s="612"/>
      <c r="H37100" s="612"/>
    </row>
    <row r="37101">
      <c r="B37101" s="612"/>
      <c r="H37101" s="612"/>
    </row>
    <row r="37102">
      <c r="B37102" s="612"/>
      <c r="H37102" s="612"/>
    </row>
    <row r="37103">
      <c r="B37103" s="612"/>
      <c r="H37103" s="612"/>
    </row>
    <row r="37104">
      <c r="B37104" s="612"/>
      <c r="H37104" s="612"/>
    </row>
    <row r="37105">
      <c r="B37105" s="612"/>
      <c r="H37105" s="612"/>
    </row>
    <row r="37106">
      <c r="B37106" s="612"/>
      <c r="H37106" s="612"/>
    </row>
    <row r="37107">
      <c r="B37107" s="612"/>
      <c r="H37107" s="612"/>
    </row>
    <row r="37108">
      <c r="B37108" s="612"/>
      <c r="H37108" s="612"/>
    </row>
    <row r="37109">
      <c r="B37109" s="612"/>
      <c r="H37109" s="612"/>
    </row>
    <row r="37110">
      <c r="B37110" s="612"/>
      <c r="H37110" s="612"/>
    </row>
    <row r="37111">
      <c r="B37111" s="612"/>
      <c r="H37111" s="612"/>
    </row>
    <row r="37112">
      <c r="B37112" s="612"/>
      <c r="H37112" s="612"/>
    </row>
    <row r="37113">
      <c r="B37113" s="612"/>
      <c r="H37113" s="612"/>
    </row>
    <row r="37114">
      <c r="B37114" s="612"/>
      <c r="H37114" s="612"/>
    </row>
    <row r="37115">
      <c r="B37115" s="612"/>
      <c r="H37115" s="612"/>
    </row>
    <row r="37116">
      <c r="B37116" s="612"/>
      <c r="H37116" s="612"/>
    </row>
    <row r="37117">
      <c r="B37117" s="612"/>
      <c r="H37117" s="612"/>
    </row>
    <row r="37118">
      <c r="B37118" s="612"/>
      <c r="H37118" s="612"/>
    </row>
    <row r="37119">
      <c r="B37119" s="612"/>
      <c r="H37119" s="612"/>
    </row>
    <row r="37120">
      <c r="B37120" s="612"/>
      <c r="H37120" s="612"/>
    </row>
    <row r="37121">
      <c r="B37121" s="612"/>
      <c r="H37121" s="612"/>
    </row>
    <row r="37122">
      <c r="B37122" s="612"/>
      <c r="H37122" s="612"/>
    </row>
    <row r="37123">
      <c r="B37123" s="612"/>
      <c r="H37123" s="612"/>
    </row>
    <row r="37124">
      <c r="B37124" s="612"/>
      <c r="H37124" s="612"/>
    </row>
    <row r="37125">
      <c r="B37125" s="612"/>
      <c r="H37125" s="612"/>
    </row>
    <row r="37126">
      <c r="B37126" s="612"/>
      <c r="H37126" s="612"/>
    </row>
    <row r="37127">
      <c r="B37127" s="612"/>
      <c r="H37127" s="612"/>
    </row>
    <row r="37128">
      <c r="B37128" s="612"/>
      <c r="H37128" s="612"/>
    </row>
    <row r="37129">
      <c r="B37129" s="612"/>
      <c r="H37129" s="612"/>
    </row>
    <row r="37130">
      <c r="B37130" s="612"/>
      <c r="H37130" s="612"/>
    </row>
    <row r="37131">
      <c r="B37131" s="612"/>
      <c r="H37131" s="612"/>
    </row>
    <row r="37132">
      <c r="B37132" s="612"/>
      <c r="H37132" s="612"/>
    </row>
    <row r="37133">
      <c r="B37133" s="612"/>
      <c r="H37133" s="612"/>
    </row>
    <row r="37134">
      <c r="B37134" s="612"/>
      <c r="H37134" s="612"/>
    </row>
    <row r="37135">
      <c r="B37135" s="612"/>
      <c r="H37135" s="612"/>
    </row>
    <row r="37136">
      <c r="B37136" s="612"/>
      <c r="H37136" s="612"/>
    </row>
    <row r="37137">
      <c r="B37137" s="612"/>
      <c r="H37137" s="612"/>
    </row>
    <row r="37138">
      <c r="B37138" s="612"/>
      <c r="H37138" s="612"/>
    </row>
    <row r="37139">
      <c r="B37139" s="612"/>
      <c r="H37139" s="612"/>
    </row>
    <row r="37140">
      <c r="B37140" s="612"/>
      <c r="H37140" s="612"/>
    </row>
    <row r="37141">
      <c r="B37141" s="612"/>
      <c r="H37141" s="612"/>
    </row>
    <row r="37142">
      <c r="B37142" s="612"/>
      <c r="H37142" s="612"/>
    </row>
    <row r="37143">
      <c r="B37143" s="612"/>
      <c r="H37143" s="612"/>
    </row>
    <row r="37144">
      <c r="B37144" s="612"/>
      <c r="H37144" s="612"/>
    </row>
    <row r="37145">
      <c r="B37145" s="612"/>
      <c r="H37145" s="612"/>
    </row>
    <row r="37146">
      <c r="B37146" s="612"/>
      <c r="H37146" s="612"/>
    </row>
    <row r="37147">
      <c r="B37147" s="612"/>
      <c r="H37147" s="612"/>
    </row>
    <row r="37148">
      <c r="B37148" s="612"/>
      <c r="H37148" s="612"/>
    </row>
    <row r="37149">
      <c r="B37149" s="612"/>
      <c r="H37149" s="612"/>
    </row>
    <row r="37150">
      <c r="B37150" s="612"/>
      <c r="H37150" s="612"/>
    </row>
    <row r="37151">
      <c r="B37151" s="612"/>
      <c r="H37151" s="612"/>
    </row>
    <row r="37152">
      <c r="B37152" s="612"/>
      <c r="H37152" s="612"/>
    </row>
    <row r="37153">
      <c r="B37153" s="612"/>
      <c r="H37153" s="612"/>
    </row>
    <row r="37154">
      <c r="B37154" s="612"/>
      <c r="H37154" s="612"/>
    </row>
    <row r="37155">
      <c r="B37155" s="612"/>
      <c r="H37155" s="612"/>
    </row>
    <row r="37156">
      <c r="B37156" s="612"/>
      <c r="H37156" s="612"/>
    </row>
    <row r="37157">
      <c r="B37157" s="612"/>
      <c r="H37157" s="612"/>
    </row>
    <row r="37158">
      <c r="B37158" s="612"/>
      <c r="H37158" s="612"/>
    </row>
    <row r="37159">
      <c r="B37159" s="612"/>
      <c r="H37159" s="612"/>
    </row>
    <row r="37160">
      <c r="B37160" s="612"/>
      <c r="H37160" s="612"/>
    </row>
    <row r="37161">
      <c r="B37161" s="612"/>
      <c r="H37161" s="612"/>
    </row>
    <row r="37162">
      <c r="B37162" s="612"/>
      <c r="H37162" s="612"/>
    </row>
    <row r="37163">
      <c r="B37163" s="612"/>
      <c r="H37163" s="612"/>
    </row>
    <row r="37164">
      <c r="B37164" s="612"/>
      <c r="H37164" s="612"/>
    </row>
    <row r="37165">
      <c r="B37165" s="612"/>
      <c r="H37165" s="612"/>
    </row>
    <row r="37166">
      <c r="B37166" s="612"/>
      <c r="H37166" s="612"/>
    </row>
    <row r="37167">
      <c r="B37167" s="612"/>
      <c r="H37167" s="612"/>
    </row>
    <row r="37168">
      <c r="B37168" s="612"/>
      <c r="H37168" s="612"/>
    </row>
    <row r="37169">
      <c r="B37169" s="612"/>
      <c r="H37169" s="612"/>
    </row>
    <row r="37170">
      <c r="B37170" s="612"/>
      <c r="H37170" s="612"/>
    </row>
    <row r="37171">
      <c r="B37171" s="612"/>
      <c r="H37171" s="612"/>
    </row>
    <row r="37172">
      <c r="B37172" s="612"/>
      <c r="H37172" s="612"/>
    </row>
    <row r="37173">
      <c r="B37173" s="612"/>
      <c r="H37173" s="612"/>
    </row>
    <row r="37174">
      <c r="B37174" s="612"/>
      <c r="H37174" s="612"/>
    </row>
    <row r="37175">
      <c r="B37175" s="612"/>
      <c r="H37175" s="612"/>
    </row>
    <row r="37176">
      <c r="B37176" s="612"/>
      <c r="H37176" s="612"/>
    </row>
    <row r="37177">
      <c r="B37177" s="612"/>
      <c r="H37177" s="612"/>
    </row>
    <row r="37178">
      <c r="B37178" s="612"/>
      <c r="H37178" s="612"/>
    </row>
    <row r="37179">
      <c r="B37179" s="612"/>
      <c r="H37179" s="612"/>
    </row>
    <row r="37180">
      <c r="B37180" s="612"/>
      <c r="H37180" s="612"/>
    </row>
    <row r="37181">
      <c r="B37181" s="612"/>
      <c r="H37181" s="612"/>
    </row>
    <row r="37182">
      <c r="B37182" s="612"/>
      <c r="H37182" s="612"/>
    </row>
    <row r="37183">
      <c r="B37183" s="612"/>
      <c r="H37183" s="612"/>
    </row>
    <row r="37184">
      <c r="B37184" s="612"/>
      <c r="H37184" s="612"/>
    </row>
    <row r="37185">
      <c r="B37185" s="612"/>
      <c r="H37185" s="612"/>
    </row>
    <row r="37186">
      <c r="B37186" s="612"/>
      <c r="H37186" s="612"/>
    </row>
    <row r="37187">
      <c r="B37187" s="612"/>
      <c r="H37187" s="612"/>
    </row>
    <row r="37188">
      <c r="B37188" s="612"/>
      <c r="H37188" s="612"/>
    </row>
    <row r="37189">
      <c r="B37189" s="612"/>
      <c r="H37189" s="612"/>
    </row>
    <row r="37190">
      <c r="B37190" s="612"/>
      <c r="H37190" s="612"/>
    </row>
    <row r="37191">
      <c r="B37191" s="612"/>
      <c r="H37191" s="612"/>
    </row>
    <row r="37192">
      <c r="B37192" s="612"/>
      <c r="H37192" s="612"/>
    </row>
    <row r="37193">
      <c r="B37193" s="612"/>
      <c r="H37193" s="612"/>
    </row>
    <row r="37194">
      <c r="B37194" s="612"/>
      <c r="H37194" s="612"/>
    </row>
    <row r="37195">
      <c r="B37195" s="612"/>
      <c r="H37195" s="612"/>
    </row>
    <row r="37196">
      <c r="B37196" s="612"/>
      <c r="H37196" s="612"/>
    </row>
    <row r="37197">
      <c r="B37197" s="612"/>
      <c r="H37197" s="612"/>
    </row>
    <row r="37198">
      <c r="B37198" s="612"/>
      <c r="H37198" s="612"/>
    </row>
    <row r="37199">
      <c r="B37199" s="612"/>
      <c r="H37199" s="612"/>
    </row>
    <row r="37200">
      <c r="B37200" s="612"/>
      <c r="H37200" s="612"/>
    </row>
    <row r="37201">
      <c r="B37201" s="612"/>
      <c r="H37201" s="612"/>
    </row>
    <row r="37202">
      <c r="B37202" s="612"/>
      <c r="H37202" s="612"/>
    </row>
    <row r="37203">
      <c r="B37203" s="612"/>
      <c r="H37203" s="612"/>
    </row>
    <row r="37204">
      <c r="B37204" s="612"/>
      <c r="H37204" s="612"/>
    </row>
    <row r="37205">
      <c r="B37205" s="612"/>
      <c r="H37205" s="612"/>
    </row>
    <row r="37206">
      <c r="B37206" s="612"/>
      <c r="H37206" s="612"/>
    </row>
    <row r="37207">
      <c r="B37207" s="612"/>
      <c r="H37207" s="612"/>
    </row>
    <row r="37208">
      <c r="B37208" s="612"/>
      <c r="H37208" s="612"/>
    </row>
    <row r="37209">
      <c r="B37209" s="612"/>
      <c r="H37209" s="612"/>
    </row>
    <row r="37210">
      <c r="B37210" s="612"/>
      <c r="H37210" s="612"/>
    </row>
    <row r="37211">
      <c r="B37211" s="612"/>
      <c r="H37211" s="612"/>
    </row>
    <row r="37212">
      <c r="B37212" s="612"/>
      <c r="H37212" s="612"/>
    </row>
    <row r="37213">
      <c r="B37213" s="612"/>
      <c r="H37213" s="612"/>
    </row>
    <row r="37214">
      <c r="B37214" s="612"/>
      <c r="H37214" s="612"/>
    </row>
    <row r="37215">
      <c r="B37215" s="612"/>
      <c r="H37215" s="612"/>
    </row>
    <row r="37216">
      <c r="B37216" s="612"/>
      <c r="H37216" s="612"/>
    </row>
    <row r="37217">
      <c r="B37217" s="612"/>
      <c r="H37217" s="612"/>
    </row>
    <row r="37218">
      <c r="B37218" s="612"/>
      <c r="H37218" s="612"/>
    </row>
    <row r="37219">
      <c r="B37219" s="612"/>
      <c r="H37219" s="612"/>
    </row>
    <row r="37220">
      <c r="B37220" s="612"/>
      <c r="H37220" s="612"/>
    </row>
    <row r="37221">
      <c r="B37221" s="612"/>
      <c r="H37221" s="612"/>
    </row>
    <row r="37222">
      <c r="B37222" s="612"/>
      <c r="H37222" s="612"/>
    </row>
    <row r="37223">
      <c r="B37223" s="612"/>
      <c r="H37223" s="612"/>
    </row>
    <row r="37224">
      <c r="B37224" s="612"/>
      <c r="H37224" s="612"/>
    </row>
    <row r="37225">
      <c r="B37225" s="612"/>
      <c r="H37225" s="612"/>
    </row>
    <row r="37226">
      <c r="B37226" s="612"/>
      <c r="H37226" s="612"/>
    </row>
    <row r="37227">
      <c r="B37227" s="612"/>
      <c r="H37227" s="612"/>
    </row>
    <row r="37228">
      <c r="B37228" s="612"/>
      <c r="H37228" s="612"/>
    </row>
    <row r="37229">
      <c r="B37229" s="612"/>
      <c r="H37229" s="612"/>
    </row>
    <row r="37230">
      <c r="B37230" s="612"/>
      <c r="H37230" s="612"/>
    </row>
    <row r="37231">
      <c r="B37231" s="612"/>
      <c r="H37231" s="612"/>
    </row>
    <row r="37232">
      <c r="B37232" s="612"/>
      <c r="H37232" s="612"/>
    </row>
    <row r="37233">
      <c r="B37233" s="612"/>
      <c r="H37233" s="612"/>
    </row>
    <row r="37234">
      <c r="B37234" s="612"/>
      <c r="H37234" s="612"/>
    </row>
    <row r="37235">
      <c r="B37235" s="612"/>
      <c r="H37235" s="612"/>
    </row>
    <row r="37236">
      <c r="B37236" s="612"/>
      <c r="H37236" s="612"/>
    </row>
    <row r="37237">
      <c r="B37237" s="612"/>
      <c r="H37237" s="612"/>
    </row>
    <row r="37238">
      <c r="B37238" s="612"/>
      <c r="H37238" s="612"/>
    </row>
    <row r="37239">
      <c r="B37239" s="612"/>
      <c r="H37239" s="612"/>
    </row>
    <row r="37240">
      <c r="B37240" s="612"/>
      <c r="H37240" s="612"/>
    </row>
    <row r="37241">
      <c r="B37241" s="612"/>
      <c r="H37241" s="612"/>
    </row>
    <row r="37242">
      <c r="B37242" s="612"/>
      <c r="H37242" s="612"/>
    </row>
    <row r="37243">
      <c r="B37243" s="612"/>
      <c r="H37243" s="612"/>
    </row>
    <row r="37244">
      <c r="B37244" s="612"/>
      <c r="H37244" s="612"/>
    </row>
    <row r="37245">
      <c r="B37245" s="612"/>
      <c r="H37245" s="612"/>
    </row>
    <row r="37246">
      <c r="B37246" s="612"/>
      <c r="H37246" s="612"/>
    </row>
    <row r="37247">
      <c r="B37247" s="612"/>
      <c r="H37247" s="612"/>
    </row>
    <row r="37248">
      <c r="B37248" s="612"/>
      <c r="H37248" s="612"/>
    </row>
    <row r="37249">
      <c r="B37249" s="612"/>
      <c r="H37249" s="612"/>
    </row>
    <row r="37250">
      <c r="B37250" s="612"/>
      <c r="H37250" s="612"/>
    </row>
    <row r="37251">
      <c r="B37251" s="612"/>
      <c r="H37251" s="612"/>
    </row>
    <row r="37252">
      <c r="B37252" s="612"/>
      <c r="H37252" s="612"/>
    </row>
    <row r="37253">
      <c r="B37253" s="612"/>
      <c r="H37253" s="612"/>
    </row>
    <row r="37254">
      <c r="B37254" s="612"/>
      <c r="H37254" s="612"/>
    </row>
    <row r="37255">
      <c r="B37255" s="612"/>
      <c r="H37255" s="612"/>
    </row>
    <row r="37256">
      <c r="B37256" s="612"/>
      <c r="H37256" s="612"/>
    </row>
    <row r="37257">
      <c r="B37257" s="612"/>
      <c r="H37257" s="612"/>
    </row>
    <row r="37258">
      <c r="B37258" s="612"/>
      <c r="H37258" s="612"/>
    </row>
    <row r="37259">
      <c r="B37259" s="612"/>
      <c r="H37259" s="612"/>
    </row>
    <row r="37260">
      <c r="B37260" s="612"/>
      <c r="H37260" s="612"/>
    </row>
    <row r="37261">
      <c r="B37261" s="612"/>
      <c r="H37261" s="612"/>
    </row>
    <row r="37262">
      <c r="B37262" s="612"/>
      <c r="H37262" s="612"/>
    </row>
    <row r="37263">
      <c r="B37263" s="612"/>
      <c r="H37263" s="612"/>
    </row>
    <row r="37264">
      <c r="B37264" s="612"/>
      <c r="H37264" s="612"/>
    </row>
    <row r="37265">
      <c r="B37265" s="612"/>
      <c r="H37265" s="612"/>
    </row>
    <row r="37266">
      <c r="B37266" s="612"/>
      <c r="H37266" s="612"/>
    </row>
    <row r="37267">
      <c r="B37267" s="612"/>
      <c r="H37267" s="612"/>
    </row>
    <row r="37268">
      <c r="B37268" s="612"/>
      <c r="H37268" s="612"/>
    </row>
    <row r="37269">
      <c r="B37269" s="612"/>
      <c r="H37269" s="612"/>
    </row>
    <row r="37270">
      <c r="B37270" s="612"/>
      <c r="H37270" s="612"/>
    </row>
    <row r="37271">
      <c r="B37271" s="612"/>
      <c r="H37271" s="612"/>
    </row>
    <row r="37272">
      <c r="B37272" s="612"/>
      <c r="H37272" s="612"/>
    </row>
    <row r="37273">
      <c r="B37273" s="612"/>
      <c r="H37273" s="612"/>
    </row>
    <row r="37274">
      <c r="B37274" s="612"/>
      <c r="H37274" s="612"/>
    </row>
    <row r="37275">
      <c r="B37275" s="612"/>
      <c r="H37275" s="612"/>
    </row>
    <row r="37276">
      <c r="B37276" s="612"/>
      <c r="H37276" s="612"/>
    </row>
    <row r="37277">
      <c r="B37277" s="612"/>
      <c r="H37277" s="612"/>
    </row>
    <row r="37278">
      <c r="B37278" s="612"/>
      <c r="H37278" s="612"/>
    </row>
    <row r="37279">
      <c r="B37279" s="612"/>
      <c r="H37279" s="612"/>
    </row>
    <row r="37280">
      <c r="B37280" s="612"/>
      <c r="H37280" s="612"/>
    </row>
    <row r="37281">
      <c r="B37281" s="612"/>
      <c r="H37281" s="612"/>
    </row>
    <row r="37282">
      <c r="B37282" s="612"/>
      <c r="H37282" s="612"/>
    </row>
    <row r="37283">
      <c r="B37283" s="612"/>
      <c r="H37283" s="612"/>
    </row>
    <row r="37284">
      <c r="B37284" s="612"/>
      <c r="H37284" s="612"/>
    </row>
    <row r="37285">
      <c r="B37285" s="612"/>
      <c r="H37285" s="612"/>
    </row>
    <row r="37286">
      <c r="B37286" s="612"/>
      <c r="H37286" s="612"/>
    </row>
    <row r="37287">
      <c r="B37287" s="612"/>
      <c r="H37287" s="612"/>
    </row>
    <row r="37288">
      <c r="B37288" s="612"/>
      <c r="H37288" s="612"/>
    </row>
    <row r="37289">
      <c r="B37289" s="612"/>
      <c r="H37289" s="612"/>
    </row>
    <row r="37290">
      <c r="B37290" s="612"/>
      <c r="H37290" s="612"/>
    </row>
    <row r="37291">
      <c r="B37291" s="612"/>
      <c r="H37291" s="612"/>
    </row>
    <row r="37292">
      <c r="B37292" s="612"/>
      <c r="H37292" s="612"/>
    </row>
    <row r="37293">
      <c r="B37293" s="612"/>
      <c r="H37293" s="612"/>
    </row>
    <row r="37294">
      <c r="B37294" s="612"/>
      <c r="H37294" s="612"/>
    </row>
    <row r="37295">
      <c r="B37295" s="612"/>
      <c r="H37295" s="612"/>
    </row>
    <row r="37296">
      <c r="B37296" s="612"/>
      <c r="H37296" s="612"/>
    </row>
    <row r="37297">
      <c r="B37297" s="612"/>
      <c r="H37297" s="612"/>
    </row>
    <row r="37298">
      <c r="B37298" s="612"/>
      <c r="H37298" s="612"/>
    </row>
    <row r="37299">
      <c r="B37299" s="612"/>
      <c r="H37299" s="612"/>
    </row>
    <row r="37300">
      <c r="B37300" s="612"/>
      <c r="H37300" s="612"/>
    </row>
    <row r="37301">
      <c r="B37301" s="612"/>
      <c r="H37301" s="612"/>
    </row>
    <row r="37302">
      <c r="B37302" s="612"/>
      <c r="H37302" s="612"/>
    </row>
    <row r="37303">
      <c r="B37303" s="612"/>
      <c r="H37303" s="612"/>
    </row>
    <row r="37304">
      <c r="B37304" s="612"/>
      <c r="H37304" s="612"/>
    </row>
    <row r="37305">
      <c r="B37305" s="612"/>
      <c r="H37305" s="612"/>
    </row>
    <row r="37306">
      <c r="B37306" s="612"/>
      <c r="H37306" s="612"/>
    </row>
    <row r="37307">
      <c r="B37307" s="612"/>
      <c r="H37307" s="612"/>
    </row>
    <row r="37308">
      <c r="B37308" s="612"/>
      <c r="H37308" s="612"/>
    </row>
    <row r="37309">
      <c r="B37309" s="612"/>
      <c r="H37309" s="612"/>
    </row>
    <row r="37310">
      <c r="B37310" s="612"/>
      <c r="H37310" s="612"/>
    </row>
    <row r="37311">
      <c r="B37311" s="612"/>
      <c r="H37311" s="612"/>
    </row>
    <row r="37312">
      <c r="B37312" s="612"/>
      <c r="H37312" s="612"/>
    </row>
    <row r="37313">
      <c r="B37313" s="612"/>
      <c r="H37313" s="612"/>
    </row>
    <row r="37314">
      <c r="B37314" s="612"/>
      <c r="H37314" s="612"/>
    </row>
    <row r="37315">
      <c r="B37315" s="612"/>
      <c r="H37315" s="612"/>
    </row>
    <row r="37316">
      <c r="B37316" s="612"/>
      <c r="H37316" s="612"/>
    </row>
    <row r="37317">
      <c r="B37317" s="612"/>
      <c r="H37317" s="612"/>
    </row>
    <row r="37318">
      <c r="B37318" s="612"/>
      <c r="H37318" s="612"/>
    </row>
    <row r="37319">
      <c r="B37319" s="612"/>
      <c r="H37319" s="612"/>
    </row>
    <row r="37320">
      <c r="B37320" s="612"/>
      <c r="H37320" s="612"/>
    </row>
    <row r="37321">
      <c r="B37321" s="612"/>
      <c r="H37321" s="612"/>
    </row>
    <row r="37322">
      <c r="B37322" s="612"/>
      <c r="H37322" s="612"/>
    </row>
    <row r="37323">
      <c r="B37323" s="612"/>
      <c r="H37323" s="612"/>
    </row>
    <row r="37324">
      <c r="B37324" s="612"/>
      <c r="H37324" s="612"/>
    </row>
    <row r="37325">
      <c r="B37325" s="612"/>
      <c r="H37325" s="612"/>
    </row>
    <row r="37326">
      <c r="B37326" s="612"/>
      <c r="H37326" s="612"/>
    </row>
    <row r="37327">
      <c r="B37327" s="612"/>
      <c r="H37327" s="612"/>
    </row>
    <row r="37328">
      <c r="B37328" s="612"/>
      <c r="H37328" s="612"/>
    </row>
    <row r="37329">
      <c r="B37329" s="612"/>
      <c r="H37329" s="612"/>
    </row>
    <row r="37330">
      <c r="B37330" s="612"/>
      <c r="H37330" s="612"/>
    </row>
    <row r="37331">
      <c r="B37331" s="612"/>
      <c r="H37331" s="612"/>
    </row>
    <row r="37332">
      <c r="B37332" s="612"/>
      <c r="H37332" s="612"/>
    </row>
    <row r="37333">
      <c r="B37333" s="612"/>
      <c r="H37333" s="612"/>
    </row>
    <row r="37334">
      <c r="B37334" s="612"/>
      <c r="H37334" s="612"/>
    </row>
    <row r="37335">
      <c r="B37335" s="612"/>
      <c r="H37335" s="612"/>
    </row>
    <row r="37336">
      <c r="B37336" s="612"/>
      <c r="H37336" s="612"/>
    </row>
    <row r="37337">
      <c r="B37337" s="612"/>
      <c r="H37337" s="612"/>
    </row>
    <row r="37338">
      <c r="B37338" s="612"/>
      <c r="H37338" s="612"/>
    </row>
    <row r="37339">
      <c r="B37339" s="612"/>
      <c r="H37339" s="612"/>
    </row>
    <row r="37340">
      <c r="B37340" s="612"/>
      <c r="H37340" s="612"/>
    </row>
    <row r="37341">
      <c r="B37341" s="612"/>
      <c r="H37341" s="612"/>
    </row>
    <row r="37342">
      <c r="B37342" s="612"/>
      <c r="H37342" s="612"/>
    </row>
    <row r="37343">
      <c r="B37343" s="612"/>
      <c r="H37343" s="612"/>
    </row>
    <row r="37344">
      <c r="B37344" s="612"/>
      <c r="H37344" s="612"/>
    </row>
    <row r="37345">
      <c r="B37345" s="612"/>
      <c r="H37345" s="612"/>
    </row>
    <row r="37346">
      <c r="B37346" s="612"/>
      <c r="H37346" s="612"/>
    </row>
    <row r="37347">
      <c r="B37347" s="612"/>
      <c r="H37347" s="612"/>
    </row>
    <row r="37348">
      <c r="B37348" s="612"/>
      <c r="H37348" s="612"/>
    </row>
    <row r="37349">
      <c r="B37349" s="612"/>
      <c r="H37349" s="612"/>
    </row>
    <row r="37350">
      <c r="B37350" s="612"/>
      <c r="H37350" s="612"/>
    </row>
    <row r="37351">
      <c r="B37351" s="612"/>
      <c r="H37351" s="612"/>
    </row>
    <row r="37352">
      <c r="B37352" s="612"/>
      <c r="H37352" s="612"/>
    </row>
    <row r="37353">
      <c r="B37353" s="612"/>
      <c r="H37353" s="612"/>
    </row>
    <row r="37354">
      <c r="B37354" s="612"/>
      <c r="H37354" s="612"/>
    </row>
    <row r="37355">
      <c r="B37355" s="612"/>
      <c r="H37355" s="612"/>
    </row>
    <row r="37356">
      <c r="B37356" s="612"/>
      <c r="H37356" s="612"/>
    </row>
    <row r="37357">
      <c r="B37357" s="612"/>
      <c r="H37357" s="612"/>
    </row>
    <row r="37358">
      <c r="B37358" s="612"/>
      <c r="H37358" s="612"/>
    </row>
    <row r="37359">
      <c r="B37359" s="612"/>
      <c r="H37359" s="612"/>
    </row>
    <row r="37360">
      <c r="B37360" s="612"/>
      <c r="H37360" s="612"/>
    </row>
    <row r="37361">
      <c r="B37361" s="612"/>
      <c r="H37361" s="612"/>
    </row>
    <row r="37362">
      <c r="B37362" s="612"/>
      <c r="H37362" s="612"/>
    </row>
    <row r="37363">
      <c r="B37363" s="612"/>
      <c r="H37363" s="612"/>
    </row>
    <row r="37364">
      <c r="B37364" s="612"/>
      <c r="H37364" s="612"/>
    </row>
    <row r="37365">
      <c r="B37365" s="612"/>
      <c r="H37365" s="612"/>
    </row>
    <row r="37366">
      <c r="B37366" s="612"/>
      <c r="H37366" s="612"/>
    </row>
    <row r="37367">
      <c r="B37367" s="612"/>
      <c r="H37367" s="612"/>
    </row>
    <row r="37368">
      <c r="B37368" s="612"/>
      <c r="H37368" s="612"/>
    </row>
    <row r="37369">
      <c r="B37369" s="612"/>
      <c r="H37369" s="612"/>
    </row>
    <row r="37370">
      <c r="B37370" s="612"/>
      <c r="H37370" s="612"/>
    </row>
    <row r="37371">
      <c r="B37371" s="612"/>
      <c r="H37371" s="612"/>
    </row>
    <row r="37372">
      <c r="B37372" s="612"/>
      <c r="H37372" s="612"/>
    </row>
    <row r="37373">
      <c r="B37373" s="612"/>
      <c r="H37373" s="612"/>
    </row>
    <row r="37374">
      <c r="B37374" s="612"/>
      <c r="H37374" s="612"/>
    </row>
    <row r="37375">
      <c r="B37375" s="612"/>
      <c r="H37375" s="612"/>
    </row>
    <row r="37376">
      <c r="B37376" s="612"/>
      <c r="H37376" s="612"/>
    </row>
    <row r="37377">
      <c r="B37377" s="612"/>
      <c r="H37377" s="612"/>
    </row>
    <row r="37378">
      <c r="B37378" s="612"/>
      <c r="H37378" s="612"/>
    </row>
    <row r="37379">
      <c r="B37379" s="612"/>
      <c r="H37379" s="612"/>
    </row>
    <row r="37380">
      <c r="B37380" s="612"/>
      <c r="H37380" s="612"/>
    </row>
    <row r="37381">
      <c r="B37381" s="612"/>
      <c r="H37381" s="612"/>
    </row>
    <row r="37382">
      <c r="B37382" s="612"/>
      <c r="H37382" s="612"/>
    </row>
    <row r="37383">
      <c r="B37383" s="612"/>
      <c r="H37383" s="612"/>
    </row>
    <row r="37384">
      <c r="B37384" s="612"/>
      <c r="H37384" s="612"/>
    </row>
    <row r="37385">
      <c r="B37385" s="612"/>
      <c r="H37385" s="612"/>
    </row>
    <row r="37386">
      <c r="B37386" s="612"/>
      <c r="H37386" s="612"/>
    </row>
    <row r="37387">
      <c r="B37387" s="612"/>
      <c r="H37387" s="612"/>
    </row>
    <row r="37388">
      <c r="B37388" s="612"/>
      <c r="H37388" s="612"/>
    </row>
    <row r="37389">
      <c r="B37389" s="612"/>
      <c r="H37389" s="612"/>
    </row>
    <row r="37390">
      <c r="B37390" s="612"/>
      <c r="H37390" s="612"/>
    </row>
    <row r="37391">
      <c r="B37391" s="612"/>
      <c r="H37391" s="612"/>
    </row>
    <row r="37392">
      <c r="B37392" s="612"/>
      <c r="H37392" s="612"/>
    </row>
    <row r="37393">
      <c r="B37393" s="612"/>
      <c r="H37393" s="612"/>
    </row>
    <row r="37394">
      <c r="B37394" s="612"/>
      <c r="H37394" s="612"/>
    </row>
    <row r="37395">
      <c r="B37395" s="612"/>
      <c r="H37395" s="612"/>
    </row>
    <row r="37396">
      <c r="B37396" s="612"/>
      <c r="H37396" s="612"/>
    </row>
    <row r="37397">
      <c r="B37397" s="612"/>
      <c r="H37397" s="612"/>
    </row>
    <row r="37398">
      <c r="B37398" s="612"/>
      <c r="H37398" s="612"/>
    </row>
    <row r="37399">
      <c r="B37399" s="612"/>
      <c r="H37399" s="612"/>
    </row>
    <row r="37400">
      <c r="B37400" s="612"/>
      <c r="H37400" s="612"/>
    </row>
    <row r="37401">
      <c r="B37401" s="612"/>
      <c r="H37401" s="612"/>
    </row>
    <row r="37402">
      <c r="B37402" s="612"/>
      <c r="H37402" s="612"/>
    </row>
    <row r="37403">
      <c r="B37403" s="612"/>
      <c r="H37403" s="612"/>
    </row>
    <row r="37404">
      <c r="B37404" s="612"/>
      <c r="H37404" s="612"/>
    </row>
    <row r="37405">
      <c r="B37405" s="612"/>
      <c r="H37405" s="612"/>
    </row>
    <row r="37406">
      <c r="B37406" s="612"/>
      <c r="H37406" s="612"/>
    </row>
    <row r="37407">
      <c r="B37407" s="612"/>
      <c r="H37407" s="612"/>
    </row>
    <row r="37408">
      <c r="B37408" s="612"/>
      <c r="H37408" s="612"/>
    </row>
    <row r="37409">
      <c r="B37409" s="612"/>
      <c r="H37409" s="612"/>
    </row>
    <row r="37410">
      <c r="B37410" s="612"/>
      <c r="H37410" s="612"/>
    </row>
    <row r="37411">
      <c r="B37411" s="612"/>
      <c r="H37411" s="612"/>
    </row>
    <row r="37412">
      <c r="B37412" s="612"/>
      <c r="H37412" s="612"/>
    </row>
    <row r="37413">
      <c r="B37413" s="612"/>
      <c r="H37413" s="612"/>
    </row>
    <row r="37414">
      <c r="B37414" s="612"/>
      <c r="H37414" s="612"/>
    </row>
    <row r="37415">
      <c r="B37415" s="612"/>
      <c r="H37415" s="612"/>
    </row>
    <row r="37416">
      <c r="B37416" s="612"/>
      <c r="H37416" s="612"/>
    </row>
    <row r="37417">
      <c r="B37417" s="612"/>
      <c r="H37417" s="612"/>
    </row>
    <row r="37418">
      <c r="B37418" s="612"/>
      <c r="H37418" s="612"/>
    </row>
    <row r="37419">
      <c r="B37419" s="612"/>
      <c r="H37419" s="612"/>
    </row>
    <row r="37420">
      <c r="B37420" s="612"/>
      <c r="H37420" s="612"/>
    </row>
    <row r="37421">
      <c r="B37421" s="612"/>
      <c r="H37421" s="612"/>
    </row>
    <row r="37422">
      <c r="B37422" s="612"/>
      <c r="H37422" s="612"/>
    </row>
    <row r="37423">
      <c r="B37423" s="612"/>
      <c r="H37423" s="612"/>
    </row>
    <row r="37424">
      <c r="B37424" s="612"/>
      <c r="H37424" s="612"/>
    </row>
    <row r="37425">
      <c r="B37425" s="612"/>
      <c r="H37425" s="612"/>
    </row>
    <row r="37426">
      <c r="B37426" s="612"/>
      <c r="H37426" s="612"/>
    </row>
    <row r="37427">
      <c r="B37427" s="612"/>
      <c r="H37427" s="612"/>
    </row>
    <row r="37428">
      <c r="B37428" s="612"/>
      <c r="H37428" s="612"/>
    </row>
    <row r="37429">
      <c r="B37429" s="612"/>
      <c r="H37429" s="612"/>
    </row>
    <row r="37430">
      <c r="B37430" s="612"/>
      <c r="H37430" s="612"/>
    </row>
    <row r="37431">
      <c r="B37431" s="612"/>
      <c r="H37431" s="612"/>
    </row>
    <row r="37432">
      <c r="B37432" s="612"/>
      <c r="H37432" s="612"/>
    </row>
    <row r="37433">
      <c r="B37433" s="612"/>
      <c r="H37433" s="612"/>
    </row>
    <row r="37434">
      <c r="B37434" s="612"/>
      <c r="H37434" s="612"/>
    </row>
    <row r="37435">
      <c r="B37435" s="612"/>
      <c r="H37435" s="612"/>
    </row>
    <row r="37436">
      <c r="B37436" s="612"/>
      <c r="H37436" s="612"/>
    </row>
    <row r="37437">
      <c r="B37437" s="612"/>
      <c r="H37437" s="612"/>
    </row>
    <row r="37438">
      <c r="B37438" s="612"/>
      <c r="H37438" s="612"/>
    </row>
    <row r="37439">
      <c r="B37439" s="612"/>
      <c r="H37439" s="612"/>
    </row>
    <row r="37440">
      <c r="B37440" s="612"/>
      <c r="H37440" s="612"/>
    </row>
    <row r="37441">
      <c r="B37441" s="612"/>
      <c r="H37441" s="612"/>
    </row>
    <row r="37442">
      <c r="B37442" s="612"/>
      <c r="H37442" s="612"/>
    </row>
    <row r="37443">
      <c r="B37443" s="612"/>
      <c r="H37443" s="612"/>
    </row>
    <row r="37444">
      <c r="B37444" s="612"/>
      <c r="H37444" s="612"/>
    </row>
    <row r="37445">
      <c r="B37445" s="612"/>
      <c r="H37445" s="612"/>
    </row>
    <row r="37446">
      <c r="B37446" s="612"/>
      <c r="H37446" s="612"/>
    </row>
    <row r="37447">
      <c r="B37447" s="612"/>
      <c r="H37447" s="612"/>
    </row>
    <row r="37448">
      <c r="B37448" s="612"/>
      <c r="H37448" s="612"/>
    </row>
    <row r="37449">
      <c r="B37449" s="612"/>
      <c r="H37449" s="612"/>
    </row>
    <row r="37450">
      <c r="B37450" s="612"/>
      <c r="H37450" s="612"/>
    </row>
    <row r="37451">
      <c r="B37451" s="612"/>
      <c r="H37451" s="612"/>
    </row>
    <row r="37452">
      <c r="B37452" s="612"/>
      <c r="H37452" s="612"/>
    </row>
    <row r="37453">
      <c r="B37453" s="612"/>
      <c r="H37453" s="612"/>
    </row>
    <row r="37454">
      <c r="B37454" s="612"/>
      <c r="H37454" s="612"/>
    </row>
    <row r="37455">
      <c r="B37455" s="612"/>
      <c r="H37455" s="612"/>
    </row>
    <row r="37456">
      <c r="B37456" s="612"/>
      <c r="H37456" s="612"/>
    </row>
    <row r="37457">
      <c r="B37457" s="612"/>
      <c r="H37457" s="612"/>
    </row>
    <row r="37458">
      <c r="B37458" s="612"/>
      <c r="H37458" s="612"/>
    </row>
    <row r="37459">
      <c r="B37459" s="612"/>
      <c r="H37459" s="612"/>
    </row>
    <row r="37460">
      <c r="B37460" s="612"/>
      <c r="H37460" s="612"/>
    </row>
    <row r="37461">
      <c r="B37461" s="612"/>
      <c r="H37461" s="612"/>
    </row>
    <row r="37462">
      <c r="B37462" s="612"/>
      <c r="H37462" s="612"/>
    </row>
    <row r="37463">
      <c r="B37463" s="612"/>
      <c r="H37463" s="612"/>
    </row>
    <row r="37464">
      <c r="B37464" s="612"/>
      <c r="H37464" s="612"/>
    </row>
    <row r="37465">
      <c r="B37465" s="612"/>
      <c r="H37465" s="612"/>
    </row>
    <row r="37466">
      <c r="B37466" s="612"/>
      <c r="H37466" s="612"/>
    </row>
    <row r="37467">
      <c r="B37467" s="612"/>
      <c r="H37467" s="612"/>
    </row>
    <row r="37468">
      <c r="B37468" s="612"/>
      <c r="H37468" s="612"/>
    </row>
    <row r="37469">
      <c r="B37469" s="612"/>
      <c r="H37469" s="612"/>
    </row>
    <row r="37470">
      <c r="B37470" s="612"/>
      <c r="H37470" s="612"/>
    </row>
    <row r="37471">
      <c r="B37471" s="612"/>
      <c r="H37471" s="612"/>
    </row>
    <row r="37472">
      <c r="B37472" s="612"/>
      <c r="H37472" s="612"/>
    </row>
    <row r="37473">
      <c r="B37473" s="612"/>
      <c r="H37473" s="612"/>
    </row>
    <row r="37474">
      <c r="B37474" s="612"/>
      <c r="H37474" s="612"/>
    </row>
    <row r="37475">
      <c r="B37475" s="612"/>
      <c r="H37475" s="612"/>
    </row>
    <row r="37476">
      <c r="B37476" s="612"/>
      <c r="H37476" s="612"/>
    </row>
    <row r="37477">
      <c r="B37477" s="612"/>
      <c r="H37477" s="612"/>
    </row>
    <row r="37478">
      <c r="B37478" s="612"/>
      <c r="H37478" s="612"/>
    </row>
    <row r="37479">
      <c r="B37479" s="612"/>
      <c r="H37479" s="612"/>
    </row>
    <row r="37480">
      <c r="B37480" s="612"/>
      <c r="H37480" s="612"/>
    </row>
    <row r="37481">
      <c r="B37481" s="612"/>
      <c r="H37481" s="612"/>
    </row>
    <row r="37482">
      <c r="B37482" s="612"/>
      <c r="H37482" s="612"/>
    </row>
    <row r="37483">
      <c r="B37483" s="612"/>
      <c r="H37483" s="612"/>
    </row>
    <row r="37484">
      <c r="B37484" s="612"/>
      <c r="H37484" s="612"/>
    </row>
    <row r="37485">
      <c r="B37485" s="612"/>
      <c r="H37485" s="612"/>
    </row>
    <row r="37486">
      <c r="B37486" s="612"/>
      <c r="H37486" s="612"/>
    </row>
    <row r="37487">
      <c r="B37487" s="612"/>
      <c r="H37487" s="612"/>
    </row>
    <row r="37488">
      <c r="B37488" s="612"/>
      <c r="H37488" s="612"/>
    </row>
    <row r="37489">
      <c r="B37489" s="612"/>
      <c r="H37489" s="612"/>
    </row>
    <row r="37490">
      <c r="B37490" s="612"/>
      <c r="H37490" s="612"/>
    </row>
    <row r="37491">
      <c r="B37491" s="612"/>
      <c r="H37491" s="612"/>
    </row>
    <row r="37492">
      <c r="B37492" s="612"/>
      <c r="H37492" s="612"/>
    </row>
    <row r="37493">
      <c r="B37493" s="612"/>
      <c r="H37493" s="612"/>
    </row>
    <row r="37494">
      <c r="B37494" s="612"/>
      <c r="H37494" s="612"/>
    </row>
    <row r="37495">
      <c r="B37495" s="612"/>
      <c r="H37495" s="612"/>
    </row>
    <row r="37496">
      <c r="B37496" s="612"/>
      <c r="H37496" s="612"/>
    </row>
    <row r="37497">
      <c r="B37497" s="612"/>
      <c r="H37497" s="612"/>
    </row>
    <row r="37498">
      <c r="B37498" s="612"/>
      <c r="H37498" s="612"/>
    </row>
    <row r="37499">
      <c r="B37499" s="612"/>
      <c r="H37499" s="612"/>
    </row>
    <row r="37500">
      <c r="B37500" s="612"/>
      <c r="H37500" s="612"/>
    </row>
    <row r="37501">
      <c r="B37501" s="612"/>
      <c r="H37501" s="612"/>
    </row>
    <row r="37502">
      <c r="B37502" s="612"/>
      <c r="H37502" s="612"/>
    </row>
    <row r="37503">
      <c r="B37503" s="612"/>
      <c r="H37503" s="612"/>
    </row>
    <row r="37504">
      <c r="B37504" s="612"/>
      <c r="H37504" s="612"/>
    </row>
    <row r="37505">
      <c r="B37505" s="612"/>
      <c r="H37505" s="612"/>
    </row>
    <row r="37506">
      <c r="B37506" s="612"/>
      <c r="H37506" s="612"/>
    </row>
    <row r="37507">
      <c r="B37507" s="612"/>
      <c r="H37507" s="612"/>
    </row>
    <row r="37508">
      <c r="B37508" s="612"/>
      <c r="H37508" s="612"/>
    </row>
    <row r="37509">
      <c r="B37509" s="612"/>
      <c r="H37509" s="612"/>
    </row>
    <row r="37510">
      <c r="B37510" s="612"/>
      <c r="H37510" s="612"/>
    </row>
    <row r="37511">
      <c r="B37511" s="612"/>
      <c r="H37511" s="612"/>
    </row>
    <row r="37512">
      <c r="B37512" s="612"/>
      <c r="H37512" s="612"/>
    </row>
    <row r="37513">
      <c r="B37513" s="612"/>
      <c r="H37513" s="612"/>
    </row>
    <row r="37514">
      <c r="B37514" s="612"/>
      <c r="H37514" s="612"/>
    </row>
    <row r="37515">
      <c r="B37515" s="612"/>
      <c r="H37515" s="612"/>
    </row>
    <row r="37516">
      <c r="B37516" s="612"/>
      <c r="H37516" s="612"/>
    </row>
    <row r="37517">
      <c r="B37517" s="612"/>
      <c r="H37517" s="612"/>
    </row>
    <row r="37518">
      <c r="B37518" s="612"/>
      <c r="H37518" s="612"/>
    </row>
    <row r="37519">
      <c r="B37519" s="612"/>
      <c r="H37519" s="612"/>
    </row>
    <row r="37520">
      <c r="B37520" s="612"/>
      <c r="H37520" s="612"/>
    </row>
    <row r="37521">
      <c r="B37521" s="612"/>
      <c r="H37521" s="612"/>
    </row>
    <row r="37522">
      <c r="B37522" s="612"/>
      <c r="H37522" s="612"/>
    </row>
    <row r="37523">
      <c r="B37523" s="612"/>
      <c r="H37523" s="612"/>
    </row>
    <row r="37524">
      <c r="B37524" s="612"/>
      <c r="H37524" s="612"/>
    </row>
    <row r="37525">
      <c r="B37525" s="612"/>
      <c r="H37525" s="612"/>
    </row>
    <row r="37526">
      <c r="B37526" s="612"/>
      <c r="H37526" s="612"/>
    </row>
    <row r="37527">
      <c r="B37527" s="612"/>
      <c r="H37527" s="612"/>
    </row>
    <row r="37528">
      <c r="B37528" s="612"/>
      <c r="H37528" s="612"/>
    </row>
    <row r="37529">
      <c r="B37529" s="612"/>
      <c r="H37529" s="612"/>
    </row>
    <row r="37530">
      <c r="B37530" s="612"/>
      <c r="H37530" s="612"/>
    </row>
    <row r="37531">
      <c r="B37531" s="612"/>
      <c r="H37531" s="612"/>
    </row>
    <row r="37532">
      <c r="B37532" s="612"/>
      <c r="H37532" s="612"/>
    </row>
    <row r="37533">
      <c r="B37533" s="612"/>
      <c r="H37533" s="612"/>
    </row>
    <row r="37534">
      <c r="B37534" s="612"/>
      <c r="H37534" s="612"/>
    </row>
    <row r="37535">
      <c r="B37535" s="612"/>
      <c r="H37535" s="612"/>
    </row>
    <row r="37536">
      <c r="B37536" s="612"/>
      <c r="H37536" s="612"/>
    </row>
    <row r="37537">
      <c r="B37537" s="612"/>
      <c r="H37537" s="612"/>
    </row>
    <row r="37538">
      <c r="B37538" s="612"/>
      <c r="H37538" s="612"/>
    </row>
    <row r="37539">
      <c r="B37539" s="612"/>
      <c r="H37539" s="612"/>
    </row>
    <row r="37540">
      <c r="B37540" s="612"/>
      <c r="H37540" s="612"/>
    </row>
    <row r="37541">
      <c r="B37541" s="612"/>
      <c r="H37541" s="612"/>
    </row>
    <row r="37542">
      <c r="B37542" s="612"/>
      <c r="H37542" s="612"/>
    </row>
    <row r="37543">
      <c r="B37543" s="612"/>
      <c r="H37543" s="612"/>
    </row>
    <row r="37544">
      <c r="B37544" s="612"/>
      <c r="H37544" s="612"/>
    </row>
    <row r="37545">
      <c r="B37545" s="612"/>
      <c r="H37545" s="612"/>
    </row>
    <row r="37546">
      <c r="B37546" s="612"/>
      <c r="H37546" s="612"/>
    </row>
    <row r="37547">
      <c r="B37547" s="612"/>
      <c r="H37547" s="612"/>
    </row>
    <row r="37548">
      <c r="B37548" s="612"/>
      <c r="H37548" s="612"/>
    </row>
    <row r="37549">
      <c r="B37549" s="612"/>
      <c r="H37549" s="612"/>
    </row>
    <row r="37550">
      <c r="B37550" s="612"/>
      <c r="H37550" s="612"/>
    </row>
    <row r="37551">
      <c r="B37551" s="612"/>
      <c r="H37551" s="612"/>
    </row>
    <row r="37552">
      <c r="B37552" s="612"/>
      <c r="H37552" s="612"/>
    </row>
    <row r="37553">
      <c r="B37553" s="612"/>
      <c r="H37553" s="612"/>
    </row>
    <row r="37554">
      <c r="B37554" s="612"/>
      <c r="H37554" s="612"/>
    </row>
    <row r="37555">
      <c r="B37555" s="612"/>
      <c r="H37555" s="612"/>
    </row>
    <row r="37556">
      <c r="B37556" s="612"/>
      <c r="H37556" s="612"/>
    </row>
    <row r="37557">
      <c r="B37557" s="612"/>
      <c r="H37557" s="612"/>
    </row>
    <row r="37558">
      <c r="B37558" s="612"/>
      <c r="H37558" s="612"/>
    </row>
    <row r="37559">
      <c r="B37559" s="612"/>
      <c r="H37559" s="612"/>
    </row>
    <row r="37560">
      <c r="B37560" s="612"/>
      <c r="H37560" s="612"/>
    </row>
    <row r="37561">
      <c r="B37561" s="612"/>
      <c r="H37561" s="612"/>
    </row>
    <row r="37562">
      <c r="B37562" s="612"/>
      <c r="H37562" s="612"/>
    </row>
    <row r="37563">
      <c r="B37563" s="612"/>
      <c r="H37563" s="612"/>
    </row>
    <row r="37564">
      <c r="B37564" s="612"/>
      <c r="H37564" s="612"/>
    </row>
    <row r="37565">
      <c r="B37565" s="612"/>
      <c r="H37565" s="612"/>
    </row>
    <row r="37566">
      <c r="B37566" s="612"/>
      <c r="H37566" s="612"/>
    </row>
    <row r="37567">
      <c r="B37567" s="612"/>
      <c r="H37567" s="612"/>
    </row>
    <row r="37568">
      <c r="B37568" s="612"/>
      <c r="H37568" s="612"/>
    </row>
    <row r="37569">
      <c r="B37569" s="612"/>
      <c r="H37569" s="612"/>
    </row>
    <row r="37570">
      <c r="B37570" s="612"/>
      <c r="H37570" s="612"/>
    </row>
    <row r="37571">
      <c r="B37571" s="612"/>
      <c r="H37571" s="612"/>
    </row>
    <row r="37572">
      <c r="B37572" s="612"/>
      <c r="H37572" s="612"/>
    </row>
    <row r="37573">
      <c r="B37573" s="612"/>
      <c r="H37573" s="612"/>
    </row>
    <row r="37574">
      <c r="B37574" s="612"/>
      <c r="H37574" s="612"/>
    </row>
    <row r="37575">
      <c r="B37575" s="612"/>
      <c r="H37575" s="612"/>
    </row>
    <row r="37576">
      <c r="B37576" s="612"/>
      <c r="H37576" s="612"/>
    </row>
    <row r="37577">
      <c r="B37577" s="612"/>
      <c r="H37577" s="612"/>
    </row>
    <row r="37578">
      <c r="B37578" s="612"/>
      <c r="H37578" s="612"/>
    </row>
    <row r="37579">
      <c r="B37579" s="612"/>
      <c r="H37579" s="612"/>
    </row>
    <row r="37580">
      <c r="B37580" s="612"/>
      <c r="H37580" s="612"/>
    </row>
    <row r="37581">
      <c r="B37581" s="612"/>
      <c r="H37581" s="612"/>
    </row>
    <row r="37582">
      <c r="B37582" s="612"/>
      <c r="H37582" s="612"/>
    </row>
    <row r="37583">
      <c r="B37583" s="612"/>
      <c r="H37583" s="612"/>
    </row>
    <row r="37584">
      <c r="B37584" s="612"/>
      <c r="H37584" s="612"/>
    </row>
    <row r="37585">
      <c r="B37585" s="612"/>
      <c r="H37585" s="612"/>
    </row>
    <row r="37586">
      <c r="B37586" s="612"/>
      <c r="H37586" s="612"/>
    </row>
    <row r="37587">
      <c r="B37587" s="612"/>
      <c r="H37587" s="612"/>
    </row>
    <row r="37588">
      <c r="B37588" s="612"/>
      <c r="H37588" s="612"/>
    </row>
    <row r="37589">
      <c r="B37589" s="612"/>
      <c r="H37589" s="612"/>
    </row>
    <row r="37590">
      <c r="B37590" s="612"/>
      <c r="H37590" s="612"/>
    </row>
    <row r="37591">
      <c r="B37591" s="612"/>
      <c r="H37591" s="612"/>
    </row>
    <row r="37592">
      <c r="B37592" s="612"/>
      <c r="H37592" s="612"/>
    </row>
    <row r="37593">
      <c r="B37593" s="612"/>
      <c r="H37593" s="612"/>
    </row>
    <row r="37594">
      <c r="B37594" s="612"/>
      <c r="H37594" s="612"/>
    </row>
    <row r="37595">
      <c r="B37595" s="612"/>
      <c r="H37595" s="612"/>
    </row>
    <row r="37596">
      <c r="B37596" s="612"/>
      <c r="H37596" s="612"/>
    </row>
    <row r="37597">
      <c r="B37597" s="612"/>
      <c r="H37597" s="612"/>
    </row>
    <row r="37598">
      <c r="B37598" s="612"/>
      <c r="H37598" s="612"/>
    </row>
    <row r="37599">
      <c r="B37599" s="612"/>
      <c r="H37599" s="612"/>
    </row>
    <row r="37600">
      <c r="B37600" s="612"/>
      <c r="H37600" s="612"/>
    </row>
    <row r="37601">
      <c r="B37601" s="612"/>
      <c r="H37601" s="612"/>
    </row>
    <row r="37602">
      <c r="B37602" s="612"/>
      <c r="H37602" s="612"/>
    </row>
    <row r="37603">
      <c r="B37603" s="612"/>
      <c r="H37603" s="612"/>
    </row>
    <row r="37604">
      <c r="B37604" s="612"/>
      <c r="H37604" s="612"/>
    </row>
    <row r="37605">
      <c r="B37605" s="612"/>
      <c r="H37605" s="612"/>
    </row>
    <row r="37606">
      <c r="B37606" s="612"/>
      <c r="H37606" s="612"/>
    </row>
    <row r="37607">
      <c r="B37607" s="612"/>
      <c r="H37607" s="612"/>
    </row>
    <row r="37608">
      <c r="B37608" s="612"/>
      <c r="H37608" s="612"/>
    </row>
    <row r="37609">
      <c r="B37609" s="612"/>
      <c r="H37609" s="612"/>
    </row>
    <row r="37610">
      <c r="B37610" s="612"/>
      <c r="H37610" s="612"/>
    </row>
    <row r="37611">
      <c r="B37611" s="612"/>
      <c r="H37611" s="612"/>
    </row>
    <row r="37612">
      <c r="B37612" s="612"/>
      <c r="H37612" s="612"/>
    </row>
    <row r="37613">
      <c r="B37613" s="612"/>
      <c r="H37613" s="612"/>
    </row>
    <row r="37614">
      <c r="B37614" s="612"/>
      <c r="H37614" s="612"/>
    </row>
    <row r="37615">
      <c r="B37615" s="612"/>
      <c r="H37615" s="612"/>
    </row>
    <row r="37616">
      <c r="B37616" s="612"/>
      <c r="H37616" s="612"/>
    </row>
    <row r="37617">
      <c r="B37617" s="612"/>
      <c r="H37617" s="612"/>
    </row>
    <row r="37618">
      <c r="B37618" s="612"/>
      <c r="H37618" s="612"/>
    </row>
    <row r="37619">
      <c r="B37619" s="612"/>
      <c r="H37619" s="612"/>
    </row>
    <row r="37620">
      <c r="B37620" s="612"/>
      <c r="H37620" s="612"/>
    </row>
    <row r="37621">
      <c r="B37621" s="612"/>
      <c r="H37621" s="612"/>
    </row>
    <row r="37622">
      <c r="B37622" s="612"/>
      <c r="H37622" s="612"/>
    </row>
    <row r="37623">
      <c r="B37623" s="612"/>
      <c r="H37623" s="612"/>
    </row>
    <row r="37624">
      <c r="B37624" s="612"/>
      <c r="H37624" s="612"/>
    </row>
    <row r="37625">
      <c r="B37625" s="612"/>
      <c r="H37625" s="612"/>
    </row>
    <row r="37626">
      <c r="B37626" s="612"/>
      <c r="H37626" s="612"/>
    </row>
    <row r="37627">
      <c r="B37627" s="612"/>
      <c r="H37627" s="612"/>
    </row>
    <row r="37628">
      <c r="B37628" s="612"/>
      <c r="H37628" s="612"/>
    </row>
    <row r="37629">
      <c r="B37629" s="612"/>
      <c r="H37629" s="612"/>
    </row>
    <row r="37630">
      <c r="B37630" s="612"/>
      <c r="H37630" s="612"/>
    </row>
    <row r="37631">
      <c r="B37631" s="612"/>
      <c r="H37631" s="612"/>
    </row>
    <row r="37632">
      <c r="B37632" s="612"/>
      <c r="H37632" s="612"/>
    </row>
    <row r="37633">
      <c r="B37633" s="612"/>
      <c r="H37633" s="612"/>
    </row>
    <row r="37634">
      <c r="B37634" s="612"/>
      <c r="H37634" s="612"/>
    </row>
    <row r="37635">
      <c r="B37635" s="612"/>
      <c r="H37635" s="612"/>
    </row>
    <row r="37636">
      <c r="B37636" s="612"/>
      <c r="H37636" s="612"/>
    </row>
    <row r="37637">
      <c r="B37637" s="612"/>
      <c r="H37637" s="612"/>
    </row>
    <row r="37638">
      <c r="B37638" s="612"/>
      <c r="H37638" s="612"/>
    </row>
    <row r="37639">
      <c r="B37639" s="612"/>
      <c r="H37639" s="612"/>
    </row>
    <row r="37640">
      <c r="B37640" s="612"/>
      <c r="H37640" s="612"/>
    </row>
    <row r="37641">
      <c r="B37641" s="612"/>
      <c r="H37641" s="612"/>
    </row>
    <row r="37642">
      <c r="B37642" s="612"/>
      <c r="H37642" s="612"/>
    </row>
    <row r="37643">
      <c r="B37643" s="612"/>
      <c r="H37643" s="612"/>
    </row>
    <row r="37644">
      <c r="B37644" s="612"/>
      <c r="H37644" s="612"/>
    </row>
    <row r="37645">
      <c r="B37645" s="612"/>
      <c r="H37645" s="612"/>
    </row>
    <row r="37646">
      <c r="B37646" s="612"/>
      <c r="H37646" s="612"/>
    </row>
    <row r="37647">
      <c r="B37647" s="612"/>
      <c r="H37647" s="612"/>
    </row>
    <row r="37648">
      <c r="B37648" s="612"/>
      <c r="H37648" s="612"/>
    </row>
    <row r="37649">
      <c r="B37649" s="612"/>
      <c r="H37649" s="612"/>
    </row>
    <row r="37650">
      <c r="B37650" s="612"/>
      <c r="H37650" s="612"/>
    </row>
    <row r="37651">
      <c r="B37651" s="612"/>
      <c r="H37651" s="612"/>
    </row>
    <row r="37652">
      <c r="B37652" s="612"/>
      <c r="H37652" s="612"/>
    </row>
    <row r="37653">
      <c r="B37653" s="612"/>
      <c r="H37653" s="612"/>
    </row>
    <row r="37654">
      <c r="B37654" s="612"/>
      <c r="H37654" s="612"/>
    </row>
    <row r="37655">
      <c r="B37655" s="612"/>
      <c r="H37655" s="612"/>
    </row>
    <row r="37656">
      <c r="B37656" s="612"/>
      <c r="H37656" s="612"/>
    </row>
    <row r="37657">
      <c r="B37657" s="612"/>
      <c r="H37657" s="612"/>
    </row>
    <row r="37658">
      <c r="B37658" s="612"/>
      <c r="H37658" s="612"/>
    </row>
    <row r="37659">
      <c r="B37659" s="612"/>
      <c r="H37659" s="612"/>
    </row>
    <row r="37660">
      <c r="B37660" s="612"/>
      <c r="H37660" s="612"/>
    </row>
    <row r="37661">
      <c r="B37661" s="612"/>
      <c r="H37661" s="612"/>
    </row>
    <row r="37662">
      <c r="B37662" s="612"/>
      <c r="H37662" s="612"/>
    </row>
    <row r="37663">
      <c r="B37663" s="612"/>
      <c r="H37663" s="612"/>
    </row>
    <row r="37664">
      <c r="B37664" s="612"/>
      <c r="H37664" s="612"/>
    </row>
    <row r="37665">
      <c r="B37665" s="612"/>
      <c r="H37665" s="612"/>
    </row>
    <row r="37666">
      <c r="B37666" s="612"/>
      <c r="H37666" s="612"/>
    </row>
    <row r="37667">
      <c r="B37667" s="612"/>
      <c r="H37667" s="612"/>
    </row>
    <row r="37668">
      <c r="B37668" s="612"/>
      <c r="H37668" s="612"/>
    </row>
    <row r="37669">
      <c r="B37669" s="612"/>
      <c r="H37669" s="612"/>
    </row>
    <row r="37670">
      <c r="B37670" s="612"/>
      <c r="H37670" s="612"/>
    </row>
    <row r="37671">
      <c r="B37671" s="612"/>
      <c r="H37671" s="612"/>
    </row>
    <row r="37672">
      <c r="B37672" s="612"/>
      <c r="H37672" s="612"/>
    </row>
    <row r="37673">
      <c r="B37673" s="612"/>
      <c r="H37673" s="612"/>
    </row>
    <row r="37674">
      <c r="B37674" s="612"/>
      <c r="H37674" s="612"/>
    </row>
    <row r="37675">
      <c r="B37675" s="612"/>
      <c r="H37675" s="612"/>
    </row>
    <row r="37676">
      <c r="B37676" s="612"/>
      <c r="H37676" s="612"/>
    </row>
    <row r="37677">
      <c r="B37677" s="612"/>
      <c r="H37677" s="612"/>
    </row>
    <row r="37678">
      <c r="B37678" s="612"/>
      <c r="H37678" s="612"/>
    </row>
    <row r="37679">
      <c r="B37679" s="612"/>
      <c r="H37679" s="612"/>
    </row>
    <row r="37680">
      <c r="B37680" s="612"/>
      <c r="H37680" s="612"/>
    </row>
    <row r="37681">
      <c r="B37681" s="612"/>
      <c r="H37681" s="612"/>
    </row>
    <row r="37682">
      <c r="B37682" s="612"/>
      <c r="H37682" s="612"/>
    </row>
    <row r="37683">
      <c r="B37683" s="612"/>
      <c r="H37683" s="612"/>
    </row>
    <row r="37684">
      <c r="B37684" s="612"/>
      <c r="H37684" s="612"/>
    </row>
    <row r="37685">
      <c r="B37685" s="612"/>
      <c r="H37685" s="612"/>
    </row>
    <row r="37686">
      <c r="B37686" s="612"/>
      <c r="H37686" s="612"/>
    </row>
    <row r="37687">
      <c r="B37687" s="612"/>
      <c r="H37687" s="612"/>
    </row>
    <row r="37688">
      <c r="B37688" s="612"/>
      <c r="H37688" s="612"/>
    </row>
    <row r="37689">
      <c r="B37689" s="612"/>
      <c r="H37689" s="612"/>
    </row>
    <row r="37690">
      <c r="B37690" s="612"/>
      <c r="H37690" s="612"/>
    </row>
    <row r="37691">
      <c r="B37691" s="612"/>
      <c r="H37691" s="612"/>
    </row>
    <row r="37692">
      <c r="B37692" s="612"/>
      <c r="H37692" s="612"/>
    </row>
    <row r="37693">
      <c r="B37693" s="612"/>
      <c r="H37693" s="612"/>
    </row>
    <row r="37694">
      <c r="B37694" s="612"/>
      <c r="H37694" s="612"/>
    </row>
    <row r="37695">
      <c r="B37695" s="612"/>
      <c r="H37695" s="612"/>
    </row>
    <row r="37696">
      <c r="B37696" s="612"/>
      <c r="H37696" s="612"/>
    </row>
    <row r="37697">
      <c r="B37697" s="612"/>
      <c r="H37697" s="612"/>
    </row>
    <row r="37698">
      <c r="B37698" s="612"/>
      <c r="H37698" s="612"/>
    </row>
    <row r="37699">
      <c r="B37699" s="612"/>
      <c r="H37699" s="612"/>
    </row>
    <row r="37700">
      <c r="B37700" s="612"/>
      <c r="H37700" s="612"/>
    </row>
    <row r="37701">
      <c r="B37701" s="612"/>
      <c r="H37701" s="612"/>
    </row>
    <row r="37702">
      <c r="B37702" s="612"/>
      <c r="H37702" s="612"/>
    </row>
    <row r="37703">
      <c r="B37703" s="612"/>
      <c r="H37703" s="612"/>
    </row>
    <row r="37704">
      <c r="B37704" s="612"/>
      <c r="H37704" s="612"/>
    </row>
    <row r="37705">
      <c r="B37705" s="612"/>
      <c r="H37705" s="612"/>
    </row>
    <row r="37706">
      <c r="B37706" s="612"/>
      <c r="H37706" s="612"/>
    </row>
    <row r="37707">
      <c r="B37707" s="612"/>
      <c r="H37707" s="612"/>
    </row>
    <row r="37708">
      <c r="B37708" s="612"/>
      <c r="H37708" s="612"/>
    </row>
    <row r="37709">
      <c r="B37709" s="612"/>
      <c r="H37709" s="612"/>
    </row>
    <row r="37710">
      <c r="B37710" s="612"/>
      <c r="H37710" s="612"/>
    </row>
    <row r="37711">
      <c r="B37711" s="612"/>
      <c r="H37711" s="612"/>
    </row>
    <row r="37712">
      <c r="B37712" s="612"/>
      <c r="H37712" s="612"/>
    </row>
    <row r="37713">
      <c r="B37713" s="612"/>
      <c r="H37713" s="612"/>
    </row>
    <row r="37714">
      <c r="B37714" s="612"/>
      <c r="H37714" s="612"/>
    </row>
    <row r="37715">
      <c r="B37715" s="612"/>
      <c r="H37715" s="612"/>
    </row>
    <row r="37716">
      <c r="B37716" s="612"/>
      <c r="H37716" s="612"/>
    </row>
    <row r="37717">
      <c r="B37717" s="612"/>
      <c r="H37717" s="612"/>
    </row>
    <row r="37718">
      <c r="B37718" s="612"/>
      <c r="H37718" s="612"/>
    </row>
    <row r="37719">
      <c r="B37719" s="612"/>
      <c r="H37719" s="612"/>
    </row>
    <row r="37720">
      <c r="B37720" s="612"/>
      <c r="H37720" s="612"/>
    </row>
    <row r="37721">
      <c r="B37721" s="612"/>
      <c r="H37721" s="612"/>
    </row>
    <row r="37722">
      <c r="B37722" s="612"/>
      <c r="H37722" s="612"/>
    </row>
    <row r="37723">
      <c r="B37723" s="612"/>
      <c r="H37723" s="612"/>
    </row>
    <row r="37724">
      <c r="B37724" s="612"/>
      <c r="H37724" s="612"/>
    </row>
    <row r="37725">
      <c r="B37725" s="612"/>
      <c r="H37725" s="612"/>
    </row>
    <row r="37726">
      <c r="B37726" s="612"/>
      <c r="H37726" s="612"/>
    </row>
    <row r="37727">
      <c r="B37727" s="612"/>
      <c r="H37727" s="612"/>
    </row>
    <row r="37728">
      <c r="B37728" s="612"/>
      <c r="H37728" s="612"/>
    </row>
    <row r="37729">
      <c r="B37729" s="612"/>
      <c r="H37729" s="612"/>
    </row>
    <row r="37730">
      <c r="B37730" s="612"/>
      <c r="H37730" s="612"/>
    </row>
    <row r="37731">
      <c r="B37731" s="612"/>
      <c r="H37731" s="612"/>
    </row>
    <row r="37732">
      <c r="B37732" s="612"/>
      <c r="H37732" s="612"/>
    </row>
    <row r="37733">
      <c r="B37733" s="612"/>
      <c r="H37733" s="612"/>
    </row>
    <row r="37734">
      <c r="B37734" s="612"/>
      <c r="H37734" s="612"/>
    </row>
    <row r="37735">
      <c r="B37735" s="612"/>
      <c r="H37735" s="612"/>
    </row>
    <row r="37736">
      <c r="B37736" s="612"/>
      <c r="H37736" s="612"/>
    </row>
    <row r="37737">
      <c r="B37737" s="612"/>
      <c r="H37737" s="612"/>
    </row>
    <row r="37738">
      <c r="B37738" s="612"/>
      <c r="H37738" s="612"/>
    </row>
    <row r="37739">
      <c r="B37739" s="612"/>
      <c r="H37739" s="612"/>
    </row>
    <row r="37740">
      <c r="B37740" s="612"/>
      <c r="H37740" s="612"/>
    </row>
    <row r="37741">
      <c r="B37741" s="612"/>
      <c r="H37741" s="612"/>
    </row>
    <row r="37742">
      <c r="B37742" s="612"/>
      <c r="H37742" s="612"/>
    </row>
    <row r="37743">
      <c r="B37743" s="612"/>
      <c r="H37743" s="612"/>
    </row>
    <row r="37744">
      <c r="B37744" s="612"/>
      <c r="H37744" s="612"/>
    </row>
    <row r="37745">
      <c r="B37745" s="612"/>
      <c r="H37745" s="612"/>
    </row>
    <row r="37746">
      <c r="B37746" s="612"/>
      <c r="H37746" s="612"/>
    </row>
    <row r="37747">
      <c r="B37747" s="612"/>
      <c r="H37747" s="612"/>
    </row>
    <row r="37748">
      <c r="B37748" s="612"/>
      <c r="H37748" s="612"/>
    </row>
    <row r="37749">
      <c r="B37749" s="612"/>
      <c r="H37749" s="612"/>
    </row>
    <row r="37750">
      <c r="B37750" s="612"/>
      <c r="H37750" s="612"/>
    </row>
    <row r="37751">
      <c r="B37751" s="612"/>
      <c r="H37751" s="612"/>
    </row>
    <row r="37752">
      <c r="B37752" s="612"/>
      <c r="H37752" s="612"/>
    </row>
    <row r="37753">
      <c r="B37753" s="612"/>
      <c r="H37753" s="612"/>
    </row>
    <row r="37754">
      <c r="B37754" s="612"/>
      <c r="H37754" s="612"/>
    </row>
    <row r="37755">
      <c r="B37755" s="612"/>
      <c r="H37755" s="612"/>
    </row>
    <row r="37756">
      <c r="B37756" s="612"/>
      <c r="H37756" s="612"/>
    </row>
    <row r="37757">
      <c r="B37757" s="612"/>
      <c r="H37757" s="612"/>
    </row>
    <row r="37758">
      <c r="B37758" s="612"/>
      <c r="H37758" s="612"/>
    </row>
    <row r="37759">
      <c r="B37759" s="612"/>
      <c r="H37759" s="612"/>
    </row>
    <row r="37760">
      <c r="B37760" s="612"/>
      <c r="H37760" s="612"/>
    </row>
    <row r="37761">
      <c r="B37761" s="612"/>
      <c r="H37761" s="612"/>
    </row>
    <row r="37762">
      <c r="B37762" s="612"/>
      <c r="H37762" s="612"/>
    </row>
    <row r="37763">
      <c r="B37763" s="612"/>
      <c r="H37763" s="612"/>
    </row>
    <row r="37764">
      <c r="B37764" s="612"/>
      <c r="H37764" s="612"/>
    </row>
    <row r="37765">
      <c r="B37765" s="612"/>
      <c r="H37765" s="612"/>
    </row>
    <row r="37766">
      <c r="B37766" s="612"/>
      <c r="H37766" s="612"/>
    </row>
    <row r="37767">
      <c r="B37767" s="612"/>
      <c r="H37767" s="612"/>
    </row>
    <row r="37768">
      <c r="B37768" s="612"/>
      <c r="H37768" s="612"/>
    </row>
    <row r="37769">
      <c r="B37769" s="612"/>
      <c r="H37769" s="612"/>
    </row>
    <row r="37770">
      <c r="B37770" s="612"/>
      <c r="H37770" s="612"/>
    </row>
    <row r="37771">
      <c r="B37771" s="612"/>
      <c r="H37771" s="612"/>
    </row>
    <row r="37772">
      <c r="B37772" s="612"/>
      <c r="H37772" s="612"/>
    </row>
    <row r="37773">
      <c r="B37773" s="612"/>
      <c r="H37773" s="612"/>
    </row>
    <row r="37774">
      <c r="B37774" s="612"/>
      <c r="H37774" s="612"/>
    </row>
    <row r="37775">
      <c r="B37775" s="612"/>
      <c r="H37775" s="612"/>
    </row>
    <row r="37776">
      <c r="B37776" s="612"/>
      <c r="H37776" s="612"/>
    </row>
    <row r="37777">
      <c r="B37777" s="612"/>
      <c r="H37777" s="612"/>
    </row>
    <row r="37778">
      <c r="B37778" s="612"/>
      <c r="H37778" s="612"/>
    </row>
    <row r="37779">
      <c r="B37779" s="612"/>
      <c r="H37779" s="612"/>
    </row>
    <row r="37780">
      <c r="B37780" s="612"/>
      <c r="H37780" s="612"/>
    </row>
    <row r="37781">
      <c r="B37781" s="612"/>
      <c r="H37781" s="612"/>
    </row>
    <row r="37782">
      <c r="B37782" s="612"/>
      <c r="H37782" s="612"/>
    </row>
    <row r="37783">
      <c r="B37783" s="612"/>
      <c r="H37783" s="612"/>
    </row>
    <row r="37784">
      <c r="B37784" s="612"/>
      <c r="H37784" s="612"/>
    </row>
    <row r="37785">
      <c r="B37785" s="612"/>
      <c r="H37785" s="612"/>
    </row>
    <row r="37786">
      <c r="B37786" s="612"/>
      <c r="H37786" s="612"/>
    </row>
    <row r="37787">
      <c r="B37787" s="612"/>
      <c r="H37787" s="612"/>
    </row>
    <row r="37788">
      <c r="B37788" s="612"/>
      <c r="H37788" s="612"/>
    </row>
    <row r="37789">
      <c r="B37789" s="612"/>
      <c r="H37789" s="612"/>
    </row>
    <row r="37790">
      <c r="B37790" s="612"/>
      <c r="H37790" s="612"/>
    </row>
    <row r="37791">
      <c r="B37791" s="612"/>
      <c r="H37791" s="612"/>
    </row>
    <row r="37792">
      <c r="B37792" s="612"/>
      <c r="H37792" s="612"/>
    </row>
    <row r="37793">
      <c r="B37793" s="612"/>
      <c r="H37793" s="612"/>
    </row>
    <row r="37794">
      <c r="B37794" s="612"/>
      <c r="H37794" s="612"/>
    </row>
    <row r="37795">
      <c r="B37795" s="612"/>
      <c r="H37795" s="612"/>
    </row>
    <row r="37796">
      <c r="B37796" s="612"/>
      <c r="H37796" s="612"/>
    </row>
    <row r="37797">
      <c r="B37797" s="612"/>
      <c r="H37797" s="612"/>
    </row>
    <row r="37798">
      <c r="B37798" s="612"/>
      <c r="H37798" s="612"/>
    </row>
    <row r="37799">
      <c r="B37799" s="612"/>
      <c r="H37799" s="612"/>
    </row>
    <row r="37800">
      <c r="B37800" s="612"/>
      <c r="H37800" s="612"/>
    </row>
    <row r="37801">
      <c r="B37801" s="612"/>
      <c r="H37801" s="612"/>
    </row>
    <row r="37802">
      <c r="B37802" s="612"/>
      <c r="H37802" s="612"/>
    </row>
    <row r="37803">
      <c r="B37803" s="612"/>
      <c r="H37803" s="612"/>
    </row>
    <row r="37804">
      <c r="B37804" s="612"/>
      <c r="H37804" s="612"/>
    </row>
    <row r="37805">
      <c r="B37805" s="612"/>
      <c r="H37805" s="612"/>
    </row>
    <row r="37806">
      <c r="B37806" s="612"/>
      <c r="H37806" s="612"/>
    </row>
    <row r="37807">
      <c r="B37807" s="612"/>
      <c r="H37807" s="612"/>
    </row>
    <row r="37808">
      <c r="B37808" s="612"/>
      <c r="H37808" s="612"/>
    </row>
    <row r="37809">
      <c r="B37809" s="612"/>
      <c r="H37809" s="612"/>
    </row>
    <row r="37810">
      <c r="B37810" s="612"/>
      <c r="H37810" s="612"/>
    </row>
    <row r="37811">
      <c r="B37811" s="612"/>
      <c r="H37811" s="612"/>
    </row>
    <row r="37812">
      <c r="B37812" s="612"/>
      <c r="H37812" s="612"/>
    </row>
    <row r="37813">
      <c r="B37813" s="612"/>
      <c r="H37813" s="612"/>
    </row>
    <row r="37814">
      <c r="B37814" s="612"/>
      <c r="H37814" s="612"/>
    </row>
    <row r="37815">
      <c r="B37815" s="612"/>
      <c r="H37815" s="612"/>
    </row>
    <row r="37816">
      <c r="B37816" s="612"/>
      <c r="H37816" s="612"/>
    </row>
    <row r="37817">
      <c r="B37817" s="612"/>
      <c r="H37817" s="612"/>
    </row>
    <row r="37818">
      <c r="B37818" s="612"/>
      <c r="H37818" s="612"/>
    </row>
    <row r="37819">
      <c r="B37819" s="612"/>
      <c r="H37819" s="612"/>
    </row>
    <row r="37820">
      <c r="B37820" s="612"/>
      <c r="H37820" s="612"/>
    </row>
    <row r="37821">
      <c r="B37821" s="612"/>
      <c r="H37821" s="612"/>
    </row>
    <row r="37822">
      <c r="B37822" s="612"/>
      <c r="H37822" s="612"/>
    </row>
    <row r="37823">
      <c r="B37823" s="612"/>
      <c r="H37823" s="612"/>
    </row>
    <row r="37824">
      <c r="B37824" s="612"/>
      <c r="H37824" s="612"/>
    </row>
    <row r="37825">
      <c r="B37825" s="612"/>
      <c r="H37825" s="612"/>
    </row>
    <row r="37826">
      <c r="B37826" s="612"/>
      <c r="H37826" s="612"/>
    </row>
    <row r="37827">
      <c r="B37827" s="612"/>
      <c r="H37827" s="612"/>
    </row>
    <row r="37828">
      <c r="B37828" s="612"/>
      <c r="H37828" s="612"/>
    </row>
    <row r="37829">
      <c r="B37829" s="612"/>
      <c r="H37829" s="612"/>
    </row>
    <row r="37830">
      <c r="B37830" s="612"/>
      <c r="H37830" s="612"/>
    </row>
    <row r="37831">
      <c r="B37831" s="612"/>
      <c r="H37831" s="612"/>
    </row>
    <row r="37832">
      <c r="B37832" s="612"/>
      <c r="H37832" s="612"/>
    </row>
    <row r="37833">
      <c r="B37833" s="612"/>
      <c r="H37833" s="612"/>
    </row>
    <row r="37834">
      <c r="B37834" s="612"/>
      <c r="H37834" s="612"/>
    </row>
    <row r="37835">
      <c r="B37835" s="612"/>
      <c r="H37835" s="612"/>
    </row>
    <row r="37836">
      <c r="B37836" s="612"/>
      <c r="H37836" s="612"/>
    </row>
    <row r="37837">
      <c r="B37837" s="612"/>
      <c r="H37837" s="612"/>
    </row>
    <row r="37838">
      <c r="B37838" s="612"/>
      <c r="H37838" s="612"/>
    </row>
    <row r="37839">
      <c r="B37839" s="612"/>
      <c r="H37839" s="612"/>
    </row>
    <row r="37840">
      <c r="B37840" s="612"/>
      <c r="H37840" s="612"/>
    </row>
    <row r="37841">
      <c r="B37841" s="612"/>
      <c r="H37841" s="612"/>
    </row>
    <row r="37842">
      <c r="B37842" s="612"/>
      <c r="H37842" s="612"/>
    </row>
    <row r="37843">
      <c r="B37843" s="612"/>
      <c r="H37843" s="612"/>
    </row>
    <row r="37844">
      <c r="B37844" s="612"/>
      <c r="H37844" s="612"/>
    </row>
    <row r="37845">
      <c r="B37845" s="612"/>
      <c r="H37845" s="612"/>
    </row>
    <row r="37846">
      <c r="B37846" s="612"/>
      <c r="H37846" s="612"/>
    </row>
    <row r="37847">
      <c r="B37847" s="612"/>
      <c r="H37847" s="612"/>
    </row>
    <row r="37848">
      <c r="B37848" s="612"/>
      <c r="H37848" s="612"/>
    </row>
    <row r="37849">
      <c r="B37849" s="612"/>
      <c r="H37849" s="612"/>
    </row>
    <row r="37850">
      <c r="B37850" s="612"/>
      <c r="H37850" s="612"/>
    </row>
    <row r="37851">
      <c r="B37851" s="612"/>
      <c r="H37851" s="612"/>
    </row>
    <row r="37852">
      <c r="B37852" s="612"/>
      <c r="H37852" s="612"/>
    </row>
    <row r="37853">
      <c r="B37853" s="612"/>
      <c r="H37853" s="612"/>
    </row>
    <row r="37854">
      <c r="B37854" s="612"/>
      <c r="H37854" s="612"/>
    </row>
    <row r="37855">
      <c r="B37855" s="612"/>
      <c r="H37855" s="612"/>
    </row>
    <row r="37856">
      <c r="B37856" s="612"/>
      <c r="H37856" s="612"/>
    </row>
    <row r="37857">
      <c r="B37857" s="612"/>
      <c r="H37857" s="612"/>
    </row>
    <row r="37858">
      <c r="B37858" s="612"/>
      <c r="H37858" s="612"/>
    </row>
    <row r="37859">
      <c r="B37859" s="612"/>
      <c r="H37859" s="612"/>
    </row>
    <row r="37860">
      <c r="B37860" s="612"/>
      <c r="H37860" s="612"/>
    </row>
    <row r="37861">
      <c r="B37861" s="612"/>
      <c r="H37861" s="612"/>
    </row>
    <row r="37862">
      <c r="B37862" s="612"/>
      <c r="H37862" s="612"/>
    </row>
    <row r="37863">
      <c r="B37863" s="612"/>
      <c r="H37863" s="612"/>
    </row>
    <row r="37864">
      <c r="B37864" s="612"/>
      <c r="H37864" s="612"/>
    </row>
    <row r="37865">
      <c r="B37865" s="612"/>
      <c r="H37865" s="612"/>
    </row>
    <row r="37866">
      <c r="B37866" s="612"/>
      <c r="H37866" s="612"/>
    </row>
    <row r="37867">
      <c r="B37867" s="612"/>
      <c r="H37867" s="612"/>
    </row>
    <row r="37868">
      <c r="B37868" s="612"/>
      <c r="H37868" s="612"/>
    </row>
    <row r="37869">
      <c r="B37869" s="612"/>
      <c r="H37869" s="612"/>
    </row>
    <row r="37870">
      <c r="B37870" s="612"/>
      <c r="H37870" s="612"/>
    </row>
    <row r="37871">
      <c r="B37871" s="612"/>
      <c r="H37871" s="612"/>
    </row>
    <row r="37872">
      <c r="B37872" s="612"/>
      <c r="H37872" s="612"/>
    </row>
    <row r="37873">
      <c r="B37873" s="612"/>
      <c r="H37873" s="612"/>
    </row>
    <row r="37874">
      <c r="B37874" s="612"/>
      <c r="H37874" s="612"/>
    </row>
    <row r="37875">
      <c r="B37875" s="612"/>
      <c r="H37875" s="612"/>
    </row>
    <row r="37876">
      <c r="B37876" s="612"/>
      <c r="H37876" s="612"/>
    </row>
    <row r="37877">
      <c r="B37877" s="612"/>
      <c r="H37877" s="612"/>
    </row>
    <row r="37878">
      <c r="B37878" s="612"/>
      <c r="H37878" s="612"/>
    </row>
    <row r="37879">
      <c r="B37879" s="612"/>
      <c r="H37879" s="612"/>
    </row>
    <row r="37880">
      <c r="B37880" s="612"/>
      <c r="H37880" s="612"/>
    </row>
    <row r="37881">
      <c r="B37881" s="612"/>
      <c r="H37881" s="612"/>
    </row>
    <row r="37882">
      <c r="B37882" s="612"/>
      <c r="H37882" s="612"/>
    </row>
    <row r="37883">
      <c r="B37883" s="612"/>
      <c r="H37883" s="612"/>
    </row>
    <row r="37884">
      <c r="B37884" s="612"/>
      <c r="H37884" s="612"/>
    </row>
    <row r="37885">
      <c r="B37885" s="612"/>
      <c r="H37885" s="612"/>
    </row>
    <row r="37886">
      <c r="B37886" s="612"/>
      <c r="H37886" s="612"/>
    </row>
    <row r="37887">
      <c r="B37887" s="612"/>
      <c r="H37887" s="612"/>
    </row>
    <row r="37888">
      <c r="B37888" s="612"/>
      <c r="H37888" s="612"/>
    </row>
    <row r="37889">
      <c r="B37889" s="612"/>
      <c r="H37889" s="612"/>
    </row>
    <row r="37890">
      <c r="B37890" s="612"/>
      <c r="H37890" s="612"/>
    </row>
    <row r="37891">
      <c r="B37891" s="612"/>
      <c r="H37891" s="612"/>
    </row>
    <row r="37892">
      <c r="B37892" s="612"/>
      <c r="H37892" s="612"/>
    </row>
    <row r="37893">
      <c r="B37893" s="612"/>
      <c r="H37893" s="612"/>
    </row>
    <row r="37894">
      <c r="B37894" s="612"/>
      <c r="H37894" s="612"/>
    </row>
    <row r="37895">
      <c r="B37895" s="612"/>
      <c r="H37895" s="612"/>
    </row>
    <row r="37896">
      <c r="B37896" s="612"/>
      <c r="H37896" s="612"/>
    </row>
    <row r="37897">
      <c r="B37897" s="612"/>
      <c r="H37897" s="612"/>
    </row>
    <row r="37898">
      <c r="B37898" s="612"/>
      <c r="H37898" s="612"/>
    </row>
    <row r="37899">
      <c r="B37899" s="612"/>
      <c r="H37899" s="612"/>
    </row>
    <row r="37900">
      <c r="B37900" s="612"/>
      <c r="H37900" s="612"/>
    </row>
    <row r="37901">
      <c r="B37901" s="612"/>
      <c r="H37901" s="612"/>
    </row>
    <row r="37902">
      <c r="B37902" s="612"/>
      <c r="H37902" s="612"/>
    </row>
    <row r="37903">
      <c r="B37903" s="612"/>
      <c r="H37903" s="612"/>
    </row>
    <row r="37904">
      <c r="B37904" s="612"/>
      <c r="H37904" s="612"/>
    </row>
    <row r="37905">
      <c r="B37905" s="612"/>
      <c r="H37905" s="612"/>
    </row>
    <row r="37906">
      <c r="B37906" s="612"/>
      <c r="H37906" s="612"/>
    </row>
    <row r="37907">
      <c r="B37907" s="612"/>
      <c r="H37907" s="612"/>
    </row>
    <row r="37908">
      <c r="B37908" s="612"/>
      <c r="H37908" s="612"/>
    </row>
    <row r="37909">
      <c r="B37909" s="612"/>
      <c r="H37909" s="612"/>
    </row>
    <row r="37910">
      <c r="B37910" s="612"/>
      <c r="H37910" s="612"/>
    </row>
    <row r="37911">
      <c r="B37911" s="612"/>
      <c r="H37911" s="612"/>
    </row>
    <row r="37912">
      <c r="B37912" s="612"/>
      <c r="H37912" s="612"/>
    </row>
    <row r="37913">
      <c r="B37913" s="612"/>
      <c r="H37913" s="612"/>
    </row>
    <row r="37914">
      <c r="B37914" s="612"/>
      <c r="H37914" s="612"/>
    </row>
    <row r="37915">
      <c r="B37915" s="612"/>
      <c r="H37915" s="612"/>
    </row>
    <row r="37916">
      <c r="B37916" s="612"/>
      <c r="H37916" s="612"/>
    </row>
    <row r="37917">
      <c r="B37917" s="612"/>
      <c r="H37917" s="612"/>
    </row>
    <row r="37918">
      <c r="B37918" s="612"/>
      <c r="H37918" s="612"/>
    </row>
    <row r="37919">
      <c r="B37919" s="612"/>
      <c r="H37919" s="612"/>
    </row>
    <row r="37920">
      <c r="B37920" s="612"/>
      <c r="H37920" s="612"/>
    </row>
    <row r="37921">
      <c r="B37921" s="612"/>
      <c r="H37921" s="612"/>
    </row>
    <row r="37922">
      <c r="B37922" s="612"/>
      <c r="H37922" s="612"/>
    </row>
    <row r="37923">
      <c r="B37923" s="612"/>
      <c r="H37923" s="612"/>
    </row>
    <row r="37924">
      <c r="B37924" s="612"/>
      <c r="H37924" s="612"/>
    </row>
    <row r="37925">
      <c r="B37925" s="612"/>
      <c r="H37925" s="612"/>
    </row>
    <row r="37926">
      <c r="B37926" s="612"/>
      <c r="H37926" s="612"/>
    </row>
    <row r="37927">
      <c r="B37927" s="612"/>
      <c r="H37927" s="612"/>
    </row>
    <row r="37928">
      <c r="B37928" s="612"/>
      <c r="H37928" s="612"/>
    </row>
    <row r="37929">
      <c r="B37929" s="612"/>
      <c r="H37929" s="612"/>
    </row>
    <row r="37930">
      <c r="B37930" s="612"/>
      <c r="H37930" s="612"/>
    </row>
    <row r="37931">
      <c r="B37931" s="612"/>
      <c r="H37931" s="612"/>
    </row>
    <row r="37932">
      <c r="B37932" s="612"/>
      <c r="H37932" s="612"/>
    </row>
    <row r="37933">
      <c r="B37933" s="612"/>
      <c r="H37933" s="612"/>
    </row>
    <row r="37934">
      <c r="B37934" s="612"/>
      <c r="H37934" s="612"/>
    </row>
    <row r="37935">
      <c r="B37935" s="612"/>
      <c r="H37935" s="612"/>
    </row>
    <row r="37936">
      <c r="B37936" s="612"/>
      <c r="H37936" s="612"/>
    </row>
    <row r="37937">
      <c r="B37937" s="612"/>
      <c r="H37937" s="612"/>
    </row>
    <row r="37938">
      <c r="B37938" s="612"/>
      <c r="H37938" s="612"/>
    </row>
    <row r="37939">
      <c r="B37939" s="612"/>
      <c r="H37939" s="612"/>
    </row>
    <row r="37940">
      <c r="B37940" s="612"/>
      <c r="H37940" s="612"/>
    </row>
    <row r="37941">
      <c r="B37941" s="612"/>
      <c r="H37941" s="612"/>
    </row>
    <row r="37942">
      <c r="B37942" s="612"/>
      <c r="H37942" s="612"/>
    </row>
    <row r="37943">
      <c r="B37943" s="612"/>
      <c r="H37943" s="612"/>
    </row>
    <row r="37944">
      <c r="B37944" s="612"/>
      <c r="H37944" s="612"/>
    </row>
    <row r="37945">
      <c r="B37945" s="612"/>
      <c r="H37945" s="612"/>
    </row>
    <row r="37946">
      <c r="B37946" s="612"/>
      <c r="H37946" s="612"/>
    </row>
    <row r="37947">
      <c r="B37947" s="612"/>
      <c r="H37947" s="612"/>
    </row>
    <row r="37948">
      <c r="B37948" s="612"/>
      <c r="H37948" s="612"/>
    </row>
    <row r="37949">
      <c r="B37949" s="612"/>
      <c r="H37949" s="612"/>
    </row>
    <row r="37950">
      <c r="B37950" s="612"/>
      <c r="H37950" s="612"/>
    </row>
    <row r="37951">
      <c r="B37951" s="612"/>
      <c r="H37951" s="612"/>
    </row>
    <row r="37952">
      <c r="B37952" s="612"/>
      <c r="H37952" s="612"/>
    </row>
    <row r="37953">
      <c r="B37953" s="612"/>
      <c r="H37953" s="612"/>
    </row>
    <row r="37954">
      <c r="B37954" s="612"/>
      <c r="H37954" s="612"/>
    </row>
    <row r="37955">
      <c r="B37955" s="612"/>
      <c r="H37955" s="612"/>
    </row>
    <row r="37956">
      <c r="B37956" s="612"/>
      <c r="H37956" s="612"/>
    </row>
    <row r="37957">
      <c r="B37957" s="612"/>
      <c r="H37957" s="612"/>
    </row>
    <row r="37958">
      <c r="B37958" s="612"/>
      <c r="H37958" s="612"/>
    </row>
    <row r="37959">
      <c r="B37959" s="612"/>
      <c r="H37959" s="612"/>
    </row>
    <row r="37960">
      <c r="B37960" s="612"/>
      <c r="H37960" s="612"/>
    </row>
    <row r="37961">
      <c r="B37961" s="612"/>
      <c r="H37961" s="612"/>
    </row>
    <row r="37962">
      <c r="B37962" s="612"/>
      <c r="H37962" s="612"/>
    </row>
    <row r="37963">
      <c r="B37963" s="612"/>
      <c r="H37963" s="612"/>
    </row>
    <row r="37964">
      <c r="B37964" s="612"/>
      <c r="H37964" s="612"/>
    </row>
    <row r="37965">
      <c r="B37965" s="612"/>
      <c r="H37965" s="612"/>
    </row>
    <row r="37966">
      <c r="B37966" s="612"/>
      <c r="H37966" s="612"/>
    </row>
    <row r="37967">
      <c r="B37967" s="612"/>
      <c r="H37967" s="612"/>
    </row>
    <row r="37968">
      <c r="B37968" s="612"/>
      <c r="H37968" s="612"/>
    </row>
    <row r="37969">
      <c r="B37969" s="612"/>
      <c r="H37969" s="612"/>
    </row>
    <row r="37970">
      <c r="B37970" s="612"/>
      <c r="H37970" s="612"/>
    </row>
    <row r="37971">
      <c r="B37971" s="612"/>
      <c r="H37971" s="612"/>
    </row>
    <row r="37972">
      <c r="B37972" s="612"/>
      <c r="H37972" s="612"/>
    </row>
    <row r="37973">
      <c r="B37973" s="612"/>
      <c r="H37973" s="612"/>
    </row>
    <row r="37974">
      <c r="B37974" s="612"/>
      <c r="H37974" s="612"/>
    </row>
    <row r="37975">
      <c r="B37975" s="612"/>
      <c r="H37975" s="612"/>
    </row>
    <row r="37976">
      <c r="B37976" s="612"/>
      <c r="H37976" s="612"/>
    </row>
    <row r="37977">
      <c r="B37977" s="612"/>
      <c r="H37977" s="612"/>
    </row>
    <row r="37978">
      <c r="B37978" s="612"/>
      <c r="H37978" s="612"/>
    </row>
    <row r="37979">
      <c r="B37979" s="612"/>
      <c r="H37979" s="612"/>
    </row>
    <row r="37980">
      <c r="B37980" s="612"/>
      <c r="H37980" s="612"/>
    </row>
    <row r="37981">
      <c r="B37981" s="612"/>
      <c r="H37981" s="612"/>
    </row>
    <row r="37982">
      <c r="B37982" s="612"/>
      <c r="H37982" s="612"/>
    </row>
    <row r="37983">
      <c r="B37983" s="612"/>
      <c r="H37983" s="612"/>
    </row>
    <row r="37984">
      <c r="B37984" s="612"/>
      <c r="H37984" s="612"/>
    </row>
    <row r="37985">
      <c r="B37985" s="612"/>
      <c r="H37985" s="612"/>
    </row>
    <row r="37986">
      <c r="B37986" s="612"/>
      <c r="H37986" s="612"/>
    </row>
    <row r="37987">
      <c r="B37987" s="612"/>
      <c r="H37987" s="612"/>
    </row>
    <row r="37988">
      <c r="B37988" s="612"/>
      <c r="H37988" s="612"/>
    </row>
    <row r="37989">
      <c r="B37989" s="612"/>
      <c r="H37989" s="612"/>
    </row>
    <row r="37990">
      <c r="B37990" s="612"/>
      <c r="H37990" s="612"/>
    </row>
    <row r="37991">
      <c r="B37991" s="612"/>
      <c r="H37991" s="612"/>
    </row>
    <row r="37992">
      <c r="B37992" s="612"/>
      <c r="H37992" s="612"/>
    </row>
    <row r="37993">
      <c r="B37993" s="612"/>
      <c r="H37993" s="612"/>
    </row>
    <row r="37994">
      <c r="B37994" s="612"/>
      <c r="H37994" s="612"/>
    </row>
    <row r="37995">
      <c r="B37995" s="612"/>
      <c r="H37995" s="612"/>
    </row>
    <row r="37996">
      <c r="B37996" s="612"/>
      <c r="H37996" s="612"/>
    </row>
    <row r="37997">
      <c r="B37997" s="612"/>
      <c r="H37997" s="612"/>
    </row>
    <row r="37998">
      <c r="B37998" s="612"/>
      <c r="H37998" s="612"/>
    </row>
    <row r="37999">
      <c r="B37999" s="612"/>
      <c r="H37999" s="612"/>
    </row>
    <row r="38000">
      <c r="B38000" s="612"/>
      <c r="H38000" s="612"/>
    </row>
    <row r="38001">
      <c r="B38001" s="612"/>
      <c r="H38001" s="612"/>
    </row>
    <row r="38002">
      <c r="B38002" s="612"/>
      <c r="H38002" s="612"/>
    </row>
    <row r="38003">
      <c r="B38003" s="612"/>
      <c r="H38003" s="612"/>
    </row>
    <row r="38004">
      <c r="B38004" s="612"/>
      <c r="H38004" s="612"/>
    </row>
    <row r="38005">
      <c r="B38005" s="612"/>
      <c r="H38005" s="612"/>
    </row>
    <row r="38006">
      <c r="B38006" s="612"/>
      <c r="H38006" s="612"/>
    </row>
    <row r="38007">
      <c r="B38007" s="612"/>
      <c r="H38007" s="612"/>
    </row>
    <row r="38008">
      <c r="B38008" s="612"/>
      <c r="H38008" s="612"/>
    </row>
    <row r="38009">
      <c r="B38009" s="612"/>
      <c r="H38009" s="612"/>
    </row>
    <row r="38010">
      <c r="B38010" s="612"/>
      <c r="H38010" s="612"/>
    </row>
    <row r="38011">
      <c r="B38011" s="612"/>
      <c r="H38011" s="612"/>
    </row>
    <row r="38012">
      <c r="B38012" s="612"/>
      <c r="H38012" s="612"/>
    </row>
    <row r="38013">
      <c r="B38013" s="612"/>
      <c r="H38013" s="612"/>
    </row>
    <row r="38014">
      <c r="B38014" s="612"/>
      <c r="H38014" s="612"/>
    </row>
    <row r="38015">
      <c r="B38015" s="612"/>
      <c r="H38015" s="612"/>
    </row>
    <row r="38016">
      <c r="B38016" s="612"/>
      <c r="H38016" s="612"/>
    </row>
    <row r="38017">
      <c r="B38017" s="612"/>
      <c r="H38017" s="612"/>
    </row>
    <row r="38018">
      <c r="B38018" s="612"/>
      <c r="H38018" s="612"/>
    </row>
    <row r="38019">
      <c r="B38019" s="612"/>
      <c r="H38019" s="612"/>
    </row>
    <row r="38020">
      <c r="B38020" s="612"/>
      <c r="H38020" s="612"/>
    </row>
    <row r="38021">
      <c r="B38021" s="612"/>
      <c r="H38021" s="612"/>
    </row>
    <row r="38022">
      <c r="B38022" s="612"/>
      <c r="H38022" s="612"/>
    </row>
    <row r="38023">
      <c r="B38023" s="612"/>
      <c r="H38023" s="612"/>
    </row>
    <row r="38024">
      <c r="B38024" s="612"/>
      <c r="H38024" s="612"/>
    </row>
    <row r="38025">
      <c r="B38025" s="612"/>
      <c r="H38025" s="612"/>
    </row>
    <row r="38026">
      <c r="B38026" s="612"/>
      <c r="H38026" s="612"/>
    </row>
    <row r="38027">
      <c r="B38027" s="612"/>
      <c r="H38027" s="612"/>
    </row>
    <row r="38028">
      <c r="B38028" s="612"/>
      <c r="H38028" s="612"/>
    </row>
    <row r="38029">
      <c r="B38029" s="612"/>
      <c r="H38029" s="612"/>
    </row>
    <row r="38030">
      <c r="B38030" s="612"/>
      <c r="H38030" s="612"/>
    </row>
    <row r="38031">
      <c r="B38031" s="612"/>
      <c r="H38031" s="612"/>
    </row>
    <row r="38032">
      <c r="B38032" s="612"/>
      <c r="H38032" s="612"/>
    </row>
    <row r="38033">
      <c r="B38033" s="612"/>
      <c r="H38033" s="612"/>
    </row>
    <row r="38034">
      <c r="B38034" s="612"/>
      <c r="H38034" s="612"/>
    </row>
    <row r="38035">
      <c r="B38035" s="612"/>
      <c r="H38035" s="612"/>
    </row>
    <row r="38036">
      <c r="B38036" s="612"/>
      <c r="H38036" s="612"/>
    </row>
    <row r="38037">
      <c r="B38037" s="612"/>
      <c r="H38037" s="612"/>
    </row>
    <row r="38038">
      <c r="B38038" s="612"/>
      <c r="H38038" s="612"/>
    </row>
    <row r="38039">
      <c r="B38039" s="612"/>
      <c r="H38039" s="612"/>
    </row>
    <row r="38040">
      <c r="B38040" s="612"/>
      <c r="H38040" s="612"/>
    </row>
    <row r="38041">
      <c r="B38041" s="612"/>
      <c r="H38041" s="612"/>
    </row>
    <row r="38042">
      <c r="B38042" s="612"/>
      <c r="H38042" s="612"/>
    </row>
    <row r="38043">
      <c r="B38043" s="612"/>
      <c r="H38043" s="612"/>
    </row>
    <row r="38044">
      <c r="B38044" s="612"/>
      <c r="H38044" s="612"/>
    </row>
    <row r="38045">
      <c r="B38045" s="612"/>
      <c r="H38045" s="612"/>
    </row>
    <row r="38046">
      <c r="B38046" s="612"/>
      <c r="H38046" s="612"/>
    </row>
    <row r="38047">
      <c r="B38047" s="612"/>
      <c r="H38047" s="612"/>
    </row>
    <row r="38048">
      <c r="B38048" s="612"/>
      <c r="H38048" s="612"/>
    </row>
    <row r="38049">
      <c r="B38049" s="612"/>
      <c r="H38049" s="612"/>
    </row>
    <row r="38050">
      <c r="B38050" s="612"/>
      <c r="H38050" s="612"/>
    </row>
    <row r="38051">
      <c r="B38051" s="612"/>
      <c r="H38051" s="612"/>
    </row>
    <row r="38052">
      <c r="B38052" s="612"/>
      <c r="H38052" s="612"/>
    </row>
    <row r="38053">
      <c r="B38053" s="612"/>
      <c r="H38053" s="612"/>
    </row>
    <row r="38054">
      <c r="B38054" s="612"/>
      <c r="H38054" s="612"/>
    </row>
    <row r="38055">
      <c r="B38055" s="612"/>
      <c r="H38055" s="612"/>
    </row>
    <row r="38056">
      <c r="B38056" s="612"/>
      <c r="H38056" s="612"/>
    </row>
    <row r="38057">
      <c r="B38057" s="612"/>
      <c r="H38057" s="612"/>
    </row>
    <row r="38058">
      <c r="B38058" s="612"/>
      <c r="H38058" s="612"/>
    </row>
    <row r="38059">
      <c r="B38059" s="612"/>
      <c r="H38059" s="612"/>
    </row>
    <row r="38060">
      <c r="B38060" s="612"/>
      <c r="H38060" s="612"/>
    </row>
    <row r="38061">
      <c r="B38061" s="612"/>
      <c r="H38061" s="612"/>
    </row>
    <row r="38062">
      <c r="B38062" s="612"/>
      <c r="H38062" s="612"/>
    </row>
    <row r="38063">
      <c r="B38063" s="612"/>
      <c r="H38063" s="612"/>
    </row>
    <row r="38064">
      <c r="B38064" s="612"/>
      <c r="H38064" s="612"/>
    </row>
    <row r="38065">
      <c r="B38065" s="612"/>
      <c r="H38065" s="612"/>
    </row>
    <row r="38066">
      <c r="B38066" s="612"/>
      <c r="H38066" s="612"/>
    </row>
    <row r="38067">
      <c r="B38067" s="612"/>
      <c r="H38067" s="612"/>
    </row>
    <row r="38068">
      <c r="B38068" s="612"/>
      <c r="H38068" s="612"/>
    </row>
    <row r="38069">
      <c r="B38069" s="612"/>
      <c r="H38069" s="612"/>
    </row>
    <row r="38070">
      <c r="B38070" s="612"/>
      <c r="H38070" s="612"/>
    </row>
    <row r="38071">
      <c r="B38071" s="612"/>
      <c r="H38071" s="612"/>
    </row>
    <row r="38072">
      <c r="B38072" s="612"/>
      <c r="H38072" s="612"/>
    </row>
    <row r="38073">
      <c r="B38073" s="612"/>
      <c r="H38073" s="612"/>
    </row>
    <row r="38074">
      <c r="B38074" s="612"/>
      <c r="H38074" s="612"/>
    </row>
    <row r="38075">
      <c r="B38075" s="612"/>
      <c r="H38075" s="612"/>
    </row>
    <row r="38076">
      <c r="B38076" s="612"/>
      <c r="H38076" s="612"/>
    </row>
    <row r="38077">
      <c r="B38077" s="612"/>
      <c r="H38077" s="612"/>
    </row>
    <row r="38078">
      <c r="B38078" s="612"/>
      <c r="H38078" s="612"/>
    </row>
    <row r="38079">
      <c r="B38079" s="612"/>
      <c r="H38079" s="612"/>
    </row>
    <row r="38080">
      <c r="B38080" s="612"/>
      <c r="H38080" s="612"/>
    </row>
    <row r="38081">
      <c r="B38081" s="612"/>
      <c r="H38081" s="612"/>
    </row>
    <row r="38082">
      <c r="B38082" s="612"/>
      <c r="H38082" s="612"/>
    </row>
    <row r="38083">
      <c r="B38083" s="612"/>
      <c r="H38083" s="612"/>
    </row>
    <row r="38084">
      <c r="B38084" s="612"/>
      <c r="H38084" s="612"/>
    </row>
    <row r="38085">
      <c r="B38085" s="612"/>
      <c r="H38085" s="612"/>
    </row>
    <row r="38086">
      <c r="B38086" s="612"/>
      <c r="H38086" s="612"/>
    </row>
    <row r="38087">
      <c r="B38087" s="612"/>
      <c r="H38087" s="612"/>
    </row>
    <row r="38088">
      <c r="B38088" s="612"/>
      <c r="H38088" s="612"/>
    </row>
    <row r="38089">
      <c r="B38089" s="612"/>
      <c r="H38089" s="612"/>
    </row>
    <row r="38090">
      <c r="B38090" s="612"/>
      <c r="H38090" s="612"/>
    </row>
    <row r="38091">
      <c r="B38091" s="612"/>
      <c r="H38091" s="612"/>
    </row>
    <row r="38092">
      <c r="B38092" s="612"/>
      <c r="H38092" s="612"/>
    </row>
    <row r="38093">
      <c r="B38093" s="612"/>
      <c r="H38093" s="612"/>
    </row>
    <row r="38094">
      <c r="B38094" s="612"/>
      <c r="H38094" s="612"/>
    </row>
    <row r="38095">
      <c r="B38095" s="612"/>
      <c r="H38095" s="612"/>
    </row>
    <row r="38096">
      <c r="B38096" s="612"/>
      <c r="H38096" s="612"/>
    </row>
    <row r="38097">
      <c r="B38097" s="612"/>
      <c r="H38097" s="612"/>
    </row>
    <row r="38098">
      <c r="B38098" s="612"/>
      <c r="H38098" s="612"/>
    </row>
    <row r="38099">
      <c r="B38099" s="612"/>
      <c r="H38099" s="612"/>
    </row>
    <row r="38100">
      <c r="B38100" s="612"/>
      <c r="H38100" s="612"/>
    </row>
    <row r="38101">
      <c r="B38101" s="612"/>
      <c r="H38101" s="612"/>
    </row>
    <row r="38102">
      <c r="B38102" s="612"/>
      <c r="H38102" s="612"/>
    </row>
    <row r="38103">
      <c r="B38103" s="612"/>
      <c r="H38103" s="612"/>
    </row>
    <row r="38104">
      <c r="B38104" s="612"/>
      <c r="H38104" s="612"/>
    </row>
    <row r="38105">
      <c r="B38105" s="612"/>
      <c r="H38105" s="612"/>
    </row>
    <row r="38106">
      <c r="B38106" s="612"/>
      <c r="H38106" s="612"/>
    </row>
    <row r="38107">
      <c r="B38107" s="612"/>
      <c r="H38107" s="612"/>
    </row>
    <row r="38108">
      <c r="B38108" s="612"/>
      <c r="H38108" s="612"/>
    </row>
    <row r="38109">
      <c r="B38109" s="612"/>
      <c r="H38109" s="612"/>
    </row>
    <row r="38110">
      <c r="B38110" s="612"/>
      <c r="H38110" s="612"/>
    </row>
    <row r="38111">
      <c r="B38111" s="612"/>
      <c r="H38111" s="612"/>
    </row>
    <row r="38112">
      <c r="B38112" s="612"/>
      <c r="H38112" s="612"/>
    </row>
    <row r="38113">
      <c r="B38113" s="612"/>
      <c r="H38113" s="612"/>
    </row>
    <row r="38114">
      <c r="B38114" s="612"/>
      <c r="H38114" s="612"/>
    </row>
    <row r="38115">
      <c r="B38115" s="612"/>
      <c r="H38115" s="612"/>
    </row>
    <row r="38116">
      <c r="B38116" s="612"/>
      <c r="H38116" s="612"/>
    </row>
    <row r="38117">
      <c r="B38117" s="612"/>
      <c r="H38117" s="612"/>
    </row>
    <row r="38118">
      <c r="B38118" s="612"/>
      <c r="H38118" s="612"/>
    </row>
    <row r="38119">
      <c r="B38119" s="612"/>
      <c r="H38119" s="612"/>
    </row>
    <row r="38120">
      <c r="B38120" s="612"/>
      <c r="H38120" s="612"/>
    </row>
    <row r="38121">
      <c r="B38121" s="612"/>
      <c r="H38121" s="612"/>
    </row>
    <row r="38122">
      <c r="B38122" s="612"/>
      <c r="H38122" s="612"/>
    </row>
    <row r="38123">
      <c r="B38123" s="612"/>
      <c r="H38123" s="612"/>
    </row>
    <row r="38124">
      <c r="B38124" s="612"/>
      <c r="H38124" s="612"/>
    </row>
    <row r="38125">
      <c r="B38125" s="612"/>
      <c r="H38125" s="612"/>
    </row>
    <row r="38126">
      <c r="B38126" s="612"/>
      <c r="H38126" s="612"/>
    </row>
    <row r="38127">
      <c r="B38127" s="612"/>
      <c r="H38127" s="612"/>
    </row>
    <row r="38128">
      <c r="B38128" s="612"/>
      <c r="H38128" s="612"/>
    </row>
    <row r="38129">
      <c r="B38129" s="612"/>
      <c r="H38129" s="612"/>
    </row>
    <row r="38130">
      <c r="B38130" s="612"/>
      <c r="H38130" s="612"/>
    </row>
    <row r="38131">
      <c r="B38131" s="612"/>
      <c r="H38131" s="612"/>
    </row>
    <row r="38132">
      <c r="B38132" s="612"/>
      <c r="H38132" s="612"/>
    </row>
    <row r="38133">
      <c r="B38133" s="612"/>
      <c r="H38133" s="612"/>
    </row>
    <row r="38134">
      <c r="B38134" s="612"/>
      <c r="H38134" s="612"/>
    </row>
    <row r="38135">
      <c r="B38135" s="612"/>
      <c r="H38135" s="612"/>
    </row>
    <row r="38136">
      <c r="B38136" s="612"/>
      <c r="H38136" s="612"/>
    </row>
    <row r="38137">
      <c r="B38137" s="612"/>
      <c r="H38137" s="612"/>
    </row>
    <row r="38138">
      <c r="B38138" s="612"/>
      <c r="H38138" s="612"/>
    </row>
    <row r="38139">
      <c r="B38139" s="612"/>
      <c r="H38139" s="612"/>
    </row>
    <row r="38140">
      <c r="B38140" s="612"/>
      <c r="H38140" s="612"/>
    </row>
    <row r="38141">
      <c r="B38141" s="612"/>
      <c r="H38141" s="612"/>
    </row>
    <row r="38142">
      <c r="B38142" s="612"/>
      <c r="H38142" s="612"/>
    </row>
    <row r="38143">
      <c r="B38143" s="612"/>
      <c r="H38143" s="612"/>
    </row>
    <row r="38144">
      <c r="B38144" s="612"/>
      <c r="H38144" s="612"/>
    </row>
    <row r="38145">
      <c r="B38145" s="612"/>
      <c r="H38145" s="612"/>
    </row>
    <row r="38146">
      <c r="B38146" s="612"/>
      <c r="H38146" s="612"/>
    </row>
    <row r="38147">
      <c r="B38147" s="612"/>
      <c r="H38147" s="612"/>
    </row>
    <row r="38148">
      <c r="B38148" s="612"/>
      <c r="H38148" s="612"/>
    </row>
    <row r="38149">
      <c r="B38149" s="612"/>
      <c r="H38149" s="612"/>
    </row>
    <row r="38150">
      <c r="B38150" s="612"/>
      <c r="H38150" s="612"/>
    </row>
    <row r="38151">
      <c r="B38151" s="612"/>
      <c r="H38151" s="612"/>
    </row>
    <row r="38152">
      <c r="B38152" s="612"/>
      <c r="H38152" s="612"/>
    </row>
    <row r="38153">
      <c r="B38153" s="612"/>
      <c r="H38153" s="612"/>
    </row>
    <row r="38154">
      <c r="B38154" s="612"/>
      <c r="H38154" s="612"/>
    </row>
    <row r="38155">
      <c r="B38155" s="612"/>
      <c r="H38155" s="612"/>
    </row>
    <row r="38156">
      <c r="B38156" s="612"/>
      <c r="H38156" s="612"/>
    </row>
    <row r="38157">
      <c r="B38157" s="612"/>
      <c r="H38157" s="612"/>
    </row>
    <row r="38158">
      <c r="B38158" s="612"/>
      <c r="H38158" s="612"/>
    </row>
    <row r="38159">
      <c r="B38159" s="612"/>
      <c r="H38159" s="612"/>
    </row>
    <row r="38160">
      <c r="B38160" s="612"/>
      <c r="H38160" s="612"/>
    </row>
    <row r="38161">
      <c r="B38161" s="612"/>
      <c r="H38161" s="612"/>
    </row>
    <row r="38162">
      <c r="B38162" s="612"/>
      <c r="H38162" s="612"/>
    </row>
    <row r="38163">
      <c r="B38163" s="612"/>
      <c r="H38163" s="612"/>
    </row>
    <row r="38164">
      <c r="B38164" s="612"/>
      <c r="H38164" s="612"/>
    </row>
    <row r="38165">
      <c r="B38165" s="612"/>
      <c r="H38165" s="612"/>
    </row>
    <row r="38166">
      <c r="B38166" s="612"/>
      <c r="H38166" s="612"/>
    </row>
    <row r="38167">
      <c r="B38167" s="612"/>
      <c r="H38167" s="612"/>
    </row>
    <row r="38168">
      <c r="B38168" s="612"/>
      <c r="H38168" s="612"/>
    </row>
    <row r="38169">
      <c r="B38169" s="612"/>
      <c r="H38169" s="612"/>
    </row>
    <row r="38170">
      <c r="B38170" s="612"/>
      <c r="H38170" s="612"/>
    </row>
    <row r="38171">
      <c r="B38171" s="612"/>
      <c r="H38171" s="612"/>
    </row>
    <row r="38172">
      <c r="B38172" s="612"/>
      <c r="H38172" s="612"/>
    </row>
    <row r="38173">
      <c r="B38173" s="612"/>
      <c r="H38173" s="612"/>
    </row>
    <row r="38174">
      <c r="B38174" s="612"/>
      <c r="H38174" s="612"/>
    </row>
    <row r="38175">
      <c r="B38175" s="612"/>
      <c r="H38175" s="612"/>
    </row>
    <row r="38176">
      <c r="B38176" s="612"/>
      <c r="H38176" s="612"/>
    </row>
    <row r="38177">
      <c r="B38177" s="612"/>
      <c r="H38177" s="612"/>
    </row>
    <row r="38178">
      <c r="B38178" s="612"/>
      <c r="H38178" s="612"/>
    </row>
    <row r="38179">
      <c r="B38179" s="612"/>
      <c r="H38179" s="612"/>
    </row>
    <row r="38180">
      <c r="B38180" s="612"/>
      <c r="H38180" s="612"/>
    </row>
    <row r="38181">
      <c r="B38181" s="612"/>
      <c r="H38181" s="612"/>
    </row>
    <row r="38182">
      <c r="B38182" s="612"/>
      <c r="H38182" s="612"/>
    </row>
    <row r="38183">
      <c r="B38183" s="612"/>
      <c r="H38183" s="612"/>
    </row>
    <row r="38184">
      <c r="B38184" s="612"/>
      <c r="H38184" s="612"/>
    </row>
    <row r="38185">
      <c r="B38185" s="612"/>
      <c r="H38185" s="612"/>
    </row>
    <row r="38186">
      <c r="B38186" s="612"/>
      <c r="H38186" s="612"/>
    </row>
    <row r="38187">
      <c r="B38187" s="612"/>
      <c r="H38187" s="612"/>
    </row>
    <row r="38188">
      <c r="B38188" s="612"/>
      <c r="H38188" s="612"/>
    </row>
    <row r="38189">
      <c r="B38189" s="612"/>
      <c r="H38189" s="612"/>
    </row>
    <row r="38190">
      <c r="B38190" s="612"/>
      <c r="H38190" s="612"/>
    </row>
    <row r="38191">
      <c r="B38191" s="612"/>
      <c r="H38191" s="612"/>
    </row>
    <row r="38192">
      <c r="B38192" s="612"/>
      <c r="H38192" s="612"/>
    </row>
    <row r="38193">
      <c r="B38193" s="612"/>
      <c r="H38193" s="612"/>
    </row>
    <row r="38194">
      <c r="B38194" s="612"/>
      <c r="H38194" s="612"/>
    </row>
    <row r="38195">
      <c r="B38195" s="612"/>
      <c r="H38195" s="612"/>
    </row>
    <row r="38196">
      <c r="B38196" s="612"/>
      <c r="H38196" s="612"/>
    </row>
    <row r="38197">
      <c r="B38197" s="612"/>
      <c r="H38197" s="612"/>
    </row>
    <row r="38198">
      <c r="B38198" s="612"/>
      <c r="H38198" s="612"/>
    </row>
    <row r="38199">
      <c r="B38199" s="612"/>
      <c r="H38199" s="612"/>
    </row>
    <row r="38200">
      <c r="B38200" s="612"/>
      <c r="H38200" s="612"/>
    </row>
    <row r="38201">
      <c r="B38201" s="612"/>
      <c r="H38201" s="612"/>
    </row>
    <row r="38202">
      <c r="B38202" s="612"/>
      <c r="H38202" s="612"/>
    </row>
    <row r="38203">
      <c r="B38203" s="612"/>
      <c r="H38203" s="612"/>
    </row>
    <row r="38204">
      <c r="B38204" s="612"/>
      <c r="H38204" s="612"/>
    </row>
    <row r="38205">
      <c r="B38205" s="612"/>
      <c r="H38205" s="612"/>
    </row>
    <row r="38206">
      <c r="B38206" s="612"/>
      <c r="H38206" s="612"/>
    </row>
    <row r="38207">
      <c r="B38207" s="612"/>
      <c r="H38207" s="612"/>
    </row>
    <row r="38208">
      <c r="B38208" s="612"/>
      <c r="H38208" s="612"/>
    </row>
    <row r="38209">
      <c r="B38209" s="612"/>
      <c r="H38209" s="612"/>
    </row>
    <row r="38210">
      <c r="B38210" s="612"/>
      <c r="H38210" s="612"/>
    </row>
    <row r="38211">
      <c r="B38211" s="612"/>
      <c r="H38211" s="612"/>
    </row>
    <row r="38212">
      <c r="B38212" s="612"/>
      <c r="H38212" s="612"/>
    </row>
    <row r="38213">
      <c r="B38213" s="612"/>
      <c r="H38213" s="612"/>
    </row>
    <row r="38214">
      <c r="B38214" s="612"/>
      <c r="H38214" s="612"/>
    </row>
    <row r="38215">
      <c r="B38215" s="612"/>
      <c r="H38215" s="612"/>
    </row>
    <row r="38216">
      <c r="B38216" s="612"/>
      <c r="H38216" s="612"/>
    </row>
    <row r="38217">
      <c r="B38217" s="612"/>
      <c r="H38217" s="612"/>
    </row>
    <row r="38218">
      <c r="B38218" s="612"/>
      <c r="H38218" s="612"/>
    </row>
    <row r="38219">
      <c r="B38219" s="612"/>
      <c r="H38219" s="612"/>
    </row>
    <row r="38220">
      <c r="B38220" s="612"/>
      <c r="H38220" s="612"/>
    </row>
    <row r="38221">
      <c r="B38221" s="612"/>
      <c r="H38221" s="612"/>
    </row>
    <row r="38222">
      <c r="B38222" s="612"/>
      <c r="H38222" s="612"/>
    </row>
    <row r="38223">
      <c r="B38223" s="612"/>
      <c r="H38223" s="612"/>
    </row>
    <row r="38224">
      <c r="B38224" s="612"/>
      <c r="H38224" s="612"/>
    </row>
    <row r="38225">
      <c r="B38225" s="612"/>
      <c r="H38225" s="612"/>
    </row>
    <row r="38226">
      <c r="B38226" s="612"/>
      <c r="H38226" s="612"/>
    </row>
    <row r="38227">
      <c r="B38227" s="612"/>
      <c r="H38227" s="612"/>
    </row>
    <row r="38228">
      <c r="B38228" s="612"/>
      <c r="H38228" s="612"/>
    </row>
    <row r="38229">
      <c r="B38229" s="612"/>
      <c r="H38229" s="612"/>
    </row>
    <row r="38230">
      <c r="B38230" s="612"/>
      <c r="H38230" s="612"/>
    </row>
    <row r="38231">
      <c r="B38231" s="612"/>
      <c r="H38231" s="612"/>
    </row>
    <row r="38232">
      <c r="B38232" s="612"/>
      <c r="H38232" s="612"/>
    </row>
    <row r="38233">
      <c r="B38233" s="612"/>
      <c r="H38233" s="612"/>
    </row>
    <row r="38234">
      <c r="B38234" s="612"/>
      <c r="H38234" s="612"/>
    </row>
    <row r="38235">
      <c r="B38235" s="612"/>
      <c r="H38235" s="612"/>
    </row>
    <row r="38236">
      <c r="B38236" s="612"/>
      <c r="H38236" s="612"/>
    </row>
    <row r="38237">
      <c r="B38237" s="612"/>
      <c r="H38237" s="612"/>
    </row>
    <row r="38238">
      <c r="B38238" s="612"/>
      <c r="H38238" s="612"/>
    </row>
    <row r="38239">
      <c r="B38239" s="612"/>
      <c r="H38239" s="612"/>
    </row>
    <row r="38240">
      <c r="B38240" s="612"/>
      <c r="H38240" s="612"/>
    </row>
    <row r="38241">
      <c r="B38241" s="612"/>
      <c r="H38241" s="612"/>
    </row>
    <row r="38242">
      <c r="B38242" s="612"/>
      <c r="H38242" s="612"/>
    </row>
    <row r="38243">
      <c r="B38243" s="612"/>
      <c r="H38243" s="612"/>
    </row>
    <row r="38244">
      <c r="B38244" s="612"/>
      <c r="H38244" s="612"/>
    </row>
    <row r="38245">
      <c r="B38245" s="612"/>
      <c r="H38245" s="612"/>
    </row>
    <row r="38246">
      <c r="B38246" s="612"/>
      <c r="H38246" s="612"/>
    </row>
    <row r="38247">
      <c r="B38247" s="612"/>
      <c r="H38247" s="612"/>
    </row>
    <row r="38248">
      <c r="B38248" s="612"/>
      <c r="H38248" s="612"/>
    </row>
    <row r="38249">
      <c r="B38249" s="612"/>
      <c r="H38249" s="612"/>
    </row>
    <row r="38250">
      <c r="B38250" s="612"/>
      <c r="H38250" s="612"/>
    </row>
    <row r="38251">
      <c r="B38251" s="612"/>
      <c r="H38251" s="612"/>
    </row>
    <row r="38252">
      <c r="B38252" s="612"/>
      <c r="H38252" s="612"/>
    </row>
    <row r="38253">
      <c r="B38253" s="612"/>
      <c r="H38253" s="612"/>
    </row>
    <row r="38254">
      <c r="B38254" s="612"/>
      <c r="H38254" s="612"/>
    </row>
    <row r="38255">
      <c r="B38255" s="612"/>
      <c r="H38255" s="612"/>
    </row>
    <row r="38256">
      <c r="B38256" s="612"/>
      <c r="H38256" s="612"/>
    </row>
    <row r="38257">
      <c r="B38257" s="612"/>
      <c r="H38257" s="612"/>
    </row>
    <row r="38258">
      <c r="B38258" s="612"/>
      <c r="H38258" s="612"/>
    </row>
    <row r="38259">
      <c r="B38259" s="612"/>
      <c r="H38259" s="612"/>
    </row>
    <row r="38260">
      <c r="B38260" s="612"/>
      <c r="H38260" s="612"/>
    </row>
    <row r="38261">
      <c r="B38261" s="612"/>
      <c r="H38261" s="612"/>
    </row>
    <row r="38262">
      <c r="B38262" s="612"/>
      <c r="H38262" s="612"/>
    </row>
    <row r="38263">
      <c r="B38263" s="612"/>
      <c r="H38263" s="612"/>
    </row>
    <row r="38264">
      <c r="B38264" s="612"/>
      <c r="H38264" s="612"/>
    </row>
    <row r="38265">
      <c r="B38265" s="612"/>
      <c r="H38265" s="612"/>
    </row>
    <row r="38266">
      <c r="B38266" s="612"/>
      <c r="H38266" s="612"/>
    </row>
    <row r="38267">
      <c r="B38267" s="612"/>
      <c r="H38267" s="612"/>
    </row>
    <row r="38268">
      <c r="B38268" s="612"/>
      <c r="H38268" s="612"/>
    </row>
    <row r="38269">
      <c r="B38269" s="612"/>
      <c r="H38269" s="612"/>
    </row>
    <row r="38270">
      <c r="B38270" s="612"/>
      <c r="H38270" s="612"/>
    </row>
    <row r="38271">
      <c r="B38271" s="612"/>
      <c r="H38271" s="612"/>
    </row>
    <row r="38272">
      <c r="B38272" s="612"/>
      <c r="H38272" s="612"/>
    </row>
    <row r="38273">
      <c r="B38273" s="612"/>
      <c r="H38273" s="612"/>
    </row>
    <row r="38274">
      <c r="B38274" s="612"/>
      <c r="H38274" s="612"/>
    </row>
    <row r="38275">
      <c r="B38275" s="612"/>
      <c r="H38275" s="612"/>
    </row>
    <row r="38276">
      <c r="B38276" s="612"/>
      <c r="H38276" s="612"/>
    </row>
    <row r="38277">
      <c r="B38277" s="612"/>
      <c r="H38277" s="612"/>
    </row>
    <row r="38278">
      <c r="B38278" s="612"/>
      <c r="H38278" s="612"/>
    </row>
    <row r="38279">
      <c r="B38279" s="612"/>
      <c r="H38279" s="612"/>
    </row>
    <row r="38280">
      <c r="B38280" s="612"/>
      <c r="H38280" s="612"/>
    </row>
    <row r="38281">
      <c r="B38281" s="612"/>
      <c r="H38281" s="612"/>
    </row>
    <row r="38282">
      <c r="B38282" s="612"/>
      <c r="H38282" s="612"/>
    </row>
    <row r="38283">
      <c r="B38283" s="612"/>
      <c r="H38283" s="612"/>
    </row>
    <row r="38284">
      <c r="B38284" s="612"/>
      <c r="H38284" s="612"/>
    </row>
    <row r="38285">
      <c r="B38285" s="612"/>
      <c r="H38285" s="612"/>
    </row>
    <row r="38286">
      <c r="B38286" s="612"/>
      <c r="H38286" s="612"/>
    </row>
    <row r="38287">
      <c r="B38287" s="612"/>
      <c r="H38287" s="612"/>
    </row>
    <row r="38288">
      <c r="B38288" s="612"/>
      <c r="H38288" s="612"/>
    </row>
    <row r="38289">
      <c r="B38289" s="612"/>
      <c r="H38289" s="612"/>
    </row>
    <row r="38290">
      <c r="B38290" s="612"/>
      <c r="H38290" s="612"/>
    </row>
    <row r="38291">
      <c r="B38291" s="612"/>
      <c r="H38291" s="612"/>
    </row>
    <row r="38292">
      <c r="B38292" s="612"/>
      <c r="H38292" s="612"/>
    </row>
    <row r="38293">
      <c r="B38293" s="612"/>
      <c r="H38293" s="612"/>
    </row>
    <row r="38294">
      <c r="B38294" s="612"/>
      <c r="H38294" s="612"/>
    </row>
    <row r="38295">
      <c r="B38295" s="612"/>
      <c r="H38295" s="612"/>
    </row>
    <row r="38296">
      <c r="B38296" s="612"/>
      <c r="H38296" s="612"/>
    </row>
    <row r="38297">
      <c r="B38297" s="612"/>
      <c r="H38297" s="612"/>
    </row>
    <row r="38298">
      <c r="B38298" s="612"/>
      <c r="H38298" s="612"/>
    </row>
    <row r="38299">
      <c r="B38299" s="612"/>
      <c r="H38299" s="612"/>
    </row>
    <row r="38300">
      <c r="B38300" s="612"/>
      <c r="H38300" s="612"/>
    </row>
    <row r="38301">
      <c r="B38301" s="612"/>
      <c r="H38301" s="612"/>
    </row>
    <row r="38302">
      <c r="B38302" s="612"/>
      <c r="H38302" s="612"/>
    </row>
    <row r="38303">
      <c r="B38303" s="612"/>
      <c r="H38303" s="612"/>
    </row>
    <row r="38304">
      <c r="B38304" s="612"/>
      <c r="H38304" s="612"/>
    </row>
    <row r="38305">
      <c r="B38305" s="612"/>
      <c r="H38305" s="612"/>
    </row>
    <row r="38306">
      <c r="B38306" s="612"/>
      <c r="H38306" s="612"/>
    </row>
    <row r="38307">
      <c r="B38307" s="612"/>
      <c r="H38307" s="612"/>
    </row>
    <row r="38308">
      <c r="B38308" s="612"/>
      <c r="H38308" s="612"/>
    </row>
    <row r="38309">
      <c r="B38309" s="612"/>
      <c r="H38309" s="612"/>
    </row>
    <row r="38310">
      <c r="B38310" s="612"/>
      <c r="H38310" s="612"/>
    </row>
    <row r="38311">
      <c r="B38311" s="612"/>
      <c r="H38311" s="612"/>
    </row>
    <row r="38312">
      <c r="B38312" s="612"/>
      <c r="H38312" s="612"/>
    </row>
    <row r="38313">
      <c r="B38313" s="612"/>
      <c r="H38313" s="612"/>
    </row>
    <row r="38314">
      <c r="B38314" s="612"/>
      <c r="H38314" s="612"/>
    </row>
    <row r="38315">
      <c r="B38315" s="612"/>
      <c r="H38315" s="612"/>
    </row>
    <row r="38316">
      <c r="B38316" s="612"/>
      <c r="H38316" s="612"/>
    </row>
    <row r="38317">
      <c r="B38317" s="612"/>
      <c r="H38317" s="612"/>
    </row>
    <row r="38318">
      <c r="B38318" s="612"/>
      <c r="H38318" s="612"/>
    </row>
    <row r="38319">
      <c r="B38319" s="612"/>
      <c r="H38319" s="612"/>
    </row>
    <row r="38320">
      <c r="B38320" s="612"/>
      <c r="H38320" s="612"/>
    </row>
    <row r="38321">
      <c r="B38321" s="612"/>
      <c r="H38321" s="612"/>
    </row>
    <row r="38322">
      <c r="B38322" s="612"/>
      <c r="H38322" s="612"/>
    </row>
    <row r="38323">
      <c r="B38323" s="612"/>
      <c r="H38323" s="612"/>
    </row>
    <row r="38324">
      <c r="B38324" s="612"/>
      <c r="H38324" s="612"/>
    </row>
    <row r="38325">
      <c r="B38325" s="612"/>
      <c r="H38325" s="612"/>
    </row>
    <row r="38326">
      <c r="B38326" s="612"/>
      <c r="H38326" s="612"/>
    </row>
    <row r="38327">
      <c r="B38327" s="612"/>
      <c r="H38327" s="612"/>
    </row>
    <row r="38328">
      <c r="B38328" s="612"/>
      <c r="H38328" s="612"/>
    </row>
    <row r="38329">
      <c r="B38329" s="612"/>
      <c r="H38329" s="612"/>
    </row>
    <row r="38330">
      <c r="B38330" s="612"/>
      <c r="H38330" s="612"/>
    </row>
    <row r="38331">
      <c r="B38331" s="612"/>
      <c r="H38331" s="612"/>
    </row>
    <row r="38332">
      <c r="B38332" s="612"/>
      <c r="H38332" s="612"/>
    </row>
    <row r="38333">
      <c r="B38333" s="612"/>
      <c r="H38333" s="612"/>
    </row>
    <row r="38334">
      <c r="B38334" s="612"/>
      <c r="H38334" s="612"/>
    </row>
    <row r="38335">
      <c r="B38335" s="612"/>
      <c r="H38335" s="612"/>
    </row>
    <row r="38336">
      <c r="B38336" s="612"/>
      <c r="H38336" s="612"/>
    </row>
    <row r="38337">
      <c r="B38337" s="612"/>
      <c r="H38337" s="612"/>
    </row>
    <row r="38338">
      <c r="B38338" s="612"/>
      <c r="H38338" s="612"/>
    </row>
    <row r="38339">
      <c r="B38339" s="612"/>
      <c r="H38339" s="612"/>
    </row>
    <row r="38340">
      <c r="B38340" s="612"/>
      <c r="H38340" s="612"/>
    </row>
    <row r="38341">
      <c r="B38341" s="612"/>
      <c r="H38341" s="612"/>
    </row>
    <row r="38342">
      <c r="B38342" s="612"/>
      <c r="H38342" s="612"/>
    </row>
    <row r="38343">
      <c r="B38343" s="612"/>
      <c r="H38343" s="612"/>
    </row>
    <row r="38344">
      <c r="B38344" s="612"/>
      <c r="H38344" s="612"/>
    </row>
    <row r="38345">
      <c r="B38345" s="612"/>
      <c r="H38345" s="612"/>
    </row>
    <row r="38346">
      <c r="B38346" s="612"/>
      <c r="H38346" s="612"/>
    </row>
    <row r="38347">
      <c r="B38347" s="612"/>
      <c r="H38347" s="612"/>
    </row>
    <row r="38348">
      <c r="B38348" s="612"/>
      <c r="H38348" s="612"/>
    </row>
    <row r="38349">
      <c r="B38349" s="612"/>
      <c r="H38349" s="612"/>
    </row>
    <row r="38350">
      <c r="B38350" s="612"/>
      <c r="H38350" s="612"/>
    </row>
    <row r="38351">
      <c r="B38351" s="612"/>
      <c r="H38351" s="612"/>
    </row>
    <row r="38352">
      <c r="B38352" s="612"/>
      <c r="H38352" s="612"/>
    </row>
    <row r="38353">
      <c r="B38353" s="612"/>
      <c r="H38353" s="612"/>
    </row>
    <row r="38354">
      <c r="B38354" s="612"/>
      <c r="H38354" s="612"/>
    </row>
    <row r="38355">
      <c r="B38355" s="612"/>
      <c r="H38355" s="612"/>
    </row>
    <row r="38356">
      <c r="B38356" s="612"/>
      <c r="H38356" s="612"/>
    </row>
    <row r="38357">
      <c r="B38357" s="612"/>
      <c r="H38357" s="612"/>
    </row>
    <row r="38358">
      <c r="B38358" s="612"/>
      <c r="H38358" s="612"/>
    </row>
    <row r="38359">
      <c r="B38359" s="612"/>
      <c r="H38359" s="612"/>
    </row>
    <row r="38360">
      <c r="B38360" s="612"/>
      <c r="H38360" s="612"/>
    </row>
    <row r="38361">
      <c r="B38361" s="612"/>
      <c r="H38361" s="612"/>
    </row>
    <row r="38362">
      <c r="B38362" s="612"/>
      <c r="H38362" s="612"/>
    </row>
    <row r="38363">
      <c r="B38363" s="612"/>
      <c r="H38363" s="612"/>
    </row>
    <row r="38364">
      <c r="B38364" s="612"/>
      <c r="H38364" s="612"/>
    </row>
    <row r="38365">
      <c r="B38365" s="612"/>
      <c r="H38365" s="612"/>
    </row>
    <row r="38366">
      <c r="B38366" s="612"/>
      <c r="H38366" s="612"/>
    </row>
    <row r="38367">
      <c r="B38367" s="612"/>
      <c r="H38367" s="612"/>
    </row>
    <row r="38368">
      <c r="B38368" s="612"/>
      <c r="H38368" s="612"/>
    </row>
    <row r="38369">
      <c r="B38369" s="612"/>
      <c r="H38369" s="612"/>
    </row>
    <row r="38370">
      <c r="B38370" s="612"/>
      <c r="H38370" s="612"/>
    </row>
    <row r="38371">
      <c r="B38371" s="612"/>
      <c r="H38371" s="612"/>
    </row>
    <row r="38372">
      <c r="B38372" s="612"/>
      <c r="H38372" s="612"/>
    </row>
    <row r="38373">
      <c r="B38373" s="612"/>
      <c r="H38373" s="612"/>
    </row>
    <row r="38374">
      <c r="B38374" s="612"/>
      <c r="H38374" s="612"/>
    </row>
    <row r="38375">
      <c r="B38375" s="612"/>
      <c r="H38375" s="612"/>
    </row>
    <row r="38376">
      <c r="B38376" s="612"/>
      <c r="H38376" s="612"/>
    </row>
    <row r="38377">
      <c r="B38377" s="612"/>
      <c r="H38377" s="612"/>
    </row>
    <row r="38378">
      <c r="B38378" s="612"/>
      <c r="H38378" s="612"/>
    </row>
    <row r="38379">
      <c r="B38379" s="612"/>
      <c r="H38379" s="612"/>
    </row>
    <row r="38380">
      <c r="B38380" s="612"/>
      <c r="H38380" s="612"/>
    </row>
    <row r="38381">
      <c r="B38381" s="612"/>
      <c r="H38381" s="612"/>
    </row>
    <row r="38382">
      <c r="B38382" s="612"/>
      <c r="H38382" s="612"/>
    </row>
    <row r="38383">
      <c r="B38383" s="612"/>
      <c r="H38383" s="612"/>
    </row>
    <row r="38384">
      <c r="B38384" s="612"/>
      <c r="H38384" s="612"/>
    </row>
    <row r="38385">
      <c r="B38385" s="612"/>
      <c r="H38385" s="612"/>
    </row>
    <row r="38386">
      <c r="B38386" s="612"/>
      <c r="H38386" s="612"/>
    </row>
    <row r="38387">
      <c r="B38387" s="612"/>
      <c r="H38387" s="612"/>
    </row>
    <row r="38388">
      <c r="B38388" s="612"/>
      <c r="H38388" s="612"/>
    </row>
    <row r="38389">
      <c r="B38389" s="612"/>
      <c r="H38389" s="612"/>
    </row>
    <row r="38390">
      <c r="B38390" s="612"/>
      <c r="H38390" s="612"/>
    </row>
    <row r="38391">
      <c r="B38391" s="612"/>
      <c r="H38391" s="612"/>
    </row>
    <row r="38392">
      <c r="B38392" s="612"/>
      <c r="H38392" s="612"/>
    </row>
    <row r="38393">
      <c r="B38393" s="612"/>
      <c r="H38393" s="612"/>
    </row>
    <row r="38394">
      <c r="B38394" s="612"/>
      <c r="H38394" s="612"/>
    </row>
    <row r="38395">
      <c r="B38395" s="612"/>
      <c r="H38395" s="612"/>
    </row>
    <row r="38396">
      <c r="B38396" s="612"/>
      <c r="H38396" s="612"/>
    </row>
    <row r="38397">
      <c r="B38397" s="612"/>
      <c r="H38397" s="612"/>
    </row>
    <row r="38398">
      <c r="B38398" s="612"/>
      <c r="H38398" s="612"/>
    </row>
    <row r="38399">
      <c r="B38399" s="612"/>
      <c r="H38399" s="612"/>
    </row>
    <row r="38400">
      <c r="B38400" s="612"/>
      <c r="H38400" s="612"/>
    </row>
    <row r="38401">
      <c r="B38401" s="612"/>
      <c r="H38401" s="612"/>
    </row>
    <row r="38402">
      <c r="B38402" s="612"/>
      <c r="H38402" s="612"/>
    </row>
    <row r="38403">
      <c r="B38403" s="612"/>
      <c r="H38403" s="612"/>
    </row>
    <row r="38404">
      <c r="B38404" s="612"/>
      <c r="H38404" s="612"/>
    </row>
    <row r="38405">
      <c r="B38405" s="612"/>
      <c r="H38405" s="612"/>
    </row>
    <row r="38406">
      <c r="B38406" s="612"/>
      <c r="H38406" s="612"/>
    </row>
    <row r="38407">
      <c r="B38407" s="612"/>
      <c r="H38407" s="612"/>
    </row>
    <row r="38408">
      <c r="B38408" s="612"/>
      <c r="H38408" s="612"/>
    </row>
    <row r="38409">
      <c r="B38409" s="612"/>
      <c r="H38409" s="612"/>
    </row>
    <row r="38410">
      <c r="B38410" s="612"/>
      <c r="H38410" s="612"/>
    </row>
    <row r="38411">
      <c r="B38411" s="612"/>
      <c r="H38411" s="612"/>
    </row>
    <row r="38412">
      <c r="B38412" s="612"/>
      <c r="H38412" s="612"/>
    </row>
    <row r="38413">
      <c r="B38413" s="612"/>
      <c r="H38413" s="612"/>
    </row>
    <row r="38414">
      <c r="B38414" s="612"/>
      <c r="H38414" s="612"/>
    </row>
    <row r="38415">
      <c r="B38415" s="612"/>
      <c r="H38415" s="612"/>
    </row>
    <row r="38416">
      <c r="B38416" s="612"/>
      <c r="H38416" s="612"/>
    </row>
    <row r="38417">
      <c r="B38417" s="612"/>
      <c r="H38417" s="612"/>
    </row>
    <row r="38418">
      <c r="B38418" s="612"/>
      <c r="H38418" s="612"/>
    </row>
    <row r="38419">
      <c r="B38419" s="612"/>
      <c r="H38419" s="612"/>
    </row>
    <row r="38420">
      <c r="B38420" s="612"/>
      <c r="H38420" s="612"/>
    </row>
    <row r="38421">
      <c r="B38421" s="612"/>
      <c r="H38421" s="612"/>
    </row>
    <row r="38422">
      <c r="B38422" s="612"/>
      <c r="H38422" s="612"/>
    </row>
    <row r="38423">
      <c r="B38423" s="612"/>
      <c r="H38423" s="612"/>
    </row>
    <row r="38424">
      <c r="B38424" s="612"/>
      <c r="H38424" s="612"/>
    </row>
    <row r="38425">
      <c r="B38425" s="612"/>
      <c r="H38425" s="612"/>
    </row>
    <row r="38426">
      <c r="B38426" s="612"/>
      <c r="H38426" s="612"/>
    </row>
    <row r="38427">
      <c r="B38427" s="612"/>
      <c r="H38427" s="612"/>
    </row>
    <row r="38428">
      <c r="B38428" s="612"/>
      <c r="H38428" s="612"/>
    </row>
    <row r="38429">
      <c r="B38429" s="612"/>
      <c r="H38429" s="612"/>
    </row>
    <row r="38430">
      <c r="B38430" s="612"/>
      <c r="H38430" s="612"/>
    </row>
    <row r="38431">
      <c r="B38431" s="612"/>
      <c r="H38431" s="612"/>
    </row>
    <row r="38432">
      <c r="B38432" s="612"/>
      <c r="H38432" s="612"/>
    </row>
    <row r="38433">
      <c r="B38433" s="612"/>
      <c r="H38433" s="612"/>
    </row>
    <row r="38434">
      <c r="B38434" s="612"/>
      <c r="H38434" s="612"/>
    </row>
    <row r="38435">
      <c r="B38435" s="612"/>
      <c r="H38435" s="612"/>
    </row>
    <row r="38436">
      <c r="B38436" s="612"/>
      <c r="H38436" s="612"/>
    </row>
    <row r="38437">
      <c r="B38437" s="612"/>
      <c r="H38437" s="612"/>
    </row>
    <row r="38438">
      <c r="B38438" s="612"/>
      <c r="H38438" s="612"/>
    </row>
    <row r="38439">
      <c r="B38439" s="612"/>
      <c r="H38439" s="612"/>
    </row>
    <row r="38440">
      <c r="B38440" s="612"/>
      <c r="H38440" s="612"/>
    </row>
    <row r="38441">
      <c r="B38441" s="612"/>
      <c r="H38441" s="612"/>
    </row>
    <row r="38442">
      <c r="B38442" s="612"/>
      <c r="H38442" s="612"/>
    </row>
    <row r="38443">
      <c r="B38443" s="612"/>
      <c r="H38443" s="612"/>
    </row>
    <row r="38444">
      <c r="B38444" s="612"/>
      <c r="H38444" s="612"/>
    </row>
    <row r="38445">
      <c r="B38445" s="612"/>
      <c r="H38445" s="612"/>
    </row>
    <row r="38446">
      <c r="B38446" s="612"/>
      <c r="H38446" s="612"/>
    </row>
    <row r="38447">
      <c r="B38447" s="612"/>
      <c r="H38447" s="612"/>
    </row>
    <row r="38448">
      <c r="B38448" s="612"/>
      <c r="H38448" s="612"/>
    </row>
    <row r="38449">
      <c r="B38449" s="612"/>
      <c r="H38449" s="612"/>
    </row>
    <row r="38450">
      <c r="B38450" s="612"/>
      <c r="H38450" s="612"/>
    </row>
    <row r="38451">
      <c r="B38451" s="612"/>
      <c r="H38451" s="612"/>
    </row>
    <row r="38452">
      <c r="B38452" s="612"/>
      <c r="H38452" s="612"/>
    </row>
    <row r="38453">
      <c r="B38453" s="612"/>
      <c r="H38453" s="612"/>
    </row>
    <row r="38454">
      <c r="B38454" s="612"/>
      <c r="H38454" s="612"/>
    </row>
    <row r="38455">
      <c r="B38455" s="612"/>
      <c r="H38455" s="612"/>
    </row>
    <row r="38456">
      <c r="B38456" s="612"/>
      <c r="H38456" s="612"/>
    </row>
    <row r="38457">
      <c r="B38457" s="612"/>
      <c r="H38457" s="612"/>
    </row>
    <row r="38458">
      <c r="B38458" s="612"/>
      <c r="H38458" s="612"/>
    </row>
    <row r="38459">
      <c r="B38459" s="612"/>
      <c r="H38459" s="612"/>
    </row>
    <row r="38460">
      <c r="B38460" s="612"/>
      <c r="H38460" s="612"/>
    </row>
    <row r="38461">
      <c r="B38461" s="612"/>
      <c r="H38461" s="612"/>
    </row>
    <row r="38462">
      <c r="B38462" s="612"/>
      <c r="H38462" s="612"/>
    </row>
    <row r="38463">
      <c r="B38463" s="612"/>
      <c r="H38463" s="612"/>
    </row>
    <row r="38464">
      <c r="B38464" s="612"/>
      <c r="H38464" s="612"/>
    </row>
    <row r="38465">
      <c r="B38465" s="612"/>
      <c r="H38465" s="612"/>
    </row>
    <row r="38466">
      <c r="B38466" s="612"/>
      <c r="H38466" s="612"/>
    </row>
    <row r="38467">
      <c r="B38467" s="612"/>
      <c r="H38467" s="612"/>
    </row>
    <row r="38468">
      <c r="B38468" s="612"/>
      <c r="H38468" s="612"/>
    </row>
    <row r="38469">
      <c r="B38469" s="612"/>
      <c r="H38469" s="612"/>
    </row>
    <row r="38470">
      <c r="B38470" s="612"/>
      <c r="H38470" s="612"/>
    </row>
    <row r="38471">
      <c r="B38471" s="612"/>
      <c r="H38471" s="612"/>
    </row>
    <row r="38472">
      <c r="B38472" s="612"/>
      <c r="H38472" s="612"/>
    </row>
    <row r="38473">
      <c r="B38473" s="612"/>
      <c r="H38473" s="612"/>
    </row>
    <row r="38474">
      <c r="B38474" s="612"/>
      <c r="H38474" s="612"/>
    </row>
    <row r="38475">
      <c r="B38475" s="612"/>
      <c r="H38475" s="612"/>
    </row>
    <row r="38476">
      <c r="B38476" s="612"/>
      <c r="H38476" s="612"/>
    </row>
    <row r="38477">
      <c r="B38477" s="612"/>
      <c r="H38477" s="612"/>
    </row>
    <row r="38478">
      <c r="B38478" s="612"/>
      <c r="H38478" s="612"/>
    </row>
    <row r="38479">
      <c r="B38479" s="612"/>
      <c r="H38479" s="612"/>
    </row>
    <row r="38480">
      <c r="B38480" s="612"/>
      <c r="H38480" s="612"/>
    </row>
    <row r="38481">
      <c r="B38481" s="612"/>
      <c r="H38481" s="612"/>
    </row>
    <row r="38482">
      <c r="B38482" s="612"/>
      <c r="H38482" s="612"/>
    </row>
    <row r="38483">
      <c r="B38483" s="612"/>
      <c r="H38483" s="612"/>
    </row>
    <row r="38484">
      <c r="B38484" s="612"/>
      <c r="H38484" s="612"/>
    </row>
    <row r="38485">
      <c r="B38485" s="612"/>
      <c r="H38485" s="612"/>
    </row>
    <row r="38486">
      <c r="B38486" s="612"/>
      <c r="H38486" s="612"/>
    </row>
    <row r="38487">
      <c r="B38487" s="612"/>
      <c r="H38487" s="612"/>
    </row>
    <row r="38488">
      <c r="B38488" s="612"/>
      <c r="H38488" s="612"/>
    </row>
    <row r="38489">
      <c r="B38489" s="612"/>
      <c r="H38489" s="612"/>
    </row>
    <row r="38490">
      <c r="B38490" s="612"/>
      <c r="H38490" s="612"/>
    </row>
    <row r="38491">
      <c r="B38491" s="612"/>
      <c r="H38491" s="612"/>
    </row>
    <row r="38492">
      <c r="B38492" s="612"/>
      <c r="H38492" s="612"/>
    </row>
    <row r="38493">
      <c r="B38493" s="612"/>
      <c r="H38493" s="612"/>
    </row>
    <row r="38494">
      <c r="B38494" s="612"/>
      <c r="H38494" s="612"/>
    </row>
    <row r="38495">
      <c r="B38495" s="612"/>
      <c r="H38495" s="612"/>
    </row>
    <row r="38496">
      <c r="B38496" s="612"/>
      <c r="H38496" s="612"/>
    </row>
    <row r="38497">
      <c r="B38497" s="612"/>
      <c r="H38497" s="612"/>
    </row>
    <row r="38498">
      <c r="B38498" s="612"/>
      <c r="H38498" s="612"/>
    </row>
    <row r="38499">
      <c r="B38499" s="612"/>
      <c r="H38499" s="612"/>
    </row>
    <row r="38500">
      <c r="B38500" s="612"/>
      <c r="H38500" s="612"/>
    </row>
    <row r="38501">
      <c r="B38501" s="612"/>
      <c r="H38501" s="612"/>
    </row>
    <row r="38502">
      <c r="B38502" s="612"/>
      <c r="H38502" s="612"/>
    </row>
    <row r="38503">
      <c r="B38503" s="612"/>
      <c r="H38503" s="612"/>
    </row>
    <row r="38504">
      <c r="B38504" s="612"/>
      <c r="H38504" s="612"/>
    </row>
    <row r="38505">
      <c r="B38505" s="612"/>
      <c r="H38505" s="612"/>
    </row>
    <row r="38506">
      <c r="B38506" s="612"/>
      <c r="H38506" s="612"/>
    </row>
    <row r="38507">
      <c r="B38507" s="612"/>
      <c r="H38507" s="612"/>
    </row>
    <row r="38508">
      <c r="B38508" s="612"/>
      <c r="H38508" s="612"/>
    </row>
    <row r="38509">
      <c r="B38509" s="612"/>
      <c r="H38509" s="612"/>
    </row>
    <row r="38510">
      <c r="B38510" s="612"/>
      <c r="H38510" s="612"/>
    </row>
    <row r="38511">
      <c r="B38511" s="612"/>
      <c r="H38511" s="612"/>
    </row>
    <row r="38512">
      <c r="B38512" s="612"/>
      <c r="H38512" s="612"/>
    </row>
    <row r="38513">
      <c r="B38513" s="612"/>
      <c r="H38513" s="612"/>
    </row>
    <row r="38514">
      <c r="B38514" s="612"/>
      <c r="H38514" s="612"/>
    </row>
    <row r="38515">
      <c r="B38515" s="612"/>
      <c r="H38515" s="612"/>
    </row>
    <row r="38516">
      <c r="B38516" s="612"/>
      <c r="H38516" s="612"/>
    </row>
    <row r="38517">
      <c r="B38517" s="612"/>
      <c r="H38517" s="612"/>
    </row>
    <row r="38518">
      <c r="B38518" s="612"/>
      <c r="H38518" s="612"/>
    </row>
    <row r="38519">
      <c r="B38519" s="612"/>
      <c r="H38519" s="612"/>
    </row>
    <row r="38520">
      <c r="B38520" s="612"/>
      <c r="H38520" s="612"/>
    </row>
    <row r="38521">
      <c r="B38521" s="612"/>
      <c r="H38521" s="612"/>
    </row>
    <row r="38522">
      <c r="B38522" s="612"/>
      <c r="H38522" s="612"/>
    </row>
    <row r="38523">
      <c r="B38523" s="612"/>
      <c r="H38523" s="612"/>
    </row>
    <row r="38524">
      <c r="B38524" s="612"/>
      <c r="H38524" s="612"/>
    </row>
    <row r="38525">
      <c r="B38525" s="612"/>
      <c r="H38525" s="612"/>
    </row>
    <row r="38526">
      <c r="B38526" s="612"/>
      <c r="H38526" s="612"/>
    </row>
    <row r="38527">
      <c r="B38527" s="612"/>
      <c r="H38527" s="612"/>
    </row>
    <row r="38528">
      <c r="B38528" s="612"/>
      <c r="H38528" s="612"/>
    </row>
    <row r="38529">
      <c r="B38529" s="612"/>
      <c r="H38529" s="612"/>
    </row>
    <row r="38530">
      <c r="B38530" s="612"/>
      <c r="H38530" s="612"/>
    </row>
    <row r="38531">
      <c r="B38531" s="612"/>
      <c r="H38531" s="612"/>
    </row>
    <row r="38532">
      <c r="B38532" s="612"/>
      <c r="H38532" s="612"/>
    </row>
    <row r="38533">
      <c r="B38533" s="612"/>
      <c r="H38533" s="612"/>
    </row>
    <row r="38534">
      <c r="B38534" s="612"/>
      <c r="H38534" s="612"/>
    </row>
    <row r="38535">
      <c r="B38535" s="612"/>
      <c r="H38535" s="612"/>
    </row>
    <row r="38536">
      <c r="B38536" s="612"/>
      <c r="H38536" s="612"/>
    </row>
    <row r="38537">
      <c r="B38537" s="612"/>
      <c r="H38537" s="612"/>
    </row>
    <row r="38538">
      <c r="B38538" s="612"/>
      <c r="H38538" s="612"/>
    </row>
    <row r="38539">
      <c r="B38539" s="612"/>
      <c r="H38539" s="612"/>
    </row>
    <row r="38540">
      <c r="B38540" s="612"/>
      <c r="H38540" s="612"/>
    </row>
    <row r="38541">
      <c r="B38541" s="612"/>
      <c r="H38541" s="612"/>
    </row>
    <row r="38542">
      <c r="B38542" s="612"/>
      <c r="H38542" s="612"/>
    </row>
    <row r="38543">
      <c r="B38543" s="612"/>
      <c r="H38543" s="612"/>
    </row>
    <row r="38544">
      <c r="B38544" s="612"/>
      <c r="H38544" s="612"/>
    </row>
    <row r="38545">
      <c r="B38545" s="612"/>
      <c r="H38545" s="612"/>
    </row>
    <row r="38546">
      <c r="B38546" s="612"/>
      <c r="H38546" s="612"/>
    </row>
    <row r="38547">
      <c r="B38547" s="612"/>
      <c r="H38547" s="612"/>
    </row>
    <row r="38548">
      <c r="B38548" s="612"/>
      <c r="H38548" s="612"/>
    </row>
    <row r="38549">
      <c r="B38549" s="612"/>
      <c r="H38549" s="612"/>
    </row>
    <row r="38550">
      <c r="B38550" s="612"/>
      <c r="H38550" s="612"/>
    </row>
    <row r="38551">
      <c r="B38551" s="612"/>
      <c r="H38551" s="612"/>
    </row>
    <row r="38552">
      <c r="B38552" s="612"/>
      <c r="H38552" s="612"/>
    </row>
    <row r="38553">
      <c r="B38553" s="612"/>
      <c r="H38553" s="612"/>
    </row>
    <row r="38554">
      <c r="B38554" s="612"/>
      <c r="H38554" s="612"/>
    </row>
    <row r="38555">
      <c r="B38555" s="612"/>
      <c r="H38555" s="612"/>
    </row>
    <row r="38556">
      <c r="B38556" s="612"/>
      <c r="H38556" s="612"/>
    </row>
    <row r="38557">
      <c r="B38557" s="612"/>
      <c r="H38557" s="612"/>
    </row>
    <row r="38558">
      <c r="B38558" s="612"/>
      <c r="H38558" s="612"/>
    </row>
    <row r="38559">
      <c r="B38559" s="612"/>
      <c r="H38559" s="612"/>
    </row>
    <row r="38560">
      <c r="B38560" s="612"/>
      <c r="H38560" s="612"/>
    </row>
    <row r="38561">
      <c r="B38561" s="612"/>
      <c r="H38561" s="612"/>
    </row>
    <row r="38562">
      <c r="B38562" s="612"/>
      <c r="H38562" s="612"/>
    </row>
    <row r="38563">
      <c r="B38563" s="612"/>
      <c r="H38563" s="612"/>
    </row>
    <row r="38564">
      <c r="B38564" s="612"/>
      <c r="H38564" s="612"/>
    </row>
    <row r="38565">
      <c r="B38565" s="612"/>
      <c r="H38565" s="612"/>
    </row>
    <row r="38566">
      <c r="B38566" s="612"/>
      <c r="H38566" s="612"/>
    </row>
    <row r="38567">
      <c r="B38567" s="612"/>
      <c r="H38567" s="612"/>
    </row>
    <row r="38568">
      <c r="B38568" s="612"/>
      <c r="H38568" s="612"/>
    </row>
    <row r="38569">
      <c r="B38569" s="612"/>
      <c r="H38569" s="612"/>
    </row>
    <row r="38570">
      <c r="B38570" s="612"/>
      <c r="H38570" s="612"/>
    </row>
    <row r="38571">
      <c r="B38571" s="612"/>
      <c r="H38571" s="612"/>
    </row>
    <row r="38572">
      <c r="B38572" s="612"/>
      <c r="H38572" s="612"/>
    </row>
    <row r="38573">
      <c r="B38573" s="612"/>
      <c r="H38573" s="612"/>
    </row>
    <row r="38574">
      <c r="B38574" s="612"/>
      <c r="H38574" s="612"/>
    </row>
    <row r="38575">
      <c r="B38575" s="612"/>
      <c r="H38575" s="612"/>
    </row>
    <row r="38576">
      <c r="B38576" s="612"/>
      <c r="H38576" s="612"/>
    </row>
    <row r="38577">
      <c r="B38577" s="612"/>
      <c r="H38577" s="612"/>
    </row>
    <row r="38578">
      <c r="B38578" s="612"/>
      <c r="H38578" s="612"/>
    </row>
    <row r="38579">
      <c r="B38579" s="612"/>
      <c r="H38579" s="612"/>
    </row>
    <row r="38580">
      <c r="B38580" s="612"/>
      <c r="H38580" s="612"/>
    </row>
    <row r="38581">
      <c r="B38581" s="612"/>
      <c r="H38581" s="612"/>
    </row>
    <row r="38582">
      <c r="B38582" s="612"/>
      <c r="H38582" s="612"/>
    </row>
    <row r="38583">
      <c r="B38583" s="612"/>
      <c r="H38583" s="612"/>
    </row>
    <row r="38584">
      <c r="B38584" s="612"/>
      <c r="H38584" s="612"/>
    </row>
    <row r="38585">
      <c r="B38585" s="612"/>
      <c r="H38585" s="612"/>
    </row>
    <row r="38586">
      <c r="B38586" s="612"/>
      <c r="H38586" s="612"/>
    </row>
    <row r="38587">
      <c r="B38587" s="612"/>
      <c r="H38587" s="612"/>
    </row>
    <row r="38588">
      <c r="B38588" s="612"/>
      <c r="H38588" s="612"/>
    </row>
    <row r="38589">
      <c r="B38589" s="612"/>
      <c r="H38589" s="612"/>
    </row>
    <row r="38590">
      <c r="B38590" s="612"/>
      <c r="H38590" s="612"/>
    </row>
    <row r="38591">
      <c r="B38591" s="612"/>
      <c r="H38591" s="612"/>
    </row>
    <row r="38592">
      <c r="B38592" s="612"/>
      <c r="H38592" s="612"/>
    </row>
    <row r="38593">
      <c r="B38593" s="612"/>
      <c r="H38593" s="612"/>
    </row>
    <row r="38594">
      <c r="B38594" s="612"/>
      <c r="H38594" s="612"/>
    </row>
    <row r="38595">
      <c r="B38595" s="612"/>
      <c r="H38595" s="612"/>
    </row>
    <row r="38596">
      <c r="B38596" s="612"/>
      <c r="H38596" s="612"/>
    </row>
    <row r="38597">
      <c r="B38597" s="612"/>
      <c r="H38597" s="612"/>
    </row>
    <row r="38598">
      <c r="B38598" s="612"/>
      <c r="H38598" s="612"/>
    </row>
    <row r="38599">
      <c r="B38599" s="612"/>
      <c r="H38599" s="612"/>
    </row>
    <row r="38600">
      <c r="B38600" s="612"/>
      <c r="H38600" s="612"/>
    </row>
    <row r="38601">
      <c r="B38601" s="612"/>
      <c r="H38601" s="612"/>
    </row>
    <row r="38602">
      <c r="B38602" s="612"/>
      <c r="H38602" s="612"/>
    </row>
    <row r="38603">
      <c r="B38603" s="612"/>
      <c r="H38603" s="612"/>
    </row>
    <row r="38604">
      <c r="B38604" s="612"/>
      <c r="H38604" s="612"/>
    </row>
    <row r="38605">
      <c r="B38605" s="612"/>
      <c r="H38605" s="612"/>
    </row>
    <row r="38606">
      <c r="B38606" s="612"/>
      <c r="H38606" s="612"/>
    </row>
    <row r="38607">
      <c r="B38607" s="612"/>
      <c r="H38607" s="612"/>
    </row>
    <row r="38608">
      <c r="B38608" s="612"/>
      <c r="H38608" s="612"/>
    </row>
    <row r="38609">
      <c r="B38609" s="612"/>
      <c r="H38609" s="612"/>
    </row>
    <row r="38610">
      <c r="B38610" s="612"/>
      <c r="H38610" s="612"/>
    </row>
    <row r="38611">
      <c r="B38611" s="612"/>
      <c r="H38611" s="612"/>
    </row>
    <row r="38612">
      <c r="B38612" s="612"/>
      <c r="H38612" s="612"/>
    </row>
    <row r="38613">
      <c r="B38613" s="612"/>
      <c r="H38613" s="612"/>
    </row>
    <row r="38614">
      <c r="B38614" s="612"/>
      <c r="H38614" s="612"/>
    </row>
    <row r="38615">
      <c r="B38615" s="612"/>
      <c r="H38615" s="612"/>
    </row>
    <row r="38616">
      <c r="B38616" s="612"/>
      <c r="H38616" s="612"/>
    </row>
    <row r="38617">
      <c r="B38617" s="612"/>
      <c r="H38617" s="612"/>
    </row>
    <row r="38618">
      <c r="B38618" s="612"/>
      <c r="H38618" s="612"/>
    </row>
    <row r="38619">
      <c r="B38619" s="612"/>
      <c r="H38619" s="612"/>
    </row>
    <row r="38620">
      <c r="B38620" s="612"/>
      <c r="H38620" s="612"/>
    </row>
    <row r="38621">
      <c r="B38621" s="612"/>
      <c r="H38621" s="612"/>
    </row>
    <row r="38622">
      <c r="B38622" s="612"/>
      <c r="H38622" s="612"/>
    </row>
    <row r="38623">
      <c r="B38623" s="612"/>
      <c r="H38623" s="612"/>
    </row>
    <row r="38624">
      <c r="B38624" s="612"/>
      <c r="H38624" s="612"/>
    </row>
    <row r="38625">
      <c r="B38625" s="612"/>
      <c r="H38625" s="612"/>
    </row>
    <row r="38626">
      <c r="B38626" s="612"/>
      <c r="H38626" s="612"/>
    </row>
    <row r="38627">
      <c r="B38627" s="612"/>
      <c r="H38627" s="612"/>
    </row>
    <row r="38628">
      <c r="B38628" s="612"/>
      <c r="H38628" s="612"/>
    </row>
    <row r="38629">
      <c r="B38629" s="612"/>
      <c r="H38629" s="612"/>
    </row>
    <row r="38630">
      <c r="B38630" s="612"/>
      <c r="H38630" s="612"/>
    </row>
    <row r="38631">
      <c r="B38631" s="612"/>
      <c r="H38631" s="612"/>
    </row>
    <row r="38632">
      <c r="B38632" s="612"/>
      <c r="H38632" s="612"/>
    </row>
    <row r="38633">
      <c r="B38633" s="612"/>
      <c r="H38633" s="612"/>
    </row>
    <row r="38634">
      <c r="B38634" s="612"/>
      <c r="H38634" s="612"/>
    </row>
    <row r="38635">
      <c r="B38635" s="612"/>
      <c r="H38635" s="612"/>
    </row>
    <row r="38636">
      <c r="B38636" s="612"/>
      <c r="H38636" s="612"/>
    </row>
    <row r="38637">
      <c r="B38637" s="612"/>
      <c r="H38637" s="612"/>
    </row>
    <row r="38638">
      <c r="B38638" s="612"/>
      <c r="H38638" s="612"/>
    </row>
    <row r="38639">
      <c r="B38639" s="612"/>
      <c r="H38639" s="612"/>
    </row>
    <row r="38640">
      <c r="B38640" s="612"/>
      <c r="H38640" s="612"/>
    </row>
    <row r="38641">
      <c r="B38641" s="612"/>
      <c r="H38641" s="612"/>
    </row>
    <row r="38642">
      <c r="B38642" s="612"/>
      <c r="H38642" s="612"/>
    </row>
    <row r="38643">
      <c r="B38643" s="612"/>
      <c r="H38643" s="612"/>
    </row>
    <row r="38644">
      <c r="B38644" s="612"/>
      <c r="H38644" s="612"/>
    </row>
    <row r="38645">
      <c r="B38645" s="612"/>
      <c r="H38645" s="612"/>
    </row>
    <row r="38646">
      <c r="B38646" s="612"/>
      <c r="H38646" s="612"/>
    </row>
    <row r="38647">
      <c r="B38647" s="612"/>
      <c r="H38647" s="612"/>
    </row>
    <row r="38648">
      <c r="B38648" s="612"/>
      <c r="H38648" s="612"/>
    </row>
    <row r="38649">
      <c r="B38649" s="612"/>
      <c r="H38649" s="612"/>
    </row>
    <row r="38650">
      <c r="B38650" s="612"/>
      <c r="H38650" s="612"/>
    </row>
    <row r="38651">
      <c r="B38651" s="612"/>
      <c r="H38651" s="612"/>
    </row>
    <row r="38652">
      <c r="B38652" s="612"/>
      <c r="H38652" s="612"/>
    </row>
    <row r="38653">
      <c r="B38653" s="612"/>
      <c r="H38653" s="612"/>
    </row>
    <row r="38654">
      <c r="B38654" s="612"/>
      <c r="H38654" s="612"/>
    </row>
    <row r="38655">
      <c r="B38655" s="612"/>
      <c r="H38655" s="612"/>
    </row>
    <row r="38656">
      <c r="B38656" s="612"/>
      <c r="H38656" s="612"/>
    </row>
    <row r="38657">
      <c r="B38657" s="612"/>
      <c r="H38657" s="612"/>
    </row>
    <row r="38658">
      <c r="B38658" s="612"/>
      <c r="H38658" s="612"/>
    </row>
    <row r="38659">
      <c r="B38659" s="612"/>
      <c r="H38659" s="612"/>
    </row>
    <row r="38660">
      <c r="B38660" s="612"/>
      <c r="H38660" s="612"/>
    </row>
    <row r="38661">
      <c r="B38661" s="612"/>
      <c r="H38661" s="612"/>
    </row>
    <row r="38662">
      <c r="B38662" s="612"/>
      <c r="H38662" s="612"/>
    </row>
    <row r="38663">
      <c r="B38663" s="612"/>
      <c r="H38663" s="612"/>
    </row>
    <row r="38664">
      <c r="B38664" s="612"/>
      <c r="H38664" s="612"/>
    </row>
    <row r="38665">
      <c r="B38665" s="612"/>
      <c r="H38665" s="612"/>
    </row>
    <row r="38666">
      <c r="B38666" s="612"/>
      <c r="H38666" s="612"/>
    </row>
    <row r="38667">
      <c r="B38667" s="612"/>
      <c r="H38667" s="612"/>
    </row>
    <row r="38668">
      <c r="B38668" s="612"/>
      <c r="H38668" s="612"/>
    </row>
    <row r="38669">
      <c r="B38669" s="612"/>
      <c r="H38669" s="612"/>
    </row>
    <row r="38670">
      <c r="B38670" s="612"/>
      <c r="H38670" s="612"/>
    </row>
    <row r="38671">
      <c r="B38671" s="612"/>
      <c r="H38671" s="612"/>
    </row>
    <row r="38672">
      <c r="B38672" s="612"/>
      <c r="H38672" s="612"/>
    </row>
    <row r="38673">
      <c r="B38673" s="612"/>
      <c r="H38673" s="612"/>
    </row>
    <row r="38674">
      <c r="B38674" s="612"/>
      <c r="H38674" s="612"/>
    </row>
    <row r="38675">
      <c r="B38675" s="612"/>
      <c r="H38675" s="612"/>
    </row>
    <row r="38676">
      <c r="B38676" s="612"/>
      <c r="H38676" s="612"/>
    </row>
    <row r="38677">
      <c r="B38677" s="612"/>
      <c r="H38677" s="612"/>
    </row>
    <row r="38678">
      <c r="B38678" s="612"/>
      <c r="H38678" s="612"/>
    </row>
    <row r="38679">
      <c r="B38679" s="612"/>
      <c r="H38679" s="612"/>
    </row>
    <row r="38680">
      <c r="B38680" s="612"/>
      <c r="H38680" s="612"/>
    </row>
    <row r="38681">
      <c r="B38681" s="612"/>
      <c r="H38681" s="612"/>
    </row>
    <row r="38682">
      <c r="B38682" s="612"/>
      <c r="H38682" s="612"/>
    </row>
    <row r="38683">
      <c r="B38683" s="612"/>
      <c r="H38683" s="612"/>
    </row>
    <row r="38684">
      <c r="B38684" s="612"/>
      <c r="H38684" s="612"/>
    </row>
    <row r="38685">
      <c r="B38685" s="612"/>
      <c r="H38685" s="612"/>
    </row>
    <row r="38686">
      <c r="B38686" s="612"/>
      <c r="H38686" s="612"/>
    </row>
    <row r="38687">
      <c r="B38687" s="612"/>
      <c r="H38687" s="612"/>
    </row>
    <row r="38688">
      <c r="B38688" s="612"/>
      <c r="H38688" s="612"/>
    </row>
    <row r="38689">
      <c r="B38689" s="612"/>
      <c r="H38689" s="612"/>
    </row>
    <row r="38690">
      <c r="B38690" s="612"/>
      <c r="H38690" s="612"/>
    </row>
    <row r="38691">
      <c r="B38691" s="612"/>
      <c r="H38691" s="612"/>
    </row>
    <row r="38692">
      <c r="B38692" s="612"/>
      <c r="H38692" s="612"/>
    </row>
    <row r="38693">
      <c r="B38693" s="612"/>
      <c r="H38693" s="612"/>
    </row>
    <row r="38694">
      <c r="B38694" s="612"/>
      <c r="H38694" s="612"/>
    </row>
    <row r="38695">
      <c r="B38695" s="612"/>
      <c r="H38695" s="612"/>
    </row>
    <row r="38696">
      <c r="B38696" s="612"/>
      <c r="H38696" s="612"/>
    </row>
    <row r="38697">
      <c r="B38697" s="612"/>
      <c r="H38697" s="612"/>
    </row>
    <row r="38698">
      <c r="B38698" s="612"/>
      <c r="H38698" s="612"/>
    </row>
    <row r="38699">
      <c r="B38699" s="612"/>
      <c r="H38699" s="612"/>
    </row>
    <row r="38700">
      <c r="B38700" s="612"/>
      <c r="H38700" s="612"/>
    </row>
    <row r="38701">
      <c r="B38701" s="612"/>
      <c r="H38701" s="612"/>
    </row>
    <row r="38702">
      <c r="B38702" s="612"/>
      <c r="H38702" s="612"/>
    </row>
    <row r="38703">
      <c r="B38703" s="612"/>
      <c r="H38703" s="612"/>
    </row>
    <row r="38704">
      <c r="B38704" s="612"/>
      <c r="H38704" s="612"/>
    </row>
    <row r="38705">
      <c r="B38705" s="612"/>
      <c r="H38705" s="612"/>
    </row>
    <row r="38706">
      <c r="B38706" s="612"/>
      <c r="H38706" s="612"/>
    </row>
    <row r="38707">
      <c r="B38707" s="612"/>
      <c r="H38707" s="612"/>
    </row>
    <row r="38708">
      <c r="B38708" s="612"/>
      <c r="H38708" s="612"/>
    </row>
    <row r="38709">
      <c r="B38709" s="612"/>
      <c r="H38709" s="612"/>
    </row>
    <row r="38710">
      <c r="B38710" s="612"/>
      <c r="H38710" s="612"/>
    </row>
    <row r="38711">
      <c r="B38711" s="612"/>
      <c r="H38711" s="612"/>
    </row>
    <row r="38712">
      <c r="B38712" s="612"/>
      <c r="H38712" s="612"/>
    </row>
    <row r="38713">
      <c r="B38713" s="612"/>
      <c r="H38713" s="612"/>
    </row>
    <row r="38714">
      <c r="B38714" s="612"/>
      <c r="H38714" s="612"/>
    </row>
    <row r="38715">
      <c r="B38715" s="612"/>
      <c r="H38715" s="612"/>
    </row>
    <row r="38716">
      <c r="B38716" s="612"/>
      <c r="H38716" s="612"/>
    </row>
    <row r="38717">
      <c r="B38717" s="612"/>
      <c r="H38717" s="612"/>
    </row>
    <row r="38718">
      <c r="B38718" s="612"/>
      <c r="H38718" s="612"/>
    </row>
    <row r="38719">
      <c r="B38719" s="612"/>
      <c r="H38719" s="612"/>
    </row>
    <row r="38720">
      <c r="B38720" s="612"/>
      <c r="H38720" s="612"/>
    </row>
    <row r="38721">
      <c r="B38721" s="612"/>
      <c r="H38721" s="612"/>
    </row>
    <row r="38722">
      <c r="B38722" s="612"/>
      <c r="H38722" s="612"/>
    </row>
    <row r="38723">
      <c r="B38723" s="612"/>
      <c r="H38723" s="612"/>
    </row>
    <row r="38724">
      <c r="B38724" s="612"/>
      <c r="H38724" s="612"/>
    </row>
    <row r="38725">
      <c r="B38725" s="612"/>
      <c r="H38725" s="612"/>
    </row>
    <row r="38726">
      <c r="B38726" s="612"/>
      <c r="H38726" s="612"/>
    </row>
    <row r="38727">
      <c r="B38727" s="612"/>
      <c r="H38727" s="612"/>
    </row>
    <row r="38728">
      <c r="B38728" s="612"/>
      <c r="H38728" s="612"/>
    </row>
    <row r="38729">
      <c r="B38729" s="612"/>
      <c r="H38729" s="612"/>
    </row>
    <row r="38730">
      <c r="B38730" s="612"/>
      <c r="H38730" s="612"/>
    </row>
    <row r="38731">
      <c r="B38731" s="612"/>
      <c r="H38731" s="612"/>
    </row>
    <row r="38732">
      <c r="B38732" s="612"/>
      <c r="H38732" s="612"/>
    </row>
    <row r="38733">
      <c r="B38733" s="612"/>
      <c r="H38733" s="612"/>
    </row>
    <row r="38734">
      <c r="B38734" s="612"/>
      <c r="H38734" s="612"/>
    </row>
    <row r="38735">
      <c r="B38735" s="612"/>
      <c r="H38735" s="612"/>
    </row>
    <row r="38736">
      <c r="B38736" s="612"/>
      <c r="H38736" s="612"/>
    </row>
    <row r="38737">
      <c r="B38737" s="612"/>
      <c r="H38737" s="612"/>
    </row>
    <row r="38738">
      <c r="B38738" s="612"/>
      <c r="H38738" s="612"/>
    </row>
    <row r="38739">
      <c r="B38739" s="612"/>
      <c r="H38739" s="612"/>
    </row>
    <row r="38740">
      <c r="B38740" s="612"/>
      <c r="H38740" s="612"/>
    </row>
    <row r="38741">
      <c r="B38741" s="612"/>
      <c r="H38741" s="612"/>
    </row>
    <row r="38742">
      <c r="B38742" s="612"/>
      <c r="H38742" s="612"/>
    </row>
    <row r="38743">
      <c r="B38743" s="612"/>
      <c r="H38743" s="612"/>
    </row>
    <row r="38744">
      <c r="B38744" s="612"/>
      <c r="H38744" s="612"/>
    </row>
    <row r="38745">
      <c r="B38745" s="612"/>
      <c r="H38745" s="612"/>
    </row>
    <row r="38746">
      <c r="B38746" s="612"/>
      <c r="H38746" s="612"/>
    </row>
    <row r="38747">
      <c r="B38747" s="612"/>
      <c r="H38747" s="612"/>
    </row>
    <row r="38748">
      <c r="B38748" s="612"/>
      <c r="H38748" s="612"/>
    </row>
    <row r="38749">
      <c r="B38749" s="612"/>
      <c r="H38749" s="612"/>
    </row>
    <row r="38750">
      <c r="B38750" s="612"/>
      <c r="H38750" s="612"/>
    </row>
    <row r="38751">
      <c r="B38751" s="612"/>
      <c r="H38751" s="612"/>
    </row>
    <row r="38752">
      <c r="B38752" s="612"/>
      <c r="H38752" s="612"/>
    </row>
    <row r="38753">
      <c r="B38753" s="612"/>
      <c r="H38753" s="612"/>
    </row>
    <row r="38754">
      <c r="B38754" s="612"/>
      <c r="H38754" s="612"/>
    </row>
    <row r="38755">
      <c r="B38755" s="612"/>
      <c r="H38755" s="612"/>
    </row>
    <row r="38756">
      <c r="B38756" s="612"/>
      <c r="H38756" s="612"/>
    </row>
    <row r="38757">
      <c r="B38757" s="612"/>
      <c r="H38757" s="612"/>
    </row>
    <row r="38758">
      <c r="B38758" s="612"/>
      <c r="H38758" s="612"/>
    </row>
    <row r="38759">
      <c r="B38759" s="612"/>
      <c r="H38759" s="612"/>
    </row>
    <row r="38760">
      <c r="B38760" s="612"/>
      <c r="H38760" s="612"/>
    </row>
    <row r="38761">
      <c r="B38761" s="612"/>
      <c r="H38761" s="612"/>
    </row>
    <row r="38762">
      <c r="B38762" s="612"/>
      <c r="H38762" s="612"/>
    </row>
    <row r="38763">
      <c r="B38763" s="612"/>
      <c r="H38763" s="612"/>
    </row>
    <row r="38764">
      <c r="B38764" s="612"/>
      <c r="H38764" s="612"/>
    </row>
    <row r="38765">
      <c r="B38765" s="612"/>
      <c r="H38765" s="612"/>
    </row>
    <row r="38766">
      <c r="B38766" s="612"/>
      <c r="H38766" s="612"/>
    </row>
    <row r="38767">
      <c r="B38767" s="612"/>
      <c r="H38767" s="612"/>
    </row>
    <row r="38768">
      <c r="B38768" s="612"/>
      <c r="H38768" s="612"/>
    </row>
    <row r="38769">
      <c r="B38769" s="612"/>
      <c r="H38769" s="612"/>
    </row>
    <row r="38770">
      <c r="B38770" s="612"/>
      <c r="H38770" s="612"/>
    </row>
    <row r="38771">
      <c r="B38771" s="612"/>
      <c r="H38771" s="612"/>
    </row>
    <row r="38772">
      <c r="B38772" s="612"/>
      <c r="H38772" s="612"/>
    </row>
    <row r="38773">
      <c r="B38773" s="612"/>
      <c r="H38773" s="612"/>
    </row>
    <row r="38774">
      <c r="B38774" s="612"/>
      <c r="H38774" s="612"/>
    </row>
    <row r="38775">
      <c r="B38775" s="612"/>
      <c r="H38775" s="612"/>
    </row>
    <row r="38776">
      <c r="B38776" s="612"/>
      <c r="H38776" s="612"/>
    </row>
    <row r="38777">
      <c r="B38777" s="612"/>
      <c r="H38777" s="612"/>
    </row>
    <row r="38778">
      <c r="B38778" s="612"/>
      <c r="H38778" s="612"/>
    </row>
    <row r="38779">
      <c r="B38779" s="612"/>
      <c r="H38779" s="612"/>
    </row>
    <row r="38780">
      <c r="B38780" s="612"/>
      <c r="H38780" s="612"/>
    </row>
    <row r="38781">
      <c r="B38781" s="612"/>
      <c r="H38781" s="612"/>
    </row>
    <row r="38782">
      <c r="B38782" s="612"/>
      <c r="H38782" s="612"/>
    </row>
    <row r="38783">
      <c r="B38783" s="612"/>
      <c r="H38783" s="612"/>
    </row>
    <row r="38784">
      <c r="B38784" s="612"/>
      <c r="H38784" s="612"/>
    </row>
    <row r="38785">
      <c r="B38785" s="612"/>
      <c r="H38785" s="612"/>
    </row>
    <row r="38786">
      <c r="B38786" s="612"/>
      <c r="H38786" s="612"/>
    </row>
    <row r="38787">
      <c r="B38787" s="612"/>
      <c r="H38787" s="612"/>
    </row>
    <row r="38788">
      <c r="B38788" s="612"/>
      <c r="H38788" s="612"/>
    </row>
    <row r="38789">
      <c r="B38789" s="612"/>
      <c r="H38789" s="612"/>
    </row>
    <row r="38790">
      <c r="B38790" s="612"/>
      <c r="H38790" s="612"/>
    </row>
    <row r="38791">
      <c r="B38791" s="612"/>
      <c r="H38791" s="612"/>
    </row>
    <row r="38792">
      <c r="B38792" s="612"/>
      <c r="H38792" s="612"/>
    </row>
    <row r="38793">
      <c r="B38793" s="612"/>
      <c r="H38793" s="612"/>
    </row>
    <row r="38794">
      <c r="B38794" s="612"/>
      <c r="H38794" s="612"/>
    </row>
    <row r="38795">
      <c r="B38795" s="612"/>
      <c r="H38795" s="612"/>
    </row>
    <row r="38796">
      <c r="B38796" s="612"/>
      <c r="H38796" s="612"/>
    </row>
    <row r="38797">
      <c r="B38797" s="612"/>
      <c r="H38797" s="612"/>
    </row>
    <row r="38798">
      <c r="B38798" s="612"/>
      <c r="H38798" s="612"/>
    </row>
    <row r="38799">
      <c r="B38799" s="612"/>
      <c r="H38799" s="612"/>
    </row>
    <row r="38800">
      <c r="B38800" s="612"/>
      <c r="H38800" s="612"/>
    </row>
    <row r="38801">
      <c r="B38801" s="612"/>
      <c r="H38801" s="612"/>
    </row>
    <row r="38802">
      <c r="B38802" s="612"/>
      <c r="H38802" s="612"/>
    </row>
    <row r="38803">
      <c r="B38803" s="612"/>
      <c r="H38803" s="612"/>
    </row>
    <row r="38804">
      <c r="B38804" s="612"/>
      <c r="H38804" s="612"/>
    </row>
    <row r="38805">
      <c r="B38805" s="612"/>
      <c r="H38805" s="612"/>
    </row>
    <row r="38806">
      <c r="B38806" s="612"/>
      <c r="H38806" s="612"/>
    </row>
    <row r="38807">
      <c r="B38807" s="612"/>
      <c r="H38807" s="612"/>
    </row>
    <row r="38808">
      <c r="B38808" s="612"/>
      <c r="H38808" s="612"/>
    </row>
    <row r="38809">
      <c r="B38809" s="612"/>
      <c r="H38809" s="612"/>
    </row>
    <row r="38810">
      <c r="B38810" s="612"/>
      <c r="H38810" s="612"/>
    </row>
    <row r="38811">
      <c r="B38811" s="612"/>
      <c r="H38811" s="612"/>
    </row>
    <row r="38812">
      <c r="B38812" s="612"/>
      <c r="H38812" s="612"/>
    </row>
    <row r="38813">
      <c r="B38813" s="612"/>
      <c r="H38813" s="612"/>
    </row>
    <row r="38814">
      <c r="B38814" s="612"/>
      <c r="H38814" s="612"/>
    </row>
    <row r="38815">
      <c r="B38815" s="612"/>
      <c r="H38815" s="612"/>
    </row>
    <row r="38816">
      <c r="B38816" s="612"/>
      <c r="H38816" s="612"/>
    </row>
    <row r="38817">
      <c r="B38817" s="612"/>
      <c r="H38817" s="612"/>
    </row>
    <row r="38818">
      <c r="B38818" s="612"/>
      <c r="H38818" s="612"/>
    </row>
    <row r="38819">
      <c r="B38819" s="612"/>
      <c r="H38819" s="612"/>
    </row>
    <row r="38820">
      <c r="B38820" s="612"/>
      <c r="H38820" s="612"/>
    </row>
    <row r="38821">
      <c r="B38821" s="612"/>
      <c r="H38821" s="612"/>
    </row>
    <row r="38822">
      <c r="B38822" s="612"/>
      <c r="H38822" s="612"/>
    </row>
    <row r="38823">
      <c r="B38823" s="612"/>
      <c r="H38823" s="612"/>
    </row>
    <row r="38824">
      <c r="B38824" s="612"/>
      <c r="H38824" s="612"/>
    </row>
    <row r="38825">
      <c r="B38825" s="612"/>
      <c r="H38825" s="612"/>
    </row>
    <row r="38826">
      <c r="B38826" s="612"/>
      <c r="H38826" s="612"/>
    </row>
    <row r="38827">
      <c r="B38827" s="612"/>
      <c r="H38827" s="612"/>
    </row>
    <row r="38828">
      <c r="B38828" s="612"/>
      <c r="H38828" s="612"/>
    </row>
    <row r="38829">
      <c r="B38829" s="612"/>
      <c r="H38829" s="612"/>
    </row>
    <row r="38830">
      <c r="B38830" s="612"/>
      <c r="H38830" s="612"/>
    </row>
    <row r="38831">
      <c r="B38831" s="612"/>
      <c r="H38831" s="612"/>
    </row>
    <row r="38832">
      <c r="B38832" s="612"/>
      <c r="H38832" s="612"/>
    </row>
    <row r="38833">
      <c r="B38833" s="612"/>
      <c r="H38833" s="612"/>
    </row>
    <row r="38834">
      <c r="B38834" s="612"/>
      <c r="H38834" s="612"/>
    </row>
    <row r="38835">
      <c r="B38835" s="612"/>
      <c r="H38835" s="612"/>
    </row>
    <row r="38836">
      <c r="B38836" s="612"/>
      <c r="H38836" s="612"/>
    </row>
    <row r="38837">
      <c r="B38837" s="612"/>
      <c r="H38837" s="612"/>
    </row>
    <row r="38838">
      <c r="B38838" s="612"/>
      <c r="H38838" s="612"/>
    </row>
    <row r="38839">
      <c r="B38839" s="612"/>
      <c r="H38839" s="612"/>
    </row>
    <row r="38840">
      <c r="B38840" s="612"/>
      <c r="H38840" s="612"/>
    </row>
    <row r="38841">
      <c r="B38841" s="612"/>
      <c r="H38841" s="612"/>
    </row>
    <row r="38842">
      <c r="B38842" s="612"/>
      <c r="H38842" s="612"/>
    </row>
    <row r="38843">
      <c r="B38843" s="612"/>
      <c r="H38843" s="612"/>
    </row>
    <row r="38844">
      <c r="B38844" s="612"/>
      <c r="H38844" s="612"/>
    </row>
    <row r="38845">
      <c r="B38845" s="612"/>
      <c r="H38845" s="612"/>
    </row>
    <row r="38846">
      <c r="B38846" s="612"/>
      <c r="H38846" s="612"/>
    </row>
    <row r="38847">
      <c r="B38847" s="612"/>
      <c r="H38847" s="612"/>
    </row>
    <row r="38848">
      <c r="B38848" s="612"/>
      <c r="H38848" s="612"/>
    </row>
    <row r="38849">
      <c r="B38849" s="612"/>
      <c r="H38849" s="612"/>
    </row>
    <row r="38850">
      <c r="B38850" s="612"/>
      <c r="H38850" s="612"/>
    </row>
    <row r="38851">
      <c r="B38851" s="612"/>
      <c r="H38851" s="612"/>
    </row>
    <row r="38852">
      <c r="B38852" s="612"/>
      <c r="H38852" s="612"/>
    </row>
    <row r="38853">
      <c r="B38853" s="612"/>
      <c r="H38853" s="612"/>
    </row>
    <row r="38854">
      <c r="B38854" s="612"/>
      <c r="H38854" s="612"/>
    </row>
    <row r="38855">
      <c r="B38855" s="612"/>
      <c r="H38855" s="612"/>
    </row>
    <row r="38856">
      <c r="B38856" s="612"/>
      <c r="H38856" s="612"/>
    </row>
    <row r="38857">
      <c r="B38857" s="612"/>
      <c r="H38857" s="612"/>
    </row>
    <row r="38858">
      <c r="B38858" s="612"/>
      <c r="H38858" s="612"/>
    </row>
    <row r="38859">
      <c r="B38859" s="612"/>
      <c r="H38859" s="612"/>
    </row>
    <row r="38860">
      <c r="B38860" s="612"/>
      <c r="H38860" s="612"/>
    </row>
    <row r="38861">
      <c r="B38861" s="612"/>
      <c r="H38861" s="612"/>
    </row>
    <row r="38862">
      <c r="B38862" s="612"/>
      <c r="H38862" s="612"/>
    </row>
    <row r="38863">
      <c r="B38863" s="612"/>
      <c r="H38863" s="612"/>
    </row>
    <row r="38864">
      <c r="B38864" s="612"/>
      <c r="H38864" s="612"/>
    </row>
    <row r="38865">
      <c r="B38865" s="612"/>
      <c r="H38865" s="612"/>
    </row>
    <row r="38866">
      <c r="B38866" s="612"/>
      <c r="H38866" s="612"/>
    </row>
    <row r="38867">
      <c r="B38867" s="612"/>
      <c r="H38867" s="612"/>
    </row>
    <row r="38868">
      <c r="B38868" s="612"/>
      <c r="H38868" s="612"/>
    </row>
    <row r="38869">
      <c r="B38869" s="612"/>
      <c r="H38869" s="612"/>
    </row>
    <row r="38870">
      <c r="B38870" s="612"/>
      <c r="H38870" s="612"/>
    </row>
    <row r="38871">
      <c r="B38871" s="612"/>
      <c r="H38871" s="612"/>
    </row>
    <row r="38872">
      <c r="B38872" s="612"/>
      <c r="H38872" s="612"/>
    </row>
    <row r="38873">
      <c r="B38873" s="612"/>
      <c r="H38873" s="612"/>
    </row>
    <row r="38874">
      <c r="B38874" s="612"/>
      <c r="H38874" s="612"/>
    </row>
    <row r="38875">
      <c r="B38875" s="612"/>
      <c r="H38875" s="612"/>
    </row>
    <row r="38876">
      <c r="B38876" s="612"/>
      <c r="H38876" s="612"/>
    </row>
    <row r="38877">
      <c r="B38877" s="612"/>
      <c r="H38877" s="612"/>
    </row>
    <row r="38878">
      <c r="B38878" s="612"/>
      <c r="H38878" s="612"/>
    </row>
    <row r="38879">
      <c r="B38879" s="612"/>
      <c r="H38879" s="612"/>
    </row>
    <row r="38880">
      <c r="B38880" s="612"/>
      <c r="H38880" s="612"/>
    </row>
    <row r="38881">
      <c r="B38881" s="612"/>
      <c r="H38881" s="612"/>
    </row>
    <row r="38882">
      <c r="B38882" s="612"/>
      <c r="H38882" s="612"/>
    </row>
    <row r="38883">
      <c r="B38883" s="612"/>
      <c r="H38883" s="612"/>
    </row>
    <row r="38884">
      <c r="B38884" s="612"/>
      <c r="H38884" s="612"/>
    </row>
    <row r="38885">
      <c r="B38885" s="612"/>
      <c r="H38885" s="612"/>
    </row>
    <row r="38886">
      <c r="B38886" s="612"/>
      <c r="H38886" s="612"/>
    </row>
    <row r="38887">
      <c r="B38887" s="612"/>
      <c r="H38887" s="612"/>
    </row>
    <row r="38888">
      <c r="B38888" s="612"/>
      <c r="H38888" s="612"/>
    </row>
    <row r="38889">
      <c r="B38889" s="612"/>
      <c r="H38889" s="612"/>
    </row>
    <row r="38890">
      <c r="B38890" s="612"/>
      <c r="H38890" s="612"/>
    </row>
    <row r="38891">
      <c r="B38891" s="612"/>
      <c r="H38891" s="612"/>
    </row>
    <row r="38892">
      <c r="B38892" s="612"/>
      <c r="H38892" s="612"/>
    </row>
    <row r="38893">
      <c r="B38893" s="612"/>
      <c r="H38893" s="612"/>
    </row>
    <row r="38894">
      <c r="B38894" s="612"/>
      <c r="H38894" s="612"/>
    </row>
    <row r="38895">
      <c r="B38895" s="612"/>
      <c r="H38895" s="612"/>
    </row>
    <row r="38896">
      <c r="B38896" s="612"/>
      <c r="H38896" s="612"/>
    </row>
    <row r="38897">
      <c r="B38897" s="612"/>
      <c r="H38897" s="612"/>
    </row>
    <row r="38898">
      <c r="B38898" s="612"/>
      <c r="H38898" s="612"/>
    </row>
    <row r="38899">
      <c r="B38899" s="612"/>
      <c r="H38899" s="612"/>
    </row>
    <row r="38900">
      <c r="B38900" s="612"/>
      <c r="H38900" s="612"/>
    </row>
    <row r="38901">
      <c r="B38901" s="612"/>
      <c r="H38901" s="612"/>
    </row>
    <row r="38902">
      <c r="B38902" s="612"/>
      <c r="H38902" s="612"/>
    </row>
    <row r="38903">
      <c r="B38903" s="612"/>
      <c r="H38903" s="612"/>
    </row>
    <row r="38904">
      <c r="B38904" s="612"/>
      <c r="H38904" s="612"/>
    </row>
    <row r="38905">
      <c r="B38905" s="612"/>
      <c r="H38905" s="612"/>
    </row>
    <row r="38906">
      <c r="B38906" s="612"/>
      <c r="H38906" s="612"/>
    </row>
    <row r="38907">
      <c r="B38907" s="612"/>
      <c r="H38907" s="612"/>
    </row>
    <row r="38908">
      <c r="B38908" s="612"/>
      <c r="H38908" s="612"/>
    </row>
    <row r="38909">
      <c r="B38909" s="612"/>
      <c r="H38909" s="612"/>
    </row>
    <row r="38910">
      <c r="B38910" s="612"/>
      <c r="H38910" s="612"/>
    </row>
    <row r="38911">
      <c r="B38911" s="612"/>
      <c r="H38911" s="612"/>
    </row>
    <row r="38912">
      <c r="B38912" s="612"/>
      <c r="H38912" s="612"/>
    </row>
    <row r="38913">
      <c r="B38913" s="612"/>
      <c r="H38913" s="612"/>
    </row>
    <row r="38914">
      <c r="B38914" s="612"/>
      <c r="H38914" s="612"/>
    </row>
    <row r="38915">
      <c r="B38915" s="612"/>
      <c r="H38915" s="612"/>
    </row>
    <row r="38916">
      <c r="B38916" s="612"/>
      <c r="H38916" s="612"/>
    </row>
    <row r="38917">
      <c r="B38917" s="612"/>
      <c r="H38917" s="612"/>
    </row>
    <row r="38918">
      <c r="B38918" s="612"/>
      <c r="H38918" s="612"/>
    </row>
    <row r="38919">
      <c r="B38919" s="612"/>
      <c r="H38919" s="612"/>
    </row>
    <row r="38920">
      <c r="B38920" s="612"/>
      <c r="H38920" s="612"/>
    </row>
    <row r="38921">
      <c r="B38921" s="612"/>
      <c r="H38921" s="612"/>
    </row>
    <row r="38922">
      <c r="B38922" s="612"/>
      <c r="H38922" s="612"/>
    </row>
    <row r="38923">
      <c r="B38923" s="612"/>
      <c r="H38923" s="612"/>
    </row>
    <row r="38924">
      <c r="B38924" s="612"/>
      <c r="H38924" s="612"/>
    </row>
    <row r="38925">
      <c r="B38925" s="612"/>
      <c r="H38925" s="612"/>
    </row>
    <row r="38926">
      <c r="B38926" s="612"/>
      <c r="H38926" s="612"/>
    </row>
    <row r="38927">
      <c r="B38927" s="612"/>
      <c r="H38927" s="612"/>
    </row>
    <row r="38928">
      <c r="B38928" s="612"/>
      <c r="H38928" s="612"/>
    </row>
    <row r="38929">
      <c r="B38929" s="612"/>
      <c r="H38929" s="612"/>
    </row>
    <row r="38930">
      <c r="B38930" s="612"/>
      <c r="H38930" s="612"/>
    </row>
    <row r="38931">
      <c r="B38931" s="612"/>
      <c r="H38931" s="612"/>
    </row>
    <row r="38932">
      <c r="B38932" s="612"/>
      <c r="H38932" s="612"/>
    </row>
    <row r="38933">
      <c r="B38933" s="612"/>
      <c r="H38933" s="612"/>
    </row>
    <row r="38934">
      <c r="B38934" s="612"/>
      <c r="H38934" s="612"/>
    </row>
    <row r="38935">
      <c r="B38935" s="612"/>
      <c r="H38935" s="612"/>
    </row>
    <row r="38936">
      <c r="B38936" s="612"/>
      <c r="H38936" s="612"/>
    </row>
    <row r="38937">
      <c r="B38937" s="612"/>
      <c r="H38937" s="612"/>
    </row>
    <row r="38938">
      <c r="B38938" s="612"/>
      <c r="H38938" s="612"/>
    </row>
    <row r="38939">
      <c r="B38939" s="612"/>
      <c r="H38939" s="612"/>
    </row>
    <row r="38940">
      <c r="B38940" s="612"/>
      <c r="H38940" s="612"/>
    </row>
    <row r="38941">
      <c r="B38941" s="612"/>
      <c r="H38941" s="612"/>
    </row>
    <row r="38942">
      <c r="B38942" s="612"/>
      <c r="H38942" s="612"/>
    </row>
    <row r="38943">
      <c r="B38943" s="612"/>
      <c r="H38943" s="612"/>
    </row>
    <row r="38944">
      <c r="B38944" s="612"/>
      <c r="H38944" s="612"/>
    </row>
    <row r="38945">
      <c r="B38945" s="612"/>
      <c r="H38945" s="612"/>
    </row>
    <row r="38946">
      <c r="B38946" s="612"/>
      <c r="H38946" s="612"/>
    </row>
    <row r="38947">
      <c r="B38947" s="612"/>
      <c r="H38947" s="612"/>
    </row>
    <row r="38948">
      <c r="B38948" s="612"/>
      <c r="H38948" s="612"/>
    </row>
    <row r="38949">
      <c r="B38949" s="612"/>
      <c r="H38949" s="612"/>
    </row>
    <row r="38950">
      <c r="B38950" s="612"/>
      <c r="H38950" s="612"/>
    </row>
    <row r="38951">
      <c r="B38951" s="612"/>
      <c r="H38951" s="612"/>
    </row>
    <row r="38952">
      <c r="B38952" s="612"/>
      <c r="H38952" s="612"/>
    </row>
    <row r="38953">
      <c r="B38953" s="612"/>
      <c r="H38953" s="612"/>
    </row>
    <row r="38954">
      <c r="B38954" s="612"/>
      <c r="H38954" s="612"/>
    </row>
    <row r="38955">
      <c r="B38955" s="612"/>
      <c r="H38955" s="612"/>
    </row>
    <row r="38956">
      <c r="B38956" s="612"/>
      <c r="H38956" s="612"/>
    </row>
    <row r="38957">
      <c r="B38957" s="612"/>
      <c r="H38957" s="612"/>
    </row>
    <row r="38958">
      <c r="B38958" s="612"/>
      <c r="H38958" s="612"/>
    </row>
    <row r="38959">
      <c r="B38959" s="612"/>
      <c r="H38959" s="612"/>
    </row>
    <row r="38960">
      <c r="B38960" s="612"/>
      <c r="H38960" s="612"/>
    </row>
    <row r="38961">
      <c r="B38961" s="612"/>
      <c r="H38961" s="612"/>
    </row>
    <row r="38962">
      <c r="B38962" s="612"/>
      <c r="H38962" s="612"/>
    </row>
    <row r="38963">
      <c r="B38963" s="612"/>
      <c r="H38963" s="612"/>
    </row>
    <row r="38964">
      <c r="B38964" s="612"/>
      <c r="H38964" s="612"/>
    </row>
    <row r="38965">
      <c r="B38965" s="612"/>
      <c r="H38965" s="612"/>
    </row>
    <row r="38966">
      <c r="B38966" s="612"/>
      <c r="H38966" s="612"/>
    </row>
    <row r="38967">
      <c r="B38967" s="612"/>
      <c r="H38967" s="612"/>
    </row>
    <row r="38968">
      <c r="B38968" s="612"/>
      <c r="H38968" s="612"/>
    </row>
    <row r="38969">
      <c r="B38969" s="612"/>
      <c r="H38969" s="612"/>
    </row>
    <row r="38970">
      <c r="B38970" s="612"/>
      <c r="H38970" s="612"/>
    </row>
    <row r="38971">
      <c r="B38971" s="612"/>
      <c r="H38971" s="612"/>
    </row>
    <row r="38972">
      <c r="B38972" s="612"/>
      <c r="H38972" s="612"/>
    </row>
    <row r="38973">
      <c r="B38973" s="612"/>
      <c r="H38973" s="612"/>
    </row>
    <row r="38974">
      <c r="B38974" s="612"/>
      <c r="H38974" s="612"/>
    </row>
    <row r="38975">
      <c r="B38975" s="612"/>
      <c r="H38975" s="612"/>
    </row>
    <row r="38976">
      <c r="B38976" s="612"/>
      <c r="H38976" s="612"/>
    </row>
    <row r="38977">
      <c r="B38977" s="612"/>
      <c r="H38977" s="612"/>
    </row>
    <row r="38978">
      <c r="B38978" s="612"/>
      <c r="H38978" s="612"/>
    </row>
    <row r="38979">
      <c r="B38979" s="612"/>
      <c r="H38979" s="612"/>
    </row>
    <row r="38980">
      <c r="B38980" s="612"/>
      <c r="H38980" s="612"/>
    </row>
    <row r="38981">
      <c r="B38981" s="612"/>
      <c r="H38981" s="612"/>
    </row>
    <row r="38982">
      <c r="B38982" s="612"/>
      <c r="H38982" s="612"/>
    </row>
    <row r="38983">
      <c r="B38983" s="612"/>
      <c r="H38983" s="612"/>
    </row>
    <row r="38984">
      <c r="B38984" s="612"/>
      <c r="H38984" s="612"/>
    </row>
    <row r="38985">
      <c r="B38985" s="612"/>
      <c r="H38985" s="612"/>
    </row>
    <row r="38986">
      <c r="B38986" s="612"/>
      <c r="H38986" s="612"/>
    </row>
    <row r="38987">
      <c r="B38987" s="612"/>
      <c r="H38987" s="612"/>
    </row>
    <row r="38988">
      <c r="B38988" s="612"/>
      <c r="H38988" s="612"/>
    </row>
    <row r="38989">
      <c r="B38989" s="612"/>
      <c r="H38989" s="612"/>
    </row>
    <row r="38990">
      <c r="B38990" s="612"/>
      <c r="H38990" s="612"/>
    </row>
    <row r="38991">
      <c r="B38991" s="612"/>
      <c r="H38991" s="612"/>
    </row>
    <row r="38992">
      <c r="B38992" s="612"/>
      <c r="H38992" s="612"/>
    </row>
    <row r="38993">
      <c r="B38993" s="612"/>
      <c r="H38993" s="612"/>
    </row>
    <row r="38994">
      <c r="B38994" s="612"/>
      <c r="H38994" s="612"/>
    </row>
    <row r="38995">
      <c r="B38995" s="612"/>
      <c r="H38995" s="612"/>
    </row>
    <row r="38996">
      <c r="B38996" s="612"/>
      <c r="H38996" s="612"/>
    </row>
    <row r="38997">
      <c r="B38997" s="612"/>
      <c r="H38997" s="612"/>
    </row>
    <row r="38998">
      <c r="B38998" s="612"/>
      <c r="H38998" s="612"/>
    </row>
    <row r="38999">
      <c r="B38999" s="612"/>
      <c r="H38999" s="612"/>
    </row>
    <row r="39000">
      <c r="B39000" s="612"/>
      <c r="H39000" s="612"/>
    </row>
    <row r="39001">
      <c r="B39001" s="612"/>
      <c r="H39001" s="612"/>
    </row>
    <row r="39002">
      <c r="B39002" s="612"/>
      <c r="H39002" s="612"/>
    </row>
    <row r="39003">
      <c r="B39003" s="612"/>
      <c r="H39003" s="612"/>
    </row>
    <row r="39004">
      <c r="B39004" s="612"/>
      <c r="H39004" s="612"/>
    </row>
    <row r="39005">
      <c r="B39005" s="612"/>
      <c r="H39005" s="612"/>
    </row>
    <row r="39006">
      <c r="B39006" s="612"/>
      <c r="H39006" s="612"/>
    </row>
    <row r="39007">
      <c r="B39007" s="612"/>
      <c r="H39007" s="612"/>
    </row>
    <row r="39008">
      <c r="B39008" s="612"/>
      <c r="H39008" s="612"/>
    </row>
    <row r="39009">
      <c r="B39009" s="612"/>
      <c r="H39009" s="612"/>
    </row>
    <row r="39010">
      <c r="B39010" s="612"/>
      <c r="H39010" s="612"/>
    </row>
    <row r="39011">
      <c r="B39011" s="612"/>
      <c r="H39011" s="612"/>
    </row>
    <row r="39012">
      <c r="B39012" s="612"/>
      <c r="H39012" s="612"/>
    </row>
    <row r="39013">
      <c r="B39013" s="612"/>
      <c r="H39013" s="612"/>
    </row>
    <row r="39014">
      <c r="B39014" s="612"/>
      <c r="H39014" s="612"/>
    </row>
    <row r="39015">
      <c r="B39015" s="612"/>
      <c r="H39015" s="612"/>
    </row>
    <row r="39016">
      <c r="B39016" s="612"/>
      <c r="H39016" s="612"/>
    </row>
    <row r="39017">
      <c r="B39017" s="612"/>
      <c r="H39017" s="612"/>
    </row>
    <row r="39018">
      <c r="B39018" s="612"/>
      <c r="H39018" s="612"/>
    </row>
    <row r="39019">
      <c r="B39019" s="612"/>
      <c r="H39019" s="612"/>
    </row>
    <row r="39020">
      <c r="B39020" s="612"/>
      <c r="H39020" s="612"/>
    </row>
    <row r="39021">
      <c r="B39021" s="612"/>
      <c r="H39021" s="612"/>
    </row>
    <row r="39022">
      <c r="B39022" s="612"/>
      <c r="H39022" s="612"/>
    </row>
    <row r="39023">
      <c r="B39023" s="612"/>
      <c r="H39023" s="612"/>
    </row>
    <row r="39024">
      <c r="B39024" s="612"/>
      <c r="H39024" s="612"/>
    </row>
    <row r="39025">
      <c r="B39025" s="612"/>
      <c r="H39025" s="612"/>
    </row>
    <row r="39026">
      <c r="B39026" s="612"/>
      <c r="H39026" s="612"/>
    </row>
    <row r="39027">
      <c r="B39027" s="612"/>
      <c r="H39027" s="612"/>
    </row>
    <row r="39028">
      <c r="B39028" s="612"/>
      <c r="H39028" s="612"/>
    </row>
    <row r="39029">
      <c r="B39029" s="612"/>
      <c r="H39029" s="612"/>
    </row>
    <row r="39030">
      <c r="B39030" s="612"/>
      <c r="H39030" s="612"/>
    </row>
    <row r="39031">
      <c r="B39031" s="612"/>
      <c r="H39031" s="612"/>
    </row>
    <row r="39032">
      <c r="B39032" s="612"/>
      <c r="H39032" s="612"/>
    </row>
    <row r="39033">
      <c r="B39033" s="612"/>
      <c r="H39033" s="612"/>
    </row>
    <row r="39034">
      <c r="B39034" s="612"/>
      <c r="H39034" s="612"/>
    </row>
    <row r="39035">
      <c r="B39035" s="612"/>
      <c r="H39035" s="612"/>
    </row>
    <row r="39036">
      <c r="B39036" s="612"/>
      <c r="H39036" s="612"/>
    </row>
    <row r="39037">
      <c r="B39037" s="612"/>
      <c r="H39037" s="612"/>
    </row>
    <row r="39038">
      <c r="B39038" s="612"/>
      <c r="H39038" s="612"/>
    </row>
    <row r="39039">
      <c r="B39039" s="612"/>
      <c r="H39039" s="612"/>
    </row>
    <row r="39040">
      <c r="B39040" s="612"/>
      <c r="H39040" s="612"/>
    </row>
    <row r="39041">
      <c r="B39041" s="612"/>
      <c r="H39041" s="612"/>
    </row>
    <row r="39042">
      <c r="B39042" s="612"/>
      <c r="H39042" s="612"/>
    </row>
    <row r="39043">
      <c r="B39043" s="612"/>
      <c r="H39043" s="612"/>
    </row>
    <row r="39044">
      <c r="B39044" s="612"/>
      <c r="H39044" s="612"/>
    </row>
    <row r="39045">
      <c r="B39045" s="612"/>
      <c r="H39045" s="612"/>
    </row>
    <row r="39046">
      <c r="B39046" s="612"/>
      <c r="H39046" s="612"/>
    </row>
    <row r="39047">
      <c r="B39047" s="612"/>
      <c r="H39047" s="612"/>
    </row>
    <row r="39048">
      <c r="B39048" s="612"/>
      <c r="H39048" s="612"/>
    </row>
    <row r="39049">
      <c r="B39049" s="612"/>
      <c r="H39049" s="612"/>
    </row>
    <row r="39050">
      <c r="B39050" s="612"/>
      <c r="H39050" s="612"/>
    </row>
    <row r="39051">
      <c r="B39051" s="612"/>
      <c r="H39051" s="612"/>
    </row>
    <row r="39052">
      <c r="B39052" s="612"/>
      <c r="H39052" s="612"/>
    </row>
    <row r="39053">
      <c r="B39053" s="612"/>
      <c r="H39053" s="612"/>
    </row>
    <row r="39054">
      <c r="B39054" s="612"/>
      <c r="H39054" s="612"/>
    </row>
    <row r="39055">
      <c r="B39055" s="612"/>
      <c r="H39055" s="612"/>
    </row>
    <row r="39056">
      <c r="B39056" s="612"/>
      <c r="H39056" s="612"/>
    </row>
    <row r="39057">
      <c r="B39057" s="612"/>
      <c r="H39057" s="612"/>
    </row>
    <row r="39058">
      <c r="B39058" s="612"/>
      <c r="H39058" s="612"/>
    </row>
    <row r="39059">
      <c r="B39059" s="612"/>
      <c r="H39059" s="612"/>
    </row>
    <row r="39060">
      <c r="B39060" s="612"/>
      <c r="H39060" s="612"/>
    </row>
    <row r="39061">
      <c r="B39061" s="612"/>
      <c r="H39061" s="612"/>
    </row>
    <row r="39062">
      <c r="B39062" s="612"/>
      <c r="H39062" s="612"/>
    </row>
    <row r="39063">
      <c r="B39063" s="612"/>
      <c r="H39063" s="612"/>
    </row>
    <row r="39064">
      <c r="B39064" s="612"/>
      <c r="H39064" s="612"/>
    </row>
    <row r="39065">
      <c r="B39065" s="612"/>
      <c r="H39065" s="612"/>
    </row>
    <row r="39066">
      <c r="B39066" s="612"/>
      <c r="H39066" s="612"/>
    </row>
    <row r="39067">
      <c r="B39067" s="612"/>
      <c r="H39067" s="612"/>
    </row>
    <row r="39068">
      <c r="B39068" s="612"/>
      <c r="H39068" s="612"/>
    </row>
    <row r="39069">
      <c r="B39069" s="612"/>
      <c r="H39069" s="612"/>
    </row>
    <row r="39070">
      <c r="B39070" s="612"/>
      <c r="H39070" s="612"/>
    </row>
    <row r="39071">
      <c r="B39071" s="612"/>
      <c r="H39071" s="612"/>
    </row>
    <row r="39072">
      <c r="B39072" s="612"/>
      <c r="H39072" s="612"/>
    </row>
    <row r="39073">
      <c r="B39073" s="612"/>
      <c r="H39073" s="612"/>
    </row>
    <row r="39074">
      <c r="B39074" s="612"/>
      <c r="H39074" s="612"/>
    </row>
    <row r="39075">
      <c r="B39075" s="612"/>
      <c r="H39075" s="612"/>
    </row>
    <row r="39076">
      <c r="B39076" s="612"/>
      <c r="H39076" s="612"/>
    </row>
    <row r="39077">
      <c r="B39077" s="612"/>
      <c r="H39077" s="612"/>
    </row>
    <row r="39078">
      <c r="B39078" s="612"/>
      <c r="H39078" s="612"/>
    </row>
    <row r="39079">
      <c r="B39079" s="612"/>
      <c r="H39079" s="612"/>
    </row>
    <row r="39080">
      <c r="B39080" s="612"/>
      <c r="H39080" s="612"/>
    </row>
    <row r="39081">
      <c r="B39081" s="612"/>
      <c r="H39081" s="612"/>
    </row>
    <row r="39082">
      <c r="B39082" s="612"/>
      <c r="H39082" s="612"/>
    </row>
    <row r="39083">
      <c r="B39083" s="612"/>
      <c r="H39083" s="612"/>
    </row>
    <row r="39084">
      <c r="B39084" s="612"/>
      <c r="H39084" s="612"/>
    </row>
    <row r="39085">
      <c r="B39085" s="612"/>
      <c r="H39085" s="612"/>
    </row>
    <row r="39086">
      <c r="B39086" s="612"/>
      <c r="H39086" s="612"/>
    </row>
    <row r="39087">
      <c r="B39087" s="612"/>
      <c r="H39087" s="612"/>
    </row>
    <row r="39088">
      <c r="B39088" s="612"/>
      <c r="H39088" s="612"/>
    </row>
    <row r="39089">
      <c r="B39089" s="612"/>
      <c r="H39089" s="612"/>
    </row>
    <row r="39090">
      <c r="B39090" s="612"/>
      <c r="H39090" s="612"/>
    </row>
    <row r="39091">
      <c r="B39091" s="612"/>
      <c r="H39091" s="612"/>
    </row>
    <row r="39092">
      <c r="B39092" s="612"/>
      <c r="H39092" s="612"/>
    </row>
    <row r="39093">
      <c r="B39093" s="612"/>
      <c r="H39093" s="612"/>
    </row>
    <row r="39094">
      <c r="B39094" s="612"/>
      <c r="H39094" s="612"/>
    </row>
    <row r="39095">
      <c r="B39095" s="612"/>
      <c r="H39095" s="612"/>
    </row>
    <row r="39096">
      <c r="B39096" s="612"/>
      <c r="H39096" s="612"/>
    </row>
    <row r="39097">
      <c r="B39097" s="612"/>
      <c r="H39097" s="612"/>
    </row>
    <row r="39098">
      <c r="B39098" s="612"/>
      <c r="H39098" s="612"/>
    </row>
    <row r="39099">
      <c r="B39099" s="612"/>
      <c r="H39099" s="612"/>
    </row>
    <row r="39100">
      <c r="B39100" s="612"/>
      <c r="H39100" s="612"/>
    </row>
    <row r="39101">
      <c r="B39101" s="612"/>
      <c r="H39101" s="612"/>
    </row>
    <row r="39102">
      <c r="B39102" s="612"/>
      <c r="H39102" s="612"/>
    </row>
    <row r="39103">
      <c r="B39103" s="612"/>
      <c r="H39103" s="612"/>
    </row>
    <row r="39104">
      <c r="B39104" s="612"/>
      <c r="H39104" s="612"/>
    </row>
    <row r="39105">
      <c r="B39105" s="612"/>
      <c r="H39105" s="612"/>
    </row>
    <row r="39106">
      <c r="B39106" s="612"/>
      <c r="H39106" s="612"/>
    </row>
    <row r="39107">
      <c r="B39107" s="612"/>
      <c r="H39107" s="612"/>
    </row>
    <row r="39108">
      <c r="B39108" s="612"/>
      <c r="H39108" s="612"/>
    </row>
    <row r="39109">
      <c r="B39109" s="612"/>
      <c r="H39109" s="612"/>
    </row>
    <row r="39110">
      <c r="B39110" s="612"/>
      <c r="H39110" s="612"/>
    </row>
    <row r="39111">
      <c r="B39111" s="612"/>
      <c r="H39111" s="612"/>
    </row>
    <row r="39112">
      <c r="B39112" s="612"/>
      <c r="H39112" s="612"/>
    </row>
    <row r="39113">
      <c r="B39113" s="612"/>
      <c r="H39113" s="612"/>
    </row>
    <row r="39114">
      <c r="B39114" s="612"/>
      <c r="H39114" s="612"/>
    </row>
    <row r="39115">
      <c r="B39115" s="612"/>
      <c r="H39115" s="612"/>
    </row>
    <row r="39116">
      <c r="B39116" s="612"/>
      <c r="H39116" s="612"/>
    </row>
    <row r="39117">
      <c r="B39117" s="612"/>
      <c r="H39117" s="612"/>
    </row>
    <row r="39118">
      <c r="B39118" s="612"/>
      <c r="H39118" s="612"/>
    </row>
    <row r="39119">
      <c r="B39119" s="612"/>
      <c r="H39119" s="612"/>
    </row>
    <row r="39120">
      <c r="B39120" s="612"/>
      <c r="H39120" s="612"/>
    </row>
    <row r="39121">
      <c r="B39121" s="612"/>
      <c r="H39121" s="612"/>
    </row>
    <row r="39122">
      <c r="B39122" s="612"/>
      <c r="H39122" s="612"/>
    </row>
    <row r="39123">
      <c r="B39123" s="612"/>
      <c r="H39123" s="612"/>
    </row>
    <row r="39124">
      <c r="B39124" s="612"/>
      <c r="H39124" s="612"/>
    </row>
    <row r="39125">
      <c r="B39125" s="612"/>
      <c r="H39125" s="612"/>
    </row>
    <row r="39126">
      <c r="B39126" s="612"/>
      <c r="H39126" s="612"/>
    </row>
    <row r="39127">
      <c r="B39127" s="612"/>
      <c r="H39127" s="612"/>
    </row>
    <row r="39128">
      <c r="B39128" s="612"/>
      <c r="H39128" s="612"/>
    </row>
    <row r="39129">
      <c r="B39129" s="612"/>
      <c r="H39129" s="612"/>
    </row>
    <row r="39130">
      <c r="B39130" s="612"/>
      <c r="H39130" s="612"/>
    </row>
    <row r="39131">
      <c r="B39131" s="612"/>
      <c r="H39131" s="612"/>
    </row>
    <row r="39132">
      <c r="B39132" s="612"/>
      <c r="H39132" s="612"/>
    </row>
    <row r="39133">
      <c r="B39133" s="612"/>
      <c r="H39133" s="612"/>
    </row>
    <row r="39134">
      <c r="B39134" s="612"/>
      <c r="H39134" s="612"/>
    </row>
    <row r="39135">
      <c r="B39135" s="612"/>
      <c r="H39135" s="612"/>
    </row>
    <row r="39136">
      <c r="B39136" s="612"/>
      <c r="H39136" s="612"/>
    </row>
    <row r="39137">
      <c r="B39137" s="612"/>
      <c r="H39137" s="612"/>
    </row>
    <row r="39138">
      <c r="B39138" s="612"/>
      <c r="H39138" s="612"/>
    </row>
    <row r="39139">
      <c r="B39139" s="612"/>
      <c r="H39139" s="612"/>
    </row>
    <row r="39140">
      <c r="B39140" s="612"/>
      <c r="H39140" s="612"/>
    </row>
    <row r="39141">
      <c r="B39141" s="612"/>
      <c r="H39141" s="612"/>
    </row>
    <row r="39142">
      <c r="B39142" s="612"/>
      <c r="H39142" s="612"/>
    </row>
    <row r="39143">
      <c r="B39143" s="612"/>
      <c r="H39143" s="612"/>
    </row>
    <row r="39144">
      <c r="B39144" s="612"/>
      <c r="H39144" s="612"/>
    </row>
    <row r="39145">
      <c r="B39145" s="612"/>
      <c r="H39145" s="612"/>
    </row>
    <row r="39146">
      <c r="B39146" s="612"/>
      <c r="H39146" s="612"/>
    </row>
    <row r="39147">
      <c r="B39147" s="612"/>
      <c r="H39147" s="612"/>
    </row>
    <row r="39148">
      <c r="B39148" s="612"/>
      <c r="H39148" s="612"/>
    </row>
    <row r="39149">
      <c r="B39149" s="612"/>
      <c r="H39149" s="612"/>
    </row>
    <row r="39150">
      <c r="B39150" s="612"/>
      <c r="H39150" s="612"/>
    </row>
    <row r="39151">
      <c r="B39151" s="612"/>
      <c r="H39151" s="612"/>
    </row>
    <row r="39152">
      <c r="B39152" s="612"/>
      <c r="H39152" s="612"/>
    </row>
    <row r="39153">
      <c r="B39153" s="612"/>
      <c r="H39153" s="612"/>
    </row>
    <row r="39154">
      <c r="B39154" s="612"/>
      <c r="H39154" s="612"/>
    </row>
    <row r="39155">
      <c r="B39155" s="612"/>
      <c r="H39155" s="612"/>
    </row>
    <row r="39156">
      <c r="B39156" s="612"/>
      <c r="H39156" s="612"/>
    </row>
    <row r="39157">
      <c r="B39157" s="612"/>
      <c r="H39157" s="612"/>
    </row>
    <row r="39158">
      <c r="B39158" s="612"/>
      <c r="H39158" s="612"/>
    </row>
    <row r="39159">
      <c r="B39159" s="612"/>
      <c r="H39159" s="612"/>
    </row>
    <row r="39160">
      <c r="B39160" s="612"/>
      <c r="H39160" s="612"/>
    </row>
    <row r="39161">
      <c r="B39161" s="612"/>
      <c r="H39161" s="612"/>
    </row>
    <row r="39162">
      <c r="B39162" s="612"/>
      <c r="H39162" s="612"/>
    </row>
    <row r="39163">
      <c r="B39163" s="612"/>
      <c r="H39163" s="612"/>
    </row>
    <row r="39164">
      <c r="B39164" s="612"/>
      <c r="H39164" s="612"/>
    </row>
    <row r="39165">
      <c r="B39165" s="612"/>
      <c r="H39165" s="612"/>
    </row>
    <row r="39166">
      <c r="B39166" s="612"/>
      <c r="H39166" s="612"/>
    </row>
    <row r="39167">
      <c r="B39167" s="612"/>
      <c r="H39167" s="612"/>
    </row>
    <row r="39168">
      <c r="B39168" s="612"/>
      <c r="H39168" s="612"/>
    </row>
    <row r="39169">
      <c r="B39169" s="612"/>
      <c r="H39169" s="612"/>
    </row>
    <row r="39170">
      <c r="B39170" s="612"/>
      <c r="H39170" s="612"/>
    </row>
    <row r="39171">
      <c r="B39171" s="612"/>
      <c r="H39171" s="612"/>
    </row>
    <row r="39172">
      <c r="B39172" s="612"/>
      <c r="H39172" s="612"/>
    </row>
    <row r="39173">
      <c r="B39173" s="612"/>
      <c r="H39173" s="612"/>
    </row>
    <row r="39174">
      <c r="B39174" s="612"/>
      <c r="H39174" s="612"/>
    </row>
    <row r="39175">
      <c r="B39175" s="612"/>
      <c r="H39175" s="612"/>
    </row>
    <row r="39176">
      <c r="B39176" s="612"/>
      <c r="H39176" s="612"/>
    </row>
    <row r="39177">
      <c r="B39177" s="612"/>
      <c r="H39177" s="612"/>
    </row>
    <row r="39178">
      <c r="B39178" s="612"/>
      <c r="H39178" s="612"/>
    </row>
    <row r="39179">
      <c r="B39179" s="612"/>
      <c r="H39179" s="612"/>
    </row>
    <row r="39180">
      <c r="B39180" s="612"/>
      <c r="H39180" s="612"/>
    </row>
    <row r="39181">
      <c r="B39181" s="612"/>
      <c r="H39181" s="612"/>
    </row>
    <row r="39182">
      <c r="B39182" s="612"/>
      <c r="H39182" s="612"/>
    </row>
    <row r="39183">
      <c r="B39183" s="612"/>
      <c r="H39183" s="612"/>
    </row>
    <row r="39184">
      <c r="B39184" s="612"/>
      <c r="H39184" s="612"/>
    </row>
    <row r="39185">
      <c r="B39185" s="612"/>
      <c r="H39185" s="612"/>
    </row>
    <row r="39186">
      <c r="B39186" s="612"/>
      <c r="H39186" s="612"/>
    </row>
    <row r="39187">
      <c r="B39187" s="612"/>
      <c r="H39187" s="612"/>
    </row>
    <row r="39188">
      <c r="B39188" s="612"/>
      <c r="H39188" s="612"/>
    </row>
    <row r="39189">
      <c r="B39189" s="612"/>
      <c r="H39189" s="612"/>
    </row>
    <row r="39190">
      <c r="B39190" s="612"/>
      <c r="H39190" s="612"/>
    </row>
    <row r="39191">
      <c r="B39191" s="612"/>
      <c r="H39191" s="612"/>
    </row>
    <row r="39192">
      <c r="B39192" s="612"/>
      <c r="H39192" s="612"/>
    </row>
    <row r="39193">
      <c r="B39193" s="612"/>
      <c r="H39193" s="612"/>
    </row>
    <row r="39194">
      <c r="B39194" s="612"/>
      <c r="H39194" s="612"/>
    </row>
    <row r="39195">
      <c r="B39195" s="612"/>
      <c r="H39195" s="612"/>
    </row>
    <row r="39196">
      <c r="B39196" s="612"/>
      <c r="H39196" s="612"/>
    </row>
    <row r="39197">
      <c r="B39197" s="612"/>
      <c r="H39197" s="612"/>
    </row>
    <row r="39198">
      <c r="B39198" s="612"/>
      <c r="H39198" s="612"/>
    </row>
    <row r="39199">
      <c r="B39199" s="612"/>
      <c r="H39199" s="612"/>
    </row>
    <row r="39200">
      <c r="B39200" s="612"/>
      <c r="H39200" s="612"/>
    </row>
    <row r="39201">
      <c r="B39201" s="612"/>
      <c r="H39201" s="612"/>
    </row>
    <row r="39202">
      <c r="B39202" s="612"/>
      <c r="H39202" s="612"/>
    </row>
    <row r="39203">
      <c r="B39203" s="612"/>
      <c r="H39203" s="612"/>
    </row>
    <row r="39204">
      <c r="B39204" s="612"/>
      <c r="H39204" s="612"/>
    </row>
    <row r="39205">
      <c r="B39205" s="612"/>
      <c r="H39205" s="612"/>
    </row>
    <row r="39206">
      <c r="B39206" s="612"/>
      <c r="H39206" s="612"/>
    </row>
    <row r="39207">
      <c r="B39207" s="612"/>
      <c r="H39207" s="612"/>
    </row>
    <row r="39208">
      <c r="B39208" s="612"/>
      <c r="H39208" s="612"/>
    </row>
    <row r="39209">
      <c r="B39209" s="612"/>
      <c r="H39209" s="612"/>
    </row>
    <row r="39210">
      <c r="B39210" s="612"/>
      <c r="H39210" s="612"/>
    </row>
    <row r="39211">
      <c r="B39211" s="612"/>
      <c r="H39211" s="612"/>
    </row>
    <row r="39212">
      <c r="B39212" s="612"/>
      <c r="H39212" s="612"/>
    </row>
    <row r="39213">
      <c r="B39213" s="612"/>
      <c r="H39213" s="612"/>
    </row>
    <row r="39214">
      <c r="B39214" s="612"/>
      <c r="H39214" s="612"/>
    </row>
    <row r="39215">
      <c r="B39215" s="612"/>
      <c r="H39215" s="612"/>
    </row>
    <row r="39216">
      <c r="B39216" s="612"/>
      <c r="H39216" s="612"/>
    </row>
    <row r="39217">
      <c r="B39217" s="612"/>
      <c r="H39217" s="612"/>
    </row>
    <row r="39218">
      <c r="B39218" s="612"/>
      <c r="H39218" s="612"/>
    </row>
    <row r="39219">
      <c r="B39219" s="612"/>
      <c r="H39219" s="612"/>
    </row>
    <row r="39220">
      <c r="B39220" s="612"/>
      <c r="H39220" s="612"/>
    </row>
    <row r="39221">
      <c r="B39221" s="612"/>
      <c r="H39221" s="612"/>
    </row>
    <row r="39222">
      <c r="B39222" s="612"/>
      <c r="H39222" s="612"/>
    </row>
    <row r="39223">
      <c r="B39223" s="612"/>
      <c r="H39223" s="612"/>
    </row>
    <row r="39224">
      <c r="B39224" s="612"/>
      <c r="H39224" s="612"/>
    </row>
    <row r="39225">
      <c r="B39225" s="612"/>
      <c r="H39225" s="612"/>
    </row>
    <row r="39226">
      <c r="B39226" s="612"/>
      <c r="H39226" s="612"/>
    </row>
    <row r="39227">
      <c r="B39227" s="612"/>
      <c r="H39227" s="612"/>
    </row>
    <row r="39228">
      <c r="B39228" s="612"/>
      <c r="H39228" s="612"/>
    </row>
    <row r="39229">
      <c r="B39229" s="612"/>
      <c r="H39229" s="612"/>
    </row>
    <row r="39230">
      <c r="B39230" s="612"/>
      <c r="H39230" s="612"/>
    </row>
    <row r="39231">
      <c r="B39231" s="612"/>
      <c r="H39231" s="612"/>
    </row>
    <row r="39232">
      <c r="B39232" s="612"/>
      <c r="H39232" s="612"/>
    </row>
    <row r="39233">
      <c r="B39233" s="612"/>
      <c r="H39233" s="612"/>
    </row>
    <row r="39234">
      <c r="B39234" s="612"/>
      <c r="H39234" s="612"/>
    </row>
    <row r="39235">
      <c r="B39235" s="612"/>
      <c r="H39235" s="612"/>
    </row>
    <row r="39236">
      <c r="B39236" s="612"/>
      <c r="H39236" s="612"/>
    </row>
    <row r="39237">
      <c r="B39237" s="612"/>
      <c r="H39237" s="612"/>
    </row>
    <row r="39238">
      <c r="B39238" s="612"/>
      <c r="H39238" s="612"/>
    </row>
    <row r="39239">
      <c r="B39239" s="612"/>
      <c r="H39239" s="612"/>
    </row>
    <row r="39240">
      <c r="B39240" s="612"/>
      <c r="H39240" s="612"/>
    </row>
    <row r="39241">
      <c r="B39241" s="612"/>
      <c r="H39241" s="612"/>
    </row>
    <row r="39242">
      <c r="B39242" s="612"/>
      <c r="H39242" s="612"/>
    </row>
    <row r="39243">
      <c r="B39243" s="612"/>
      <c r="H39243" s="612"/>
    </row>
    <row r="39244">
      <c r="B39244" s="612"/>
      <c r="H39244" s="612"/>
    </row>
    <row r="39245">
      <c r="B39245" s="612"/>
      <c r="H39245" s="612"/>
    </row>
    <row r="39246">
      <c r="B39246" s="612"/>
      <c r="H39246" s="612"/>
    </row>
    <row r="39247">
      <c r="B39247" s="612"/>
      <c r="H39247" s="612"/>
    </row>
    <row r="39248">
      <c r="B39248" s="612"/>
      <c r="H39248" s="612"/>
    </row>
    <row r="39249">
      <c r="B39249" s="612"/>
      <c r="H39249" s="612"/>
    </row>
    <row r="39250">
      <c r="B39250" s="612"/>
      <c r="H39250" s="612"/>
    </row>
    <row r="39251">
      <c r="B39251" s="612"/>
      <c r="H39251" s="612"/>
    </row>
    <row r="39252">
      <c r="B39252" s="612"/>
      <c r="H39252" s="612"/>
    </row>
    <row r="39253">
      <c r="B39253" s="612"/>
      <c r="H39253" s="612"/>
    </row>
    <row r="39254">
      <c r="B39254" s="612"/>
      <c r="H39254" s="612"/>
    </row>
    <row r="39255">
      <c r="B39255" s="612"/>
      <c r="H39255" s="612"/>
    </row>
    <row r="39256">
      <c r="B39256" s="612"/>
      <c r="H39256" s="612"/>
    </row>
    <row r="39257">
      <c r="B39257" s="612"/>
      <c r="H39257" s="612"/>
    </row>
    <row r="39258">
      <c r="B39258" s="612"/>
      <c r="H39258" s="612"/>
    </row>
    <row r="39259">
      <c r="B39259" s="612"/>
      <c r="H39259" s="612"/>
    </row>
    <row r="39260">
      <c r="B39260" s="612"/>
      <c r="H39260" s="612"/>
    </row>
    <row r="39261">
      <c r="B39261" s="612"/>
      <c r="H39261" s="612"/>
    </row>
    <row r="39262">
      <c r="B39262" s="612"/>
      <c r="H39262" s="612"/>
    </row>
    <row r="39263">
      <c r="B39263" s="612"/>
      <c r="H39263" s="612"/>
    </row>
    <row r="39264">
      <c r="B39264" s="612"/>
      <c r="H39264" s="612"/>
    </row>
    <row r="39265">
      <c r="B39265" s="612"/>
      <c r="H39265" s="612"/>
    </row>
    <row r="39266">
      <c r="B39266" s="612"/>
      <c r="H39266" s="612"/>
    </row>
    <row r="39267">
      <c r="B39267" s="612"/>
      <c r="H39267" s="612"/>
    </row>
    <row r="39268">
      <c r="B39268" s="612"/>
      <c r="H39268" s="612"/>
    </row>
    <row r="39269">
      <c r="B39269" s="612"/>
      <c r="H39269" s="612"/>
    </row>
    <row r="39270">
      <c r="B39270" s="612"/>
      <c r="H39270" s="612"/>
    </row>
    <row r="39271">
      <c r="B39271" s="612"/>
      <c r="H39271" s="612"/>
    </row>
    <row r="39272">
      <c r="B39272" s="612"/>
      <c r="H39272" s="612"/>
    </row>
    <row r="39273">
      <c r="B39273" s="612"/>
      <c r="H39273" s="612"/>
    </row>
    <row r="39274">
      <c r="B39274" s="612"/>
      <c r="H39274" s="612"/>
    </row>
    <row r="39275">
      <c r="B39275" s="612"/>
      <c r="H39275" s="612"/>
    </row>
    <row r="39276">
      <c r="B39276" s="612"/>
      <c r="H39276" s="612"/>
    </row>
    <row r="39277">
      <c r="B39277" s="612"/>
      <c r="H39277" s="612"/>
    </row>
    <row r="39278">
      <c r="B39278" s="612"/>
      <c r="H39278" s="612"/>
    </row>
    <row r="39279">
      <c r="B39279" s="612"/>
      <c r="H39279" s="612"/>
    </row>
    <row r="39280">
      <c r="B39280" s="612"/>
      <c r="H39280" s="612"/>
    </row>
    <row r="39281">
      <c r="B39281" s="612"/>
      <c r="H39281" s="612"/>
    </row>
    <row r="39282">
      <c r="B39282" s="612"/>
      <c r="H39282" s="612"/>
    </row>
    <row r="39283">
      <c r="B39283" s="612"/>
      <c r="H39283" s="612"/>
    </row>
    <row r="39284">
      <c r="B39284" s="612"/>
      <c r="H39284" s="612"/>
    </row>
    <row r="39285">
      <c r="B39285" s="612"/>
      <c r="H39285" s="612"/>
    </row>
    <row r="39286">
      <c r="B39286" s="612"/>
      <c r="H39286" s="612"/>
    </row>
    <row r="39287">
      <c r="B39287" s="612"/>
      <c r="H39287" s="612"/>
    </row>
    <row r="39288">
      <c r="B39288" s="612"/>
      <c r="H39288" s="612"/>
    </row>
    <row r="39289">
      <c r="B39289" s="612"/>
      <c r="H39289" s="612"/>
    </row>
    <row r="39290">
      <c r="B39290" s="612"/>
      <c r="H39290" s="612"/>
    </row>
    <row r="39291">
      <c r="B39291" s="612"/>
      <c r="H39291" s="612"/>
    </row>
    <row r="39292">
      <c r="B39292" s="612"/>
      <c r="H39292" s="612"/>
    </row>
    <row r="39293">
      <c r="B39293" s="612"/>
      <c r="H39293" s="612"/>
    </row>
    <row r="39294">
      <c r="B39294" s="612"/>
      <c r="H39294" s="612"/>
    </row>
    <row r="39295">
      <c r="B39295" s="612"/>
      <c r="H39295" s="612"/>
    </row>
    <row r="39296">
      <c r="B39296" s="612"/>
      <c r="H39296" s="612"/>
    </row>
    <row r="39297">
      <c r="B39297" s="612"/>
      <c r="H39297" s="612"/>
    </row>
    <row r="39298">
      <c r="B39298" s="612"/>
      <c r="H39298" s="612"/>
    </row>
    <row r="39299">
      <c r="B39299" s="612"/>
      <c r="H39299" s="612"/>
    </row>
    <row r="39300">
      <c r="B39300" s="612"/>
      <c r="H39300" s="612"/>
    </row>
    <row r="39301">
      <c r="B39301" s="612"/>
      <c r="H39301" s="612"/>
    </row>
    <row r="39302">
      <c r="B39302" s="612"/>
      <c r="H39302" s="612"/>
    </row>
    <row r="39303">
      <c r="B39303" s="612"/>
      <c r="H39303" s="612"/>
    </row>
    <row r="39304">
      <c r="B39304" s="612"/>
      <c r="H39304" s="612"/>
    </row>
    <row r="39305">
      <c r="B39305" s="612"/>
      <c r="H39305" s="612"/>
    </row>
    <row r="39306">
      <c r="B39306" s="612"/>
      <c r="H39306" s="612"/>
    </row>
    <row r="39307">
      <c r="B39307" s="612"/>
      <c r="H39307" s="612"/>
    </row>
    <row r="39308">
      <c r="B39308" s="612"/>
      <c r="H39308" s="612"/>
    </row>
    <row r="39309">
      <c r="B39309" s="612"/>
      <c r="H39309" s="612"/>
    </row>
    <row r="39310">
      <c r="B39310" s="612"/>
      <c r="H39310" s="612"/>
    </row>
    <row r="39311">
      <c r="B39311" s="612"/>
      <c r="H39311" s="612"/>
    </row>
    <row r="39312">
      <c r="B39312" s="612"/>
      <c r="H39312" s="612"/>
    </row>
    <row r="39313">
      <c r="B39313" s="612"/>
      <c r="H39313" s="612"/>
    </row>
    <row r="39314">
      <c r="B39314" s="612"/>
      <c r="H39314" s="612"/>
    </row>
    <row r="39315">
      <c r="B39315" s="612"/>
      <c r="H39315" s="612"/>
    </row>
    <row r="39316">
      <c r="B39316" s="612"/>
      <c r="H39316" s="612"/>
    </row>
    <row r="39317">
      <c r="B39317" s="612"/>
      <c r="H39317" s="612"/>
    </row>
    <row r="39318">
      <c r="B39318" s="612"/>
      <c r="H39318" s="612"/>
    </row>
    <row r="39319">
      <c r="B39319" s="612"/>
      <c r="H39319" s="612"/>
    </row>
    <row r="39320">
      <c r="B39320" s="612"/>
      <c r="H39320" s="612"/>
    </row>
    <row r="39321">
      <c r="B39321" s="612"/>
      <c r="H39321" s="612"/>
    </row>
    <row r="39322">
      <c r="B39322" s="612"/>
      <c r="H39322" s="612"/>
    </row>
    <row r="39323">
      <c r="B39323" s="612"/>
      <c r="H39323" s="612"/>
    </row>
    <row r="39324">
      <c r="B39324" s="612"/>
      <c r="H39324" s="612"/>
    </row>
    <row r="39325">
      <c r="B39325" s="612"/>
      <c r="H39325" s="612"/>
    </row>
    <row r="39326">
      <c r="B39326" s="612"/>
      <c r="H39326" s="612"/>
    </row>
    <row r="39327">
      <c r="B39327" s="612"/>
      <c r="H39327" s="612"/>
    </row>
    <row r="39328">
      <c r="B39328" s="612"/>
      <c r="H39328" s="612"/>
    </row>
    <row r="39329">
      <c r="B39329" s="612"/>
      <c r="H39329" s="612"/>
    </row>
    <row r="39330">
      <c r="B39330" s="612"/>
      <c r="H39330" s="612"/>
    </row>
    <row r="39331">
      <c r="B39331" s="612"/>
      <c r="H39331" s="612"/>
    </row>
    <row r="39332">
      <c r="B39332" s="612"/>
      <c r="H39332" s="612"/>
    </row>
    <row r="39333">
      <c r="B39333" s="612"/>
      <c r="H39333" s="612"/>
    </row>
    <row r="39334">
      <c r="B39334" s="612"/>
      <c r="H39334" s="612"/>
    </row>
    <row r="39335">
      <c r="B39335" s="612"/>
      <c r="H39335" s="612"/>
    </row>
    <row r="39336">
      <c r="B39336" s="612"/>
      <c r="H39336" s="612"/>
    </row>
    <row r="39337">
      <c r="B39337" s="612"/>
      <c r="H39337" s="612"/>
    </row>
    <row r="39338">
      <c r="B39338" s="612"/>
      <c r="H39338" s="612"/>
    </row>
    <row r="39339">
      <c r="B39339" s="612"/>
      <c r="H39339" s="612"/>
    </row>
    <row r="39340">
      <c r="B39340" s="612"/>
      <c r="H39340" s="612"/>
    </row>
    <row r="39341">
      <c r="B39341" s="612"/>
      <c r="H39341" s="612"/>
    </row>
    <row r="39342">
      <c r="B39342" s="612"/>
      <c r="H39342" s="612"/>
    </row>
    <row r="39343">
      <c r="B39343" s="612"/>
      <c r="H39343" s="612"/>
    </row>
    <row r="39344">
      <c r="B39344" s="612"/>
      <c r="H39344" s="612"/>
    </row>
    <row r="39345">
      <c r="B39345" s="612"/>
      <c r="H39345" s="612"/>
    </row>
    <row r="39346">
      <c r="B39346" s="612"/>
      <c r="H39346" s="612"/>
    </row>
    <row r="39347">
      <c r="B39347" s="612"/>
      <c r="H39347" s="612"/>
    </row>
    <row r="39348">
      <c r="B39348" s="612"/>
      <c r="H39348" s="612"/>
    </row>
    <row r="39349">
      <c r="B39349" s="612"/>
      <c r="H39349" s="612"/>
    </row>
    <row r="39350">
      <c r="B39350" s="612"/>
      <c r="H39350" s="612"/>
    </row>
    <row r="39351">
      <c r="B39351" s="612"/>
      <c r="H39351" s="612"/>
    </row>
    <row r="39352">
      <c r="B39352" s="612"/>
      <c r="H39352" s="612"/>
    </row>
    <row r="39353">
      <c r="B39353" s="612"/>
      <c r="H39353" s="612"/>
    </row>
    <row r="39354">
      <c r="B39354" s="612"/>
      <c r="H39354" s="612"/>
    </row>
    <row r="39355">
      <c r="B39355" s="612"/>
      <c r="H39355" s="612"/>
    </row>
    <row r="39356">
      <c r="B39356" s="612"/>
      <c r="H39356" s="612"/>
    </row>
    <row r="39357">
      <c r="B39357" s="612"/>
      <c r="H39357" s="612"/>
    </row>
    <row r="39358">
      <c r="B39358" s="612"/>
      <c r="H39358" s="612"/>
    </row>
    <row r="39359">
      <c r="B39359" s="612"/>
      <c r="H39359" s="612"/>
    </row>
    <row r="39360">
      <c r="B39360" s="612"/>
      <c r="H39360" s="612"/>
    </row>
    <row r="39361">
      <c r="B39361" s="612"/>
      <c r="H39361" s="612"/>
    </row>
    <row r="39362">
      <c r="B39362" s="612"/>
      <c r="H39362" s="612"/>
    </row>
    <row r="39363">
      <c r="B39363" s="612"/>
      <c r="H39363" s="612"/>
    </row>
    <row r="39364">
      <c r="B39364" s="612"/>
      <c r="H39364" s="612"/>
    </row>
    <row r="39365">
      <c r="B39365" s="612"/>
      <c r="H39365" s="612"/>
    </row>
    <row r="39366">
      <c r="B39366" s="612"/>
      <c r="H39366" s="612"/>
    </row>
    <row r="39367">
      <c r="B39367" s="612"/>
      <c r="H39367" s="612"/>
    </row>
    <row r="39368">
      <c r="B39368" s="612"/>
      <c r="H39368" s="612"/>
    </row>
    <row r="39369">
      <c r="B39369" s="612"/>
      <c r="H39369" s="612"/>
    </row>
    <row r="39370">
      <c r="B39370" s="612"/>
      <c r="H39370" s="612"/>
    </row>
    <row r="39371">
      <c r="B39371" s="612"/>
      <c r="H39371" s="612"/>
    </row>
    <row r="39372">
      <c r="B39372" s="612"/>
      <c r="H39372" s="612"/>
    </row>
    <row r="39373">
      <c r="B39373" s="612"/>
      <c r="H39373" s="612"/>
    </row>
    <row r="39374">
      <c r="B39374" s="612"/>
      <c r="H39374" s="612"/>
    </row>
    <row r="39375">
      <c r="B39375" s="612"/>
      <c r="H39375" s="612"/>
    </row>
    <row r="39376">
      <c r="B39376" s="612"/>
      <c r="H39376" s="612"/>
    </row>
    <row r="39377">
      <c r="B39377" s="612"/>
      <c r="H39377" s="612"/>
    </row>
    <row r="39378">
      <c r="B39378" s="612"/>
      <c r="H39378" s="612"/>
    </row>
    <row r="39379">
      <c r="B39379" s="612"/>
      <c r="H39379" s="612"/>
    </row>
    <row r="39380">
      <c r="B39380" s="612"/>
      <c r="H39380" s="612"/>
    </row>
    <row r="39381">
      <c r="B39381" s="612"/>
      <c r="H39381" s="612"/>
    </row>
    <row r="39382">
      <c r="B39382" s="612"/>
      <c r="H39382" s="612"/>
    </row>
    <row r="39383">
      <c r="B39383" s="612"/>
      <c r="H39383" s="612"/>
    </row>
    <row r="39384">
      <c r="B39384" s="612"/>
      <c r="H39384" s="612"/>
    </row>
    <row r="39385">
      <c r="B39385" s="612"/>
      <c r="H39385" s="612"/>
    </row>
    <row r="39386">
      <c r="B39386" s="612"/>
      <c r="H39386" s="612"/>
    </row>
    <row r="39387">
      <c r="B39387" s="612"/>
      <c r="H39387" s="612"/>
    </row>
    <row r="39388">
      <c r="B39388" s="612"/>
      <c r="H39388" s="612"/>
    </row>
    <row r="39389">
      <c r="B39389" s="612"/>
      <c r="H39389" s="612"/>
    </row>
    <row r="39390">
      <c r="B39390" s="612"/>
      <c r="H39390" s="612"/>
    </row>
    <row r="39391">
      <c r="B39391" s="612"/>
      <c r="H39391" s="612"/>
    </row>
    <row r="39392">
      <c r="B39392" s="612"/>
      <c r="H39392" s="612"/>
    </row>
    <row r="39393">
      <c r="B39393" s="612"/>
      <c r="H39393" s="612"/>
    </row>
    <row r="39394">
      <c r="B39394" s="612"/>
      <c r="H39394" s="612"/>
    </row>
    <row r="39395">
      <c r="B39395" s="612"/>
      <c r="H39395" s="612"/>
    </row>
    <row r="39396">
      <c r="B39396" s="612"/>
      <c r="H39396" s="612"/>
    </row>
    <row r="39397">
      <c r="B39397" s="612"/>
      <c r="H39397" s="612"/>
    </row>
    <row r="39398">
      <c r="B39398" s="612"/>
      <c r="H39398" s="612"/>
    </row>
    <row r="39399">
      <c r="B39399" s="612"/>
      <c r="H39399" s="612"/>
    </row>
    <row r="39400">
      <c r="B39400" s="612"/>
      <c r="H39400" s="612"/>
    </row>
    <row r="39401">
      <c r="B39401" s="612"/>
      <c r="H39401" s="612"/>
    </row>
    <row r="39402">
      <c r="B39402" s="612"/>
      <c r="H39402" s="612"/>
    </row>
    <row r="39403">
      <c r="B39403" s="612"/>
      <c r="H39403" s="612"/>
    </row>
    <row r="39404">
      <c r="B39404" s="612"/>
      <c r="H39404" s="612"/>
    </row>
    <row r="39405">
      <c r="B39405" s="612"/>
      <c r="H39405" s="612"/>
    </row>
    <row r="39406">
      <c r="B39406" s="612"/>
      <c r="H39406" s="612"/>
    </row>
    <row r="39407">
      <c r="B39407" s="612"/>
      <c r="H39407" s="612"/>
    </row>
    <row r="39408">
      <c r="B39408" s="612"/>
      <c r="H39408" s="612"/>
    </row>
    <row r="39409">
      <c r="B39409" s="612"/>
      <c r="H39409" s="612"/>
    </row>
    <row r="39410">
      <c r="B39410" s="612"/>
      <c r="H39410" s="612"/>
    </row>
    <row r="39411">
      <c r="B39411" s="612"/>
      <c r="H39411" s="612"/>
    </row>
    <row r="39412">
      <c r="B39412" s="612"/>
      <c r="H39412" s="612"/>
    </row>
    <row r="39413">
      <c r="B39413" s="612"/>
      <c r="H39413" s="612"/>
    </row>
    <row r="39414">
      <c r="B39414" s="612"/>
      <c r="H39414" s="612"/>
    </row>
    <row r="39415">
      <c r="B39415" s="612"/>
      <c r="H39415" s="612"/>
    </row>
    <row r="39416">
      <c r="B39416" s="612"/>
      <c r="H39416" s="612"/>
    </row>
    <row r="39417">
      <c r="B39417" s="612"/>
      <c r="H39417" s="612"/>
    </row>
    <row r="39418">
      <c r="B39418" s="612"/>
      <c r="H39418" s="612"/>
    </row>
    <row r="39419">
      <c r="B39419" s="612"/>
      <c r="H39419" s="612"/>
    </row>
    <row r="39420">
      <c r="B39420" s="612"/>
      <c r="H39420" s="612"/>
    </row>
    <row r="39421">
      <c r="B39421" s="612"/>
      <c r="H39421" s="612"/>
    </row>
    <row r="39422">
      <c r="B39422" s="612"/>
      <c r="H39422" s="612"/>
    </row>
    <row r="39423">
      <c r="B39423" s="612"/>
      <c r="H39423" s="612"/>
    </row>
    <row r="39424">
      <c r="B39424" s="612"/>
      <c r="H39424" s="612"/>
    </row>
    <row r="39425">
      <c r="B39425" s="612"/>
      <c r="H39425" s="612"/>
    </row>
    <row r="39426">
      <c r="B39426" s="612"/>
      <c r="H39426" s="612"/>
    </row>
    <row r="39427">
      <c r="B39427" s="612"/>
      <c r="H39427" s="612"/>
    </row>
    <row r="39428">
      <c r="B39428" s="612"/>
      <c r="H39428" s="612"/>
    </row>
    <row r="39429">
      <c r="B39429" s="612"/>
      <c r="H39429" s="612"/>
    </row>
    <row r="39430">
      <c r="B39430" s="612"/>
      <c r="H39430" s="612"/>
    </row>
    <row r="39431">
      <c r="B39431" s="612"/>
      <c r="H39431" s="612"/>
    </row>
    <row r="39432">
      <c r="B39432" s="612"/>
      <c r="H39432" s="612"/>
    </row>
    <row r="39433">
      <c r="B39433" s="612"/>
      <c r="H39433" s="612"/>
    </row>
    <row r="39434">
      <c r="B39434" s="612"/>
      <c r="H39434" s="612"/>
    </row>
    <row r="39435">
      <c r="B39435" s="612"/>
      <c r="H39435" s="612"/>
    </row>
    <row r="39436">
      <c r="B39436" s="612"/>
      <c r="H39436" s="612"/>
    </row>
    <row r="39437">
      <c r="B39437" s="612"/>
      <c r="H39437" s="612"/>
    </row>
    <row r="39438">
      <c r="B39438" s="612"/>
      <c r="H39438" s="612"/>
    </row>
    <row r="39439">
      <c r="B39439" s="612"/>
      <c r="H39439" s="612"/>
    </row>
    <row r="39440">
      <c r="B39440" s="612"/>
      <c r="H39440" s="612"/>
    </row>
    <row r="39441">
      <c r="B39441" s="612"/>
      <c r="H39441" s="612"/>
    </row>
    <row r="39442">
      <c r="B39442" s="612"/>
      <c r="H39442" s="612"/>
    </row>
    <row r="39443">
      <c r="B39443" s="612"/>
      <c r="H39443" s="612"/>
    </row>
    <row r="39444">
      <c r="B39444" s="612"/>
      <c r="H39444" s="612"/>
    </row>
    <row r="39445">
      <c r="B39445" s="612"/>
      <c r="H39445" s="612"/>
    </row>
    <row r="39446">
      <c r="B39446" s="612"/>
      <c r="H39446" s="612"/>
    </row>
    <row r="39447">
      <c r="B39447" s="612"/>
      <c r="H39447" s="612"/>
    </row>
    <row r="39448">
      <c r="B39448" s="612"/>
      <c r="H39448" s="612"/>
    </row>
    <row r="39449">
      <c r="B39449" s="612"/>
      <c r="H39449" s="612"/>
    </row>
    <row r="39450">
      <c r="B39450" s="612"/>
      <c r="H39450" s="612"/>
    </row>
    <row r="39451">
      <c r="B39451" s="612"/>
      <c r="H39451" s="612"/>
    </row>
    <row r="39452">
      <c r="B39452" s="612"/>
      <c r="H39452" s="612"/>
    </row>
    <row r="39453">
      <c r="B39453" s="612"/>
      <c r="H39453" s="612"/>
    </row>
    <row r="39454">
      <c r="B39454" s="612"/>
      <c r="H39454" s="612"/>
    </row>
    <row r="39455">
      <c r="B39455" s="612"/>
      <c r="H39455" s="612"/>
    </row>
    <row r="39456">
      <c r="B39456" s="612"/>
      <c r="H39456" s="612"/>
    </row>
    <row r="39457">
      <c r="B39457" s="612"/>
      <c r="H39457" s="612"/>
    </row>
    <row r="39458">
      <c r="B39458" s="612"/>
      <c r="H39458" s="612"/>
    </row>
    <row r="39459">
      <c r="B39459" s="612"/>
      <c r="H39459" s="612"/>
    </row>
    <row r="39460">
      <c r="B39460" s="612"/>
      <c r="H39460" s="612"/>
    </row>
    <row r="39461">
      <c r="B39461" s="612"/>
      <c r="H39461" s="612"/>
    </row>
    <row r="39462">
      <c r="B39462" s="612"/>
      <c r="H39462" s="612"/>
    </row>
    <row r="39463">
      <c r="B39463" s="612"/>
      <c r="H39463" s="612"/>
    </row>
    <row r="39464">
      <c r="B39464" s="612"/>
      <c r="H39464" s="612"/>
    </row>
    <row r="39465">
      <c r="B39465" s="612"/>
      <c r="H39465" s="612"/>
    </row>
    <row r="39466">
      <c r="B39466" s="612"/>
      <c r="H39466" s="612"/>
    </row>
    <row r="39467">
      <c r="B39467" s="612"/>
      <c r="H39467" s="612"/>
    </row>
    <row r="39468">
      <c r="B39468" s="612"/>
      <c r="H39468" s="612"/>
    </row>
    <row r="39469">
      <c r="B39469" s="612"/>
      <c r="H39469" s="612"/>
    </row>
    <row r="39470">
      <c r="B39470" s="612"/>
      <c r="H39470" s="612"/>
    </row>
    <row r="39471">
      <c r="B39471" s="612"/>
      <c r="H39471" s="612"/>
    </row>
    <row r="39472">
      <c r="B39472" s="612"/>
      <c r="H39472" s="612"/>
    </row>
    <row r="39473">
      <c r="B39473" s="612"/>
      <c r="H39473" s="612"/>
    </row>
    <row r="39474">
      <c r="B39474" s="612"/>
      <c r="H39474" s="612"/>
    </row>
    <row r="39475">
      <c r="B39475" s="612"/>
      <c r="H39475" s="612"/>
    </row>
    <row r="39476">
      <c r="B39476" s="612"/>
      <c r="H39476" s="612"/>
    </row>
    <row r="39477">
      <c r="B39477" s="612"/>
      <c r="H39477" s="612"/>
    </row>
    <row r="39478">
      <c r="B39478" s="612"/>
      <c r="H39478" s="612"/>
    </row>
    <row r="39479">
      <c r="B39479" s="612"/>
      <c r="H39479" s="612"/>
    </row>
    <row r="39480">
      <c r="B39480" s="612"/>
      <c r="H39480" s="612"/>
    </row>
    <row r="39481">
      <c r="B39481" s="612"/>
      <c r="H39481" s="612"/>
    </row>
    <row r="39482">
      <c r="B39482" s="612"/>
      <c r="H39482" s="612"/>
    </row>
    <row r="39483">
      <c r="B39483" s="612"/>
      <c r="H39483" s="612"/>
    </row>
    <row r="39484">
      <c r="B39484" s="612"/>
      <c r="H39484" s="612"/>
    </row>
    <row r="39485">
      <c r="B39485" s="612"/>
      <c r="H39485" s="612"/>
    </row>
    <row r="39486">
      <c r="B39486" s="612"/>
      <c r="H39486" s="612"/>
    </row>
    <row r="39487">
      <c r="B39487" s="612"/>
      <c r="H39487" s="612"/>
    </row>
    <row r="39488">
      <c r="B39488" s="612"/>
      <c r="H39488" s="612"/>
    </row>
    <row r="39489">
      <c r="B39489" s="612"/>
      <c r="H39489" s="612"/>
    </row>
    <row r="39490">
      <c r="B39490" s="612"/>
      <c r="H39490" s="612"/>
    </row>
    <row r="39491">
      <c r="B39491" s="612"/>
      <c r="H39491" s="612"/>
    </row>
    <row r="39492">
      <c r="B39492" s="612"/>
      <c r="H39492" s="612"/>
    </row>
    <row r="39493">
      <c r="B39493" s="612"/>
      <c r="H39493" s="612"/>
    </row>
    <row r="39494">
      <c r="B39494" s="612"/>
      <c r="H39494" s="612"/>
    </row>
    <row r="39495">
      <c r="B39495" s="612"/>
      <c r="H39495" s="612"/>
    </row>
    <row r="39496">
      <c r="B39496" s="612"/>
      <c r="H39496" s="612"/>
    </row>
    <row r="39497">
      <c r="B39497" s="612"/>
      <c r="H39497" s="612"/>
    </row>
    <row r="39498">
      <c r="B39498" s="612"/>
      <c r="H39498" s="612"/>
    </row>
    <row r="39499">
      <c r="B39499" s="612"/>
      <c r="H39499" s="612"/>
    </row>
    <row r="39500">
      <c r="B39500" s="612"/>
      <c r="H39500" s="612"/>
    </row>
    <row r="39501">
      <c r="B39501" s="612"/>
      <c r="H39501" s="612"/>
    </row>
    <row r="39502">
      <c r="B39502" s="612"/>
      <c r="H39502" s="612"/>
    </row>
    <row r="39503">
      <c r="B39503" s="612"/>
      <c r="H39503" s="612"/>
    </row>
    <row r="39504">
      <c r="B39504" s="612"/>
      <c r="H39504" s="612"/>
    </row>
    <row r="39505">
      <c r="B39505" s="612"/>
      <c r="H39505" s="612"/>
    </row>
    <row r="39506">
      <c r="B39506" s="612"/>
      <c r="H39506" s="612"/>
    </row>
    <row r="39507">
      <c r="B39507" s="612"/>
      <c r="H39507" s="612"/>
    </row>
    <row r="39508">
      <c r="B39508" s="612"/>
      <c r="H39508" s="612"/>
    </row>
    <row r="39509">
      <c r="B39509" s="612"/>
      <c r="H39509" s="612"/>
    </row>
    <row r="39510">
      <c r="B39510" s="612"/>
      <c r="H39510" s="612"/>
    </row>
    <row r="39511">
      <c r="B39511" s="612"/>
      <c r="H39511" s="612"/>
    </row>
    <row r="39512">
      <c r="B39512" s="612"/>
      <c r="H39512" s="612"/>
    </row>
    <row r="39513">
      <c r="B39513" s="612"/>
      <c r="H39513" s="612"/>
    </row>
    <row r="39514">
      <c r="B39514" s="612"/>
      <c r="H39514" s="612"/>
    </row>
    <row r="39515">
      <c r="B39515" s="612"/>
      <c r="H39515" s="612"/>
    </row>
    <row r="39516">
      <c r="B39516" s="612"/>
      <c r="H39516" s="612"/>
    </row>
    <row r="39517">
      <c r="B39517" s="612"/>
      <c r="H39517" s="612"/>
    </row>
    <row r="39518">
      <c r="B39518" s="612"/>
      <c r="H39518" s="612"/>
    </row>
    <row r="39519">
      <c r="B39519" s="612"/>
      <c r="H39519" s="612"/>
    </row>
    <row r="39520">
      <c r="B39520" s="612"/>
      <c r="H39520" s="612"/>
    </row>
    <row r="39521">
      <c r="B39521" s="612"/>
      <c r="H39521" s="612"/>
    </row>
    <row r="39522">
      <c r="B39522" s="612"/>
      <c r="H39522" s="612"/>
    </row>
    <row r="39523">
      <c r="B39523" s="612"/>
      <c r="H39523" s="612"/>
    </row>
    <row r="39524">
      <c r="B39524" s="612"/>
      <c r="H39524" s="612"/>
    </row>
    <row r="39525">
      <c r="B39525" s="612"/>
      <c r="H39525" s="612"/>
    </row>
    <row r="39526">
      <c r="B39526" s="612"/>
      <c r="H39526" s="612"/>
    </row>
    <row r="39527">
      <c r="B39527" s="612"/>
      <c r="H39527" s="612"/>
    </row>
    <row r="39528">
      <c r="B39528" s="612"/>
      <c r="H39528" s="612"/>
    </row>
    <row r="39529">
      <c r="B39529" s="612"/>
      <c r="H39529" s="612"/>
    </row>
    <row r="39530">
      <c r="B39530" s="612"/>
      <c r="H39530" s="612"/>
    </row>
    <row r="39531">
      <c r="B39531" s="612"/>
      <c r="H39531" s="612"/>
    </row>
    <row r="39532">
      <c r="B39532" s="612"/>
      <c r="H39532" s="612"/>
    </row>
    <row r="39533">
      <c r="B39533" s="612"/>
      <c r="H39533" s="612"/>
    </row>
    <row r="39534">
      <c r="B39534" s="612"/>
      <c r="H39534" s="612"/>
    </row>
    <row r="39535">
      <c r="B39535" s="612"/>
      <c r="H39535" s="612"/>
    </row>
    <row r="39536">
      <c r="B39536" s="612"/>
      <c r="H39536" s="612"/>
    </row>
    <row r="39537">
      <c r="B39537" s="612"/>
      <c r="H39537" s="612"/>
    </row>
    <row r="39538">
      <c r="B39538" s="612"/>
      <c r="H39538" s="612"/>
    </row>
    <row r="39539">
      <c r="B39539" s="612"/>
      <c r="H39539" s="612"/>
    </row>
    <row r="39540">
      <c r="B39540" s="612"/>
      <c r="H39540" s="612"/>
    </row>
    <row r="39541">
      <c r="B39541" s="612"/>
      <c r="H39541" s="612"/>
    </row>
    <row r="39542">
      <c r="B39542" s="612"/>
      <c r="H39542" s="612"/>
    </row>
    <row r="39543">
      <c r="B39543" s="612"/>
      <c r="H39543" s="612"/>
    </row>
    <row r="39544">
      <c r="B39544" s="612"/>
      <c r="H39544" s="612"/>
    </row>
    <row r="39545">
      <c r="B39545" s="612"/>
      <c r="H39545" s="612"/>
    </row>
    <row r="39546">
      <c r="B39546" s="612"/>
      <c r="H39546" s="612"/>
    </row>
    <row r="39547">
      <c r="B39547" s="612"/>
      <c r="H39547" s="612"/>
    </row>
    <row r="39548">
      <c r="B39548" s="612"/>
      <c r="H39548" s="612"/>
    </row>
    <row r="39549">
      <c r="B39549" s="612"/>
      <c r="H39549" s="612"/>
    </row>
    <row r="39550">
      <c r="B39550" s="612"/>
      <c r="H39550" s="612"/>
    </row>
    <row r="39551">
      <c r="B39551" s="612"/>
      <c r="H39551" s="612"/>
    </row>
    <row r="39552">
      <c r="B39552" s="612"/>
      <c r="H39552" s="612"/>
    </row>
    <row r="39553">
      <c r="B39553" s="612"/>
      <c r="H39553" s="612"/>
    </row>
    <row r="39554">
      <c r="B39554" s="612"/>
      <c r="H39554" s="612"/>
    </row>
    <row r="39555">
      <c r="B39555" s="612"/>
      <c r="H39555" s="612"/>
    </row>
    <row r="39556">
      <c r="B39556" s="612"/>
      <c r="H39556" s="612"/>
    </row>
    <row r="39557">
      <c r="B39557" s="612"/>
      <c r="H39557" s="612"/>
    </row>
    <row r="39558">
      <c r="B39558" s="612"/>
      <c r="H39558" s="612"/>
    </row>
    <row r="39559">
      <c r="B39559" s="612"/>
      <c r="H39559" s="612"/>
    </row>
    <row r="39560">
      <c r="B39560" s="612"/>
      <c r="H39560" s="612"/>
    </row>
    <row r="39561">
      <c r="B39561" s="612"/>
      <c r="H39561" s="612"/>
    </row>
    <row r="39562">
      <c r="B39562" s="612"/>
      <c r="H39562" s="612"/>
    </row>
    <row r="39563">
      <c r="B39563" s="612"/>
      <c r="H39563" s="612"/>
    </row>
    <row r="39564">
      <c r="B39564" s="612"/>
      <c r="H39564" s="612"/>
    </row>
    <row r="39565">
      <c r="B39565" s="612"/>
      <c r="H39565" s="612"/>
    </row>
    <row r="39566">
      <c r="B39566" s="612"/>
      <c r="H39566" s="612"/>
    </row>
    <row r="39567">
      <c r="B39567" s="612"/>
      <c r="H39567" s="612"/>
    </row>
    <row r="39568">
      <c r="B39568" s="612"/>
      <c r="H39568" s="612"/>
    </row>
    <row r="39569">
      <c r="B39569" s="612"/>
      <c r="H39569" s="612"/>
    </row>
    <row r="39570">
      <c r="B39570" s="612"/>
      <c r="H39570" s="612"/>
    </row>
    <row r="39571">
      <c r="B39571" s="612"/>
      <c r="H39571" s="612"/>
    </row>
    <row r="39572">
      <c r="B39572" s="612"/>
      <c r="H39572" s="612"/>
    </row>
    <row r="39573">
      <c r="B39573" s="612"/>
      <c r="H39573" s="612"/>
    </row>
    <row r="39574">
      <c r="B39574" s="612"/>
      <c r="H39574" s="612"/>
    </row>
    <row r="39575">
      <c r="B39575" s="612"/>
      <c r="H39575" s="612"/>
    </row>
    <row r="39576">
      <c r="B39576" s="612"/>
      <c r="H39576" s="612"/>
    </row>
    <row r="39577">
      <c r="B39577" s="612"/>
      <c r="H39577" s="612"/>
    </row>
    <row r="39578">
      <c r="B39578" s="612"/>
      <c r="H39578" s="612"/>
    </row>
    <row r="39579">
      <c r="B39579" s="612"/>
      <c r="H39579" s="612"/>
    </row>
    <row r="39580">
      <c r="B39580" s="612"/>
      <c r="H39580" s="612"/>
    </row>
    <row r="39581">
      <c r="B39581" s="612"/>
      <c r="H39581" s="612"/>
    </row>
    <row r="39582">
      <c r="B39582" s="612"/>
      <c r="H39582" s="612"/>
    </row>
    <row r="39583">
      <c r="B39583" s="612"/>
      <c r="H39583" s="612"/>
    </row>
    <row r="39584">
      <c r="B39584" s="612"/>
      <c r="H39584" s="612"/>
    </row>
    <row r="39585">
      <c r="B39585" s="612"/>
      <c r="H39585" s="612"/>
    </row>
    <row r="39586">
      <c r="B39586" s="612"/>
      <c r="H39586" s="612"/>
    </row>
    <row r="39587">
      <c r="B39587" s="612"/>
      <c r="H39587" s="612"/>
    </row>
    <row r="39588">
      <c r="B39588" s="612"/>
      <c r="H39588" s="612"/>
    </row>
    <row r="39589">
      <c r="B39589" s="612"/>
      <c r="H39589" s="612"/>
    </row>
    <row r="39590">
      <c r="B39590" s="612"/>
      <c r="H39590" s="612"/>
    </row>
    <row r="39591">
      <c r="B39591" s="612"/>
      <c r="H39591" s="612"/>
    </row>
    <row r="39592">
      <c r="B39592" s="612"/>
      <c r="H39592" s="612"/>
    </row>
    <row r="39593">
      <c r="B39593" s="612"/>
      <c r="H39593" s="612"/>
    </row>
    <row r="39594">
      <c r="B39594" s="612"/>
      <c r="H39594" s="612"/>
    </row>
    <row r="39595">
      <c r="B39595" s="612"/>
      <c r="H39595" s="612"/>
    </row>
    <row r="39596">
      <c r="B39596" s="612"/>
      <c r="H39596" s="612"/>
    </row>
    <row r="39597">
      <c r="B39597" s="612"/>
      <c r="H39597" s="612"/>
    </row>
    <row r="39598">
      <c r="B39598" s="612"/>
      <c r="H39598" s="612"/>
    </row>
    <row r="39599">
      <c r="B39599" s="612"/>
      <c r="H39599" s="612"/>
    </row>
    <row r="39600">
      <c r="B39600" s="612"/>
      <c r="H39600" s="612"/>
    </row>
    <row r="39601">
      <c r="B39601" s="612"/>
      <c r="H39601" s="612"/>
    </row>
    <row r="39602">
      <c r="B39602" s="612"/>
      <c r="H39602" s="612"/>
    </row>
    <row r="39603">
      <c r="B39603" s="612"/>
      <c r="H39603" s="612"/>
    </row>
    <row r="39604">
      <c r="B39604" s="612"/>
      <c r="H39604" s="612"/>
    </row>
    <row r="39605">
      <c r="B39605" s="612"/>
      <c r="H39605" s="612"/>
    </row>
    <row r="39606">
      <c r="B39606" s="612"/>
      <c r="H39606" s="612"/>
    </row>
    <row r="39607">
      <c r="B39607" s="612"/>
      <c r="H39607" s="612"/>
    </row>
    <row r="39608">
      <c r="B39608" s="612"/>
      <c r="H39608" s="612"/>
    </row>
    <row r="39609">
      <c r="B39609" s="612"/>
      <c r="H39609" s="612"/>
    </row>
    <row r="39610">
      <c r="B39610" s="612"/>
      <c r="H39610" s="612"/>
    </row>
    <row r="39611">
      <c r="B39611" s="612"/>
      <c r="H39611" s="612"/>
    </row>
    <row r="39612">
      <c r="B39612" s="612"/>
      <c r="H39612" s="612"/>
    </row>
    <row r="39613">
      <c r="B39613" s="612"/>
      <c r="H39613" s="612"/>
    </row>
    <row r="39614">
      <c r="B39614" s="612"/>
      <c r="H39614" s="612"/>
    </row>
    <row r="39615">
      <c r="B39615" s="612"/>
      <c r="H39615" s="612"/>
    </row>
    <row r="39616">
      <c r="B39616" s="612"/>
      <c r="H39616" s="612"/>
    </row>
    <row r="39617">
      <c r="B39617" s="612"/>
      <c r="H39617" s="612"/>
    </row>
    <row r="39618">
      <c r="B39618" s="612"/>
      <c r="H39618" s="612"/>
    </row>
    <row r="39619">
      <c r="B39619" s="612"/>
      <c r="H39619" s="612"/>
    </row>
    <row r="39620">
      <c r="B39620" s="612"/>
      <c r="H39620" s="612"/>
    </row>
    <row r="39621">
      <c r="B39621" s="612"/>
      <c r="H39621" s="612"/>
    </row>
    <row r="39622">
      <c r="B39622" s="612"/>
      <c r="H39622" s="612"/>
    </row>
    <row r="39623">
      <c r="B39623" s="612"/>
      <c r="H39623" s="612"/>
    </row>
    <row r="39624">
      <c r="B39624" s="612"/>
      <c r="H39624" s="612"/>
    </row>
    <row r="39625">
      <c r="B39625" s="612"/>
      <c r="H39625" s="612"/>
    </row>
    <row r="39626">
      <c r="B39626" s="612"/>
      <c r="H39626" s="612"/>
    </row>
    <row r="39627">
      <c r="B39627" s="612"/>
      <c r="H39627" s="612"/>
    </row>
    <row r="39628">
      <c r="B39628" s="612"/>
      <c r="H39628" s="612"/>
    </row>
    <row r="39629">
      <c r="B39629" s="612"/>
      <c r="H39629" s="612"/>
    </row>
    <row r="39630">
      <c r="B39630" s="612"/>
      <c r="H39630" s="612"/>
    </row>
    <row r="39631">
      <c r="B39631" s="612"/>
      <c r="H39631" s="612"/>
    </row>
    <row r="39632">
      <c r="B39632" s="612"/>
      <c r="H39632" s="612"/>
    </row>
    <row r="39633">
      <c r="B39633" s="612"/>
      <c r="H39633" s="612"/>
    </row>
    <row r="39634">
      <c r="B39634" s="612"/>
      <c r="H39634" s="612"/>
    </row>
    <row r="39635">
      <c r="B39635" s="612"/>
      <c r="H39635" s="612"/>
    </row>
    <row r="39636">
      <c r="B39636" s="612"/>
      <c r="H39636" s="612"/>
    </row>
    <row r="39637">
      <c r="B39637" s="612"/>
      <c r="H39637" s="612"/>
    </row>
    <row r="39638">
      <c r="B39638" s="612"/>
      <c r="H39638" s="612"/>
    </row>
    <row r="39639">
      <c r="B39639" s="612"/>
      <c r="H39639" s="612"/>
    </row>
    <row r="39640">
      <c r="B39640" s="612"/>
      <c r="H39640" s="612"/>
    </row>
    <row r="39641">
      <c r="B39641" s="612"/>
      <c r="H39641" s="612"/>
    </row>
    <row r="39642">
      <c r="B39642" s="612"/>
      <c r="H39642" s="612"/>
    </row>
    <row r="39643">
      <c r="B39643" s="612"/>
      <c r="H39643" s="612"/>
    </row>
    <row r="39644">
      <c r="B39644" s="612"/>
      <c r="H39644" s="612"/>
    </row>
    <row r="39645">
      <c r="B39645" s="612"/>
      <c r="H39645" s="612"/>
    </row>
    <row r="39646">
      <c r="B39646" s="612"/>
      <c r="H39646" s="612"/>
    </row>
    <row r="39647">
      <c r="B39647" s="612"/>
      <c r="H39647" s="612"/>
    </row>
    <row r="39648">
      <c r="B39648" s="612"/>
      <c r="H39648" s="612"/>
    </row>
    <row r="39649">
      <c r="B39649" s="612"/>
      <c r="H39649" s="612"/>
    </row>
    <row r="39650">
      <c r="B39650" s="612"/>
      <c r="H39650" s="612"/>
    </row>
    <row r="39651">
      <c r="B39651" s="612"/>
      <c r="H39651" s="612"/>
    </row>
    <row r="39652">
      <c r="B39652" s="612"/>
      <c r="H39652" s="612"/>
    </row>
    <row r="39653">
      <c r="B39653" s="612"/>
      <c r="H39653" s="612"/>
    </row>
    <row r="39654">
      <c r="B39654" s="612"/>
      <c r="H39654" s="612"/>
    </row>
    <row r="39655">
      <c r="B39655" s="612"/>
      <c r="H39655" s="612"/>
    </row>
    <row r="39656">
      <c r="B39656" s="612"/>
      <c r="H39656" s="612"/>
    </row>
    <row r="39657">
      <c r="B39657" s="612"/>
      <c r="H39657" s="612"/>
    </row>
    <row r="39658">
      <c r="B39658" s="612"/>
      <c r="H39658" s="612"/>
    </row>
    <row r="39659">
      <c r="B39659" s="612"/>
      <c r="H39659" s="612"/>
    </row>
    <row r="39660">
      <c r="B39660" s="612"/>
      <c r="H39660" s="612"/>
    </row>
    <row r="39661">
      <c r="B39661" s="612"/>
      <c r="H39661" s="612"/>
    </row>
    <row r="39662">
      <c r="B39662" s="612"/>
      <c r="H39662" s="612"/>
    </row>
    <row r="39663">
      <c r="B39663" s="612"/>
      <c r="H39663" s="612"/>
    </row>
    <row r="39664">
      <c r="B39664" s="612"/>
      <c r="H39664" s="612"/>
    </row>
    <row r="39665">
      <c r="B39665" s="612"/>
      <c r="H39665" s="612"/>
    </row>
    <row r="39666">
      <c r="B39666" s="612"/>
      <c r="H39666" s="612"/>
    </row>
    <row r="39667">
      <c r="B39667" s="612"/>
      <c r="H39667" s="612"/>
    </row>
    <row r="39668">
      <c r="B39668" s="612"/>
      <c r="H39668" s="612"/>
    </row>
    <row r="39669">
      <c r="B39669" s="612"/>
      <c r="H39669" s="612"/>
    </row>
    <row r="39670">
      <c r="B39670" s="612"/>
      <c r="H39670" s="612"/>
    </row>
    <row r="39671">
      <c r="B39671" s="612"/>
      <c r="H39671" s="612"/>
    </row>
    <row r="39672">
      <c r="B39672" s="612"/>
      <c r="H39672" s="612"/>
    </row>
    <row r="39673">
      <c r="B39673" s="612"/>
      <c r="H39673" s="612"/>
    </row>
    <row r="39674">
      <c r="B39674" s="612"/>
      <c r="H39674" s="612"/>
    </row>
    <row r="39675">
      <c r="B39675" s="612"/>
      <c r="H39675" s="612"/>
    </row>
    <row r="39676">
      <c r="B39676" s="612"/>
      <c r="H39676" s="612"/>
    </row>
    <row r="39677">
      <c r="B39677" s="612"/>
      <c r="H39677" s="612"/>
    </row>
    <row r="39678">
      <c r="B39678" s="612"/>
      <c r="H39678" s="612"/>
    </row>
    <row r="39679">
      <c r="B39679" s="612"/>
      <c r="H39679" s="612"/>
    </row>
    <row r="39680">
      <c r="B39680" s="612"/>
      <c r="H39680" s="612"/>
    </row>
    <row r="39681">
      <c r="B39681" s="612"/>
      <c r="H39681" s="612"/>
    </row>
    <row r="39682">
      <c r="B39682" s="612"/>
      <c r="H39682" s="612"/>
    </row>
    <row r="39683">
      <c r="B39683" s="612"/>
      <c r="H39683" s="612"/>
    </row>
    <row r="39684">
      <c r="B39684" s="612"/>
      <c r="H39684" s="612"/>
    </row>
    <row r="39685">
      <c r="B39685" s="612"/>
      <c r="H39685" s="612"/>
    </row>
    <row r="39686">
      <c r="B39686" s="612"/>
      <c r="H39686" s="612"/>
    </row>
    <row r="39687">
      <c r="B39687" s="612"/>
      <c r="H39687" s="612"/>
    </row>
    <row r="39688">
      <c r="B39688" s="612"/>
      <c r="H39688" s="612"/>
    </row>
    <row r="39689">
      <c r="B39689" s="612"/>
      <c r="H39689" s="612"/>
    </row>
    <row r="39690">
      <c r="B39690" s="612"/>
      <c r="H39690" s="612"/>
    </row>
    <row r="39691">
      <c r="B39691" s="612"/>
      <c r="H39691" s="612"/>
    </row>
    <row r="39692">
      <c r="B39692" s="612"/>
      <c r="H39692" s="612"/>
    </row>
    <row r="39693">
      <c r="B39693" s="612"/>
      <c r="H39693" s="612"/>
    </row>
    <row r="39694">
      <c r="B39694" s="612"/>
      <c r="H39694" s="612"/>
    </row>
    <row r="39695">
      <c r="B39695" s="612"/>
      <c r="H39695" s="612"/>
    </row>
    <row r="39696">
      <c r="B39696" s="612"/>
      <c r="H39696" s="612"/>
    </row>
    <row r="39697">
      <c r="B39697" s="612"/>
      <c r="H39697" s="612"/>
    </row>
    <row r="39698">
      <c r="B39698" s="612"/>
      <c r="H39698" s="612"/>
    </row>
    <row r="39699">
      <c r="B39699" s="612"/>
      <c r="H39699" s="612"/>
    </row>
    <row r="39700">
      <c r="B39700" s="612"/>
      <c r="H39700" s="612"/>
    </row>
    <row r="39701">
      <c r="B39701" s="612"/>
      <c r="H39701" s="612"/>
    </row>
    <row r="39702">
      <c r="B39702" s="612"/>
      <c r="H39702" s="612"/>
    </row>
    <row r="39703">
      <c r="B39703" s="612"/>
      <c r="H39703" s="612"/>
    </row>
    <row r="39704">
      <c r="B39704" s="612"/>
      <c r="H39704" s="612"/>
    </row>
    <row r="39705">
      <c r="B39705" s="612"/>
      <c r="H39705" s="612"/>
    </row>
    <row r="39706">
      <c r="B39706" s="612"/>
      <c r="H39706" s="612"/>
    </row>
    <row r="39707">
      <c r="B39707" s="612"/>
      <c r="H39707" s="612"/>
    </row>
    <row r="39708">
      <c r="B39708" s="612"/>
      <c r="H39708" s="612"/>
    </row>
    <row r="39709">
      <c r="B39709" s="612"/>
      <c r="H39709" s="612"/>
    </row>
    <row r="39710">
      <c r="B39710" s="612"/>
      <c r="H39710" s="612"/>
    </row>
    <row r="39711">
      <c r="B39711" s="612"/>
      <c r="H39711" s="612"/>
    </row>
    <row r="39712">
      <c r="B39712" s="612"/>
      <c r="H39712" s="612"/>
    </row>
    <row r="39713">
      <c r="B39713" s="612"/>
      <c r="H39713" s="612"/>
    </row>
    <row r="39714">
      <c r="B39714" s="612"/>
      <c r="H39714" s="612"/>
    </row>
    <row r="39715">
      <c r="B39715" s="612"/>
      <c r="H39715" s="612"/>
    </row>
    <row r="39716">
      <c r="B39716" s="612"/>
      <c r="H39716" s="612"/>
    </row>
    <row r="39717">
      <c r="B39717" s="612"/>
      <c r="H39717" s="612"/>
    </row>
    <row r="39718">
      <c r="B39718" s="612"/>
      <c r="H39718" s="612"/>
    </row>
    <row r="39719">
      <c r="B39719" s="612"/>
      <c r="H39719" s="612"/>
    </row>
    <row r="39720">
      <c r="B39720" s="612"/>
      <c r="H39720" s="612"/>
    </row>
    <row r="39721">
      <c r="B39721" s="612"/>
      <c r="H39721" s="612"/>
    </row>
    <row r="39722">
      <c r="B39722" s="612"/>
      <c r="H39722" s="612"/>
    </row>
    <row r="39723">
      <c r="B39723" s="612"/>
      <c r="H39723" s="612"/>
    </row>
    <row r="39724">
      <c r="B39724" s="612"/>
      <c r="H39724" s="612"/>
    </row>
    <row r="39725">
      <c r="B39725" s="612"/>
      <c r="H39725" s="612"/>
    </row>
    <row r="39726">
      <c r="B39726" s="612"/>
      <c r="H39726" s="612"/>
    </row>
    <row r="39727">
      <c r="B39727" s="612"/>
      <c r="H39727" s="612"/>
    </row>
    <row r="39728">
      <c r="B39728" s="612"/>
      <c r="H39728" s="612"/>
    </row>
    <row r="39729">
      <c r="B39729" s="612"/>
      <c r="H39729" s="612"/>
    </row>
    <row r="39730">
      <c r="B39730" s="612"/>
      <c r="H39730" s="612"/>
    </row>
    <row r="39731">
      <c r="B39731" s="612"/>
      <c r="H39731" s="612"/>
    </row>
    <row r="39732">
      <c r="B39732" s="612"/>
      <c r="H39732" s="612"/>
    </row>
    <row r="39733">
      <c r="B39733" s="612"/>
      <c r="H39733" s="612"/>
    </row>
    <row r="39734">
      <c r="B39734" s="612"/>
      <c r="H39734" s="612"/>
    </row>
    <row r="39735">
      <c r="B39735" s="612"/>
      <c r="H39735" s="612"/>
    </row>
    <row r="39736">
      <c r="B39736" s="612"/>
      <c r="H39736" s="612"/>
    </row>
    <row r="39737">
      <c r="B39737" s="612"/>
      <c r="H39737" s="612"/>
    </row>
    <row r="39738">
      <c r="B39738" s="612"/>
      <c r="H39738" s="612"/>
    </row>
    <row r="39739">
      <c r="B39739" s="612"/>
      <c r="H39739" s="612"/>
    </row>
    <row r="39740">
      <c r="B39740" s="612"/>
      <c r="H39740" s="612"/>
    </row>
    <row r="39741">
      <c r="B39741" s="612"/>
      <c r="H39741" s="612"/>
    </row>
    <row r="39742">
      <c r="B39742" s="612"/>
      <c r="H39742" s="612"/>
    </row>
    <row r="39743">
      <c r="B39743" s="612"/>
      <c r="H39743" s="612"/>
    </row>
    <row r="39744">
      <c r="B39744" s="612"/>
      <c r="H39744" s="612"/>
    </row>
    <row r="39745">
      <c r="B39745" s="612"/>
      <c r="H39745" s="612"/>
    </row>
    <row r="39746">
      <c r="B39746" s="612"/>
      <c r="H39746" s="612"/>
    </row>
    <row r="39747">
      <c r="B39747" s="612"/>
      <c r="H39747" s="612"/>
    </row>
    <row r="39748">
      <c r="B39748" s="612"/>
      <c r="H39748" s="612"/>
    </row>
    <row r="39749">
      <c r="B39749" s="612"/>
      <c r="H39749" s="612"/>
    </row>
    <row r="39750">
      <c r="B39750" s="612"/>
      <c r="H39750" s="612"/>
    </row>
    <row r="39751">
      <c r="B39751" s="612"/>
      <c r="H39751" s="612"/>
    </row>
    <row r="39752">
      <c r="B39752" s="612"/>
      <c r="H39752" s="612"/>
    </row>
    <row r="39753">
      <c r="B39753" s="612"/>
      <c r="H39753" s="612"/>
    </row>
    <row r="39754">
      <c r="B39754" s="612"/>
      <c r="H39754" s="612"/>
    </row>
    <row r="39755">
      <c r="B39755" s="612"/>
      <c r="H39755" s="612"/>
    </row>
    <row r="39756">
      <c r="B39756" s="612"/>
      <c r="H39756" s="612"/>
    </row>
    <row r="39757">
      <c r="B39757" s="612"/>
      <c r="H39757" s="612"/>
    </row>
    <row r="39758">
      <c r="B39758" s="612"/>
      <c r="H39758" s="612"/>
    </row>
    <row r="39759">
      <c r="B39759" s="612"/>
      <c r="H39759" s="612"/>
    </row>
    <row r="39760">
      <c r="B39760" s="612"/>
      <c r="H39760" s="612"/>
    </row>
    <row r="39761">
      <c r="B39761" s="612"/>
      <c r="H39761" s="612"/>
    </row>
    <row r="39762">
      <c r="B39762" s="612"/>
      <c r="H39762" s="612"/>
    </row>
    <row r="39763">
      <c r="B39763" s="612"/>
      <c r="H39763" s="612"/>
    </row>
    <row r="39764">
      <c r="B39764" s="612"/>
      <c r="H39764" s="612"/>
    </row>
    <row r="39765">
      <c r="B39765" s="612"/>
      <c r="H39765" s="612"/>
    </row>
    <row r="39766">
      <c r="B39766" s="612"/>
      <c r="H39766" s="612"/>
    </row>
    <row r="39767">
      <c r="B39767" s="612"/>
      <c r="H39767" s="612"/>
    </row>
    <row r="39768">
      <c r="B39768" s="612"/>
      <c r="H39768" s="612"/>
    </row>
    <row r="39769">
      <c r="B39769" s="612"/>
      <c r="H39769" s="612"/>
    </row>
    <row r="39770">
      <c r="B39770" s="612"/>
      <c r="H39770" s="612"/>
    </row>
    <row r="39771">
      <c r="B39771" s="612"/>
      <c r="H39771" s="612"/>
    </row>
    <row r="39772">
      <c r="B39772" s="612"/>
      <c r="H39772" s="612"/>
    </row>
    <row r="39773">
      <c r="B39773" s="612"/>
      <c r="H39773" s="612"/>
    </row>
    <row r="39774">
      <c r="B39774" s="612"/>
      <c r="H39774" s="612"/>
    </row>
    <row r="39775">
      <c r="B39775" s="612"/>
      <c r="H39775" s="612"/>
    </row>
    <row r="39776">
      <c r="B39776" s="612"/>
      <c r="H39776" s="612"/>
    </row>
    <row r="39777">
      <c r="B39777" s="612"/>
      <c r="H39777" s="612"/>
    </row>
    <row r="39778">
      <c r="B39778" s="612"/>
      <c r="H39778" s="612"/>
    </row>
    <row r="39779">
      <c r="B39779" s="612"/>
      <c r="H39779" s="612"/>
    </row>
    <row r="39780">
      <c r="B39780" s="612"/>
      <c r="H39780" s="612"/>
    </row>
    <row r="39781">
      <c r="B39781" s="612"/>
      <c r="H39781" s="612"/>
    </row>
    <row r="39782">
      <c r="B39782" s="612"/>
      <c r="H39782" s="612"/>
    </row>
    <row r="39783">
      <c r="B39783" s="612"/>
      <c r="H39783" s="612"/>
    </row>
    <row r="39784">
      <c r="B39784" s="612"/>
      <c r="H39784" s="612"/>
    </row>
    <row r="39785">
      <c r="B39785" s="612"/>
      <c r="H39785" s="612"/>
    </row>
    <row r="39786">
      <c r="B39786" s="612"/>
      <c r="H39786" s="612"/>
    </row>
    <row r="39787">
      <c r="B39787" s="612"/>
      <c r="H39787" s="612"/>
    </row>
    <row r="39788">
      <c r="B39788" s="612"/>
      <c r="H39788" s="612"/>
    </row>
    <row r="39789">
      <c r="B39789" s="612"/>
      <c r="H39789" s="612"/>
    </row>
    <row r="39790">
      <c r="B39790" s="612"/>
      <c r="H39790" s="612"/>
    </row>
    <row r="39791">
      <c r="B39791" s="612"/>
      <c r="H39791" s="612"/>
    </row>
    <row r="39792">
      <c r="B39792" s="612"/>
      <c r="H39792" s="612"/>
    </row>
    <row r="39793">
      <c r="B39793" s="612"/>
      <c r="H39793" s="612"/>
    </row>
    <row r="39794">
      <c r="B39794" s="612"/>
      <c r="H39794" s="612"/>
    </row>
    <row r="39795">
      <c r="B39795" s="612"/>
      <c r="H39795" s="612"/>
    </row>
    <row r="39796">
      <c r="B39796" s="612"/>
      <c r="H39796" s="612"/>
    </row>
    <row r="39797">
      <c r="B39797" s="612"/>
      <c r="H39797" s="612"/>
    </row>
    <row r="39798">
      <c r="B39798" s="612"/>
      <c r="H39798" s="612"/>
    </row>
    <row r="39799">
      <c r="B39799" s="612"/>
      <c r="H39799" s="612"/>
    </row>
    <row r="39800">
      <c r="B39800" s="612"/>
      <c r="H39800" s="612"/>
    </row>
    <row r="39801">
      <c r="B39801" s="612"/>
      <c r="H39801" s="612"/>
    </row>
    <row r="39802">
      <c r="B39802" s="612"/>
      <c r="H39802" s="612"/>
    </row>
    <row r="39803">
      <c r="B39803" s="612"/>
      <c r="H39803" s="612"/>
    </row>
    <row r="39804">
      <c r="B39804" s="612"/>
      <c r="H39804" s="612"/>
    </row>
    <row r="39805">
      <c r="B39805" s="612"/>
      <c r="H39805" s="612"/>
    </row>
    <row r="39806">
      <c r="B39806" s="612"/>
      <c r="H39806" s="612"/>
    </row>
    <row r="39807">
      <c r="B39807" s="612"/>
      <c r="H39807" s="612"/>
    </row>
    <row r="39808">
      <c r="B39808" s="612"/>
      <c r="H39808" s="612"/>
    </row>
    <row r="39809">
      <c r="B39809" s="612"/>
      <c r="H39809" s="612"/>
    </row>
    <row r="39810">
      <c r="B39810" s="612"/>
      <c r="H39810" s="612"/>
    </row>
    <row r="39811">
      <c r="B39811" s="612"/>
      <c r="H39811" s="612"/>
    </row>
    <row r="39812">
      <c r="B39812" s="612"/>
      <c r="H39812" s="612"/>
    </row>
    <row r="39813">
      <c r="B39813" s="612"/>
      <c r="H39813" s="612"/>
    </row>
    <row r="39814">
      <c r="B39814" s="612"/>
      <c r="H39814" s="612"/>
    </row>
    <row r="39815">
      <c r="B39815" s="612"/>
      <c r="H39815" s="612"/>
    </row>
    <row r="39816">
      <c r="B39816" s="612"/>
      <c r="H39816" s="612"/>
    </row>
    <row r="39817">
      <c r="B39817" s="612"/>
      <c r="H39817" s="612"/>
    </row>
    <row r="39818">
      <c r="B39818" s="612"/>
      <c r="H39818" s="612"/>
    </row>
    <row r="39819">
      <c r="B39819" s="612"/>
      <c r="H39819" s="612"/>
    </row>
    <row r="39820">
      <c r="B39820" s="612"/>
      <c r="H39820" s="612"/>
    </row>
    <row r="39821">
      <c r="B39821" s="612"/>
      <c r="H39821" s="612"/>
    </row>
    <row r="39822">
      <c r="B39822" s="612"/>
      <c r="H39822" s="612"/>
    </row>
    <row r="39823">
      <c r="B39823" s="612"/>
      <c r="H39823" s="612"/>
    </row>
    <row r="39824">
      <c r="B39824" s="612"/>
      <c r="H39824" s="612"/>
    </row>
    <row r="39825">
      <c r="B39825" s="612"/>
      <c r="H39825" s="612"/>
    </row>
    <row r="39826">
      <c r="B39826" s="612"/>
      <c r="H39826" s="612"/>
    </row>
    <row r="39827">
      <c r="B39827" s="612"/>
      <c r="H39827" s="612"/>
    </row>
    <row r="39828">
      <c r="B39828" s="612"/>
      <c r="H39828" s="612"/>
    </row>
    <row r="39829">
      <c r="B39829" s="612"/>
      <c r="H39829" s="612"/>
    </row>
    <row r="39830">
      <c r="B39830" s="612"/>
      <c r="H39830" s="612"/>
    </row>
    <row r="39831">
      <c r="B39831" s="612"/>
      <c r="H39831" s="612"/>
    </row>
    <row r="39832">
      <c r="B39832" s="612"/>
      <c r="H39832" s="612"/>
    </row>
    <row r="39833">
      <c r="B39833" s="612"/>
      <c r="H39833" s="612"/>
    </row>
    <row r="39834">
      <c r="B39834" s="612"/>
      <c r="H39834" s="612"/>
    </row>
    <row r="39835">
      <c r="B39835" s="612"/>
      <c r="H39835" s="612"/>
    </row>
    <row r="39836">
      <c r="B39836" s="612"/>
      <c r="H39836" s="612"/>
    </row>
    <row r="39837">
      <c r="B39837" s="612"/>
      <c r="H39837" s="612"/>
    </row>
    <row r="39838">
      <c r="B39838" s="612"/>
      <c r="H39838" s="612"/>
    </row>
    <row r="39839">
      <c r="B39839" s="612"/>
      <c r="H39839" s="612"/>
    </row>
    <row r="39840">
      <c r="B39840" s="612"/>
      <c r="H39840" s="612"/>
    </row>
    <row r="39841">
      <c r="B39841" s="612"/>
      <c r="H39841" s="612"/>
    </row>
    <row r="39842">
      <c r="B39842" s="612"/>
      <c r="H39842" s="612"/>
    </row>
    <row r="39843">
      <c r="B39843" s="612"/>
      <c r="H39843" s="612"/>
    </row>
    <row r="39844">
      <c r="B39844" s="612"/>
      <c r="H39844" s="612"/>
    </row>
    <row r="39845">
      <c r="B39845" s="612"/>
      <c r="H39845" s="612"/>
    </row>
    <row r="39846">
      <c r="B39846" s="612"/>
      <c r="H39846" s="612"/>
    </row>
    <row r="39847">
      <c r="B39847" s="612"/>
      <c r="H39847" s="612"/>
    </row>
    <row r="39848">
      <c r="B39848" s="612"/>
      <c r="H39848" s="612"/>
    </row>
    <row r="39849">
      <c r="B39849" s="612"/>
      <c r="H39849" s="612"/>
    </row>
    <row r="39850">
      <c r="B39850" s="612"/>
      <c r="H39850" s="612"/>
    </row>
    <row r="39851">
      <c r="B39851" s="612"/>
      <c r="H39851" s="612"/>
    </row>
    <row r="39852">
      <c r="B39852" s="612"/>
      <c r="H39852" s="612"/>
    </row>
    <row r="39853">
      <c r="B39853" s="612"/>
      <c r="H39853" s="612"/>
    </row>
    <row r="39854">
      <c r="B39854" s="612"/>
      <c r="H39854" s="612"/>
    </row>
    <row r="39855">
      <c r="B39855" s="612"/>
      <c r="H39855" s="612"/>
    </row>
    <row r="39856">
      <c r="B39856" s="612"/>
      <c r="H39856" s="612"/>
    </row>
    <row r="39857">
      <c r="B39857" s="612"/>
      <c r="H39857" s="612"/>
    </row>
    <row r="39858">
      <c r="B39858" s="612"/>
      <c r="H39858" s="612"/>
    </row>
    <row r="39859">
      <c r="B39859" s="612"/>
      <c r="H39859" s="612"/>
    </row>
    <row r="39860">
      <c r="B39860" s="612"/>
      <c r="H39860" s="612"/>
    </row>
    <row r="39861">
      <c r="B39861" s="612"/>
      <c r="H39861" s="612"/>
    </row>
    <row r="39862">
      <c r="B39862" s="612"/>
      <c r="H39862" s="612"/>
    </row>
    <row r="39863">
      <c r="B39863" s="612"/>
      <c r="H39863" s="612"/>
    </row>
    <row r="39864">
      <c r="B39864" s="612"/>
      <c r="H39864" s="612"/>
    </row>
    <row r="39865">
      <c r="B39865" s="612"/>
      <c r="H39865" s="612"/>
    </row>
    <row r="39866">
      <c r="B39866" s="612"/>
      <c r="H39866" s="612"/>
    </row>
    <row r="39867">
      <c r="B39867" s="612"/>
      <c r="H39867" s="612"/>
    </row>
    <row r="39868">
      <c r="B39868" s="612"/>
      <c r="H39868" s="612"/>
    </row>
    <row r="39869">
      <c r="B39869" s="612"/>
      <c r="H39869" s="612"/>
    </row>
    <row r="39870">
      <c r="B39870" s="612"/>
      <c r="H39870" s="612"/>
    </row>
    <row r="39871">
      <c r="B39871" s="612"/>
      <c r="H39871" s="612"/>
    </row>
    <row r="39872">
      <c r="B39872" s="612"/>
      <c r="H39872" s="612"/>
    </row>
    <row r="39873">
      <c r="B39873" s="612"/>
      <c r="H39873" s="612"/>
    </row>
    <row r="39874">
      <c r="B39874" s="612"/>
      <c r="H39874" s="612"/>
    </row>
    <row r="39875">
      <c r="B39875" s="612"/>
      <c r="H39875" s="612"/>
    </row>
    <row r="39876">
      <c r="B39876" s="612"/>
      <c r="H39876" s="612"/>
    </row>
    <row r="39877">
      <c r="B39877" s="612"/>
      <c r="H39877" s="612"/>
    </row>
    <row r="39878">
      <c r="B39878" s="612"/>
      <c r="H39878" s="612"/>
    </row>
    <row r="39879">
      <c r="B39879" s="612"/>
      <c r="H39879" s="612"/>
    </row>
    <row r="39880">
      <c r="B39880" s="612"/>
      <c r="H39880" s="612"/>
    </row>
    <row r="39881">
      <c r="B39881" s="612"/>
      <c r="H39881" s="612"/>
    </row>
    <row r="39882">
      <c r="B39882" s="612"/>
      <c r="H39882" s="612"/>
    </row>
    <row r="39883">
      <c r="B39883" s="612"/>
      <c r="H39883" s="612"/>
    </row>
    <row r="39884">
      <c r="B39884" s="612"/>
      <c r="H39884" s="612"/>
    </row>
    <row r="39885">
      <c r="B39885" s="612"/>
      <c r="H39885" s="612"/>
    </row>
    <row r="39886">
      <c r="B39886" s="612"/>
      <c r="H39886" s="612"/>
    </row>
    <row r="39887">
      <c r="B39887" s="612"/>
      <c r="H39887" s="612"/>
    </row>
    <row r="39888">
      <c r="B39888" s="612"/>
      <c r="H39888" s="612"/>
    </row>
    <row r="39889">
      <c r="B39889" s="612"/>
      <c r="H39889" s="612"/>
    </row>
    <row r="39890">
      <c r="B39890" s="612"/>
      <c r="H39890" s="612"/>
    </row>
    <row r="39891">
      <c r="B39891" s="612"/>
      <c r="H39891" s="612"/>
    </row>
    <row r="39892">
      <c r="B39892" s="612"/>
      <c r="H39892" s="612"/>
    </row>
    <row r="39893">
      <c r="B39893" s="612"/>
      <c r="H39893" s="612"/>
    </row>
    <row r="39894">
      <c r="B39894" s="612"/>
      <c r="H39894" s="612"/>
    </row>
    <row r="39895">
      <c r="B39895" s="612"/>
      <c r="H39895" s="612"/>
    </row>
    <row r="39896">
      <c r="B39896" s="612"/>
      <c r="H39896" s="612"/>
    </row>
    <row r="39897">
      <c r="B39897" s="612"/>
      <c r="H39897" s="612"/>
    </row>
    <row r="39898">
      <c r="B39898" s="612"/>
      <c r="H39898" s="612"/>
    </row>
    <row r="39899">
      <c r="B39899" s="612"/>
      <c r="H39899" s="612"/>
    </row>
    <row r="39900">
      <c r="B39900" s="612"/>
      <c r="H39900" s="612"/>
    </row>
    <row r="39901">
      <c r="B39901" s="612"/>
      <c r="H39901" s="612"/>
    </row>
    <row r="39902">
      <c r="B39902" s="612"/>
      <c r="H39902" s="612"/>
    </row>
    <row r="39903">
      <c r="B39903" s="612"/>
      <c r="H39903" s="612"/>
    </row>
    <row r="39904">
      <c r="B39904" s="612"/>
      <c r="H39904" s="612"/>
    </row>
    <row r="39905">
      <c r="B39905" s="612"/>
      <c r="H39905" s="612"/>
    </row>
    <row r="39906">
      <c r="B39906" s="612"/>
      <c r="H39906" s="612"/>
    </row>
    <row r="39907">
      <c r="B39907" s="612"/>
      <c r="H39907" s="612"/>
    </row>
    <row r="39908">
      <c r="B39908" s="612"/>
      <c r="H39908" s="612"/>
    </row>
    <row r="39909">
      <c r="B39909" s="612"/>
      <c r="H39909" s="612"/>
    </row>
    <row r="39910">
      <c r="B39910" s="612"/>
      <c r="H39910" s="612"/>
    </row>
    <row r="39911">
      <c r="B39911" s="612"/>
      <c r="H39911" s="612"/>
    </row>
    <row r="39912">
      <c r="B39912" s="612"/>
      <c r="H39912" s="612"/>
    </row>
    <row r="39913">
      <c r="B39913" s="612"/>
      <c r="H39913" s="612"/>
    </row>
    <row r="39914">
      <c r="B39914" s="612"/>
      <c r="H39914" s="612"/>
    </row>
    <row r="39915">
      <c r="B39915" s="612"/>
      <c r="H39915" s="612"/>
    </row>
    <row r="39916">
      <c r="B39916" s="612"/>
      <c r="H39916" s="612"/>
    </row>
    <row r="39917">
      <c r="B39917" s="612"/>
      <c r="H39917" s="612"/>
    </row>
    <row r="39918">
      <c r="B39918" s="612"/>
      <c r="H39918" s="612"/>
    </row>
    <row r="39919">
      <c r="B39919" s="612"/>
      <c r="H39919" s="612"/>
    </row>
    <row r="39920">
      <c r="B39920" s="612"/>
      <c r="H39920" s="612"/>
    </row>
    <row r="39921">
      <c r="B39921" s="612"/>
      <c r="H39921" s="612"/>
    </row>
    <row r="39922">
      <c r="B39922" s="612"/>
      <c r="H39922" s="612"/>
    </row>
    <row r="39923">
      <c r="B39923" s="612"/>
      <c r="H39923" s="612"/>
    </row>
    <row r="39924">
      <c r="B39924" s="612"/>
      <c r="H39924" s="612"/>
    </row>
    <row r="39925">
      <c r="B39925" s="612"/>
      <c r="H39925" s="612"/>
    </row>
    <row r="39926">
      <c r="B39926" s="612"/>
      <c r="H39926" s="612"/>
    </row>
    <row r="39927">
      <c r="B39927" s="612"/>
      <c r="H39927" s="612"/>
    </row>
    <row r="39928">
      <c r="B39928" s="612"/>
      <c r="H39928" s="612"/>
    </row>
    <row r="39929">
      <c r="B39929" s="612"/>
      <c r="H39929" s="612"/>
    </row>
    <row r="39930">
      <c r="B39930" s="612"/>
      <c r="H39930" s="612"/>
    </row>
    <row r="39931">
      <c r="B39931" s="612"/>
      <c r="H39931" s="612"/>
    </row>
    <row r="39932">
      <c r="B39932" s="612"/>
      <c r="H39932" s="612"/>
    </row>
    <row r="39933">
      <c r="B39933" s="612"/>
      <c r="H39933" s="612"/>
    </row>
    <row r="39934">
      <c r="B39934" s="612"/>
      <c r="H39934" s="612"/>
    </row>
    <row r="39935">
      <c r="B39935" s="612"/>
      <c r="H39935" s="612"/>
    </row>
    <row r="39936">
      <c r="B39936" s="612"/>
      <c r="H39936" s="612"/>
    </row>
    <row r="39937">
      <c r="B39937" s="612"/>
      <c r="H39937" s="612"/>
    </row>
    <row r="39938">
      <c r="B39938" s="612"/>
      <c r="H39938" s="612"/>
    </row>
    <row r="39939">
      <c r="B39939" s="612"/>
      <c r="H39939" s="612"/>
    </row>
    <row r="39940">
      <c r="B39940" s="612"/>
      <c r="H39940" s="612"/>
    </row>
    <row r="39941">
      <c r="B39941" s="612"/>
      <c r="H39941" s="612"/>
    </row>
    <row r="39942">
      <c r="B39942" s="612"/>
      <c r="H39942" s="612"/>
    </row>
    <row r="39943">
      <c r="B39943" s="612"/>
      <c r="H39943" s="612"/>
    </row>
    <row r="39944">
      <c r="B39944" s="612"/>
      <c r="H39944" s="612"/>
    </row>
    <row r="39945">
      <c r="B39945" s="612"/>
      <c r="H39945" s="612"/>
    </row>
    <row r="39946">
      <c r="B39946" s="612"/>
      <c r="H39946" s="612"/>
    </row>
    <row r="39947">
      <c r="B39947" s="612"/>
      <c r="H39947" s="612"/>
    </row>
    <row r="39948">
      <c r="B39948" s="612"/>
      <c r="H39948" s="612"/>
    </row>
    <row r="39949">
      <c r="B39949" s="612"/>
      <c r="H39949" s="612"/>
    </row>
    <row r="39950">
      <c r="B39950" s="612"/>
      <c r="H39950" s="612"/>
    </row>
    <row r="39951">
      <c r="B39951" s="612"/>
      <c r="H39951" s="612"/>
    </row>
    <row r="39952">
      <c r="B39952" s="612"/>
      <c r="H39952" s="612"/>
    </row>
    <row r="39953">
      <c r="B39953" s="612"/>
      <c r="H39953" s="612"/>
    </row>
    <row r="39954">
      <c r="B39954" s="612"/>
      <c r="H39954" s="612"/>
    </row>
    <row r="39955">
      <c r="B39955" s="612"/>
      <c r="H39955" s="612"/>
    </row>
    <row r="39956">
      <c r="B39956" s="612"/>
      <c r="H39956" s="612"/>
    </row>
    <row r="39957">
      <c r="B39957" s="612"/>
      <c r="H39957" s="612"/>
    </row>
    <row r="39958">
      <c r="B39958" s="612"/>
      <c r="H39958" s="612"/>
    </row>
    <row r="39959">
      <c r="B39959" s="612"/>
      <c r="H39959" s="612"/>
    </row>
    <row r="39960">
      <c r="B39960" s="612"/>
      <c r="H39960" s="612"/>
    </row>
    <row r="39961">
      <c r="B39961" s="612"/>
      <c r="H39961" s="612"/>
    </row>
    <row r="39962">
      <c r="B39962" s="612"/>
      <c r="H39962" s="612"/>
    </row>
    <row r="39963">
      <c r="B39963" s="612"/>
      <c r="H39963" s="612"/>
    </row>
    <row r="39964">
      <c r="B39964" s="612"/>
      <c r="H39964" s="612"/>
    </row>
    <row r="39965">
      <c r="B39965" s="612"/>
      <c r="H39965" s="612"/>
    </row>
    <row r="39966">
      <c r="B39966" s="612"/>
      <c r="H39966" s="612"/>
    </row>
    <row r="39967">
      <c r="B39967" s="612"/>
      <c r="H39967" s="612"/>
    </row>
    <row r="39968">
      <c r="B39968" s="612"/>
      <c r="H39968" s="612"/>
    </row>
    <row r="39969">
      <c r="B39969" s="612"/>
      <c r="H39969" s="612"/>
    </row>
    <row r="39970">
      <c r="B39970" s="612"/>
      <c r="H39970" s="612"/>
    </row>
    <row r="39971">
      <c r="B39971" s="612"/>
      <c r="H39971" s="612"/>
    </row>
    <row r="39972">
      <c r="B39972" s="612"/>
      <c r="H39972" s="612"/>
    </row>
    <row r="39973">
      <c r="B39973" s="612"/>
      <c r="H39973" s="612"/>
    </row>
    <row r="39974">
      <c r="B39974" s="612"/>
      <c r="H39974" s="612"/>
    </row>
    <row r="39975">
      <c r="B39975" s="612"/>
      <c r="H39975" s="612"/>
    </row>
    <row r="39976">
      <c r="B39976" s="612"/>
      <c r="H39976" s="612"/>
    </row>
    <row r="39977">
      <c r="B39977" s="612"/>
      <c r="H39977" s="612"/>
    </row>
    <row r="39978">
      <c r="B39978" s="612"/>
      <c r="H39978" s="612"/>
    </row>
    <row r="39979">
      <c r="B39979" s="612"/>
      <c r="H39979" s="612"/>
    </row>
    <row r="39980">
      <c r="B39980" s="612"/>
      <c r="H39980" s="612"/>
    </row>
    <row r="39981">
      <c r="B39981" s="612"/>
      <c r="H39981" s="612"/>
    </row>
    <row r="39982">
      <c r="B39982" s="612"/>
      <c r="H39982" s="612"/>
    </row>
    <row r="39983">
      <c r="B39983" s="612"/>
      <c r="H39983" s="612"/>
    </row>
    <row r="39984">
      <c r="B39984" s="612"/>
      <c r="H39984" s="612"/>
    </row>
    <row r="39985">
      <c r="B39985" s="612"/>
      <c r="H39985" s="612"/>
    </row>
    <row r="39986">
      <c r="B39986" s="612"/>
      <c r="H39986" s="612"/>
    </row>
    <row r="39987">
      <c r="B39987" s="612"/>
      <c r="H39987" s="612"/>
    </row>
    <row r="39988">
      <c r="B39988" s="612"/>
      <c r="H39988" s="612"/>
    </row>
    <row r="39989">
      <c r="B39989" s="612"/>
      <c r="H39989" s="612"/>
    </row>
    <row r="39990">
      <c r="B39990" s="612"/>
      <c r="H39990" s="612"/>
    </row>
    <row r="39991">
      <c r="B39991" s="612"/>
      <c r="H39991" s="612"/>
    </row>
    <row r="39992">
      <c r="B39992" s="612"/>
      <c r="H39992" s="612"/>
    </row>
    <row r="39993">
      <c r="B39993" s="612"/>
      <c r="H39993" s="612"/>
    </row>
    <row r="39994">
      <c r="B39994" s="612"/>
      <c r="H39994" s="612"/>
    </row>
    <row r="39995">
      <c r="B39995" s="612"/>
      <c r="H39995" s="612"/>
    </row>
    <row r="39996">
      <c r="B39996" s="612"/>
      <c r="H39996" s="612"/>
    </row>
    <row r="39997">
      <c r="B39997" s="612"/>
      <c r="H39997" s="612"/>
    </row>
    <row r="39998">
      <c r="B39998" s="612"/>
      <c r="H39998" s="612"/>
    </row>
    <row r="39999">
      <c r="B39999" s="612"/>
      <c r="H39999" s="612"/>
    </row>
    <row r="40000">
      <c r="B40000" s="612"/>
      <c r="H40000" s="612"/>
    </row>
    <row r="40001">
      <c r="B40001" s="612"/>
      <c r="H40001" s="612"/>
    </row>
    <row r="40002">
      <c r="B40002" s="612"/>
      <c r="H40002" s="612"/>
    </row>
    <row r="40003">
      <c r="B40003" s="612"/>
      <c r="H40003" s="612"/>
    </row>
    <row r="40004">
      <c r="B40004" s="612"/>
      <c r="H40004" s="612"/>
    </row>
    <row r="40005">
      <c r="B40005" s="612"/>
      <c r="H40005" s="612"/>
    </row>
    <row r="40006">
      <c r="B40006" s="612"/>
      <c r="H40006" s="612"/>
    </row>
    <row r="40007">
      <c r="B40007" s="612"/>
      <c r="H40007" s="612"/>
    </row>
    <row r="40008">
      <c r="B40008" s="612"/>
      <c r="H40008" s="612"/>
    </row>
    <row r="40009">
      <c r="B40009" s="612"/>
      <c r="H40009" s="612"/>
    </row>
    <row r="40010">
      <c r="B40010" s="612"/>
      <c r="H40010" s="612"/>
    </row>
    <row r="40011">
      <c r="B40011" s="612"/>
      <c r="H40011" s="612"/>
    </row>
    <row r="40012">
      <c r="B40012" s="612"/>
      <c r="H40012" s="612"/>
    </row>
    <row r="40013">
      <c r="B40013" s="612"/>
      <c r="H40013" s="612"/>
    </row>
    <row r="40014">
      <c r="B40014" s="612"/>
      <c r="H40014" s="612"/>
    </row>
    <row r="40015">
      <c r="B40015" s="612"/>
      <c r="H40015" s="612"/>
    </row>
    <row r="40016">
      <c r="B40016" s="612"/>
      <c r="H40016" s="612"/>
    </row>
    <row r="40017">
      <c r="B40017" s="612"/>
      <c r="H40017" s="612"/>
    </row>
    <row r="40018">
      <c r="B40018" s="612"/>
      <c r="H40018" s="612"/>
    </row>
    <row r="40019">
      <c r="B40019" s="612"/>
      <c r="H40019" s="612"/>
    </row>
    <row r="40020">
      <c r="B40020" s="612"/>
      <c r="H40020" s="612"/>
    </row>
    <row r="40021">
      <c r="B40021" s="612"/>
      <c r="H40021" s="612"/>
    </row>
    <row r="40022">
      <c r="B40022" s="612"/>
      <c r="H40022" s="612"/>
    </row>
    <row r="40023">
      <c r="B40023" s="612"/>
      <c r="H40023" s="612"/>
    </row>
    <row r="40024">
      <c r="B40024" s="612"/>
      <c r="H40024" s="612"/>
    </row>
    <row r="40025">
      <c r="B40025" s="612"/>
      <c r="H40025" s="612"/>
    </row>
    <row r="40026">
      <c r="B40026" s="612"/>
      <c r="H40026" s="612"/>
    </row>
    <row r="40027">
      <c r="B40027" s="612"/>
      <c r="H40027" s="612"/>
    </row>
    <row r="40028">
      <c r="B40028" s="612"/>
      <c r="H40028" s="612"/>
    </row>
    <row r="40029">
      <c r="B40029" s="612"/>
      <c r="H40029" s="612"/>
    </row>
    <row r="40030">
      <c r="B40030" s="612"/>
      <c r="H40030" s="612"/>
    </row>
    <row r="40031">
      <c r="B40031" s="612"/>
      <c r="H40031" s="612"/>
    </row>
    <row r="40032">
      <c r="B40032" s="612"/>
      <c r="H40032" s="612"/>
    </row>
    <row r="40033">
      <c r="B40033" s="612"/>
      <c r="H40033" s="612"/>
    </row>
    <row r="40034">
      <c r="B40034" s="612"/>
      <c r="H40034" s="612"/>
    </row>
    <row r="40035">
      <c r="B40035" s="612"/>
      <c r="H40035" s="612"/>
    </row>
    <row r="40036">
      <c r="B40036" s="612"/>
      <c r="H40036" s="612"/>
    </row>
    <row r="40037">
      <c r="B40037" s="612"/>
      <c r="H40037" s="612"/>
    </row>
    <row r="40038">
      <c r="B40038" s="612"/>
      <c r="H40038" s="612"/>
    </row>
    <row r="40039">
      <c r="B40039" s="612"/>
      <c r="H40039" s="612"/>
    </row>
    <row r="40040">
      <c r="B40040" s="612"/>
      <c r="H40040" s="612"/>
    </row>
    <row r="40041">
      <c r="B40041" s="612"/>
      <c r="H40041" s="612"/>
    </row>
    <row r="40042">
      <c r="B40042" s="612"/>
      <c r="H40042" s="612"/>
    </row>
    <row r="40043">
      <c r="B40043" s="612"/>
      <c r="H40043" s="612"/>
    </row>
    <row r="40044">
      <c r="B40044" s="612"/>
      <c r="H40044" s="612"/>
    </row>
    <row r="40045">
      <c r="B40045" s="612"/>
      <c r="H40045" s="612"/>
    </row>
    <row r="40046">
      <c r="B40046" s="612"/>
      <c r="H40046" s="612"/>
    </row>
    <row r="40047">
      <c r="B40047" s="612"/>
      <c r="H40047" s="612"/>
    </row>
    <row r="40048">
      <c r="B40048" s="612"/>
      <c r="H40048" s="612"/>
    </row>
    <row r="40049">
      <c r="B40049" s="612"/>
      <c r="H40049" s="612"/>
    </row>
    <row r="40050">
      <c r="B40050" s="612"/>
      <c r="H40050" s="612"/>
    </row>
    <row r="40051">
      <c r="B40051" s="612"/>
      <c r="H40051" s="612"/>
    </row>
    <row r="40052">
      <c r="B40052" s="612"/>
      <c r="H40052" s="612"/>
    </row>
    <row r="40053">
      <c r="B40053" s="612"/>
      <c r="H40053" s="612"/>
    </row>
    <row r="40054">
      <c r="B40054" s="612"/>
      <c r="H40054" s="612"/>
    </row>
    <row r="40055">
      <c r="B40055" s="612"/>
      <c r="H40055" s="612"/>
    </row>
    <row r="40056">
      <c r="B40056" s="612"/>
      <c r="H40056" s="612"/>
    </row>
    <row r="40057">
      <c r="B40057" s="612"/>
      <c r="H40057" s="612"/>
    </row>
    <row r="40058">
      <c r="B40058" s="612"/>
      <c r="H40058" s="612"/>
    </row>
    <row r="40059">
      <c r="B40059" s="612"/>
      <c r="H40059" s="612"/>
    </row>
    <row r="40060">
      <c r="B40060" s="612"/>
      <c r="H40060" s="612"/>
    </row>
    <row r="40061">
      <c r="B40061" s="612"/>
      <c r="H40061" s="612"/>
    </row>
    <row r="40062">
      <c r="B40062" s="612"/>
      <c r="H40062" s="612"/>
    </row>
    <row r="40063">
      <c r="B40063" s="612"/>
      <c r="H40063" s="612"/>
    </row>
    <row r="40064">
      <c r="B40064" s="612"/>
      <c r="H40064" s="612"/>
    </row>
    <row r="40065">
      <c r="B40065" s="612"/>
      <c r="H40065" s="612"/>
    </row>
    <row r="40066">
      <c r="B40066" s="612"/>
      <c r="H40066" s="612"/>
    </row>
    <row r="40067">
      <c r="B40067" s="612"/>
      <c r="H40067" s="612"/>
    </row>
    <row r="40068">
      <c r="B40068" s="612"/>
      <c r="H40068" s="612"/>
    </row>
    <row r="40069">
      <c r="B40069" s="612"/>
      <c r="H40069" s="612"/>
    </row>
    <row r="40070">
      <c r="B40070" s="612"/>
      <c r="H40070" s="612"/>
    </row>
    <row r="40071">
      <c r="B40071" s="612"/>
      <c r="H40071" s="612"/>
    </row>
    <row r="40072">
      <c r="B40072" s="612"/>
      <c r="H40072" s="612"/>
    </row>
    <row r="40073">
      <c r="B40073" s="612"/>
      <c r="H40073" s="612"/>
    </row>
    <row r="40074">
      <c r="B40074" s="612"/>
      <c r="H40074" s="612"/>
    </row>
    <row r="40075">
      <c r="B40075" s="612"/>
      <c r="H40075" s="612"/>
    </row>
    <row r="40076">
      <c r="B40076" s="612"/>
      <c r="H40076" s="612"/>
    </row>
    <row r="40077">
      <c r="B40077" s="612"/>
      <c r="H40077" s="612"/>
    </row>
    <row r="40078">
      <c r="B40078" s="612"/>
      <c r="H40078" s="612"/>
    </row>
    <row r="40079">
      <c r="B40079" s="612"/>
      <c r="H40079" s="612"/>
    </row>
    <row r="40080">
      <c r="B40080" s="612"/>
      <c r="H40080" s="612"/>
    </row>
    <row r="40081">
      <c r="B40081" s="612"/>
      <c r="H40081" s="612"/>
    </row>
    <row r="40082">
      <c r="B40082" s="612"/>
      <c r="H40082" s="612"/>
    </row>
    <row r="40083">
      <c r="B40083" s="612"/>
      <c r="H40083" s="612"/>
    </row>
    <row r="40084">
      <c r="B40084" s="612"/>
      <c r="H40084" s="612"/>
    </row>
    <row r="40085">
      <c r="B40085" s="612"/>
      <c r="H40085" s="612"/>
    </row>
    <row r="40086">
      <c r="B40086" s="612"/>
      <c r="H40086" s="612"/>
    </row>
    <row r="40087">
      <c r="B40087" s="612"/>
      <c r="H40087" s="612"/>
    </row>
    <row r="40088">
      <c r="B40088" s="612"/>
      <c r="H40088" s="612"/>
    </row>
    <row r="40089">
      <c r="B40089" s="612"/>
      <c r="H40089" s="612"/>
    </row>
    <row r="40090">
      <c r="B40090" s="612"/>
      <c r="H40090" s="612"/>
    </row>
    <row r="40091">
      <c r="B40091" s="612"/>
      <c r="H40091" s="612"/>
    </row>
    <row r="40092">
      <c r="B40092" s="612"/>
      <c r="H40092" s="612"/>
    </row>
    <row r="40093">
      <c r="B40093" s="612"/>
      <c r="H40093" s="612"/>
    </row>
    <row r="40094">
      <c r="B40094" s="612"/>
      <c r="H40094" s="612"/>
    </row>
    <row r="40095">
      <c r="B40095" s="612"/>
      <c r="H40095" s="612"/>
    </row>
    <row r="40096">
      <c r="B40096" s="612"/>
      <c r="H40096" s="612"/>
    </row>
    <row r="40097">
      <c r="B40097" s="612"/>
      <c r="H40097" s="612"/>
    </row>
    <row r="40098">
      <c r="B40098" s="612"/>
      <c r="H40098" s="612"/>
    </row>
    <row r="40099">
      <c r="B40099" s="612"/>
      <c r="H40099" s="612"/>
    </row>
    <row r="40100">
      <c r="B40100" s="612"/>
      <c r="H40100" s="612"/>
    </row>
    <row r="40101">
      <c r="B40101" s="612"/>
      <c r="H40101" s="612"/>
    </row>
    <row r="40102">
      <c r="B40102" s="612"/>
      <c r="H40102" s="612"/>
    </row>
    <row r="40103">
      <c r="B40103" s="612"/>
      <c r="H40103" s="612"/>
    </row>
    <row r="40104">
      <c r="B40104" s="612"/>
      <c r="H40104" s="612"/>
    </row>
    <row r="40105">
      <c r="B40105" s="612"/>
      <c r="H40105" s="612"/>
    </row>
    <row r="40106">
      <c r="B40106" s="612"/>
      <c r="H40106" s="612"/>
    </row>
    <row r="40107">
      <c r="B40107" s="612"/>
      <c r="H40107" s="612"/>
    </row>
    <row r="40108">
      <c r="B40108" s="612"/>
      <c r="H40108" s="612"/>
    </row>
    <row r="40109">
      <c r="B40109" s="612"/>
      <c r="H40109" s="612"/>
    </row>
    <row r="40110">
      <c r="B40110" s="612"/>
      <c r="H40110" s="612"/>
    </row>
    <row r="40111">
      <c r="B40111" s="612"/>
      <c r="H40111" s="612"/>
    </row>
    <row r="40112">
      <c r="B40112" s="612"/>
      <c r="H40112" s="612"/>
    </row>
    <row r="40113">
      <c r="B40113" s="612"/>
      <c r="H40113" s="612"/>
    </row>
    <row r="40114">
      <c r="B40114" s="612"/>
      <c r="H40114" s="612"/>
    </row>
    <row r="40115">
      <c r="B40115" s="612"/>
      <c r="H40115" s="612"/>
    </row>
    <row r="40116">
      <c r="B40116" s="612"/>
      <c r="H40116" s="612"/>
    </row>
    <row r="40117">
      <c r="B40117" s="612"/>
      <c r="H40117" s="612"/>
    </row>
    <row r="40118">
      <c r="B40118" s="612"/>
      <c r="H40118" s="612"/>
    </row>
    <row r="40119">
      <c r="B40119" s="612"/>
      <c r="H40119" s="612"/>
    </row>
    <row r="40120">
      <c r="B40120" s="612"/>
      <c r="H40120" s="612"/>
    </row>
    <row r="40121">
      <c r="B40121" s="612"/>
      <c r="H40121" s="612"/>
    </row>
    <row r="40122">
      <c r="B40122" s="612"/>
      <c r="H40122" s="612"/>
    </row>
    <row r="40123">
      <c r="B40123" s="612"/>
      <c r="H40123" s="612"/>
    </row>
    <row r="40124">
      <c r="B40124" s="612"/>
      <c r="H40124" s="612"/>
    </row>
    <row r="40125">
      <c r="B40125" s="612"/>
      <c r="H40125" s="612"/>
    </row>
    <row r="40126">
      <c r="B40126" s="612"/>
      <c r="H40126" s="612"/>
    </row>
    <row r="40127">
      <c r="B40127" s="612"/>
      <c r="H40127" s="612"/>
    </row>
    <row r="40128">
      <c r="B40128" s="612"/>
      <c r="H40128" s="612"/>
    </row>
    <row r="40129">
      <c r="B40129" s="612"/>
      <c r="H40129" s="612"/>
    </row>
    <row r="40130">
      <c r="B40130" s="612"/>
      <c r="H40130" s="612"/>
    </row>
    <row r="40131">
      <c r="B40131" s="612"/>
      <c r="H40131" s="612"/>
    </row>
    <row r="40132">
      <c r="B40132" s="612"/>
      <c r="H40132" s="612"/>
    </row>
    <row r="40133">
      <c r="B40133" s="612"/>
      <c r="H40133" s="612"/>
    </row>
    <row r="40134">
      <c r="B40134" s="612"/>
      <c r="H40134" s="612"/>
    </row>
    <row r="40135">
      <c r="B40135" s="612"/>
      <c r="H40135" s="612"/>
    </row>
    <row r="40136">
      <c r="B40136" s="612"/>
      <c r="H40136" s="612"/>
    </row>
    <row r="40137">
      <c r="B40137" s="612"/>
      <c r="H40137" s="612"/>
    </row>
    <row r="40138">
      <c r="B40138" s="612"/>
      <c r="H40138" s="612"/>
    </row>
    <row r="40139">
      <c r="B40139" s="612"/>
      <c r="H40139" s="612"/>
    </row>
    <row r="40140">
      <c r="B40140" s="612"/>
      <c r="H40140" s="612"/>
    </row>
    <row r="40141">
      <c r="B40141" s="612"/>
      <c r="H40141" s="612"/>
    </row>
    <row r="40142">
      <c r="B40142" s="612"/>
      <c r="H40142" s="612"/>
    </row>
    <row r="40143">
      <c r="B40143" s="612"/>
      <c r="H40143" s="612"/>
    </row>
    <row r="40144">
      <c r="B40144" s="612"/>
      <c r="H40144" s="612"/>
    </row>
    <row r="40145">
      <c r="B40145" s="612"/>
      <c r="H40145" s="612"/>
    </row>
    <row r="40146">
      <c r="B40146" s="612"/>
      <c r="H40146" s="612"/>
    </row>
    <row r="40147">
      <c r="B40147" s="612"/>
      <c r="H40147" s="612"/>
    </row>
    <row r="40148">
      <c r="B40148" s="612"/>
      <c r="H40148" s="612"/>
    </row>
    <row r="40149">
      <c r="B40149" s="612"/>
      <c r="H40149" s="612"/>
    </row>
    <row r="40150">
      <c r="B40150" s="612"/>
      <c r="H40150" s="612"/>
    </row>
    <row r="40151">
      <c r="B40151" s="612"/>
      <c r="H40151" s="612"/>
    </row>
    <row r="40152">
      <c r="B40152" s="612"/>
      <c r="H40152" s="612"/>
    </row>
    <row r="40153">
      <c r="B40153" s="612"/>
      <c r="H40153" s="612"/>
    </row>
    <row r="40154">
      <c r="B40154" s="612"/>
      <c r="H40154" s="612"/>
    </row>
    <row r="40155">
      <c r="B40155" s="612"/>
      <c r="H40155" s="612"/>
    </row>
    <row r="40156">
      <c r="B40156" s="612"/>
      <c r="H40156" s="612"/>
    </row>
    <row r="40157">
      <c r="B40157" s="612"/>
      <c r="H40157" s="612"/>
    </row>
    <row r="40158">
      <c r="B40158" s="612"/>
      <c r="H40158" s="612"/>
    </row>
    <row r="40159">
      <c r="B40159" s="612"/>
      <c r="H40159" s="612"/>
    </row>
    <row r="40160">
      <c r="B40160" s="612"/>
      <c r="H40160" s="612"/>
    </row>
    <row r="40161">
      <c r="B40161" s="612"/>
      <c r="H40161" s="612"/>
    </row>
    <row r="40162">
      <c r="B40162" s="612"/>
      <c r="H40162" s="612"/>
    </row>
    <row r="40163">
      <c r="B40163" s="612"/>
      <c r="H40163" s="612"/>
    </row>
    <row r="40164">
      <c r="B40164" s="612"/>
      <c r="H40164" s="612"/>
    </row>
    <row r="40165">
      <c r="B40165" s="612"/>
      <c r="H40165" s="612"/>
    </row>
    <row r="40166">
      <c r="B40166" s="612"/>
      <c r="H40166" s="612"/>
    </row>
    <row r="40167">
      <c r="B40167" s="612"/>
      <c r="H40167" s="612"/>
    </row>
    <row r="40168">
      <c r="B40168" s="612"/>
      <c r="H40168" s="612"/>
    </row>
    <row r="40169">
      <c r="B40169" s="612"/>
      <c r="H40169" s="612"/>
    </row>
    <row r="40170">
      <c r="B40170" s="612"/>
      <c r="H40170" s="612"/>
    </row>
    <row r="40171">
      <c r="B40171" s="612"/>
      <c r="H40171" s="612"/>
    </row>
    <row r="40172">
      <c r="B40172" s="612"/>
      <c r="H40172" s="612"/>
    </row>
    <row r="40173">
      <c r="B40173" s="612"/>
      <c r="H40173" s="612"/>
    </row>
    <row r="40174">
      <c r="B40174" s="612"/>
      <c r="H40174" s="612"/>
    </row>
    <row r="40175">
      <c r="B40175" s="612"/>
      <c r="H40175" s="612"/>
    </row>
    <row r="40176">
      <c r="B40176" s="612"/>
      <c r="H40176" s="612"/>
    </row>
    <row r="40177">
      <c r="B40177" s="612"/>
      <c r="H40177" s="612"/>
    </row>
    <row r="40178">
      <c r="B40178" s="612"/>
      <c r="H40178" s="612"/>
    </row>
    <row r="40179">
      <c r="B40179" s="612"/>
      <c r="H40179" s="612"/>
    </row>
    <row r="40180">
      <c r="B40180" s="612"/>
      <c r="H40180" s="612"/>
    </row>
    <row r="40181">
      <c r="B40181" s="612"/>
      <c r="H40181" s="612"/>
    </row>
    <row r="40182">
      <c r="B40182" s="612"/>
      <c r="H40182" s="612"/>
    </row>
    <row r="40183">
      <c r="B40183" s="612"/>
      <c r="H40183" s="612"/>
    </row>
    <row r="40184">
      <c r="B40184" s="612"/>
      <c r="H40184" s="612"/>
    </row>
    <row r="40185">
      <c r="B40185" s="612"/>
      <c r="H40185" s="612"/>
    </row>
    <row r="40186">
      <c r="B40186" s="612"/>
      <c r="H40186" s="612"/>
    </row>
    <row r="40187">
      <c r="B40187" s="612"/>
      <c r="H40187" s="612"/>
    </row>
    <row r="40188">
      <c r="B40188" s="612"/>
      <c r="H40188" s="612"/>
    </row>
    <row r="40189">
      <c r="B40189" s="612"/>
      <c r="H40189" s="612"/>
    </row>
    <row r="40190">
      <c r="B40190" s="612"/>
      <c r="H40190" s="612"/>
    </row>
    <row r="40191">
      <c r="B40191" s="612"/>
      <c r="H40191" s="612"/>
    </row>
    <row r="40192">
      <c r="B40192" s="612"/>
      <c r="H40192" s="612"/>
    </row>
    <row r="40193">
      <c r="B40193" s="612"/>
      <c r="H40193" s="612"/>
    </row>
    <row r="40194">
      <c r="B40194" s="612"/>
      <c r="H40194" s="612"/>
    </row>
    <row r="40195">
      <c r="B40195" s="612"/>
      <c r="H40195" s="612"/>
    </row>
    <row r="40196">
      <c r="B40196" s="612"/>
      <c r="H40196" s="612"/>
    </row>
    <row r="40197">
      <c r="B40197" s="612"/>
      <c r="H40197" s="612"/>
    </row>
    <row r="40198">
      <c r="B40198" s="612"/>
      <c r="H40198" s="612"/>
    </row>
    <row r="40199">
      <c r="B40199" s="612"/>
      <c r="H40199" s="612"/>
    </row>
    <row r="40200">
      <c r="B40200" s="612"/>
      <c r="H40200" s="612"/>
    </row>
    <row r="40201">
      <c r="B40201" s="612"/>
      <c r="H40201" s="612"/>
    </row>
    <row r="40202">
      <c r="B40202" s="612"/>
      <c r="H40202" s="612"/>
    </row>
    <row r="40203">
      <c r="B40203" s="612"/>
      <c r="H40203" s="612"/>
    </row>
    <row r="40204">
      <c r="B40204" s="612"/>
      <c r="H40204" s="612"/>
    </row>
    <row r="40205">
      <c r="B40205" s="612"/>
      <c r="H40205" s="612"/>
    </row>
    <row r="40206">
      <c r="B40206" s="612"/>
      <c r="H40206" s="612"/>
    </row>
    <row r="40207">
      <c r="B40207" s="612"/>
      <c r="H40207" s="612"/>
    </row>
    <row r="40208">
      <c r="B40208" s="612"/>
      <c r="H40208" s="612"/>
    </row>
    <row r="40209">
      <c r="B40209" s="612"/>
      <c r="H40209" s="612"/>
    </row>
    <row r="40210">
      <c r="B40210" s="612"/>
      <c r="H40210" s="612"/>
    </row>
    <row r="40211">
      <c r="B40211" s="612"/>
      <c r="H40211" s="612"/>
    </row>
    <row r="40212">
      <c r="B40212" s="612"/>
      <c r="H40212" s="612"/>
    </row>
    <row r="40213">
      <c r="B40213" s="612"/>
      <c r="H40213" s="612"/>
    </row>
    <row r="40214">
      <c r="B40214" s="612"/>
      <c r="H40214" s="612"/>
    </row>
    <row r="40215">
      <c r="B40215" s="612"/>
      <c r="H40215" s="612"/>
    </row>
    <row r="40216">
      <c r="B40216" s="612"/>
      <c r="H40216" s="612"/>
    </row>
    <row r="40217">
      <c r="B40217" s="612"/>
      <c r="H40217" s="612"/>
    </row>
    <row r="40218">
      <c r="B40218" s="612"/>
      <c r="H40218" s="612"/>
    </row>
    <row r="40219">
      <c r="B40219" s="612"/>
      <c r="H40219" s="612"/>
    </row>
    <row r="40220">
      <c r="B40220" s="612"/>
      <c r="H40220" s="612"/>
    </row>
    <row r="40221">
      <c r="B40221" s="612"/>
      <c r="H40221" s="612"/>
    </row>
    <row r="40222">
      <c r="B40222" s="612"/>
      <c r="H40222" s="612"/>
    </row>
    <row r="40223">
      <c r="B40223" s="612"/>
      <c r="H40223" s="612"/>
    </row>
    <row r="40224">
      <c r="B40224" s="612"/>
      <c r="H40224" s="612"/>
    </row>
    <row r="40225">
      <c r="B40225" s="612"/>
      <c r="H40225" s="612"/>
    </row>
    <row r="40226">
      <c r="B40226" s="612"/>
      <c r="H40226" s="612"/>
    </row>
    <row r="40227">
      <c r="B40227" s="612"/>
      <c r="H40227" s="612"/>
    </row>
    <row r="40228">
      <c r="B40228" s="612"/>
      <c r="H40228" s="612"/>
    </row>
    <row r="40229">
      <c r="B40229" s="612"/>
      <c r="H40229" s="612"/>
    </row>
    <row r="40230">
      <c r="B40230" s="612"/>
      <c r="H40230" s="612"/>
    </row>
    <row r="40231">
      <c r="B40231" s="612"/>
      <c r="H40231" s="612"/>
    </row>
    <row r="40232">
      <c r="B40232" s="612"/>
      <c r="H40232" s="612"/>
    </row>
    <row r="40233">
      <c r="B40233" s="612"/>
      <c r="H40233" s="612"/>
    </row>
    <row r="40234">
      <c r="B40234" s="612"/>
      <c r="H40234" s="612"/>
    </row>
    <row r="40235">
      <c r="B40235" s="612"/>
      <c r="H40235" s="612"/>
    </row>
    <row r="40236">
      <c r="B40236" s="612"/>
      <c r="H40236" s="612"/>
    </row>
    <row r="40237">
      <c r="B40237" s="612"/>
      <c r="H40237" s="612"/>
    </row>
    <row r="40238">
      <c r="B40238" s="612"/>
      <c r="H40238" s="612"/>
    </row>
    <row r="40239">
      <c r="B40239" s="612"/>
      <c r="H40239" s="612"/>
    </row>
    <row r="40240">
      <c r="B40240" s="612"/>
      <c r="H40240" s="612"/>
    </row>
    <row r="40241">
      <c r="B40241" s="612"/>
      <c r="H40241" s="612"/>
    </row>
    <row r="40242">
      <c r="B40242" s="612"/>
      <c r="H40242" s="612"/>
    </row>
    <row r="40243">
      <c r="B40243" s="612"/>
      <c r="H40243" s="612"/>
    </row>
    <row r="40244">
      <c r="B40244" s="612"/>
      <c r="H40244" s="612"/>
    </row>
    <row r="40245">
      <c r="B40245" s="612"/>
      <c r="H40245" s="612"/>
    </row>
    <row r="40246">
      <c r="B40246" s="612"/>
      <c r="H40246" s="612"/>
    </row>
    <row r="40247">
      <c r="B40247" s="612"/>
      <c r="H40247" s="612"/>
    </row>
    <row r="40248">
      <c r="B40248" s="612"/>
      <c r="H40248" s="612"/>
    </row>
    <row r="40249">
      <c r="B40249" s="612"/>
      <c r="H40249" s="612"/>
    </row>
    <row r="40250">
      <c r="B40250" s="612"/>
      <c r="H40250" s="612"/>
    </row>
    <row r="40251">
      <c r="B40251" s="612"/>
      <c r="H40251" s="612"/>
    </row>
    <row r="40252">
      <c r="B40252" s="612"/>
      <c r="H40252" s="612"/>
    </row>
    <row r="40253">
      <c r="B40253" s="612"/>
      <c r="H40253" s="612"/>
    </row>
    <row r="40254">
      <c r="B40254" s="612"/>
      <c r="H40254" s="612"/>
    </row>
    <row r="40255">
      <c r="B40255" s="612"/>
      <c r="H40255" s="612"/>
    </row>
    <row r="40256">
      <c r="B40256" s="612"/>
      <c r="H40256" s="612"/>
    </row>
    <row r="40257">
      <c r="B40257" s="612"/>
      <c r="H40257" s="612"/>
    </row>
    <row r="40258">
      <c r="B40258" s="612"/>
      <c r="H40258" s="612"/>
    </row>
    <row r="40259">
      <c r="B40259" s="612"/>
      <c r="H40259" s="612"/>
    </row>
    <row r="40260">
      <c r="B40260" s="612"/>
      <c r="H40260" s="612"/>
    </row>
    <row r="40261">
      <c r="B40261" s="612"/>
      <c r="H40261" s="612"/>
    </row>
    <row r="40262">
      <c r="B40262" s="612"/>
      <c r="H40262" s="612"/>
    </row>
    <row r="40263">
      <c r="B40263" s="612"/>
      <c r="H40263" s="612"/>
    </row>
    <row r="40264">
      <c r="B40264" s="612"/>
      <c r="H40264" s="612"/>
    </row>
    <row r="40265">
      <c r="B40265" s="612"/>
      <c r="H40265" s="612"/>
    </row>
    <row r="40266">
      <c r="B40266" s="612"/>
      <c r="H40266" s="612"/>
    </row>
    <row r="40267">
      <c r="B40267" s="612"/>
      <c r="H40267" s="612"/>
    </row>
    <row r="40268">
      <c r="B40268" s="612"/>
      <c r="H40268" s="612"/>
    </row>
    <row r="40269">
      <c r="B40269" s="612"/>
      <c r="H40269" s="612"/>
    </row>
    <row r="40270">
      <c r="B40270" s="612"/>
      <c r="H40270" s="612"/>
    </row>
    <row r="40271">
      <c r="B40271" s="612"/>
      <c r="H40271" s="612"/>
    </row>
    <row r="40272">
      <c r="B40272" s="612"/>
      <c r="H40272" s="612"/>
    </row>
    <row r="40273">
      <c r="B40273" s="612"/>
      <c r="H40273" s="612"/>
    </row>
    <row r="40274">
      <c r="B40274" s="612"/>
      <c r="H40274" s="612"/>
    </row>
    <row r="40275">
      <c r="B40275" s="612"/>
      <c r="H40275" s="612"/>
    </row>
    <row r="40276">
      <c r="B40276" s="612"/>
      <c r="H40276" s="612"/>
    </row>
    <row r="40277">
      <c r="B40277" s="612"/>
      <c r="H40277" s="612"/>
    </row>
    <row r="40278">
      <c r="B40278" s="612"/>
      <c r="H40278" s="612"/>
    </row>
    <row r="40279">
      <c r="B40279" s="612"/>
      <c r="H40279" s="612"/>
    </row>
    <row r="40280">
      <c r="B40280" s="612"/>
      <c r="H40280" s="612"/>
    </row>
    <row r="40281">
      <c r="B40281" s="612"/>
      <c r="H40281" s="612"/>
    </row>
    <row r="40282">
      <c r="B40282" s="612"/>
      <c r="H40282" s="612"/>
    </row>
    <row r="40283">
      <c r="B40283" s="612"/>
      <c r="H40283" s="612"/>
    </row>
    <row r="40284">
      <c r="B40284" s="612"/>
      <c r="H40284" s="612"/>
    </row>
    <row r="40285">
      <c r="B40285" s="612"/>
      <c r="H40285" s="612"/>
    </row>
    <row r="40286">
      <c r="B40286" s="612"/>
      <c r="H40286" s="612"/>
    </row>
    <row r="40287">
      <c r="B40287" s="612"/>
      <c r="H40287" s="612"/>
    </row>
    <row r="40288">
      <c r="B40288" s="612"/>
      <c r="H40288" s="612"/>
    </row>
    <row r="40289">
      <c r="B40289" s="612"/>
      <c r="H40289" s="612"/>
    </row>
    <row r="40290">
      <c r="B40290" s="612"/>
      <c r="H40290" s="612"/>
    </row>
    <row r="40291">
      <c r="B40291" s="612"/>
      <c r="H40291" s="612"/>
    </row>
    <row r="40292">
      <c r="B40292" s="612"/>
      <c r="H40292" s="612"/>
    </row>
    <row r="40293">
      <c r="B40293" s="612"/>
      <c r="H40293" s="612"/>
    </row>
    <row r="40294">
      <c r="B40294" s="612"/>
      <c r="H40294" s="612"/>
    </row>
    <row r="40295">
      <c r="B40295" s="612"/>
      <c r="H40295" s="612"/>
    </row>
    <row r="40296">
      <c r="B40296" s="612"/>
      <c r="H40296" s="612"/>
    </row>
    <row r="40297">
      <c r="B40297" s="612"/>
      <c r="H40297" s="612"/>
    </row>
    <row r="40298">
      <c r="B40298" s="612"/>
      <c r="H40298" s="612"/>
    </row>
    <row r="40299">
      <c r="B40299" s="612"/>
      <c r="H40299" s="612"/>
    </row>
    <row r="40300">
      <c r="B40300" s="612"/>
      <c r="H40300" s="612"/>
    </row>
    <row r="40301">
      <c r="B40301" s="612"/>
      <c r="H40301" s="612"/>
    </row>
    <row r="40302">
      <c r="B40302" s="612"/>
      <c r="H40302" s="612"/>
    </row>
    <row r="40303">
      <c r="B40303" s="612"/>
      <c r="H40303" s="612"/>
    </row>
    <row r="40304">
      <c r="B40304" s="612"/>
      <c r="H40304" s="612"/>
    </row>
    <row r="40305">
      <c r="B40305" s="612"/>
      <c r="H40305" s="612"/>
    </row>
    <row r="40306">
      <c r="B40306" s="612"/>
      <c r="H40306" s="612"/>
    </row>
    <row r="40307">
      <c r="B40307" s="612"/>
      <c r="H40307" s="612"/>
    </row>
    <row r="40308">
      <c r="B40308" s="612"/>
      <c r="H40308" s="612"/>
    </row>
    <row r="40309">
      <c r="B40309" s="612"/>
      <c r="H40309" s="612"/>
    </row>
    <row r="40310">
      <c r="B40310" s="612"/>
      <c r="H40310" s="612"/>
    </row>
    <row r="40311">
      <c r="B40311" s="612"/>
      <c r="H40311" s="612"/>
    </row>
    <row r="40312">
      <c r="B40312" s="612"/>
      <c r="H40312" s="612"/>
    </row>
    <row r="40313">
      <c r="B40313" s="612"/>
      <c r="H40313" s="612"/>
    </row>
    <row r="40314">
      <c r="B40314" s="612"/>
      <c r="H40314" s="612"/>
    </row>
    <row r="40315">
      <c r="B40315" s="612"/>
      <c r="H40315" s="612"/>
    </row>
    <row r="40316">
      <c r="B40316" s="612"/>
      <c r="H40316" s="612"/>
    </row>
    <row r="40317">
      <c r="B40317" s="612"/>
      <c r="H40317" s="612"/>
    </row>
    <row r="40318">
      <c r="B40318" s="612"/>
      <c r="H40318" s="612"/>
    </row>
    <row r="40319">
      <c r="B40319" s="612"/>
      <c r="H40319" s="612"/>
    </row>
    <row r="40320">
      <c r="B40320" s="612"/>
      <c r="H40320" s="612"/>
    </row>
    <row r="40321">
      <c r="B40321" s="612"/>
      <c r="H40321" s="612"/>
    </row>
    <row r="40322">
      <c r="B40322" s="612"/>
      <c r="H40322" s="612"/>
    </row>
    <row r="40323">
      <c r="B40323" s="612"/>
      <c r="H40323" s="612"/>
    </row>
    <row r="40324">
      <c r="B40324" s="612"/>
      <c r="H40324" s="612"/>
    </row>
    <row r="40325">
      <c r="B40325" s="612"/>
      <c r="H40325" s="612"/>
    </row>
    <row r="40326">
      <c r="B40326" s="612"/>
      <c r="H40326" s="612"/>
    </row>
    <row r="40327">
      <c r="B40327" s="612"/>
      <c r="H40327" s="612"/>
    </row>
    <row r="40328">
      <c r="B40328" s="612"/>
      <c r="H40328" s="612"/>
    </row>
    <row r="40329">
      <c r="B40329" s="612"/>
      <c r="H40329" s="612"/>
    </row>
    <row r="40330">
      <c r="B40330" s="612"/>
      <c r="H40330" s="612"/>
    </row>
    <row r="40331">
      <c r="B40331" s="612"/>
      <c r="H40331" s="612"/>
    </row>
    <row r="40332">
      <c r="B40332" s="612"/>
      <c r="H40332" s="612"/>
    </row>
    <row r="40333">
      <c r="B40333" s="612"/>
      <c r="H40333" s="612"/>
    </row>
    <row r="40334">
      <c r="B40334" s="612"/>
      <c r="H40334" s="612"/>
    </row>
    <row r="40335">
      <c r="B40335" s="612"/>
      <c r="H40335" s="612"/>
    </row>
    <row r="40336">
      <c r="B40336" s="612"/>
      <c r="H40336" s="612"/>
    </row>
    <row r="40337">
      <c r="B40337" s="612"/>
      <c r="H40337" s="612"/>
    </row>
    <row r="40338">
      <c r="B40338" s="612"/>
      <c r="H40338" s="612"/>
    </row>
    <row r="40339">
      <c r="B40339" s="612"/>
      <c r="H40339" s="612"/>
    </row>
    <row r="40340">
      <c r="B40340" s="612"/>
      <c r="H40340" s="612"/>
    </row>
    <row r="40341">
      <c r="B40341" s="612"/>
      <c r="H40341" s="612"/>
    </row>
    <row r="40342">
      <c r="B40342" s="612"/>
      <c r="H40342" s="612"/>
    </row>
    <row r="40343">
      <c r="B40343" s="612"/>
      <c r="H40343" s="612"/>
    </row>
    <row r="40344">
      <c r="B40344" s="612"/>
      <c r="H40344" s="612"/>
    </row>
    <row r="40345">
      <c r="B40345" s="612"/>
      <c r="H40345" s="612"/>
    </row>
    <row r="40346">
      <c r="B40346" s="612"/>
      <c r="H40346" s="612"/>
    </row>
    <row r="40347">
      <c r="B40347" s="612"/>
      <c r="H40347" s="612"/>
    </row>
    <row r="40348">
      <c r="B40348" s="612"/>
      <c r="H40348" s="612"/>
    </row>
    <row r="40349">
      <c r="B40349" s="612"/>
      <c r="H40349" s="612"/>
    </row>
    <row r="40350">
      <c r="B40350" s="612"/>
      <c r="H40350" s="612"/>
    </row>
    <row r="40351">
      <c r="B40351" s="612"/>
      <c r="H40351" s="612"/>
    </row>
    <row r="40352">
      <c r="B40352" s="612"/>
      <c r="H40352" s="612"/>
    </row>
    <row r="40353">
      <c r="B40353" s="612"/>
      <c r="H40353" s="612"/>
    </row>
    <row r="40354">
      <c r="B40354" s="612"/>
      <c r="H40354" s="612"/>
    </row>
    <row r="40355">
      <c r="B40355" s="612"/>
      <c r="H40355" s="612"/>
    </row>
    <row r="40356">
      <c r="B40356" s="612"/>
      <c r="H40356" s="612"/>
    </row>
    <row r="40357">
      <c r="B40357" s="612"/>
      <c r="H40357" s="612"/>
    </row>
    <row r="40358">
      <c r="B40358" s="612"/>
      <c r="H40358" s="612"/>
    </row>
    <row r="40359">
      <c r="B40359" s="612"/>
      <c r="H40359" s="612"/>
    </row>
    <row r="40360">
      <c r="B40360" s="612"/>
      <c r="H40360" s="612"/>
    </row>
    <row r="40361">
      <c r="B40361" s="612"/>
      <c r="H40361" s="612"/>
    </row>
    <row r="40362">
      <c r="B40362" s="612"/>
      <c r="H40362" s="612"/>
    </row>
    <row r="40363">
      <c r="B40363" s="612"/>
      <c r="H40363" s="612"/>
    </row>
    <row r="40364">
      <c r="B40364" s="612"/>
      <c r="H40364" s="612"/>
    </row>
    <row r="40365">
      <c r="B40365" s="612"/>
      <c r="H40365" s="612"/>
    </row>
    <row r="40366">
      <c r="B40366" s="612"/>
      <c r="H40366" s="612"/>
    </row>
    <row r="40367">
      <c r="B40367" s="612"/>
      <c r="H40367" s="612"/>
    </row>
    <row r="40368">
      <c r="B40368" s="612"/>
      <c r="H40368" s="612"/>
    </row>
    <row r="40369">
      <c r="B40369" s="612"/>
      <c r="H40369" s="612"/>
    </row>
    <row r="40370">
      <c r="B40370" s="612"/>
      <c r="H40370" s="612"/>
    </row>
    <row r="40371">
      <c r="B40371" s="612"/>
      <c r="H40371" s="612"/>
    </row>
    <row r="40372">
      <c r="B40372" s="612"/>
      <c r="H40372" s="612"/>
    </row>
    <row r="40373">
      <c r="B40373" s="612"/>
      <c r="H40373" s="612"/>
    </row>
    <row r="40374">
      <c r="B40374" s="612"/>
      <c r="H40374" s="612"/>
    </row>
    <row r="40375">
      <c r="B40375" s="612"/>
      <c r="H40375" s="612"/>
    </row>
    <row r="40376">
      <c r="B40376" s="612"/>
      <c r="H40376" s="612"/>
    </row>
    <row r="40377">
      <c r="B40377" s="612"/>
      <c r="H40377" s="612"/>
    </row>
    <row r="40378">
      <c r="B40378" s="612"/>
      <c r="H40378" s="612"/>
    </row>
    <row r="40379">
      <c r="B40379" s="612"/>
      <c r="H40379" s="612"/>
    </row>
    <row r="40380">
      <c r="B40380" s="612"/>
      <c r="H40380" s="612"/>
    </row>
    <row r="40381">
      <c r="B40381" s="612"/>
      <c r="H40381" s="612"/>
    </row>
    <row r="40382">
      <c r="B40382" s="612"/>
      <c r="H40382" s="612"/>
    </row>
    <row r="40383">
      <c r="B40383" s="612"/>
      <c r="H40383" s="612"/>
    </row>
    <row r="40384">
      <c r="B40384" s="612"/>
      <c r="H40384" s="612"/>
    </row>
    <row r="40385">
      <c r="B40385" s="612"/>
      <c r="H40385" s="612"/>
    </row>
    <row r="40386">
      <c r="B40386" s="612"/>
      <c r="H40386" s="612"/>
    </row>
    <row r="40387">
      <c r="B40387" s="612"/>
      <c r="H40387" s="612"/>
    </row>
    <row r="40388">
      <c r="B40388" s="612"/>
      <c r="H40388" s="612"/>
    </row>
    <row r="40389">
      <c r="B40389" s="612"/>
      <c r="H40389" s="612"/>
    </row>
    <row r="40390">
      <c r="B40390" s="612"/>
      <c r="H40390" s="612"/>
    </row>
    <row r="40391">
      <c r="B40391" s="612"/>
      <c r="H40391" s="612"/>
    </row>
    <row r="40392">
      <c r="B40392" s="612"/>
      <c r="H40392" s="612"/>
    </row>
    <row r="40393">
      <c r="B40393" s="612"/>
      <c r="H40393" s="612"/>
    </row>
    <row r="40394">
      <c r="B40394" s="612"/>
      <c r="H40394" s="612"/>
    </row>
    <row r="40395">
      <c r="B40395" s="612"/>
      <c r="H40395" s="612"/>
    </row>
    <row r="40396">
      <c r="B40396" s="612"/>
      <c r="H40396" s="612"/>
    </row>
    <row r="40397">
      <c r="B40397" s="612"/>
      <c r="H40397" s="612"/>
    </row>
    <row r="40398">
      <c r="B40398" s="612"/>
      <c r="H40398" s="612"/>
    </row>
    <row r="40399">
      <c r="B40399" s="612"/>
      <c r="H40399" s="612"/>
    </row>
    <row r="40400">
      <c r="B40400" s="612"/>
      <c r="H40400" s="612"/>
    </row>
    <row r="40401">
      <c r="B40401" s="612"/>
      <c r="H40401" s="612"/>
    </row>
    <row r="40402">
      <c r="B40402" s="612"/>
      <c r="H40402" s="612"/>
    </row>
    <row r="40403">
      <c r="B40403" s="612"/>
      <c r="H40403" s="612"/>
    </row>
    <row r="40404">
      <c r="B40404" s="612"/>
      <c r="H40404" s="612"/>
    </row>
    <row r="40405">
      <c r="B40405" s="612"/>
      <c r="H40405" s="612"/>
    </row>
    <row r="40406">
      <c r="B40406" s="612"/>
      <c r="H40406" s="612"/>
    </row>
    <row r="40407">
      <c r="B40407" s="612"/>
      <c r="H40407" s="612"/>
    </row>
    <row r="40408">
      <c r="B40408" s="612"/>
      <c r="H40408" s="612"/>
    </row>
    <row r="40409">
      <c r="B40409" s="612"/>
      <c r="H40409" s="612"/>
    </row>
    <row r="40410">
      <c r="B40410" s="612"/>
      <c r="H40410" s="612"/>
    </row>
    <row r="40411">
      <c r="B40411" s="612"/>
      <c r="H40411" s="612"/>
    </row>
    <row r="40412">
      <c r="B40412" s="612"/>
      <c r="H40412" s="612"/>
    </row>
    <row r="40413">
      <c r="B40413" s="612"/>
      <c r="H40413" s="612"/>
    </row>
    <row r="40414">
      <c r="B40414" s="612"/>
      <c r="H40414" s="612"/>
    </row>
    <row r="40415">
      <c r="B40415" s="612"/>
      <c r="H40415" s="612"/>
    </row>
    <row r="40416">
      <c r="B40416" s="612"/>
      <c r="H40416" s="612"/>
    </row>
    <row r="40417">
      <c r="B40417" s="612"/>
      <c r="H40417" s="612"/>
    </row>
    <row r="40418">
      <c r="B40418" s="612"/>
      <c r="H40418" s="612"/>
    </row>
    <row r="40419">
      <c r="B40419" s="612"/>
      <c r="H40419" s="612"/>
    </row>
    <row r="40420">
      <c r="B40420" s="612"/>
      <c r="H40420" s="612"/>
    </row>
    <row r="40421">
      <c r="B40421" s="612"/>
      <c r="H40421" s="612"/>
    </row>
    <row r="40422">
      <c r="B40422" s="612"/>
      <c r="H40422" s="612"/>
    </row>
    <row r="40423">
      <c r="B40423" s="612"/>
      <c r="H40423" s="612"/>
    </row>
    <row r="40424">
      <c r="B40424" s="612"/>
      <c r="H40424" s="612"/>
    </row>
    <row r="40425">
      <c r="B40425" s="612"/>
      <c r="H40425" s="612"/>
    </row>
    <row r="40426">
      <c r="B40426" s="612"/>
      <c r="H40426" s="612"/>
    </row>
    <row r="40427">
      <c r="B40427" s="612"/>
      <c r="H40427" s="612"/>
    </row>
    <row r="40428">
      <c r="B40428" s="612"/>
      <c r="H40428" s="612"/>
    </row>
    <row r="40429">
      <c r="B40429" s="612"/>
      <c r="H40429" s="612"/>
    </row>
    <row r="40430">
      <c r="B40430" s="612"/>
      <c r="H40430" s="612"/>
    </row>
    <row r="40431">
      <c r="B40431" s="612"/>
      <c r="H40431" s="612"/>
    </row>
    <row r="40432">
      <c r="B40432" s="612"/>
      <c r="H40432" s="612"/>
    </row>
    <row r="40433">
      <c r="B40433" s="612"/>
      <c r="H40433" s="612"/>
    </row>
    <row r="40434">
      <c r="B40434" s="612"/>
      <c r="H40434" s="612"/>
    </row>
    <row r="40435">
      <c r="B40435" s="612"/>
      <c r="H40435" s="612"/>
    </row>
    <row r="40436">
      <c r="B40436" s="612"/>
      <c r="H40436" s="612"/>
    </row>
    <row r="40437">
      <c r="B40437" s="612"/>
      <c r="H40437" s="612"/>
    </row>
    <row r="40438">
      <c r="B40438" s="612"/>
      <c r="H40438" s="612"/>
    </row>
    <row r="40439">
      <c r="B40439" s="612"/>
      <c r="H40439" s="612"/>
    </row>
    <row r="40440">
      <c r="B40440" s="612"/>
      <c r="H40440" s="612"/>
    </row>
    <row r="40441">
      <c r="B40441" s="612"/>
      <c r="H40441" s="612"/>
    </row>
    <row r="40442">
      <c r="B40442" s="612"/>
      <c r="H40442" s="612"/>
    </row>
    <row r="40443">
      <c r="B40443" s="612"/>
      <c r="H40443" s="612"/>
    </row>
    <row r="40444">
      <c r="B40444" s="612"/>
      <c r="H40444" s="612"/>
    </row>
    <row r="40445">
      <c r="B40445" s="612"/>
      <c r="H40445" s="612"/>
    </row>
    <row r="40446">
      <c r="B40446" s="612"/>
      <c r="H40446" s="612"/>
    </row>
    <row r="40447">
      <c r="B40447" s="612"/>
      <c r="H40447" s="612"/>
    </row>
    <row r="40448">
      <c r="B40448" s="612"/>
      <c r="H40448" s="612"/>
    </row>
    <row r="40449">
      <c r="B40449" s="612"/>
      <c r="H40449" s="612"/>
    </row>
    <row r="40450">
      <c r="B40450" s="612"/>
      <c r="H40450" s="612"/>
    </row>
    <row r="40451">
      <c r="B40451" s="612"/>
      <c r="H40451" s="612"/>
    </row>
    <row r="40452">
      <c r="B40452" s="612"/>
      <c r="H40452" s="612"/>
    </row>
    <row r="40453">
      <c r="B40453" s="612"/>
      <c r="H40453" s="612"/>
    </row>
    <row r="40454">
      <c r="B40454" s="612"/>
      <c r="H40454" s="612"/>
    </row>
    <row r="40455">
      <c r="B40455" s="612"/>
      <c r="H40455" s="612"/>
    </row>
    <row r="40456">
      <c r="B40456" s="612"/>
      <c r="H40456" s="612"/>
    </row>
    <row r="40457">
      <c r="B40457" s="612"/>
      <c r="H40457" s="612"/>
    </row>
    <row r="40458">
      <c r="B40458" s="612"/>
      <c r="H40458" s="612"/>
    </row>
    <row r="40459">
      <c r="B40459" s="612"/>
      <c r="H40459" s="612"/>
    </row>
    <row r="40460">
      <c r="B40460" s="612"/>
      <c r="H40460" s="612"/>
    </row>
    <row r="40461">
      <c r="B40461" s="612"/>
      <c r="H40461" s="612"/>
    </row>
    <row r="40462">
      <c r="B40462" s="612"/>
      <c r="H40462" s="612"/>
    </row>
    <row r="40463">
      <c r="B40463" s="612"/>
      <c r="H40463" s="612"/>
    </row>
    <row r="40464">
      <c r="B40464" s="612"/>
      <c r="H40464" s="612"/>
    </row>
    <row r="40465">
      <c r="B40465" s="612"/>
      <c r="H40465" s="612"/>
    </row>
    <row r="40466">
      <c r="B40466" s="612"/>
      <c r="H40466" s="612"/>
    </row>
    <row r="40467">
      <c r="B40467" s="612"/>
      <c r="H40467" s="612"/>
    </row>
    <row r="40468">
      <c r="B40468" s="612"/>
      <c r="H40468" s="612"/>
    </row>
    <row r="40469">
      <c r="B40469" s="612"/>
      <c r="H40469" s="612"/>
    </row>
    <row r="40470">
      <c r="B40470" s="612"/>
      <c r="H40470" s="612"/>
    </row>
    <row r="40471">
      <c r="B40471" s="612"/>
      <c r="H40471" s="612"/>
    </row>
    <row r="40472">
      <c r="B40472" s="612"/>
      <c r="H40472" s="612"/>
    </row>
    <row r="40473">
      <c r="B40473" s="612"/>
      <c r="H40473" s="612"/>
    </row>
    <row r="40474">
      <c r="B40474" s="612"/>
      <c r="H40474" s="612"/>
    </row>
    <row r="40475">
      <c r="B40475" s="612"/>
      <c r="H40475" s="612"/>
    </row>
    <row r="40476">
      <c r="B40476" s="612"/>
      <c r="H40476" s="612"/>
    </row>
    <row r="40477">
      <c r="B40477" s="612"/>
      <c r="H40477" s="612"/>
    </row>
    <row r="40478">
      <c r="B40478" s="612"/>
      <c r="H40478" s="612"/>
    </row>
    <row r="40479">
      <c r="B40479" s="612"/>
      <c r="H40479" s="612"/>
    </row>
    <row r="40480">
      <c r="B40480" s="612"/>
      <c r="H40480" s="612"/>
    </row>
    <row r="40481">
      <c r="B40481" s="612"/>
      <c r="H40481" s="612"/>
    </row>
    <row r="40482">
      <c r="B40482" s="612"/>
      <c r="H40482" s="612"/>
    </row>
    <row r="40483">
      <c r="B40483" s="612"/>
      <c r="H40483" s="612"/>
    </row>
    <row r="40484">
      <c r="B40484" s="612"/>
      <c r="H40484" s="612"/>
    </row>
    <row r="40485">
      <c r="B40485" s="612"/>
      <c r="H40485" s="612"/>
    </row>
    <row r="40486">
      <c r="B40486" s="612"/>
      <c r="H40486" s="612"/>
    </row>
    <row r="40487">
      <c r="B40487" s="612"/>
      <c r="H40487" s="612"/>
    </row>
    <row r="40488">
      <c r="B40488" s="612"/>
      <c r="H40488" s="612"/>
    </row>
    <row r="40489">
      <c r="B40489" s="612"/>
      <c r="H40489" s="612"/>
    </row>
    <row r="40490">
      <c r="B40490" s="612"/>
      <c r="H40490" s="612"/>
    </row>
    <row r="40491">
      <c r="B40491" s="612"/>
      <c r="H40491" s="612"/>
    </row>
    <row r="40492">
      <c r="B40492" s="612"/>
      <c r="H40492" s="612"/>
    </row>
    <row r="40493">
      <c r="B40493" s="612"/>
      <c r="H40493" s="612"/>
    </row>
    <row r="40494">
      <c r="B40494" s="612"/>
      <c r="H40494" s="612"/>
    </row>
    <row r="40495">
      <c r="B40495" s="612"/>
      <c r="H40495" s="612"/>
    </row>
    <row r="40496">
      <c r="B40496" s="612"/>
      <c r="H40496" s="612"/>
    </row>
    <row r="40497">
      <c r="B40497" s="612"/>
      <c r="H40497" s="612"/>
    </row>
    <row r="40498">
      <c r="B40498" s="612"/>
      <c r="H40498" s="612"/>
    </row>
    <row r="40499">
      <c r="B40499" s="612"/>
      <c r="H40499" s="612"/>
    </row>
    <row r="40500">
      <c r="B40500" s="612"/>
      <c r="H40500" s="612"/>
    </row>
    <row r="40501">
      <c r="B40501" s="612"/>
      <c r="H40501" s="612"/>
    </row>
    <row r="40502">
      <c r="B40502" s="612"/>
      <c r="H40502" s="612"/>
    </row>
    <row r="40503">
      <c r="B40503" s="612"/>
      <c r="H40503" s="612"/>
    </row>
    <row r="40504">
      <c r="B40504" s="612"/>
      <c r="H40504" s="612"/>
    </row>
    <row r="40505">
      <c r="B40505" s="612"/>
      <c r="H40505" s="612"/>
    </row>
    <row r="40506">
      <c r="B40506" s="612"/>
      <c r="H40506" s="612"/>
    </row>
    <row r="40507">
      <c r="B40507" s="612"/>
      <c r="H40507" s="612"/>
    </row>
    <row r="40508">
      <c r="B40508" s="612"/>
      <c r="H40508" s="612"/>
    </row>
    <row r="40509">
      <c r="B40509" s="612"/>
      <c r="H40509" s="612"/>
    </row>
    <row r="40510">
      <c r="B40510" s="612"/>
      <c r="H40510" s="612"/>
    </row>
    <row r="40511">
      <c r="B40511" s="612"/>
      <c r="H40511" s="612"/>
    </row>
    <row r="40512">
      <c r="B40512" s="612"/>
      <c r="H40512" s="612"/>
    </row>
    <row r="40513">
      <c r="B40513" s="612"/>
      <c r="H40513" s="612"/>
    </row>
    <row r="40514">
      <c r="B40514" s="612"/>
      <c r="H40514" s="612"/>
    </row>
    <row r="40515">
      <c r="B40515" s="612"/>
      <c r="H40515" s="612"/>
    </row>
    <row r="40516">
      <c r="B40516" s="612"/>
      <c r="H40516" s="612"/>
    </row>
    <row r="40517">
      <c r="B40517" s="612"/>
      <c r="H40517" s="612"/>
    </row>
    <row r="40518">
      <c r="B40518" s="612"/>
      <c r="H40518" s="612"/>
    </row>
    <row r="40519">
      <c r="B40519" s="612"/>
      <c r="H40519" s="612"/>
    </row>
    <row r="40520">
      <c r="B40520" s="612"/>
      <c r="H40520" s="612"/>
    </row>
    <row r="40521">
      <c r="B40521" s="612"/>
      <c r="H40521" s="612"/>
    </row>
    <row r="40522">
      <c r="B40522" s="612"/>
      <c r="H40522" s="612"/>
    </row>
    <row r="40523">
      <c r="B40523" s="612"/>
      <c r="H40523" s="612"/>
    </row>
    <row r="40524">
      <c r="B40524" s="612"/>
      <c r="H40524" s="612"/>
    </row>
    <row r="40525">
      <c r="B40525" s="612"/>
      <c r="H40525" s="612"/>
    </row>
    <row r="40526">
      <c r="B40526" s="612"/>
      <c r="H40526" s="612"/>
    </row>
    <row r="40527">
      <c r="B40527" s="612"/>
      <c r="H40527" s="612"/>
    </row>
    <row r="40528">
      <c r="B40528" s="612"/>
      <c r="H40528" s="612"/>
    </row>
    <row r="40529">
      <c r="B40529" s="612"/>
      <c r="H40529" s="612"/>
    </row>
    <row r="40530">
      <c r="B40530" s="612"/>
      <c r="H40530" s="612"/>
    </row>
    <row r="40531">
      <c r="B40531" s="612"/>
      <c r="H40531" s="612"/>
    </row>
    <row r="40532">
      <c r="B40532" s="612"/>
      <c r="H40532" s="612"/>
    </row>
    <row r="40533">
      <c r="B40533" s="612"/>
      <c r="H40533" s="612"/>
    </row>
    <row r="40534">
      <c r="B40534" s="612"/>
      <c r="H40534" s="612"/>
    </row>
    <row r="40535">
      <c r="B40535" s="612"/>
      <c r="H40535" s="612"/>
    </row>
    <row r="40536">
      <c r="B40536" s="612"/>
      <c r="H40536" s="612"/>
    </row>
    <row r="40537">
      <c r="B40537" s="612"/>
      <c r="H40537" s="612"/>
    </row>
    <row r="40538">
      <c r="B40538" s="612"/>
      <c r="H40538" s="612"/>
    </row>
    <row r="40539">
      <c r="B40539" s="612"/>
      <c r="H40539" s="612"/>
    </row>
    <row r="40540">
      <c r="B40540" s="612"/>
      <c r="H40540" s="612"/>
    </row>
    <row r="40541">
      <c r="B40541" s="612"/>
      <c r="H40541" s="612"/>
    </row>
    <row r="40542">
      <c r="B40542" s="612"/>
      <c r="H40542" s="612"/>
    </row>
    <row r="40543">
      <c r="B40543" s="612"/>
      <c r="H40543" s="612"/>
    </row>
    <row r="40544">
      <c r="B40544" s="612"/>
      <c r="H40544" s="612"/>
    </row>
    <row r="40545">
      <c r="B40545" s="612"/>
      <c r="H40545" s="612"/>
    </row>
    <row r="40546">
      <c r="B40546" s="612"/>
      <c r="H40546" s="612"/>
    </row>
    <row r="40547">
      <c r="B40547" s="612"/>
      <c r="H40547" s="612"/>
    </row>
    <row r="40548">
      <c r="B40548" s="612"/>
      <c r="H40548" s="612"/>
    </row>
    <row r="40549">
      <c r="B40549" s="612"/>
      <c r="H40549" s="612"/>
    </row>
    <row r="40550">
      <c r="B40550" s="612"/>
      <c r="H40550" s="612"/>
    </row>
    <row r="40551">
      <c r="B40551" s="612"/>
      <c r="H40551" s="612"/>
    </row>
    <row r="40552">
      <c r="B40552" s="612"/>
      <c r="H40552" s="612"/>
    </row>
    <row r="40553">
      <c r="B40553" s="612"/>
      <c r="H40553" s="612"/>
    </row>
    <row r="40554">
      <c r="B40554" s="612"/>
      <c r="H40554" s="612"/>
    </row>
    <row r="40555">
      <c r="B40555" s="612"/>
      <c r="H40555" s="612"/>
    </row>
    <row r="40556">
      <c r="B40556" s="612"/>
      <c r="H40556" s="612"/>
    </row>
    <row r="40557">
      <c r="B40557" s="612"/>
      <c r="H40557" s="612"/>
    </row>
    <row r="40558">
      <c r="B40558" s="612"/>
      <c r="H40558" s="612"/>
    </row>
    <row r="40559">
      <c r="B40559" s="612"/>
      <c r="H40559" s="612"/>
    </row>
    <row r="40560">
      <c r="B40560" s="612"/>
      <c r="H40560" s="612"/>
    </row>
    <row r="40561">
      <c r="B40561" s="612"/>
      <c r="H40561" s="612"/>
    </row>
    <row r="40562">
      <c r="B40562" s="612"/>
      <c r="H40562" s="612"/>
    </row>
    <row r="40563">
      <c r="B40563" s="612"/>
      <c r="H40563" s="612"/>
    </row>
    <row r="40564">
      <c r="B40564" s="612"/>
      <c r="H40564" s="612"/>
    </row>
    <row r="40565">
      <c r="B40565" s="612"/>
      <c r="H40565" s="612"/>
    </row>
    <row r="40566">
      <c r="B40566" s="612"/>
      <c r="H40566" s="612"/>
    </row>
    <row r="40567">
      <c r="B40567" s="612"/>
      <c r="H40567" s="612"/>
    </row>
    <row r="40568">
      <c r="B40568" s="612"/>
      <c r="H40568" s="612"/>
    </row>
    <row r="40569">
      <c r="B40569" s="612"/>
      <c r="H40569" s="612"/>
    </row>
    <row r="40570">
      <c r="B40570" s="612"/>
      <c r="H40570" s="612"/>
    </row>
    <row r="40571">
      <c r="B40571" s="612"/>
      <c r="H40571" s="612"/>
    </row>
    <row r="40572">
      <c r="B40572" s="612"/>
      <c r="H40572" s="612"/>
    </row>
    <row r="40573">
      <c r="B40573" s="612"/>
      <c r="H40573" s="612"/>
    </row>
    <row r="40574">
      <c r="B40574" s="612"/>
      <c r="H40574" s="612"/>
    </row>
    <row r="40575">
      <c r="B40575" s="612"/>
      <c r="H40575" s="612"/>
    </row>
    <row r="40576">
      <c r="B40576" s="612"/>
      <c r="H40576" s="612"/>
    </row>
    <row r="40577">
      <c r="B40577" s="612"/>
      <c r="H40577" s="612"/>
    </row>
    <row r="40578">
      <c r="B40578" s="612"/>
      <c r="H40578" s="612"/>
    </row>
    <row r="40579">
      <c r="B40579" s="612"/>
      <c r="H40579" s="612"/>
    </row>
    <row r="40580">
      <c r="B40580" s="612"/>
      <c r="H40580" s="612"/>
    </row>
    <row r="40581">
      <c r="B40581" s="612"/>
      <c r="H40581" s="612"/>
    </row>
    <row r="40582">
      <c r="B40582" s="612"/>
      <c r="H40582" s="612"/>
    </row>
    <row r="40583">
      <c r="B40583" s="612"/>
      <c r="H40583" s="612"/>
    </row>
    <row r="40584">
      <c r="B40584" s="612"/>
      <c r="H40584" s="612"/>
    </row>
    <row r="40585">
      <c r="B40585" s="612"/>
      <c r="H40585" s="612"/>
    </row>
    <row r="40586">
      <c r="B40586" s="612"/>
      <c r="H40586" s="612"/>
    </row>
    <row r="40587">
      <c r="B40587" s="612"/>
      <c r="H40587" s="612"/>
    </row>
    <row r="40588">
      <c r="B40588" s="612"/>
      <c r="H40588" s="612"/>
    </row>
    <row r="40589">
      <c r="B40589" s="612"/>
      <c r="H40589" s="612"/>
    </row>
    <row r="40590">
      <c r="B40590" s="612"/>
      <c r="H40590" s="612"/>
    </row>
    <row r="40591">
      <c r="B40591" s="612"/>
      <c r="H40591" s="612"/>
    </row>
    <row r="40592">
      <c r="B40592" s="612"/>
      <c r="H40592" s="612"/>
    </row>
    <row r="40593">
      <c r="B40593" s="612"/>
      <c r="H40593" s="612"/>
    </row>
    <row r="40594">
      <c r="B40594" s="612"/>
      <c r="H40594" s="612"/>
    </row>
    <row r="40595">
      <c r="B40595" s="612"/>
      <c r="H40595" s="612"/>
    </row>
    <row r="40596">
      <c r="B40596" s="612"/>
      <c r="H40596" s="612"/>
    </row>
    <row r="40597">
      <c r="B40597" s="612"/>
      <c r="H40597" s="612"/>
    </row>
    <row r="40598">
      <c r="B40598" s="612"/>
      <c r="H40598" s="612"/>
    </row>
    <row r="40599">
      <c r="B40599" s="612"/>
      <c r="H40599" s="612"/>
    </row>
    <row r="40600">
      <c r="B40600" s="612"/>
      <c r="H40600" s="612"/>
    </row>
    <row r="40601">
      <c r="B40601" s="612"/>
      <c r="H40601" s="612"/>
    </row>
    <row r="40602">
      <c r="B40602" s="612"/>
      <c r="H40602" s="612"/>
    </row>
    <row r="40603">
      <c r="B40603" s="612"/>
      <c r="H40603" s="612"/>
    </row>
    <row r="40604">
      <c r="B40604" s="612"/>
      <c r="H40604" s="612"/>
    </row>
    <row r="40605">
      <c r="B40605" s="612"/>
      <c r="H40605" s="612"/>
    </row>
    <row r="40606">
      <c r="B40606" s="612"/>
      <c r="H40606" s="612"/>
    </row>
    <row r="40607">
      <c r="B40607" s="612"/>
      <c r="H40607" s="612"/>
    </row>
    <row r="40608">
      <c r="B40608" s="612"/>
      <c r="H40608" s="612"/>
    </row>
    <row r="40609">
      <c r="B40609" s="612"/>
      <c r="H40609" s="612"/>
    </row>
    <row r="40610">
      <c r="B40610" s="612"/>
      <c r="H40610" s="612"/>
    </row>
    <row r="40611">
      <c r="B40611" s="612"/>
      <c r="H40611" s="612"/>
    </row>
    <row r="40612">
      <c r="B40612" s="612"/>
      <c r="H40612" s="612"/>
    </row>
    <row r="40613">
      <c r="B40613" s="612"/>
      <c r="H40613" s="612"/>
    </row>
    <row r="40614">
      <c r="B40614" s="612"/>
      <c r="H40614" s="612"/>
    </row>
    <row r="40615">
      <c r="B40615" s="612"/>
      <c r="H40615" s="612"/>
    </row>
    <row r="40616">
      <c r="B40616" s="612"/>
      <c r="H40616" s="612"/>
    </row>
    <row r="40617">
      <c r="B40617" s="612"/>
      <c r="H40617" s="612"/>
    </row>
    <row r="40618">
      <c r="B40618" s="612"/>
      <c r="H40618" s="612"/>
    </row>
    <row r="40619">
      <c r="B40619" s="612"/>
      <c r="H40619" s="612"/>
    </row>
    <row r="40620">
      <c r="B40620" s="612"/>
      <c r="H40620" s="612"/>
    </row>
    <row r="40621">
      <c r="B40621" s="612"/>
      <c r="H40621" s="612"/>
    </row>
    <row r="40622">
      <c r="B40622" s="612"/>
      <c r="H40622" s="612"/>
    </row>
    <row r="40623">
      <c r="B40623" s="612"/>
      <c r="H40623" s="612"/>
    </row>
    <row r="40624">
      <c r="B40624" s="612"/>
      <c r="H40624" s="612"/>
    </row>
    <row r="40625">
      <c r="B40625" s="612"/>
      <c r="H40625" s="612"/>
    </row>
    <row r="40626">
      <c r="B40626" s="612"/>
      <c r="H40626" s="612"/>
    </row>
    <row r="40627">
      <c r="B40627" s="612"/>
      <c r="H40627" s="612"/>
    </row>
    <row r="40628">
      <c r="B40628" s="612"/>
      <c r="H40628" s="612"/>
    </row>
    <row r="40629">
      <c r="B40629" s="612"/>
      <c r="H40629" s="612"/>
    </row>
    <row r="40630">
      <c r="B40630" s="612"/>
      <c r="H40630" s="612"/>
    </row>
    <row r="40631">
      <c r="B40631" s="612"/>
      <c r="H40631" s="612"/>
    </row>
    <row r="40632">
      <c r="B40632" s="612"/>
      <c r="H40632" s="612"/>
    </row>
    <row r="40633">
      <c r="B40633" s="612"/>
      <c r="H40633" s="612"/>
    </row>
    <row r="40634">
      <c r="B40634" s="612"/>
      <c r="H40634" s="612"/>
    </row>
    <row r="40635">
      <c r="B40635" s="612"/>
      <c r="H40635" s="612"/>
    </row>
    <row r="40636">
      <c r="B40636" s="612"/>
      <c r="H40636" s="612"/>
    </row>
    <row r="40637">
      <c r="B40637" s="612"/>
      <c r="H40637" s="612"/>
    </row>
    <row r="40638">
      <c r="B40638" s="612"/>
      <c r="H40638" s="612"/>
    </row>
    <row r="40639">
      <c r="B40639" s="612"/>
      <c r="H40639" s="612"/>
    </row>
    <row r="40640">
      <c r="B40640" s="612"/>
      <c r="H40640" s="612"/>
    </row>
    <row r="40641">
      <c r="B40641" s="612"/>
      <c r="H40641" s="612"/>
    </row>
    <row r="40642">
      <c r="B40642" s="612"/>
      <c r="H40642" s="612"/>
    </row>
    <row r="40643">
      <c r="B40643" s="612"/>
      <c r="H40643" s="612"/>
    </row>
    <row r="40644">
      <c r="B40644" s="612"/>
      <c r="H40644" s="612"/>
    </row>
    <row r="40645">
      <c r="B40645" s="612"/>
      <c r="H40645" s="612"/>
    </row>
    <row r="40646">
      <c r="B40646" s="612"/>
      <c r="H40646" s="612"/>
    </row>
    <row r="40647">
      <c r="B40647" s="612"/>
      <c r="H40647" s="612"/>
    </row>
    <row r="40648">
      <c r="B40648" s="612"/>
      <c r="H40648" s="612"/>
    </row>
    <row r="40649">
      <c r="B40649" s="612"/>
      <c r="H40649" s="612"/>
    </row>
    <row r="40650">
      <c r="B40650" s="612"/>
      <c r="H40650" s="612"/>
    </row>
    <row r="40651">
      <c r="B40651" s="612"/>
      <c r="H40651" s="612"/>
    </row>
    <row r="40652">
      <c r="B40652" s="612"/>
      <c r="H40652" s="612"/>
    </row>
    <row r="40653">
      <c r="B40653" s="612"/>
      <c r="H40653" s="612"/>
    </row>
    <row r="40654">
      <c r="B40654" s="612"/>
      <c r="H40654" s="612"/>
    </row>
    <row r="40655">
      <c r="B40655" s="612"/>
      <c r="H40655" s="612"/>
    </row>
    <row r="40656">
      <c r="B40656" s="612"/>
      <c r="H40656" s="612"/>
    </row>
    <row r="40657">
      <c r="B40657" s="612"/>
      <c r="H40657" s="612"/>
    </row>
    <row r="40658">
      <c r="B40658" s="612"/>
      <c r="H40658" s="612"/>
    </row>
    <row r="40659">
      <c r="B40659" s="612"/>
      <c r="H40659" s="612"/>
    </row>
    <row r="40660">
      <c r="B40660" s="612"/>
      <c r="H40660" s="612"/>
    </row>
    <row r="40661">
      <c r="B40661" s="612"/>
      <c r="H40661" s="612"/>
    </row>
    <row r="40662">
      <c r="B40662" s="612"/>
      <c r="H40662" s="612"/>
    </row>
    <row r="40663">
      <c r="B40663" s="612"/>
      <c r="H40663" s="612"/>
    </row>
    <row r="40664">
      <c r="B40664" s="612"/>
      <c r="H40664" s="612"/>
    </row>
    <row r="40665">
      <c r="B40665" s="612"/>
      <c r="H40665" s="612"/>
    </row>
    <row r="40666">
      <c r="B40666" s="612"/>
      <c r="H40666" s="612"/>
    </row>
    <row r="40667">
      <c r="B40667" s="612"/>
      <c r="H40667" s="612"/>
    </row>
    <row r="40668">
      <c r="B40668" s="612"/>
      <c r="H40668" s="612"/>
    </row>
    <row r="40669">
      <c r="B40669" s="612"/>
      <c r="H40669" s="612"/>
    </row>
    <row r="40670">
      <c r="B40670" s="612"/>
      <c r="H40670" s="612"/>
    </row>
    <row r="40671">
      <c r="B40671" s="612"/>
      <c r="H40671" s="612"/>
    </row>
    <row r="40672">
      <c r="B40672" s="612"/>
      <c r="H40672" s="612"/>
    </row>
    <row r="40673">
      <c r="B40673" s="612"/>
      <c r="H40673" s="612"/>
    </row>
    <row r="40674">
      <c r="B40674" s="612"/>
      <c r="H40674" s="612"/>
    </row>
    <row r="40675">
      <c r="B40675" s="612"/>
      <c r="H40675" s="612"/>
    </row>
    <row r="40676">
      <c r="B40676" s="612"/>
      <c r="H40676" s="612"/>
    </row>
    <row r="40677">
      <c r="B40677" s="612"/>
      <c r="H40677" s="612"/>
    </row>
    <row r="40678">
      <c r="B40678" s="612"/>
      <c r="H40678" s="612"/>
    </row>
    <row r="40679">
      <c r="B40679" s="612"/>
      <c r="H40679" s="612"/>
    </row>
    <row r="40680">
      <c r="B40680" s="612"/>
      <c r="H40680" s="612"/>
    </row>
    <row r="40681">
      <c r="B40681" s="612"/>
      <c r="H40681" s="612"/>
    </row>
    <row r="40682">
      <c r="B40682" s="612"/>
      <c r="H40682" s="612"/>
    </row>
    <row r="40683">
      <c r="B40683" s="612"/>
      <c r="H40683" s="612"/>
    </row>
    <row r="40684">
      <c r="B40684" s="612"/>
      <c r="H40684" s="612"/>
    </row>
    <row r="40685">
      <c r="B40685" s="612"/>
      <c r="H40685" s="612"/>
    </row>
    <row r="40686">
      <c r="B40686" s="612"/>
      <c r="H40686" s="612"/>
    </row>
    <row r="40687">
      <c r="B40687" s="612"/>
      <c r="H40687" s="612"/>
    </row>
    <row r="40688">
      <c r="B40688" s="612"/>
      <c r="H40688" s="612"/>
    </row>
    <row r="40689">
      <c r="B40689" s="612"/>
      <c r="H40689" s="612"/>
    </row>
    <row r="40690">
      <c r="B40690" s="612"/>
      <c r="H40690" s="612"/>
    </row>
    <row r="40691">
      <c r="B40691" s="612"/>
      <c r="H40691" s="612"/>
    </row>
    <row r="40692">
      <c r="B40692" s="612"/>
      <c r="H40692" s="612"/>
    </row>
    <row r="40693">
      <c r="B40693" s="612"/>
      <c r="H40693" s="612"/>
    </row>
    <row r="40694">
      <c r="B40694" s="612"/>
      <c r="H40694" s="612"/>
    </row>
    <row r="40695">
      <c r="B40695" s="612"/>
      <c r="H40695" s="612"/>
    </row>
    <row r="40696">
      <c r="B40696" s="612"/>
      <c r="H40696" s="612"/>
    </row>
    <row r="40697">
      <c r="B40697" s="612"/>
      <c r="H40697" s="612"/>
    </row>
    <row r="40698">
      <c r="B40698" s="612"/>
      <c r="H40698" s="612"/>
    </row>
    <row r="40699">
      <c r="B40699" s="612"/>
      <c r="H40699" s="612"/>
    </row>
    <row r="40700">
      <c r="B40700" s="612"/>
      <c r="H40700" s="612"/>
    </row>
    <row r="40701">
      <c r="B40701" s="612"/>
      <c r="H40701" s="612"/>
    </row>
    <row r="40702">
      <c r="B40702" s="612"/>
      <c r="H40702" s="612"/>
    </row>
    <row r="40703">
      <c r="B40703" s="612"/>
      <c r="H40703" s="612"/>
    </row>
    <row r="40704">
      <c r="B40704" s="612"/>
      <c r="H40704" s="612"/>
    </row>
    <row r="40705">
      <c r="B40705" s="612"/>
      <c r="H40705" s="612"/>
    </row>
    <row r="40706">
      <c r="B40706" s="612"/>
      <c r="H40706" s="612"/>
    </row>
    <row r="40707">
      <c r="B40707" s="612"/>
      <c r="H40707" s="612"/>
    </row>
    <row r="40708">
      <c r="B40708" s="612"/>
      <c r="H40708" s="612"/>
    </row>
    <row r="40709">
      <c r="B40709" s="612"/>
      <c r="H40709" s="612"/>
    </row>
    <row r="40710">
      <c r="B40710" s="612"/>
      <c r="H40710" s="612"/>
    </row>
    <row r="40711">
      <c r="B40711" s="612"/>
      <c r="H40711" s="612"/>
    </row>
    <row r="40712">
      <c r="B40712" s="612"/>
      <c r="H40712" s="612"/>
    </row>
    <row r="40713">
      <c r="B40713" s="612"/>
      <c r="H40713" s="612"/>
    </row>
    <row r="40714">
      <c r="B40714" s="612"/>
      <c r="H40714" s="612"/>
    </row>
    <row r="40715">
      <c r="B40715" s="612"/>
      <c r="H40715" s="612"/>
    </row>
    <row r="40716">
      <c r="B40716" s="612"/>
      <c r="H40716" s="612"/>
    </row>
    <row r="40717">
      <c r="B40717" s="612"/>
      <c r="H40717" s="612"/>
    </row>
    <row r="40718">
      <c r="B40718" s="612"/>
      <c r="H40718" s="612"/>
    </row>
    <row r="40719">
      <c r="B40719" s="612"/>
      <c r="H40719" s="612"/>
    </row>
    <row r="40720">
      <c r="B40720" s="612"/>
      <c r="H40720" s="612"/>
    </row>
    <row r="40721">
      <c r="B40721" s="612"/>
      <c r="H40721" s="612"/>
    </row>
    <row r="40722">
      <c r="B40722" s="612"/>
      <c r="H40722" s="612"/>
    </row>
    <row r="40723">
      <c r="B40723" s="612"/>
      <c r="H40723" s="612"/>
    </row>
    <row r="40724">
      <c r="B40724" s="612"/>
      <c r="H40724" s="612"/>
    </row>
    <row r="40725">
      <c r="B40725" s="612"/>
      <c r="H40725" s="612"/>
    </row>
    <row r="40726">
      <c r="B40726" s="612"/>
      <c r="H40726" s="612"/>
    </row>
    <row r="40727">
      <c r="B40727" s="612"/>
      <c r="H40727" s="612"/>
    </row>
    <row r="40728">
      <c r="B40728" s="612"/>
      <c r="H40728" s="612"/>
    </row>
    <row r="40729">
      <c r="B40729" s="612"/>
      <c r="H40729" s="612"/>
    </row>
    <row r="40730">
      <c r="B40730" s="612"/>
      <c r="H40730" s="612"/>
    </row>
    <row r="40731">
      <c r="B40731" s="612"/>
      <c r="H40731" s="612"/>
    </row>
    <row r="40732">
      <c r="B40732" s="612"/>
      <c r="H40732" s="612"/>
    </row>
    <row r="40733">
      <c r="B40733" s="612"/>
      <c r="H40733" s="612"/>
    </row>
    <row r="40734">
      <c r="B40734" s="612"/>
      <c r="H40734" s="612"/>
    </row>
    <row r="40735">
      <c r="B40735" s="612"/>
      <c r="H40735" s="612"/>
    </row>
    <row r="40736">
      <c r="B40736" s="612"/>
      <c r="H40736" s="612"/>
    </row>
    <row r="40737">
      <c r="B40737" s="612"/>
      <c r="H40737" s="612"/>
    </row>
    <row r="40738">
      <c r="B40738" s="612"/>
      <c r="H40738" s="612"/>
    </row>
    <row r="40739">
      <c r="B40739" s="612"/>
      <c r="H40739" s="612"/>
    </row>
    <row r="40740">
      <c r="B40740" s="612"/>
      <c r="H40740" s="612"/>
    </row>
    <row r="40741">
      <c r="B40741" s="612"/>
      <c r="H40741" s="612"/>
    </row>
    <row r="40742">
      <c r="B40742" s="612"/>
      <c r="H40742" s="612"/>
    </row>
    <row r="40743">
      <c r="B40743" s="612"/>
      <c r="H40743" s="612"/>
    </row>
    <row r="40744">
      <c r="B40744" s="612"/>
      <c r="H40744" s="612"/>
    </row>
    <row r="40745">
      <c r="B40745" s="612"/>
      <c r="H40745" s="612"/>
    </row>
    <row r="40746">
      <c r="B40746" s="612"/>
      <c r="H40746" s="612"/>
    </row>
    <row r="40747">
      <c r="B40747" s="612"/>
      <c r="H40747" s="612"/>
    </row>
    <row r="40748">
      <c r="B40748" s="612"/>
      <c r="H40748" s="612"/>
    </row>
    <row r="40749">
      <c r="B40749" s="612"/>
      <c r="H40749" s="612"/>
    </row>
    <row r="40750">
      <c r="B40750" s="612"/>
      <c r="H40750" s="612"/>
    </row>
    <row r="40751">
      <c r="B40751" s="612"/>
      <c r="H40751" s="612"/>
    </row>
    <row r="40752">
      <c r="B40752" s="612"/>
      <c r="H40752" s="612"/>
    </row>
    <row r="40753">
      <c r="B40753" s="612"/>
      <c r="H40753" s="612"/>
    </row>
    <row r="40754">
      <c r="B40754" s="612"/>
      <c r="H40754" s="612"/>
    </row>
    <row r="40755">
      <c r="B40755" s="612"/>
      <c r="H40755" s="612"/>
    </row>
    <row r="40756">
      <c r="B40756" s="612"/>
      <c r="H40756" s="612"/>
    </row>
    <row r="40757">
      <c r="B40757" s="612"/>
      <c r="H40757" s="612"/>
    </row>
    <row r="40758">
      <c r="B40758" s="612"/>
      <c r="H40758" s="612"/>
    </row>
    <row r="40759">
      <c r="B40759" s="612"/>
      <c r="H40759" s="612"/>
    </row>
    <row r="40760">
      <c r="B40760" s="612"/>
      <c r="H40760" s="612"/>
    </row>
    <row r="40761">
      <c r="B40761" s="612"/>
      <c r="H40761" s="612"/>
    </row>
    <row r="40762">
      <c r="B40762" s="612"/>
      <c r="H40762" s="612"/>
    </row>
    <row r="40763">
      <c r="B40763" s="612"/>
      <c r="H40763" s="612"/>
    </row>
    <row r="40764">
      <c r="B40764" s="612"/>
      <c r="H40764" s="612"/>
    </row>
    <row r="40765">
      <c r="B40765" s="612"/>
      <c r="H40765" s="612"/>
    </row>
    <row r="40766">
      <c r="B40766" s="612"/>
      <c r="H40766" s="612"/>
    </row>
    <row r="40767">
      <c r="B40767" s="612"/>
      <c r="H40767" s="612"/>
    </row>
    <row r="40768">
      <c r="B40768" s="612"/>
      <c r="H40768" s="612"/>
    </row>
    <row r="40769">
      <c r="B40769" s="612"/>
      <c r="H40769" s="612"/>
    </row>
    <row r="40770">
      <c r="B40770" s="612"/>
      <c r="H40770" s="612"/>
    </row>
    <row r="40771">
      <c r="B40771" s="612"/>
      <c r="H40771" s="612"/>
    </row>
    <row r="40772">
      <c r="B40772" s="612"/>
      <c r="H40772" s="612"/>
    </row>
    <row r="40773">
      <c r="B40773" s="612"/>
      <c r="H40773" s="612"/>
    </row>
    <row r="40774">
      <c r="B40774" s="612"/>
      <c r="H40774" s="612"/>
    </row>
    <row r="40775">
      <c r="B40775" s="612"/>
      <c r="H40775" s="612"/>
    </row>
    <row r="40776">
      <c r="B40776" s="612"/>
      <c r="H40776" s="612"/>
    </row>
    <row r="40777">
      <c r="B40777" s="612"/>
      <c r="H40777" s="612"/>
    </row>
    <row r="40778">
      <c r="B40778" s="612"/>
      <c r="H40778" s="612"/>
    </row>
    <row r="40779">
      <c r="B40779" s="612"/>
      <c r="H40779" s="612"/>
    </row>
    <row r="40780">
      <c r="B40780" s="612"/>
      <c r="H40780" s="612"/>
    </row>
    <row r="40781">
      <c r="B40781" s="612"/>
      <c r="H40781" s="612"/>
    </row>
    <row r="40782">
      <c r="B40782" s="612"/>
      <c r="H40782" s="612"/>
    </row>
    <row r="40783">
      <c r="B40783" s="612"/>
      <c r="H40783" s="612"/>
    </row>
    <row r="40784">
      <c r="B40784" s="612"/>
      <c r="H40784" s="612"/>
    </row>
    <row r="40785">
      <c r="B40785" s="612"/>
      <c r="H40785" s="612"/>
    </row>
    <row r="40786">
      <c r="B40786" s="612"/>
      <c r="H40786" s="612"/>
    </row>
    <row r="40787">
      <c r="B40787" s="612"/>
      <c r="H40787" s="612"/>
    </row>
    <row r="40788">
      <c r="B40788" s="612"/>
      <c r="H40788" s="612"/>
    </row>
    <row r="40789">
      <c r="B40789" s="612"/>
      <c r="H40789" s="612"/>
    </row>
    <row r="40790">
      <c r="B40790" s="612"/>
      <c r="H40790" s="612"/>
    </row>
    <row r="40791">
      <c r="B40791" s="612"/>
      <c r="H40791" s="612"/>
    </row>
    <row r="40792">
      <c r="B40792" s="612"/>
      <c r="H40792" s="612"/>
    </row>
    <row r="40793">
      <c r="B40793" s="612"/>
      <c r="H40793" s="612"/>
    </row>
    <row r="40794">
      <c r="B40794" s="612"/>
      <c r="H40794" s="612"/>
    </row>
    <row r="40795">
      <c r="B40795" s="612"/>
      <c r="H40795" s="612"/>
    </row>
    <row r="40796">
      <c r="B40796" s="612"/>
      <c r="H40796" s="612"/>
    </row>
    <row r="40797">
      <c r="B40797" s="612"/>
      <c r="H40797" s="612"/>
    </row>
    <row r="40798">
      <c r="B40798" s="612"/>
      <c r="H40798" s="612"/>
    </row>
    <row r="40799">
      <c r="B40799" s="612"/>
      <c r="H40799" s="612"/>
    </row>
    <row r="40800">
      <c r="B40800" s="612"/>
      <c r="H40800" s="612"/>
    </row>
    <row r="40801">
      <c r="B40801" s="612"/>
      <c r="H40801" s="612"/>
    </row>
    <row r="40802">
      <c r="B40802" s="612"/>
      <c r="H40802" s="612"/>
    </row>
    <row r="40803">
      <c r="B40803" s="612"/>
      <c r="H40803" s="612"/>
    </row>
    <row r="40804">
      <c r="B40804" s="612"/>
      <c r="H40804" s="612"/>
    </row>
    <row r="40805">
      <c r="B40805" s="612"/>
      <c r="H40805" s="612"/>
    </row>
    <row r="40806">
      <c r="B40806" s="612"/>
      <c r="H40806" s="612"/>
    </row>
    <row r="40807">
      <c r="B40807" s="612"/>
      <c r="H40807" s="612"/>
    </row>
    <row r="40808">
      <c r="B40808" s="612"/>
      <c r="H40808" s="612"/>
    </row>
    <row r="40809">
      <c r="B40809" s="612"/>
      <c r="H40809" s="612"/>
    </row>
    <row r="40810">
      <c r="B40810" s="612"/>
      <c r="H40810" s="612"/>
    </row>
    <row r="40811">
      <c r="B40811" s="612"/>
      <c r="H40811" s="612"/>
    </row>
    <row r="40812">
      <c r="B40812" s="612"/>
      <c r="H40812" s="612"/>
    </row>
    <row r="40813">
      <c r="B40813" s="612"/>
      <c r="H40813" s="612"/>
    </row>
    <row r="40814">
      <c r="B40814" s="612"/>
      <c r="H40814" s="612"/>
    </row>
    <row r="40815">
      <c r="B40815" s="612"/>
      <c r="H40815" s="612"/>
    </row>
    <row r="40816">
      <c r="B40816" s="612"/>
      <c r="H40816" s="612"/>
    </row>
    <row r="40817">
      <c r="B40817" s="612"/>
      <c r="H40817" s="612"/>
    </row>
    <row r="40818">
      <c r="B40818" s="612"/>
      <c r="H40818" s="612"/>
    </row>
    <row r="40819">
      <c r="B40819" s="612"/>
      <c r="H40819" s="612"/>
    </row>
    <row r="40820">
      <c r="B40820" s="612"/>
      <c r="H40820" s="612"/>
    </row>
    <row r="40821">
      <c r="B40821" s="612"/>
      <c r="H40821" s="612"/>
    </row>
    <row r="40822">
      <c r="B40822" s="612"/>
      <c r="H40822" s="612"/>
    </row>
    <row r="40823">
      <c r="B40823" s="612"/>
      <c r="H40823" s="612"/>
    </row>
    <row r="40824">
      <c r="B40824" s="612"/>
      <c r="H40824" s="612"/>
    </row>
    <row r="40825">
      <c r="B40825" s="612"/>
      <c r="H40825" s="612"/>
    </row>
    <row r="40826">
      <c r="B40826" s="612"/>
      <c r="H40826" s="612"/>
    </row>
    <row r="40827">
      <c r="B40827" s="612"/>
      <c r="H40827" s="612"/>
    </row>
    <row r="40828">
      <c r="B40828" s="612"/>
      <c r="H40828" s="612"/>
    </row>
    <row r="40829">
      <c r="B40829" s="612"/>
      <c r="H40829" s="612"/>
    </row>
    <row r="40830">
      <c r="B40830" s="612"/>
      <c r="H40830" s="612"/>
    </row>
    <row r="40831">
      <c r="B40831" s="612"/>
      <c r="H40831" s="612"/>
    </row>
    <row r="40832">
      <c r="B40832" s="612"/>
      <c r="H40832" s="612"/>
    </row>
    <row r="40833">
      <c r="B40833" s="612"/>
      <c r="H40833" s="612"/>
    </row>
    <row r="40834">
      <c r="B40834" s="612"/>
      <c r="H40834" s="612"/>
    </row>
    <row r="40835">
      <c r="B40835" s="612"/>
      <c r="H40835" s="612"/>
    </row>
    <row r="40836">
      <c r="B40836" s="612"/>
      <c r="H40836" s="612"/>
    </row>
    <row r="40837">
      <c r="B40837" s="612"/>
      <c r="H40837" s="612"/>
    </row>
    <row r="40838">
      <c r="B40838" s="612"/>
      <c r="H40838" s="612"/>
    </row>
    <row r="40839">
      <c r="B40839" s="612"/>
      <c r="H40839" s="612"/>
    </row>
    <row r="40840">
      <c r="B40840" s="612"/>
      <c r="H40840" s="612"/>
    </row>
    <row r="40841">
      <c r="B40841" s="612"/>
      <c r="H40841" s="612"/>
    </row>
    <row r="40842">
      <c r="B40842" s="612"/>
      <c r="H40842" s="612"/>
    </row>
    <row r="40843">
      <c r="B40843" s="612"/>
      <c r="H40843" s="612"/>
    </row>
    <row r="40844">
      <c r="B40844" s="612"/>
      <c r="H40844" s="612"/>
    </row>
    <row r="40845">
      <c r="B40845" s="612"/>
      <c r="H40845" s="612"/>
    </row>
    <row r="40846">
      <c r="B40846" s="612"/>
      <c r="H40846" s="612"/>
    </row>
    <row r="40847">
      <c r="B40847" s="612"/>
      <c r="H40847" s="612"/>
    </row>
    <row r="40848">
      <c r="B40848" s="612"/>
      <c r="H40848" s="612"/>
    </row>
    <row r="40849">
      <c r="B40849" s="612"/>
      <c r="H40849" s="612"/>
    </row>
    <row r="40850">
      <c r="B40850" s="612"/>
      <c r="H40850" s="612"/>
    </row>
    <row r="40851">
      <c r="B40851" s="612"/>
      <c r="H40851" s="612"/>
    </row>
    <row r="40852">
      <c r="B40852" s="612"/>
      <c r="H40852" s="612"/>
    </row>
    <row r="40853">
      <c r="B40853" s="612"/>
      <c r="H40853" s="612"/>
    </row>
    <row r="40854">
      <c r="B40854" s="612"/>
      <c r="H40854" s="612"/>
    </row>
    <row r="40855">
      <c r="B40855" s="612"/>
      <c r="H40855" s="612"/>
    </row>
    <row r="40856">
      <c r="B40856" s="612"/>
      <c r="H40856" s="612"/>
    </row>
    <row r="40857">
      <c r="B40857" s="612"/>
      <c r="H40857" s="612"/>
    </row>
    <row r="40858">
      <c r="B40858" s="612"/>
      <c r="H40858" s="612"/>
    </row>
    <row r="40859">
      <c r="B40859" s="612"/>
      <c r="H40859" s="612"/>
    </row>
    <row r="40860">
      <c r="B40860" s="612"/>
      <c r="H40860" s="612"/>
    </row>
    <row r="40861">
      <c r="B40861" s="612"/>
      <c r="H40861" s="612"/>
    </row>
    <row r="40862">
      <c r="B40862" s="612"/>
      <c r="H40862" s="612"/>
    </row>
    <row r="40863">
      <c r="B40863" s="612"/>
      <c r="H40863" s="612"/>
    </row>
    <row r="40864">
      <c r="B40864" s="612"/>
      <c r="H40864" s="612"/>
    </row>
    <row r="40865">
      <c r="B40865" s="612"/>
      <c r="H40865" s="612"/>
    </row>
    <row r="40866">
      <c r="B40866" s="612"/>
      <c r="H40866" s="612"/>
    </row>
    <row r="40867">
      <c r="B40867" s="612"/>
      <c r="H40867" s="612"/>
    </row>
    <row r="40868">
      <c r="B40868" s="612"/>
      <c r="H40868" s="612"/>
    </row>
    <row r="40869">
      <c r="B40869" s="612"/>
      <c r="H40869" s="612"/>
    </row>
    <row r="40870">
      <c r="B40870" s="612"/>
      <c r="H40870" s="612"/>
    </row>
    <row r="40871">
      <c r="B40871" s="612"/>
      <c r="H40871" s="612"/>
    </row>
    <row r="40872">
      <c r="B40872" s="612"/>
      <c r="H40872" s="612"/>
    </row>
    <row r="40873">
      <c r="B40873" s="612"/>
      <c r="H40873" s="612"/>
    </row>
    <row r="40874">
      <c r="B40874" s="612"/>
      <c r="H40874" s="612"/>
    </row>
    <row r="40875">
      <c r="B40875" s="612"/>
      <c r="H40875" s="612"/>
    </row>
    <row r="40876">
      <c r="B40876" s="612"/>
      <c r="H40876" s="612"/>
    </row>
    <row r="40877">
      <c r="B40877" s="612"/>
      <c r="H40877" s="612"/>
    </row>
    <row r="40878">
      <c r="B40878" s="612"/>
      <c r="H40878" s="612"/>
    </row>
    <row r="40879">
      <c r="B40879" s="612"/>
      <c r="H40879" s="612"/>
    </row>
    <row r="40880">
      <c r="B40880" s="612"/>
      <c r="H40880" s="612"/>
    </row>
    <row r="40881">
      <c r="B40881" s="612"/>
      <c r="H40881" s="612"/>
    </row>
    <row r="40882">
      <c r="B40882" s="612"/>
      <c r="H40882" s="612"/>
    </row>
    <row r="40883">
      <c r="B40883" s="612"/>
      <c r="H40883" s="612"/>
    </row>
    <row r="40884">
      <c r="B40884" s="612"/>
      <c r="H40884" s="612"/>
    </row>
    <row r="40885">
      <c r="B40885" s="612"/>
      <c r="H40885" s="612"/>
    </row>
    <row r="40886">
      <c r="B40886" s="612"/>
      <c r="H40886" s="612"/>
    </row>
    <row r="40887">
      <c r="B40887" s="612"/>
      <c r="H40887" s="612"/>
    </row>
    <row r="40888">
      <c r="B40888" s="612"/>
      <c r="H40888" s="612"/>
    </row>
    <row r="40889">
      <c r="B40889" s="612"/>
      <c r="H40889" s="612"/>
    </row>
    <row r="40890">
      <c r="B40890" s="612"/>
      <c r="H40890" s="612"/>
    </row>
    <row r="40891">
      <c r="B40891" s="612"/>
      <c r="H40891" s="612"/>
    </row>
    <row r="40892">
      <c r="B40892" s="612"/>
      <c r="H40892" s="612"/>
    </row>
    <row r="40893">
      <c r="B40893" s="612"/>
      <c r="H40893" s="612"/>
    </row>
    <row r="40894">
      <c r="B40894" s="612"/>
      <c r="H40894" s="612"/>
    </row>
    <row r="40895">
      <c r="B40895" s="612"/>
      <c r="H40895" s="612"/>
    </row>
    <row r="40896">
      <c r="B40896" s="612"/>
      <c r="H40896" s="612"/>
    </row>
    <row r="40897">
      <c r="B40897" s="612"/>
      <c r="H40897" s="612"/>
    </row>
    <row r="40898">
      <c r="B40898" s="612"/>
      <c r="H40898" s="612"/>
    </row>
    <row r="40899">
      <c r="B40899" s="612"/>
      <c r="H40899" s="612"/>
    </row>
    <row r="40900">
      <c r="B40900" s="612"/>
      <c r="H40900" s="612"/>
    </row>
    <row r="40901">
      <c r="B40901" s="612"/>
      <c r="H40901" s="612"/>
    </row>
    <row r="40902">
      <c r="B40902" s="612"/>
      <c r="H40902" s="612"/>
    </row>
    <row r="40903">
      <c r="B40903" s="612"/>
      <c r="H40903" s="612"/>
    </row>
    <row r="40904">
      <c r="B40904" s="612"/>
      <c r="H40904" s="612"/>
    </row>
    <row r="40905">
      <c r="B40905" s="612"/>
      <c r="H40905" s="612"/>
    </row>
    <row r="40906">
      <c r="B40906" s="612"/>
      <c r="H40906" s="612"/>
    </row>
    <row r="40907">
      <c r="B40907" s="612"/>
      <c r="H40907" s="612"/>
    </row>
    <row r="40908">
      <c r="B40908" s="612"/>
      <c r="H40908" s="612"/>
    </row>
    <row r="40909">
      <c r="B40909" s="612"/>
      <c r="H40909" s="612"/>
    </row>
    <row r="40910">
      <c r="B40910" s="612"/>
      <c r="H40910" s="612"/>
    </row>
    <row r="40911">
      <c r="B40911" s="612"/>
      <c r="H40911" s="612"/>
    </row>
    <row r="40912">
      <c r="B40912" s="612"/>
      <c r="H40912" s="612"/>
    </row>
    <row r="40913">
      <c r="B40913" s="612"/>
      <c r="H40913" s="612"/>
    </row>
    <row r="40914">
      <c r="B40914" s="612"/>
      <c r="H40914" s="612"/>
    </row>
    <row r="40915">
      <c r="B40915" s="612"/>
      <c r="H40915" s="612"/>
    </row>
    <row r="40916">
      <c r="B40916" s="612"/>
      <c r="H40916" s="612"/>
    </row>
    <row r="40917">
      <c r="B40917" s="612"/>
      <c r="H40917" s="612"/>
    </row>
    <row r="40918">
      <c r="B40918" s="612"/>
      <c r="H40918" s="612"/>
    </row>
    <row r="40919">
      <c r="B40919" s="612"/>
      <c r="H40919" s="612"/>
    </row>
    <row r="40920">
      <c r="B40920" s="612"/>
      <c r="H40920" s="612"/>
    </row>
    <row r="40921">
      <c r="B40921" s="612"/>
      <c r="H40921" s="612"/>
    </row>
    <row r="40922">
      <c r="B40922" s="612"/>
      <c r="H40922" s="612"/>
    </row>
    <row r="40923">
      <c r="B40923" s="612"/>
      <c r="H40923" s="612"/>
    </row>
    <row r="40924">
      <c r="B40924" s="612"/>
      <c r="H40924" s="612"/>
    </row>
    <row r="40925">
      <c r="B40925" s="612"/>
      <c r="H40925" s="612"/>
    </row>
    <row r="40926">
      <c r="B40926" s="612"/>
      <c r="H40926" s="612"/>
    </row>
    <row r="40927">
      <c r="B40927" s="612"/>
      <c r="H40927" s="612"/>
    </row>
    <row r="40928">
      <c r="B40928" s="612"/>
      <c r="H40928" s="612"/>
    </row>
    <row r="40929">
      <c r="B40929" s="612"/>
      <c r="H40929" s="612"/>
    </row>
    <row r="40930">
      <c r="B40930" s="612"/>
      <c r="H40930" s="612"/>
    </row>
    <row r="40931">
      <c r="B40931" s="612"/>
      <c r="H40931" s="612"/>
    </row>
    <row r="40932">
      <c r="B40932" s="612"/>
      <c r="H40932" s="612"/>
    </row>
    <row r="40933">
      <c r="B40933" s="612"/>
      <c r="H40933" s="612"/>
    </row>
    <row r="40934">
      <c r="B40934" s="612"/>
      <c r="H40934" s="612"/>
    </row>
    <row r="40935">
      <c r="B40935" s="612"/>
      <c r="H40935" s="612"/>
    </row>
    <row r="40936">
      <c r="B40936" s="612"/>
      <c r="H40936" s="612"/>
    </row>
    <row r="40937">
      <c r="B40937" s="612"/>
      <c r="H40937" s="612"/>
    </row>
    <row r="40938">
      <c r="B40938" s="612"/>
      <c r="H40938" s="612"/>
    </row>
    <row r="40939">
      <c r="B40939" s="612"/>
      <c r="H40939" s="612"/>
    </row>
    <row r="40940">
      <c r="B40940" s="612"/>
      <c r="H40940" s="612"/>
    </row>
    <row r="40941">
      <c r="B40941" s="612"/>
      <c r="H40941" s="612"/>
    </row>
    <row r="40942">
      <c r="B40942" s="612"/>
      <c r="H40942" s="612"/>
    </row>
    <row r="40943">
      <c r="B40943" s="612"/>
      <c r="H40943" s="612"/>
    </row>
    <row r="40944">
      <c r="B40944" s="612"/>
      <c r="H40944" s="612"/>
    </row>
    <row r="40945">
      <c r="B40945" s="612"/>
      <c r="H40945" s="612"/>
    </row>
    <row r="40946">
      <c r="B40946" s="612"/>
      <c r="H40946" s="612"/>
    </row>
    <row r="40947">
      <c r="B40947" s="612"/>
      <c r="H40947" s="612"/>
    </row>
    <row r="40948">
      <c r="B40948" s="612"/>
      <c r="H40948" s="612"/>
    </row>
    <row r="40949">
      <c r="B40949" s="612"/>
      <c r="H40949" s="612"/>
    </row>
    <row r="40950">
      <c r="B40950" s="612"/>
      <c r="H40950" s="612"/>
    </row>
    <row r="40951">
      <c r="B40951" s="612"/>
      <c r="H40951" s="612"/>
    </row>
    <row r="40952">
      <c r="B40952" s="612"/>
      <c r="H40952" s="612"/>
    </row>
    <row r="40953">
      <c r="B40953" s="612"/>
      <c r="H40953" s="612"/>
    </row>
    <row r="40954">
      <c r="B40954" s="612"/>
      <c r="H40954" s="612"/>
    </row>
    <row r="40955">
      <c r="B40955" s="612"/>
      <c r="H40955" s="612"/>
    </row>
    <row r="40956">
      <c r="B40956" s="612"/>
      <c r="H40956" s="612"/>
    </row>
    <row r="40957">
      <c r="B40957" s="612"/>
      <c r="H40957" s="612"/>
    </row>
    <row r="40958">
      <c r="B40958" s="612"/>
      <c r="H40958" s="612"/>
    </row>
    <row r="40959">
      <c r="B40959" s="612"/>
      <c r="H40959" s="612"/>
    </row>
    <row r="40960">
      <c r="B40960" s="612"/>
      <c r="H40960" s="612"/>
    </row>
    <row r="40961">
      <c r="B40961" s="612"/>
      <c r="H40961" s="612"/>
    </row>
    <row r="40962">
      <c r="B40962" s="612"/>
      <c r="H40962" s="612"/>
    </row>
    <row r="40963">
      <c r="B40963" s="612"/>
      <c r="H40963" s="612"/>
    </row>
    <row r="40964">
      <c r="B40964" s="612"/>
      <c r="H40964" s="612"/>
    </row>
    <row r="40965">
      <c r="B40965" s="612"/>
      <c r="H40965" s="612"/>
    </row>
    <row r="40966">
      <c r="B40966" s="612"/>
      <c r="H40966" s="612"/>
    </row>
    <row r="40967">
      <c r="B40967" s="612"/>
      <c r="H40967" s="612"/>
    </row>
    <row r="40968">
      <c r="B40968" s="612"/>
      <c r="H40968" s="612"/>
    </row>
    <row r="40969">
      <c r="B40969" s="612"/>
      <c r="H40969" s="612"/>
    </row>
    <row r="40970">
      <c r="B40970" s="612"/>
      <c r="H40970" s="612"/>
    </row>
    <row r="40971">
      <c r="B40971" s="612"/>
      <c r="H40971" s="612"/>
    </row>
    <row r="40972">
      <c r="B40972" s="612"/>
      <c r="H40972" s="612"/>
    </row>
    <row r="40973">
      <c r="B40973" s="612"/>
      <c r="H40973" s="612"/>
    </row>
    <row r="40974">
      <c r="B40974" s="612"/>
      <c r="H40974" s="612"/>
    </row>
    <row r="40975">
      <c r="B40975" s="612"/>
      <c r="H40975" s="612"/>
    </row>
    <row r="40976">
      <c r="B40976" s="612"/>
      <c r="H40976" s="612"/>
    </row>
    <row r="40977">
      <c r="B40977" s="612"/>
      <c r="H40977" s="612"/>
    </row>
    <row r="40978">
      <c r="B40978" s="612"/>
      <c r="H40978" s="612"/>
    </row>
    <row r="40979">
      <c r="B40979" s="612"/>
      <c r="H40979" s="612"/>
    </row>
    <row r="40980">
      <c r="B40980" s="612"/>
      <c r="H40980" s="612"/>
    </row>
    <row r="40981">
      <c r="B40981" s="612"/>
      <c r="H40981" s="612"/>
    </row>
    <row r="40982">
      <c r="B40982" s="612"/>
      <c r="H40982" s="612"/>
    </row>
    <row r="40983">
      <c r="B40983" s="612"/>
      <c r="H40983" s="612"/>
    </row>
    <row r="40984">
      <c r="B40984" s="612"/>
      <c r="H40984" s="612"/>
    </row>
    <row r="40985">
      <c r="B40985" s="612"/>
      <c r="H40985" s="612"/>
    </row>
    <row r="40986">
      <c r="B40986" s="612"/>
      <c r="H40986" s="612"/>
    </row>
    <row r="40987">
      <c r="B40987" s="612"/>
      <c r="H40987" s="612"/>
    </row>
    <row r="40988">
      <c r="B40988" s="612"/>
      <c r="H40988" s="612"/>
    </row>
    <row r="40989">
      <c r="B40989" s="612"/>
      <c r="H40989" s="612"/>
    </row>
    <row r="40990">
      <c r="B40990" s="612"/>
      <c r="H40990" s="612"/>
    </row>
    <row r="40991">
      <c r="B40991" s="612"/>
      <c r="H40991" s="612"/>
    </row>
    <row r="40992">
      <c r="B40992" s="612"/>
      <c r="H40992" s="612"/>
    </row>
    <row r="40993">
      <c r="B40993" s="612"/>
      <c r="H40993" s="612"/>
    </row>
    <row r="40994">
      <c r="B40994" s="612"/>
      <c r="H40994" s="612"/>
    </row>
    <row r="40995">
      <c r="B40995" s="612"/>
      <c r="H40995" s="612"/>
    </row>
    <row r="40996">
      <c r="B40996" s="612"/>
      <c r="H40996" s="612"/>
    </row>
    <row r="40997">
      <c r="B40997" s="612"/>
      <c r="H40997" s="612"/>
    </row>
    <row r="40998">
      <c r="B40998" s="612"/>
      <c r="H40998" s="612"/>
    </row>
    <row r="40999">
      <c r="B40999" s="612"/>
      <c r="H40999" s="612"/>
    </row>
    <row r="41000">
      <c r="B41000" s="612"/>
      <c r="H41000" s="612"/>
    </row>
    <row r="41001">
      <c r="B41001" s="612"/>
      <c r="H41001" s="612"/>
    </row>
    <row r="41002">
      <c r="B41002" s="612"/>
      <c r="H41002" s="612"/>
    </row>
    <row r="41003">
      <c r="B41003" s="612"/>
      <c r="H41003" s="612"/>
    </row>
    <row r="41004">
      <c r="B41004" s="612"/>
      <c r="H41004" s="612"/>
    </row>
    <row r="41005">
      <c r="B41005" s="612"/>
      <c r="H41005" s="612"/>
    </row>
    <row r="41006">
      <c r="B41006" s="612"/>
      <c r="H41006" s="612"/>
    </row>
    <row r="41007">
      <c r="B41007" s="612"/>
      <c r="H41007" s="612"/>
    </row>
    <row r="41008">
      <c r="B41008" s="612"/>
      <c r="H41008" s="612"/>
    </row>
    <row r="41009">
      <c r="B41009" s="612"/>
      <c r="H41009" s="612"/>
    </row>
    <row r="41010">
      <c r="B41010" s="612"/>
      <c r="H41010" s="612"/>
    </row>
    <row r="41011">
      <c r="B41011" s="612"/>
      <c r="H41011" s="612"/>
    </row>
    <row r="41012">
      <c r="B41012" s="612"/>
      <c r="H41012" s="612"/>
    </row>
    <row r="41013">
      <c r="B41013" s="612"/>
      <c r="H41013" s="612"/>
    </row>
    <row r="41014">
      <c r="B41014" s="612"/>
      <c r="H41014" s="612"/>
    </row>
    <row r="41015">
      <c r="B41015" s="612"/>
      <c r="H41015" s="612"/>
    </row>
    <row r="41016">
      <c r="B41016" s="612"/>
      <c r="H41016" s="612"/>
    </row>
    <row r="41017">
      <c r="B41017" s="612"/>
      <c r="H41017" s="612"/>
    </row>
    <row r="41018">
      <c r="B41018" s="612"/>
      <c r="H41018" s="612"/>
    </row>
    <row r="41019">
      <c r="B41019" s="612"/>
      <c r="H41019" s="612"/>
    </row>
    <row r="41020">
      <c r="B41020" s="612"/>
      <c r="H41020" s="612"/>
    </row>
    <row r="41021">
      <c r="B41021" s="612"/>
      <c r="H41021" s="612"/>
    </row>
    <row r="41022">
      <c r="B41022" s="612"/>
      <c r="H41022" s="612"/>
    </row>
    <row r="41023">
      <c r="B41023" s="612"/>
      <c r="H41023" s="612"/>
    </row>
    <row r="41024">
      <c r="B41024" s="612"/>
      <c r="H41024" s="612"/>
    </row>
    <row r="41025">
      <c r="B41025" s="612"/>
      <c r="H41025" s="612"/>
    </row>
    <row r="41026">
      <c r="B41026" s="612"/>
      <c r="H41026" s="612"/>
    </row>
    <row r="41027">
      <c r="B41027" s="612"/>
      <c r="H41027" s="612"/>
    </row>
    <row r="41028">
      <c r="B41028" s="612"/>
      <c r="H41028" s="612"/>
    </row>
    <row r="41029">
      <c r="B41029" s="612"/>
      <c r="H41029" s="612"/>
    </row>
    <row r="41030">
      <c r="B41030" s="612"/>
      <c r="H41030" s="612"/>
    </row>
    <row r="41031">
      <c r="B41031" s="612"/>
      <c r="H41031" s="612"/>
    </row>
    <row r="41032">
      <c r="B41032" s="612"/>
      <c r="H41032" s="612"/>
    </row>
    <row r="41033">
      <c r="B41033" s="612"/>
      <c r="H41033" s="612"/>
    </row>
    <row r="41034">
      <c r="B41034" s="612"/>
      <c r="H41034" s="612"/>
    </row>
    <row r="41035">
      <c r="B41035" s="612"/>
      <c r="H41035" s="612"/>
    </row>
    <row r="41036">
      <c r="B41036" s="612"/>
      <c r="H41036" s="612"/>
    </row>
    <row r="41037">
      <c r="B41037" s="612"/>
      <c r="H41037" s="612"/>
    </row>
    <row r="41038">
      <c r="B41038" s="612"/>
      <c r="H41038" s="612"/>
    </row>
    <row r="41039">
      <c r="B41039" s="612"/>
      <c r="H41039" s="612"/>
    </row>
    <row r="41040">
      <c r="B41040" s="612"/>
      <c r="H41040" s="612"/>
    </row>
    <row r="41041">
      <c r="B41041" s="612"/>
      <c r="H41041" s="612"/>
    </row>
    <row r="41042">
      <c r="B41042" s="612"/>
      <c r="H41042" s="612"/>
    </row>
    <row r="41043">
      <c r="B41043" s="612"/>
      <c r="H41043" s="612"/>
    </row>
    <row r="41044">
      <c r="B41044" s="612"/>
      <c r="H41044" s="612"/>
    </row>
    <row r="41045">
      <c r="B41045" s="612"/>
      <c r="H41045" s="612"/>
    </row>
    <row r="41046">
      <c r="B41046" s="612"/>
      <c r="H41046" s="612"/>
    </row>
    <row r="41047">
      <c r="B41047" s="612"/>
      <c r="H41047" s="612"/>
    </row>
    <row r="41048">
      <c r="B41048" s="612"/>
      <c r="H41048" s="612"/>
    </row>
    <row r="41049">
      <c r="B41049" s="612"/>
      <c r="H41049" s="612"/>
    </row>
    <row r="41050">
      <c r="B41050" s="612"/>
      <c r="H41050" s="612"/>
    </row>
    <row r="41051">
      <c r="B41051" s="612"/>
      <c r="H41051" s="612"/>
    </row>
    <row r="41052">
      <c r="B41052" s="612"/>
      <c r="H41052" s="612"/>
    </row>
    <row r="41053">
      <c r="B41053" s="612"/>
      <c r="H41053" s="612"/>
    </row>
    <row r="41054">
      <c r="B41054" s="612"/>
      <c r="H41054" s="612"/>
    </row>
    <row r="41055">
      <c r="B41055" s="612"/>
      <c r="H41055" s="612"/>
    </row>
    <row r="41056">
      <c r="B41056" s="612"/>
      <c r="H41056" s="612"/>
    </row>
    <row r="41057">
      <c r="B41057" s="612"/>
      <c r="H41057" s="612"/>
    </row>
    <row r="41058">
      <c r="B41058" s="612"/>
      <c r="H41058" s="612"/>
    </row>
    <row r="41059">
      <c r="B41059" s="612"/>
      <c r="H41059" s="612"/>
    </row>
    <row r="41060">
      <c r="B41060" s="612"/>
      <c r="H41060" s="612"/>
    </row>
    <row r="41061">
      <c r="B41061" s="612"/>
      <c r="H41061" s="612"/>
    </row>
    <row r="41062">
      <c r="B41062" s="612"/>
      <c r="H41062" s="612"/>
    </row>
    <row r="41063">
      <c r="B41063" s="612"/>
      <c r="H41063" s="612"/>
    </row>
    <row r="41064">
      <c r="B41064" s="612"/>
      <c r="H41064" s="612"/>
    </row>
    <row r="41065">
      <c r="B41065" s="612"/>
      <c r="H41065" s="612"/>
    </row>
    <row r="41066">
      <c r="B41066" s="612"/>
      <c r="H41066" s="612"/>
    </row>
    <row r="41067">
      <c r="B41067" s="612"/>
      <c r="H41067" s="612"/>
    </row>
    <row r="41068">
      <c r="B41068" s="612"/>
      <c r="H41068" s="612"/>
    </row>
    <row r="41069">
      <c r="B41069" s="612"/>
      <c r="H41069" s="612"/>
    </row>
    <row r="41070">
      <c r="B41070" s="612"/>
      <c r="H41070" s="612"/>
    </row>
    <row r="41071">
      <c r="B41071" s="612"/>
      <c r="H41071" s="612"/>
    </row>
    <row r="41072">
      <c r="B41072" s="612"/>
      <c r="H41072" s="612"/>
    </row>
    <row r="41073">
      <c r="B41073" s="612"/>
      <c r="H41073" s="612"/>
    </row>
    <row r="41074">
      <c r="B41074" s="612"/>
      <c r="H41074" s="612"/>
    </row>
    <row r="41075">
      <c r="B41075" s="612"/>
      <c r="H41075" s="612"/>
    </row>
    <row r="41076">
      <c r="B41076" s="612"/>
      <c r="H41076" s="612"/>
    </row>
    <row r="41077">
      <c r="B41077" s="612"/>
      <c r="H41077" s="612"/>
    </row>
    <row r="41078">
      <c r="B41078" s="612"/>
      <c r="H41078" s="612"/>
    </row>
    <row r="41079">
      <c r="B41079" s="612"/>
      <c r="H41079" s="612"/>
    </row>
    <row r="41080">
      <c r="B41080" s="612"/>
      <c r="H41080" s="612"/>
    </row>
    <row r="41081">
      <c r="B41081" s="612"/>
      <c r="H41081" s="612"/>
    </row>
    <row r="41082">
      <c r="B41082" s="612"/>
      <c r="H41082" s="612"/>
    </row>
    <row r="41083">
      <c r="B41083" s="612"/>
      <c r="H41083" s="612"/>
    </row>
    <row r="41084">
      <c r="B41084" s="612"/>
      <c r="H41084" s="612"/>
    </row>
    <row r="41085">
      <c r="B41085" s="612"/>
      <c r="H41085" s="612"/>
    </row>
    <row r="41086">
      <c r="B41086" s="612"/>
      <c r="H41086" s="612"/>
    </row>
    <row r="41087">
      <c r="B41087" s="612"/>
      <c r="H41087" s="612"/>
    </row>
    <row r="41088">
      <c r="B41088" s="612"/>
      <c r="H41088" s="612"/>
    </row>
    <row r="41089">
      <c r="B41089" s="612"/>
      <c r="H41089" s="612"/>
    </row>
    <row r="41090">
      <c r="B41090" s="612"/>
      <c r="H41090" s="612"/>
    </row>
    <row r="41091">
      <c r="B41091" s="612"/>
      <c r="H41091" s="612"/>
    </row>
    <row r="41092">
      <c r="B41092" s="612"/>
      <c r="H41092" s="612"/>
    </row>
    <row r="41093">
      <c r="B41093" s="612"/>
      <c r="H41093" s="612"/>
    </row>
    <row r="41094">
      <c r="B41094" s="612"/>
      <c r="H41094" s="612"/>
    </row>
    <row r="41095">
      <c r="B41095" s="612"/>
      <c r="H41095" s="612"/>
    </row>
    <row r="41096">
      <c r="B41096" s="612"/>
      <c r="H41096" s="612"/>
    </row>
    <row r="41097">
      <c r="B41097" s="612"/>
      <c r="H41097" s="612"/>
    </row>
    <row r="41098">
      <c r="B41098" s="612"/>
      <c r="H41098" s="612"/>
    </row>
    <row r="41099">
      <c r="B41099" s="612"/>
      <c r="H41099" s="612"/>
    </row>
    <row r="41100">
      <c r="B41100" s="612"/>
      <c r="H41100" s="612"/>
    </row>
    <row r="41101">
      <c r="B41101" s="612"/>
      <c r="H41101" s="612"/>
    </row>
    <row r="41102">
      <c r="B41102" s="612"/>
      <c r="H41102" s="612"/>
    </row>
    <row r="41103">
      <c r="B41103" s="612"/>
      <c r="H41103" s="612"/>
    </row>
    <row r="41104">
      <c r="B41104" s="612"/>
      <c r="H41104" s="612"/>
    </row>
    <row r="41105">
      <c r="B41105" s="612"/>
      <c r="H41105" s="612"/>
    </row>
    <row r="41106">
      <c r="B41106" s="612"/>
      <c r="H41106" s="612"/>
    </row>
    <row r="41107">
      <c r="B41107" s="612"/>
      <c r="H41107" s="612"/>
    </row>
    <row r="41108">
      <c r="B41108" s="612"/>
      <c r="H41108" s="612"/>
    </row>
    <row r="41109">
      <c r="B41109" s="612"/>
      <c r="H41109" s="612"/>
    </row>
    <row r="41110">
      <c r="B41110" s="612"/>
      <c r="H41110" s="612"/>
    </row>
    <row r="41111">
      <c r="B41111" s="612"/>
      <c r="H41111" s="612"/>
    </row>
    <row r="41112">
      <c r="B41112" s="612"/>
      <c r="H41112" s="612"/>
    </row>
    <row r="41113">
      <c r="B41113" s="612"/>
      <c r="H41113" s="612"/>
    </row>
    <row r="41114">
      <c r="B41114" s="612"/>
      <c r="H41114" s="612"/>
    </row>
    <row r="41115">
      <c r="B41115" s="612"/>
      <c r="H41115" s="612"/>
    </row>
    <row r="41116">
      <c r="B41116" s="612"/>
      <c r="H41116" s="612"/>
    </row>
    <row r="41117">
      <c r="B41117" s="612"/>
      <c r="H41117" s="612"/>
    </row>
    <row r="41118">
      <c r="B41118" s="612"/>
      <c r="H41118" s="612"/>
    </row>
    <row r="41119">
      <c r="B41119" s="612"/>
      <c r="H41119" s="612"/>
    </row>
    <row r="41120">
      <c r="B41120" s="612"/>
      <c r="H41120" s="612"/>
    </row>
    <row r="41121">
      <c r="B41121" s="612"/>
      <c r="H41121" s="612"/>
    </row>
    <row r="41122">
      <c r="B41122" s="612"/>
      <c r="H41122" s="612"/>
    </row>
    <row r="41123">
      <c r="B41123" s="612"/>
      <c r="H41123" s="612"/>
    </row>
    <row r="41124">
      <c r="B41124" s="612"/>
      <c r="H41124" s="612"/>
    </row>
    <row r="41125">
      <c r="B41125" s="612"/>
      <c r="H41125" s="612"/>
    </row>
    <row r="41126">
      <c r="B41126" s="612"/>
      <c r="H41126" s="612"/>
    </row>
    <row r="41127">
      <c r="B41127" s="612"/>
      <c r="H41127" s="612"/>
    </row>
    <row r="41128">
      <c r="B41128" s="612"/>
      <c r="H41128" s="612"/>
    </row>
    <row r="41129">
      <c r="B41129" s="612"/>
      <c r="H41129" s="612"/>
    </row>
    <row r="41130">
      <c r="B41130" s="612"/>
      <c r="H41130" s="612"/>
    </row>
    <row r="41131">
      <c r="B41131" s="612"/>
      <c r="H41131" s="612"/>
    </row>
    <row r="41132">
      <c r="B41132" s="612"/>
      <c r="H41132" s="612"/>
    </row>
    <row r="41133">
      <c r="B41133" s="612"/>
      <c r="H41133" s="612"/>
    </row>
    <row r="41134">
      <c r="B41134" s="612"/>
      <c r="H41134" s="612"/>
    </row>
    <row r="41135">
      <c r="B41135" s="612"/>
      <c r="H41135" s="612"/>
    </row>
    <row r="41136">
      <c r="B41136" s="612"/>
      <c r="H41136" s="612"/>
    </row>
    <row r="41137">
      <c r="B41137" s="612"/>
      <c r="H41137" s="612"/>
    </row>
    <row r="41138">
      <c r="B41138" s="612"/>
      <c r="H41138" s="612"/>
    </row>
    <row r="41139">
      <c r="B41139" s="612"/>
      <c r="H41139" s="612"/>
    </row>
    <row r="41140">
      <c r="B41140" s="612"/>
      <c r="H41140" s="612"/>
    </row>
    <row r="41141">
      <c r="B41141" s="612"/>
      <c r="H41141" s="612"/>
    </row>
    <row r="41142">
      <c r="B41142" s="612"/>
      <c r="H41142" s="612"/>
    </row>
    <row r="41143">
      <c r="B41143" s="612"/>
      <c r="H41143" s="612"/>
    </row>
    <row r="41144">
      <c r="B41144" s="612"/>
      <c r="H41144" s="612"/>
    </row>
    <row r="41145">
      <c r="B41145" s="612"/>
      <c r="H41145" s="612"/>
    </row>
    <row r="41146">
      <c r="B41146" s="612"/>
      <c r="H41146" s="612"/>
    </row>
    <row r="41147">
      <c r="B41147" s="612"/>
      <c r="H41147" s="612"/>
    </row>
    <row r="41148">
      <c r="B41148" s="612"/>
      <c r="H41148" s="612"/>
    </row>
    <row r="41149">
      <c r="B41149" s="612"/>
      <c r="H41149" s="612"/>
    </row>
    <row r="41150">
      <c r="B41150" s="612"/>
      <c r="H41150" s="612"/>
    </row>
    <row r="41151">
      <c r="B41151" s="612"/>
      <c r="H41151" s="612"/>
    </row>
    <row r="41152">
      <c r="B41152" s="612"/>
      <c r="H41152" s="612"/>
    </row>
    <row r="41153">
      <c r="B41153" s="612"/>
      <c r="H41153" s="612"/>
    </row>
    <row r="41154">
      <c r="B41154" s="612"/>
      <c r="H41154" s="612"/>
    </row>
    <row r="41155">
      <c r="B41155" s="612"/>
      <c r="H41155" s="612"/>
    </row>
    <row r="41156">
      <c r="B41156" s="612"/>
      <c r="H41156" s="612"/>
    </row>
    <row r="41157">
      <c r="B41157" s="612"/>
      <c r="H41157" s="612"/>
    </row>
    <row r="41158">
      <c r="B41158" s="612"/>
      <c r="H41158" s="612"/>
    </row>
    <row r="41159">
      <c r="B41159" s="612"/>
      <c r="H41159" s="612"/>
    </row>
    <row r="41160">
      <c r="B41160" s="612"/>
      <c r="H41160" s="612"/>
    </row>
    <row r="41161">
      <c r="B41161" s="612"/>
      <c r="H41161" s="612"/>
    </row>
    <row r="41162">
      <c r="B41162" s="612"/>
      <c r="H41162" s="612"/>
    </row>
    <row r="41163">
      <c r="B41163" s="612"/>
      <c r="H41163" s="612"/>
    </row>
    <row r="41164">
      <c r="B41164" s="612"/>
      <c r="H41164" s="612"/>
    </row>
    <row r="41165">
      <c r="B41165" s="612"/>
      <c r="H41165" s="612"/>
    </row>
    <row r="41166">
      <c r="B41166" s="612"/>
      <c r="H41166" s="612"/>
    </row>
    <row r="41167">
      <c r="B41167" s="612"/>
      <c r="H41167" s="612"/>
    </row>
    <row r="41168">
      <c r="B41168" s="612"/>
      <c r="H41168" s="612"/>
    </row>
    <row r="41169">
      <c r="B41169" s="612"/>
      <c r="H41169" s="612"/>
    </row>
    <row r="41170">
      <c r="B41170" s="612"/>
      <c r="H41170" s="612"/>
    </row>
    <row r="41171">
      <c r="B41171" s="612"/>
      <c r="H41171" s="612"/>
    </row>
    <row r="41172">
      <c r="B41172" s="612"/>
      <c r="H41172" s="612"/>
    </row>
    <row r="41173">
      <c r="B41173" s="612"/>
      <c r="H41173" s="612"/>
    </row>
    <row r="41174">
      <c r="B41174" s="612"/>
      <c r="H41174" s="612"/>
    </row>
    <row r="41175">
      <c r="B41175" s="612"/>
      <c r="H41175" s="612"/>
    </row>
    <row r="41176">
      <c r="B41176" s="612"/>
      <c r="H41176" s="612"/>
    </row>
    <row r="41177">
      <c r="B41177" s="612"/>
      <c r="H41177" s="612"/>
    </row>
    <row r="41178">
      <c r="B41178" s="612"/>
      <c r="H41178" s="612"/>
    </row>
    <row r="41179">
      <c r="B41179" s="612"/>
      <c r="H41179" s="612"/>
    </row>
    <row r="41180">
      <c r="B41180" s="612"/>
      <c r="H41180" s="612"/>
    </row>
    <row r="41181">
      <c r="B41181" s="612"/>
      <c r="H41181" s="612"/>
    </row>
    <row r="41182">
      <c r="B41182" s="612"/>
      <c r="H41182" s="612"/>
    </row>
    <row r="41183">
      <c r="B41183" s="612"/>
      <c r="H41183" s="612"/>
    </row>
    <row r="41184">
      <c r="B41184" s="612"/>
      <c r="H41184" s="612"/>
    </row>
    <row r="41185">
      <c r="B41185" s="612"/>
      <c r="H41185" s="612"/>
    </row>
    <row r="41186">
      <c r="B41186" s="612"/>
      <c r="H41186" s="612"/>
    </row>
    <row r="41187">
      <c r="B41187" s="612"/>
      <c r="H41187" s="612"/>
    </row>
    <row r="41188">
      <c r="B41188" s="612"/>
      <c r="H41188" s="612"/>
    </row>
    <row r="41189">
      <c r="B41189" s="612"/>
      <c r="H41189" s="612"/>
    </row>
    <row r="41190">
      <c r="B41190" s="612"/>
      <c r="H41190" s="612"/>
    </row>
    <row r="41191">
      <c r="B41191" s="612"/>
      <c r="H41191" s="612"/>
    </row>
    <row r="41192">
      <c r="B41192" s="612"/>
      <c r="H41192" s="612"/>
    </row>
    <row r="41193">
      <c r="B41193" s="612"/>
      <c r="H41193" s="612"/>
    </row>
    <row r="41194">
      <c r="B41194" s="612"/>
      <c r="H41194" s="612"/>
    </row>
    <row r="41195">
      <c r="B41195" s="612"/>
      <c r="H41195" s="612"/>
    </row>
    <row r="41196">
      <c r="B41196" s="612"/>
      <c r="H41196" s="612"/>
    </row>
    <row r="41197">
      <c r="B41197" s="612"/>
      <c r="H41197" s="612"/>
    </row>
    <row r="41198">
      <c r="B41198" s="612"/>
      <c r="H41198" s="612"/>
    </row>
    <row r="41199">
      <c r="B41199" s="612"/>
      <c r="H41199" s="612"/>
    </row>
    <row r="41200">
      <c r="B41200" s="612"/>
      <c r="H41200" s="612"/>
    </row>
    <row r="41201">
      <c r="B41201" s="612"/>
      <c r="H41201" s="612"/>
    </row>
    <row r="41202">
      <c r="B41202" s="612"/>
      <c r="H41202" s="612"/>
    </row>
    <row r="41203">
      <c r="B41203" s="612"/>
      <c r="H41203" s="612"/>
    </row>
    <row r="41204">
      <c r="B41204" s="612"/>
      <c r="H41204" s="612"/>
    </row>
    <row r="41205">
      <c r="B41205" s="612"/>
      <c r="H41205" s="612"/>
    </row>
    <row r="41206">
      <c r="B41206" s="612"/>
      <c r="H41206" s="612"/>
    </row>
    <row r="41207">
      <c r="B41207" s="612"/>
      <c r="H41207" s="612"/>
    </row>
    <row r="41208">
      <c r="B41208" s="612"/>
      <c r="H41208" s="612"/>
    </row>
    <row r="41209">
      <c r="B41209" s="612"/>
      <c r="H41209" s="612"/>
    </row>
    <row r="41210">
      <c r="B41210" s="612"/>
      <c r="H41210" s="612"/>
    </row>
    <row r="41211">
      <c r="B41211" s="612"/>
      <c r="H41211" s="612"/>
    </row>
    <row r="41212">
      <c r="B41212" s="612"/>
      <c r="H41212" s="612"/>
    </row>
    <row r="41213">
      <c r="B41213" s="612"/>
      <c r="H41213" s="612"/>
    </row>
    <row r="41214">
      <c r="B41214" s="612"/>
      <c r="H41214" s="612"/>
    </row>
    <row r="41215">
      <c r="B41215" s="612"/>
      <c r="H41215" s="612"/>
    </row>
    <row r="41216">
      <c r="B41216" s="612"/>
      <c r="H41216" s="612"/>
    </row>
    <row r="41217">
      <c r="B41217" s="612"/>
      <c r="H41217" s="612"/>
    </row>
    <row r="41218">
      <c r="B41218" s="612"/>
      <c r="H41218" s="612"/>
    </row>
    <row r="41219">
      <c r="B41219" s="612"/>
      <c r="H41219" s="612"/>
    </row>
    <row r="41220">
      <c r="B41220" s="612"/>
      <c r="H41220" s="612"/>
    </row>
    <row r="41221">
      <c r="B41221" s="612"/>
      <c r="H41221" s="612"/>
    </row>
    <row r="41222">
      <c r="B41222" s="612"/>
      <c r="H41222" s="612"/>
    </row>
    <row r="41223">
      <c r="B41223" s="612"/>
      <c r="H41223" s="612"/>
    </row>
    <row r="41224">
      <c r="B41224" s="612"/>
      <c r="H41224" s="612"/>
    </row>
    <row r="41225">
      <c r="B41225" s="612"/>
      <c r="H41225" s="612"/>
    </row>
    <row r="41226">
      <c r="B41226" s="612"/>
      <c r="H41226" s="612"/>
    </row>
    <row r="41227">
      <c r="B41227" s="612"/>
      <c r="H41227" s="612"/>
    </row>
    <row r="41228">
      <c r="B41228" s="612"/>
      <c r="H41228" s="612"/>
    </row>
    <row r="41229">
      <c r="B41229" s="612"/>
      <c r="H41229" s="612"/>
    </row>
    <row r="41230">
      <c r="B41230" s="612"/>
      <c r="H41230" s="612"/>
    </row>
    <row r="41231">
      <c r="B41231" s="612"/>
      <c r="H41231" s="612"/>
    </row>
    <row r="41232">
      <c r="B41232" s="612"/>
      <c r="H41232" s="612"/>
    </row>
    <row r="41233">
      <c r="B41233" s="612"/>
      <c r="H41233" s="612"/>
    </row>
    <row r="41234">
      <c r="B41234" s="612"/>
      <c r="H41234" s="612"/>
    </row>
    <row r="41235">
      <c r="B41235" s="612"/>
      <c r="H41235" s="612"/>
    </row>
    <row r="41236">
      <c r="B41236" s="612"/>
      <c r="H41236" s="612"/>
    </row>
    <row r="41237">
      <c r="B41237" s="612"/>
      <c r="H41237" s="612"/>
    </row>
    <row r="41238">
      <c r="B41238" s="612"/>
      <c r="H41238" s="612"/>
    </row>
    <row r="41239">
      <c r="B41239" s="612"/>
      <c r="H41239" s="612"/>
    </row>
    <row r="41240">
      <c r="B41240" s="612"/>
      <c r="H41240" s="612"/>
    </row>
    <row r="41241">
      <c r="B41241" s="612"/>
      <c r="H41241" s="612"/>
    </row>
    <row r="41242">
      <c r="B41242" s="612"/>
      <c r="H41242" s="612"/>
    </row>
    <row r="41243">
      <c r="B41243" s="612"/>
      <c r="H41243" s="612"/>
    </row>
    <row r="41244">
      <c r="B41244" s="612"/>
      <c r="H41244" s="612"/>
    </row>
    <row r="41245">
      <c r="B41245" s="612"/>
      <c r="H41245" s="612"/>
    </row>
    <row r="41246">
      <c r="B41246" s="612"/>
      <c r="H41246" s="612"/>
    </row>
    <row r="41247">
      <c r="B41247" s="612"/>
      <c r="H41247" s="612"/>
    </row>
    <row r="41248">
      <c r="B41248" s="612"/>
      <c r="H41248" s="612"/>
    </row>
    <row r="41249">
      <c r="B41249" s="612"/>
      <c r="H41249" s="612"/>
    </row>
    <row r="41250">
      <c r="B41250" s="612"/>
      <c r="H41250" s="612"/>
    </row>
    <row r="41251">
      <c r="B41251" s="612"/>
      <c r="H41251" s="612"/>
    </row>
    <row r="41252">
      <c r="B41252" s="612"/>
      <c r="H41252" s="612"/>
    </row>
    <row r="41253">
      <c r="B41253" s="612"/>
      <c r="H41253" s="612"/>
    </row>
    <row r="41254">
      <c r="B41254" s="612"/>
      <c r="H41254" s="612"/>
    </row>
    <row r="41255">
      <c r="B41255" s="612"/>
      <c r="H41255" s="612"/>
    </row>
    <row r="41256">
      <c r="B41256" s="612"/>
      <c r="H41256" s="612"/>
    </row>
    <row r="41257">
      <c r="B41257" s="612"/>
      <c r="H41257" s="612"/>
    </row>
    <row r="41258">
      <c r="B41258" s="612"/>
      <c r="H41258" s="612"/>
    </row>
    <row r="41259">
      <c r="B41259" s="612"/>
      <c r="H41259" s="612"/>
    </row>
    <row r="41260">
      <c r="B41260" s="612"/>
      <c r="H41260" s="612"/>
    </row>
    <row r="41261">
      <c r="B41261" s="612"/>
      <c r="H41261" s="612"/>
    </row>
    <row r="41262">
      <c r="B41262" s="612"/>
      <c r="H41262" s="612"/>
    </row>
    <row r="41263">
      <c r="B41263" s="612"/>
      <c r="H41263" s="612"/>
    </row>
    <row r="41264">
      <c r="B41264" s="612"/>
      <c r="H41264" s="612"/>
    </row>
    <row r="41265">
      <c r="B41265" s="612"/>
      <c r="H41265" s="612"/>
    </row>
    <row r="41266">
      <c r="B41266" s="612"/>
      <c r="H41266" s="612"/>
    </row>
    <row r="41267">
      <c r="B41267" s="612"/>
      <c r="H41267" s="612"/>
    </row>
    <row r="41268">
      <c r="B41268" s="612"/>
      <c r="H41268" s="612"/>
    </row>
    <row r="41269">
      <c r="B41269" s="612"/>
      <c r="H41269" s="612"/>
    </row>
    <row r="41270">
      <c r="B41270" s="612"/>
      <c r="H41270" s="612"/>
    </row>
    <row r="41271">
      <c r="B41271" s="612"/>
      <c r="H41271" s="612"/>
    </row>
    <row r="41272">
      <c r="B41272" s="612"/>
      <c r="H41272" s="612"/>
    </row>
    <row r="41273">
      <c r="B41273" s="612"/>
      <c r="H41273" s="612"/>
    </row>
    <row r="41274">
      <c r="B41274" s="612"/>
      <c r="H41274" s="612"/>
    </row>
    <row r="41275">
      <c r="B41275" s="612"/>
      <c r="H41275" s="612"/>
    </row>
    <row r="41276">
      <c r="B41276" s="612"/>
      <c r="H41276" s="612"/>
    </row>
    <row r="41277">
      <c r="B41277" s="612"/>
      <c r="H41277" s="612"/>
    </row>
    <row r="41278">
      <c r="B41278" s="612"/>
      <c r="H41278" s="612"/>
    </row>
    <row r="41279">
      <c r="B41279" s="612"/>
      <c r="H41279" s="612"/>
    </row>
    <row r="41280">
      <c r="B41280" s="612"/>
      <c r="H41280" s="612"/>
    </row>
    <row r="41281">
      <c r="B41281" s="612"/>
      <c r="H41281" s="612"/>
    </row>
    <row r="41282">
      <c r="B41282" s="612"/>
      <c r="H41282" s="612"/>
    </row>
    <row r="41283">
      <c r="B41283" s="612"/>
      <c r="H41283" s="612"/>
    </row>
    <row r="41284">
      <c r="B41284" s="612"/>
      <c r="H41284" s="612"/>
    </row>
    <row r="41285">
      <c r="B41285" s="612"/>
      <c r="H41285" s="612"/>
    </row>
    <row r="41286">
      <c r="B41286" s="612"/>
      <c r="H41286" s="612"/>
    </row>
    <row r="41287">
      <c r="B41287" s="612"/>
      <c r="H41287" s="612"/>
    </row>
    <row r="41288">
      <c r="B41288" s="612"/>
      <c r="H41288" s="612"/>
    </row>
    <row r="41289">
      <c r="B41289" s="612"/>
      <c r="H41289" s="612"/>
    </row>
    <row r="41290">
      <c r="B41290" s="612"/>
      <c r="H41290" s="612"/>
    </row>
    <row r="41291">
      <c r="B41291" s="612"/>
      <c r="H41291" s="612"/>
    </row>
    <row r="41292">
      <c r="B41292" s="612"/>
      <c r="H41292" s="612"/>
    </row>
    <row r="41293">
      <c r="B41293" s="612"/>
      <c r="H41293" s="612"/>
    </row>
    <row r="41294">
      <c r="B41294" s="612"/>
      <c r="H41294" s="612"/>
    </row>
    <row r="41295">
      <c r="B41295" s="612"/>
      <c r="H41295" s="612"/>
    </row>
    <row r="41296">
      <c r="B41296" s="612"/>
      <c r="H41296" s="612"/>
    </row>
    <row r="41297">
      <c r="B41297" s="612"/>
      <c r="H41297" s="612"/>
    </row>
    <row r="41298">
      <c r="B41298" s="612"/>
      <c r="H41298" s="612"/>
    </row>
    <row r="41299">
      <c r="B41299" s="612"/>
      <c r="H41299" s="612"/>
    </row>
    <row r="41300">
      <c r="B41300" s="612"/>
      <c r="H41300" s="612"/>
    </row>
    <row r="41301">
      <c r="B41301" s="612"/>
      <c r="H41301" s="612"/>
    </row>
    <row r="41302">
      <c r="B41302" s="612"/>
      <c r="H41302" s="612"/>
    </row>
    <row r="41303">
      <c r="B41303" s="612"/>
      <c r="H41303" s="612"/>
    </row>
    <row r="41304">
      <c r="B41304" s="612"/>
      <c r="H41304" s="612"/>
    </row>
    <row r="41305">
      <c r="B41305" s="612"/>
      <c r="H41305" s="612"/>
    </row>
    <row r="41306">
      <c r="B41306" s="612"/>
      <c r="H41306" s="612"/>
    </row>
    <row r="41307">
      <c r="B41307" s="612"/>
      <c r="H41307" s="612"/>
    </row>
    <row r="41308">
      <c r="B41308" s="612"/>
      <c r="H41308" s="612"/>
    </row>
    <row r="41309">
      <c r="B41309" s="612"/>
      <c r="H41309" s="612"/>
    </row>
    <row r="41310">
      <c r="B41310" s="612"/>
      <c r="H41310" s="612"/>
    </row>
    <row r="41311">
      <c r="B41311" s="612"/>
      <c r="H41311" s="612"/>
    </row>
    <row r="41312">
      <c r="B41312" s="612"/>
      <c r="H41312" s="612"/>
    </row>
    <row r="41313">
      <c r="B41313" s="612"/>
      <c r="H41313" s="612"/>
    </row>
    <row r="41314">
      <c r="B41314" s="612"/>
      <c r="H41314" s="612"/>
    </row>
    <row r="41315">
      <c r="B41315" s="612"/>
      <c r="H41315" s="612"/>
    </row>
    <row r="41316">
      <c r="B41316" s="612"/>
      <c r="H41316" s="612"/>
    </row>
    <row r="41317">
      <c r="B41317" s="612"/>
      <c r="H41317" s="612"/>
    </row>
    <row r="41318">
      <c r="B41318" s="612"/>
      <c r="H41318" s="612"/>
    </row>
    <row r="41319">
      <c r="B41319" s="612"/>
      <c r="H41319" s="612"/>
    </row>
    <row r="41320">
      <c r="B41320" s="612"/>
      <c r="H41320" s="612"/>
    </row>
    <row r="41321">
      <c r="B41321" s="612"/>
      <c r="H41321" s="612"/>
    </row>
    <row r="41322">
      <c r="B41322" s="612"/>
      <c r="H41322" s="612"/>
    </row>
    <row r="41323">
      <c r="B41323" s="612"/>
      <c r="H41323" s="612"/>
    </row>
    <row r="41324">
      <c r="B41324" s="612"/>
      <c r="H41324" s="612"/>
    </row>
    <row r="41325">
      <c r="B41325" s="612"/>
      <c r="H41325" s="612"/>
    </row>
    <row r="41326">
      <c r="B41326" s="612"/>
      <c r="H41326" s="612"/>
    </row>
    <row r="41327">
      <c r="B41327" s="612"/>
      <c r="H41327" s="612"/>
    </row>
    <row r="41328">
      <c r="B41328" s="612"/>
      <c r="H41328" s="612"/>
    </row>
    <row r="41329">
      <c r="B41329" s="612"/>
      <c r="H41329" s="612"/>
    </row>
    <row r="41330">
      <c r="B41330" s="612"/>
      <c r="H41330" s="612"/>
    </row>
    <row r="41331">
      <c r="B41331" s="612"/>
      <c r="H41331" s="612"/>
    </row>
    <row r="41332">
      <c r="B41332" s="612"/>
      <c r="H41332" s="612"/>
    </row>
    <row r="41333">
      <c r="B41333" s="612"/>
      <c r="H41333" s="612"/>
    </row>
    <row r="41334">
      <c r="B41334" s="612"/>
      <c r="H41334" s="612"/>
    </row>
    <row r="41335">
      <c r="B41335" s="612"/>
      <c r="H41335" s="612"/>
    </row>
    <row r="41336">
      <c r="B41336" s="612"/>
      <c r="H41336" s="612"/>
    </row>
    <row r="41337">
      <c r="B41337" s="612"/>
      <c r="H41337" s="612"/>
    </row>
    <row r="41338">
      <c r="B41338" s="612"/>
      <c r="H41338" s="612"/>
    </row>
    <row r="41339">
      <c r="B41339" s="612"/>
      <c r="H41339" s="612"/>
    </row>
    <row r="41340">
      <c r="B41340" s="612"/>
      <c r="H41340" s="612"/>
    </row>
    <row r="41341">
      <c r="B41341" s="612"/>
      <c r="H41341" s="612"/>
    </row>
    <row r="41342">
      <c r="B41342" s="612"/>
      <c r="H41342" s="612"/>
    </row>
    <row r="41343">
      <c r="B41343" s="612"/>
      <c r="H41343" s="612"/>
    </row>
    <row r="41344">
      <c r="B41344" s="612"/>
      <c r="H41344" s="612"/>
    </row>
    <row r="41345">
      <c r="B41345" s="612"/>
      <c r="H41345" s="612"/>
    </row>
    <row r="41346">
      <c r="B41346" s="612"/>
      <c r="H41346" s="612"/>
    </row>
    <row r="41347">
      <c r="B41347" s="612"/>
      <c r="H41347" s="612"/>
    </row>
    <row r="41348">
      <c r="B41348" s="612"/>
      <c r="H41348" s="612"/>
    </row>
    <row r="41349">
      <c r="B41349" s="612"/>
      <c r="H41349" s="612"/>
    </row>
    <row r="41350">
      <c r="B41350" s="612"/>
      <c r="H41350" s="612"/>
    </row>
    <row r="41351">
      <c r="B41351" s="612"/>
      <c r="H41351" s="612"/>
    </row>
    <row r="41352">
      <c r="B41352" s="612"/>
      <c r="H41352" s="612"/>
    </row>
    <row r="41353">
      <c r="B41353" s="612"/>
      <c r="H41353" s="612"/>
    </row>
    <row r="41354">
      <c r="B41354" s="612"/>
      <c r="H41354" s="612"/>
    </row>
    <row r="41355">
      <c r="B41355" s="612"/>
      <c r="H41355" s="612"/>
    </row>
    <row r="41356">
      <c r="B41356" s="612"/>
      <c r="H41356" s="612"/>
    </row>
    <row r="41357">
      <c r="B41357" s="612"/>
      <c r="H41357" s="612"/>
    </row>
    <row r="41358">
      <c r="B41358" s="612"/>
      <c r="H41358" s="612"/>
    </row>
    <row r="41359">
      <c r="B41359" s="612"/>
      <c r="H41359" s="612"/>
    </row>
    <row r="41360">
      <c r="B41360" s="612"/>
      <c r="H41360" s="612"/>
    </row>
    <row r="41361">
      <c r="B41361" s="612"/>
      <c r="H41361" s="612"/>
    </row>
    <row r="41362">
      <c r="B41362" s="612"/>
      <c r="H41362" s="612"/>
    </row>
    <row r="41363">
      <c r="B41363" s="612"/>
      <c r="H41363" s="612"/>
    </row>
    <row r="41364">
      <c r="B41364" s="612"/>
      <c r="H41364" s="612"/>
    </row>
    <row r="41365">
      <c r="B41365" s="612"/>
      <c r="H41365" s="612"/>
    </row>
    <row r="41366">
      <c r="B41366" s="612"/>
      <c r="H41366" s="612"/>
    </row>
    <row r="41367">
      <c r="B41367" s="612"/>
      <c r="H41367" s="612"/>
    </row>
    <row r="41368">
      <c r="B41368" s="612"/>
      <c r="H41368" s="612"/>
    </row>
    <row r="41369">
      <c r="B41369" s="612"/>
      <c r="H41369" s="612"/>
    </row>
    <row r="41370">
      <c r="B41370" s="612"/>
      <c r="H41370" s="612"/>
    </row>
    <row r="41371">
      <c r="B41371" s="612"/>
      <c r="H41371" s="612"/>
    </row>
    <row r="41372">
      <c r="B41372" s="612"/>
      <c r="H41372" s="612"/>
    </row>
    <row r="41373">
      <c r="B41373" s="612"/>
      <c r="H41373" s="612"/>
    </row>
    <row r="41374">
      <c r="B41374" s="612"/>
      <c r="H41374" s="612"/>
    </row>
    <row r="41375">
      <c r="B41375" s="612"/>
      <c r="H41375" s="612"/>
    </row>
    <row r="41376">
      <c r="B41376" s="612"/>
      <c r="H41376" s="612"/>
    </row>
    <row r="41377">
      <c r="B41377" s="612"/>
      <c r="H41377" s="612"/>
    </row>
    <row r="41378">
      <c r="B41378" s="612"/>
      <c r="H41378" s="612"/>
    </row>
    <row r="41379">
      <c r="B41379" s="612"/>
      <c r="H41379" s="612"/>
    </row>
    <row r="41380">
      <c r="B41380" s="612"/>
      <c r="H41380" s="612"/>
    </row>
    <row r="41381">
      <c r="B41381" s="612"/>
      <c r="H41381" s="612"/>
    </row>
    <row r="41382">
      <c r="B41382" s="612"/>
      <c r="H41382" s="612"/>
    </row>
    <row r="41383">
      <c r="B41383" s="612"/>
      <c r="H41383" s="612"/>
    </row>
    <row r="41384">
      <c r="B41384" s="612"/>
      <c r="H41384" s="612"/>
    </row>
    <row r="41385">
      <c r="B41385" s="612"/>
      <c r="H41385" s="612"/>
    </row>
    <row r="41386">
      <c r="B41386" s="612"/>
      <c r="H41386" s="612"/>
    </row>
    <row r="41387">
      <c r="B41387" s="612"/>
      <c r="H41387" s="612"/>
    </row>
    <row r="41388">
      <c r="B41388" s="612"/>
      <c r="H41388" s="612"/>
    </row>
    <row r="41389">
      <c r="B41389" s="612"/>
      <c r="H41389" s="612"/>
    </row>
    <row r="41390">
      <c r="B41390" s="612"/>
      <c r="H41390" s="612"/>
    </row>
    <row r="41391">
      <c r="B41391" s="612"/>
      <c r="H41391" s="612"/>
    </row>
    <row r="41392">
      <c r="B41392" s="612"/>
      <c r="H41392" s="612"/>
    </row>
    <row r="41393">
      <c r="B41393" s="612"/>
      <c r="H41393" s="612"/>
    </row>
    <row r="41394">
      <c r="B41394" s="612"/>
      <c r="H41394" s="612"/>
    </row>
    <row r="41395">
      <c r="B41395" s="612"/>
      <c r="H41395" s="612"/>
    </row>
    <row r="41396">
      <c r="B41396" s="612"/>
      <c r="H41396" s="612"/>
    </row>
    <row r="41397">
      <c r="B41397" s="612"/>
      <c r="H41397" s="612"/>
    </row>
    <row r="41398">
      <c r="B41398" s="612"/>
      <c r="H41398" s="612"/>
    </row>
    <row r="41399">
      <c r="B41399" s="612"/>
      <c r="H41399" s="612"/>
    </row>
    <row r="41400">
      <c r="B41400" s="612"/>
      <c r="H41400" s="612"/>
    </row>
    <row r="41401">
      <c r="B41401" s="612"/>
      <c r="H41401" s="612"/>
    </row>
    <row r="41402">
      <c r="B41402" s="612"/>
      <c r="H41402" s="612"/>
    </row>
    <row r="41403">
      <c r="B41403" s="612"/>
      <c r="H41403" s="612"/>
    </row>
    <row r="41404">
      <c r="B41404" s="612"/>
      <c r="H41404" s="612"/>
    </row>
    <row r="41405">
      <c r="B41405" s="612"/>
      <c r="H41405" s="612"/>
    </row>
    <row r="41406">
      <c r="B41406" s="612"/>
      <c r="H41406" s="612"/>
    </row>
    <row r="41407">
      <c r="B41407" s="612"/>
      <c r="H41407" s="612"/>
    </row>
    <row r="41408">
      <c r="B41408" s="612"/>
      <c r="H41408" s="612"/>
    </row>
    <row r="41409">
      <c r="B41409" s="612"/>
      <c r="H41409" s="612"/>
    </row>
    <row r="41410">
      <c r="B41410" s="612"/>
      <c r="H41410" s="612"/>
    </row>
    <row r="41411">
      <c r="B41411" s="612"/>
      <c r="H41411" s="612"/>
    </row>
    <row r="41412">
      <c r="B41412" s="612"/>
      <c r="H41412" s="612"/>
    </row>
    <row r="41413">
      <c r="B41413" s="612"/>
      <c r="H41413" s="612"/>
    </row>
    <row r="41414">
      <c r="B41414" s="612"/>
      <c r="H41414" s="612"/>
    </row>
    <row r="41415">
      <c r="B41415" s="612"/>
      <c r="H41415" s="612"/>
    </row>
    <row r="41416">
      <c r="B41416" s="612"/>
      <c r="H41416" s="612"/>
    </row>
    <row r="41417">
      <c r="B41417" s="612"/>
      <c r="H41417" s="612"/>
    </row>
    <row r="41418">
      <c r="B41418" s="612"/>
      <c r="H41418" s="612"/>
    </row>
    <row r="41419">
      <c r="B41419" s="612"/>
      <c r="H41419" s="612"/>
    </row>
    <row r="41420">
      <c r="B41420" s="612"/>
      <c r="H41420" s="612"/>
    </row>
    <row r="41421">
      <c r="B41421" s="612"/>
      <c r="H41421" s="612"/>
    </row>
    <row r="41422">
      <c r="B41422" s="612"/>
      <c r="H41422" s="612"/>
    </row>
    <row r="41423">
      <c r="B41423" s="612"/>
      <c r="H41423" s="612"/>
    </row>
    <row r="41424">
      <c r="B41424" s="612"/>
      <c r="H41424" s="612"/>
    </row>
    <row r="41425">
      <c r="B41425" s="612"/>
      <c r="H41425" s="612"/>
    </row>
    <row r="41426">
      <c r="B41426" s="612"/>
      <c r="H41426" s="612"/>
    </row>
    <row r="41427">
      <c r="B41427" s="612"/>
      <c r="H41427" s="612"/>
    </row>
    <row r="41428">
      <c r="B41428" s="612"/>
      <c r="H41428" s="612"/>
    </row>
    <row r="41429">
      <c r="B41429" s="612"/>
      <c r="H41429" s="612"/>
    </row>
    <row r="41430">
      <c r="B41430" s="612"/>
      <c r="H41430" s="612"/>
    </row>
    <row r="41431">
      <c r="B41431" s="612"/>
      <c r="H41431" s="612"/>
    </row>
    <row r="41432">
      <c r="B41432" s="612"/>
      <c r="H41432" s="612"/>
    </row>
    <row r="41433">
      <c r="B41433" s="612"/>
      <c r="H41433" s="612"/>
    </row>
    <row r="41434">
      <c r="B41434" s="612"/>
      <c r="H41434" s="612"/>
    </row>
    <row r="41435">
      <c r="B41435" s="612"/>
      <c r="H41435" s="612"/>
    </row>
    <row r="41436">
      <c r="B41436" s="612"/>
      <c r="H41436" s="612"/>
    </row>
    <row r="41437">
      <c r="B41437" s="612"/>
      <c r="H41437" s="612"/>
    </row>
    <row r="41438">
      <c r="B41438" s="612"/>
      <c r="H41438" s="612"/>
    </row>
    <row r="41439">
      <c r="B41439" s="612"/>
      <c r="H41439" s="612"/>
    </row>
    <row r="41440">
      <c r="B41440" s="612"/>
      <c r="H41440" s="612"/>
    </row>
    <row r="41441">
      <c r="B41441" s="612"/>
      <c r="H41441" s="612"/>
    </row>
    <row r="41442">
      <c r="B41442" s="612"/>
      <c r="H41442" s="612"/>
    </row>
    <row r="41443">
      <c r="B41443" s="612"/>
      <c r="H41443" s="612"/>
    </row>
    <row r="41444">
      <c r="B41444" s="612"/>
      <c r="H41444" s="612"/>
    </row>
    <row r="41445">
      <c r="B41445" s="612"/>
      <c r="H41445" s="612"/>
    </row>
    <row r="41446">
      <c r="B41446" s="612"/>
      <c r="H41446" s="612"/>
    </row>
    <row r="41447">
      <c r="B41447" s="612"/>
      <c r="H41447" s="612"/>
    </row>
    <row r="41448">
      <c r="B41448" s="612"/>
      <c r="H41448" s="612"/>
    </row>
    <row r="41449">
      <c r="B41449" s="612"/>
      <c r="H41449" s="612"/>
    </row>
    <row r="41450">
      <c r="B41450" s="612"/>
      <c r="H41450" s="612"/>
    </row>
    <row r="41451">
      <c r="B41451" s="612"/>
      <c r="H41451" s="612"/>
    </row>
    <row r="41452">
      <c r="B41452" s="612"/>
      <c r="H41452" s="612"/>
    </row>
    <row r="41453">
      <c r="B41453" s="612"/>
      <c r="H41453" s="612"/>
    </row>
    <row r="41454">
      <c r="B41454" s="612"/>
      <c r="H41454" s="612"/>
    </row>
    <row r="41455">
      <c r="B41455" s="612"/>
      <c r="H41455" s="612"/>
    </row>
    <row r="41456">
      <c r="B41456" s="612"/>
      <c r="H41456" s="612"/>
    </row>
    <row r="41457">
      <c r="B41457" s="612"/>
      <c r="H41457" s="612"/>
    </row>
    <row r="41458">
      <c r="B41458" s="612"/>
      <c r="H41458" s="612"/>
    </row>
    <row r="41459">
      <c r="B41459" s="612"/>
      <c r="H41459" s="612"/>
    </row>
    <row r="41460">
      <c r="B41460" s="612"/>
      <c r="H41460" s="612"/>
    </row>
    <row r="41461">
      <c r="B41461" s="612"/>
      <c r="H41461" s="612"/>
    </row>
    <row r="41462">
      <c r="B41462" s="612"/>
      <c r="H41462" s="612"/>
    </row>
    <row r="41463">
      <c r="B41463" s="612"/>
      <c r="H41463" s="612"/>
    </row>
    <row r="41464">
      <c r="B41464" s="612"/>
      <c r="H41464" s="612"/>
    </row>
    <row r="41465">
      <c r="B41465" s="612"/>
      <c r="H41465" s="612"/>
    </row>
    <row r="41466">
      <c r="B41466" s="612"/>
      <c r="H41466" s="612"/>
    </row>
    <row r="41467">
      <c r="B41467" s="612"/>
      <c r="H41467" s="612"/>
    </row>
    <row r="41468">
      <c r="B41468" s="612"/>
      <c r="H41468" s="612"/>
    </row>
    <row r="41469">
      <c r="B41469" s="612"/>
      <c r="H41469" s="612"/>
    </row>
    <row r="41470">
      <c r="B41470" s="612"/>
      <c r="H41470" s="612"/>
    </row>
    <row r="41471">
      <c r="B41471" s="612"/>
      <c r="H41471" s="612"/>
    </row>
    <row r="41472">
      <c r="B41472" s="612"/>
      <c r="H41472" s="612"/>
    </row>
    <row r="41473">
      <c r="B41473" s="612"/>
      <c r="H41473" s="612"/>
    </row>
    <row r="41474">
      <c r="B41474" s="612"/>
      <c r="H41474" s="612"/>
    </row>
    <row r="41475">
      <c r="B41475" s="612"/>
      <c r="H41475" s="612"/>
    </row>
    <row r="41476">
      <c r="B41476" s="612"/>
      <c r="H41476" s="612"/>
    </row>
    <row r="41477">
      <c r="B41477" s="612"/>
      <c r="H41477" s="612"/>
    </row>
    <row r="41478">
      <c r="B41478" s="612"/>
      <c r="H41478" s="612"/>
    </row>
    <row r="41479">
      <c r="B41479" s="612"/>
      <c r="H41479" s="612"/>
    </row>
    <row r="41480">
      <c r="B41480" s="612"/>
      <c r="H41480" s="612"/>
    </row>
    <row r="41481">
      <c r="B41481" s="612"/>
      <c r="H41481" s="612"/>
    </row>
    <row r="41482">
      <c r="B41482" s="612"/>
      <c r="H41482" s="612"/>
    </row>
    <row r="41483">
      <c r="B41483" s="612"/>
      <c r="H41483" s="612"/>
    </row>
    <row r="41484">
      <c r="B41484" s="612"/>
      <c r="H41484" s="612"/>
    </row>
    <row r="41485">
      <c r="B41485" s="612"/>
      <c r="H41485" s="612"/>
    </row>
    <row r="41486">
      <c r="B41486" s="612"/>
      <c r="H41486" s="612"/>
    </row>
    <row r="41487">
      <c r="B41487" s="612"/>
      <c r="H41487" s="612"/>
    </row>
    <row r="41488">
      <c r="B41488" s="612"/>
      <c r="H41488" s="612"/>
    </row>
    <row r="41489">
      <c r="B41489" s="612"/>
      <c r="H41489" s="612"/>
    </row>
    <row r="41490">
      <c r="B41490" s="612"/>
      <c r="H41490" s="612"/>
    </row>
    <row r="41491">
      <c r="B41491" s="612"/>
      <c r="H41491" s="612"/>
    </row>
    <row r="41492">
      <c r="B41492" s="612"/>
      <c r="H41492" s="612"/>
    </row>
    <row r="41493">
      <c r="B41493" s="612"/>
      <c r="H41493" s="612"/>
    </row>
    <row r="41494">
      <c r="B41494" s="612"/>
      <c r="H41494" s="612"/>
    </row>
    <row r="41495">
      <c r="B41495" s="612"/>
      <c r="H41495" s="612"/>
    </row>
    <row r="41496">
      <c r="B41496" s="612"/>
      <c r="H41496" s="612"/>
    </row>
    <row r="41497">
      <c r="B41497" s="612"/>
      <c r="H41497" s="612"/>
    </row>
    <row r="41498">
      <c r="B41498" s="612"/>
      <c r="H41498" s="612"/>
    </row>
    <row r="41499">
      <c r="B41499" s="612"/>
      <c r="H41499" s="612"/>
    </row>
    <row r="41500">
      <c r="B41500" s="612"/>
      <c r="H41500" s="612"/>
    </row>
    <row r="41501">
      <c r="B41501" s="612"/>
      <c r="H41501" s="612"/>
    </row>
    <row r="41502">
      <c r="B41502" s="612"/>
      <c r="H41502" s="612"/>
    </row>
    <row r="41503">
      <c r="B41503" s="612"/>
      <c r="H41503" s="612"/>
    </row>
    <row r="41504">
      <c r="B41504" s="612"/>
      <c r="H41504" s="612"/>
    </row>
    <row r="41505">
      <c r="B41505" s="612"/>
      <c r="H41505" s="612"/>
    </row>
    <row r="41506">
      <c r="B41506" s="612"/>
      <c r="H41506" s="612"/>
    </row>
    <row r="41507">
      <c r="B41507" s="612"/>
      <c r="H41507" s="612"/>
    </row>
    <row r="41508">
      <c r="B41508" s="612"/>
      <c r="H41508" s="612"/>
    </row>
    <row r="41509">
      <c r="B41509" s="612"/>
      <c r="H41509" s="612"/>
    </row>
    <row r="41510">
      <c r="B41510" s="612"/>
      <c r="H41510" s="612"/>
    </row>
    <row r="41511">
      <c r="B41511" s="612"/>
      <c r="H41511" s="612"/>
    </row>
    <row r="41512">
      <c r="B41512" s="612"/>
      <c r="H41512" s="612"/>
    </row>
    <row r="41513">
      <c r="B41513" s="612"/>
      <c r="H41513" s="612"/>
    </row>
    <row r="41514">
      <c r="B41514" s="612"/>
      <c r="H41514" s="612"/>
    </row>
    <row r="41515">
      <c r="B41515" s="612"/>
      <c r="H41515" s="612"/>
    </row>
    <row r="41516">
      <c r="B41516" s="612"/>
      <c r="H41516" s="612"/>
    </row>
    <row r="41517">
      <c r="B41517" s="612"/>
      <c r="H41517" s="612"/>
    </row>
    <row r="41518">
      <c r="B41518" s="612"/>
      <c r="H41518" s="612"/>
    </row>
    <row r="41519">
      <c r="B41519" s="612"/>
      <c r="H41519" s="612"/>
    </row>
    <row r="41520">
      <c r="B41520" s="612"/>
      <c r="H41520" s="612"/>
    </row>
    <row r="41521">
      <c r="B41521" s="612"/>
      <c r="H41521" s="612"/>
    </row>
    <row r="41522">
      <c r="B41522" s="612"/>
      <c r="H41522" s="612"/>
    </row>
    <row r="41523">
      <c r="B41523" s="612"/>
      <c r="H41523" s="612"/>
    </row>
    <row r="41524">
      <c r="B41524" s="612"/>
      <c r="H41524" s="612"/>
    </row>
    <row r="41525">
      <c r="B41525" s="612"/>
      <c r="H41525" s="612"/>
    </row>
    <row r="41526">
      <c r="B41526" s="612"/>
      <c r="H41526" s="612"/>
    </row>
    <row r="41527">
      <c r="B41527" s="612"/>
      <c r="H41527" s="612"/>
    </row>
    <row r="41528">
      <c r="B41528" s="612"/>
      <c r="H41528" s="612"/>
    </row>
    <row r="41529">
      <c r="B41529" s="612"/>
      <c r="H41529" s="612"/>
    </row>
    <row r="41530">
      <c r="B41530" s="612"/>
      <c r="H41530" s="612"/>
    </row>
    <row r="41531">
      <c r="B41531" s="612"/>
      <c r="H41531" s="612"/>
    </row>
    <row r="41532">
      <c r="B41532" s="612"/>
      <c r="H41532" s="612"/>
    </row>
    <row r="41533">
      <c r="B41533" s="612"/>
      <c r="H41533" s="612"/>
    </row>
    <row r="41534">
      <c r="B41534" s="612"/>
      <c r="H41534" s="612"/>
    </row>
    <row r="41535">
      <c r="B41535" s="612"/>
      <c r="H41535" s="612"/>
    </row>
    <row r="41536">
      <c r="B41536" s="612"/>
      <c r="H41536" s="612"/>
    </row>
    <row r="41537">
      <c r="B41537" s="612"/>
      <c r="H41537" s="612"/>
    </row>
    <row r="41538">
      <c r="B41538" s="612"/>
      <c r="H41538" s="612"/>
    </row>
    <row r="41539">
      <c r="B41539" s="612"/>
      <c r="H41539" s="612"/>
    </row>
    <row r="41540">
      <c r="B41540" s="612"/>
      <c r="H41540" s="612"/>
    </row>
    <row r="41541">
      <c r="B41541" s="612"/>
      <c r="H41541" s="612"/>
    </row>
    <row r="41542">
      <c r="B41542" s="612"/>
      <c r="H41542" s="612"/>
    </row>
    <row r="41543">
      <c r="B41543" s="612"/>
      <c r="H41543" s="612"/>
    </row>
    <row r="41544">
      <c r="B41544" s="612"/>
      <c r="H41544" s="612"/>
    </row>
    <row r="41545">
      <c r="B41545" s="612"/>
      <c r="H41545" s="612"/>
    </row>
    <row r="41546">
      <c r="B41546" s="612"/>
      <c r="H41546" s="612"/>
    </row>
    <row r="41547">
      <c r="B41547" s="612"/>
      <c r="H41547" s="612"/>
    </row>
    <row r="41548">
      <c r="B41548" s="612"/>
      <c r="H41548" s="612"/>
    </row>
    <row r="41549">
      <c r="B41549" s="612"/>
      <c r="H41549" s="612"/>
    </row>
    <row r="41550">
      <c r="B41550" s="612"/>
      <c r="H41550" s="612"/>
    </row>
    <row r="41551">
      <c r="B41551" s="612"/>
      <c r="H41551" s="612"/>
    </row>
    <row r="41552">
      <c r="B41552" s="612"/>
      <c r="H41552" s="612"/>
    </row>
    <row r="41553">
      <c r="B41553" s="612"/>
      <c r="H41553" s="612"/>
    </row>
    <row r="41554">
      <c r="B41554" s="612"/>
      <c r="H41554" s="612"/>
    </row>
    <row r="41555">
      <c r="B41555" s="612"/>
      <c r="H41555" s="612"/>
    </row>
    <row r="41556">
      <c r="B41556" s="612"/>
      <c r="H41556" s="612"/>
    </row>
    <row r="41557">
      <c r="B41557" s="612"/>
      <c r="H41557" s="612"/>
    </row>
    <row r="41558">
      <c r="B41558" s="612"/>
      <c r="H41558" s="612"/>
    </row>
    <row r="41559">
      <c r="B41559" s="612"/>
      <c r="H41559" s="612"/>
    </row>
    <row r="41560">
      <c r="B41560" s="612"/>
      <c r="H41560" s="612"/>
    </row>
    <row r="41561">
      <c r="B41561" s="612"/>
      <c r="H41561" s="612"/>
    </row>
    <row r="41562">
      <c r="B41562" s="612"/>
      <c r="H41562" s="612"/>
    </row>
    <row r="41563">
      <c r="B41563" s="612"/>
      <c r="H41563" s="612"/>
    </row>
    <row r="41564">
      <c r="B41564" s="612"/>
      <c r="H41564" s="612"/>
    </row>
    <row r="41565">
      <c r="B41565" s="612"/>
      <c r="H41565" s="612"/>
    </row>
    <row r="41566">
      <c r="B41566" s="612"/>
      <c r="H41566" s="612"/>
    </row>
    <row r="41567">
      <c r="B41567" s="612"/>
      <c r="H41567" s="612"/>
    </row>
    <row r="41568">
      <c r="B41568" s="612"/>
      <c r="H41568" s="612"/>
    </row>
    <row r="41569">
      <c r="B41569" s="612"/>
      <c r="H41569" s="612"/>
    </row>
    <row r="41570">
      <c r="B41570" s="612"/>
      <c r="H41570" s="612"/>
    </row>
    <row r="41571">
      <c r="B41571" s="612"/>
      <c r="H41571" s="612"/>
    </row>
    <row r="41572">
      <c r="B41572" s="612"/>
      <c r="H41572" s="612"/>
    </row>
    <row r="41573">
      <c r="B41573" s="612"/>
      <c r="H41573" s="612"/>
    </row>
    <row r="41574">
      <c r="B41574" s="612"/>
      <c r="H41574" s="612"/>
    </row>
    <row r="41575">
      <c r="B41575" s="612"/>
      <c r="H41575" s="612"/>
    </row>
    <row r="41576">
      <c r="B41576" s="612"/>
      <c r="H41576" s="612"/>
    </row>
    <row r="41577">
      <c r="B41577" s="612"/>
      <c r="H41577" s="612"/>
    </row>
    <row r="41578">
      <c r="B41578" s="612"/>
      <c r="H41578" s="612"/>
    </row>
    <row r="41579">
      <c r="B41579" s="612"/>
      <c r="H41579" s="612"/>
    </row>
    <row r="41580">
      <c r="B41580" s="612"/>
      <c r="H41580" s="612"/>
    </row>
    <row r="41581">
      <c r="B41581" s="612"/>
      <c r="H41581" s="612"/>
    </row>
    <row r="41582">
      <c r="B41582" s="612"/>
      <c r="H41582" s="612"/>
    </row>
    <row r="41583">
      <c r="B41583" s="612"/>
      <c r="H41583" s="612"/>
    </row>
    <row r="41584">
      <c r="B41584" s="612"/>
      <c r="H41584" s="612"/>
    </row>
    <row r="41585">
      <c r="B41585" s="612"/>
      <c r="H41585" s="612"/>
    </row>
    <row r="41586">
      <c r="B41586" s="612"/>
      <c r="H41586" s="612"/>
    </row>
    <row r="41587">
      <c r="B41587" s="612"/>
      <c r="H41587" s="612"/>
    </row>
    <row r="41588">
      <c r="B41588" s="612"/>
      <c r="H41588" s="612"/>
    </row>
    <row r="41589">
      <c r="B41589" s="612"/>
      <c r="H41589" s="612"/>
    </row>
    <row r="41590">
      <c r="B41590" s="612"/>
      <c r="H41590" s="612"/>
    </row>
    <row r="41591">
      <c r="B41591" s="612"/>
      <c r="H41591" s="612"/>
    </row>
    <row r="41592">
      <c r="B41592" s="612"/>
      <c r="H41592" s="612"/>
    </row>
    <row r="41593">
      <c r="B41593" s="612"/>
      <c r="H41593" s="612"/>
    </row>
    <row r="41594">
      <c r="B41594" s="612"/>
      <c r="H41594" s="612"/>
    </row>
    <row r="41595">
      <c r="B41595" s="612"/>
      <c r="H41595" s="612"/>
    </row>
    <row r="41596">
      <c r="B41596" s="612"/>
      <c r="H41596" s="612"/>
    </row>
    <row r="41597">
      <c r="B41597" s="612"/>
      <c r="H41597" s="612"/>
    </row>
    <row r="41598">
      <c r="B41598" s="612"/>
      <c r="H41598" s="612"/>
    </row>
    <row r="41599">
      <c r="B41599" s="612"/>
      <c r="H41599" s="612"/>
    </row>
    <row r="41600">
      <c r="B41600" s="612"/>
      <c r="H41600" s="612"/>
    </row>
    <row r="41601">
      <c r="B41601" s="612"/>
      <c r="H41601" s="612"/>
    </row>
    <row r="41602">
      <c r="B41602" s="612"/>
      <c r="H41602" s="612"/>
    </row>
    <row r="41603">
      <c r="B41603" s="612"/>
      <c r="H41603" s="612"/>
    </row>
    <row r="41604">
      <c r="B41604" s="612"/>
      <c r="H41604" s="612"/>
    </row>
    <row r="41605">
      <c r="B41605" s="612"/>
      <c r="H41605" s="612"/>
    </row>
    <row r="41606">
      <c r="B41606" s="612"/>
      <c r="H41606" s="612"/>
    </row>
    <row r="41607">
      <c r="B41607" s="612"/>
      <c r="H41607" s="612"/>
    </row>
    <row r="41608">
      <c r="B41608" s="612"/>
      <c r="H41608" s="612"/>
    </row>
    <row r="41609">
      <c r="B41609" s="612"/>
      <c r="H41609" s="612"/>
    </row>
    <row r="41610">
      <c r="B41610" s="612"/>
      <c r="H41610" s="612"/>
    </row>
    <row r="41611">
      <c r="B41611" s="612"/>
      <c r="H41611" s="612"/>
    </row>
    <row r="41612">
      <c r="B41612" s="612"/>
      <c r="H41612" s="612"/>
    </row>
    <row r="41613">
      <c r="B41613" s="612"/>
      <c r="H41613" s="612"/>
    </row>
    <row r="41614">
      <c r="B41614" s="612"/>
      <c r="H41614" s="612"/>
    </row>
    <row r="41615">
      <c r="B41615" s="612"/>
      <c r="H41615" s="612"/>
    </row>
    <row r="41616">
      <c r="B41616" s="612"/>
      <c r="H41616" s="612"/>
    </row>
    <row r="41617">
      <c r="B41617" s="612"/>
      <c r="H41617" s="612"/>
    </row>
    <row r="41618">
      <c r="B41618" s="612"/>
      <c r="H41618" s="612"/>
    </row>
    <row r="41619">
      <c r="B41619" s="612"/>
      <c r="H41619" s="612"/>
    </row>
    <row r="41620">
      <c r="B41620" s="612"/>
      <c r="H41620" s="612"/>
    </row>
    <row r="41621">
      <c r="B41621" s="612"/>
      <c r="H41621" s="612"/>
    </row>
    <row r="41622">
      <c r="B41622" s="612"/>
      <c r="H41622" s="612"/>
    </row>
    <row r="41623">
      <c r="B41623" s="612"/>
      <c r="H41623" s="612"/>
    </row>
    <row r="41624">
      <c r="B41624" s="612"/>
      <c r="H41624" s="612"/>
    </row>
    <row r="41625">
      <c r="B41625" s="612"/>
      <c r="H41625" s="612"/>
    </row>
    <row r="41626">
      <c r="B41626" s="612"/>
      <c r="H41626" s="612"/>
    </row>
    <row r="41627">
      <c r="B41627" s="612"/>
      <c r="H41627" s="612"/>
    </row>
    <row r="41628">
      <c r="B41628" s="612"/>
      <c r="H41628" s="612"/>
    </row>
    <row r="41629">
      <c r="B41629" s="612"/>
      <c r="H41629" s="612"/>
    </row>
    <row r="41630">
      <c r="B41630" s="612"/>
      <c r="H41630" s="612"/>
    </row>
    <row r="41631">
      <c r="B41631" s="612"/>
      <c r="H41631" s="612"/>
    </row>
    <row r="41632">
      <c r="B41632" s="612"/>
      <c r="H41632" s="612"/>
    </row>
    <row r="41633">
      <c r="B41633" s="612"/>
      <c r="H41633" s="612"/>
    </row>
    <row r="41634">
      <c r="B41634" s="612"/>
      <c r="H41634" s="612"/>
    </row>
    <row r="41635">
      <c r="B41635" s="612"/>
      <c r="H41635" s="612"/>
    </row>
    <row r="41636">
      <c r="B41636" s="612"/>
      <c r="H41636" s="612"/>
    </row>
    <row r="41637">
      <c r="B41637" s="612"/>
      <c r="H41637" s="612"/>
    </row>
    <row r="41638">
      <c r="B41638" s="612"/>
      <c r="H41638" s="612"/>
    </row>
    <row r="41639">
      <c r="B41639" s="612"/>
      <c r="H41639" s="612"/>
    </row>
    <row r="41640">
      <c r="B41640" s="612"/>
      <c r="H41640" s="612"/>
    </row>
    <row r="41641">
      <c r="B41641" s="612"/>
      <c r="H41641" s="612"/>
    </row>
    <row r="41642">
      <c r="B41642" s="612"/>
      <c r="H41642" s="612"/>
    </row>
    <row r="41643">
      <c r="B41643" s="612"/>
      <c r="H41643" s="612"/>
    </row>
    <row r="41644">
      <c r="B41644" s="612"/>
      <c r="H41644" s="612"/>
    </row>
    <row r="41645">
      <c r="B41645" s="612"/>
      <c r="H41645" s="612"/>
    </row>
    <row r="41646">
      <c r="B41646" s="612"/>
      <c r="H41646" s="612"/>
    </row>
    <row r="41647">
      <c r="B41647" s="612"/>
      <c r="H41647" s="612"/>
    </row>
    <row r="41648">
      <c r="B41648" s="612"/>
      <c r="H41648" s="612"/>
    </row>
    <row r="41649">
      <c r="B41649" s="612"/>
      <c r="H41649" s="612"/>
    </row>
    <row r="41650">
      <c r="B41650" s="612"/>
      <c r="H41650" s="612"/>
    </row>
    <row r="41651">
      <c r="B41651" s="612"/>
      <c r="H41651" s="612"/>
    </row>
    <row r="41652">
      <c r="B41652" s="612"/>
      <c r="H41652" s="612"/>
    </row>
    <row r="41653">
      <c r="B41653" s="612"/>
      <c r="H41653" s="612"/>
    </row>
    <row r="41654">
      <c r="B41654" s="612"/>
      <c r="H41654" s="612"/>
    </row>
    <row r="41655">
      <c r="B41655" s="612"/>
      <c r="H41655" s="612"/>
    </row>
    <row r="41656">
      <c r="B41656" s="612"/>
      <c r="H41656" s="612"/>
    </row>
    <row r="41657">
      <c r="B41657" s="612"/>
      <c r="H41657" s="612"/>
    </row>
    <row r="41658">
      <c r="B41658" s="612"/>
      <c r="H41658" s="612"/>
    </row>
    <row r="41659">
      <c r="B41659" s="612"/>
      <c r="H41659" s="612"/>
    </row>
    <row r="41660">
      <c r="B41660" s="612"/>
      <c r="H41660" s="612"/>
    </row>
    <row r="41661">
      <c r="B41661" s="612"/>
      <c r="H41661" s="612"/>
    </row>
    <row r="41662">
      <c r="B41662" s="612"/>
      <c r="H41662" s="612"/>
    </row>
    <row r="41663">
      <c r="B41663" s="612"/>
      <c r="H41663" s="612"/>
    </row>
    <row r="41664">
      <c r="B41664" s="612"/>
      <c r="H41664" s="612"/>
    </row>
    <row r="41665">
      <c r="B41665" s="612"/>
      <c r="H41665" s="612"/>
    </row>
    <row r="41666">
      <c r="B41666" s="612"/>
      <c r="H41666" s="612"/>
    </row>
    <row r="41667">
      <c r="B41667" s="612"/>
      <c r="H41667" s="612"/>
    </row>
    <row r="41668">
      <c r="B41668" s="612"/>
      <c r="H41668" s="612"/>
    </row>
    <row r="41669">
      <c r="B41669" s="612"/>
      <c r="H41669" s="612"/>
    </row>
    <row r="41670">
      <c r="B41670" s="612"/>
      <c r="H41670" s="612"/>
    </row>
    <row r="41671">
      <c r="B41671" s="612"/>
      <c r="H41671" s="612"/>
    </row>
    <row r="41672">
      <c r="B41672" s="612"/>
      <c r="H41672" s="612"/>
    </row>
    <row r="41673">
      <c r="B41673" s="612"/>
      <c r="H41673" s="612"/>
    </row>
    <row r="41674">
      <c r="B41674" s="612"/>
      <c r="H41674" s="612"/>
    </row>
    <row r="41675">
      <c r="B41675" s="612"/>
      <c r="H41675" s="612"/>
    </row>
    <row r="41676">
      <c r="B41676" s="612"/>
      <c r="H41676" s="612"/>
    </row>
    <row r="41677">
      <c r="B41677" s="612"/>
      <c r="H41677" s="612"/>
    </row>
    <row r="41678">
      <c r="B41678" s="612"/>
      <c r="H41678" s="612"/>
    </row>
    <row r="41679">
      <c r="B41679" s="612"/>
      <c r="H41679" s="612"/>
    </row>
    <row r="41680">
      <c r="B41680" s="612"/>
      <c r="H41680" s="612"/>
    </row>
    <row r="41681">
      <c r="B41681" s="612"/>
      <c r="H41681" s="612"/>
    </row>
    <row r="41682">
      <c r="B41682" s="612"/>
      <c r="H41682" s="612"/>
    </row>
    <row r="41683">
      <c r="B41683" s="612"/>
      <c r="H41683" s="612"/>
    </row>
    <row r="41684">
      <c r="B41684" s="612"/>
      <c r="H41684" s="612"/>
    </row>
    <row r="41685">
      <c r="B41685" s="612"/>
      <c r="H41685" s="612"/>
    </row>
    <row r="41686">
      <c r="B41686" s="612"/>
      <c r="H41686" s="612"/>
    </row>
    <row r="41687">
      <c r="B41687" s="612"/>
      <c r="H41687" s="612"/>
    </row>
    <row r="41688">
      <c r="B41688" s="612"/>
      <c r="H41688" s="612"/>
    </row>
    <row r="41689">
      <c r="B41689" s="612"/>
      <c r="H41689" s="612"/>
    </row>
    <row r="41690">
      <c r="B41690" s="612"/>
      <c r="H41690" s="612"/>
    </row>
    <row r="41691">
      <c r="B41691" s="612"/>
      <c r="H41691" s="612"/>
    </row>
    <row r="41692">
      <c r="B41692" s="612"/>
      <c r="H41692" s="612"/>
    </row>
    <row r="41693">
      <c r="B41693" s="612"/>
      <c r="H41693" s="612"/>
    </row>
    <row r="41694">
      <c r="B41694" s="612"/>
      <c r="H41694" s="612"/>
    </row>
    <row r="41695">
      <c r="B41695" s="612"/>
      <c r="H41695" s="612"/>
    </row>
    <row r="41696">
      <c r="B41696" s="612"/>
      <c r="H41696" s="612"/>
    </row>
    <row r="41697">
      <c r="B41697" s="612"/>
      <c r="H41697" s="612"/>
    </row>
    <row r="41698">
      <c r="B41698" s="612"/>
      <c r="H41698" s="612"/>
    </row>
    <row r="41699">
      <c r="B41699" s="612"/>
      <c r="H41699" s="612"/>
    </row>
    <row r="41700">
      <c r="B41700" s="612"/>
      <c r="H41700" s="612"/>
    </row>
    <row r="41701">
      <c r="B41701" s="612"/>
      <c r="H41701" s="612"/>
    </row>
    <row r="41702">
      <c r="B41702" s="612"/>
      <c r="H41702" s="612"/>
    </row>
    <row r="41703">
      <c r="B41703" s="612"/>
      <c r="H41703" s="612"/>
    </row>
    <row r="41704">
      <c r="B41704" s="612"/>
      <c r="H41704" s="612"/>
    </row>
    <row r="41705">
      <c r="B41705" s="612"/>
      <c r="H41705" s="612"/>
    </row>
    <row r="41706">
      <c r="B41706" s="612"/>
      <c r="H41706" s="612"/>
    </row>
    <row r="41707">
      <c r="B41707" s="612"/>
      <c r="H41707" s="612"/>
    </row>
    <row r="41708">
      <c r="B41708" s="612"/>
      <c r="H41708" s="612"/>
    </row>
    <row r="41709">
      <c r="B41709" s="612"/>
      <c r="H41709" s="612"/>
    </row>
    <row r="41710">
      <c r="B41710" s="612"/>
      <c r="H41710" s="612"/>
    </row>
    <row r="41711">
      <c r="B41711" s="612"/>
      <c r="H41711" s="612"/>
    </row>
    <row r="41712">
      <c r="B41712" s="612"/>
      <c r="H41712" s="612"/>
    </row>
    <row r="41713">
      <c r="B41713" s="612"/>
      <c r="H41713" s="612"/>
    </row>
    <row r="41714">
      <c r="B41714" s="612"/>
      <c r="H41714" s="612"/>
    </row>
    <row r="41715">
      <c r="B41715" s="612"/>
      <c r="H41715" s="612"/>
    </row>
    <row r="41716">
      <c r="B41716" s="612"/>
      <c r="H41716" s="612"/>
    </row>
    <row r="41717">
      <c r="B41717" s="612"/>
      <c r="H41717" s="612"/>
    </row>
    <row r="41718">
      <c r="B41718" s="612"/>
      <c r="H41718" s="612"/>
    </row>
    <row r="41719">
      <c r="B41719" s="612"/>
      <c r="H41719" s="612"/>
    </row>
    <row r="41720">
      <c r="B41720" s="612"/>
      <c r="H41720" s="612"/>
    </row>
    <row r="41721">
      <c r="B41721" s="612"/>
      <c r="H41721" s="612"/>
    </row>
    <row r="41722">
      <c r="B41722" s="612"/>
      <c r="H41722" s="612"/>
    </row>
    <row r="41723">
      <c r="B41723" s="612"/>
      <c r="H41723" s="612"/>
    </row>
    <row r="41724">
      <c r="B41724" s="612"/>
      <c r="H41724" s="612"/>
    </row>
    <row r="41725">
      <c r="B41725" s="612"/>
      <c r="H41725" s="612"/>
    </row>
    <row r="41726">
      <c r="B41726" s="612"/>
      <c r="H41726" s="612"/>
    </row>
    <row r="41727">
      <c r="B41727" s="612"/>
      <c r="H41727" s="612"/>
    </row>
    <row r="41728">
      <c r="B41728" s="612"/>
      <c r="H41728" s="612"/>
    </row>
    <row r="41729">
      <c r="B41729" s="612"/>
      <c r="H41729" s="612"/>
    </row>
    <row r="41730">
      <c r="B41730" s="612"/>
      <c r="H41730" s="612"/>
    </row>
    <row r="41731">
      <c r="B41731" s="612"/>
      <c r="H41731" s="612"/>
    </row>
    <row r="41732">
      <c r="B41732" s="612"/>
      <c r="H41732" s="612"/>
    </row>
    <row r="41733">
      <c r="B41733" s="612"/>
      <c r="H41733" s="612"/>
    </row>
    <row r="41734">
      <c r="B41734" s="612"/>
      <c r="H41734" s="612"/>
    </row>
    <row r="41735">
      <c r="B41735" s="612"/>
      <c r="H41735" s="612"/>
    </row>
    <row r="41736">
      <c r="B41736" s="612"/>
      <c r="H41736" s="612"/>
    </row>
    <row r="41737">
      <c r="B41737" s="612"/>
      <c r="H41737" s="612"/>
    </row>
    <row r="41738">
      <c r="B41738" s="612"/>
      <c r="H41738" s="612"/>
    </row>
    <row r="41739">
      <c r="B41739" s="612"/>
      <c r="H41739" s="612"/>
    </row>
    <row r="41740">
      <c r="B41740" s="612"/>
      <c r="H41740" s="612"/>
    </row>
    <row r="41741">
      <c r="B41741" s="612"/>
      <c r="H41741" s="612"/>
    </row>
    <row r="41742">
      <c r="B41742" s="612"/>
      <c r="H41742" s="612"/>
    </row>
    <row r="41743">
      <c r="B41743" s="612"/>
      <c r="H41743" s="612"/>
    </row>
    <row r="41744">
      <c r="B41744" s="612"/>
      <c r="H41744" s="612"/>
    </row>
    <row r="41745">
      <c r="B41745" s="612"/>
      <c r="H41745" s="612"/>
    </row>
    <row r="41746">
      <c r="B41746" s="612"/>
      <c r="H41746" s="612"/>
    </row>
    <row r="41747">
      <c r="B41747" s="612"/>
      <c r="H41747" s="612"/>
    </row>
    <row r="41748">
      <c r="B41748" s="612"/>
      <c r="H41748" s="612"/>
    </row>
    <row r="41749">
      <c r="B41749" s="612"/>
      <c r="H41749" s="612"/>
    </row>
    <row r="41750">
      <c r="B41750" s="612"/>
      <c r="H41750" s="612"/>
    </row>
    <row r="41751">
      <c r="B41751" s="612"/>
      <c r="H41751" s="612"/>
    </row>
    <row r="41752">
      <c r="B41752" s="612"/>
      <c r="H41752" s="612"/>
    </row>
    <row r="41753">
      <c r="B41753" s="612"/>
      <c r="H41753" s="612"/>
    </row>
    <row r="41754">
      <c r="B41754" s="612"/>
      <c r="H41754" s="612"/>
    </row>
    <row r="41755">
      <c r="B41755" s="612"/>
      <c r="H41755" s="612"/>
    </row>
    <row r="41756">
      <c r="B41756" s="612"/>
      <c r="H41756" s="612"/>
    </row>
    <row r="41757">
      <c r="B41757" s="612"/>
      <c r="H41757" s="612"/>
    </row>
    <row r="41758">
      <c r="B41758" s="612"/>
      <c r="H41758" s="612"/>
    </row>
    <row r="41759">
      <c r="B41759" s="612"/>
      <c r="H41759" s="612"/>
    </row>
    <row r="41760">
      <c r="B41760" s="612"/>
      <c r="H41760" s="612"/>
    </row>
    <row r="41761">
      <c r="B41761" s="612"/>
      <c r="H41761" s="612"/>
    </row>
    <row r="41762">
      <c r="B41762" s="612"/>
      <c r="H41762" s="612"/>
    </row>
    <row r="41763">
      <c r="B41763" s="612"/>
      <c r="H41763" s="612"/>
    </row>
    <row r="41764">
      <c r="B41764" s="612"/>
      <c r="H41764" s="612"/>
    </row>
    <row r="41765">
      <c r="B41765" s="612"/>
      <c r="H41765" s="612"/>
    </row>
    <row r="41766">
      <c r="B41766" s="612"/>
      <c r="H41766" s="612"/>
    </row>
    <row r="41767">
      <c r="B41767" s="612"/>
      <c r="H41767" s="612"/>
    </row>
    <row r="41768">
      <c r="B41768" s="612"/>
      <c r="H41768" s="612"/>
    </row>
    <row r="41769">
      <c r="B41769" s="612"/>
      <c r="H41769" s="612"/>
    </row>
    <row r="41770">
      <c r="B41770" s="612"/>
      <c r="H41770" s="612"/>
    </row>
    <row r="41771">
      <c r="B41771" s="612"/>
      <c r="H41771" s="612"/>
    </row>
    <row r="41772">
      <c r="B41772" s="612"/>
      <c r="H41772" s="612"/>
    </row>
    <row r="41773">
      <c r="B41773" s="612"/>
      <c r="H41773" s="612"/>
    </row>
    <row r="41774">
      <c r="B41774" s="612"/>
      <c r="H41774" s="612"/>
    </row>
    <row r="41775">
      <c r="B41775" s="612"/>
      <c r="H41775" s="612"/>
    </row>
    <row r="41776">
      <c r="B41776" s="612"/>
      <c r="H41776" s="612"/>
    </row>
    <row r="41777">
      <c r="B41777" s="612"/>
      <c r="H41777" s="612"/>
    </row>
    <row r="41778">
      <c r="B41778" s="612"/>
      <c r="H41778" s="612"/>
    </row>
    <row r="41779">
      <c r="B41779" s="612"/>
      <c r="H41779" s="612"/>
    </row>
    <row r="41780">
      <c r="B41780" s="612"/>
      <c r="H41780" s="612"/>
    </row>
    <row r="41781">
      <c r="B41781" s="612"/>
      <c r="H41781" s="612"/>
    </row>
    <row r="41782">
      <c r="B41782" s="612"/>
      <c r="H41782" s="612"/>
    </row>
    <row r="41783">
      <c r="B41783" s="612"/>
      <c r="H41783" s="612"/>
    </row>
    <row r="41784">
      <c r="B41784" s="612"/>
      <c r="H41784" s="612"/>
    </row>
    <row r="41785">
      <c r="B41785" s="612"/>
      <c r="H41785" s="612"/>
    </row>
    <row r="41786">
      <c r="B41786" s="612"/>
      <c r="H41786" s="612"/>
    </row>
    <row r="41787">
      <c r="B41787" s="612"/>
      <c r="H41787" s="612"/>
    </row>
    <row r="41788">
      <c r="B41788" s="612"/>
      <c r="H41788" s="612"/>
    </row>
    <row r="41789">
      <c r="B41789" s="612"/>
      <c r="H41789" s="612"/>
    </row>
    <row r="41790">
      <c r="B41790" s="612"/>
      <c r="H41790" s="612"/>
    </row>
    <row r="41791">
      <c r="B41791" s="612"/>
      <c r="H41791" s="612"/>
    </row>
    <row r="41792">
      <c r="B41792" s="612"/>
      <c r="H41792" s="612"/>
    </row>
    <row r="41793">
      <c r="B41793" s="612"/>
      <c r="H41793" s="612"/>
    </row>
    <row r="41794">
      <c r="B41794" s="612"/>
      <c r="H41794" s="612"/>
    </row>
    <row r="41795">
      <c r="B41795" s="612"/>
      <c r="H41795" s="612"/>
    </row>
    <row r="41796">
      <c r="B41796" s="612"/>
      <c r="H41796" s="612"/>
    </row>
    <row r="41797">
      <c r="B41797" s="612"/>
      <c r="H41797" s="612"/>
    </row>
    <row r="41798">
      <c r="B41798" s="612"/>
      <c r="H41798" s="612"/>
    </row>
    <row r="41799">
      <c r="B41799" s="612"/>
      <c r="H41799" s="612"/>
    </row>
    <row r="41800">
      <c r="B41800" s="612"/>
      <c r="H41800" s="612"/>
    </row>
    <row r="41801">
      <c r="B41801" s="612"/>
      <c r="H41801" s="612"/>
    </row>
    <row r="41802">
      <c r="B41802" s="612"/>
      <c r="H41802" s="612"/>
    </row>
    <row r="41803">
      <c r="B41803" s="612"/>
      <c r="H41803" s="612"/>
    </row>
    <row r="41804">
      <c r="B41804" s="612"/>
      <c r="H41804" s="612"/>
    </row>
    <row r="41805">
      <c r="B41805" s="612"/>
      <c r="H41805" s="612"/>
    </row>
    <row r="41806">
      <c r="B41806" s="612"/>
      <c r="H41806" s="612"/>
    </row>
    <row r="41807">
      <c r="B41807" s="612"/>
      <c r="H41807" s="612"/>
    </row>
    <row r="41808">
      <c r="B41808" s="612"/>
      <c r="H41808" s="612"/>
    </row>
    <row r="41809">
      <c r="B41809" s="612"/>
      <c r="H41809" s="612"/>
    </row>
    <row r="41810">
      <c r="B41810" s="612"/>
      <c r="H41810" s="612"/>
    </row>
    <row r="41811">
      <c r="B41811" s="612"/>
      <c r="H41811" s="612"/>
    </row>
    <row r="41812">
      <c r="B41812" s="612"/>
      <c r="H41812" s="612"/>
    </row>
    <row r="41813">
      <c r="B41813" s="612"/>
      <c r="H41813" s="612"/>
    </row>
    <row r="41814">
      <c r="B41814" s="612"/>
      <c r="H41814" s="612"/>
    </row>
    <row r="41815">
      <c r="B41815" s="612"/>
      <c r="H41815" s="612"/>
    </row>
    <row r="41816">
      <c r="B41816" s="612"/>
      <c r="H41816" s="612"/>
    </row>
    <row r="41817">
      <c r="B41817" s="612"/>
      <c r="H41817" s="612"/>
    </row>
    <row r="41818">
      <c r="B41818" s="612"/>
      <c r="H41818" s="612"/>
    </row>
    <row r="41819">
      <c r="B41819" s="612"/>
      <c r="H41819" s="612"/>
    </row>
    <row r="41820">
      <c r="B41820" s="612"/>
      <c r="H41820" s="612"/>
    </row>
    <row r="41821">
      <c r="B41821" s="612"/>
      <c r="H41821" s="612"/>
    </row>
    <row r="41822">
      <c r="B41822" s="612"/>
      <c r="H41822" s="612"/>
    </row>
    <row r="41823">
      <c r="B41823" s="612"/>
      <c r="H41823" s="612"/>
    </row>
    <row r="41824">
      <c r="B41824" s="612"/>
      <c r="H41824" s="612"/>
    </row>
    <row r="41825">
      <c r="B41825" s="612"/>
      <c r="H41825" s="612"/>
    </row>
    <row r="41826">
      <c r="B41826" s="612"/>
      <c r="H41826" s="612"/>
    </row>
    <row r="41827">
      <c r="B41827" s="612"/>
      <c r="H41827" s="612"/>
    </row>
    <row r="41828">
      <c r="B41828" s="612"/>
      <c r="H41828" s="612"/>
    </row>
    <row r="41829">
      <c r="B41829" s="612"/>
      <c r="H41829" s="612"/>
    </row>
    <row r="41830">
      <c r="B41830" s="612"/>
      <c r="H41830" s="612"/>
    </row>
    <row r="41831">
      <c r="B41831" s="612"/>
      <c r="H41831" s="612"/>
    </row>
    <row r="41832">
      <c r="B41832" s="612"/>
      <c r="H41832" s="612"/>
    </row>
    <row r="41833">
      <c r="B41833" s="612"/>
      <c r="H41833" s="612"/>
    </row>
    <row r="41834">
      <c r="B41834" s="612"/>
      <c r="H41834" s="612"/>
    </row>
    <row r="41835">
      <c r="B41835" s="612"/>
      <c r="H41835" s="612"/>
    </row>
    <row r="41836">
      <c r="B41836" s="612"/>
      <c r="H41836" s="612"/>
    </row>
    <row r="41837">
      <c r="B41837" s="612"/>
      <c r="H41837" s="612"/>
    </row>
    <row r="41838">
      <c r="B41838" s="612"/>
      <c r="H41838" s="612"/>
    </row>
    <row r="41839">
      <c r="B41839" s="612"/>
      <c r="H41839" s="612"/>
    </row>
    <row r="41840">
      <c r="B41840" s="612"/>
      <c r="H41840" s="612"/>
    </row>
    <row r="41841">
      <c r="B41841" s="612"/>
      <c r="H41841" s="612"/>
    </row>
    <row r="41842">
      <c r="B41842" s="612"/>
      <c r="H41842" s="612"/>
    </row>
    <row r="41843">
      <c r="B41843" s="612"/>
      <c r="H41843" s="612"/>
    </row>
    <row r="41844">
      <c r="B41844" s="612"/>
      <c r="H41844" s="612"/>
    </row>
    <row r="41845">
      <c r="B41845" s="612"/>
      <c r="H41845" s="612"/>
    </row>
    <row r="41846">
      <c r="B41846" s="612"/>
      <c r="H41846" s="612"/>
    </row>
    <row r="41847">
      <c r="B41847" s="612"/>
      <c r="H41847" s="612"/>
    </row>
    <row r="41848">
      <c r="B41848" s="612"/>
      <c r="H41848" s="612"/>
    </row>
    <row r="41849">
      <c r="B41849" s="612"/>
      <c r="H41849" s="612"/>
    </row>
    <row r="41850">
      <c r="B41850" s="612"/>
      <c r="H41850" s="612"/>
    </row>
    <row r="41851">
      <c r="B41851" s="612"/>
      <c r="H41851" s="612"/>
    </row>
    <row r="41852">
      <c r="B41852" s="612"/>
      <c r="H41852" s="612"/>
    </row>
    <row r="41853">
      <c r="B41853" s="612"/>
      <c r="H41853" s="612"/>
    </row>
    <row r="41854">
      <c r="B41854" s="612"/>
      <c r="H41854" s="612"/>
    </row>
    <row r="41855">
      <c r="B41855" s="612"/>
      <c r="H41855" s="612"/>
    </row>
    <row r="41856">
      <c r="B41856" s="612"/>
      <c r="H41856" s="612"/>
    </row>
    <row r="41857">
      <c r="B41857" s="612"/>
      <c r="H41857" s="612"/>
    </row>
    <row r="41858">
      <c r="B41858" s="612"/>
      <c r="H41858" s="612"/>
    </row>
    <row r="41859">
      <c r="B41859" s="612"/>
      <c r="H41859" s="612"/>
    </row>
    <row r="41860">
      <c r="B41860" s="612"/>
      <c r="H41860" s="612"/>
    </row>
    <row r="41861">
      <c r="B41861" s="612"/>
      <c r="H41861" s="612"/>
    </row>
    <row r="41862">
      <c r="B41862" s="612"/>
      <c r="H41862" s="612"/>
    </row>
    <row r="41863">
      <c r="B41863" s="612"/>
      <c r="H41863" s="612"/>
    </row>
    <row r="41864">
      <c r="B41864" s="612"/>
      <c r="H41864" s="612"/>
    </row>
    <row r="41865">
      <c r="B41865" s="612"/>
      <c r="H41865" s="612"/>
    </row>
    <row r="41866">
      <c r="B41866" s="612"/>
      <c r="H41866" s="612"/>
    </row>
    <row r="41867">
      <c r="B41867" s="612"/>
      <c r="H41867" s="612"/>
    </row>
    <row r="41868">
      <c r="B41868" s="612"/>
      <c r="H41868" s="612"/>
    </row>
    <row r="41869">
      <c r="B41869" s="612"/>
      <c r="H41869" s="612"/>
    </row>
    <row r="41870">
      <c r="B41870" s="612"/>
      <c r="H41870" s="612"/>
    </row>
    <row r="41871">
      <c r="B41871" s="612"/>
      <c r="H41871" s="612"/>
    </row>
    <row r="41872">
      <c r="B41872" s="612"/>
      <c r="H41872" s="612"/>
    </row>
    <row r="41873">
      <c r="B41873" s="612"/>
      <c r="H41873" s="612"/>
    </row>
    <row r="41874">
      <c r="B41874" s="612"/>
      <c r="H41874" s="612"/>
    </row>
    <row r="41875">
      <c r="B41875" s="612"/>
      <c r="H41875" s="612"/>
    </row>
    <row r="41876">
      <c r="B41876" s="612"/>
      <c r="H41876" s="612"/>
    </row>
    <row r="41877">
      <c r="B41877" s="612"/>
      <c r="H41877" s="612"/>
    </row>
    <row r="41878">
      <c r="B41878" s="612"/>
      <c r="H41878" s="612"/>
    </row>
    <row r="41879">
      <c r="B41879" s="612"/>
      <c r="H41879" s="612"/>
    </row>
    <row r="41880">
      <c r="B41880" s="612"/>
      <c r="H41880" s="612"/>
    </row>
    <row r="41881">
      <c r="B41881" s="612"/>
      <c r="H41881" s="612"/>
    </row>
    <row r="41882">
      <c r="B41882" s="612"/>
      <c r="H41882" s="612"/>
    </row>
    <row r="41883">
      <c r="B41883" s="612"/>
      <c r="H41883" s="612"/>
    </row>
    <row r="41884">
      <c r="B41884" s="612"/>
      <c r="H41884" s="612"/>
    </row>
    <row r="41885">
      <c r="B41885" s="612"/>
      <c r="H41885" s="612"/>
    </row>
    <row r="41886">
      <c r="B41886" s="612"/>
      <c r="H41886" s="612"/>
    </row>
    <row r="41887">
      <c r="B41887" s="612"/>
      <c r="H41887" s="612"/>
    </row>
    <row r="41888">
      <c r="B41888" s="612"/>
      <c r="H41888" s="612"/>
    </row>
    <row r="41889">
      <c r="B41889" s="612"/>
      <c r="H41889" s="612"/>
    </row>
    <row r="41890">
      <c r="B41890" s="612"/>
      <c r="H41890" s="612"/>
    </row>
    <row r="41891">
      <c r="B41891" s="612"/>
      <c r="H41891" s="612"/>
    </row>
    <row r="41892">
      <c r="B41892" s="612"/>
      <c r="H41892" s="612"/>
    </row>
    <row r="41893">
      <c r="B41893" s="612"/>
      <c r="H41893" s="612"/>
    </row>
    <row r="41894">
      <c r="B41894" s="612"/>
      <c r="H41894" s="612"/>
    </row>
    <row r="41895">
      <c r="B41895" s="612"/>
      <c r="H41895" s="612"/>
    </row>
    <row r="41896">
      <c r="B41896" s="612"/>
      <c r="H41896" s="612"/>
    </row>
    <row r="41897">
      <c r="B41897" s="612"/>
      <c r="H41897" s="612"/>
    </row>
    <row r="41898">
      <c r="B41898" s="612"/>
      <c r="H41898" s="612"/>
    </row>
    <row r="41899">
      <c r="B41899" s="612"/>
      <c r="H41899" s="612"/>
    </row>
    <row r="41900">
      <c r="B41900" s="612"/>
      <c r="H41900" s="612"/>
    </row>
    <row r="41901">
      <c r="B41901" s="612"/>
      <c r="H41901" s="612"/>
    </row>
    <row r="41902">
      <c r="B41902" s="612"/>
      <c r="H41902" s="612"/>
    </row>
    <row r="41903">
      <c r="B41903" s="612"/>
      <c r="H41903" s="612"/>
    </row>
    <row r="41904">
      <c r="B41904" s="612"/>
      <c r="H41904" s="612"/>
    </row>
    <row r="41905">
      <c r="B41905" s="612"/>
      <c r="H41905" s="612"/>
    </row>
    <row r="41906">
      <c r="B41906" s="612"/>
      <c r="H41906" s="612"/>
    </row>
    <row r="41907">
      <c r="B41907" s="612"/>
      <c r="H41907" s="612"/>
    </row>
    <row r="41908">
      <c r="B41908" s="612"/>
      <c r="H41908" s="612"/>
    </row>
    <row r="41909">
      <c r="B41909" s="612"/>
      <c r="H41909" s="612"/>
    </row>
    <row r="41910">
      <c r="B41910" s="612"/>
      <c r="H41910" s="612"/>
    </row>
    <row r="41911">
      <c r="B41911" s="612"/>
      <c r="H41911" s="612"/>
    </row>
    <row r="41912">
      <c r="B41912" s="612"/>
      <c r="H41912" s="612"/>
    </row>
    <row r="41913">
      <c r="B41913" s="612"/>
      <c r="H41913" s="612"/>
    </row>
    <row r="41914">
      <c r="B41914" s="612"/>
      <c r="H41914" s="612"/>
    </row>
    <row r="41915">
      <c r="B41915" s="612"/>
      <c r="H41915" s="612"/>
    </row>
    <row r="41916">
      <c r="B41916" s="612"/>
      <c r="H41916" s="612"/>
    </row>
    <row r="41917">
      <c r="B41917" s="612"/>
      <c r="H41917" s="612"/>
    </row>
    <row r="41918">
      <c r="B41918" s="612"/>
      <c r="H41918" s="612"/>
    </row>
    <row r="41919">
      <c r="B41919" s="612"/>
      <c r="H41919" s="612"/>
    </row>
    <row r="41920">
      <c r="B41920" s="612"/>
      <c r="H41920" s="612"/>
    </row>
    <row r="41921">
      <c r="B41921" s="612"/>
      <c r="H41921" s="612"/>
    </row>
    <row r="41922">
      <c r="B41922" s="612"/>
      <c r="H41922" s="612"/>
    </row>
    <row r="41923">
      <c r="B41923" s="612"/>
      <c r="H41923" s="612"/>
    </row>
    <row r="41924">
      <c r="B41924" s="612"/>
      <c r="H41924" s="612"/>
    </row>
    <row r="41925">
      <c r="B41925" s="612"/>
      <c r="H41925" s="612"/>
    </row>
    <row r="41926">
      <c r="B41926" s="612"/>
      <c r="H41926" s="612"/>
    </row>
    <row r="41927">
      <c r="B41927" s="612"/>
      <c r="H41927" s="612"/>
    </row>
    <row r="41928">
      <c r="B41928" s="612"/>
      <c r="H41928" s="612"/>
    </row>
    <row r="41929">
      <c r="B41929" s="612"/>
      <c r="H41929" s="612"/>
    </row>
    <row r="41930">
      <c r="B41930" s="612"/>
      <c r="H41930" s="612"/>
    </row>
    <row r="41931">
      <c r="B41931" s="612"/>
      <c r="H41931" s="612"/>
    </row>
    <row r="41932">
      <c r="B41932" s="612"/>
      <c r="H41932" s="612"/>
    </row>
    <row r="41933">
      <c r="B41933" s="612"/>
      <c r="H41933" s="612"/>
    </row>
    <row r="41934">
      <c r="B41934" s="612"/>
      <c r="H41934" s="612"/>
    </row>
    <row r="41935">
      <c r="B41935" s="612"/>
      <c r="H41935" s="612"/>
    </row>
    <row r="41936">
      <c r="B41936" s="612"/>
      <c r="H41936" s="612"/>
    </row>
    <row r="41937">
      <c r="B41937" s="612"/>
      <c r="H41937" s="612"/>
    </row>
    <row r="41938">
      <c r="B41938" s="612"/>
      <c r="H41938" s="612"/>
    </row>
    <row r="41939">
      <c r="B41939" s="612"/>
      <c r="H41939" s="612"/>
    </row>
    <row r="41940">
      <c r="B41940" s="612"/>
      <c r="H41940" s="612"/>
    </row>
    <row r="41941">
      <c r="B41941" s="612"/>
      <c r="H41941" s="612"/>
    </row>
    <row r="41942">
      <c r="B41942" s="612"/>
      <c r="H41942" s="612"/>
    </row>
    <row r="41943">
      <c r="B41943" s="612"/>
      <c r="H41943" s="612"/>
    </row>
    <row r="41944">
      <c r="B41944" s="612"/>
      <c r="H41944" s="612"/>
    </row>
    <row r="41945">
      <c r="B41945" s="612"/>
      <c r="H41945" s="612"/>
    </row>
    <row r="41946">
      <c r="B41946" s="612"/>
      <c r="H41946" s="612"/>
    </row>
    <row r="41947">
      <c r="B41947" s="612"/>
      <c r="H41947" s="612"/>
    </row>
    <row r="41948">
      <c r="B41948" s="612"/>
      <c r="H41948" s="612"/>
    </row>
    <row r="41949">
      <c r="B41949" s="612"/>
      <c r="H41949" s="612"/>
    </row>
    <row r="41950">
      <c r="B41950" s="612"/>
      <c r="H41950" s="612"/>
    </row>
    <row r="41951">
      <c r="B41951" s="612"/>
      <c r="H41951" s="612"/>
    </row>
    <row r="41952">
      <c r="B41952" s="612"/>
      <c r="H41952" s="612"/>
    </row>
    <row r="41953">
      <c r="B41953" s="612"/>
      <c r="H41953" s="612"/>
    </row>
    <row r="41954">
      <c r="B41954" s="612"/>
      <c r="H41954" s="612"/>
    </row>
    <row r="41955">
      <c r="B41955" s="612"/>
      <c r="H41955" s="612"/>
    </row>
    <row r="41956">
      <c r="B41956" s="612"/>
      <c r="H41956" s="612"/>
    </row>
    <row r="41957">
      <c r="B41957" s="612"/>
      <c r="H41957" s="612"/>
    </row>
    <row r="41958">
      <c r="B41958" s="612"/>
      <c r="H41958" s="612"/>
    </row>
    <row r="41959">
      <c r="B41959" s="612"/>
      <c r="H41959" s="612"/>
    </row>
    <row r="41960">
      <c r="B41960" s="612"/>
      <c r="H41960" s="612"/>
    </row>
    <row r="41961">
      <c r="B41961" s="612"/>
      <c r="H41961" s="612"/>
    </row>
    <row r="41962">
      <c r="B41962" s="612"/>
      <c r="H41962" s="612"/>
    </row>
    <row r="41963">
      <c r="B41963" s="612"/>
      <c r="H41963" s="612"/>
    </row>
    <row r="41964">
      <c r="B41964" s="612"/>
      <c r="H41964" s="612"/>
    </row>
    <row r="41965">
      <c r="B41965" s="612"/>
      <c r="H41965" s="612"/>
    </row>
    <row r="41966">
      <c r="B41966" s="612"/>
      <c r="H41966" s="612"/>
    </row>
    <row r="41967">
      <c r="B41967" s="612"/>
      <c r="H41967" s="612"/>
    </row>
    <row r="41968">
      <c r="B41968" s="612"/>
      <c r="H41968" s="612"/>
    </row>
    <row r="41969">
      <c r="B41969" s="612"/>
      <c r="H41969" s="612"/>
    </row>
    <row r="41970">
      <c r="B41970" s="612"/>
      <c r="H41970" s="612"/>
    </row>
    <row r="41971">
      <c r="B41971" s="612"/>
      <c r="H41971" s="612"/>
    </row>
    <row r="41972">
      <c r="B41972" s="612"/>
      <c r="H41972" s="612"/>
    </row>
    <row r="41973">
      <c r="B41973" s="612"/>
      <c r="H41973" s="612"/>
    </row>
    <row r="41974">
      <c r="B41974" s="612"/>
      <c r="H41974" s="612"/>
    </row>
    <row r="41975">
      <c r="B41975" s="612"/>
      <c r="H41975" s="612"/>
    </row>
    <row r="41976">
      <c r="B41976" s="612"/>
      <c r="H41976" s="612"/>
    </row>
    <row r="41977">
      <c r="B41977" s="612"/>
      <c r="H41977" s="612"/>
    </row>
    <row r="41978">
      <c r="B41978" s="612"/>
      <c r="H41978" s="612"/>
    </row>
    <row r="41979">
      <c r="B41979" s="612"/>
      <c r="H41979" s="612"/>
    </row>
    <row r="41980">
      <c r="B41980" s="612"/>
      <c r="H41980" s="612"/>
    </row>
    <row r="41981">
      <c r="B41981" s="612"/>
      <c r="H41981" s="612"/>
    </row>
    <row r="41982">
      <c r="B41982" s="612"/>
      <c r="H41982" s="612"/>
    </row>
    <row r="41983">
      <c r="B41983" s="612"/>
      <c r="H41983" s="612"/>
    </row>
    <row r="41984">
      <c r="B41984" s="612"/>
      <c r="H41984" s="612"/>
    </row>
    <row r="41985">
      <c r="B41985" s="612"/>
      <c r="H41985" s="612"/>
    </row>
    <row r="41986">
      <c r="B41986" s="612"/>
      <c r="H41986" s="612"/>
    </row>
    <row r="41987">
      <c r="B41987" s="612"/>
      <c r="H41987" s="612"/>
    </row>
    <row r="41988">
      <c r="B41988" s="612"/>
      <c r="H41988" s="612"/>
    </row>
    <row r="41989">
      <c r="B41989" s="612"/>
      <c r="H41989" s="612"/>
    </row>
    <row r="41990">
      <c r="B41990" s="612"/>
      <c r="H41990" s="612"/>
    </row>
    <row r="41991">
      <c r="B41991" s="612"/>
      <c r="H41991" s="612"/>
    </row>
    <row r="41992">
      <c r="B41992" s="612"/>
      <c r="H41992" s="612"/>
    </row>
    <row r="41993">
      <c r="B41993" s="612"/>
      <c r="H41993" s="612"/>
    </row>
    <row r="41994">
      <c r="B41994" s="612"/>
      <c r="H41994" s="612"/>
    </row>
    <row r="41995">
      <c r="B41995" s="612"/>
      <c r="H41995" s="612"/>
    </row>
    <row r="41996">
      <c r="B41996" s="612"/>
      <c r="H41996" s="612"/>
    </row>
    <row r="41997">
      <c r="B41997" s="612"/>
      <c r="H41997" s="612"/>
    </row>
    <row r="41998">
      <c r="B41998" s="612"/>
      <c r="H41998" s="612"/>
    </row>
    <row r="41999">
      <c r="B41999" s="612"/>
      <c r="H41999" s="612"/>
    </row>
    <row r="42000">
      <c r="B42000" s="612"/>
      <c r="H42000" s="612"/>
    </row>
    <row r="42001">
      <c r="B42001" s="612"/>
      <c r="H42001" s="612"/>
    </row>
    <row r="42002">
      <c r="B42002" s="612"/>
      <c r="H42002" s="612"/>
    </row>
    <row r="42003">
      <c r="B42003" s="612"/>
      <c r="H42003" s="612"/>
    </row>
    <row r="42004">
      <c r="B42004" s="612"/>
      <c r="H42004" s="612"/>
    </row>
    <row r="42005">
      <c r="B42005" s="612"/>
      <c r="H42005" s="612"/>
    </row>
    <row r="42006">
      <c r="B42006" s="612"/>
      <c r="H42006" s="612"/>
    </row>
    <row r="42007">
      <c r="B42007" s="612"/>
      <c r="H42007" s="612"/>
    </row>
    <row r="42008">
      <c r="B42008" s="612"/>
      <c r="H42008" s="612"/>
    </row>
    <row r="42009">
      <c r="B42009" s="612"/>
      <c r="H42009" s="612"/>
    </row>
    <row r="42010">
      <c r="B42010" s="612"/>
      <c r="H42010" s="612"/>
    </row>
    <row r="42011">
      <c r="B42011" s="612"/>
      <c r="H42011" s="612"/>
    </row>
    <row r="42012">
      <c r="B42012" s="612"/>
      <c r="H42012" s="612"/>
    </row>
    <row r="42013">
      <c r="B42013" s="612"/>
      <c r="H42013" s="612"/>
    </row>
    <row r="42014">
      <c r="B42014" s="612"/>
      <c r="H42014" s="612"/>
    </row>
    <row r="42015">
      <c r="B42015" s="612"/>
      <c r="H42015" s="612"/>
    </row>
    <row r="42016">
      <c r="B42016" s="612"/>
      <c r="H42016" s="612"/>
    </row>
    <row r="42017">
      <c r="B42017" s="612"/>
      <c r="H42017" s="612"/>
    </row>
    <row r="42018">
      <c r="B42018" s="612"/>
      <c r="H42018" s="612"/>
    </row>
    <row r="42019">
      <c r="B42019" s="612"/>
      <c r="H42019" s="612"/>
    </row>
    <row r="42020">
      <c r="B42020" s="612"/>
      <c r="H42020" s="612"/>
    </row>
    <row r="42021">
      <c r="B42021" s="612"/>
      <c r="H42021" s="612"/>
    </row>
    <row r="42022">
      <c r="B42022" s="612"/>
      <c r="H42022" s="612"/>
    </row>
    <row r="42023">
      <c r="B42023" s="612"/>
      <c r="H42023" s="612"/>
    </row>
    <row r="42024">
      <c r="B42024" s="612"/>
      <c r="H42024" s="612"/>
    </row>
    <row r="42025">
      <c r="B42025" s="612"/>
      <c r="H42025" s="612"/>
    </row>
    <row r="42026">
      <c r="B42026" s="612"/>
      <c r="H42026" s="612"/>
    </row>
    <row r="42027">
      <c r="B42027" s="612"/>
      <c r="H42027" s="612"/>
    </row>
    <row r="42028">
      <c r="B42028" s="612"/>
      <c r="H42028" s="612"/>
    </row>
    <row r="42029">
      <c r="B42029" s="612"/>
      <c r="H42029" s="612"/>
    </row>
    <row r="42030">
      <c r="B42030" s="612"/>
      <c r="H42030" s="612"/>
    </row>
    <row r="42031">
      <c r="B42031" s="612"/>
      <c r="H42031" s="612"/>
    </row>
    <row r="42032">
      <c r="B42032" s="612"/>
      <c r="H42032" s="612"/>
    </row>
    <row r="42033">
      <c r="B42033" s="612"/>
      <c r="H42033" s="612"/>
    </row>
    <row r="42034">
      <c r="B42034" s="612"/>
      <c r="H42034" s="612"/>
    </row>
    <row r="42035">
      <c r="B42035" s="612"/>
      <c r="H42035" s="612"/>
    </row>
    <row r="42036">
      <c r="B42036" s="612"/>
      <c r="H42036" s="612"/>
    </row>
    <row r="42037">
      <c r="B42037" s="612"/>
      <c r="H42037" s="612"/>
    </row>
    <row r="42038">
      <c r="B42038" s="612"/>
      <c r="H42038" s="612"/>
    </row>
    <row r="42039">
      <c r="B42039" s="612"/>
      <c r="H42039" s="612"/>
    </row>
    <row r="42040">
      <c r="B42040" s="612"/>
      <c r="H42040" s="612"/>
    </row>
    <row r="42041">
      <c r="B42041" s="612"/>
      <c r="H42041" s="612"/>
    </row>
    <row r="42042">
      <c r="B42042" s="612"/>
      <c r="H42042" s="612"/>
    </row>
    <row r="42043">
      <c r="B42043" s="612"/>
      <c r="H42043" s="612"/>
    </row>
    <row r="42044">
      <c r="B42044" s="612"/>
      <c r="H42044" s="612"/>
    </row>
    <row r="42045">
      <c r="B42045" s="612"/>
      <c r="H42045" s="612"/>
    </row>
    <row r="42046">
      <c r="B42046" s="612"/>
      <c r="H42046" s="612"/>
    </row>
    <row r="42047">
      <c r="B42047" s="612"/>
      <c r="H42047" s="612"/>
    </row>
    <row r="42048">
      <c r="B42048" s="612"/>
      <c r="H42048" s="612"/>
    </row>
    <row r="42049">
      <c r="B42049" s="612"/>
      <c r="H42049" s="612"/>
    </row>
    <row r="42050">
      <c r="B42050" s="612"/>
      <c r="H42050" s="612"/>
    </row>
    <row r="42051">
      <c r="B42051" s="612"/>
      <c r="H42051" s="612"/>
    </row>
    <row r="42052">
      <c r="B42052" s="612"/>
      <c r="H42052" s="612"/>
    </row>
    <row r="42053">
      <c r="B42053" s="612"/>
      <c r="H42053" s="612"/>
    </row>
    <row r="42054">
      <c r="B42054" s="612"/>
      <c r="H42054" s="612"/>
    </row>
    <row r="42055">
      <c r="B42055" s="612"/>
      <c r="H42055" s="612"/>
    </row>
    <row r="42056">
      <c r="B42056" s="612"/>
      <c r="H42056" s="612"/>
    </row>
    <row r="42057">
      <c r="B42057" s="612"/>
      <c r="H42057" s="612"/>
    </row>
    <row r="42058">
      <c r="B42058" s="612"/>
      <c r="H42058" s="612"/>
    </row>
    <row r="42059">
      <c r="B42059" s="612"/>
      <c r="H42059" s="612"/>
    </row>
    <row r="42060">
      <c r="B42060" s="612"/>
      <c r="H42060" s="612"/>
    </row>
    <row r="42061">
      <c r="B42061" s="612"/>
      <c r="H42061" s="612"/>
    </row>
    <row r="42062">
      <c r="B42062" s="612"/>
      <c r="H42062" s="612"/>
    </row>
    <row r="42063">
      <c r="B42063" s="612"/>
      <c r="H42063" s="612"/>
    </row>
    <row r="42064">
      <c r="B42064" s="612"/>
      <c r="H42064" s="612"/>
    </row>
    <row r="42065">
      <c r="B42065" s="612"/>
      <c r="H42065" s="612"/>
    </row>
    <row r="42066">
      <c r="B42066" s="612"/>
      <c r="H42066" s="612"/>
    </row>
    <row r="42067">
      <c r="B42067" s="612"/>
      <c r="H42067" s="612"/>
    </row>
    <row r="42068">
      <c r="B42068" s="612"/>
      <c r="H42068" s="612"/>
    </row>
    <row r="42069">
      <c r="B42069" s="612"/>
      <c r="H42069" s="612"/>
    </row>
    <row r="42070">
      <c r="B42070" s="612"/>
      <c r="H42070" s="612"/>
    </row>
    <row r="42071">
      <c r="B42071" s="612"/>
      <c r="H42071" s="612"/>
    </row>
    <row r="42072">
      <c r="B42072" s="612"/>
      <c r="H42072" s="612"/>
    </row>
    <row r="42073">
      <c r="B42073" s="612"/>
      <c r="H42073" s="612"/>
    </row>
    <row r="42074">
      <c r="B42074" s="612"/>
      <c r="H42074" s="612"/>
    </row>
    <row r="42075">
      <c r="B42075" s="612"/>
      <c r="H42075" s="612"/>
    </row>
    <row r="42076">
      <c r="B42076" s="612"/>
      <c r="H42076" s="612"/>
    </row>
    <row r="42077">
      <c r="B42077" s="612"/>
      <c r="H42077" s="612"/>
    </row>
    <row r="42078">
      <c r="B42078" s="612"/>
      <c r="H42078" s="612"/>
    </row>
    <row r="42079">
      <c r="B42079" s="612"/>
      <c r="H42079" s="612"/>
    </row>
    <row r="42080">
      <c r="B42080" s="612"/>
      <c r="H42080" s="612"/>
    </row>
    <row r="42081">
      <c r="B42081" s="612"/>
      <c r="H42081" s="612"/>
    </row>
    <row r="42082">
      <c r="B42082" s="612"/>
      <c r="H42082" s="612"/>
    </row>
    <row r="42083">
      <c r="B42083" s="612"/>
      <c r="H42083" s="612"/>
    </row>
    <row r="42084">
      <c r="B42084" s="612"/>
      <c r="H42084" s="612"/>
    </row>
    <row r="42085">
      <c r="B42085" s="612"/>
      <c r="H42085" s="612"/>
    </row>
    <row r="42086">
      <c r="B42086" s="612"/>
      <c r="H42086" s="612"/>
    </row>
    <row r="42087">
      <c r="B42087" s="612"/>
      <c r="H42087" s="612"/>
    </row>
    <row r="42088">
      <c r="B42088" s="612"/>
      <c r="H42088" s="612"/>
    </row>
    <row r="42089">
      <c r="B42089" s="612"/>
      <c r="H42089" s="612"/>
    </row>
    <row r="42090">
      <c r="B42090" s="612"/>
      <c r="H42090" s="612"/>
    </row>
    <row r="42091">
      <c r="B42091" s="612"/>
      <c r="H42091" s="612"/>
    </row>
    <row r="42092">
      <c r="B42092" s="612"/>
      <c r="H42092" s="612"/>
    </row>
    <row r="42093">
      <c r="B42093" s="612"/>
      <c r="H42093" s="612"/>
    </row>
    <row r="42094">
      <c r="B42094" s="612"/>
      <c r="H42094" s="612"/>
    </row>
    <row r="42095">
      <c r="B42095" s="612"/>
      <c r="H42095" s="612"/>
    </row>
    <row r="42096">
      <c r="B42096" s="612"/>
      <c r="H42096" s="612"/>
    </row>
    <row r="42097">
      <c r="B42097" s="612"/>
      <c r="H42097" s="612"/>
    </row>
    <row r="42098">
      <c r="B42098" s="612"/>
      <c r="H42098" s="612"/>
    </row>
    <row r="42099">
      <c r="B42099" s="612"/>
      <c r="H42099" s="612"/>
    </row>
    <row r="42100">
      <c r="B42100" s="612"/>
      <c r="H42100" s="612"/>
    </row>
    <row r="42101">
      <c r="B42101" s="612"/>
      <c r="H42101" s="612"/>
    </row>
    <row r="42102">
      <c r="B42102" s="612"/>
      <c r="H42102" s="612"/>
    </row>
    <row r="42103">
      <c r="B42103" s="612"/>
      <c r="H42103" s="612"/>
    </row>
    <row r="42104">
      <c r="B42104" s="612"/>
      <c r="H42104" s="612"/>
    </row>
    <row r="42105">
      <c r="B42105" s="612"/>
      <c r="H42105" s="612"/>
    </row>
    <row r="42106">
      <c r="B42106" s="612"/>
      <c r="H42106" s="612"/>
    </row>
    <row r="42107">
      <c r="B42107" s="612"/>
      <c r="H42107" s="612"/>
    </row>
    <row r="42108">
      <c r="B42108" s="612"/>
      <c r="H42108" s="612"/>
    </row>
    <row r="42109">
      <c r="B42109" s="612"/>
      <c r="H42109" s="612"/>
    </row>
    <row r="42110">
      <c r="B42110" s="612"/>
      <c r="H42110" s="612"/>
    </row>
    <row r="42111">
      <c r="B42111" s="612"/>
      <c r="H42111" s="612"/>
    </row>
    <row r="42112">
      <c r="B42112" s="612"/>
      <c r="H42112" s="612"/>
    </row>
    <row r="42113">
      <c r="B42113" s="612"/>
      <c r="H42113" s="612"/>
    </row>
    <row r="42114">
      <c r="B42114" s="612"/>
      <c r="H42114" s="612"/>
    </row>
    <row r="42115">
      <c r="B42115" s="612"/>
      <c r="H42115" s="612"/>
    </row>
    <row r="42116">
      <c r="B42116" s="612"/>
      <c r="H42116" s="612"/>
    </row>
    <row r="42117">
      <c r="B42117" s="612"/>
      <c r="H42117" s="612"/>
    </row>
    <row r="42118">
      <c r="B42118" s="612"/>
      <c r="H42118" s="612"/>
    </row>
    <row r="42119">
      <c r="B42119" s="612"/>
      <c r="H42119" s="612"/>
    </row>
    <row r="42120">
      <c r="B42120" s="612"/>
      <c r="H42120" s="612"/>
    </row>
    <row r="42121">
      <c r="B42121" s="612"/>
      <c r="H42121" s="612"/>
    </row>
    <row r="42122">
      <c r="B42122" s="612"/>
      <c r="H42122" s="612"/>
    </row>
    <row r="42123">
      <c r="B42123" s="612"/>
      <c r="H42123" s="612"/>
    </row>
    <row r="42124">
      <c r="B42124" s="612"/>
      <c r="H42124" s="612"/>
    </row>
    <row r="42125">
      <c r="B42125" s="612"/>
      <c r="H42125" s="612"/>
    </row>
    <row r="42126">
      <c r="B42126" s="612"/>
      <c r="H42126" s="612"/>
    </row>
    <row r="42127">
      <c r="B42127" s="612"/>
      <c r="H42127" s="612"/>
    </row>
    <row r="42128">
      <c r="B42128" s="612"/>
      <c r="H42128" s="612"/>
    </row>
    <row r="42129">
      <c r="B42129" s="612"/>
      <c r="H42129" s="612"/>
    </row>
    <row r="42130">
      <c r="B42130" s="612"/>
      <c r="H42130" s="612"/>
    </row>
    <row r="42131">
      <c r="B42131" s="612"/>
      <c r="H42131" s="612"/>
    </row>
    <row r="42132">
      <c r="B42132" s="612"/>
      <c r="H42132" s="612"/>
    </row>
    <row r="42133">
      <c r="B42133" s="612"/>
      <c r="H42133" s="612"/>
    </row>
    <row r="42134">
      <c r="B42134" s="612"/>
      <c r="H42134" s="612"/>
    </row>
    <row r="42135">
      <c r="B42135" s="612"/>
      <c r="H42135" s="612"/>
    </row>
    <row r="42136">
      <c r="B42136" s="612"/>
      <c r="H42136" s="612"/>
    </row>
    <row r="42137">
      <c r="B42137" s="612"/>
      <c r="H42137" s="612"/>
    </row>
    <row r="42138">
      <c r="B42138" s="612"/>
      <c r="H42138" s="612"/>
    </row>
    <row r="42139">
      <c r="B42139" s="612"/>
      <c r="H42139" s="612"/>
    </row>
    <row r="42140">
      <c r="B42140" s="612"/>
      <c r="H42140" s="612"/>
    </row>
    <row r="42141">
      <c r="B42141" s="612"/>
      <c r="H42141" s="612"/>
    </row>
    <row r="42142">
      <c r="B42142" s="612"/>
      <c r="H42142" s="612"/>
    </row>
    <row r="42143">
      <c r="B42143" s="612"/>
      <c r="H42143" s="612"/>
    </row>
    <row r="42144">
      <c r="B42144" s="612"/>
      <c r="H42144" s="612"/>
    </row>
    <row r="42145">
      <c r="B42145" s="612"/>
      <c r="H42145" s="612"/>
    </row>
    <row r="42146">
      <c r="B42146" s="612"/>
      <c r="H42146" s="612"/>
    </row>
    <row r="42147">
      <c r="B42147" s="612"/>
      <c r="H42147" s="612"/>
    </row>
    <row r="42148">
      <c r="B42148" s="612"/>
      <c r="H42148" s="612"/>
    </row>
    <row r="42149">
      <c r="B42149" s="612"/>
      <c r="H42149" s="612"/>
    </row>
    <row r="42150">
      <c r="B42150" s="612"/>
      <c r="H42150" s="612"/>
    </row>
    <row r="42151">
      <c r="B42151" s="612"/>
      <c r="H42151" s="612"/>
    </row>
    <row r="42152">
      <c r="B42152" s="612"/>
      <c r="H42152" s="612"/>
    </row>
    <row r="42153">
      <c r="B42153" s="612"/>
      <c r="H42153" s="612"/>
    </row>
    <row r="42154">
      <c r="B42154" s="612"/>
      <c r="H42154" s="612"/>
    </row>
    <row r="42155">
      <c r="B42155" s="612"/>
      <c r="H42155" s="612"/>
    </row>
    <row r="42156">
      <c r="B42156" s="612"/>
      <c r="H42156" s="612"/>
    </row>
    <row r="42157">
      <c r="B42157" s="612"/>
      <c r="H42157" s="612"/>
    </row>
    <row r="42158">
      <c r="B42158" s="612"/>
      <c r="H42158" s="612"/>
    </row>
    <row r="42159">
      <c r="B42159" s="612"/>
      <c r="H42159" s="612"/>
    </row>
    <row r="42160">
      <c r="B42160" s="612"/>
      <c r="H42160" s="612"/>
    </row>
    <row r="42161">
      <c r="B42161" s="612"/>
      <c r="H42161" s="612"/>
    </row>
    <row r="42162">
      <c r="B42162" s="612"/>
      <c r="H42162" s="612"/>
    </row>
    <row r="42163">
      <c r="B42163" s="612"/>
      <c r="H42163" s="612"/>
    </row>
    <row r="42164">
      <c r="B42164" s="612"/>
      <c r="H42164" s="612"/>
    </row>
    <row r="42165">
      <c r="B42165" s="612"/>
      <c r="H42165" s="612"/>
    </row>
    <row r="42166">
      <c r="B42166" s="612"/>
      <c r="H42166" s="612"/>
    </row>
    <row r="42167">
      <c r="B42167" s="612"/>
      <c r="H42167" s="612"/>
    </row>
    <row r="42168">
      <c r="B42168" s="612"/>
      <c r="H42168" s="612"/>
    </row>
    <row r="42169">
      <c r="B42169" s="612"/>
      <c r="H42169" s="612"/>
    </row>
    <row r="42170">
      <c r="B42170" s="612"/>
      <c r="H42170" s="612"/>
    </row>
    <row r="42171">
      <c r="B42171" s="612"/>
      <c r="H42171" s="612"/>
    </row>
    <row r="42172">
      <c r="B42172" s="612"/>
      <c r="H42172" s="612"/>
    </row>
    <row r="42173">
      <c r="B42173" s="612"/>
      <c r="H42173" s="612"/>
    </row>
    <row r="42174">
      <c r="B42174" s="612"/>
      <c r="H42174" s="612"/>
    </row>
    <row r="42175">
      <c r="B42175" s="612"/>
      <c r="H42175" s="612"/>
    </row>
    <row r="42176">
      <c r="B42176" s="612"/>
      <c r="H42176" s="612"/>
    </row>
    <row r="42177">
      <c r="B42177" s="612"/>
      <c r="H42177" s="612"/>
    </row>
    <row r="42178">
      <c r="B42178" s="612"/>
      <c r="H42178" s="612"/>
    </row>
    <row r="42179">
      <c r="B42179" s="612"/>
      <c r="H42179" s="612"/>
    </row>
    <row r="42180">
      <c r="B42180" s="612"/>
      <c r="H42180" s="612"/>
    </row>
    <row r="42181">
      <c r="B42181" s="612"/>
      <c r="H42181" s="612"/>
    </row>
    <row r="42182">
      <c r="B42182" s="612"/>
      <c r="H42182" s="612"/>
    </row>
    <row r="42183">
      <c r="B42183" s="612"/>
      <c r="H42183" s="612"/>
    </row>
    <row r="42184">
      <c r="B42184" s="612"/>
      <c r="H42184" s="612"/>
    </row>
    <row r="42185">
      <c r="B42185" s="612"/>
      <c r="H42185" s="612"/>
    </row>
    <row r="42186">
      <c r="B42186" s="612"/>
      <c r="H42186" s="612"/>
    </row>
    <row r="42187">
      <c r="B42187" s="612"/>
      <c r="H42187" s="612"/>
    </row>
    <row r="42188">
      <c r="B42188" s="612"/>
      <c r="H42188" s="612"/>
    </row>
    <row r="42189">
      <c r="B42189" s="612"/>
      <c r="H42189" s="612"/>
    </row>
    <row r="42190">
      <c r="B42190" s="612"/>
      <c r="H42190" s="612"/>
    </row>
    <row r="42191">
      <c r="B42191" s="612"/>
      <c r="H42191" s="612"/>
    </row>
    <row r="42192">
      <c r="B42192" s="612"/>
      <c r="H42192" s="612"/>
    </row>
    <row r="42193">
      <c r="B42193" s="612"/>
      <c r="H42193" s="612"/>
    </row>
    <row r="42194">
      <c r="B42194" s="612"/>
      <c r="H42194" s="612"/>
    </row>
    <row r="42195">
      <c r="B42195" s="612"/>
      <c r="H42195" s="612"/>
    </row>
    <row r="42196">
      <c r="B42196" s="612"/>
      <c r="H42196" s="612"/>
    </row>
    <row r="42197">
      <c r="B42197" s="612"/>
      <c r="H42197" s="612"/>
    </row>
    <row r="42198">
      <c r="B42198" s="612"/>
      <c r="H42198" s="612"/>
    </row>
    <row r="42199">
      <c r="B42199" s="612"/>
      <c r="H42199" s="612"/>
    </row>
    <row r="42200">
      <c r="B42200" s="612"/>
      <c r="H42200" s="612"/>
    </row>
    <row r="42201">
      <c r="B42201" s="612"/>
      <c r="H42201" s="612"/>
    </row>
    <row r="42202">
      <c r="B42202" s="612"/>
      <c r="H42202" s="612"/>
    </row>
    <row r="42203">
      <c r="B42203" s="612"/>
      <c r="H42203" s="612"/>
    </row>
    <row r="42204">
      <c r="B42204" s="612"/>
      <c r="H42204" s="612"/>
    </row>
    <row r="42205">
      <c r="B42205" s="612"/>
      <c r="H42205" s="612"/>
    </row>
    <row r="42206">
      <c r="B42206" s="612"/>
      <c r="H42206" s="612"/>
    </row>
    <row r="42207">
      <c r="B42207" s="612"/>
      <c r="H42207" s="612"/>
    </row>
    <row r="42208">
      <c r="B42208" s="612"/>
      <c r="H42208" s="612"/>
    </row>
    <row r="42209">
      <c r="B42209" s="612"/>
      <c r="H42209" s="612"/>
    </row>
    <row r="42210">
      <c r="B42210" s="612"/>
      <c r="H42210" s="612"/>
    </row>
    <row r="42211">
      <c r="B42211" s="612"/>
      <c r="H42211" s="612"/>
    </row>
    <row r="42212">
      <c r="B42212" s="612"/>
      <c r="H42212" s="612"/>
    </row>
    <row r="42213">
      <c r="B42213" s="612"/>
      <c r="H42213" s="612"/>
    </row>
    <row r="42214">
      <c r="B42214" s="612"/>
      <c r="H42214" s="612"/>
    </row>
    <row r="42215">
      <c r="B42215" s="612"/>
      <c r="H42215" s="612"/>
    </row>
    <row r="42216">
      <c r="B42216" s="612"/>
      <c r="H42216" s="612"/>
    </row>
    <row r="42217">
      <c r="B42217" s="612"/>
      <c r="H42217" s="612"/>
    </row>
    <row r="42218">
      <c r="B42218" s="612"/>
      <c r="H42218" s="612"/>
    </row>
    <row r="42219">
      <c r="B42219" s="612"/>
      <c r="H42219" s="612"/>
    </row>
    <row r="42220">
      <c r="B42220" s="612"/>
      <c r="H42220" s="612"/>
    </row>
    <row r="42221">
      <c r="B42221" s="612"/>
      <c r="H42221" s="612"/>
    </row>
    <row r="42222">
      <c r="B42222" s="612"/>
      <c r="H42222" s="612"/>
    </row>
    <row r="42223">
      <c r="B42223" s="612"/>
      <c r="H42223" s="612"/>
    </row>
    <row r="42224">
      <c r="B42224" s="612"/>
      <c r="H42224" s="612"/>
    </row>
    <row r="42225">
      <c r="B42225" s="612"/>
      <c r="H42225" s="612"/>
    </row>
    <row r="42226">
      <c r="B42226" s="612"/>
      <c r="H42226" s="612"/>
    </row>
    <row r="42227">
      <c r="B42227" s="612"/>
      <c r="H42227" s="612"/>
    </row>
    <row r="42228">
      <c r="B42228" s="612"/>
      <c r="H42228" s="612"/>
    </row>
    <row r="42229">
      <c r="B42229" s="612"/>
      <c r="H42229" s="612"/>
    </row>
    <row r="42230">
      <c r="B42230" s="612"/>
      <c r="H42230" s="612"/>
    </row>
    <row r="42231">
      <c r="B42231" s="612"/>
      <c r="H42231" s="612"/>
    </row>
    <row r="42232">
      <c r="B42232" s="612"/>
      <c r="H42232" s="612"/>
    </row>
    <row r="42233">
      <c r="B42233" s="612"/>
      <c r="H42233" s="612"/>
    </row>
    <row r="42234">
      <c r="B42234" s="612"/>
      <c r="H42234" s="612"/>
    </row>
    <row r="42235">
      <c r="B42235" s="612"/>
      <c r="H42235" s="612"/>
    </row>
    <row r="42236">
      <c r="B42236" s="612"/>
      <c r="H42236" s="612"/>
    </row>
    <row r="42237">
      <c r="B42237" s="612"/>
      <c r="H42237" s="612"/>
    </row>
    <row r="42238">
      <c r="B42238" s="612"/>
      <c r="H42238" s="612"/>
    </row>
    <row r="42239">
      <c r="B42239" s="612"/>
      <c r="H42239" s="612"/>
    </row>
    <row r="42240">
      <c r="B42240" s="612"/>
      <c r="H42240" s="612"/>
    </row>
    <row r="42241">
      <c r="B42241" s="612"/>
      <c r="H42241" s="612"/>
    </row>
    <row r="42242">
      <c r="B42242" s="612"/>
      <c r="H42242" s="612"/>
    </row>
    <row r="42243">
      <c r="B42243" s="612"/>
      <c r="H42243" s="612"/>
    </row>
    <row r="42244">
      <c r="B42244" s="612"/>
      <c r="H42244" s="612"/>
    </row>
    <row r="42245">
      <c r="B42245" s="612"/>
      <c r="H42245" s="612"/>
    </row>
    <row r="42246">
      <c r="B42246" s="612"/>
      <c r="H42246" s="612"/>
    </row>
    <row r="42247">
      <c r="B42247" s="612"/>
      <c r="H42247" s="612"/>
    </row>
    <row r="42248">
      <c r="B42248" s="612"/>
      <c r="H42248" s="612"/>
    </row>
    <row r="42249">
      <c r="B42249" s="612"/>
      <c r="H42249" s="612"/>
    </row>
    <row r="42250">
      <c r="B42250" s="612"/>
      <c r="H42250" s="612"/>
    </row>
    <row r="42251">
      <c r="B42251" s="612"/>
      <c r="H42251" s="612"/>
    </row>
    <row r="42252">
      <c r="B42252" s="612"/>
      <c r="H42252" s="612"/>
    </row>
    <row r="42253">
      <c r="B42253" s="612"/>
      <c r="H42253" s="612"/>
    </row>
    <row r="42254">
      <c r="B42254" s="612"/>
      <c r="H42254" s="612"/>
    </row>
    <row r="42255">
      <c r="B42255" s="612"/>
      <c r="H42255" s="612"/>
    </row>
    <row r="42256">
      <c r="B42256" s="612"/>
      <c r="H42256" s="612"/>
    </row>
    <row r="42257">
      <c r="B42257" s="612"/>
      <c r="H42257" s="612"/>
    </row>
    <row r="42258">
      <c r="B42258" s="612"/>
      <c r="H42258" s="612"/>
    </row>
    <row r="42259">
      <c r="B42259" s="612"/>
      <c r="H42259" s="612"/>
    </row>
    <row r="42260">
      <c r="B42260" s="612"/>
      <c r="H42260" s="612"/>
    </row>
    <row r="42261">
      <c r="B42261" s="612"/>
      <c r="H42261" s="612"/>
    </row>
    <row r="42262">
      <c r="B42262" s="612"/>
      <c r="H42262" s="612"/>
    </row>
    <row r="42263">
      <c r="B42263" s="612"/>
      <c r="H42263" s="612"/>
    </row>
    <row r="42264">
      <c r="B42264" s="612"/>
      <c r="H42264" s="612"/>
    </row>
    <row r="42265">
      <c r="B42265" s="612"/>
      <c r="H42265" s="612"/>
    </row>
    <row r="42266">
      <c r="B42266" s="612"/>
      <c r="H42266" s="612"/>
    </row>
    <row r="42267">
      <c r="B42267" s="612"/>
      <c r="H42267" s="612"/>
    </row>
    <row r="42268">
      <c r="B42268" s="612"/>
      <c r="H42268" s="612"/>
    </row>
    <row r="42269">
      <c r="B42269" s="612"/>
      <c r="H42269" s="612"/>
    </row>
    <row r="42270">
      <c r="B42270" s="612"/>
      <c r="H42270" s="612"/>
    </row>
    <row r="42271">
      <c r="B42271" s="612"/>
      <c r="H42271" s="612"/>
    </row>
    <row r="42272">
      <c r="B42272" s="612"/>
      <c r="H42272" s="612"/>
    </row>
    <row r="42273">
      <c r="B42273" s="612"/>
      <c r="H42273" s="612"/>
    </row>
    <row r="42274">
      <c r="B42274" s="612"/>
      <c r="H42274" s="612"/>
    </row>
    <row r="42275">
      <c r="B42275" s="612"/>
      <c r="H42275" s="612"/>
    </row>
    <row r="42276">
      <c r="B42276" s="612"/>
      <c r="H42276" s="612"/>
    </row>
    <row r="42277">
      <c r="B42277" s="612"/>
      <c r="H42277" s="612"/>
    </row>
    <row r="42278">
      <c r="B42278" s="612"/>
      <c r="H42278" s="612"/>
    </row>
    <row r="42279">
      <c r="B42279" s="612"/>
      <c r="H42279" s="612"/>
    </row>
    <row r="42280">
      <c r="B42280" s="612"/>
      <c r="H42280" s="612"/>
    </row>
    <row r="42281">
      <c r="B42281" s="612"/>
      <c r="H42281" s="612"/>
    </row>
    <row r="42282">
      <c r="B42282" s="612"/>
      <c r="H42282" s="612"/>
    </row>
    <row r="42283">
      <c r="B42283" s="612"/>
      <c r="H42283" s="612"/>
    </row>
    <row r="42284">
      <c r="B42284" s="612"/>
      <c r="H42284" s="612"/>
    </row>
    <row r="42285">
      <c r="B42285" s="612"/>
      <c r="H42285" s="612"/>
    </row>
    <row r="42286">
      <c r="B42286" s="612"/>
      <c r="H42286" s="612"/>
    </row>
    <row r="42287">
      <c r="B42287" s="612"/>
      <c r="H42287" s="612"/>
    </row>
    <row r="42288">
      <c r="B42288" s="612"/>
      <c r="H42288" s="612"/>
    </row>
    <row r="42289">
      <c r="B42289" s="612"/>
      <c r="H42289" s="612"/>
    </row>
    <row r="42290">
      <c r="B42290" s="612"/>
      <c r="H42290" s="612"/>
    </row>
    <row r="42291">
      <c r="B42291" s="612"/>
      <c r="H42291" s="612"/>
    </row>
    <row r="42292">
      <c r="B42292" s="612"/>
      <c r="H42292" s="612"/>
    </row>
    <row r="42293">
      <c r="B42293" s="612"/>
      <c r="H42293" s="612"/>
    </row>
    <row r="42294">
      <c r="B42294" s="612"/>
      <c r="H42294" s="612"/>
    </row>
    <row r="42295">
      <c r="B42295" s="612"/>
      <c r="H42295" s="612"/>
    </row>
    <row r="42296">
      <c r="B42296" s="612"/>
      <c r="H42296" s="612"/>
    </row>
    <row r="42297">
      <c r="B42297" s="612"/>
      <c r="H42297" s="612"/>
    </row>
    <row r="42298">
      <c r="B42298" s="612"/>
      <c r="H42298" s="612"/>
    </row>
    <row r="42299">
      <c r="B42299" s="612"/>
      <c r="H42299" s="612"/>
    </row>
    <row r="42300">
      <c r="B42300" s="612"/>
      <c r="H42300" s="612"/>
    </row>
    <row r="42301">
      <c r="B42301" s="612"/>
      <c r="H42301" s="612"/>
    </row>
    <row r="42302">
      <c r="B42302" s="612"/>
      <c r="H42302" s="612"/>
    </row>
    <row r="42303">
      <c r="B42303" s="612"/>
      <c r="H42303" s="612"/>
    </row>
    <row r="42304">
      <c r="B42304" s="612"/>
      <c r="H42304" s="612"/>
    </row>
    <row r="42305">
      <c r="B42305" s="612"/>
      <c r="H42305" s="612"/>
    </row>
    <row r="42306">
      <c r="B42306" s="612"/>
      <c r="H42306" s="612"/>
    </row>
    <row r="42307">
      <c r="B42307" s="612"/>
      <c r="H42307" s="612"/>
    </row>
    <row r="42308">
      <c r="B42308" s="612"/>
      <c r="H42308" s="612"/>
    </row>
    <row r="42309">
      <c r="B42309" s="612"/>
      <c r="H42309" s="612"/>
    </row>
    <row r="42310">
      <c r="B42310" s="612"/>
      <c r="H42310" s="612"/>
    </row>
    <row r="42311">
      <c r="B42311" s="612"/>
      <c r="H42311" s="612"/>
    </row>
    <row r="42312">
      <c r="B42312" s="612"/>
      <c r="H42312" s="612"/>
    </row>
    <row r="42313">
      <c r="B42313" s="612"/>
      <c r="H42313" s="612"/>
    </row>
    <row r="42314">
      <c r="B42314" s="612"/>
      <c r="H42314" s="612"/>
    </row>
    <row r="42315">
      <c r="B42315" s="612"/>
      <c r="H42315" s="612"/>
    </row>
    <row r="42316">
      <c r="B42316" s="612"/>
      <c r="H42316" s="612"/>
    </row>
    <row r="42317">
      <c r="B42317" s="612"/>
      <c r="H42317" s="612"/>
    </row>
    <row r="42318">
      <c r="B42318" s="612"/>
      <c r="H42318" s="612"/>
    </row>
    <row r="42319">
      <c r="B42319" s="612"/>
      <c r="H42319" s="612"/>
    </row>
    <row r="42320">
      <c r="B42320" s="612"/>
      <c r="H42320" s="612"/>
    </row>
    <row r="42321">
      <c r="B42321" s="612"/>
      <c r="H42321" s="612"/>
    </row>
    <row r="42322">
      <c r="B42322" s="612"/>
      <c r="H42322" s="612"/>
    </row>
    <row r="42323">
      <c r="B42323" s="612"/>
      <c r="H42323" s="612"/>
    </row>
    <row r="42324">
      <c r="B42324" s="612"/>
      <c r="H42324" s="612"/>
    </row>
    <row r="42325">
      <c r="B42325" s="612"/>
      <c r="H42325" s="612"/>
    </row>
    <row r="42326">
      <c r="B42326" s="612"/>
      <c r="H42326" s="612"/>
    </row>
    <row r="42327">
      <c r="B42327" s="612"/>
      <c r="H42327" s="612"/>
    </row>
    <row r="42328">
      <c r="B42328" s="612"/>
      <c r="H42328" s="612"/>
    </row>
    <row r="42329">
      <c r="B42329" s="612"/>
      <c r="H42329" s="612"/>
    </row>
    <row r="42330">
      <c r="B42330" s="612"/>
      <c r="H42330" s="612"/>
    </row>
    <row r="42331">
      <c r="B42331" s="612"/>
      <c r="H42331" s="612"/>
    </row>
    <row r="42332">
      <c r="B42332" s="612"/>
      <c r="H42332" s="612"/>
    </row>
    <row r="42333">
      <c r="B42333" s="612"/>
      <c r="H42333" s="612"/>
    </row>
    <row r="42334">
      <c r="B42334" s="612"/>
      <c r="H42334" s="612"/>
    </row>
    <row r="42335">
      <c r="B42335" s="612"/>
      <c r="H42335" s="612"/>
    </row>
    <row r="42336">
      <c r="B42336" s="612"/>
      <c r="H42336" s="612"/>
    </row>
    <row r="42337">
      <c r="B42337" s="612"/>
      <c r="H42337" s="612"/>
    </row>
    <row r="42338">
      <c r="B42338" s="612"/>
      <c r="H42338" s="612"/>
    </row>
    <row r="42339">
      <c r="B42339" s="612"/>
      <c r="H42339" s="612"/>
    </row>
    <row r="42340">
      <c r="B42340" s="612"/>
      <c r="H42340" s="612"/>
    </row>
    <row r="42341">
      <c r="B42341" s="612"/>
      <c r="H42341" s="612"/>
    </row>
    <row r="42342">
      <c r="B42342" s="612"/>
      <c r="H42342" s="612"/>
    </row>
    <row r="42343">
      <c r="B42343" s="612"/>
      <c r="H42343" s="612"/>
    </row>
    <row r="42344">
      <c r="B42344" s="612"/>
      <c r="H42344" s="612"/>
    </row>
    <row r="42345">
      <c r="B42345" s="612"/>
      <c r="H42345" s="612"/>
    </row>
    <row r="42346">
      <c r="B42346" s="612"/>
      <c r="H42346" s="612"/>
    </row>
    <row r="42347">
      <c r="B42347" s="612"/>
      <c r="H42347" s="612"/>
    </row>
    <row r="42348">
      <c r="B42348" s="612"/>
      <c r="H42348" s="612"/>
    </row>
    <row r="42349">
      <c r="B42349" s="612"/>
      <c r="H42349" s="612"/>
    </row>
    <row r="42350">
      <c r="B42350" s="612"/>
      <c r="H42350" s="612"/>
    </row>
    <row r="42351">
      <c r="B42351" s="612"/>
      <c r="H42351" s="612"/>
    </row>
    <row r="42352">
      <c r="B42352" s="612"/>
      <c r="H42352" s="612"/>
    </row>
    <row r="42353">
      <c r="B42353" s="612"/>
      <c r="H42353" s="612"/>
    </row>
    <row r="42354">
      <c r="B42354" s="612"/>
      <c r="H42354" s="612"/>
    </row>
    <row r="42355">
      <c r="B42355" s="612"/>
      <c r="H42355" s="612"/>
    </row>
    <row r="42356">
      <c r="B42356" s="612"/>
      <c r="H42356" s="612"/>
    </row>
    <row r="42357">
      <c r="B42357" s="612"/>
      <c r="H42357" s="612"/>
    </row>
    <row r="42358">
      <c r="B42358" s="612"/>
      <c r="H42358" s="612"/>
    </row>
    <row r="42359">
      <c r="B42359" s="612"/>
      <c r="H42359" s="612"/>
    </row>
    <row r="42360">
      <c r="B42360" s="612"/>
      <c r="H42360" s="612"/>
    </row>
    <row r="42361">
      <c r="B42361" s="612"/>
      <c r="H42361" s="612"/>
    </row>
    <row r="42362">
      <c r="B42362" s="612"/>
      <c r="H42362" s="612"/>
    </row>
    <row r="42363">
      <c r="B42363" s="612"/>
      <c r="H42363" s="612"/>
    </row>
    <row r="42364">
      <c r="B42364" s="612"/>
      <c r="H42364" s="612"/>
    </row>
    <row r="42365">
      <c r="B42365" s="612"/>
      <c r="H42365" s="612"/>
    </row>
    <row r="42366">
      <c r="B42366" s="612"/>
      <c r="H42366" s="612"/>
    </row>
    <row r="42367">
      <c r="B42367" s="612"/>
      <c r="H42367" s="612"/>
    </row>
    <row r="42368">
      <c r="B42368" s="612"/>
      <c r="H42368" s="612"/>
    </row>
    <row r="42369">
      <c r="B42369" s="612"/>
      <c r="H42369" s="612"/>
    </row>
    <row r="42370">
      <c r="B42370" s="612"/>
      <c r="H42370" s="612"/>
    </row>
    <row r="42371">
      <c r="B42371" s="612"/>
      <c r="H42371" s="612"/>
    </row>
    <row r="42372">
      <c r="B42372" s="612"/>
      <c r="H42372" s="612"/>
    </row>
    <row r="42373">
      <c r="B42373" s="612"/>
      <c r="H42373" s="612"/>
    </row>
    <row r="42374">
      <c r="B42374" s="612"/>
      <c r="H42374" s="612"/>
    </row>
    <row r="42375">
      <c r="B42375" s="612"/>
      <c r="H42375" s="612"/>
    </row>
    <row r="42376">
      <c r="B42376" s="612"/>
      <c r="H42376" s="612"/>
    </row>
    <row r="42377">
      <c r="B42377" s="612"/>
      <c r="H42377" s="612"/>
    </row>
    <row r="42378">
      <c r="B42378" s="612"/>
      <c r="H42378" s="612"/>
    </row>
    <row r="42379">
      <c r="B42379" s="612"/>
      <c r="H42379" s="612"/>
    </row>
    <row r="42380">
      <c r="B42380" s="612"/>
      <c r="H42380" s="612"/>
    </row>
    <row r="42381">
      <c r="B42381" s="612"/>
      <c r="H42381" s="612"/>
    </row>
    <row r="42382">
      <c r="B42382" s="612"/>
      <c r="H42382" s="612"/>
    </row>
    <row r="42383">
      <c r="B42383" s="612"/>
      <c r="H42383" s="612"/>
    </row>
    <row r="42384">
      <c r="B42384" s="612"/>
      <c r="H42384" s="612"/>
    </row>
    <row r="42385">
      <c r="B42385" s="612"/>
      <c r="H42385" s="612"/>
    </row>
    <row r="42386">
      <c r="B42386" s="612"/>
      <c r="H42386" s="612"/>
    </row>
    <row r="42387">
      <c r="B42387" s="612"/>
      <c r="H42387" s="612"/>
    </row>
    <row r="42388">
      <c r="B42388" s="612"/>
      <c r="H42388" s="612"/>
    </row>
    <row r="42389">
      <c r="B42389" s="612"/>
      <c r="H42389" s="612"/>
    </row>
    <row r="42390">
      <c r="B42390" s="612"/>
      <c r="H42390" s="612"/>
    </row>
    <row r="42391">
      <c r="B42391" s="612"/>
      <c r="H42391" s="612"/>
    </row>
    <row r="42392">
      <c r="B42392" s="612"/>
      <c r="H42392" s="612"/>
    </row>
    <row r="42393">
      <c r="B42393" s="612"/>
      <c r="H42393" s="612"/>
    </row>
    <row r="42394">
      <c r="B42394" s="612"/>
      <c r="H42394" s="612"/>
    </row>
    <row r="42395">
      <c r="B42395" s="612"/>
      <c r="H42395" s="612"/>
    </row>
    <row r="42396">
      <c r="B42396" s="612"/>
      <c r="H42396" s="612"/>
    </row>
    <row r="42397">
      <c r="B42397" s="612"/>
      <c r="H42397" s="612"/>
    </row>
    <row r="42398">
      <c r="B42398" s="612"/>
      <c r="H42398" s="612"/>
    </row>
    <row r="42399">
      <c r="B42399" s="612"/>
      <c r="H42399" s="612"/>
    </row>
    <row r="42400">
      <c r="B42400" s="612"/>
      <c r="H42400" s="612"/>
    </row>
    <row r="42401">
      <c r="B42401" s="612"/>
      <c r="H42401" s="612"/>
    </row>
    <row r="42402">
      <c r="B42402" s="612"/>
      <c r="H42402" s="612"/>
    </row>
    <row r="42403">
      <c r="B42403" s="612"/>
      <c r="H42403" s="612"/>
    </row>
    <row r="42404">
      <c r="B42404" s="612"/>
      <c r="H42404" s="612"/>
    </row>
    <row r="42405">
      <c r="B42405" s="612"/>
      <c r="H42405" s="612"/>
    </row>
    <row r="42406">
      <c r="B42406" s="612"/>
      <c r="H42406" s="612"/>
    </row>
    <row r="42407">
      <c r="B42407" s="612"/>
      <c r="H42407" s="612"/>
    </row>
    <row r="42408">
      <c r="B42408" s="612"/>
      <c r="H42408" s="612"/>
    </row>
    <row r="42409">
      <c r="B42409" s="612"/>
      <c r="H42409" s="612"/>
    </row>
    <row r="42410">
      <c r="B42410" s="612"/>
      <c r="H42410" s="612"/>
    </row>
    <row r="42411">
      <c r="B42411" s="612"/>
      <c r="H42411" s="612"/>
    </row>
    <row r="42412">
      <c r="B42412" s="612"/>
      <c r="H42412" s="612"/>
    </row>
    <row r="42413">
      <c r="B42413" s="612"/>
      <c r="H42413" s="612"/>
    </row>
    <row r="42414">
      <c r="B42414" s="612"/>
      <c r="H42414" s="612"/>
    </row>
    <row r="42415">
      <c r="B42415" s="612"/>
      <c r="H42415" s="612"/>
    </row>
    <row r="42416">
      <c r="B42416" s="612"/>
      <c r="H42416" s="612"/>
    </row>
    <row r="42417">
      <c r="B42417" s="612"/>
      <c r="H42417" s="612"/>
    </row>
    <row r="42418">
      <c r="B42418" s="612"/>
      <c r="H42418" s="612"/>
    </row>
    <row r="42419">
      <c r="B42419" s="612"/>
      <c r="H42419" s="612"/>
    </row>
    <row r="42420">
      <c r="B42420" s="612"/>
      <c r="H42420" s="612"/>
    </row>
    <row r="42421">
      <c r="B42421" s="612"/>
      <c r="H42421" s="612"/>
    </row>
    <row r="42422">
      <c r="B42422" s="612"/>
      <c r="H42422" s="612"/>
    </row>
    <row r="42423">
      <c r="B42423" s="612"/>
      <c r="H42423" s="612"/>
    </row>
    <row r="42424">
      <c r="B42424" s="612"/>
      <c r="H42424" s="612"/>
    </row>
    <row r="42425">
      <c r="B42425" s="612"/>
      <c r="H42425" s="612"/>
    </row>
    <row r="42426">
      <c r="B42426" s="612"/>
      <c r="H42426" s="612"/>
    </row>
    <row r="42427">
      <c r="B42427" s="612"/>
      <c r="H42427" s="612"/>
    </row>
    <row r="42428">
      <c r="B42428" s="612"/>
      <c r="H42428" s="612"/>
    </row>
    <row r="42429">
      <c r="B42429" s="612"/>
      <c r="H42429" s="612"/>
    </row>
    <row r="42430">
      <c r="B42430" s="612"/>
      <c r="H42430" s="612"/>
    </row>
    <row r="42431">
      <c r="B42431" s="612"/>
      <c r="H42431" s="612"/>
    </row>
    <row r="42432">
      <c r="B42432" s="612"/>
      <c r="H42432" s="612"/>
    </row>
    <row r="42433">
      <c r="B42433" s="612"/>
      <c r="H42433" s="612"/>
    </row>
    <row r="42434">
      <c r="B42434" s="612"/>
      <c r="H42434" s="612"/>
    </row>
    <row r="42435">
      <c r="B42435" s="612"/>
      <c r="H42435" s="612"/>
    </row>
    <row r="42436">
      <c r="B42436" s="612"/>
      <c r="H42436" s="612"/>
    </row>
    <row r="42437">
      <c r="B42437" s="612"/>
      <c r="H42437" s="612"/>
    </row>
    <row r="42438">
      <c r="B42438" s="612"/>
      <c r="H42438" s="612"/>
    </row>
    <row r="42439">
      <c r="B42439" s="612"/>
      <c r="H42439" s="612"/>
    </row>
    <row r="42440">
      <c r="B42440" s="612"/>
      <c r="H42440" s="612"/>
    </row>
    <row r="42441">
      <c r="B42441" s="612"/>
      <c r="H42441" s="612"/>
    </row>
    <row r="42442">
      <c r="B42442" s="612"/>
      <c r="H42442" s="612"/>
    </row>
    <row r="42443">
      <c r="B42443" s="612"/>
      <c r="H42443" s="612"/>
    </row>
    <row r="42444">
      <c r="B42444" s="612"/>
      <c r="H42444" s="612"/>
    </row>
    <row r="42445">
      <c r="B42445" s="612"/>
      <c r="H42445" s="612"/>
    </row>
    <row r="42446">
      <c r="B42446" s="612"/>
      <c r="H42446" s="612"/>
    </row>
    <row r="42447">
      <c r="B42447" s="612"/>
      <c r="H42447" s="612"/>
    </row>
    <row r="42448">
      <c r="B42448" s="612"/>
      <c r="H42448" s="612"/>
    </row>
    <row r="42449">
      <c r="B42449" s="612"/>
      <c r="H42449" s="612"/>
    </row>
    <row r="42450">
      <c r="B42450" s="612"/>
      <c r="H42450" s="612"/>
    </row>
    <row r="42451">
      <c r="B42451" s="612"/>
      <c r="H42451" s="612"/>
    </row>
    <row r="42452">
      <c r="B42452" s="612"/>
      <c r="H42452" s="612"/>
    </row>
    <row r="42453">
      <c r="B42453" s="612"/>
      <c r="H42453" s="612"/>
    </row>
    <row r="42454">
      <c r="B42454" s="612"/>
      <c r="H42454" s="612"/>
    </row>
    <row r="42455">
      <c r="B42455" s="612"/>
      <c r="H42455" s="612"/>
    </row>
    <row r="42456">
      <c r="B42456" s="612"/>
      <c r="H42456" s="612"/>
    </row>
    <row r="42457">
      <c r="B42457" s="612"/>
      <c r="H42457" s="612"/>
    </row>
    <row r="42458">
      <c r="B42458" s="612"/>
      <c r="H42458" s="612"/>
    </row>
    <row r="42459">
      <c r="B42459" s="612"/>
      <c r="H42459" s="612"/>
    </row>
    <row r="42460">
      <c r="B42460" s="612"/>
      <c r="H42460" s="612"/>
    </row>
    <row r="42461">
      <c r="B42461" s="612"/>
      <c r="H42461" s="612"/>
    </row>
    <row r="42462">
      <c r="B42462" s="612"/>
      <c r="H42462" s="612"/>
    </row>
    <row r="42463">
      <c r="B42463" s="612"/>
      <c r="H42463" s="612"/>
    </row>
    <row r="42464">
      <c r="B42464" s="612"/>
      <c r="H42464" s="612"/>
    </row>
    <row r="42465">
      <c r="B42465" s="612"/>
      <c r="H42465" s="612"/>
    </row>
    <row r="42466">
      <c r="B42466" s="612"/>
      <c r="H42466" s="612"/>
    </row>
    <row r="42467">
      <c r="B42467" s="612"/>
      <c r="H42467" s="612"/>
    </row>
    <row r="42468">
      <c r="B42468" s="612"/>
      <c r="H42468" s="612"/>
    </row>
    <row r="42469">
      <c r="B42469" s="612"/>
      <c r="H42469" s="612"/>
    </row>
    <row r="42470">
      <c r="B42470" s="612"/>
      <c r="H42470" s="612"/>
    </row>
    <row r="42471">
      <c r="B42471" s="612"/>
      <c r="H42471" s="612"/>
    </row>
    <row r="42472">
      <c r="B42472" s="612"/>
      <c r="H42472" s="612"/>
    </row>
    <row r="42473">
      <c r="B42473" s="612"/>
      <c r="H42473" s="612"/>
    </row>
    <row r="42474">
      <c r="B42474" s="612"/>
      <c r="H42474" s="612"/>
    </row>
    <row r="42475">
      <c r="B42475" s="612"/>
      <c r="H42475" s="612"/>
    </row>
    <row r="42476">
      <c r="B42476" s="612"/>
      <c r="H42476" s="612"/>
    </row>
    <row r="42477">
      <c r="B42477" s="612"/>
      <c r="H42477" s="612"/>
    </row>
    <row r="42478">
      <c r="B42478" s="612"/>
      <c r="H42478" s="612"/>
    </row>
    <row r="42479">
      <c r="B42479" s="612"/>
      <c r="H42479" s="612"/>
    </row>
    <row r="42480">
      <c r="B42480" s="612"/>
      <c r="H42480" s="612"/>
    </row>
    <row r="42481">
      <c r="B42481" s="612"/>
      <c r="H42481" s="612"/>
    </row>
    <row r="42482">
      <c r="B42482" s="612"/>
      <c r="H42482" s="612"/>
    </row>
    <row r="42483">
      <c r="B42483" s="612"/>
      <c r="H42483" s="612"/>
    </row>
    <row r="42484">
      <c r="B42484" s="612"/>
      <c r="H42484" s="612"/>
    </row>
    <row r="42485">
      <c r="B42485" s="612"/>
      <c r="H42485" s="612"/>
    </row>
    <row r="42486">
      <c r="B42486" s="612"/>
      <c r="H42486" s="612"/>
    </row>
    <row r="42487">
      <c r="B42487" s="612"/>
      <c r="H42487" s="612"/>
    </row>
    <row r="42488">
      <c r="B42488" s="612"/>
      <c r="H42488" s="612"/>
    </row>
    <row r="42489">
      <c r="B42489" s="612"/>
      <c r="H42489" s="612"/>
    </row>
    <row r="42490">
      <c r="B42490" s="612"/>
      <c r="H42490" s="612"/>
    </row>
    <row r="42491">
      <c r="B42491" s="612"/>
      <c r="H42491" s="612"/>
    </row>
    <row r="42492">
      <c r="B42492" s="612"/>
      <c r="H42492" s="612"/>
    </row>
    <row r="42493">
      <c r="B42493" s="612"/>
      <c r="H42493" s="612"/>
    </row>
    <row r="42494">
      <c r="B42494" s="612"/>
      <c r="H42494" s="612"/>
    </row>
    <row r="42495">
      <c r="B42495" s="612"/>
      <c r="H42495" s="612"/>
    </row>
    <row r="42496">
      <c r="B42496" s="612"/>
      <c r="H42496" s="612"/>
    </row>
    <row r="42497">
      <c r="B42497" s="612"/>
      <c r="H42497" s="612"/>
    </row>
    <row r="42498">
      <c r="B42498" s="612"/>
      <c r="H42498" s="612"/>
    </row>
    <row r="42499">
      <c r="B42499" s="612"/>
      <c r="H42499" s="612"/>
    </row>
    <row r="42500">
      <c r="B42500" s="612"/>
      <c r="H42500" s="612"/>
    </row>
    <row r="42501">
      <c r="B42501" s="612"/>
      <c r="H42501" s="612"/>
    </row>
    <row r="42502">
      <c r="B42502" s="612"/>
      <c r="H42502" s="612"/>
    </row>
    <row r="42503">
      <c r="B42503" s="612"/>
      <c r="H42503" s="612"/>
    </row>
    <row r="42504">
      <c r="B42504" s="612"/>
      <c r="H42504" s="612"/>
    </row>
    <row r="42505">
      <c r="B42505" s="612"/>
      <c r="H42505" s="612"/>
    </row>
    <row r="42506">
      <c r="B42506" s="612"/>
      <c r="H42506" s="612"/>
    </row>
    <row r="42507">
      <c r="B42507" s="612"/>
      <c r="H42507" s="612"/>
    </row>
    <row r="42508">
      <c r="B42508" s="612"/>
      <c r="H42508" s="612"/>
    </row>
    <row r="42509">
      <c r="B42509" s="612"/>
      <c r="H42509" s="612"/>
    </row>
    <row r="42510">
      <c r="B42510" s="612"/>
      <c r="H42510" s="612"/>
    </row>
    <row r="42511">
      <c r="B42511" s="612"/>
      <c r="H42511" s="612"/>
    </row>
    <row r="42512">
      <c r="B42512" s="612"/>
      <c r="H42512" s="612"/>
    </row>
    <row r="42513">
      <c r="B42513" s="612"/>
      <c r="H42513" s="612"/>
    </row>
    <row r="42514">
      <c r="B42514" s="612"/>
      <c r="H42514" s="612"/>
    </row>
    <row r="42515">
      <c r="B42515" s="612"/>
      <c r="H42515" s="612"/>
    </row>
    <row r="42516">
      <c r="B42516" s="612"/>
      <c r="H42516" s="612"/>
    </row>
    <row r="42517">
      <c r="B42517" s="612"/>
      <c r="H42517" s="612"/>
    </row>
    <row r="42518">
      <c r="B42518" s="612"/>
      <c r="H42518" s="612"/>
    </row>
    <row r="42519">
      <c r="B42519" s="612"/>
      <c r="H42519" s="612"/>
    </row>
    <row r="42520">
      <c r="B42520" s="612"/>
      <c r="H42520" s="612"/>
    </row>
    <row r="42521">
      <c r="B42521" s="612"/>
      <c r="H42521" s="612"/>
    </row>
    <row r="42522">
      <c r="B42522" s="612"/>
      <c r="H42522" s="612"/>
    </row>
    <row r="42523">
      <c r="B42523" s="612"/>
      <c r="H42523" s="612"/>
    </row>
    <row r="42524">
      <c r="B42524" s="612"/>
      <c r="H42524" s="612"/>
    </row>
    <row r="42525">
      <c r="B42525" s="612"/>
      <c r="H42525" s="612"/>
    </row>
    <row r="42526">
      <c r="B42526" s="612"/>
      <c r="H42526" s="612"/>
    </row>
    <row r="42527">
      <c r="B42527" s="612"/>
      <c r="H42527" s="612"/>
    </row>
    <row r="42528">
      <c r="B42528" s="612"/>
      <c r="H42528" s="612"/>
    </row>
    <row r="42529">
      <c r="B42529" s="612"/>
      <c r="H42529" s="612"/>
    </row>
    <row r="42530">
      <c r="B42530" s="612"/>
      <c r="H42530" s="612"/>
    </row>
    <row r="42531">
      <c r="B42531" s="612"/>
      <c r="H42531" s="612"/>
    </row>
    <row r="42532">
      <c r="B42532" s="612"/>
      <c r="H42532" s="612"/>
    </row>
    <row r="42533">
      <c r="B42533" s="612"/>
      <c r="H42533" s="612"/>
    </row>
    <row r="42534">
      <c r="B42534" s="612"/>
      <c r="H42534" s="612"/>
    </row>
    <row r="42535">
      <c r="B42535" s="612"/>
      <c r="H42535" s="612"/>
    </row>
    <row r="42536">
      <c r="B42536" s="612"/>
      <c r="H42536" s="612"/>
    </row>
    <row r="42537">
      <c r="B42537" s="612"/>
      <c r="H42537" s="612"/>
    </row>
    <row r="42538">
      <c r="B42538" s="612"/>
      <c r="H42538" s="612"/>
    </row>
    <row r="42539">
      <c r="B42539" s="612"/>
      <c r="H42539" s="612"/>
    </row>
    <row r="42540">
      <c r="B42540" s="612"/>
      <c r="H42540" s="612"/>
    </row>
    <row r="42541">
      <c r="B42541" s="612"/>
      <c r="H42541" s="612"/>
    </row>
    <row r="42542">
      <c r="B42542" s="612"/>
      <c r="H42542" s="612"/>
    </row>
    <row r="42543">
      <c r="B42543" s="612"/>
      <c r="H42543" s="612"/>
    </row>
    <row r="42544">
      <c r="B42544" s="612"/>
      <c r="H42544" s="612"/>
    </row>
    <row r="42545">
      <c r="B42545" s="612"/>
      <c r="H42545" s="612"/>
    </row>
    <row r="42546">
      <c r="B42546" s="612"/>
      <c r="H42546" s="612"/>
    </row>
    <row r="42547">
      <c r="B42547" s="612"/>
      <c r="H42547" s="612"/>
    </row>
    <row r="42548">
      <c r="B42548" s="612"/>
      <c r="H42548" s="612"/>
    </row>
    <row r="42549">
      <c r="B42549" s="612"/>
      <c r="H42549" s="612"/>
    </row>
    <row r="42550">
      <c r="B42550" s="612"/>
      <c r="H42550" s="612"/>
    </row>
    <row r="42551">
      <c r="B42551" s="612"/>
      <c r="H42551" s="612"/>
    </row>
    <row r="42552">
      <c r="B42552" s="612"/>
      <c r="H42552" s="612"/>
    </row>
    <row r="42553">
      <c r="B42553" s="612"/>
      <c r="H42553" s="612"/>
    </row>
    <row r="42554">
      <c r="B42554" s="612"/>
      <c r="H42554" s="612"/>
    </row>
    <row r="42555">
      <c r="B42555" s="612"/>
      <c r="H42555" s="612"/>
    </row>
    <row r="42556">
      <c r="B42556" s="612"/>
      <c r="H42556" s="612"/>
    </row>
    <row r="42557">
      <c r="B42557" s="612"/>
      <c r="H42557" s="612"/>
    </row>
    <row r="42558">
      <c r="B42558" s="612"/>
      <c r="H42558" s="612"/>
    </row>
    <row r="42559">
      <c r="B42559" s="612"/>
      <c r="H42559" s="612"/>
    </row>
    <row r="42560">
      <c r="B42560" s="612"/>
      <c r="H42560" s="612"/>
    </row>
    <row r="42561">
      <c r="B42561" s="612"/>
      <c r="H42561" s="612"/>
    </row>
    <row r="42562">
      <c r="B42562" s="612"/>
      <c r="H42562" s="612"/>
    </row>
    <row r="42563">
      <c r="B42563" s="612"/>
      <c r="H42563" s="612"/>
    </row>
    <row r="42564">
      <c r="B42564" s="612"/>
      <c r="H42564" s="612"/>
    </row>
    <row r="42565">
      <c r="B42565" s="612"/>
      <c r="H42565" s="612"/>
    </row>
    <row r="42566">
      <c r="B42566" s="612"/>
      <c r="H42566" s="612"/>
    </row>
    <row r="42567">
      <c r="B42567" s="612"/>
      <c r="H42567" s="612"/>
    </row>
    <row r="42568">
      <c r="B42568" s="612"/>
      <c r="H42568" s="612"/>
    </row>
    <row r="42569">
      <c r="B42569" s="612"/>
      <c r="H42569" s="612"/>
    </row>
    <row r="42570">
      <c r="B42570" s="612"/>
      <c r="H42570" s="612"/>
    </row>
    <row r="42571">
      <c r="B42571" s="612"/>
      <c r="H42571" s="612"/>
    </row>
    <row r="42572">
      <c r="B42572" s="612"/>
      <c r="H42572" s="612"/>
    </row>
    <row r="42573">
      <c r="B42573" s="612"/>
      <c r="H42573" s="612"/>
    </row>
    <row r="42574">
      <c r="B42574" s="612"/>
      <c r="H42574" s="612"/>
    </row>
    <row r="42575">
      <c r="B42575" s="612"/>
      <c r="H42575" s="612"/>
    </row>
    <row r="42576">
      <c r="B42576" s="612"/>
      <c r="H42576" s="612"/>
    </row>
    <row r="42577">
      <c r="B42577" s="612"/>
      <c r="H42577" s="612"/>
    </row>
    <row r="42578">
      <c r="B42578" s="612"/>
      <c r="H42578" s="612"/>
    </row>
    <row r="42579">
      <c r="B42579" s="612"/>
      <c r="H42579" s="612"/>
    </row>
    <row r="42580">
      <c r="B42580" s="612"/>
      <c r="H42580" s="612"/>
    </row>
    <row r="42581">
      <c r="B42581" s="612"/>
      <c r="H42581" s="612"/>
    </row>
    <row r="42582">
      <c r="B42582" s="612"/>
      <c r="H42582" s="612"/>
    </row>
    <row r="42583">
      <c r="B42583" s="612"/>
      <c r="H42583" s="612"/>
    </row>
    <row r="42584">
      <c r="B42584" s="612"/>
      <c r="H42584" s="612"/>
    </row>
    <row r="42585">
      <c r="B42585" s="612"/>
      <c r="H42585" s="612"/>
    </row>
    <row r="42586">
      <c r="B42586" s="612"/>
      <c r="H42586" s="612"/>
    </row>
    <row r="42587">
      <c r="B42587" s="612"/>
      <c r="H42587" s="612"/>
    </row>
    <row r="42588">
      <c r="B42588" s="612"/>
      <c r="H42588" s="612"/>
    </row>
    <row r="42589">
      <c r="B42589" s="612"/>
      <c r="H42589" s="612"/>
    </row>
    <row r="42590">
      <c r="B42590" s="612"/>
      <c r="H42590" s="612"/>
    </row>
    <row r="42591">
      <c r="B42591" s="612"/>
      <c r="H42591" s="612"/>
    </row>
    <row r="42592">
      <c r="B42592" s="612"/>
      <c r="H42592" s="612"/>
    </row>
    <row r="42593">
      <c r="B42593" s="612"/>
      <c r="H42593" s="612"/>
    </row>
    <row r="42594">
      <c r="B42594" s="612"/>
      <c r="H42594" s="612"/>
    </row>
    <row r="42595">
      <c r="B42595" s="612"/>
      <c r="H42595" s="612"/>
    </row>
    <row r="42596">
      <c r="B42596" s="612"/>
      <c r="H42596" s="612"/>
    </row>
    <row r="42597">
      <c r="B42597" s="612"/>
      <c r="H42597" s="612"/>
    </row>
    <row r="42598">
      <c r="B42598" s="612"/>
      <c r="H42598" s="612"/>
    </row>
    <row r="42599">
      <c r="B42599" s="612"/>
      <c r="H42599" s="612"/>
    </row>
    <row r="42600">
      <c r="B42600" s="612"/>
      <c r="H42600" s="612"/>
    </row>
    <row r="42601">
      <c r="B42601" s="612"/>
      <c r="H42601" s="612"/>
    </row>
    <row r="42602">
      <c r="B42602" s="612"/>
      <c r="H42602" s="612"/>
    </row>
    <row r="42603">
      <c r="B42603" s="612"/>
      <c r="H42603" s="612"/>
    </row>
    <row r="42604">
      <c r="B42604" s="612"/>
      <c r="H42604" s="612"/>
    </row>
    <row r="42605">
      <c r="B42605" s="612"/>
      <c r="H42605" s="612"/>
    </row>
    <row r="42606">
      <c r="B42606" s="612"/>
      <c r="H42606" s="612"/>
    </row>
    <row r="42607">
      <c r="B42607" s="612"/>
      <c r="H42607" s="612"/>
    </row>
    <row r="42608">
      <c r="B42608" s="612"/>
      <c r="H42608" s="612"/>
    </row>
    <row r="42609">
      <c r="B42609" s="612"/>
      <c r="H42609" s="612"/>
    </row>
    <row r="42610">
      <c r="B42610" s="612"/>
      <c r="H42610" s="612"/>
    </row>
    <row r="42611">
      <c r="B42611" s="612"/>
      <c r="H42611" s="612"/>
    </row>
    <row r="42612">
      <c r="B42612" s="612"/>
      <c r="H42612" s="612"/>
    </row>
    <row r="42613">
      <c r="B42613" s="612"/>
      <c r="H42613" s="612"/>
    </row>
    <row r="42614">
      <c r="B42614" s="612"/>
      <c r="H42614" s="612"/>
    </row>
    <row r="42615">
      <c r="B42615" s="612"/>
      <c r="H42615" s="612"/>
    </row>
    <row r="42616">
      <c r="B42616" s="612"/>
      <c r="H42616" s="612"/>
    </row>
    <row r="42617">
      <c r="B42617" s="612"/>
      <c r="H42617" s="612"/>
    </row>
    <row r="42618">
      <c r="B42618" s="612"/>
      <c r="H42618" s="612"/>
    </row>
    <row r="42619">
      <c r="B42619" s="612"/>
      <c r="H42619" s="612"/>
    </row>
    <row r="42620">
      <c r="B42620" s="612"/>
      <c r="H42620" s="612"/>
    </row>
    <row r="42621">
      <c r="B42621" s="612"/>
      <c r="H42621" s="612"/>
    </row>
    <row r="42622">
      <c r="B42622" s="612"/>
      <c r="H42622" s="612"/>
    </row>
    <row r="42623">
      <c r="B42623" s="612"/>
      <c r="H42623" s="612"/>
    </row>
    <row r="42624">
      <c r="B42624" s="612"/>
      <c r="H42624" s="612"/>
    </row>
    <row r="42625">
      <c r="B42625" s="612"/>
      <c r="H42625" s="612"/>
    </row>
    <row r="42626">
      <c r="B42626" s="612"/>
      <c r="H42626" s="612"/>
    </row>
    <row r="42627">
      <c r="B42627" s="612"/>
      <c r="H42627" s="612"/>
    </row>
    <row r="42628">
      <c r="B42628" s="612"/>
      <c r="H42628" s="612"/>
    </row>
    <row r="42629">
      <c r="B42629" s="612"/>
      <c r="H42629" s="612"/>
    </row>
    <row r="42630">
      <c r="B42630" s="612"/>
      <c r="H42630" s="612"/>
    </row>
    <row r="42631">
      <c r="B42631" s="612"/>
      <c r="H42631" s="612"/>
    </row>
    <row r="42632">
      <c r="B42632" s="612"/>
      <c r="H42632" s="612"/>
    </row>
    <row r="42633">
      <c r="B42633" s="612"/>
      <c r="H42633" s="612"/>
    </row>
    <row r="42634">
      <c r="B42634" s="612"/>
      <c r="H42634" s="612"/>
    </row>
    <row r="42635">
      <c r="B42635" s="612"/>
      <c r="H42635" s="612"/>
    </row>
    <row r="42636">
      <c r="B42636" s="612"/>
      <c r="H42636" s="612"/>
    </row>
    <row r="42637">
      <c r="B42637" s="612"/>
      <c r="H42637" s="612"/>
    </row>
    <row r="42638">
      <c r="B42638" s="612"/>
      <c r="H42638" s="612"/>
    </row>
    <row r="42639">
      <c r="B42639" s="612"/>
      <c r="H42639" s="612"/>
    </row>
    <row r="42640">
      <c r="B42640" s="612"/>
      <c r="H42640" s="612"/>
    </row>
    <row r="42641">
      <c r="B42641" s="612"/>
      <c r="H42641" s="612"/>
    </row>
    <row r="42642">
      <c r="B42642" s="612"/>
      <c r="H42642" s="612"/>
    </row>
    <row r="42643">
      <c r="B42643" s="612"/>
      <c r="H42643" s="612"/>
    </row>
    <row r="42644">
      <c r="B42644" s="612"/>
      <c r="H42644" s="612"/>
    </row>
    <row r="42645">
      <c r="B42645" s="612"/>
      <c r="H42645" s="612"/>
    </row>
    <row r="42646">
      <c r="B42646" s="612"/>
      <c r="H42646" s="612"/>
    </row>
    <row r="42647">
      <c r="B42647" s="612"/>
      <c r="H42647" s="612"/>
    </row>
    <row r="42648">
      <c r="B42648" s="612"/>
      <c r="H42648" s="612"/>
    </row>
    <row r="42649">
      <c r="B42649" s="612"/>
      <c r="H42649" s="612"/>
    </row>
    <row r="42650">
      <c r="B42650" s="612"/>
      <c r="H42650" s="612"/>
    </row>
    <row r="42651">
      <c r="B42651" s="612"/>
      <c r="H42651" s="612"/>
    </row>
    <row r="42652">
      <c r="B42652" s="612"/>
      <c r="H42652" s="612"/>
    </row>
    <row r="42653">
      <c r="B42653" s="612"/>
      <c r="H42653" s="612"/>
    </row>
    <row r="42654">
      <c r="B42654" s="612"/>
      <c r="H42654" s="612"/>
    </row>
    <row r="42655">
      <c r="B42655" s="612"/>
      <c r="H42655" s="612"/>
    </row>
    <row r="42656">
      <c r="B42656" s="612"/>
      <c r="H42656" s="612"/>
    </row>
    <row r="42657">
      <c r="B42657" s="612"/>
      <c r="H42657" s="612"/>
    </row>
    <row r="42658">
      <c r="B42658" s="612"/>
      <c r="H42658" s="612"/>
    </row>
    <row r="42659">
      <c r="B42659" s="612"/>
      <c r="H42659" s="612"/>
    </row>
    <row r="42660">
      <c r="B42660" s="612"/>
      <c r="H42660" s="612"/>
    </row>
    <row r="42661">
      <c r="B42661" s="612"/>
      <c r="H42661" s="612"/>
    </row>
    <row r="42662">
      <c r="B42662" s="612"/>
      <c r="H42662" s="612"/>
    </row>
    <row r="42663">
      <c r="B42663" s="612"/>
      <c r="H42663" s="612"/>
    </row>
    <row r="42664">
      <c r="B42664" s="612"/>
      <c r="H42664" s="612"/>
    </row>
    <row r="42665">
      <c r="B42665" s="612"/>
      <c r="H42665" s="612"/>
    </row>
    <row r="42666">
      <c r="B42666" s="612"/>
      <c r="H42666" s="612"/>
    </row>
    <row r="42667">
      <c r="B42667" s="612"/>
      <c r="H42667" s="612"/>
    </row>
    <row r="42668">
      <c r="B42668" s="612"/>
      <c r="H42668" s="612"/>
    </row>
    <row r="42669">
      <c r="B42669" s="612"/>
      <c r="H42669" s="612"/>
    </row>
    <row r="42670">
      <c r="B42670" s="612"/>
      <c r="H42670" s="612"/>
    </row>
    <row r="42671">
      <c r="B42671" s="612"/>
      <c r="H42671" s="612"/>
    </row>
    <row r="42672">
      <c r="B42672" s="612"/>
      <c r="H42672" s="612"/>
    </row>
    <row r="42673">
      <c r="B42673" s="612"/>
      <c r="H42673" s="612"/>
    </row>
    <row r="42674">
      <c r="B42674" s="612"/>
      <c r="H42674" s="612"/>
    </row>
    <row r="42675">
      <c r="B42675" s="612"/>
      <c r="H42675" s="612"/>
    </row>
    <row r="42676">
      <c r="B42676" s="612"/>
      <c r="H42676" s="612"/>
    </row>
    <row r="42677">
      <c r="B42677" s="612"/>
      <c r="H42677" s="612"/>
    </row>
    <row r="42678">
      <c r="B42678" s="612"/>
      <c r="H42678" s="612"/>
    </row>
    <row r="42679">
      <c r="B42679" s="612"/>
      <c r="H42679" s="612"/>
    </row>
    <row r="42680">
      <c r="B42680" s="612"/>
      <c r="H42680" s="612"/>
    </row>
    <row r="42681">
      <c r="B42681" s="612"/>
      <c r="H42681" s="612"/>
    </row>
    <row r="42682">
      <c r="B42682" s="612"/>
      <c r="H42682" s="612"/>
    </row>
    <row r="42683">
      <c r="B42683" s="612"/>
      <c r="H42683" s="612"/>
    </row>
    <row r="42684">
      <c r="B42684" s="612"/>
      <c r="H42684" s="612"/>
    </row>
    <row r="42685">
      <c r="B42685" s="612"/>
      <c r="H42685" s="612"/>
    </row>
    <row r="42686">
      <c r="B42686" s="612"/>
      <c r="H42686" s="612"/>
    </row>
    <row r="42687">
      <c r="B42687" s="612"/>
      <c r="H42687" s="612"/>
    </row>
    <row r="42688">
      <c r="B42688" s="612"/>
      <c r="H42688" s="612"/>
    </row>
    <row r="42689">
      <c r="B42689" s="612"/>
      <c r="H42689" s="612"/>
    </row>
    <row r="42690">
      <c r="B42690" s="612"/>
      <c r="H42690" s="612"/>
    </row>
    <row r="42691">
      <c r="B42691" s="612"/>
      <c r="H42691" s="612"/>
    </row>
    <row r="42692">
      <c r="B42692" s="612"/>
      <c r="H42692" s="612"/>
    </row>
    <row r="42693">
      <c r="B42693" s="612"/>
      <c r="H42693" s="612"/>
    </row>
    <row r="42694">
      <c r="B42694" s="612"/>
      <c r="H42694" s="612"/>
    </row>
    <row r="42695">
      <c r="B42695" s="612"/>
      <c r="H42695" s="612"/>
    </row>
    <row r="42696">
      <c r="B42696" s="612"/>
      <c r="H42696" s="612"/>
    </row>
    <row r="42697">
      <c r="B42697" s="612"/>
      <c r="H42697" s="612"/>
    </row>
    <row r="42698">
      <c r="B42698" s="612"/>
      <c r="H42698" s="612"/>
    </row>
    <row r="42699">
      <c r="B42699" s="612"/>
      <c r="H42699" s="612"/>
    </row>
    <row r="42700">
      <c r="B42700" s="612"/>
      <c r="H42700" s="612"/>
    </row>
    <row r="42701">
      <c r="B42701" s="612"/>
      <c r="H42701" s="612"/>
    </row>
    <row r="42702">
      <c r="B42702" s="612"/>
      <c r="H42702" s="612"/>
    </row>
    <row r="42703">
      <c r="B42703" s="612"/>
      <c r="H42703" s="612"/>
    </row>
    <row r="42704">
      <c r="B42704" s="612"/>
      <c r="H42704" s="612"/>
    </row>
    <row r="42705">
      <c r="B42705" s="612"/>
      <c r="H42705" s="612"/>
    </row>
    <row r="42706">
      <c r="B42706" s="612"/>
      <c r="H42706" s="612"/>
    </row>
    <row r="42707">
      <c r="B42707" s="612"/>
      <c r="H42707" s="612"/>
    </row>
    <row r="42708">
      <c r="B42708" s="612"/>
      <c r="H42708" s="612"/>
    </row>
    <row r="42709">
      <c r="B42709" s="612"/>
      <c r="H42709" s="612"/>
    </row>
    <row r="42710">
      <c r="B42710" s="612"/>
      <c r="H42710" s="612"/>
    </row>
    <row r="42711">
      <c r="B42711" s="612"/>
      <c r="H42711" s="612"/>
    </row>
    <row r="42712">
      <c r="B42712" s="612"/>
      <c r="H42712" s="612"/>
    </row>
    <row r="42713">
      <c r="B42713" s="612"/>
      <c r="H42713" s="612"/>
    </row>
    <row r="42714">
      <c r="B42714" s="612"/>
      <c r="H42714" s="612"/>
    </row>
    <row r="42715">
      <c r="B42715" s="612"/>
      <c r="H42715" s="612"/>
    </row>
    <row r="42716">
      <c r="B42716" s="612"/>
      <c r="H42716" s="612"/>
    </row>
    <row r="42717">
      <c r="B42717" s="612"/>
      <c r="H42717" s="612"/>
    </row>
    <row r="42718">
      <c r="B42718" s="612"/>
      <c r="H42718" s="612"/>
    </row>
    <row r="42719">
      <c r="B42719" s="612"/>
      <c r="H42719" s="612"/>
    </row>
    <row r="42720">
      <c r="B42720" s="612"/>
      <c r="H42720" s="612"/>
    </row>
    <row r="42721">
      <c r="B42721" s="612"/>
      <c r="H42721" s="612"/>
    </row>
    <row r="42722">
      <c r="B42722" s="612"/>
      <c r="H42722" s="612"/>
    </row>
    <row r="42723">
      <c r="B42723" s="612"/>
      <c r="H42723" s="612"/>
    </row>
    <row r="42724">
      <c r="B42724" s="612"/>
      <c r="H42724" s="612"/>
    </row>
    <row r="42725">
      <c r="B42725" s="612"/>
      <c r="H42725" s="612"/>
    </row>
    <row r="42726">
      <c r="B42726" s="612"/>
      <c r="H42726" s="612"/>
    </row>
    <row r="42727">
      <c r="B42727" s="612"/>
      <c r="H42727" s="612"/>
    </row>
    <row r="42728">
      <c r="B42728" s="612"/>
      <c r="H42728" s="612"/>
    </row>
    <row r="42729">
      <c r="B42729" s="612"/>
      <c r="H42729" s="612"/>
    </row>
    <row r="42730">
      <c r="B42730" s="612"/>
      <c r="H42730" s="612"/>
    </row>
    <row r="42731">
      <c r="B42731" s="612"/>
      <c r="H42731" s="612"/>
    </row>
    <row r="42732">
      <c r="B42732" s="612"/>
      <c r="H42732" s="612"/>
    </row>
    <row r="42733">
      <c r="B42733" s="612"/>
      <c r="H42733" s="612"/>
    </row>
    <row r="42734">
      <c r="B42734" s="612"/>
      <c r="H42734" s="612"/>
    </row>
    <row r="42735">
      <c r="B42735" s="612"/>
      <c r="H42735" s="612"/>
    </row>
    <row r="42736">
      <c r="B42736" s="612"/>
      <c r="H42736" s="612"/>
    </row>
    <row r="42737">
      <c r="B42737" s="612"/>
      <c r="H42737" s="612"/>
    </row>
    <row r="42738">
      <c r="B42738" s="612"/>
      <c r="H42738" s="612"/>
    </row>
    <row r="42739">
      <c r="B42739" s="612"/>
      <c r="H42739" s="612"/>
    </row>
    <row r="42740">
      <c r="B42740" s="612"/>
      <c r="H42740" s="612"/>
    </row>
    <row r="42741">
      <c r="B42741" s="612"/>
      <c r="H42741" s="612"/>
    </row>
    <row r="42742">
      <c r="B42742" s="612"/>
      <c r="H42742" s="612"/>
    </row>
    <row r="42743">
      <c r="B42743" s="612"/>
      <c r="H42743" s="612"/>
    </row>
    <row r="42744">
      <c r="B42744" s="612"/>
      <c r="H42744" s="612"/>
    </row>
    <row r="42745">
      <c r="B42745" s="612"/>
      <c r="H42745" s="612"/>
    </row>
    <row r="42746">
      <c r="B42746" s="612"/>
      <c r="H42746" s="612"/>
    </row>
    <row r="42747">
      <c r="B42747" s="612"/>
      <c r="H42747" s="612"/>
    </row>
    <row r="42748">
      <c r="B42748" s="612"/>
      <c r="H42748" s="612"/>
    </row>
    <row r="42749">
      <c r="B42749" s="612"/>
      <c r="H42749" s="612"/>
    </row>
    <row r="42750">
      <c r="B42750" s="612"/>
      <c r="H42750" s="612"/>
    </row>
    <row r="42751">
      <c r="B42751" s="612"/>
      <c r="H42751" s="612"/>
    </row>
    <row r="42752">
      <c r="B42752" s="612"/>
      <c r="H42752" s="612"/>
    </row>
    <row r="42753">
      <c r="B42753" s="612"/>
      <c r="H42753" s="612"/>
    </row>
    <row r="42754">
      <c r="B42754" s="612"/>
      <c r="H42754" s="612"/>
    </row>
    <row r="42755">
      <c r="B42755" s="612"/>
      <c r="H42755" s="612"/>
    </row>
    <row r="42756">
      <c r="B42756" s="612"/>
      <c r="H42756" s="612"/>
    </row>
    <row r="42757">
      <c r="B42757" s="612"/>
      <c r="H42757" s="612"/>
    </row>
    <row r="42758">
      <c r="B42758" s="612"/>
      <c r="H42758" s="612"/>
    </row>
    <row r="42759">
      <c r="B42759" s="612"/>
      <c r="H42759" s="612"/>
    </row>
    <row r="42760">
      <c r="B42760" s="612"/>
      <c r="H42760" s="612"/>
    </row>
    <row r="42761">
      <c r="B42761" s="612"/>
      <c r="H42761" s="612"/>
    </row>
    <row r="42762">
      <c r="B42762" s="612"/>
      <c r="H42762" s="612"/>
    </row>
    <row r="42763">
      <c r="B42763" s="612"/>
      <c r="H42763" s="612"/>
    </row>
    <row r="42764">
      <c r="B42764" s="612"/>
      <c r="H42764" s="612"/>
    </row>
    <row r="42765">
      <c r="B42765" s="612"/>
      <c r="H42765" s="612"/>
    </row>
    <row r="42766">
      <c r="B42766" s="612"/>
      <c r="H42766" s="612"/>
    </row>
    <row r="42767">
      <c r="B42767" s="612"/>
      <c r="H42767" s="612"/>
    </row>
    <row r="42768">
      <c r="B42768" s="612"/>
      <c r="H42768" s="612"/>
    </row>
    <row r="42769">
      <c r="B42769" s="612"/>
      <c r="H42769" s="612"/>
    </row>
    <row r="42770">
      <c r="B42770" s="612"/>
      <c r="H42770" s="612"/>
    </row>
    <row r="42771">
      <c r="B42771" s="612"/>
      <c r="H42771" s="612"/>
    </row>
    <row r="42772">
      <c r="B42772" s="612"/>
      <c r="H42772" s="612"/>
    </row>
    <row r="42773">
      <c r="B42773" s="612"/>
      <c r="H42773" s="612"/>
    </row>
    <row r="42774">
      <c r="B42774" s="612"/>
      <c r="H42774" s="612"/>
    </row>
    <row r="42775">
      <c r="B42775" s="612"/>
      <c r="H42775" s="612"/>
    </row>
    <row r="42776">
      <c r="B42776" s="612"/>
      <c r="H42776" s="612"/>
    </row>
    <row r="42777">
      <c r="B42777" s="612"/>
      <c r="H42777" s="612"/>
    </row>
    <row r="42778">
      <c r="B42778" s="612"/>
      <c r="H42778" s="612"/>
    </row>
    <row r="42779">
      <c r="B42779" s="612"/>
      <c r="H42779" s="612"/>
    </row>
    <row r="42780">
      <c r="B42780" s="612"/>
      <c r="H42780" s="612"/>
    </row>
    <row r="42781">
      <c r="B42781" s="612"/>
      <c r="H42781" s="612"/>
    </row>
    <row r="42782">
      <c r="B42782" s="612"/>
      <c r="H42782" s="612"/>
    </row>
    <row r="42783">
      <c r="B42783" s="612"/>
      <c r="H42783" s="612"/>
    </row>
    <row r="42784">
      <c r="B42784" s="612"/>
      <c r="H42784" s="612"/>
    </row>
    <row r="42785">
      <c r="B42785" s="612"/>
      <c r="H42785" s="612"/>
    </row>
    <row r="42786">
      <c r="B42786" s="612"/>
      <c r="H42786" s="612"/>
    </row>
    <row r="42787">
      <c r="B42787" s="612"/>
      <c r="H42787" s="612"/>
    </row>
    <row r="42788">
      <c r="B42788" s="612"/>
      <c r="H42788" s="612"/>
    </row>
    <row r="42789">
      <c r="B42789" s="612"/>
      <c r="H42789" s="612"/>
    </row>
    <row r="42790">
      <c r="B42790" s="612"/>
      <c r="H42790" s="612"/>
    </row>
    <row r="42791">
      <c r="B42791" s="612"/>
      <c r="H42791" s="612"/>
    </row>
    <row r="42792">
      <c r="B42792" s="612"/>
      <c r="H42792" s="612"/>
    </row>
    <row r="42793">
      <c r="B42793" s="612"/>
      <c r="H42793" s="612"/>
    </row>
    <row r="42794">
      <c r="B42794" s="612"/>
      <c r="H42794" s="612"/>
    </row>
    <row r="42795">
      <c r="B42795" s="612"/>
      <c r="H42795" s="612"/>
    </row>
    <row r="42796">
      <c r="B42796" s="612"/>
      <c r="H42796" s="612"/>
    </row>
    <row r="42797">
      <c r="B42797" s="612"/>
      <c r="H42797" s="612"/>
    </row>
    <row r="42798">
      <c r="B42798" s="612"/>
      <c r="H42798" s="612"/>
    </row>
    <row r="42799">
      <c r="B42799" s="612"/>
      <c r="H42799" s="612"/>
    </row>
    <row r="42800">
      <c r="B42800" s="612"/>
      <c r="H42800" s="612"/>
    </row>
    <row r="42801">
      <c r="B42801" s="612"/>
      <c r="H42801" s="612"/>
    </row>
    <row r="42802">
      <c r="B42802" s="612"/>
      <c r="H42802" s="612"/>
    </row>
    <row r="42803">
      <c r="B42803" s="612"/>
      <c r="H42803" s="612"/>
    </row>
    <row r="42804">
      <c r="B42804" s="612"/>
      <c r="H42804" s="612"/>
    </row>
    <row r="42805">
      <c r="B42805" s="612"/>
      <c r="H42805" s="612"/>
    </row>
    <row r="42806">
      <c r="B42806" s="612"/>
      <c r="H42806" s="612"/>
    </row>
    <row r="42807">
      <c r="B42807" s="612"/>
      <c r="H42807" s="612"/>
    </row>
    <row r="42808">
      <c r="B42808" s="612"/>
      <c r="H42808" s="612"/>
    </row>
    <row r="42809">
      <c r="B42809" s="612"/>
      <c r="H42809" s="612"/>
    </row>
    <row r="42810">
      <c r="B42810" s="612"/>
      <c r="H42810" s="612"/>
    </row>
    <row r="42811">
      <c r="B42811" s="612"/>
      <c r="H42811" s="612"/>
    </row>
    <row r="42812">
      <c r="B42812" s="612"/>
      <c r="H42812" s="612"/>
    </row>
    <row r="42813">
      <c r="B42813" s="612"/>
      <c r="H42813" s="612"/>
    </row>
    <row r="42814">
      <c r="B42814" s="612"/>
      <c r="H42814" s="612"/>
    </row>
    <row r="42815">
      <c r="B42815" s="612"/>
      <c r="H42815" s="612"/>
    </row>
    <row r="42816">
      <c r="B42816" s="612"/>
      <c r="H42816" s="612"/>
    </row>
    <row r="42817">
      <c r="B42817" s="612"/>
      <c r="H42817" s="612"/>
    </row>
    <row r="42818">
      <c r="B42818" s="612"/>
      <c r="H42818" s="612"/>
    </row>
    <row r="42819">
      <c r="B42819" s="612"/>
      <c r="H42819" s="612"/>
    </row>
    <row r="42820">
      <c r="B42820" s="612"/>
      <c r="H42820" s="612"/>
    </row>
    <row r="42821">
      <c r="B42821" s="612"/>
      <c r="H42821" s="612"/>
    </row>
    <row r="42822">
      <c r="B42822" s="612"/>
      <c r="H42822" s="612"/>
    </row>
    <row r="42823">
      <c r="B42823" s="612"/>
      <c r="H42823" s="612"/>
    </row>
    <row r="42824">
      <c r="B42824" s="612"/>
      <c r="H42824" s="612"/>
    </row>
    <row r="42825">
      <c r="B42825" s="612"/>
      <c r="H42825" s="612"/>
    </row>
    <row r="42826">
      <c r="B42826" s="612"/>
      <c r="H42826" s="612"/>
    </row>
    <row r="42827">
      <c r="B42827" s="612"/>
      <c r="H42827" s="612"/>
    </row>
    <row r="42828">
      <c r="B42828" s="612"/>
      <c r="H42828" s="612"/>
    </row>
    <row r="42829">
      <c r="B42829" s="612"/>
      <c r="H42829" s="612"/>
    </row>
    <row r="42830">
      <c r="B42830" s="612"/>
      <c r="H42830" s="612"/>
    </row>
    <row r="42831">
      <c r="B42831" s="612"/>
      <c r="H42831" s="612"/>
    </row>
    <row r="42832">
      <c r="B42832" s="612"/>
      <c r="H42832" s="612"/>
    </row>
    <row r="42833">
      <c r="B42833" s="612"/>
      <c r="H42833" s="612"/>
    </row>
    <row r="42834">
      <c r="B42834" s="612"/>
      <c r="H42834" s="612"/>
    </row>
    <row r="42835">
      <c r="B42835" s="612"/>
      <c r="H42835" s="612"/>
    </row>
    <row r="42836">
      <c r="B42836" s="612"/>
      <c r="H42836" s="612"/>
    </row>
    <row r="42837">
      <c r="B42837" s="612"/>
      <c r="H42837" s="612"/>
    </row>
    <row r="42838">
      <c r="B42838" s="612"/>
      <c r="H42838" s="612"/>
    </row>
    <row r="42839">
      <c r="B42839" s="612"/>
      <c r="H42839" s="612"/>
    </row>
    <row r="42840">
      <c r="B42840" s="612"/>
      <c r="H42840" s="612"/>
    </row>
    <row r="42841">
      <c r="B42841" s="612"/>
      <c r="H42841" s="612"/>
    </row>
    <row r="42842">
      <c r="B42842" s="612"/>
      <c r="H42842" s="612"/>
    </row>
    <row r="42843">
      <c r="B42843" s="612"/>
      <c r="H42843" s="612"/>
    </row>
    <row r="42844">
      <c r="B42844" s="612"/>
      <c r="H42844" s="612"/>
    </row>
    <row r="42845">
      <c r="B42845" s="612"/>
      <c r="H42845" s="612"/>
    </row>
    <row r="42846">
      <c r="B42846" s="612"/>
      <c r="H42846" s="612"/>
    </row>
    <row r="42847">
      <c r="B42847" s="612"/>
      <c r="H42847" s="612"/>
    </row>
    <row r="42848">
      <c r="B42848" s="612"/>
      <c r="H42848" s="612"/>
    </row>
    <row r="42849">
      <c r="B42849" s="612"/>
      <c r="H42849" s="612"/>
    </row>
    <row r="42850">
      <c r="B42850" s="612"/>
      <c r="H42850" s="612"/>
    </row>
    <row r="42851">
      <c r="B42851" s="612"/>
      <c r="H42851" s="612"/>
    </row>
    <row r="42852">
      <c r="B42852" s="612"/>
      <c r="H42852" s="612"/>
    </row>
    <row r="42853">
      <c r="B42853" s="612"/>
      <c r="H42853" s="612"/>
    </row>
    <row r="42854">
      <c r="B42854" s="612"/>
      <c r="H42854" s="612"/>
    </row>
    <row r="42855">
      <c r="B42855" s="612"/>
      <c r="H42855" s="612"/>
    </row>
    <row r="42856">
      <c r="B42856" s="612"/>
      <c r="H42856" s="612"/>
    </row>
    <row r="42857">
      <c r="B42857" s="612"/>
      <c r="H42857" s="612"/>
    </row>
    <row r="42858">
      <c r="B42858" s="612"/>
      <c r="H42858" s="612"/>
    </row>
    <row r="42859">
      <c r="B42859" s="612"/>
      <c r="H42859" s="612"/>
    </row>
    <row r="42860">
      <c r="B42860" s="612"/>
      <c r="H42860" s="612"/>
    </row>
    <row r="42861">
      <c r="B42861" s="612"/>
      <c r="H42861" s="612"/>
    </row>
    <row r="42862">
      <c r="B42862" s="612"/>
      <c r="H42862" s="612"/>
    </row>
    <row r="42863">
      <c r="B42863" s="612"/>
      <c r="H42863" s="612"/>
    </row>
    <row r="42864">
      <c r="B42864" s="612"/>
      <c r="H42864" s="612"/>
    </row>
    <row r="42865">
      <c r="B42865" s="612"/>
      <c r="H42865" s="612"/>
    </row>
    <row r="42866">
      <c r="B42866" s="612"/>
      <c r="H42866" s="612"/>
    </row>
    <row r="42867">
      <c r="B42867" s="612"/>
      <c r="H42867" s="612"/>
    </row>
    <row r="42868">
      <c r="B42868" s="612"/>
      <c r="H42868" s="612"/>
    </row>
    <row r="42869">
      <c r="B42869" s="612"/>
      <c r="H42869" s="612"/>
    </row>
    <row r="42870">
      <c r="B42870" s="612"/>
      <c r="H42870" s="612"/>
    </row>
    <row r="42871">
      <c r="B42871" s="612"/>
      <c r="H42871" s="612"/>
    </row>
    <row r="42872">
      <c r="B42872" s="612"/>
      <c r="H42872" s="612"/>
    </row>
    <row r="42873">
      <c r="B42873" s="612"/>
      <c r="H42873" s="612"/>
    </row>
    <row r="42874">
      <c r="B42874" s="612"/>
      <c r="H42874" s="612"/>
    </row>
    <row r="42875">
      <c r="B42875" s="612"/>
      <c r="H42875" s="612"/>
    </row>
    <row r="42876">
      <c r="B42876" s="612"/>
      <c r="H42876" s="612"/>
    </row>
    <row r="42877">
      <c r="B42877" s="612"/>
      <c r="H42877" s="612"/>
    </row>
    <row r="42878">
      <c r="B42878" s="612"/>
      <c r="H42878" s="612"/>
    </row>
    <row r="42879">
      <c r="B42879" s="612"/>
      <c r="H42879" s="612"/>
    </row>
    <row r="42880">
      <c r="B42880" s="612"/>
      <c r="H42880" s="612"/>
    </row>
    <row r="42881">
      <c r="B42881" s="612"/>
      <c r="H42881" s="612"/>
    </row>
    <row r="42882">
      <c r="B42882" s="612"/>
      <c r="H42882" s="612"/>
    </row>
    <row r="42883">
      <c r="B42883" s="612"/>
      <c r="H42883" s="612"/>
    </row>
    <row r="42884">
      <c r="B42884" s="612"/>
      <c r="H42884" s="612"/>
    </row>
    <row r="42885">
      <c r="B42885" s="612"/>
      <c r="H42885" s="612"/>
    </row>
    <row r="42886">
      <c r="B42886" s="612"/>
      <c r="H42886" s="612"/>
    </row>
    <row r="42887">
      <c r="B42887" s="612"/>
      <c r="H42887" s="612"/>
    </row>
    <row r="42888">
      <c r="B42888" s="612"/>
      <c r="H42888" s="612"/>
    </row>
    <row r="42889">
      <c r="B42889" s="612"/>
      <c r="H42889" s="612"/>
    </row>
    <row r="42890">
      <c r="B42890" s="612"/>
      <c r="H42890" s="612"/>
    </row>
    <row r="42891">
      <c r="B42891" s="612"/>
      <c r="H42891" s="612"/>
    </row>
    <row r="42892">
      <c r="B42892" s="612"/>
      <c r="H42892" s="612"/>
    </row>
    <row r="42893">
      <c r="B42893" s="612"/>
      <c r="H42893" s="612"/>
    </row>
    <row r="42894">
      <c r="B42894" s="612"/>
      <c r="H42894" s="612"/>
    </row>
    <row r="42895">
      <c r="B42895" s="612"/>
      <c r="H42895" s="612"/>
    </row>
    <row r="42896">
      <c r="B42896" s="612"/>
      <c r="H42896" s="612"/>
    </row>
    <row r="42897">
      <c r="B42897" s="612"/>
      <c r="H42897" s="612"/>
    </row>
    <row r="42898">
      <c r="B42898" s="612"/>
      <c r="H42898" s="612"/>
    </row>
    <row r="42899">
      <c r="B42899" s="612"/>
      <c r="H42899" s="612"/>
    </row>
    <row r="42900">
      <c r="B42900" s="612"/>
      <c r="H42900" s="612"/>
    </row>
    <row r="42901">
      <c r="B42901" s="612"/>
      <c r="H42901" s="612"/>
    </row>
    <row r="42902">
      <c r="B42902" s="612"/>
      <c r="H42902" s="612"/>
    </row>
    <row r="42903">
      <c r="B42903" s="612"/>
      <c r="H42903" s="612"/>
    </row>
    <row r="42904">
      <c r="B42904" s="612"/>
      <c r="H42904" s="612"/>
    </row>
    <row r="42905">
      <c r="B42905" s="612"/>
      <c r="H42905" s="612"/>
    </row>
    <row r="42906">
      <c r="B42906" s="612"/>
      <c r="H42906" s="612"/>
    </row>
    <row r="42907">
      <c r="B42907" s="612"/>
      <c r="H42907" s="612"/>
    </row>
    <row r="42908">
      <c r="B42908" s="612"/>
      <c r="H42908" s="612"/>
    </row>
    <row r="42909">
      <c r="B42909" s="612"/>
      <c r="H42909" s="612"/>
    </row>
    <row r="42910">
      <c r="B42910" s="612"/>
      <c r="H42910" s="612"/>
    </row>
    <row r="42911">
      <c r="B42911" s="612"/>
      <c r="H42911" s="612"/>
    </row>
    <row r="42912">
      <c r="B42912" s="612"/>
      <c r="H42912" s="612"/>
    </row>
    <row r="42913">
      <c r="B42913" s="612"/>
      <c r="H42913" s="612"/>
    </row>
    <row r="42914">
      <c r="B42914" s="612"/>
      <c r="H42914" s="612"/>
    </row>
    <row r="42915">
      <c r="B42915" s="612"/>
      <c r="H42915" s="612"/>
    </row>
    <row r="42916">
      <c r="B42916" s="612"/>
      <c r="H42916" s="612"/>
    </row>
    <row r="42917">
      <c r="B42917" s="612"/>
      <c r="H42917" s="612"/>
    </row>
    <row r="42918">
      <c r="B42918" s="612"/>
      <c r="H42918" s="612"/>
    </row>
    <row r="42919">
      <c r="B42919" s="612"/>
      <c r="H42919" s="612"/>
    </row>
    <row r="42920">
      <c r="B42920" s="612"/>
      <c r="H42920" s="612"/>
    </row>
    <row r="42921">
      <c r="B42921" s="612"/>
      <c r="H42921" s="612"/>
    </row>
    <row r="42922">
      <c r="B42922" s="612"/>
      <c r="H42922" s="612"/>
    </row>
    <row r="42923">
      <c r="B42923" s="612"/>
      <c r="H42923" s="612"/>
    </row>
    <row r="42924">
      <c r="B42924" s="612"/>
      <c r="H42924" s="612"/>
    </row>
    <row r="42925">
      <c r="B42925" s="612"/>
      <c r="H42925" s="612"/>
    </row>
    <row r="42926">
      <c r="B42926" s="612"/>
      <c r="H42926" s="612"/>
    </row>
    <row r="42927">
      <c r="B42927" s="612"/>
      <c r="H42927" s="612"/>
    </row>
    <row r="42928">
      <c r="B42928" s="612"/>
      <c r="H42928" s="612"/>
    </row>
    <row r="42929">
      <c r="B42929" s="612"/>
      <c r="H42929" s="612"/>
    </row>
    <row r="42930">
      <c r="B42930" s="612"/>
      <c r="H42930" s="612"/>
    </row>
    <row r="42931">
      <c r="B42931" s="612"/>
      <c r="H42931" s="612"/>
    </row>
    <row r="42932">
      <c r="B42932" s="612"/>
      <c r="H42932" s="612"/>
    </row>
    <row r="42933">
      <c r="B42933" s="612"/>
      <c r="H42933" s="612"/>
    </row>
    <row r="42934">
      <c r="B42934" s="612"/>
      <c r="H42934" s="612"/>
    </row>
    <row r="42935">
      <c r="B42935" s="612"/>
      <c r="H42935" s="612"/>
    </row>
    <row r="42936">
      <c r="B42936" s="612"/>
      <c r="H42936" s="612"/>
    </row>
    <row r="42937">
      <c r="B42937" s="612"/>
      <c r="H42937" s="612"/>
    </row>
    <row r="42938">
      <c r="B42938" s="612"/>
      <c r="H42938" s="612"/>
    </row>
    <row r="42939">
      <c r="B42939" s="612"/>
      <c r="H42939" s="612"/>
    </row>
    <row r="42940">
      <c r="B42940" s="612"/>
      <c r="H42940" s="612"/>
    </row>
    <row r="42941">
      <c r="B42941" s="612"/>
      <c r="H42941" s="612"/>
    </row>
    <row r="42942">
      <c r="B42942" s="612"/>
      <c r="H42942" s="612"/>
    </row>
    <row r="42943">
      <c r="B42943" s="612"/>
      <c r="H42943" s="612"/>
    </row>
    <row r="42944">
      <c r="B42944" s="612"/>
      <c r="H42944" s="612"/>
    </row>
    <row r="42945">
      <c r="B42945" s="612"/>
      <c r="H42945" s="612"/>
    </row>
    <row r="42946">
      <c r="B42946" s="612"/>
      <c r="H42946" s="612"/>
    </row>
    <row r="42947">
      <c r="B42947" s="612"/>
      <c r="H42947" s="612"/>
    </row>
    <row r="42948">
      <c r="B42948" s="612"/>
      <c r="H42948" s="612"/>
    </row>
    <row r="42949">
      <c r="B42949" s="612"/>
      <c r="H42949" s="612"/>
    </row>
    <row r="42950">
      <c r="B42950" s="612"/>
      <c r="H42950" s="612"/>
    </row>
    <row r="42951">
      <c r="B42951" s="612"/>
      <c r="H42951" s="612"/>
    </row>
    <row r="42952">
      <c r="B42952" s="612"/>
      <c r="H42952" s="612"/>
    </row>
    <row r="42953">
      <c r="B42953" s="612"/>
      <c r="H42953" s="612"/>
    </row>
    <row r="42954">
      <c r="B42954" s="612"/>
      <c r="H42954" s="612"/>
    </row>
    <row r="42955">
      <c r="B42955" s="612"/>
      <c r="H42955" s="612"/>
    </row>
    <row r="42956">
      <c r="B42956" s="612"/>
      <c r="H42956" s="612"/>
    </row>
    <row r="42957">
      <c r="B42957" s="612"/>
      <c r="H42957" s="612"/>
    </row>
    <row r="42958">
      <c r="B42958" s="612"/>
      <c r="H42958" s="612"/>
    </row>
    <row r="42959">
      <c r="B42959" s="612"/>
      <c r="H42959" s="612"/>
    </row>
    <row r="42960">
      <c r="B42960" s="612"/>
      <c r="H42960" s="612"/>
    </row>
    <row r="42961">
      <c r="B42961" s="612"/>
      <c r="H42961" s="612"/>
    </row>
    <row r="42962">
      <c r="B42962" s="612"/>
      <c r="H42962" s="612"/>
    </row>
    <row r="42963">
      <c r="B42963" s="612"/>
      <c r="H42963" s="612"/>
    </row>
    <row r="42964">
      <c r="B42964" s="612"/>
      <c r="H42964" s="612"/>
    </row>
    <row r="42965">
      <c r="B42965" s="612"/>
      <c r="H42965" s="612"/>
    </row>
    <row r="42966">
      <c r="B42966" s="612"/>
      <c r="H42966" s="612"/>
    </row>
    <row r="42967">
      <c r="B42967" s="612"/>
      <c r="H42967" s="612"/>
    </row>
    <row r="42968">
      <c r="B42968" s="612"/>
      <c r="H42968" s="612"/>
    </row>
    <row r="42969">
      <c r="B42969" s="612"/>
      <c r="H42969" s="612"/>
    </row>
    <row r="42970">
      <c r="B42970" s="612"/>
      <c r="H42970" s="612"/>
    </row>
    <row r="42971">
      <c r="B42971" s="612"/>
      <c r="H42971" s="612"/>
    </row>
    <row r="42972">
      <c r="B42972" s="612"/>
      <c r="H42972" s="612"/>
    </row>
    <row r="42973">
      <c r="B42973" s="612"/>
      <c r="H42973" s="612"/>
    </row>
    <row r="42974">
      <c r="B42974" s="612"/>
      <c r="H42974" s="612"/>
    </row>
    <row r="42975">
      <c r="B42975" s="612"/>
      <c r="H42975" s="612"/>
    </row>
    <row r="42976">
      <c r="B42976" s="612"/>
      <c r="H42976" s="612"/>
    </row>
    <row r="42977">
      <c r="B42977" s="612"/>
      <c r="H42977" s="612"/>
    </row>
    <row r="42978">
      <c r="B42978" s="612"/>
      <c r="H42978" s="612"/>
    </row>
    <row r="42979">
      <c r="B42979" s="612"/>
      <c r="H42979" s="612"/>
    </row>
    <row r="42980">
      <c r="B42980" s="612"/>
      <c r="H42980" s="612"/>
    </row>
    <row r="42981">
      <c r="B42981" s="612"/>
      <c r="H42981" s="612"/>
    </row>
    <row r="42982">
      <c r="B42982" s="612"/>
      <c r="H42982" s="612"/>
    </row>
    <row r="42983">
      <c r="B42983" s="612"/>
      <c r="H42983" s="612"/>
    </row>
    <row r="42984">
      <c r="B42984" s="612"/>
      <c r="H42984" s="612"/>
    </row>
    <row r="42985">
      <c r="B42985" s="612"/>
      <c r="H42985" s="612"/>
    </row>
    <row r="42986">
      <c r="B42986" s="612"/>
      <c r="H42986" s="612"/>
    </row>
    <row r="42987">
      <c r="B42987" s="612"/>
      <c r="H42987" s="612"/>
    </row>
    <row r="42988">
      <c r="B42988" s="612"/>
      <c r="H42988" s="612"/>
    </row>
    <row r="42989">
      <c r="B42989" s="612"/>
      <c r="H42989" s="612"/>
    </row>
    <row r="42990">
      <c r="B42990" s="612"/>
      <c r="H42990" s="612"/>
    </row>
    <row r="42991">
      <c r="B42991" s="612"/>
      <c r="H42991" s="612"/>
    </row>
    <row r="42992">
      <c r="B42992" s="612"/>
      <c r="H42992" s="612"/>
    </row>
    <row r="42993">
      <c r="B42993" s="612"/>
      <c r="H42993" s="612"/>
    </row>
    <row r="42994">
      <c r="B42994" s="612"/>
      <c r="H42994" s="612"/>
    </row>
    <row r="42995">
      <c r="B42995" s="612"/>
      <c r="H42995" s="612"/>
    </row>
    <row r="42996">
      <c r="B42996" s="612"/>
      <c r="H42996" s="612"/>
    </row>
    <row r="42997">
      <c r="B42997" s="612"/>
      <c r="H42997" s="612"/>
    </row>
    <row r="42998">
      <c r="B42998" s="612"/>
      <c r="H42998" s="612"/>
    </row>
    <row r="42999">
      <c r="B42999" s="612"/>
      <c r="H42999" s="612"/>
    </row>
    <row r="43000">
      <c r="B43000" s="612"/>
      <c r="H43000" s="612"/>
    </row>
    <row r="43001">
      <c r="B43001" s="612"/>
      <c r="H43001" s="612"/>
    </row>
    <row r="43002">
      <c r="B43002" s="612"/>
      <c r="H43002" s="612"/>
    </row>
    <row r="43003">
      <c r="B43003" s="612"/>
      <c r="H43003" s="612"/>
    </row>
    <row r="43004">
      <c r="B43004" s="612"/>
      <c r="H43004" s="612"/>
    </row>
    <row r="43005">
      <c r="B43005" s="612"/>
      <c r="H43005" s="612"/>
    </row>
    <row r="43006">
      <c r="B43006" s="612"/>
      <c r="H43006" s="612"/>
    </row>
    <row r="43007">
      <c r="B43007" s="612"/>
      <c r="H43007" s="612"/>
    </row>
    <row r="43008">
      <c r="B43008" s="612"/>
      <c r="H43008" s="612"/>
    </row>
    <row r="43009">
      <c r="B43009" s="612"/>
      <c r="H43009" s="612"/>
    </row>
    <row r="43010">
      <c r="B43010" s="612"/>
      <c r="H43010" s="612"/>
    </row>
    <row r="43011">
      <c r="B43011" s="612"/>
      <c r="H43011" s="612"/>
    </row>
    <row r="43012">
      <c r="B43012" s="612"/>
      <c r="H43012" s="612"/>
    </row>
    <row r="43013">
      <c r="B43013" s="612"/>
      <c r="H43013" s="612"/>
    </row>
    <row r="43014">
      <c r="B43014" s="612"/>
      <c r="H43014" s="612"/>
    </row>
    <row r="43015">
      <c r="B43015" s="612"/>
      <c r="H43015" s="612"/>
    </row>
    <row r="43016">
      <c r="B43016" s="612"/>
      <c r="H43016" s="612"/>
    </row>
    <row r="43017">
      <c r="B43017" s="612"/>
      <c r="H43017" s="612"/>
    </row>
    <row r="43018">
      <c r="B43018" s="612"/>
      <c r="H43018" s="612"/>
    </row>
    <row r="43019">
      <c r="B43019" s="612"/>
      <c r="H43019" s="612"/>
    </row>
    <row r="43020">
      <c r="B43020" s="612"/>
      <c r="H43020" s="612"/>
    </row>
    <row r="43021">
      <c r="B43021" s="612"/>
      <c r="H43021" s="612"/>
    </row>
    <row r="43022">
      <c r="B43022" s="612"/>
      <c r="H43022" s="612"/>
    </row>
    <row r="43023">
      <c r="B43023" s="612"/>
      <c r="H43023" s="612"/>
    </row>
    <row r="43024">
      <c r="B43024" s="612"/>
      <c r="H43024" s="612"/>
    </row>
    <row r="43025">
      <c r="B43025" s="612"/>
      <c r="H43025" s="612"/>
    </row>
    <row r="43026">
      <c r="B43026" s="612"/>
      <c r="H43026" s="612"/>
    </row>
    <row r="43027">
      <c r="B43027" s="612"/>
      <c r="H43027" s="612"/>
    </row>
    <row r="43028">
      <c r="B43028" s="612"/>
      <c r="H43028" s="612"/>
    </row>
    <row r="43029">
      <c r="B43029" s="612"/>
      <c r="H43029" s="612"/>
    </row>
    <row r="43030">
      <c r="B43030" s="612"/>
      <c r="H43030" s="612"/>
    </row>
    <row r="43031">
      <c r="B43031" s="612"/>
      <c r="H43031" s="612"/>
    </row>
    <row r="43032">
      <c r="B43032" s="612"/>
      <c r="H43032" s="612"/>
    </row>
    <row r="43033">
      <c r="B43033" s="612"/>
      <c r="H43033" s="612"/>
    </row>
    <row r="43034">
      <c r="B43034" s="612"/>
      <c r="H43034" s="612"/>
    </row>
    <row r="43035">
      <c r="B43035" s="612"/>
      <c r="H43035" s="612"/>
    </row>
    <row r="43036">
      <c r="B43036" s="612"/>
      <c r="H43036" s="612"/>
    </row>
    <row r="43037">
      <c r="B43037" s="612"/>
      <c r="H43037" s="612"/>
    </row>
    <row r="43038">
      <c r="B43038" s="612"/>
      <c r="H43038" s="612"/>
    </row>
    <row r="43039">
      <c r="B43039" s="612"/>
      <c r="H43039" s="612"/>
    </row>
    <row r="43040">
      <c r="B43040" s="612"/>
      <c r="H43040" s="612"/>
    </row>
    <row r="43041">
      <c r="B43041" s="612"/>
      <c r="H43041" s="612"/>
    </row>
    <row r="43042">
      <c r="B43042" s="612"/>
      <c r="H43042" s="612"/>
    </row>
    <row r="43043">
      <c r="B43043" s="612"/>
      <c r="H43043" s="612"/>
    </row>
    <row r="43044">
      <c r="B43044" s="612"/>
      <c r="H43044" s="612"/>
    </row>
    <row r="43045">
      <c r="B43045" s="612"/>
      <c r="H43045" s="612"/>
    </row>
    <row r="43046">
      <c r="B43046" s="612"/>
      <c r="H43046" s="612"/>
    </row>
    <row r="43047">
      <c r="B43047" s="612"/>
      <c r="H43047" s="612"/>
    </row>
    <row r="43048">
      <c r="B43048" s="612"/>
      <c r="H43048" s="612"/>
    </row>
    <row r="43049">
      <c r="B43049" s="612"/>
      <c r="H43049" s="612"/>
    </row>
    <row r="43050">
      <c r="B43050" s="612"/>
      <c r="H43050" s="612"/>
    </row>
    <row r="43051">
      <c r="B43051" s="612"/>
      <c r="H43051" s="612"/>
    </row>
    <row r="43052">
      <c r="B43052" s="612"/>
      <c r="H43052" s="612"/>
    </row>
    <row r="43053">
      <c r="B43053" s="612"/>
      <c r="H43053" s="612"/>
    </row>
    <row r="43054">
      <c r="B43054" s="612"/>
      <c r="H43054" s="612"/>
    </row>
    <row r="43055">
      <c r="B43055" s="612"/>
      <c r="H43055" s="612"/>
    </row>
    <row r="43056">
      <c r="B43056" s="612"/>
      <c r="H43056" s="612"/>
    </row>
    <row r="43057">
      <c r="B43057" s="612"/>
      <c r="H43057" s="612"/>
    </row>
    <row r="43058">
      <c r="B43058" s="612"/>
      <c r="H43058" s="612"/>
    </row>
    <row r="43059">
      <c r="B43059" s="612"/>
      <c r="H43059" s="612"/>
    </row>
    <row r="43060">
      <c r="B43060" s="612"/>
      <c r="H43060" s="612"/>
    </row>
    <row r="43061">
      <c r="B43061" s="612"/>
      <c r="H43061" s="612"/>
    </row>
    <row r="43062">
      <c r="B43062" s="612"/>
      <c r="H43062" s="612"/>
    </row>
    <row r="43063">
      <c r="B43063" s="612"/>
      <c r="H43063" s="612"/>
    </row>
    <row r="43064">
      <c r="B43064" s="612"/>
      <c r="H43064" s="612"/>
    </row>
    <row r="43065">
      <c r="B43065" s="612"/>
      <c r="H43065" s="612"/>
    </row>
    <row r="43066">
      <c r="B43066" s="612"/>
      <c r="H43066" s="612"/>
    </row>
    <row r="43067">
      <c r="B43067" s="612"/>
      <c r="H43067" s="612"/>
    </row>
    <row r="43068">
      <c r="B43068" s="612"/>
      <c r="H43068" s="612"/>
    </row>
    <row r="43069">
      <c r="B43069" s="612"/>
      <c r="H43069" s="612"/>
    </row>
    <row r="43070">
      <c r="B43070" s="612"/>
      <c r="H43070" s="612"/>
    </row>
    <row r="43071">
      <c r="B43071" s="612"/>
      <c r="H43071" s="612"/>
    </row>
    <row r="43072">
      <c r="B43072" s="612"/>
      <c r="H43072" s="612"/>
    </row>
    <row r="43073">
      <c r="B43073" s="612"/>
      <c r="H43073" s="612"/>
    </row>
    <row r="43074">
      <c r="B43074" s="612"/>
      <c r="H43074" s="612"/>
    </row>
    <row r="43075">
      <c r="B43075" s="612"/>
      <c r="H43075" s="612"/>
    </row>
    <row r="43076">
      <c r="B43076" s="612"/>
      <c r="H43076" s="612"/>
    </row>
    <row r="43077">
      <c r="B43077" s="612"/>
      <c r="H43077" s="612"/>
    </row>
    <row r="43078">
      <c r="B43078" s="612"/>
      <c r="H43078" s="612"/>
    </row>
    <row r="43079">
      <c r="B43079" s="612"/>
      <c r="H43079" s="612"/>
    </row>
    <row r="43080">
      <c r="B43080" s="612"/>
      <c r="H43080" s="612"/>
    </row>
    <row r="43081">
      <c r="B43081" s="612"/>
      <c r="H43081" s="612"/>
    </row>
    <row r="43082">
      <c r="B43082" s="612"/>
      <c r="H43082" s="612"/>
    </row>
    <row r="43083">
      <c r="B43083" s="612"/>
      <c r="H43083" s="612"/>
    </row>
    <row r="43084">
      <c r="B43084" s="612"/>
      <c r="H43084" s="612"/>
    </row>
    <row r="43085">
      <c r="B43085" s="612"/>
      <c r="H43085" s="612"/>
    </row>
    <row r="43086">
      <c r="B43086" s="612"/>
      <c r="H43086" s="612"/>
    </row>
    <row r="43087">
      <c r="B43087" s="612"/>
      <c r="H43087" s="612"/>
    </row>
    <row r="43088">
      <c r="B43088" s="612"/>
      <c r="H43088" s="612"/>
    </row>
    <row r="43089">
      <c r="B43089" s="612"/>
      <c r="H43089" s="612"/>
    </row>
    <row r="43090">
      <c r="B43090" s="612"/>
      <c r="H43090" s="612"/>
    </row>
    <row r="43091">
      <c r="B43091" s="612"/>
      <c r="H43091" s="612"/>
    </row>
    <row r="43092">
      <c r="B43092" s="612"/>
      <c r="H43092" s="612"/>
    </row>
    <row r="43093">
      <c r="B43093" s="612"/>
      <c r="H43093" s="612"/>
    </row>
    <row r="43094">
      <c r="B43094" s="612"/>
      <c r="H43094" s="612"/>
    </row>
    <row r="43095">
      <c r="B43095" s="612"/>
      <c r="H43095" s="612"/>
    </row>
    <row r="43096">
      <c r="B43096" s="612"/>
      <c r="H43096" s="612"/>
    </row>
    <row r="43097">
      <c r="B43097" s="612"/>
      <c r="H43097" s="612"/>
    </row>
    <row r="43098">
      <c r="B43098" s="612"/>
      <c r="H43098" s="612"/>
    </row>
    <row r="43099">
      <c r="B43099" s="612"/>
      <c r="H43099" s="612"/>
    </row>
    <row r="43100">
      <c r="B43100" s="612"/>
      <c r="H43100" s="612"/>
    </row>
    <row r="43101">
      <c r="B43101" s="612"/>
      <c r="H43101" s="612"/>
    </row>
    <row r="43102">
      <c r="B43102" s="612"/>
      <c r="H43102" s="612"/>
    </row>
    <row r="43103">
      <c r="B43103" s="612"/>
      <c r="H43103" s="612"/>
    </row>
    <row r="43104">
      <c r="B43104" s="612"/>
      <c r="H43104" s="612"/>
    </row>
    <row r="43105">
      <c r="B43105" s="612"/>
      <c r="H43105" s="612"/>
    </row>
    <row r="43106">
      <c r="B43106" s="612"/>
      <c r="H43106" s="612"/>
    </row>
    <row r="43107">
      <c r="B43107" s="612"/>
      <c r="H43107" s="612"/>
    </row>
    <row r="43108">
      <c r="B43108" s="612"/>
      <c r="H43108" s="612"/>
    </row>
    <row r="43109">
      <c r="B43109" s="612"/>
      <c r="H43109" s="612"/>
    </row>
    <row r="43110">
      <c r="B43110" s="612"/>
      <c r="H43110" s="612"/>
    </row>
    <row r="43111">
      <c r="B43111" s="612"/>
      <c r="H43111" s="612"/>
    </row>
    <row r="43112">
      <c r="B43112" s="612"/>
      <c r="H43112" s="612"/>
    </row>
    <row r="43113">
      <c r="B43113" s="612"/>
      <c r="H43113" s="612"/>
    </row>
    <row r="43114">
      <c r="B43114" s="612"/>
      <c r="H43114" s="612"/>
    </row>
    <row r="43115">
      <c r="B43115" s="612"/>
      <c r="H43115" s="612"/>
    </row>
    <row r="43116">
      <c r="B43116" s="612"/>
      <c r="H43116" s="612"/>
    </row>
    <row r="43117">
      <c r="B43117" s="612"/>
      <c r="H43117" s="612"/>
    </row>
    <row r="43118">
      <c r="B43118" s="612"/>
      <c r="H43118" s="612"/>
    </row>
    <row r="43119">
      <c r="B43119" s="612"/>
      <c r="H43119" s="612"/>
    </row>
    <row r="43120">
      <c r="B43120" s="612"/>
      <c r="H43120" s="612"/>
    </row>
    <row r="43121">
      <c r="B43121" s="612"/>
      <c r="H43121" s="612"/>
    </row>
    <row r="43122">
      <c r="B43122" s="612"/>
      <c r="H43122" s="612"/>
    </row>
    <row r="43123">
      <c r="B43123" s="612"/>
      <c r="H43123" s="612"/>
    </row>
    <row r="43124">
      <c r="B43124" s="612"/>
      <c r="H43124" s="612"/>
    </row>
    <row r="43125">
      <c r="B43125" s="612"/>
      <c r="H43125" s="612"/>
    </row>
    <row r="43126">
      <c r="B43126" s="612"/>
      <c r="H43126" s="612"/>
    </row>
    <row r="43127">
      <c r="B43127" s="612"/>
      <c r="H43127" s="612"/>
    </row>
    <row r="43128">
      <c r="B43128" s="612"/>
      <c r="H43128" s="612"/>
    </row>
    <row r="43129">
      <c r="B43129" s="612"/>
      <c r="H43129" s="612"/>
    </row>
    <row r="43130">
      <c r="B43130" s="612"/>
      <c r="H43130" s="612"/>
    </row>
    <row r="43131">
      <c r="B43131" s="612"/>
      <c r="H43131" s="612"/>
    </row>
    <row r="43132">
      <c r="B43132" s="612"/>
      <c r="H43132" s="612"/>
    </row>
    <row r="43133">
      <c r="B43133" s="612"/>
      <c r="H43133" s="612"/>
    </row>
    <row r="43134">
      <c r="B43134" s="612"/>
      <c r="H43134" s="612"/>
    </row>
    <row r="43135">
      <c r="B43135" s="612"/>
      <c r="H43135" s="612"/>
    </row>
    <row r="43136">
      <c r="B43136" s="612"/>
      <c r="H43136" s="612"/>
    </row>
    <row r="43137">
      <c r="B43137" s="612"/>
      <c r="H43137" s="612"/>
    </row>
    <row r="43138">
      <c r="B43138" s="612"/>
      <c r="H43138" s="612"/>
    </row>
    <row r="43139">
      <c r="B43139" s="612"/>
      <c r="H43139" s="612"/>
    </row>
    <row r="43140">
      <c r="B43140" s="612"/>
      <c r="H43140" s="612"/>
    </row>
    <row r="43141">
      <c r="B43141" s="612"/>
      <c r="H43141" s="612"/>
    </row>
    <row r="43142">
      <c r="B43142" s="612"/>
      <c r="H43142" s="612"/>
    </row>
    <row r="43143">
      <c r="B43143" s="612"/>
      <c r="H43143" s="612"/>
    </row>
    <row r="43144">
      <c r="B43144" s="612"/>
      <c r="H43144" s="612"/>
    </row>
    <row r="43145">
      <c r="B43145" s="612"/>
      <c r="H43145" s="612"/>
    </row>
    <row r="43146">
      <c r="B43146" s="612"/>
      <c r="H43146" s="612"/>
    </row>
    <row r="43147">
      <c r="B43147" s="612"/>
      <c r="H43147" s="612"/>
    </row>
    <row r="43148">
      <c r="B43148" s="612"/>
      <c r="H43148" s="612"/>
    </row>
    <row r="43149">
      <c r="B43149" s="612"/>
      <c r="H43149" s="612"/>
    </row>
    <row r="43150">
      <c r="B43150" s="612"/>
      <c r="H43150" s="612"/>
    </row>
    <row r="43151">
      <c r="B43151" s="612"/>
      <c r="H43151" s="612"/>
    </row>
    <row r="43152">
      <c r="B43152" s="612"/>
      <c r="H43152" s="612"/>
    </row>
    <row r="43153">
      <c r="B43153" s="612"/>
      <c r="H43153" s="612"/>
    </row>
    <row r="43154">
      <c r="B43154" s="612"/>
      <c r="H43154" s="612"/>
    </row>
    <row r="43155">
      <c r="B43155" s="612"/>
      <c r="H43155" s="612"/>
    </row>
    <row r="43156">
      <c r="B43156" s="612"/>
      <c r="H43156" s="612"/>
    </row>
    <row r="43157">
      <c r="B43157" s="612"/>
      <c r="H43157" s="612"/>
    </row>
    <row r="43158">
      <c r="B43158" s="612"/>
      <c r="H43158" s="612"/>
    </row>
    <row r="43159">
      <c r="B43159" s="612"/>
      <c r="H43159" s="612"/>
    </row>
    <row r="43160">
      <c r="B43160" s="612"/>
      <c r="H43160" s="612"/>
    </row>
    <row r="43161">
      <c r="B43161" s="612"/>
      <c r="H43161" s="612"/>
    </row>
    <row r="43162">
      <c r="B43162" s="612"/>
      <c r="H43162" s="612"/>
    </row>
    <row r="43163">
      <c r="B43163" s="612"/>
      <c r="H43163" s="612"/>
    </row>
    <row r="43164">
      <c r="B43164" s="612"/>
      <c r="H43164" s="612"/>
    </row>
    <row r="43165">
      <c r="B43165" s="612"/>
      <c r="H43165" s="612"/>
    </row>
    <row r="43166">
      <c r="B43166" s="612"/>
      <c r="H43166" s="612"/>
    </row>
    <row r="43167">
      <c r="B43167" s="612"/>
      <c r="H43167" s="612"/>
    </row>
    <row r="43168">
      <c r="B43168" s="612"/>
      <c r="H43168" s="612"/>
    </row>
    <row r="43169">
      <c r="B43169" s="612"/>
      <c r="H43169" s="612"/>
    </row>
    <row r="43170">
      <c r="B43170" s="612"/>
      <c r="H43170" s="612"/>
    </row>
    <row r="43171">
      <c r="B43171" s="612"/>
      <c r="H43171" s="612"/>
    </row>
    <row r="43172">
      <c r="B43172" s="612"/>
      <c r="H43172" s="612"/>
    </row>
    <row r="43173">
      <c r="B43173" s="612"/>
      <c r="H43173" s="612"/>
    </row>
    <row r="43174">
      <c r="B43174" s="612"/>
      <c r="H43174" s="612"/>
    </row>
    <row r="43175">
      <c r="B43175" s="612"/>
      <c r="H43175" s="612"/>
    </row>
    <row r="43176">
      <c r="B43176" s="612"/>
      <c r="H43176" s="612"/>
    </row>
    <row r="43177">
      <c r="B43177" s="612"/>
      <c r="H43177" s="612"/>
    </row>
    <row r="43178">
      <c r="B43178" s="612"/>
      <c r="H43178" s="612"/>
    </row>
    <row r="43179">
      <c r="B43179" s="612"/>
      <c r="H43179" s="612"/>
    </row>
    <row r="43180">
      <c r="B43180" s="612"/>
      <c r="H43180" s="612"/>
    </row>
    <row r="43181">
      <c r="B43181" s="612"/>
      <c r="H43181" s="612"/>
    </row>
    <row r="43182">
      <c r="B43182" s="612"/>
      <c r="H43182" s="612"/>
    </row>
    <row r="43183">
      <c r="B43183" s="612"/>
      <c r="H43183" s="612"/>
    </row>
    <row r="43184">
      <c r="B43184" s="612"/>
      <c r="H43184" s="612"/>
    </row>
    <row r="43185">
      <c r="B43185" s="612"/>
      <c r="H43185" s="612"/>
    </row>
    <row r="43186">
      <c r="B43186" s="612"/>
      <c r="H43186" s="612"/>
    </row>
    <row r="43187">
      <c r="B43187" s="612"/>
      <c r="H43187" s="612"/>
    </row>
    <row r="43188">
      <c r="B43188" s="612"/>
      <c r="H43188" s="612"/>
    </row>
    <row r="43189">
      <c r="B43189" s="612"/>
      <c r="H43189" s="612"/>
    </row>
    <row r="43190">
      <c r="B43190" s="612"/>
      <c r="H43190" s="612"/>
    </row>
    <row r="43191">
      <c r="B43191" s="612"/>
      <c r="H43191" s="612"/>
    </row>
    <row r="43192">
      <c r="B43192" s="612"/>
      <c r="H43192" s="612"/>
    </row>
    <row r="43193">
      <c r="B43193" s="612"/>
      <c r="H43193" s="612"/>
    </row>
    <row r="43194">
      <c r="B43194" s="612"/>
      <c r="H43194" s="612"/>
    </row>
    <row r="43195">
      <c r="B43195" s="612"/>
      <c r="H43195" s="612"/>
    </row>
    <row r="43196">
      <c r="B43196" s="612"/>
      <c r="H43196" s="612"/>
    </row>
    <row r="43197">
      <c r="B43197" s="612"/>
      <c r="H43197" s="612"/>
    </row>
    <row r="43198">
      <c r="B43198" s="612"/>
      <c r="H43198" s="612"/>
    </row>
    <row r="43199">
      <c r="B43199" s="612"/>
      <c r="H43199" s="612"/>
    </row>
    <row r="43200">
      <c r="B43200" s="612"/>
      <c r="H43200" s="612"/>
    </row>
    <row r="43201">
      <c r="B43201" s="612"/>
      <c r="H43201" s="612"/>
    </row>
    <row r="43202">
      <c r="B43202" s="612"/>
      <c r="H43202" s="612"/>
    </row>
    <row r="43203">
      <c r="B43203" s="612"/>
      <c r="H43203" s="612"/>
    </row>
    <row r="43204">
      <c r="B43204" s="612"/>
      <c r="H43204" s="612"/>
    </row>
    <row r="43205">
      <c r="B43205" s="612"/>
      <c r="H43205" s="612"/>
    </row>
    <row r="43206">
      <c r="B43206" s="612"/>
      <c r="H43206" s="612"/>
    </row>
    <row r="43207">
      <c r="B43207" s="612"/>
      <c r="H43207" s="612"/>
    </row>
    <row r="43208">
      <c r="B43208" s="612"/>
      <c r="H43208" s="612"/>
    </row>
    <row r="43209">
      <c r="B43209" s="612"/>
      <c r="H43209" s="612"/>
    </row>
    <row r="43210">
      <c r="B43210" s="612"/>
      <c r="H43210" s="612"/>
    </row>
    <row r="43211">
      <c r="B43211" s="612"/>
      <c r="H43211" s="612"/>
    </row>
    <row r="43212">
      <c r="B43212" s="612"/>
      <c r="H43212" s="612"/>
    </row>
    <row r="43213">
      <c r="B43213" s="612"/>
      <c r="H43213" s="612"/>
    </row>
    <row r="43214">
      <c r="B43214" s="612"/>
      <c r="H43214" s="612"/>
    </row>
    <row r="43215">
      <c r="B43215" s="612"/>
      <c r="H43215" s="612"/>
    </row>
    <row r="43216">
      <c r="B43216" s="612"/>
      <c r="H43216" s="612"/>
    </row>
    <row r="43217">
      <c r="B43217" s="612"/>
      <c r="H43217" s="612"/>
    </row>
    <row r="43218">
      <c r="B43218" s="612"/>
      <c r="H43218" s="612"/>
    </row>
    <row r="43219">
      <c r="B43219" s="612"/>
      <c r="H43219" s="612"/>
    </row>
    <row r="43220">
      <c r="B43220" s="612"/>
      <c r="H43220" s="612"/>
    </row>
    <row r="43221">
      <c r="B43221" s="612"/>
      <c r="H43221" s="612"/>
    </row>
    <row r="43222">
      <c r="B43222" s="612"/>
      <c r="H43222" s="612"/>
    </row>
    <row r="43223">
      <c r="B43223" s="612"/>
      <c r="H43223" s="612"/>
    </row>
    <row r="43224">
      <c r="B43224" s="612"/>
      <c r="H43224" s="612"/>
    </row>
    <row r="43225">
      <c r="B43225" s="612"/>
      <c r="H43225" s="612"/>
    </row>
    <row r="43226">
      <c r="B43226" s="612"/>
      <c r="H43226" s="612"/>
    </row>
    <row r="43227">
      <c r="B43227" s="612"/>
      <c r="H43227" s="612"/>
    </row>
    <row r="43228">
      <c r="B43228" s="612"/>
      <c r="H43228" s="612"/>
    </row>
    <row r="43229">
      <c r="B43229" s="612"/>
      <c r="H43229" s="612"/>
    </row>
    <row r="43230">
      <c r="B43230" s="612"/>
      <c r="H43230" s="612"/>
    </row>
    <row r="43231">
      <c r="B43231" s="612"/>
      <c r="H43231" s="612"/>
    </row>
    <row r="43232">
      <c r="B43232" s="612"/>
      <c r="H43232" s="612"/>
    </row>
    <row r="43233">
      <c r="B43233" s="612"/>
      <c r="H43233" s="612"/>
    </row>
    <row r="43234">
      <c r="B43234" s="612"/>
      <c r="H43234" s="612"/>
    </row>
    <row r="43235">
      <c r="B43235" s="612"/>
      <c r="H43235" s="612"/>
    </row>
    <row r="43236">
      <c r="B43236" s="612"/>
      <c r="H43236" s="612"/>
    </row>
    <row r="43237">
      <c r="B43237" s="612"/>
      <c r="H43237" s="612"/>
    </row>
    <row r="43238">
      <c r="B43238" s="612"/>
      <c r="H43238" s="612"/>
    </row>
    <row r="43239">
      <c r="B43239" s="612"/>
      <c r="H43239" s="612"/>
    </row>
    <row r="43240">
      <c r="B43240" s="612"/>
      <c r="H43240" s="612"/>
    </row>
    <row r="43241">
      <c r="B43241" s="612"/>
      <c r="H43241" s="612"/>
    </row>
    <row r="43242">
      <c r="B43242" s="612"/>
      <c r="H43242" s="612"/>
    </row>
    <row r="43243">
      <c r="B43243" s="612"/>
      <c r="H43243" s="612"/>
    </row>
    <row r="43244">
      <c r="B43244" s="612"/>
      <c r="H43244" s="612"/>
    </row>
    <row r="43245">
      <c r="B43245" s="612"/>
      <c r="H43245" s="612"/>
    </row>
    <row r="43246">
      <c r="B43246" s="612"/>
      <c r="H43246" s="612"/>
    </row>
    <row r="43247">
      <c r="B43247" s="612"/>
      <c r="H43247" s="612"/>
    </row>
    <row r="43248">
      <c r="B43248" s="612"/>
      <c r="H43248" s="612"/>
    </row>
    <row r="43249">
      <c r="B43249" s="612"/>
      <c r="H43249" s="612"/>
    </row>
    <row r="43250">
      <c r="B43250" s="612"/>
      <c r="H43250" s="612"/>
    </row>
    <row r="43251">
      <c r="B43251" s="612"/>
      <c r="H43251" s="612"/>
    </row>
    <row r="43252">
      <c r="B43252" s="612"/>
      <c r="H43252" s="612"/>
    </row>
    <row r="43253">
      <c r="B43253" s="612"/>
      <c r="H43253" s="612"/>
    </row>
    <row r="43254">
      <c r="B43254" s="612"/>
      <c r="H43254" s="612"/>
    </row>
    <row r="43255">
      <c r="B43255" s="612"/>
      <c r="H43255" s="612"/>
    </row>
    <row r="43256">
      <c r="B43256" s="612"/>
      <c r="H43256" s="612"/>
    </row>
    <row r="43257">
      <c r="B43257" s="612"/>
      <c r="H43257" s="612"/>
    </row>
    <row r="43258">
      <c r="B43258" s="612"/>
      <c r="H43258" s="612"/>
    </row>
    <row r="43259">
      <c r="B43259" s="612"/>
      <c r="H43259" s="612"/>
    </row>
    <row r="43260">
      <c r="B43260" s="612"/>
      <c r="H43260" s="612"/>
    </row>
    <row r="43261">
      <c r="B43261" s="612"/>
      <c r="H43261" s="612"/>
    </row>
    <row r="43262">
      <c r="B43262" s="612"/>
      <c r="H43262" s="612"/>
    </row>
    <row r="43263">
      <c r="B43263" s="612"/>
      <c r="H43263" s="612"/>
    </row>
    <row r="43264">
      <c r="B43264" s="612"/>
      <c r="H43264" s="612"/>
    </row>
    <row r="43265">
      <c r="B43265" s="612"/>
      <c r="H43265" s="612"/>
    </row>
    <row r="43266">
      <c r="B43266" s="612"/>
      <c r="H43266" s="612"/>
    </row>
    <row r="43267">
      <c r="B43267" s="612"/>
      <c r="H43267" s="612"/>
    </row>
    <row r="43268">
      <c r="B43268" s="612"/>
      <c r="H43268" s="612"/>
    </row>
    <row r="43269">
      <c r="B43269" s="612"/>
      <c r="H43269" s="612"/>
    </row>
    <row r="43270">
      <c r="B43270" s="612"/>
      <c r="H43270" s="612"/>
    </row>
    <row r="43271">
      <c r="B43271" s="612"/>
      <c r="H43271" s="612"/>
    </row>
    <row r="43272">
      <c r="B43272" s="612"/>
      <c r="H43272" s="612"/>
    </row>
    <row r="43273">
      <c r="B43273" s="612"/>
      <c r="H43273" s="612"/>
    </row>
    <row r="43274">
      <c r="B43274" s="612"/>
      <c r="H43274" s="612"/>
    </row>
    <row r="43275">
      <c r="B43275" s="612"/>
      <c r="H43275" s="612"/>
    </row>
    <row r="43276">
      <c r="B43276" s="612"/>
      <c r="H43276" s="612"/>
    </row>
    <row r="43277">
      <c r="B43277" s="612"/>
      <c r="H43277" s="612"/>
    </row>
    <row r="43278">
      <c r="B43278" s="612"/>
      <c r="H43278" s="612"/>
    </row>
    <row r="43279">
      <c r="B43279" s="612"/>
      <c r="H43279" s="612"/>
    </row>
    <row r="43280">
      <c r="B43280" s="612"/>
      <c r="H43280" s="612"/>
    </row>
    <row r="43281">
      <c r="B43281" s="612"/>
      <c r="H43281" s="612"/>
    </row>
    <row r="43282">
      <c r="B43282" s="612"/>
      <c r="H43282" s="612"/>
    </row>
    <row r="43283">
      <c r="B43283" s="612"/>
      <c r="H43283" s="612"/>
    </row>
    <row r="43284">
      <c r="B43284" s="612"/>
      <c r="H43284" s="612"/>
    </row>
    <row r="43285">
      <c r="B43285" s="612"/>
      <c r="H43285" s="612"/>
    </row>
    <row r="43286">
      <c r="B43286" s="612"/>
      <c r="H43286" s="612"/>
    </row>
    <row r="43287">
      <c r="B43287" s="612"/>
      <c r="H43287" s="612"/>
    </row>
    <row r="43288">
      <c r="B43288" s="612"/>
      <c r="H43288" s="612"/>
    </row>
    <row r="43289">
      <c r="B43289" s="612"/>
      <c r="H43289" s="612"/>
    </row>
    <row r="43290">
      <c r="B43290" s="612"/>
      <c r="H43290" s="612"/>
    </row>
    <row r="43291">
      <c r="B43291" s="612"/>
      <c r="H43291" s="612"/>
    </row>
    <row r="43292">
      <c r="B43292" s="612"/>
      <c r="H43292" s="612"/>
    </row>
    <row r="43293">
      <c r="B43293" s="612"/>
      <c r="H43293" s="612"/>
    </row>
    <row r="43294">
      <c r="B43294" s="612"/>
      <c r="H43294" s="612"/>
    </row>
    <row r="43295">
      <c r="B43295" s="612"/>
      <c r="H43295" s="612"/>
    </row>
    <row r="43296">
      <c r="B43296" s="612"/>
      <c r="H43296" s="612"/>
    </row>
    <row r="43297">
      <c r="B43297" s="612"/>
      <c r="H43297" s="612"/>
    </row>
    <row r="43298">
      <c r="B43298" s="612"/>
      <c r="H43298" s="612"/>
    </row>
    <row r="43299">
      <c r="B43299" s="612"/>
      <c r="H43299" s="612"/>
    </row>
    <row r="43300">
      <c r="B43300" s="612"/>
      <c r="H43300" s="612"/>
    </row>
    <row r="43301">
      <c r="B43301" s="612"/>
      <c r="H43301" s="612"/>
    </row>
    <row r="43302">
      <c r="B43302" s="612"/>
      <c r="H43302" s="612"/>
    </row>
    <row r="43303">
      <c r="B43303" s="612"/>
      <c r="H43303" s="612"/>
    </row>
    <row r="43304">
      <c r="B43304" s="612"/>
      <c r="H43304" s="612"/>
    </row>
    <row r="43305">
      <c r="B43305" s="612"/>
      <c r="H43305" s="612"/>
    </row>
    <row r="43306">
      <c r="B43306" s="612"/>
      <c r="H43306" s="612"/>
    </row>
    <row r="43307">
      <c r="B43307" s="612"/>
      <c r="H43307" s="612"/>
    </row>
    <row r="43308">
      <c r="B43308" s="612"/>
      <c r="H43308" s="612"/>
    </row>
    <row r="43309">
      <c r="B43309" s="612"/>
      <c r="H43309" s="612"/>
    </row>
    <row r="43310">
      <c r="B43310" s="612"/>
      <c r="H43310" s="612"/>
    </row>
    <row r="43311">
      <c r="B43311" s="612"/>
      <c r="H43311" s="612"/>
    </row>
    <row r="43312">
      <c r="B43312" s="612"/>
      <c r="H43312" s="612"/>
    </row>
    <row r="43313">
      <c r="B43313" s="612"/>
      <c r="H43313" s="612"/>
    </row>
    <row r="43314">
      <c r="B43314" s="612"/>
      <c r="H43314" s="612"/>
    </row>
    <row r="43315">
      <c r="B43315" s="612"/>
      <c r="H43315" s="612"/>
    </row>
    <row r="43316">
      <c r="B43316" s="612"/>
      <c r="H43316" s="612"/>
    </row>
    <row r="43317">
      <c r="B43317" s="612"/>
      <c r="H43317" s="612"/>
    </row>
    <row r="43318">
      <c r="B43318" s="612"/>
      <c r="H43318" s="612"/>
    </row>
    <row r="43319">
      <c r="B43319" s="612"/>
      <c r="H43319" s="612"/>
    </row>
    <row r="43320">
      <c r="B43320" s="612"/>
      <c r="H43320" s="612"/>
    </row>
    <row r="43321">
      <c r="B43321" s="612"/>
      <c r="H43321" s="612"/>
    </row>
    <row r="43322">
      <c r="B43322" s="612"/>
      <c r="H43322" s="612"/>
    </row>
    <row r="43323">
      <c r="B43323" s="612"/>
      <c r="H43323" s="612"/>
    </row>
    <row r="43324">
      <c r="B43324" s="612"/>
      <c r="H43324" s="612"/>
    </row>
    <row r="43325">
      <c r="B43325" s="612"/>
      <c r="H43325" s="612"/>
    </row>
    <row r="43326">
      <c r="B43326" s="612"/>
      <c r="H43326" s="612"/>
    </row>
    <row r="43327">
      <c r="B43327" s="612"/>
      <c r="H43327" s="612"/>
    </row>
    <row r="43328">
      <c r="B43328" s="612"/>
      <c r="H43328" s="612"/>
    </row>
    <row r="43329">
      <c r="B43329" s="612"/>
      <c r="H43329" s="612"/>
    </row>
    <row r="43330">
      <c r="B43330" s="612"/>
      <c r="H43330" s="612"/>
    </row>
    <row r="43331">
      <c r="B43331" s="612"/>
      <c r="H43331" s="612"/>
    </row>
    <row r="43332">
      <c r="B43332" s="612"/>
      <c r="H43332" s="612"/>
    </row>
    <row r="43333">
      <c r="B43333" s="612"/>
      <c r="H43333" s="612"/>
    </row>
    <row r="43334">
      <c r="B43334" s="612"/>
      <c r="H43334" s="612"/>
    </row>
    <row r="43335">
      <c r="B43335" s="612"/>
      <c r="H43335" s="612"/>
    </row>
    <row r="43336">
      <c r="B43336" s="612"/>
      <c r="H43336" s="612"/>
    </row>
    <row r="43337">
      <c r="B43337" s="612"/>
      <c r="H43337" s="612"/>
    </row>
    <row r="43338">
      <c r="B43338" s="612"/>
      <c r="H43338" s="612"/>
    </row>
    <row r="43339">
      <c r="B43339" s="612"/>
      <c r="H43339" s="612"/>
    </row>
    <row r="43340">
      <c r="B43340" s="612"/>
      <c r="H43340" s="612"/>
    </row>
    <row r="43341">
      <c r="B43341" s="612"/>
      <c r="H43341" s="612"/>
    </row>
    <row r="43342">
      <c r="B43342" s="612"/>
      <c r="H43342" s="612"/>
    </row>
    <row r="43343">
      <c r="B43343" s="612"/>
      <c r="H43343" s="612"/>
    </row>
    <row r="43344">
      <c r="B43344" s="612"/>
      <c r="H43344" s="612"/>
    </row>
    <row r="43345">
      <c r="B43345" s="612"/>
      <c r="H43345" s="612"/>
    </row>
    <row r="43346">
      <c r="B43346" s="612"/>
      <c r="H43346" s="612"/>
    </row>
    <row r="43347">
      <c r="B43347" s="612"/>
      <c r="H43347" s="612"/>
    </row>
    <row r="43348">
      <c r="B43348" s="612"/>
      <c r="H43348" s="612"/>
    </row>
    <row r="43349">
      <c r="B43349" s="612"/>
      <c r="H43349" s="612"/>
    </row>
    <row r="43350">
      <c r="B43350" s="612"/>
      <c r="H43350" s="612"/>
    </row>
    <row r="43351">
      <c r="B43351" s="612"/>
      <c r="H43351" s="612"/>
    </row>
    <row r="43352">
      <c r="B43352" s="612"/>
      <c r="H43352" s="612"/>
    </row>
    <row r="43353">
      <c r="B43353" s="612"/>
      <c r="H43353" s="612"/>
    </row>
    <row r="43354">
      <c r="B43354" s="612"/>
      <c r="H43354" s="612"/>
    </row>
    <row r="43355">
      <c r="B43355" s="612"/>
      <c r="H43355" s="612"/>
    </row>
    <row r="43356">
      <c r="B43356" s="612"/>
      <c r="H43356" s="612"/>
    </row>
    <row r="43357">
      <c r="B43357" s="612"/>
      <c r="H43357" s="612"/>
    </row>
    <row r="43358">
      <c r="B43358" s="612"/>
      <c r="H43358" s="612"/>
    </row>
    <row r="43359">
      <c r="B43359" s="612"/>
      <c r="H43359" s="612"/>
    </row>
    <row r="43360">
      <c r="B43360" s="612"/>
      <c r="H43360" s="612"/>
    </row>
    <row r="43361">
      <c r="B43361" s="612"/>
      <c r="H43361" s="612"/>
    </row>
    <row r="43362">
      <c r="B43362" s="612"/>
      <c r="H43362" s="612"/>
    </row>
    <row r="43363">
      <c r="B43363" s="612"/>
      <c r="H43363" s="612"/>
    </row>
    <row r="43364">
      <c r="B43364" s="612"/>
      <c r="H43364" s="612"/>
    </row>
    <row r="43365">
      <c r="B43365" s="612"/>
      <c r="H43365" s="612"/>
    </row>
    <row r="43366">
      <c r="B43366" s="612"/>
      <c r="H43366" s="612"/>
    </row>
    <row r="43367">
      <c r="B43367" s="612"/>
      <c r="H43367" s="612"/>
    </row>
    <row r="43368">
      <c r="B43368" s="612"/>
      <c r="H43368" s="612"/>
    </row>
    <row r="43369">
      <c r="B43369" s="612"/>
      <c r="H43369" s="612"/>
    </row>
    <row r="43370">
      <c r="B43370" s="612"/>
      <c r="H43370" s="612"/>
    </row>
    <row r="43371">
      <c r="B43371" s="612"/>
      <c r="H43371" s="612"/>
    </row>
    <row r="43372">
      <c r="B43372" s="612"/>
      <c r="H43372" s="612"/>
    </row>
    <row r="43373">
      <c r="B43373" s="612"/>
      <c r="H43373" s="612"/>
    </row>
    <row r="43374">
      <c r="B43374" s="612"/>
      <c r="H43374" s="612"/>
    </row>
    <row r="43375">
      <c r="B43375" s="612"/>
      <c r="H43375" s="612"/>
    </row>
    <row r="43376">
      <c r="B43376" s="612"/>
      <c r="H43376" s="612"/>
    </row>
    <row r="43377">
      <c r="B43377" s="612"/>
      <c r="H43377" s="612"/>
    </row>
    <row r="43378">
      <c r="B43378" s="612"/>
      <c r="H43378" s="612"/>
    </row>
    <row r="43379">
      <c r="B43379" s="612"/>
      <c r="H43379" s="612"/>
    </row>
    <row r="43380">
      <c r="B43380" s="612"/>
      <c r="H43380" s="612"/>
    </row>
    <row r="43381">
      <c r="B43381" s="612"/>
      <c r="H43381" s="612"/>
    </row>
    <row r="43382">
      <c r="B43382" s="612"/>
      <c r="H43382" s="612"/>
    </row>
    <row r="43383">
      <c r="B43383" s="612"/>
      <c r="H43383" s="612"/>
    </row>
    <row r="43384">
      <c r="B43384" s="612"/>
      <c r="H43384" s="612"/>
    </row>
    <row r="43385">
      <c r="B43385" s="612"/>
      <c r="H43385" s="612"/>
    </row>
    <row r="43386">
      <c r="B43386" s="612"/>
      <c r="H43386" s="612"/>
    </row>
    <row r="43387">
      <c r="B43387" s="612"/>
      <c r="H43387" s="612"/>
    </row>
    <row r="43388">
      <c r="B43388" s="612"/>
      <c r="H43388" s="612"/>
    </row>
    <row r="43389">
      <c r="B43389" s="612"/>
      <c r="H43389" s="612"/>
    </row>
    <row r="43390">
      <c r="B43390" s="612"/>
      <c r="H43390" s="612"/>
    </row>
    <row r="43391">
      <c r="B43391" s="612"/>
      <c r="H43391" s="612"/>
    </row>
    <row r="43392">
      <c r="B43392" s="612"/>
      <c r="H43392" s="612"/>
    </row>
    <row r="43393">
      <c r="B43393" s="612"/>
      <c r="H43393" s="612"/>
    </row>
    <row r="43394">
      <c r="B43394" s="612"/>
      <c r="H43394" s="612"/>
    </row>
    <row r="43395">
      <c r="B43395" s="612"/>
      <c r="H43395" s="612"/>
    </row>
    <row r="43396">
      <c r="B43396" s="612"/>
      <c r="H43396" s="612"/>
    </row>
    <row r="43397">
      <c r="B43397" s="612"/>
      <c r="H43397" s="612"/>
    </row>
    <row r="43398">
      <c r="B43398" s="612"/>
      <c r="H43398" s="612"/>
    </row>
    <row r="43399">
      <c r="B43399" s="612"/>
      <c r="H43399" s="612"/>
    </row>
    <row r="43400">
      <c r="B43400" s="612"/>
      <c r="H43400" s="612"/>
    </row>
    <row r="43401">
      <c r="B43401" s="612"/>
      <c r="H43401" s="612"/>
    </row>
    <row r="43402">
      <c r="B43402" s="612"/>
      <c r="H43402" s="612"/>
    </row>
    <row r="43403">
      <c r="B43403" s="612"/>
      <c r="H43403" s="612"/>
    </row>
    <row r="43404">
      <c r="B43404" s="612"/>
      <c r="H43404" s="612"/>
    </row>
    <row r="43405">
      <c r="B43405" s="612"/>
      <c r="H43405" s="612"/>
    </row>
    <row r="43406">
      <c r="B43406" s="612"/>
      <c r="H43406" s="612"/>
    </row>
    <row r="43407">
      <c r="B43407" s="612"/>
      <c r="H43407" s="612"/>
    </row>
    <row r="43408">
      <c r="B43408" s="612"/>
      <c r="H43408" s="612"/>
    </row>
    <row r="43409">
      <c r="B43409" s="612"/>
      <c r="H43409" s="612"/>
    </row>
    <row r="43410">
      <c r="B43410" s="612"/>
      <c r="H43410" s="612"/>
    </row>
    <row r="43411">
      <c r="B43411" s="612"/>
      <c r="H43411" s="612"/>
    </row>
    <row r="43412">
      <c r="B43412" s="612"/>
      <c r="H43412" s="612"/>
    </row>
    <row r="43413">
      <c r="B43413" s="612"/>
      <c r="H43413" s="612"/>
    </row>
    <row r="43414">
      <c r="B43414" s="612"/>
      <c r="H43414" s="612"/>
    </row>
    <row r="43415">
      <c r="B43415" s="612"/>
      <c r="H43415" s="612"/>
    </row>
    <row r="43416">
      <c r="B43416" s="612"/>
      <c r="H43416" s="612"/>
    </row>
    <row r="43417">
      <c r="B43417" s="612"/>
      <c r="H43417" s="612"/>
    </row>
    <row r="43418">
      <c r="B43418" s="612"/>
      <c r="H43418" s="612"/>
    </row>
    <row r="43419">
      <c r="B43419" s="612"/>
      <c r="H43419" s="612"/>
    </row>
    <row r="43420">
      <c r="B43420" s="612"/>
      <c r="H43420" s="612"/>
    </row>
    <row r="43421">
      <c r="B43421" s="612"/>
      <c r="H43421" s="612"/>
    </row>
    <row r="43422">
      <c r="B43422" s="612"/>
      <c r="H43422" s="612"/>
    </row>
    <row r="43423">
      <c r="B43423" s="612"/>
      <c r="H43423" s="612"/>
    </row>
    <row r="43424">
      <c r="B43424" s="612"/>
      <c r="H43424" s="612"/>
    </row>
    <row r="43425">
      <c r="B43425" s="612"/>
      <c r="H43425" s="612"/>
    </row>
    <row r="43426">
      <c r="B43426" s="612"/>
      <c r="H43426" s="612"/>
    </row>
    <row r="43427">
      <c r="B43427" s="612"/>
      <c r="H43427" s="612"/>
    </row>
    <row r="43428">
      <c r="B43428" s="612"/>
      <c r="H43428" s="612"/>
    </row>
    <row r="43429">
      <c r="B43429" s="612"/>
      <c r="H43429" s="612"/>
    </row>
    <row r="43430">
      <c r="B43430" s="612"/>
      <c r="H43430" s="612"/>
    </row>
    <row r="43431">
      <c r="B43431" s="612"/>
      <c r="H43431" s="612"/>
    </row>
    <row r="43432">
      <c r="B43432" s="612"/>
      <c r="H43432" s="612"/>
    </row>
    <row r="43433">
      <c r="B43433" s="612"/>
      <c r="H43433" s="612"/>
    </row>
    <row r="43434">
      <c r="B43434" s="612"/>
      <c r="H43434" s="612"/>
    </row>
    <row r="43435">
      <c r="B43435" s="612"/>
      <c r="H43435" s="612"/>
    </row>
    <row r="43436">
      <c r="B43436" s="612"/>
      <c r="H43436" s="612"/>
    </row>
    <row r="43437">
      <c r="B43437" s="612"/>
      <c r="H43437" s="612"/>
    </row>
    <row r="43438">
      <c r="B43438" s="612"/>
      <c r="H43438" s="612"/>
    </row>
    <row r="43439">
      <c r="B43439" s="612"/>
      <c r="H43439" s="612"/>
    </row>
    <row r="43440">
      <c r="B43440" s="612"/>
      <c r="H43440" s="612"/>
    </row>
    <row r="43441">
      <c r="B43441" s="612"/>
      <c r="H43441" s="612"/>
    </row>
    <row r="43442">
      <c r="B43442" s="612"/>
      <c r="H43442" s="612"/>
    </row>
    <row r="43443">
      <c r="B43443" s="612"/>
      <c r="H43443" s="612"/>
    </row>
    <row r="43444">
      <c r="B43444" s="612"/>
      <c r="H43444" s="612"/>
    </row>
    <row r="43445">
      <c r="B43445" s="612"/>
      <c r="H43445" s="612"/>
    </row>
    <row r="43446">
      <c r="B43446" s="612"/>
      <c r="H43446" s="612"/>
    </row>
    <row r="43447">
      <c r="B43447" s="612"/>
      <c r="H43447" s="612"/>
    </row>
    <row r="43448">
      <c r="B43448" s="612"/>
      <c r="H43448" s="612"/>
    </row>
    <row r="43449">
      <c r="B43449" s="612"/>
      <c r="H43449" s="612"/>
    </row>
    <row r="43450">
      <c r="B43450" s="612"/>
      <c r="H43450" s="612"/>
    </row>
    <row r="43451">
      <c r="B43451" s="612"/>
      <c r="H43451" s="612"/>
    </row>
    <row r="43452">
      <c r="B43452" s="612"/>
      <c r="H43452" s="612"/>
    </row>
    <row r="43453">
      <c r="B43453" s="612"/>
      <c r="H43453" s="612"/>
    </row>
    <row r="43454">
      <c r="B43454" s="612"/>
      <c r="H43454" s="612"/>
    </row>
    <row r="43455">
      <c r="B43455" s="612"/>
      <c r="H43455" s="612"/>
    </row>
    <row r="43456">
      <c r="B43456" s="612"/>
      <c r="H43456" s="612"/>
    </row>
    <row r="43457">
      <c r="B43457" s="612"/>
      <c r="H43457" s="612"/>
    </row>
    <row r="43458">
      <c r="B43458" s="612"/>
      <c r="H43458" s="612"/>
    </row>
    <row r="43459">
      <c r="B43459" s="612"/>
      <c r="H43459" s="612"/>
    </row>
    <row r="43460">
      <c r="B43460" s="612"/>
      <c r="H43460" s="612"/>
    </row>
    <row r="43461">
      <c r="B43461" s="612"/>
      <c r="H43461" s="612"/>
    </row>
    <row r="43462">
      <c r="B43462" s="612"/>
      <c r="H43462" s="612"/>
    </row>
    <row r="43463">
      <c r="B43463" s="612"/>
      <c r="H43463" s="612"/>
    </row>
    <row r="43464">
      <c r="B43464" s="612"/>
      <c r="H43464" s="612"/>
    </row>
    <row r="43465">
      <c r="B43465" s="612"/>
      <c r="H43465" s="612"/>
    </row>
    <row r="43466">
      <c r="B43466" s="612"/>
      <c r="H43466" s="612"/>
    </row>
    <row r="43467">
      <c r="B43467" s="612"/>
      <c r="H43467" s="612"/>
    </row>
    <row r="43468">
      <c r="B43468" s="612"/>
      <c r="H43468" s="612"/>
    </row>
    <row r="43469">
      <c r="B43469" s="612"/>
      <c r="H43469" s="612"/>
    </row>
    <row r="43470">
      <c r="B43470" s="612"/>
      <c r="H43470" s="612"/>
    </row>
    <row r="43471">
      <c r="B43471" s="612"/>
      <c r="H43471" s="612"/>
    </row>
    <row r="43472">
      <c r="B43472" s="612"/>
      <c r="H43472" s="612"/>
    </row>
    <row r="43473">
      <c r="B43473" s="612"/>
      <c r="H43473" s="612"/>
    </row>
    <row r="43474">
      <c r="B43474" s="612"/>
      <c r="H43474" s="612"/>
    </row>
    <row r="43475">
      <c r="B43475" s="612"/>
      <c r="H43475" s="612"/>
    </row>
    <row r="43476">
      <c r="B43476" s="612"/>
      <c r="H43476" s="612"/>
    </row>
    <row r="43477">
      <c r="B43477" s="612"/>
      <c r="H43477" s="612"/>
    </row>
    <row r="43478">
      <c r="B43478" s="612"/>
      <c r="H43478" s="612"/>
    </row>
    <row r="43479">
      <c r="B43479" s="612"/>
      <c r="H43479" s="612"/>
    </row>
    <row r="43480">
      <c r="B43480" s="612"/>
      <c r="H43480" s="612"/>
    </row>
    <row r="43481">
      <c r="B43481" s="612"/>
      <c r="H43481" s="612"/>
    </row>
    <row r="43482">
      <c r="B43482" s="612"/>
      <c r="H43482" s="612"/>
    </row>
    <row r="43483">
      <c r="B43483" s="612"/>
      <c r="H43483" s="612"/>
    </row>
    <row r="43484">
      <c r="B43484" s="612"/>
      <c r="H43484" s="612"/>
    </row>
    <row r="43485">
      <c r="B43485" s="612"/>
      <c r="H43485" s="612"/>
    </row>
    <row r="43486">
      <c r="B43486" s="612"/>
      <c r="H43486" s="612"/>
    </row>
    <row r="43487">
      <c r="B43487" s="612"/>
      <c r="H43487" s="612"/>
    </row>
    <row r="43488">
      <c r="B43488" s="612"/>
      <c r="H43488" s="612"/>
    </row>
    <row r="43489">
      <c r="B43489" s="612"/>
      <c r="H43489" s="612"/>
    </row>
    <row r="43490">
      <c r="B43490" s="612"/>
      <c r="H43490" s="612"/>
    </row>
    <row r="43491">
      <c r="B43491" s="612"/>
      <c r="H43491" s="612"/>
    </row>
    <row r="43492">
      <c r="B43492" s="612"/>
      <c r="H43492" s="612"/>
    </row>
    <row r="43493">
      <c r="B43493" s="612"/>
      <c r="H43493" s="612"/>
    </row>
    <row r="43494">
      <c r="B43494" s="612"/>
      <c r="H43494" s="612"/>
    </row>
    <row r="43495">
      <c r="B43495" s="612"/>
      <c r="H43495" s="612"/>
    </row>
    <row r="43496">
      <c r="B43496" s="612"/>
      <c r="H43496" s="612"/>
    </row>
    <row r="43497">
      <c r="B43497" s="612"/>
      <c r="H43497" s="612"/>
    </row>
    <row r="43498">
      <c r="B43498" s="612"/>
      <c r="H43498" s="612"/>
    </row>
    <row r="43499">
      <c r="B43499" s="612"/>
      <c r="H43499" s="612"/>
    </row>
    <row r="43500">
      <c r="B43500" s="612"/>
      <c r="H43500" s="612"/>
    </row>
    <row r="43501">
      <c r="B43501" s="612"/>
      <c r="H43501" s="612"/>
    </row>
    <row r="43502">
      <c r="B43502" s="612"/>
      <c r="H43502" s="612"/>
    </row>
    <row r="43503">
      <c r="B43503" s="612"/>
      <c r="H43503" s="612"/>
    </row>
    <row r="43504">
      <c r="B43504" s="612"/>
      <c r="H43504" s="612"/>
    </row>
    <row r="43505">
      <c r="B43505" s="612"/>
      <c r="H43505" s="612"/>
    </row>
    <row r="43506">
      <c r="B43506" s="612"/>
      <c r="H43506" s="612"/>
    </row>
    <row r="43507">
      <c r="B43507" s="612"/>
      <c r="H43507" s="612"/>
    </row>
    <row r="43508">
      <c r="B43508" s="612"/>
      <c r="H43508" s="612"/>
    </row>
    <row r="43509">
      <c r="B43509" s="612"/>
      <c r="H43509" s="612"/>
    </row>
    <row r="43510">
      <c r="B43510" s="612"/>
      <c r="H43510" s="612"/>
    </row>
    <row r="43511">
      <c r="B43511" s="612"/>
      <c r="H43511" s="612"/>
    </row>
    <row r="43512">
      <c r="B43512" s="612"/>
      <c r="H43512" s="612"/>
    </row>
    <row r="43513">
      <c r="B43513" s="612"/>
      <c r="H43513" s="612"/>
    </row>
    <row r="43514">
      <c r="B43514" s="612"/>
      <c r="H43514" s="612"/>
    </row>
    <row r="43515">
      <c r="B43515" s="612"/>
      <c r="H43515" s="612"/>
    </row>
    <row r="43516">
      <c r="B43516" s="612"/>
      <c r="H43516" s="612"/>
    </row>
    <row r="43517">
      <c r="B43517" s="612"/>
      <c r="H43517" s="612"/>
    </row>
    <row r="43518">
      <c r="B43518" s="612"/>
      <c r="H43518" s="612"/>
    </row>
    <row r="43519">
      <c r="B43519" s="612"/>
      <c r="H43519" s="612"/>
    </row>
    <row r="43520">
      <c r="B43520" s="612"/>
      <c r="H43520" s="612"/>
    </row>
    <row r="43521">
      <c r="B43521" s="612"/>
      <c r="H43521" s="612"/>
    </row>
    <row r="43522">
      <c r="B43522" s="612"/>
      <c r="H43522" s="612"/>
    </row>
    <row r="43523">
      <c r="B43523" s="612"/>
      <c r="H43523" s="612"/>
    </row>
    <row r="43524">
      <c r="B43524" s="612"/>
      <c r="H43524" s="612"/>
    </row>
    <row r="43525">
      <c r="B43525" s="612"/>
      <c r="H43525" s="612"/>
    </row>
    <row r="43526">
      <c r="B43526" s="612"/>
      <c r="H43526" s="612"/>
    </row>
    <row r="43527">
      <c r="B43527" s="612"/>
      <c r="H43527" s="612"/>
    </row>
    <row r="43528">
      <c r="B43528" s="612"/>
      <c r="H43528" s="612"/>
    </row>
    <row r="43529">
      <c r="B43529" s="612"/>
      <c r="H43529" s="612"/>
    </row>
    <row r="43530">
      <c r="B43530" s="612"/>
      <c r="H43530" s="612"/>
    </row>
    <row r="43531">
      <c r="B43531" s="612"/>
      <c r="H43531" s="612"/>
    </row>
    <row r="43532">
      <c r="B43532" s="612"/>
      <c r="H43532" s="612"/>
    </row>
    <row r="43533">
      <c r="B43533" s="612"/>
      <c r="H43533" s="612"/>
    </row>
    <row r="43534">
      <c r="B43534" s="612"/>
      <c r="H43534" s="612"/>
    </row>
    <row r="43535">
      <c r="B43535" s="612"/>
      <c r="H43535" s="612"/>
    </row>
    <row r="43536">
      <c r="B43536" s="612"/>
      <c r="H43536" s="612"/>
    </row>
    <row r="43537">
      <c r="B43537" s="612"/>
      <c r="H43537" s="612"/>
    </row>
    <row r="43538">
      <c r="B43538" s="612"/>
      <c r="H43538" s="612"/>
    </row>
    <row r="43539">
      <c r="B43539" s="612"/>
      <c r="H43539" s="612"/>
    </row>
    <row r="43540">
      <c r="B43540" s="612"/>
      <c r="H43540" s="612"/>
    </row>
    <row r="43541">
      <c r="B43541" s="612"/>
      <c r="H43541" s="612"/>
    </row>
    <row r="43542">
      <c r="B43542" s="612"/>
      <c r="H43542" s="612"/>
    </row>
    <row r="43543">
      <c r="B43543" s="612"/>
      <c r="H43543" s="612"/>
    </row>
    <row r="43544">
      <c r="B43544" s="612"/>
      <c r="H43544" s="612"/>
    </row>
    <row r="43545">
      <c r="B43545" s="612"/>
      <c r="H43545" s="612"/>
    </row>
    <row r="43546">
      <c r="B43546" s="612"/>
      <c r="H43546" s="612"/>
    </row>
    <row r="43547">
      <c r="B43547" s="612"/>
      <c r="H43547" s="612"/>
    </row>
    <row r="43548">
      <c r="B43548" s="612"/>
      <c r="H43548" s="612"/>
    </row>
    <row r="43549">
      <c r="B43549" s="612"/>
      <c r="H43549" s="612"/>
    </row>
    <row r="43550">
      <c r="B43550" s="612"/>
      <c r="H43550" s="612"/>
    </row>
    <row r="43551">
      <c r="B43551" s="612"/>
      <c r="H43551" s="612"/>
    </row>
    <row r="43552">
      <c r="B43552" s="612"/>
      <c r="H43552" s="612"/>
    </row>
    <row r="43553">
      <c r="B43553" s="612"/>
      <c r="H43553" s="612"/>
    </row>
    <row r="43554">
      <c r="B43554" s="612"/>
      <c r="H43554" s="612"/>
    </row>
    <row r="43555">
      <c r="B43555" s="612"/>
      <c r="H43555" s="612"/>
    </row>
    <row r="43556">
      <c r="B43556" s="612"/>
      <c r="H43556" s="612"/>
    </row>
    <row r="43557">
      <c r="B43557" s="612"/>
      <c r="H43557" s="612"/>
    </row>
    <row r="43558">
      <c r="B43558" s="612"/>
      <c r="H43558" s="612"/>
    </row>
    <row r="43559">
      <c r="B43559" s="612"/>
      <c r="H43559" s="612"/>
    </row>
    <row r="43560">
      <c r="B43560" s="612"/>
      <c r="H43560" s="612"/>
    </row>
    <row r="43561">
      <c r="B43561" s="612"/>
      <c r="H43561" s="612"/>
    </row>
    <row r="43562">
      <c r="B43562" s="612"/>
      <c r="H43562" s="612"/>
    </row>
    <row r="43563">
      <c r="B43563" s="612"/>
      <c r="H43563" s="612"/>
    </row>
    <row r="43564">
      <c r="B43564" s="612"/>
      <c r="H43564" s="612"/>
    </row>
    <row r="43565">
      <c r="B43565" s="612"/>
      <c r="H43565" s="612"/>
    </row>
    <row r="43566">
      <c r="B43566" s="612"/>
      <c r="H43566" s="612"/>
    </row>
    <row r="43567">
      <c r="B43567" s="612"/>
      <c r="H43567" s="612"/>
    </row>
    <row r="43568">
      <c r="B43568" s="612"/>
      <c r="H43568" s="612"/>
    </row>
    <row r="43569">
      <c r="B43569" s="612"/>
      <c r="H43569" s="612"/>
    </row>
    <row r="43570">
      <c r="B43570" s="612"/>
      <c r="H43570" s="612"/>
    </row>
    <row r="43571">
      <c r="B43571" s="612"/>
      <c r="H43571" s="612"/>
    </row>
    <row r="43572">
      <c r="B43572" s="612"/>
      <c r="H43572" s="612"/>
    </row>
    <row r="43573">
      <c r="B43573" s="612"/>
      <c r="H43573" s="612"/>
    </row>
    <row r="43574">
      <c r="B43574" s="612"/>
      <c r="H43574" s="612"/>
    </row>
    <row r="43575">
      <c r="B43575" s="612"/>
      <c r="H43575" s="612"/>
    </row>
    <row r="43576">
      <c r="B43576" s="612"/>
      <c r="H43576" s="612"/>
    </row>
    <row r="43577">
      <c r="B43577" s="612"/>
      <c r="H43577" s="612"/>
    </row>
    <row r="43578">
      <c r="B43578" s="612"/>
      <c r="H43578" s="612"/>
    </row>
    <row r="43579">
      <c r="B43579" s="612"/>
      <c r="H43579" s="612"/>
    </row>
    <row r="43580">
      <c r="B43580" s="612"/>
      <c r="H43580" s="612"/>
    </row>
    <row r="43581">
      <c r="B43581" s="612"/>
      <c r="H43581" s="612"/>
    </row>
    <row r="43582">
      <c r="B43582" s="612"/>
      <c r="H43582" s="612"/>
    </row>
    <row r="43583">
      <c r="B43583" s="612"/>
      <c r="H43583" s="612"/>
    </row>
    <row r="43584">
      <c r="B43584" s="612"/>
      <c r="H43584" s="612"/>
    </row>
    <row r="43585">
      <c r="B43585" s="612"/>
      <c r="H43585" s="612"/>
    </row>
    <row r="43586">
      <c r="B43586" s="612"/>
      <c r="H43586" s="612"/>
    </row>
    <row r="43587">
      <c r="B43587" s="612"/>
      <c r="H43587" s="612"/>
    </row>
    <row r="43588">
      <c r="B43588" s="612"/>
      <c r="H43588" s="612"/>
    </row>
    <row r="43589">
      <c r="B43589" s="612"/>
      <c r="H43589" s="612"/>
    </row>
    <row r="43590">
      <c r="B43590" s="612"/>
      <c r="H43590" s="612"/>
    </row>
    <row r="43591">
      <c r="B43591" s="612"/>
      <c r="H43591" s="612"/>
    </row>
    <row r="43592">
      <c r="B43592" s="612"/>
      <c r="H43592" s="612"/>
    </row>
    <row r="43593">
      <c r="B43593" s="612"/>
      <c r="H43593" s="612"/>
    </row>
    <row r="43594">
      <c r="B43594" s="612"/>
      <c r="H43594" s="612"/>
    </row>
    <row r="43595">
      <c r="B43595" s="612"/>
      <c r="H43595" s="612"/>
    </row>
    <row r="43596">
      <c r="B43596" s="612"/>
      <c r="H43596" s="612"/>
    </row>
    <row r="43597">
      <c r="B43597" s="612"/>
      <c r="H43597" s="612"/>
    </row>
    <row r="43598">
      <c r="B43598" s="612"/>
      <c r="H43598" s="612"/>
    </row>
    <row r="43599">
      <c r="B43599" s="612"/>
      <c r="H43599" s="612"/>
    </row>
    <row r="43600">
      <c r="B43600" s="612"/>
      <c r="H43600" s="612"/>
    </row>
    <row r="43601">
      <c r="B43601" s="612"/>
      <c r="H43601" s="612"/>
    </row>
    <row r="43602">
      <c r="B43602" s="612"/>
      <c r="H43602" s="612"/>
    </row>
    <row r="43603">
      <c r="B43603" s="612"/>
      <c r="H43603" s="612"/>
    </row>
    <row r="43604">
      <c r="B43604" s="612"/>
      <c r="H43604" s="612"/>
    </row>
    <row r="43605">
      <c r="B43605" s="612"/>
      <c r="H43605" s="612"/>
    </row>
    <row r="43606">
      <c r="B43606" s="612"/>
      <c r="H43606" s="612"/>
    </row>
    <row r="43607">
      <c r="B43607" s="612"/>
      <c r="H43607" s="612"/>
    </row>
    <row r="43608">
      <c r="B43608" s="612"/>
      <c r="H43608" s="612"/>
    </row>
    <row r="43609">
      <c r="B43609" s="612"/>
      <c r="H43609" s="612"/>
    </row>
    <row r="43610">
      <c r="B43610" s="612"/>
      <c r="H43610" s="612"/>
    </row>
    <row r="43611">
      <c r="B43611" s="612"/>
      <c r="H43611" s="612"/>
    </row>
    <row r="43612">
      <c r="B43612" s="612"/>
      <c r="H43612" s="612"/>
    </row>
    <row r="43613">
      <c r="B43613" s="612"/>
      <c r="H43613" s="612"/>
    </row>
    <row r="43614">
      <c r="B43614" s="612"/>
      <c r="H43614" s="612"/>
    </row>
    <row r="43615">
      <c r="B43615" s="612"/>
      <c r="H43615" s="612"/>
    </row>
    <row r="43616">
      <c r="B43616" s="612"/>
      <c r="H43616" s="612"/>
    </row>
    <row r="43617">
      <c r="B43617" s="612"/>
      <c r="H43617" s="612"/>
    </row>
    <row r="43618">
      <c r="B43618" s="612"/>
      <c r="H43618" s="612"/>
    </row>
    <row r="43619">
      <c r="B43619" s="612"/>
      <c r="H43619" s="612"/>
    </row>
    <row r="43620">
      <c r="B43620" s="612"/>
      <c r="H43620" s="612"/>
    </row>
    <row r="43621">
      <c r="B43621" s="612"/>
      <c r="H43621" s="612"/>
    </row>
    <row r="43622">
      <c r="B43622" s="612"/>
      <c r="H43622" s="612"/>
    </row>
    <row r="43623">
      <c r="B43623" s="612"/>
      <c r="H43623" s="612"/>
    </row>
    <row r="43624">
      <c r="B43624" s="612"/>
      <c r="H43624" s="612"/>
    </row>
    <row r="43625">
      <c r="B43625" s="612"/>
      <c r="H43625" s="612"/>
    </row>
    <row r="43626">
      <c r="B43626" s="612"/>
      <c r="H43626" s="612"/>
    </row>
    <row r="43627">
      <c r="B43627" s="612"/>
      <c r="H43627" s="612"/>
    </row>
    <row r="43628">
      <c r="B43628" s="612"/>
      <c r="H43628" s="612"/>
    </row>
    <row r="43629">
      <c r="B43629" s="612"/>
      <c r="H43629" s="612"/>
    </row>
    <row r="43630">
      <c r="B43630" s="612"/>
      <c r="H43630" s="612"/>
    </row>
    <row r="43631">
      <c r="B43631" s="612"/>
      <c r="H43631" s="612"/>
    </row>
    <row r="43632">
      <c r="B43632" s="612"/>
      <c r="H43632" s="612"/>
    </row>
    <row r="43633">
      <c r="B43633" s="612"/>
      <c r="H43633" s="612"/>
    </row>
    <row r="43634">
      <c r="B43634" s="612"/>
      <c r="H43634" s="612"/>
    </row>
    <row r="43635">
      <c r="B43635" s="612"/>
      <c r="H43635" s="612"/>
    </row>
    <row r="43636">
      <c r="B43636" s="612"/>
      <c r="H43636" s="612"/>
    </row>
    <row r="43637">
      <c r="B43637" s="612"/>
      <c r="H43637" s="612"/>
    </row>
    <row r="43638">
      <c r="B43638" s="612"/>
      <c r="H43638" s="612"/>
    </row>
    <row r="43639">
      <c r="B43639" s="612"/>
      <c r="H43639" s="612"/>
    </row>
    <row r="43640">
      <c r="B43640" s="612"/>
      <c r="H43640" s="612"/>
    </row>
    <row r="43641">
      <c r="B43641" s="612"/>
      <c r="H43641" s="612"/>
    </row>
    <row r="43642">
      <c r="B43642" s="612"/>
      <c r="H43642" s="612"/>
    </row>
    <row r="43643">
      <c r="B43643" s="612"/>
      <c r="H43643" s="612"/>
    </row>
    <row r="43644">
      <c r="B43644" s="612"/>
      <c r="H43644" s="612"/>
    </row>
    <row r="43645">
      <c r="B43645" s="612"/>
      <c r="H43645" s="612"/>
    </row>
    <row r="43646">
      <c r="B43646" s="612"/>
      <c r="H43646" s="612"/>
    </row>
    <row r="43647">
      <c r="B43647" s="612"/>
      <c r="H43647" s="612"/>
    </row>
    <row r="43648">
      <c r="B43648" s="612"/>
      <c r="H43648" s="612"/>
    </row>
    <row r="43649">
      <c r="B43649" s="612"/>
      <c r="H43649" s="612"/>
    </row>
    <row r="43650">
      <c r="B43650" s="612"/>
      <c r="H43650" s="612"/>
    </row>
    <row r="43651">
      <c r="B43651" s="612"/>
      <c r="H43651" s="612"/>
    </row>
    <row r="43652">
      <c r="B43652" s="612"/>
      <c r="H43652" s="612"/>
    </row>
    <row r="43653">
      <c r="B43653" s="612"/>
      <c r="H43653" s="612"/>
    </row>
    <row r="43654">
      <c r="B43654" s="612"/>
      <c r="H43654" s="612"/>
    </row>
    <row r="43655">
      <c r="B43655" s="612"/>
      <c r="H43655" s="612"/>
    </row>
    <row r="43656">
      <c r="B43656" s="612"/>
      <c r="H43656" s="612"/>
    </row>
    <row r="43657">
      <c r="B43657" s="612"/>
      <c r="H43657" s="612"/>
    </row>
    <row r="43658">
      <c r="B43658" s="612"/>
      <c r="H43658" s="612"/>
    </row>
    <row r="43659">
      <c r="B43659" s="612"/>
      <c r="H43659" s="612"/>
    </row>
    <row r="43660">
      <c r="B43660" s="612"/>
      <c r="H43660" s="612"/>
    </row>
    <row r="43661">
      <c r="B43661" s="612"/>
      <c r="H43661" s="612"/>
    </row>
    <row r="43662">
      <c r="B43662" s="612"/>
      <c r="H43662" s="612"/>
    </row>
    <row r="43663">
      <c r="B43663" s="612"/>
      <c r="H43663" s="612"/>
    </row>
    <row r="43664">
      <c r="B43664" s="612"/>
      <c r="H43664" s="612"/>
    </row>
    <row r="43665">
      <c r="B43665" s="612"/>
      <c r="H43665" s="612"/>
    </row>
    <row r="43666">
      <c r="B43666" s="612"/>
      <c r="H43666" s="612"/>
    </row>
    <row r="43667">
      <c r="B43667" s="612"/>
      <c r="H43667" s="612"/>
    </row>
    <row r="43668">
      <c r="B43668" s="612"/>
      <c r="H43668" s="612"/>
    </row>
    <row r="43669">
      <c r="B43669" s="612"/>
      <c r="H43669" s="612"/>
    </row>
    <row r="43670">
      <c r="B43670" s="612"/>
      <c r="H43670" s="612"/>
    </row>
    <row r="43671">
      <c r="B43671" s="612"/>
      <c r="H43671" s="612"/>
    </row>
    <row r="43672">
      <c r="B43672" s="612"/>
      <c r="H43672" s="612"/>
    </row>
    <row r="43673">
      <c r="B43673" s="612"/>
      <c r="H43673" s="612"/>
    </row>
    <row r="43674">
      <c r="B43674" s="612"/>
      <c r="H43674" s="612"/>
    </row>
    <row r="43675">
      <c r="B43675" s="612"/>
      <c r="H43675" s="612"/>
    </row>
    <row r="43676">
      <c r="B43676" s="612"/>
      <c r="H43676" s="612"/>
    </row>
    <row r="43677">
      <c r="B43677" s="612"/>
      <c r="H43677" s="612"/>
    </row>
    <row r="43678">
      <c r="B43678" s="612"/>
      <c r="H43678" s="612"/>
    </row>
    <row r="43679">
      <c r="B43679" s="612"/>
      <c r="H43679" s="612"/>
    </row>
    <row r="43680">
      <c r="B43680" s="612"/>
      <c r="H43680" s="612"/>
    </row>
    <row r="43681">
      <c r="B43681" s="612"/>
      <c r="H43681" s="612"/>
    </row>
    <row r="43682">
      <c r="B43682" s="612"/>
      <c r="H43682" s="612"/>
    </row>
    <row r="43683">
      <c r="B43683" s="612"/>
      <c r="H43683" s="612"/>
    </row>
    <row r="43684">
      <c r="B43684" s="612"/>
      <c r="H43684" s="612"/>
    </row>
    <row r="43685">
      <c r="B43685" s="612"/>
      <c r="H43685" s="612"/>
    </row>
    <row r="43686">
      <c r="B43686" s="612"/>
      <c r="H43686" s="612"/>
    </row>
    <row r="43687">
      <c r="B43687" s="612"/>
      <c r="H43687" s="612"/>
    </row>
    <row r="43688">
      <c r="B43688" s="612"/>
      <c r="H43688" s="612"/>
    </row>
    <row r="43689">
      <c r="B43689" s="612"/>
      <c r="H43689" s="612"/>
    </row>
    <row r="43690">
      <c r="B43690" s="612"/>
      <c r="H43690" s="612"/>
    </row>
    <row r="43691">
      <c r="B43691" s="612"/>
      <c r="H43691" s="612"/>
    </row>
    <row r="43692">
      <c r="B43692" s="612"/>
      <c r="H43692" s="612"/>
    </row>
    <row r="43693">
      <c r="B43693" s="612"/>
      <c r="H43693" s="612"/>
    </row>
    <row r="43694">
      <c r="B43694" s="612"/>
      <c r="H43694" s="612"/>
    </row>
    <row r="43695">
      <c r="B43695" s="612"/>
      <c r="H43695" s="612"/>
    </row>
    <row r="43696">
      <c r="B43696" s="612"/>
      <c r="H43696" s="612"/>
    </row>
    <row r="43697">
      <c r="B43697" s="612"/>
      <c r="H43697" s="612"/>
    </row>
    <row r="43698">
      <c r="B43698" s="612"/>
      <c r="H43698" s="612"/>
    </row>
    <row r="43699">
      <c r="B43699" s="612"/>
      <c r="H43699" s="612"/>
    </row>
    <row r="43700">
      <c r="B43700" s="612"/>
      <c r="H43700" s="612"/>
    </row>
    <row r="43701">
      <c r="B43701" s="612"/>
      <c r="H43701" s="612"/>
    </row>
    <row r="43702">
      <c r="B43702" s="612"/>
      <c r="H43702" s="612"/>
    </row>
    <row r="43703">
      <c r="B43703" s="612"/>
      <c r="H43703" s="612"/>
    </row>
    <row r="43704">
      <c r="B43704" s="612"/>
      <c r="H43704" s="612"/>
    </row>
    <row r="43705">
      <c r="B43705" s="612"/>
      <c r="H43705" s="612"/>
    </row>
    <row r="43706">
      <c r="B43706" s="612"/>
      <c r="H43706" s="612"/>
    </row>
    <row r="43707">
      <c r="B43707" s="612"/>
      <c r="H43707" s="612"/>
    </row>
    <row r="43708">
      <c r="B43708" s="612"/>
      <c r="H43708" s="612"/>
    </row>
    <row r="43709">
      <c r="B43709" s="612"/>
      <c r="H43709" s="612"/>
    </row>
    <row r="43710">
      <c r="B43710" s="612"/>
      <c r="H43710" s="612"/>
    </row>
    <row r="43711">
      <c r="B43711" s="612"/>
      <c r="H43711" s="612"/>
    </row>
    <row r="43712">
      <c r="B43712" s="612"/>
      <c r="H43712" s="612"/>
    </row>
    <row r="43713">
      <c r="B43713" s="612"/>
      <c r="H43713" s="612"/>
    </row>
    <row r="43714">
      <c r="B43714" s="612"/>
      <c r="H43714" s="612"/>
    </row>
    <row r="43715">
      <c r="B43715" s="612"/>
      <c r="H43715" s="612"/>
    </row>
    <row r="43716">
      <c r="B43716" s="612"/>
      <c r="H43716" s="612"/>
    </row>
    <row r="43717">
      <c r="B43717" s="612"/>
      <c r="H43717" s="612"/>
    </row>
    <row r="43718">
      <c r="B43718" s="612"/>
      <c r="H43718" s="612"/>
    </row>
    <row r="43719">
      <c r="B43719" s="612"/>
      <c r="H43719" s="612"/>
    </row>
    <row r="43720">
      <c r="B43720" s="612"/>
      <c r="H43720" s="612"/>
    </row>
    <row r="43721">
      <c r="B43721" s="612"/>
      <c r="H43721" s="612"/>
    </row>
    <row r="43722">
      <c r="B43722" s="612"/>
      <c r="H43722" s="612"/>
    </row>
    <row r="43723">
      <c r="B43723" s="612"/>
      <c r="H43723" s="612"/>
    </row>
    <row r="43724">
      <c r="B43724" s="612"/>
      <c r="H43724" s="612"/>
    </row>
    <row r="43725">
      <c r="B43725" s="612"/>
      <c r="H43725" s="612"/>
    </row>
    <row r="43726">
      <c r="B43726" s="612"/>
      <c r="H43726" s="612"/>
    </row>
    <row r="43727">
      <c r="B43727" s="612"/>
      <c r="H43727" s="612"/>
    </row>
    <row r="43728">
      <c r="B43728" s="612"/>
      <c r="H43728" s="612"/>
    </row>
    <row r="43729">
      <c r="B43729" s="612"/>
      <c r="H43729" s="612"/>
    </row>
    <row r="43730">
      <c r="B43730" s="612"/>
      <c r="H43730" s="612"/>
    </row>
    <row r="43731">
      <c r="B43731" s="612"/>
      <c r="H43731" s="612"/>
    </row>
    <row r="43732">
      <c r="B43732" s="612"/>
      <c r="H43732" s="612"/>
    </row>
    <row r="43733">
      <c r="B43733" s="612"/>
      <c r="H43733" s="612"/>
    </row>
    <row r="43734">
      <c r="B43734" s="612"/>
      <c r="H43734" s="612"/>
    </row>
    <row r="43735">
      <c r="B43735" s="612"/>
      <c r="H43735" s="612"/>
    </row>
    <row r="43736">
      <c r="B43736" s="612"/>
      <c r="H43736" s="612"/>
    </row>
    <row r="43737">
      <c r="B43737" s="612"/>
      <c r="H43737" s="612"/>
    </row>
    <row r="43738">
      <c r="B43738" s="612"/>
      <c r="H43738" s="612"/>
    </row>
    <row r="43739">
      <c r="B43739" s="612"/>
      <c r="H43739" s="612"/>
    </row>
    <row r="43740">
      <c r="B43740" s="612"/>
      <c r="H43740" s="612"/>
    </row>
    <row r="43741">
      <c r="B43741" s="612"/>
      <c r="H43741" s="612"/>
    </row>
    <row r="43742">
      <c r="B43742" s="612"/>
      <c r="H43742" s="612"/>
    </row>
    <row r="43743">
      <c r="B43743" s="612"/>
      <c r="H43743" s="612"/>
    </row>
    <row r="43744">
      <c r="B43744" s="612"/>
      <c r="H43744" s="612"/>
    </row>
    <row r="43745">
      <c r="B43745" s="612"/>
      <c r="H43745" s="612"/>
    </row>
    <row r="43746">
      <c r="B43746" s="612"/>
      <c r="H43746" s="612"/>
    </row>
    <row r="43747">
      <c r="B43747" s="612"/>
      <c r="H43747" s="612"/>
    </row>
    <row r="43748">
      <c r="B43748" s="612"/>
      <c r="H43748" s="612"/>
    </row>
    <row r="43749">
      <c r="B43749" s="612"/>
      <c r="H43749" s="612"/>
    </row>
    <row r="43750">
      <c r="B43750" s="612"/>
      <c r="H43750" s="612"/>
    </row>
    <row r="43751">
      <c r="B43751" s="612"/>
      <c r="H43751" s="612"/>
    </row>
    <row r="43752">
      <c r="B43752" s="612"/>
      <c r="H43752" s="612"/>
    </row>
    <row r="43753">
      <c r="B43753" s="612"/>
      <c r="H43753" s="612"/>
    </row>
    <row r="43754">
      <c r="B43754" s="612"/>
      <c r="H43754" s="612"/>
    </row>
    <row r="43755">
      <c r="B43755" s="612"/>
      <c r="H43755" s="612"/>
    </row>
    <row r="43756">
      <c r="B43756" s="612"/>
      <c r="H43756" s="612"/>
    </row>
    <row r="43757">
      <c r="B43757" s="612"/>
      <c r="H43757" s="612"/>
    </row>
    <row r="43758">
      <c r="B43758" s="612"/>
      <c r="H43758" s="612"/>
    </row>
    <row r="43759">
      <c r="B43759" s="612"/>
      <c r="H43759" s="612"/>
    </row>
    <row r="43760">
      <c r="B43760" s="612"/>
      <c r="H43760" s="612"/>
    </row>
    <row r="43761">
      <c r="B43761" s="612"/>
      <c r="H43761" s="612"/>
    </row>
    <row r="43762">
      <c r="B43762" s="612"/>
      <c r="H43762" s="612"/>
    </row>
    <row r="43763">
      <c r="B43763" s="612"/>
      <c r="H43763" s="612"/>
    </row>
    <row r="43764">
      <c r="B43764" s="612"/>
      <c r="H43764" s="612"/>
    </row>
    <row r="43765">
      <c r="B43765" s="612"/>
      <c r="H43765" s="612"/>
    </row>
    <row r="43766">
      <c r="B43766" s="612"/>
      <c r="H43766" s="612"/>
    </row>
    <row r="43767">
      <c r="B43767" s="612"/>
      <c r="H43767" s="612"/>
    </row>
    <row r="43768">
      <c r="B43768" s="612"/>
      <c r="H43768" s="612"/>
    </row>
    <row r="43769">
      <c r="B43769" s="612"/>
      <c r="H43769" s="612"/>
    </row>
    <row r="43770">
      <c r="B43770" s="612"/>
      <c r="H43770" s="612"/>
    </row>
    <row r="43771">
      <c r="B43771" s="612"/>
      <c r="H43771" s="612"/>
    </row>
    <row r="43772">
      <c r="B43772" s="612"/>
      <c r="H43772" s="612"/>
    </row>
    <row r="43773">
      <c r="B43773" s="612"/>
      <c r="H43773" s="612"/>
    </row>
    <row r="43774">
      <c r="B43774" s="612"/>
      <c r="H43774" s="612"/>
    </row>
    <row r="43775">
      <c r="B43775" s="612"/>
      <c r="H43775" s="612"/>
    </row>
    <row r="43776">
      <c r="B43776" s="612"/>
      <c r="H43776" s="612"/>
    </row>
    <row r="43777">
      <c r="B43777" s="612"/>
      <c r="H43777" s="612"/>
    </row>
    <row r="43778">
      <c r="B43778" s="612"/>
      <c r="H43778" s="612"/>
    </row>
    <row r="43779">
      <c r="B43779" s="612"/>
      <c r="H43779" s="612"/>
    </row>
    <row r="43780">
      <c r="B43780" s="612"/>
      <c r="H43780" s="612"/>
    </row>
    <row r="43781">
      <c r="B43781" s="612"/>
      <c r="H43781" s="612"/>
    </row>
    <row r="43782">
      <c r="B43782" s="612"/>
      <c r="H43782" s="612"/>
    </row>
    <row r="43783">
      <c r="B43783" s="612"/>
      <c r="H43783" s="612"/>
    </row>
    <row r="43784">
      <c r="B43784" s="612"/>
      <c r="H43784" s="612"/>
    </row>
    <row r="43785">
      <c r="B43785" s="612"/>
      <c r="H43785" s="612"/>
    </row>
    <row r="43786">
      <c r="B43786" s="612"/>
      <c r="H43786" s="612"/>
    </row>
    <row r="43787">
      <c r="B43787" s="612"/>
      <c r="H43787" s="612"/>
    </row>
    <row r="43788">
      <c r="B43788" s="612"/>
      <c r="H43788" s="612"/>
    </row>
    <row r="43789">
      <c r="B43789" s="612"/>
      <c r="H43789" s="612"/>
    </row>
    <row r="43790">
      <c r="B43790" s="612"/>
      <c r="H43790" s="612"/>
    </row>
    <row r="43791">
      <c r="B43791" s="612"/>
      <c r="H43791" s="612"/>
    </row>
    <row r="43792">
      <c r="B43792" s="612"/>
      <c r="H43792" s="612"/>
    </row>
    <row r="43793">
      <c r="B43793" s="612"/>
      <c r="H43793" s="612"/>
    </row>
    <row r="43794">
      <c r="B43794" s="612"/>
      <c r="H43794" s="612"/>
    </row>
    <row r="43795">
      <c r="B43795" s="612"/>
      <c r="H43795" s="612"/>
    </row>
    <row r="43796">
      <c r="B43796" s="612"/>
      <c r="H43796" s="612"/>
    </row>
    <row r="43797">
      <c r="B43797" s="612"/>
      <c r="H43797" s="612"/>
    </row>
    <row r="43798">
      <c r="B43798" s="612"/>
      <c r="H43798" s="612"/>
    </row>
    <row r="43799">
      <c r="B43799" s="612"/>
      <c r="H43799" s="612"/>
    </row>
    <row r="43800">
      <c r="B43800" s="612"/>
      <c r="H43800" s="612"/>
    </row>
    <row r="43801">
      <c r="B43801" s="612"/>
      <c r="H43801" s="612"/>
    </row>
    <row r="43802">
      <c r="B43802" s="612"/>
      <c r="H43802" s="612"/>
    </row>
    <row r="43803">
      <c r="B43803" s="612"/>
      <c r="H43803" s="612"/>
    </row>
    <row r="43804">
      <c r="B43804" s="612"/>
      <c r="H43804" s="612"/>
    </row>
    <row r="43805">
      <c r="B43805" s="612"/>
      <c r="H43805" s="612"/>
    </row>
    <row r="43806">
      <c r="B43806" s="612"/>
      <c r="H43806" s="612"/>
    </row>
    <row r="43807">
      <c r="B43807" s="612"/>
      <c r="H43807" s="612"/>
    </row>
    <row r="43808">
      <c r="B43808" s="612"/>
      <c r="H43808" s="612"/>
    </row>
    <row r="43809">
      <c r="B43809" s="612"/>
      <c r="H43809" s="612"/>
    </row>
    <row r="43810">
      <c r="B43810" s="612"/>
      <c r="H43810" s="612"/>
    </row>
    <row r="43811">
      <c r="B43811" s="612"/>
      <c r="H43811" s="612"/>
    </row>
    <row r="43812">
      <c r="B43812" s="612"/>
      <c r="H43812" s="612"/>
    </row>
    <row r="43813">
      <c r="B43813" s="612"/>
      <c r="H43813" s="612"/>
    </row>
    <row r="43814">
      <c r="B43814" s="612"/>
      <c r="H43814" s="612"/>
    </row>
    <row r="43815">
      <c r="B43815" s="612"/>
      <c r="H43815" s="612"/>
    </row>
    <row r="43816">
      <c r="B43816" s="612"/>
      <c r="H43816" s="612"/>
    </row>
    <row r="43817">
      <c r="B43817" s="612"/>
      <c r="H43817" s="612"/>
    </row>
    <row r="43818">
      <c r="B43818" s="612"/>
      <c r="H43818" s="612"/>
    </row>
    <row r="43819">
      <c r="B43819" s="612"/>
      <c r="H43819" s="612"/>
    </row>
    <row r="43820">
      <c r="B43820" s="612"/>
      <c r="H43820" s="612"/>
    </row>
    <row r="43821">
      <c r="B43821" s="612"/>
      <c r="H43821" s="612"/>
    </row>
    <row r="43822">
      <c r="B43822" s="612"/>
      <c r="H43822" s="612"/>
    </row>
    <row r="43823">
      <c r="B43823" s="612"/>
      <c r="H43823" s="612"/>
    </row>
    <row r="43824">
      <c r="B43824" s="612"/>
      <c r="H43824" s="612"/>
    </row>
    <row r="43825">
      <c r="B43825" s="612"/>
      <c r="H43825" s="612"/>
    </row>
    <row r="43826">
      <c r="B43826" s="612"/>
      <c r="H43826" s="612"/>
    </row>
    <row r="43827">
      <c r="B43827" s="612"/>
      <c r="H43827" s="612"/>
    </row>
    <row r="43828">
      <c r="B43828" s="612"/>
      <c r="H43828" s="612"/>
    </row>
    <row r="43829">
      <c r="B43829" s="612"/>
      <c r="H43829" s="612"/>
    </row>
    <row r="43830">
      <c r="B43830" s="612"/>
      <c r="H43830" s="612"/>
    </row>
    <row r="43831">
      <c r="B43831" s="612"/>
      <c r="H43831" s="612"/>
    </row>
    <row r="43832">
      <c r="B43832" s="612"/>
      <c r="H43832" s="612"/>
    </row>
    <row r="43833">
      <c r="B43833" s="612"/>
      <c r="H43833" s="612"/>
    </row>
    <row r="43834">
      <c r="B43834" s="612"/>
      <c r="H43834" s="612"/>
    </row>
    <row r="43835">
      <c r="B43835" s="612"/>
      <c r="H43835" s="612"/>
    </row>
    <row r="43836">
      <c r="B43836" s="612"/>
      <c r="H43836" s="612"/>
    </row>
    <row r="43837">
      <c r="B43837" s="612"/>
      <c r="H43837" s="612"/>
    </row>
    <row r="43838">
      <c r="B43838" s="612"/>
      <c r="H43838" s="612"/>
    </row>
    <row r="43839">
      <c r="B43839" s="612"/>
      <c r="H43839" s="612"/>
    </row>
    <row r="43840">
      <c r="B43840" s="612"/>
      <c r="H43840" s="612"/>
    </row>
    <row r="43841">
      <c r="B43841" s="612"/>
      <c r="H43841" s="612"/>
    </row>
    <row r="43842">
      <c r="B43842" s="612"/>
      <c r="H43842" s="612"/>
    </row>
    <row r="43843">
      <c r="B43843" s="612"/>
      <c r="H43843" s="612"/>
    </row>
    <row r="43844">
      <c r="B43844" s="612"/>
      <c r="H43844" s="612"/>
    </row>
    <row r="43845">
      <c r="B43845" s="612"/>
      <c r="H43845" s="612"/>
    </row>
    <row r="43846">
      <c r="B43846" s="612"/>
      <c r="H43846" s="612"/>
    </row>
    <row r="43847">
      <c r="B43847" s="612"/>
      <c r="H43847" s="612"/>
    </row>
    <row r="43848">
      <c r="B43848" s="612"/>
      <c r="H43848" s="612"/>
    </row>
    <row r="43849">
      <c r="B43849" s="612"/>
      <c r="H43849" s="612"/>
    </row>
    <row r="43850">
      <c r="B43850" s="612"/>
      <c r="H43850" s="612"/>
    </row>
    <row r="43851">
      <c r="B43851" s="612"/>
      <c r="H43851" s="612"/>
    </row>
    <row r="43852">
      <c r="B43852" s="612"/>
      <c r="H43852" s="612"/>
    </row>
    <row r="43853">
      <c r="B43853" s="612"/>
      <c r="H43853" s="612"/>
    </row>
    <row r="43854">
      <c r="B43854" s="612"/>
      <c r="H43854" s="612"/>
    </row>
    <row r="43855">
      <c r="B43855" s="612"/>
      <c r="H43855" s="612"/>
    </row>
    <row r="43856">
      <c r="B43856" s="612"/>
      <c r="H43856" s="612"/>
    </row>
    <row r="43857">
      <c r="B43857" s="612"/>
      <c r="H43857" s="612"/>
    </row>
    <row r="43858">
      <c r="B43858" s="612"/>
      <c r="H43858" s="612"/>
    </row>
    <row r="43859">
      <c r="B43859" s="612"/>
      <c r="H43859" s="612"/>
    </row>
    <row r="43860">
      <c r="B43860" s="612"/>
      <c r="H43860" s="612"/>
    </row>
    <row r="43861">
      <c r="B43861" s="612"/>
      <c r="H43861" s="612"/>
    </row>
    <row r="43862">
      <c r="B43862" s="612"/>
      <c r="H43862" s="612"/>
    </row>
    <row r="43863">
      <c r="B43863" s="612"/>
      <c r="H43863" s="612"/>
    </row>
    <row r="43864">
      <c r="B43864" s="612"/>
      <c r="H43864" s="612"/>
    </row>
    <row r="43865">
      <c r="B43865" s="612"/>
      <c r="H43865" s="612"/>
    </row>
    <row r="43866">
      <c r="B43866" s="612"/>
      <c r="H43866" s="612"/>
    </row>
    <row r="43867">
      <c r="B43867" s="612"/>
      <c r="H43867" s="612"/>
    </row>
    <row r="43868">
      <c r="B43868" s="612"/>
      <c r="H43868" s="612"/>
    </row>
    <row r="43869">
      <c r="B43869" s="612"/>
      <c r="H43869" s="612"/>
    </row>
    <row r="43870">
      <c r="B43870" s="612"/>
      <c r="H43870" s="612"/>
    </row>
    <row r="43871">
      <c r="B43871" s="612"/>
      <c r="H43871" s="612"/>
    </row>
    <row r="43872">
      <c r="B43872" s="612"/>
      <c r="H43872" s="612"/>
    </row>
    <row r="43873">
      <c r="B43873" s="612"/>
      <c r="H43873" s="612"/>
    </row>
    <row r="43874">
      <c r="B43874" s="612"/>
      <c r="H43874" s="612"/>
    </row>
    <row r="43875">
      <c r="B43875" s="612"/>
      <c r="H43875" s="612"/>
    </row>
    <row r="43876">
      <c r="B43876" s="612"/>
      <c r="H43876" s="612"/>
    </row>
    <row r="43877">
      <c r="B43877" s="612"/>
      <c r="H43877" s="612"/>
    </row>
    <row r="43878">
      <c r="B43878" s="612"/>
      <c r="H43878" s="612"/>
    </row>
    <row r="43879">
      <c r="B43879" s="612"/>
      <c r="H43879" s="612"/>
    </row>
    <row r="43880">
      <c r="B43880" s="612"/>
      <c r="H43880" s="612"/>
    </row>
    <row r="43881">
      <c r="B43881" s="612"/>
      <c r="H43881" s="612"/>
    </row>
    <row r="43882">
      <c r="B43882" s="612"/>
      <c r="H43882" s="612"/>
    </row>
    <row r="43883">
      <c r="B43883" s="612"/>
      <c r="H43883" s="612"/>
    </row>
    <row r="43884">
      <c r="B43884" s="612"/>
      <c r="H43884" s="612"/>
    </row>
    <row r="43885">
      <c r="B43885" s="612"/>
      <c r="H43885" s="612"/>
    </row>
    <row r="43886">
      <c r="B43886" s="612"/>
      <c r="H43886" s="612"/>
    </row>
    <row r="43887">
      <c r="B43887" s="612"/>
      <c r="H43887" s="612"/>
    </row>
    <row r="43888">
      <c r="B43888" s="612"/>
      <c r="H43888" s="612"/>
    </row>
    <row r="43889">
      <c r="B43889" s="612"/>
      <c r="H43889" s="612"/>
    </row>
    <row r="43890">
      <c r="B43890" s="612"/>
      <c r="H43890" s="612"/>
    </row>
    <row r="43891">
      <c r="B43891" s="612"/>
      <c r="H43891" s="612"/>
    </row>
    <row r="43892">
      <c r="B43892" s="612"/>
      <c r="H43892" s="612"/>
    </row>
    <row r="43893">
      <c r="B43893" s="612"/>
      <c r="H43893" s="612"/>
    </row>
    <row r="43894">
      <c r="B43894" s="612"/>
      <c r="H43894" s="612"/>
    </row>
    <row r="43895">
      <c r="B43895" s="612"/>
      <c r="H43895" s="612"/>
    </row>
    <row r="43896">
      <c r="B43896" s="612"/>
      <c r="H43896" s="612"/>
    </row>
    <row r="43897">
      <c r="B43897" s="612"/>
      <c r="H43897" s="612"/>
    </row>
    <row r="43898">
      <c r="B43898" s="612"/>
      <c r="H43898" s="612"/>
    </row>
    <row r="43899">
      <c r="B43899" s="612"/>
      <c r="H43899" s="612"/>
    </row>
    <row r="43900">
      <c r="B43900" s="612"/>
      <c r="H43900" s="612"/>
    </row>
    <row r="43901">
      <c r="B43901" s="612"/>
      <c r="H43901" s="612"/>
    </row>
    <row r="43902">
      <c r="B43902" s="612"/>
      <c r="H43902" s="612"/>
    </row>
    <row r="43903">
      <c r="B43903" s="612"/>
      <c r="H43903" s="612"/>
    </row>
    <row r="43904">
      <c r="B43904" s="612"/>
      <c r="H43904" s="612"/>
    </row>
    <row r="43905">
      <c r="B43905" s="612"/>
      <c r="H43905" s="612"/>
    </row>
    <row r="43906">
      <c r="B43906" s="612"/>
      <c r="H43906" s="612"/>
    </row>
    <row r="43907">
      <c r="B43907" s="612"/>
      <c r="H43907" s="612"/>
    </row>
    <row r="43908">
      <c r="B43908" s="612"/>
      <c r="H43908" s="612"/>
    </row>
    <row r="43909">
      <c r="B43909" s="612"/>
      <c r="H43909" s="612"/>
    </row>
    <row r="43910">
      <c r="B43910" s="612"/>
      <c r="H43910" s="612"/>
    </row>
    <row r="43911">
      <c r="B43911" s="612"/>
      <c r="H43911" s="612"/>
    </row>
    <row r="43912">
      <c r="B43912" s="612"/>
      <c r="H43912" s="612"/>
    </row>
    <row r="43913">
      <c r="B43913" s="612"/>
      <c r="H43913" s="612"/>
    </row>
    <row r="43914">
      <c r="B43914" s="612"/>
      <c r="H43914" s="612"/>
    </row>
    <row r="43915">
      <c r="B43915" s="612"/>
      <c r="H43915" s="612"/>
    </row>
    <row r="43916">
      <c r="B43916" s="612"/>
      <c r="H43916" s="612"/>
    </row>
    <row r="43917">
      <c r="B43917" s="612"/>
      <c r="H43917" s="612"/>
    </row>
    <row r="43918">
      <c r="B43918" s="612"/>
      <c r="H43918" s="612"/>
    </row>
    <row r="43919">
      <c r="B43919" s="612"/>
      <c r="H43919" s="612"/>
    </row>
    <row r="43920">
      <c r="B43920" s="612"/>
      <c r="H43920" s="612"/>
    </row>
    <row r="43921">
      <c r="B43921" s="612"/>
      <c r="H43921" s="612"/>
    </row>
    <row r="43922">
      <c r="B43922" s="612"/>
      <c r="H43922" s="612"/>
    </row>
    <row r="43923">
      <c r="B43923" s="612"/>
      <c r="H43923" s="612"/>
    </row>
    <row r="43924">
      <c r="B43924" s="612"/>
      <c r="H43924" s="612"/>
    </row>
    <row r="43925">
      <c r="B43925" s="612"/>
      <c r="H43925" s="612"/>
    </row>
    <row r="43926">
      <c r="B43926" s="612"/>
      <c r="H43926" s="612"/>
    </row>
    <row r="43927">
      <c r="B43927" s="612"/>
      <c r="H43927" s="612"/>
    </row>
    <row r="43928">
      <c r="B43928" s="612"/>
      <c r="H43928" s="612"/>
    </row>
    <row r="43929">
      <c r="B43929" s="612"/>
      <c r="H43929" s="612"/>
    </row>
    <row r="43930">
      <c r="B43930" s="612"/>
      <c r="H43930" s="612"/>
    </row>
    <row r="43931">
      <c r="B43931" s="612"/>
      <c r="H43931" s="612"/>
    </row>
    <row r="43932">
      <c r="B43932" s="612"/>
      <c r="H43932" s="612"/>
    </row>
    <row r="43933">
      <c r="B43933" s="612"/>
      <c r="H43933" s="612"/>
    </row>
    <row r="43934">
      <c r="B43934" s="612"/>
      <c r="H43934" s="612"/>
    </row>
    <row r="43935">
      <c r="B43935" s="612"/>
      <c r="H43935" s="612"/>
    </row>
    <row r="43936">
      <c r="B43936" s="612"/>
      <c r="H43936" s="612"/>
    </row>
    <row r="43937">
      <c r="B43937" s="612"/>
      <c r="H43937" s="612"/>
    </row>
    <row r="43938">
      <c r="B43938" s="612"/>
      <c r="H43938" s="612"/>
    </row>
    <row r="43939">
      <c r="B43939" s="612"/>
      <c r="H43939" s="612"/>
    </row>
    <row r="43940">
      <c r="B43940" s="612"/>
      <c r="H43940" s="612"/>
    </row>
    <row r="43941">
      <c r="B43941" s="612"/>
      <c r="H43941" s="612"/>
    </row>
    <row r="43942">
      <c r="B43942" s="612"/>
      <c r="H43942" s="612"/>
    </row>
    <row r="43943">
      <c r="B43943" s="612"/>
      <c r="H43943" s="612"/>
    </row>
    <row r="43944">
      <c r="B43944" s="612"/>
      <c r="H43944" s="612"/>
    </row>
    <row r="43945">
      <c r="B43945" s="612"/>
      <c r="H43945" s="612"/>
    </row>
    <row r="43946">
      <c r="B43946" s="612"/>
      <c r="H43946" s="612"/>
    </row>
    <row r="43947">
      <c r="B43947" s="612"/>
      <c r="H43947" s="612"/>
    </row>
    <row r="43948">
      <c r="B43948" s="612"/>
      <c r="H43948" s="612"/>
    </row>
    <row r="43949">
      <c r="B43949" s="612"/>
      <c r="H43949" s="612"/>
    </row>
    <row r="43950">
      <c r="B43950" s="612"/>
      <c r="H43950" s="612"/>
    </row>
    <row r="43951">
      <c r="B43951" s="612"/>
      <c r="H43951" s="612"/>
    </row>
    <row r="43952">
      <c r="B43952" s="612"/>
      <c r="H43952" s="612"/>
    </row>
    <row r="43953">
      <c r="B43953" s="612"/>
      <c r="H43953" s="612"/>
    </row>
    <row r="43954">
      <c r="B43954" s="612"/>
      <c r="H43954" s="612"/>
    </row>
    <row r="43955">
      <c r="B43955" s="612"/>
      <c r="H43955" s="612"/>
    </row>
    <row r="43956">
      <c r="B43956" s="612"/>
      <c r="H43956" s="612"/>
    </row>
    <row r="43957">
      <c r="B43957" s="612"/>
      <c r="H43957" s="612"/>
    </row>
    <row r="43958">
      <c r="B43958" s="612"/>
      <c r="H43958" s="612"/>
    </row>
    <row r="43959">
      <c r="B43959" s="612"/>
      <c r="H43959" s="612"/>
    </row>
    <row r="43960">
      <c r="B43960" s="612"/>
      <c r="H43960" s="612"/>
    </row>
    <row r="43961">
      <c r="B43961" s="612"/>
      <c r="H43961" s="612"/>
    </row>
    <row r="43962">
      <c r="B43962" s="612"/>
      <c r="H43962" s="612"/>
    </row>
    <row r="43963">
      <c r="B43963" s="612"/>
      <c r="H43963" s="612"/>
    </row>
    <row r="43964">
      <c r="B43964" s="612"/>
      <c r="H43964" s="612"/>
    </row>
    <row r="43965">
      <c r="B43965" s="612"/>
      <c r="H43965" s="612"/>
    </row>
    <row r="43966">
      <c r="B43966" s="612"/>
      <c r="H43966" s="612"/>
    </row>
    <row r="43967">
      <c r="B43967" s="612"/>
      <c r="H43967" s="612"/>
    </row>
    <row r="43968">
      <c r="B43968" s="612"/>
      <c r="H43968" s="612"/>
    </row>
    <row r="43969">
      <c r="B43969" s="612"/>
      <c r="H43969" s="612"/>
    </row>
    <row r="43970">
      <c r="B43970" s="612"/>
      <c r="H43970" s="612"/>
    </row>
    <row r="43971">
      <c r="B43971" s="612"/>
      <c r="H43971" s="612"/>
    </row>
    <row r="43972">
      <c r="B43972" s="612"/>
      <c r="H43972" s="612"/>
    </row>
    <row r="43973">
      <c r="B43973" s="612"/>
      <c r="H43973" s="612"/>
    </row>
    <row r="43974">
      <c r="B43974" s="612"/>
      <c r="H43974" s="612"/>
    </row>
    <row r="43975">
      <c r="B43975" s="612"/>
      <c r="H43975" s="612"/>
    </row>
    <row r="43976">
      <c r="B43976" s="612"/>
      <c r="H43976" s="612"/>
    </row>
    <row r="43977">
      <c r="B43977" s="612"/>
      <c r="H43977" s="612"/>
    </row>
    <row r="43978">
      <c r="B43978" s="612"/>
      <c r="H43978" s="612"/>
    </row>
    <row r="43979">
      <c r="B43979" s="612"/>
      <c r="H43979" s="612"/>
    </row>
    <row r="43980">
      <c r="B43980" s="612"/>
      <c r="H43980" s="612"/>
    </row>
    <row r="43981">
      <c r="B43981" s="612"/>
      <c r="H43981" s="612"/>
    </row>
    <row r="43982">
      <c r="B43982" s="612"/>
      <c r="H43982" s="612"/>
    </row>
    <row r="43983">
      <c r="B43983" s="612"/>
      <c r="H43983" s="612"/>
    </row>
    <row r="43984">
      <c r="B43984" s="612"/>
      <c r="H43984" s="612"/>
    </row>
    <row r="43985">
      <c r="B43985" s="612"/>
      <c r="H43985" s="612"/>
    </row>
    <row r="43986">
      <c r="B43986" s="612"/>
      <c r="H43986" s="612"/>
    </row>
    <row r="43987">
      <c r="B43987" s="612"/>
      <c r="H43987" s="612"/>
    </row>
    <row r="43988">
      <c r="B43988" s="612"/>
      <c r="H43988" s="612"/>
    </row>
    <row r="43989">
      <c r="B43989" s="612"/>
      <c r="H43989" s="612"/>
    </row>
    <row r="43990">
      <c r="B43990" s="612"/>
      <c r="H43990" s="612"/>
    </row>
    <row r="43991">
      <c r="B43991" s="612"/>
      <c r="H43991" s="612"/>
    </row>
    <row r="43992">
      <c r="B43992" s="612"/>
      <c r="H43992" s="612"/>
    </row>
    <row r="43993">
      <c r="B43993" s="612"/>
      <c r="H43993" s="612"/>
    </row>
    <row r="43994">
      <c r="B43994" s="612"/>
      <c r="H43994" s="612"/>
    </row>
    <row r="43995">
      <c r="B43995" s="612"/>
      <c r="H43995" s="612"/>
    </row>
    <row r="43996">
      <c r="B43996" s="612"/>
      <c r="H43996" s="612"/>
    </row>
    <row r="43997">
      <c r="B43997" s="612"/>
      <c r="H43997" s="612"/>
    </row>
    <row r="43998">
      <c r="B43998" s="612"/>
      <c r="H43998" s="612"/>
    </row>
    <row r="43999">
      <c r="B43999" s="612"/>
      <c r="H43999" s="612"/>
    </row>
    <row r="44000">
      <c r="B44000" s="612"/>
      <c r="H44000" s="612"/>
    </row>
    <row r="44001">
      <c r="B44001" s="612"/>
      <c r="H44001" s="612"/>
    </row>
    <row r="44002">
      <c r="B44002" s="612"/>
      <c r="H44002" s="612"/>
    </row>
    <row r="44003">
      <c r="B44003" s="612"/>
      <c r="H44003" s="612"/>
    </row>
    <row r="44004">
      <c r="B44004" s="612"/>
      <c r="H44004" s="612"/>
    </row>
    <row r="44005">
      <c r="B44005" s="612"/>
      <c r="H44005" s="612"/>
    </row>
    <row r="44006">
      <c r="B44006" s="612"/>
      <c r="H44006" s="612"/>
    </row>
    <row r="44007">
      <c r="B44007" s="612"/>
      <c r="H44007" s="612"/>
    </row>
    <row r="44008">
      <c r="B44008" s="612"/>
      <c r="H44008" s="612"/>
    </row>
    <row r="44009">
      <c r="B44009" s="612"/>
      <c r="H44009" s="612"/>
    </row>
    <row r="44010">
      <c r="B44010" s="612"/>
      <c r="H44010" s="612"/>
    </row>
    <row r="44011">
      <c r="B44011" s="612"/>
      <c r="H44011" s="612"/>
    </row>
    <row r="44012">
      <c r="B44012" s="612"/>
      <c r="H44012" s="612"/>
    </row>
    <row r="44013">
      <c r="B44013" s="612"/>
      <c r="H44013" s="612"/>
    </row>
    <row r="44014">
      <c r="B44014" s="612"/>
      <c r="H44014" s="612"/>
    </row>
    <row r="44015">
      <c r="B44015" s="612"/>
      <c r="H44015" s="612"/>
    </row>
    <row r="44016">
      <c r="B44016" s="612"/>
      <c r="H44016" s="612"/>
    </row>
    <row r="44017">
      <c r="B44017" s="612"/>
      <c r="H44017" s="612"/>
    </row>
    <row r="44018">
      <c r="B44018" s="612"/>
      <c r="H44018" s="612"/>
    </row>
    <row r="44019">
      <c r="B44019" s="612"/>
      <c r="H44019" s="612"/>
    </row>
    <row r="44020">
      <c r="B44020" s="612"/>
      <c r="H44020" s="612"/>
    </row>
    <row r="44021">
      <c r="B44021" s="612"/>
      <c r="H44021" s="612"/>
    </row>
    <row r="44022">
      <c r="B44022" s="612"/>
      <c r="H44022" s="612"/>
    </row>
    <row r="44023">
      <c r="B44023" s="612"/>
      <c r="H44023" s="612"/>
    </row>
    <row r="44024">
      <c r="B44024" s="612"/>
      <c r="H44024" s="612"/>
    </row>
    <row r="44025">
      <c r="B44025" s="612"/>
      <c r="H44025" s="612"/>
    </row>
    <row r="44026">
      <c r="B44026" s="612"/>
      <c r="H44026" s="612"/>
    </row>
    <row r="44027">
      <c r="B44027" s="612"/>
      <c r="H44027" s="612"/>
    </row>
    <row r="44028">
      <c r="B44028" s="612"/>
      <c r="H44028" s="612"/>
    </row>
    <row r="44029">
      <c r="B44029" s="612"/>
      <c r="H44029" s="612"/>
    </row>
    <row r="44030">
      <c r="B44030" s="612"/>
      <c r="H44030" s="612"/>
    </row>
    <row r="44031">
      <c r="B44031" s="612"/>
      <c r="H44031" s="612"/>
    </row>
    <row r="44032">
      <c r="B44032" s="612"/>
      <c r="H44032" s="612"/>
    </row>
    <row r="44033">
      <c r="B44033" s="612"/>
      <c r="H44033" s="612"/>
    </row>
    <row r="44034">
      <c r="B44034" s="612"/>
      <c r="H44034" s="612"/>
    </row>
    <row r="44035">
      <c r="B44035" s="612"/>
      <c r="H44035" s="612"/>
    </row>
    <row r="44036">
      <c r="B44036" s="612"/>
      <c r="H44036" s="612"/>
    </row>
    <row r="44037">
      <c r="B44037" s="612"/>
      <c r="H44037" s="612"/>
    </row>
    <row r="44038">
      <c r="B44038" s="612"/>
      <c r="H44038" s="612"/>
    </row>
    <row r="44039">
      <c r="B44039" s="612"/>
      <c r="H44039" s="612"/>
    </row>
    <row r="44040">
      <c r="B44040" s="612"/>
      <c r="H44040" s="612"/>
    </row>
    <row r="44041">
      <c r="B44041" s="612"/>
      <c r="H44041" s="612"/>
    </row>
    <row r="44042">
      <c r="B44042" s="612"/>
      <c r="H44042" s="612"/>
    </row>
    <row r="44043">
      <c r="B44043" s="612"/>
      <c r="H44043" s="612"/>
    </row>
    <row r="44044">
      <c r="B44044" s="612"/>
      <c r="H44044" s="612"/>
    </row>
    <row r="44045">
      <c r="B44045" s="612"/>
      <c r="H44045" s="612"/>
    </row>
    <row r="44046">
      <c r="B44046" s="612"/>
      <c r="H44046" s="612"/>
    </row>
    <row r="44047">
      <c r="B44047" s="612"/>
      <c r="H44047" s="612"/>
    </row>
    <row r="44048">
      <c r="B44048" s="612"/>
      <c r="H44048" s="612"/>
    </row>
    <row r="44049">
      <c r="B44049" s="612"/>
      <c r="H44049" s="612"/>
    </row>
    <row r="44050">
      <c r="B44050" s="612"/>
      <c r="H44050" s="612"/>
    </row>
    <row r="44051">
      <c r="B44051" s="612"/>
      <c r="H44051" s="612"/>
    </row>
    <row r="44052">
      <c r="B44052" s="612"/>
      <c r="H44052" s="612"/>
    </row>
    <row r="44053">
      <c r="B44053" s="612"/>
      <c r="H44053" s="612"/>
    </row>
    <row r="44054">
      <c r="B44054" s="612"/>
      <c r="H44054" s="612"/>
    </row>
    <row r="44055">
      <c r="B44055" s="612"/>
      <c r="H44055" s="612"/>
    </row>
    <row r="44056">
      <c r="B44056" s="612"/>
      <c r="H44056" s="612"/>
    </row>
    <row r="44057">
      <c r="B44057" s="612"/>
      <c r="H44057" s="612"/>
    </row>
    <row r="44058">
      <c r="B44058" s="612"/>
      <c r="H44058" s="612"/>
    </row>
    <row r="44059">
      <c r="B44059" s="612"/>
      <c r="H44059" s="612"/>
    </row>
    <row r="44060">
      <c r="B44060" s="612"/>
      <c r="H44060" s="612"/>
    </row>
    <row r="44061">
      <c r="B44061" s="612"/>
      <c r="H44061" s="612"/>
    </row>
    <row r="44062">
      <c r="B44062" s="612"/>
      <c r="H44062" s="612"/>
    </row>
    <row r="44063">
      <c r="B44063" s="612"/>
      <c r="H44063" s="612"/>
    </row>
    <row r="44064">
      <c r="B44064" s="612"/>
      <c r="H44064" s="612"/>
    </row>
    <row r="44065">
      <c r="B44065" s="612"/>
      <c r="H44065" s="612"/>
    </row>
    <row r="44066">
      <c r="B44066" s="612"/>
      <c r="H44066" s="612"/>
    </row>
    <row r="44067">
      <c r="B44067" s="612"/>
      <c r="H44067" s="612"/>
    </row>
    <row r="44068">
      <c r="B44068" s="612"/>
      <c r="H44068" s="612"/>
    </row>
    <row r="44069">
      <c r="B44069" s="612"/>
      <c r="H44069" s="612"/>
    </row>
    <row r="44070">
      <c r="B44070" s="612"/>
      <c r="H44070" s="612"/>
    </row>
    <row r="44071">
      <c r="B44071" s="612"/>
      <c r="H44071" s="612"/>
    </row>
    <row r="44072">
      <c r="B44072" s="612"/>
      <c r="H44072" s="612"/>
    </row>
    <row r="44073">
      <c r="B44073" s="612"/>
      <c r="H44073" s="612"/>
    </row>
    <row r="44074">
      <c r="B44074" s="612"/>
      <c r="H44074" s="612"/>
    </row>
    <row r="44075">
      <c r="B44075" s="612"/>
      <c r="H44075" s="612"/>
    </row>
    <row r="44076">
      <c r="B44076" s="612"/>
      <c r="H44076" s="612"/>
    </row>
    <row r="44077">
      <c r="B44077" s="612"/>
      <c r="H44077" s="612"/>
    </row>
    <row r="44078">
      <c r="B44078" s="612"/>
      <c r="H44078" s="612"/>
    </row>
    <row r="44079">
      <c r="B44079" s="612"/>
      <c r="H44079" s="612"/>
    </row>
    <row r="44080">
      <c r="B44080" s="612"/>
      <c r="H44080" s="612"/>
    </row>
    <row r="44081">
      <c r="B44081" s="612"/>
      <c r="H44081" s="612"/>
    </row>
    <row r="44082">
      <c r="B44082" s="612"/>
      <c r="H44082" s="612"/>
    </row>
    <row r="44083">
      <c r="B44083" s="612"/>
      <c r="H44083" s="612"/>
    </row>
    <row r="44084">
      <c r="B44084" s="612"/>
      <c r="H44084" s="612"/>
    </row>
    <row r="44085">
      <c r="B44085" s="612"/>
      <c r="H44085" s="612"/>
    </row>
    <row r="44086">
      <c r="B44086" s="612"/>
      <c r="H44086" s="612"/>
    </row>
    <row r="44087">
      <c r="B44087" s="612"/>
      <c r="H44087" s="612"/>
    </row>
    <row r="44088">
      <c r="B44088" s="612"/>
      <c r="H44088" s="612"/>
    </row>
    <row r="44089">
      <c r="B44089" s="612"/>
      <c r="H44089" s="612"/>
    </row>
    <row r="44090">
      <c r="B44090" s="612"/>
      <c r="H44090" s="612"/>
    </row>
    <row r="44091">
      <c r="B44091" s="612"/>
      <c r="H44091" s="612"/>
    </row>
    <row r="44092">
      <c r="B44092" s="612"/>
      <c r="H44092" s="612"/>
    </row>
    <row r="44093">
      <c r="B44093" s="612"/>
      <c r="H44093" s="612"/>
    </row>
    <row r="44094">
      <c r="B44094" s="612"/>
      <c r="H44094" s="612"/>
    </row>
    <row r="44095">
      <c r="B44095" s="612"/>
      <c r="H44095" s="612"/>
    </row>
    <row r="44096">
      <c r="B44096" s="612"/>
      <c r="H44096" s="612"/>
    </row>
    <row r="44097">
      <c r="B44097" s="612"/>
      <c r="H44097" s="612"/>
    </row>
    <row r="44098">
      <c r="B44098" s="612"/>
      <c r="H44098" s="612"/>
    </row>
    <row r="44099">
      <c r="B44099" s="612"/>
      <c r="H44099" s="612"/>
    </row>
    <row r="44100">
      <c r="B44100" s="612"/>
      <c r="H44100" s="612"/>
    </row>
    <row r="44101">
      <c r="B44101" s="612"/>
      <c r="H44101" s="612"/>
    </row>
    <row r="44102">
      <c r="B44102" s="612"/>
      <c r="H44102" s="612"/>
    </row>
    <row r="44103">
      <c r="B44103" s="612"/>
      <c r="H44103" s="612"/>
    </row>
    <row r="44104">
      <c r="B44104" s="612"/>
      <c r="H44104" s="612"/>
    </row>
    <row r="44105">
      <c r="B44105" s="612"/>
      <c r="H44105" s="612"/>
    </row>
    <row r="44106">
      <c r="B44106" s="612"/>
      <c r="H44106" s="612"/>
    </row>
    <row r="44107">
      <c r="B44107" s="612"/>
      <c r="H44107" s="612"/>
    </row>
    <row r="44108">
      <c r="B44108" s="612"/>
      <c r="H44108" s="612"/>
    </row>
    <row r="44109">
      <c r="B44109" s="612"/>
      <c r="H44109" s="612"/>
    </row>
    <row r="44110">
      <c r="B44110" s="612"/>
      <c r="H44110" s="612"/>
    </row>
    <row r="44111">
      <c r="B44111" s="612"/>
      <c r="H44111" s="612"/>
    </row>
    <row r="44112">
      <c r="B44112" s="612"/>
      <c r="H44112" s="612"/>
    </row>
    <row r="44113">
      <c r="B44113" s="612"/>
      <c r="H44113" s="612"/>
    </row>
    <row r="44114">
      <c r="B44114" s="612"/>
      <c r="H44114" s="612"/>
    </row>
    <row r="44115">
      <c r="B44115" s="612"/>
      <c r="H44115" s="612"/>
    </row>
    <row r="44116">
      <c r="B44116" s="612"/>
      <c r="H44116" s="612"/>
    </row>
    <row r="44117">
      <c r="B44117" s="612"/>
      <c r="H44117" s="612"/>
    </row>
    <row r="44118">
      <c r="B44118" s="612"/>
      <c r="H44118" s="612"/>
    </row>
    <row r="44119">
      <c r="B44119" s="612"/>
      <c r="H44119" s="612"/>
    </row>
    <row r="44120">
      <c r="B44120" s="612"/>
      <c r="H44120" s="612"/>
    </row>
    <row r="44121">
      <c r="B44121" s="612"/>
      <c r="H44121" s="612"/>
    </row>
    <row r="44122">
      <c r="B44122" s="612"/>
      <c r="H44122" s="612"/>
    </row>
    <row r="44123">
      <c r="B44123" s="612"/>
      <c r="H44123" s="612"/>
    </row>
    <row r="44124">
      <c r="B44124" s="612"/>
      <c r="H44124" s="612"/>
    </row>
    <row r="44125">
      <c r="B44125" s="612"/>
      <c r="H44125" s="612"/>
    </row>
    <row r="44126">
      <c r="B44126" s="612"/>
      <c r="H44126" s="612"/>
    </row>
    <row r="44127">
      <c r="B44127" s="612"/>
      <c r="H44127" s="612"/>
    </row>
    <row r="44128">
      <c r="B44128" s="612"/>
      <c r="H44128" s="612"/>
    </row>
    <row r="44129">
      <c r="B44129" s="612"/>
      <c r="H44129" s="612"/>
    </row>
    <row r="44130">
      <c r="B44130" s="612"/>
      <c r="H44130" s="612"/>
    </row>
    <row r="44131">
      <c r="B44131" s="612"/>
      <c r="H44131" s="612"/>
    </row>
    <row r="44132">
      <c r="B44132" s="612"/>
      <c r="H44132" s="612"/>
    </row>
    <row r="44133">
      <c r="B44133" s="612"/>
      <c r="H44133" s="612"/>
    </row>
    <row r="44134">
      <c r="B44134" s="612"/>
      <c r="H44134" s="612"/>
    </row>
    <row r="44135">
      <c r="B44135" s="612"/>
      <c r="H44135" s="612"/>
    </row>
    <row r="44136">
      <c r="B44136" s="612"/>
      <c r="H44136" s="612"/>
    </row>
    <row r="44137">
      <c r="B44137" s="612"/>
      <c r="H44137" s="612"/>
    </row>
    <row r="44138">
      <c r="B44138" s="612"/>
      <c r="H44138" s="612"/>
    </row>
    <row r="44139">
      <c r="B44139" s="612"/>
      <c r="H44139" s="612"/>
    </row>
    <row r="44140">
      <c r="B44140" s="612"/>
      <c r="H44140" s="612"/>
    </row>
    <row r="44141">
      <c r="B44141" s="612"/>
      <c r="H44141" s="612"/>
    </row>
    <row r="44142">
      <c r="B44142" s="612"/>
      <c r="H44142" s="612"/>
    </row>
    <row r="44143">
      <c r="B44143" s="612"/>
      <c r="H44143" s="612"/>
    </row>
    <row r="44144">
      <c r="B44144" s="612"/>
      <c r="H44144" s="612"/>
    </row>
    <row r="44145">
      <c r="B44145" s="612"/>
      <c r="H44145" s="612"/>
    </row>
    <row r="44146">
      <c r="B44146" s="612"/>
      <c r="H44146" s="612"/>
    </row>
    <row r="44147">
      <c r="B44147" s="612"/>
      <c r="H44147" s="612"/>
    </row>
    <row r="44148">
      <c r="B44148" s="612"/>
      <c r="H44148" s="612"/>
    </row>
    <row r="44149">
      <c r="B44149" s="612"/>
      <c r="H44149" s="612"/>
    </row>
    <row r="44150">
      <c r="B44150" s="612"/>
      <c r="H44150" s="612"/>
    </row>
    <row r="44151">
      <c r="B44151" s="612"/>
      <c r="H44151" s="612"/>
    </row>
    <row r="44152">
      <c r="B44152" s="612"/>
      <c r="H44152" s="612"/>
    </row>
    <row r="44153">
      <c r="B44153" s="612"/>
      <c r="H44153" s="612"/>
    </row>
    <row r="44154">
      <c r="B44154" s="612"/>
      <c r="H44154" s="612"/>
    </row>
    <row r="44155">
      <c r="B44155" s="612"/>
      <c r="H44155" s="612"/>
    </row>
    <row r="44156">
      <c r="B44156" s="612"/>
      <c r="H44156" s="612"/>
    </row>
    <row r="44157">
      <c r="B44157" s="612"/>
      <c r="H44157" s="612"/>
    </row>
    <row r="44158">
      <c r="B44158" s="612"/>
      <c r="H44158" s="612"/>
    </row>
    <row r="44159">
      <c r="B44159" s="612"/>
      <c r="H44159" s="612"/>
    </row>
    <row r="44160">
      <c r="B44160" s="612"/>
      <c r="H44160" s="612"/>
    </row>
    <row r="44161">
      <c r="B44161" s="612"/>
      <c r="H44161" s="612"/>
    </row>
    <row r="44162">
      <c r="B44162" s="612"/>
      <c r="H44162" s="612"/>
    </row>
    <row r="44163">
      <c r="B44163" s="612"/>
      <c r="H44163" s="612"/>
    </row>
    <row r="44164">
      <c r="B44164" s="612"/>
      <c r="H44164" s="612"/>
    </row>
    <row r="44165">
      <c r="B44165" s="612"/>
      <c r="H44165" s="612"/>
    </row>
    <row r="44166">
      <c r="B44166" s="612"/>
      <c r="H44166" s="612"/>
    </row>
    <row r="44167">
      <c r="B44167" s="612"/>
      <c r="H44167" s="612"/>
    </row>
    <row r="44168">
      <c r="B44168" s="612"/>
      <c r="H44168" s="612"/>
    </row>
    <row r="44169">
      <c r="B44169" s="612"/>
      <c r="H44169" s="612"/>
    </row>
    <row r="44170">
      <c r="B44170" s="612"/>
      <c r="H44170" s="612"/>
    </row>
    <row r="44171">
      <c r="B44171" s="612"/>
      <c r="H44171" s="612"/>
    </row>
    <row r="44172">
      <c r="B44172" s="612"/>
      <c r="H44172" s="612"/>
    </row>
    <row r="44173">
      <c r="B44173" s="612"/>
      <c r="H44173" s="612"/>
    </row>
    <row r="44174">
      <c r="B44174" s="612"/>
      <c r="H44174" s="612"/>
    </row>
    <row r="44175">
      <c r="B44175" s="612"/>
      <c r="H44175" s="612"/>
    </row>
    <row r="44176">
      <c r="B44176" s="612"/>
      <c r="H44176" s="612"/>
    </row>
    <row r="44177">
      <c r="B44177" s="612"/>
      <c r="H44177" s="612"/>
    </row>
    <row r="44178">
      <c r="B44178" s="612"/>
      <c r="H44178" s="612"/>
    </row>
    <row r="44179">
      <c r="B44179" s="612"/>
      <c r="H44179" s="612"/>
    </row>
    <row r="44180">
      <c r="B44180" s="612"/>
      <c r="H44180" s="612"/>
    </row>
    <row r="44181">
      <c r="B44181" s="612"/>
      <c r="H44181" s="612"/>
    </row>
    <row r="44182">
      <c r="B44182" s="612"/>
      <c r="H44182" s="612"/>
    </row>
    <row r="44183">
      <c r="B44183" s="612"/>
      <c r="H44183" s="612"/>
    </row>
    <row r="44184">
      <c r="B44184" s="612"/>
      <c r="H44184" s="612"/>
    </row>
    <row r="44185">
      <c r="B44185" s="612"/>
      <c r="H44185" s="612"/>
    </row>
    <row r="44186">
      <c r="B44186" s="612"/>
      <c r="H44186" s="612"/>
    </row>
    <row r="44187">
      <c r="B44187" s="612"/>
      <c r="H44187" s="612"/>
    </row>
    <row r="44188">
      <c r="B44188" s="612"/>
      <c r="H44188" s="612"/>
    </row>
    <row r="44189">
      <c r="B44189" s="612"/>
      <c r="H44189" s="612"/>
    </row>
    <row r="44190">
      <c r="B44190" s="612"/>
      <c r="H44190" s="612"/>
    </row>
    <row r="44191">
      <c r="B44191" s="612"/>
      <c r="H44191" s="612"/>
    </row>
    <row r="44192">
      <c r="B44192" s="612"/>
      <c r="H44192" s="612"/>
    </row>
    <row r="44193">
      <c r="B44193" s="612"/>
      <c r="H44193" s="612"/>
    </row>
    <row r="44194">
      <c r="B44194" s="612"/>
      <c r="H44194" s="612"/>
    </row>
    <row r="44195">
      <c r="B44195" s="612"/>
      <c r="H44195" s="612"/>
    </row>
    <row r="44196">
      <c r="B44196" s="612"/>
      <c r="H44196" s="612"/>
    </row>
    <row r="44197">
      <c r="B44197" s="612"/>
      <c r="H44197" s="612"/>
    </row>
    <row r="44198">
      <c r="B44198" s="612"/>
      <c r="H44198" s="612"/>
    </row>
    <row r="44199">
      <c r="B44199" s="612"/>
      <c r="H44199" s="612"/>
    </row>
    <row r="44200">
      <c r="B44200" s="612"/>
      <c r="H44200" s="612"/>
    </row>
    <row r="44201">
      <c r="B44201" s="612"/>
      <c r="H44201" s="612"/>
    </row>
    <row r="44202">
      <c r="B44202" s="612"/>
      <c r="H44202" s="612"/>
    </row>
    <row r="44203">
      <c r="B44203" s="612"/>
      <c r="H44203" s="612"/>
    </row>
    <row r="44204">
      <c r="B44204" s="612"/>
      <c r="H44204" s="612"/>
    </row>
    <row r="44205">
      <c r="B44205" s="612"/>
      <c r="H44205" s="612"/>
    </row>
    <row r="44206">
      <c r="B44206" s="612"/>
      <c r="H44206" s="612"/>
    </row>
    <row r="44207">
      <c r="B44207" s="612"/>
      <c r="H44207" s="612"/>
    </row>
    <row r="44208">
      <c r="B44208" s="612"/>
      <c r="H44208" s="612"/>
    </row>
    <row r="44209">
      <c r="B44209" s="612"/>
      <c r="H44209" s="612"/>
    </row>
    <row r="44210">
      <c r="B44210" s="612"/>
      <c r="H44210" s="612"/>
    </row>
    <row r="44211">
      <c r="B44211" s="612"/>
      <c r="H44211" s="612"/>
    </row>
    <row r="44212">
      <c r="B44212" s="612"/>
      <c r="H44212" s="612"/>
    </row>
    <row r="44213">
      <c r="B44213" s="612"/>
      <c r="H44213" s="612"/>
    </row>
    <row r="44214">
      <c r="B44214" s="612"/>
      <c r="H44214" s="612"/>
    </row>
    <row r="44215">
      <c r="B44215" s="612"/>
      <c r="H44215" s="612"/>
    </row>
    <row r="44216">
      <c r="B44216" s="612"/>
      <c r="H44216" s="612"/>
    </row>
    <row r="44217">
      <c r="B44217" s="612"/>
      <c r="H44217" s="612"/>
    </row>
    <row r="44218">
      <c r="B44218" s="612"/>
      <c r="H44218" s="612"/>
    </row>
    <row r="44219">
      <c r="B44219" s="612"/>
      <c r="H44219" s="612"/>
    </row>
    <row r="44220">
      <c r="B44220" s="612"/>
      <c r="H44220" s="612"/>
    </row>
    <row r="44221">
      <c r="B44221" s="612"/>
      <c r="H44221" s="612"/>
    </row>
    <row r="44222">
      <c r="B44222" s="612"/>
      <c r="H44222" s="612"/>
    </row>
    <row r="44223">
      <c r="B44223" s="612"/>
      <c r="H44223" s="612"/>
    </row>
    <row r="44224">
      <c r="B44224" s="612"/>
      <c r="H44224" s="612"/>
    </row>
    <row r="44225">
      <c r="B44225" s="612"/>
      <c r="H44225" s="612"/>
    </row>
    <row r="44226">
      <c r="B44226" s="612"/>
      <c r="H44226" s="612"/>
    </row>
    <row r="44227">
      <c r="B44227" s="612"/>
      <c r="H44227" s="612"/>
    </row>
    <row r="44228">
      <c r="B44228" s="612"/>
      <c r="H44228" s="612"/>
    </row>
    <row r="44229">
      <c r="B44229" s="612"/>
      <c r="H44229" s="612"/>
    </row>
    <row r="44230">
      <c r="B44230" s="612"/>
      <c r="H44230" s="612"/>
    </row>
    <row r="44231">
      <c r="B44231" s="612"/>
      <c r="H44231" s="612"/>
    </row>
    <row r="44232">
      <c r="B44232" s="612"/>
      <c r="H44232" s="612"/>
    </row>
    <row r="44233">
      <c r="B44233" s="612"/>
      <c r="H44233" s="612"/>
    </row>
    <row r="44234">
      <c r="B44234" s="612"/>
      <c r="H44234" s="612"/>
    </row>
    <row r="44235">
      <c r="B44235" s="612"/>
      <c r="H44235" s="612"/>
    </row>
    <row r="44236">
      <c r="B44236" s="612"/>
      <c r="H44236" s="612"/>
    </row>
    <row r="44237">
      <c r="B44237" s="612"/>
      <c r="H44237" s="612"/>
    </row>
    <row r="44238">
      <c r="B44238" s="612"/>
      <c r="H44238" s="612"/>
    </row>
    <row r="44239">
      <c r="B44239" s="612"/>
      <c r="H44239" s="612"/>
    </row>
    <row r="44240">
      <c r="B44240" s="612"/>
      <c r="H44240" s="612"/>
    </row>
    <row r="44241">
      <c r="B44241" s="612"/>
      <c r="H44241" s="612"/>
    </row>
    <row r="44242">
      <c r="B44242" s="612"/>
      <c r="H44242" s="612"/>
    </row>
    <row r="44243">
      <c r="B44243" s="612"/>
      <c r="H44243" s="612"/>
    </row>
    <row r="44244">
      <c r="B44244" s="612"/>
      <c r="H44244" s="612"/>
    </row>
    <row r="44245">
      <c r="B44245" s="612"/>
      <c r="H44245" s="612"/>
    </row>
    <row r="44246">
      <c r="B44246" s="612"/>
      <c r="H44246" s="612"/>
    </row>
    <row r="44247">
      <c r="B44247" s="612"/>
      <c r="H44247" s="612"/>
    </row>
    <row r="44248">
      <c r="B44248" s="612"/>
      <c r="H44248" s="612"/>
    </row>
    <row r="44249">
      <c r="B44249" s="612"/>
      <c r="H44249" s="612"/>
    </row>
    <row r="44250">
      <c r="B44250" s="612"/>
      <c r="H44250" s="612"/>
    </row>
    <row r="44251">
      <c r="B44251" s="612"/>
      <c r="H44251" s="612"/>
    </row>
    <row r="44252">
      <c r="B44252" s="612"/>
      <c r="H44252" s="612"/>
    </row>
    <row r="44253">
      <c r="B44253" s="612"/>
      <c r="H44253" s="612"/>
    </row>
    <row r="44254">
      <c r="B44254" s="612"/>
      <c r="H44254" s="612"/>
    </row>
    <row r="44255">
      <c r="B44255" s="612"/>
      <c r="H44255" s="612"/>
    </row>
    <row r="44256">
      <c r="B44256" s="612"/>
      <c r="H44256" s="612"/>
    </row>
    <row r="44257">
      <c r="B44257" s="612"/>
      <c r="H44257" s="612"/>
    </row>
    <row r="44258">
      <c r="B44258" s="612"/>
      <c r="H44258" s="612"/>
    </row>
    <row r="44259">
      <c r="B44259" s="612"/>
      <c r="H44259" s="612"/>
    </row>
    <row r="44260">
      <c r="B44260" s="612"/>
      <c r="H44260" s="612"/>
    </row>
    <row r="44261">
      <c r="B44261" s="612"/>
      <c r="H44261" s="612"/>
    </row>
    <row r="44262">
      <c r="B44262" s="612"/>
      <c r="H44262" s="612"/>
    </row>
    <row r="44263">
      <c r="B44263" s="612"/>
      <c r="H44263" s="612"/>
    </row>
    <row r="44264">
      <c r="B44264" s="612"/>
      <c r="H44264" s="612"/>
    </row>
    <row r="44265">
      <c r="B44265" s="612"/>
      <c r="H44265" s="612"/>
    </row>
    <row r="44266">
      <c r="B44266" s="612"/>
      <c r="H44266" s="612"/>
    </row>
    <row r="44267">
      <c r="B44267" s="612"/>
      <c r="H44267" s="612"/>
    </row>
    <row r="44268">
      <c r="B44268" s="612"/>
      <c r="H44268" s="612"/>
    </row>
    <row r="44269">
      <c r="B44269" s="612"/>
      <c r="H44269" s="612"/>
    </row>
    <row r="44270">
      <c r="B44270" s="612"/>
      <c r="H44270" s="612"/>
    </row>
    <row r="44271">
      <c r="B44271" s="612"/>
      <c r="H44271" s="612"/>
    </row>
    <row r="44272">
      <c r="B44272" s="612"/>
      <c r="H44272" s="612"/>
    </row>
    <row r="44273">
      <c r="B44273" s="612"/>
      <c r="H44273" s="612"/>
    </row>
    <row r="44274">
      <c r="B44274" s="612"/>
      <c r="H44274" s="612"/>
    </row>
    <row r="44275">
      <c r="B44275" s="612"/>
      <c r="H44275" s="612"/>
    </row>
    <row r="44276">
      <c r="B44276" s="612"/>
      <c r="H44276" s="612"/>
    </row>
    <row r="44277">
      <c r="B44277" s="612"/>
      <c r="H44277" s="612"/>
    </row>
    <row r="44278">
      <c r="B44278" s="612"/>
      <c r="H44278" s="612"/>
    </row>
    <row r="44279">
      <c r="B44279" s="612"/>
      <c r="H44279" s="612"/>
    </row>
    <row r="44280">
      <c r="B44280" s="612"/>
      <c r="H44280" s="612"/>
    </row>
    <row r="44281">
      <c r="B44281" s="612"/>
      <c r="H44281" s="612"/>
    </row>
    <row r="44282">
      <c r="B44282" s="612"/>
      <c r="H44282" s="612"/>
    </row>
    <row r="44283">
      <c r="B44283" s="612"/>
      <c r="H44283" s="612"/>
    </row>
    <row r="44284">
      <c r="B44284" s="612"/>
      <c r="H44284" s="612"/>
    </row>
    <row r="44285">
      <c r="B44285" s="612"/>
      <c r="H44285" s="612"/>
    </row>
    <row r="44286">
      <c r="B44286" s="612"/>
      <c r="H44286" s="612"/>
    </row>
    <row r="44287">
      <c r="B44287" s="612"/>
      <c r="H44287" s="612"/>
    </row>
    <row r="44288">
      <c r="B44288" s="612"/>
      <c r="H44288" s="612"/>
    </row>
    <row r="44289">
      <c r="B44289" s="612"/>
      <c r="H44289" s="612"/>
    </row>
    <row r="44290">
      <c r="B44290" s="612"/>
      <c r="H44290" s="612"/>
    </row>
    <row r="44291">
      <c r="B44291" s="612"/>
      <c r="H44291" s="612"/>
    </row>
    <row r="44292">
      <c r="B44292" s="612"/>
      <c r="H44292" s="612"/>
    </row>
    <row r="44293">
      <c r="B44293" s="612"/>
      <c r="H44293" s="612"/>
    </row>
    <row r="44294">
      <c r="B44294" s="612"/>
      <c r="H44294" s="612"/>
    </row>
    <row r="44295">
      <c r="B44295" s="612"/>
      <c r="H44295" s="612"/>
    </row>
    <row r="44296">
      <c r="B44296" s="612"/>
      <c r="H44296" s="612"/>
    </row>
    <row r="44297">
      <c r="B44297" s="612"/>
      <c r="H44297" s="612"/>
    </row>
    <row r="44298">
      <c r="B44298" s="612"/>
      <c r="H44298" s="612"/>
    </row>
    <row r="44299">
      <c r="B44299" s="612"/>
      <c r="H44299" s="612"/>
    </row>
    <row r="44300">
      <c r="B44300" s="612"/>
      <c r="H44300" s="612"/>
    </row>
    <row r="44301">
      <c r="B44301" s="612"/>
      <c r="H44301" s="612"/>
    </row>
    <row r="44302">
      <c r="B44302" s="612"/>
      <c r="H44302" s="612"/>
    </row>
    <row r="44303">
      <c r="B44303" s="612"/>
      <c r="H44303" s="612"/>
    </row>
    <row r="44304">
      <c r="B44304" s="612"/>
      <c r="H44304" s="612"/>
    </row>
    <row r="44305">
      <c r="B44305" s="612"/>
      <c r="H44305" s="612"/>
    </row>
    <row r="44306">
      <c r="B44306" s="612"/>
      <c r="H44306" s="612"/>
    </row>
    <row r="44307">
      <c r="B44307" s="612"/>
      <c r="H44307" s="612"/>
    </row>
    <row r="44308">
      <c r="B44308" s="612"/>
      <c r="H44308" s="612"/>
    </row>
    <row r="44309">
      <c r="B44309" s="612"/>
      <c r="H44309" s="612"/>
    </row>
    <row r="44310">
      <c r="B44310" s="612"/>
      <c r="H44310" s="612"/>
    </row>
    <row r="44311">
      <c r="B44311" s="612"/>
      <c r="H44311" s="612"/>
    </row>
    <row r="44312">
      <c r="B44312" s="612"/>
      <c r="H44312" s="612"/>
    </row>
    <row r="44313">
      <c r="B44313" s="612"/>
      <c r="H44313" s="612"/>
    </row>
    <row r="44314">
      <c r="B44314" s="612"/>
      <c r="H44314" s="612"/>
    </row>
    <row r="44315">
      <c r="B44315" s="612"/>
      <c r="H44315" s="612"/>
    </row>
    <row r="44316">
      <c r="B44316" s="612"/>
      <c r="H44316" s="612"/>
    </row>
    <row r="44317">
      <c r="B44317" s="612"/>
      <c r="H44317" s="612"/>
    </row>
    <row r="44318">
      <c r="B44318" s="612"/>
      <c r="H44318" s="612"/>
    </row>
    <row r="44319">
      <c r="B44319" s="612"/>
      <c r="H44319" s="612"/>
    </row>
    <row r="44320">
      <c r="B44320" s="612"/>
      <c r="H44320" s="612"/>
    </row>
    <row r="44321">
      <c r="B44321" s="612"/>
      <c r="H44321" s="612"/>
    </row>
    <row r="44322">
      <c r="B44322" s="612"/>
      <c r="H44322" s="612"/>
    </row>
    <row r="44323">
      <c r="B44323" s="612"/>
      <c r="H44323" s="612"/>
    </row>
    <row r="44324">
      <c r="B44324" s="612"/>
      <c r="H44324" s="612"/>
    </row>
    <row r="44325">
      <c r="B44325" s="612"/>
      <c r="H44325" s="612"/>
    </row>
    <row r="44326">
      <c r="B44326" s="612"/>
      <c r="H44326" s="612"/>
    </row>
    <row r="44327">
      <c r="B44327" s="612"/>
      <c r="H44327" s="612"/>
    </row>
    <row r="44328">
      <c r="B44328" s="612"/>
      <c r="H44328" s="612"/>
    </row>
    <row r="44329">
      <c r="B44329" s="612"/>
      <c r="H44329" s="612"/>
    </row>
    <row r="44330">
      <c r="B44330" s="612"/>
      <c r="H44330" s="612"/>
    </row>
    <row r="44331">
      <c r="B44331" s="612"/>
      <c r="H44331" s="612"/>
    </row>
    <row r="44332">
      <c r="B44332" s="612"/>
      <c r="H44332" s="612"/>
    </row>
    <row r="44333">
      <c r="B44333" s="612"/>
      <c r="H44333" s="612"/>
    </row>
    <row r="44334">
      <c r="B44334" s="612"/>
      <c r="H44334" s="612"/>
    </row>
    <row r="44335">
      <c r="B44335" s="612"/>
      <c r="H44335" s="612"/>
    </row>
    <row r="44336">
      <c r="B44336" s="612"/>
      <c r="H44336" s="612"/>
    </row>
    <row r="44337">
      <c r="B44337" s="612"/>
      <c r="H44337" s="612"/>
    </row>
    <row r="44338">
      <c r="B44338" s="612"/>
      <c r="H44338" s="612"/>
    </row>
    <row r="44339">
      <c r="B44339" s="612"/>
      <c r="H44339" s="612"/>
    </row>
    <row r="44340">
      <c r="B44340" s="612"/>
      <c r="H44340" s="612"/>
    </row>
    <row r="44341">
      <c r="B44341" s="612"/>
      <c r="H44341" s="612"/>
    </row>
    <row r="44342">
      <c r="B44342" s="612"/>
      <c r="H44342" s="612"/>
    </row>
    <row r="44343">
      <c r="B44343" s="612"/>
      <c r="H44343" s="612"/>
    </row>
    <row r="44344">
      <c r="B44344" s="612"/>
      <c r="H44344" s="612"/>
    </row>
    <row r="44345">
      <c r="B44345" s="612"/>
      <c r="H44345" s="612"/>
    </row>
    <row r="44346">
      <c r="B44346" s="612"/>
      <c r="H44346" s="612"/>
    </row>
    <row r="44347">
      <c r="B44347" s="612"/>
      <c r="H44347" s="612"/>
    </row>
    <row r="44348">
      <c r="B44348" s="612"/>
      <c r="H44348" s="612"/>
    </row>
    <row r="44349">
      <c r="B44349" s="612"/>
      <c r="H44349" s="612"/>
    </row>
    <row r="44350">
      <c r="B44350" s="612"/>
      <c r="H44350" s="612"/>
    </row>
    <row r="44351">
      <c r="B44351" s="612"/>
      <c r="H44351" s="612"/>
    </row>
    <row r="44352">
      <c r="B44352" s="612"/>
      <c r="H44352" s="612"/>
    </row>
    <row r="44353">
      <c r="B44353" s="612"/>
      <c r="H44353" s="612"/>
    </row>
    <row r="44354">
      <c r="B44354" s="612"/>
      <c r="H44354" s="612"/>
    </row>
    <row r="44355">
      <c r="B44355" s="612"/>
      <c r="H44355" s="612"/>
    </row>
    <row r="44356">
      <c r="B44356" s="612"/>
      <c r="H44356" s="612"/>
    </row>
    <row r="44357">
      <c r="B44357" s="612"/>
      <c r="H44357" s="612"/>
    </row>
    <row r="44358">
      <c r="B44358" s="612"/>
      <c r="H44358" s="612"/>
    </row>
    <row r="44359">
      <c r="B44359" s="612"/>
      <c r="H44359" s="612"/>
    </row>
    <row r="44360">
      <c r="B44360" s="612"/>
      <c r="H44360" s="612"/>
    </row>
    <row r="44361">
      <c r="B44361" s="612"/>
      <c r="H44361" s="612"/>
    </row>
    <row r="44362">
      <c r="B44362" s="612"/>
      <c r="H44362" s="612"/>
    </row>
    <row r="44363">
      <c r="B44363" s="612"/>
      <c r="H44363" s="612"/>
    </row>
    <row r="44364">
      <c r="B44364" s="612"/>
      <c r="H44364" s="612"/>
    </row>
    <row r="44365">
      <c r="B44365" s="612"/>
      <c r="H44365" s="612"/>
    </row>
    <row r="44366">
      <c r="B44366" s="612"/>
      <c r="H44366" s="612"/>
    </row>
    <row r="44367">
      <c r="B44367" s="612"/>
      <c r="H44367" s="612"/>
    </row>
    <row r="44368">
      <c r="B44368" s="612"/>
      <c r="H44368" s="612"/>
    </row>
    <row r="44369">
      <c r="B44369" s="612"/>
      <c r="H44369" s="612"/>
    </row>
    <row r="44370">
      <c r="B44370" s="612"/>
      <c r="H44370" s="612"/>
    </row>
    <row r="44371">
      <c r="B44371" s="612"/>
      <c r="H44371" s="612"/>
    </row>
    <row r="44372">
      <c r="B44372" s="612"/>
      <c r="H44372" s="612"/>
    </row>
    <row r="44373">
      <c r="B44373" s="612"/>
      <c r="H44373" s="612"/>
    </row>
    <row r="44374">
      <c r="B44374" s="612"/>
      <c r="H44374" s="612"/>
    </row>
    <row r="44375">
      <c r="B44375" s="612"/>
      <c r="H44375" s="612"/>
    </row>
    <row r="44376">
      <c r="B44376" s="612"/>
      <c r="H44376" s="612"/>
    </row>
    <row r="44377">
      <c r="B44377" s="612"/>
      <c r="H44377" s="612"/>
    </row>
    <row r="44378">
      <c r="B44378" s="612"/>
      <c r="H44378" s="612"/>
    </row>
    <row r="44379">
      <c r="B44379" s="612"/>
      <c r="H44379" s="612"/>
    </row>
    <row r="44380">
      <c r="B44380" s="612"/>
      <c r="H44380" s="612"/>
    </row>
    <row r="44381">
      <c r="B44381" s="612"/>
      <c r="H44381" s="612"/>
    </row>
    <row r="44382">
      <c r="B44382" s="612"/>
      <c r="H44382" s="612"/>
    </row>
    <row r="44383">
      <c r="B44383" s="612"/>
      <c r="H44383" s="612"/>
    </row>
    <row r="44384">
      <c r="B44384" s="612"/>
      <c r="H44384" s="612"/>
    </row>
    <row r="44385">
      <c r="B44385" s="612"/>
      <c r="H44385" s="612"/>
    </row>
    <row r="44386">
      <c r="B44386" s="612"/>
      <c r="H44386" s="612"/>
    </row>
    <row r="44387">
      <c r="B44387" s="612"/>
      <c r="H44387" s="612"/>
    </row>
    <row r="44388">
      <c r="B44388" s="612"/>
      <c r="H44388" s="612"/>
    </row>
    <row r="44389">
      <c r="B44389" s="612"/>
      <c r="H44389" s="612"/>
    </row>
    <row r="44390">
      <c r="B44390" s="612"/>
      <c r="H44390" s="612"/>
    </row>
    <row r="44391">
      <c r="B44391" s="612"/>
      <c r="H44391" s="612"/>
    </row>
    <row r="44392">
      <c r="B44392" s="612"/>
      <c r="H44392" s="612"/>
    </row>
    <row r="44393">
      <c r="B44393" s="612"/>
      <c r="H44393" s="612"/>
    </row>
    <row r="44394">
      <c r="B44394" s="612"/>
      <c r="H44394" s="612"/>
    </row>
    <row r="44395">
      <c r="B44395" s="612"/>
      <c r="H44395" s="612"/>
    </row>
    <row r="44396">
      <c r="B44396" s="612"/>
      <c r="H44396" s="612"/>
    </row>
    <row r="44397">
      <c r="B44397" s="612"/>
      <c r="H44397" s="612"/>
    </row>
    <row r="44398">
      <c r="B44398" s="612"/>
      <c r="H44398" s="612"/>
    </row>
    <row r="44399">
      <c r="B44399" s="612"/>
      <c r="H44399" s="612"/>
    </row>
    <row r="44400">
      <c r="B44400" s="612"/>
      <c r="H44400" s="612"/>
    </row>
    <row r="44401">
      <c r="B44401" s="612"/>
      <c r="H44401" s="612"/>
    </row>
    <row r="44402">
      <c r="B44402" s="612"/>
      <c r="H44402" s="612"/>
    </row>
    <row r="44403">
      <c r="B44403" s="612"/>
      <c r="H44403" s="612"/>
    </row>
    <row r="44404">
      <c r="B44404" s="612"/>
      <c r="H44404" s="612"/>
    </row>
    <row r="44405">
      <c r="B44405" s="612"/>
      <c r="H44405" s="612"/>
    </row>
    <row r="44406">
      <c r="B44406" s="612"/>
      <c r="H44406" s="612"/>
    </row>
    <row r="44407">
      <c r="B44407" s="612"/>
      <c r="H44407" s="612"/>
    </row>
    <row r="44408">
      <c r="B44408" s="612"/>
      <c r="H44408" s="612"/>
    </row>
    <row r="44409">
      <c r="B44409" s="612"/>
      <c r="H44409" s="612"/>
    </row>
    <row r="44410">
      <c r="B44410" s="612"/>
      <c r="H44410" s="612"/>
    </row>
    <row r="44411">
      <c r="B44411" s="612"/>
      <c r="H44411" s="612"/>
    </row>
    <row r="44412">
      <c r="B44412" s="612"/>
      <c r="H44412" s="612"/>
    </row>
    <row r="44413">
      <c r="B44413" s="612"/>
      <c r="H44413" s="612"/>
    </row>
    <row r="44414">
      <c r="B44414" s="612"/>
      <c r="H44414" s="612"/>
    </row>
    <row r="44415">
      <c r="B44415" s="612"/>
      <c r="H44415" s="612"/>
    </row>
    <row r="44416">
      <c r="B44416" s="612"/>
      <c r="H44416" s="612"/>
    </row>
    <row r="44417">
      <c r="B44417" s="612"/>
      <c r="H44417" s="612"/>
    </row>
    <row r="44418">
      <c r="B44418" s="612"/>
      <c r="H44418" s="612"/>
    </row>
    <row r="44419">
      <c r="B44419" s="612"/>
      <c r="H44419" s="612"/>
    </row>
    <row r="44420">
      <c r="B44420" s="612"/>
      <c r="H44420" s="612"/>
    </row>
    <row r="44421">
      <c r="B44421" s="612"/>
      <c r="H44421" s="612"/>
    </row>
    <row r="44422">
      <c r="B44422" s="612"/>
      <c r="H44422" s="612"/>
    </row>
    <row r="44423">
      <c r="B44423" s="612"/>
      <c r="H44423" s="612"/>
    </row>
    <row r="44424">
      <c r="B44424" s="612"/>
      <c r="H44424" s="612"/>
    </row>
    <row r="44425">
      <c r="B44425" s="612"/>
      <c r="H44425" s="612"/>
    </row>
    <row r="44426">
      <c r="B44426" s="612"/>
      <c r="H44426" s="612"/>
    </row>
    <row r="44427">
      <c r="B44427" s="612"/>
      <c r="H44427" s="612"/>
    </row>
    <row r="44428">
      <c r="B44428" s="612"/>
      <c r="H44428" s="612"/>
    </row>
    <row r="44429">
      <c r="B44429" s="612"/>
      <c r="H44429" s="612"/>
    </row>
    <row r="44430">
      <c r="B44430" s="612"/>
      <c r="H44430" s="612"/>
    </row>
    <row r="44431">
      <c r="B44431" s="612"/>
      <c r="H44431" s="612"/>
    </row>
    <row r="44432">
      <c r="B44432" s="612"/>
      <c r="H44432" s="612"/>
    </row>
    <row r="44433">
      <c r="B44433" s="612"/>
      <c r="H44433" s="612"/>
    </row>
    <row r="44434">
      <c r="B44434" s="612"/>
      <c r="H44434" s="612"/>
    </row>
    <row r="44435">
      <c r="B44435" s="612"/>
      <c r="H44435" s="612"/>
    </row>
    <row r="44436">
      <c r="B44436" s="612"/>
      <c r="H44436" s="612"/>
    </row>
    <row r="44437">
      <c r="B44437" s="612"/>
      <c r="H44437" s="612"/>
    </row>
    <row r="44438">
      <c r="B44438" s="612"/>
      <c r="H44438" s="612"/>
    </row>
    <row r="44439">
      <c r="B44439" s="612"/>
      <c r="H44439" s="612"/>
    </row>
    <row r="44440">
      <c r="B44440" s="612"/>
      <c r="H44440" s="612"/>
    </row>
    <row r="44441">
      <c r="B44441" s="612"/>
      <c r="H44441" s="612"/>
    </row>
    <row r="44442">
      <c r="B44442" s="612"/>
      <c r="H44442" s="612"/>
    </row>
    <row r="44443">
      <c r="B44443" s="612"/>
      <c r="H44443" s="612"/>
    </row>
    <row r="44444">
      <c r="B44444" s="612"/>
      <c r="H44444" s="612"/>
    </row>
    <row r="44445">
      <c r="B44445" s="612"/>
      <c r="H44445" s="612"/>
    </row>
    <row r="44446">
      <c r="B44446" s="612"/>
      <c r="H44446" s="612"/>
    </row>
    <row r="44447">
      <c r="B44447" s="612"/>
      <c r="H44447" s="612"/>
    </row>
    <row r="44448">
      <c r="B44448" s="612"/>
      <c r="H44448" s="612"/>
    </row>
    <row r="44449">
      <c r="B44449" s="612"/>
      <c r="H44449" s="612"/>
    </row>
    <row r="44450">
      <c r="B44450" s="612"/>
      <c r="H44450" s="612"/>
    </row>
    <row r="44451">
      <c r="B44451" s="612"/>
      <c r="H44451" s="612"/>
    </row>
    <row r="44452">
      <c r="B44452" s="612"/>
      <c r="H44452" s="612"/>
    </row>
    <row r="44453">
      <c r="B44453" s="612"/>
      <c r="H44453" s="612"/>
    </row>
    <row r="44454">
      <c r="B44454" s="612"/>
      <c r="H44454" s="612"/>
    </row>
    <row r="44455">
      <c r="B44455" s="612"/>
      <c r="H44455" s="612"/>
    </row>
    <row r="44456">
      <c r="B44456" s="612"/>
      <c r="H44456" s="612"/>
    </row>
    <row r="44457">
      <c r="B44457" s="612"/>
      <c r="H44457" s="612"/>
    </row>
    <row r="44458">
      <c r="B44458" s="612"/>
      <c r="H44458" s="612"/>
    </row>
    <row r="44459">
      <c r="B44459" s="612"/>
      <c r="H44459" s="612"/>
    </row>
    <row r="44460">
      <c r="B44460" s="612"/>
      <c r="H44460" s="612"/>
    </row>
    <row r="44461">
      <c r="B44461" s="612"/>
      <c r="H44461" s="612"/>
    </row>
    <row r="44462">
      <c r="B44462" s="612"/>
      <c r="H44462" s="612"/>
    </row>
    <row r="44463">
      <c r="B44463" s="612"/>
      <c r="H44463" s="612"/>
    </row>
    <row r="44464">
      <c r="B44464" s="612"/>
      <c r="H44464" s="612"/>
    </row>
    <row r="44465">
      <c r="B44465" s="612"/>
      <c r="H44465" s="612"/>
    </row>
    <row r="44466">
      <c r="B44466" s="612"/>
      <c r="H44466" s="612"/>
    </row>
    <row r="44467">
      <c r="B44467" s="612"/>
      <c r="H44467" s="612"/>
    </row>
    <row r="44468">
      <c r="B44468" s="612"/>
      <c r="H44468" s="612"/>
    </row>
    <row r="44469">
      <c r="B44469" s="612"/>
      <c r="H44469" s="612"/>
    </row>
    <row r="44470">
      <c r="B44470" s="612"/>
      <c r="H44470" s="612"/>
    </row>
    <row r="44471">
      <c r="B44471" s="612"/>
      <c r="H44471" s="612"/>
    </row>
    <row r="44472">
      <c r="B44472" s="612"/>
      <c r="H44472" s="612"/>
    </row>
    <row r="44473">
      <c r="B44473" s="612"/>
      <c r="H44473" s="612"/>
    </row>
    <row r="44474">
      <c r="B44474" s="612"/>
      <c r="H44474" s="612"/>
    </row>
    <row r="44475">
      <c r="B44475" s="612"/>
      <c r="H44475" s="612"/>
    </row>
    <row r="44476">
      <c r="B44476" s="612"/>
      <c r="H44476" s="612"/>
    </row>
    <row r="44477">
      <c r="B44477" s="612"/>
      <c r="H44477" s="612"/>
    </row>
    <row r="44478">
      <c r="B44478" s="612"/>
      <c r="H44478" s="612"/>
    </row>
    <row r="44479">
      <c r="B44479" s="612"/>
      <c r="H44479" s="612"/>
    </row>
    <row r="44480">
      <c r="B44480" s="612"/>
      <c r="H44480" s="612"/>
    </row>
    <row r="44481">
      <c r="B44481" s="612"/>
      <c r="H44481" s="612"/>
    </row>
    <row r="44482">
      <c r="B44482" s="612"/>
      <c r="H44482" s="612"/>
    </row>
    <row r="44483">
      <c r="B44483" s="612"/>
      <c r="H44483" s="612"/>
    </row>
    <row r="44484">
      <c r="B44484" s="612"/>
      <c r="H44484" s="612"/>
    </row>
    <row r="44485">
      <c r="B44485" s="612"/>
      <c r="H44485" s="612"/>
    </row>
    <row r="44486">
      <c r="B44486" s="612"/>
      <c r="H44486" s="612"/>
    </row>
    <row r="44487">
      <c r="B44487" s="612"/>
      <c r="H44487" s="612"/>
    </row>
    <row r="44488">
      <c r="B44488" s="612"/>
      <c r="H44488" s="612"/>
    </row>
    <row r="44489">
      <c r="B44489" s="612"/>
      <c r="H44489" s="612"/>
    </row>
    <row r="44490">
      <c r="B44490" s="612"/>
      <c r="H44490" s="612"/>
    </row>
    <row r="44491">
      <c r="B44491" s="612"/>
      <c r="H44491" s="612"/>
    </row>
    <row r="44492">
      <c r="B44492" s="612"/>
      <c r="H44492" s="612"/>
    </row>
    <row r="44493">
      <c r="B44493" s="612"/>
      <c r="H44493" s="612"/>
    </row>
    <row r="44494">
      <c r="B44494" s="612"/>
      <c r="H44494" s="612"/>
    </row>
    <row r="44495">
      <c r="B44495" s="612"/>
      <c r="H44495" s="612"/>
    </row>
    <row r="44496">
      <c r="B44496" s="612"/>
      <c r="H44496" s="612"/>
    </row>
    <row r="44497">
      <c r="B44497" s="612"/>
      <c r="H44497" s="612"/>
    </row>
    <row r="44498">
      <c r="B44498" s="612"/>
      <c r="H44498" s="612"/>
    </row>
    <row r="44499">
      <c r="B44499" s="612"/>
      <c r="H44499" s="612"/>
    </row>
    <row r="44500">
      <c r="B44500" s="612"/>
      <c r="H44500" s="612"/>
    </row>
    <row r="44501">
      <c r="B44501" s="612"/>
      <c r="H44501" s="612"/>
    </row>
    <row r="44502">
      <c r="B44502" s="612"/>
      <c r="H44502" s="612"/>
    </row>
    <row r="44503">
      <c r="B44503" s="612"/>
      <c r="H44503" s="612"/>
    </row>
    <row r="44504">
      <c r="B44504" s="612"/>
      <c r="H44504" s="612"/>
    </row>
    <row r="44505">
      <c r="B44505" s="612"/>
      <c r="H44505" s="612"/>
    </row>
    <row r="44506">
      <c r="B44506" s="612"/>
      <c r="H44506" s="612"/>
    </row>
    <row r="44507">
      <c r="B44507" s="612"/>
      <c r="H44507" s="612"/>
    </row>
    <row r="44508">
      <c r="B44508" s="612"/>
      <c r="H44508" s="612"/>
    </row>
    <row r="44509">
      <c r="B44509" s="612"/>
      <c r="H44509" s="612"/>
    </row>
    <row r="44510">
      <c r="B44510" s="612"/>
      <c r="H44510" s="612"/>
    </row>
    <row r="44511">
      <c r="B44511" s="612"/>
      <c r="H44511" s="612"/>
    </row>
    <row r="44512">
      <c r="B44512" s="612"/>
      <c r="H44512" s="612"/>
    </row>
    <row r="44513">
      <c r="B44513" s="612"/>
      <c r="H44513" s="612"/>
    </row>
    <row r="44514">
      <c r="B44514" s="612"/>
      <c r="H44514" s="612"/>
    </row>
    <row r="44515">
      <c r="B44515" s="612"/>
      <c r="H44515" s="612"/>
    </row>
    <row r="44516">
      <c r="B44516" s="612"/>
      <c r="H44516" s="612"/>
    </row>
    <row r="44517">
      <c r="B44517" s="612"/>
      <c r="H44517" s="612"/>
    </row>
    <row r="44518">
      <c r="B44518" s="612"/>
      <c r="H44518" s="612"/>
    </row>
    <row r="44519">
      <c r="B44519" s="612"/>
      <c r="H44519" s="612"/>
    </row>
    <row r="44520">
      <c r="B44520" s="612"/>
      <c r="H44520" s="612"/>
    </row>
    <row r="44521">
      <c r="B44521" s="612"/>
      <c r="H44521" s="612"/>
    </row>
    <row r="44522">
      <c r="B44522" s="612"/>
      <c r="H44522" s="612"/>
    </row>
    <row r="44523">
      <c r="B44523" s="612"/>
      <c r="H44523" s="612"/>
    </row>
    <row r="44524">
      <c r="B44524" s="612"/>
      <c r="H44524" s="612"/>
    </row>
    <row r="44525">
      <c r="B44525" s="612"/>
      <c r="H44525" s="612"/>
    </row>
    <row r="44526">
      <c r="B44526" s="612"/>
      <c r="H44526" s="612"/>
    </row>
    <row r="44527">
      <c r="B44527" s="612"/>
      <c r="H44527" s="612"/>
    </row>
    <row r="44528">
      <c r="B44528" s="612"/>
      <c r="H44528" s="612"/>
    </row>
    <row r="44529">
      <c r="B44529" s="612"/>
      <c r="H44529" s="612"/>
    </row>
    <row r="44530">
      <c r="B44530" s="612"/>
      <c r="H44530" s="612"/>
    </row>
    <row r="44531">
      <c r="B44531" s="612"/>
      <c r="H44531" s="612"/>
    </row>
    <row r="44532">
      <c r="B44532" s="612"/>
      <c r="H44532" s="612"/>
    </row>
    <row r="44533">
      <c r="B44533" s="612"/>
      <c r="H44533" s="612"/>
    </row>
    <row r="44534">
      <c r="B44534" s="612"/>
      <c r="H44534" s="612"/>
    </row>
    <row r="44535">
      <c r="B44535" s="612"/>
      <c r="H44535" s="612"/>
    </row>
    <row r="44536">
      <c r="B44536" s="612"/>
      <c r="H44536" s="612"/>
    </row>
    <row r="44537">
      <c r="B44537" s="612"/>
      <c r="H44537" s="612"/>
    </row>
    <row r="44538">
      <c r="B44538" s="612"/>
      <c r="H44538" s="612"/>
    </row>
    <row r="44539">
      <c r="B44539" s="612"/>
      <c r="H44539" s="612"/>
    </row>
    <row r="44540">
      <c r="B44540" s="612"/>
      <c r="H44540" s="612"/>
    </row>
    <row r="44541">
      <c r="B44541" s="612"/>
      <c r="H44541" s="612"/>
    </row>
    <row r="44542">
      <c r="B44542" s="612"/>
      <c r="H44542" s="612"/>
    </row>
    <row r="44543">
      <c r="B44543" s="612"/>
      <c r="H44543" s="612"/>
    </row>
    <row r="44544">
      <c r="B44544" s="612"/>
      <c r="H44544" s="612"/>
    </row>
    <row r="44545">
      <c r="B44545" s="612"/>
      <c r="H44545" s="612"/>
    </row>
    <row r="44546">
      <c r="B44546" s="612"/>
      <c r="H44546" s="612"/>
    </row>
    <row r="44547">
      <c r="B44547" s="612"/>
      <c r="H44547" s="612"/>
    </row>
    <row r="44548">
      <c r="B44548" s="612"/>
      <c r="H44548" s="612"/>
    </row>
    <row r="44549">
      <c r="B44549" s="612"/>
      <c r="H44549" s="612"/>
    </row>
    <row r="44550">
      <c r="B44550" s="612"/>
      <c r="H44550" s="612"/>
    </row>
    <row r="44551">
      <c r="B44551" s="612"/>
      <c r="H44551" s="612"/>
    </row>
    <row r="44552">
      <c r="B44552" s="612"/>
      <c r="H44552" s="612"/>
    </row>
    <row r="44553">
      <c r="B44553" s="612"/>
      <c r="H44553" s="612"/>
    </row>
    <row r="44554">
      <c r="B44554" s="612"/>
      <c r="H44554" s="612"/>
    </row>
    <row r="44555">
      <c r="B44555" s="612"/>
      <c r="H44555" s="612"/>
    </row>
    <row r="44556">
      <c r="B44556" s="612"/>
      <c r="H44556" s="612"/>
    </row>
    <row r="44557">
      <c r="B44557" s="612"/>
      <c r="H44557" s="612"/>
    </row>
    <row r="44558">
      <c r="B44558" s="612"/>
      <c r="H44558" s="612"/>
    </row>
    <row r="44559">
      <c r="B44559" s="612"/>
      <c r="H44559" s="612"/>
    </row>
    <row r="44560">
      <c r="B44560" s="612"/>
      <c r="H44560" s="612"/>
    </row>
    <row r="44561">
      <c r="B44561" s="612"/>
      <c r="H44561" s="612"/>
    </row>
    <row r="44562">
      <c r="B44562" s="612"/>
      <c r="H44562" s="612"/>
    </row>
    <row r="44563">
      <c r="B44563" s="612"/>
      <c r="H44563" s="612"/>
    </row>
    <row r="44564">
      <c r="B44564" s="612"/>
      <c r="H44564" s="612"/>
    </row>
    <row r="44565">
      <c r="B44565" s="612"/>
      <c r="H44565" s="612"/>
    </row>
    <row r="44566">
      <c r="B44566" s="612"/>
      <c r="H44566" s="612"/>
    </row>
    <row r="44567">
      <c r="B44567" s="612"/>
      <c r="H44567" s="612"/>
    </row>
    <row r="44568">
      <c r="B44568" s="612"/>
      <c r="H44568" s="612"/>
    </row>
    <row r="44569">
      <c r="B44569" s="612"/>
      <c r="H44569" s="612"/>
    </row>
    <row r="44570">
      <c r="B44570" s="612"/>
      <c r="H44570" s="612"/>
    </row>
    <row r="44571">
      <c r="B44571" s="612"/>
      <c r="H44571" s="612"/>
    </row>
    <row r="44572">
      <c r="B44572" s="612"/>
      <c r="H44572" s="612"/>
    </row>
    <row r="44573">
      <c r="B44573" s="612"/>
      <c r="H44573" s="612"/>
    </row>
    <row r="44574">
      <c r="B44574" s="612"/>
      <c r="H44574" s="612"/>
    </row>
    <row r="44575">
      <c r="B44575" s="612"/>
      <c r="H44575" s="612"/>
    </row>
    <row r="44576">
      <c r="B44576" s="612"/>
      <c r="H44576" s="612"/>
    </row>
    <row r="44577">
      <c r="B44577" s="612"/>
      <c r="H44577" s="612"/>
    </row>
    <row r="44578">
      <c r="B44578" s="612"/>
      <c r="H44578" s="612"/>
    </row>
    <row r="44579">
      <c r="B44579" s="612"/>
      <c r="H44579" s="612"/>
    </row>
    <row r="44580">
      <c r="B44580" s="612"/>
      <c r="H44580" s="612"/>
    </row>
    <row r="44581">
      <c r="B44581" s="612"/>
      <c r="H44581" s="612"/>
    </row>
    <row r="44582">
      <c r="B44582" s="612"/>
      <c r="H44582" s="612"/>
    </row>
    <row r="44583">
      <c r="B44583" s="612"/>
      <c r="H44583" s="612"/>
    </row>
    <row r="44584">
      <c r="B44584" s="612"/>
      <c r="H44584" s="612"/>
    </row>
    <row r="44585">
      <c r="B44585" s="612"/>
      <c r="H44585" s="612"/>
    </row>
    <row r="44586">
      <c r="B44586" s="612"/>
      <c r="H44586" s="612"/>
    </row>
    <row r="44587">
      <c r="B44587" s="612"/>
      <c r="H44587" s="612"/>
    </row>
    <row r="44588">
      <c r="B44588" s="612"/>
      <c r="H44588" s="612"/>
    </row>
    <row r="44589">
      <c r="B44589" s="612"/>
      <c r="H44589" s="612"/>
    </row>
    <row r="44590">
      <c r="B44590" s="612"/>
      <c r="H44590" s="612"/>
    </row>
    <row r="44591">
      <c r="B44591" s="612"/>
      <c r="H44591" s="612"/>
    </row>
    <row r="44592">
      <c r="B44592" s="612"/>
      <c r="H44592" s="612"/>
    </row>
    <row r="44593">
      <c r="B44593" s="612"/>
      <c r="H44593" s="612"/>
    </row>
    <row r="44594">
      <c r="B44594" s="612"/>
      <c r="H44594" s="612"/>
    </row>
    <row r="44595">
      <c r="B44595" s="612"/>
      <c r="H44595" s="612"/>
    </row>
    <row r="44596">
      <c r="B44596" s="612"/>
      <c r="H44596" s="612"/>
    </row>
    <row r="44597">
      <c r="B44597" s="612"/>
      <c r="H44597" s="612"/>
    </row>
    <row r="44598">
      <c r="B44598" s="612"/>
      <c r="H44598" s="612"/>
    </row>
    <row r="44599">
      <c r="B44599" s="612"/>
      <c r="H44599" s="612"/>
    </row>
    <row r="44600">
      <c r="B44600" s="612"/>
      <c r="H44600" s="612"/>
    </row>
    <row r="44601">
      <c r="B44601" s="612"/>
      <c r="H44601" s="612"/>
    </row>
    <row r="44602">
      <c r="B44602" s="612"/>
      <c r="H44602" s="612"/>
    </row>
    <row r="44603">
      <c r="B44603" s="612"/>
      <c r="H44603" s="612"/>
    </row>
    <row r="44604">
      <c r="B44604" s="612"/>
      <c r="H44604" s="612"/>
    </row>
    <row r="44605">
      <c r="B44605" s="612"/>
      <c r="H44605" s="612"/>
    </row>
    <row r="44606">
      <c r="B44606" s="612"/>
      <c r="H44606" s="612"/>
    </row>
    <row r="44607">
      <c r="B44607" s="612"/>
      <c r="H44607" s="612"/>
    </row>
    <row r="44608">
      <c r="B44608" s="612"/>
      <c r="H44608" s="612"/>
    </row>
    <row r="44609">
      <c r="B44609" s="612"/>
      <c r="H44609" s="612"/>
    </row>
    <row r="44610">
      <c r="B44610" s="612"/>
      <c r="H44610" s="612"/>
    </row>
    <row r="44611">
      <c r="B44611" s="612"/>
      <c r="H44611" s="612"/>
    </row>
    <row r="44612">
      <c r="B44612" s="612"/>
      <c r="H44612" s="612"/>
    </row>
    <row r="44613">
      <c r="B44613" s="612"/>
      <c r="H44613" s="612"/>
    </row>
    <row r="44614">
      <c r="B44614" s="612"/>
      <c r="H44614" s="612"/>
    </row>
    <row r="44615">
      <c r="B44615" s="612"/>
      <c r="H44615" s="612"/>
    </row>
    <row r="44616">
      <c r="B44616" s="612"/>
      <c r="H44616" s="612"/>
    </row>
    <row r="44617">
      <c r="B44617" s="612"/>
      <c r="H44617" s="612"/>
    </row>
    <row r="44618">
      <c r="B44618" s="612"/>
      <c r="H44618" s="612"/>
    </row>
    <row r="44619">
      <c r="B44619" s="612"/>
      <c r="H44619" s="612"/>
    </row>
    <row r="44620">
      <c r="B44620" s="612"/>
      <c r="H44620" s="612"/>
    </row>
    <row r="44621">
      <c r="B44621" s="612"/>
      <c r="H44621" s="612"/>
    </row>
    <row r="44622">
      <c r="B44622" s="612"/>
      <c r="H44622" s="612"/>
    </row>
    <row r="44623">
      <c r="B44623" s="612"/>
      <c r="H44623" s="612"/>
    </row>
    <row r="44624">
      <c r="B44624" s="612"/>
      <c r="H44624" s="612"/>
    </row>
    <row r="44625">
      <c r="B44625" s="612"/>
      <c r="H44625" s="612"/>
    </row>
    <row r="44626">
      <c r="B44626" s="612"/>
      <c r="H44626" s="612"/>
    </row>
    <row r="44627">
      <c r="B44627" s="612"/>
      <c r="H44627" s="612"/>
    </row>
    <row r="44628">
      <c r="B44628" s="612"/>
      <c r="H44628" s="612"/>
    </row>
    <row r="44629">
      <c r="B44629" s="612"/>
      <c r="H44629" s="612"/>
    </row>
    <row r="44630">
      <c r="B44630" s="612"/>
      <c r="H44630" s="612"/>
    </row>
    <row r="44631">
      <c r="B44631" s="612"/>
      <c r="H44631" s="612"/>
    </row>
    <row r="44632">
      <c r="B44632" s="612"/>
      <c r="H44632" s="612"/>
    </row>
    <row r="44633">
      <c r="B44633" s="612"/>
      <c r="H44633" s="612"/>
    </row>
    <row r="44634">
      <c r="B44634" s="612"/>
      <c r="H44634" s="612"/>
    </row>
    <row r="44635">
      <c r="B44635" s="612"/>
      <c r="H44635" s="612"/>
    </row>
    <row r="44636">
      <c r="B44636" s="612"/>
      <c r="H44636" s="612"/>
    </row>
    <row r="44637">
      <c r="B44637" s="612"/>
      <c r="H44637" s="612"/>
    </row>
    <row r="44638">
      <c r="B44638" s="612"/>
      <c r="H44638" s="612"/>
    </row>
    <row r="44639">
      <c r="B44639" s="612"/>
      <c r="H44639" s="612"/>
    </row>
    <row r="44640">
      <c r="B44640" s="612"/>
      <c r="H44640" s="612"/>
    </row>
    <row r="44641">
      <c r="B44641" s="612"/>
      <c r="H44641" s="612"/>
    </row>
    <row r="44642">
      <c r="B44642" s="612"/>
      <c r="H44642" s="612"/>
    </row>
    <row r="44643">
      <c r="B44643" s="612"/>
      <c r="H44643" s="612"/>
    </row>
    <row r="44644">
      <c r="B44644" s="612"/>
      <c r="H44644" s="612"/>
    </row>
    <row r="44645">
      <c r="B44645" s="612"/>
      <c r="H44645" s="612"/>
    </row>
    <row r="44646">
      <c r="B44646" s="612"/>
      <c r="H44646" s="612"/>
    </row>
    <row r="44647">
      <c r="B44647" s="612"/>
      <c r="H44647" s="612"/>
    </row>
    <row r="44648">
      <c r="B44648" s="612"/>
      <c r="H44648" s="612"/>
    </row>
    <row r="44649">
      <c r="B44649" s="612"/>
      <c r="H44649" s="612"/>
    </row>
    <row r="44650">
      <c r="B44650" s="612"/>
      <c r="H44650" s="612"/>
    </row>
    <row r="44651">
      <c r="B44651" s="612"/>
      <c r="H44651" s="612"/>
    </row>
    <row r="44652">
      <c r="B44652" s="612"/>
      <c r="H44652" s="612"/>
    </row>
    <row r="44653">
      <c r="B44653" s="612"/>
      <c r="H44653" s="612"/>
    </row>
    <row r="44654">
      <c r="B44654" s="612"/>
      <c r="H44654" s="612"/>
    </row>
    <row r="44655">
      <c r="B44655" s="612"/>
      <c r="H44655" s="612"/>
    </row>
    <row r="44656">
      <c r="B44656" s="612"/>
      <c r="H44656" s="612"/>
    </row>
    <row r="44657">
      <c r="B44657" s="612"/>
      <c r="H44657" s="612"/>
    </row>
    <row r="44658">
      <c r="B44658" s="612"/>
      <c r="H44658" s="612"/>
    </row>
    <row r="44659">
      <c r="B44659" s="612"/>
      <c r="H44659" s="612"/>
    </row>
    <row r="44660">
      <c r="B44660" s="612"/>
      <c r="H44660" s="612"/>
    </row>
    <row r="44661">
      <c r="B44661" s="612"/>
      <c r="H44661" s="612"/>
    </row>
    <row r="44662">
      <c r="B44662" s="612"/>
      <c r="H44662" s="612"/>
    </row>
    <row r="44663">
      <c r="B44663" s="612"/>
      <c r="H44663" s="612"/>
    </row>
    <row r="44664">
      <c r="B44664" s="612"/>
      <c r="H44664" s="612"/>
    </row>
    <row r="44665">
      <c r="B44665" s="612"/>
      <c r="H44665" s="612"/>
    </row>
    <row r="44666">
      <c r="B44666" s="612"/>
      <c r="H44666" s="612"/>
    </row>
    <row r="44667">
      <c r="B44667" s="612"/>
      <c r="H44667" s="612"/>
    </row>
    <row r="44668">
      <c r="B44668" s="612"/>
      <c r="H44668" s="612"/>
    </row>
    <row r="44669">
      <c r="B44669" s="612"/>
      <c r="H44669" s="612"/>
    </row>
    <row r="44670">
      <c r="B44670" s="612"/>
      <c r="H44670" s="612"/>
    </row>
    <row r="44671">
      <c r="B44671" s="612"/>
      <c r="H44671" s="612"/>
    </row>
    <row r="44672">
      <c r="B44672" s="612"/>
      <c r="H44672" s="612"/>
    </row>
    <row r="44673">
      <c r="B44673" s="612"/>
      <c r="H44673" s="612"/>
    </row>
    <row r="44674">
      <c r="B44674" s="612"/>
      <c r="H44674" s="612"/>
    </row>
    <row r="44675">
      <c r="B44675" s="612"/>
      <c r="H44675" s="612"/>
    </row>
    <row r="44676">
      <c r="B44676" s="612"/>
      <c r="H44676" s="612"/>
    </row>
    <row r="44677">
      <c r="B44677" s="612"/>
      <c r="H44677" s="612"/>
    </row>
    <row r="44678">
      <c r="B44678" s="612"/>
      <c r="H44678" s="612"/>
    </row>
    <row r="44679">
      <c r="B44679" s="612"/>
      <c r="H44679" s="612"/>
    </row>
    <row r="44680">
      <c r="B44680" s="612"/>
      <c r="H44680" s="612"/>
    </row>
    <row r="44681">
      <c r="B44681" s="612"/>
      <c r="H44681" s="612"/>
    </row>
    <row r="44682">
      <c r="B44682" s="612"/>
      <c r="H44682" s="612"/>
    </row>
    <row r="44683">
      <c r="B44683" s="612"/>
      <c r="H44683" s="612"/>
    </row>
    <row r="44684">
      <c r="B44684" s="612"/>
      <c r="H44684" s="612"/>
    </row>
    <row r="44685">
      <c r="B44685" s="612"/>
      <c r="H44685" s="612"/>
    </row>
    <row r="44686">
      <c r="B44686" s="612"/>
      <c r="H44686" s="612"/>
    </row>
    <row r="44687">
      <c r="B44687" s="612"/>
      <c r="H44687" s="612"/>
    </row>
    <row r="44688">
      <c r="B44688" s="612"/>
      <c r="H44688" s="612"/>
    </row>
    <row r="44689">
      <c r="B44689" s="612"/>
      <c r="H44689" s="612"/>
    </row>
    <row r="44690">
      <c r="B44690" s="612"/>
      <c r="H44690" s="612"/>
    </row>
    <row r="44691">
      <c r="B44691" s="612"/>
      <c r="H44691" s="612"/>
    </row>
    <row r="44692">
      <c r="B44692" s="612"/>
      <c r="H44692" s="612"/>
    </row>
    <row r="44693">
      <c r="B44693" s="612"/>
      <c r="H44693" s="612"/>
    </row>
    <row r="44694">
      <c r="B44694" s="612"/>
      <c r="H44694" s="612"/>
    </row>
    <row r="44695">
      <c r="B44695" s="612"/>
      <c r="H44695" s="612"/>
    </row>
    <row r="44696">
      <c r="B44696" s="612"/>
      <c r="H44696" s="612"/>
    </row>
    <row r="44697">
      <c r="B44697" s="612"/>
      <c r="H44697" s="612"/>
    </row>
    <row r="44698">
      <c r="B44698" s="612"/>
      <c r="H44698" s="612"/>
    </row>
    <row r="44699">
      <c r="B44699" s="612"/>
      <c r="H44699" s="612"/>
    </row>
    <row r="44700">
      <c r="B44700" s="612"/>
      <c r="H44700" s="612"/>
    </row>
    <row r="44701">
      <c r="B44701" s="612"/>
      <c r="H44701" s="612"/>
    </row>
    <row r="44702">
      <c r="B44702" s="612"/>
      <c r="H44702" s="612"/>
    </row>
    <row r="44703">
      <c r="B44703" s="612"/>
      <c r="H44703" s="612"/>
    </row>
    <row r="44704">
      <c r="B44704" s="612"/>
      <c r="H44704" s="612"/>
    </row>
    <row r="44705">
      <c r="B44705" s="612"/>
      <c r="H44705" s="612"/>
    </row>
    <row r="44706">
      <c r="B44706" s="612"/>
      <c r="H44706" s="612"/>
    </row>
    <row r="44707">
      <c r="B44707" s="612"/>
      <c r="H44707" s="612"/>
    </row>
    <row r="44708">
      <c r="B44708" s="612"/>
      <c r="H44708" s="612"/>
    </row>
    <row r="44709">
      <c r="B44709" s="612"/>
      <c r="H44709" s="612"/>
    </row>
    <row r="44710">
      <c r="B44710" s="612"/>
      <c r="H44710" s="612"/>
    </row>
    <row r="44711">
      <c r="B44711" s="612"/>
      <c r="H44711" s="612"/>
    </row>
    <row r="44712">
      <c r="B44712" s="612"/>
      <c r="H44712" s="612"/>
    </row>
    <row r="44713">
      <c r="B44713" s="612"/>
      <c r="H44713" s="612"/>
    </row>
    <row r="44714">
      <c r="B44714" s="612"/>
      <c r="H44714" s="612"/>
    </row>
    <row r="44715">
      <c r="B44715" s="612"/>
      <c r="H44715" s="612"/>
    </row>
    <row r="44716">
      <c r="B44716" s="612"/>
      <c r="H44716" s="612"/>
    </row>
    <row r="44717">
      <c r="B44717" s="612"/>
      <c r="H44717" s="612"/>
    </row>
    <row r="44718">
      <c r="B44718" s="612"/>
      <c r="H44718" s="612"/>
    </row>
    <row r="44719">
      <c r="B44719" s="612"/>
      <c r="H44719" s="612"/>
    </row>
    <row r="44720">
      <c r="B44720" s="612"/>
      <c r="H44720" s="612"/>
    </row>
    <row r="44721">
      <c r="B44721" s="612"/>
      <c r="H44721" s="612"/>
    </row>
    <row r="44722">
      <c r="B44722" s="612"/>
      <c r="H44722" s="612"/>
    </row>
    <row r="44723">
      <c r="B44723" s="612"/>
      <c r="H44723" s="612"/>
    </row>
    <row r="44724">
      <c r="B44724" s="612"/>
      <c r="H44724" s="612"/>
    </row>
    <row r="44725">
      <c r="B44725" s="612"/>
      <c r="H44725" s="612"/>
    </row>
    <row r="44726">
      <c r="B44726" s="612"/>
      <c r="H44726" s="612"/>
    </row>
    <row r="44727">
      <c r="B44727" s="612"/>
      <c r="H44727" s="612"/>
    </row>
    <row r="44728">
      <c r="B44728" s="612"/>
      <c r="H44728" s="612"/>
    </row>
    <row r="44729">
      <c r="B44729" s="612"/>
      <c r="H44729" s="612"/>
    </row>
    <row r="44730">
      <c r="B44730" s="612"/>
      <c r="H44730" s="612"/>
    </row>
    <row r="44731">
      <c r="B44731" s="612"/>
      <c r="H44731" s="612"/>
    </row>
    <row r="44732">
      <c r="B44732" s="612"/>
      <c r="H44732" s="612"/>
    </row>
    <row r="44733">
      <c r="B44733" s="612"/>
      <c r="H44733" s="612"/>
    </row>
    <row r="44734">
      <c r="B44734" s="612"/>
      <c r="H44734" s="612"/>
    </row>
    <row r="44735">
      <c r="B44735" s="612"/>
      <c r="H44735" s="612"/>
    </row>
    <row r="44736">
      <c r="B44736" s="612"/>
      <c r="H44736" s="612"/>
    </row>
    <row r="44737">
      <c r="B44737" s="612"/>
      <c r="H44737" s="612"/>
    </row>
    <row r="44738">
      <c r="B44738" s="612"/>
      <c r="H44738" s="612"/>
    </row>
    <row r="44739">
      <c r="B44739" s="612"/>
      <c r="H44739" s="612"/>
    </row>
    <row r="44740">
      <c r="B44740" s="612"/>
      <c r="H44740" s="612"/>
    </row>
    <row r="44741">
      <c r="B44741" s="612"/>
      <c r="H44741" s="612"/>
    </row>
    <row r="44742">
      <c r="B44742" s="612"/>
      <c r="H44742" s="612"/>
    </row>
    <row r="44743">
      <c r="B44743" s="612"/>
      <c r="H44743" s="612"/>
    </row>
    <row r="44744">
      <c r="B44744" s="612"/>
      <c r="H44744" s="612"/>
    </row>
    <row r="44745">
      <c r="B44745" s="612"/>
      <c r="H44745" s="612"/>
    </row>
    <row r="44746">
      <c r="B44746" s="612"/>
      <c r="H44746" s="612"/>
    </row>
    <row r="44747">
      <c r="B44747" s="612"/>
      <c r="H44747" s="612"/>
    </row>
    <row r="44748">
      <c r="B44748" s="612"/>
      <c r="H44748" s="612"/>
    </row>
    <row r="44749">
      <c r="B44749" s="612"/>
      <c r="H44749" s="612"/>
    </row>
    <row r="44750">
      <c r="B44750" s="612"/>
      <c r="H44750" s="612"/>
    </row>
    <row r="44751">
      <c r="B44751" s="612"/>
      <c r="H44751" s="612"/>
    </row>
    <row r="44752">
      <c r="B44752" s="612"/>
      <c r="H44752" s="612"/>
    </row>
    <row r="44753">
      <c r="B44753" s="612"/>
      <c r="H44753" s="612"/>
    </row>
    <row r="44754">
      <c r="B44754" s="612"/>
      <c r="H44754" s="612"/>
    </row>
    <row r="44755">
      <c r="B44755" s="612"/>
      <c r="H44755" s="612"/>
    </row>
    <row r="44756">
      <c r="B44756" s="612"/>
      <c r="H44756" s="612"/>
    </row>
    <row r="44757">
      <c r="B44757" s="612"/>
      <c r="H44757" s="612"/>
    </row>
    <row r="44758">
      <c r="B44758" s="612"/>
      <c r="H44758" s="612"/>
    </row>
    <row r="44759">
      <c r="B44759" s="612"/>
      <c r="H44759" s="612"/>
    </row>
    <row r="44760">
      <c r="B44760" s="612"/>
      <c r="H44760" s="612"/>
    </row>
    <row r="44761">
      <c r="B44761" s="612"/>
      <c r="H44761" s="612"/>
    </row>
    <row r="44762">
      <c r="B44762" s="612"/>
      <c r="H44762" s="612"/>
    </row>
    <row r="44763">
      <c r="B44763" s="612"/>
      <c r="H44763" s="612"/>
    </row>
    <row r="44764">
      <c r="B44764" s="612"/>
      <c r="H44764" s="612"/>
    </row>
    <row r="44765">
      <c r="B44765" s="612"/>
      <c r="H44765" s="612"/>
    </row>
    <row r="44766">
      <c r="B44766" s="612"/>
      <c r="H44766" s="612"/>
    </row>
    <row r="44767">
      <c r="B44767" s="612"/>
      <c r="H44767" s="612"/>
    </row>
    <row r="44768">
      <c r="B44768" s="612"/>
      <c r="H44768" s="612"/>
    </row>
    <row r="44769">
      <c r="B44769" s="612"/>
      <c r="H44769" s="612"/>
    </row>
    <row r="44770">
      <c r="B44770" s="612"/>
      <c r="H44770" s="612"/>
    </row>
    <row r="44771">
      <c r="B44771" s="612"/>
      <c r="H44771" s="612"/>
    </row>
    <row r="44772">
      <c r="B44772" s="612"/>
      <c r="H44772" s="612"/>
    </row>
    <row r="44773">
      <c r="B44773" s="612"/>
      <c r="H44773" s="612"/>
    </row>
    <row r="44774">
      <c r="B44774" s="612"/>
      <c r="H44774" s="612"/>
    </row>
    <row r="44775">
      <c r="B44775" s="612"/>
      <c r="H44775" s="612"/>
    </row>
    <row r="44776">
      <c r="B44776" s="612"/>
      <c r="H44776" s="612"/>
    </row>
    <row r="44777">
      <c r="B44777" s="612"/>
      <c r="H44777" s="612"/>
    </row>
    <row r="44778">
      <c r="B44778" s="612"/>
      <c r="H44778" s="612"/>
    </row>
    <row r="44779">
      <c r="B44779" s="612"/>
      <c r="H44779" s="612"/>
    </row>
    <row r="44780">
      <c r="B44780" s="612"/>
      <c r="H44780" s="612"/>
    </row>
    <row r="44781">
      <c r="B44781" s="612"/>
      <c r="H44781" s="612"/>
    </row>
    <row r="44782">
      <c r="B44782" s="612"/>
      <c r="H44782" s="612"/>
    </row>
    <row r="44783">
      <c r="B44783" s="612"/>
      <c r="H44783" s="612"/>
    </row>
    <row r="44784">
      <c r="B44784" s="612"/>
      <c r="H44784" s="612"/>
    </row>
    <row r="44785">
      <c r="B44785" s="612"/>
      <c r="H44785" s="612"/>
    </row>
    <row r="44786">
      <c r="B44786" s="612"/>
      <c r="H44786" s="612"/>
    </row>
    <row r="44787">
      <c r="B44787" s="612"/>
      <c r="H44787" s="612"/>
    </row>
    <row r="44788">
      <c r="B44788" s="612"/>
      <c r="H44788" s="612"/>
    </row>
    <row r="44789">
      <c r="B44789" s="612"/>
      <c r="H44789" s="612"/>
    </row>
    <row r="44790">
      <c r="B44790" s="612"/>
      <c r="H44790" s="612"/>
    </row>
    <row r="44791">
      <c r="B44791" s="612"/>
      <c r="H44791" s="612"/>
    </row>
    <row r="44792">
      <c r="B44792" s="612"/>
      <c r="H44792" s="612"/>
    </row>
    <row r="44793">
      <c r="B44793" s="612"/>
      <c r="H44793" s="612"/>
    </row>
    <row r="44794">
      <c r="B44794" s="612"/>
      <c r="H44794" s="612"/>
    </row>
    <row r="44795">
      <c r="B44795" s="612"/>
      <c r="H44795" s="612"/>
    </row>
    <row r="44796">
      <c r="B44796" s="612"/>
      <c r="H44796" s="612"/>
    </row>
    <row r="44797">
      <c r="B44797" s="612"/>
      <c r="H44797" s="612"/>
    </row>
    <row r="44798">
      <c r="B44798" s="612"/>
      <c r="H44798" s="612"/>
    </row>
    <row r="44799">
      <c r="B44799" s="612"/>
      <c r="H44799" s="612"/>
    </row>
    <row r="44800">
      <c r="B44800" s="612"/>
      <c r="H44800" s="612"/>
    </row>
    <row r="44801">
      <c r="B44801" s="612"/>
      <c r="H44801" s="612"/>
    </row>
    <row r="44802">
      <c r="B44802" s="612"/>
      <c r="H44802" s="612"/>
    </row>
    <row r="44803">
      <c r="B44803" s="612"/>
      <c r="H44803" s="612"/>
    </row>
    <row r="44804">
      <c r="B44804" s="612"/>
      <c r="H44804" s="612"/>
    </row>
    <row r="44805">
      <c r="B44805" s="612"/>
      <c r="H44805" s="612"/>
    </row>
    <row r="44806">
      <c r="B44806" s="612"/>
      <c r="H44806" s="612"/>
    </row>
    <row r="44807">
      <c r="B44807" s="612"/>
      <c r="H44807" s="612"/>
    </row>
    <row r="44808">
      <c r="B44808" s="612"/>
      <c r="H44808" s="612"/>
    </row>
    <row r="44809">
      <c r="B44809" s="612"/>
      <c r="H44809" s="612"/>
    </row>
    <row r="44810">
      <c r="B44810" s="612"/>
      <c r="H44810" s="612"/>
    </row>
    <row r="44811">
      <c r="B44811" s="612"/>
      <c r="H44811" s="612"/>
    </row>
    <row r="44812">
      <c r="B44812" s="612"/>
      <c r="H44812" s="612"/>
    </row>
    <row r="44813">
      <c r="B44813" s="612"/>
      <c r="H44813" s="612"/>
    </row>
    <row r="44814">
      <c r="B44814" s="612"/>
      <c r="H44814" s="612"/>
    </row>
    <row r="44815">
      <c r="B44815" s="612"/>
      <c r="H44815" s="612"/>
    </row>
    <row r="44816">
      <c r="B44816" s="612"/>
      <c r="H44816" s="612"/>
    </row>
    <row r="44817">
      <c r="B44817" s="612"/>
      <c r="H44817" s="612"/>
    </row>
    <row r="44818">
      <c r="B44818" s="612"/>
      <c r="H44818" s="612"/>
    </row>
    <row r="44819">
      <c r="B44819" s="612"/>
      <c r="H44819" s="612"/>
    </row>
    <row r="44820">
      <c r="B44820" s="612"/>
      <c r="H44820" s="612"/>
    </row>
    <row r="44821">
      <c r="B44821" s="612"/>
      <c r="H44821" s="612"/>
    </row>
    <row r="44822">
      <c r="B44822" s="612"/>
      <c r="H44822" s="612"/>
    </row>
    <row r="44823">
      <c r="B44823" s="612"/>
      <c r="H44823" s="612"/>
    </row>
    <row r="44824">
      <c r="B44824" s="612"/>
      <c r="H44824" s="612"/>
    </row>
    <row r="44825">
      <c r="B44825" s="612"/>
      <c r="H44825" s="612"/>
    </row>
    <row r="44826">
      <c r="B44826" s="612"/>
      <c r="H44826" s="612"/>
    </row>
    <row r="44827">
      <c r="B44827" s="612"/>
      <c r="H44827" s="612"/>
    </row>
    <row r="44828">
      <c r="B44828" s="612"/>
      <c r="H44828" s="612"/>
    </row>
    <row r="44829">
      <c r="B44829" s="612"/>
      <c r="H44829" s="612"/>
    </row>
    <row r="44830">
      <c r="B44830" s="612"/>
      <c r="H44830" s="612"/>
    </row>
    <row r="44831">
      <c r="B44831" s="612"/>
      <c r="H44831" s="612"/>
    </row>
    <row r="44832">
      <c r="B44832" s="612"/>
      <c r="H44832" s="612"/>
    </row>
    <row r="44833">
      <c r="B44833" s="612"/>
      <c r="H44833" s="612"/>
    </row>
    <row r="44834">
      <c r="B44834" s="612"/>
      <c r="H44834" s="612"/>
    </row>
    <row r="44835">
      <c r="B44835" s="612"/>
      <c r="H44835" s="612"/>
    </row>
    <row r="44836">
      <c r="B44836" s="612"/>
      <c r="H44836" s="612"/>
    </row>
    <row r="44837">
      <c r="B44837" s="612"/>
      <c r="H44837" s="612"/>
    </row>
    <row r="44838">
      <c r="B44838" s="612"/>
      <c r="H44838" s="612"/>
    </row>
    <row r="44839">
      <c r="B44839" s="612"/>
      <c r="H44839" s="612"/>
    </row>
    <row r="44840">
      <c r="B44840" s="612"/>
      <c r="H44840" s="612"/>
    </row>
    <row r="44841">
      <c r="B44841" s="612"/>
      <c r="H44841" s="612"/>
    </row>
    <row r="44842">
      <c r="B44842" s="612"/>
      <c r="H44842" s="612"/>
    </row>
    <row r="44843">
      <c r="B44843" s="612"/>
      <c r="H44843" s="612"/>
    </row>
    <row r="44844">
      <c r="B44844" s="612"/>
      <c r="H44844" s="612"/>
    </row>
    <row r="44845">
      <c r="B44845" s="612"/>
      <c r="H44845" s="612"/>
    </row>
    <row r="44846">
      <c r="B44846" s="612"/>
      <c r="H44846" s="612"/>
    </row>
    <row r="44847">
      <c r="B44847" s="612"/>
      <c r="H44847" s="612"/>
    </row>
    <row r="44848">
      <c r="B44848" s="612"/>
      <c r="H44848" s="612"/>
    </row>
    <row r="44849">
      <c r="B44849" s="612"/>
      <c r="H44849" s="612"/>
    </row>
    <row r="44850">
      <c r="B44850" s="612"/>
      <c r="H44850" s="612"/>
    </row>
    <row r="44851">
      <c r="B44851" s="612"/>
      <c r="H44851" s="612"/>
    </row>
    <row r="44852">
      <c r="B44852" s="612"/>
      <c r="H44852" s="612"/>
    </row>
    <row r="44853">
      <c r="B44853" s="612"/>
      <c r="H44853" s="612"/>
    </row>
    <row r="44854">
      <c r="B44854" s="612"/>
      <c r="H44854" s="612"/>
    </row>
    <row r="44855">
      <c r="B44855" s="612"/>
      <c r="H44855" s="612"/>
    </row>
    <row r="44856">
      <c r="B44856" s="612"/>
      <c r="H44856" s="612"/>
    </row>
    <row r="44857">
      <c r="B44857" s="612"/>
      <c r="H44857" s="612"/>
    </row>
    <row r="44858">
      <c r="B44858" s="612"/>
      <c r="H44858" s="612"/>
    </row>
    <row r="44859">
      <c r="B44859" s="612"/>
      <c r="H44859" s="612"/>
    </row>
    <row r="44860">
      <c r="B44860" s="612"/>
      <c r="H44860" s="612"/>
    </row>
    <row r="44861">
      <c r="B44861" s="612"/>
      <c r="H44861" s="612"/>
    </row>
    <row r="44862">
      <c r="B44862" s="612"/>
      <c r="H44862" s="612"/>
    </row>
    <row r="44863">
      <c r="B44863" s="612"/>
      <c r="H44863" s="612"/>
    </row>
    <row r="44864">
      <c r="B44864" s="612"/>
      <c r="H44864" s="612"/>
    </row>
    <row r="44865">
      <c r="B44865" s="612"/>
      <c r="H44865" s="612"/>
    </row>
    <row r="44866">
      <c r="B44866" s="612"/>
      <c r="H44866" s="612"/>
    </row>
    <row r="44867">
      <c r="B44867" s="612"/>
      <c r="H44867" s="612"/>
    </row>
    <row r="44868">
      <c r="B44868" s="612"/>
      <c r="H44868" s="612"/>
    </row>
    <row r="44869">
      <c r="B44869" s="612"/>
      <c r="H44869" s="612"/>
    </row>
    <row r="44870">
      <c r="B44870" s="612"/>
      <c r="H44870" s="612"/>
    </row>
    <row r="44871">
      <c r="B44871" s="612"/>
      <c r="H44871" s="612"/>
    </row>
    <row r="44872">
      <c r="B44872" s="612"/>
      <c r="H44872" s="612"/>
    </row>
    <row r="44873">
      <c r="B44873" s="612"/>
      <c r="H44873" s="612"/>
    </row>
    <row r="44874">
      <c r="B44874" s="612"/>
      <c r="H44874" s="612"/>
    </row>
    <row r="44875">
      <c r="B44875" s="612"/>
      <c r="H44875" s="612"/>
    </row>
    <row r="44876">
      <c r="B44876" s="612"/>
      <c r="H44876" s="612"/>
    </row>
    <row r="44877">
      <c r="B44877" s="612"/>
      <c r="H44877" s="612"/>
    </row>
    <row r="44878">
      <c r="B44878" s="612"/>
      <c r="H44878" s="612"/>
    </row>
    <row r="44879">
      <c r="B44879" s="612"/>
      <c r="H44879" s="612"/>
    </row>
    <row r="44880">
      <c r="B44880" s="612"/>
      <c r="H44880" s="612"/>
    </row>
    <row r="44881">
      <c r="B44881" s="612"/>
      <c r="H44881" s="612"/>
    </row>
    <row r="44882">
      <c r="B44882" s="612"/>
      <c r="H44882" s="612"/>
    </row>
    <row r="44883">
      <c r="B44883" s="612"/>
      <c r="H44883" s="612"/>
    </row>
    <row r="44884">
      <c r="B44884" s="612"/>
      <c r="H44884" s="612"/>
    </row>
    <row r="44885">
      <c r="B44885" s="612"/>
      <c r="H44885" s="612"/>
    </row>
    <row r="44886">
      <c r="B44886" s="612"/>
      <c r="H44886" s="612"/>
    </row>
    <row r="44887">
      <c r="B44887" s="612"/>
      <c r="H44887" s="612"/>
    </row>
    <row r="44888">
      <c r="B44888" s="612"/>
      <c r="H44888" s="612"/>
    </row>
    <row r="44889">
      <c r="B44889" s="612"/>
      <c r="H44889" s="612"/>
    </row>
    <row r="44890">
      <c r="B44890" s="612"/>
      <c r="H44890" s="612"/>
    </row>
    <row r="44891">
      <c r="B44891" s="612"/>
      <c r="H44891" s="612"/>
    </row>
    <row r="44892">
      <c r="B44892" s="612"/>
      <c r="H44892" s="612"/>
    </row>
    <row r="44893">
      <c r="B44893" s="612"/>
      <c r="H44893" s="612"/>
    </row>
    <row r="44894">
      <c r="B44894" s="612"/>
      <c r="H44894" s="612"/>
    </row>
    <row r="44895">
      <c r="B44895" s="612"/>
      <c r="H44895" s="612"/>
    </row>
    <row r="44896">
      <c r="B44896" s="612"/>
      <c r="H44896" s="612"/>
    </row>
    <row r="44897">
      <c r="B44897" s="612"/>
      <c r="H44897" s="612"/>
    </row>
    <row r="44898">
      <c r="B44898" s="612"/>
      <c r="H44898" s="612"/>
    </row>
    <row r="44899">
      <c r="B44899" s="612"/>
      <c r="H44899" s="612"/>
    </row>
    <row r="44900">
      <c r="B44900" s="612"/>
      <c r="H44900" s="612"/>
    </row>
    <row r="44901">
      <c r="B44901" s="612"/>
      <c r="H44901" s="612"/>
    </row>
    <row r="44902">
      <c r="B44902" s="612"/>
      <c r="H44902" s="612"/>
    </row>
    <row r="44903">
      <c r="B44903" s="612"/>
      <c r="H44903" s="612"/>
    </row>
    <row r="44904">
      <c r="B44904" s="612"/>
      <c r="H44904" s="612"/>
    </row>
    <row r="44905">
      <c r="B44905" s="612"/>
      <c r="H44905" s="612"/>
    </row>
    <row r="44906">
      <c r="B44906" s="612"/>
      <c r="H44906" s="612"/>
    </row>
    <row r="44907">
      <c r="B44907" s="612"/>
      <c r="H44907" s="612"/>
    </row>
    <row r="44908">
      <c r="B44908" s="612"/>
      <c r="H44908" s="612"/>
    </row>
    <row r="44909">
      <c r="B44909" s="612"/>
      <c r="H44909" s="612"/>
    </row>
    <row r="44910">
      <c r="B44910" s="612"/>
      <c r="H44910" s="612"/>
    </row>
    <row r="44911">
      <c r="B44911" s="612"/>
      <c r="H44911" s="612"/>
    </row>
    <row r="44912">
      <c r="B44912" s="612"/>
      <c r="H44912" s="612"/>
    </row>
    <row r="44913">
      <c r="B44913" s="612"/>
      <c r="H44913" s="612"/>
    </row>
    <row r="44914">
      <c r="B44914" s="612"/>
      <c r="H44914" s="612"/>
    </row>
    <row r="44915">
      <c r="B44915" s="612"/>
      <c r="H44915" s="612"/>
    </row>
    <row r="44916">
      <c r="B44916" s="612"/>
      <c r="H44916" s="612"/>
    </row>
    <row r="44917">
      <c r="B44917" s="612"/>
      <c r="H44917" s="612"/>
    </row>
    <row r="44918">
      <c r="B44918" s="612"/>
      <c r="H44918" s="612"/>
    </row>
    <row r="44919">
      <c r="B44919" s="612"/>
      <c r="H44919" s="612"/>
    </row>
    <row r="44920">
      <c r="B44920" s="612"/>
      <c r="H44920" s="612"/>
    </row>
    <row r="44921">
      <c r="B44921" s="612"/>
      <c r="H44921" s="612"/>
    </row>
    <row r="44922">
      <c r="B44922" s="612"/>
      <c r="H44922" s="612"/>
    </row>
    <row r="44923">
      <c r="B44923" s="612"/>
      <c r="H44923" s="612"/>
    </row>
    <row r="44924">
      <c r="B44924" s="612"/>
      <c r="H44924" s="612"/>
    </row>
    <row r="44925">
      <c r="B44925" s="612"/>
      <c r="H44925" s="612"/>
    </row>
    <row r="44926">
      <c r="B44926" s="612"/>
      <c r="H44926" s="612"/>
    </row>
    <row r="44927">
      <c r="B44927" s="612"/>
      <c r="H44927" s="612"/>
    </row>
    <row r="44928">
      <c r="B44928" s="612"/>
      <c r="H44928" s="612"/>
    </row>
    <row r="44929">
      <c r="B44929" s="612"/>
      <c r="H44929" s="612"/>
    </row>
    <row r="44930">
      <c r="B44930" s="612"/>
      <c r="H44930" s="612"/>
    </row>
    <row r="44931">
      <c r="B44931" s="612"/>
      <c r="H44931" s="612"/>
    </row>
    <row r="44932">
      <c r="B44932" s="612"/>
      <c r="H44932" s="612"/>
    </row>
    <row r="44933">
      <c r="B44933" s="612"/>
      <c r="H44933" s="612"/>
    </row>
    <row r="44934">
      <c r="B44934" s="612"/>
      <c r="H44934" s="612"/>
    </row>
    <row r="44935">
      <c r="B44935" s="612"/>
      <c r="H44935" s="612"/>
    </row>
    <row r="44936">
      <c r="B44936" s="612"/>
      <c r="H44936" s="612"/>
    </row>
    <row r="44937">
      <c r="B44937" s="612"/>
      <c r="H44937" s="612"/>
    </row>
    <row r="44938">
      <c r="B44938" s="612"/>
      <c r="H44938" s="612"/>
    </row>
    <row r="44939">
      <c r="B44939" s="612"/>
      <c r="H44939" s="612"/>
    </row>
    <row r="44940">
      <c r="B44940" s="612"/>
      <c r="H44940" s="612"/>
    </row>
    <row r="44941">
      <c r="B44941" s="612"/>
      <c r="H44941" s="612"/>
    </row>
    <row r="44942">
      <c r="B44942" s="612"/>
      <c r="H44942" s="612"/>
    </row>
    <row r="44943">
      <c r="B44943" s="612"/>
      <c r="H44943" s="612"/>
    </row>
    <row r="44944">
      <c r="B44944" s="612"/>
      <c r="H44944" s="612"/>
    </row>
    <row r="44945">
      <c r="B44945" s="612"/>
      <c r="H44945" s="612"/>
    </row>
    <row r="44946">
      <c r="B44946" s="612"/>
      <c r="H44946" s="612"/>
    </row>
    <row r="44947">
      <c r="B44947" s="612"/>
      <c r="H44947" s="612"/>
    </row>
    <row r="44948">
      <c r="B44948" s="612"/>
      <c r="H44948" s="612"/>
    </row>
    <row r="44949">
      <c r="B44949" s="612"/>
      <c r="H44949" s="612"/>
    </row>
    <row r="44950">
      <c r="B44950" s="612"/>
      <c r="H44950" s="612"/>
    </row>
    <row r="44951">
      <c r="B44951" s="612"/>
      <c r="H44951" s="612"/>
    </row>
    <row r="44952">
      <c r="B44952" s="612"/>
      <c r="H44952" s="612"/>
    </row>
    <row r="44953">
      <c r="B44953" s="612"/>
      <c r="H44953" s="612"/>
    </row>
    <row r="44954">
      <c r="B44954" s="612"/>
      <c r="H44954" s="612"/>
    </row>
    <row r="44955">
      <c r="B44955" s="612"/>
      <c r="H44955" s="612"/>
    </row>
    <row r="44956">
      <c r="B44956" s="612"/>
      <c r="H44956" s="612"/>
    </row>
    <row r="44957">
      <c r="B44957" s="612"/>
      <c r="H44957" s="612"/>
    </row>
    <row r="44958">
      <c r="B44958" s="612"/>
      <c r="H44958" s="612"/>
    </row>
    <row r="44959">
      <c r="B44959" s="612"/>
      <c r="H44959" s="612"/>
    </row>
    <row r="44960">
      <c r="B44960" s="612"/>
      <c r="H44960" s="612"/>
    </row>
    <row r="44961">
      <c r="B44961" s="612"/>
      <c r="H44961" s="612"/>
    </row>
    <row r="44962">
      <c r="B44962" s="612"/>
      <c r="H44962" s="612"/>
    </row>
    <row r="44963">
      <c r="B44963" s="612"/>
      <c r="H44963" s="612"/>
    </row>
    <row r="44964">
      <c r="B44964" s="612"/>
      <c r="H44964" s="612"/>
    </row>
    <row r="44965">
      <c r="B44965" s="612"/>
      <c r="H44965" s="612"/>
    </row>
    <row r="44966">
      <c r="B44966" s="612"/>
      <c r="H44966" s="612"/>
    </row>
    <row r="44967">
      <c r="B44967" s="612"/>
      <c r="H44967" s="612"/>
    </row>
    <row r="44968">
      <c r="B44968" s="612"/>
      <c r="H44968" s="612"/>
    </row>
    <row r="44969">
      <c r="B44969" s="612"/>
      <c r="H44969" s="612"/>
    </row>
    <row r="44970">
      <c r="B44970" s="612"/>
      <c r="H44970" s="612"/>
    </row>
    <row r="44971">
      <c r="B44971" s="612"/>
      <c r="H44971" s="612"/>
    </row>
    <row r="44972">
      <c r="B44972" s="612"/>
      <c r="H44972" s="612"/>
    </row>
    <row r="44973">
      <c r="B44973" s="612"/>
      <c r="H44973" s="612"/>
    </row>
    <row r="44974">
      <c r="B44974" s="612"/>
      <c r="H44974" s="612"/>
    </row>
    <row r="44975">
      <c r="B44975" s="612"/>
      <c r="H44975" s="612"/>
    </row>
    <row r="44976">
      <c r="B44976" s="612"/>
      <c r="H44976" s="612"/>
    </row>
    <row r="44977">
      <c r="B44977" s="612"/>
      <c r="H44977" s="612"/>
    </row>
    <row r="44978">
      <c r="B44978" s="612"/>
      <c r="H44978" s="612"/>
    </row>
    <row r="44979">
      <c r="B44979" s="612"/>
      <c r="H44979" s="612"/>
    </row>
    <row r="44980">
      <c r="B44980" s="612"/>
      <c r="H44980" s="612"/>
    </row>
    <row r="44981">
      <c r="B44981" s="612"/>
      <c r="H44981" s="612"/>
    </row>
    <row r="44982">
      <c r="B44982" s="612"/>
      <c r="H44982" s="612"/>
    </row>
    <row r="44983">
      <c r="B44983" s="612"/>
      <c r="H44983" s="612"/>
    </row>
    <row r="44984">
      <c r="B44984" s="612"/>
      <c r="H44984" s="612"/>
    </row>
    <row r="44985">
      <c r="B44985" s="612"/>
      <c r="H44985" s="612"/>
    </row>
    <row r="44986">
      <c r="B44986" s="612"/>
      <c r="H44986" s="612"/>
    </row>
    <row r="44987">
      <c r="B44987" s="612"/>
      <c r="H44987" s="612"/>
    </row>
    <row r="44988">
      <c r="B44988" s="612"/>
      <c r="H44988" s="612"/>
    </row>
    <row r="44989">
      <c r="B44989" s="612"/>
      <c r="H44989" s="612"/>
    </row>
    <row r="44990">
      <c r="B44990" s="612"/>
      <c r="H44990" s="612"/>
    </row>
    <row r="44991">
      <c r="B44991" s="612"/>
      <c r="H44991" s="612"/>
    </row>
    <row r="44992">
      <c r="B44992" s="612"/>
      <c r="H44992" s="612"/>
    </row>
    <row r="44993">
      <c r="B44993" s="612"/>
      <c r="H44993" s="612"/>
    </row>
    <row r="44994">
      <c r="B44994" s="612"/>
      <c r="H44994" s="612"/>
    </row>
    <row r="44995">
      <c r="B44995" s="612"/>
      <c r="H44995" s="612"/>
    </row>
    <row r="44996">
      <c r="B44996" s="612"/>
      <c r="H44996" s="612"/>
    </row>
    <row r="44997">
      <c r="B44997" s="612"/>
      <c r="H44997" s="612"/>
    </row>
    <row r="44998">
      <c r="B44998" s="612"/>
      <c r="H44998" s="612"/>
    </row>
    <row r="44999">
      <c r="B44999" s="612"/>
      <c r="H44999" s="612"/>
    </row>
    <row r="45000">
      <c r="B45000" s="612"/>
      <c r="H45000" s="612"/>
    </row>
    <row r="45001">
      <c r="B45001" s="612"/>
      <c r="H45001" s="612"/>
    </row>
    <row r="45002">
      <c r="B45002" s="612"/>
      <c r="H45002" s="612"/>
    </row>
    <row r="45003">
      <c r="B45003" s="612"/>
      <c r="H45003" s="612"/>
    </row>
    <row r="45004">
      <c r="B45004" s="612"/>
      <c r="H45004" s="612"/>
    </row>
    <row r="45005">
      <c r="B45005" s="612"/>
      <c r="H45005" s="612"/>
    </row>
    <row r="45006">
      <c r="B45006" s="612"/>
      <c r="H45006" s="612"/>
    </row>
    <row r="45007">
      <c r="B45007" s="612"/>
      <c r="H45007" s="612"/>
    </row>
    <row r="45008">
      <c r="B45008" s="612"/>
      <c r="H45008" s="612"/>
    </row>
    <row r="45009">
      <c r="B45009" s="612"/>
      <c r="H45009" s="612"/>
    </row>
    <row r="45010">
      <c r="B45010" s="612"/>
      <c r="H45010" s="612"/>
    </row>
    <row r="45011">
      <c r="B45011" s="612"/>
      <c r="H45011" s="612"/>
    </row>
    <row r="45012">
      <c r="B45012" s="612"/>
      <c r="H45012" s="612"/>
    </row>
    <row r="45013">
      <c r="B45013" s="612"/>
      <c r="H45013" s="612"/>
    </row>
    <row r="45014">
      <c r="B45014" s="612"/>
      <c r="H45014" s="612"/>
    </row>
    <row r="45015">
      <c r="B45015" s="612"/>
      <c r="H45015" s="612"/>
    </row>
    <row r="45016">
      <c r="B45016" s="612"/>
      <c r="H45016" s="612"/>
    </row>
    <row r="45017">
      <c r="B45017" s="612"/>
      <c r="H45017" s="612"/>
    </row>
    <row r="45018">
      <c r="B45018" s="612"/>
      <c r="H45018" s="612"/>
    </row>
    <row r="45019">
      <c r="B45019" s="612"/>
      <c r="H45019" s="612"/>
    </row>
    <row r="45020">
      <c r="B45020" s="612"/>
      <c r="H45020" s="612"/>
    </row>
    <row r="45021">
      <c r="B45021" s="612"/>
      <c r="H45021" s="612"/>
    </row>
    <row r="45022">
      <c r="B45022" s="612"/>
      <c r="H45022" s="612"/>
    </row>
    <row r="45023">
      <c r="B45023" s="612"/>
      <c r="H45023" s="612"/>
    </row>
    <row r="45024">
      <c r="B45024" s="612"/>
      <c r="H45024" s="612"/>
    </row>
    <row r="45025">
      <c r="B45025" s="612"/>
      <c r="H45025" s="612"/>
    </row>
    <row r="45026">
      <c r="B45026" s="612"/>
      <c r="H45026" s="612"/>
    </row>
    <row r="45027">
      <c r="B45027" s="612"/>
      <c r="H45027" s="612"/>
    </row>
    <row r="45028">
      <c r="B45028" s="612"/>
      <c r="H45028" s="612"/>
    </row>
    <row r="45029">
      <c r="B45029" s="612"/>
      <c r="H45029" s="612"/>
    </row>
    <row r="45030">
      <c r="B45030" s="612"/>
      <c r="H45030" s="612"/>
    </row>
    <row r="45031">
      <c r="B45031" s="612"/>
      <c r="H45031" s="612"/>
    </row>
    <row r="45032">
      <c r="B45032" s="612"/>
      <c r="H45032" s="612"/>
    </row>
    <row r="45033">
      <c r="B45033" s="612"/>
      <c r="H45033" s="612"/>
    </row>
    <row r="45034">
      <c r="B45034" s="612"/>
      <c r="H45034" s="612"/>
    </row>
    <row r="45035">
      <c r="B45035" s="612"/>
      <c r="H45035" s="612"/>
    </row>
    <row r="45036">
      <c r="B45036" s="612"/>
      <c r="H45036" s="612"/>
    </row>
    <row r="45037">
      <c r="B45037" s="612"/>
      <c r="H45037" s="612"/>
    </row>
    <row r="45038">
      <c r="B45038" s="612"/>
      <c r="H45038" s="612"/>
    </row>
    <row r="45039">
      <c r="B45039" s="612"/>
      <c r="H45039" s="612"/>
    </row>
    <row r="45040">
      <c r="B45040" s="612"/>
      <c r="H45040" s="612"/>
    </row>
    <row r="45041">
      <c r="B45041" s="612"/>
      <c r="H45041" s="612"/>
    </row>
    <row r="45042">
      <c r="B45042" s="612"/>
      <c r="H45042" s="612"/>
    </row>
    <row r="45043">
      <c r="B45043" s="612"/>
      <c r="H45043" s="612"/>
    </row>
    <row r="45044">
      <c r="B45044" s="612"/>
      <c r="H45044" s="612"/>
    </row>
    <row r="45045">
      <c r="B45045" s="612"/>
      <c r="H45045" s="612"/>
    </row>
    <row r="45046">
      <c r="B45046" s="612"/>
      <c r="H45046" s="612"/>
    </row>
    <row r="45047">
      <c r="B45047" s="612"/>
      <c r="H45047" s="612"/>
    </row>
    <row r="45048">
      <c r="B45048" s="612"/>
      <c r="H45048" s="612"/>
    </row>
    <row r="45049">
      <c r="B45049" s="612"/>
      <c r="H45049" s="612"/>
    </row>
    <row r="45050">
      <c r="B45050" s="612"/>
      <c r="H45050" s="612"/>
    </row>
    <row r="45051">
      <c r="B45051" s="612"/>
      <c r="H45051" s="612"/>
    </row>
    <row r="45052">
      <c r="B45052" s="612"/>
      <c r="H45052" s="612"/>
    </row>
    <row r="45053">
      <c r="B45053" s="612"/>
      <c r="H45053" s="612"/>
    </row>
    <row r="45054">
      <c r="B45054" s="612"/>
      <c r="H45054" s="612"/>
    </row>
    <row r="45055">
      <c r="B45055" s="612"/>
      <c r="H45055" s="612"/>
    </row>
    <row r="45056">
      <c r="B45056" s="612"/>
      <c r="H45056" s="612"/>
    </row>
    <row r="45057">
      <c r="B45057" s="612"/>
      <c r="H45057" s="612"/>
    </row>
    <row r="45058">
      <c r="B45058" s="612"/>
      <c r="H45058" s="612"/>
    </row>
    <row r="45059">
      <c r="B45059" s="612"/>
      <c r="H45059" s="612"/>
    </row>
    <row r="45060">
      <c r="B45060" s="612"/>
      <c r="H45060" s="612"/>
    </row>
    <row r="45061">
      <c r="B45061" s="612"/>
      <c r="H45061" s="612"/>
    </row>
    <row r="45062">
      <c r="B45062" s="612"/>
      <c r="H45062" s="612"/>
    </row>
    <row r="45063">
      <c r="B45063" s="612"/>
      <c r="H45063" s="612"/>
    </row>
    <row r="45064">
      <c r="B45064" s="612"/>
      <c r="H45064" s="612"/>
    </row>
    <row r="45065">
      <c r="B45065" s="612"/>
      <c r="H45065" s="612"/>
    </row>
    <row r="45066">
      <c r="B45066" s="612"/>
      <c r="H45066" s="612"/>
    </row>
    <row r="45067">
      <c r="B45067" s="612"/>
      <c r="H45067" s="612"/>
    </row>
    <row r="45068">
      <c r="B45068" s="612"/>
      <c r="H45068" s="612"/>
    </row>
    <row r="45069">
      <c r="B45069" s="612"/>
      <c r="H45069" s="612"/>
    </row>
    <row r="45070">
      <c r="B45070" s="612"/>
      <c r="H45070" s="612"/>
    </row>
    <row r="45071">
      <c r="B45071" s="612"/>
      <c r="H45071" s="612"/>
    </row>
    <row r="45072">
      <c r="B45072" s="612"/>
      <c r="H45072" s="612"/>
    </row>
    <row r="45073">
      <c r="B45073" s="612"/>
      <c r="H45073" s="612"/>
    </row>
    <row r="45074">
      <c r="B45074" s="612"/>
      <c r="H45074" s="612"/>
    </row>
    <row r="45075">
      <c r="B45075" s="612"/>
      <c r="H45075" s="612"/>
    </row>
    <row r="45076">
      <c r="B45076" s="612"/>
      <c r="H45076" s="612"/>
    </row>
    <row r="45077">
      <c r="B45077" s="612"/>
      <c r="H45077" s="612"/>
    </row>
    <row r="45078">
      <c r="B45078" s="612"/>
      <c r="H45078" s="612"/>
    </row>
    <row r="45079">
      <c r="B45079" s="612"/>
      <c r="H45079" s="612"/>
    </row>
    <row r="45080">
      <c r="B45080" s="612"/>
      <c r="H45080" s="612"/>
    </row>
    <row r="45081">
      <c r="B45081" s="612"/>
      <c r="H45081" s="612"/>
    </row>
    <row r="45082">
      <c r="B45082" s="612"/>
      <c r="H45082" s="612"/>
    </row>
    <row r="45083">
      <c r="B45083" s="612"/>
      <c r="H45083" s="612"/>
    </row>
    <row r="45084">
      <c r="B45084" s="612"/>
      <c r="H45084" s="612"/>
    </row>
    <row r="45085">
      <c r="B45085" s="612"/>
      <c r="H45085" s="612"/>
    </row>
    <row r="45086">
      <c r="B45086" s="612"/>
      <c r="H45086" s="612"/>
    </row>
    <row r="45087">
      <c r="B45087" s="612"/>
      <c r="H45087" s="612"/>
    </row>
    <row r="45088">
      <c r="B45088" s="612"/>
      <c r="H45088" s="612"/>
    </row>
    <row r="45089">
      <c r="B45089" s="612"/>
      <c r="H45089" s="612"/>
    </row>
    <row r="45090">
      <c r="B45090" s="612"/>
      <c r="H45090" s="612"/>
    </row>
    <row r="45091">
      <c r="B45091" s="612"/>
      <c r="H45091" s="612"/>
    </row>
    <row r="45092">
      <c r="B45092" s="612"/>
      <c r="H45092" s="612"/>
    </row>
    <row r="45093">
      <c r="B45093" s="612"/>
      <c r="H45093" s="612"/>
    </row>
    <row r="45094">
      <c r="B45094" s="612"/>
      <c r="H45094" s="612"/>
    </row>
    <row r="45095">
      <c r="B45095" s="612"/>
      <c r="H45095" s="612"/>
    </row>
    <row r="45096">
      <c r="B45096" s="612"/>
      <c r="H45096" s="612"/>
    </row>
    <row r="45097">
      <c r="B45097" s="612"/>
      <c r="H45097" s="612"/>
    </row>
    <row r="45098">
      <c r="B45098" s="612"/>
      <c r="H45098" s="612"/>
    </row>
    <row r="45099">
      <c r="B45099" s="612"/>
      <c r="H45099" s="612"/>
    </row>
    <row r="45100">
      <c r="B45100" s="612"/>
      <c r="H45100" s="612"/>
    </row>
    <row r="45101">
      <c r="B45101" s="612"/>
      <c r="H45101" s="612"/>
    </row>
    <row r="45102">
      <c r="B45102" s="612"/>
      <c r="H45102" s="612"/>
    </row>
    <row r="45103">
      <c r="B45103" s="612"/>
      <c r="H45103" s="612"/>
    </row>
    <row r="45104">
      <c r="B45104" s="612"/>
      <c r="H45104" s="612"/>
    </row>
    <row r="45105">
      <c r="B45105" s="612"/>
      <c r="H45105" s="612"/>
    </row>
    <row r="45106">
      <c r="B45106" s="612"/>
      <c r="H45106" s="612"/>
    </row>
    <row r="45107">
      <c r="B45107" s="612"/>
      <c r="H45107" s="612"/>
    </row>
    <row r="45108">
      <c r="B45108" s="612"/>
      <c r="H45108" s="612"/>
    </row>
    <row r="45109">
      <c r="B45109" s="612"/>
      <c r="H45109" s="612"/>
    </row>
    <row r="45110">
      <c r="B45110" s="612"/>
      <c r="H45110" s="612"/>
    </row>
    <row r="45111">
      <c r="B45111" s="612"/>
      <c r="H45111" s="612"/>
    </row>
    <row r="45112">
      <c r="B45112" s="612"/>
      <c r="H45112" s="612"/>
    </row>
    <row r="45113">
      <c r="B45113" s="612"/>
      <c r="H45113" s="612"/>
    </row>
    <row r="45114">
      <c r="B45114" s="612"/>
      <c r="H45114" s="612"/>
    </row>
    <row r="45115">
      <c r="B45115" s="612"/>
      <c r="H45115" s="612"/>
    </row>
    <row r="45116">
      <c r="B45116" s="612"/>
      <c r="H45116" s="612"/>
    </row>
    <row r="45117">
      <c r="B45117" s="612"/>
      <c r="H45117" s="612"/>
    </row>
    <row r="45118">
      <c r="B45118" s="612"/>
      <c r="H45118" s="612"/>
    </row>
    <row r="45119">
      <c r="B45119" s="612"/>
      <c r="H45119" s="612"/>
    </row>
    <row r="45120">
      <c r="B45120" s="612"/>
      <c r="H45120" s="612"/>
    </row>
    <row r="45121">
      <c r="B45121" s="612"/>
      <c r="H45121" s="612"/>
    </row>
    <row r="45122">
      <c r="B45122" s="612"/>
      <c r="H45122" s="612"/>
    </row>
    <row r="45123">
      <c r="B45123" s="612"/>
      <c r="H45123" s="612"/>
    </row>
    <row r="45124">
      <c r="B45124" s="612"/>
      <c r="H45124" s="612"/>
    </row>
    <row r="45125">
      <c r="B45125" s="612"/>
      <c r="H45125" s="612"/>
    </row>
    <row r="45126">
      <c r="B45126" s="612"/>
      <c r="H45126" s="612"/>
    </row>
    <row r="45127">
      <c r="B45127" s="612"/>
      <c r="H45127" s="612"/>
    </row>
    <row r="45128">
      <c r="B45128" s="612"/>
      <c r="H45128" s="612"/>
    </row>
    <row r="45129">
      <c r="B45129" s="612"/>
      <c r="H45129" s="612"/>
    </row>
    <row r="45130">
      <c r="B45130" s="612"/>
      <c r="H45130" s="612"/>
    </row>
    <row r="45131">
      <c r="B45131" s="612"/>
      <c r="H45131" s="612"/>
    </row>
    <row r="45132">
      <c r="B45132" s="612"/>
      <c r="H45132" s="612"/>
    </row>
    <row r="45133">
      <c r="B45133" s="612"/>
      <c r="H45133" s="612"/>
    </row>
    <row r="45134">
      <c r="B45134" s="612"/>
      <c r="H45134" s="612"/>
    </row>
    <row r="45135">
      <c r="B45135" s="612"/>
      <c r="H45135" s="612"/>
    </row>
    <row r="45136">
      <c r="B45136" s="612"/>
      <c r="H45136" s="612"/>
    </row>
    <row r="45137">
      <c r="B45137" s="612"/>
      <c r="H45137" s="612"/>
    </row>
    <row r="45138">
      <c r="B45138" s="612"/>
      <c r="H45138" s="612"/>
    </row>
    <row r="45139">
      <c r="B45139" s="612"/>
      <c r="H45139" s="612"/>
    </row>
    <row r="45140">
      <c r="B45140" s="612"/>
      <c r="H45140" s="612"/>
    </row>
    <row r="45141">
      <c r="B45141" s="612"/>
      <c r="H45141" s="612"/>
    </row>
    <row r="45142">
      <c r="B45142" s="612"/>
      <c r="H45142" s="612"/>
    </row>
    <row r="45143">
      <c r="B45143" s="612"/>
      <c r="H45143" s="612"/>
    </row>
    <row r="45144">
      <c r="B45144" s="612"/>
      <c r="H45144" s="612"/>
    </row>
    <row r="45145">
      <c r="B45145" s="612"/>
      <c r="H45145" s="612"/>
    </row>
    <row r="45146">
      <c r="B45146" s="612"/>
      <c r="H45146" s="612"/>
    </row>
    <row r="45147">
      <c r="B45147" s="612"/>
      <c r="H45147" s="612"/>
    </row>
    <row r="45148">
      <c r="B45148" s="612"/>
      <c r="H45148" s="612"/>
    </row>
    <row r="45149">
      <c r="B45149" s="612"/>
      <c r="H45149" s="612"/>
    </row>
    <row r="45150">
      <c r="B45150" s="612"/>
      <c r="H45150" s="612"/>
    </row>
    <row r="45151">
      <c r="B45151" s="612"/>
      <c r="H45151" s="612"/>
    </row>
    <row r="45152">
      <c r="B45152" s="612"/>
      <c r="H45152" s="612"/>
    </row>
    <row r="45153">
      <c r="B45153" s="612"/>
      <c r="H45153" s="612"/>
    </row>
    <row r="45154">
      <c r="B45154" s="612"/>
      <c r="H45154" s="612"/>
    </row>
    <row r="45155">
      <c r="B45155" s="612"/>
      <c r="H45155" s="612"/>
    </row>
    <row r="45156">
      <c r="B45156" s="612"/>
      <c r="H45156" s="612"/>
    </row>
    <row r="45157">
      <c r="B45157" s="612"/>
      <c r="H45157" s="612"/>
    </row>
    <row r="45158">
      <c r="B45158" s="612"/>
      <c r="H45158" s="612"/>
    </row>
    <row r="45159">
      <c r="B45159" s="612"/>
      <c r="H45159" s="612"/>
    </row>
    <row r="45160">
      <c r="B45160" s="612"/>
      <c r="H45160" s="612"/>
    </row>
    <row r="45161">
      <c r="B45161" s="612"/>
      <c r="H45161" s="612"/>
    </row>
    <row r="45162">
      <c r="B45162" s="612"/>
      <c r="H45162" s="612"/>
    </row>
    <row r="45163">
      <c r="B45163" s="612"/>
      <c r="H45163" s="612"/>
    </row>
    <row r="45164">
      <c r="B45164" s="612"/>
      <c r="H45164" s="612"/>
    </row>
    <row r="45165">
      <c r="B45165" s="612"/>
      <c r="H45165" s="612"/>
    </row>
    <row r="45166">
      <c r="B45166" s="612"/>
      <c r="H45166" s="612"/>
    </row>
    <row r="45167">
      <c r="B45167" s="612"/>
      <c r="H45167" s="612"/>
    </row>
    <row r="45168">
      <c r="B45168" s="612"/>
      <c r="H45168" s="612"/>
    </row>
    <row r="45169">
      <c r="B45169" s="612"/>
      <c r="H45169" s="612"/>
    </row>
    <row r="45170">
      <c r="B45170" s="612"/>
      <c r="H45170" s="612"/>
    </row>
    <row r="45171">
      <c r="B45171" s="612"/>
      <c r="H45171" s="612"/>
    </row>
    <row r="45172">
      <c r="B45172" s="612"/>
      <c r="H45172" s="612"/>
    </row>
    <row r="45173">
      <c r="B45173" s="612"/>
      <c r="H45173" s="612"/>
    </row>
    <row r="45174">
      <c r="B45174" s="612"/>
      <c r="H45174" s="612"/>
    </row>
    <row r="45175">
      <c r="B45175" s="612"/>
      <c r="H45175" s="612"/>
    </row>
    <row r="45176">
      <c r="B45176" s="612"/>
      <c r="H45176" s="612"/>
    </row>
    <row r="45177">
      <c r="B45177" s="612"/>
      <c r="H45177" s="612"/>
    </row>
    <row r="45178">
      <c r="B45178" s="612"/>
      <c r="H45178" s="612"/>
    </row>
    <row r="45179">
      <c r="B45179" s="612"/>
      <c r="H45179" s="612"/>
    </row>
    <row r="45180">
      <c r="B45180" s="612"/>
      <c r="H45180" s="612"/>
    </row>
    <row r="45181">
      <c r="B45181" s="612"/>
      <c r="H45181" s="612"/>
    </row>
    <row r="45182">
      <c r="B45182" s="612"/>
      <c r="H45182" s="612"/>
    </row>
    <row r="45183">
      <c r="B45183" s="612"/>
      <c r="H45183" s="612"/>
    </row>
    <row r="45184">
      <c r="B45184" s="612"/>
      <c r="H45184" s="612"/>
    </row>
    <row r="45185">
      <c r="B45185" s="612"/>
      <c r="H45185" s="612"/>
    </row>
    <row r="45186">
      <c r="B45186" s="612"/>
      <c r="H45186" s="612"/>
    </row>
    <row r="45187">
      <c r="B45187" s="612"/>
      <c r="H45187" s="612"/>
    </row>
    <row r="45188">
      <c r="B45188" s="612"/>
      <c r="H45188" s="612"/>
    </row>
    <row r="45189">
      <c r="B45189" s="612"/>
      <c r="H45189" s="612"/>
    </row>
    <row r="45190">
      <c r="B45190" s="612"/>
      <c r="H45190" s="612"/>
    </row>
    <row r="45191">
      <c r="B45191" s="612"/>
      <c r="H45191" s="612"/>
    </row>
    <row r="45192">
      <c r="B45192" s="612"/>
      <c r="H45192" s="612"/>
    </row>
    <row r="45193">
      <c r="B45193" s="612"/>
      <c r="H45193" s="612"/>
    </row>
    <row r="45194">
      <c r="B45194" s="612"/>
      <c r="H45194" s="612"/>
    </row>
    <row r="45195">
      <c r="B45195" s="612"/>
      <c r="H45195" s="612"/>
    </row>
    <row r="45196">
      <c r="B45196" s="612"/>
      <c r="H45196" s="612"/>
    </row>
    <row r="45197">
      <c r="B45197" s="612"/>
      <c r="H45197" s="612"/>
    </row>
    <row r="45198">
      <c r="B45198" s="612"/>
      <c r="H45198" s="612"/>
    </row>
    <row r="45199">
      <c r="B45199" s="612"/>
      <c r="H45199" s="612"/>
    </row>
    <row r="45200">
      <c r="B45200" s="612"/>
      <c r="H45200" s="612"/>
    </row>
    <row r="45201">
      <c r="B45201" s="612"/>
      <c r="H45201" s="612"/>
    </row>
    <row r="45202">
      <c r="B45202" s="612"/>
      <c r="H45202" s="612"/>
    </row>
    <row r="45203">
      <c r="B45203" s="612"/>
      <c r="H45203" s="612"/>
    </row>
    <row r="45204">
      <c r="B45204" s="612"/>
      <c r="H45204" s="612"/>
    </row>
    <row r="45205">
      <c r="B45205" s="612"/>
      <c r="H45205" s="612"/>
    </row>
    <row r="45206">
      <c r="B45206" s="612"/>
      <c r="H45206" s="612"/>
    </row>
    <row r="45207">
      <c r="B45207" s="612"/>
      <c r="H45207" s="612"/>
    </row>
    <row r="45208">
      <c r="B45208" s="612"/>
      <c r="H45208" s="612"/>
    </row>
    <row r="45209">
      <c r="B45209" s="612"/>
      <c r="H45209" s="612"/>
    </row>
    <row r="45210">
      <c r="B45210" s="612"/>
      <c r="H45210" s="612"/>
    </row>
    <row r="45211">
      <c r="B45211" s="612"/>
      <c r="H45211" s="612"/>
    </row>
    <row r="45212">
      <c r="B45212" s="612"/>
      <c r="H45212" s="612"/>
    </row>
    <row r="45213">
      <c r="B45213" s="612"/>
      <c r="H45213" s="612"/>
    </row>
    <row r="45214">
      <c r="B45214" s="612"/>
      <c r="H45214" s="612"/>
    </row>
    <row r="45215">
      <c r="B45215" s="612"/>
      <c r="H45215" s="612"/>
    </row>
    <row r="45216">
      <c r="B45216" s="612"/>
      <c r="H45216" s="612"/>
    </row>
    <row r="45217">
      <c r="B45217" s="612"/>
      <c r="H45217" s="612"/>
    </row>
    <row r="45218">
      <c r="B45218" s="612"/>
      <c r="H45218" s="612"/>
    </row>
    <row r="45219">
      <c r="B45219" s="612"/>
      <c r="H45219" s="612"/>
    </row>
    <row r="45220">
      <c r="B45220" s="612"/>
      <c r="H45220" s="612"/>
    </row>
    <row r="45221">
      <c r="B45221" s="612"/>
      <c r="H45221" s="612"/>
    </row>
    <row r="45222">
      <c r="B45222" s="612"/>
      <c r="H45222" s="612"/>
    </row>
    <row r="45223">
      <c r="B45223" s="612"/>
      <c r="H45223" s="612"/>
    </row>
    <row r="45224">
      <c r="B45224" s="612"/>
      <c r="H45224" s="612"/>
    </row>
    <row r="45225">
      <c r="B45225" s="612"/>
      <c r="H45225" s="612"/>
    </row>
    <row r="45226">
      <c r="B45226" s="612"/>
      <c r="H45226" s="612"/>
    </row>
    <row r="45227">
      <c r="B45227" s="612"/>
      <c r="H45227" s="612"/>
    </row>
    <row r="45228">
      <c r="B45228" s="612"/>
      <c r="H45228" s="612"/>
    </row>
    <row r="45229">
      <c r="B45229" s="612"/>
      <c r="H45229" s="612"/>
    </row>
    <row r="45230">
      <c r="B45230" s="612"/>
      <c r="H45230" s="612"/>
    </row>
    <row r="45231">
      <c r="B45231" s="612"/>
      <c r="H45231" s="612"/>
    </row>
    <row r="45232">
      <c r="B45232" s="612"/>
      <c r="H45232" s="612"/>
    </row>
    <row r="45233">
      <c r="B45233" s="612"/>
      <c r="H45233" s="612"/>
    </row>
    <row r="45234">
      <c r="B45234" s="612"/>
      <c r="H45234" s="612"/>
    </row>
    <row r="45235">
      <c r="B45235" s="612"/>
      <c r="H45235" s="612"/>
    </row>
    <row r="45236">
      <c r="B45236" s="612"/>
      <c r="H45236" s="612"/>
    </row>
    <row r="45237">
      <c r="B45237" s="612"/>
      <c r="H45237" s="612"/>
    </row>
    <row r="45238">
      <c r="B45238" s="612"/>
      <c r="H45238" s="612"/>
    </row>
    <row r="45239">
      <c r="B45239" s="612"/>
      <c r="H45239" s="612"/>
    </row>
    <row r="45240">
      <c r="B45240" s="612"/>
      <c r="H45240" s="612"/>
    </row>
    <row r="45241">
      <c r="B45241" s="612"/>
      <c r="H45241" s="612"/>
    </row>
    <row r="45242">
      <c r="B45242" s="612"/>
      <c r="H45242" s="612"/>
    </row>
    <row r="45243">
      <c r="B45243" s="612"/>
      <c r="H45243" s="612"/>
    </row>
    <row r="45244">
      <c r="B45244" s="612"/>
      <c r="H45244" s="612"/>
    </row>
    <row r="45245">
      <c r="B45245" s="612"/>
      <c r="H45245" s="612"/>
    </row>
    <row r="45246">
      <c r="B45246" s="612"/>
      <c r="H45246" s="612"/>
    </row>
    <row r="45247">
      <c r="B45247" s="612"/>
      <c r="H45247" s="612"/>
    </row>
    <row r="45248">
      <c r="B45248" s="612"/>
      <c r="H45248" s="612"/>
    </row>
    <row r="45249">
      <c r="B45249" s="612"/>
      <c r="H45249" s="612"/>
    </row>
    <row r="45250">
      <c r="B45250" s="612"/>
      <c r="H45250" s="612"/>
    </row>
    <row r="45251">
      <c r="B45251" s="612"/>
      <c r="H45251" s="612"/>
    </row>
    <row r="45252">
      <c r="B45252" s="612"/>
      <c r="H45252" s="612"/>
    </row>
    <row r="45253">
      <c r="B45253" s="612"/>
      <c r="H45253" s="612"/>
    </row>
    <row r="45254">
      <c r="B45254" s="612"/>
      <c r="H45254" s="612"/>
    </row>
    <row r="45255">
      <c r="B45255" s="612"/>
      <c r="H45255" s="612"/>
    </row>
    <row r="45256">
      <c r="B45256" s="612"/>
      <c r="H45256" s="612"/>
    </row>
    <row r="45257">
      <c r="B45257" s="612"/>
      <c r="H45257" s="612"/>
    </row>
    <row r="45258">
      <c r="B45258" s="612"/>
      <c r="H45258" s="612"/>
    </row>
    <row r="45259">
      <c r="B45259" s="612"/>
      <c r="H45259" s="612"/>
    </row>
    <row r="45260">
      <c r="B45260" s="612"/>
      <c r="H45260" s="612"/>
    </row>
    <row r="45261">
      <c r="B45261" s="612"/>
      <c r="H45261" s="612"/>
    </row>
    <row r="45262">
      <c r="B45262" s="612"/>
      <c r="H45262" s="612"/>
    </row>
    <row r="45263">
      <c r="B45263" s="612"/>
      <c r="H45263" s="612"/>
    </row>
    <row r="45264">
      <c r="B45264" s="612"/>
      <c r="H45264" s="612"/>
    </row>
    <row r="45265">
      <c r="B45265" s="612"/>
      <c r="H45265" s="612"/>
    </row>
    <row r="45266">
      <c r="B45266" s="612"/>
      <c r="H45266" s="612"/>
    </row>
    <row r="45267">
      <c r="B45267" s="612"/>
      <c r="H45267" s="612"/>
    </row>
    <row r="45268">
      <c r="B45268" s="612"/>
      <c r="H45268" s="612"/>
    </row>
    <row r="45269">
      <c r="B45269" s="612"/>
      <c r="H45269" s="612"/>
    </row>
    <row r="45270">
      <c r="B45270" s="612"/>
      <c r="H45270" s="612"/>
    </row>
    <row r="45271">
      <c r="B45271" s="612"/>
      <c r="H45271" s="612"/>
    </row>
    <row r="45272">
      <c r="B45272" s="612"/>
      <c r="H45272" s="612"/>
    </row>
    <row r="45273">
      <c r="B45273" s="612"/>
      <c r="H45273" s="612"/>
    </row>
    <row r="45274">
      <c r="B45274" s="612"/>
      <c r="H45274" s="612"/>
    </row>
    <row r="45275">
      <c r="B45275" s="612"/>
      <c r="H45275" s="612"/>
    </row>
    <row r="45276">
      <c r="B45276" s="612"/>
      <c r="H45276" s="612"/>
    </row>
    <row r="45277">
      <c r="B45277" s="612"/>
      <c r="H45277" s="612"/>
    </row>
    <row r="45278">
      <c r="B45278" s="612"/>
      <c r="H45278" s="612"/>
    </row>
    <row r="45279">
      <c r="B45279" s="612"/>
      <c r="H45279" s="612"/>
    </row>
    <row r="45280">
      <c r="B45280" s="612"/>
      <c r="H45280" s="612"/>
    </row>
    <row r="45281">
      <c r="B45281" s="612"/>
      <c r="H45281" s="612"/>
    </row>
    <row r="45282">
      <c r="B45282" s="612"/>
      <c r="H45282" s="612"/>
    </row>
    <row r="45283">
      <c r="B45283" s="612"/>
      <c r="H45283" s="612"/>
    </row>
    <row r="45284">
      <c r="B45284" s="612"/>
      <c r="H45284" s="612"/>
    </row>
    <row r="45285">
      <c r="B45285" s="612"/>
      <c r="H45285" s="612"/>
    </row>
    <row r="45286">
      <c r="B45286" s="612"/>
      <c r="H45286" s="612"/>
    </row>
    <row r="45287">
      <c r="B45287" s="612"/>
      <c r="H45287" s="612"/>
    </row>
    <row r="45288">
      <c r="B45288" s="612"/>
      <c r="H45288" s="612"/>
    </row>
    <row r="45289">
      <c r="B45289" s="612"/>
      <c r="H45289" s="612"/>
    </row>
    <row r="45290">
      <c r="B45290" s="612"/>
      <c r="H45290" s="612"/>
    </row>
    <row r="45291">
      <c r="B45291" s="612"/>
      <c r="H45291" s="612"/>
    </row>
    <row r="45292">
      <c r="B45292" s="612"/>
      <c r="H45292" s="612"/>
    </row>
    <row r="45293">
      <c r="B45293" s="612"/>
      <c r="H45293" s="612"/>
    </row>
    <row r="45294">
      <c r="B45294" s="612"/>
      <c r="H45294" s="612"/>
    </row>
    <row r="45295">
      <c r="B45295" s="612"/>
      <c r="H45295" s="612"/>
    </row>
    <row r="45296">
      <c r="B45296" s="612"/>
      <c r="H45296" s="612"/>
    </row>
    <row r="45297">
      <c r="B45297" s="612"/>
      <c r="H45297" s="612"/>
    </row>
    <row r="45298">
      <c r="B45298" s="612"/>
      <c r="H45298" s="612"/>
    </row>
    <row r="45299">
      <c r="B45299" s="612"/>
      <c r="H45299" s="612"/>
    </row>
    <row r="45300">
      <c r="B45300" s="612"/>
      <c r="H45300" s="612"/>
    </row>
    <row r="45301">
      <c r="B45301" s="612"/>
      <c r="H45301" s="612"/>
    </row>
    <row r="45302">
      <c r="B45302" s="612"/>
      <c r="H45302" s="612"/>
    </row>
    <row r="45303">
      <c r="B45303" s="612"/>
      <c r="H45303" s="612"/>
    </row>
    <row r="45304">
      <c r="B45304" s="612"/>
      <c r="H45304" s="612"/>
    </row>
    <row r="45305">
      <c r="B45305" s="612"/>
      <c r="H45305" s="612"/>
    </row>
    <row r="45306">
      <c r="B45306" s="612"/>
      <c r="H45306" s="612"/>
    </row>
    <row r="45307">
      <c r="B45307" s="612"/>
      <c r="H45307" s="612"/>
    </row>
    <row r="45308">
      <c r="B45308" s="612"/>
      <c r="H45308" s="612"/>
    </row>
    <row r="45309">
      <c r="B45309" s="612"/>
      <c r="H45309" s="612"/>
    </row>
    <row r="45310">
      <c r="B45310" s="612"/>
      <c r="H45310" s="612"/>
    </row>
    <row r="45311">
      <c r="B45311" s="612"/>
      <c r="H45311" s="612"/>
    </row>
    <row r="45312">
      <c r="B45312" s="612"/>
      <c r="H45312" s="612"/>
    </row>
    <row r="45313">
      <c r="B45313" s="612"/>
      <c r="H45313" s="612"/>
    </row>
    <row r="45314">
      <c r="B45314" s="612"/>
      <c r="H45314" s="612"/>
    </row>
    <row r="45315">
      <c r="B45315" s="612"/>
      <c r="H45315" s="612"/>
    </row>
    <row r="45316">
      <c r="B45316" s="612"/>
      <c r="H45316" s="612"/>
    </row>
    <row r="45317">
      <c r="B45317" s="612"/>
      <c r="H45317" s="612"/>
    </row>
    <row r="45318">
      <c r="B45318" s="612"/>
      <c r="H45318" s="612"/>
    </row>
    <row r="45319">
      <c r="B45319" s="612"/>
      <c r="H45319" s="612"/>
    </row>
    <row r="45320">
      <c r="B45320" s="612"/>
      <c r="H45320" s="612"/>
    </row>
    <row r="45321">
      <c r="B45321" s="612"/>
      <c r="H45321" s="612"/>
    </row>
    <row r="45322">
      <c r="B45322" s="612"/>
      <c r="H45322" s="612"/>
    </row>
    <row r="45323">
      <c r="B45323" s="612"/>
      <c r="H45323" s="612"/>
    </row>
    <row r="45324">
      <c r="B45324" s="612"/>
      <c r="H45324" s="612"/>
    </row>
    <row r="45325">
      <c r="B45325" s="612"/>
      <c r="H45325" s="612"/>
    </row>
    <row r="45326">
      <c r="B45326" s="612"/>
      <c r="H45326" s="612"/>
    </row>
    <row r="45327">
      <c r="B45327" s="612"/>
      <c r="H45327" s="612"/>
    </row>
    <row r="45328">
      <c r="B45328" s="612"/>
      <c r="H45328" s="612"/>
    </row>
    <row r="45329">
      <c r="B45329" s="612"/>
      <c r="H45329" s="612"/>
    </row>
    <row r="45330">
      <c r="B45330" s="612"/>
      <c r="H45330" s="612"/>
    </row>
    <row r="45331">
      <c r="B45331" s="612"/>
      <c r="H45331" s="612"/>
    </row>
    <row r="45332">
      <c r="B45332" s="612"/>
      <c r="H45332" s="612"/>
    </row>
    <row r="45333">
      <c r="B45333" s="612"/>
      <c r="H45333" s="612"/>
    </row>
    <row r="45334">
      <c r="B45334" s="612"/>
      <c r="H45334" s="612"/>
    </row>
    <row r="45335">
      <c r="B45335" s="612"/>
      <c r="H45335" s="612"/>
    </row>
    <row r="45336">
      <c r="B45336" s="612"/>
      <c r="H45336" s="612"/>
    </row>
    <row r="45337">
      <c r="B45337" s="612"/>
      <c r="H45337" s="612"/>
    </row>
    <row r="45338">
      <c r="B45338" s="612"/>
      <c r="H45338" s="612"/>
    </row>
    <row r="45339">
      <c r="B45339" s="612"/>
      <c r="H45339" s="612"/>
    </row>
    <row r="45340">
      <c r="B45340" s="612"/>
      <c r="H45340" s="612"/>
    </row>
    <row r="45341">
      <c r="B45341" s="612"/>
      <c r="H45341" s="612"/>
    </row>
    <row r="45342">
      <c r="B45342" s="612"/>
      <c r="H45342" s="612"/>
    </row>
    <row r="45343">
      <c r="B45343" s="612"/>
      <c r="H45343" s="612"/>
    </row>
    <row r="45344">
      <c r="B45344" s="612"/>
      <c r="H45344" s="612"/>
    </row>
    <row r="45345">
      <c r="B45345" s="612"/>
      <c r="H45345" s="612"/>
    </row>
    <row r="45346">
      <c r="B45346" s="612"/>
      <c r="H45346" s="612"/>
    </row>
    <row r="45347">
      <c r="B45347" s="612"/>
      <c r="H45347" s="612"/>
    </row>
    <row r="45348">
      <c r="B45348" s="612"/>
      <c r="H45348" s="612"/>
    </row>
    <row r="45349">
      <c r="B45349" s="612"/>
      <c r="H45349" s="612"/>
    </row>
    <row r="45350">
      <c r="B45350" s="612"/>
      <c r="H45350" s="612"/>
    </row>
    <row r="45351">
      <c r="B45351" s="612"/>
      <c r="H45351" s="612"/>
    </row>
    <row r="45352">
      <c r="B45352" s="612"/>
      <c r="H45352" s="612"/>
    </row>
    <row r="45353">
      <c r="B45353" s="612"/>
      <c r="H45353" s="612"/>
    </row>
    <row r="45354">
      <c r="B45354" s="612"/>
      <c r="H45354" s="612"/>
    </row>
    <row r="45355">
      <c r="B45355" s="612"/>
      <c r="H45355" s="612"/>
    </row>
    <row r="45356">
      <c r="B45356" s="612"/>
      <c r="H45356" s="612"/>
    </row>
    <row r="45357">
      <c r="B45357" s="612"/>
      <c r="H45357" s="612"/>
    </row>
    <row r="45358">
      <c r="B45358" s="612"/>
      <c r="H45358" s="612"/>
    </row>
    <row r="45359">
      <c r="B45359" s="612"/>
      <c r="H45359" s="612"/>
    </row>
    <row r="45360">
      <c r="B45360" s="612"/>
      <c r="H45360" s="612"/>
    </row>
    <row r="45361">
      <c r="B45361" s="612"/>
      <c r="H45361" s="612"/>
    </row>
    <row r="45362">
      <c r="B45362" s="612"/>
      <c r="H45362" s="612"/>
    </row>
    <row r="45363">
      <c r="B45363" s="612"/>
      <c r="H45363" s="612"/>
    </row>
    <row r="45364">
      <c r="B45364" s="612"/>
      <c r="H45364" s="612"/>
    </row>
    <row r="45365">
      <c r="B45365" s="612"/>
      <c r="H45365" s="612"/>
    </row>
    <row r="45366">
      <c r="B45366" s="612"/>
      <c r="H45366" s="612"/>
    </row>
    <row r="45367">
      <c r="B45367" s="612"/>
      <c r="H45367" s="612"/>
    </row>
    <row r="45368">
      <c r="B45368" s="612"/>
      <c r="H45368" s="612"/>
    </row>
    <row r="45369">
      <c r="B45369" s="612"/>
      <c r="H45369" s="612"/>
    </row>
    <row r="45370">
      <c r="B45370" s="612"/>
      <c r="H45370" s="612"/>
    </row>
    <row r="45371">
      <c r="B45371" s="612"/>
      <c r="H45371" s="612"/>
    </row>
    <row r="45372">
      <c r="B45372" s="612"/>
      <c r="H45372" s="612"/>
    </row>
    <row r="45373">
      <c r="B45373" s="612"/>
      <c r="H45373" s="612"/>
    </row>
    <row r="45374">
      <c r="B45374" s="612"/>
      <c r="H45374" s="612"/>
    </row>
    <row r="45375">
      <c r="B45375" s="612"/>
      <c r="H45375" s="612"/>
    </row>
    <row r="45376">
      <c r="B45376" s="612"/>
      <c r="H45376" s="612"/>
    </row>
    <row r="45377">
      <c r="B45377" s="612"/>
      <c r="H45377" s="612"/>
    </row>
    <row r="45378">
      <c r="B45378" s="612"/>
      <c r="H45378" s="612"/>
    </row>
    <row r="45379">
      <c r="B45379" s="612"/>
      <c r="H45379" s="612"/>
    </row>
    <row r="45380">
      <c r="B45380" s="612"/>
      <c r="H45380" s="612"/>
    </row>
    <row r="45381">
      <c r="B45381" s="612"/>
      <c r="H45381" s="612"/>
    </row>
    <row r="45382">
      <c r="B45382" s="612"/>
      <c r="H45382" s="612"/>
    </row>
    <row r="45383">
      <c r="B45383" s="612"/>
      <c r="H45383" s="612"/>
    </row>
    <row r="45384">
      <c r="B45384" s="612"/>
      <c r="H45384" s="612"/>
    </row>
    <row r="45385">
      <c r="B45385" s="612"/>
      <c r="H45385" s="612"/>
    </row>
    <row r="45386">
      <c r="B45386" s="612"/>
      <c r="H45386" s="612"/>
    </row>
    <row r="45387">
      <c r="B45387" s="612"/>
      <c r="H45387" s="612"/>
    </row>
    <row r="45388">
      <c r="B45388" s="612"/>
      <c r="H45388" s="612"/>
    </row>
    <row r="45389">
      <c r="B45389" s="612"/>
      <c r="H45389" s="612"/>
    </row>
    <row r="45390">
      <c r="B45390" s="612"/>
      <c r="H45390" s="612"/>
    </row>
    <row r="45391">
      <c r="B45391" s="612"/>
      <c r="H45391" s="612"/>
    </row>
    <row r="45392">
      <c r="B45392" s="612"/>
      <c r="H45392" s="612"/>
    </row>
    <row r="45393">
      <c r="B45393" s="612"/>
      <c r="H45393" s="612"/>
    </row>
    <row r="45394">
      <c r="B45394" s="612"/>
      <c r="H45394" s="612"/>
    </row>
    <row r="45395">
      <c r="B45395" s="612"/>
      <c r="H45395" s="612"/>
    </row>
    <row r="45396">
      <c r="B45396" s="612"/>
      <c r="H45396" s="612"/>
    </row>
    <row r="45397">
      <c r="B45397" s="612"/>
      <c r="H45397" s="612"/>
    </row>
    <row r="45398">
      <c r="B45398" s="612"/>
      <c r="H45398" s="612"/>
    </row>
    <row r="45399">
      <c r="B45399" s="612"/>
      <c r="H45399" s="612"/>
    </row>
    <row r="45400">
      <c r="B45400" s="612"/>
      <c r="H45400" s="612"/>
    </row>
    <row r="45401">
      <c r="B45401" s="612"/>
      <c r="H45401" s="612"/>
    </row>
    <row r="45402">
      <c r="B45402" s="612"/>
      <c r="H45402" s="612"/>
    </row>
    <row r="45403">
      <c r="B45403" s="612"/>
      <c r="H45403" s="612"/>
    </row>
    <row r="45404">
      <c r="B45404" s="612"/>
      <c r="H45404" s="612"/>
    </row>
    <row r="45405">
      <c r="B45405" s="612"/>
      <c r="H45405" s="612"/>
    </row>
    <row r="45406">
      <c r="B45406" s="612"/>
      <c r="H45406" s="612"/>
    </row>
    <row r="45407">
      <c r="B45407" s="612"/>
      <c r="H45407" s="612"/>
    </row>
    <row r="45408">
      <c r="B45408" s="612"/>
      <c r="H45408" s="612"/>
    </row>
    <row r="45409">
      <c r="B45409" s="612"/>
      <c r="H45409" s="612"/>
    </row>
    <row r="45410">
      <c r="B45410" s="612"/>
      <c r="H45410" s="612"/>
    </row>
    <row r="45411">
      <c r="B45411" s="612"/>
      <c r="H45411" s="612"/>
    </row>
    <row r="45412">
      <c r="B45412" s="612"/>
      <c r="H45412" s="612"/>
    </row>
    <row r="45413">
      <c r="B45413" s="612"/>
      <c r="H45413" s="612"/>
    </row>
    <row r="45414">
      <c r="B45414" s="612"/>
      <c r="H45414" s="612"/>
    </row>
    <row r="45415">
      <c r="B45415" s="612"/>
      <c r="H45415" s="612"/>
    </row>
    <row r="45416">
      <c r="B45416" s="612"/>
      <c r="H45416" s="612"/>
    </row>
    <row r="45417">
      <c r="B45417" s="612"/>
      <c r="H45417" s="612"/>
    </row>
    <row r="45418">
      <c r="B45418" s="612"/>
      <c r="H45418" s="612"/>
    </row>
    <row r="45419">
      <c r="B45419" s="612"/>
      <c r="H45419" s="612"/>
    </row>
    <row r="45420">
      <c r="B45420" s="612"/>
      <c r="H45420" s="612"/>
    </row>
    <row r="45421">
      <c r="B45421" s="612"/>
      <c r="H45421" s="612"/>
    </row>
    <row r="45422">
      <c r="B45422" s="612"/>
      <c r="H45422" s="612"/>
    </row>
    <row r="45423">
      <c r="B45423" s="612"/>
      <c r="H45423" s="612"/>
    </row>
    <row r="45424">
      <c r="B45424" s="612"/>
      <c r="H45424" s="612"/>
    </row>
    <row r="45425">
      <c r="B45425" s="612"/>
      <c r="H45425" s="612"/>
    </row>
    <row r="45426">
      <c r="B45426" s="612"/>
      <c r="H45426" s="612"/>
    </row>
    <row r="45427">
      <c r="B45427" s="612"/>
      <c r="H45427" s="612"/>
    </row>
    <row r="45428">
      <c r="B45428" s="612"/>
      <c r="H45428" s="612"/>
    </row>
    <row r="45429">
      <c r="B45429" s="612"/>
      <c r="H45429" s="612"/>
    </row>
    <row r="45430">
      <c r="B45430" s="612"/>
      <c r="H45430" s="612"/>
    </row>
    <row r="45431">
      <c r="B45431" s="612"/>
      <c r="H45431" s="612"/>
    </row>
    <row r="45432">
      <c r="B45432" s="612"/>
      <c r="H45432" s="612"/>
    </row>
    <row r="45433">
      <c r="B45433" s="612"/>
      <c r="H45433" s="612"/>
    </row>
    <row r="45434">
      <c r="B45434" s="612"/>
      <c r="H45434" s="612"/>
    </row>
    <row r="45435">
      <c r="B45435" s="612"/>
      <c r="H45435" s="612"/>
    </row>
    <row r="45436">
      <c r="B45436" s="612"/>
      <c r="H45436" s="612"/>
    </row>
    <row r="45437">
      <c r="B45437" s="612"/>
      <c r="H45437" s="612"/>
    </row>
    <row r="45438">
      <c r="B45438" s="612"/>
      <c r="H45438" s="612"/>
    </row>
    <row r="45439">
      <c r="B45439" s="612"/>
      <c r="H45439" s="612"/>
    </row>
    <row r="45440">
      <c r="B45440" s="612"/>
      <c r="H45440" s="612"/>
    </row>
    <row r="45441">
      <c r="B45441" s="612"/>
      <c r="H45441" s="612"/>
    </row>
    <row r="45442">
      <c r="B45442" s="612"/>
      <c r="H45442" s="612"/>
    </row>
    <row r="45443">
      <c r="B45443" s="612"/>
      <c r="H45443" s="612"/>
    </row>
    <row r="45444">
      <c r="B45444" s="612"/>
      <c r="H45444" s="612"/>
    </row>
    <row r="45445">
      <c r="B45445" s="612"/>
      <c r="H45445" s="612"/>
    </row>
    <row r="45446">
      <c r="B45446" s="612"/>
      <c r="H45446" s="612"/>
    </row>
    <row r="45447">
      <c r="B45447" s="612"/>
      <c r="H45447" s="612"/>
    </row>
    <row r="45448">
      <c r="B45448" s="612"/>
      <c r="H45448" s="612"/>
    </row>
    <row r="45449">
      <c r="B45449" s="612"/>
      <c r="H45449" s="612"/>
    </row>
    <row r="45450">
      <c r="B45450" s="612"/>
      <c r="H45450" s="612"/>
    </row>
    <row r="45451">
      <c r="B45451" s="612"/>
      <c r="H45451" s="612"/>
    </row>
    <row r="45452">
      <c r="B45452" s="612"/>
      <c r="H45452" s="612"/>
    </row>
    <row r="45453">
      <c r="B45453" s="612"/>
      <c r="H45453" s="612"/>
    </row>
    <row r="45454">
      <c r="B45454" s="612"/>
      <c r="H45454" s="612"/>
    </row>
    <row r="45455">
      <c r="B45455" s="612"/>
      <c r="H45455" s="612"/>
    </row>
    <row r="45456">
      <c r="B45456" s="612"/>
      <c r="H45456" s="612"/>
    </row>
    <row r="45457">
      <c r="B45457" s="612"/>
      <c r="H45457" s="612"/>
    </row>
    <row r="45458">
      <c r="B45458" s="612"/>
      <c r="H45458" s="612"/>
    </row>
    <row r="45459">
      <c r="B45459" s="612"/>
      <c r="H45459" s="612"/>
    </row>
    <row r="45460">
      <c r="B45460" s="612"/>
      <c r="H45460" s="612"/>
    </row>
    <row r="45461">
      <c r="B45461" s="612"/>
      <c r="H45461" s="612"/>
    </row>
    <row r="45462">
      <c r="B45462" s="612"/>
      <c r="H45462" s="612"/>
    </row>
    <row r="45463">
      <c r="B45463" s="612"/>
      <c r="H45463" s="612"/>
    </row>
    <row r="45464">
      <c r="B45464" s="612"/>
      <c r="H45464" s="612"/>
    </row>
    <row r="45465">
      <c r="B45465" s="612"/>
      <c r="H45465" s="612"/>
    </row>
    <row r="45466">
      <c r="B45466" s="612"/>
      <c r="H45466" s="612"/>
    </row>
    <row r="45467">
      <c r="B45467" s="612"/>
      <c r="H45467" s="612"/>
    </row>
    <row r="45468">
      <c r="B45468" s="612"/>
      <c r="H45468" s="612"/>
    </row>
    <row r="45469">
      <c r="B45469" s="612"/>
      <c r="H45469" s="612"/>
    </row>
    <row r="45470">
      <c r="B45470" s="612"/>
      <c r="H45470" s="612"/>
    </row>
    <row r="45471">
      <c r="B45471" s="612"/>
      <c r="H45471" s="612"/>
    </row>
    <row r="45472">
      <c r="B45472" s="612"/>
      <c r="H45472" s="612"/>
    </row>
    <row r="45473">
      <c r="B45473" s="612"/>
      <c r="H45473" s="612"/>
    </row>
    <row r="45474">
      <c r="B45474" s="612"/>
      <c r="H45474" s="612"/>
    </row>
    <row r="45475">
      <c r="B45475" s="612"/>
      <c r="H45475" s="612"/>
    </row>
    <row r="45476">
      <c r="B45476" s="612"/>
      <c r="H45476" s="612"/>
    </row>
    <row r="45477">
      <c r="B45477" s="612"/>
      <c r="H45477" s="612"/>
    </row>
    <row r="45478">
      <c r="B45478" s="612"/>
      <c r="H45478" s="612"/>
    </row>
    <row r="45479">
      <c r="B45479" s="612"/>
      <c r="H45479" s="612"/>
    </row>
    <row r="45480">
      <c r="B45480" s="612"/>
      <c r="H45480" s="612"/>
    </row>
    <row r="45481">
      <c r="B45481" s="612"/>
      <c r="H45481" s="612"/>
    </row>
    <row r="45482">
      <c r="B45482" s="612"/>
      <c r="H45482" s="612"/>
    </row>
    <row r="45483">
      <c r="B45483" s="612"/>
      <c r="H45483" s="612"/>
    </row>
    <row r="45484">
      <c r="B45484" s="612"/>
      <c r="H45484" s="612"/>
    </row>
    <row r="45485">
      <c r="B45485" s="612"/>
      <c r="H45485" s="612"/>
    </row>
    <row r="45486">
      <c r="B45486" s="612"/>
      <c r="H45486" s="612"/>
    </row>
    <row r="45487">
      <c r="B45487" s="612"/>
      <c r="H45487" s="612"/>
    </row>
    <row r="45488">
      <c r="B45488" s="612"/>
      <c r="H45488" s="612"/>
    </row>
    <row r="45489">
      <c r="B45489" s="612"/>
      <c r="H45489" s="612"/>
    </row>
    <row r="45490">
      <c r="B45490" s="612"/>
      <c r="H45490" s="612"/>
    </row>
    <row r="45491">
      <c r="B45491" s="612"/>
      <c r="H45491" s="612"/>
    </row>
    <row r="45492">
      <c r="B45492" s="612"/>
      <c r="H45492" s="612"/>
    </row>
    <row r="45493">
      <c r="B45493" s="612"/>
      <c r="H45493" s="612"/>
    </row>
    <row r="45494">
      <c r="B45494" s="612"/>
      <c r="H45494" s="612"/>
    </row>
    <row r="45495">
      <c r="B45495" s="612"/>
      <c r="H45495" s="612"/>
    </row>
    <row r="45496">
      <c r="B45496" s="612"/>
      <c r="H45496" s="612"/>
    </row>
    <row r="45497">
      <c r="B45497" s="612"/>
      <c r="H45497" s="612"/>
    </row>
    <row r="45498">
      <c r="B45498" s="612"/>
      <c r="H45498" s="612"/>
    </row>
    <row r="45499">
      <c r="B45499" s="612"/>
      <c r="H45499" s="612"/>
    </row>
    <row r="45500">
      <c r="B45500" s="612"/>
      <c r="H45500" s="612"/>
    </row>
    <row r="45501">
      <c r="B45501" s="612"/>
      <c r="H45501" s="612"/>
    </row>
    <row r="45502">
      <c r="B45502" s="612"/>
      <c r="H45502" s="612"/>
    </row>
    <row r="45503">
      <c r="B45503" s="612"/>
      <c r="H45503" s="612"/>
    </row>
    <row r="45504">
      <c r="B45504" s="612"/>
      <c r="H45504" s="612"/>
    </row>
    <row r="45505">
      <c r="B45505" s="612"/>
      <c r="H45505" s="612"/>
    </row>
    <row r="45506">
      <c r="B45506" s="612"/>
      <c r="H45506" s="612"/>
    </row>
    <row r="45507">
      <c r="B45507" s="612"/>
      <c r="H45507" s="612"/>
    </row>
    <row r="45508">
      <c r="B45508" s="612"/>
      <c r="H45508" s="612"/>
    </row>
    <row r="45509">
      <c r="B45509" s="612"/>
      <c r="H45509" s="612"/>
    </row>
    <row r="45510">
      <c r="B45510" s="612"/>
      <c r="H45510" s="612"/>
    </row>
    <row r="45511">
      <c r="B45511" s="612"/>
      <c r="H45511" s="612"/>
    </row>
    <row r="45512">
      <c r="B45512" s="612"/>
      <c r="H45512" s="612"/>
    </row>
    <row r="45513">
      <c r="B45513" s="612"/>
      <c r="H45513" s="612"/>
    </row>
    <row r="45514">
      <c r="B45514" s="612"/>
      <c r="H45514" s="612"/>
    </row>
    <row r="45515">
      <c r="B45515" s="612"/>
      <c r="H45515" s="612"/>
    </row>
    <row r="45516">
      <c r="B45516" s="612"/>
      <c r="H45516" s="612"/>
    </row>
    <row r="45517">
      <c r="B45517" s="612"/>
      <c r="H45517" s="612"/>
    </row>
    <row r="45518">
      <c r="B45518" s="612"/>
      <c r="H45518" s="612"/>
    </row>
    <row r="45519">
      <c r="B45519" s="612"/>
      <c r="H45519" s="612"/>
    </row>
    <row r="45520">
      <c r="B45520" s="612"/>
      <c r="H45520" s="612"/>
    </row>
    <row r="45521">
      <c r="B45521" s="612"/>
      <c r="H45521" s="612"/>
    </row>
    <row r="45522">
      <c r="B45522" s="612"/>
      <c r="H45522" s="612"/>
    </row>
    <row r="45523">
      <c r="B45523" s="612"/>
      <c r="H45523" s="612"/>
    </row>
    <row r="45524">
      <c r="B45524" s="612"/>
      <c r="H45524" s="612"/>
    </row>
    <row r="45525">
      <c r="B45525" s="612"/>
      <c r="H45525" s="612"/>
    </row>
    <row r="45526">
      <c r="B45526" s="612"/>
      <c r="H45526" s="612"/>
    </row>
    <row r="45527">
      <c r="B45527" s="612"/>
      <c r="H45527" s="612"/>
    </row>
    <row r="45528">
      <c r="B45528" s="612"/>
      <c r="H45528" s="612"/>
    </row>
    <row r="45529">
      <c r="B45529" s="612"/>
      <c r="H45529" s="612"/>
    </row>
    <row r="45530">
      <c r="B45530" s="612"/>
      <c r="H45530" s="612"/>
    </row>
    <row r="45531">
      <c r="B45531" s="612"/>
      <c r="H45531" s="612"/>
    </row>
    <row r="45532">
      <c r="B45532" s="612"/>
      <c r="H45532" s="612"/>
    </row>
    <row r="45533">
      <c r="B45533" s="612"/>
      <c r="H45533" s="612"/>
    </row>
    <row r="45534">
      <c r="B45534" s="612"/>
      <c r="H45534" s="612"/>
    </row>
    <row r="45535">
      <c r="B45535" s="612"/>
      <c r="H45535" s="612"/>
    </row>
    <row r="45536">
      <c r="B45536" s="612"/>
      <c r="H45536" s="612"/>
    </row>
    <row r="45537">
      <c r="B45537" s="612"/>
      <c r="H45537" s="612"/>
    </row>
    <row r="45538">
      <c r="B45538" s="612"/>
      <c r="H45538" s="612"/>
    </row>
    <row r="45539">
      <c r="B45539" s="612"/>
      <c r="H45539" s="612"/>
    </row>
    <row r="45540">
      <c r="B45540" s="612"/>
      <c r="H45540" s="612"/>
    </row>
    <row r="45541">
      <c r="B45541" s="612"/>
      <c r="H45541" s="612"/>
    </row>
    <row r="45542">
      <c r="B45542" s="612"/>
      <c r="H45542" s="612"/>
    </row>
    <row r="45543">
      <c r="B45543" s="612"/>
      <c r="H45543" s="612"/>
    </row>
    <row r="45544">
      <c r="B45544" s="612"/>
      <c r="H45544" s="612"/>
    </row>
    <row r="45545">
      <c r="B45545" s="612"/>
      <c r="H45545" s="612"/>
    </row>
    <row r="45546">
      <c r="B45546" s="612"/>
      <c r="H45546" s="612"/>
    </row>
    <row r="45547">
      <c r="B45547" s="612"/>
      <c r="H45547" s="612"/>
    </row>
    <row r="45548">
      <c r="B45548" s="612"/>
      <c r="H45548" s="612"/>
    </row>
    <row r="45549">
      <c r="B45549" s="612"/>
      <c r="H45549" s="612"/>
    </row>
    <row r="45550">
      <c r="B45550" s="612"/>
      <c r="H45550" s="612"/>
    </row>
    <row r="45551">
      <c r="B45551" s="612"/>
      <c r="H45551" s="612"/>
    </row>
    <row r="45552">
      <c r="B45552" s="612"/>
      <c r="H45552" s="612"/>
    </row>
    <row r="45553">
      <c r="B45553" s="612"/>
      <c r="H45553" s="612"/>
    </row>
    <row r="45554">
      <c r="B45554" s="612"/>
      <c r="H45554" s="612"/>
    </row>
    <row r="45555">
      <c r="B45555" s="612"/>
      <c r="H45555" s="612"/>
    </row>
    <row r="45556">
      <c r="B45556" s="612"/>
      <c r="H45556" s="612"/>
    </row>
    <row r="45557">
      <c r="B45557" s="612"/>
      <c r="H45557" s="612"/>
    </row>
    <row r="45558">
      <c r="B45558" s="612"/>
      <c r="H45558" s="612"/>
    </row>
    <row r="45559">
      <c r="B45559" s="612"/>
      <c r="H45559" s="612"/>
    </row>
    <row r="45560">
      <c r="B45560" s="612"/>
      <c r="H45560" s="612"/>
    </row>
    <row r="45561">
      <c r="B45561" s="612"/>
      <c r="H45561" s="612"/>
    </row>
    <row r="45562">
      <c r="B45562" s="612"/>
      <c r="H45562" s="612"/>
    </row>
    <row r="45563">
      <c r="B45563" s="612"/>
      <c r="H45563" s="612"/>
    </row>
    <row r="45564">
      <c r="B45564" s="612"/>
      <c r="H45564" s="612"/>
    </row>
    <row r="45565">
      <c r="B45565" s="612"/>
      <c r="H45565" s="612"/>
    </row>
    <row r="45566">
      <c r="B45566" s="612"/>
      <c r="H45566" s="612"/>
    </row>
    <row r="45567">
      <c r="B45567" s="612"/>
      <c r="H45567" s="612"/>
    </row>
    <row r="45568">
      <c r="B45568" s="612"/>
      <c r="H45568" s="612"/>
    </row>
    <row r="45569">
      <c r="B45569" s="612"/>
      <c r="H45569" s="612"/>
    </row>
    <row r="45570">
      <c r="B45570" s="612"/>
      <c r="H45570" s="612"/>
    </row>
    <row r="45571">
      <c r="B45571" s="612"/>
      <c r="H45571" s="612"/>
    </row>
    <row r="45572">
      <c r="B45572" s="612"/>
      <c r="H45572" s="612"/>
    </row>
    <row r="45573">
      <c r="B45573" s="612"/>
      <c r="H45573" s="612"/>
    </row>
    <row r="45574">
      <c r="B45574" s="612"/>
      <c r="H45574" s="612"/>
    </row>
    <row r="45575">
      <c r="B45575" s="612"/>
      <c r="H45575" s="612"/>
    </row>
    <row r="45576">
      <c r="B45576" s="612"/>
      <c r="H45576" s="612"/>
    </row>
    <row r="45577">
      <c r="B45577" s="612"/>
      <c r="H45577" s="612"/>
    </row>
    <row r="45578">
      <c r="B45578" s="612"/>
      <c r="H45578" s="612"/>
    </row>
    <row r="45579">
      <c r="B45579" s="612"/>
      <c r="H45579" s="612"/>
    </row>
    <row r="45580">
      <c r="B45580" s="612"/>
      <c r="H45580" s="612"/>
    </row>
    <row r="45581">
      <c r="B45581" s="612"/>
      <c r="H45581" s="612"/>
    </row>
    <row r="45582">
      <c r="B45582" s="612"/>
      <c r="H45582" s="612"/>
    </row>
    <row r="45583">
      <c r="B45583" s="612"/>
      <c r="H45583" s="612"/>
    </row>
    <row r="45584">
      <c r="B45584" s="612"/>
      <c r="H45584" s="612"/>
    </row>
    <row r="45585">
      <c r="B45585" s="612"/>
      <c r="H45585" s="612"/>
    </row>
    <row r="45586">
      <c r="B45586" s="612"/>
      <c r="H45586" s="612"/>
    </row>
    <row r="45587">
      <c r="B45587" s="612"/>
      <c r="H45587" s="612"/>
    </row>
    <row r="45588">
      <c r="B45588" s="612"/>
      <c r="H45588" s="612"/>
    </row>
    <row r="45589">
      <c r="B45589" s="612"/>
      <c r="H45589" s="612"/>
    </row>
    <row r="45590">
      <c r="B45590" s="612"/>
      <c r="H45590" s="612"/>
    </row>
    <row r="45591">
      <c r="B45591" s="612"/>
      <c r="H45591" s="612"/>
    </row>
    <row r="45592">
      <c r="B45592" s="612"/>
      <c r="H45592" s="612"/>
    </row>
    <row r="45593">
      <c r="B45593" s="612"/>
      <c r="H45593" s="612"/>
    </row>
    <row r="45594">
      <c r="B45594" s="612"/>
      <c r="H45594" s="612"/>
    </row>
    <row r="45595">
      <c r="B45595" s="612"/>
      <c r="H45595" s="612"/>
    </row>
    <row r="45596">
      <c r="B45596" s="612"/>
      <c r="H45596" s="612"/>
    </row>
    <row r="45597">
      <c r="B45597" s="612"/>
      <c r="H45597" s="612"/>
    </row>
    <row r="45598">
      <c r="B45598" s="612"/>
      <c r="H45598" s="612"/>
    </row>
    <row r="45599">
      <c r="B45599" s="612"/>
      <c r="H45599" s="612"/>
    </row>
    <row r="45600">
      <c r="B45600" s="612"/>
      <c r="H45600" s="612"/>
    </row>
    <row r="45601">
      <c r="B45601" s="612"/>
      <c r="H45601" s="612"/>
    </row>
    <row r="45602">
      <c r="B45602" s="612"/>
      <c r="H45602" s="612"/>
    </row>
    <row r="45603">
      <c r="B45603" s="612"/>
      <c r="H45603" s="612"/>
    </row>
    <row r="45604">
      <c r="B45604" s="612"/>
      <c r="H45604" s="612"/>
    </row>
    <row r="45605">
      <c r="B45605" s="612"/>
      <c r="H45605" s="612"/>
    </row>
    <row r="45606">
      <c r="B45606" s="612"/>
      <c r="H45606" s="612"/>
    </row>
    <row r="45607">
      <c r="B45607" s="612"/>
      <c r="H45607" s="612"/>
    </row>
    <row r="45608">
      <c r="B45608" s="612"/>
      <c r="H45608" s="612"/>
    </row>
    <row r="45609">
      <c r="B45609" s="612"/>
      <c r="H45609" s="612"/>
    </row>
    <row r="45610">
      <c r="B45610" s="612"/>
      <c r="H45610" s="612"/>
    </row>
    <row r="45611">
      <c r="B45611" s="612"/>
      <c r="H45611" s="612"/>
    </row>
    <row r="45612">
      <c r="B45612" s="612"/>
      <c r="H45612" s="612"/>
    </row>
    <row r="45613">
      <c r="B45613" s="612"/>
      <c r="H45613" s="612"/>
    </row>
    <row r="45614">
      <c r="B45614" s="612"/>
      <c r="H45614" s="612"/>
    </row>
    <row r="45615">
      <c r="B45615" s="612"/>
      <c r="H45615" s="612"/>
    </row>
    <row r="45616">
      <c r="B45616" s="612"/>
      <c r="H45616" s="612"/>
    </row>
    <row r="45617">
      <c r="B45617" s="612"/>
      <c r="H45617" s="612"/>
    </row>
    <row r="45618">
      <c r="B45618" s="612"/>
      <c r="H45618" s="612"/>
    </row>
    <row r="45619">
      <c r="B45619" s="612"/>
      <c r="H45619" s="612"/>
    </row>
    <row r="45620">
      <c r="B45620" s="612"/>
      <c r="H45620" s="612"/>
    </row>
    <row r="45621">
      <c r="B45621" s="612"/>
      <c r="H45621" s="612"/>
    </row>
    <row r="45622">
      <c r="B45622" s="612"/>
      <c r="H45622" s="612"/>
    </row>
    <row r="45623">
      <c r="B45623" s="612"/>
      <c r="H45623" s="612"/>
    </row>
    <row r="45624">
      <c r="B45624" s="612"/>
      <c r="H45624" s="612"/>
    </row>
    <row r="45625">
      <c r="B45625" s="612"/>
      <c r="H45625" s="612"/>
    </row>
    <row r="45626">
      <c r="B45626" s="612"/>
      <c r="H45626" s="612"/>
    </row>
    <row r="45627">
      <c r="B45627" s="612"/>
      <c r="H45627" s="612"/>
    </row>
    <row r="45628">
      <c r="B45628" s="612"/>
      <c r="H45628" s="612"/>
    </row>
    <row r="45629">
      <c r="B45629" s="612"/>
      <c r="H45629" s="612"/>
    </row>
    <row r="45630">
      <c r="B45630" s="612"/>
      <c r="H45630" s="612"/>
    </row>
    <row r="45631">
      <c r="B45631" s="612"/>
      <c r="H45631" s="612"/>
    </row>
    <row r="45632">
      <c r="B45632" s="612"/>
      <c r="H45632" s="612"/>
    </row>
    <row r="45633">
      <c r="B45633" s="612"/>
      <c r="H45633" s="612"/>
    </row>
    <row r="45634">
      <c r="B45634" s="612"/>
      <c r="H45634" s="612"/>
    </row>
    <row r="45635">
      <c r="B45635" s="612"/>
      <c r="H45635" s="612"/>
    </row>
    <row r="45636">
      <c r="B45636" s="612"/>
      <c r="H45636" s="612"/>
    </row>
    <row r="45637">
      <c r="B45637" s="612"/>
      <c r="H45637" s="612"/>
    </row>
    <row r="45638">
      <c r="B45638" s="612"/>
      <c r="H45638" s="612"/>
    </row>
    <row r="45639">
      <c r="B45639" s="612"/>
      <c r="H45639" s="612"/>
    </row>
    <row r="45640">
      <c r="B45640" s="612"/>
      <c r="H45640" s="612"/>
    </row>
    <row r="45641">
      <c r="B45641" s="612"/>
      <c r="H45641" s="612"/>
    </row>
    <row r="45642">
      <c r="B45642" s="612"/>
      <c r="H45642" s="612"/>
    </row>
    <row r="45643">
      <c r="B45643" s="612"/>
      <c r="H45643" s="612"/>
    </row>
    <row r="45644">
      <c r="B45644" s="612"/>
      <c r="H45644" s="612"/>
    </row>
    <row r="45645">
      <c r="B45645" s="612"/>
      <c r="H45645" s="612"/>
    </row>
    <row r="45646">
      <c r="B45646" s="612"/>
      <c r="H45646" s="612"/>
    </row>
    <row r="45647">
      <c r="B45647" s="612"/>
      <c r="H45647" s="612"/>
    </row>
    <row r="45648">
      <c r="B45648" s="612"/>
      <c r="H45648" s="612"/>
    </row>
    <row r="45649">
      <c r="B45649" s="612"/>
      <c r="H45649" s="612"/>
    </row>
    <row r="45650">
      <c r="B45650" s="612"/>
      <c r="H45650" s="612"/>
    </row>
    <row r="45651">
      <c r="B45651" s="612"/>
      <c r="H45651" s="612"/>
    </row>
    <row r="45652">
      <c r="B45652" s="612"/>
      <c r="H45652" s="612"/>
    </row>
    <row r="45653">
      <c r="B45653" s="612"/>
      <c r="H45653" s="612"/>
    </row>
    <row r="45654">
      <c r="B45654" s="612"/>
      <c r="H45654" s="612"/>
    </row>
    <row r="45655">
      <c r="B45655" s="612"/>
      <c r="H45655" s="612"/>
    </row>
    <row r="45656">
      <c r="B45656" s="612"/>
      <c r="H45656" s="612"/>
    </row>
    <row r="45657">
      <c r="B45657" s="612"/>
      <c r="H45657" s="612"/>
    </row>
    <row r="45658">
      <c r="B45658" s="612"/>
      <c r="H45658" s="612"/>
    </row>
    <row r="45659">
      <c r="B45659" s="612"/>
      <c r="H45659" s="612"/>
    </row>
    <row r="45660">
      <c r="B45660" s="612"/>
      <c r="H45660" s="612"/>
    </row>
    <row r="45661">
      <c r="B45661" s="612"/>
      <c r="H45661" s="612"/>
    </row>
    <row r="45662">
      <c r="B45662" s="612"/>
      <c r="H45662" s="612"/>
    </row>
    <row r="45663">
      <c r="B45663" s="612"/>
      <c r="H45663" s="612"/>
    </row>
    <row r="45664">
      <c r="B45664" s="612"/>
      <c r="H45664" s="612"/>
    </row>
    <row r="45665">
      <c r="B45665" s="612"/>
      <c r="H45665" s="612"/>
    </row>
    <row r="45666">
      <c r="B45666" s="612"/>
      <c r="H45666" s="612"/>
    </row>
    <row r="45667">
      <c r="B45667" s="612"/>
      <c r="H45667" s="612"/>
    </row>
    <row r="45668">
      <c r="B45668" s="612"/>
      <c r="H45668" s="612"/>
    </row>
    <row r="45669">
      <c r="B45669" s="612"/>
      <c r="H45669" s="612"/>
    </row>
    <row r="45670">
      <c r="B45670" s="612"/>
      <c r="H45670" s="612"/>
    </row>
    <row r="45671">
      <c r="B45671" s="612"/>
      <c r="H45671" s="612"/>
    </row>
    <row r="45672">
      <c r="B45672" s="612"/>
      <c r="H45672" s="612"/>
    </row>
    <row r="45673">
      <c r="B45673" s="612"/>
      <c r="H45673" s="612"/>
    </row>
    <row r="45674">
      <c r="B45674" s="612"/>
      <c r="H45674" s="612"/>
    </row>
    <row r="45675">
      <c r="B45675" s="612"/>
      <c r="H45675" s="612"/>
    </row>
    <row r="45676">
      <c r="B45676" s="612"/>
      <c r="H45676" s="612"/>
    </row>
    <row r="45677">
      <c r="B45677" s="612"/>
      <c r="H45677" s="612"/>
    </row>
    <row r="45678">
      <c r="B45678" s="612"/>
      <c r="H45678" s="612"/>
    </row>
    <row r="45679">
      <c r="B45679" s="612"/>
      <c r="H45679" s="612"/>
    </row>
    <row r="45680">
      <c r="B45680" s="612"/>
      <c r="H45680" s="612"/>
    </row>
    <row r="45681">
      <c r="B45681" s="612"/>
      <c r="H45681" s="612"/>
    </row>
    <row r="45682">
      <c r="B45682" s="612"/>
      <c r="H45682" s="612"/>
    </row>
    <row r="45683">
      <c r="B45683" s="612"/>
      <c r="H45683" s="612"/>
    </row>
    <row r="45684">
      <c r="B45684" s="612"/>
      <c r="H45684" s="612"/>
    </row>
    <row r="45685">
      <c r="B45685" s="612"/>
      <c r="H45685" s="612"/>
    </row>
    <row r="45686">
      <c r="B45686" s="612"/>
      <c r="H45686" s="612"/>
    </row>
    <row r="45687">
      <c r="B45687" s="612"/>
      <c r="H45687" s="612"/>
    </row>
    <row r="45688">
      <c r="B45688" s="612"/>
      <c r="H45688" s="612"/>
    </row>
    <row r="45689">
      <c r="B45689" s="612"/>
      <c r="H45689" s="612"/>
    </row>
    <row r="45690">
      <c r="B45690" s="612"/>
      <c r="H45690" s="612"/>
    </row>
    <row r="45691">
      <c r="B45691" s="612"/>
      <c r="H45691" s="612"/>
    </row>
    <row r="45692">
      <c r="B45692" s="612"/>
      <c r="H45692" s="612"/>
    </row>
    <row r="45693">
      <c r="B45693" s="612"/>
      <c r="H45693" s="612"/>
    </row>
    <row r="45694">
      <c r="B45694" s="612"/>
      <c r="H45694" s="612"/>
    </row>
    <row r="45695">
      <c r="B45695" s="612"/>
      <c r="H45695" s="612"/>
    </row>
    <row r="45696">
      <c r="B45696" s="612"/>
      <c r="H45696" s="612"/>
    </row>
    <row r="45697">
      <c r="B45697" s="612"/>
      <c r="H45697" s="612"/>
    </row>
    <row r="45698">
      <c r="B45698" s="612"/>
      <c r="H45698" s="612"/>
    </row>
    <row r="45699">
      <c r="B45699" s="612"/>
      <c r="H45699" s="612"/>
    </row>
    <row r="45700">
      <c r="B45700" s="612"/>
      <c r="H45700" s="612"/>
    </row>
    <row r="45701">
      <c r="B45701" s="612"/>
      <c r="H45701" s="612"/>
    </row>
    <row r="45702">
      <c r="B45702" s="612"/>
      <c r="H45702" s="612"/>
    </row>
    <row r="45703">
      <c r="B45703" s="612"/>
      <c r="H45703" s="612"/>
    </row>
    <row r="45704">
      <c r="B45704" s="612"/>
      <c r="H45704" s="612"/>
    </row>
    <row r="45705">
      <c r="B45705" s="612"/>
      <c r="H45705" s="612"/>
    </row>
    <row r="45706">
      <c r="B45706" s="612"/>
      <c r="H45706" s="612"/>
    </row>
    <row r="45707">
      <c r="B45707" s="612"/>
      <c r="H45707" s="612"/>
    </row>
    <row r="45708">
      <c r="B45708" s="612"/>
      <c r="H45708" s="612"/>
    </row>
    <row r="45709">
      <c r="B45709" s="612"/>
      <c r="H45709" s="612"/>
    </row>
    <row r="45710">
      <c r="B45710" s="612"/>
      <c r="H45710" s="612"/>
    </row>
    <row r="45711">
      <c r="B45711" s="612"/>
      <c r="H45711" s="612"/>
    </row>
    <row r="45712">
      <c r="B45712" s="612"/>
      <c r="H45712" s="612"/>
    </row>
    <row r="45713">
      <c r="B45713" s="612"/>
      <c r="H45713" s="612"/>
    </row>
    <row r="45714">
      <c r="B45714" s="612"/>
      <c r="H45714" s="612"/>
    </row>
    <row r="45715">
      <c r="B45715" s="612"/>
      <c r="H45715" s="612"/>
    </row>
    <row r="45716">
      <c r="B45716" s="612"/>
      <c r="H45716" s="612"/>
    </row>
    <row r="45717">
      <c r="B45717" s="612"/>
      <c r="H45717" s="612"/>
    </row>
    <row r="45718">
      <c r="B45718" s="612"/>
      <c r="H45718" s="612"/>
    </row>
    <row r="45719">
      <c r="B45719" s="612"/>
      <c r="H45719" s="612"/>
    </row>
    <row r="45720">
      <c r="B45720" s="612"/>
      <c r="H45720" s="612"/>
    </row>
    <row r="45721">
      <c r="B45721" s="612"/>
      <c r="H45721" s="612"/>
    </row>
    <row r="45722">
      <c r="B45722" s="612"/>
      <c r="H45722" s="612"/>
    </row>
    <row r="45723">
      <c r="B45723" s="612"/>
      <c r="H45723" s="612"/>
    </row>
    <row r="45724">
      <c r="B45724" s="612"/>
      <c r="H45724" s="612"/>
    </row>
    <row r="45725">
      <c r="B45725" s="612"/>
      <c r="H45725" s="612"/>
    </row>
    <row r="45726">
      <c r="B45726" s="612"/>
      <c r="H45726" s="612"/>
    </row>
    <row r="45727">
      <c r="B45727" s="612"/>
      <c r="H45727" s="612"/>
    </row>
    <row r="45728">
      <c r="B45728" s="612"/>
      <c r="H45728" s="612"/>
    </row>
    <row r="45729">
      <c r="B45729" s="612"/>
      <c r="H45729" s="612"/>
    </row>
    <row r="45730">
      <c r="B45730" s="612"/>
      <c r="H45730" s="612"/>
    </row>
    <row r="45731">
      <c r="B45731" s="612"/>
      <c r="H45731" s="612"/>
    </row>
    <row r="45732">
      <c r="B45732" s="612"/>
      <c r="H45732" s="612"/>
    </row>
    <row r="45733">
      <c r="B45733" s="612"/>
      <c r="H45733" s="612"/>
    </row>
    <row r="45734">
      <c r="B45734" s="612"/>
      <c r="H45734" s="612"/>
    </row>
    <row r="45735">
      <c r="B45735" s="612"/>
      <c r="H45735" s="612"/>
    </row>
    <row r="45736">
      <c r="B45736" s="612"/>
      <c r="H45736" s="612"/>
    </row>
    <row r="45737">
      <c r="B45737" s="612"/>
      <c r="H45737" s="612"/>
    </row>
    <row r="45738">
      <c r="B45738" s="612"/>
      <c r="H45738" s="612"/>
    </row>
    <row r="45739">
      <c r="B45739" s="612"/>
      <c r="H45739" s="612"/>
    </row>
    <row r="45740">
      <c r="B45740" s="612"/>
      <c r="H45740" s="612"/>
    </row>
    <row r="45741">
      <c r="B45741" s="612"/>
      <c r="H45741" s="612"/>
    </row>
    <row r="45742">
      <c r="B45742" s="612"/>
      <c r="H45742" s="612"/>
    </row>
    <row r="45743">
      <c r="B45743" s="612"/>
      <c r="H45743" s="612"/>
    </row>
    <row r="45744">
      <c r="B45744" s="612"/>
      <c r="H45744" s="612"/>
    </row>
    <row r="45745">
      <c r="B45745" s="612"/>
      <c r="H45745" s="612"/>
    </row>
    <row r="45746">
      <c r="B45746" s="612"/>
      <c r="H45746" s="612"/>
    </row>
    <row r="45747">
      <c r="B45747" s="612"/>
      <c r="H45747" s="612"/>
    </row>
    <row r="45748">
      <c r="B45748" s="612"/>
      <c r="H45748" s="612"/>
    </row>
    <row r="45749">
      <c r="B45749" s="612"/>
      <c r="H45749" s="612"/>
    </row>
    <row r="45750">
      <c r="B45750" s="612"/>
      <c r="H45750" s="612"/>
    </row>
    <row r="45751">
      <c r="B45751" s="612"/>
      <c r="H45751" s="612"/>
    </row>
    <row r="45752">
      <c r="B45752" s="612"/>
      <c r="H45752" s="612"/>
    </row>
    <row r="45753">
      <c r="B45753" s="612"/>
      <c r="H45753" s="612"/>
    </row>
    <row r="45754">
      <c r="B45754" s="612"/>
      <c r="H45754" s="612"/>
    </row>
    <row r="45755">
      <c r="B45755" s="612"/>
      <c r="H45755" s="612"/>
    </row>
    <row r="45756">
      <c r="B45756" s="612"/>
      <c r="H45756" s="612"/>
    </row>
    <row r="45757">
      <c r="B45757" s="612"/>
      <c r="H45757" s="612"/>
    </row>
    <row r="45758">
      <c r="B45758" s="612"/>
      <c r="H45758" s="612"/>
    </row>
    <row r="45759">
      <c r="B45759" s="612"/>
      <c r="H45759" s="612"/>
    </row>
    <row r="45760">
      <c r="B45760" s="612"/>
      <c r="H45760" s="612"/>
    </row>
    <row r="45761">
      <c r="B45761" s="612"/>
      <c r="H45761" s="612"/>
    </row>
    <row r="45762">
      <c r="B45762" s="612"/>
      <c r="H45762" s="612"/>
    </row>
    <row r="45763">
      <c r="B45763" s="612"/>
      <c r="H45763" s="612"/>
    </row>
    <row r="45764">
      <c r="B45764" s="612"/>
      <c r="H45764" s="612"/>
    </row>
    <row r="45765">
      <c r="B45765" s="612"/>
      <c r="H45765" s="612"/>
    </row>
    <row r="45766">
      <c r="B45766" s="612"/>
      <c r="H45766" s="612"/>
    </row>
    <row r="45767">
      <c r="B45767" s="612"/>
      <c r="H45767" s="612"/>
    </row>
    <row r="45768">
      <c r="B45768" s="612"/>
      <c r="H45768" s="612"/>
    </row>
    <row r="45769">
      <c r="B45769" s="612"/>
      <c r="H45769" s="612"/>
    </row>
    <row r="45770">
      <c r="B45770" s="612"/>
      <c r="H45770" s="612"/>
    </row>
    <row r="45771">
      <c r="B45771" s="612"/>
      <c r="H45771" s="612"/>
    </row>
    <row r="45772">
      <c r="B45772" s="612"/>
      <c r="H45772" s="612"/>
    </row>
    <row r="45773">
      <c r="B45773" s="612"/>
      <c r="H45773" s="612"/>
    </row>
    <row r="45774">
      <c r="B45774" s="612"/>
      <c r="H45774" s="612"/>
    </row>
    <row r="45775">
      <c r="B45775" s="612"/>
      <c r="H45775" s="612"/>
    </row>
    <row r="45776">
      <c r="B45776" s="612"/>
      <c r="H45776" s="612"/>
    </row>
    <row r="45777">
      <c r="B45777" s="612"/>
      <c r="H45777" s="612"/>
    </row>
    <row r="45778">
      <c r="B45778" s="612"/>
      <c r="H45778" s="612"/>
    </row>
    <row r="45779">
      <c r="B45779" s="612"/>
      <c r="H45779" s="612"/>
    </row>
    <row r="45780">
      <c r="B45780" s="612"/>
      <c r="H45780" s="612"/>
    </row>
    <row r="45781">
      <c r="B45781" s="612"/>
      <c r="H45781" s="612"/>
    </row>
    <row r="45782">
      <c r="B45782" s="612"/>
      <c r="H45782" s="612"/>
    </row>
    <row r="45783">
      <c r="B45783" s="612"/>
      <c r="H45783" s="612"/>
    </row>
    <row r="45784">
      <c r="B45784" s="612"/>
      <c r="H45784" s="612"/>
    </row>
    <row r="45785">
      <c r="B45785" s="612"/>
      <c r="H45785" s="612"/>
    </row>
    <row r="45786">
      <c r="B45786" s="612"/>
      <c r="H45786" s="612"/>
    </row>
    <row r="45787">
      <c r="B45787" s="612"/>
      <c r="H45787" s="612"/>
    </row>
    <row r="45788">
      <c r="B45788" s="612"/>
      <c r="H45788" s="612"/>
    </row>
    <row r="45789">
      <c r="B45789" s="612"/>
      <c r="H45789" s="612"/>
    </row>
    <row r="45790">
      <c r="B45790" s="612"/>
      <c r="H45790" s="612"/>
    </row>
    <row r="45791">
      <c r="B45791" s="612"/>
      <c r="H45791" s="612"/>
    </row>
    <row r="45792">
      <c r="B45792" s="612"/>
      <c r="H45792" s="612"/>
    </row>
    <row r="45793">
      <c r="B45793" s="612"/>
      <c r="H45793" s="612"/>
    </row>
    <row r="45794">
      <c r="B45794" s="612"/>
      <c r="H45794" s="612"/>
    </row>
    <row r="45795">
      <c r="B45795" s="612"/>
      <c r="H45795" s="612"/>
    </row>
    <row r="45796">
      <c r="B45796" s="612"/>
      <c r="H45796" s="612"/>
    </row>
    <row r="45797">
      <c r="B45797" s="612"/>
      <c r="H45797" s="612"/>
    </row>
    <row r="45798">
      <c r="B45798" s="612"/>
      <c r="H45798" s="612"/>
    </row>
    <row r="45799">
      <c r="B45799" s="612"/>
      <c r="H45799" s="612"/>
    </row>
    <row r="45800">
      <c r="B45800" s="612"/>
      <c r="H45800" s="612"/>
    </row>
    <row r="45801">
      <c r="B45801" s="612"/>
      <c r="H45801" s="612"/>
    </row>
    <row r="45802">
      <c r="B45802" s="612"/>
      <c r="H45802" s="612"/>
    </row>
    <row r="45803">
      <c r="B45803" s="612"/>
      <c r="H45803" s="612"/>
    </row>
    <row r="45804">
      <c r="B45804" s="612"/>
      <c r="H45804" s="612"/>
    </row>
    <row r="45805">
      <c r="B45805" s="612"/>
      <c r="H45805" s="612"/>
    </row>
    <row r="45806">
      <c r="B45806" s="612"/>
      <c r="H45806" s="612"/>
    </row>
    <row r="45807">
      <c r="B45807" s="612"/>
      <c r="H45807" s="612"/>
    </row>
    <row r="45808">
      <c r="B45808" s="612"/>
      <c r="H45808" s="612"/>
    </row>
    <row r="45809">
      <c r="B45809" s="612"/>
      <c r="H45809" s="612"/>
    </row>
    <row r="45810">
      <c r="B45810" s="612"/>
      <c r="H45810" s="612"/>
    </row>
    <row r="45811">
      <c r="B45811" s="612"/>
      <c r="H45811" s="612"/>
    </row>
    <row r="45812">
      <c r="B45812" s="612"/>
      <c r="H45812" s="612"/>
    </row>
    <row r="45813">
      <c r="B45813" s="612"/>
      <c r="H45813" s="612"/>
    </row>
    <row r="45814">
      <c r="B45814" s="612"/>
      <c r="H45814" s="612"/>
    </row>
    <row r="45815">
      <c r="B45815" s="612"/>
      <c r="H45815" s="612"/>
    </row>
    <row r="45816">
      <c r="B45816" s="612"/>
      <c r="H45816" s="612"/>
    </row>
    <row r="45817">
      <c r="B45817" s="612"/>
      <c r="H45817" s="612"/>
    </row>
    <row r="45818">
      <c r="B45818" s="612"/>
      <c r="H45818" s="612"/>
    </row>
    <row r="45819">
      <c r="B45819" s="612"/>
      <c r="H45819" s="612"/>
    </row>
    <row r="45820">
      <c r="B45820" s="612"/>
      <c r="H45820" s="612"/>
    </row>
    <row r="45821">
      <c r="B45821" s="612"/>
      <c r="H45821" s="612"/>
    </row>
    <row r="45822">
      <c r="B45822" s="612"/>
      <c r="H45822" s="612"/>
    </row>
    <row r="45823">
      <c r="B45823" s="612"/>
      <c r="H45823" s="612"/>
    </row>
    <row r="45824">
      <c r="B45824" s="612"/>
      <c r="H45824" s="612"/>
    </row>
    <row r="45825">
      <c r="B45825" s="612"/>
      <c r="H45825" s="612"/>
    </row>
    <row r="45826">
      <c r="B45826" s="612"/>
      <c r="H45826" s="612"/>
    </row>
    <row r="45827">
      <c r="B45827" s="612"/>
      <c r="H45827" s="612"/>
    </row>
    <row r="45828">
      <c r="B45828" s="612"/>
      <c r="H45828" s="612"/>
    </row>
    <row r="45829">
      <c r="B45829" s="612"/>
      <c r="H45829" s="612"/>
    </row>
    <row r="45830">
      <c r="B45830" s="612"/>
      <c r="H45830" s="612"/>
    </row>
    <row r="45831">
      <c r="B45831" s="612"/>
      <c r="H45831" s="612"/>
    </row>
    <row r="45832">
      <c r="B45832" s="612"/>
      <c r="H45832" s="612"/>
    </row>
    <row r="45833">
      <c r="B45833" s="612"/>
      <c r="H45833" s="612"/>
    </row>
    <row r="45834">
      <c r="B45834" s="612"/>
      <c r="H45834" s="612"/>
    </row>
    <row r="45835">
      <c r="B45835" s="612"/>
      <c r="H45835" s="612"/>
    </row>
    <row r="45836">
      <c r="B45836" s="612"/>
      <c r="H45836" s="612"/>
    </row>
    <row r="45837">
      <c r="B45837" s="612"/>
      <c r="H45837" s="612"/>
    </row>
    <row r="45838">
      <c r="B45838" s="612"/>
      <c r="H45838" s="612"/>
    </row>
    <row r="45839">
      <c r="B45839" s="612"/>
      <c r="H45839" s="612"/>
    </row>
    <row r="45840">
      <c r="B45840" s="612"/>
      <c r="H45840" s="612"/>
    </row>
    <row r="45841">
      <c r="B45841" s="612"/>
      <c r="H45841" s="612"/>
    </row>
    <row r="45842">
      <c r="B45842" s="612"/>
      <c r="H45842" s="612"/>
    </row>
    <row r="45843">
      <c r="B45843" s="612"/>
      <c r="H45843" s="612"/>
    </row>
    <row r="45844">
      <c r="B45844" s="612"/>
      <c r="H45844" s="612"/>
    </row>
    <row r="45845">
      <c r="B45845" s="612"/>
      <c r="H45845" s="612"/>
    </row>
    <row r="45846">
      <c r="B45846" s="612"/>
      <c r="H45846" s="612"/>
    </row>
    <row r="45847">
      <c r="B45847" s="612"/>
      <c r="H45847" s="612"/>
    </row>
    <row r="45848">
      <c r="B45848" s="612"/>
      <c r="H45848" s="612"/>
    </row>
    <row r="45849">
      <c r="B45849" s="612"/>
      <c r="H45849" s="612"/>
    </row>
    <row r="45850">
      <c r="B45850" s="612"/>
      <c r="H45850" s="612"/>
    </row>
    <row r="45851">
      <c r="B45851" s="612"/>
      <c r="H45851" s="612"/>
    </row>
    <row r="45852">
      <c r="B45852" s="612"/>
      <c r="H45852" s="612"/>
    </row>
    <row r="45853">
      <c r="B45853" s="612"/>
      <c r="H45853" s="612"/>
    </row>
    <row r="45854">
      <c r="B45854" s="612"/>
      <c r="H45854" s="612"/>
    </row>
    <row r="45855">
      <c r="B45855" s="612"/>
      <c r="H45855" s="612"/>
    </row>
    <row r="45856">
      <c r="B45856" s="612"/>
      <c r="H45856" s="612"/>
    </row>
    <row r="45857">
      <c r="B45857" s="612"/>
      <c r="H45857" s="612"/>
    </row>
    <row r="45858">
      <c r="B45858" s="612"/>
      <c r="H45858" s="612"/>
    </row>
    <row r="45859">
      <c r="B45859" s="612"/>
      <c r="H45859" s="612"/>
    </row>
    <row r="45860">
      <c r="B45860" s="612"/>
      <c r="H45860" s="612"/>
    </row>
    <row r="45861">
      <c r="B45861" s="612"/>
      <c r="H45861" s="612"/>
    </row>
    <row r="45862">
      <c r="B45862" s="612"/>
      <c r="H45862" s="612"/>
    </row>
    <row r="45863">
      <c r="B45863" s="612"/>
      <c r="H45863" s="612"/>
    </row>
    <row r="45864">
      <c r="B45864" s="612"/>
      <c r="H45864" s="612"/>
    </row>
    <row r="45865">
      <c r="B45865" s="612"/>
      <c r="H45865" s="612"/>
    </row>
    <row r="45866">
      <c r="B45866" s="612"/>
      <c r="H45866" s="612"/>
    </row>
    <row r="45867">
      <c r="B45867" s="612"/>
      <c r="H45867" s="612"/>
    </row>
    <row r="45868">
      <c r="B45868" s="612"/>
      <c r="H45868" s="612"/>
    </row>
    <row r="45869">
      <c r="B45869" s="612"/>
      <c r="H45869" s="612"/>
    </row>
    <row r="45870">
      <c r="B45870" s="612"/>
      <c r="H45870" s="612"/>
    </row>
    <row r="45871">
      <c r="B45871" s="612"/>
      <c r="H45871" s="612"/>
    </row>
    <row r="45872">
      <c r="B45872" s="612"/>
      <c r="H45872" s="612"/>
    </row>
    <row r="45873">
      <c r="B45873" s="612"/>
      <c r="H45873" s="612"/>
    </row>
    <row r="45874">
      <c r="B45874" s="612"/>
      <c r="H45874" s="612"/>
    </row>
    <row r="45875">
      <c r="B45875" s="612"/>
      <c r="H45875" s="612"/>
    </row>
    <row r="45876">
      <c r="B45876" s="612"/>
      <c r="H45876" s="612"/>
    </row>
    <row r="45877">
      <c r="B45877" s="612"/>
      <c r="H45877" s="612"/>
    </row>
    <row r="45878">
      <c r="B45878" s="612"/>
      <c r="H45878" s="612"/>
    </row>
    <row r="45879">
      <c r="B45879" s="612"/>
      <c r="H45879" s="612"/>
    </row>
    <row r="45880">
      <c r="B45880" s="612"/>
      <c r="H45880" s="612"/>
    </row>
    <row r="45881">
      <c r="B45881" s="612"/>
      <c r="H45881" s="612"/>
    </row>
    <row r="45882">
      <c r="B45882" s="612"/>
      <c r="H45882" s="612"/>
    </row>
    <row r="45883">
      <c r="B45883" s="612"/>
      <c r="H45883" s="612"/>
    </row>
    <row r="45884">
      <c r="B45884" s="612"/>
      <c r="H45884" s="612"/>
    </row>
    <row r="45885">
      <c r="B45885" s="612"/>
      <c r="H45885" s="612"/>
    </row>
    <row r="45886">
      <c r="B45886" s="612"/>
      <c r="H45886" s="612"/>
    </row>
    <row r="45887">
      <c r="B45887" s="612"/>
      <c r="H45887" s="612"/>
    </row>
    <row r="45888">
      <c r="B45888" s="612"/>
      <c r="H45888" s="612"/>
    </row>
    <row r="45889">
      <c r="B45889" s="612"/>
      <c r="H45889" s="612"/>
    </row>
    <row r="45890">
      <c r="B45890" s="612"/>
      <c r="H45890" s="612"/>
    </row>
    <row r="45891">
      <c r="B45891" s="612"/>
      <c r="H45891" s="612"/>
    </row>
    <row r="45892">
      <c r="B45892" s="612"/>
      <c r="H45892" s="612"/>
    </row>
    <row r="45893">
      <c r="B45893" s="612"/>
      <c r="H45893" s="612"/>
    </row>
    <row r="45894">
      <c r="B45894" s="612"/>
      <c r="H45894" s="612"/>
    </row>
    <row r="45895">
      <c r="B45895" s="612"/>
      <c r="H45895" s="612"/>
    </row>
    <row r="45896">
      <c r="B45896" s="612"/>
      <c r="H45896" s="612"/>
    </row>
    <row r="45897">
      <c r="B45897" s="612"/>
      <c r="H45897" s="612"/>
    </row>
    <row r="45898">
      <c r="B45898" s="612"/>
      <c r="H45898" s="612"/>
    </row>
    <row r="45899">
      <c r="B45899" s="612"/>
      <c r="H45899" s="612"/>
    </row>
    <row r="45900">
      <c r="B45900" s="612"/>
      <c r="H45900" s="612"/>
    </row>
    <row r="45901">
      <c r="B45901" s="612"/>
      <c r="H45901" s="612"/>
    </row>
    <row r="45902">
      <c r="B45902" s="612"/>
      <c r="H45902" s="612"/>
    </row>
    <row r="45903">
      <c r="B45903" s="612"/>
      <c r="H45903" s="612"/>
    </row>
    <row r="45904">
      <c r="B45904" s="612"/>
      <c r="H45904" s="612"/>
    </row>
    <row r="45905">
      <c r="B45905" s="612"/>
      <c r="H45905" s="612"/>
    </row>
    <row r="45906">
      <c r="B45906" s="612"/>
      <c r="H45906" s="612"/>
    </row>
    <row r="45907">
      <c r="B45907" s="612"/>
      <c r="H45907" s="612"/>
    </row>
    <row r="45908">
      <c r="B45908" s="612"/>
      <c r="H45908" s="612"/>
    </row>
    <row r="45909">
      <c r="B45909" s="612"/>
      <c r="H45909" s="612"/>
    </row>
    <row r="45910">
      <c r="B45910" s="612"/>
      <c r="H45910" s="612"/>
    </row>
    <row r="45911">
      <c r="B45911" s="612"/>
      <c r="H45911" s="612"/>
    </row>
    <row r="45912">
      <c r="B45912" s="612"/>
      <c r="H45912" s="612"/>
    </row>
    <row r="45913">
      <c r="B45913" s="612"/>
      <c r="H45913" s="612"/>
    </row>
    <row r="45914">
      <c r="B45914" s="612"/>
      <c r="H45914" s="612"/>
    </row>
    <row r="45915">
      <c r="B45915" s="612"/>
      <c r="H45915" s="612"/>
    </row>
    <row r="45916">
      <c r="B45916" s="612"/>
      <c r="H45916" s="612"/>
    </row>
    <row r="45917">
      <c r="B45917" s="612"/>
      <c r="H45917" s="612"/>
    </row>
    <row r="45918">
      <c r="B45918" s="612"/>
      <c r="H45918" s="612"/>
    </row>
    <row r="45919">
      <c r="B45919" s="612"/>
      <c r="H45919" s="612"/>
    </row>
    <row r="45920">
      <c r="B45920" s="612"/>
      <c r="H45920" s="612"/>
    </row>
    <row r="45921">
      <c r="B45921" s="612"/>
      <c r="H45921" s="612"/>
    </row>
    <row r="45922">
      <c r="B45922" s="612"/>
      <c r="H45922" s="612"/>
    </row>
    <row r="45923">
      <c r="B45923" s="612"/>
      <c r="H45923" s="612"/>
    </row>
    <row r="45924">
      <c r="B45924" s="612"/>
      <c r="H45924" s="612"/>
    </row>
    <row r="45925">
      <c r="B45925" s="612"/>
      <c r="H45925" s="612"/>
    </row>
    <row r="45926">
      <c r="B45926" s="612"/>
      <c r="H45926" s="612"/>
    </row>
    <row r="45927">
      <c r="B45927" s="612"/>
      <c r="H45927" s="612"/>
    </row>
    <row r="45928">
      <c r="B45928" s="612"/>
      <c r="H45928" s="612"/>
    </row>
    <row r="45929">
      <c r="B45929" s="612"/>
      <c r="H45929" s="612"/>
    </row>
    <row r="45930">
      <c r="B45930" s="612"/>
      <c r="H45930" s="612"/>
    </row>
    <row r="45931">
      <c r="B45931" s="612"/>
      <c r="H45931" s="612"/>
    </row>
    <row r="45932">
      <c r="B45932" s="612"/>
      <c r="H45932" s="612"/>
    </row>
    <row r="45933">
      <c r="B45933" s="612"/>
      <c r="H45933" s="612"/>
    </row>
    <row r="45934">
      <c r="B45934" s="612"/>
      <c r="H45934" s="612"/>
    </row>
    <row r="45935">
      <c r="B45935" s="612"/>
      <c r="H45935" s="612"/>
    </row>
    <row r="45936">
      <c r="B45936" s="612"/>
      <c r="H45936" s="612"/>
    </row>
    <row r="45937">
      <c r="B45937" s="612"/>
      <c r="H45937" s="612"/>
    </row>
    <row r="45938">
      <c r="B45938" s="612"/>
      <c r="H45938" s="612"/>
    </row>
    <row r="45939">
      <c r="B45939" s="612"/>
      <c r="H45939" s="612"/>
    </row>
    <row r="45940">
      <c r="B45940" s="612"/>
      <c r="H45940" s="612"/>
    </row>
    <row r="45941">
      <c r="B45941" s="612"/>
      <c r="H45941" s="612"/>
    </row>
    <row r="45942">
      <c r="B45942" s="612"/>
      <c r="H45942" s="612"/>
    </row>
    <row r="45943">
      <c r="B45943" s="612"/>
      <c r="H45943" s="612"/>
    </row>
    <row r="45944">
      <c r="B45944" s="612"/>
      <c r="H45944" s="612"/>
    </row>
    <row r="45945">
      <c r="B45945" s="612"/>
      <c r="H45945" s="612"/>
    </row>
    <row r="45946">
      <c r="B45946" s="612"/>
      <c r="H45946" s="612"/>
    </row>
    <row r="45947">
      <c r="B45947" s="612"/>
      <c r="H45947" s="612"/>
    </row>
    <row r="45948">
      <c r="B45948" s="612"/>
      <c r="H45948" s="612"/>
    </row>
    <row r="45949">
      <c r="B45949" s="612"/>
      <c r="H45949" s="612"/>
    </row>
    <row r="45950">
      <c r="B45950" s="612"/>
      <c r="H45950" s="612"/>
    </row>
    <row r="45951">
      <c r="B45951" s="612"/>
      <c r="H45951" s="612"/>
    </row>
    <row r="45952">
      <c r="B45952" s="612"/>
      <c r="H45952" s="612"/>
    </row>
    <row r="45953">
      <c r="B45953" s="612"/>
      <c r="H45953" s="612"/>
    </row>
    <row r="45954">
      <c r="B45954" s="612"/>
      <c r="H45954" s="612"/>
    </row>
    <row r="45955">
      <c r="B45955" s="612"/>
      <c r="H45955" s="612"/>
    </row>
    <row r="45956">
      <c r="B45956" s="612"/>
      <c r="H45956" s="612"/>
    </row>
    <row r="45957">
      <c r="B45957" s="612"/>
      <c r="H45957" s="612"/>
    </row>
    <row r="45958">
      <c r="B45958" s="612"/>
      <c r="H45958" s="612"/>
    </row>
    <row r="45959">
      <c r="B45959" s="612"/>
      <c r="H45959" s="612"/>
    </row>
    <row r="45960">
      <c r="B45960" s="612"/>
      <c r="H45960" s="612"/>
    </row>
    <row r="45961">
      <c r="B45961" s="612"/>
      <c r="H45961" s="612"/>
    </row>
    <row r="45962">
      <c r="B45962" s="612"/>
      <c r="H45962" s="612"/>
    </row>
    <row r="45963">
      <c r="B45963" s="612"/>
      <c r="H45963" s="612"/>
    </row>
    <row r="45964">
      <c r="B45964" s="612"/>
      <c r="H45964" s="612"/>
    </row>
    <row r="45965">
      <c r="B45965" s="612"/>
      <c r="H45965" s="612"/>
    </row>
    <row r="45966">
      <c r="B45966" s="612"/>
      <c r="H45966" s="612"/>
    </row>
    <row r="45967">
      <c r="B45967" s="612"/>
      <c r="H45967" s="612"/>
    </row>
    <row r="45968">
      <c r="B45968" s="612"/>
      <c r="H45968" s="612"/>
    </row>
    <row r="45969">
      <c r="B45969" s="612"/>
      <c r="H45969" s="612"/>
    </row>
    <row r="45970">
      <c r="B45970" s="612"/>
      <c r="H45970" s="612"/>
    </row>
    <row r="45971">
      <c r="B45971" s="612"/>
      <c r="H45971" s="612"/>
    </row>
    <row r="45972">
      <c r="B45972" s="612"/>
      <c r="H45972" s="612"/>
    </row>
    <row r="45973">
      <c r="B45973" s="612"/>
      <c r="H45973" s="612"/>
    </row>
    <row r="45974">
      <c r="B45974" s="612"/>
      <c r="H45974" s="612"/>
    </row>
    <row r="45975">
      <c r="B45975" s="612"/>
      <c r="H45975" s="612"/>
    </row>
    <row r="45976">
      <c r="B45976" s="612"/>
      <c r="H45976" s="612"/>
    </row>
    <row r="45977">
      <c r="B45977" s="612"/>
      <c r="H45977" s="612"/>
    </row>
    <row r="45978">
      <c r="B45978" s="612"/>
      <c r="H45978" s="612"/>
    </row>
    <row r="45979">
      <c r="B45979" s="612"/>
      <c r="H45979" s="612"/>
    </row>
    <row r="45980">
      <c r="B45980" s="612"/>
      <c r="H45980" s="612"/>
    </row>
    <row r="45981">
      <c r="B45981" s="612"/>
      <c r="H45981" s="612"/>
    </row>
    <row r="45982">
      <c r="B45982" s="612"/>
      <c r="H45982" s="612"/>
    </row>
    <row r="45983">
      <c r="B45983" s="612"/>
      <c r="H45983" s="612"/>
    </row>
    <row r="45984">
      <c r="B45984" s="612"/>
      <c r="H45984" s="612"/>
    </row>
    <row r="45985">
      <c r="B45985" s="612"/>
      <c r="H45985" s="612"/>
    </row>
    <row r="45986">
      <c r="B45986" s="612"/>
      <c r="H45986" s="612"/>
    </row>
    <row r="45987">
      <c r="B45987" s="612"/>
      <c r="H45987" s="612"/>
    </row>
    <row r="45988">
      <c r="B45988" s="612"/>
      <c r="H45988" s="612"/>
    </row>
    <row r="45989">
      <c r="B45989" s="612"/>
      <c r="H45989" s="612"/>
    </row>
    <row r="45990">
      <c r="B45990" s="612"/>
      <c r="H45990" s="612"/>
    </row>
    <row r="45991">
      <c r="B45991" s="612"/>
      <c r="H45991" s="612"/>
    </row>
    <row r="45992">
      <c r="B45992" s="612"/>
      <c r="H45992" s="612"/>
    </row>
    <row r="45993">
      <c r="B45993" s="612"/>
      <c r="H45993" s="612"/>
    </row>
    <row r="45994">
      <c r="B45994" s="612"/>
      <c r="H45994" s="612"/>
    </row>
    <row r="45995">
      <c r="B45995" s="612"/>
      <c r="H45995" s="612"/>
    </row>
    <row r="45996">
      <c r="B45996" s="612"/>
      <c r="H45996" s="612"/>
    </row>
    <row r="45997">
      <c r="B45997" s="612"/>
      <c r="H45997" s="612"/>
    </row>
    <row r="45998">
      <c r="B45998" s="612"/>
      <c r="H45998" s="612"/>
    </row>
    <row r="45999">
      <c r="B45999" s="612"/>
      <c r="H45999" s="612"/>
    </row>
    <row r="46000">
      <c r="B46000" s="612"/>
      <c r="H46000" s="612"/>
    </row>
    <row r="46001">
      <c r="B46001" s="612"/>
      <c r="H46001" s="612"/>
    </row>
    <row r="46002">
      <c r="B46002" s="612"/>
      <c r="H46002" s="612"/>
    </row>
    <row r="46003">
      <c r="B46003" s="612"/>
      <c r="H46003" s="612"/>
    </row>
    <row r="46004">
      <c r="B46004" s="612"/>
      <c r="H46004" s="612"/>
    </row>
    <row r="46005">
      <c r="B46005" s="612"/>
      <c r="H46005" s="612"/>
    </row>
    <row r="46006">
      <c r="B46006" s="612"/>
      <c r="H46006" s="612"/>
    </row>
    <row r="46007">
      <c r="B46007" s="612"/>
      <c r="H46007" s="612"/>
    </row>
    <row r="46008">
      <c r="B46008" s="612"/>
      <c r="H46008" s="612"/>
    </row>
    <row r="46009">
      <c r="B46009" s="612"/>
      <c r="H46009" s="612"/>
    </row>
    <row r="46010">
      <c r="B46010" s="612"/>
      <c r="H46010" s="612"/>
    </row>
    <row r="46011">
      <c r="B46011" s="612"/>
      <c r="H46011" s="612"/>
    </row>
    <row r="46012">
      <c r="B46012" s="612"/>
      <c r="H46012" s="612"/>
    </row>
    <row r="46013">
      <c r="B46013" s="612"/>
      <c r="H46013" s="612"/>
    </row>
    <row r="46014">
      <c r="B46014" s="612"/>
      <c r="H46014" s="612"/>
    </row>
    <row r="46015">
      <c r="B46015" s="612"/>
      <c r="H46015" s="612"/>
    </row>
    <row r="46016">
      <c r="B46016" s="612"/>
      <c r="H46016" s="612"/>
    </row>
    <row r="46017">
      <c r="B46017" s="612"/>
      <c r="H46017" s="612"/>
    </row>
    <row r="46018">
      <c r="B46018" s="612"/>
      <c r="H46018" s="612"/>
    </row>
    <row r="46019">
      <c r="B46019" s="612"/>
      <c r="H46019" s="612"/>
    </row>
    <row r="46020">
      <c r="B46020" s="612"/>
      <c r="H46020" s="612"/>
    </row>
    <row r="46021">
      <c r="B46021" s="612"/>
      <c r="H46021" s="612"/>
    </row>
    <row r="46022">
      <c r="B46022" s="612"/>
      <c r="H46022" s="612"/>
    </row>
    <row r="46023">
      <c r="B46023" s="612"/>
      <c r="H46023" s="612"/>
    </row>
    <row r="46024">
      <c r="B46024" s="612"/>
      <c r="H46024" s="612"/>
    </row>
    <row r="46025">
      <c r="B46025" s="612"/>
      <c r="H46025" s="612"/>
    </row>
    <row r="46026">
      <c r="B46026" s="612"/>
      <c r="H46026" s="612"/>
    </row>
    <row r="46027">
      <c r="B46027" s="612"/>
      <c r="H46027" s="612"/>
    </row>
    <row r="46028">
      <c r="B46028" s="612"/>
      <c r="H46028" s="612"/>
    </row>
    <row r="46029">
      <c r="B46029" s="612"/>
      <c r="H46029" s="612"/>
    </row>
    <row r="46030">
      <c r="B46030" s="612"/>
      <c r="H46030" s="612"/>
    </row>
    <row r="46031">
      <c r="B46031" s="612"/>
      <c r="H46031" s="612"/>
    </row>
    <row r="46032">
      <c r="B46032" s="612"/>
      <c r="H46032" s="612"/>
    </row>
    <row r="46033">
      <c r="B46033" s="612"/>
      <c r="H46033" s="612"/>
    </row>
    <row r="46034">
      <c r="B46034" s="612"/>
      <c r="H46034" s="612"/>
    </row>
    <row r="46035">
      <c r="B46035" s="612"/>
      <c r="H46035" s="612"/>
    </row>
    <row r="46036">
      <c r="B46036" s="612"/>
      <c r="H46036" s="612"/>
    </row>
    <row r="46037">
      <c r="B46037" s="612"/>
      <c r="H46037" s="612"/>
    </row>
    <row r="46038">
      <c r="B46038" s="612"/>
      <c r="H46038" s="612"/>
    </row>
    <row r="46039">
      <c r="B46039" s="612"/>
      <c r="H46039" s="612"/>
    </row>
    <row r="46040">
      <c r="B46040" s="612"/>
      <c r="H46040" s="612"/>
    </row>
    <row r="46041">
      <c r="B46041" s="612"/>
      <c r="H46041" s="612"/>
    </row>
    <row r="46042">
      <c r="B46042" s="612"/>
      <c r="H46042" s="612"/>
    </row>
    <row r="46043">
      <c r="B46043" s="612"/>
      <c r="H46043" s="612"/>
    </row>
    <row r="46044">
      <c r="B46044" s="612"/>
      <c r="H46044" s="612"/>
    </row>
    <row r="46045">
      <c r="B46045" s="612"/>
      <c r="H46045" s="612"/>
    </row>
    <row r="46046">
      <c r="B46046" s="612"/>
      <c r="H46046" s="612"/>
    </row>
    <row r="46047">
      <c r="B46047" s="612"/>
      <c r="H46047" s="612"/>
    </row>
    <row r="46048">
      <c r="B46048" s="612"/>
      <c r="H46048" s="612"/>
    </row>
    <row r="46049">
      <c r="B46049" s="612"/>
      <c r="H46049" s="612"/>
    </row>
    <row r="46050">
      <c r="B46050" s="612"/>
      <c r="H46050" s="612"/>
    </row>
    <row r="46051">
      <c r="B46051" s="612"/>
      <c r="H46051" s="612"/>
    </row>
    <row r="46052">
      <c r="B46052" s="612"/>
      <c r="H46052" s="612"/>
    </row>
    <row r="46053">
      <c r="B46053" s="612"/>
      <c r="H46053" s="612"/>
    </row>
    <row r="46054">
      <c r="B46054" s="612"/>
      <c r="H46054" s="612"/>
    </row>
    <row r="46055">
      <c r="B46055" s="612"/>
      <c r="H46055" s="612"/>
    </row>
    <row r="46056">
      <c r="B46056" s="612"/>
      <c r="H46056" s="612"/>
    </row>
    <row r="46057">
      <c r="B46057" s="612"/>
      <c r="H46057" s="612"/>
    </row>
    <row r="46058">
      <c r="B46058" s="612"/>
      <c r="H46058" s="612"/>
    </row>
    <row r="46059">
      <c r="B46059" s="612"/>
      <c r="H46059" s="612"/>
    </row>
    <row r="46060">
      <c r="B46060" s="612"/>
      <c r="H46060" s="612"/>
    </row>
    <row r="46061">
      <c r="B46061" s="612"/>
      <c r="H46061" s="612"/>
    </row>
    <row r="46062">
      <c r="B46062" s="612"/>
      <c r="H46062" s="612"/>
    </row>
    <row r="46063">
      <c r="B46063" s="612"/>
      <c r="H46063" s="612"/>
    </row>
    <row r="46064">
      <c r="B46064" s="612"/>
      <c r="H46064" s="612"/>
    </row>
    <row r="46065">
      <c r="B46065" s="612"/>
      <c r="H46065" s="612"/>
    </row>
    <row r="46066">
      <c r="B46066" s="612"/>
      <c r="H46066" s="612"/>
    </row>
    <row r="46067">
      <c r="B46067" s="612"/>
      <c r="H46067" s="612"/>
    </row>
    <row r="46068">
      <c r="B46068" s="612"/>
      <c r="H46068" s="612"/>
    </row>
    <row r="46069">
      <c r="B46069" s="612"/>
      <c r="H46069" s="612"/>
    </row>
    <row r="46070">
      <c r="B46070" s="612"/>
      <c r="H46070" s="612"/>
    </row>
    <row r="46071">
      <c r="B46071" s="612"/>
      <c r="H46071" s="612"/>
    </row>
    <row r="46072">
      <c r="B46072" s="612"/>
      <c r="H46072" s="612"/>
    </row>
    <row r="46073">
      <c r="B46073" s="612"/>
      <c r="H46073" s="612"/>
    </row>
    <row r="46074">
      <c r="B46074" s="612"/>
      <c r="H46074" s="612"/>
    </row>
    <row r="46075">
      <c r="B46075" s="612"/>
      <c r="H46075" s="612"/>
    </row>
    <row r="46076">
      <c r="B46076" s="612"/>
      <c r="H46076" s="612"/>
    </row>
    <row r="46077">
      <c r="B46077" s="612"/>
      <c r="H46077" s="612"/>
    </row>
    <row r="46078">
      <c r="B46078" s="612"/>
      <c r="H46078" s="612"/>
    </row>
    <row r="46079">
      <c r="B46079" s="612"/>
      <c r="H46079" s="612"/>
    </row>
    <row r="46080">
      <c r="B46080" s="612"/>
      <c r="H46080" s="612"/>
    </row>
    <row r="46081">
      <c r="B46081" s="612"/>
      <c r="H46081" s="612"/>
    </row>
    <row r="46082">
      <c r="B46082" s="612"/>
      <c r="H46082" s="612"/>
    </row>
    <row r="46083">
      <c r="B46083" s="612"/>
      <c r="H46083" s="612"/>
    </row>
    <row r="46084">
      <c r="B46084" s="612"/>
      <c r="H46084" s="612"/>
    </row>
    <row r="46085">
      <c r="B46085" s="612"/>
      <c r="H46085" s="612"/>
    </row>
    <row r="46086">
      <c r="B46086" s="612"/>
      <c r="H46086" s="612"/>
    </row>
    <row r="46087">
      <c r="B46087" s="612"/>
      <c r="H46087" s="612"/>
    </row>
    <row r="46088">
      <c r="B46088" s="612"/>
      <c r="H46088" s="612"/>
    </row>
    <row r="46089">
      <c r="B46089" s="612"/>
      <c r="H46089" s="612"/>
    </row>
    <row r="46090">
      <c r="B46090" s="612"/>
      <c r="H46090" s="612"/>
    </row>
    <row r="46091">
      <c r="B46091" s="612"/>
      <c r="H46091" s="612"/>
    </row>
    <row r="46092">
      <c r="B46092" s="612"/>
      <c r="H46092" s="612"/>
    </row>
    <row r="46093">
      <c r="B46093" s="612"/>
      <c r="H46093" s="612"/>
    </row>
    <row r="46094">
      <c r="B46094" s="612"/>
      <c r="H46094" s="612"/>
    </row>
    <row r="46095">
      <c r="B46095" s="612"/>
      <c r="H46095" s="612"/>
    </row>
    <row r="46096">
      <c r="B46096" s="612"/>
      <c r="H46096" s="612"/>
    </row>
    <row r="46097">
      <c r="B46097" s="612"/>
      <c r="H46097" s="612"/>
    </row>
    <row r="46098">
      <c r="B46098" s="612"/>
      <c r="H46098" s="612"/>
    </row>
    <row r="46099">
      <c r="B46099" s="612"/>
      <c r="H46099" s="612"/>
    </row>
    <row r="46100">
      <c r="B46100" s="612"/>
      <c r="H46100" s="612"/>
    </row>
    <row r="46101">
      <c r="B46101" s="612"/>
      <c r="H46101" s="612"/>
    </row>
    <row r="46102">
      <c r="B46102" s="612"/>
      <c r="H46102" s="612"/>
    </row>
    <row r="46103">
      <c r="B46103" s="612"/>
      <c r="H46103" s="612"/>
    </row>
    <row r="46104">
      <c r="B46104" s="612"/>
      <c r="H46104" s="612"/>
    </row>
    <row r="46105">
      <c r="B46105" s="612"/>
      <c r="H46105" s="612"/>
    </row>
    <row r="46106">
      <c r="B46106" s="612"/>
      <c r="H46106" s="612"/>
    </row>
    <row r="46107">
      <c r="B46107" s="612"/>
      <c r="H46107" s="612"/>
    </row>
    <row r="46108">
      <c r="B46108" s="612"/>
      <c r="H46108" s="612"/>
    </row>
    <row r="46109">
      <c r="B46109" s="612"/>
      <c r="H46109" s="612"/>
    </row>
    <row r="46110">
      <c r="B46110" s="612"/>
      <c r="H46110" s="612"/>
    </row>
    <row r="46111">
      <c r="B46111" s="612"/>
      <c r="H46111" s="612"/>
    </row>
    <row r="46112">
      <c r="B46112" s="612"/>
      <c r="H46112" s="612"/>
    </row>
    <row r="46113">
      <c r="B46113" s="612"/>
      <c r="H46113" s="612"/>
    </row>
    <row r="46114">
      <c r="B46114" s="612"/>
      <c r="H46114" s="612"/>
    </row>
    <row r="46115">
      <c r="B46115" s="612"/>
      <c r="H46115" s="612"/>
    </row>
    <row r="46116">
      <c r="B46116" s="612"/>
      <c r="H46116" s="612"/>
    </row>
    <row r="46117">
      <c r="B46117" s="612"/>
      <c r="H46117" s="612"/>
    </row>
    <row r="46118">
      <c r="B46118" s="612"/>
      <c r="H46118" s="612"/>
    </row>
    <row r="46119">
      <c r="B46119" s="612"/>
      <c r="H46119" s="612"/>
    </row>
    <row r="46120">
      <c r="B46120" s="612"/>
      <c r="H46120" s="612"/>
    </row>
    <row r="46121">
      <c r="B46121" s="612"/>
      <c r="H46121" s="612"/>
    </row>
    <row r="46122">
      <c r="B46122" s="612"/>
      <c r="H46122" s="612"/>
    </row>
    <row r="46123">
      <c r="B46123" s="612"/>
      <c r="H46123" s="612"/>
    </row>
    <row r="46124">
      <c r="B46124" s="612"/>
      <c r="H46124" s="612"/>
    </row>
    <row r="46125">
      <c r="B46125" s="612"/>
      <c r="H46125" s="612"/>
    </row>
    <row r="46126">
      <c r="B46126" s="612"/>
      <c r="H46126" s="612"/>
    </row>
    <row r="46127">
      <c r="B46127" s="612"/>
      <c r="H46127" s="612"/>
    </row>
    <row r="46128">
      <c r="B46128" s="612"/>
      <c r="H46128" s="612"/>
    </row>
    <row r="46129">
      <c r="B46129" s="612"/>
      <c r="H46129" s="612"/>
    </row>
    <row r="46130">
      <c r="B46130" s="612"/>
      <c r="H46130" s="612"/>
    </row>
    <row r="46131">
      <c r="B46131" s="612"/>
      <c r="H46131" s="612"/>
    </row>
    <row r="46132">
      <c r="B46132" s="612"/>
      <c r="H46132" s="612"/>
    </row>
    <row r="46133">
      <c r="B46133" s="612"/>
      <c r="H46133" s="612"/>
    </row>
    <row r="46134">
      <c r="B46134" s="612"/>
      <c r="H46134" s="612"/>
    </row>
    <row r="46135">
      <c r="B46135" s="612"/>
      <c r="H46135" s="612"/>
    </row>
    <row r="46136">
      <c r="B46136" s="612"/>
      <c r="H46136" s="612"/>
    </row>
    <row r="46137">
      <c r="B46137" s="612"/>
      <c r="H46137" s="612"/>
    </row>
    <row r="46138">
      <c r="B46138" s="612"/>
      <c r="H46138" s="612"/>
    </row>
    <row r="46139">
      <c r="B46139" s="612"/>
      <c r="H46139" s="612"/>
    </row>
    <row r="46140">
      <c r="B46140" s="612"/>
      <c r="H46140" s="612"/>
    </row>
    <row r="46141">
      <c r="B46141" s="612"/>
      <c r="H46141" s="612"/>
    </row>
    <row r="46142">
      <c r="B46142" s="612"/>
      <c r="H46142" s="612"/>
    </row>
    <row r="46143">
      <c r="B46143" s="612"/>
      <c r="H46143" s="612"/>
    </row>
    <row r="46144">
      <c r="B46144" s="612"/>
      <c r="H46144" s="612"/>
    </row>
    <row r="46145">
      <c r="B46145" s="612"/>
      <c r="H46145" s="612"/>
    </row>
    <row r="46146">
      <c r="B46146" s="612"/>
      <c r="H46146" s="612"/>
    </row>
    <row r="46147">
      <c r="B46147" s="612"/>
      <c r="H46147" s="612"/>
    </row>
    <row r="46148">
      <c r="B46148" s="612"/>
      <c r="H46148" s="612"/>
    </row>
    <row r="46149">
      <c r="B46149" s="612"/>
      <c r="H46149" s="612"/>
    </row>
    <row r="46150">
      <c r="B46150" s="612"/>
      <c r="H46150" s="612"/>
    </row>
    <row r="46151">
      <c r="B46151" s="612"/>
      <c r="H46151" s="612"/>
    </row>
    <row r="46152">
      <c r="B46152" s="612"/>
      <c r="H46152" s="612"/>
    </row>
    <row r="46153">
      <c r="B46153" s="612"/>
      <c r="H46153" s="612"/>
    </row>
    <row r="46154">
      <c r="B46154" s="612"/>
      <c r="H46154" s="612"/>
    </row>
    <row r="46155">
      <c r="B46155" s="612"/>
      <c r="H46155" s="612"/>
    </row>
    <row r="46156">
      <c r="B46156" s="612"/>
      <c r="H46156" s="612"/>
    </row>
    <row r="46157">
      <c r="B46157" s="612"/>
      <c r="H46157" s="612"/>
    </row>
    <row r="46158">
      <c r="B46158" s="612"/>
      <c r="H46158" s="612"/>
    </row>
    <row r="46159">
      <c r="B46159" s="612"/>
      <c r="H46159" s="612"/>
    </row>
    <row r="46160">
      <c r="B46160" s="612"/>
      <c r="H46160" s="612"/>
    </row>
    <row r="46161">
      <c r="B46161" s="612"/>
      <c r="H46161" s="612"/>
    </row>
    <row r="46162">
      <c r="B46162" s="612"/>
      <c r="H46162" s="612"/>
    </row>
    <row r="46163">
      <c r="B46163" s="612"/>
      <c r="H46163" s="612"/>
    </row>
    <row r="46164">
      <c r="B46164" s="612"/>
      <c r="H46164" s="612"/>
    </row>
    <row r="46165">
      <c r="B46165" s="612"/>
      <c r="H46165" s="612"/>
    </row>
    <row r="46166">
      <c r="B46166" s="612"/>
      <c r="H46166" s="612"/>
    </row>
    <row r="46167">
      <c r="B46167" s="612"/>
      <c r="H46167" s="612"/>
    </row>
    <row r="46168">
      <c r="B46168" s="612"/>
      <c r="H46168" s="612"/>
    </row>
    <row r="46169">
      <c r="B46169" s="612"/>
      <c r="H46169" s="612"/>
    </row>
    <row r="46170">
      <c r="B46170" s="612"/>
      <c r="H46170" s="612"/>
    </row>
    <row r="46171">
      <c r="B46171" s="612"/>
      <c r="H46171" s="612"/>
    </row>
    <row r="46172">
      <c r="B46172" s="612"/>
      <c r="H46172" s="612"/>
    </row>
    <row r="46173">
      <c r="B46173" s="612"/>
      <c r="H46173" s="612"/>
    </row>
    <row r="46174">
      <c r="B46174" s="612"/>
      <c r="H46174" s="612"/>
    </row>
    <row r="46175">
      <c r="B46175" s="612"/>
      <c r="H46175" s="612"/>
    </row>
    <row r="46176">
      <c r="B46176" s="612"/>
      <c r="H46176" s="612"/>
    </row>
    <row r="46177">
      <c r="B46177" s="612"/>
      <c r="H46177" s="612"/>
    </row>
    <row r="46178">
      <c r="B46178" s="612"/>
      <c r="H46178" s="612"/>
    </row>
    <row r="46179">
      <c r="B46179" s="612"/>
      <c r="H46179" s="612"/>
    </row>
    <row r="46180">
      <c r="B46180" s="612"/>
      <c r="H46180" s="612"/>
    </row>
    <row r="46181">
      <c r="B46181" s="612"/>
      <c r="H46181" s="612"/>
    </row>
    <row r="46182">
      <c r="B46182" s="612"/>
      <c r="H46182" s="612"/>
    </row>
    <row r="46183">
      <c r="B46183" s="612"/>
      <c r="H46183" s="612"/>
    </row>
    <row r="46184">
      <c r="B46184" s="612"/>
      <c r="H46184" s="612"/>
    </row>
    <row r="46185">
      <c r="B46185" s="612"/>
      <c r="H46185" s="612"/>
    </row>
    <row r="46186">
      <c r="B46186" s="612"/>
      <c r="H46186" s="612"/>
    </row>
    <row r="46187">
      <c r="B46187" s="612"/>
      <c r="H46187" s="612"/>
    </row>
    <row r="46188">
      <c r="B46188" s="612"/>
      <c r="H46188" s="612"/>
    </row>
    <row r="46189">
      <c r="B46189" s="612"/>
      <c r="H46189" s="612"/>
    </row>
    <row r="46190">
      <c r="B46190" s="612"/>
      <c r="H46190" s="612"/>
    </row>
    <row r="46191">
      <c r="B46191" s="612"/>
      <c r="H46191" s="612"/>
    </row>
    <row r="46192">
      <c r="B46192" s="612"/>
      <c r="H46192" s="612"/>
    </row>
    <row r="46193">
      <c r="B46193" s="612"/>
      <c r="H46193" s="612"/>
    </row>
    <row r="46194">
      <c r="B46194" s="612"/>
      <c r="H46194" s="612"/>
    </row>
    <row r="46195">
      <c r="B46195" s="612"/>
      <c r="H46195" s="612"/>
    </row>
    <row r="46196">
      <c r="B46196" s="612"/>
      <c r="H46196" s="612"/>
    </row>
    <row r="46197">
      <c r="B46197" s="612"/>
      <c r="H46197" s="612"/>
    </row>
    <row r="46198">
      <c r="B46198" s="612"/>
      <c r="H46198" s="612"/>
    </row>
    <row r="46199">
      <c r="B46199" s="612"/>
      <c r="H46199" s="612"/>
    </row>
    <row r="46200">
      <c r="B46200" s="612"/>
      <c r="H46200" s="612"/>
    </row>
    <row r="46201">
      <c r="B46201" s="612"/>
      <c r="H46201" s="612"/>
    </row>
    <row r="46202">
      <c r="B46202" s="612"/>
      <c r="H46202" s="612"/>
    </row>
    <row r="46203">
      <c r="B46203" s="612"/>
      <c r="H46203" s="612"/>
    </row>
    <row r="46204">
      <c r="B46204" s="612"/>
      <c r="H46204" s="612"/>
    </row>
    <row r="46205">
      <c r="B46205" s="612"/>
      <c r="H46205" s="612"/>
    </row>
    <row r="46206">
      <c r="B46206" s="612"/>
      <c r="H46206" s="612"/>
    </row>
    <row r="46207">
      <c r="B46207" s="612"/>
      <c r="H46207" s="612"/>
    </row>
    <row r="46208">
      <c r="B46208" s="612"/>
      <c r="H46208" s="612"/>
    </row>
    <row r="46209">
      <c r="B46209" s="612"/>
      <c r="H46209" s="612"/>
    </row>
    <row r="46210">
      <c r="B46210" s="612"/>
      <c r="H46210" s="612"/>
    </row>
    <row r="46211">
      <c r="B46211" s="612"/>
      <c r="H46211" s="612"/>
    </row>
    <row r="46212">
      <c r="B46212" s="612"/>
      <c r="H46212" s="612"/>
    </row>
    <row r="46213">
      <c r="B46213" s="612"/>
      <c r="H46213" s="612"/>
    </row>
    <row r="46214">
      <c r="B46214" s="612"/>
      <c r="H46214" s="612"/>
    </row>
    <row r="46215">
      <c r="B46215" s="612"/>
      <c r="H46215" s="612"/>
    </row>
    <row r="46216">
      <c r="B46216" s="612"/>
      <c r="H46216" s="612"/>
    </row>
    <row r="46217">
      <c r="B46217" s="612"/>
      <c r="H46217" s="612"/>
    </row>
    <row r="46218">
      <c r="B46218" s="612"/>
      <c r="H46218" s="612"/>
    </row>
    <row r="46219">
      <c r="B46219" s="612"/>
      <c r="H46219" s="612"/>
    </row>
    <row r="46220">
      <c r="B46220" s="612"/>
      <c r="H46220" s="612"/>
    </row>
    <row r="46221">
      <c r="B46221" s="612"/>
      <c r="H46221" s="612"/>
    </row>
    <row r="46222">
      <c r="B46222" s="612"/>
      <c r="H46222" s="612"/>
    </row>
    <row r="46223">
      <c r="B46223" s="612"/>
      <c r="H46223" s="612"/>
    </row>
    <row r="46224">
      <c r="B46224" s="612"/>
      <c r="H46224" s="612"/>
    </row>
    <row r="46225">
      <c r="B46225" s="612"/>
      <c r="H46225" s="612"/>
    </row>
    <row r="46226">
      <c r="B46226" s="612"/>
      <c r="H46226" s="612"/>
    </row>
    <row r="46227">
      <c r="B46227" s="612"/>
      <c r="H46227" s="612"/>
    </row>
    <row r="46228">
      <c r="B46228" s="612"/>
      <c r="H46228" s="612"/>
    </row>
    <row r="46229">
      <c r="B46229" s="612"/>
      <c r="H46229" s="612"/>
    </row>
    <row r="46230">
      <c r="B46230" s="612"/>
      <c r="H46230" s="612"/>
    </row>
    <row r="46231">
      <c r="B46231" s="612"/>
      <c r="H46231" s="612"/>
    </row>
    <row r="46232">
      <c r="B46232" s="612"/>
      <c r="H46232" s="612"/>
    </row>
    <row r="46233">
      <c r="B46233" s="612"/>
      <c r="H46233" s="612"/>
    </row>
    <row r="46234">
      <c r="B46234" s="612"/>
      <c r="H46234" s="612"/>
    </row>
    <row r="46235">
      <c r="B46235" s="612"/>
      <c r="H46235" s="612"/>
    </row>
    <row r="46236">
      <c r="B46236" s="612"/>
      <c r="H46236" s="612"/>
    </row>
    <row r="46237">
      <c r="B46237" s="612"/>
      <c r="H46237" s="612"/>
    </row>
    <row r="46238">
      <c r="B46238" s="612"/>
      <c r="H46238" s="612"/>
    </row>
    <row r="46239">
      <c r="B46239" s="612"/>
      <c r="H46239" s="612"/>
    </row>
    <row r="46240">
      <c r="B46240" s="612"/>
      <c r="H46240" s="612"/>
    </row>
    <row r="46241">
      <c r="B46241" s="612"/>
      <c r="H46241" s="612"/>
    </row>
    <row r="46242">
      <c r="B46242" s="612"/>
      <c r="H46242" s="612"/>
    </row>
    <row r="46243">
      <c r="B46243" s="612"/>
      <c r="H46243" s="612"/>
    </row>
    <row r="46244">
      <c r="B46244" s="612"/>
      <c r="H46244" s="612"/>
    </row>
    <row r="46245">
      <c r="B46245" s="612"/>
      <c r="H46245" s="612"/>
    </row>
    <row r="46246">
      <c r="B46246" s="612"/>
      <c r="H46246" s="612"/>
    </row>
    <row r="46247">
      <c r="B46247" s="612"/>
      <c r="H46247" s="612"/>
    </row>
    <row r="46248">
      <c r="B46248" s="612"/>
      <c r="H46248" s="612"/>
    </row>
    <row r="46249">
      <c r="B46249" s="612"/>
      <c r="H46249" s="612"/>
    </row>
    <row r="46250">
      <c r="B46250" s="612"/>
      <c r="H46250" s="612"/>
    </row>
    <row r="46251">
      <c r="B46251" s="612"/>
      <c r="H46251" s="612"/>
    </row>
    <row r="46252">
      <c r="B46252" s="612"/>
      <c r="H46252" s="612"/>
    </row>
    <row r="46253">
      <c r="B46253" s="612"/>
      <c r="H46253" s="612"/>
    </row>
    <row r="46254">
      <c r="B46254" s="612"/>
      <c r="H46254" s="612"/>
    </row>
    <row r="46255">
      <c r="B46255" s="612"/>
      <c r="H46255" s="612"/>
    </row>
    <row r="46256">
      <c r="B46256" s="612"/>
      <c r="H46256" s="612"/>
    </row>
    <row r="46257">
      <c r="B46257" s="612"/>
      <c r="H46257" s="612"/>
    </row>
    <row r="46258">
      <c r="B46258" s="612"/>
      <c r="H46258" s="612"/>
    </row>
    <row r="46259">
      <c r="B46259" s="612"/>
      <c r="H46259" s="612"/>
    </row>
    <row r="46260">
      <c r="B46260" s="612"/>
      <c r="H46260" s="612"/>
    </row>
    <row r="46261">
      <c r="B46261" s="612"/>
      <c r="H46261" s="612"/>
    </row>
    <row r="46262">
      <c r="B46262" s="612"/>
      <c r="H46262" s="612"/>
    </row>
    <row r="46263">
      <c r="B46263" s="612"/>
      <c r="H46263" s="612"/>
    </row>
    <row r="46264">
      <c r="B46264" s="612"/>
      <c r="H46264" s="612"/>
    </row>
    <row r="46265">
      <c r="B46265" s="612"/>
      <c r="H46265" s="612"/>
    </row>
    <row r="46266">
      <c r="B46266" s="612"/>
      <c r="H46266" s="612"/>
    </row>
    <row r="46267">
      <c r="B46267" s="612"/>
      <c r="H46267" s="612"/>
    </row>
    <row r="46268">
      <c r="B46268" s="612"/>
      <c r="H46268" s="612"/>
    </row>
    <row r="46269">
      <c r="B46269" s="612"/>
      <c r="H46269" s="612"/>
    </row>
    <row r="46270">
      <c r="B46270" s="612"/>
      <c r="H46270" s="612"/>
    </row>
    <row r="46271">
      <c r="B46271" s="612"/>
      <c r="H46271" s="612"/>
    </row>
    <row r="46272">
      <c r="B46272" s="612"/>
      <c r="H46272" s="612"/>
    </row>
    <row r="46273">
      <c r="B46273" s="612"/>
      <c r="H46273" s="612"/>
    </row>
    <row r="46274">
      <c r="B46274" s="612"/>
      <c r="H46274" s="612"/>
    </row>
    <row r="46275">
      <c r="B46275" s="612"/>
      <c r="H46275" s="612"/>
    </row>
    <row r="46276">
      <c r="B46276" s="612"/>
      <c r="H46276" s="612"/>
    </row>
    <row r="46277">
      <c r="B46277" s="612"/>
      <c r="H46277" s="612"/>
    </row>
    <row r="46278">
      <c r="B46278" s="612"/>
      <c r="H46278" s="612"/>
    </row>
    <row r="46279">
      <c r="B46279" s="612"/>
      <c r="H46279" s="612"/>
    </row>
    <row r="46280">
      <c r="B46280" s="612"/>
      <c r="H46280" s="612"/>
    </row>
    <row r="46281">
      <c r="B46281" s="612"/>
      <c r="H46281" s="612"/>
    </row>
    <row r="46282">
      <c r="B46282" s="612"/>
      <c r="H46282" s="612"/>
    </row>
    <row r="46283">
      <c r="B46283" s="612"/>
      <c r="H46283" s="612"/>
    </row>
    <row r="46284">
      <c r="B46284" s="612"/>
      <c r="H46284" s="612"/>
    </row>
    <row r="46285">
      <c r="B46285" s="612"/>
      <c r="H46285" s="612"/>
    </row>
    <row r="46286">
      <c r="B46286" s="612"/>
      <c r="H46286" s="612"/>
    </row>
    <row r="46287">
      <c r="B46287" s="612"/>
      <c r="H46287" s="612"/>
    </row>
    <row r="46288">
      <c r="B46288" s="612"/>
      <c r="H46288" s="612"/>
    </row>
    <row r="46289">
      <c r="B46289" s="612"/>
      <c r="H46289" s="612"/>
    </row>
    <row r="46290">
      <c r="B46290" s="612"/>
      <c r="H46290" s="612"/>
    </row>
    <row r="46291">
      <c r="B46291" s="612"/>
      <c r="H46291" s="612"/>
    </row>
    <row r="46292">
      <c r="B46292" s="612"/>
      <c r="H46292" s="612"/>
    </row>
    <row r="46293">
      <c r="B46293" s="612"/>
      <c r="H46293" s="612"/>
    </row>
    <row r="46294">
      <c r="B46294" s="612"/>
      <c r="H46294" s="612"/>
    </row>
    <row r="46295">
      <c r="B46295" s="612"/>
      <c r="H46295" s="612"/>
    </row>
    <row r="46296">
      <c r="B46296" s="612"/>
      <c r="H46296" s="612"/>
    </row>
    <row r="46297">
      <c r="B46297" s="612"/>
      <c r="H46297" s="612"/>
    </row>
    <row r="46298">
      <c r="B46298" s="612"/>
      <c r="H46298" s="612"/>
    </row>
    <row r="46299">
      <c r="B46299" s="612"/>
      <c r="H46299" s="612"/>
    </row>
    <row r="46300">
      <c r="B46300" s="612"/>
      <c r="H46300" s="612"/>
    </row>
    <row r="46301">
      <c r="B46301" s="612"/>
      <c r="H46301" s="612"/>
    </row>
    <row r="46302">
      <c r="B46302" s="612"/>
      <c r="H46302" s="612"/>
    </row>
    <row r="46303">
      <c r="B46303" s="612"/>
      <c r="H46303" s="612"/>
    </row>
    <row r="46304">
      <c r="B46304" s="612"/>
      <c r="H46304" s="612"/>
    </row>
    <row r="46305">
      <c r="B46305" s="612"/>
      <c r="H46305" s="612"/>
    </row>
    <row r="46306">
      <c r="B46306" s="612"/>
      <c r="H46306" s="612"/>
    </row>
    <row r="46307">
      <c r="B46307" s="612"/>
      <c r="H46307" s="612"/>
    </row>
    <row r="46308">
      <c r="B46308" s="612"/>
      <c r="H46308" s="612"/>
    </row>
    <row r="46309">
      <c r="B46309" s="612"/>
      <c r="H46309" s="612"/>
    </row>
    <row r="46310">
      <c r="B46310" s="612"/>
      <c r="H46310" s="612"/>
    </row>
    <row r="46311">
      <c r="B46311" s="612"/>
      <c r="H46311" s="612"/>
    </row>
    <row r="46312">
      <c r="B46312" s="612"/>
      <c r="H46312" s="612"/>
    </row>
    <row r="46313">
      <c r="B46313" s="612"/>
      <c r="H46313" s="612"/>
    </row>
    <row r="46314">
      <c r="B46314" s="612"/>
      <c r="H46314" s="612"/>
    </row>
    <row r="46315">
      <c r="B46315" s="612"/>
      <c r="H46315" s="612"/>
    </row>
    <row r="46316">
      <c r="B46316" s="612"/>
      <c r="H46316" s="612"/>
    </row>
    <row r="46317">
      <c r="B46317" s="612"/>
      <c r="H46317" s="612"/>
    </row>
    <row r="46318">
      <c r="B46318" s="612"/>
      <c r="H46318" s="612"/>
    </row>
    <row r="46319">
      <c r="B46319" s="612"/>
      <c r="H46319" s="612"/>
    </row>
    <row r="46320">
      <c r="B46320" s="612"/>
      <c r="H46320" s="612"/>
    </row>
    <row r="46321">
      <c r="B46321" s="612"/>
      <c r="H46321" s="612"/>
    </row>
    <row r="46322">
      <c r="B46322" s="612"/>
      <c r="H46322" s="612"/>
    </row>
    <row r="46323">
      <c r="B46323" s="612"/>
      <c r="H46323" s="612"/>
    </row>
    <row r="46324">
      <c r="B46324" s="612"/>
      <c r="H46324" s="612"/>
    </row>
    <row r="46325">
      <c r="B46325" s="612"/>
      <c r="H46325" s="612"/>
    </row>
    <row r="46326">
      <c r="B46326" s="612"/>
      <c r="H46326" s="612"/>
    </row>
    <row r="46327">
      <c r="B46327" s="612"/>
      <c r="H46327" s="612"/>
    </row>
    <row r="46328">
      <c r="B46328" s="612"/>
      <c r="H46328" s="612"/>
    </row>
    <row r="46329">
      <c r="B46329" s="612"/>
      <c r="H46329" s="612"/>
    </row>
    <row r="46330">
      <c r="B46330" s="612"/>
      <c r="H46330" s="612"/>
    </row>
    <row r="46331">
      <c r="B46331" s="612"/>
      <c r="H46331" s="612"/>
    </row>
    <row r="46332">
      <c r="B46332" s="612"/>
      <c r="H46332" s="612"/>
    </row>
    <row r="46333">
      <c r="B46333" s="612"/>
      <c r="H46333" s="612"/>
    </row>
    <row r="46334">
      <c r="B46334" s="612"/>
      <c r="H46334" s="612"/>
    </row>
    <row r="46335">
      <c r="B46335" s="612"/>
      <c r="H46335" s="612"/>
    </row>
    <row r="46336">
      <c r="B46336" s="612"/>
      <c r="H46336" s="612"/>
    </row>
    <row r="46337">
      <c r="B46337" s="612"/>
      <c r="H46337" s="612"/>
    </row>
    <row r="46338">
      <c r="B46338" s="612"/>
      <c r="H46338" s="612"/>
    </row>
    <row r="46339">
      <c r="B46339" s="612"/>
      <c r="H46339" s="612"/>
    </row>
    <row r="46340">
      <c r="B46340" s="612"/>
      <c r="H46340" s="612"/>
    </row>
    <row r="46341">
      <c r="B46341" s="612"/>
      <c r="H46341" s="612"/>
    </row>
    <row r="46342">
      <c r="B46342" s="612"/>
      <c r="H46342" s="612"/>
    </row>
    <row r="46343">
      <c r="B46343" s="612"/>
      <c r="H46343" s="612"/>
    </row>
    <row r="46344">
      <c r="B46344" s="612"/>
      <c r="H46344" s="612"/>
    </row>
    <row r="46345">
      <c r="B46345" s="612"/>
      <c r="H46345" s="612"/>
    </row>
    <row r="46346">
      <c r="B46346" s="612"/>
      <c r="H46346" s="612"/>
    </row>
    <row r="46347">
      <c r="B46347" s="612"/>
      <c r="H46347" s="612"/>
    </row>
    <row r="46348">
      <c r="B46348" s="612"/>
      <c r="H46348" s="612"/>
    </row>
    <row r="46349">
      <c r="B46349" s="612"/>
      <c r="H46349" s="612"/>
    </row>
    <row r="46350">
      <c r="B46350" s="612"/>
      <c r="H46350" s="612"/>
    </row>
    <row r="46351">
      <c r="B46351" s="612"/>
      <c r="H46351" s="612"/>
    </row>
    <row r="46352">
      <c r="B46352" s="612"/>
      <c r="H46352" s="612"/>
    </row>
    <row r="46353">
      <c r="B46353" s="612"/>
      <c r="H46353" s="612"/>
    </row>
    <row r="46354">
      <c r="B46354" s="612"/>
      <c r="H46354" s="612"/>
    </row>
    <row r="46355">
      <c r="B46355" s="612"/>
      <c r="H46355" s="612"/>
    </row>
    <row r="46356">
      <c r="B46356" s="612"/>
      <c r="H46356" s="612"/>
    </row>
    <row r="46357">
      <c r="B46357" s="612"/>
      <c r="H46357" s="612"/>
    </row>
    <row r="46358">
      <c r="B46358" s="612"/>
      <c r="H46358" s="612"/>
    </row>
    <row r="46359">
      <c r="B46359" s="612"/>
      <c r="H46359" s="612"/>
    </row>
    <row r="46360">
      <c r="B46360" s="612"/>
      <c r="H46360" s="612"/>
    </row>
    <row r="46361">
      <c r="B46361" s="612"/>
      <c r="H46361" s="612"/>
    </row>
    <row r="46362">
      <c r="B46362" s="612"/>
      <c r="H46362" s="612"/>
    </row>
    <row r="46363">
      <c r="B46363" s="612"/>
      <c r="H46363" s="612"/>
    </row>
    <row r="46364">
      <c r="B46364" s="612"/>
      <c r="H46364" s="612"/>
    </row>
    <row r="46365">
      <c r="B46365" s="612"/>
      <c r="H46365" s="612"/>
    </row>
    <row r="46366">
      <c r="B46366" s="612"/>
      <c r="H46366" s="612"/>
    </row>
    <row r="46367">
      <c r="B46367" s="612"/>
      <c r="H46367" s="612"/>
    </row>
    <row r="46368">
      <c r="B46368" s="612"/>
      <c r="H46368" s="612"/>
    </row>
    <row r="46369">
      <c r="B46369" s="612"/>
      <c r="H46369" s="612"/>
    </row>
    <row r="46370">
      <c r="B46370" s="612"/>
      <c r="H46370" s="612"/>
    </row>
    <row r="46371">
      <c r="B46371" s="612"/>
      <c r="H46371" s="612"/>
    </row>
    <row r="46372">
      <c r="B46372" s="612"/>
      <c r="H46372" s="612"/>
    </row>
    <row r="46373">
      <c r="B46373" s="612"/>
      <c r="H46373" s="612"/>
    </row>
    <row r="46374">
      <c r="B46374" s="612"/>
      <c r="H46374" s="612"/>
    </row>
    <row r="46375">
      <c r="B46375" s="612"/>
      <c r="H46375" s="612"/>
    </row>
    <row r="46376">
      <c r="B46376" s="612"/>
      <c r="H46376" s="612"/>
    </row>
    <row r="46377">
      <c r="B46377" s="612"/>
      <c r="H46377" s="612"/>
    </row>
    <row r="46378">
      <c r="B46378" s="612"/>
      <c r="H46378" s="612"/>
    </row>
    <row r="46379">
      <c r="B46379" s="612"/>
      <c r="H46379" s="612"/>
    </row>
    <row r="46380">
      <c r="B46380" s="612"/>
      <c r="H46380" s="612"/>
    </row>
    <row r="46381">
      <c r="B46381" s="612"/>
      <c r="H46381" s="612"/>
    </row>
    <row r="46382">
      <c r="B46382" s="612"/>
      <c r="H46382" s="612"/>
    </row>
    <row r="46383">
      <c r="B46383" s="612"/>
      <c r="H46383" s="612"/>
    </row>
    <row r="46384">
      <c r="B46384" s="612"/>
      <c r="H46384" s="612"/>
    </row>
    <row r="46385">
      <c r="B46385" s="612"/>
      <c r="H46385" s="612"/>
    </row>
    <row r="46386">
      <c r="B46386" s="612"/>
      <c r="H46386" s="612"/>
    </row>
    <row r="46387">
      <c r="B46387" s="612"/>
      <c r="H46387" s="612"/>
    </row>
    <row r="46388">
      <c r="B46388" s="612"/>
      <c r="H46388" s="612"/>
    </row>
    <row r="46389">
      <c r="B46389" s="612"/>
      <c r="H46389" s="612"/>
    </row>
    <row r="46390">
      <c r="B46390" s="612"/>
      <c r="H46390" s="612"/>
    </row>
    <row r="46391">
      <c r="B46391" s="612"/>
      <c r="H46391" s="612"/>
    </row>
    <row r="46392">
      <c r="B46392" s="612"/>
      <c r="H46392" s="612"/>
    </row>
    <row r="46393">
      <c r="B46393" s="612"/>
      <c r="H46393" s="612"/>
    </row>
    <row r="46394">
      <c r="B46394" s="612"/>
      <c r="H46394" s="612"/>
    </row>
    <row r="46395">
      <c r="B46395" s="612"/>
      <c r="H46395" s="612"/>
    </row>
    <row r="46396">
      <c r="B46396" s="612"/>
      <c r="H46396" s="612"/>
    </row>
    <row r="46397">
      <c r="B46397" s="612"/>
      <c r="H46397" s="612"/>
    </row>
    <row r="46398">
      <c r="B46398" s="612"/>
      <c r="H46398" s="612"/>
    </row>
    <row r="46399">
      <c r="B46399" s="612"/>
      <c r="H46399" s="612"/>
    </row>
    <row r="46400">
      <c r="B46400" s="612"/>
      <c r="H46400" s="612"/>
    </row>
    <row r="46401">
      <c r="B46401" s="612"/>
      <c r="H46401" s="612"/>
    </row>
    <row r="46402">
      <c r="B46402" s="612"/>
      <c r="H46402" s="612"/>
    </row>
    <row r="46403">
      <c r="B46403" s="612"/>
      <c r="H46403" s="612"/>
    </row>
    <row r="46404">
      <c r="B46404" s="612"/>
      <c r="H46404" s="612"/>
    </row>
    <row r="46405">
      <c r="B46405" s="612"/>
      <c r="H46405" s="612"/>
    </row>
    <row r="46406">
      <c r="B46406" s="612"/>
      <c r="H46406" s="612"/>
    </row>
    <row r="46407">
      <c r="B46407" s="612"/>
      <c r="H46407" s="612"/>
    </row>
    <row r="46408">
      <c r="B46408" s="612"/>
      <c r="H46408" s="612"/>
    </row>
    <row r="46409">
      <c r="B46409" s="612"/>
      <c r="H46409" s="612"/>
    </row>
    <row r="46410">
      <c r="B46410" s="612"/>
      <c r="H46410" s="612"/>
    </row>
    <row r="46411">
      <c r="B46411" s="612"/>
      <c r="H46411" s="612"/>
    </row>
    <row r="46412">
      <c r="B46412" s="612"/>
      <c r="H46412" s="612"/>
    </row>
    <row r="46413">
      <c r="B46413" s="612"/>
      <c r="H46413" s="612"/>
    </row>
    <row r="46414">
      <c r="B46414" s="612"/>
      <c r="H46414" s="612"/>
    </row>
    <row r="46415">
      <c r="B46415" s="612"/>
      <c r="H46415" s="612"/>
    </row>
    <row r="46416">
      <c r="B46416" s="612"/>
      <c r="H46416" s="612"/>
    </row>
    <row r="46417">
      <c r="B46417" s="612"/>
      <c r="H46417" s="612"/>
    </row>
    <row r="46418">
      <c r="B46418" s="612"/>
      <c r="H46418" s="612"/>
    </row>
    <row r="46419">
      <c r="B46419" s="612"/>
      <c r="H46419" s="612"/>
    </row>
    <row r="46420">
      <c r="B46420" s="612"/>
      <c r="H46420" s="612"/>
    </row>
    <row r="46421">
      <c r="B46421" s="612"/>
      <c r="H46421" s="612"/>
    </row>
    <row r="46422">
      <c r="B46422" s="612"/>
      <c r="H46422" s="612"/>
    </row>
    <row r="46423">
      <c r="B46423" s="612"/>
      <c r="H46423" s="612"/>
    </row>
    <row r="46424">
      <c r="B46424" s="612"/>
      <c r="H46424" s="612"/>
    </row>
    <row r="46425">
      <c r="B46425" s="612"/>
      <c r="H46425" s="612"/>
    </row>
    <row r="46426">
      <c r="B46426" s="612"/>
      <c r="H46426" s="612"/>
    </row>
    <row r="46427">
      <c r="B46427" s="612"/>
      <c r="H46427" s="612"/>
    </row>
    <row r="46428">
      <c r="B46428" s="612"/>
      <c r="H46428" s="612"/>
    </row>
    <row r="46429">
      <c r="B46429" s="612"/>
      <c r="H46429" s="612"/>
    </row>
    <row r="46430">
      <c r="B46430" s="612"/>
      <c r="H46430" s="612"/>
    </row>
    <row r="46431">
      <c r="B46431" s="612"/>
      <c r="H46431" s="612"/>
    </row>
    <row r="46432">
      <c r="B46432" s="612"/>
      <c r="H46432" s="612"/>
    </row>
    <row r="46433">
      <c r="B46433" s="612"/>
      <c r="H46433" s="612"/>
    </row>
    <row r="46434">
      <c r="B46434" s="612"/>
      <c r="H46434" s="612"/>
    </row>
    <row r="46435">
      <c r="B46435" s="612"/>
      <c r="H46435" s="612"/>
    </row>
    <row r="46436">
      <c r="B46436" s="612"/>
      <c r="H46436" s="612"/>
    </row>
    <row r="46437">
      <c r="B46437" s="612"/>
      <c r="H46437" s="612"/>
    </row>
    <row r="46438">
      <c r="B46438" s="612"/>
      <c r="H46438" s="612"/>
    </row>
    <row r="46439">
      <c r="B46439" s="612"/>
      <c r="H46439" s="612"/>
    </row>
    <row r="46440">
      <c r="B46440" s="612"/>
      <c r="H46440" s="612"/>
    </row>
    <row r="46441">
      <c r="B46441" s="612"/>
      <c r="H46441" s="612"/>
    </row>
    <row r="46442">
      <c r="B46442" s="612"/>
      <c r="H46442" s="612"/>
    </row>
    <row r="46443">
      <c r="B46443" s="612"/>
      <c r="H46443" s="612"/>
    </row>
    <row r="46444">
      <c r="B46444" s="612"/>
      <c r="H46444" s="612"/>
    </row>
    <row r="46445">
      <c r="B46445" s="612"/>
      <c r="H46445" s="612"/>
    </row>
    <row r="46446">
      <c r="B46446" s="612"/>
      <c r="H46446" s="612"/>
    </row>
    <row r="46447">
      <c r="B46447" s="612"/>
      <c r="H46447" s="612"/>
    </row>
    <row r="46448">
      <c r="B46448" s="612"/>
      <c r="H46448" s="612"/>
    </row>
    <row r="46449">
      <c r="B46449" s="612"/>
      <c r="H46449" s="612"/>
    </row>
    <row r="46450">
      <c r="B46450" s="612"/>
      <c r="H46450" s="612"/>
    </row>
    <row r="46451">
      <c r="B46451" s="612"/>
      <c r="H46451" s="612"/>
    </row>
    <row r="46452">
      <c r="B46452" s="612"/>
      <c r="H46452" s="612"/>
    </row>
    <row r="46453">
      <c r="B46453" s="612"/>
      <c r="H46453" s="612"/>
    </row>
    <row r="46454">
      <c r="B46454" s="612"/>
      <c r="H46454" s="612"/>
    </row>
    <row r="46455">
      <c r="B46455" s="612"/>
      <c r="H46455" s="612"/>
    </row>
    <row r="46456">
      <c r="B46456" s="612"/>
      <c r="H46456" s="612"/>
    </row>
    <row r="46457">
      <c r="B46457" s="612"/>
      <c r="H46457" s="612"/>
    </row>
    <row r="46458">
      <c r="B46458" s="612"/>
      <c r="H46458" s="612"/>
    </row>
    <row r="46459">
      <c r="B46459" s="612"/>
      <c r="H46459" s="612"/>
    </row>
    <row r="46460">
      <c r="B46460" s="612"/>
      <c r="H46460" s="612"/>
    </row>
    <row r="46461">
      <c r="B46461" s="612"/>
      <c r="H46461" s="612"/>
    </row>
    <row r="46462">
      <c r="B46462" s="612"/>
      <c r="H46462" s="612"/>
    </row>
    <row r="46463">
      <c r="B46463" s="612"/>
      <c r="H46463" s="612"/>
    </row>
    <row r="46464">
      <c r="B46464" s="612"/>
      <c r="H46464" s="612"/>
    </row>
    <row r="46465">
      <c r="B46465" s="612"/>
      <c r="H46465" s="612"/>
    </row>
    <row r="46466">
      <c r="B46466" s="612"/>
      <c r="H46466" s="612"/>
    </row>
    <row r="46467">
      <c r="B46467" s="612"/>
      <c r="H46467" s="612"/>
    </row>
    <row r="46468">
      <c r="B46468" s="612"/>
      <c r="H46468" s="612"/>
    </row>
    <row r="46469">
      <c r="B46469" s="612"/>
      <c r="H46469" s="612"/>
    </row>
    <row r="46470">
      <c r="B46470" s="612"/>
      <c r="H46470" s="612"/>
    </row>
    <row r="46471">
      <c r="B46471" s="612"/>
      <c r="H46471" s="612"/>
    </row>
    <row r="46472">
      <c r="B46472" s="612"/>
      <c r="H46472" s="612"/>
    </row>
    <row r="46473">
      <c r="B46473" s="612"/>
      <c r="H46473" s="612"/>
    </row>
    <row r="46474">
      <c r="B46474" s="612"/>
      <c r="H46474" s="612"/>
    </row>
    <row r="46475">
      <c r="B46475" s="612"/>
      <c r="H46475" s="612"/>
    </row>
    <row r="46476">
      <c r="B46476" s="612"/>
      <c r="H46476" s="612"/>
    </row>
    <row r="46477">
      <c r="B46477" s="612"/>
      <c r="H46477" s="612"/>
    </row>
    <row r="46478">
      <c r="B46478" s="612"/>
      <c r="H46478" s="612"/>
    </row>
    <row r="46479">
      <c r="B46479" s="612"/>
      <c r="H46479" s="612"/>
    </row>
    <row r="46480">
      <c r="B46480" s="612"/>
      <c r="H46480" s="612"/>
    </row>
    <row r="46481">
      <c r="B46481" s="612"/>
      <c r="H46481" s="612"/>
    </row>
    <row r="46482">
      <c r="B46482" s="612"/>
      <c r="H46482" s="612"/>
    </row>
    <row r="46483">
      <c r="B46483" s="612"/>
      <c r="H46483" s="612"/>
    </row>
    <row r="46484">
      <c r="B46484" s="612"/>
      <c r="H46484" s="612"/>
    </row>
    <row r="46485">
      <c r="B46485" s="612"/>
      <c r="H46485" s="612"/>
    </row>
    <row r="46486">
      <c r="B46486" s="612"/>
      <c r="H46486" s="612"/>
    </row>
    <row r="46487">
      <c r="B46487" s="612"/>
      <c r="H46487" s="612"/>
    </row>
    <row r="46488">
      <c r="B46488" s="612"/>
      <c r="H46488" s="612"/>
    </row>
    <row r="46489">
      <c r="B46489" s="612"/>
      <c r="H46489" s="612"/>
    </row>
    <row r="46490">
      <c r="B46490" s="612"/>
      <c r="H46490" s="612"/>
    </row>
    <row r="46491">
      <c r="B46491" s="612"/>
      <c r="H46491" s="612"/>
    </row>
    <row r="46492">
      <c r="B46492" s="612"/>
      <c r="H46492" s="612"/>
    </row>
    <row r="46493">
      <c r="B46493" s="612"/>
      <c r="H46493" s="612"/>
    </row>
    <row r="46494">
      <c r="B46494" s="612"/>
      <c r="H46494" s="612"/>
    </row>
    <row r="46495">
      <c r="B46495" s="612"/>
      <c r="H46495" s="612"/>
    </row>
    <row r="46496">
      <c r="B46496" s="612"/>
      <c r="H46496" s="612"/>
    </row>
    <row r="46497">
      <c r="B46497" s="612"/>
      <c r="H46497" s="612"/>
    </row>
    <row r="46498">
      <c r="B46498" s="612"/>
      <c r="H46498" s="612"/>
    </row>
    <row r="46499">
      <c r="B46499" s="612"/>
      <c r="H46499" s="612"/>
    </row>
    <row r="46500">
      <c r="B46500" s="612"/>
      <c r="H46500" s="612"/>
    </row>
    <row r="46501">
      <c r="B46501" s="612"/>
      <c r="H46501" s="612"/>
    </row>
    <row r="46502">
      <c r="B46502" s="612"/>
      <c r="H46502" s="612"/>
    </row>
    <row r="46503">
      <c r="B46503" s="612"/>
      <c r="H46503" s="612"/>
    </row>
    <row r="46504">
      <c r="B46504" s="612"/>
      <c r="H46504" s="612"/>
    </row>
    <row r="46505">
      <c r="B46505" s="612"/>
      <c r="H46505" s="612"/>
    </row>
    <row r="46506">
      <c r="B46506" s="612"/>
      <c r="H46506" s="612"/>
    </row>
    <row r="46507">
      <c r="B46507" s="612"/>
      <c r="H46507" s="612"/>
    </row>
    <row r="46508">
      <c r="B46508" s="612"/>
      <c r="H46508" s="612"/>
    </row>
    <row r="46509">
      <c r="B46509" s="612"/>
      <c r="H46509" s="612"/>
    </row>
    <row r="46510">
      <c r="B46510" s="612"/>
      <c r="H46510" s="612"/>
    </row>
    <row r="46511">
      <c r="B46511" s="612"/>
      <c r="H46511" s="612"/>
    </row>
    <row r="46512">
      <c r="B46512" s="612"/>
      <c r="H46512" s="612"/>
    </row>
    <row r="46513">
      <c r="B46513" s="612"/>
      <c r="H46513" s="612"/>
    </row>
    <row r="46514">
      <c r="B46514" s="612"/>
      <c r="H46514" s="612"/>
    </row>
    <row r="46515">
      <c r="B46515" s="612"/>
      <c r="H46515" s="612"/>
    </row>
    <row r="46516">
      <c r="B46516" s="612"/>
      <c r="H46516" s="612"/>
    </row>
    <row r="46517">
      <c r="B46517" s="612"/>
      <c r="H46517" s="612"/>
    </row>
    <row r="46518">
      <c r="B46518" s="612"/>
      <c r="H46518" s="612"/>
    </row>
    <row r="46519">
      <c r="B46519" s="612"/>
      <c r="H46519" s="612"/>
    </row>
    <row r="46520">
      <c r="B46520" s="612"/>
      <c r="H46520" s="612"/>
    </row>
    <row r="46521">
      <c r="B46521" s="612"/>
      <c r="H46521" s="612"/>
    </row>
    <row r="46522">
      <c r="B46522" s="612"/>
      <c r="H46522" s="612"/>
    </row>
    <row r="46523">
      <c r="B46523" s="612"/>
      <c r="H46523" s="612"/>
    </row>
    <row r="46524">
      <c r="B46524" s="612"/>
      <c r="H46524" s="612"/>
    </row>
    <row r="46525">
      <c r="B46525" s="612"/>
      <c r="H46525" s="612"/>
    </row>
    <row r="46526">
      <c r="B46526" s="612"/>
      <c r="H46526" s="612"/>
    </row>
    <row r="46527">
      <c r="B46527" s="612"/>
      <c r="H46527" s="612"/>
    </row>
    <row r="46528">
      <c r="B46528" s="612"/>
      <c r="H46528" s="612"/>
    </row>
    <row r="46529">
      <c r="B46529" s="612"/>
      <c r="H46529" s="612"/>
    </row>
    <row r="46530">
      <c r="B46530" s="612"/>
      <c r="H46530" s="612"/>
    </row>
    <row r="46531">
      <c r="B46531" s="612"/>
      <c r="H46531" s="612"/>
    </row>
    <row r="46532">
      <c r="B46532" s="612"/>
      <c r="H46532" s="612"/>
    </row>
    <row r="46533">
      <c r="B46533" s="612"/>
      <c r="H46533" s="612"/>
    </row>
    <row r="46534">
      <c r="B46534" s="612"/>
      <c r="H46534" s="612"/>
    </row>
    <row r="46535">
      <c r="B46535" s="612"/>
      <c r="H46535" s="612"/>
    </row>
    <row r="46536">
      <c r="B46536" s="612"/>
      <c r="H46536" s="612"/>
    </row>
    <row r="46537">
      <c r="B46537" s="612"/>
      <c r="H46537" s="612"/>
    </row>
    <row r="46538">
      <c r="B46538" s="612"/>
      <c r="H46538" s="612"/>
    </row>
    <row r="46539">
      <c r="B46539" s="612"/>
      <c r="H46539" s="612"/>
    </row>
    <row r="46540">
      <c r="B46540" s="612"/>
      <c r="H46540" s="612"/>
    </row>
    <row r="46541">
      <c r="B46541" s="612"/>
      <c r="H46541" s="612"/>
    </row>
    <row r="46542">
      <c r="B46542" s="612"/>
      <c r="H46542" s="612"/>
    </row>
    <row r="46543">
      <c r="B46543" s="612"/>
      <c r="H46543" s="612"/>
    </row>
    <row r="46544">
      <c r="B46544" s="612"/>
      <c r="H46544" s="612"/>
    </row>
    <row r="46545">
      <c r="B46545" s="612"/>
      <c r="H46545" s="612"/>
    </row>
    <row r="46546">
      <c r="B46546" s="612"/>
      <c r="H46546" s="612"/>
    </row>
    <row r="46547">
      <c r="B46547" s="612"/>
      <c r="H46547" s="612"/>
    </row>
    <row r="46548">
      <c r="B46548" s="612"/>
      <c r="H46548" s="612"/>
    </row>
    <row r="46549">
      <c r="B46549" s="612"/>
      <c r="H46549" s="612"/>
    </row>
    <row r="46550">
      <c r="B46550" s="612"/>
      <c r="H46550" s="612"/>
    </row>
    <row r="46551">
      <c r="B46551" s="612"/>
      <c r="H46551" s="612"/>
    </row>
    <row r="46552">
      <c r="B46552" s="612"/>
      <c r="H46552" s="612"/>
    </row>
    <row r="46553">
      <c r="B46553" s="612"/>
      <c r="H46553" s="612"/>
    </row>
    <row r="46554">
      <c r="B46554" s="612"/>
      <c r="H46554" s="612"/>
    </row>
    <row r="46555">
      <c r="B46555" s="612"/>
      <c r="H46555" s="612"/>
    </row>
    <row r="46556">
      <c r="B46556" s="612"/>
      <c r="H46556" s="612"/>
    </row>
    <row r="46557">
      <c r="B46557" s="612"/>
      <c r="H46557" s="612"/>
    </row>
    <row r="46558">
      <c r="B46558" s="612"/>
      <c r="H46558" s="612"/>
    </row>
    <row r="46559">
      <c r="B46559" s="612"/>
      <c r="H46559" s="612"/>
    </row>
    <row r="46560">
      <c r="B46560" s="612"/>
      <c r="H46560" s="612"/>
    </row>
    <row r="46561">
      <c r="B46561" s="612"/>
      <c r="H46561" s="612"/>
    </row>
    <row r="46562">
      <c r="B46562" s="612"/>
      <c r="H46562" s="612"/>
    </row>
    <row r="46563">
      <c r="B46563" s="612"/>
      <c r="H46563" s="612"/>
    </row>
    <row r="46564">
      <c r="B46564" s="612"/>
      <c r="H46564" s="612"/>
    </row>
    <row r="46565">
      <c r="B46565" s="612"/>
      <c r="H46565" s="612"/>
    </row>
    <row r="46566">
      <c r="B46566" s="612"/>
      <c r="H46566" s="612"/>
    </row>
    <row r="46567">
      <c r="B46567" s="612"/>
      <c r="H46567" s="612"/>
    </row>
    <row r="46568">
      <c r="B46568" s="612"/>
      <c r="H46568" s="612"/>
    </row>
    <row r="46569">
      <c r="B46569" s="612"/>
      <c r="H46569" s="612"/>
    </row>
    <row r="46570">
      <c r="B46570" s="612"/>
      <c r="H46570" s="612"/>
    </row>
    <row r="46571">
      <c r="B46571" s="612"/>
      <c r="H46571" s="612"/>
    </row>
    <row r="46572">
      <c r="B46572" s="612"/>
      <c r="H46572" s="612"/>
    </row>
    <row r="46573">
      <c r="B46573" s="612"/>
      <c r="H46573" s="612"/>
    </row>
    <row r="46574">
      <c r="B46574" s="612"/>
      <c r="H46574" s="612"/>
    </row>
    <row r="46575">
      <c r="B46575" s="612"/>
      <c r="H46575" s="612"/>
    </row>
    <row r="46576">
      <c r="B46576" s="612"/>
      <c r="H46576" s="612"/>
    </row>
    <row r="46577">
      <c r="B46577" s="612"/>
      <c r="H46577" s="612"/>
    </row>
    <row r="46578">
      <c r="B46578" s="612"/>
      <c r="H46578" s="612"/>
    </row>
    <row r="46579">
      <c r="B46579" s="612"/>
      <c r="H46579" s="612"/>
    </row>
    <row r="46580">
      <c r="B46580" s="612"/>
      <c r="H46580" s="612"/>
    </row>
    <row r="46581">
      <c r="B46581" s="612"/>
      <c r="H46581" s="612"/>
    </row>
    <row r="46582">
      <c r="B46582" s="612"/>
      <c r="H46582" s="612"/>
    </row>
    <row r="46583">
      <c r="B46583" s="612"/>
      <c r="H46583" s="612"/>
    </row>
    <row r="46584">
      <c r="B46584" s="612"/>
      <c r="H46584" s="612"/>
    </row>
    <row r="46585">
      <c r="B46585" s="612"/>
      <c r="H46585" s="612"/>
    </row>
    <row r="46586">
      <c r="B46586" s="612"/>
      <c r="H46586" s="612"/>
    </row>
    <row r="46587">
      <c r="B46587" s="612"/>
      <c r="H46587" s="612"/>
    </row>
    <row r="46588">
      <c r="B46588" s="612"/>
      <c r="H46588" s="612"/>
    </row>
    <row r="46589">
      <c r="B46589" s="612"/>
      <c r="H46589" s="612"/>
    </row>
    <row r="46590">
      <c r="B46590" s="612"/>
      <c r="H46590" s="612"/>
    </row>
    <row r="46591">
      <c r="B46591" s="612"/>
      <c r="H46591" s="612"/>
    </row>
    <row r="46592">
      <c r="B46592" s="612"/>
      <c r="H46592" s="612"/>
    </row>
    <row r="46593">
      <c r="B46593" s="612"/>
      <c r="H46593" s="612"/>
    </row>
    <row r="46594">
      <c r="B46594" s="612"/>
      <c r="H46594" s="612"/>
    </row>
    <row r="46595">
      <c r="B46595" s="612"/>
      <c r="H46595" s="612"/>
    </row>
    <row r="46596">
      <c r="B46596" s="612"/>
      <c r="H46596" s="612"/>
    </row>
    <row r="46597">
      <c r="B46597" s="612"/>
      <c r="H46597" s="612"/>
    </row>
    <row r="46598">
      <c r="B46598" s="612"/>
      <c r="H46598" s="612"/>
    </row>
    <row r="46599">
      <c r="B46599" s="612"/>
      <c r="H46599" s="612"/>
    </row>
    <row r="46600">
      <c r="B46600" s="612"/>
      <c r="H46600" s="612"/>
    </row>
    <row r="46601">
      <c r="B46601" s="612"/>
      <c r="H46601" s="612"/>
    </row>
    <row r="46602">
      <c r="B46602" s="612"/>
      <c r="H46602" s="612"/>
    </row>
    <row r="46603">
      <c r="B46603" s="612"/>
      <c r="H46603" s="612"/>
    </row>
    <row r="46604">
      <c r="B46604" s="612"/>
      <c r="H46604" s="612"/>
    </row>
    <row r="46605">
      <c r="B46605" s="612"/>
      <c r="H46605" s="612"/>
    </row>
    <row r="46606">
      <c r="B46606" s="612"/>
      <c r="H46606" s="612"/>
    </row>
    <row r="46607">
      <c r="B46607" s="612"/>
      <c r="H46607" s="612"/>
    </row>
    <row r="46608">
      <c r="B46608" s="612"/>
      <c r="H46608" s="612"/>
    </row>
    <row r="46609">
      <c r="B46609" s="612"/>
      <c r="H46609" s="612"/>
    </row>
    <row r="46610">
      <c r="B46610" s="612"/>
      <c r="H46610" s="612"/>
    </row>
    <row r="46611">
      <c r="B46611" s="612"/>
      <c r="H46611" s="612"/>
    </row>
    <row r="46612">
      <c r="B46612" s="612"/>
      <c r="H46612" s="612"/>
    </row>
    <row r="46613">
      <c r="B46613" s="612"/>
      <c r="H46613" s="612"/>
    </row>
    <row r="46614">
      <c r="B46614" s="612"/>
      <c r="H46614" s="612"/>
    </row>
    <row r="46615">
      <c r="B46615" s="612"/>
      <c r="H46615" s="612"/>
    </row>
    <row r="46616">
      <c r="B46616" s="612"/>
      <c r="H46616" s="612"/>
    </row>
    <row r="46617">
      <c r="B46617" s="612"/>
      <c r="H46617" s="612"/>
    </row>
    <row r="46618">
      <c r="B46618" s="612"/>
      <c r="H46618" s="612"/>
    </row>
    <row r="46619">
      <c r="B46619" s="612"/>
      <c r="H46619" s="612"/>
    </row>
    <row r="46620">
      <c r="B46620" s="612"/>
      <c r="H46620" s="612"/>
    </row>
    <row r="46621">
      <c r="B46621" s="612"/>
      <c r="H46621" s="612"/>
    </row>
    <row r="46622">
      <c r="B46622" s="612"/>
      <c r="H46622" s="612"/>
    </row>
    <row r="46623">
      <c r="B46623" s="612"/>
      <c r="H46623" s="612"/>
    </row>
    <row r="46624">
      <c r="B46624" s="612"/>
      <c r="H46624" s="612"/>
    </row>
    <row r="46625">
      <c r="B46625" s="612"/>
      <c r="H46625" s="612"/>
    </row>
    <row r="46626">
      <c r="B46626" s="612"/>
      <c r="H46626" s="612"/>
    </row>
    <row r="46627">
      <c r="B46627" s="612"/>
      <c r="H46627" s="612"/>
    </row>
    <row r="46628">
      <c r="B46628" s="612"/>
      <c r="H46628" s="612"/>
    </row>
    <row r="46629">
      <c r="B46629" s="612"/>
      <c r="H46629" s="612"/>
    </row>
    <row r="46630">
      <c r="B46630" s="612"/>
      <c r="H46630" s="612"/>
    </row>
    <row r="46631">
      <c r="B46631" s="612"/>
      <c r="H46631" s="612"/>
    </row>
    <row r="46632">
      <c r="B46632" s="612"/>
      <c r="H46632" s="612"/>
    </row>
    <row r="46633">
      <c r="B46633" s="612"/>
      <c r="H46633" s="612"/>
    </row>
    <row r="46634">
      <c r="B46634" s="612"/>
      <c r="H46634" s="612"/>
    </row>
    <row r="46635">
      <c r="B46635" s="612"/>
      <c r="H46635" s="612"/>
    </row>
    <row r="46636">
      <c r="B46636" s="612"/>
      <c r="H46636" s="612"/>
    </row>
    <row r="46637">
      <c r="B46637" s="612"/>
      <c r="H46637" s="612"/>
    </row>
    <row r="46638">
      <c r="B46638" s="612"/>
      <c r="H46638" s="612"/>
    </row>
    <row r="46639">
      <c r="B46639" s="612"/>
      <c r="H46639" s="612"/>
    </row>
    <row r="46640">
      <c r="B46640" s="612"/>
      <c r="H46640" s="612"/>
    </row>
    <row r="46641">
      <c r="B46641" s="612"/>
      <c r="H46641" s="612"/>
    </row>
    <row r="46642">
      <c r="B46642" s="612"/>
      <c r="H46642" s="612"/>
    </row>
    <row r="46643">
      <c r="B46643" s="612"/>
      <c r="H46643" s="612"/>
    </row>
    <row r="46644">
      <c r="B46644" s="612"/>
      <c r="H46644" s="612"/>
    </row>
    <row r="46645">
      <c r="B46645" s="612"/>
      <c r="H46645" s="612"/>
    </row>
    <row r="46646">
      <c r="B46646" s="612"/>
      <c r="H46646" s="612"/>
    </row>
    <row r="46647">
      <c r="B46647" s="612"/>
      <c r="H46647" s="612"/>
    </row>
    <row r="46648">
      <c r="B46648" s="612"/>
      <c r="H46648" s="612"/>
    </row>
    <row r="46649">
      <c r="B46649" s="612"/>
      <c r="H46649" s="612"/>
    </row>
    <row r="46650">
      <c r="B46650" s="612"/>
      <c r="H46650" s="612"/>
    </row>
    <row r="46651">
      <c r="B46651" s="612"/>
      <c r="H46651" s="612"/>
    </row>
    <row r="46652">
      <c r="B46652" s="612"/>
      <c r="H46652" s="612"/>
    </row>
    <row r="46653">
      <c r="B46653" s="612"/>
      <c r="H46653" s="612"/>
    </row>
    <row r="46654">
      <c r="B46654" s="612"/>
      <c r="H46654" s="612"/>
    </row>
    <row r="46655">
      <c r="B46655" s="612"/>
      <c r="H46655" s="612"/>
    </row>
    <row r="46656">
      <c r="B46656" s="612"/>
      <c r="H46656" s="612"/>
    </row>
    <row r="46657">
      <c r="B46657" s="612"/>
      <c r="H46657" s="612"/>
    </row>
    <row r="46658">
      <c r="B46658" s="612"/>
      <c r="H46658" s="612"/>
    </row>
    <row r="46659">
      <c r="B46659" s="612"/>
      <c r="H46659" s="612"/>
    </row>
    <row r="46660">
      <c r="B46660" s="612"/>
      <c r="H46660" s="612"/>
    </row>
    <row r="46661">
      <c r="B46661" s="612"/>
      <c r="H46661" s="612"/>
    </row>
    <row r="46662">
      <c r="B46662" s="612"/>
      <c r="H46662" s="612"/>
    </row>
    <row r="46663">
      <c r="B46663" s="612"/>
      <c r="H46663" s="612"/>
    </row>
    <row r="46664">
      <c r="B46664" s="612"/>
      <c r="H46664" s="612"/>
    </row>
    <row r="46665">
      <c r="B46665" s="612"/>
      <c r="H46665" s="612"/>
    </row>
    <row r="46666">
      <c r="B46666" s="612"/>
      <c r="H46666" s="612"/>
    </row>
    <row r="46667">
      <c r="B46667" s="612"/>
      <c r="H46667" s="612"/>
    </row>
    <row r="46668">
      <c r="B46668" s="612"/>
      <c r="H46668" s="612"/>
    </row>
    <row r="46669">
      <c r="B46669" s="612"/>
      <c r="H46669" s="612"/>
    </row>
    <row r="46670">
      <c r="B46670" s="612"/>
      <c r="H46670" s="612"/>
    </row>
    <row r="46671">
      <c r="B46671" s="612"/>
      <c r="H46671" s="612"/>
    </row>
    <row r="46672">
      <c r="B46672" s="612"/>
      <c r="H46672" s="612"/>
    </row>
    <row r="46673">
      <c r="B46673" s="612"/>
      <c r="H46673" s="612"/>
    </row>
    <row r="46674">
      <c r="B46674" s="612"/>
      <c r="H46674" s="612"/>
    </row>
    <row r="46675">
      <c r="B46675" s="612"/>
      <c r="H46675" s="612"/>
    </row>
    <row r="46676">
      <c r="B46676" s="612"/>
      <c r="H46676" s="612"/>
    </row>
    <row r="46677">
      <c r="B46677" s="612"/>
      <c r="H46677" s="612"/>
    </row>
    <row r="46678">
      <c r="B46678" s="612"/>
      <c r="H46678" s="612"/>
    </row>
    <row r="46679">
      <c r="B46679" s="612"/>
      <c r="H46679" s="612"/>
    </row>
    <row r="46680">
      <c r="B46680" s="612"/>
      <c r="H46680" s="612"/>
    </row>
    <row r="46681">
      <c r="B46681" s="612"/>
      <c r="H46681" s="612"/>
    </row>
    <row r="46682">
      <c r="B46682" s="612"/>
      <c r="H46682" s="612"/>
    </row>
    <row r="46683">
      <c r="B46683" s="612"/>
      <c r="H46683" s="612"/>
    </row>
    <row r="46684">
      <c r="B46684" s="612"/>
      <c r="H46684" s="612"/>
    </row>
    <row r="46685">
      <c r="B46685" s="612"/>
      <c r="H46685" s="612"/>
    </row>
    <row r="46686">
      <c r="B46686" s="612"/>
      <c r="H46686" s="612"/>
    </row>
    <row r="46687">
      <c r="B46687" s="612"/>
      <c r="H46687" s="612"/>
    </row>
    <row r="46688">
      <c r="B46688" s="612"/>
      <c r="H46688" s="612"/>
    </row>
    <row r="46689">
      <c r="B46689" s="612"/>
      <c r="H46689" s="612"/>
    </row>
    <row r="46690">
      <c r="B46690" s="612"/>
      <c r="H46690" s="612"/>
    </row>
    <row r="46691">
      <c r="B46691" s="612"/>
      <c r="H46691" s="612"/>
    </row>
    <row r="46692">
      <c r="B46692" s="612"/>
      <c r="H46692" s="612"/>
    </row>
    <row r="46693">
      <c r="B46693" s="612"/>
      <c r="H46693" s="612"/>
    </row>
    <row r="46694">
      <c r="B46694" s="612"/>
      <c r="H46694" s="612"/>
    </row>
    <row r="46695">
      <c r="B46695" s="612"/>
      <c r="H46695" s="612"/>
    </row>
    <row r="46696">
      <c r="B46696" s="612"/>
      <c r="H46696" s="612"/>
    </row>
    <row r="46697">
      <c r="B46697" s="612"/>
      <c r="H46697" s="612"/>
    </row>
    <row r="46698">
      <c r="B46698" s="612"/>
      <c r="H46698" s="612"/>
    </row>
    <row r="46699">
      <c r="B46699" s="612"/>
      <c r="H46699" s="612"/>
    </row>
    <row r="46700">
      <c r="B46700" s="612"/>
      <c r="H46700" s="612"/>
    </row>
    <row r="46701">
      <c r="B46701" s="612"/>
      <c r="H46701" s="612"/>
    </row>
    <row r="46702">
      <c r="B46702" s="612"/>
      <c r="H46702" s="612"/>
    </row>
    <row r="46703">
      <c r="B46703" s="612"/>
      <c r="H46703" s="612"/>
    </row>
    <row r="46704">
      <c r="B46704" s="612"/>
      <c r="H46704" s="612"/>
    </row>
    <row r="46705">
      <c r="B46705" s="612"/>
      <c r="H46705" s="612"/>
    </row>
    <row r="46706">
      <c r="B46706" s="612"/>
      <c r="H46706" s="612"/>
    </row>
    <row r="46707">
      <c r="B46707" s="612"/>
      <c r="H46707" s="612"/>
    </row>
    <row r="46708">
      <c r="B46708" s="612"/>
      <c r="H46708" s="612"/>
    </row>
    <row r="46709">
      <c r="B46709" s="612"/>
      <c r="H46709" s="612"/>
    </row>
    <row r="46710">
      <c r="B46710" s="612"/>
      <c r="H46710" s="612"/>
    </row>
    <row r="46711">
      <c r="B46711" s="612"/>
      <c r="H46711" s="612"/>
    </row>
    <row r="46712">
      <c r="B46712" s="612"/>
      <c r="H46712" s="612"/>
    </row>
    <row r="46713">
      <c r="B46713" s="612"/>
      <c r="H46713" s="612"/>
    </row>
    <row r="46714">
      <c r="B46714" s="612"/>
      <c r="H46714" s="612"/>
    </row>
    <row r="46715">
      <c r="B46715" s="612"/>
      <c r="H46715" s="612"/>
    </row>
    <row r="46716">
      <c r="B46716" s="612"/>
      <c r="H46716" s="612"/>
    </row>
    <row r="46717">
      <c r="B46717" s="612"/>
      <c r="H46717" s="612"/>
    </row>
    <row r="46718">
      <c r="B46718" s="612"/>
      <c r="H46718" s="612"/>
    </row>
    <row r="46719">
      <c r="B46719" s="612"/>
      <c r="H46719" s="612"/>
    </row>
    <row r="46720">
      <c r="B46720" s="612"/>
      <c r="H46720" s="612"/>
    </row>
    <row r="46721">
      <c r="B46721" s="612"/>
      <c r="H46721" s="612"/>
    </row>
    <row r="46722">
      <c r="B46722" s="612"/>
      <c r="H46722" s="612"/>
    </row>
    <row r="46723">
      <c r="B46723" s="612"/>
      <c r="H46723" s="612"/>
    </row>
    <row r="46724">
      <c r="B46724" s="612"/>
      <c r="H46724" s="612"/>
    </row>
    <row r="46725">
      <c r="B46725" s="612"/>
      <c r="H46725" s="612"/>
    </row>
    <row r="46726">
      <c r="B46726" s="612"/>
      <c r="H46726" s="612"/>
    </row>
    <row r="46727">
      <c r="B46727" s="612"/>
      <c r="H46727" s="612"/>
    </row>
    <row r="46728">
      <c r="B46728" s="612"/>
      <c r="H46728" s="612"/>
    </row>
    <row r="46729">
      <c r="B46729" s="612"/>
      <c r="H46729" s="612"/>
    </row>
    <row r="46730">
      <c r="B46730" s="612"/>
      <c r="H46730" s="612"/>
    </row>
    <row r="46731">
      <c r="B46731" s="612"/>
      <c r="H46731" s="612"/>
    </row>
    <row r="46732">
      <c r="B46732" s="612"/>
      <c r="H46732" s="612"/>
    </row>
    <row r="46733">
      <c r="B46733" s="612"/>
      <c r="H46733" s="612"/>
    </row>
    <row r="46734">
      <c r="B46734" s="612"/>
      <c r="H46734" s="612"/>
    </row>
    <row r="46735">
      <c r="B46735" s="612"/>
      <c r="H46735" s="612"/>
    </row>
    <row r="46736">
      <c r="B46736" s="612"/>
      <c r="H46736" s="612"/>
    </row>
    <row r="46737">
      <c r="B46737" s="612"/>
      <c r="H46737" s="612"/>
    </row>
    <row r="46738">
      <c r="B46738" s="612"/>
      <c r="H46738" s="612"/>
    </row>
    <row r="46739">
      <c r="B46739" s="612"/>
      <c r="H46739" s="612"/>
    </row>
    <row r="46740">
      <c r="B46740" s="612"/>
      <c r="H46740" s="612"/>
    </row>
    <row r="46741">
      <c r="B46741" s="612"/>
      <c r="H46741" s="612"/>
    </row>
    <row r="46742">
      <c r="B46742" s="612"/>
      <c r="H46742" s="612"/>
    </row>
    <row r="46743">
      <c r="B46743" s="612"/>
      <c r="H46743" s="612"/>
    </row>
    <row r="46744">
      <c r="B46744" s="612"/>
      <c r="H46744" s="612"/>
    </row>
    <row r="46745">
      <c r="B46745" s="612"/>
      <c r="H46745" s="612"/>
    </row>
    <row r="46746">
      <c r="B46746" s="612"/>
      <c r="H46746" s="612"/>
    </row>
    <row r="46747">
      <c r="B46747" s="612"/>
      <c r="H46747" s="612"/>
    </row>
    <row r="46748">
      <c r="B46748" s="612"/>
      <c r="H46748" s="612"/>
    </row>
    <row r="46749">
      <c r="B46749" s="612"/>
      <c r="H46749" s="612"/>
    </row>
    <row r="46750">
      <c r="B46750" s="612"/>
      <c r="H46750" s="612"/>
    </row>
    <row r="46751">
      <c r="B46751" s="612"/>
      <c r="H46751" s="612"/>
    </row>
    <row r="46752">
      <c r="B46752" s="612"/>
      <c r="H46752" s="612"/>
    </row>
    <row r="46753">
      <c r="B46753" s="612"/>
      <c r="H46753" s="612"/>
    </row>
    <row r="46754">
      <c r="B46754" s="612"/>
      <c r="H46754" s="612"/>
    </row>
    <row r="46755">
      <c r="B46755" s="612"/>
      <c r="H46755" s="612"/>
    </row>
    <row r="46756">
      <c r="B46756" s="612"/>
      <c r="H46756" s="612"/>
    </row>
    <row r="46757">
      <c r="B46757" s="612"/>
      <c r="H46757" s="612"/>
    </row>
    <row r="46758">
      <c r="B46758" s="612"/>
      <c r="H46758" s="612"/>
    </row>
    <row r="46759">
      <c r="B46759" s="612"/>
      <c r="H46759" s="612"/>
    </row>
    <row r="46760">
      <c r="B46760" s="612"/>
      <c r="H46760" s="612"/>
    </row>
    <row r="46761">
      <c r="B46761" s="612"/>
      <c r="H46761" s="612"/>
    </row>
    <row r="46762">
      <c r="B46762" s="612"/>
      <c r="H46762" s="612"/>
    </row>
    <row r="46763">
      <c r="B46763" s="612"/>
      <c r="H46763" s="612"/>
    </row>
    <row r="46764">
      <c r="B46764" s="612"/>
      <c r="H46764" s="612"/>
    </row>
    <row r="46765">
      <c r="B46765" s="612"/>
      <c r="H46765" s="612"/>
    </row>
    <row r="46766">
      <c r="B46766" s="612"/>
      <c r="H46766" s="612"/>
    </row>
    <row r="46767">
      <c r="B46767" s="612"/>
      <c r="H46767" s="612"/>
    </row>
    <row r="46768">
      <c r="B46768" s="612"/>
      <c r="H46768" s="612"/>
    </row>
    <row r="46769">
      <c r="B46769" s="612"/>
      <c r="H46769" s="612"/>
    </row>
    <row r="46770">
      <c r="B46770" s="612"/>
      <c r="H46770" s="612"/>
    </row>
    <row r="46771">
      <c r="B46771" s="612"/>
      <c r="H46771" s="612"/>
    </row>
    <row r="46772">
      <c r="B46772" s="612"/>
      <c r="H46772" s="612"/>
    </row>
    <row r="46773">
      <c r="B46773" s="612"/>
      <c r="H46773" s="612"/>
    </row>
    <row r="46774">
      <c r="B46774" s="612"/>
      <c r="H46774" s="612"/>
    </row>
    <row r="46775">
      <c r="B46775" s="612"/>
      <c r="H46775" s="612"/>
    </row>
    <row r="46776">
      <c r="B46776" s="612"/>
      <c r="H46776" s="612"/>
    </row>
    <row r="46777">
      <c r="B46777" s="612"/>
      <c r="H46777" s="612"/>
    </row>
    <row r="46778">
      <c r="B46778" s="612"/>
      <c r="H46778" s="612"/>
    </row>
    <row r="46779">
      <c r="B46779" s="612"/>
      <c r="H46779" s="612"/>
    </row>
    <row r="46780">
      <c r="B46780" s="612"/>
      <c r="H46780" s="612"/>
    </row>
    <row r="46781">
      <c r="B46781" s="612"/>
      <c r="H46781" s="612"/>
    </row>
    <row r="46782">
      <c r="B46782" s="612"/>
      <c r="H46782" s="612"/>
    </row>
    <row r="46783">
      <c r="B46783" s="612"/>
      <c r="H46783" s="612"/>
    </row>
    <row r="46784">
      <c r="B46784" s="612"/>
      <c r="H46784" s="612"/>
    </row>
    <row r="46785">
      <c r="B46785" s="612"/>
      <c r="H46785" s="612"/>
    </row>
    <row r="46786">
      <c r="B46786" s="612"/>
      <c r="H46786" s="612"/>
    </row>
    <row r="46787">
      <c r="B46787" s="612"/>
      <c r="H46787" s="612"/>
    </row>
    <row r="46788">
      <c r="B46788" s="612"/>
      <c r="H46788" s="612"/>
    </row>
    <row r="46789">
      <c r="B46789" s="612"/>
      <c r="H46789" s="612"/>
    </row>
    <row r="46790">
      <c r="B46790" s="612"/>
      <c r="H46790" s="612"/>
    </row>
    <row r="46791">
      <c r="B46791" s="612"/>
      <c r="H46791" s="612"/>
    </row>
    <row r="46792">
      <c r="B46792" s="612"/>
      <c r="H46792" s="612"/>
    </row>
    <row r="46793">
      <c r="B46793" s="612"/>
      <c r="H46793" s="612"/>
    </row>
    <row r="46794">
      <c r="B46794" s="612"/>
      <c r="H46794" s="612"/>
    </row>
    <row r="46795">
      <c r="B46795" s="612"/>
      <c r="H46795" s="612"/>
    </row>
    <row r="46796">
      <c r="B46796" s="612"/>
      <c r="H46796" s="612"/>
    </row>
    <row r="46797">
      <c r="B46797" s="612"/>
      <c r="H46797" s="612"/>
    </row>
    <row r="46798">
      <c r="B46798" s="612"/>
      <c r="H46798" s="612"/>
    </row>
    <row r="46799">
      <c r="B46799" s="612"/>
      <c r="H46799" s="612"/>
    </row>
    <row r="46800">
      <c r="B46800" s="612"/>
      <c r="H46800" s="612"/>
    </row>
    <row r="46801">
      <c r="B46801" s="612"/>
      <c r="H46801" s="612"/>
    </row>
    <row r="46802">
      <c r="B46802" s="612"/>
      <c r="H46802" s="612"/>
    </row>
    <row r="46803">
      <c r="B46803" s="612"/>
      <c r="H46803" s="612"/>
    </row>
    <row r="46804">
      <c r="B46804" s="612"/>
      <c r="H46804" s="612"/>
    </row>
    <row r="46805">
      <c r="B46805" s="612"/>
      <c r="H46805" s="612"/>
    </row>
    <row r="46806">
      <c r="B46806" s="612"/>
      <c r="H46806" s="612"/>
    </row>
    <row r="46807">
      <c r="B46807" s="612"/>
      <c r="H46807" s="612"/>
    </row>
    <row r="46808">
      <c r="B46808" s="612"/>
      <c r="H46808" s="612"/>
    </row>
    <row r="46809">
      <c r="B46809" s="612"/>
      <c r="H46809" s="612"/>
    </row>
    <row r="46810">
      <c r="B46810" s="612"/>
      <c r="H46810" s="612"/>
    </row>
    <row r="46811">
      <c r="B46811" s="612"/>
      <c r="H46811" s="612"/>
    </row>
    <row r="46812">
      <c r="B46812" s="612"/>
      <c r="H46812" s="612"/>
    </row>
    <row r="46813">
      <c r="B46813" s="612"/>
      <c r="H46813" s="612"/>
    </row>
    <row r="46814">
      <c r="B46814" s="612"/>
      <c r="H46814" s="612"/>
    </row>
    <row r="46815">
      <c r="B46815" s="612"/>
      <c r="H46815" s="612"/>
    </row>
    <row r="46816">
      <c r="B46816" s="612"/>
      <c r="H46816" s="612"/>
    </row>
    <row r="46817">
      <c r="B46817" s="612"/>
      <c r="H46817" s="612"/>
    </row>
    <row r="46818">
      <c r="B46818" s="612"/>
      <c r="H46818" s="612"/>
    </row>
    <row r="46819">
      <c r="B46819" s="612"/>
      <c r="H46819" s="612"/>
    </row>
    <row r="46820">
      <c r="B46820" s="612"/>
      <c r="H46820" s="612"/>
    </row>
    <row r="46821">
      <c r="B46821" s="612"/>
      <c r="H46821" s="612"/>
    </row>
    <row r="46822">
      <c r="B46822" s="612"/>
      <c r="H46822" s="612"/>
    </row>
    <row r="46823">
      <c r="B46823" s="612"/>
      <c r="H46823" s="612"/>
    </row>
    <row r="46824">
      <c r="B46824" s="612"/>
      <c r="H46824" s="612"/>
    </row>
    <row r="46825">
      <c r="B46825" s="612"/>
      <c r="H46825" s="612"/>
    </row>
    <row r="46826">
      <c r="B46826" s="612"/>
      <c r="H46826" s="612"/>
    </row>
    <row r="46827">
      <c r="B46827" s="612"/>
      <c r="H46827" s="612"/>
    </row>
    <row r="46828">
      <c r="B46828" s="612"/>
      <c r="H46828" s="612"/>
    </row>
    <row r="46829">
      <c r="B46829" s="612"/>
      <c r="H46829" s="612"/>
    </row>
    <row r="46830">
      <c r="B46830" s="612"/>
      <c r="H46830" s="612"/>
    </row>
    <row r="46831">
      <c r="B46831" s="612"/>
      <c r="H46831" s="612"/>
    </row>
    <row r="46832">
      <c r="B46832" s="612"/>
      <c r="H46832" s="612"/>
    </row>
    <row r="46833">
      <c r="B46833" s="612"/>
      <c r="H46833" s="612"/>
    </row>
    <row r="46834">
      <c r="B46834" s="612"/>
      <c r="H46834" s="612"/>
    </row>
    <row r="46835">
      <c r="B46835" s="612"/>
      <c r="H46835" s="612"/>
    </row>
    <row r="46836">
      <c r="B46836" s="612"/>
      <c r="H46836" s="612"/>
    </row>
    <row r="46837">
      <c r="B46837" s="612"/>
      <c r="H46837" s="612"/>
    </row>
    <row r="46838">
      <c r="B46838" s="612"/>
      <c r="H46838" s="612"/>
    </row>
    <row r="46839">
      <c r="B46839" s="612"/>
      <c r="H46839" s="612"/>
    </row>
    <row r="46840">
      <c r="B46840" s="612"/>
      <c r="H46840" s="612"/>
    </row>
    <row r="46841">
      <c r="B46841" s="612"/>
      <c r="H46841" s="612"/>
    </row>
    <row r="46842">
      <c r="B46842" s="612"/>
      <c r="H46842" s="612"/>
    </row>
    <row r="46843">
      <c r="B46843" s="612"/>
      <c r="H46843" s="612"/>
    </row>
    <row r="46844">
      <c r="B46844" s="612"/>
      <c r="H46844" s="612"/>
    </row>
    <row r="46845">
      <c r="B46845" s="612"/>
      <c r="H46845" s="612"/>
    </row>
    <row r="46846">
      <c r="B46846" s="612"/>
      <c r="H46846" s="612"/>
    </row>
    <row r="46847">
      <c r="B46847" s="612"/>
      <c r="H46847" s="612"/>
    </row>
    <row r="46848">
      <c r="B46848" s="612"/>
      <c r="H46848" s="612"/>
    </row>
    <row r="46849">
      <c r="B46849" s="612"/>
      <c r="H46849" s="612"/>
    </row>
    <row r="46850">
      <c r="B46850" s="612"/>
      <c r="H46850" s="612"/>
    </row>
    <row r="46851">
      <c r="B46851" s="612"/>
      <c r="H46851" s="612"/>
    </row>
    <row r="46852">
      <c r="B46852" s="612"/>
      <c r="H46852" s="612"/>
    </row>
    <row r="46853">
      <c r="B46853" s="612"/>
      <c r="H46853" s="612"/>
    </row>
    <row r="46854">
      <c r="B46854" s="612"/>
      <c r="H46854" s="612"/>
    </row>
    <row r="46855">
      <c r="B46855" s="612"/>
      <c r="H46855" s="612"/>
    </row>
    <row r="46856">
      <c r="B46856" s="612"/>
      <c r="H46856" s="612"/>
    </row>
    <row r="46857">
      <c r="B46857" s="612"/>
      <c r="H46857" s="612"/>
    </row>
    <row r="46858">
      <c r="B46858" s="612"/>
      <c r="H46858" s="612"/>
    </row>
    <row r="46859">
      <c r="B46859" s="612"/>
      <c r="H46859" s="612"/>
    </row>
    <row r="46860">
      <c r="B46860" s="612"/>
      <c r="H46860" s="612"/>
    </row>
    <row r="46861">
      <c r="B46861" s="612"/>
      <c r="H46861" s="612"/>
    </row>
    <row r="46862">
      <c r="B46862" s="612"/>
      <c r="H46862" s="612"/>
    </row>
    <row r="46863">
      <c r="B46863" s="612"/>
      <c r="H46863" s="612"/>
    </row>
    <row r="46864">
      <c r="B46864" s="612"/>
      <c r="H46864" s="612"/>
    </row>
    <row r="46865">
      <c r="B46865" s="612"/>
      <c r="H46865" s="612"/>
    </row>
    <row r="46866">
      <c r="B46866" s="612"/>
      <c r="H46866" s="612"/>
    </row>
    <row r="46867">
      <c r="B46867" s="612"/>
      <c r="H46867" s="612"/>
    </row>
    <row r="46868">
      <c r="B46868" s="612"/>
      <c r="H46868" s="612"/>
    </row>
    <row r="46869">
      <c r="B46869" s="612"/>
      <c r="H46869" s="612"/>
    </row>
    <row r="46870">
      <c r="B46870" s="612"/>
      <c r="H46870" s="612"/>
    </row>
    <row r="46871">
      <c r="B46871" s="612"/>
      <c r="H46871" s="612"/>
    </row>
    <row r="46872">
      <c r="B46872" s="612"/>
      <c r="H46872" s="612"/>
    </row>
    <row r="46873">
      <c r="B46873" s="612"/>
      <c r="H46873" s="612"/>
    </row>
    <row r="46874">
      <c r="B46874" s="612"/>
      <c r="H46874" s="612"/>
    </row>
    <row r="46875">
      <c r="B46875" s="612"/>
      <c r="H46875" s="612"/>
    </row>
    <row r="46876">
      <c r="B46876" s="612"/>
      <c r="H46876" s="612"/>
    </row>
    <row r="46877">
      <c r="B46877" s="612"/>
      <c r="H46877" s="612"/>
    </row>
    <row r="46878">
      <c r="B46878" s="612"/>
      <c r="H46878" s="612"/>
    </row>
    <row r="46879">
      <c r="B46879" s="612"/>
      <c r="H46879" s="612"/>
    </row>
    <row r="46880">
      <c r="B46880" s="612"/>
      <c r="H46880" s="612"/>
    </row>
    <row r="46881">
      <c r="B46881" s="612"/>
      <c r="H46881" s="612"/>
    </row>
    <row r="46882">
      <c r="B46882" s="612"/>
      <c r="H46882" s="612"/>
    </row>
    <row r="46883">
      <c r="B46883" s="612"/>
      <c r="H46883" s="612"/>
    </row>
    <row r="46884">
      <c r="B46884" s="612"/>
      <c r="H46884" s="612"/>
    </row>
    <row r="46885">
      <c r="B46885" s="612"/>
      <c r="H46885" s="612"/>
    </row>
    <row r="46886">
      <c r="B46886" s="612"/>
      <c r="H46886" s="612"/>
    </row>
    <row r="46887">
      <c r="B46887" s="612"/>
      <c r="H46887" s="612"/>
    </row>
    <row r="46888">
      <c r="B46888" s="612"/>
      <c r="H46888" s="612"/>
    </row>
    <row r="46889">
      <c r="B46889" s="612"/>
      <c r="H46889" s="612"/>
    </row>
    <row r="46890">
      <c r="B46890" s="612"/>
      <c r="H46890" s="612"/>
    </row>
    <row r="46891">
      <c r="B46891" s="612"/>
      <c r="H46891" s="612"/>
    </row>
    <row r="46892">
      <c r="B46892" s="612"/>
      <c r="H46892" s="612"/>
    </row>
    <row r="46893">
      <c r="B46893" s="612"/>
      <c r="H46893" s="612"/>
    </row>
    <row r="46894">
      <c r="B46894" s="612"/>
      <c r="H46894" s="612"/>
    </row>
    <row r="46895">
      <c r="B46895" s="612"/>
      <c r="H46895" s="612"/>
    </row>
    <row r="46896">
      <c r="B46896" s="612"/>
      <c r="H46896" s="612"/>
    </row>
    <row r="46897">
      <c r="B46897" s="612"/>
      <c r="H46897" s="612"/>
    </row>
    <row r="46898">
      <c r="B46898" s="612"/>
      <c r="H46898" s="612"/>
    </row>
    <row r="46899">
      <c r="B46899" s="612"/>
      <c r="H46899" s="612"/>
    </row>
    <row r="46900">
      <c r="B46900" s="612"/>
      <c r="H46900" s="612"/>
    </row>
    <row r="46901">
      <c r="B46901" s="612"/>
      <c r="H46901" s="612"/>
    </row>
    <row r="46902">
      <c r="B46902" s="612"/>
      <c r="H46902" s="612"/>
    </row>
    <row r="46903">
      <c r="B46903" s="612"/>
      <c r="H46903" s="612"/>
    </row>
    <row r="46904">
      <c r="B46904" s="612"/>
      <c r="H46904" s="612"/>
    </row>
    <row r="46905">
      <c r="B46905" s="612"/>
      <c r="H46905" s="612"/>
    </row>
    <row r="46906">
      <c r="B46906" s="612"/>
      <c r="H46906" s="612"/>
    </row>
    <row r="46907">
      <c r="B46907" s="612"/>
      <c r="H46907" s="612"/>
    </row>
    <row r="46908">
      <c r="B46908" s="612"/>
      <c r="H46908" s="612"/>
    </row>
    <row r="46909">
      <c r="B46909" s="612"/>
      <c r="H46909" s="612"/>
    </row>
    <row r="46910">
      <c r="B46910" s="612"/>
      <c r="H46910" s="612"/>
    </row>
    <row r="46911">
      <c r="B46911" s="612"/>
      <c r="H46911" s="612"/>
    </row>
    <row r="46912">
      <c r="B46912" s="612"/>
      <c r="H46912" s="612"/>
    </row>
    <row r="46913">
      <c r="B46913" s="612"/>
      <c r="H46913" s="612"/>
    </row>
    <row r="46914">
      <c r="B46914" s="612"/>
      <c r="H46914" s="612"/>
    </row>
    <row r="46915">
      <c r="B46915" s="612"/>
      <c r="H46915" s="612"/>
    </row>
    <row r="46916">
      <c r="B46916" s="612"/>
      <c r="H46916" s="612"/>
    </row>
    <row r="46917">
      <c r="B46917" s="612"/>
      <c r="H46917" s="612"/>
    </row>
    <row r="46918">
      <c r="B46918" s="612"/>
      <c r="H46918" s="612"/>
    </row>
    <row r="46919">
      <c r="B46919" s="612"/>
      <c r="H46919" s="612"/>
    </row>
    <row r="46920">
      <c r="B46920" s="612"/>
      <c r="H46920" s="612"/>
    </row>
    <row r="46921">
      <c r="B46921" s="612"/>
      <c r="H46921" s="612"/>
    </row>
    <row r="46922">
      <c r="B46922" s="612"/>
      <c r="H46922" s="612"/>
    </row>
    <row r="46923">
      <c r="B46923" s="612"/>
      <c r="H46923" s="612"/>
    </row>
    <row r="46924">
      <c r="B46924" s="612"/>
      <c r="H46924" s="612"/>
    </row>
    <row r="46925">
      <c r="B46925" s="612"/>
      <c r="H46925" s="612"/>
    </row>
    <row r="46926">
      <c r="B46926" s="612"/>
      <c r="H46926" s="612"/>
    </row>
    <row r="46927">
      <c r="B46927" s="612"/>
      <c r="H46927" s="612"/>
    </row>
    <row r="46928">
      <c r="B46928" s="612"/>
      <c r="H46928" s="612"/>
    </row>
    <row r="46929">
      <c r="B46929" s="612"/>
      <c r="H46929" s="612"/>
    </row>
    <row r="46930">
      <c r="B46930" s="612"/>
      <c r="H46930" s="612"/>
    </row>
    <row r="46931">
      <c r="B46931" s="612"/>
      <c r="H46931" s="612"/>
    </row>
    <row r="46932">
      <c r="B46932" s="612"/>
      <c r="H46932" s="612"/>
    </row>
    <row r="46933">
      <c r="B46933" s="612"/>
      <c r="H46933" s="612"/>
    </row>
    <row r="46934">
      <c r="B46934" s="612"/>
      <c r="H46934" s="612"/>
    </row>
    <row r="46935">
      <c r="B46935" s="612"/>
      <c r="H46935" s="612"/>
    </row>
    <row r="46936">
      <c r="B46936" s="612"/>
      <c r="H46936" s="612"/>
    </row>
    <row r="46937">
      <c r="B46937" s="612"/>
      <c r="H46937" s="612"/>
    </row>
    <row r="46938">
      <c r="B46938" s="612"/>
      <c r="H46938" s="612"/>
    </row>
    <row r="46939">
      <c r="B46939" s="612"/>
      <c r="H46939" s="612"/>
    </row>
    <row r="46940">
      <c r="B46940" s="612"/>
      <c r="H46940" s="612"/>
    </row>
    <row r="46941">
      <c r="B46941" s="612"/>
      <c r="H46941" s="612"/>
    </row>
    <row r="46942">
      <c r="B46942" s="612"/>
      <c r="H46942" s="612"/>
    </row>
    <row r="46943">
      <c r="B46943" s="612"/>
      <c r="H46943" s="612"/>
    </row>
    <row r="46944">
      <c r="B46944" s="612"/>
      <c r="H46944" s="612"/>
    </row>
    <row r="46945">
      <c r="B46945" s="612"/>
      <c r="H46945" s="612"/>
    </row>
    <row r="46946">
      <c r="B46946" s="612"/>
      <c r="H46946" s="612"/>
    </row>
    <row r="46947">
      <c r="B46947" s="612"/>
      <c r="H46947" s="612"/>
    </row>
    <row r="46948">
      <c r="B46948" s="612"/>
      <c r="H46948" s="612"/>
    </row>
    <row r="46949">
      <c r="B46949" s="612"/>
      <c r="H46949" s="612"/>
    </row>
    <row r="46950">
      <c r="B46950" s="612"/>
      <c r="H46950" s="612"/>
    </row>
    <row r="46951">
      <c r="B46951" s="612"/>
      <c r="H46951" s="612"/>
    </row>
    <row r="46952">
      <c r="B46952" s="612"/>
      <c r="H46952" s="612"/>
    </row>
    <row r="46953">
      <c r="B46953" s="612"/>
      <c r="H46953" s="612"/>
    </row>
    <row r="46954">
      <c r="B46954" s="612"/>
      <c r="H46954" s="612"/>
    </row>
    <row r="46955">
      <c r="B46955" s="612"/>
      <c r="H46955" s="612"/>
    </row>
    <row r="46956">
      <c r="B46956" s="612"/>
      <c r="H46956" s="612"/>
    </row>
    <row r="46957">
      <c r="B46957" s="612"/>
      <c r="H46957" s="612"/>
    </row>
    <row r="46958">
      <c r="B46958" s="612"/>
      <c r="H46958" s="612"/>
    </row>
    <row r="46959">
      <c r="B46959" s="612"/>
      <c r="H46959" s="612"/>
    </row>
    <row r="46960">
      <c r="B46960" s="612"/>
      <c r="H46960" s="612"/>
    </row>
    <row r="46961">
      <c r="B46961" s="612"/>
      <c r="H46961" s="612"/>
    </row>
    <row r="46962">
      <c r="B46962" s="612"/>
      <c r="H46962" s="612"/>
    </row>
    <row r="46963">
      <c r="B46963" s="612"/>
      <c r="H46963" s="612"/>
    </row>
    <row r="46964">
      <c r="B46964" s="612"/>
      <c r="H46964" s="612"/>
    </row>
    <row r="46965">
      <c r="B46965" s="612"/>
      <c r="H46965" s="612"/>
    </row>
    <row r="46966">
      <c r="B46966" s="612"/>
      <c r="H46966" s="612"/>
    </row>
    <row r="46967">
      <c r="B46967" s="612"/>
      <c r="H46967" s="612"/>
    </row>
    <row r="46968">
      <c r="B46968" s="612"/>
      <c r="H46968" s="612"/>
    </row>
    <row r="46969">
      <c r="B46969" s="612"/>
      <c r="H46969" s="612"/>
    </row>
    <row r="46970">
      <c r="B46970" s="612"/>
      <c r="H46970" s="612"/>
    </row>
    <row r="46971">
      <c r="B46971" s="612"/>
      <c r="H46971" s="612"/>
    </row>
    <row r="46972">
      <c r="B46972" s="612"/>
      <c r="H46972" s="612"/>
    </row>
    <row r="46973">
      <c r="B46973" s="612"/>
      <c r="H46973" s="612"/>
    </row>
    <row r="46974">
      <c r="B46974" s="612"/>
      <c r="H46974" s="612"/>
    </row>
    <row r="46975">
      <c r="B46975" s="612"/>
      <c r="H46975" s="612"/>
    </row>
    <row r="46976">
      <c r="B46976" s="612"/>
      <c r="H46976" s="612"/>
    </row>
    <row r="46977">
      <c r="B46977" s="612"/>
      <c r="H46977" s="612"/>
    </row>
    <row r="46978">
      <c r="B46978" s="612"/>
      <c r="H46978" s="612"/>
    </row>
    <row r="46979">
      <c r="B46979" s="612"/>
      <c r="H46979" s="612"/>
    </row>
    <row r="46980">
      <c r="B46980" s="612"/>
      <c r="H46980" s="612"/>
    </row>
    <row r="46981">
      <c r="B46981" s="612"/>
      <c r="H46981" s="612"/>
    </row>
    <row r="46982">
      <c r="B46982" s="612"/>
      <c r="H46982" s="612"/>
    </row>
    <row r="46983">
      <c r="B46983" s="612"/>
      <c r="H46983" s="612"/>
    </row>
    <row r="46984">
      <c r="B46984" s="612"/>
      <c r="H46984" s="612"/>
    </row>
    <row r="46985">
      <c r="B46985" s="612"/>
      <c r="H46985" s="612"/>
    </row>
    <row r="46986">
      <c r="B46986" s="612"/>
      <c r="H46986" s="612"/>
    </row>
    <row r="46987">
      <c r="B46987" s="612"/>
      <c r="H46987" s="612"/>
    </row>
    <row r="46988">
      <c r="B46988" s="612"/>
      <c r="H46988" s="612"/>
    </row>
    <row r="46989">
      <c r="B46989" s="612"/>
      <c r="H46989" s="612"/>
    </row>
    <row r="46990">
      <c r="B46990" s="612"/>
      <c r="H46990" s="612"/>
    </row>
    <row r="46991">
      <c r="B46991" s="612"/>
      <c r="H46991" s="612"/>
    </row>
    <row r="46992">
      <c r="B46992" s="612"/>
      <c r="H46992" s="612"/>
    </row>
    <row r="46993">
      <c r="B46993" s="612"/>
      <c r="H46993" s="612"/>
    </row>
    <row r="46994">
      <c r="B46994" s="612"/>
      <c r="H46994" s="612"/>
    </row>
    <row r="46995">
      <c r="B46995" s="612"/>
      <c r="H46995" s="612"/>
    </row>
    <row r="46996">
      <c r="B46996" s="612"/>
      <c r="H46996" s="612"/>
    </row>
    <row r="46997">
      <c r="B46997" s="612"/>
      <c r="H46997" s="612"/>
    </row>
    <row r="46998">
      <c r="B46998" s="612"/>
      <c r="H46998" s="612"/>
    </row>
    <row r="46999">
      <c r="B46999" s="612"/>
      <c r="H46999" s="612"/>
    </row>
    <row r="47000">
      <c r="B47000" s="612"/>
      <c r="H47000" s="612"/>
    </row>
    <row r="47001">
      <c r="B47001" s="612"/>
      <c r="H47001" s="612"/>
    </row>
    <row r="47002">
      <c r="B47002" s="612"/>
      <c r="H47002" s="612"/>
    </row>
    <row r="47003">
      <c r="B47003" s="612"/>
      <c r="H47003" s="612"/>
    </row>
    <row r="47004">
      <c r="B47004" s="612"/>
      <c r="H47004" s="612"/>
    </row>
    <row r="47005">
      <c r="B47005" s="612"/>
      <c r="H47005" s="612"/>
    </row>
    <row r="47006">
      <c r="B47006" s="612"/>
      <c r="H47006" s="612"/>
    </row>
    <row r="47007">
      <c r="B47007" s="612"/>
      <c r="H47007" s="612"/>
    </row>
    <row r="47008">
      <c r="B47008" s="612"/>
      <c r="H47008" s="612"/>
    </row>
    <row r="47009">
      <c r="B47009" s="612"/>
      <c r="H47009" s="612"/>
    </row>
    <row r="47010">
      <c r="B47010" s="612"/>
      <c r="H47010" s="612"/>
    </row>
    <row r="47011">
      <c r="B47011" s="612"/>
      <c r="H47011" s="612"/>
    </row>
    <row r="47012">
      <c r="B47012" s="612"/>
      <c r="H47012" s="612"/>
    </row>
    <row r="47013">
      <c r="B47013" s="612"/>
      <c r="H47013" s="612"/>
    </row>
    <row r="47014">
      <c r="B47014" s="612"/>
      <c r="H47014" s="612"/>
    </row>
    <row r="47015">
      <c r="B47015" s="612"/>
      <c r="H47015" s="612"/>
    </row>
    <row r="47016">
      <c r="B47016" s="612"/>
      <c r="H47016" s="612"/>
    </row>
    <row r="47017">
      <c r="B47017" s="612"/>
      <c r="H47017" s="612"/>
    </row>
    <row r="47018">
      <c r="B47018" s="612"/>
      <c r="H47018" s="612"/>
    </row>
    <row r="47019">
      <c r="B47019" s="612"/>
      <c r="H47019" s="612"/>
    </row>
    <row r="47020">
      <c r="B47020" s="612"/>
      <c r="H47020" s="612"/>
    </row>
    <row r="47021">
      <c r="B47021" s="612"/>
      <c r="H47021" s="612"/>
    </row>
    <row r="47022">
      <c r="B47022" s="612"/>
      <c r="H47022" s="612"/>
    </row>
    <row r="47023">
      <c r="B47023" s="612"/>
      <c r="H47023" s="612"/>
    </row>
    <row r="47024">
      <c r="B47024" s="612"/>
      <c r="H47024" s="612"/>
    </row>
    <row r="47025">
      <c r="B47025" s="612"/>
      <c r="H47025" s="612"/>
    </row>
    <row r="47026">
      <c r="B47026" s="612"/>
      <c r="H47026" s="612"/>
    </row>
    <row r="47027">
      <c r="B47027" s="612"/>
      <c r="H47027" s="612"/>
    </row>
    <row r="47028">
      <c r="B47028" s="612"/>
      <c r="H47028" s="612"/>
    </row>
    <row r="47029">
      <c r="B47029" s="612"/>
      <c r="H47029" s="612"/>
    </row>
    <row r="47030">
      <c r="B47030" s="612"/>
      <c r="H47030" s="612"/>
    </row>
    <row r="47031">
      <c r="B47031" s="612"/>
      <c r="H47031" s="612"/>
    </row>
    <row r="47032">
      <c r="B47032" s="612"/>
      <c r="H47032" s="612"/>
    </row>
    <row r="47033">
      <c r="B47033" s="612"/>
      <c r="H47033" s="612"/>
    </row>
    <row r="47034">
      <c r="B47034" s="612"/>
      <c r="H47034" s="612"/>
    </row>
    <row r="47035">
      <c r="B47035" s="612"/>
      <c r="H47035" s="612"/>
    </row>
    <row r="47036">
      <c r="B47036" s="612"/>
      <c r="H47036" s="612"/>
    </row>
    <row r="47037">
      <c r="B47037" s="612"/>
      <c r="H47037" s="612"/>
    </row>
    <row r="47038">
      <c r="B47038" s="612"/>
      <c r="H47038" s="612"/>
    </row>
    <row r="47039">
      <c r="B47039" s="612"/>
      <c r="H47039" s="612"/>
    </row>
    <row r="47040">
      <c r="B47040" s="612"/>
      <c r="H47040" s="612"/>
    </row>
    <row r="47041">
      <c r="B47041" s="612"/>
      <c r="H47041" s="612"/>
    </row>
    <row r="47042">
      <c r="B47042" s="612"/>
      <c r="H47042" s="612"/>
    </row>
    <row r="47043">
      <c r="B47043" s="612"/>
      <c r="H47043" s="612"/>
    </row>
    <row r="47044">
      <c r="B47044" s="612"/>
      <c r="H47044" s="612"/>
    </row>
    <row r="47045">
      <c r="B47045" s="612"/>
      <c r="H47045" s="612"/>
    </row>
    <row r="47046">
      <c r="B47046" s="612"/>
      <c r="H47046" s="612"/>
    </row>
    <row r="47047">
      <c r="B47047" s="612"/>
      <c r="H47047" s="612"/>
    </row>
    <row r="47048">
      <c r="B47048" s="612"/>
      <c r="H47048" s="612"/>
    </row>
    <row r="47049">
      <c r="B47049" s="612"/>
      <c r="H47049" s="612"/>
    </row>
    <row r="47050">
      <c r="B47050" s="612"/>
      <c r="H47050" s="612"/>
    </row>
    <row r="47051">
      <c r="B47051" s="612"/>
      <c r="H47051" s="612"/>
    </row>
    <row r="47052">
      <c r="B47052" s="612"/>
      <c r="H47052" s="612"/>
    </row>
    <row r="47053">
      <c r="B47053" s="612"/>
      <c r="H47053" s="612"/>
    </row>
    <row r="47054">
      <c r="B47054" s="612"/>
      <c r="H47054" s="612"/>
    </row>
    <row r="47055">
      <c r="B47055" s="612"/>
      <c r="H47055" s="612"/>
    </row>
    <row r="47056">
      <c r="B47056" s="612"/>
      <c r="H47056" s="612"/>
    </row>
    <row r="47057">
      <c r="B47057" s="612"/>
      <c r="H47057" s="612"/>
    </row>
    <row r="47058">
      <c r="B47058" s="612"/>
      <c r="H47058" s="612"/>
    </row>
    <row r="47059">
      <c r="B47059" s="612"/>
      <c r="H47059" s="612"/>
    </row>
    <row r="47060">
      <c r="B47060" s="612"/>
      <c r="H47060" s="612"/>
    </row>
    <row r="47061">
      <c r="B47061" s="612"/>
      <c r="H47061" s="612"/>
    </row>
    <row r="47062">
      <c r="B47062" s="612"/>
      <c r="H47062" s="612"/>
    </row>
    <row r="47063">
      <c r="B47063" s="612"/>
      <c r="H47063" s="612"/>
    </row>
    <row r="47064">
      <c r="B47064" s="612"/>
      <c r="H47064" s="612"/>
    </row>
    <row r="47065">
      <c r="B47065" s="612"/>
      <c r="H47065" s="612"/>
    </row>
    <row r="47066">
      <c r="B47066" s="612"/>
      <c r="H47066" s="612"/>
    </row>
    <row r="47067">
      <c r="B47067" s="612"/>
      <c r="H47067" s="612"/>
    </row>
    <row r="47068">
      <c r="B47068" s="612"/>
      <c r="H47068" s="612"/>
    </row>
    <row r="47069">
      <c r="B47069" s="612"/>
      <c r="H47069" s="612"/>
    </row>
    <row r="47070">
      <c r="B47070" s="612"/>
      <c r="H47070" s="612"/>
    </row>
    <row r="47071">
      <c r="B47071" s="612"/>
      <c r="H47071" s="612"/>
    </row>
    <row r="47072">
      <c r="B47072" s="612"/>
      <c r="H47072" s="612"/>
    </row>
    <row r="47073">
      <c r="B47073" s="612"/>
      <c r="H47073" s="612"/>
    </row>
    <row r="47074">
      <c r="B47074" s="612"/>
      <c r="H47074" s="612"/>
    </row>
    <row r="47075">
      <c r="B47075" s="612"/>
      <c r="H47075" s="612"/>
    </row>
    <row r="47076">
      <c r="B47076" s="612"/>
      <c r="H47076" s="612"/>
    </row>
    <row r="47077">
      <c r="B47077" s="612"/>
      <c r="H47077" s="612"/>
    </row>
    <row r="47078">
      <c r="B47078" s="612"/>
      <c r="H47078" s="612"/>
    </row>
    <row r="47079">
      <c r="B47079" s="612"/>
      <c r="H47079" s="612"/>
    </row>
    <row r="47080">
      <c r="B47080" s="612"/>
      <c r="H47080" s="612"/>
    </row>
    <row r="47081">
      <c r="B47081" s="612"/>
      <c r="H47081" s="612"/>
    </row>
    <row r="47082">
      <c r="B47082" s="612"/>
      <c r="H47082" s="612"/>
    </row>
    <row r="47083">
      <c r="B47083" s="612"/>
      <c r="H47083" s="612"/>
    </row>
    <row r="47084">
      <c r="B47084" s="612"/>
      <c r="H47084" s="612"/>
    </row>
    <row r="47085">
      <c r="B47085" s="612"/>
      <c r="H47085" s="612"/>
    </row>
    <row r="47086">
      <c r="B47086" s="612"/>
      <c r="H47086" s="612"/>
    </row>
    <row r="47087">
      <c r="B47087" s="612"/>
      <c r="H47087" s="612"/>
    </row>
    <row r="47088">
      <c r="B47088" s="612"/>
      <c r="H47088" s="612"/>
    </row>
    <row r="47089">
      <c r="B47089" s="612"/>
      <c r="H47089" s="612"/>
    </row>
    <row r="47090">
      <c r="B47090" s="612"/>
      <c r="H47090" s="612"/>
    </row>
    <row r="47091">
      <c r="B47091" s="612"/>
      <c r="H47091" s="612"/>
    </row>
    <row r="47092">
      <c r="B47092" s="612"/>
      <c r="H47092" s="612"/>
    </row>
    <row r="47093">
      <c r="B47093" s="612"/>
      <c r="H47093" s="612"/>
    </row>
    <row r="47094">
      <c r="B47094" s="612"/>
      <c r="H47094" s="612"/>
    </row>
    <row r="47095">
      <c r="B47095" s="612"/>
      <c r="H47095" s="612"/>
    </row>
    <row r="47096">
      <c r="B47096" s="612"/>
      <c r="H47096" s="612"/>
    </row>
    <row r="47097">
      <c r="B47097" s="612"/>
      <c r="H47097" s="612"/>
    </row>
    <row r="47098">
      <c r="B47098" s="612"/>
      <c r="H47098" s="612"/>
    </row>
    <row r="47099">
      <c r="B47099" s="612"/>
      <c r="H47099" s="612"/>
    </row>
    <row r="47100">
      <c r="B47100" s="612"/>
      <c r="H47100" s="612"/>
    </row>
    <row r="47101">
      <c r="B47101" s="612"/>
      <c r="H47101" s="612"/>
    </row>
    <row r="47102">
      <c r="B47102" s="612"/>
      <c r="H47102" s="612"/>
    </row>
    <row r="47103">
      <c r="B47103" s="612"/>
      <c r="H47103" s="612"/>
    </row>
    <row r="47104">
      <c r="B47104" s="612"/>
      <c r="H47104" s="612"/>
    </row>
    <row r="47105">
      <c r="B47105" s="612"/>
      <c r="H47105" s="612"/>
    </row>
    <row r="47106">
      <c r="B47106" s="612"/>
      <c r="H47106" s="612"/>
    </row>
    <row r="47107">
      <c r="B47107" s="612"/>
      <c r="H47107" s="612"/>
    </row>
    <row r="47108">
      <c r="B47108" s="612"/>
      <c r="H47108" s="612"/>
    </row>
    <row r="47109">
      <c r="B47109" s="612"/>
      <c r="H47109" s="612"/>
    </row>
    <row r="47110">
      <c r="B47110" s="612"/>
      <c r="H47110" s="612"/>
    </row>
    <row r="47111">
      <c r="B47111" s="612"/>
      <c r="H47111" s="612"/>
    </row>
    <row r="47112">
      <c r="B47112" s="612"/>
      <c r="H47112" s="612"/>
    </row>
    <row r="47113">
      <c r="B47113" s="612"/>
      <c r="H47113" s="612"/>
    </row>
    <row r="47114">
      <c r="B47114" s="612"/>
      <c r="H47114" s="612"/>
    </row>
    <row r="47115">
      <c r="B47115" s="612"/>
      <c r="H47115" s="612"/>
    </row>
    <row r="47116">
      <c r="B47116" s="612"/>
      <c r="H47116" s="612"/>
    </row>
    <row r="47117">
      <c r="B47117" s="612"/>
      <c r="H47117" s="612"/>
    </row>
    <row r="47118">
      <c r="B47118" s="612"/>
      <c r="H47118" s="612"/>
    </row>
    <row r="47119">
      <c r="B47119" s="612"/>
      <c r="H47119" s="612"/>
    </row>
    <row r="47120">
      <c r="B47120" s="612"/>
      <c r="H47120" s="612"/>
    </row>
    <row r="47121">
      <c r="B47121" s="612"/>
      <c r="H47121" s="612"/>
    </row>
    <row r="47122">
      <c r="B47122" s="612"/>
      <c r="H47122" s="612"/>
    </row>
    <row r="47123">
      <c r="B47123" s="612"/>
      <c r="H47123" s="612"/>
    </row>
    <row r="47124">
      <c r="B47124" s="612"/>
      <c r="H47124" s="612"/>
    </row>
    <row r="47125">
      <c r="B47125" s="612"/>
      <c r="H47125" s="612"/>
    </row>
    <row r="47126">
      <c r="B47126" s="612"/>
      <c r="H47126" s="612"/>
    </row>
    <row r="47127">
      <c r="B47127" s="612"/>
      <c r="H47127" s="612"/>
    </row>
    <row r="47128">
      <c r="B47128" s="612"/>
      <c r="H47128" s="612"/>
    </row>
    <row r="47129">
      <c r="B47129" s="612"/>
      <c r="H47129" s="612"/>
    </row>
    <row r="47130">
      <c r="B47130" s="612"/>
      <c r="H47130" s="612"/>
    </row>
    <row r="47131">
      <c r="B47131" s="612"/>
      <c r="H47131" s="612"/>
    </row>
    <row r="47132">
      <c r="B47132" s="612"/>
      <c r="H47132" s="612"/>
    </row>
    <row r="47133">
      <c r="B47133" s="612"/>
      <c r="H47133" s="612"/>
    </row>
    <row r="47134">
      <c r="B47134" s="612"/>
      <c r="H47134" s="612"/>
    </row>
    <row r="47135">
      <c r="B47135" s="612"/>
      <c r="H47135" s="612"/>
    </row>
    <row r="47136">
      <c r="B47136" s="612"/>
      <c r="H47136" s="612"/>
    </row>
    <row r="47137">
      <c r="B47137" s="612"/>
      <c r="H47137" s="612"/>
    </row>
    <row r="47138">
      <c r="B47138" s="612"/>
      <c r="H47138" s="612"/>
    </row>
    <row r="47139">
      <c r="B47139" s="612"/>
      <c r="H47139" s="612"/>
    </row>
    <row r="47140">
      <c r="B47140" s="612"/>
      <c r="H47140" s="612"/>
    </row>
    <row r="47141">
      <c r="B47141" s="612"/>
      <c r="H47141" s="612"/>
    </row>
    <row r="47142">
      <c r="B47142" s="612"/>
      <c r="H47142" s="612"/>
    </row>
    <row r="47143">
      <c r="B47143" s="612"/>
      <c r="H47143" s="612"/>
    </row>
    <row r="47144">
      <c r="B47144" s="612"/>
      <c r="H47144" s="612"/>
    </row>
    <row r="47145">
      <c r="B47145" s="612"/>
      <c r="H47145" s="612"/>
    </row>
    <row r="47146">
      <c r="B47146" s="612"/>
      <c r="H47146" s="612"/>
    </row>
    <row r="47147">
      <c r="B47147" s="612"/>
      <c r="H47147" s="612"/>
    </row>
    <row r="47148">
      <c r="B47148" s="612"/>
      <c r="H47148" s="612"/>
    </row>
    <row r="47149">
      <c r="B47149" s="612"/>
      <c r="H47149" s="612"/>
    </row>
    <row r="47150">
      <c r="B47150" s="612"/>
      <c r="H47150" s="612"/>
    </row>
    <row r="47151">
      <c r="B47151" s="612"/>
      <c r="H47151" s="612"/>
    </row>
    <row r="47152">
      <c r="B47152" s="612"/>
      <c r="H47152" s="612"/>
    </row>
    <row r="47153">
      <c r="B47153" s="612"/>
      <c r="H47153" s="612"/>
    </row>
    <row r="47154">
      <c r="B47154" s="612"/>
      <c r="H47154" s="612"/>
    </row>
    <row r="47155">
      <c r="B47155" s="612"/>
      <c r="H47155" s="612"/>
    </row>
    <row r="47156">
      <c r="B47156" s="612"/>
      <c r="H47156" s="612"/>
    </row>
    <row r="47157">
      <c r="B47157" s="612"/>
      <c r="H47157" s="612"/>
    </row>
    <row r="47158">
      <c r="B47158" s="612"/>
      <c r="H47158" s="612"/>
    </row>
    <row r="47159">
      <c r="B47159" s="612"/>
      <c r="H47159" s="612"/>
    </row>
    <row r="47160">
      <c r="B47160" s="612"/>
      <c r="H47160" s="612"/>
    </row>
    <row r="47161">
      <c r="B47161" s="612"/>
      <c r="H47161" s="612"/>
    </row>
    <row r="47162">
      <c r="B47162" s="612"/>
      <c r="H47162" s="612"/>
    </row>
    <row r="47163">
      <c r="B47163" s="612"/>
      <c r="H47163" s="612"/>
    </row>
    <row r="47164">
      <c r="B47164" s="612"/>
      <c r="H47164" s="612"/>
    </row>
    <row r="47165">
      <c r="B47165" s="612"/>
      <c r="H47165" s="612"/>
    </row>
    <row r="47166">
      <c r="B47166" s="612"/>
      <c r="H47166" s="612"/>
    </row>
    <row r="47167">
      <c r="B47167" s="612"/>
      <c r="H47167" s="612"/>
    </row>
    <row r="47168">
      <c r="B47168" s="612"/>
      <c r="H47168" s="612"/>
    </row>
    <row r="47169">
      <c r="B47169" s="612"/>
      <c r="H47169" s="612"/>
    </row>
    <row r="47170">
      <c r="B47170" s="612"/>
      <c r="H47170" s="612"/>
    </row>
    <row r="47171">
      <c r="B47171" s="612"/>
      <c r="H47171" s="612"/>
    </row>
    <row r="47172">
      <c r="B47172" s="612"/>
      <c r="H47172" s="612"/>
    </row>
    <row r="47173">
      <c r="B47173" s="612"/>
      <c r="H47173" s="612"/>
    </row>
    <row r="47174">
      <c r="B47174" s="612"/>
      <c r="H47174" s="612"/>
    </row>
    <row r="47175">
      <c r="B47175" s="612"/>
      <c r="H47175" s="612"/>
    </row>
    <row r="47176">
      <c r="B47176" s="612"/>
      <c r="H47176" s="612"/>
    </row>
    <row r="47177">
      <c r="B47177" s="612"/>
      <c r="H47177" s="612"/>
    </row>
    <row r="47178">
      <c r="B47178" s="612"/>
      <c r="H47178" s="612"/>
    </row>
    <row r="47179">
      <c r="B47179" s="612"/>
      <c r="H47179" s="612"/>
    </row>
    <row r="47180">
      <c r="B47180" s="612"/>
      <c r="H47180" s="612"/>
    </row>
    <row r="47181">
      <c r="B47181" s="612"/>
      <c r="H47181" s="612"/>
    </row>
    <row r="47182">
      <c r="B47182" s="612"/>
      <c r="H47182" s="612"/>
    </row>
    <row r="47183">
      <c r="B47183" s="612"/>
      <c r="H47183" s="612"/>
    </row>
    <row r="47184">
      <c r="B47184" s="612"/>
      <c r="H47184" s="612"/>
    </row>
    <row r="47185">
      <c r="B47185" s="612"/>
      <c r="H47185" s="612"/>
    </row>
    <row r="47186">
      <c r="B47186" s="612"/>
      <c r="H47186" s="612"/>
    </row>
    <row r="47187">
      <c r="B47187" s="612"/>
      <c r="H47187" s="612"/>
    </row>
    <row r="47188">
      <c r="B47188" s="612"/>
      <c r="H47188" s="612"/>
    </row>
    <row r="47189">
      <c r="B47189" s="612"/>
      <c r="H47189" s="612"/>
    </row>
    <row r="47190">
      <c r="B47190" s="612"/>
      <c r="H47190" s="612"/>
    </row>
    <row r="47191">
      <c r="B47191" s="612"/>
      <c r="H47191" s="612"/>
    </row>
    <row r="47192">
      <c r="B47192" s="612"/>
      <c r="H47192" s="612"/>
    </row>
    <row r="47193">
      <c r="B47193" s="612"/>
      <c r="H47193" s="612"/>
    </row>
    <row r="47194">
      <c r="B47194" s="612"/>
      <c r="H47194" s="612"/>
    </row>
    <row r="47195">
      <c r="B47195" s="612"/>
      <c r="H47195" s="612"/>
    </row>
    <row r="47196">
      <c r="B47196" s="612"/>
      <c r="H47196" s="612"/>
    </row>
    <row r="47197">
      <c r="B47197" s="612"/>
      <c r="H47197" s="612"/>
    </row>
    <row r="47198">
      <c r="B47198" s="612"/>
      <c r="H47198" s="612"/>
    </row>
    <row r="47199">
      <c r="B47199" s="612"/>
      <c r="H47199" s="612"/>
    </row>
    <row r="47200">
      <c r="B47200" s="612"/>
      <c r="H47200" s="612"/>
    </row>
    <row r="47201">
      <c r="B47201" s="612"/>
      <c r="H47201" s="612"/>
    </row>
    <row r="47202">
      <c r="B47202" s="612"/>
      <c r="H47202" s="612"/>
    </row>
    <row r="47203">
      <c r="B47203" s="612"/>
      <c r="H47203" s="612"/>
    </row>
    <row r="47204">
      <c r="B47204" s="612"/>
      <c r="H47204" s="612"/>
    </row>
    <row r="47205">
      <c r="B47205" s="612"/>
      <c r="H47205" s="612"/>
    </row>
    <row r="47206">
      <c r="B47206" s="612"/>
      <c r="H47206" s="612"/>
    </row>
    <row r="47207">
      <c r="B47207" s="612"/>
      <c r="H47207" s="612"/>
    </row>
    <row r="47208">
      <c r="B47208" s="612"/>
      <c r="H47208" s="612"/>
    </row>
    <row r="47209">
      <c r="B47209" s="612"/>
      <c r="H47209" s="612"/>
    </row>
    <row r="47210">
      <c r="B47210" s="612"/>
      <c r="H47210" s="612"/>
    </row>
    <row r="47211">
      <c r="B47211" s="612"/>
      <c r="H47211" s="612"/>
    </row>
    <row r="47212">
      <c r="B47212" s="612"/>
      <c r="H47212" s="612"/>
    </row>
    <row r="47213">
      <c r="B47213" s="612"/>
      <c r="H47213" s="612"/>
    </row>
    <row r="47214">
      <c r="B47214" s="612"/>
      <c r="H47214" s="612"/>
    </row>
    <row r="47215">
      <c r="B47215" s="612"/>
      <c r="H47215" s="612"/>
    </row>
    <row r="47216">
      <c r="B47216" s="612"/>
      <c r="H47216" s="612"/>
    </row>
    <row r="47217">
      <c r="B47217" s="612"/>
      <c r="H47217" s="612"/>
    </row>
    <row r="47218">
      <c r="B47218" s="612"/>
      <c r="H47218" s="612"/>
    </row>
    <row r="47219">
      <c r="B47219" s="612"/>
      <c r="H47219" s="612"/>
    </row>
    <row r="47220">
      <c r="B47220" s="612"/>
      <c r="H47220" s="612"/>
    </row>
    <row r="47221">
      <c r="B47221" s="612"/>
      <c r="H47221" s="612"/>
    </row>
    <row r="47222">
      <c r="B47222" s="612"/>
      <c r="H47222" s="612"/>
    </row>
    <row r="47223">
      <c r="B47223" s="612"/>
      <c r="H47223" s="612"/>
    </row>
    <row r="47224">
      <c r="B47224" s="612"/>
      <c r="H47224" s="612"/>
    </row>
    <row r="47225">
      <c r="B47225" s="612"/>
      <c r="H47225" s="612"/>
    </row>
    <row r="47226">
      <c r="B47226" s="612"/>
      <c r="H47226" s="612"/>
    </row>
    <row r="47227">
      <c r="B47227" s="612"/>
      <c r="H47227" s="612"/>
    </row>
    <row r="47228">
      <c r="B47228" s="612"/>
      <c r="H47228" s="612"/>
    </row>
    <row r="47229">
      <c r="B47229" s="612"/>
      <c r="H47229" s="612"/>
    </row>
    <row r="47230">
      <c r="B47230" s="612"/>
      <c r="H47230" s="612"/>
    </row>
    <row r="47231">
      <c r="B47231" s="612"/>
      <c r="H47231" s="612"/>
    </row>
    <row r="47232">
      <c r="B47232" s="612"/>
      <c r="H47232" s="612"/>
    </row>
    <row r="47233">
      <c r="B47233" s="612"/>
      <c r="H47233" s="612"/>
    </row>
    <row r="47234">
      <c r="B47234" s="612"/>
      <c r="H47234" s="612"/>
    </row>
    <row r="47235">
      <c r="B47235" s="612"/>
      <c r="H47235" s="612"/>
    </row>
    <row r="47236">
      <c r="B47236" s="612"/>
      <c r="H47236" s="612"/>
    </row>
    <row r="47237">
      <c r="B47237" s="612"/>
      <c r="H47237" s="612"/>
    </row>
    <row r="47238">
      <c r="B47238" s="612"/>
      <c r="H47238" s="612"/>
    </row>
    <row r="47239">
      <c r="B47239" s="612"/>
      <c r="H47239" s="612"/>
    </row>
    <row r="47240">
      <c r="B47240" s="612"/>
      <c r="H47240" s="612"/>
    </row>
    <row r="47241">
      <c r="B47241" s="612"/>
      <c r="H47241" s="612"/>
    </row>
    <row r="47242">
      <c r="B47242" s="612"/>
      <c r="H47242" s="612"/>
    </row>
    <row r="47243">
      <c r="B47243" s="612"/>
      <c r="H47243" s="612"/>
    </row>
    <row r="47244">
      <c r="B47244" s="612"/>
      <c r="H47244" s="612"/>
    </row>
    <row r="47245">
      <c r="B47245" s="612"/>
      <c r="H47245" s="612"/>
    </row>
    <row r="47246">
      <c r="B47246" s="612"/>
      <c r="H47246" s="612"/>
    </row>
    <row r="47247">
      <c r="B47247" s="612"/>
      <c r="H47247" s="612"/>
    </row>
    <row r="47248">
      <c r="B47248" s="612"/>
      <c r="H47248" s="612"/>
    </row>
    <row r="47249">
      <c r="B47249" s="612"/>
      <c r="H47249" s="612"/>
    </row>
    <row r="47250">
      <c r="B47250" s="612"/>
      <c r="H47250" s="612"/>
    </row>
    <row r="47251">
      <c r="B47251" s="612"/>
      <c r="H47251" s="612"/>
    </row>
    <row r="47252">
      <c r="B47252" s="612"/>
      <c r="H47252" s="612"/>
    </row>
    <row r="47253">
      <c r="B47253" s="612"/>
      <c r="H47253" s="612"/>
    </row>
    <row r="47254">
      <c r="B47254" s="612"/>
      <c r="H47254" s="612"/>
    </row>
    <row r="47255">
      <c r="B47255" s="612"/>
      <c r="H47255" s="612"/>
    </row>
    <row r="47256">
      <c r="B47256" s="612"/>
      <c r="H47256" s="612"/>
    </row>
    <row r="47257">
      <c r="B47257" s="612"/>
      <c r="H47257" s="612"/>
    </row>
    <row r="47258">
      <c r="B47258" s="612"/>
      <c r="H47258" s="612"/>
    </row>
    <row r="47259">
      <c r="B47259" s="612"/>
      <c r="H47259" s="612"/>
    </row>
    <row r="47260">
      <c r="B47260" s="612"/>
      <c r="H47260" s="612"/>
    </row>
    <row r="47261">
      <c r="B47261" s="612"/>
      <c r="H47261" s="612"/>
    </row>
    <row r="47262">
      <c r="B47262" s="612"/>
      <c r="H47262" s="612"/>
    </row>
    <row r="47263">
      <c r="B47263" s="612"/>
      <c r="H47263" s="612"/>
    </row>
    <row r="47264">
      <c r="B47264" s="612"/>
      <c r="H47264" s="612"/>
    </row>
    <row r="47265">
      <c r="B47265" s="612"/>
      <c r="H47265" s="612"/>
    </row>
    <row r="47266">
      <c r="B47266" s="612"/>
      <c r="H47266" s="612"/>
    </row>
    <row r="47267">
      <c r="B47267" s="612"/>
      <c r="H47267" s="612"/>
    </row>
    <row r="47268">
      <c r="B47268" s="612"/>
      <c r="H47268" s="612"/>
    </row>
    <row r="47269">
      <c r="B47269" s="612"/>
      <c r="H47269" s="612"/>
    </row>
    <row r="47270">
      <c r="B47270" s="612"/>
      <c r="H47270" s="612"/>
    </row>
    <row r="47271">
      <c r="B47271" s="612"/>
      <c r="H47271" s="612"/>
    </row>
    <row r="47272">
      <c r="B47272" s="612"/>
      <c r="H47272" s="612"/>
    </row>
    <row r="47273">
      <c r="B47273" s="612"/>
      <c r="H47273" s="612"/>
    </row>
    <row r="47274">
      <c r="B47274" s="612"/>
      <c r="H47274" s="612"/>
    </row>
    <row r="47275">
      <c r="B47275" s="612"/>
      <c r="H47275" s="612"/>
    </row>
    <row r="47276">
      <c r="B47276" s="612"/>
      <c r="H47276" s="612"/>
    </row>
    <row r="47277">
      <c r="B47277" s="612"/>
      <c r="H47277" s="612"/>
    </row>
    <row r="47278">
      <c r="B47278" s="612"/>
      <c r="H47278" s="612"/>
    </row>
    <row r="47279">
      <c r="B47279" s="612"/>
      <c r="H47279" s="612"/>
    </row>
    <row r="47280">
      <c r="B47280" s="612"/>
      <c r="H47280" s="612"/>
    </row>
    <row r="47281">
      <c r="B47281" s="612"/>
      <c r="H47281" s="612"/>
    </row>
    <row r="47282">
      <c r="B47282" s="612"/>
      <c r="H47282" s="612"/>
    </row>
    <row r="47283">
      <c r="B47283" s="612"/>
      <c r="H47283" s="612"/>
    </row>
    <row r="47284">
      <c r="B47284" s="612"/>
      <c r="H47284" s="612"/>
    </row>
    <row r="47285">
      <c r="B47285" s="612"/>
      <c r="H47285" s="612"/>
    </row>
    <row r="47286">
      <c r="B47286" s="612"/>
      <c r="H47286" s="612"/>
    </row>
    <row r="47287">
      <c r="B47287" s="612"/>
      <c r="H47287" s="612"/>
    </row>
    <row r="47288">
      <c r="B47288" s="612"/>
      <c r="H47288" s="612"/>
    </row>
    <row r="47289">
      <c r="B47289" s="612"/>
      <c r="H47289" s="612"/>
    </row>
    <row r="47290">
      <c r="B47290" s="612"/>
      <c r="H47290" s="612"/>
    </row>
    <row r="47291">
      <c r="B47291" s="612"/>
      <c r="H47291" s="612"/>
    </row>
    <row r="47292">
      <c r="B47292" s="612"/>
      <c r="H47292" s="612"/>
    </row>
    <row r="47293">
      <c r="B47293" s="612"/>
      <c r="H47293" s="612"/>
    </row>
    <row r="47294">
      <c r="B47294" s="612"/>
      <c r="H47294" s="612"/>
    </row>
    <row r="47295">
      <c r="B47295" s="612"/>
      <c r="H47295" s="612"/>
    </row>
    <row r="47296">
      <c r="B47296" s="612"/>
      <c r="H47296" s="612"/>
    </row>
    <row r="47297">
      <c r="B47297" s="612"/>
      <c r="H47297" s="612"/>
    </row>
    <row r="47298">
      <c r="B47298" s="612"/>
      <c r="H47298" s="612"/>
    </row>
    <row r="47299">
      <c r="B47299" s="612"/>
      <c r="H47299" s="612"/>
    </row>
    <row r="47300">
      <c r="B47300" s="612"/>
      <c r="H47300" s="612"/>
    </row>
    <row r="47301">
      <c r="B47301" s="612"/>
      <c r="H47301" s="612"/>
    </row>
    <row r="47302">
      <c r="B47302" s="612"/>
      <c r="H47302" s="612"/>
    </row>
    <row r="47303">
      <c r="B47303" s="612"/>
      <c r="H47303" s="612"/>
    </row>
    <row r="47304">
      <c r="B47304" s="612"/>
      <c r="H47304" s="612"/>
    </row>
    <row r="47305">
      <c r="B47305" s="612"/>
      <c r="H47305" s="612"/>
    </row>
    <row r="47306">
      <c r="B47306" s="612"/>
      <c r="H47306" s="612"/>
    </row>
    <row r="47307">
      <c r="B47307" s="612"/>
      <c r="H47307" s="612"/>
    </row>
    <row r="47308">
      <c r="B47308" s="612"/>
      <c r="H47308" s="612"/>
    </row>
    <row r="47309">
      <c r="B47309" s="612"/>
      <c r="H47309" s="612"/>
    </row>
    <row r="47310">
      <c r="B47310" s="612"/>
      <c r="H47310" s="612"/>
    </row>
    <row r="47311">
      <c r="B47311" s="612"/>
      <c r="H47311" s="612"/>
    </row>
    <row r="47312">
      <c r="B47312" s="612"/>
      <c r="H47312" s="612"/>
    </row>
    <row r="47313">
      <c r="B47313" s="612"/>
      <c r="H47313" s="612"/>
    </row>
    <row r="47314">
      <c r="B47314" s="612"/>
      <c r="H47314" s="612"/>
    </row>
    <row r="47315">
      <c r="B47315" s="612"/>
      <c r="H47315" s="612"/>
    </row>
    <row r="47316">
      <c r="B47316" s="612"/>
      <c r="H47316" s="612"/>
    </row>
    <row r="47317">
      <c r="B47317" s="612"/>
      <c r="H47317" s="612"/>
    </row>
    <row r="47318">
      <c r="B47318" s="612"/>
      <c r="H47318" s="612"/>
    </row>
    <row r="47319">
      <c r="B47319" s="612"/>
      <c r="H47319" s="612"/>
    </row>
    <row r="47320">
      <c r="B47320" s="612"/>
      <c r="H47320" s="612"/>
    </row>
    <row r="47321">
      <c r="B47321" s="612"/>
      <c r="H47321" s="612"/>
    </row>
    <row r="47322">
      <c r="B47322" s="612"/>
      <c r="H47322" s="612"/>
    </row>
    <row r="47323">
      <c r="B47323" s="612"/>
      <c r="H47323" s="612"/>
    </row>
    <row r="47324">
      <c r="B47324" s="612"/>
      <c r="H47324" s="612"/>
    </row>
    <row r="47325">
      <c r="B47325" s="612"/>
      <c r="H47325" s="612"/>
    </row>
    <row r="47326">
      <c r="B47326" s="612"/>
      <c r="H47326" s="612"/>
    </row>
    <row r="47327">
      <c r="B47327" s="612"/>
      <c r="H47327" s="612"/>
    </row>
    <row r="47328">
      <c r="B47328" s="612"/>
      <c r="H47328" s="612"/>
    </row>
    <row r="47329">
      <c r="B47329" s="612"/>
      <c r="H47329" s="612"/>
    </row>
    <row r="47330">
      <c r="B47330" s="612"/>
      <c r="H47330" s="612"/>
    </row>
    <row r="47331">
      <c r="B47331" s="612"/>
      <c r="H47331" s="612"/>
    </row>
    <row r="47332">
      <c r="B47332" s="612"/>
      <c r="H47332" s="612"/>
    </row>
    <row r="47333">
      <c r="B47333" s="612"/>
      <c r="H47333" s="612"/>
    </row>
    <row r="47334">
      <c r="B47334" s="612"/>
      <c r="H47334" s="612"/>
    </row>
    <row r="47335">
      <c r="B47335" s="612"/>
      <c r="H47335" s="612"/>
    </row>
    <row r="47336">
      <c r="B47336" s="612"/>
      <c r="H47336" s="612"/>
    </row>
    <row r="47337">
      <c r="B47337" s="612"/>
      <c r="H47337" s="612"/>
    </row>
    <row r="47338">
      <c r="B47338" s="612"/>
      <c r="H47338" s="612"/>
    </row>
    <row r="47339">
      <c r="B47339" s="612"/>
      <c r="H47339" s="612"/>
    </row>
    <row r="47340">
      <c r="B47340" s="612"/>
      <c r="H47340" s="612"/>
    </row>
    <row r="47341">
      <c r="B47341" s="612"/>
      <c r="H47341" s="612"/>
    </row>
    <row r="47342">
      <c r="B47342" s="612"/>
      <c r="H47342" s="612"/>
    </row>
    <row r="47343">
      <c r="B47343" s="612"/>
      <c r="H47343" s="612"/>
    </row>
    <row r="47344">
      <c r="B47344" s="612"/>
      <c r="H47344" s="612"/>
    </row>
    <row r="47345">
      <c r="B47345" s="612"/>
      <c r="H47345" s="612"/>
    </row>
    <row r="47346">
      <c r="B47346" s="612"/>
      <c r="H47346" s="612"/>
    </row>
    <row r="47347">
      <c r="B47347" s="612"/>
      <c r="H47347" s="612"/>
    </row>
    <row r="47348">
      <c r="B47348" s="612"/>
      <c r="H47348" s="612"/>
    </row>
    <row r="47349">
      <c r="B47349" s="612"/>
      <c r="H47349" s="612"/>
    </row>
    <row r="47350">
      <c r="B47350" s="612"/>
      <c r="H47350" s="612"/>
    </row>
    <row r="47351">
      <c r="B47351" s="612"/>
      <c r="H47351" s="612"/>
    </row>
    <row r="47352">
      <c r="B47352" s="612"/>
      <c r="H47352" s="612"/>
    </row>
    <row r="47353">
      <c r="B47353" s="612"/>
      <c r="H47353" s="612"/>
    </row>
    <row r="47354">
      <c r="B47354" s="612"/>
      <c r="H47354" s="612"/>
    </row>
    <row r="47355">
      <c r="B47355" s="612"/>
      <c r="H47355" s="612"/>
    </row>
    <row r="47356">
      <c r="B47356" s="612"/>
      <c r="H47356" s="612"/>
    </row>
    <row r="47357">
      <c r="B47357" s="612"/>
      <c r="H47357" s="612"/>
    </row>
    <row r="47358">
      <c r="B47358" s="612"/>
      <c r="H47358" s="612"/>
    </row>
    <row r="47359">
      <c r="B47359" s="612"/>
      <c r="H47359" s="612"/>
    </row>
    <row r="47360">
      <c r="B47360" s="612"/>
      <c r="H47360" s="612"/>
    </row>
    <row r="47361">
      <c r="B47361" s="612"/>
      <c r="H47361" s="612"/>
    </row>
    <row r="47362">
      <c r="B47362" s="612"/>
      <c r="H47362" s="612"/>
    </row>
    <row r="47363">
      <c r="B47363" s="612"/>
      <c r="H47363" s="612"/>
    </row>
    <row r="47364">
      <c r="B47364" s="612"/>
      <c r="H47364" s="612"/>
    </row>
    <row r="47365">
      <c r="B47365" s="612"/>
      <c r="H47365" s="612"/>
    </row>
    <row r="47366">
      <c r="B47366" s="612"/>
      <c r="H47366" s="612"/>
    </row>
    <row r="47367">
      <c r="B47367" s="612"/>
      <c r="H47367" s="612"/>
    </row>
    <row r="47368">
      <c r="B47368" s="612"/>
      <c r="H47368" s="612"/>
    </row>
    <row r="47369">
      <c r="B47369" s="612"/>
      <c r="H47369" s="612"/>
    </row>
    <row r="47370">
      <c r="B47370" s="612"/>
      <c r="H47370" s="612"/>
    </row>
    <row r="47371">
      <c r="B47371" s="612"/>
      <c r="H47371" s="612"/>
    </row>
    <row r="47372">
      <c r="B47372" s="612"/>
      <c r="H47372" s="612"/>
    </row>
    <row r="47373">
      <c r="B47373" s="612"/>
      <c r="H47373" s="612"/>
    </row>
    <row r="47374">
      <c r="B47374" s="612"/>
      <c r="H47374" s="612"/>
    </row>
    <row r="47375">
      <c r="B47375" s="612"/>
      <c r="H47375" s="612"/>
    </row>
    <row r="47376">
      <c r="B47376" s="612"/>
      <c r="H47376" s="612"/>
    </row>
    <row r="47377">
      <c r="B47377" s="612"/>
      <c r="H47377" s="612"/>
    </row>
    <row r="47378">
      <c r="B47378" s="612"/>
      <c r="H47378" s="612"/>
    </row>
    <row r="47379">
      <c r="B47379" s="612"/>
      <c r="H47379" s="612"/>
    </row>
    <row r="47380">
      <c r="B47380" s="612"/>
      <c r="H47380" s="612"/>
    </row>
    <row r="47381">
      <c r="B47381" s="612"/>
      <c r="H47381" s="612"/>
    </row>
    <row r="47382">
      <c r="B47382" s="612"/>
      <c r="H47382" s="612"/>
    </row>
    <row r="47383">
      <c r="B47383" s="612"/>
      <c r="H47383" s="612"/>
    </row>
    <row r="47384">
      <c r="B47384" s="612"/>
      <c r="H47384" s="612"/>
    </row>
    <row r="47385">
      <c r="B47385" s="612"/>
      <c r="H47385" s="612"/>
    </row>
    <row r="47386">
      <c r="B47386" s="612"/>
      <c r="H47386" s="612"/>
    </row>
    <row r="47387">
      <c r="B47387" s="612"/>
      <c r="H47387" s="612"/>
    </row>
    <row r="47388">
      <c r="B47388" s="612"/>
      <c r="H47388" s="612"/>
    </row>
    <row r="47389">
      <c r="B47389" s="612"/>
      <c r="H47389" s="612"/>
    </row>
    <row r="47390">
      <c r="B47390" s="612"/>
      <c r="H47390" s="612"/>
    </row>
    <row r="47391">
      <c r="B47391" s="612"/>
      <c r="H47391" s="612"/>
    </row>
    <row r="47392">
      <c r="B47392" s="612"/>
      <c r="H47392" s="612"/>
    </row>
    <row r="47393">
      <c r="B47393" s="612"/>
      <c r="H47393" s="612"/>
    </row>
    <row r="47394">
      <c r="B47394" s="612"/>
      <c r="H47394" s="612"/>
    </row>
    <row r="47395">
      <c r="B47395" s="612"/>
      <c r="H47395" s="612"/>
    </row>
    <row r="47396">
      <c r="B47396" s="612"/>
      <c r="H47396" s="612"/>
    </row>
    <row r="47397">
      <c r="B47397" s="612"/>
      <c r="H47397" s="612"/>
    </row>
    <row r="47398">
      <c r="B47398" s="612"/>
      <c r="H47398" s="612"/>
    </row>
    <row r="47399">
      <c r="B47399" s="612"/>
      <c r="H47399" s="612"/>
    </row>
    <row r="47400">
      <c r="B47400" s="612"/>
      <c r="H47400" s="612"/>
    </row>
    <row r="47401">
      <c r="B47401" s="612"/>
      <c r="H47401" s="612"/>
    </row>
    <row r="47402">
      <c r="B47402" s="612"/>
      <c r="H47402" s="612"/>
    </row>
    <row r="47403">
      <c r="B47403" s="612"/>
      <c r="H47403" s="612"/>
    </row>
    <row r="47404">
      <c r="B47404" s="612"/>
      <c r="H47404" s="612"/>
    </row>
    <row r="47405">
      <c r="B47405" s="612"/>
      <c r="H47405" s="612"/>
    </row>
    <row r="47406">
      <c r="B47406" s="612"/>
      <c r="H47406" s="612"/>
    </row>
    <row r="47407">
      <c r="B47407" s="612"/>
      <c r="H47407" s="612"/>
    </row>
    <row r="47408">
      <c r="B47408" s="612"/>
      <c r="H47408" s="612"/>
    </row>
    <row r="47409">
      <c r="B47409" s="612"/>
      <c r="H47409" s="612"/>
    </row>
    <row r="47410">
      <c r="B47410" s="612"/>
      <c r="H47410" s="612"/>
    </row>
    <row r="47411">
      <c r="B47411" s="612"/>
      <c r="H47411" s="612"/>
    </row>
    <row r="47412">
      <c r="B47412" s="612"/>
      <c r="H47412" s="612"/>
    </row>
    <row r="47413">
      <c r="B47413" s="612"/>
      <c r="H47413" s="612"/>
    </row>
    <row r="47414">
      <c r="B47414" s="612"/>
      <c r="H47414" s="612"/>
    </row>
    <row r="47415">
      <c r="B47415" s="612"/>
      <c r="H47415" s="612"/>
    </row>
    <row r="47416">
      <c r="B47416" s="612"/>
      <c r="H47416" s="612"/>
    </row>
    <row r="47417">
      <c r="B47417" s="612"/>
      <c r="H47417" s="612"/>
    </row>
    <row r="47418">
      <c r="B47418" s="612"/>
      <c r="H47418" s="612"/>
    </row>
    <row r="47419">
      <c r="B47419" s="612"/>
      <c r="H47419" s="612"/>
    </row>
    <row r="47420">
      <c r="B47420" s="612"/>
      <c r="H47420" s="612"/>
    </row>
    <row r="47421">
      <c r="B47421" s="612"/>
      <c r="H47421" s="612"/>
    </row>
    <row r="47422">
      <c r="B47422" s="612"/>
      <c r="H47422" s="612"/>
    </row>
    <row r="47423">
      <c r="B47423" s="612"/>
      <c r="H47423" s="612"/>
    </row>
    <row r="47424">
      <c r="B47424" s="612"/>
      <c r="H47424" s="612"/>
    </row>
    <row r="47425">
      <c r="B47425" s="612"/>
      <c r="H47425" s="612"/>
    </row>
    <row r="47426">
      <c r="B47426" s="612"/>
      <c r="H47426" s="612"/>
    </row>
    <row r="47427">
      <c r="B47427" s="612"/>
      <c r="H47427" s="612"/>
    </row>
    <row r="47428">
      <c r="B47428" s="612"/>
      <c r="H47428" s="612"/>
    </row>
    <row r="47429">
      <c r="B47429" s="612"/>
      <c r="H47429" s="612"/>
    </row>
    <row r="47430">
      <c r="B47430" s="612"/>
      <c r="H47430" s="612"/>
    </row>
    <row r="47431">
      <c r="B47431" s="612"/>
      <c r="H47431" s="612"/>
    </row>
    <row r="47432">
      <c r="B47432" s="612"/>
      <c r="H47432" s="612"/>
    </row>
    <row r="47433">
      <c r="B47433" s="612"/>
      <c r="H47433" s="612"/>
    </row>
    <row r="47434">
      <c r="B47434" s="612"/>
      <c r="H47434" s="612"/>
    </row>
    <row r="47435">
      <c r="B47435" s="612"/>
      <c r="H47435" s="612"/>
    </row>
    <row r="47436">
      <c r="B47436" s="612"/>
      <c r="H47436" s="612"/>
    </row>
    <row r="47437">
      <c r="B47437" s="612"/>
      <c r="H47437" s="612"/>
    </row>
    <row r="47438">
      <c r="B47438" s="612"/>
      <c r="H47438" s="612"/>
    </row>
    <row r="47439">
      <c r="B47439" s="612"/>
      <c r="H47439" s="612"/>
    </row>
    <row r="47440">
      <c r="B47440" s="612"/>
      <c r="H47440" s="612"/>
    </row>
    <row r="47441">
      <c r="B47441" s="612"/>
      <c r="H47441" s="612"/>
    </row>
    <row r="47442">
      <c r="B47442" s="612"/>
      <c r="H47442" s="612"/>
    </row>
    <row r="47443">
      <c r="B47443" s="612"/>
      <c r="H47443" s="612"/>
    </row>
    <row r="47444">
      <c r="B47444" s="612"/>
      <c r="H47444" s="612"/>
    </row>
    <row r="47445">
      <c r="B47445" s="612"/>
      <c r="H47445" s="612"/>
    </row>
    <row r="47446">
      <c r="B47446" s="612"/>
      <c r="H47446" s="612"/>
    </row>
    <row r="47447">
      <c r="B47447" s="612"/>
      <c r="H47447" s="612"/>
    </row>
    <row r="47448">
      <c r="B47448" s="612"/>
      <c r="H47448" s="612"/>
    </row>
    <row r="47449">
      <c r="B47449" s="612"/>
      <c r="H47449" s="612"/>
    </row>
    <row r="47450">
      <c r="B47450" s="612"/>
      <c r="H47450" s="612"/>
    </row>
    <row r="47451">
      <c r="B47451" s="612"/>
      <c r="H47451" s="612"/>
    </row>
    <row r="47452">
      <c r="B47452" s="612"/>
      <c r="H47452" s="612"/>
    </row>
    <row r="47453">
      <c r="B47453" s="612"/>
      <c r="H47453" s="612"/>
    </row>
    <row r="47454">
      <c r="B47454" s="612"/>
      <c r="H47454" s="612"/>
    </row>
    <row r="47455">
      <c r="B47455" s="612"/>
      <c r="H47455" s="612"/>
    </row>
    <row r="47456">
      <c r="B47456" s="612"/>
      <c r="H47456" s="612"/>
    </row>
    <row r="47457">
      <c r="B47457" s="612"/>
      <c r="H47457" s="612"/>
    </row>
    <row r="47458">
      <c r="B47458" s="612"/>
      <c r="H47458" s="612"/>
    </row>
    <row r="47459">
      <c r="B47459" s="612"/>
      <c r="H47459" s="612"/>
    </row>
    <row r="47460">
      <c r="B47460" s="612"/>
      <c r="H47460" s="612"/>
    </row>
    <row r="47461">
      <c r="B47461" s="612"/>
      <c r="H47461" s="612"/>
    </row>
    <row r="47462">
      <c r="B47462" s="612"/>
      <c r="H47462" s="612"/>
    </row>
    <row r="47463">
      <c r="B47463" s="612"/>
      <c r="H47463" s="612"/>
    </row>
    <row r="47464">
      <c r="B47464" s="612"/>
      <c r="H47464" s="612"/>
    </row>
    <row r="47465">
      <c r="B47465" s="612"/>
      <c r="H47465" s="612"/>
    </row>
    <row r="47466">
      <c r="B47466" s="612"/>
      <c r="H47466" s="612"/>
    </row>
    <row r="47467">
      <c r="B47467" s="612"/>
      <c r="H47467" s="612"/>
    </row>
    <row r="47468">
      <c r="B47468" s="612"/>
      <c r="H47468" s="612"/>
    </row>
    <row r="47469">
      <c r="B47469" s="612"/>
      <c r="H47469" s="612"/>
    </row>
    <row r="47470">
      <c r="B47470" s="612"/>
      <c r="H47470" s="612"/>
    </row>
    <row r="47471">
      <c r="B47471" s="612"/>
      <c r="H47471" s="612"/>
    </row>
    <row r="47472">
      <c r="B47472" s="612"/>
      <c r="H47472" s="612"/>
    </row>
    <row r="47473">
      <c r="B47473" s="612"/>
      <c r="H47473" s="612"/>
    </row>
    <row r="47474">
      <c r="B47474" s="612"/>
      <c r="H47474" s="612"/>
    </row>
    <row r="47475">
      <c r="B47475" s="612"/>
      <c r="H47475" s="612"/>
    </row>
    <row r="47476">
      <c r="B47476" s="612"/>
      <c r="H47476" s="612"/>
    </row>
    <row r="47477">
      <c r="B47477" s="612"/>
      <c r="H47477" s="612"/>
    </row>
    <row r="47478">
      <c r="B47478" s="612"/>
      <c r="H47478" s="612"/>
    </row>
    <row r="47479">
      <c r="B47479" s="612"/>
      <c r="H47479" s="612"/>
    </row>
    <row r="47480">
      <c r="B47480" s="612"/>
      <c r="H47480" s="612"/>
    </row>
    <row r="47481">
      <c r="B47481" s="612"/>
      <c r="H47481" s="612"/>
    </row>
    <row r="47482">
      <c r="B47482" s="612"/>
      <c r="H47482" s="612"/>
    </row>
    <row r="47483">
      <c r="B47483" s="612"/>
      <c r="H47483" s="612"/>
    </row>
    <row r="47484">
      <c r="B47484" s="612"/>
      <c r="H47484" s="612"/>
    </row>
    <row r="47485">
      <c r="B47485" s="612"/>
      <c r="H47485" s="612"/>
    </row>
    <row r="47486">
      <c r="B47486" s="612"/>
      <c r="H47486" s="612"/>
    </row>
    <row r="47487">
      <c r="B47487" s="612"/>
      <c r="H47487" s="612"/>
    </row>
    <row r="47488">
      <c r="B47488" s="612"/>
      <c r="H47488" s="612"/>
    </row>
    <row r="47489">
      <c r="B47489" s="612"/>
      <c r="H47489" s="612"/>
    </row>
    <row r="47490">
      <c r="B47490" s="612"/>
      <c r="H47490" s="612"/>
    </row>
    <row r="47491">
      <c r="B47491" s="612"/>
      <c r="H47491" s="612"/>
    </row>
    <row r="47492">
      <c r="B47492" s="612"/>
      <c r="H47492" s="612"/>
    </row>
    <row r="47493">
      <c r="B47493" s="612"/>
      <c r="H47493" s="612"/>
    </row>
    <row r="47494">
      <c r="B47494" s="612"/>
      <c r="H47494" s="612"/>
    </row>
    <row r="47495">
      <c r="B47495" s="612"/>
      <c r="H47495" s="612"/>
    </row>
    <row r="47496">
      <c r="B47496" s="612"/>
      <c r="H47496" s="612"/>
    </row>
    <row r="47497">
      <c r="B47497" s="612"/>
      <c r="H47497" s="612"/>
    </row>
    <row r="47498">
      <c r="B47498" s="612"/>
      <c r="H47498" s="612"/>
    </row>
    <row r="47499">
      <c r="B47499" s="612"/>
      <c r="H47499" s="612"/>
    </row>
    <row r="47500">
      <c r="B47500" s="612"/>
      <c r="H47500" s="612"/>
    </row>
    <row r="47501">
      <c r="B47501" s="612"/>
      <c r="H47501" s="612"/>
    </row>
    <row r="47502">
      <c r="B47502" s="612"/>
      <c r="H47502" s="612"/>
    </row>
    <row r="47503">
      <c r="B47503" s="612"/>
      <c r="H47503" s="612"/>
    </row>
    <row r="47504">
      <c r="B47504" s="612"/>
      <c r="H47504" s="612"/>
    </row>
    <row r="47505">
      <c r="B47505" s="612"/>
      <c r="H47505" s="612"/>
    </row>
    <row r="47506">
      <c r="B47506" s="612"/>
      <c r="H47506" s="612"/>
    </row>
    <row r="47507">
      <c r="B47507" s="612"/>
      <c r="H47507" s="612"/>
    </row>
    <row r="47508">
      <c r="B47508" s="612"/>
      <c r="H47508" s="612"/>
    </row>
    <row r="47509">
      <c r="B47509" s="612"/>
      <c r="H47509" s="612"/>
    </row>
    <row r="47510">
      <c r="B47510" s="612"/>
      <c r="H47510" s="612"/>
    </row>
    <row r="47511">
      <c r="B47511" s="612"/>
      <c r="H47511" s="612"/>
    </row>
    <row r="47512">
      <c r="B47512" s="612"/>
      <c r="H47512" s="612"/>
    </row>
    <row r="47513">
      <c r="B47513" s="612"/>
      <c r="H47513" s="612"/>
    </row>
    <row r="47514">
      <c r="B47514" s="612"/>
      <c r="H47514" s="612"/>
    </row>
    <row r="47515">
      <c r="B47515" s="612"/>
      <c r="H47515" s="612"/>
    </row>
    <row r="47516">
      <c r="B47516" s="612"/>
      <c r="H47516" s="612"/>
    </row>
    <row r="47517">
      <c r="B47517" s="612"/>
      <c r="H47517" s="612"/>
    </row>
    <row r="47518">
      <c r="B47518" s="612"/>
      <c r="H47518" s="612"/>
    </row>
    <row r="47519">
      <c r="B47519" s="612"/>
      <c r="H47519" s="612"/>
    </row>
    <row r="47520">
      <c r="B47520" s="612"/>
      <c r="H47520" s="612"/>
    </row>
    <row r="47521">
      <c r="B47521" s="612"/>
      <c r="H47521" s="612"/>
    </row>
    <row r="47522">
      <c r="B47522" s="612"/>
      <c r="H47522" s="612"/>
    </row>
    <row r="47523">
      <c r="B47523" s="612"/>
      <c r="H47523" s="612"/>
    </row>
    <row r="47524">
      <c r="B47524" s="612"/>
      <c r="H47524" s="612"/>
    </row>
    <row r="47525">
      <c r="B47525" s="612"/>
      <c r="H47525" s="612"/>
    </row>
    <row r="47526">
      <c r="B47526" s="612"/>
      <c r="H47526" s="612"/>
    </row>
    <row r="47527">
      <c r="B47527" s="612"/>
      <c r="H47527" s="612"/>
    </row>
    <row r="47528">
      <c r="B47528" s="612"/>
      <c r="H47528" s="612"/>
    </row>
    <row r="47529">
      <c r="B47529" s="612"/>
      <c r="H47529" s="612"/>
    </row>
    <row r="47530">
      <c r="B47530" s="612"/>
      <c r="H47530" s="612"/>
    </row>
    <row r="47531">
      <c r="B47531" s="612"/>
      <c r="H47531" s="612"/>
    </row>
    <row r="47532">
      <c r="B47532" s="612"/>
      <c r="H47532" s="612"/>
    </row>
    <row r="47533">
      <c r="B47533" s="612"/>
      <c r="H47533" s="612"/>
    </row>
    <row r="47534">
      <c r="B47534" s="612"/>
      <c r="H47534" s="612"/>
    </row>
    <row r="47535">
      <c r="B47535" s="612"/>
      <c r="H47535" s="612"/>
    </row>
    <row r="47536">
      <c r="B47536" s="612"/>
      <c r="H47536" s="612"/>
    </row>
    <row r="47537">
      <c r="B47537" s="612"/>
      <c r="H47537" s="612"/>
    </row>
    <row r="47538">
      <c r="B47538" s="612"/>
      <c r="H47538" s="612"/>
    </row>
    <row r="47539">
      <c r="B47539" s="612"/>
      <c r="H47539" s="612"/>
    </row>
    <row r="47540">
      <c r="B47540" s="612"/>
      <c r="H47540" s="612"/>
    </row>
    <row r="47541">
      <c r="B47541" s="612"/>
      <c r="H47541" s="612"/>
    </row>
    <row r="47542">
      <c r="B47542" s="612"/>
      <c r="H47542" s="612"/>
    </row>
    <row r="47543">
      <c r="B47543" s="612"/>
      <c r="H47543" s="612"/>
    </row>
    <row r="47544">
      <c r="B47544" s="612"/>
      <c r="H47544" s="612"/>
    </row>
    <row r="47545">
      <c r="B47545" s="612"/>
      <c r="H47545" s="612"/>
    </row>
    <row r="47546">
      <c r="B47546" s="612"/>
      <c r="H47546" s="612"/>
    </row>
    <row r="47547">
      <c r="B47547" s="612"/>
      <c r="H47547" s="612"/>
    </row>
    <row r="47548">
      <c r="B47548" s="612"/>
      <c r="H47548" s="612"/>
    </row>
    <row r="47549">
      <c r="B47549" s="612"/>
      <c r="H47549" s="612"/>
    </row>
    <row r="47550">
      <c r="B47550" s="612"/>
      <c r="H47550" s="612"/>
    </row>
    <row r="47551">
      <c r="B47551" s="612"/>
      <c r="H47551" s="612"/>
    </row>
    <row r="47552">
      <c r="B47552" s="612"/>
      <c r="H47552" s="612"/>
    </row>
    <row r="47553">
      <c r="B47553" s="612"/>
      <c r="H47553" s="612"/>
    </row>
    <row r="47554">
      <c r="B47554" s="612"/>
      <c r="H47554" s="612"/>
    </row>
    <row r="47555">
      <c r="B47555" s="612"/>
      <c r="H47555" s="612"/>
    </row>
    <row r="47556">
      <c r="B47556" s="612"/>
      <c r="H47556" s="612"/>
    </row>
    <row r="47557">
      <c r="B47557" s="612"/>
      <c r="H47557" s="612"/>
    </row>
    <row r="47558">
      <c r="B47558" s="612"/>
      <c r="H47558" s="612"/>
    </row>
    <row r="47559">
      <c r="B47559" s="612"/>
      <c r="H47559" s="612"/>
    </row>
    <row r="47560">
      <c r="B47560" s="612"/>
      <c r="H47560" s="612"/>
    </row>
    <row r="47561">
      <c r="B47561" s="612"/>
      <c r="H47561" s="612"/>
    </row>
    <row r="47562">
      <c r="B47562" s="612"/>
      <c r="H47562" s="612"/>
    </row>
    <row r="47563">
      <c r="B47563" s="612"/>
      <c r="H47563" s="612"/>
    </row>
    <row r="47564">
      <c r="B47564" s="612"/>
      <c r="H47564" s="612"/>
    </row>
    <row r="47565">
      <c r="B47565" s="612"/>
      <c r="H47565" s="612"/>
    </row>
    <row r="47566">
      <c r="B47566" s="612"/>
      <c r="H47566" s="612"/>
    </row>
    <row r="47567">
      <c r="B47567" s="612"/>
      <c r="H47567" s="612"/>
    </row>
    <row r="47568">
      <c r="B47568" s="612"/>
      <c r="H47568" s="612"/>
    </row>
    <row r="47569">
      <c r="B47569" s="612"/>
      <c r="H47569" s="612"/>
    </row>
    <row r="47570">
      <c r="B47570" s="612"/>
      <c r="H47570" s="612"/>
    </row>
    <row r="47571">
      <c r="B47571" s="612"/>
      <c r="H47571" s="612"/>
    </row>
    <row r="47572">
      <c r="B47572" s="612"/>
      <c r="H47572" s="612"/>
    </row>
    <row r="47573">
      <c r="B47573" s="612"/>
      <c r="H47573" s="612"/>
    </row>
    <row r="47574">
      <c r="B47574" s="612"/>
      <c r="H47574" s="612"/>
    </row>
    <row r="47575">
      <c r="B47575" s="612"/>
      <c r="H47575" s="612"/>
    </row>
    <row r="47576">
      <c r="B47576" s="612"/>
      <c r="H47576" s="612"/>
    </row>
    <row r="47577">
      <c r="B47577" s="612"/>
      <c r="H47577" s="612"/>
    </row>
    <row r="47578">
      <c r="B47578" s="612"/>
      <c r="H47578" s="612"/>
    </row>
    <row r="47579">
      <c r="B47579" s="612"/>
      <c r="H47579" s="612"/>
    </row>
    <row r="47580">
      <c r="B47580" s="612"/>
      <c r="H47580" s="612"/>
    </row>
    <row r="47581">
      <c r="B47581" s="612"/>
      <c r="H47581" s="612"/>
    </row>
    <row r="47582">
      <c r="B47582" s="612"/>
      <c r="H47582" s="612"/>
    </row>
    <row r="47583">
      <c r="B47583" s="612"/>
      <c r="H47583" s="612"/>
    </row>
    <row r="47584">
      <c r="B47584" s="612"/>
      <c r="H47584" s="612"/>
    </row>
    <row r="47585">
      <c r="B47585" s="612"/>
      <c r="H47585" s="612"/>
    </row>
    <row r="47586">
      <c r="B47586" s="612"/>
      <c r="H47586" s="612"/>
    </row>
    <row r="47587">
      <c r="B47587" s="612"/>
      <c r="H47587" s="612"/>
    </row>
    <row r="47588">
      <c r="B47588" s="612"/>
      <c r="H47588" s="612"/>
    </row>
    <row r="47589">
      <c r="B47589" s="612"/>
      <c r="H47589" s="612"/>
    </row>
    <row r="47590">
      <c r="B47590" s="612"/>
      <c r="H47590" s="612"/>
    </row>
    <row r="47591">
      <c r="B47591" s="612"/>
      <c r="H47591" s="612"/>
    </row>
    <row r="47592">
      <c r="B47592" s="612"/>
      <c r="H47592" s="612"/>
    </row>
    <row r="47593">
      <c r="B47593" s="612"/>
      <c r="H47593" s="612"/>
    </row>
    <row r="47594">
      <c r="B47594" s="612"/>
      <c r="H47594" s="612"/>
    </row>
    <row r="47595">
      <c r="B47595" s="612"/>
      <c r="H47595" s="612"/>
    </row>
    <row r="47596">
      <c r="B47596" s="612"/>
      <c r="H47596" s="612"/>
    </row>
    <row r="47597">
      <c r="B47597" s="612"/>
      <c r="H47597" s="612"/>
    </row>
    <row r="47598">
      <c r="B47598" s="612"/>
      <c r="H47598" s="612"/>
    </row>
    <row r="47599">
      <c r="B47599" s="612"/>
      <c r="H47599" s="612"/>
    </row>
    <row r="47600">
      <c r="B47600" s="612"/>
      <c r="H47600" s="612"/>
    </row>
    <row r="47601">
      <c r="B47601" s="612"/>
      <c r="H47601" s="612"/>
    </row>
    <row r="47602">
      <c r="B47602" s="612"/>
      <c r="H47602" s="612"/>
    </row>
    <row r="47603">
      <c r="B47603" s="612"/>
      <c r="H47603" s="612"/>
    </row>
    <row r="47604">
      <c r="B47604" s="612"/>
      <c r="H47604" s="612"/>
    </row>
    <row r="47605">
      <c r="B47605" s="612"/>
      <c r="H47605" s="612"/>
    </row>
    <row r="47606">
      <c r="B47606" s="612"/>
      <c r="H47606" s="612"/>
    </row>
    <row r="47607">
      <c r="B47607" s="612"/>
      <c r="H47607" s="612"/>
    </row>
    <row r="47608">
      <c r="B47608" s="612"/>
      <c r="H47608" s="612"/>
    </row>
    <row r="47609">
      <c r="B47609" s="612"/>
      <c r="H47609" s="612"/>
    </row>
    <row r="47610">
      <c r="B47610" s="612"/>
      <c r="H47610" s="612"/>
    </row>
    <row r="47611">
      <c r="B47611" s="612"/>
      <c r="H47611" s="612"/>
    </row>
    <row r="47612">
      <c r="B47612" s="612"/>
      <c r="H47612" s="612"/>
    </row>
    <row r="47613">
      <c r="B47613" s="612"/>
      <c r="H47613" s="612"/>
    </row>
    <row r="47614">
      <c r="B47614" s="612"/>
      <c r="H47614" s="612"/>
    </row>
    <row r="47615">
      <c r="B47615" s="612"/>
      <c r="H47615" s="612"/>
    </row>
    <row r="47616">
      <c r="B47616" s="612"/>
      <c r="H47616" s="612"/>
    </row>
    <row r="47617">
      <c r="B47617" s="612"/>
      <c r="H47617" s="612"/>
    </row>
    <row r="47618">
      <c r="B47618" s="612"/>
      <c r="H47618" s="612"/>
    </row>
    <row r="47619">
      <c r="B47619" s="612"/>
      <c r="H47619" s="612"/>
    </row>
    <row r="47620">
      <c r="B47620" s="612"/>
      <c r="H47620" s="612"/>
    </row>
    <row r="47621">
      <c r="B47621" s="612"/>
      <c r="H47621" s="612"/>
    </row>
    <row r="47622">
      <c r="B47622" s="612"/>
      <c r="H47622" s="612"/>
    </row>
    <row r="47623">
      <c r="B47623" s="612"/>
      <c r="H47623" s="612"/>
    </row>
    <row r="47624">
      <c r="B47624" s="612"/>
      <c r="H47624" s="612"/>
    </row>
    <row r="47625">
      <c r="B47625" s="612"/>
      <c r="H47625" s="612"/>
    </row>
    <row r="47626">
      <c r="B47626" s="612"/>
      <c r="H47626" s="612"/>
    </row>
    <row r="47627">
      <c r="B47627" s="612"/>
      <c r="H47627" s="612"/>
    </row>
    <row r="47628">
      <c r="B47628" s="612"/>
      <c r="H47628" s="612"/>
    </row>
    <row r="47629">
      <c r="B47629" s="612"/>
      <c r="H47629" s="612"/>
    </row>
    <row r="47630">
      <c r="B47630" s="612"/>
      <c r="H47630" s="612"/>
    </row>
    <row r="47631">
      <c r="B47631" s="612"/>
      <c r="H47631" s="612"/>
    </row>
    <row r="47632">
      <c r="B47632" s="612"/>
      <c r="H47632" s="612"/>
    </row>
    <row r="47633">
      <c r="B47633" s="612"/>
      <c r="H47633" s="612"/>
    </row>
    <row r="47634">
      <c r="B47634" s="612"/>
      <c r="H47634" s="612"/>
    </row>
    <row r="47635">
      <c r="B47635" s="612"/>
      <c r="H47635" s="612"/>
    </row>
    <row r="47636">
      <c r="B47636" s="612"/>
      <c r="H47636" s="612"/>
    </row>
    <row r="47637">
      <c r="B47637" s="612"/>
      <c r="H47637" s="612"/>
    </row>
    <row r="47638">
      <c r="B47638" s="612"/>
      <c r="H47638" s="612"/>
    </row>
    <row r="47639">
      <c r="B47639" s="612"/>
      <c r="H47639" s="612"/>
    </row>
    <row r="47640">
      <c r="B47640" s="612"/>
      <c r="H47640" s="612"/>
    </row>
    <row r="47641">
      <c r="B47641" s="612"/>
      <c r="H47641" s="612"/>
    </row>
    <row r="47642">
      <c r="B47642" s="612"/>
      <c r="H47642" s="612"/>
    </row>
    <row r="47643">
      <c r="B47643" s="612"/>
      <c r="H47643" s="612"/>
    </row>
    <row r="47644">
      <c r="B47644" s="612"/>
      <c r="H47644" s="612"/>
    </row>
    <row r="47645">
      <c r="B47645" s="612"/>
      <c r="H47645" s="612"/>
    </row>
    <row r="47646">
      <c r="B47646" s="612"/>
      <c r="H47646" s="612"/>
    </row>
    <row r="47647">
      <c r="B47647" s="612"/>
      <c r="H47647" s="612"/>
    </row>
    <row r="47648">
      <c r="B47648" s="612"/>
      <c r="H47648" s="612"/>
    </row>
    <row r="47649">
      <c r="B47649" s="612"/>
      <c r="H47649" s="612"/>
    </row>
    <row r="47650">
      <c r="B47650" s="612"/>
      <c r="H47650" s="612"/>
    </row>
    <row r="47651">
      <c r="B47651" s="612"/>
      <c r="H47651" s="612"/>
    </row>
    <row r="47652">
      <c r="B47652" s="612"/>
      <c r="H47652" s="612"/>
    </row>
    <row r="47653">
      <c r="B47653" s="612"/>
      <c r="H47653" s="612"/>
    </row>
    <row r="47654">
      <c r="B47654" s="612"/>
      <c r="H47654" s="612"/>
    </row>
    <row r="47655">
      <c r="B47655" s="612"/>
      <c r="H47655" s="612"/>
    </row>
    <row r="47656">
      <c r="B47656" s="612"/>
      <c r="H47656" s="612"/>
    </row>
    <row r="47657">
      <c r="B47657" s="612"/>
      <c r="H47657" s="612"/>
    </row>
    <row r="47658">
      <c r="B47658" s="612"/>
      <c r="H47658" s="612"/>
    </row>
    <row r="47659">
      <c r="B47659" s="612"/>
      <c r="H47659" s="612"/>
    </row>
    <row r="47660">
      <c r="B47660" s="612"/>
      <c r="H47660" s="612"/>
    </row>
    <row r="47661">
      <c r="B47661" s="612"/>
      <c r="H47661" s="612"/>
    </row>
    <row r="47662">
      <c r="B47662" s="612"/>
      <c r="H47662" s="612"/>
    </row>
    <row r="47663">
      <c r="B47663" s="612"/>
      <c r="H47663" s="612"/>
    </row>
    <row r="47664">
      <c r="B47664" s="612"/>
      <c r="H47664" s="612"/>
    </row>
    <row r="47665">
      <c r="B47665" s="612"/>
      <c r="H47665" s="612"/>
    </row>
    <row r="47666">
      <c r="B47666" s="612"/>
      <c r="H47666" s="612"/>
    </row>
    <row r="47667">
      <c r="B47667" s="612"/>
      <c r="H47667" s="612"/>
    </row>
    <row r="47668">
      <c r="B47668" s="612"/>
      <c r="H47668" s="612"/>
    </row>
    <row r="47669">
      <c r="B47669" s="612"/>
      <c r="H47669" s="612"/>
    </row>
    <row r="47670">
      <c r="B47670" s="612"/>
      <c r="H47670" s="612"/>
    </row>
    <row r="47671">
      <c r="B47671" s="612"/>
      <c r="H47671" s="612"/>
    </row>
    <row r="47672">
      <c r="B47672" s="612"/>
      <c r="H47672" s="612"/>
    </row>
    <row r="47673">
      <c r="B47673" s="612"/>
      <c r="H47673" s="612"/>
    </row>
    <row r="47674">
      <c r="B47674" s="612"/>
      <c r="H47674" s="612"/>
    </row>
    <row r="47675">
      <c r="B47675" s="612"/>
      <c r="H47675" s="612"/>
    </row>
    <row r="47676">
      <c r="B47676" s="612"/>
      <c r="H47676" s="612"/>
    </row>
    <row r="47677">
      <c r="B47677" s="612"/>
      <c r="H47677" s="612"/>
    </row>
    <row r="47678">
      <c r="B47678" s="612"/>
      <c r="H47678" s="612"/>
    </row>
    <row r="47679">
      <c r="B47679" s="612"/>
      <c r="H47679" s="612"/>
    </row>
    <row r="47680">
      <c r="B47680" s="612"/>
      <c r="H47680" s="612"/>
    </row>
    <row r="47681">
      <c r="B47681" s="612"/>
      <c r="H47681" s="612"/>
    </row>
    <row r="47682">
      <c r="B47682" s="612"/>
      <c r="H47682" s="612"/>
    </row>
    <row r="47683">
      <c r="B47683" s="612"/>
      <c r="H47683" s="612"/>
    </row>
    <row r="47684">
      <c r="B47684" s="612"/>
      <c r="H47684" s="612"/>
    </row>
    <row r="47685">
      <c r="B47685" s="612"/>
      <c r="H47685" s="612"/>
    </row>
    <row r="47686">
      <c r="B47686" s="612"/>
      <c r="H47686" s="612"/>
    </row>
    <row r="47687">
      <c r="B47687" s="612"/>
      <c r="H47687" s="612"/>
    </row>
    <row r="47688">
      <c r="B47688" s="612"/>
      <c r="H47688" s="612"/>
    </row>
    <row r="47689">
      <c r="B47689" s="612"/>
      <c r="H47689" s="612"/>
    </row>
    <row r="47690">
      <c r="B47690" s="612"/>
      <c r="H47690" s="612"/>
    </row>
    <row r="47691">
      <c r="B47691" s="612"/>
      <c r="H47691" s="612"/>
    </row>
    <row r="47692">
      <c r="B47692" s="612"/>
      <c r="H47692" s="612"/>
    </row>
    <row r="47693">
      <c r="B47693" s="612"/>
      <c r="H47693" s="612"/>
    </row>
    <row r="47694">
      <c r="B47694" s="612"/>
      <c r="H47694" s="612"/>
    </row>
    <row r="47695">
      <c r="B47695" s="612"/>
      <c r="H47695" s="612"/>
    </row>
    <row r="47696">
      <c r="B47696" s="612"/>
      <c r="H47696" s="612"/>
    </row>
    <row r="47697">
      <c r="B47697" s="612"/>
      <c r="H47697" s="612"/>
    </row>
    <row r="47698">
      <c r="B47698" s="612"/>
      <c r="H47698" s="612"/>
    </row>
    <row r="47699">
      <c r="B47699" s="612"/>
      <c r="H47699" s="612"/>
    </row>
    <row r="47700">
      <c r="B47700" s="612"/>
      <c r="H47700" s="612"/>
    </row>
    <row r="47701">
      <c r="B47701" s="612"/>
      <c r="H47701" s="612"/>
    </row>
    <row r="47702">
      <c r="B47702" s="612"/>
      <c r="H47702" s="612"/>
    </row>
    <row r="47703">
      <c r="B47703" s="612"/>
      <c r="H47703" s="612"/>
    </row>
    <row r="47704">
      <c r="B47704" s="612"/>
      <c r="H47704" s="612"/>
    </row>
    <row r="47705">
      <c r="B47705" s="612"/>
      <c r="H47705" s="612"/>
    </row>
    <row r="47706">
      <c r="B47706" s="612"/>
      <c r="H47706" s="612"/>
    </row>
    <row r="47707">
      <c r="B47707" s="612"/>
      <c r="H47707" s="612"/>
    </row>
    <row r="47708">
      <c r="B47708" s="612"/>
      <c r="H47708" s="612"/>
    </row>
    <row r="47709">
      <c r="B47709" s="612"/>
      <c r="H47709" s="612"/>
    </row>
    <row r="47710">
      <c r="B47710" s="612"/>
      <c r="H47710" s="612"/>
    </row>
    <row r="47711">
      <c r="B47711" s="612"/>
      <c r="H47711" s="612"/>
    </row>
    <row r="47712">
      <c r="B47712" s="612"/>
      <c r="H47712" s="612"/>
    </row>
    <row r="47713">
      <c r="B47713" s="612"/>
      <c r="H47713" s="612"/>
    </row>
    <row r="47714">
      <c r="B47714" s="612"/>
      <c r="H47714" s="612"/>
    </row>
    <row r="47715">
      <c r="B47715" s="612"/>
      <c r="H47715" s="612"/>
    </row>
    <row r="47716">
      <c r="B47716" s="612"/>
      <c r="H47716" s="612"/>
    </row>
    <row r="47717">
      <c r="B47717" s="612"/>
      <c r="H47717" s="612"/>
    </row>
    <row r="47718">
      <c r="B47718" s="612"/>
      <c r="H47718" s="612"/>
    </row>
    <row r="47719">
      <c r="B47719" s="612"/>
      <c r="H47719" s="612"/>
    </row>
    <row r="47720">
      <c r="B47720" s="612"/>
      <c r="H47720" s="612"/>
    </row>
    <row r="47721">
      <c r="B47721" s="612"/>
      <c r="H47721" s="612"/>
    </row>
    <row r="47722">
      <c r="B47722" s="612"/>
      <c r="H47722" s="612"/>
    </row>
    <row r="47723">
      <c r="B47723" s="612"/>
      <c r="H47723" s="612"/>
    </row>
    <row r="47724">
      <c r="B47724" s="612"/>
      <c r="H47724" s="612"/>
    </row>
    <row r="47725">
      <c r="B47725" s="612"/>
      <c r="H47725" s="612"/>
    </row>
    <row r="47726">
      <c r="B47726" s="612"/>
      <c r="H47726" s="612"/>
    </row>
    <row r="47727">
      <c r="B47727" s="612"/>
      <c r="H47727" s="612"/>
    </row>
    <row r="47728">
      <c r="B47728" s="612"/>
      <c r="H47728" s="612"/>
    </row>
    <row r="47729">
      <c r="B47729" s="612"/>
      <c r="H47729" s="612"/>
    </row>
    <row r="47730">
      <c r="B47730" s="612"/>
      <c r="H47730" s="612"/>
    </row>
    <row r="47731">
      <c r="B47731" s="612"/>
      <c r="H47731" s="612"/>
    </row>
    <row r="47732">
      <c r="B47732" s="612"/>
      <c r="H47732" s="612"/>
    </row>
    <row r="47733">
      <c r="B47733" s="612"/>
      <c r="H47733" s="612"/>
    </row>
    <row r="47734">
      <c r="B47734" s="612"/>
      <c r="H47734" s="612"/>
    </row>
    <row r="47735">
      <c r="B47735" s="612"/>
      <c r="H47735" s="612"/>
    </row>
    <row r="47736">
      <c r="B47736" s="612"/>
      <c r="H47736" s="612"/>
    </row>
    <row r="47737">
      <c r="B47737" s="612"/>
      <c r="H47737" s="612"/>
    </row>
    <row r="47738">
      <c r="B47738" s="612"/>
      <c r="H47738" s="612"/>
    </row>
    <row r="47739">
      <c r="B47739" s="612"/>
      <c r="H47739" s="612"/>
    </row>
    <row r="47740">
      <c r="B47740" s="612"/>
      <c r="H47740" s="612"/>
    </row>
    <row r="47741">
      <c r="B47741" s="612"/>
      <c r="H47741" s="612"/>
    </row>
    <row r="47742">
      <c r="B47742" s="612"/>
      <c r="H47742" s="612"/>
    </row>
    <row r="47743">
      <c r="B47743" s="612"/>
      <c r="H47743" s="612"/>
    </row>
    <row r="47744">
      <c r="B47744" s="612"/>
      <c r="H47744" s="612"/>
    </row>
    <row r="47745">
      <c r="B47745" s="612"/>
      <c r="H47745" s="612"/>
    </row>
    <row r="47746">
      <c r="B47746" s="612"/>
      <c r="H47746" s="612"/>
    </row>
    <row r="47747">
      <c r="B47747" s="612"/>
      <c r="H47747" s="612"/>
    </row>
    <row r="47748">
      <c r="B47748" s="612"/>
      <c r="H47748" s="612"/>
    </row>
    <row r="47749">
      <c r="B47749" s="612"/>
      <c r="H47749" s="612"/>
    </row>
    <row r="47750">
      <c r="B47750" s="612"/>
      <c r="H47750" s="612"/>
    </row>
    <row r="47751">
      <c r="B47751" s="612"/>
      <c r="H47751" s="612"/>
    </row>
    <row r="47752">
      <c r="B47752" s="612"/>
      <c r="H47752" s="612"/>
    </row>
    <row r="47753">
      <c r="B47753" s="612"/>
      <c r="H47753" s="612"/>
    </row>
    <row r="47754">
      <c r="B47754" s="612"/>
      <c r="H47754" s="612"/>
    </row>
    <row r="47755">
      <c r="B47755" s="612"/>
      <c r="H47755" s="612"/>
    </row>
    <row r="47756">
      <c r="B47756" s="612"/>
      <c r="H47756" s="612"/>
    </row>
    <row r="47757">
      <c r="B47757" s="612"/>
      <c r="H47757" s="612"/>
    </row>
    <row r="47758">
      <c r="B47758" s="612"/>
      <c r="H47758" s="612"/>
    </row>
    <row r="47759">
      <c r="B47759" s="612"/>
      <c r="H47759" s="612"/>
    </row>
    <row r="47760">
      <c r="B47760" s="612"/>
      <c r="H47760" s="612"/>
    </row>
    <row r="47761">
      <c r="B47761" s="612"/>
      <c r="H47761" s="612"/>
    </row>
    <row r="47762">
      <c r="B47762" s="612"/>
      <c r="H47762" s="612"/>
    </row>
    <row r="47763">
      <c r="B47763" s="612"/>
      <c r="H47763" s="612"/>
    </row>
    <row r="47764">
      <c r="B47764" s="612"/>
      <c r="H47764" s="612"/>
    </row>
    <row r="47765">
      <c r="B47765" s="612"/>
      <c r="H47765" s="612"/>
    </row>
    <row r="47766">
      <c r="B47766" s="612"/>
      <c r="H47766" s="612"/>
    </row>
    <row r="47767">
      <c r="B47767" s="612"/>
      <c r="H47767" s="612"/>
    </row>
    <row r="47768">
      <c r="B47768" s="612"/>
      <c r="H47768" s="612"/>
    </row>
    <row r="47769">
      <c r="B47769" s="612"/>
      <c r="H47769" s="612"/>
    </row>
    <row r="47770">
      <c r="B47770" s="612"/>
      <c r="H47770" s="612"/>
    </row>
    <row r="47771">
      <c r="B47771" s="612"/>
      <c r="H47771" s="612"/>
    </row>
    <row r="47772">
      <c r="B47772" s="612"/>
      <c r="H47772" s="612"/>
    </row>
    <row r="47773">
      <c r="B47773" s="612"/>
      <c r="H47773" s="612"/>
    </row>
    <row r="47774">
      <c r="B47774" s="612"/>
      <c r="H47774" s="612"/>
    </row>
    <row r="47775">
      <c r="B47775" s="612"/>
      <c r="H47775" s="612"/>
    </row>
    <row r="47776">
      <c r="B47776" s="612"/>
      <c r="H47776" s="612"/>
    </row>
    <row r="47777">
      <c r="B47777" s="612"/>
      <c r="H47777" s="612"/>
    </row>
    <row r="47778">
      <c r="B47778" s="612"/>
      <c r="H47778" s="612"/>
    </row>
    <row r="47779">
      <c r="B47779" s="612"/>
      <c r="H47779" s="612"/>
    </row>
    <row r="47780">
      <c r="B47780" s="612"/>
      <c r="H47780" s="612"/>
    </row>
    <row r="47781">
      <c r="B47781" s="612"/>
      <c r="H47781" s="612"/>
    </row>
    <row r="47782">
      <c r="B47782" s="612"/>
      <c r="H47782" s="612"/>
    </row>
    <row r="47783">
      <c r="B47783" s="612"/>
      <c r="H47783" s="612"/>
    </row>
    <row r="47784">
      <c r="B47784" s="612"/>
      <c r="H47784" s="612"/>
    </row>
    <row r="47785">
      <c r="B47785" s="612"/>
      <c r="H47785" s="612"/>
    </row>
    <row r="47786">
      <c r="B47786" s="612"/>
      <c r="H47786" s="612"/>
    </row>
    <row r="47787">
      <c r="B47787" s="612"/>
      <c r="H47787" s="612"/>
    </row>
    <row r="47788">
      <c r="B47788" s="612"/>
      <c r="H47788" s="612"/>
    </row>
    <row r="47789">
      <c r="B47789" s="612"/>
      <c r="H47789" s="612"/>
    </row>
    <row r="47790">
      <c r="B47790" s="612"/>
      <c r="H47790" s="612"/>
    </row>
    <row r="47791">
      <c r="B47791" s="612"/>
      <c r="H47791" s="612"/>
    </row>
    <row r="47792">
      <c r="B47792" s="612"/>
      <c r="H47792" s="612"/>
    </row>
    <row r="47793">
      <c r="B47793" s="612"/>
      <c r="H47793" s="612"/>
    </row>
    <row r="47794">
      <c r="B47794" s="612"/>
      <c r="H47794" s="612"/>
    </row>
    <row r="47795">
      <c r="B47795" s="612"/>
      <c r="H47795" s="612"/>
    </row>
    <row r="47796">
      <c r="B47796" s="612"/>
      <c r="H47796" s="612"/>
    </row>
    <row r="47797">
      <c r="B47797" s="612"/>
      <c r="H47797" s="612"/>
    </row>
    <row r="47798">
      <c r="B47798" s="612"/>
      <c r="H47798" s="612"/>
    </row>
    <row r="47799">
      <c r="B47799" s="612"/>
      <c r="H47799" s="612"/>
    </row>
    <row r="47800">
      <c r="B47800" s="612"/>
      <c r="H47800" s="612"/>
    </row>
    <row r="47801">
      <c r="B47801" s="612"/>
      <c r="H47801" s="612"/>
    </row>
    <row r="47802">
      <c r="B47802" s="612"/>
      <c r="H47802" s="612"/>
    </row>
    <row r="47803">
      <c r="B47803" s="612"/>
      <c r="H47803" s="612"/>
    </row>
    <row r="47804">
      <c r="B47804" s="612"/>
      <c r="H47804" s="612"/>
    </row>
    <row r="47805">
      <c r="B47805" s="612"/>
      <c r="H47805" s="612"/>
    </row>
    <row r="47806">
      <c r="B47806" s="612"/>
      <c r="H47806" s="612"/>
    </row>
    <row r="47807">
      <c r="B47807" s="612"/>
      <c r="H47807" s="612"/>
    </row>
    <row r="47808">
      <c r="B47808" s="612"/>
      <c r="H47808" s="612"/>
    </row>
    <row r="47809">
      <c r="B47809" s="612"/>
      <c r="H47809" s="612"/>
    </row>
    <row r="47810">
      <c r="B47810" s="612"/>
      <c r="H47810" s="612"/>
    </row>
    <row r="47811">
      <c r="B47811" s="612"/>
      <c r="H47811" s="612"/>
    </row>
    <row r="47812">
      <c r="B47812" s="612"/>
      <c r="H47812" s="612"/>
    </row>
    <row r="47813">
      <c r="B47813" s="612"/>
      <c r="H47813" s="612"/>
    </row>
    <row r="47814">
      <c r="B47814" s="612"/>
      <c r="H47814" s="612"/>
    </row>
    <row r="47815">
      <c r="B47815" s="612"/>
      <c r="H47815" s="612"/>
    </row>
    <row r="47816">
      <c r="B47816" s="612"/>
      <c r="H47816" s="612"/>
    </row>
    <row r="47817">
      <c r="B47817" s="612"/>
      <c r="H47817" s="612"/>
    </row>
    <row r="47818">
      <c r="B47818" s="612"/>
      <c r="H47818" s="612"/>
    </row>
    <row r="47819">
      <c r="B47819" s="612"/>
      <c r="H47819" s="612"/>
    </row>
    <row r="47820">
      <c r="B47820" s="612"/>
      <c r="H47820" s="612"/>
    </row>
    <row r="47821">
      <c r="B47821" s="612"/>
      <c r="H47821" s="612"/>
    </row>
    <row r="47822">
      <c r="B47822" s="612"/>
      <c r="H47822" s="612"/>
    </row>
    <row r="47823">
      <c r="B47823" s="612"/>
      <c r="H47823" s="612"/>
    </row>
    <row r="47824">
      <c r="B47824" s="612"/>
      <c r="H47824" s="612"/>
    </row>
    <row r="47825">
      <c r="B47825" s="612"/>
      <c r="H47825" s="612"/>
    </row>
    <row r="47826">
      <c r="B47826" s="612"/>
      <c r="H47826" s="612"/>
    </row>
    <row r="47827">
      <c r="B47827" s="612"/>
      <c r="H47827" s="612"/>
    </row>
    <row r="47828">
      <c r="B47828" s="612"/>
      <c r="H47828" s="612"/>
    </row>
    <row r="47829">
      <c r="B47829" s="612"/>
      <c r="H47829" s="612"/>
    </row>
    <row r="47830">
      <c r="B47830" s="612"/>
      <c r="H47830" s="612"/>
    </row>
    <row r="47831">
      <c r="B47831" s="612"/>
      <c r="H47831" s="612"/>
    </row>
    <row r="47832">
      <c r="B47832" s="612"/>
      <c r="H47832" s="612"/>
    </row>
    <row r="47833">
      <c r="B47833" s="612"/>
      <c r="H47833" s="612"/>
    </row>
    <row r="47834">
      <c r="B47834" s="612"/>
      <c r="H47834" s="612"/>
    </row>
    <row r="47835">
      <c r="B47835" s="612"/>
      <c r="H47835" s="612"/>
    </row>
    <row r="47836">
      <c r="B47836" s="612"/>
      <c r="H47836" s="612"/>
    </row>
    <row r="47837">
      <c r="B47837" s="612"/>
      <c r="H47837" s="612"/>
    </row>
    <row r="47838">
      <c r="B47838" s="612"/>
      <c r="H47838" s="612"/>
    </row>
    <row r="47839">
      <c r="B47839" s="612"/>
      <c r="H47839" s="612"/>
    </row>
    <row r="47840">
      <c r="B47840" s="612"/>
      <c r="H47840" s="612"/>
    </row>
    <row r="47841">
      <c r="B47841" s="612"/>
      <c r="H47841" s="612"/>
    </row>
    <row r="47842">
      <c r="B47842" s="612"/>
      <c r="H47842" s="612"/>
    </row>
    <row r="47843">
      <c r="B47843" s="612"/>
      <c r="H47843" s="612"/>
    </row>
    <row r="47844">
      <c r="B47844" s="612"/>
      <c r="H47844" s="612"/>
    </row>
    <row r="47845">
      <c r="B47845" s="612"/>
      <c r="H47845" s="612"/>
    </row>
    <row r="47846">
      <c r="B47846" s="612"/>
      <c r="H47846" s="612"/>
    </row>
    <row r="47847">
      <c r="B47847" s="612"/>
      <c r="H47847" s="612"/>
    </row>
    <row r="47848">
      <c r="B47848" s="612"/>
      <c r="H47848" s="612"/>
    </row>
    <row r="47849">
      <c r="B47849" s="612"/>
      <c r="H47849" s="612"/>
    </row>
    <row r="47850">
      <c r="B47850" s="612"/>
      <c r="H47850" s="612"/>
    </row>
    <row r="47851">
      <c r="B47851" s="612"/>
      <c r="H47851" s="612"/>
    </row>
    <row r="47852">
      <c r="B47852" s="612"/>
      <c r="H47852" s="612"/>
    </row>
    <row r="47853">
      <c r="B47853" s="612"/>
      <c r="H47853" s="612"/>
    </row>
    <row r="47854">
      <c r="B47854" s="612"/>
      <c r="H47854" s="612"/>
    </row>
    <row r="47855">
      <c r="B47855" s="612"/>
      <c r="H47855" s="612"/>
    </row>
    <row r="47856">
      <c r="B47856" s="612"/>
      <c r="H47856" s="612"/>
    </row>
    <row r="47857">
      <c r="B47857" s="612"/>
      <c r="H47857" s="612"/>
    </row>
    <row r="47858">
      <c r="B47858" s="612"/>
      <c r="H47858" s="612"/>
    </row>
    <row r="47859">
      <c r="B47859" s="612"/>
      <c r="H47859" s="612"/>
    </row>
    <row r="47860">
      <c r="B47860" s="612"/>
      <c r="H47860" s="612"/>
    </row>
    <row r="47861">
      <c r="B47861" s="612"/>
      <c r="H47861" s="612"/>
    </row>
    <row r="47862">
      <c r="B47862" s="612"/>
      <c r="H47862" s="612"/>
    </row>
    <row r="47863">
      <c r="B47863" s="612"/>
      <c r="H47863" s="612"/>
    </row>
    <row r="47864">
      <c r="B47864" s="612"/>
      <c r="H47864" s="612"/>
    </row>
    <row r="47865">
      <c r="B47865" s="612"/>
      <c r="H47865" s="612"/>
    </row>
    <row r="47866">
      <c r="B47866" s="612"/>
      <c r="H47866" s="612"/>
    </row>
    <row r="47867">
      <c r="B47867" s="612"/>
      <c r="H47867" s="612"/>
    </row>
    <row r="47868">
      <c r="B47868" s="612"/>
      <c r="H47868" s="612"/>
    </row>
    <row r="47869">
      <c r="B47869" s="612"/>
      <c r="H47869" s="612"/>
    </row>
    <row r="47870">
      <c r="B47870" s="612"/>
      <c r="H47870" s="612"/>
    </row>
    <row r="47871">
      <c r="B47871" s="612"/>
      <c r="H47871" s="612"/>
    </row>
    <row r="47872">
      <c r="B47872" s="612"/>
      <c r="H47872" s="612"/>
    </row>
    <row r="47873">
      <c r="B47873" s="612"/>
      <c r="H47873" s="612"/>
    </row>
    <row r="47874">
      <c r="B47874" s="612"/>
      <c r="H47874" s="612"/>
    </row>
    <row r="47875">
      <c r="B47875" s="612"/>
      <c r="H47875" s="612"/>
    </row>
    <row r="47876">
      <c r="B47876" s="612"/>
      <c r="H47876" s="612"/>
    </row>
    <row r="47877">
      <c r="B47877" s="612"/>
      <c r="H47877" s="612"/>
    </row>
    <row r="47878">
      <c r="B47878" s="612"/>
      <c r="H47878" s="612"/>
    </row>
    <row r="47879">
      <c r="B47879" s="612"/>
      <c r="H47879" s="612"/>
    </row>
    <row r="47880">
      <c r="B47880" s="612"/>
      <c r="H47880" s="612"/>
    </row>
    <row r="47881">
      <c r="B47881" s="612"/>
      <c r="H47881" s="612"/>
    </row>
    <row r="47882">
      <c r="B47882" s="612"/>
      <c r="H47882" s="612"/>
    </row>
    <row r="47883">
      <c r="B47883" s="612"/>
      <c r="H47883" s="612"/>
    </row>
    <row r="47884">
      <c r="B47884" s="612"/>
      <c r="H47884" s="612"/>
    </row>
    <row r="47885">
      <c r="B47885" s="612"/>
      <c r="H47885" s="612"/>
    </row>
    <row r="47886">
      <c r="B47886" s="612"/>
      <c r="H47886" s="612"/>
    </row>
    <row r="47887">
      <c r="B47887" s="612"/>
      <c r="H47887" s="612"/>
    </row>
    <row r="47888">
      <c r="B47888" s="612"/>
      <c r="H47888" s="612"/>
    </row>
    <row r="47889">
      <c r="B47889" s="612"/>
      <c r="H47889" s="612"/>
    </row>
    <row r="47890">
      <c r="B47890" s="612"/>
      <c r="H47890" s="612"/>
    </row>
    <row r="47891">
      <c r="B47891" s="612"/>
      <c r="H47891" s="612"/>
    </row>
    <row r="47892">
      <c r="B47892" s="612"/>
      <c r="H47892" s="612"/>
    </row>
    <row r="47893">
      <c r="B47893" s="612"/>
      <c r="H47893" s="612"/>
    </row>
    <row r="47894">
      <c r="B47894" s="612"/>
      <c r="H47894" s="612"/>
    </row>
    <row r="47895">
      <c r="B47895" s="612"/>
      <c r="H47895" s="612"/>
    </row>
    <row r="47896">
      <c r="B47896" s="612"/>
      <c r="H47896" s="612"/>
    </row>
    <row r="47897">
      <c r="B47897" s="612"/>
      <c r="H47897" s="612"/>
    </row>
    <row r="47898">
      <c r="B47898" s="612"/>
      <c r="H47898" s="612"/>
    </row>
    <row r="47899">
      <c r="B47899" s="612"/>
      <c r="H47899" s="612"/>
    </row>
    <row r="47900">
      <c r="B47900" s="612"/>
      <c r="H47900" s="612"/>
    </row>
    <row r="47901">
      <c r="B47901" s="612"/>
      <c r="H47901" s="612"/>
    </row>
    <row r="47902">
      <c r="B47902" s="612"/>
      <c r="H47902" s="612"/>
    </row>
    <row r="47903">
      <c r="B47903" s="612"/>
      <c r="H47903" s="612"/>
    </row>
    <row r="47904">
      <c r="B47904" s="612"/>
      <c r="H47904" s="612"/>
    </row>
    <row r="47905">
      <c r="B47905" s="612"/>
      <c r="H47905" s="612"/>
    </row>
    <row r="47906">
      <c r="B47906" s="612"/>
      <c r="H47906" s="612"/>
    </row>
    <row r="47907">
      <c r="B47907" s="612"/>
      <c r="H47907" s="612"/>
    </row>
    <row r="47908">
      <c r="B47908" s="612"/>
      <c r="H47908" s="612"/>
    </row>
    <row r="47909">
      <c r="B47909" s="612"/>
      <c r="H47909" s="612"/>
    </row>
    <row r="47910">
      <c r="B47910" s="612"/>
      <c r="H47910" s="612"/>
    </row>
    <row r="47911">
      <c r="B47911" s="612"/>
      <c r="H47911" s="612"/>
    </row>
    <row r="47912">
      <c r="B47912" s="612"/>
      <c r="H47912" s="612"/>
    </row>
    <row r="47913">
      <c r="B47913" s="612"/>
      <c r="H47913" s="612"/>
    </row>
    <row r="47914">
      <c r="B47914" s="612"/>
      <c r="H47914" s="612"/>
    </row>
    <row r="47915">
      <c r="B47915" s="612"/>
      <c r="H47915" s="612"/>
    </row>
    <row r="47916">
      <c r="B47916" s="612"/>
      <c r="H47916" s="612"/>
    </row>
    <row r="47917">
      <c r="B47917" s="612"/>
      <c r="H47917" s="612"/>
    </row>
    <row r="47918">
      <c r="B47918" s="612"/>
      <c r="H47918" s="612"/>
    </row>
    <row r="47919">
      <c r="B47919" s="612"/>
      <c r="H47919" s="612"/>
    </row>
    <row r="47920">
      <c r="B47920" s="612"/>
      <c r="H47920" s="612"/>
    </row>
    <row r="47921">
      <c r="B47921" s="612"/>
      <c r="H47921" s="612"/>
    </row>
    <row r="47922">
      <c r="B47922" s="612"/>
      <c r="H47922" s="612"/>
    </row>
    <row r="47923">
      <c r="B47923" s="612"/>
      <c r="H47923" s="612"/>
    </row>
    <row r="47924">
      <c r="B47924" s="612"/>
      <c r="H47924" s="612"/>
    </row>
    <row r="47925">
      <c r="B47925" s="612"/>
      <c r="H47925" s="612"/>
    </row>
    <row r="47926">
      <c r="B47926" s="612"/>
      <c r="H47926" s="612"/>
    </row>
    <row r="47927">
      <c r="B47927" s="612"/>
      <c r="H47927" s="612"/>
    </row>
    <row r="47928">
      <c r="B47928" s="612"/>
      <c r="H47928" s="612"/>
    </row>
    <row r="47929">
      <c r="B47929" s="612"/>
      <c r="H47929" s="612"/>
    </row>
    <row r="47930">
      <c r="B47930" s="612"/>
      <c r="H47930" s="612"/>
    </row>
    <row r="47931">
      <c r="B47931" s="612"/>
      <c r="H47931" s="612"/>
    </row>
    <row r="47932">
      <c r="B47932" s="612"/>
      <c r="H47932" s="612"/>
    </row>
    <row r="47933">
      <c r="B47933" s="612"/>
      <c r="H47933" s="612"/>
    </row>
    <row r="47934">
      <c r="B47934" s="612"/>
      <c r="H47934" s="612"/>
    </row>
    <row r="47935">
      <c r="B47935" s="612"/>
      <c r="H47935" s="612"/>
    </row>
    <row r="47936">
      <c r="B47936" s="612"/>
      <c r="H47936" s="612"/>
    </row>
    <row r="47937">
      <c r="B47937" s="612"/>
      <c r="H47937" s="612"/>
    </row>
    <row r="47938">
      <c r="B47938" s="612"/>
      <c r="H47938" s="612"/>
    </row>
    <row r="47939">
      <c r="B47939" s="612"/>
      <c r="H47939" s="612"/>
    </row>
    <row r="47940">
      <c r="B47940" s="612"/>
      <c r="H47940" s="612"/>
    </row>
    <row r="47941">
      <c r="B47941" s="612"/>
      <c r="H47941" s="612"/>
    </row>
    <row r="47942">
      <c r="B47942" s="612"/>
      <c r="H47942" s="612"/>
    </row>
    <row r="47943">
      <c r="B47943" s="612"/>
      <c r="H47943" s="612"/>
    </row>
    <row r="47944">
      <c r="B47944" s="612"/>
      <c r="H47944" s="612"/>
    </row>
    <row r="47945">
      <c r="B47945" s="612"/>
      <c r="H47945" s="612"/>
    </row>
    <row r="47946">
      <c r="B47946" s="612"/>
      <c r="H47946" s="612"/>
    </row>
    <row r="47947">
      <c r="B47947" s="612"/>
      <c r="H47947" s="612"/>
    </row>
    <row r="47948">
      <c r="B47948" s="612"/>
      <c r="H47948" s="612"/>
    </row>
    <row r="47949">
      <c r="B47949" s="612"/>
      <c r="H47949" s="612"/>
    </row>
    <row r="47950">
      <c r="B47950" s="612"/>
      <c r="H47950" s="612"/>
    </row>
    <row r="47951">
      <c r="B47951" s="612"/>
      <c r="H47951" s="612"/>
    </row>
    <row r="47952">
      <c r="B47952" s="612"/>
      <c r="H47952" s="612"/>
    </row>
    <row r="47953">
      <c r="B47953" s="612"/>
      <c r="H47953" s="612"/>
    </row>
    <row r="47954">
      <c r="B47954" s="612"/>
      <c r="H47954" s="612"/>
    </row>
    <row r="47955">
      <c r="B47955" s="612"/>
      <c r="H47955" s="612"/>
    </row>
    <row r="47956">
      <c r="B47956" s="612"/>
      <c r="H47956" s="612"/>
    </row>
    <row r="47957">
      <c r="B47957" s="612"/>
      <c r="H47957" s="612"/>
    </row>
    <row r="47958">
      <c r="B47958" s="612"/>
      <c r="H47958" s="612"/>
    </row>
    <row r="47959">
      <c r="B47959" s="612"/>
      <c r="H47959" s="612"/>
    </row>
    <row r="47960">
      <c r="B47960" s="612"/>
      <c r="H47960" s="612"/>
    </row>
    <row r="47961">
      <c r="B47961" s="612"/>
      <c r="H47961" s="612"/>
    </row>
    <row r="47962">
      <c r="B47962" s="612"/>
      <c r="H47962" s="612"/>
    </row>
    <row r="47963">
      <c r="B47963" s="612"/>
      <c r="H47963" s="612"/>
    </row>
    <row r="47964">
      <c r="B47964" s="612"/>
      <c r="H47964" s="612"/>
    </row>
    <row r="47965">
      <c r="B47965" s="612"/>
      <c r="H47965" s="612"/>
    </row>
    <row r="47966">
      <c r="B47966" s="612"/>
      <c r="H47966" s="612"/>
    </row>
    <row r="47967">
      <c r="B47967" s="612"/>
      <c r="H47967" s="612"/>
    </row>
    <row r="47968">
      <c r="B47968" s="612"/>
      <c r="H47968" s="612"/>
    </row>
    <row r="47969">
      <c r="B47969" s="612"/>
      <c r="H47969" s="612"/>
    </row>
    <row r="47970">
      <c r="B47970" s="612"/>
      <c r="H47970" s="612"/>
    </row>
    <row r="47971">
      <c r="B47971" s="612"/>
      <c r="H47971" s="612"/>
    </row>
    <row r="47972">
      <c r="B47972" s="612"/>
      <c r="H47972" s="612"/>
    </row>
    <row r="47973">
      <c r="B47973" s="612"/>
      <c r="H47973" s="612"/>
    </row>
    <row r="47974">
      <c r="B47974" s="612"/>
      <c r="H47974" s="612"/>
    </row>
    <row r="47975">
      <c r="B47975" s="612"/>
      <c r="H47975" s="612"/>
    </row>
    <row r="47976">
      <c r="B47976" s="612"/>
      <c r="H47976" s="612"/>
    </row>
    <row r="47977">
      <c r="B47977" s="612"/>
      <c r="H47977" s="612"/>
    </row>
    <row r="47978">
      <c r="B47978" s="612"/>
      <c r="H47978" s="612"/>
    </row>
    <row r="47979">
      <c r="B47979" s="612"/>
      <c r="H47979" s="612"/>
    </row>
    <row r="47980">
      <c r="B47980" s="612"/>
      <c r="H47980" s="612"/>
    </row>
    <row r="47981">
      <c r="B47981" s="612"/>
      <c r="H47981" s="612"/>
    </row>
    <row r="47982">
      <c r="B47982" s="612"/>
      <c r="H47982" s="612"/>
    </row>
    <row r="47983">
      <c r="B47983" s="612"/>
      <c r="H47983" s="612"/>
    </row>
    <row r="47984">
      <c r="B47984" s="612"/>
      <c r="H47984" s="612"/>
    </row>
    <row r="47985">
      <c r="B47985" s="612"/>
      <c r="H47985" s="612"/>
    </row>
    <row r="47986">
      <c r="B47986" s="612"/>
      <c r="H47986" s="612"/>
    </row>
    <row r="47987">
      <c r="B47987" s="612"/>
      <c r="H47987" s="612"/>
    </row>
    <row r="47988">
      <c r="B47988" s="612"/>
      <c r="H47988" s="612"/>
    </row>
    <row r="47989">
      <c r="B47989" s="612"/>
      <c r="H47989" s="612"/>
    </row>
    <row r="47990">
      <c r="B47990" s="612"/>
      <c r="H47990" s="612"/>
    </row>
    <row r="47991">
      <c r="B47991" s="612"/>
      <c r="H47991" s="612"/>
    </row>
    <row r="47992">
      <c r="B47992" s="612"/>
      <c r="H47992" s="612"/>
    </row>
    <row r="47993">
      <c r="B47993" s="612"/>
      <c r="H47993" s="612"/>
    </row>
    <row r="47994">
      <c r="B47994" s="612"/>
      <c r="H47994" s="612"/>
    </row>
    <row r="47995">
      <c r="B47995" s="612"/>
      <c r="H47995" s="612"/>
    </row>
    <row r="47996">
      <c r="B47996" s="612"/>
      <c r="H47996" s="612"/>
    </row>
    <row r="47997">
      <c r="B47997" s="612"/>
      <c r="H47997" s="612"/>
    </row>
    <row r="47998">
      <c r="B47998" s="612"/>
      <c r="H47998" s="612"/>
    </row>
    <row r="47999">
      <c r="B47999" s="612"/>
      <c r="H47999" s="612"/>
    </row>
    <row r="48000">
      <c r="B48000" s="612"/>
      <c r="H48000" s="612"/>
    </row>
    <row r="48001">
      <c r="B48001" s="612"/>
      <c r="H48001" s="612"/>
    </row>
    <row r="48002">
      <c r="B48002" s="612"/>
      <c r="H48002" s="612"/>
    </row>
    <row r="48003">
      <c r="B48003" s="612"/>
      <c r="H48003" s="612"/>
    </row>
    <row r="48004">
      <c r="B48004" s="612"/>
      <c r="H48004" s="612"/>
    </row>
    <row r="48005">
      <c r="B48005" s="612"/>
      <c r="H48005" s="612"/>
    </row>
    <row r="48006">
      <c r="B48006" s="612"/>
      <c r="H48006" s="612"/>
    </row>
    <row r="48007">
      <c r="B48007" s="612"/>
      <c r="H48007" s="612"/>
    </row>
    <row r="48008">
      <c r="B48008" s="612"/>
      <c r="H48008" s="612"/>
    </row>
    <row r="48009">
      <c r="B48009" s="612"/>
      <c r="H48009" s="612"/>
    </row>
    <row r="48010">
      <c r="B48010" s="612"/>
      <c r="H48010" s="612"/>
    </row>
    <row r="48011">
      <c r="B48011" s="612"/>
      <c r="H48011" s="612"/>
    </row>
    <row r="48012">
      <c r="B48012" s="612"/>
      <c r="H48012" s="612"/>
    </row>
    <row r="48013">
      <c r="B48013" s="612"/>
      <c r="H48013" s="612"/>
    </row>
    <row r="48014">
      <c r="B48014" s="612"/>
      <c r="H48014" s="612"/>
    </row>
    <row r="48015">
      <c r="B48015" s="612"/>
      <c r="H48015" s="612"/>
    </row>
    <row r="48016">
      <c r="B48016" s="612"/>
      <c r="H48016" s="612"/>
    </row>
    <row r="48017">
      <c r="B48017" s="612"/>
      <c r="H48017" s="612"/>
    </row>
    <row r="48018">
      <c r="B48018" s="612"/>
      <c r="H48018" s="612"/>
    </row>
    <row r="48019">
      <c r="B48019" s="612"/>
      <c r="H48019" s="612"/>
    </row>
    <row r="48020">
      <c r="B48020" s="612"/>
      <c r="H48020" s="612"/>
    </row>
    <row r="48021">
      <c r="B48021" s="612"/>
      <c r="H48021" s="612"/>
    </row>
    <row r="48022">
      <c r="B48022" s="612"/>
      <c r="H48022" s="612"/>
    </row>
    <row r="48023">
      <c r="B48023" s="612"/>
      <c r="H48023" s="612"/>
    </row>
    <row r="48024">
      <c r="B48024" s="612"/>
      <c r="H48024" s="612"/>
    </row>
    <row r="48025">
      <c r="B48025" s="612"/>
      <c r="H48025" s="612"/>
    </row>
    <row r="48026">
      <c r="B48026" s="612"/>
      <c r="H48026" s="612"/>
    </row>
    <row r="48027">
      <c r="B48027" s="612"/>
      <c r="H48027" s="612"/>
    </row>
    <row r="48028">
      <c r="B48028" s="612"/>
      <c r="H48028" s="612"/>
    </row>
    <row r="48029">
      <c r="B48029" s="612"/>
      <c r="H48029" s="612"/>
    </row>
    <row r="48030">
      <c r="B48030" s="612"/>
      <c r="H48030" s="612"/>
    </row>
    <row r="48031">
      <c r="B48031" s="612"/>
      <c r="H48031" s="612"/>
    </row>
    <row r="48032">
      <c r="B48032" s="612"/>
      <c r="H48032" s="612"/>
    </row>
    <row r="48033">
      <c r="B48033" s="612"/>
      <c r="H48033" s="612"/>
    </row>
    <row r="48034">
      <c r="B48034" s="612"/>
      <c r="H48034" s="612"/>
    </row>
    <row r="48035">
      <c r="B48035" s="612"/>
      <c r="H48035" s="612"/>
    </row>
    <row r="48036">
      <c r="B48036" s="612"/>
      <c r="H48036" s="612"/>
    </row>
    <row r="48037">
      <c r="B48037" s="612"/>
      <c r="H48037" s="612"/>
    </row>
    <row r="48038">
      <c r="B48038" s="612"/>
      <c r="H48038" s="612"/>
    </row>
    <row r="48039">
      <c r="B48039" s="612"/>
      <c r="H48039" s="612"/>
    </row>
    <row r="48040">
      <c r="B48040" s="612"/>
      <c r="H48040" s="612"/>
    </row>
    <row r="48041">
      <c r="B48041" s="612"/>
      <c r="H48041" s="612"/>
    </row>
    <row r="48042">
      <c r="B48042" s="612"/>
      <c r="H48042" s="612"/>
    </row>
    <row r="48043">
      <c r="B48043" s="612"/>
      <c r="H48043" s="612"/>
    </row>
    <row r="48044">
      <c r="B48044" s="612"/>
      <c r="H48044" s="612"/>
    </row>
    <row r="48045">
      <c r="B48045" s="612"/>
      <c r="H48045" s="612"/>
    </row>
    <row r="48046">
      <c r="B48046" s="612"/>
      <c r="H48046" s="612"/>
    </row>
    <row r="48047">
      <c r="B48047" s="612"/>
      <c r="H48047" s="612"/>
    </row>
    <row r="48048">
      <c r="B48048" s="612"/>
      <c r="H48048" s="612"/>
    </row>
    <row r="48049">
      <c r="B48049" s="612"/>
      <c r="H48049" s="612"/>
    </row>
    <row r="48050">
      <c r="B48050" s="612"/>
      <c r="H48050" s="612"/>
    </row>
    <row r="48051">
      <c r="B48051" s="612"/>
      <c r="H48051" s="612"/>
    </row>
    <row r="48052">
      <c r="B48052" s="612"/>
      <c r="H48052" s="612"/>
    </row>
    <row r="48053">
      <c r="B48053" s="612"/>
      <c r="H48053" s="612"/>
    </row>
    <row r="48054">
      <c r="B48054" s="612"/>
      <c r="H48054" s="612"/>
    </row>
    <row r="48055">
      <c r="B48055" s="612"/>
      <c r="H48055" s="612"/>
    </row>
    <row r="48056">
      <c r="B48056" s="612"/>
      <c r="H48056" s="612"/>
    </row>
    <row r="48057">
      <c r="B48057" s="612"/>
      <c r="H48057" s="612"/>
    </row>
    <row r="48058">
      <c r="B48058" s="612"/>
      <c r="H48058" s="612"/>
    </row>
    <row r="48059">
      <c r="B48059" s="612"/>
      <c r="H48059" s="612"/>
    </row>
    <row r="48060">
      <c r="B48060" s="612"/>
      <c r="H48060" s="612"/>
    </row>
    <row r="48061">
      <c r="B48061" s="612"/>
      <c r="H48061" s="612"/>
    </row>
    <row r="48062">
      <c r="B48062" s="612"/>
      <c r="H48062" s="612"/>
    </row>
    <row r="48063">
      <c r="B48063" s="612"/>
      <c r="H48063" s="612"/>
    </row>
    <row r="48064">
      <c r="B48064" s="612"/>
      <c r="H48064" s="612"/>
    </row>
    <row r="48065">
      <c r="B48065" s="612"/>
      <c r="H48065" s="612"/>
    </row>
    <row r="48066">
      <c r="B48066" s="612"/>
      <c r="H48066" s="612"/>
    </row>
    <row r="48067">
      <c r="B48067" s="612"/>
      <c r="H48067" s="612"/>
    </row>
    <row r="48068">
      <c r="B48068" s="612"/>
      <c r="H48068" s="612"/>
    </row>
    <row r="48069">
      <c r="B48069" s="612"/>
      <c r="H48069" s="612"/>
    </row>
    <row r="48070">
      <c r="B48070" s="612"/>
      <c r="H48070" s="612"/>
    </row>
    <row r="48071">
      <c r="B48071" s="612"/>
      <c r="H48071" s="612"/>
    </row>
    <row r="48072">
      <c r="B48072" s="612"/>
      <c r="H48072" s="612"/>
    </row>
    <row r="48073">
      <c r="B48073" s="612"/>
      <c r="H48073" s="612"/>
    </row>
    <row r="48074">
      <c r="B48074" s="612"/>
      <c r="H48074" s="612"/>
    </row>
    <row r="48075">
      <c r="B48075" s="612"/>
      <c r="H48075" s="612"/>
    </row>
    <row r="48076">
      <c r="B48076" s="612"/>
      <c r="H48076" s="612"/>
    </row>
    <row r="48077">
      <c r="B48077" s="612"/>
      <c r="H48077" s="612"/>
    </row>
    <row r="48078">
      <c r="B48078" s="612"/>
      <c r="H48078" s="612"/>
    </row>
    <row r="48079">
      <c r="B48079" s="612"/>
      <c r="H48079" s="612"/>
    </row>
    <row r="48080">
      <c r="B48080" s="612"/>
      <c r="H48080" s="612"/>
    </row>
    <row r="48081">
      <c r="B48081" s="612"/>
      <c r="H48081" s="612"/>
    </row>
    <row r="48082">
      <c r="B48082" s="612"/>
      <c r="H48082" s="612"/>
    </row>
    <row r="48083">
      <c r="B48083" s="612"/>
      <c r="H48083" s="612"/>
    </row>
    <row r="48084">
      <c r="B48084" s="612"/>
      <c r="H48084" s="612"/>
    </row>
    <row r="48085">
      <c r="B48085" s="612"/>
      <c r="H48085" s="612"/>
    </row>
    <row r="48086">
      <c r="B48086" s="612"/>
      <c r="H48086" s="612"/>
    </row>
    <row r="48087">
      <c r="B48087" s="612"/>
      <c r="H48087" s="612"/>
    </row>
    <row r="48088">
      <c r="B48088" s="612"/>
      <c r="H48088" s="612"/>
    </row>
    <row r="48089">
      <c r="B48089" s="612"/>
      <c r="H48089" s="612"/>
    </row>
    <row r="48090">
      <c r="B48090" s="612"/>
      <c r="H48090" s="612"/>
    </row>
    <row r="48091">
      <c r="B48091" s="612"/>
      <c r="H48091" s="612"/>
    </row>
    <row r="48092">
      <c r="B48092" s="612"/>
      <c r="H48092" s="612"/>
    </row>
    <row r="48093">
      <c r="B48093" s="612"/>
      <c r="H48093" s="612"/>
    </row>
    <row r="48094">
      <c r="B48094" s="612"/>
      <c r="H48094" s="612"/>
    </row>
    <row r="48095">
      <c r="B48095" s="612"/>
      <c r="H48095" s="612"/>
    </row>
    <row r="48096">
      <c r="B48096" s="612"/>
      <c r="H48096" s="612"/>
    </row>
    <row r="48097">
      <c r="B48097" s="612"/>
      <c r="H48097" s="612"/>
    </row>
    <row r="48098">
      <c r="B48098" s="612"/>
      <c r="H48098" s="612"/>
    </row>
    <row r="48099">
      <c r="B48099" s="612"/>
      <c r="H48099" s="612"/>
    </row>
    <row r="48100">
      <c r="B48100" s="612"/>
      <c r="H48100" s="612"/>
    </row>
    <row r="48101">
      <c r="B48101" s="612"/>
      <c r="H48101" s="612"/>
    </row>
    <row r="48102">
      <c r="B48102" s="612"/>
      <c r="H48102" s="612"/>
    </row>
    <row r="48103">
      <c r="B48103" s="612"/>
      <c r="H48103" s="612"/>
    </row>
    <row r="48104">
      <c r="B48104" s="612"/>
      <c r="H48104" s="612"/>
    </row>
    <row r="48105">
      <c r="B48105" s="612"/>
      <c r="H48105" s="612"/>
    </row>
    <row r="48106">
      <c r="B48106" s="612"/>
      <c r="H48106" s="612"/>
    </row>
    <row r="48107">
      <c r="B48107" s="612"/>
      <c r="H48107" s="612"/>
    </row>
    <row r="48108">
      <c r="B48108" s="612"/>
      <c r="H48108" s="612"/>
    </row>
    <row r="48109">
      <c r="B48109" s="612"/>
      <c r="H48109" s="612"/>
    </row>
    <row r="48110">
      <c r="B48110" s="612"/>
      <c r="H48110" s="612"/>
    </row>
    <row r="48111">
      <c r="B48111" s="612"/>
      <c r="H48111" s="612"/>
    </row>
    <row r="48112">
      <c r="B48112" s="612"/>
      <c r="H48112" s="612"/>
    </row>
    <row r="48113">
      <c r="B48113" s="612"/>
      <c r="H48113" s="612"/>
    </row>
    <row r="48114">
      <c r="B48114" s="612"/>
      <c r="H48114" s="612"/>
    </row>
    <row r="48115">
      <c r="B48115" s="612"/>
      <c r="H48115" s="612"/>
    </row>
    <row r="48116">
      <c r="B48116" s="612"/>
      <c r="H48116" s="612"/>
    </row>
    <row r="48117">
      <c r="B48117" s="612"/>
      <c r="H48117" s="612"/>
    </row>
    <row r="48118">
      <c r="B48118" s="612"/>
      <c r="H48118" s="612"/>
    </row>
    <row r="48119">
      <c r="B48119" s="612"/>
      <c r="H48119" s="612"/>
    </row>
    <row r="48120">
      <c r="B48120" s="612"/>
      <c r="H48120" s="612"/>
    </row>
    <row r="48121">
      <c r="B48121" s="612"/>
      <c r="H48121" s="612"/>
    </row>
    <row r="48122">
      <c r="B48122" s="612"/>
      <c r="H48122" s="612"/>
    </row>
    <row r="48123">
      <c r="B48123" s="612"/>
      <c r="H48123" s="612"/>
    </row>
    <row r="48124">
      <c r="B48124" s="612"/>
      <c r="H48124" s="612"/>
    </row>
    <row r="48125">
      <c r="B48125" s="612"/>
      <c r="H48125" s="612"/>
    </row>
    <row r="48126">
      <c r="B48126" s="612"/>
      <c r="H48126" s="612"/>
    </row>
    <row r="48127">
      <c r="B48127" s="612"/>
      <c r="H48127" s="612"/>
    </row>
    <row r="48128">
      <c r="B48128" s="612"/>
      <c r="H48128" s="612"/>
    </row>
    <row r="48129">
      <c r="B48129" s="612"/>
      <c r="H48129" s="612"/>
    </row>
    <row r="48130">
      <c r="B48130" s="612"/>
      <c r="H48130" s="612"/>
    </row>
    <row r="48131">
      <c r="B48131" s="612"/>
      <c r="H48131" s="612"/>
    </row>
    <row r="48132">
      <c r="B48132" s="612"/>
      <c r="H48132" s="612"/>
    </row>
    <row r="48133">
      <c r="B48133" s="612"/>
      <c r="H48133" s="612"/>
    </row>
    <row r="48134">
      <c r="B48134" s="612"/>
      <c r="H48134" s="612"/>
    </row>
    <row r="48135">
      <c r="B48135" s="612"/>
      <c r="H48135" s="612"/>
    </row>
    <row r="48136">
      <c r="B48136" s="612"/>
      <c r="H48136" s="612"/>
    </row>
    <row r="48137">
      <c r="B48137" s="612"/>
      <c r="H48137" s="612"/>
    </row>
    <row r="48138">
      <c r="B48138" s="612"/>
      <c r="H48138" s="612"/>
    </row>
    <row r="48139">
      <c r="B48139" s="612"/>
      <c r="H48139" s="612"/>
    </row>
    <row r="48140">
      <c r="B48140" s="612"/>
      <c r="H48140" s="612"/>
    </row>
    <row r="48141">
      <c r="B48141" s="612"/>
      <c r="H48141" s="612"/>
    </row>
    <row r="48142">
      <c r="B48142" s="612"/>
      <c r="H48142" s="612"/>
    </row>
    <row r="48143">
      <c r="B48143" s="612"/>
      <c r="H48143" s="612"/>
    </row>
    <row r="48144">
      <c r="B48144" s="612"/>
      <c r="H48144" s="612"/>
    </row>
    <row r="48145">
      <c r="B48145" s="612"/>
      <c r="H48145" s="612"/>
    </row>
    <row r="48146">
      <c r="B48146" s="612"/>
      <c r="H48146" s="612"/>
    </row>
    <row r="48147">
      <c r="B48147" s="612"/>
      <c r="H48147" s="612"/>
    </row>
    <row r="48148">
      <c r="B48148" s="612"/>
      <c r="H48148" s="612"/>
    </row>
    <row r="48149">
      <c r="B48149" s="612"/>
      <c r="H48149" s="612"/>
    </row>
    <row r="48150">
      <c r="B48150" s="612"/>
      <c r="H48150" s="612"/>
    </row>
    <row r="48151">
      <c r="B48151" s="612"/>
      <c r="H48151" s="612"/>
    </row>
    <row r="48152">
      <c r="B48152" s="612"/>
      <c r="H48152" s="612"/>
    </row>
    <row r="48153">
      <c r="B48153" s="612"/>
      <c r="H48153" s="612"/>
    </row>
    <row r="48154">
      <c r="B48154" s="612"/>
      <c r="H48154" s="612"/>
    </row>
    <row r="48155">
      <c r="B48155" s="612"/>
      <c r="H48155" s="612"/>
    </row>
    <row r="48156">
      <c r="B48156" s="612"/>
      <c r="H48156" s="612"/>
    </row>
    <row r="48157">
      <c r="B48157" s="612"/>
      <c r="H48157" s="612"/>
    </row>
    <row r="48158">
      <c r="B48158" s="612"/>
      <c r="H48158" s="612"/>
    </row>
    <row r="48159">
      <c r="B48159" s="612"/>
      <c r="H48159" s="612"/>
    </row>
    <row r="48160">
      <c r="B48160" s="612"/>
      <c r="H48160" s="612"/>
    </row>
    <row r="48161">
      <c r="B48161" s="612"/>
      <c r="H48161" s="612"/>
    </row>
    <row r="48162">
      <c r="B48162" s="612"/>
      <c r="H48162" s="612"/>
    </row>
    <row r="48163">
      <c r="B48163" s="612"/>
      <c r="H48163" s="612"/>
    </row>
    <row r="48164">
      <c r="B48164" s="612"/>
      <c r="H48164" s="612"/>
    </row>
    <row r="48165">
      <c r="B48165" s="612"/>
      <c r="H48165" s="612"/>
    </row>
    <row r="48166">
      <c r="B48166" s="612"/>
      <c r="H48166" s="612"/>
    </row>
    <row r="48167">
      <c r="B48167" s="612"/>
      <c r="H48167" s="612"/>
    </row>
    <row r="48168">
      <c r="B48168" s="612"/>
      <c r="H48168" s="612"/>
    </row>
    <row r="48169">
      <c r="B48169" s="612"/>
      <c r="H48169" s="612"/>
    </row>
    <row r="48170">
      <c r="B48170" s="612"/>
      <c r="H48170" s="612"/>
    </row>
    <row r="48171">
      <c r="B48171" s="612"/>
      <c r="H48171" s="612"/>
    </row>
    <row r="48172">
      <c r="B48172" s="612"/>
      <c r="H48172" s="612"/>
    </row>
    <row r="48173">
      <c r="B48173" s="612"/>
      <c r="H48173" s="612"/>
    </row>
    <row r="48174">
      <c r="B48174" s="612"/>
      <c r="H48174" s="612"/>
    </row>
    <row r="48175">
      <c r="B48175" s="612"/>
      <c r="H48175" s="612"/>
    </row>
    <row r="48176">
      <c r="B48176" s="612"/>
      <c r="H48176" s="612"/>
    </row>
    <row r="48177">
      <c r="B48177" s="612"/>
      <c r="H48177" s="612"/>
    </row>
    <row r="48178">
      <c r="B48178" s="612"/>
      <c r="H48178" s="612"/>
    </row>
    <row r="48179">
      <c r="B48179" s="612"/>
      <c r="H48179" s="612"/>
    </row>
    <row r="48180">
      <c r="B48180" s="612"/>
      <c r="H48180" s="612"/>
    </row>
    <row r="48181">
      <c r="B48181" s="612"/>
      <c r="H48181" s="612"/>
    </row>
    <row r="48182">
      <c r="B48182" s="612"/>
      <c r="H48182" s="612"/>
    </row>
    <row r="48183">
      <c r="B48183" s="612"/>
      <c r="H48183" s="612"/>
    </row>
    <row r="48184">
      <c r="B48184" s="612"/>
      <c r="H48184" s="612"/>
    </row>
    <row r="48185">
      <c r="B48185" s="612"/>
      <c r="H48185" s="612"/>
    </row>
    <row r="48186">
      <c r="B48186" s="612"/>
      <c r="H48186" s="612"/>
    </row>
    <row r="48187">
      <c r="B48187" s="612"/>
      <c r="H48187" s="612"/>
    </row>
    <row r="48188">
      <c r="B48188" s="612"/>
      <c r="H48188" s="612"/>
    </row>
    <row r="48189">
      <c r="B48189" s="612"/>
      <c r="H48189" s="612"/>
    </row>
    <row r="48190">
      <c r="B48190" s="612"/>
      <c r="H48190" s="612"/>
    </row>
    <row r="48191">
      <c r="B48191" s="612"/>
      <c r="H48191" s="612"/>
    </row>
    <row r="48192">
      <c r="B48192" s="612"/>
      <c r="H48192" s="612"/>
    </row>
    <row r="48193">
      <c r="B48193" s="612"/>
      <c r="H48193" s="612"/>
    </row>
    <row r="48194">
      <c r="B48194" s="612"/>
      <c r="H48194" s="612"/>
    </row>
    <row r="48195">
      <c r="B48195" s="612"/>
      <c r="H48195" s="612"/>
    </row>
    <row r="48196">
      <c r="B48196" s="612"/>
      <c r="H48196" s="612"/>
    </row>
    <row r="48197">
      <c r="B48197" s="612"/>
      <c r="H48197" s="612"/>
    </row>
    <row r="48198">
      <c r="B48198" s="612"/>
      <c r="H48198" s="612"/>
    </row>
    <row r="48199">
      <c r="B48199" s="612"/>
      <c r="H48199" s="612"/>
    </row>
    <row r="48200">
      <c r="B48200" s="612"/>
      <c r="H48200" s="612"/>
    </row>
    <row r="48201">
      <c r="B48201" s="612"/>
      <c r="H48201" s="612"/>
    </row>
    <row r="48202">
      <c r="B48202" s="612"/>
      <c r="H48202" s="612"/>
    </row>
    <row r="48203">
      <c r="B48203" s="612"/>
      <c r="H48203" s="612"/>
    </row>
    <row r="48204">
      <c r="B48204" s="612"/>
      <c r="H48204" s="612"/>
    </row>
    <row r="48205">
      <c r="B48205" s="612"/>
      <c r="H48205" s="612"/>
    </row>
    <row r="48206">
      <c r="B48206" s="612"/>
      <c r="H48206" s="612"/>
    </row>
    <row r="48207">
      <c r="B48207" s="612"/>
      <c r="H48207" s="612"/>
    </row>
    <row r="48208">
      <c r="B48208" s="612"/>
      <c r="H48208" s="612"/>
    </row>
    <row r="48209">
      <c r="B48209" s="612"/>
      <c r="H48209" s="612"/>
    </row>
    <row r="48210">
      <c r="B48210" s="612"/>
      <c r="H48210" s="612"/>
    </row>
    <row r="48211">
      <c r="B48211" s="612"/>
      <c r="H48211" s="612"/>
    </row>
    <row r="48212">
      <c r="B48212" s="612"/>
      <c r="H48212" s="612"/>
    </row>
    <row r="48213">
      <c r="B48213" s="612"/>
      <c r="H48213" s="612"/>
    </row>
    <row r="48214">
      <c r="B48214" s="612"/>
      <c r="H48214" s="612"/>
    </row>
    <row r="48215">
      <c r="B48215" s="612"/>
      <c r="H48215" s="612"/>
    </row>
    <row r="48216">
      <c r="B48216" s="612"/>
      <c r="H48216" s="612"/>
    </row>
    <row r="48217">
      <c r="B48217" s="612"/>
      <c r="H48217" s="612"/>
    </row>
    <row r="48218">
      <c r="B48218" s="612"/>
      <c r="H48218" s="612"/>
    </row>
    <row r="48219">
      <c r="B48219" s="612"/>
      <c r="H48219" s="612"/>
    </row>
    <row r="48220">
      <c r="B48220" s="612"/>
      <c r="H48220" s="612"/>
    </row>
    <row r="48221">
      <c r="B48221" s="612"/>
      <c r="H48221" s="612"/>
    </row>
    <row r="48222">
      <c r="B48222" s="612"/>
      <c r="H48222" s="612"/>
    </row>
    <row r="48223">
      <c r="B48223" s="612"/>
      <c r="H48223" s="612"/>
    </row>
    <row r="48224">
      <c r="B48224" s="612"/>
      <c r="H48224" s="612"/>
    </row>
    <row r="48225">
      <c r="B48225" s="612"/>
      <c r="H48225" s="612"/>
    </row>
    <row r="48226">
      <c r="B48226" s="612"/>
      <c r="H48226" s="612"/>
    </row>
    <row r="48227">
      <c r="B48227" s="612"/>
      <c r="H48227" s="612"/>
    </row>
    <row r="48228">
      <c r="B48228" s="612"/>
      <c r="H48228" s="612"/>
    </row>
    <row r="48229">
      <c r="B48229" s="612"/>
      <c r="H48229" s="612"/>
    </row>
    <row r="48230">
      <c r="B48230" s="612"/>
      <c r="H48230" s="612"/>
    </row>
    <row r="48231">
      <c r="B48231" s="612"/>
      <c r="H48231" s="612"/>
    </row>
    <row r="48232">
      <c r="B48232" s="612"/>
      <c r="H48232" s="612"/>
    </row>
    <row r="48233">
      <c r="B48233" s="612"/>
      <c r="H48233" s="612"/>
    </row>
    <row r="48234">
      <c r="B48234" s="612"/>
      <c r="H48234" s="612"/>
    </row>
    <row r="48235">
      <c r="B48235" s="612"/>
      <c r="H48235" s="612"/>
    </row>
    <row r="48236">
      <c r="B48236" s="612"/>
      <c r="H48236" s="612"/>
    </row>
    <row r="48237">
      <c r="B48237" s="612"/>
      <c r="H48237" s="612"/>
    </row>
    <row r="48238">
      <c r="B48238" s="612"/>
      <c r="H48238" s="612"/>
    </row>
    <row r="48239">
      <c r="B48239" s="612"/>
      <c r="H48239" s="612"/>
    </row>
    <row r="48240">
      <c r="B48240" s="612"/>
      <c r="H48240" s="612"/>
    </row>
    <row r="48241">
      <c r="B48241" s="612"/>
      <c r="H48241" s="612"/>
    </row>
    <row r="48242">
      <c r="B48242" s="612"/>
      <c r="H48242" s="612"/>
    </row>
    <row r="48243">
      <c r="B48243" s="612"/>
      <c r="H48243" s="612"/>
    </row>
    <row r="48244">
      <c r="B48244" s="612"/>
      <c r="H48244" s="612"/>
    </row>
    <row r="48245">
      <c r="B48245" s="612"/>
      <c r="H48245" s="612"/>
    </row>
    <row r="48246">
      <c r="B48246" s="612"/>
      <c r="H48246" s="612"/>
    </row>
    <row r="48247">
      <c r="B48247" s="612"/>
      <c r="H48247" s="612"/>
    </row>
    <row r="48248">
      <c r="B48248" s="612"/>
      <c r="H48248" s="612"/>
    </row>
    <row r="48249">
      <c r="B48249" s="612"/>
      <c r="H48249" s="612"/>
    </row>
    <row r="48250">
      <c r="B48250" s="612"/>
      <c r="H48250" s="612"/>
    </row>
    <row r="48251">
      <c r="B48251" s="612"/>
      <c r="H48251" s="612"/>
    </row>
    <row r="48252">
      <c r="B48252" s="612"/>
      <c r="H48252" s="612"/>
    </row>
    <row r="48253">
      <c r="B48253" s="612"/>
      <c r="H48253" s="612"/>
    </row>
    <row r="48254">
      <c r="B48254" s="612"/>
      <c r="H48254" s="612"/>
    </row>
    <row r="48255">
      <c r="B48255" s="612"/>
      <c r="H48255" s="612"/>
    </row>
    <row r="48256">
      <c r="B48256" s="612"/>
      <c r="H48256" s="612"/>
    </row>
    <row r="48257">
      <c r="B48257" s="612"/>
      <c r="H48257" s="612"/>
    </row>
    <row r="48258">
      <c r="B48258" s="612"/>
      <c r="H48258" s="612"/>
    </row>
    <row r="48259">
      <c r="B48259" s="612"/>
      <c r="H48259" s="612"/>
    </row>
    <row r="48260">
      <c r="B48260" s="612"/>
      <c r="H48260" s="612"/>
    </row>
    <row r="48261">
      <c r="B48261" s="612"/>
      <c r="H48261" s="612"/>
    </row>
    <row r="48262">
      <c r="B48262" s="612"/>
      <c r="H48262" s="612"/>
    </row>
    <row r="48263">
      <c r="B48263" s="612"/>
      <c r="H48263" s="612"/>
    </row>
    <row r="48264">
      <c r="B48264" s="612"/>
      <c r="H48264" s="612"/>
    </row>
    <row r="48265">
      <c r="B48265" s="612"/>
      <c r="H48265" s="612"/>
    </row>
    <row r="48266">
      <c r="B48266" s="612"/>
      <c r="H48266" s="612"/>
    </row>
    <row r="48267">
      <c r="B48267" s="612"/>
      <c r="H48267" s="612"/>
    </row>
    <row r="48268">
      <c r="B48268" s="612"/>
      <c r="H48268" s="612"/>
    </row>
    <row r="48269">
      <c r="B48269" s="612"/>
      <c r="H48269" s="612"/>
    </row>
    <row r="48270">
      <c r="B48270" s="612"/>
      <c r="H48270" s="612"/>
    </row>
    <row r="48271">
      <c r="B48271" s="612"/>
      <c r="H48271" s="612"/>
    </row>
    <row r="48272">
      <c r="B48272" s="612"/>
      <c r="H48272" s="612"/>
    </row>
    <row r="48273">
      <c r="B48273" s="612"/>
      <c r="H48273" s="612"/>
    </row>
    <row r="48274">
      <c r="B48274" s="612"/>
      <c r="H48274" s="612"/>
    </row>
    <row r="48275">
      <c r="B48275" s="612"/>
      <c r="H48275" s="612"/>
    </row>
    <row r="48276">
      <c r="B48276" s="612"/>
      <c r="H48276" s="612"/>
    </row>
    <row r="48277">
      <c r="B48277" s="612"/>
      <c r="H48277" s="612"/>
    </row>
    <row r="48278">
      <c r="B48278" s="612"/>
      <c r="H48278" s="612"/>
    </row>
    <row r="48279">
      <c r="B48279" s="612"/>
      <c r="H48279" s="612"/>
    </row>
    <row r="48280">
      <c r="B48280" s="612"/>
      <c r="H48280" s="612"/>
    </row>
    <row r="48281">
      <c r="B48281" s="612"/>
      <c r="H48281" s="612"/>
    </row>
    <row r="48282">
      <c r="B48282" s="612"/>
      <c r="H48282" s="612"/>
    </row>
    <row r="48283">
      <c r="B48283" s="612"/>
      <c r="H48283" s="612"/>
    </row>
    <row r="48284">
      <c r="B48284" s="612"/>
      <c r="H48284" s="612"/>
    </row>
    <row r="48285">
      <c r="B48285" s="612"/>
      <c r="H48285" s="612"/>
    </row>
    <row r="48286">
      <c r="B48286" s="612"/>
      <c r="H48286" s="612"/>
    </row>
    <row r="48287">
      <c r="B48287" s="612"/>
      <c r="H48287" s="612"/>
    </row>
    <row r="48288">
      <c r="B48288" s="612"/>
      <c r="H48288" s="612"/>
    </row>
    <row r="48289">
      <c r="B48289" s="612"/>
      <c r="H48289" s="612"/>
    </row>
    <row r="48290">
      <c r="B48290" s="612"/>
      <c r="H48290" s="612"/>
    </row>
    <row r="48291">
      <c r="B48291" s="612"/>
      <c r="H48291" s="612"/>
    </row>
    <row r="48292">
      <c r="B48292" s="612"/>
      <c r="H48292" s="612"/>
    </row>
    <row r="48293">
      <c r="B48293" s="612"/>
      <c r="H48293" s="612"/>
    </row>
    <row r="48294">
      <c r="B48294" s="612"/>
      <c r="H48294" s="612"/>
    </row>
    <row r="48295">
      <c r="B48295" s="612"/>
      <c r="H48295" s="612"/>
    </row>
    <row r="48296">
      <c r="B48296" s="612"/>
      <c r="H48296" s="612"/>
    </row>
    <row r="48297">
      <c r="B48297" s="612"/>
      <c r="H48297" s="612"/>
    </row>
    <row r="48298">
      <c r="B48298" s="612"/>
      <c r="H48298" s="612"/>
    </row>
    <row r="48299">
      <c r="B48299" s="612"/>
      <c r="H48299" s="612"/>
    </row>
    <row r="48300">
      <c r="B48300" s="612"/>
      <c r="H48300" s="612"/>
    </row>
    <row r="48301">
      <c r="B48301" s="612"/>
      <c r="H48301" s="612"/>
    </row>
    <row r="48302">
      <c r="B48302" s="612"/>
      <c r="H48302" s="612"/>
    </row>
    <row r="48303">
      <c r="B48303" s="612"/>
      <c r="H48303" s="612"/>
    </row>
    <row r="48304">
      <c r="B48304" s="612"/>
      <c r="H48304" s="612"/>
    </row>
    <row r="48305">
      <c r="B48305" s="612"/>
      <c r="H48305" s="612"/>
    </row>
    <row r="48306">
      <c r="B48306" s="612"/>
      <c r="H48306" s="612"/>
    </row>
    <row r="48307">
      <c r="B48307" s="612"/>
      <c r="H48307" s="612"/>
    </row>
    <row r="48308">
      <c r="B48308" s="612"/>
      <c r="H48308" s="612"/>
    </row>
    <row r="48309">
      <c r="B48309" s="612"/>
      <c r="H48309" s="612"/>
    </row>
    <row r="48310">
      <c r="B48310" s="612"/>
      <c r="H48310" s="612"/>
    </row>
    <row r="48311">
      <c r="B48311" s="612"/>
      <c r="H48311" s="612"/>
    </row>
    <row r="48312">
      <c r="B48312" s="612"/>
      <c r="H48312" s="612"/>
    </row>
    <row r="48313">
      <c r="B48313" s="612"/>
      <c r="H48313" s="612"/>
    </row>
    <row r="48314">
      <c r="B48314" s="612"/>
      <c r="H48314" s="612"/>
    </row>
    <row r="48315">
      <c r="B48315" s="612"/>
      <c r="H48315" s="612"/>
    </row>
    <row r="48316">
      <c r="B48316" s="612"/>
      <c r="H48316" s="612"/>
    </row>
    <row r="48317">
      <c r="B48317" s="612"/>
      <c r="H48317" s="612"/>
    </row>
    <row r="48318">
      <c r="B48318" s="612"/>
      <c r="H48318" s="612"/>
    </row>
    <row r="48319">
      <c r="B48319" s="612"/>
      <c r="H48319" s="612"/>
    </row>
    <row r="48320">
      <c r="B48320" s="612"/>
      <c r="H48320" s="612"/>
    </row>
    <row r="48321">
      <c r="B48321" s="612"/>
      <c r="H48321" s="612"/>
    </row>
    <row r="48322">
      <c r="B48322" s="612"/>
      <c r="H48322" s="612"/>
    </row>
    <row r="48323">
      <c r="B48323" s="612"/>
      <c r="H48323" s="612"/>
    </row>
    <row r="48324">
      <c r="B48324" s="612"/>
      <c r="H48324" s="612"/>
    </row>
    <row r="48325">
      <c r="B48325" s="612"/>
      <c r="H48325" s="612"/>
    </row>
    <row r="48326">
      <c r="B48326" s="612"/>
      <c r="H48326" s="612"/>
    </row>
    <row r="48327">
      <c r="B48327" s="612"/>
      <c r="H48327" s="612"/>
    </row>
    <row r="48328">
      <c r="B48328" s="612"/>
      <c r="H48328" s="612"/>
    </row>
    <row r="48329">
      <c r="B48329" s="612"/>
      <c r="H48329" s="612"/>
    </row>
    <row r="48330">
      <c r="B48330" s="612"/>
      <c r="H48330" s="612"/>
    </row>
    <row r="48331">
      <c r="B48331" s="612"/>
      <c r="H48331" s="612"/>
    </row>
    <row r="48332">
      <c r="B48332" s="612"/>
      <c r="H48332" s="612"/>
    </row>
    <row r="48333">
      <c r="B48333" s="612"/>
      <c r="H48333" s="612"/>
    </row>
    <row r="48334">
      <c r="B48334" s="612"/>
      <c r="H48334" s="612"/>
    </row>
    <row r="48335">
      <c r="B48335" s="612"/>
      <c r="H48335" s="612"/>
    </row>
    <row r="48336">
      <c r="B48336" s="612"/>
      <c r="H48336" s="612"/>
    </row>
    <row r="48337">
      <c r="B48337" s="612"/>
      <c r="H48337" s="612"/>
    </row>
    <row r="48338">
      <c r="B48338" s="612"/>
      <c r="H48338" s="612"/>
    </row>
    <row r="48339">
      <c r="B48339" s="612"/>
      <c r="H48339" s="612"/>
    </row>
    <row r="48340">
      <c r="B48340" s="612"/>
      <c r="H48340" s="612"/>
    </row>
    <row r="48341">
      <c r="B48341" s="612"/>
      <c r="H48341" s="612"/>
    </row>
    <row r="48342">
      <c r="B48342" s="612"/>
      <c r="H48342" s="612"/>
    </row>
    <row r="48343">
      <c r="B48343" s="612"/>
      <c r="H48343" s="612"/>
    </row>
    <row r="48344">
      <c r="B48344" s="612"/>
      <c r="H48344" s="612"/>
    </row>
    <row r="48345">
      <c r="B48345" s="612"/>
      <c r="H48345" s="612"/>
    </row>
    <row r="48346">
      <c r="B48346" s="612"/>
      <c r="H48346" s="612"/>
    </row>
    <row r="48347">
      <c r="B48347" s="612"/>
      <c r="H48347" s="612"/>
    </row>
    <row r="48348">
      <c r="B48348" s="612"/>
      <c r="H48348" s="612"/>
    </row>
    <row r="48349">
      <c r="B48349" s="612"/>
      <c r="H48349" s="612"/>
    </row>
    <row r="48350">
      <c r="B48350" s="612"/>
      <c r="H48350" s="612"/>
    </row>
    <row r="48351">
      <c r="B48351" s="612"/>
      <c r="H48351" s="612"/>
    </row>
    <row r="48352">
      <c r="B48352" s="612"/>
      <c r="H48352" s="612"/>
    </row>
    <row r="48353">
      <c r="B48353" s="612"/>
      <c r="H48353" s="612"/>
    </row>
    <row r="48354">
      <c r="B48354" s="612"/>
      <c r="H48354" s="612"/>
    </row>
    <row r="48355">
      <c r="B48355" s="612"/>
      <c r="H48355" s="612"/>
    </row>
    <row r="48356">
      <c r="B48356" s="612"/>
      <c r="H48356" s="612"/>
    </row>
    <row r="48357">
      <c r="B48357" s="612"/>
      <c r="H48357" s="612"/>
    </row>
    <row r="48358">
      <c r="B48358" s="612"/>
      <c r="H48358" s="612"/>
    </row>
    <row r="48359">
      <c r="B48359" s="612"/>
      <c r="H48359" s="612"/>
    </row>
    <row r="48360">
      <c r="B48360" s="612"/>
      <c r="H48360" s="612"/>
    </row>
    <row r="48361">
      <c r="B48361" s="612"/>
      <c r="H48361" s="612"/>
    </row>
    <row r="48362">
      <c r="B48362" s="612"/>
      <c r="H48362" s="612"/>
    </row>
    <row r="48363">
      <c r="B48363" s="612"/>
      <c r="H48363" s="612"/>
    </row>
    <row r="48364">
      <c r="B48364" s="612"/>
      <c r="H48364" s="612"/>
    </row>
    <row r="48365">
      <c r="B48365" s="612"/>
      <c r="H48365" s="612"/>
    </row>
    <row r="48366">
      <c r="B48366" s="612"/>
      <c r="H48366" s="612"/>
    </row>
    <row r="48367">
      <c r="B48367" s="612"/>
      <c r="H48367" s="612"/>
    </row>
    <row r="48368">
      <c r="B48368" s="612"/>
      <c r="H48368" s="612"/>
    </row>
    <row r="48369">
      <c r="B48369" s="612"/>
      <c r="H48369" s="612"/>
    </row>
    <row r="48370">
      <c r="B48370" s="612"/>
      <c r="H48370" s="612"/>
    </row>
    <row r="48371">
      <c r="B48371" s="612"/>
      <c r="H48371" s="612"/>
    </row>
    <row r="48372">
      <c r="B48372" s="612"/>
      <c r="H48372" s="612"/>
    </row>
    <row r="48373">
      <c r="B48373" s="612"/>
      <c r="H48373" s="612"/>
    </row>
    <row r="48374">
      <c r="B48374" s="612"/>
      <c r="H48374" s="612"/>
    </row>
    <row r="48375">
      <c r="B48375" s="612"/>
      <c r="H48375" s="612"/>
    </row>
    <row r="48376">
      <c r="B48376" s="612"/>
      <c r="H48376" s="612"/>
    </row>
    <row r="48377">
      <c r="B48377" s="612"/>
      <c r="H48377" s="612"/>
    </row>
    <row r="48378">
      <c r="B48378" s="612"/>
      <c r="H48378" s="612"/>
    </row>
    <row r="48379">
      <c r="B48379" s="612"/>
      <c r="H48379" s="612"/>
    </row>
    <row r="48380">
      <c r="B48380" s="612"/>
      <c r="H48380" s="612"/>
    </row>
    <row r="48381">
      <c r="B48381" s="612"/>
      <c r="H48381" s="612"/>
    </row>
    <row r="48382">
      <c r="B48382" s="612"/>
      <c r="H48382" s="612"/>
    </row>
    <row r="48383">
      <c r="B48383" s="612"/>
      <c r="H48383" s="612"/>
    </row>
    <row r="48384">
      <c r="B48384" s="612"/>
      <c r="H48384" s="612"/>
    </row>
    <row r="48385">
      <c r="B48385" s="612"/>
      <c r="H48385" s="612"/>
    </row>
    <row r="48386">
      <c r="B48386" s="612"/>
      <c r="H48386" s="612"/>
    </row>
    <row r="48387">
      <c r="B48387" s="612"/>
      <c r="H48387" s="612"/>
    </row>
    <row r="48388">
      <c r="B48388" s="612"/>
      <c r="H48388" s="612"/>
    </row>
    <row r="48389">
      <c r="B48389" s="612"/>
      <c r="H48389" s="612"/>
    </row>
    <row r="48390">
      <c r="B48390" s="612"/>
      <c r="H48390" s="612"/>
    </row>
    <row r="48391">
      <c r="B48391" s="612"/>
      <c r="H48391" s="612"/>
    </row>
    <row r="48392">
      <c r="B48392" s="612"/>
      <c r="H48392" s="612"/>
    </row>
    <row r="48393">
      <c r="B48393" s="612"/>
      <c r="H48393" s="612"/>
    </row>
    <row r="48394">
      <c r="B48394" s="612"/>
      <c r="H48394" s="612"/>
    </row>
    <row r="48395">
      <c r="B48395" s="612"/>
      <c r="H48395" s="612"/>
    </row>
    <row r="48396">
      <c r="B48396" s="612"/>
      <c r="H48396" s="612"/>
    </row>
    <row r="48397">
      <c r="B48397" s="612"/>
      <c r="H48397" s="612"/>
    </row>
    <row r="48398">
      <c r="B48398" s="612"/>
      <c r="H48398" s="612"/>
    </row>
    <row r="48399">
      <c r="B48399" s="612"/>
      <c r="H48399" s="612"/>
    </row>
    <row r="48400">
      <c r="B48400" s="612"/>
      <c r="H48400" s="612"/>
    </row>
    <row r="48401">
      <c r="B48401" s="612"/>
      <c r="H48401" s="612"/>
    </row>
    <row r="48402">
      <c r="B48402" s="612"/>
      <c r="H48402" s="612"/>
    </row>
    <row r="48403">
      <c r="B48403" s="612"/>
      <c r="H48403" s="612"/>
    </row>
    <row r="48404">
      <c r="B48404" s="612"/>
      <c r="H48404" s="612"/>
    </row>
    <row r="48405">
      <c r="B48405" s="612"/>
      <c r="H48405" s="612"/>
    </row>
    <row r="48406">
      <c r="B48406" s="612"/>
      <c r="H48406" s="612"/>
    </row>
    <row r="48407">
      <c r="B48407" s="612"/>
      <c r="H48407" s="612"/>
    </row>
    <row r="48408">
      <c r="B48408" s="612"/>
      <c r="H48408" s="612"/>
    </row>
    <row r="48409">
      <c r="B48409" s="612"/>
      <c r="H48409" s="612"/>
    </row>
    <row r="48410">
      <c r="B48410" s="612"/>
      <c r="H48410" s="612"/>
    </row>
    <row r="48411">
      <c r="B48411" s="612"/>
      <c r="H48411" s="612"/>
    </row>
    <row r="48412">
      <c r="B48412" s="612"/>
      <c r="H48412" s="612"/>
    </row>
    <row r="48413">
      <c r="B48413" s="612"/>
      <c r="H48413" s="612"/>
    </row>
    <row r="48414">
      <c r="B48414" s="612"/>
      <c r="H48414" s="612"/>
    </row>
    <row r="48415">
      <c r="B48415" s="612"/>
      <c r="H48415" s="612"/>
    </row>
    <row r="48416">
      <c r="B48416" s="612"/>
      <c r="H48416" s="612"/>
    </row>
    <row r="48417">
      <c r="B48417" s="612"/>
      <c r="H48417" s="612"/>
    </row>
    <row r="48418">
      <c r="B48418" s="612"/>
      <c r="H48418" s="612"/>
    </row>
    <row r="48419">
      <c r="B48419" s="612"/>
      <c r="H48419" s="612"/>
    </row>
    <row r="48420">
      <c r="B48420" s="612"/>
      <c r="H48420" s="612"/>
    </row>
    <row r="48421">
      <c r="B48421" s="612"/>
      <c r="H48421" s="612"/>
    </row>
    <row r="48422">
      <c r="B48422" s="612"/>
      <c r="H48422" s="612"/>
    </row>
    <row r="48423">
      <c r="B48423" s="612"/>
      <c r="H48423" s="612"/>
    </row>
    <row r="48424">
      <c r="B48424" s="612"/>
      <c r="H48424" s="612"/>
    </row>
    <row r="48425">
      <c r="B48425" s="612"/>
      <c r="H48425" s="612"/>
    </row>
    <row r="48426">
      <c r="B48426" s="612"/>
      <c r="H48426" s="612"/>
    </row>
    <row r="48427">
      <c r="B48427" s="612"/>
      <c r="H48427" s="612"/>
    </row>
    <row r="48428">
      <c r="B48428" s="612"/>
      <c r="H48428" s="612"/>
    </row>
    <row r="48429">
      <c r="B48429" s="612"/>
      <c r="H48429" s="612"/>
    </row>
    <row r="48430">
      <c r="B48430" s="612"/>
      <c r="H48430" s="612"/>
    </row>
    <row r="48431">
      <c r="B48431" s="612"/>
      <c r="H48431" s="612"/>
    </row>
    <row r="48432">
      <c r="B48432" s="612"/>
      <c r="H48432" s="612"/>
    </row>
    <row r="48433">
      <c r="B48433" s="612"/>
      <c r="H48433" s="612"/>
    </row>
    <row r="48434">
      <c r="B48434" s="612"/>
      <c r="H48434" s="612"/>
    </row>
    <row r="48435">
      <c r="B48435" s="612"/>
      <c r="H48435" s="612"/>
    </row>
    <row r="48436">
      <c r="B48436" s="612"/>
      <c r="H48436" s="612"/>
    </row>
    <row r="48437">
      <c r="B48437" s="612"/>
      <c r="H48437" s="612"/>
    </row>
    <row r="48438">
      <c r="B48438" s="612"/>
      <c r="H48438" s="612"/>
    </row>
    <row r="48439">
      <c r="B48439" s="612"/>
      <c r="H48439" s="612"/>
    </row>
    <row r="48440">
      <c r="B48440" s="612"/>
      <c r="H48440" s="612"/>
    </row>
    <row r="48441">
      <c r="B48441" s="612"/>
      <c r="H48441" s="612"/>
    </row>
    <row r="48442">
      <c r="B48442" s="612"/>
      <c r="H48442" s="612"/>
    </row>
    <row r="48443">
      <c r="B48443" s="612"/>
      <c r="H48443" s="612"/>
    </row>
    <row r="48444">
      <c r="B48444" s="612"/>
      <c r="H48444" s="612"/>
    </row>
    <row r="48445">
      <c r="B48445" s="612"/>
      <c r="H48445" s="612"/>
    </row>
    <row r="48446">
      <c r="B48446" s="612"/>
      <c r="H48446" s="612"/>
    </row>
    <row r="48447">
      <c r="B48447" s="612"/>
      <c r="H48447" s="612"/>
    </row>
    <row r="48448">
      <c r="B48448" s="612"/>
      <c r="H48448" s="612"/>
    </row>
    <row r="48449">
      <c r="B48449" s="612"/>
      <c r="H48449" s="612"/>
    </row>
    <row r="48450">
      <c r="B48450" s="612"/>
      <c r="H48450" s="612"/>
    </row>
    <row r="48451">
      <c r="B48451" s="612"/>
      <c r="H48451" s="612"/>
    </row>
    <row r="48452">
      <c r="B48452" s="612"/>
      <c r="H48452" s="612"/>
    </row>
    <row r="48453">
      <c r="B48453" s="612"/>
      <c r="H48453" s="612"/>
    </row>
    <row r="48454">
      <c r="B48454" s="612"/>
      <c r="H48454" s="612"/>
    </row>
    <row r="48455">
      <c r="B48455" s="612"/>
      <c r="H48455" s="612"/>
    </row>
    <row r="48456">
      <c r="B48456" s="612"/>
      <c r="H48456" s="612"/>
    </row>
    <row r="48457">
      <c r="B48457" s="612"/>
      <c r="H48457" s="612"/>
    </row>
    <row r="48458">
      <c r="B48458" s="612"/>
      <c r="H48458" s="612"/>
    </row>
    <row r="48459">
      <c r="B48459" s="612"/>
      <c r="H48459" s="612"/>
    </row>
    <row r="48460">
      <c r="B48460" s="612"/>
      <c r="H48460" s="612"/>
    </row>
    <row r="48461">
      <c r="B48461" s="612"/>
      <c r="H48461" s="612"/>
    </row>
    <row r="48462">
      <c r="B48462" s="612"/>
      <c r="H48462" s="612"/>
    </row>
    <row r="48463">
      <c r="B48463" s="612"/>
      <c r="H48463" s="612"/>
    </row>
    <row r="48464">
      <c r="B48464" s="612"/>
      <c r="H48464" s="612"/>
    </row>
    <row r="48465">
      <c r="B48465" s="612"/>
      <c r="H48465" s="612"/>
    </row>
    <row r="48466">
      <c r="B48466" s="612"/>
      <c r="H48466" s="612"/>
    </row>
    <row r="48467">
      <c r="B48467" s="612"/>
      <c r="H48467" s="612"/>
    </row>
    <row r="48468">
      <c r="B48468" s="612"/>
      <c r="H48468" s="612"/>
    </row>
    <row r="48469">
      <c r="B48469" s="612"/>
      <c r="H48469" s="612"/>
    </row>
    <row r="48470">
      <c r="B48470" s="612"/>
      <c r="H48470" s="612"/>
    </row>
    <row r="48471">
      <c r="B48471" s="612"/>
      <c r="H48471" s="612"/>
    </row>
    <row r="48472">
      <c r="B48472" s="612"/>
      <c r="H48472" s="612"/>
    </row>
    <row r="48473">
      <c r="B48473" s="612"/>
      <c r="H48473" s="612"/>
    </row>
    <row r="48474">
      <c r="B48474" s="612"/>
      <c r="H48474" s="612"/>
    </row>
    <row r="48475">
      <c r="B48475" s="612"/>
      <c r="H48475" s="612"/>
    </row>
    <row r="48476">
      <c r="B48476" s="612"/>
      <c r="H48476" s="612"/>
    </row>
    <row r="48477">
      <c r="B48477" s="612"/>
      <c r="H48477" s="612"/>
    </row>
    <row r="48478">
      <c r="B48478" s="612"/>
      <c r="H48478" s="612"/>
    </row>
    <row r="48479">
      <c r="B48479" s="612"/>
      <c r="H48479" s="612"/>
    </row>
    <row r="48480">
      <c r="B48480" s="612"/>
      <c r="H48480" s="612"/>
    </row>
    <row r="48481">
      <c r="B48481" s="612"/>
      <c r="H48481" s="612"/>
    </row>
    <row r="48482">
      <c r="B48482" s="612"/>
      <c r="H48482" s="612"/>
    </row>
    <row r="48483">
      <c r="B48483" s="612"/>
      <c r="H48483" s="612"/>
    </row>
    <row r="48484">
      <c r="B48484" s="612"/>
      <c r="H48484" s="612"/>
    </row>
    <row r="48485">
      <c r="B48485" s="612"/>
      <c r="H48485" s="612"/>
    </row>
    <row r="48486">
      <c r="B48486" s="612"/>
      <c r="H48486" s="612"/>
    </row>
    <row r="48487">
      <c r="B48487" s="612"/>
      <c r="H48487" s="612"/>
    </row>
    <row r="48488">
      <c r="B48488" s="612"/>
      <c r="H48488" s="612"/>
    </row>
    <row r="48489">
      <c r="B48489" s="612"/>
      <c r="H48489" s="612"/>
    </row>
    <row r="48490">
      <c r="B48490" s="612"/>
      <c r="H48490" s="612"/>
    </row>
    <row r="48491">
      <c r="B48491" s="612"/>
      <c r="H48491" s="612"/>
    </row>
    <row r="48492">
      <c r="B48492" s="612"/>
      <c r="H48492" s="612"/>
    </row>
    <row r="48493">
      <c r="B48493" s="612"/>
      <c r="H48493" s="612"/>
    </row>
    <row r="48494">
      <c r="B48494" s="612"/>
      <c r="H48494" s="612"/>
    </row>
    <row r="48495">
      <c r="B48495" s="612"/>
      <c r="H48495" s="612"/>
    </row>
    <row r="48496">
      <c r="B48496" s="612"/>
      <c r="H48496" s="612"/>
    </row>
    <row r="48497">
      <c r="B48497" s="612"/>
      <c r="H48497" s="612"/>
    </row>
    <row r="48498">
      <c r="B48498" s="612"/>
      <c r="H48498" s="612"/>
    </row>
    <row r="48499">
      <c r="B48499" s="612"/>
      <c r="H48499" s="612"/>
    </row>
    <row r="48500">
      <c r="B48500" s="612"/>
      <c r="H48500" s="612"/>
    </row>
    <row r="48501">
      <c r="B48501" s="612"/>
      <c r="H48501" s="612"/>
    </row>
    <row r="48502">
      <c r="B48502" s="612"/>
      <c r="H48502" s="612"/>
    </row>
    <row r="48503">
      <c r="B48503" s="612"/>
      <c r="H48503" s="612"/>
    </row>
    <row r="48504">
      <c r="B48504" s="612"/>
      <c r="H48504" s="612"/>
    </row>
    <row r="48505">
      <c r="B48505" s="612"/>
      <c r="H48505" s="612"/>
    </row>
    <row r="48506">
      <c r="B48506" s="612"/>
      <c r="H48506" s="612"/>
    </row>
    <row r="48507">
      <c r="B48507" s="612"/>
      <c r="H48507" s="612"/>
    </row>
    <row r="48508">
      <c r="B48508" s="612"/>
      <c r="H48508" s="612"/>
    </row>
    <row r="48509">
      <c r="B48509" s="612"/>
      <c r="H48509" s="612"/>
    </row>
    <row r="48510">
      <c r="B48510" s="612"/>
      <c r="H48510" s="612"/>
    </row>
    <row r="48511">
      <c r="B48511" s="612"/>
      <c r="H48511" s="612"/>
    </row>
    <row r="48512">
      <c r="B48512" s="612"/>
      <c r="H48512" s="612"/>
    </row>
    <row r="48513">
      <c r="B48513" s="612"/>
      <c r="H48513" s="612"/>
    </row>
    <row r="48514">
      <c r="B48514" s="612"/>
      <c r="H48514" s="612"/>
    </row>
    <row r="48515">
      <c r="B48515" s="612"/>
      <c r="H48515" s="612"/>
    </row>
    <row r="48516">
      <c r="B48516" s="612"/>
      <c r="H48516" s="612"/>
    </row>
    <row r="48517">
      <c r="B48517" s="612"/>
      <c r="H48517" s="612"/>
    </row>
    <row r="48518">
      <c r="B48518" s="612"/>
      <c r="H48518" s="612"/>
    </row>
    <row r="48519">
      <c r="B48519" s="612"/>
      <c r="H48519" s="612"/>
    </row>
    <row r="48520">
      <c r="B48520" s="612"/>
      <c r="H48520" s="612"/>
    </row>
    <row r="48521">
      <c r="B48521" s="612"/>
      <c r="H48521" s="612"/>
    </row>
    <row r="48522">
      <c r="B48522" s="612"/>
      <c r="H48522" s="612"/>
    </row>
    <row r="48523">
      <c r="B48523" s="612"/>
      <c r="H48523" s="612"/>
    </row>
    <row r="48524">
      <c r="B48524" s="612"/>
      <c r="H48524" s="612"/>
    </row>
    <row r="48525">
      <c r="B48525" s="612"/>
      <c r="H48525" s="612"/>
    </row>
    <row r="48526">
      <c r="B48526" s="612"/>
      <c r="H48526" s="612"/>
    </row>
    <row r="48527">
      <c r="B48527" s="612"/>
      <c r="H48527" s="612"/>
    </row>
    <row r="48528">
      <c r="B48528" s="612"/>
      <c r="H48528" s="612"/>
    </row>
    <row r="48529">
      <c r="B48529" s="612"/>
      <c r="H48529" s="612"/>
    </row>
    <row r="48530">
      <c r="B48530" s="612"/>
      <c r="H48530" s="612"/>
    </row>
    <row r="48531">
      <c r="B48531" s="612"/>
      <c r="H48531" s="612"/>
    </row>
    <row r="48532">
      <c r="B48532" s="612"/>
      <c r="H48532" s="612"/>
    </row>
    <row r="48533">
      <c r="B48533" s="612"/>
      <c r="H48533" s="612"/>
    </row>
    <row r="48534">
      <c r="B48534" s="612"/>
      <c r="H48534" s="612"/>
    </row>
    <row r="48535">
      <c r="B48535" s="612"/>
      <c r="H48535" s="612"/>
    </row>
    <row r="48536">
      <c r="B48536" s="612"/>
      <c r="H48536" s="612"/>
    </row>
    <row r="48537">
      <c r="B48537" s="612"/>
      <c r="H48537" s="612"/>
    </row>
    <row r="48538">
      <c r="B48538" s="612"/>
      <c r="H48538" s="612"/>
    </row>
    <row r="48539">
      <c r="B48539" s="612"/>
      <c r="H48539" s="612"/>
    </row>
    <row r="48540">
      <c r="B48540" s="612"/>
      <c r="H48540" s="612"/>
    </row>
    <row r="48541">
      <c r="B48541" s="612"/>
      <c r="H48541" s="612"/>
    </row>
    <row r="48542">
      <c r="B48542" s="612"/>
      <c r="H48542" s="612"/>
    </row>
    <row r="48543">
      <c r="B48543" s="612"/>
      <c r="H48543" s="612"/>
    </row>
    <row r="48544">
      <c r="B48544" s="612"/>
      <c r="H48544" s="612"/>
    </row>
    <row r="48545">
      <c r="B48545" s="612"/>
      <c r="H48545" s="612"/>
    </row>
    <row r="48546">
      <c r="B48546" s="612"/>
      <c r="H48546" s="612"/>
    </row>
    <row r="48547">
      <c r="B48547" s="612"/>
      <c r="H48547" s="612"/>
    </row>
    <row r="48548">
      <c r="B48548" s="612"/>
      <c r="H48548" s="612"/>
    </row>
    <row r="48549">
      <c r="B48549" s="612"/>
      <c r="H48549" s="612"/>
    </row>
    <row r="48550">
      <c r="B48550" s="612"/>
      <c r="H48550" s="612"/>
    </row>
    <row r="48551">
      <c r="B48551" s="612"/>
      <c r="H48551" s="612"/>
    </row>
    <row r="48552">
      <c r="B48552" s="612"/>
      <c r="H48552" s="612"/>
    </row>
    <row r="48553">
      <c r="B48553" s="612"/>
      <c r="H48553" s="612"/>
    </row>
    <row r="48554">
      <c r="B48554" s="612"/>
      <c r="H48554" s="612"/>
    </row>
    <row r="48555">
      <c r="B48555" s="612"/>
      <c r="H48555" s="612"/>
    </row>
    <row r="48556">
      <c r="B48556" s="612"/>
      <c r="H48556" s="612"/>
    </row>
    <row r="48557">
      <c r="B48557" s="612"/>
      <c r="H48557" s="612"/>
    </row>
    <row r="48558">
      <c r="B48558" s="612"/>
      <c r="H48558" s="612"/>
    </row>
    <row r="48559">
      <c r="B48559" s="612"/>
      <c r="H48559" s="612"/>
    </row>
    <row r="48560">
      <c r="B48560" s="612"/>
      <c r="H48560" s="612"/>
    </row>
    <row r="48561">
      <c r="B48561" s="612"/>
      <c r="H48561" s="612"/>
    </row>
    <row r="48562">
      <c r="B48562" s="612"/>
      <c r="H48562" s="612"/>
    </row>
    <row r="48563">
      <c r="B48563" s="612"/>
      <c r="H48563" s="612"/>
    </row>
    <row r="48564">
      <c r="B48564" s="612"/>
      <c r="H48564" s="612"/>
    </row>
    <row r="48565">
      <c r="B48565" s="612"/>
      <c r="H48565" s="612"/>
    </row>
    <row r="48566">
      <c r="B48566" s="612"/>
      <c r="H48566" s="612"/>
    </row>
    <row r="48567">
      <c r="B48567" s="612"/>
      <c r="H48567" s="612"/>
    </row>
    <row r="48568">
      <c r="B48568" s="612"/>
      <c r="H48568" s="612"/>
    </row>
    <row r="48569">
      <c r="B48569" s="612"/>
      <c r="H48569" s="612"/>
    </row>
    <row r="48570">
      <c r="B48570" s="612"/>
      <c r="H48570" s="612"/>
    </row>
    <row r="48571">
      <c r="B48571" s="612"/>
      <c r="H48571" s="612"/>
    </row>
    <row r="48572">
      <c r="B48572" s="612"/>
      <c r="H48572" s="612"/>
    </row>
    <row r="48573">
      <c r="B48573" s="612"/>
      <c r="H48573" s="612"/>
    </row>
    <row r="48574">
      <c r="B48574" s="612"/>
      <c r="H48574" s="612"/>
    </row>
    <row r="48575">
      <c r="B48575" s="612"/>
      <c r="H48575" s="612"/>
    </row>
    <row r="48576">
      <c r="B48576" s="612"/>
      <c r="H48576" s="612"/>
    </row>
    <row r="48577">
      <c r="B48577" s="612"/>
      <c r="H48577" s="612"/>
    </row>
    <row r="48578">
      <c r="B48578" s="612"/>
      <c r="H48578" s="612"/>
    </row>
    <row r="48579">
      <c r="B48579" s="612"/>
      <c r="H48579" s="612"/>
    </row>
    <row r="48580">
      <c r="B48580" s="612"/>
      <c r="H48580" s="612"/>
    </row>
    <row r="48581">
      <c r="B48581" s="612"/>
      <c r="H48581" s="612"/>
    </row>
    <row r="48582">
      <c r="B48582" s="612"/>
      <c r="H48582" s="612"/>
    </row>
    <row r="48583">
      <c r="B48583" s="612"/>
      <c r="H48583" s="612"/>
    </row>
    <row r="48584">
      <c r="B48584" s="612"/>
      <c r="H48584" s="612"/>
    </row>
    <row r="48585">
      <c r="B48585" s="612"/>
      <c r="H48585" s="612"/>
    </row>
    <row r="48586">
      <c r="B48586" s="612"/>
      <c r="H48586" s="612"/>
    </row>
    <row r="48587">
      <c r="B48587" s="612"/>
      <c r="H48587" s="612"/>
    </row>
    <row r="48588">
      <c r="B48588" s="612"/>
      <c r="H48588" s="612"/>
    </row>
    <row r="48589">
      <c r="B48589" s="612"/>
      <c r="H48589" s="612"/>
    </row>
    <row r="48590">
      <c r="B48590" s="612"/>
      <c r="H48590" s="612"/>
    </row>
    <row r="48591">
      <c r="B48591" s="612"/>
      <c r="H48591" s="612"/>
    </row>
    <row r="48592">
      <c r="B48592" s="612"/>
      <c r="H48592" s="612"/>
    </row>
    <row r="48593">
      <c r="B48593" s="612"/>
      <c r="H48593" s="612"/>
    </row>
    <row r="48594">
      <c r="B48594" s="612"/>
      <c r="H48594" s="612"/>
    </row>
    <row r="48595">
      <c r="B48595" s="612"/>
      <c r="H48595" s="612"/>
    </row>
    <row r="48596">
      <c r="B48596" s="612"/>
      <c r="H48596" s="612"/>
    </row>
    <row r="48597">
      <c r="B48597" s="612"/>
      <c r="H48597" s="612"/>
    </row>
    <row r="48598">
      <c r="B48598" s="612"/>
      <c r="H48598" s="612"/>
    </row>
    <row r="48599">
      <c r="B48599" s="612"/>
      <c r="H48599" s="612"/>
    </row>
    <row r="48600">
      <c r="B48600" s="612"/>
      <c r="H48600" s="612"/>
    </row>
    <row r="48601">
      <c r="B48601" s="612"/>
      <c r="H48601" s="612"/>
    </row>
    <row r="48602">
      <c r="B48602" s="612"/>
      <c r="H48602" s="612"/>
    </row>
    <row r="48603">
      <c r="B48603" s="612"/>
      <c r="H48603" s="612"/>
    </row>
    <row r="48604">
      <c r="B48604" s="612"/>
      <c r="H48604" s="612"/>
    </row>
    <row r="48605">
      <c r="B48605" s="612"/>
      <c r="H48605" s="612"/>
    </row>
    <row r="48606">
      <c r="B48606" s="612"/>
      <c r="H48606" s="612"/>
    </row>
    <row r="48607">
      <c r="B48607" s="612"/>
      <c r="H48607" s="612"/>
    </row>
    <row r="48608">
      <c r="B48608" s="612"/>
      <c r="H48608" s="612"/>
    </row>
    <row r="48609">
      <c r="B48609" s="612"/>
      <c r="H48609" s="612"/>
    </row>
    <row r="48610">
      <c r="B48610" s="612"/>
      <c r="H48610" s="612"/>
    </row>
    <row r="48611">
      <c r="B48611" s="612"/>
      <c r="H48611" s="612"/>
    </row>
    <row r="48612">
      <c r="B48612" s="612"/>
      <c r="H48612" s="612"/>
    </row>
    <row r="48613">
      <c r="B48613" s="612"/>
      <c r="H48613" s="612"/>
    </row>
    <row r="48614">
      <c r="B48614" s="612"/>
      <c r="H48614" s="612"/>
    </row>
    <row r="48615">
      <c r="B48615" s="612"/>
      <c r="H48615" s="612"/>
    </row>
    <row r="48616">
      <c r="B48616" s="612"/>
      <c r="H48616" s="612"/>
    </row>
    <row r="48617">
      <c r="B48617" s="612"/>
      <c r="H48617" s="612"/>
    </row>
    <row r="48618">
      <c r="B48618" s="612"/>
      <c r="H48618" s="612"/>
    </row>
    <row r="48619">
      <c r="B48619" s="612"/>
      <c r="H48619" s="612"/>
    </row>
    <row r="48620">
      <c r="B48620" s="612"/>
      <c r="H48620" s="612"/>
    </row>
    <row r="48621">
      <c r="B48621" s="612"/>
      <c r="H48621" s="612"/>
    </row>
    <row r="48622">
      <c r="B48622" s="612"/>
      <c r="H48622" s="612"/>
    </row>
    <row r="48623">
      <c r="B48623" s="612"/>
      <c r="H48623" s="612"/>
    </row>
    <row r="48624">
      <c r="B48624" s="612"/>
      <c r="H48624" s="612"/>
    </row>
    <row r="48625">
      <c r="B48625" s="612"/>
      <c r="H48625" s="612"/>
    </row>
    <row r="48626">
      <c r="B48626" s="612"/>
      <c r="H48626" s="612"/>
    </row>
    <row r="48627">
      <c r="B48627" s="612"/>
      <c r="H48627" s="612"/>
    </row>
    <row r="48628">
      <c r="B48628" s="612"/>
      <c r="H48628" s="612"/>
    </row>
    <row r="48629">
      <c r="B48629" s="612"/>
      <c r="H48629" s="612"/>
    </row>
    <row r="48630">
      <c r="B48630" s="612"/>
      <c r="H48630" s="612"/>
    </row>
    <row r="48631">
      <c r="B48631" s="612"/>
      <c r="H48631" s="612"/>
    </row>
    <row r="48632">
      <c r="B48632" s="612"/>
      <c r="H48632" s="612"/>
    </row>
    <row r="48633">
      <c r="B48633" s="612"/>
      <c r="H48633" s="612"/>
    </row>
    <row r="48634">
      <c r="B48634" s="612"/>
      <c r="H48634" s="612"/>
    </row>
    <row r="48635">
      <c r="B48635" s="612"/>
      <c r="H48635" s="612"/>
    </row>
    <row r="48636">
      <c r="B48636" s="612"/>
      <c r="H48636" s="612"/>
    </row>
    <row r="48637">
      <c r="B48637" s="612"/>
      <c r="H48637" s="612"/>
    </row>
    <row r="48638">
      <c r="B48638" s="612"/>
      <c r="H48638" s="612"/>
    </row>
    <row r="48639">
      <c r="B48639" s="612"/>
      <c r="H48639" s="612"/>
    </row>
    <row r="48640">
      <c r="B48640" s="612"/>
      <c r="H48640" s="612"/>
    </row>
    <row r="48641">
      <c r="B48641" s="612"/>
      <c r="H48641" s="612"/>
    </row>
    <row r="48642">
      <c r="B48642" s="612"/>
      <c r="H48642" s="612"/>
    </row>
    <row r="48643">
      <c r="B48643" s="612"/>
      <c r="H48643" s="612"/>
    </row>
    <row r="48644">
      <c r="B48644" s="612"/>
      <c r="H48644" s="612"/>
    </row>
    <row r="48645">
      <c r="B48645" s="612"/>
      <c r="H48645" s="612"/>
    </row>
    <row r="48646">
      <c r="B48646" s="612"/>
      <c r="H48646" s="612"/>
    </row>
    <row r="48647">
      <c r="B48647" s="612"/>
      <c r="H48647" s="612"/>
    </row>
    <row r="48648">
      <c r="B48648" s="612"/>
      <c r="H48648" s="612"/>
    </row>
    <row r="48649">
      <c r="B48649" s="612"/>
      <c r="H48649" s="612"/>
    </row>
    <row r="48650">
      <c r="B48650" s="612"/>
      <c r="H48650" s="612"/>
    </row>
    <row r="48651">
      <c r="B48651" s="612"/>
      <c r="H48651" s="612"/>
    </row>
    <row r="48652">
      <c r="B48652" s="612"/>
      <c r="H48652" s="612"/>
    </row>
    <row r="48653">
      <c r="B48653" s="612"/>
      <c r="H48653" s="612"/>
    </row>
    <row r="48654">
      <c r="B48654" s="612"/>
      <c r="H48654" s="612"/>
    </row>
    <row r="48655">
      <c r="B48655" s="612"/>
      <c r="H48655" s="612"/>
    </row>
    <row r="48656">
      <c r="B48656" s="612"/>
      <c r="H48656" s="612"/>
    </row>
    <row r="48657">
      <c r="B48657" s="612"/>
      <c r="H48657" s="612"/>
    </row>
    <row r="48658">
      <c r="B48658" s="612"/>
      <c r="H48658" s="612"/>
    </row>
    <row r="48659">
      <c r="B48659" s="612"/>
      <c r="H48659" s="612"/>
    </row>
    <row r="48660">
      <c r="B48660" s="612"/>
      <c r="H48660" s="612"/>
    </row>
    <row r="48661">
      <c r="B48661" s="612"/>
      <c r="H48661" s="612"/>
    </row>
    <row r="48662">
      <c r="B48662" s="612"/>
      <c r="H48662" s="612"/>
    </row>
    <row r="48663">
      <c r="B48663" s="612"/>
      <c r="H48663" s="612"/>
    </row>
    <row r="48664">
      <c r="B48664" s="612"/>
      <c r="H48664" s="612"/>
    </row>
    <row r="48665">
      <c r="B48665" s="612"/>
      <c r="H48665" s="612"/>
    </row>
    <row r="48666">
      <c r="B48666" s="612"/>
      <c r="H48666" s="612"/>
    </row>
    <row r="48667">
      <c r="B48667" s="612"/>
      <c r="H48667" s="612"/>
    </row>
    <row r="48668">
      <c r="B48668" s="612"/>
      <c r="H48668" s="612"/>
    </row>
    <row r="48669">
      <c r="B48669" s="612"/>
      <c r="H48669" s="612"/>
    </row>
    <row r="48670">
      <c r="B48670" s="612"/>
      <c r="H48670" s="612"/>
    </row>
    <row r="48671">
      <c r="B48671" s="612"/>
      <c r="H48671" s="612"/>
    </row>
    <row r="48672">
      <c r="B48672" s="612"/>
      <c r="H48672" s="612"/>
    </row>
    <row r="48673">
      <c r="B48673" s="612"/>
      <c r="H48673" s="612"/>
    </row>
    <row r="48674">
      <c r="B48674" s="612"/>
      <c r="H48674" s="612"/>
    </row>
    <row r="48675">
      <c r="B48675" s="612"/>
      <c r="H48675" s="612"/>
    </row>
    <row r="48676">
      <c r="B48676" s="612"/>
      <c r="H48676" s="612"/>
    </row>
    <row r="48677">
      <c r="B48677" s="612"/>
      <c r="H48677" s="612"/>
    </row>
    <row r="48678">
      <c r="B48678" s="612"/>
      <c r="H48678" s="612"/>
    </row>
    <row r="48679">
      <c r="B48679" s="612"/>
      <c r="H48679" s="612"/>
    </row>
    <row r="48680">
      <c r="B48680" s="612"/>
      <c r="H48680" s="612"/>
    </row>
    <row r="48681">
      <c r="B48681" s="612"/>
      <c r="H48681" s="612"/>
    </row>
    <row r="48682">
      <c r="B48682" s="612"/>
      <c r="H48682" s="612"/>
    </row>
    <row r="48683">
      <c r="B48683" s="612"/>
      <c r="H48683" s="612"/>
    </row>
    <row r="48684">
      <c r="B48684" s="612"/>
      <c r="H48684" s="612"/>
    </row>
    <row r="48685">
      <c r="B48685" s="612"/>
      <c r="H48685" s="612"/>
    </row>
    <row r="48686">
      <c r="B48686" s="612"/>
      <c r="H48686" s="612"/>
    </row>
    <row r="48687">
      <c r="B48687" s="612"/>
      <c r="H48687" s="612"/>
    </row>
    <row r="48688">
      <c r="B48688" s="612"/>
      <c r="H48688" s="612"/>
    </row>
    <row r="48689">
      <c r="B48689" s="612"/>
      <c r="H48689" s="612"/>
    </row>
    <row r="48690">
      <c r="B48690" s="612"/>
      <c r="H48690" s="612"/>
    </row>
    <row r="48691">
      <c r="B48691" s="612"/>
      <c r="H48691" s="612"/>
    </row>
    <row r="48692">
      <c r="B48692" s="612"/>
      <c r="H48692" s="612"/>
    </row>
    <row r="48693">
      <c r="B48693" s="612"/>
      <c r="H48693" s="612"/>
    </row>
    <row r="48694">
      <c r="B48694" s="612"/>
      <c r="H48694" s="612"/>
    </row>
    <row r="48695">
      <c r="B48695" s="612"/>
      <c r="H48695" s="612"/>
    </row>
    <row r="48696">
      <c r="B48696" s="612"/>
      <c r="H48696" s="612"/>
    </row>
    <row r="48697">
      <c r="B48697" s="612"/>
      <c r="H48697" s="612"/>
    </row>
    <row r="48698">
      <c r="B48698" s="612"/>
      <c r="H48698" s="612"/>
    </row>
    <row r="48699">
      <c r="B48699" s="612"/>
      <c r="H48699" s="612"/>
    </row>
    <row r="48700">
      <c r="B48700" s="612"/>
      <c r="H48700" s="612"/>
    </row>
    <row r="48701">
      <c r="B48701" s="612"/>
      <c r="H48701" s="612"/>
    </row>
    <row r="48702">
      <c r="B48702" s="612"/>
      <c r="H48702" s="612"/>
    </row>
    <row r="48703">
      <c r="B48703" s="612"/>
      <c r="H48703" s="612"/>
    </row>
    <row r="48704">
      <c r="B48704" s="612"/>
      <c r="H48704" s="612"/>
    </row>
    <row r="48705">
      <c r="B48705" s="612"/>
      <c r="H48705" s="612"/>
    </row>
    <row r="48706">
      <c r="B48706" s="612"/>
      <c r="H48706" s="612"/>
    </row>
    <row r="48707">
      <c r="B48707" s="612"/>
      <c r="H48707" s="612"/>
    </row>
    <row r="48708">
      <c r="B48708" s="612"/>
      <c r="H48708" s="612"/>
    </row>
    <row r="48709">
      <c r="B48709" s="612"/>
      <c r="H48709" s="612"/>
    </row>
    <row r="48710">
      <c r="B48710" s="612"/>
      <c r="H48710" s="612"/>
    </row>
    <row r="48711">
      <c r="B48711" s="612"/>
      <c r="H48711" s="612"/>
    </row>
    <row r="48712">
      <c r="B48712" s="612"/>
      <c r="H48712" s="612"/>
    </row>
    <row r="48713">
      <c r="B48713" s="612"/>
      <c r="H48713" s="612"/>
    </row>
    <row r="48714">
      <c r="B48714" s="612"/>
      <c r="H48714" s="612"/>
    </row>
    <row r="48715">
      <c r="B48715" s="612"/>
      <c r="H48715" s="612"/>
    </row>
    <row r="48716">
      <c r="B48716" s="612"/>
      <c r="H48716" s="612"/>
    </row>
    <row r="48717">
      <c r="B48717" s="612"/>
      <c r="H48717" s="612"/>
    </row>
    <row r="48718">
      <c r="B48718" s="612"/>
      <c r="H48718" s="612"/>
    </row>
    <row r="48719">
      <c r="B48719" s="612"/>
      <c r="H48719" s="612"/>
    </row>
    <row r="48720">
      <c r="B48720" s="612"/>
      <c r="H48720" s="612"/>
    </row>
    <row r="48721">
      <c r="B48721" s="612"/>
      <c r="H48721" s="612"/>
    </row>
    <row r="48722">
      <c r="B48722" s="612"/>
      <c r="H48722" s="612"/>
    </row>
    <row r="48723">
      <c r="B48723" s="612"/>
      <c r="H48723" s="612"/>
    </row>
    <row r="48724">
      <c r="B48724" s="612"/>
      <c r="H48724" s="612"/>
    </row>
    <row r="48725">
      <c r="B48725" s="612"/>
      <c r="H48725" s="612"/>
    </row>
    <row r="48726">
      <c r="B48726" s="612"/>
      <c r="H48726" s="612"/>
    </row>
    <row r="48727">
      <c r="B48727" s="612"/>
      <c r="H48727" s="612"/>
    </row>
    <row r="48728">
      <c r="B48728" s="612"/>
      <c r="H48728" s="612"/>
    </row>
    <row r="48729">
      <c r="B48729" s="612"/>
      <c r="H48729" s="612"/>
    </row>
    <row r="48730">
      <c r="B48730" s="612"/>
      <c r="H48730" s="612"/>
    </row>
    <row r="48731">
      <c r="B48731" s="612"/>
      <c r="H48731" s="612"/>
    </row>
    <row r="48732">
      <c r="B48732" s="612"/>
      <c r="H48732" s="612"/>
    </row>
    <row r="48733">
      <c r="B48733" s="612"/>
      <c r="H48733" s="612"/>
    </row>
    <row r="48734">
      <c r="B48734" s="612"/>
      <c r="H48734" s="612"/>
    </row>
    <row r="48735">
      <c r="B48735" s="612"/>
      <c r="H48735" s="612"/>
    </row>
    <row r="48736">
      <c r="B48736" s="612"/>
      <c r="H48736" s="612"/>
    </row>
    <row r="48737">
      <c r="B48737" s="612"/>
      <c r="H48737" s="612"/>
    </row>
    <row r="48738">
      <c r="B48738" s="612"/>
      <c r="H48738" s="612"/>
    </row>
    <row r="48739">
      <c r="B48739" s="612"/>
      <c r="H48739" s="612"/>
    </row>
    <row r="48740">
      <c r="B48740" s="612"/>
      <c r="H48740" s="612"/>
    </row>
    <row r="48741">
      <c r="B48741" s="612"/>
      <c r="H48741" s="612"/>
    </row>
    <row r="48742">
      <c r="B48742" s="612"/>
      <c r="H48742" s="612"/>
    </row>
    <row r="48743">
      <c r="B48743" s="612"/>
      <c r="H48743" s="612"/>
    </row>
    <row r="48744">
      <c r="B48744" s="612"/>
      <c r="H48744" s="612"/>
    </row>
    <row r="48745">
      <c r="B48745" s="612"/>
      <c r="H48745" s="612"/>
    </row>
    <row r="48746">
      <c r="B48746" s="612"/>
      <c r="H48746" s="612"/>
    </row>
    <row r="48747">
      <c r="B48747" s="612"/>
      <c r="H48747" s="612"/>
    </row>
    <row r="48748">
      <c r="B48748" s="612"/>
      <c r="H48748" s="612"/>
    </row>
    <row r="48749">
      <c r="B48749" s="612"/>
      <c r="H48749" s="612"/>
    </row>
    <row r="48750">
      <c r="B48750" s="612"/>
      <c r="H48750" s="612"/>
    </row>
    <row r="48751">
      <c r="B48751" s="612"/>
      <c r="H48751" s="612"/>
    </row>
    <row r="48752">
      <c r="B48752" s="612"/>
      <c r="H48752" s="612"/>
    </row>
    <row r="48753">
      <c r="B48753" s="612"/>
      <c r="H48753" s="612"/>
    </row>
    <row r="48754">
      <c r="B48754" s="612"/>
      <c r="H48754" s="612"/>
    </row>
    <row r="48755">
      <c r="B48755" s="612"/>
      <c r="H48755" s="612"/>
    </row>
    <row r="48756">
      <c r="B48756" s="612"/>
      <c r="H48756" s="612"/>
    </row>
    <row r="48757">
      <c r="B48757" s="612"/>
      <c r="H48757" s="612"/>
    </row>
    <row r="48758">
      <c r="B48758" s="612"/>
      <c r="H48758" s="612"/>
    </row>
    <row r="48759">
      <c r="B48759" s="612"/>
      <c r="H48759" s="612"/>
    </row>
    <row r="48760">
      <c r="B48760" s="612"/>
      <c r="H48760" s="612"/>
    </row>
    <row r="48761">
      <c r="B48761" s="612"/>
      <c r="H48761" s="612"/>
    </row>
    <row r="48762">
      <c r="B48762" s="612"/>
      <c r="H48762" s="612"/>
    </row>
    <row r="48763">
      <c r="B48763" s="612"/>
      <c r="H48763" s="612"/>
    </row>
    <row r="48764">
      <c r="B48764" s="612"/>
      <c r="H48764" s="612"/>
    </row>
    <row r="48765">
      <c r="B48765" s="612"/>
      <c r="H48765" s="612"/>
    </row>
    <row r="48766">
      <c r="B48766" s="612"/>
      <c r="H48766" s="612"/>
    </row>
    <row r="48767">
      <c r="B48767" s="612"/>
      <c r="H48767" s="612"/>
    </row>
    <row r="48768">
      <c r="B48768" s="612"/>
      <c r="H48768" s="612"/>
    </row>
    <row r="48769">
      <c r="B48769" s="612"/>
      <c r="H48769" s="612"/>
    </row>
    <row r="48770">
      <c r="B48770" s="612"/>
      <c r="H48770" s="612"/>
    </row>
    <row r="48771">
      <c r="B48771" s="612"/>
      <c r="H48771" s="612"/>
    </row>
    <row r="48772">
      <c r="B48772" s="612"/>
      <c r="H48772" s="612"/>
    </row>
    <row r="48773">
      <c r="B48773" s="612"/>
      <c r="H48773" s="612"/>
    </row>
    <row r="48774">
      <c r="B48774" s="612"/>
      <c r="H48774" s="612"/>
    </row>
    <row r="48775">
      <c r="B48775" s="612"/>
      <c r="H48775" s="612"/>
    </row>
    <row r="48776">
      <c r="B48776" s="612"/>
      <c r="H48776" s="612"/>
    </row>
    <row r="48777">
      <c r="B48777" s="612"/>
      <c r="H48777" s="612"/>
    </row>
    <row r="48778">
      <c r="B48778" s="612"/>
      <c r="H48778" s="612"/>
    </row>
    <row r="48779">
      <c r="B48779" s="612"/>
      <c r="H48779" s="612"/>
    </row>
    <row r="48780">
      <c r="B48780" s="612"/>
      <c r="H48780" s="612"/>
    </row>
    <row r="48781">
      <c r="B48781" s="612"/>
      <c r="H48781" s="612"/>
    </row>
    <row r="48782">
      <c r="B48782" s="612"/>
      <c r="H48782" s="612"/>
    </row>
    <row r="48783">
      <c r="B48783" s="612"/>
      <c r="H48783" s="612"/>
    </row>
    <row r="48784">
      <c r="B48784" s="612"/>
      <c r="H48784" s="612"/>
    </row>
    <row r="48785">
      <c r="B48785" s="612"/>
      <c r="H48785" s="612"/>
    </row>
    <row r="48786">
      <c r="B48786" s="612"/>
      <c r="H48786" s="612"/>
    </row>
    <row r="48787">
      <c r="B48787" s="612"/>
      <c r="H48787" s="612"/>
    </row>
    <row r="48788">
      <c r="B48788" s="612"/>
      <c r="H48788" s="612"/>
    </row>
    <row r="48789">
      <c r="B48789" s="612"/>
      <c r="H48789" s="612"/>
    </row>
    <row r="48790">
      <c r="B48790" s="612"/>
      <c r="H48790" s="612"/>
    </row>
    <row r="48791">
      <c r="B48791" s="612"/>
      <c r="H48791" s="612"/>
    </row>
    <row r="48792">
      <c r="B48792" s="612"/>
      <c r="H48792" s="612"/>
    </row>
    <row r="48793">
      <c r="B48793" s="612"/>
      <c r="H48793" s="612"/>
    </row>
    <row r="48794">
      <c r="B48794" s="612"/>
      <c r="H48794" s="612"/>
    </row>
    <row r="48795">
      <c r="B48795" s="612"/>
      <c r="H48795" s="612"/>
    </row>
    <row r="48796">
      <c r="B48796" s="612"/>
      <c r="H48796" s="612"/>
    </row>
    <row r="48797">
      <c r="B48797" s="612"/>
      <c r="H48797" s="612"/>
    </row>
    <row r="48798">
      <c r="B48798" s="612"/>
      <c r="H48798" s="612"/>
    </row>
    <row r="48799">
      <c r="B48799" s="612"/>
      <c r="H48799" s="612"/>
    </row>
    <row r="48800">
      <c r="B48800" s="612"/>
      <c r="H48800" s="612"/>
    </row>
    <row r="48801">
      <c r="B48801" s="612"/>
      <c r="H48801" s="612"/>
    </row>
    <row r="48802">
      <c r="B48802" s="612"/>
      <c r="H48802" s="612"/>
    </row>
    <row r="48803">
      <c r="B48803" s="612"/>
      <c r="H48803" s="612"/>
    </row>
    <row r="48804">
      <c r="B48804" s="612"/>
      <c r="H48804" s="612"/>
    </row>
    <row r="48805">
      <c r="B48805" s="612"/>
      <c r="H48805" s="612"/>
    </row>
    <row r="48806">
      <c r="B48806" s="612"/>
      <c r="H48806" s="612"/>
    </row>
    <row r="48807">
      <c r="B48807" s="612"/>
      <c r="H48807" s="612"/>
    </row>
    <row r="48808">
      <c r="B48808" s="612"/>
      <c r="H48808" s="612"/>
    </row>
    <row r="48809">
      <c r="B48809" s="612"/>
      <c r="H48809" s="612"/>
    </row>
    <row r="48810">
      <c r="B48810" s="612"/>
      <c r="H48810" s="612"/>
    </row>
    <row r="48811">
      <c r="B48811" s="612"/>
      <c r="H48811" s="612"/>
    </row>
    <row r="48812">
      <c r="B48812" s="612"/>
      <c r="H48812" s="612"/>
    </row>
    <row r="48813">
      <c r="B48813" s="612"/>
      <c r="H48813" s="612"/>
    </row>
    <row r="48814">
      <c r="B48814" s="612"/>
      <c r="H48814" s="612"/>
    </row>
    <row r="48815">
      <c r="B48815" s="612"/>
      <c r="H48815" s="612"/>
    </row>
    <row r="48816">
      <c r="B48816" s="612"/>
      <c r="H48816" s="612"/>
    </row>
    <row r="48817">
      <c r="B48817" s="612"/>
      <c r="H48817" s="612"/>
    </row>
    <row r="48818">
      <c r="B48818" s="612"/>
      <c r="H48818" s="612"/>
    </row>
    <row r="48819">
      <c r="B48819" s="612"/>
      <c r="H48819" s="612"/>
    </row>
    <row r="48820">
      <c r="B48820" s="612"/>
      <c r="H48820" s="612"/>
    </row>
    <row r="48821">
      <c r="B48821" s="612"/>
      <c r="H48821" s="612"/>
    </row>
    <row r="48822">
      <c r="B48822" s="612"/>
      <c r="H48822" s="612"/>
    </row>
    <row r="48823">
      <c r="B48823" s="612"/>
      <c r="H48823" s="612"/>
    </row>
    <row r="48824">
      <c r="B48824" s="612"/>
      <c r="H48824" s="612"/>
    </row>
    <row r="48825">
      <c r="B48825" s="612"/>
      <c r="H48825" s="612"/>
    </row>
    <row r="48826">
      <c r="B48826" s="612"/>
      <c r="H48826" s="612"/>
    </row>
    <row r="48827">
      <c r="B48827" s="612"/>
      <c r="H48827" s="612"/>
    </row>
    <row r="48828">
      <c r="B48828" s="612"/>
      <c r="H48828" s="612"/>
    </row>
    <row r="48829">
      <c r="B48829" s="612"/>
      <c r="H48829" s="612"/>
    </row>
    <row r="48830">
      <c r="B48830" s="612"/>
      <c r="H48830" s="612"/>
    </row>
    <row r="48831">
      <c r="B48831" s="612"/>
      <c r="H48831" s="612"/>
    </row>
    <row r="48832">
      <c r="B48832" s="612"/>
      <c r="H48832" s="612"/>
    </row>
    <row r="48833">
      <c r="B48833" s="612"/>
      <c r="H48833" s="612"/>
    </row>
    <row r="48834">
      <c r="B48834" s="612"/>
      <c r="H48834" s="612"/>
    </row>
    <row r="48835">
      <c r="B48835" s="612"/>
      <c r="H48835" s="612"/>
    </row>
    <row r="48836">
      <c r="B48836" s="612"/>
      <c r="H48836" s="612"/>
    </row>
    <row r="48837">
      <c r="B48837" s="612"/>
      <c r="H48837" s="612"/>
    </row>
    <row r="48838">
      <c r="B48838" s="612"/>
      <c r="H48838" s="612"/>
    </row>
    <row r="48839">
      <c r="B48839" s="612"/>
      <c r="H48839" s="612"/>
    </row>
    <row r="48840">
      <c r="B48840" s="612"/>
      <c r="H48840" s="612"/>
    </row>
    <row r="48841">
      <c r="B48841" s="612"/>
      <c r="H48841" s="612"/>
    </row>
    <row r="48842">
      <c r="B48842" s="612"/>
      <c r="H48842" s="612"/>
    </row>
    <row r="48843">
      <c r="B48843" s="612"/>
      <c r="H48843" s="612"/>
    </row>
    <row r="48844">
      <c r="B48844" s="612"/>
      <c r="H48844" s="612"/>
    </row>
    <row r="48845">
      <c r="B48845" s="612"/>
      <c r="H48845" s="612"/>
    </row>
    <row r="48846">
      <c r="B48846" s="612"/>
      <c r="H48846" s="612"/>
    </row>
    <row r="48847">
      <c r="B48847" s="612"/>
      <c r="H48847" s="612"/>
    </row>
    <row r="48848">
      <c r="B48848" s="612"/>
      <c r="H48848" s="612"/>
    </row>
    <row r="48849">
      <c r="B48849" s="612"/>
      <c r="H48849" s="612"/>
    </row>
    <row r="48850">
      <c r="B48850" s="612"/>
      <c r="H48850" s="612"/>
    </row>
    <row r="48851">
      <c r="B48851" s="612"/>
      <c r="H48851" s="612"/>
    </row>
    <row r="48852">
      <c r="B48852" s="612"/>
      <c r="H48852" s="612"/>
    </row>
    <row r="48853">
      <c r="B48853" s="612"/>
      <c r="H48853" s="612"/>
    </row>
    <row r="48854">
      <c r="B48854" s="612"/>
      <c r="H48854" s="612"/>
    </row>
    <row r="48855">
      <c r="B48855" s="612"/>
      <c r="H48855" s="612"/>
    </row>
    <row r="48856">
      <c r="B48856" s="612"/>
      <c r="H48856" s="612"/>
    </row>
    <row r="48857">
      <c r="B48857" s="612"/>
      <c r="H48857" s="612"/>
    </row>
    <row r="48858">
      <c r="B48858" s="612"/>
      <c r="H48858" s="612"/>
    </row>
    <row r="48859">
      <c r="B48859" s="612"/>
      <c r="H48859" s="612"/>
    </row>
    <row r="48860">
      <c r="B48860" s="612"/>
      <c r="H48860" s="612"/>
    </row>
    <row r="48861">
      <c r="B48861" s="612"/>
      <c r="H48861" s="612"/>
    </row>
    <row r="48862">
      <c r="B48862" s="612"/>
      <c r="H48862" s="612"/>
    </row>
    <row r="48863">
      <c r="B48863" s="612"/>
      <c r="H48863" s="612"/>
    </row>
    <row r="48864">
      <c r="B48864" s="612"/>
      <c r="H48864" s="612"/>
    </row>
    <row r="48865">
      <c r="B48865" s="612"/>
      <c r="H48865" s="612"/>
    </row>
    <row r="48866">
      <c r="B48866" s="612"/>
      <c r="H48866" s="612"/>
    </row>
    <row r="48867">
      <c r="B48867" s="612"/>
      <c r="H48867" s="612"/>
    </row>
    <row r="48868">
      <c r="B48868" s="612"/>
      <c r="H48868" s="612"/>
    </row>
    <row r="48869">
      <c r="B48869" s="612"/>
      <c r="H48869" s="612"/>
    </row>
    <row r="48870">
      <c r="B48870" s="612"/>
      <c r="H48870" s="612"/>
    </row>
    <row r="48871">
      <c r="B48871" s="612"/>
      <c r="H48871" s="612"/>
    </row>
    <row r="48872">
      <c r="B48872" s="612"/>
      <c r="H48872" s="612"/>
    </row>
    <row r="48873">
      <c r="B48873" s="612"/>
      <c r="H48873" s="612"/>
    </row>
    <row r="48874">
      <c r="B48874" s="612"/>
      <c r="H48874" s="612"/>
    </row>
    <row r="48875">
      <c r="B48875" s="612"/>
      <c r="H48875" s="612"/>
    </row>
    <row r="48876">
      <c r="B48876" s="612"/>
      <c r="H48876" s="612"/>
    </row>
    <row r="48877">
      <c r="B48877" s="612"/>
      <c r="H48877" s="612"/>
    </row>
    <row r="48878">
      <c r="B48878" s="612"/>
      <c r="H48878" s="612"/>
    </row>
    <row r="48879">
      <c r="B48879" s="612"/>
      <c r="H48879" s="612"/>
    </row>
    <row r="48880">
      <c r="B48880" s="612"/>
      <c r="H48880" s="612"/>
    </row>
    <row r="48881">
      <c r="B48881" s="612"/>
      <c r="H48881" s="612"/>
    </row>
    <row r="48882">
      <c r="B48882" s="612"/>
      <c r="H48882" s="612"/>
    </row>
    <row r="48883">
      <c r="B48883" s="612"/>
      <c r="H48883" s="612"/>
    </row>
    <row r="48884">
      <c r="B48884" s="612"/>
      <c r="H48884" s="612"/>
    </row>
    <row r="48885">
      <c r="B48885" s="612"/>
      <c r="H48885" s="612"/>
    </row>
    <row r="48886">
      <c r="B48886" s="612"/>
      <c r="H48886" s="612"/>
    </row>
    <row r="48887">
      <c r="B48887" s="612"/>
      <c r="H48887" s="612"/>
    </row>
    <row r="48888">
      <c r="B48888" s="612"/>
      <c r="H48888" s="612"/>
    </row>
    <row r="48889">
      <c r="B48889" s="612"/>
      <c r="H48889" s="612"/>
    </row>
    <row r="48890">
      <c r="B48890" s="612"/>
      <c r="H48890" s="612"/>
    </row>
    <row r="48891">
      <c r="B48891" s="612"/>
      <c r="H48891" s="612"/>
    </row>
    <row r="48892">
      <c r="B48892" s="612"/>
      <c r="H48892" s="612"/>
    </row>
    <row r="48893">
      <c r="B48893" s="612"/>
      <c r="H48893" s="612"/>
    </row>
    <row r="48894">
      <c r="B48894" s="612"/>
      <c r="H48894" s="612"/>
    </row>
    <row r="48895">
      <c r="B48895" s="612"/>
      <c r="H48895" s="612"/>
    </row>
    <row r="48896">
      <c r="B48896" s="612"/>
      <c r="H48896" s="612"/>
    </row>
    <row r="48897">
      <c r="B48897" s="612"/>
      <c r="H48897" s="612"/>
    </row>
    <row r="48898">
      <c r="B48898" s="612"/>
      <c r="H48898" s="612"/>
    </row>
    <row r="48899">
      <c r="B48899" s="612"/>
      <c r="H48899" s="612"/>
    </row>
    <row r="48900">
      <c r="B48900" s="612"/>
      <c r="H48900" s="612"/>
    </row>
    <row r="48901">
      <c r="B48901" s="612"/>
      <c r="H48901" s="612"/>
    </row>
    <row r="48902">
      <c r="B48902" s="612"/>
      <c r="H48902" s="612"/>
    </row>
    <row r="48903">
      <c r="B48903" s="612"/>
      <c r="H48903" s="612"/>
    </row>
    <row r="48904">
      <c r="B48904" s="612"/>
      <c r="H48904" s="612"/>
    </row>
    <row r="48905">
      <c r="B48905" s="612"/>
      <c r="H48905" s="612"/>
    </row>
    <row r="48906">
      <c r="B48906" s="612"/>
      <c r="H48906" s="612"/>
    </row>
    <row r="48907">
      <c r="B48907" s="612"/>
      <c r="H48907" s="612"/>
    </row>
    <row r="48908">
      <c r="B48908" s="612"/>
      <c r="H48908" s="612"/>
    </row>
    <row r="48909">
      <c r="B48909" s="612"/>
      <c r="H48909" s="612"/>
    </row>
    <row r="48910">
      <c r="B48910" s="612"/>
      <c r="H48910" s="612"/>
    </row>
    <row r="48911">
      <c r="B48911" s="612"/>
      <c r="H48911" s="612"/>
    </row>
    <row r="48912">
      <c r="B48912" s="612"/>
      <c r="H48912" s="612"/>
    </row>
    <row r="48913">
      <c r="B48913" s="612"/>
      <c r="H48913" s="612"/>
    </row>
    <row r="48914">
      <c r="B48914" s="612"/>
      <c r="H48914" s="612"/>
    </row>
    <row r="48915">
      <c r="B48915" s="612"/>
      <c r="H48915" s="612"/>
    </row>
    <row r="48916">
      <c r="B48916" s="612"/>
      <c r="H48916" s="612"/>
    </row>
    <row r="48917">
      <c r="B48917" s="612"/>
      <c r="H48917" s="612"/>
    </row>
    <row r="48918">
      <c r="B48918" s="612"/>
      <c r="H48918" s="612"/>
    </row>
    <row r="48919">
      <c r="B48919" s="612"/>
      <c r="H48919" s="612"/>
    </row>
    <row r="48920">
      <c r="B48920" s="612"/>
      <c r="H48920" s="612"/>
    </row>
    <row r="48921">
      <c r="B48921" s="612"/>
      <c r="H48921" s="612"/>
    </row>
    <row r="48922">
      <c r="B48922" s="612"/>
      <c r="H48922" s="612"/>
    </row>
    <row r="48923">
      <c r="B48923" s="612"/>
      <c r="H48923" s="612"/>
    </row>
    <row r="48924">
      <c r="B48924" s="612"/>
      <c r="H48924" s="612"/>
    </row>
    <row r="48925">
      <c r="B48925" s="612"/>
      <c r="H48925" s="612"/>
    </row>
    <row r="48926">
      <c r="B48926" s="612"/>
      <c r="H48926" s="612"/>
    </row>
    <row r="48927">
      <c r="B48927" s="612"/>
      <c r="H48927" s="612"/>
    </row>
    <row r="48928">
      <c r="B48928" s="612"/>
      <c r="H48928" s="612"/>
    </row>
    <row r="48929">
      <c r="B48929" s="612"/>
      <c r="H48929" s="612"/>
    </row>
    <row r="48930">
      <c r="B48930" s="612"/>
      <c r="H48930" s="612"/>
    </row>
    <row r="48931">
      <c r="B48931" s="612"/>
      <c r="H48931" s="612"/>
    </row>
    <row r="48932">
      <c r="B48932" s="612"/>
      <c r="H48932" s="612"/>
    </row>
    <row r="48933">
      <c r="B48933" s="612"/>
      <c r="H48933" s="612"/>
    </row>
    <row r="48934">
      <c r="B48934" s="612"/>
      <c r="H48934" s="612"/>
    </row>
    <row r="48935">
      <c r="B48935" s="612"/>
      <c r="H48935" s="612"/>
    </row>
    <row r="48936">
      <c r="B48936" s="612"/>
      <c r="H48936" s="612"/>
    </row>
    <row r="48937">
      <c r="B48937" s="612"/>
      <c r="H48937" s="612"/>
    </row>
    <row r="48938">
      <c r="B48938" s="612"/>
      <c r="H48938" s="612"/>
    </row>
    <row r="48939">
      <c r="B48939" s="612"/>
      <c r="H48939" s="612"/>
    </row>
    <row r="48940">
      <c r="B48940" s="612"/>
      <c r="H48940" s="612"/>
    </row>
    <row r="48941">
      <c r="B48941" s="612"/>
      <c r="H48941" s="612"/>
    </row>
    <row r="48942">
      <c r="B48942" s="612"/>
      <c r="H48942" s="612"/>
    </row>
    <row r="48943">
      <c r="B48943" s="612"/>
      <c r="H48943" s="612"/>
    </row>
    <row r="48944">
      <c r="B48944" s="612"/>
      <c r="H48944" s="612"/>
    </row>
    <row r="48945">
      <c r="B48945" s="612"/>
      <c r="H48945" s="612"/>
    </row>
    <row r="48946">
      <c r="B48946" s="612"/>
      <c r="H48946" s="612"/>
    </row>
    <row r="48947">
      <c r="B48947" s="612"/>
      <c r="H48947" s="612"/>
    </row>
    <row r="48948">
      <c r="B48948" s="612"/>
      <c r="H48948" s="612"/>
    </row>
    <row r="48949">
      <c r="B48949" s="612"/>
      <c r="H48949" s="612"/>
    </row>
    <row r="48950">
      <c r="B48950" s="612"/>
      <c r="H48950" s="612"/>
    </row>
    <row r="48951">
      <c r="B48951" s="612"/>
      <c r="H48951" s="612"/>
    </row>
    <row r="48952">
      <c r="B48952" s="612"/>
      <c r="H48952" s="612"/>
    </row>
    <row r="48953">
      <c r="B48953" s="612"/>
      <c r="H48953" s="612"/>
    </row>
    <row r="48954">
      <c r="B48954" s="612"/>
      <c r="H48954" s="612"/>
    </row>
    <row r="48955">
      <c r="B48955" s="612"/>
      <c r="H48955" s="612"/>
    </row>
    <row r="48956">
      <c r="B48956" s="612"/>
      <c r="H48956" s="612"/>
    </row>
    <row r="48957">
      <c r="B48957" s="612"/>
      <c r="H48957" s="612"/>
    </row>
    <row r="48958">
      <c r="B48958" s="612"/>
      <c r="H48958" s="612"/>
    </row>
    <row r="48959">
      <c r="B48959" s="612"/>
      <c r="H48959" s="612"/>
    </row>
    <row r="48960">
      <c r="B48960" s="612"/>
      <c r="H48960" s="612"/>
    </row>
    <row r="48961">
      <c r="B48961" s="612"/>
      <c r="H48961" s="612"/>
    </row>
    <row r="48962">
      <c r="B48962" s="612"/>
      <c r="H48962" s="612"/>
    </row>
    <row r="48963">
      <c r="B48963" s="612"/>
      <c r="H48963" s="612"/>
    </row>
    <row r="48964">
      <c r="B48964" s="612"/>
      <c r="H48964" s="612"/>
    </row>
    <row r="48965">
      <c r="B48965" s="612"/>
      <c r="H48965" s="612"/>
    </row>
    <row r="48966">
      <c r="B48966" s="612"/>
      <c r="H48966" s="612"/>
    </row>
    <row r="48967">
      <c r="B48967" s="612"/>
      <c r="H48967" s="612"/>
    </row>
    <row r="48968">
      <c r="B48968" s="612"/>
      <c r="H48968" s="612"/>
    </row>
    <row r="48969">
      <c r="B48969" s="612"/>
      <c r="H48969" s="612"/>
    </row>
    <row r="48970">
      <c r="B48970" s="612"/>
      <c r="H48970" s="612"/>
    </row>
    <row r="48971">
      <c r="B48971" s="612"/>
      <c r="H48971" s="612"/>
    </row>
    <row r="48972">
      <c r="B48972" s="612"/>
      <c r="H48972" s="612"/>
    </row>
    <row r="48973">
      <c r="B48973" s="612"/>
      <c r="H48973" s="612"/>
    </row>
    <row r="48974">
      <c r="B48974" s="612"/>
      <c r="H48974" s="612"/>
    </row>
    <row r="48975">
      <c r="B48975" s="612"/>
      <c r="H48975" s="612"/>
    </row>
    <row r="48976">
      <c r="B48976" s="612"/>
      <c r="H48976" s="612"/>
    </row>
    <row r="48977">
      <c r="B48977" s="612"/>
      <c r="H48977" s="612"/>
    </row>
    <row r="48978">
      <c r="B48978" s="612"/>
      <c r="H48978" s="612"/>
    </row>
    <row r="48979">
      <c r="B48979" s="612"/>
      <c r="H48979" s="612"/>
    </row>
    <row r="48980">
      <c r="B48980" s="612"/>
      <c r="H48980" s="612"/>
    </row>
    <row r="48981">
      <c r="B48981" s="612"/>
      <c r="H48981" s="612"/>
    </row>
    <row r="48982">
      <c r="B48982" s="612"/>
      <c r="H48982" s="612"/>
    </row>
    <row r="48983">
      <c r="B48983" s="612"/>
      <c r="H48983" s="612"/>
    </row>
    <row r="48984">
      <c r="B48984" s="612"/>
      <c r="H48984" s="612"/>
    </row>
    <row r="48985">
      <c r="B48985" s="612"/>
      <c r="H48985" s="612"/>
    </row>
    <row r="48986">
      <c r="B48986" s="612"/>
      <c r="H48986" s="612"/>
    </row>
    <row r="48987">
      <c r="B48987" s="612"/>
      <c r="H48987" s="612"/>
    </row>
    <row r="48988">
      <c r="B48988" s="612"/>
      <c r="H48988" s="612"/>
    </row>
    <row r="48989">
      <c r="B48989" s="612"/>
      <c r="H48989" s="612"/>
    </row>
    <row r="48990">
      <c r="B48990" s="612"/>
      <c r="H48990" s="612"/>
    </row>
    <row r="48991">
      <c r="B48991" s="612"/>
      <c r="H48991" s="612"/>
    </row>
    <row r="48992">
      <c r="B48992" s="612"/>
      <c r="H48992" s="612"/>
    </row>
    <row r="48993">
      <c r="B48993" s="612"/>
      <c r="H48993" s="612"/>
    </row>
    <row r="48994">
      <c r="B48994" s="612"/>
      <c r="H48994" s="612"/>
    </row>
    <row r="48995">
      <c r="B48995" s="612"/>
      <c r="H48995" s="612"/>
    </row>
    <row r="48996">
      <c r="B48996" s="612"/>
      <c r="H48996" s="612"/>
    </row>
    <row r="48997">
      <c r="B48997" s="612"/>
      <c r="H48997" s="612"/>
    </row>
    <row r="48998">
      <c r="B48998" s="612"/>
      <c r="H48998" s="612"/>
    </row>
    <row r="48999">
      <c r="B48999" s="612"/>
      <c r="H48999" s="612"/>
    </row>
    <row r="49000">
      <c r="B49000" s="612"/>
      <c r="H49000" s="612"/>
    </row>
    <row r="49001">
      <c r="B49001" s="612"/>
      <c r="H49001" s="612"/>
    </row>
    <row r="49002">
      <c r="B49002" s="612"/>
      <c r="H49002" s="612"/>
    </row>
    <row r="49003">
      <c r="B49003" s="612"/>
      <c r="H49003" s="612"/>
    </row>
    <row r="49004">
      <c r="B49004" s="612"/>
      <c r="H49004" s="612"/>
    </row>
    <row r="49005">
      <c r="B49005" s="612"/>
      <c r="H49005" s="612"/>
    </row>
    <row r="49006">
      <c r="B49006" s="612"/>
      <c r="H49006" s="612"/>
    </row>
    <row r="49007">
      <c r="B49007" s="612"/>
      <c r="H49007" s="612"/>
    </row>
    <row r="49008">
      <c r="B49008" s="612"/>
      <c r="H49008" s="612"/>
    </row>
    <row r="49009">
      <c r="B49009" s="612"/>
      <c r="H49009" s="612"/>
    </row>
    <row r="49010">
      <c r="B49010" s="612"/>
      <c r="H49010" s="612"/>
    </row>
    <row r="49011">
      <c r="B49011" s="612"/>
      <c r="H49011" s="612"/>
    </row>
    <row r="49012">
      <c r="B49012" s="612"/>
      <c r="H49012" s="612"/>
    </row>
    <row r="49013">
      <c r="B49013" s="612"/>
      <c r="H49013" s="612"/>
    </row>
    <row r="49014">
      <c r="B49014" s="612"/>
      <c r="H49014" s="612"/>
    </row>
    <row r="49015">
      <c r="B49015" s="612"/>
      <c r="H49015" s="612"/>
    </row>
    <row r="49016">
      <c r="B49016" s="612"/>
      <c r="H49016" s="612"/>
    </row>
    <row r="49017">
      <c r="B49017" s="612"/>
      <c r="H49017" s="612"/>
    </row>
    <row r="49018">
      <c r="B49018" s="612"/>
      <c r="H49018" s="612"/>
    </row>
    <row r="49019">
      <c r="B49019" s="612"/>
      <c r="H49019" s="612"/>
    </row>
    <row r="49020">
      <c r="B49020" s="612"/>
      <c r="H49020" s="612"/>
    </row>
    <row r="49021">
      <c r="B49021" s="612"/>
      <c r="H49021" s="612"/>
    </row>
    <row r="49022">
      <c r="B49022" s="612"/>
      <c r="H49022" s="612"/>
    </row>
    <row r="49023">
      <c r="B49023" s="612"/>
      <c r="H49023" s="612"/>
    </row>
    <row r="49024">
      <c r="B49024" s="612"/>
      <c r="H49024" s="612"/>
    </row>
    <row r="49025">
      <c r="B49025" s="612"/>
      <c r="H49025" s="612"/>
    </row>
    <row r="49026">
      <c r="B49026" s="612"/>
      <c r="H49026" s="612"/>
    </row>
    <row r="49027">
      <c r="B49027" s="612"/>
      <c r="H49027" s="612"/>
    </row>
    <row r="49028">
      <c r="B49028" s="612"/>
      <c r="H49028" s="612"/>
    </row>
    <row r="49029">
      <c r="B49029" s="612"/>
      <c r="H49029" s="612"/>
    </row>
    <row r="49030">
      <c r="B49030" s="612"/>
      <c r="H49030" s="612"/>
    </row>
    <row r="49031">
      <c r="B49031" s="612"/>
      <c r="H49031" s="612"/>
    </row>
    <row r="49032">
      <c r="B49032" s="612"/>
      <c r="H49032" s="612"/>
    </row>
    <row r="49033">
      <c r="B49033" s="612"/>
      <c r="H49033" s="612"/>
    </row>
    <row r="49034">
      <c r="B49034" s="612"/>
      <c r="H49034" s="612"/>
    </row>
    <row r="49035">
      <c r="B49035" s="612"/>
      <c r="H49035" s="612"/>
    </row>
    <row r="49036">
      <c r="B49036" s="612"/>
      <c r="H49036" s="612"/>
    </row>
    <row r="49037">
      <c r="B49037" s="612"/>
      <c r="H49037" s="612"/>
    </row>
    <row r="49038">
      <c r="B49038" s="612"/>
      <c r="H49038" s="612"/>
    </row>
    <row r="49039">
      <c r="B49039" s="612"/>
      <c r="H49039" s="612"/>
    </row>
    <row r="49040">
      <c r="B49040" s="612"/>
      <c r="H49040" s="612"/>
    </row>
    <row r="49041">
      <c r="B49041" s="612"/>
      <c r="H49041" s="612"/>
    </row>
    <row r="49042">
      <c r="B49042" s="612"/>
      <c r="H49042" s="612"/>
    </row>
    <row r="49043">
      <c r="B49043" s="612"/>
      <c r="H49043" s="612"/>
    </row>
    <row r="49044">
      <c r="B49044" s="612"/>
      <c r="H49044" s="612"/>
    </row>
    <row r="49045">
      <c r="B49045" s="612"/>
      <c r="H49045" s="612"/>
    </row>
    <row r="49046">
      <c r="B49046" s="612"/>
      <c r="H49046" s="612"/>
    </row>
    <row r="49047">
      <c r="B49047" s="612"/>
      <c r="H49047" s="612"/>
    </row>
    <row r="49048">
      <c r="B49048" s="612"/>
      <c r="H49048" s="612"/>
    </row>
    <row r="49049">
      <c r="B49049" s="612"/>
      <c r="H49049" s="612"/>
    </row>
    <row r="49050">
      <c r="B49050" s="612"/>
      <c r="H49050" s="612"/>
    </row>
    <row r="49051">
      <c r="B49051" s="612"/>
      <c r="H49051" s="612"/>
    </row>
    <row r="49052">
      <c r="B49052" s="612"/>
      <c r="H49052" s="612"/>
    </row>
    <row r="49053">
      <c r="B49053" s="612"/>
      <c r="H49053" s="612"/>
    </row>
    <row r="49054">
      <c r="B49054" s="612"/>
      <c r="H49054" s="612"/>
    </row>
    <row r="49055">
      <c r="B49055" s="612"/>
      <c r="H49055" s="612"/>
    </row>
    <row r="49056">
      <c r="B49056" s="612"/>
      <c r="H49056" s="612"/>
    </row>
    <row r="49057">
      <c r="B49057" s="612"/>
      <c r="H49057" s="612"/>
    </row>
    <row r="49058">
      <c r="B49058" s="612"/>
      <c r="H49058" s="612"/>
    </row>
    <row r="49059">
      <c r="B49059" s="612"/>
      <c r="H49059" s="612"/>
    </row>
    <row r="49060">
      <c r="B49060" s="612"/>
      <c r="H49060" s="612"/>
    </row>
    <row r="49061">
      <c r="B49061" s="612"/>
      <c r="H49061" s="612"/>
    </row>
    <row r="49062">
      <c r="B49062" s="612"/>
      <c r="H49062" s="612"/>
    </row>
    <row r="49063">
      <c r="B49063" s="612"/>
      <c r="H49063" s="612"/>
    </row>
    <row r="49064">
      <c r="B49064" s="612"/>
      <c r="H49064" s="612"/>
    </row>
    <row r="49065">
      <c r="B49065" s="612"/>
      <c r="H49065" s="612"/>
    </row>
    <row r="49066">
      <c r="B49066" s="612"/>
      <c r="H49066" s="612"/>
    </row>
    <row r="49067">
      <c r="B49067" s="612"/>
      <c r="H49067" s="612"/>
    </row>
    <row r="49068">
      <c r="B49068" s="612"/>
      <c r="H49068" s="612"/>
    </row>
    <row r="49069">
      <c r="B49069" s="612"/>
      <c r="H49069" s="612"/>
    </row>
    <row r="49070">
      <c r="B49070" s="612"/>
      <c r="H49070" s="612"/>
    </row>
    <row r="49071">
      <c r="B49071" s="612"/>
      <c r="H49071" s="612"/>
    </row>
    <row r="49072">
      <c r="B49072" s="612"/>
      <c r="H49072" s="612"/>
    </row>
    <row r="49073">
      <c r="B49073" s="612"/>
      <c r="H49073" s="612"/>
    </row>
    <row r="49074">
      <c r="B49074" s="612"/>
      <c r="H49074" s="612"/>
    </row>
    <row r="49075">
      <c r="B49075" s="612"/>
      <c r="H49075" s="612"/>
    </row>
    <row r="49076">
      <c r="B49076" s="612"/>
      <c r="H49076" s="612"/>
    </row>
    <row r="49077">
      <c r="B49077" s="612"/>
      <c r="H49077" s="612"/>
    </row>
    <row r="49078">
      <c r="B49078" s="612"/>
      <c r="H49078" s="612"/>
    </row>
    <row r="49079">
      <c r="B49079" s="612"/>
      <c r="H49079" s="612"/>
    </row>
    <row r="49080">
      <c r="B49080" s="612"/>
      <c r="H49080" s="612"/>
    </row>
    <row r="49081">
      <c r="B49081" s="612"/>
      <c r="H49081" s="612"/>
    </row>
    <row r="49082">
      <c r="B49082" s="612"/>
      <c r="H49082" s="612"/>
    </row>
    <row r="49083">
      <c r="B49083" s="612"/>
      <c r="H49083" s="612"/>
    </row>
    <row r="49084">
      <c r="B49084" s="612"/>
      <c r="H49084" s="612"/>
    </row>
    <row r="49085">
      <c r="B49085" s="612"/>
      <c r="H49085" s="612"/>
    </row>
    <row r="49086">
      <c r="B49086" s="612"/>
      <c r="H49086" s="612"/>
    </row>
    <row r="49087">
      <c r="B49087" s="612"/>
      <c r="H49087" s="612"/>
    </row>
    <row r="49088">
      <c r="B49088" s="612"/>
      <c r="H49088" s="612"/>
    </row>
    <row r="49089">
      <c r="B49089" s="612"/>
      <c r="H49089" s="612"/>
    </row>
    <row r="49090">
      <c r="B49090" s="612"/>
      <c r="H49090" s="612"/>
    </row>
    <row r="49091">
      <c r="B49091" s="612"/>
      <c r="H49091" s="612"/>
    </row>
    <row r="49092">
      <c r="B49092" s="612"/>
      <c r="H49092" s="612"/>
    </row>
    <row r="49093">
      <c r="B49093" s="612"/>
      <c r="H49093" s="612"/>
    </row>
    <row r="49094">
      <c r="B49094" s="612"/>
      <c r="H49094" s="612"/>
    </row>
    <row r="49095">
      <c r="B49095" s="612"/>
      <c r="H49095" s="612"/>
    </row>
    <row r="49096">
      <c r="B49096" s="612"/>
      <c r="H49096" s="612"/>
    </row>
    <row r="49097">
      <c r="B49097" s="612"/>
      <c r="H49097" s="612"/>
    </row>
    <row r="49098">
      <c r="B49098" s="612"/>
      <c r="H49098" s="612"/>
    </row>
    <row r="49099">
      <c r="B49099" s="612"/>
      <c r="H49099" s="612"/>
    </row>
    <row r="49100">
      <c r="B49100" s="612"/>
      <c r="H49100" s="612"/>
    </row>
    <row r="49101">
      <c r="B49101" s="612"/>
      <c r="H49101" s="612"/>
    </row>
    <row r="49102">
      <c r="B49102" s="612"/>
      <c r="H49102" s="612"/>
    </row>
    <row r="49103">
      <c r="B49103" s="612"/>
      <c r="H49103" s="612"/>
    </row>
    <row r="49104">
      <c r="B49104" s="612"/>
      <c r="H49104" s="612"/>
    </row>
    <row r="49105">
      <c r="B49105" s="612"/>
      <c r="H49105" s="612"/>
    </row>
    <row r="49106">
      <c r="B49106" s="612"/>
      <c r="H49106" s="612"/>
    </row>
    <row r="49107">
      <c r="B49107" s="612"/>
      <c r="H49107" s="612"/>
    </row>
    <row r="49108">
      <c r="B49108" s="612"/>
      <c r="H49108" s="612"/>
    </row>
    <row r="49109">
      <c r="B49109" s="612"/>
      <c r="H49109" s="612"/>
    </row>
    <row r="49110">
      <c r="B49110" s="612"/>
      <c r="H49110" s="612"/>
    </row>
    <row r="49111">
      <c r="B49111" s="612"/>
      <c r="H49111" s="612"/>
    </row>
    <row r="49112">
      <c r="B49112" s="612"/>
      <c r="H49112" s="612"/>
    </row>
    <row r="49113">
      <c r="B49113" s="612"/>
      <c r="H49113" s="612"/>
    </row>
    <row r="49114">
      <c r="B49114" s="612"/>
      <c r="H49114" s="612"/>
    </row>
    <row r="49115">
      <c r="B49115" s="612"/>
      <c r="H49115" s="612"/>
    </row>
    <row r="49116">
      <c r="B49116" s="612"/>
      <c r="H49116" s="612"/>
    </row>
    <row r="49117">
      <c r="B49117" s="612"/>
      <c r="H49117" s="612"/>
    </row>
    <row r="49118">
      <c r="B49118" s="612"/>
      <c r="H49118" s="612"/>
    </row>
    <row r="49119">
      <c r="B49119" s="612"/>
      <c r="H49119" s="612"/>
    </row>
    <row r="49120">
      <c r="B49120" s="612"/>
      <c r="H49120" s="612"/>
    </row>
    <row r="49121">
      <c r="B49121" s="612"/>
      <c r="H49121" s="612"/>
    </row>
    <row r="49122">
      <c r="B49122" s="612"/>
      <c r="H49122" s="612"/>
    </row>
    <row r="49123">
      <c r="B49123" s="612"/>
      <c r="H49123" s="612"/>
    </row>
    <row r="49124">
      <c r="B49124" s="612"/>
      <c r="H49124" s="612"/>
    </row>
    <row r="49125">
      <c r="B49125" s="612"/>
      <c r="H49125" s="612"/>
    </row>
    <row r="49126">
      <c r="B49126" s="612"/>
      <c r="H49126" s="612"/>
    </row>
    <row r="49127">
      <c r="B49127" s="612"/>
      <c r="H49127" s="612"/>
    </row>
    <row r="49128">
      <c r="B49128" s="612"/>
      <c r="H49128" s="612"/>
    </row>
    <row r="49129">
      <c r="B49129" s="612"/>
      <c r="H49129" s="612"/>
    </row>
    <row r="49130">
      <c r="B49130" s="612"/>
      <c r="H49130" s="612"/>
    </row>
    <row r="49131">
      <c r="B49131" s="612"/>
      <c r="H49131" s="612"/>
    </row>
    <row r="49132">
      <c r="B49132" s="612"/>
      <c r="H49132" s="612"/>
    </row>
    <row r="49133">
      <c r="B49133" s="612"/>
      <c r="H49133" s="612"/>
    </row>
    <row r="49134">
      <c r="B49134" s="612"/>
      <c r="H49134" s="612"/>
    </row>
    <row r="49135">
      <c r="B49135" s="612"/>
      <c r="H49135" s="612"/>
    </row>
    <row r="49136">
      <c r="B49136" s="612"/>
      <c r="H49136" s="612"/>
    </row>
    <row r="49137">
      <c r="B49137" s="612"/>
      <c r="H49137" s="612"/>
    </row>
    <row r="49138">
      <c r="B49138" s="612"/>
      <c r="H49138" s="612"/>
    </row>
    <row r="49139">
      <c r="B49139" s="612"/>
      <c r="H49139" s="612"/>
    </row>
    <row r="49140">
      <c r="B49140" s="612"/>
      <c r="H49140" s="612"/>
    </row>
    <row r="49141">
      <c r="B49141" s="612"/>
      <c r="H49141" s="612"/>
    </row>
    <row r="49142">
      <c r="B49142" s="612"/>
      <c r="H49142" s="612"/>
    </row>
    <row r="49143">
      <c r="B49143" s="612"/>
      <c r="H49143" s="612"/>
    </row>
    <row r="49144">
      <c r="B49144" s="612"/>
      <c r="H49144" s="612"/>
    </row>
    <row r="49145">
      <c r="B49145" s="612"/>
      <c r="H49145" s="612"/>
    </row>
    <row r="49146">
      <c r="B49146" s="612"/>
      <c r="H49146" s="612"/>
    </row>
    <row r="49147">
      <c r="B49147" s="612"/>
      <c r="H49147" s="612"/>
    </row>
    <row r="49148">
      <c r="B49148" s="612"/>
      <c r="H49148" s="612"/>
    </row>
    <row r="49149">
      <c r="B49149" s="612"/>
      <c r="H49149" s="612"/>
    </row>
    <row r="49150">
      <c r="B49150" s="612"/>
      <c r="H49150" s="612"/>
    </row>
    <row r="49151">
      <c r="B49151" s="612"/>
      <c r="H49151" s="612"/>
    </row>
    <row r="49152">
      <c r="B49152" s="612"/>
      <c r="H49152" s="612"/>
    </row>
    <row r="49153">
      <c r="B49153" s="612"/>
      <c r="H49153" s="612"/>
    </row>
    <row r="49154">
      <c r="B49154" s="612"/>
      <c r="H49154" s="612"/>
    </row>
    <row r="49155">
      <c r="B49155" s="612"/>
      <c r="H49155" s="612"/>
    </row>
    <row r="49156">
      <c r="B49156" s="612"/>
      <c r="H49156" s="612"/>
    </row>
    <row r="49157">
      <c r="B49157" s="612"/>
      <c r="H49157" s="612"/>
    </row>
    <row r="49158">
      <c r="B49158" s="612"/>
      <c r="H49158" s="612"/>
    </row>
    <row r="49159">
      <c r="B49159" s="612"/>
      <c r="H49159" s="612"/>
    </row>
    <row r="49160">
      <c r="B49160" s="612"/>
      <c r="H49160" s="612"/>
    </row>
    <row r="49161">
      <c r="B49161" s="612"/>
      <c r="H49161" s="612"/>
    </row>
    <row r="49162">
      <c r="B49162" s="612"/>
      <c r="H49162" s="612"/>
    </row>
    <row r="49163">
      <c r="B49163" s="612"/>
      <c r="H49163" s="612"/>
    </row>
    <row r="49164">
      <c r="B49164" s="612"/>
      <c r="H49164" s="612"/>
    </row>
    <row r="49165">
      <c r="B49165" s="612"/>
      <c r="H49165" s="612"/>
    </row>
    <row r="49166">
      <c r="B49166" s="612"/>
      <c r="H49166" s="612"/>
    </row>
    <row r="49167">
      <c r="B49167" s="612"/>
      <c r="H49167" s="612"/>
    </row>
    <row r="49168">
      <c r="B49168" s="612"/>
      <c r="H49168" s="612"/>
    </row>
    <row r="49169">
      <c r="B49169" s="612"/>
      <c r="H49169" s="612"/>
    </row>
    <row r="49170">
      <c r="B49170" s="612"/>
      <c r="H49170" s="612"/>
    </row>
    <row r="49171">
      <c r="B49171" s="612"/>
      <c r="H49171" s="612"/>
    </row>
    <row r="49172">
      <c r="B49172" s="612"/>
      <c r="H49172" s="612"/>
    </row>
    <row r="49173">
      <c r="B49173" s="612"/>
      <c r="H49173" s="612"/>
    </row>
    <row r="49174">
      <c r="B49174" s="612"/>
      <c r="H49174" s="612"/>
    </row>
    <row r="49175">
      <c r="B49175" s="612"/>
      <c r="H49175" s="612"/>
    </row>
    <row r="49176">
      <c r="B49176" s="612"/>
      <c r="H49176" s="612"/>
    </row>
    <row r="49177">
      <c r="B49177" s="612"/>
      <c r="H49177" s="612"/>
    </row>
    <row r="49178">
      <c r="B49178" s="612"/>
      <c r="H49178" s="612"/>
    </row>
    <row r="49179">
      <c r="B49179" s="612"/>
      <c r="H49179" s="612"/>
    </row>
    <row r="49180">
      <c r="B49180" s="612"/>
      <c r="H49180" s="612"/>
    </row>
    <row r="49181">
      <c r="B49181" s="612"/>
      <c r="H49181" s="612"/>
    </row>
    <row r="49182">
      <c r="B49182" s="612"/>
      <c r="H49182" s="612"/>
    </row>
    <row r="49183">
      <c r="B49183" s="612"/>
      <c r="H49183" s="612"/>
    </row>
    <row r="49184">
      <c r="B49184" s="612"/>
      <c r="H49184" s="612"/>
    </row>
    <row r="49185">
      <c r="B49185" s="612"/>
      <c r="H49185" s="612"/>
    </row>
    <row r="49186">
      <c r="B49186" s="612"/>
      <c r="H49186" s="612"/>
    </row>
    <row r="49187">
      <c r="B49187" s="612"/>
      <c r="H49187" s="612"/>
    </row>
    <row r="49188">
      <c r="B49188" s="612"/>
      <c r="H49188" s="612"/>
    </row>
    <row r="49189">
      <c r="B49189" s="612"/>
      <c r="H49189" s="612"/>
    </row>
    <row r="49190">
      <c r="B49190" s="612"/>
      <c r="H49190" s="612"/>
    </row>
    <row r="49191">
      <c r="B49191" s="612"/>
      <c r="H49191" s="612"/>
    </row>
    <row r="49192">
      <c r="B49192" s="612"/>
      <c r="H49192" s="612"/>
    </row>
    <row r="49193">
      <c r="B49193" s="612"/>
      <c r="H49193" s="612"/>
    </row>
    <row r="49194">
      <c r="B49194" s="612"/>
      <c r="H49194" s="612"/>
    </row>
    <row r="49195">
      <c r="B49195" s="612"/>
      <c r="H49195" s="612"/>
    </row>
    <row r="49196">
      <c r="B49196" s="612"/>
      <c r="H49196" s="612"/>
    </row>
    <row r="49197">
      <c r="B49197" s="612"/>
      <c r="H49197" s="612"/>
    </row>
    <row r="49198">
      <c r="B49198" s="612"/>
      <c r="H49198" s="612"/>
    </row>
    <row r="49199">
      <c r="B49199" s="612"/>
      <c r="H49199" s="612"/>
    </row>
    <row r="49200">
      <c r="B49200" s="612"/>
      <c r="H49200" s="612"/>
    </row>
    <row r="49201">
      <c r="B49201" s="612"/>
      <c r="H49201" s="612"/>
    </row>
    <row r="49202">
      <c r="B49202" s="612"/>
      <c r="H49202" s="612"/>
    </row>
    <row r="49203">
      <c r="B49203" s="612"/>
      <c r="H49203" s="612"/>
    </row>
    <row r="49204">
      <c r="B49204" s="612"/>
      <c r="H49204" s="612"/>
    </row>
    <row r="49205">
      <c r="B49205" s="612"/>
      <c r="H49205" s="612"/>
    </row>
    <row r="49206">
      <c r="B49206" s="612"/>
      <c r="H49206" s="612"/>
    </row>
    <row r="49207">
      <c r="B49207" s="612"/>
      <c r="H49207" s="612"/>
    </row>
    <row r="49208">
      <c r="B49208" s="612"/>
      <c r="H49208" s="612"/>
    </row>
    <row r="49209">
      <c r="B49209" s="612"/>
      <c r="H49209" s="612"/>
    </row>
    <row r="49210">
      <c r="B49210" s="612"/>
      <c r="H49210" s="612"/>
    </row>
    <row r="49211">
      <c r="B49211" s="612"/>
      <c r="H49211" s="612"/>
    </row>
    <row r="49212">
      <c r="B49212" s="612"/>
      <c r="H49212" s="612"/>
    </row>
    <row r="49213">
      <c r="B49213" s="612"/>
      <c r="H49213" s="612"/>
    </row>
    <row r="49214">
      <c r="B49214" s="612"/>
      <c r="H49214" s="612"/>
    </row>
    <row r="49215">
      <c r="B49215" s="612"/>
      <c r="H49215" s="612"/>
    </row>
    <row r="49216">
      <c r="B49216" s="612"/>
      <c r="H49216" s="612"/>
    </row>
    <row r="49217">
      <c r="B49217" s="612"/>
      <c r="H49217" s="612"/>
    </row>
    <row r="49218">
      <c r="B49218" s="612"/>
      <c r="H49218" s="612"/>
    </row>
    <row r="49219">
      <c r="B49219" s="612"/>
      <c r="H49219" s="612"/>
    </row>
    <row r="49220">
      <c r="B49220" s="612"/>
      <c r="H49220" s="612"/>
    </row>
    <row r="49221">
      <c r="B49221" s="612"/>
      <c r="H49221" s="612"/>
    </row>
    <row r="49222">
      <c r="B49222" s="612"/>
      <c r="H49222" s="612"/>
    </row>
    <row r="49223">
      <c r="B49223" s="612"/>
      <c r="H49223" s="612"/>
    </row>
    <row r="49224">
      <c r="B49224" s="612"/>
      <c r="H49224" s="612"/>
    </row>
    <row r="49225">
      <c r="B49225" s="612"/>
      <c r="H49225" s="612"/>
    </row>
    <row r="49226">
      <c r="B49226" s="612"/>
      <c r="H49226" s="612"/>
    </row>
    <row r="49227">
      <c r="B49227" s="612"/>
      <c r="H49227" s="612"/>
    </row>
    <row r="49228">
      <c r="B49228" s="612"/>
      <c r="H49228" s="612"/>
    </row>
    <row r="49229">
      <c r="B49229" s="612"/>
      <c r="H49229" s="612"/>
    </row>
    <row r="49230">
      <c r="B49230" s="612"/>
      <c r="H49230" s="612"/>
    </row>
    <row r="49231">
      <c r="B49231" s="612"/>
      <c r="H49231" s="612"/>
    </row>
    <row r="49232">
      <c r="B49232" s="612"/>
      <c r="H49232" s="612"/>
    </row>
    <row r="49233">
      <c r="B49233" s="612"/>
      <c r="H49233" s="612"/>
    </row>
    <row r="49234">
      <c r="B49234" s="612"/>
      <c r="H49234" s="612"/>
    </row>
    <row r="49235">
      <c r="B49235" s="612"/>
      <c r="H49235" s="612"/>
    </row>
    <row r="49236">
      <c r="B49236" s="612"/>
      <c r="H49236" s="612"/>
    </row>
    <row r="49237">
      <c r="B49237" s="612"/>
      <c r="H49237" s="612"/>
    </row>
    <row r="49238">
      <c r="B49238" s="612"/>
      <c r="H49238" s="612"/>
    </row>
    <row r="49239">
      <c r="B49239" s="612"/>
      <c r="H49239" s="612"/>
    </row>
    <row r="49240">
      <c r="B49240" s="612"/>
      <c r="H49240" s="612"/>
    </row>
    <row r="49241">
      <c r="B49241" s="612"/>
      <c r="H49241" s="612"/>
    </row>
    <row r="49242">
      <c r="B49242" s="612"/>
      <c r="H49242" s="612"/>
    </row>
    <row r="49243">
      <c r="B49243" s="612"/>
      <c r="H49243" s="612"/>
    </row>
    <row r="49244">
      <c r="B49244" s="612"/>
      <c r="H49244" s="612"/>
    </row>
    <row r="49245">
      <c r="B49245" s="612"/>
      <c r="H49245" s="612"/>
    </row>
    <row r="49246">
      <c r="B49246" s="612"/>
      <c r="H49246" s="612"/>
    </row>
    <row r="49247">
      <c r="B49247" s="612"/>
      <c r="H49247" s="612"/>
    </row>
    <row r="49248">
      <c r="B49248" s="612"/>
      <c r="H49248" s="612"/>
    </row>
    <row r="49249">
      <c r="B49249" s="612"/>
      <c r="H49249" s="612"/>
    </row>
    <row r="49250">
      <c r="B49250" s="612"/>
      <c r="H49250" s="612"/>
    </row>
    <row r="49251">
      <c r="B49251" s="612"/>
      <c r="H49251" s="612"/>
    </row>
    <row r="49252">
      <c r="B49252" s="612"/>
      <c r="H49252" s="612"/>
    </row>
    <row r="49253">
      <c r="B49253" s="612"/>
      <c r="H49253" s="612"/>
    </row>
    <row r="49254">
      <c r="B49254" s="612"/>
      <c r="H49254" s="612"/>
    </row>
    <row r="49255">
      <c r="B49255" s="612"/>
      <c r="H49255" s="612"/>
    </row>
    <row r="49256">
      <c r="B49256" s="612"/>
      <c r="H49256" s="612"/>
    </row>
    <row r="49257">
      <c r="B49257" s="612"/>
      <c r="H49257" s="612"/>
    </row>
    <row r="49258">
      <c r="B49258" s="612"/>
      <c r="H49258" s="612"/>
    </row>
    <row r="49259">
      <c r="B49259" s="612"/>
      <c r="H49259" s="612"/>
    </row>
    <row r="49260">
      <c r="B49260" s="612"/>
      <c r="H49260" s="612"/>
    </row>
    <row r="49261">
      <c r="B49261" s="612"/>
      <c r="H49261" s="612"/>
    </row>
    <row r="49262">
      <c r="B49262" s="612"/>
      <c r="H49262" s="612"/>
    </row>
    <row r="49263">
      <c r="B49263" s="612"/>
      <c r="H49263" s="612"/>
    </row>
    <row r="49264">
      <c r="B49264" s="612"/>
      <c r="H49264" s="612"/>
    </row>
    <row r="49265">
      <c r="B49265" s="612"/>
      <c r="H49265" s="612"/>
    </row>
    <row r="49266">
      <c r="B49266" s="612"/>
      <c r="H49266" s="612"/>
    </row>
    <row r="49267">
      <c r="B49267" s="612"/>
      <c r="H49267" s="612"/>
    </row>
    <row r="49268">
      <c r="B49268" s="612"/>
      <c r="H49268" s="612"/>
    </row>
    <row r="49269">
      <c r="B49269" s="612"/>
      <c r="H49269" s="612"/>
    </row>
    <row r="49270">
      <c r="B49270" s="612"/>
      <c r="H49270" s="612"/>
    </row>
    <row r="49271">
      <c r="B49271" s="612"/>
      <c r="H49271" s="612"/>
    </row>
    <row r="49272">
      <c r="B49272" s="612"/>
      <c r="H49272" s="612"/>
    </row>
    <row r="49273">
      <c r="B49273" s="612"/>
      <c r="H49273" s="612"/>
    </row>
    <row r="49274">
      <c r="B49274" s="612"/>
      <c r="H49274" s="612"/>
    </row>
    <row r="49275">
      <c r="B49275" s="612"/>
      <c r="H49275" s="612"/>
    </row>
    <row r="49276">
      <c r="B49276" s="612"/>
      <c r="H49276" s="612"/>
    </row>
    <row r="49277">
      <c r="B49277" s="612"/>
      <c r="H49277" s="612"/>
    </row>
    <row r="49278">
      <c r="B49278" s="612"/>
      <c r="H49278" s="612"/>
    </row>
    <row r="49279">
      <c r="B49279" s="612"/>
      <c r="H49279" s="612"/>
    </row>
    <row r="49280">
      <c r="B49280" s="612"/>
      <c r="H49280" s="612"/>
    </row>
    <row r="49281">
      <c r="B49281" s="612"/>
      <c r="H49281" s="612"/>
    </row>
    <row r="49282">
      <c r="B49282" s="612"/>
      <c r="H49282" s="612"/>
    </row>
    <row r="49283">
      <c r="B49283" s="612"/>
      <c r="H49283" s="612"/>
    </row>
    <row r="49284">
      <c r="B49284" s="612"/>
      <c r="H49284" s="612"/>
    </row>
    <row r="49285">
      <c r="B49285" s="612"/>
      <c r="H49285" s="612"/>
    </row>
    <row r="49286">
      <c r="B49286" s="612"/>
      <c r="H49286" s="612"/>
    </row>
    <row r="49287">
      <c r="B49287" s="612"/>
      <c r="H49287" s="612"/>
    </row>
    <row r="49288">
      <c r="B49288" s="612"/>
      <c r="H49288" s="612"/>
    </row>
    <row r="49289">
      <c r="B49289" s="612"/>
      <c r="H49289" s="612"/>
    </row>
    <row r="49290">
      <c r="B49290" s="612"/>
      <c r="H49290" s="612"/>
    </row>
    <row r="49291">
      <c r="B49291" s="612"/>
      <c r="H49291" s="612"/>
    </row>
    <row r="49292">
      <c r="B49292" s="612"/>
      <c r="H49292" s="612"/>
    </row>
    <row r="49293">
      <c r="B49293" s="612"/>
      <c r="H49293" s="612"/>
    </row>
    <row r="49294">
      <c r="B49294" s="612"/>
      <c r="H49294" s="612"/>
    </row>
    <row r="49295">
      <c r="B49295" s="612"/>
      <c r="H49295" s="612"/>
    </row>
    <row r="49296">
      <c r="B49296" s="612"/>
      <c r="H49296" s="612"/>
    </row>
    <row r="49297">
      <c r="B49297" s="612"/>
      <c r="H49297" s="612"/>
    </row>
    <row r="49298">
      <c r="B49298" s="612"/>
      <c r="H49298" s="612"/>
    </row>
    <row r="49299">
      <c r="B49299" s="612"/>
      <c r="H49299" s="612"/>
    </row>
    <row r="49300">
      <c r="B49300" s="612"/>
      <c r="H49300" s="612"/>
    </row>
    <row r="49301">
      <c r="B49301" s="612"/>
      <c r="H49301" s="612"/>
    </row>
    <row r="49302">
      <c r="B49302" s="612"/>
      <c r="H49302" s="612"/>
    </row>
    <row r="49303">
      <c r="B49303" s="612"/>
      <c r="H49303" s="612"/>
    </row>
    <row r="49304">
      <c r="B49304" s="612"/>
      <c r="H49304" s="612"/>
    </row>
    <row r="49305">
      <c r="B49305" s="612"/>
      <c r="H49305" s="612"/>
    </row>
    <row r="49306">
      <c r="B49306" s="612"/>
      <c r="H49306" s="612"/>
    </row>
    <row r="49307">
      <c r="B49307" s="612"/>
      <c r="H49307" s="612"/>
    </row>
    <row r="49308">
      <c r="B49308" s="612"/>
      <c r="H49308" s="612"/>
    </row>
    <row r="49309">
      <c r="B49309" s="612"/>
      <c r="H49309" s="612"/>
    </row>
    <row r="49310">
      <c r="B49310" s="612"/>
      <c r="H49310" s="612"/>
    </row>
    <row r="49311">
      <c r="B49311" s="612"/>
      <c r="H49311" s="612"/>
    </row>
    <row r="49312">
      <c r="B49312" s="612"/>
      <c r="H49312" s="612"/>
    </row>
    <row r="49313">
      <c r="B49313" s="612"/>
      <c r="H49313" s="612"/>
    </row>
    <row r="49314">
      <c r="B49314" s="612"/>
      <c r="H49314" s="612"/>
    </row>
    <row r="49315">
      <c r="B49315" s="612"/>
      <c r="H49315" s="612"/>
    </row>
    <row r="49316">
      <c r="B49316" s="612"/>
      <c r="H49316" s="612"/>
    </row>
    <row r="49317">
      <c r="B49317" s="612"/>
      <c r="H49317" s="612"/>
    </row>
    <row r="49318">
      <c r="B49318" s="612"/>
      <c r="H49318" s="612"/>
    </row>
    <row r="49319">
      <c r="B49319" s="612"/>
      <c r="H49319" s="612"/>
    </row>
    <row r="49320">
      <c r="B49320" s="612"/>
      <c r="H49320" s="612"/>
    </row>
    <row r="49321">
      <c r="B49321" s="612"/>
      <c r="H49321" s="612"/>
    </row>
    <row r="49322">
      <c r="B49322" s="612"/>
      <c r="H49322" s="612"/>
    </row>
    <row r="49323">
      <c r="B49323" s="612"/>
      <c r="H49323" s="612"/>
    </row>
    <row r="49324">
      <c r="B49324" s="612"/>
      <c r="H49324" s="612"/>
    </row>
    <row r="49325">
      <c r="B49325" s="612"/>
      <c r="H49325" s="612"/>
    </row>
    <row r="49326">
      <c r="B49326" s="612"/>
      <c r="H49326" s="612"/>
    </row>
    <row r="49327">
      <c r="B49327" s="612"/>
      <c r="H49327" s="612"/>
    </row>
    <row r="49328">
      <c r="B49328" s="612"/>
      <c r="H49328" s="612"/>
    </row>
    <row r="49329">
      <c r="B49329" s="612"/>
      <c r="H49329" s="612"/>
    </row>
    <row r="49330">
      <c r="B49330" s="612"/>
      <c r="H49330" s="612"/>
    </row>
    <row r="49331">
      <c r="B49331" s="612"/>
      <c r="H49331" s="612"/>
    </row>
    <row r="49332">
      <c r="B49332" s="612"/>
      <c r="H49332" s="612"/>
    </row>
    <row r="49333">
      <c r="B49333" s="612"/>
      <c r="H49333" s="612"/>
    </row>
    <row r="49334">
      <c r="B49334" s="612"/>
      <c r="H49334" s="612"/>
    </row>
    <row r="49335">
      <c r="B49335" s="612"/>
      <c r="H49335" s="612"/>
    </row>
    <row r="49336">
      <c r="B49336" s="612"/>
      <c r="H49336" s="612"/>
    </row>
    <row r="49337">
      <c r="B49337" s="612"/>
      <c r="H49337" s="612"/>
    </row>
    <row r="49338">
      <c r="B49338" s="612"/>
      <c r="H49338" s="612"/>
    </row>
    <row r="49339">
      <c r="B49339" s="612"/>
      <c r="H49339" s="612"/>
    </row>
    <row r="49340">
      <c r="B49340" s="612"/>
      <c r="H49340" s="612"/>
    </row>
    <row r="49341">
      <c r="B49341" s="612"/>
      <c r="H49341" s="612"/>
    </row>
    <row r="49342">
      <c r="B49342" s="612"/>
      <c r="H49342" s="612"/>
    </row>
    <row r="49343">
      <c r="B49343" s="612"/>
      <c r="H49343" s="612"/>
    </row>
    <row r="49344">
      <c r="B49344" s="612"/>
      <c r="H49344" s="612"/>
    </row>
    <row r="49345">
      <c r="B49345" s="612"/>
      <c r="H49345" s="612"/>
    </row>
    <row r="49346">
      <c r="B49346" s="612"/>
      <c r="H49346" s="612"/>
    </row>
    <row r="49347">
      <c r="B49347" s="612"/>
      <c r="H49347" s="612"/>
    </row>
    <row r="49348">
      <c r="B49348" s="612"/>
      <c r="H49348" s="612"/>
    </row>
    <row r="49349">
      <c r="B49349" s="612"/>
      <c r="H49349" s="612"/>
    </row>
    <row r="49350">
      <c r="B49350" s="612"/>
      <c r="H49350" s="612"/>
    </row>
    <row r="49351">
      <c r="B49351" s="612"/>
      <c r="H49351" s="612"/>
    </row>
    <row r="49352">
      <c r="B49352" s="612"/>
      <c r="H49352" s="612"/>
    </row>
    <row r="49353">
      <c r="B49353" s="612"/>
      <c r="H49353" s="612"/>
    </row>
    <row r="49354">
      <c r="B49354" s="612"/>
      <c r="H49354" s="612"/>
    </row>
    <row r="49355">
      <c r="B49355" s="612"/>
      <c r="H49355" s="612"/>
    </row>
    <row r="49356">
      <c r="B49356" s="612"/>
      <c r="H49356" s="612"/>
    </row>
    <row r="49357">
      <c r="B49357" s="612"/>
      <c r="H49357" s="612"/>
    </row>
    <row r="49358">
      <c r="B49358" s="612"/>
      <c r="H49358" s="612"/>
    </row>
    <row r="49359">
      <c r="B49359" s="612"/>
      <c r="H49359" s="612"/>
    </row>
    <row r="49360">
      <c r="B49360" s="612"/>
      <c r="H49360" s="612"/>
    </row>
    <row r="49361">
      <c r="B49361" s="612"/>
      <c r="H49361" s="612"/>
    </row>
    <row r="49362">
      <c r="B49362" s="612"/>
      <c r="H49362" s="612"/>
    </row>
    <row r="49363">
      <c r="B49363" s="612"/>
      <c r="H49363" s="612"/>
    </row>
    <row r="49364">
      <c r="B49364" s="612"/>
      <c r="H49364" s="612"/>
    </row>
    <row r="49365">
      <c r="B49365" s="612"/>
      <c r="H49365" s="612"/>
    </row>
    <row r="49366">
      <c r="B49366" s="612"/>
      <c r="H49366" s="612"/>
    </row>
    <row r="49367">
      <c r="B49367" s="612"/>
      <c r="H49367" s="612"/>
    </row>
    <row r="49368">
      <c r="B49368" s="612"/>
      <c r="H49368" s="612"/>
    </row>
    <row r="49369">
      <c r="B49369" s="612"/>
      <c r="H49369" s="612"/>
    </row>
    <row r="49370">
      <c r="B49370" s="612"/>
      <c r="H49370" s="612"/>
    </row>
    <row r="49371">
      <c r="B49371" s="612"/>
      <c r="H49371" s="612"/>
    </row>
    <row r="49372">
      <c r="B49372" s="612"/>
      <c r="H49372" s="612"/>
    </row>
    <row r="49373">
      <c r="B49373" s="612"/>
      <c r="H49373" s="612"/>
    </row>
    <row r="49374">
      <c r="B49374" s="612"/>
      <c r="H49374" s="612"/>
    </row>
    <row r="49375">
      <c r="B49375" s="612"/>
      <c r="H49375" s="612"/>
    </row>
    <row r="49376">
      <c r="B49376" s="612"/>
      <c r="H49376" s="612"/>
    </row>
    <row r="49377">
      <c r="B49377" s="612"/>
      <c r="H49377" s="612"/>
    </row>
    <row r="49378">
      <c r="B49378" s="612"/>
      <c r="H49378" s="612"/>
    </row>
    <row r="49379">
      <c r="B49379" s="612"/>
      <c r="H49379" s="612"/>
    </row>
    <row r="49380">
      <c r="B49380" s="612"/>
      <c r="H49380" s="612"/>
    </row>
    <row r="49381">
      <c r="B49381" s="612"/>
      <c r="H49381" s="612"/>
    </row>
    <row r="49382">
      <c r="B49382" s="612"/>
      <c r="H49382" s="612"/>
    </row>
    <row r="49383">
      <c r="B49383" s="612"/>
      <c r="H49383" s="612"/>
    </row>
    <row r="49384">
      <c r="B49384" s="612"/>
      <c r="H49384" s="612"/>
    </row>
    <row r="49385">
      <c r="B49385" s="612"/>
      <c r="H49385" s="612"/>
    </row>
    <row r="49386">
      <c r="B49386" s="612"/>
      <c r="H49386" s="612"/>
    </row>
    <row r="49387">
      <c r="B49387" s="612"/>
      <c r="H49387" s="612"/>
    </row>
    <row r="49388">
      <c r="B49388" s="612"/>
      <c r="H49388" s="612"/>
    </row>
    <row r="49389">
      <c r="B49389" s="612"/>
      <c r="H49389" s="612"/>
    </row>
    <row r="49390">
      <c r="B49390" s="612"/>
      <c r="H49390" s="612"/>
    </row>
    <row r="49391">
      <c r="B49391" s="612"/>
      <c r="H49391" s="612"/>
    </row>
    <row r="49392">
      <c r="B49392" s="612"/>
      <c r="H49392" s="612"/>
    </row>
    <row r="49393">
      <c r="B49393" s="612"/>
      <c r="H49393" s="612"/>
    </row>
    <row r="49394">
      <c r="B49394" s="612"/>
      <c r="H49394" s="612"/>
    </row>
    <row r="49395">
      <c r="B49395" s="612"/>
      <c r="H49395" s="612"/>
    </row>
    <row r="49396">
      <c r="B49396" s="612"/>
      <c r="H49396" s="612"/>
    </row>
    <row r="49397">
      <c r="B49397" s="612"/>
      <c r="H49397" s="612"/>
    </row>
    <row r="49398">
      <c r="B49398" s="612"/>
      <c r="H49398" s="612"/>
    </row>
    <row r="49399">
      <c r="B49399" s="612"/>
      <c r="H49399" s="612"/>
    </row>
    <row r="49400">
      <c r="B49400" s="612"/>
      <c r="H49400" s="612"/>
    </row>
    <row r="49401">
      <c r="B49401" s="612"/>
      <c r="H49401" s="612"/>
    </row>
    <row r="49402">
      <c r="B49402" s="612"/>
      <c r="H49402" s="612"/>
    </row>
    <row r="49403">
      <c r="B49403" s="612"/>
      <c r="H49403" s="612"/>
    </row>
    <row r="49404">
      <c r="B49404" s="612"/>
      <c r="H49404" s="612"/>
    </row>
    <row r="49405">
      <c r="B49405" s="612"/>
      <c r="H49405" s="612"/>
    </row>
    <row r="49406">
      <c r="B49406" s="612"/>
      <c r="H49406" s="612"/>
    </row>
    <row r="49407">
      <c r="B49407" s="612"/>
      <c r="H49407" s="612"/>
    </row>
    <row r="49408">
      <c r="B49408" s="612"/>
      <c r="H49408" s="612"/>
    </row>
    <row r="49409">
      <c r="B49409" s="612"/>
      <c r="H49409" s="612"/>
    </row>
    <row r="49410">
      <c r="B49410" s="612"/>
      <c r="H49410" s="612"/>
    </row>
    <row r="49411">
      <c r="B49411" s="612"/>
      <c r="H49411" s="612"/>
    </row>
    <row r="49412">
      <c r="B49412" s="612"/>
      <c r="H49412" s="612"/>
    </row>
    <row r="49413">
      <c r="B49413" s="612"/>
      <c r="H49413" s="612"/>
    </row>
    <row r="49414">
      <c r="B49414" s="612"/>
      <c r="H49414" s="612"/>
    </row>
    <row r="49415">
      <c r="B49415" s="612"/>
      <c r="H49415" s="612"/>
    </row>
    <row r="49416">
      <c r="B49416" s="612"/>
      <c r="H49416" s="612"/>
    </row>
    <row r="49417">
      <c r="B49417" s="612"/>
      <c r="H49417" s="612"/>
    </row>
    <row r="49418">
      <c r="B49418" s="612"/>
      <c r="H49418" s="612"/>
    </row>
    <row r="49419">
      <c r="B49419" s="612"/>
      <c r="H49419" s="612"/>
    </row>
    <row r="49420">
      <c r="B49420" s="612"/>
      <c r="H49420" s="612"/>
    </row>
    <row r="49421">
      <c r="B49421" s="612"/>
      <c r="H49421" s="612"/>
    </row>
    <row r="49422">
      <c r="B49422" s="612"/>
      <c r="H49422" s="612"/>
    </row>
    <row r="49423">
      <c r="B49423" s="612"/>
      <c r="H49423" s="612"/>
    </row>
    <row r="49424">
      <c r="B49424" s="612"/>
      <c r="H49424" s="612"/>
    </row>
    <row r="49425">
      <c r="B49425" s="612"/>
      <c r="H49425" s="612"/>
    </row>
    <row r="49426">
      <c r="B49426" s="612"/>
      <c r="H49426" s="612"/>
    </row>
    <row r="49427">
      <c r="B49427" s="612"/>
      <c r="H49427" s="612"/>
    </row>
    <row r="49428">
      <c r="B49428" s="612"/>
      <c r="H49428" s="612"/>
    </row>
    <row r="49429">
      <c r="B49429" s="612"/>
      <c r="H49429" s="612"/>
    </row>
    <row r="49430">
      <c r="B49430" s="612"/>
      <c r="H49430" s="612"/>
    </row>
    <row r="49431">
      <c r="B49431" s="612"/>
      <c r="H49431" s="612"/>
    </row>
    <row r="49432">
      <c r="B49432" s="612"/>
      <c r="H49432" s="612"/>
    </row>
    <row r="49433">
      <c r="B49433" s="612"/>
      <c r="H49433" s="612"/>
    </row>
    <row r="49434">
      <c r="B49434" s="612"/>
      <c r="H49434" s="612"/>
    </row>
    <row r="49435">
      <c r="B49435" s="612"/>
      <c r="H49435" s="612"/>
    </row>
    <row r="49436">
      <c r="B49436" s="612"/>
      <c r="H49436" s="612"/>
    </row>
    <row r="49437">
      <c r="B49437" s="612"/>
      <c r="H49437" s="612"/>
    </row>
    <row r="49438">
      <c r="B49438" s="612"/>
      <c r="H49438" s="612"/>
    </row>
    <row r="49439">
      <c r="B49439" s="612"/>
      <c r="H49439" s="612"/>
    </row>
    <row r="49440">
      <c r="B49440" s="612"/>
      <c r="H49440" s="612"/>
    </row>
    <row r="49441">
      <c r="B49441" s="612"/>
      <c r="H49441" s="612"/>
    </row>
    <row r="49442">
      <c r="B49442" s="612"/>
      <c r="H49442" s="612"/>
    </row>
    <row r="49443">
      <c r="B49443" s="612"/>
      <c r="H49443" s="612"/>
    </row>
    <row r="49444">
      <c r="B49444" s="612"/>
      <c r="H49444" s="612"/>
    </row>
    <row r="49445">
      <c r="B49445" s="612"/>
      <c r="H49445" s="612"/>
    </row>
    <row r="49446">
      <c r="B49446" s="612"/>
      <c r="H49446" s="612"/>
    </row>
    <row r="49447">
      <c r="B49447" s="612"/>
      <c r="H49447" s="612"/>
    </row>
    <row r="49448">
      <c r="B49448" s="612"/>
      <c r="H49448" s="612"/>
    </row>
    <row r="49449">
      <c r="B49449" s="612"/>
      <c r="H49449" s="612"/>
    </row>
    <row r="49450">
      <c r="B49450" s="612"/>
      <c r="H49450" s="612"/>
    </row>
    <row r="49451">
      <c r="B49451" s="612"/>
      <c r="H49451" s="612"/>
    </row>
    <row r="49452">
      <c r="B49452" s="612"/>
      <c r="H49452" s="612"/>
    </row>
    <row r="49453">
      <c r="B49453" s="612"/>
      <c r="H49453" s="612"/>
    </row>
    <row r="49454">
      <c r="B49454" s="612"/>
      <c r="H49454" s="612"/>
    </row>
    <row r="49455">
      <c r="B49455" s="612"/>
      <c r="H49455" s="612"/>
    </row>
    <row r="49456">
      <c r="B49456" s="612"/>
      <c r="H49456" s="612"/>
    </row>
    <row r="49457">
      <c r="B49457" s="612"/>
      <c r="H49457" s="612"/>
    </row>
    <row r="49458">
      <c r="B49458" s="612"/>
      <c r="H49458" s="612"/>
    </row>
    <row r="49459">
      <c r="B49459" s="612"/>
      <c r="H49459" s="612"/>
    </row>
    <row r="49460">
      <c r="B49460" s="612"/>
      <c r="H49460" s="612"/>
    </row>
    <row r="49461">
      <c r="B49461" s="612"/>
      <c r="H49461" s="612"/>
    </row>
    <row r="49462">
      <c r="B49462" s="612"/>
      <c r="H49462" s="612"/>
    </row>
    <row r="49463">
      <c r="B49463" s="612"/>
      <c r="H49463" s="612"/>
    </row>
    <row r="49464">
      <c r="B49464" s="612"/>
      <c r="H49464" s="612"/>
    </row>
    <row r="49465">
      <c r="B49465" s="612"/>
      <c r="H49465" s="612"/>
    </row>
    <row r="49466">
      <c r="B49466" s="612"/>
      <c r="H49466" s="612"/>
    </row>
    <row r="49467">
      <c r="B49467" s="612"/>
      <c r="H49467" s="612"/>
    </row>
    <row r="49468">
      <c r="B49468" s="612"/>
      <c r="H49468" s="612"/>
    </row>
    <row r="49469">
      <c r="B49469" s="612"/>
      <c r="H49469" s="612"/>
    </row>
    <row r="49470">
      <c r="B49470" s="612"/>
      <c r="H49470" s="612"/>
    </row>
    <row r="49471">
      <c r="B49471" s="612"/>
      <c r="H49471" s="612"/>
    </row>
    <row r="49472">
      <c r="B49472" s="612"/>
      <c r="H49472" s="612"/>
    </row>
    <row r="49473">
      <c r="B49473" s="612"/>
      <c r="H49473" s="612"/>
    </row>
    <row r="49474">
      <c r="B49474" s="612"/>
      <c r="H49474" s="612"/>
    </row>
    <row r="49475">
      <c r="B49475" s="612"/>
      <c r="H49475" s="612"/>
    </row>
    <row r="49476">
      <c r="B49476" s="612"/>
      <c r="H49476" s="612"/>
    </row>
    <row r="49477">
      <c r="B49477" s="612"/>
      <c r="H49477" s="612"/>
    </row>
    <row r="49478">
      <c r="B49478" s="612"/>
      <c r="H49478" s="612"/>
    </row>
    <row r="49479">
      <c r="B49479" s="612"/>
      <c r="H49479" s="612"/>
    </row>
    <row r="49480">
      <c r="B49480" s="612"/>
      <c r="H49480" s="612"/>
    </row>
    <row r="49481">
      <c r="B49481" s="612"/>
      <c r="H49481" s="612"/>
    </row>
    <row r="49482">
      <c r="B49482" s="612"/>
      <c r="H49482" s="612"/>
    </row>
    <row r="49483">
      <c r="B49483" s="612"/>
      <c r="H49483" s="612"/>
    </row>
    <row r="49484">
      <c r="B49484" s="612"/>
      <c r="H49484" s="612"/>
    </row>
    <row r="49485">
      <c r="B49485" s="612"/>
      <c r="H49485" s="612"/>
    </row>
    <row r="49486">
      <c r="B49486" s="612"/>
      <c r="H49486" s="612"/>
    </row>
    <row r="49487">
      <c r="B49487" s="612"/>
      <c r="H49487" s="612"/>
    </row>
    <row r="49488">
      <c r="B49488" s="612"/>
      <c r="H49488" s="612"/>
    </row>
    <row r="49489">
      <c r="B49489" s="612"/>
      <c r="H49489" s="612"/>
    </row>
    <row r="49490">
      <c r="B49490" s="612"/>
      <c r="H49490" s="612"/>
    </row>
    <row r="49491">
      <c r="B49491" s="612"/>
      <c r="H49491" s="612"/>
    </row>
    <row r="49492">
      <c r="B49492" s="612"/>
      <c r="H49492" s="612"/>
    </row>
    <row r="49493">
      <c r="B49493" s="612"/>
      <c r="H49493" s="612"/>
    </row>
    <row r="49494">
      <c r="B49494" s="612"/>
      <c r="H49494" s="612"/>
    </row>
    <row r="49495">
      <c r="B49495" s="612"/>
      <c r="H49495" s="612"/>
    </row>
    <row r="49496">
      <c r="B49496" s="612"/>
      <c r="H49496" s="612"/>
    </row>
    <row r="49497">
      <c r="B49497" s="612"/>
      <c r="H49497" s="612"/>
    </row>
    <row r="49498">
      <c r="B49498" s="612"/>
      <c r="H49498" s="612"/>
    </row>
    <row r="49499">
      <c r="B49499" s="612"/>
      <c r="H49499" s="612"/>
    </row>
    <row r="49500">
      <c r="B49500" s="612"/>
      <c r="H49500" s="612"/>
    </row>
    <row r="49501">
      <c r="B49501" s="612"/>
      <c r="H49501" s="612"/>
    </row>
    <row r="49502">
      <c r="B49502" s="612"/>
      <c r="H49502" s="612"/>
    </row>
    <row r="49503">
      <c r="B49503" s="612"/>
      <c r="H49503" s="612"/>
    </row>
    <row r="49504">
      <c r="B49504" s="612"/>
      <c r="H49504" s="612"/>
    </row>
    <row r="49505">
      <c r="B49505" s="612"/>
      <c r="H49505" s="612"/>
    </row>
    <row r="49506">
      <c r="B49506" s="612"/>
      <c r="H49506" s="612"/>
    </row>
    <row r="49507">
      <c r="B49507" s="612"/>
      <c r="H49507" s="612"/>
    </row>
    <row r="49508">
      <c r="B49508" s="612"/>
      <c r="H49508" s="612"/>
    </row>
    <row r="49509">
      <c r="B49509" s="612"/>
      <c r="H49509" s="612"/>
    </row>
    <row r="49510">
      <c r="B49510" s="612"/>
      <c r="H49510" s="612"/>
    </row>
    <row r="49511">
      <c r="B49511" s="612"/>
      <c r="H49511" s="612"/>
    </row>
    <row r="49512">
      <c r="B49512" s="612"/>
      <c r="H49512" s="612"/>
    </row>
    <row r="49513">
      <c r="B49513" s="612"/>
      <c r="H49513" s="612"/>
    </row>
    <row r="49514">
      <c r="B49514" s="612"/>
      <c r="H49514" s="612"/>
    </row>
    <row r="49515">
      <c r="B49515" s="612"/>
      <c r="H49515" s="612"/>
    </row>
    <row r="49516">
      <c r="B49516" s="612"/>
      <c r="H49516" s="612"/>
    </row>
    <row r="49517">
      <c r="B49517" s="612"/>
      <c r="H49517" s="612"/>
    </row>
    <row r="49518">
      <c r="B49518" s="612"/>
      <c r="H49518" s="612"/>
    </row>
    <row r="49519">
      <c r="B49519" s="612"/>
      <c r="H49519" s="612"/>
    </row>
    <row r="49520">
      <c r="B49520" s="612"/>
      <c r="H49520" s="612"/>
    </row>
    <row r="49521">
      <c r="B49521" s="612"/>
      <c r="H49521" s="612"/>
    </row>
    <row r="49522">
      <c r="B49522" s="612"/>
      <c r="H49522" s="612"/>
    </row>
    <row r="49523">
      <c r="B49523" s="612"/>
      <c r="H49523" s="612"/>
    </row>
    <row r="49524">
      <c r="B49524" s="612"/>
      <c r="H49524" s="612"/>
    </row>
    <row r="49525">
      <c r="B49525" s="612"/>
      <c r="H49525" s="612"/>
    </row>
    <row r="49526">
      <c r="B49526" s="612"/>
      <c r="H49526" s="612"/>
    </row>
    <row r="49527">
      <c r="B49527" s="612"/>
      <c r="H49527" s="612"/>
    </row>
    <row r="49528">
      <c r="B49528" s="612"/>
      <c r="H49528" s="612"/>
    </row>
    <row r="49529">
      <c r="B49529" s="612"/>
      <c r="H49529" s="612"/>
    </row>
    <row r="49530">
      <c r="B49530" s="612"/>
      <c r="H49530" s="612"/>
    </row>
    <row r="49531">
      <c r="B49531" s="612"/>
      <c r="H49531" s="612"/>
    </row>
    <row r="49532">
      <c r="B49532" s="612"/>
      <c r="H49532" s="612"/>
    </row>
    <row r="49533">
      <c r="B49533" s="612"/>
      <c r="H49533" s="612"/>
    </row>
    <row r="49534">
      <c r="B49534" s="612"/>
      <c r="H49534" s="612"/>
    </row>
    <row r="49535">
      <c r="B49535" s="612"/>
      <c r="H49535" s="612"/>
    </row>
    <row r="49536">
      <c r="B49536" s="612"/>
      <c r="H49536" s="612"/>
    </row>
    <row r="49537">
      <c r="B49537" s="612"/>
      <c r="H49537" s="612"/>
    </row>
    <row r="49538">
      <c r="B49538" s="612"/>
      <c r="H49538" s="612"/>
    </row>
    <row r="49539">
      <c r="B49539" s="612"/>
      <c r="H49539" s="612"/>
    </row>
    <row r="49540">
      <c r="B49540" s="612"/>
      <c r="H49540" s="612"/>
    </row>
    <row r="49541">
      <c r="B49541" s="612"/>
      <c r="H49541" s="612"/>
    </row>
    <row r="49542">
      <c r="B49542" s="612"/>
      <c r="H49542" s="612"/>
    </row>
    <row r="49543">
      <c r="B49543" s="612"/>
      <c r="H49543" s="612"/>
    </row>
    <row r="49544">
      <c r="B49544" s="612"/>
      <c r="H49544" s="612"/>
    </row>
    <row r="49545">
      <c r="B49545" s="612"/>
      <c r="H49545" s="612"/>
    </row>
    <row r="49546">
      <c r="B49546" s="612"/>
      <c r="H49546" s="612"/>
    </row>
    <row r="49547">
      <c r="B49547" s="612"/>
      <c r="H49547" s="612"/>
    </row>
    <row r="49548">
      <c r="B49548" s="612"/>
      <c r="H49548" s="612"/>
    </row>
    <row r="49549">
      <c r="B49549" s="612"/>
      <c r="H49549" s="612"/>
    </row>
    <row r="49550">
      <c r="B49550" s="612"/>
      <c r="H49550" s="612"/>
    </row>
    <row r="49551">
      <c r="B49551" s="612"/>
      <c r="H49551" s="612"/>
    </row>
    <row r="49552">
      <c r="B49552" s="612"/>
      <c r="H49552" s="612"/>
    </row>
    <row r="49553">
      <c r="B49553" s="612"/>
      <c r="H49553" s="612"/>
    </row>
    <row r="49554">
      <c r="B49554" s="612"/>
      <c r="H49554" s="612"/>
    </row>
    <row r="49555">
      <c r="B49555" s="612"/>
      <c r="H49555" s="612"/>
    </row>
    <row r="49556">
      <c r="B49556" s="612"/>
      <c r="H49556" s="612"/>
    </row>
    <row r="49557">
      <c r="B49557" s="612"/>
      <c r="H49557" s="612"/>
    </row>
    <row r="49558">
      <c r="B49558" s="612"/>
      <c r="H49558" s="612"/>
    </row>
    <row r="49559">
      <c r="B49559" s="612"/>
      <c r="H49559" s="612"/>
    </row>
    <row r="49560">
      <c r="B49560" s="612"/>
      <c r="H49560" s="612"/>
    </row>
    <row r="49561">
      <c r="B49561" s="612"/>
      <c r="H49561" s="612"/>
    </row>
    <row r="49562">
      <c r="B49562" s="612"/>
      <c r="H49562" s="612"/>
    </row>
    <row r="49563">
      <c r="B49563" s="612"/>
      <c r="H49563" s="612"/>
    </row>
    <row r="49564">
      <c r="B49564" s="612"/>
      <c r="H49564" s="612"/>
    </row>
    <row r="49565">
      <c r="B49565" s="612"/>
      <c r="H49565" s="612"/>
    </row>
    <row r="49566">
      <c r="B49566" s="612"/>
      <c r="H49566" s="612"/>
    </row>
    <row r="49567">
      <c r="B49567" s="612"/>
      <c r="H49567" s="612"/>
    </row>
    <row r="49568">
      <c r="B49568" s="612"/>
      <c r="H49568" s="612"/>
    </row>
    <row r="49569">
      <c r="B49569" s="612"/>
      <c r="H49569" s="612"/>
    </row>
    <row r="49570">
      <c r="B49570" s="612"/>
      <c r="H49570" s="612"/>
    </row>
    <row r="49571">
      <c r="B49571" s="612"/>
      <c r="H49571" s="612"/>
    </row>
    <row r="49572">
      <c r="B49572" s="612"/>
      <c r="H49572" s="612"/>
    </row>
    <row r="49573">
      <c r="B49573" s="612"/>
      <c r="H49573" s="612"/>
    </row>
    <row r="49574">
      <c r="B49574" s="612"/>
      <c r="H49574" s="612"/>
    </row>
    <row r="49575">
      <c r="B49575" s="612"/>
      <c r="H49575" s="612"/>
    </row>
    <row r="49576">
      <c r="B49576" s="612"/>
      <c r="H49576" s="612"/>
    </row>
    <row r="49577">
      <c r="B49577" s="612"/>
      <c r="H49577" s="612"/>
    </row>
    <row r="49578">
      <c r="B49578" s="612"/>
      <c r="H49578" s="612"/>
    </row>
    <row r="49579">
      <c r="B49579" s="612"/>
      <c r="H49579" s="612"/>
    </row>
    <row r="49580">
      <c r="B49580" s="612"/>
      <c r="H49580" s="612"/>
    </row>
    <row r="49581">
      <c r="B49581" s="612"/>
      <c r="H49581" s="612"/>
    </row>
    <row r="49582">
      <c r="B49582" s="612"/>
      <c r="H49582" s="612"/>
    </row>
    <row r="49583">
      <c r="B49583" s="612"/>
      <c r="H49583" s="612"/>
    </row>
    <row r="49584">
      <c r="B49584" s="612"/>
      <c r="H49584" s="612"/>
    </row>
    <row r="49585">
      <c r="B49585" s="612"/>
      <c r="H49585" s="612"/>
    </row>
    <row r="49586">
      <c r="B49586" s="612"/>
      <c r="H49586" s="612"/>
    </row>
    <row r="49587">
      <c r="B49587" s="612"/>
      <c r="H49587" s="612"/>
    </row>
    <row r="49588">
      <c r="B49588" s="612"/>
      <c r="H49588" s="612"/>
    </row>
    <row r="49589">
      <c r="B49589" s="612"/>
      <c r="H49589" s="612"/>
    </row>
    <row r="49590">
      <c r="B49590" s="612"/>
      <c r="H49590" s="612"/>
    </row>
    <row r="49591">
      <c r="B49591" s="612"/>
      <c r="H49591" s="612"/>
    </row>
    <row r="49592">
      <c r="B49592" s="612"/>
      <c r="H49592" s="612"/>
    </row>
    <row r="49593">
      <c r="B49593" s="612"/>
      <c r="H49593" s="612"/>
    </row>
    <row r="49594">
      <c r="B49594" s="612"/>
      <c r="H49594" s="612"/>
    </row>
    <row r="49595">
      <c r="B49595" s="612"/>
      <c r="H49595" s="612"/>
    </row>
    <row r="49596">
      <c r="B49596" s="612"/>
      <c r="H49596" s="612"/>
    </row>
    <row r="49597">
      <c r="B49597" s="612"/>
      <c r="H49597" s="612"/>
    </row>
    <row r="49598">
      <c r="B49598" s="612"/>
      <c r="H49598" s="612"/>
    </row>
    <row r="49599">
      <c r="B49599" s="612"/>
      <c r="H49599" s="612"/>
    </row>
    <row r="49600">
      <c r="B49600" s="612"/>
      <c r="H49600" s="612"/>
    </row>
    <row r="49601">
      <c r="B49601" s="612"/>
      <c r="H49601" s="612"/>
    </row>
    <row r="49602">
      <c r="B49602" s="612"/>
      <c r="H49602" s="612"/>
    </row>
    <row r="49603">
      <c r="B49603" s="612"/>
      <c r="H49603" s="612"/>
    </row>
    <row r="49604">
      <c r="B49604" s="612"/>
      <c r="H49604" s="612"/>
    </row>
    <row r="49605">
      <c r="B49605" s="612"/>
      <c r="H49605" s="612"/>
    </row>
    <row r="49606">
      <c r="B49606" s="612"/>
      <c r="H49606" s="612"/>
    </row>
    <row r="49607">
      <c r="B49607" s="612"/>
      <c r="H49607" s="612"/>
    </row>
    <row r="49608">
      <c r="B49608" s="612"/>
      <c r="H49608" s="612"/>
    </row>
    <row r="49609">
      <c r="B49609" s="612"/>
      <c r="H49609" s="612"/>
    </row>
    <row r="49610">
      <c r="B49610" s="612"/>
      <c r="H49610" s="612"/>
    </row>
    <row r="49611">
      <c r="B49611" s="612"/>
      <c r="H49611" s="612"/>
    </row>
    <row r="49612">
      <c r="B49612" s="612"/>
      <c r="H49612" s="612"/>
    </row>
    <row r="49613">
      <c r="B49613" s="612"/>
      <c r="H49613" s="612"/>
    </row>
    <row r="49614">
      <c r="B49614" s="612"/>
      <c r="H49614" s="612"/>
    </row>
    <row r="49615">
      <c r="B49615" s="612"/>
      <c r="H49615" s="612"/>
    </row>
    <row r="49616">
      <c r="B49616" s="612"/>
      <c r="H49616" s="612"/>
    </row>
    <row r="49617">
      <c r="B49617" s="612"/>
      <c r="H49617" s="612"/>
    </row>
    <row r="49618">
      <c r="B49618" s="612"/>
      <c r="H49618" s="612"/>
    </row>
    <row r="49619">
      <c r="B49619" s="612"/>
      <c r="H49619" s="612"/>
    </row>
    <row r="49620">
      <c r="B49620" s="612"/>
      <c r="H49620" s="612"/>
    </row>
    <row r="49621">
      <c r="B49621" s="612"/>
      <c r="H49621" s="612"/>
    </row>
    <row r="49622">
      <c r="B49622" s="612"/>
      <c r="H49622" s="612"/>
    </row>
    <row r="49623">
      <c r="B49623" s="612"/>
      <c r="H49623" s="612"/>
    </row>
    <row r="49624">
      <c r="B49624" s="612"/>
      <c r="H49624" s="612"/>
    </row>
    <row r="49625">
      <c r="B49625" s="612"/>
      <c r="H49625" s="612"/>
    </row>
    <row r="49626">
      <c r="B49626" s="612"/>
      <c r="H49626" s="612"/>
    </row>
    <row r="49627">
      <c r="B49627" s="612"/>
      <c r="H49627" s="612"/>
    </row>
    <row r="49628">
      <c r="B49628" s="612"/>
      <c r="H49628" s="612"/>
    </row>
    <row r="49629">
      <c r="B49629" s="612"/>
      <c r="H49629" s="612"/>
    </row>
    <row r="49630">
      <c r="B49630" s="612"/>
      <c r="H49630" s="612"/>
    </row>
    <row r="49631">
      <c r="B49631" s="612"/>
      <c r="H49631" s="612"/>
    </row>
    <row r="49632">
      <c r="B49632" s="612"/>
      <c r="H49632" s="612"/>
    </row>
    <row r="49633">
      <c r="B49633" s="612"/>
      <c r="H49633" s="612"/>
    </row>
    <row r="49634">
      <c r="B49634" s="612"/>
      <c r="H49634" s="612"/>
    </row>
    <row r="49635">
      <c r="B49635" s="612"/>
      <c r="H49635" s="612"/>
    </row>
    <row r="49636">
      <c r="B49636" s="612"/>
      <c r="H49636" s="612"/>
    </row>
    <row r="49637">
      <c r="B49637" s="612"/>
      <c r="H49637" s="612"/>
    </row>
    <row r="49638">
      <c r="B49638" s="612"/>
      <c r="H49638" s="612"/>
    </row>
    <row r="49639">
      <c r="B49639" s="612"/>
      <c r="H49639" s="612"/>
    </row>
    <row r="49640">
      <c r="B49640" s="612"/>
      <c r="H49640" s="612"/>
    </row>
    <row r="49641">
      <c r="B49641" s="612"/>
      <c r="H49641" s="612"/>
    </row>
    <row r="49642">
      <c r="B49642" s="612"/>
      <c r="H49642" s="612"/>
    </row>
    <row r="49643">
      <c r="B49643" s="612"/>
      <c r="H49643" s="612"/>
    </row>
    <row r="49644">
      <c r="B49644" s="612"/>
      <c r="H49644" s="612"/>
    </row>
    <row r="49645">
      <c r="B49645" s="612"/>
      <c r="H49645" s="612"/>
    </row>
    <row r="49646">
      <c r="B49646" s="612"/>
      <c r="H49646" s="612"/>
    </row>
    <row r="49647">
      <c r="B49647" s="612"/>
      <c r="H49647" s="612"/>
    </row>
    <row r="49648">
      <c r="B49648" s="612"/>
      <c r="H49648" s="612"/>
    </row>
    <row r="49649">
      <c r="B49649" s="612"/>
      <c r="H49649" s="612"/>
    </row>
    <row r="49650">
      <c r="B49650" s="612"/>
      <c r="H49650" s="612"/>
    </row>
    <row r="49651">
      <c r="B49651" s="612"/>
      <c r="H49651" s="612"/>
    </row>
    <row r="49652">
      <c r="B49652" s="612"/>
      <c r="H49652" s="612"/>
    </row>
    <row r="49653">
      <c r="B49653" s="612"/>
      <c r="H49653" s="612"/>
    </row>
    <row r="49654">
      <c r="B49654" s="612"/>
      <c r="H49654" s="612"/>
    </row>
    <row r="49655">
      <c r="B49655" s="612"/>
      <c r="H49655" s="612"/>
    </row>
    <row r="49656">
      <c r="B49656" s="612"/>
      <c r="H49656" s="612"/>
    </row>
    <row r="49657">
      <c r="B49657" s="612"/>
      <c r="H49657" s="612"/>
    </row>
    <row r="49658">
      <c r="B49658" s="612"/>
      <c r="H49658" s="612"/>
    </row>
    <row r="49659">
      <c r="B49659" s="612"/>
      <c r="H49659" s="612"/>
    </row>
    <row r="49660">
      <c r="B49660" s="612"/>
      <c r="H49660" s="612"/>
    </row>
    <row r="49661">
      <c r="B49661" s="612"/>
      <c r="H49661" s="612"/>
    </row>
    <row r="49662">
      <c r="B49662" s="612"/>
      <c r="H49662" s="612"/>
    </row>
    <row r="49663">
      <c r="B49663" s="612"/>
      <c r="H49663" s="612"/>
    </row>
    <row r="49664">
      <c r="B49664" s="612"/>
      <c r="H49664" s="612"/>
    </row>
    <row r="49665">
      <c r="B49665" s="612"/>
      <c r="H49665" s="612"/>
    </row>
    <row r="49666">
      <c r="B49666" s="612"/>
      <c r="H49666" s="612"/>
    </row>
    <row r="49667">
      <c r="B49667" s="612"/>
      <c r="H49667" s="612"/>
    </row>
    <row r="49668">
      <c r="B49668" s="612"/>
      <c r="H49668" s="612"/>
    </row>
    <row r="49669">
      <c r="B49669" s="612"/>
      <c r="H49669" s="612"/>
    </row>
    <row r="49670">
      <c r="B49670" s="612"/>
      <c r="H49670" s="612"/>
    </row>
    <row r="49671">
      <c r="B49671" s="612"/>
      <c r="H49671" s="612"/>
    </row>
    <row r="49672">
      <c r="B49672" s="612"/>
      <c r="H49672" s="612"/>
    </row>
    <row r="49673">
      <c r="B49673" s="612"/>
      <c r="H49673" s="612"/>
    </row>
    <row r="49674">
      <c r="B49674" s="612"/>
      <c r="H49674" s="612"/>
    </row>
    <row r="49675">
      <c r="B49675" s="612"/>
      <c r="H49675" s="612"/>
    </row>
    <row r="49676">
      <c r="B49676" s="612"/>
      <c r="H49676" s="612"/>
    </row>
    <row r="49677">
      <c r="B49677" s="612"/>
      <c r="H49677" s="612"/>
    </row>
    <row r="49678">
      <c r="B49678" s="612"/>
      <c r="H49678" s="612"/>
    </row>
    <row r="49679">
      <c r="B49679" s="612"/>
      <c r="H49679" s="612"/>
    </row>
    <row r="49680">
      <c r="B49680" s="612"/>
      <c r="H49680" s="612"/>
    </row>
    <row r="49681">
      <c r="B49681" s="612"/>
      <c r="H49681" s="612"/>
    </row>
    <row r="49682">
      <c r="B49682" s="612"/>
      <c r="H49682" s="612"/>
    </row>
    <row r="49683">
      <c r="B49683" s="612"/>
      <c r="H49683" s="612"/>
    </row>
    <row r="49684">
      <c r="B49684" s="612"/>
      <c r="H49684" s="612"/>
    </row>
    <row r="49685">
      <c r="B49685" s="612"/>
      <c r="H49685" s="612"/>
    </row>
    <row r="49686">
      <c r="B49686" s="612"/>
      <c r="H49686" s="612"/>
    </row>
    <row r="49687">
      <c r="B49687" s="612"/>
      <c r="H49687" s="612"/>
    </row>
    <row r="49688">
      <c r="B49688" s="612"/>
      <c r="H49688" s="612"/>
    </row>
    <row r="49689">
      <c r="B49689" s="612"/>
      <c r="H49689" s="612"/>
    </row>
    <row r="49690">
      <c r="B49690" s="612"/>
      <c r="H49690" s="612"/>
    </row>
    <row r="49691">
      <c r="B49691" s="612"/>
      <c r="H49691" s="612"/>
    </row>
    <row r="49692">
      <c r="B49692" s="612"/>
      <c r="H49692" s="612"/>
    </row>
    <row r="49693">
      <c r="B49693" s="612"/>
      <c r="H49693" s="612"/>
    </row>
    <row r="49694">
      <c r="B49694" s="612"/>
      <c r="H49694" s="612"/>
    </row>
    <row r="49695">
      <c r="B49695" s="612"/>
      <c r="H49695" s="612"/>
    </row>
    <row r="49696">
      <c r="B49696" s="612"/>
      <c r="H49696" s="612"/>
    </row>
    <row r="49697">
      <c r="B49697" s="612"/>
      <c r="H49697" s="612"/>
    </row>
    <row r="49698">
      <c r="B49698" s="612"/>
      <c r="H49698" s="612"/>
    </row>
    <row r="49699">
      <c r="B49699" s="612"/>
      <c r="H49699" s="612"/>
    </row>
    <row r="49700">
      <c r="B49700" s="612"/>
      <c r="H49700" s="612"/>
    </row>
    <row r="49701">
      <c r="B49701" s="612"/>
      <c r="H49701" s="612"/>
    </row>
    <row r="49702">
      <c r="B49702" s="612"/>
      <c r="H49702" s="612"/>
    </row>
    <row r="49703">
      <c r="B49703" s="612"/>
      <c r="H49703" s="612"/>
    </row>
    <row r="49704">
      <c r="B49704" s="612"/>
      <c r="H49704" s="612"/>
    </row>
    <row r="49705">
      <c r="B49705" s="612"/>
      <c r="H49705" s="612"/>
    </row>
    <row r="49706">
      <c r="B49706" s="612"/>
      <c r="H49706" s="612"/>
    </row>
    <row r="49707">
      <c r="B49707" s="612"/>
      <c r="H49707" s="612"/>
    </row>
    <row r="49708">
      <c r="B49708" s="612"/>
      <c r="H49708" s="612"/>
    </row>
    <row r="49709">
      <c r="B49709" s="612"/>
      <c r="H49709" s="612"/>
    </row>
    <row r="49710">
      <c r="B49710" s="612"/>
      <c r="H49710" s="612"/>
    </row>
    <row r="49711">
      <c r="B49711" s="612"/>
      <c r="H49711" s="612"/>
    </row>
    <row r="49712">
      <c r="B49712" s="612"/>
      <c r="H49712" s="612"/>
    </row>
    <row r="49713">
      <c r="B49713" s="612"/>
      <c r="H49713" s="612"/>
    </row>
    <row r="49714">
      <c r="B49714" s="612"/>
      <c r="H49714" s="612"/>
    </row>
    <row r="49715">
      <c r="B49715" s="612"/>
      <c r="H49715" s="612"/>
    </row>
    <row r="49716">
      <c r="B49716" s="612"/>
      <c r="H49716" s="612"/>
    </row>
    <row r="49717">
      <c r="B49717" s="612"/>
      <c r="H49717" s="612"/>
    </row>
    <row r="49718">
      <c r="B49718" s="612"/>
      <c r="H49718" s="612"/>
    </row>
    <row r="49719">
      <c r="B49719" s="612"/>
      <c r="H49719" s="612"/>
    </row>
    <row r="49720">
      <c r="B49720" s="612"/>
      <c r="H49720" s="612"/>
    </row>
    <row r="49721">
      <c r="B49721" s="612"/>
      <c r="H49721" s="612"/>
    </row>
    <row r="49722">
      <c r="B49722" s="612"/>
      <c r="H49722" s="612"/>
    </row>
    <row r="49723">
      <c r="B49723" s="612"/>
      <c r="H49723" s="612"/>
    </row>
    <row r="49724">
      <c r="B49724" s="612"/>
      <c r="H49724" s="612"/>
    </row>
    <row r="49725">
      <c r="B49725" s="612"/>
      <c r="H49725" s="612"/>
    </row>
    <row r="49726">
      <c r="B49726" s="612"/>
      <c r="H49726" s="612"/>
    </row>
    <row r="49727">
      <c r="B49727" s="612"/>
      <c r="H49727" s="612"/>
    </row>
    <row r="49728">
      <c r="B49728" s="612"/>
      <c r="H49728" s="612"/>
    </row>
    <row r="49729">
      <c r="B49729" s="612"/>
      <c r="H49729" s="612"/>
    </row>
    <row r="49730">
      <c r="B49730" s="612"/>
      <c r="H49730" s="612"/>
    </row>
    <row r="49731">
      <c r="B49731" s="612"/>
      <c r="H49731" s="612"/>
    </row>
    <row r="49732">
      <c r="B49732" s="612"/>
      <c r="H49732" s="612"/>
    </row>
    <row r="49733">
      <c r="B49733" s="612"/>
      <c r="H49733" s="612"/>
    </row>
    <row r="49734">
      <c r="B49734" s="612"/>
      <c r="H49734" s="612"/>
    </row>
    <row r="49735">
      <c r="B49735" s="612"/>
      <c r="H49735" s="612"/>
    </row>
    <row r="49736">
      <c r="B49736" s="612"/>
      <c r="H49736" s="612"/>
    </row>
    <row r="49737">
      <c r="B49737" s="612"/>
      <c r="H49737" s="612"/>
    </row>
    <row r="49738">
      <c r="B49738" s="612"/>
      <c r="H49738" s="612"/>
    </row>
    <row r="49739">
      <c r="B49739" s="612"/>
      <c r="H49739" s="612"/>
    </row>
    <row r="49740">
      <c r="B49740" s="612"/>
      <c r="H49740" s="612"/>
    </row>
    <row r="49741">
      <c r="B49741" s="612"/>
      <c r="H49741" s="612"/>
    </row>
    <row r="49742">
      <c r="B49742" s="612"/>
      <c r="H49742" s="612"/>
    </row>
    <row r="49743">
      <c r="B49743" s="612"/>
      <c r="H49743" s="612"/>
    </row>
    <row r="49744">
      <c r="B49744" s="612"/>
      <c r="H49744" s="612"/>
    </row>
    <row r="49745">
      <c r="B49745" s="612"/>
      <c r="H49745" s="612"/>
    </row>
    <row r="49746">
      <c r="B49746" s="612"/>
      <c r="H49746" s="612"/>
    </row>
    <row r="49747">
      <c r="B49747" s="612"/>
      <c r="H49747" s="612"/>
    </row>
    <row r="49748">
      <c r="B49748" s="612"/>
      <c r="H49748" s="612"/>
    </row>
    <row r="49749">
      <c r="B49749" s="612"/>
      <c r="H49749" s="612"/>
    </row>
    <row r="49750">
      <c r="B49750" s="612"/>
      <c r="H49750" s="612"/>
    </row>
    <row r="49751">
      <c r="B49751" s="612"/>
      <c r="H49751" s="612"/>
    </row>
    <row r="49752">
      <c r="B49752" s="612"/>
      <c r="H49752" s="612"/>
    </row>
    <row r="49753">
      <c r="B49753" s="612"/>
      <c r="H49753" s="612"/>
    </row>
    <row r="49754">
      <c r="B49754" s="612"/>
      <c r="H49754" s="612"/>
    </row>
    <row r="49755">
      <c r="B49755" s="612"/>
      <c r="H49755" s="612"/>
    </row>
    <row r="49756">
      <c r="B49756" s="612"/>
      <c r="H49756" s="612"/>
    </row>
    <row r="49757">
      <c r="B49757" s="612"/>
      <c r="H49757" s="612"/>
    </row>
    <row r="49758">
      <c r="B49758" s="612"/>
      <c r="H49758" s="612"/>
    </row>
    <row r="49759">
      <c r="B49759" s="612"/>
      <c r="H49759" s="612"/>
    </row>
    <row r="49760">
      <c r="B49760" s="612"/>
      <c r="H49760" s="612"/>
    </row>
    <row r="49761">
      <c r="B49761" s="612"/>
      <c r="H49761" s="612"/>
    </row>
    <row r="49762">
      <c r="B49762" s="612"/>
      <c r="H49762" s="612"/>
    </row>
    <row r="49763">
      <c r="B49763" s="612"/>
      <c r="H49763" s="612"/>
    </row>
    <row r="49764">
      <c r="B49764" s="612"/>
      <c r="H49764" s="612"/>
    </row>
    <row r="49765">
      <c r="B49765" s="612"/>
      <c r="H49765" s="612"/>
    </row>
    <row r="49766">
      <c r="B49766" s="612"/>
      <c r="H49766" s="612"/>
    </row>
    <row r="49767">
      <c r="B49767" s="612"/>
      <c r="H49767" s="612"/>
    </row>
    <row r="49768">
      <c r="B49768" s="612"/>
      <c r="H49768" s="612"/>
    </row>
    <row r="49769">
      <c r="B49769" s="612"/>
      <c r="H49769" s="612"/>
    </row>
    <row r="49770">
      <c r="B49770" s="612"/>
      <c r="H49770" s="612"/>
    </row>
    <row r="49771">
      <c r="B49771" s="612"/>
      <c r="H49771" s="612"/>
    </row>
    <row r="49772">
      <c r="B49772" s="612"/>
      <c r="H49772" s="612"/>
    </row>
    <row r="49773">
      <c r="B49773" s="612"/>
      <c r="H49773" s="612"/>
    </row>
    <row r="49774">
      <c r="B49774" s="612"/>
      <c r="H49774" s="612"/>
    </row>
    <row r="49775">
      <c r="B49775" s="612"/>
      <c r="H49775" s="612"/>
    </row>
    <row r="49776">
      <c r="B49776" s="612"/>
      <c r="H49776" s="612"/>
    </row>
    <row r="49777">
      <c r="B49777" s="612"/>
      <c r="H49777" s="612"/>
    </row>
    <row r="49778">
      <c r="B49778" s="612"/>
      <c r="H49778" s="612"/>
    </row>
    <row r="49779">
      <c r="B49779" s="612"/>
      <c r="H49779" s="612"/>
    </row>
    <row r="49780">
      <c r="B49780" s="612"/>
      <c r="H49780" s="612"/>
    </row>
    <row r="49781">
      <c r="B49781" s="612"/>
      <c r="H49781" s="612"/>
    </row>
    <row r="49782">
      <c r="B49782" s="612"/>
      <c r="H49782" s="612"/>
    </row>
    <row r="49783">
      <c r="B49783" s="612"/>
      <c r="H49783" s="612"/>
    </row>
    <row r="49784">
      <c r="B49784" s="612"/>
      <c r="H49784" s="612"/>
    </row>
    <row r="49785">
      <c r="B49785" s="612"/>
      <c r="H49785" s="612"/>
    </row>
    <row r="49786">
      <c r="B49786" s="612"/>
      <c r="H49786" s="612"/>
    </row>
    <row r="49787">
      <c r="B49787" s="612"/>
      <c r="H49787" s="612"/>
    </row>
    <row r="49788">
      <c r="B49788" s="612"/>
      <c r="H49788" s="612"/>
    </row>
    <row r="49789">
      <c r="B49789" s="612"/>
      <c r="H49789" s="612"/>
    </row>
    <row r="49790">
      <c r="B49790" s="612"/>
      <c r="H49790" s="612"/>
    </row>
    <row r="49791">
      <c r="B49791" s="612"/>
      <c r="H49791" s="612"/>
    </row>
    <row r="49792">
      <c r="B49792" s="612"/>
      <c r="H49792" s="612"/>
    </row>
    <row r="49793">
      <c r="B49793" s="612"/>
      <c r="H49793" s="612"/>
    </row>
    <row r="49794">
      <c r="B49794" s="612"/>
      <c r="H49794" s="612"/>
    </row>
    <row r="49795">
      <c r="B49795" s="612"/>
      <c r="H49795" s="612"/>
    </row>
    <row r="49796">
      <c r="B49796" s="612"/>
      <c r="H49796" s="612"/>
    </row>
    <row r="49797">
      <c r="B49797" s="612"/>
      <c r="H49797" s="612"/>
    </row>
    <row r="49798">
      <c r="B49798" s="612"/>
      <c r="H49798" s="612"/>
    </row>
    <row r="49799">
      <c r="B49799" s="612"/>
      <c r="H49799" s="612"/>
    </row>
    <row r="49800">
      <c r="B49800" s="612"/>
      <c r="H49800" s="612"/>
    </row>
    <row r="49801">
      <c r="B49801" s="612"/>
      <c r="H49801" s="612"/>
    </row>
    <row r="49802">
      <c r="B49802" s="612"/>
      <c r="H49802" s="612"/>
    </row>
    <row r="49803">
      <c r="B49803" s="612"/>
      <c r="H49803" s="612"/>
    </row>
    <row r="49804">
      <c r="B49804" s="612"/>
      <c r="H49804" s="612"/>
    </row>
    <row r="49805">
      <c r="B49805" s="612"/>
      <c r="H49805" s="612"/>
    </row>
    <row r="49806">
      <c r="B49806" s="612"/>
      <c r="H49806" s="612"/>
    </row>
    <row r="49807">
      <c r="B49807" s="612"/>
      <c r="H49807" s="612"/>
    </row>
    <row r="49808">
      <c r="B49808" s="612"/>
      <c r="H49808" s="612"/>
    </row>
    <row r="49809">
      <c r="B49809" s="612"/>
      <c r="H49809" s="612"/>
    </row>
    <row r="49810">
      <c r="B49810" s="612"/>
      <c r="H49810" s="612"/>
    </row>
    <row r="49811">
      <c r="B49811" s="612"/>
      <c r="H49811" s="612"/>
    </row>
    <row r="49812">
      <c r="B49812" s="612"/>
      <c r="H49812" s="612"/>
    </row>
    <row r="49813">
      <c r="B49813" s="612"/>
      <c r="H49813" s="612"/>
    </row>
    <row r="49814">
      <c r="B49814" s="612"/>
      <c r="H49814" s="612"/>
    </row>
    <row r="49815">
      <c r="B49815" s="612"/>
      <c r="H49815" s="612"/>
    </row>
    <row r="49816">
      <c r="B49816" s="612"/>
      <c r="H49816" s="612"/>
    </row>
    <row r="49817">
      <c r="B49817" s="612"/>
      <c r="H49817" s="612"/>
    </row>
    <row r="49818">
      <c r="B49818" s="612"/>
      <c r="H49818" s="612"/>
    </row>
    <row r="49819">
      <c r="B49819" s="612"/>
      <c r="H49819" s="612"/>
    </row>
    <row r="49820">
      <c r="B49820" s="612"/>
      <c r="H49820" s="612"/>
    </row>
    <row r="49821">
      <c r="B49821" s="612"/>
      <c r="H49821" s="612"/>
    </row>
    <row r="49822">
      <c r="B49822" s="612"/>
      <c r="H49822" s="612"/>
    </row>
    <row r="49823">
      <c r="B49823" s="612"/>
      <c r="H49823" s="612"/>
    </row>
    <row r="49824">
      <c r="B49824" s="612"/>
      <c r="H49824" s="612"/>
    </row>
    <row r="49825">
      <c r="B49825" s="612"/>
      <c r="H49825" s="612"/>
    </row>
    <row r="49826">
      <c r="B49826" s="612"/>
      <c r="H49826" s="612"/>
    </row>
    <row r="49827">
      <c r="B49827" s="612"/>
      <c r="H49827" s="612"/>
    </row>
    <row r="49828">
      <c r="B49828" s="612"/>
      <c r="H49828" s="612"/>
    </row>
    <row r="49829">
      <c r="B49829" s="612"/>
      <c r="H49829" s="612"/>
    </row>
    <row r="49830">
      <c r="B49830" s="612"/>
      <c r="H49830" s="612"/>
    </row>
    <row r="49831">
      <c r="B49831" s="612"/>
      <c r="H49831" s="612"/>
    </row>
    <row r="49832">
      <c r="B49832" s="612"/>
      <c r="H49832" s="612"/>
    </row>
    <row r="49833">
      <c r="B49833" s="612"/>
      <c r="H49833" s="612"/>
    </row>
    <row r="49834">
      <c r="B49834" s="612"/>
      <c r="H49834" s="612"/>
    </row>
    <row r="49835">
      <c r="B49835" s="612"/>
      <c r="H49835" s="612"/>
    </row>
    <row r="49836">
      <c r="B49836" s="612"/>
      <c r="H49836" s="612"/>
    </row>
    <row r="49837">
      <c r="B49837" s="612"/>
      <c r="H49837" s="612"/>
    </row>
    <row r="49838">
      <c r="B49838" s="612"/>
      <c r="H49838" s="612"/>
    </row>
    <row r="49839">
      <c r="B49839" s="612"/>
      <c r="H49839" s="612"/>
    </row>
    <row r="49840">
      <c r="B49840" s="612"/>
      <c r="H49840" s="612"/>
    </row>
    <row r="49841">
      <c r="B49841" s="612"/>
      <c r="H49841" s="612"/>
    </row>
    <row r="49842">
      <c r="B49842" s="612"/>
      <c r="H49842" s="612"/>
    </row>
    <row r="49843">
      <c r="B49843" s="612"/>
      <c r="H49843" s="612"/>
    </row>
    <row r="49844">
      <c r="B49844" s="612"/>
      <c r="H49844" s="612"/>
    </row>
    <row r="49845">
      <c r="B49845" s="612"/>
      <c r="H49845" s="612"/>
    </row>
    <row r="49846">
      <c r="B49846" s="612"/>
      <c r="H49846" s="612"/>
    </row>
    <row r="49847">
      <c r="B49847" s="612"/>
      <c r="H49847" s="612"/>
    </row>
    <row r="49848">
      <c r="B49848" s="612"/>
      <c r="H49848" s="612"/>
    </row>
    <row r="49849">
      <c r="B49849" s="612"/>
      <c r="H49849" s="612"/>
    </row>
    <row r="49850">
      <c r="B49850" s="612"/>
      <c r="H49850" s="612"/>
    </row>
    <row r="49851">
      <c r="B49851" s="612"/>
      <c r="H49851" s="612"/>
    </row>
    <row r="49852">
      <c r="B49852" s="612"/>
      <c r="H49852" s="612"/>
    </row>
    <row r="49853">
      <c r="B49853" s="612"/>
      <c r="H49853" s="612"/>
    </row>
    <row r="49854">
      <c r="B49854" s="612"/>
      <c r="H49854" s="612"/>
    </row>
    <row r="49855">
      <c r="B49855" s="612"/>
      <c r="H49855" s="612"/>
    </row>
    <row r="49856">
      <c r="B49856" s="612"/>
      <c r="H49856" s="612"/>
    </row>
    <row r="49857">
      <c r="B49857" s="612"/>
      <c r="H49857" s="612"/>
    </row>
    <row r="49858">
      <c r="B49858" s="612"/>
      <c r="H49858" s="612"/>
    </row>
    <row r="49859">
      <c r="B49859" s="612"/>
      <c r="H49859" s="612"/>
    </row>
    <row r="49860">
      <c r="B49860" s="612"/>
      <c r="H49860" s="612"/>
    </row>
    <row r="49861">
      <c r="B49861" s="612"/>
      <c r="H49861" s="612"/>
    </row>
    <row r="49862">
      <c r="B49862" s="612"/>
      <c r="H49862" s="612"/>
    </row>
    <row r="49863">
      <c r="B49863" s="612"/>
      <c r="H49863" s="612"/>
    </row>
    <row r="49864">
      <c r="B49864" s="612"/>
      <c r="H49864" s="612"/>
    </row>
    <row r="49865">
      <c r="B49865" s="612"/>
      <c r="H49865" s="612"/>
    </row>
    <row r="49866">
      <c r="B49866" s="612"/>
      <c r="H49866" s="612"/>
    </row>
    <row r="49867">
      <c r="B49867" s="612"/>
      <c r="H49867" s="612"/>
    </row>
    <row r="49868">
      <c r="B49868" s="612"/>
      <c r="H49868" s="612"/>
    </row>
    <row r="49869">
      <c r="B49869" s="612"/>
      <c r="H49869" s="612"/>
    </row>
    <row r="49870">
      <c r="B49870" s="612"/>
      <c r="H49870" s="612"/>
    </row>
    <row r="49871">
      <c r="B49871" s="612"/>
      <c r="H49871" s="612"/>
    </row>
    <row r="49872">
      <c r="B49872" s="612"/>
      <c r="H49872" s="612"/>
    </row>
    <row r="49873">
      <c r="B49873" s="612"/>
      <c r="H49873" s="612"/>
    </row>
    <row r="49874">
      <c r="B49874" s="612"/>
      <c r="H49874" s="612"/>
    </row>
    <row r="49875">
      <c r="B49875" s="612"/>
      <c r="H49875" s="612"/>
    </row>
    <row r="49876">
      <c r="B49876" s="612"/>
      <c r="H49876" s="612"/>
    </row>
    <row r="49877">
      <c r="B49877" s="612"/>
      <c r="H49877" s="612"/>
    </row>
    <row r="49878">
      <c r="B49878" s="612"/>
      <c r="H49878" s="612"/>
    </row>
    <row r="49879">
      <c r="B49879" s="612"/>
      <c r="H49879" s="612"/>
    </row>
    <row r="49880">
      <c r="B49880" s="612"/>
      <c r="H49880" s="612"/>
    </row>
    <row r="49881">
      <c r="B49881" s="612"/>
      <c r="H49881" s="612"/>
    </row>
    <row r="49882">
      <c r="B49882" s="612"/>
      <c r="H49882" s="612"/>
    </row>
    <row r="49883">
      <c r="B49883" s="612"/>
      <c r="H49883" s="612"/>
    </row>
    <row r="49884">
      <c r="B49884" s="612"/>
      <c r="H49884" s="612"/>
    </row>
    <row r="49885">
      <c r="B49885" s="612"/>
      <c r="H49885" s="612"/>
    </row>
    <row r="49886">
      <c r="B49886" s="612"/>
      <c r="H49886" s="612"/>
    </row>
    <row r="49887">
      <c r="B49887" s="612"/>
      <c r="H49887" s="612"/>
    </row>
    <row r="49888">
      <c r="B49888" s="612"/>
      <c r="H49888" s="612"/>
    </row>
    <row r="49889">
      <c r="B49889" s="612"/>
      <c r="H49889" s="612"/>
    </row>
    <row r="49890">
      <c r="B49890" s="612"/>
      <c r="H49890" s="612"/>
    </row>
    <row r="49891">
      <c r="B49891" s="612"/>
      <c r="H49891" s="612"/>
    </row>
    <row r="49892">
      <c r="B49892" s="612"/>
      <c r="H49892" s="612"/>
    </row>
    <row r="49893">
      <c r="B49893" s="612"/>
      <c r="H49893" s="612"/>
    </row>
    <row r="49894">
      <c r="B49894" s="612"/>
      <c r="H49894" s="612"/>
    </row>
    <row r="49895">
      <c r="B49895" s="612"/>
      <c r="H49895" s="612"/>
    </row>
    <row r="49896">
      <c r="B49896" s="612"/>
      <c r="H49896" s="612"/>
    </row>
    <row r="49897">
      <c r="B49897" s="612"/>
      <c r="H49897" s="612"/>
    </row>
    <row r="49898">
      <c r="B49898" s="612"/>
      <c r="H49898" s="612"/>
    </row>
    <row r="49899">
      <c r="B49899" s="612"/>
      <c r="H49899" s="612"/>
    </row>
    <row r="49900">
      <c r="B49900" s="612"/>
      <c r="H49900" s="612"/>
    </row>
    <row r="49901">
      <c r="B49901" s="612"/>
      <c r="H49901" s="612"/>
    </row>
    <row r="49902">
      <c r="B49902" s="612"/>
      <c r="H49902" s="612"/>
    </row>
    <row r="49903">
      <c r="B49903" s="612"/>
      <c r="H49903" s="612"/>
    </row>
    <row r="49904">
      <c r="B49904" s="612"/>
      <c r="H49904" s="612"/>
    </row>
    <row r="49905">
      <c r="B49905" s="612"/>
      <c r="H49905" s="612"/>
    </row>
    <row r="49906">
      <c r="B49906" s="612"/>
      <c r="H49906" s="612"/>
    </row>
    <row r="49907">
      <c r="B49907" s="612"/>
      <c r="H49907" s="612"/>
    </row>
    <row r="49908">
      <c r="B49908" s="612"/>
      <c r="H49908" s="612"/>
    </row>
    <row r="49909">
      <c r="B49909" s="612"/>
      <c r="H49909" s="612"/>
    </row>
    <row r="49910">
      <c r="B49910" s="612"/>
      <c r="H49910" s="612"/>
    </row>
    <row r="49911">
      <c r="B49911" s="612"/>
      <c r="H49911" s="612"/>
    </row>
    <row r="49912">
      <c r="B49912" s="612"/>
      <c r="H49912" s="612"/>
    </row>
    <row r="49913">
      <c r="B49913" s="612"/>
      <c r="H49913" s="612"/>
    </row>
    <row r="49914">
      <c r="B49914" s="612"/>
      <c r="H49914" s="612"/>
    </row>
    <row r="49915">
      <c r="B49915" s="612"/>
      <c r="H49915" s="612"/>
    </row>
    <row r="49916">
      <c r="B49916" s="612"/>
      <c r="H49916" s="612"/>
    </row>
    <row r="49917">
      <c r="B49917" s="612"/>
      <c r="H49917" s="612"/>
    </row>
    <row r="49918">
      <c r="B49918" s="612"/>
      <c r="H49918" s="612"/>
    </row>
    <row r="49919">
      <c r="B49919" s="612"/>
      <c r="H49919" s="612"/>
    </row>
    <row r="49920">
      <c r="B49920" s="612"/>
      <c r="H49920" s="612"/>
    </row>
    <row r="49921">
      <c r="B49921" s="612"/>
      <c r="H49921" s="612"/>
    </row>
    <row r="49922">
      <c r="B49922" s="612"/>
      <c r="H49922" s="612"/>
    </row>
    <row r="49923">
      <c r="B49923" s="612"/>
      <c r="H49923" s="612"/>
    </row>
    <row r="49924">
      <c r="B49924" s="612"/>
      <c r="H49924" s="612"/>
    </row>
    <row r="49925">
      <c r="B49925" s="612"/>
      <c r="H49925" s="612"/>
    </row>
    <row r="49926">
      <c r="B49926" s="612"/>
      <c r="H49926" s="612"/>
    </row>
    <row r="49927">
      <c r="B49927" s="612"/>
      <c r="H49927" s="612"/>
    </row>
    <row r="49928">
      <c r="B49928" s="612"/>
      <c r="H49928" s="612"/>
    </row>
    <row r="49929">
      <c r="B49929" s="612"/>
      <c r="H49929" s="612"/>
    </row>
    <row r="49930">
      <c r="B49930" s="612"/>
      <c r="H49930" s="612"/>
    </row>
    <row r="49931">
      <c r="B49931" s="612"/>
      <c r="H49931" s="612"/>
    </row>
    <row r="49932">
      <c r="B49932" s="612"/>
      <c r="H49932" s="612"/>
    </row>
    <row r="49933">
      <c r="B49933" s="612"/>
      <c r="H49933" s="612"/>
    </row>
    <row r="49934">
      <c r="B49934" s="612"/>
      <c r="H49934" s="612"/>
    </row>
    <row r="49935">
      <c r="B49935" s="612"/>
      <c r="H49935" s="612"/>
    </row>
    <row r="49936">
      <c r="B49936" s="612"/>
      <c r="H49936" s="612"/>
    </row>
    <row r="49937">
      <c r="B49937" s="612"/>
      <c r="H49937" s="612"/>
    </row>
    <row r="49938">
      <c r="B49938" s="612"/>
      <c r="H49938" s="612"/>
    </row>
    <row r="49939">
      <c r="B49939" s="612"/>
      <c r="H49939" s="612"/>
    </row>
    <row r="49940">
      <c r="B49940" s="612"/>
      <c r="H49940" s="612"/>
    </row>
    <row r="49941">
      <c r="B49941" s="612"/>
      <c r="H49941" s="612"/>
    </row>
    <row r="49942">
      <c r="B49942" s="612"/>
      <c r="H49942" s="612"/>
    </row>
    <row r="49943">
      <c r="B49943" s="612"/>
      <c r="H49943" s="612"/>
    </row>
    <row r="49944">
      <c r="B49944" s="612"/>
      <c r="H49944" s="612"/>
    </row>
    <row r="49945">
      <c r="B49945" s="612"/>
      <c r="H49945" s="612"/>
    </row>
    <row r="49946">
      <c r="B49946" s="612"/>
      <c r="H49946" s="612"/>
    </row>
    <row r="49947">
      <c r="B49947" s="612"/>
      <c r="H49947" s="612"/>
    </row>
    <row r="49948">
      <c r="B49948" s="612"/>
      <c r="H49948" s="612"/>
    </row>
    <row r="49949">
      <c r="B49949" s="612"/>
      <c r="H49949" s="612"/>
    </row>
    <row r="49950">
      <c r="B49950" s="612"/>
      <c r="H49950" s="612"/>
    </row>
    <row r="49951">
      <c r="B49951" s="612"/>
      <c r="H49951" s="612"/>
    </row>
    <row r="49952">
      <c r="B49952" s="612"/>
      <c r="H49952" s="612"/>
    </row>
    <row r="49953">
      <c r="B49953" s="612"/>
      <c r="H49953" s="612"/>
    </row>
    <row r="49954">
      <c r="B49954" s="612"/>
      <c r="H49954" s="612"/>
    </row>
    <row r="49955">
      <c r="B49955" s="612"/>
      <c r="H49955" s="612"/>
    </row>
    <row r="49956">
      <c r="B49956" s="612"/>
      <c r="H49956" s="612"/>
    </row>
    <row r="49957">
      <c r="B49957" s="612"/>
      <c r="H49957" s="612"/>
    </row>
    <row r="49958">
      <c r="B49958" s="612"/>
      <c r="H49958" s="612"/>
    </row>
    <row r="49959">
      <c r="B49959" s="612"/>
      <c r="H49959" s="612"/>
    </row>
    <row r="49960">
      <c r="B49960" s="612"/>
      <c r="H49960" s="612"/>
    </row>
    <row r="49961">
      <c r="B49961" s="612"/>
      <c r="H49961" s="612"/>
    </row>
    <row r="49962">
      <c r="B49962" s="612"/>
      <c r="H49962" s="612"/>
    </row>
    <row r="49963">
      <c r="B49963" s="612"/>
      <c r="H49963" s="612"/>
    </row>
    <row r="49964">
      <c r="B49964" s="612"/>
      <c r="H49964" s="612"/>
    </row>
    <row r="49965">
      <c r="B49965" s="612"/>
      <c r="H49965" s="612"/>
    </row>
    <row r="49966">
      <c r="B49966" s="612"/>
      <c r="H49966" s="612"/>
    </row>
    <row r="49967">
      <c r="B49967" s="612"/>
      <c r="H49967" s="612"/>
    </row>
    <row r="49968">
      <c r="B49968" s="612"/>
      <c r="H49968" s="612"/>
    </row>
    <row r="49969">
      <c r="B49969" s="612"/>
      <c r="H49969" s="612"/>
    </row>
    <row r="49970">
      <c r="B49970" s="612"/>
      <c r="H49970" s="612"/>
    </row>
    <row r="49971">
      <c r="B49971" s="612"/>
      <c r="H49971" s="612"/>
    </row>
    <row r="49972">
      <c r="B49972" s="612"/>
      <c r="H49972" s="612"/>
    </row>
    <row r="49973">
      <c r="B49973" s="612"/>
      <c r="H49973" s="612"/>
    </row>
    <row r="49974">
      <c r="B49974" s="612"/>
      <c r="H49974" s="612"/>
    </row>
    <row r="49975">
      <c r="B49975" s="612"/>
      <c r="H49975" s="612"/>
    </row>
    <row r="49976">
      <c r="B49976" s="612"/>
      <c r="H49976" s="612"/>
    </row>
    <row r="49977">
      <c r="B49977" s="612"/>
      <c r="H49977" s="612"/>
    </row>
    <row r="49978">
      <c r="B49978" s="612"/>
      <c r="H49978" s="612"/>
    </row>
    <row r="49979">
      <c r="B49979" s="612"/>
      <c r="H49979" s="612"/>
    </row>
    <row r="49980">
      <c r="B49980" s="612"/>
      <c r="H49980" s="612"/>
    </row>
    <row r="49981">
      <c r="B49981" s="612"/>
      <c r="H49981" s="612"/>
    </row>
    <row r="49982">
      <c r="B49982" s="612"/>
      <c r="H49982" s="612"/>
    </row>
    <row r="49983">
      <c r="B49983" s="612"/>
      <c r="H49983" s="612"/>
    </row>
    <row r="49984">
      <c r="B49984" s="612"/>
      <c r="H49984" s="612"/>
    </row>
    <row r="49985">
      <c r="B49985" s="612"/>
      <c r="H49985" s="612"/>
    </row>
    <row r="49986">
      <c r="B49986" s="612"/>
      <c r="H49986" s="612"/>
    </row>
    <row r="49987">
      <c r="B49987" s="612"/>
      <c r="H49987" s="612"/>
    </row>
    <row r="49988">
      <c r="B49988" s="612"/>
      <c r="H49988" s="612"/>
    </row>
    <row r="49989">
      <c r="B49989" s="612"/>
      <c r="H49989" s="612"/>
    </row>
    <row r="49990">
      <c r="B49990" s="612"/>
      <c r="H49990" s="612"/>
    </row>
    <row r="49991">
      <c r="B49991" s="612"/>
      <c r="H49991" s="612"/>
    </row>
    <row r="49992">
      <c r="B49992" s="612"/>
      <c r="H49992" s="612"/>
    </row>
    <row r="49993">
      <c r="B49993" s="612"/>
      <c r="H49993" s="612"/>
    </row>
    <row r="49994">
      <c r="B49994" s="612"/>
      <c r="H49994" s="612"/>
    </row>
    <row r="49995">
      <c r="B49995" s="612"/>
      <c r="H49995" s="612"/>
    </row>
    <row r="49996">
      <c r="B49996" s="612"/>
      <c r="H49996" s="612"/>
    </row>
    <row r="49997">
      <c r="B49997" s="612"/>
      <c r="H49997" s="612"/>
    </row>
    <row r="49998">
      <c r="B49998" s="612"/>
      <c r="H49998" s="612"/>
    </row>
    <row r="49999">
      <c r="B49999" s="612"/>
      <c r="H49999" s="612"/>
    </row>
    <row r="50000">
      <c r="B50000" s="612"/>
      <c r="H50000" s="612"/>
    </row>
    <row r="50001">
      <c r="B50001" s="612"/>
      <c r="H50001" s="612"/>
    </row>
    <row r="50002">
      <c r="B50002" s="612"/>
      <c r="H50002" s="612"/>
    </row>
    <row r="50003">
      <c r="B50003" s="612"/>
      <c r="H50003" s="612"/>
    </row>
    <row r="50004">
      <c r="B50004" s="612"/>
      <c r="H50004" s="612"/>
    </row>
    <row r="50005">
      <c r="B50005" s="612"/>
      <c r="H50005" s="612"/>
    </row>
    <row r="50006">
      <c r="B50006" s="612"/>
      <c r="H50006" s="612"/>
    </row>
    <row r="50007">
      <c r="B50007" s="612"/>
      <c r="H50007" s="612"/>
    </row>
    <row r="50008">
      <c r="B50008" s="612"/>
      <c r="H50008" s="612"/>
    </row>
    <row r="50009">
      <c r="B50009" s="612"/>
      <c r="H50009" s="612"/>
    </row>
    <row r="50010">
      <c r="B50010" s="612"/>
      <c r="H50010" s="612"/>
    </row>
    <row r="50011">
      <c r="B50011" s="612"/>
      <c r="H50011" s="612"/>
    </row>
    <row r="50012">
      <c r="B50012" s="612"/>
      <c r="H50012" s="612"/>
    </row>
    <row r="50013">
      <c r="B50013" s="612"/>
      <c r="H50013" s="612"/>
    </row>
    <row r="50014">
      <c r="B50014" s="612"/>
      <c r="H50014" s="612"/>
    </row>
    <row r="50015">
      <c r="B50015" s="612"/>
      <c r="H50015" s="612"/>
    </row>
    <row r="50016">
      <c r="B50016" s="612"/>
      <c r="H50016" s="612"/>
    </row>
    <row r="50017">
      <c r="B50017" s="612"/>
      <c r="H50017" s="612"/>
    </row>
    <row r="50018">
      <c r="B50018" s="612"/>
      <c r="H50018" s="612"/>
    </row>
    <row r="50019">
      <c r="B50019" s="612"/>
      <c r="H50019" s="612"/>
    </row>
    <row r="50020">
      <c r="B50020" s="612"/>
      <c r="H50020" s="612"/>
    </row>
    <row r="50021">
      <c r="B50021" s="612"/>
      <c r="H50021" s="612"/>
    </row>
    <row r="50022">
      <c r="B50022" s="612"/>
      <c r="H50022" s="612"/>
    </row>
    <row r="50023">
      <c r="B50023" s="612"/>
      <c r="H50023" s="612"/>
    </row>
    <row r="50024">
      <c r="B50024" s="612"/>
      <c r="H50024" s="612"/>
    </row>
    <row r="50025">
      <c r="B50025" s="612"/>
      <c r="H50025" s="612"/>
    </row>
    <row r="50026">
      <c r="B50026" s="612"/>
      <c r="H50026" s="612"/>
    </row>
    <row r="50027">
      <c r="B50027" s="612"/>
      <c r="H50027" s="612"/>
    </row>
    <row r="50028">
      <c r="B50028" s="612"/>
      <c r="H50028" s="612"/>
    </row>
    <row r="50029">
      <c r="B50029" s="612"/>
      <c r="H50029" s="612"/>
    </row>
    <row r="50030">
      <c r="B50030" s="612"/>
      <c r="H50030" s="612"/>
    </row>
    <row r="50031">
      <c r="B50031" s="612"/>
      <c r="H50031" s="612"/>
    </row>
    <row r="50032">
      <c r="B50032" s="612"/>
      <c r="H50032" s="612"/>
    </row>
    <row r="50033">
      <c r="B50033" s="612"/>
      <c r="H50033" s="612"/>
    </row>
    <row r="50034">
      <c r="B50034" s="612"/>
      <c r="H50034" s="612"/>
    </row>
    <row r="50035">
      <c r="B50035" s="612"/>
      <c r="H50035" s="612"/>
    </row>
    <row r="50036">
      <c r="B50036" s="612"/>
      <c r="H50036" s="612"/>
    </row>
    <row r="50037">
      <c r="B50037" s="612"/>
      <c r="H50037" s="612"/>
    </row>
    <row r="50038">
      <c r="B50038" s="612"/>
      <c r="H50038" s="612"/>
    </row>
    <row r="50039">
      <c r="B50039" s="612"/>
      <c r="H50039" s="612"/>
    </row>
    <row r="50040">
      <c r="B50040" s="612"/>
      <c r="H50040" s="612"/>
    </row>
    <row r="50041">
      <c r="B50041" s="612"/>
      <c r="H50041" s="612"/>
    </row>
    <row r="50042">
      <c r="B50042" s="612"/>
      <c r="H50042" s="612"/>
    </row>
    <row r="50043">
      <c r="B50043" s="612"/>
      <c r="H50043" s="612"/>
    </row>
    <row r="50044">
      <c r="B50044" s="612"/>
      <c r="H50044" s="612"/>
    </row>
    <row r="50045">
      <c r="B50045" s="612"/>
      <c r="H50045" s="612"/>
    </row>
    <row r="50046">
      <c r="B50046" s="612"/>
      <c r="H50046" s="612"/>
    </row>
    <row r="50047">
      <c r="B50047" s="612"/>
      <c r="H50047" s="612"/>
    </row>
    <row r="50048">
      <c r="B50048" s="612"/>
      <c r="H50048" s="612"/>
    </row>
    <row r="50049">
      <c r="B50049" s="612"/>
      <c r="H50049" s="612"/>
    </row>
    <row r="50050">
      <c r="B50050" s="612"/>
      <c r="H50050" s="612"/>
    </row>
    <row r="50051">
      <c r="B50051" s="612"/>
      <c r="H50051" s="612"/>
    </row>
    <row r="50052">
      <c r="B50052" s="612"/>
      <c r="H50052" s="612"/>
    </row>
    <row r="50053">
      <c r="B50053" s="612"/>
      <c r="H50053" s="612"/>
    </row>
    <row r="50054">
      <c r="B50054" s="612"/>
      <c r="H50054" s="612"/>
    </row>
    <row r="50055">
      <c r="B50055" s="612"/>
      <c r="H50055" s="612"/>
    </row>
    <row r="50056">
      <c r="B50056" s="612"/>
      <c r="H50056" s="612"/>
    </row>
    <row r="50057">
      <c r="B50057" s="612"/>
      <c r="H50057" s="612"/>
    </row>
    <row r="50058">
      <c r="B50058" s="612"/>
      <c r="H50058" s="612"/>
    </row>
    <row r="50059">
      <c r="B50059" s="612"/>
      <c r="H50059" s="612"/>
    </row>
    <row r="50060">
      <c r="B50060" s="612"/>
      <c r="H50060" s="612"/>
    </row>
    <row r="50061">
      <c r="B50061" s="612"/>
      <c r="H50061" s="612"/>
    </row>
    <row r="50062">
      <c r="B50062" s="612"/>
      <c r="H50062" s="612"/>
    </row>
    <row r="50063">
      <c r="B50063" s="612"/>
      <c r="H50063" s="612"/>
    </row>
    <row r="50064">
      <c r="B50064" s="612"/>
      <c r="H50064" s="612"/>
    </row>
    <row r="50065">
      <c r="B50065" s="612"/>
      <c r="H50065" s="612"/>
    </row>
    <row r="50066">
      <c r="B50066" s="612"/>
      <c r="H50066" s="612"/>
    </row>
    <row r="50067">
      <c r="B50067" s="612"/>
      <c r="H50067" s="612"/>
    </row>
    <row r="50068">
      <c r="B50068" s="612"/>
      <c r="H50068" s="612"/>
    </row>
    <row r="50069">
      <c r="B50069" s="612"/>
      <c r="H50069" s="612"/>
    </row>
    <row r="50070">
      <c r="B50070" s="612"/>
      <c r="H50070" s="612"/>
    </row>
    <row r="50071">
      <c r="B50071" s="612"/>
      <c r="H50071" s="612"/>
    </row>
    <row r="50072">
      <c r="B50072" s="612"/>
      <c r="H50072" s="612"/>
    </row>
    <row r="50073">
      <c r="B50073" s="612"/>
      <c r="H50073" s="612"/>
    </row>
    <row r="50074">
      <c r="B50074" s="612"/>
      <c r="H50074" s="612"/>
    </row>
    <row r="50075">
      <c r="B50075" s="612"/>
      <c r="H50075" s="612"/>
    </row>
    <row r="50076">
      <c r="B50076" s="612"/>
      <c r="H50076" s="612"/>
    </row>
    <row r="50077">
      <c r="B50077" s="612"/>
      <c r="H50077" s="612"/>
    </row>
    <row r="50078">
      <c r="B50078" s="612"/>
      <c r="H50078" s="612"/>
    </row>
    <row r="50079">
      <c r="B50079" s="612"/>
      <c r="H50079" s="612"/>
    </row>
    <row r="50080">
      <c r="B50080" s="612"/>
      <c r="H50080" s="612"/>
    </row>
    <row r="50081">
      <c r="B50081" s="612"/>
      <c r="H50081" s="612"/>
    </row>
    <row r="50082">
      <c r="B50082" s="612"/>
      <c r="H50082" s="612"/>
    </row>
    <row r="50083">
      <c r="B50083" s="612"/>
      <c r="H50083" s="612"/>
    </row>
    <row r="50084">
      <c r="B50084" s="612"/>
      <c r="H50084" s="612"/>
    </row>
    <row r="50085">
      <c r="B50085" s="612"/>
      <c r="H50085" s="612"/>
    </row>
    <row r="50086">
      <c r="B50086" s="612"/>
      <c r="H50086" s="612"/>
    </row>
    <row r="50087">
      <c r="B50087" s="612"/>
      <c r="H50087" s="612"/>
    </row>
    <row r="50088">
      <c r="B50088" s="612"/>
      <c r="H50088" s="612"/>
    </row>
    <row r="50089">
      <c r="B50089" s="612"/>
      <c r="H50089" s="612"/>
    </row>
    <row r="50090">
      <c r="B50090" s="612"/>
      <c r="H50090" s="612"/>
    </row>
    <row r="50091">
      <c r="B50091" s="612"/>
      <c r="H50091" s="612"/>
    </row>
    <row r="50092">
      <c r="B50092" s="612"/>
      <c r="H50092" s="612"/>
    </row>
    <row r="50093">
      <c r="B50093" s="612"/>
      <c r="H50093" s="612"/>
    </row>
    <row r="50094">
      <c r="B50094" s="612"/>
      <c r="H50094" s="612"/>
    </row>
    <row r="50095">
      <c r="B50095" s="612"/>
      <c r="H50095" s="612"/>
    </row>
    <row r="50096">
      <c r="B50096" s="612"/>
      <c r="H50096" s="612"/>
    </row>
    <row r="50097">
      <c r="B50097" s="612"/>
      <c r="H50097" s="612"/>
    </row>
    <row r="50098">
      <c r="B50098" s="612"/>
      <c r="H50098" s="612"/>
    </row>
    <row r="50099">
      <c r="B50099" s="612"/>
      <c r="H50099" s="612"/>
    </row>
    <row r="50100">
      <c r="B50100" s="612"/>
      <c r="H50100" s="612"/>
    </row>
    <row r="50101">
      <c r="B50101" s="612"/>
      <c r="H50101" s="612"/>
    </row>
    <row r="50102">
      <c r="B50102" s="612"/>
      <c r="H50102" s="612"/>
    </row>
    <row r="50103">
      <c r="B50103" s="612"/>
      <c r="H50103" s="612"/>
    </row>
    <row r="50104">
      <c r="B50104" s="612"/>
      <c r="H50104" s="612"/>
    </row>
    <row r="50105">
      <c r="B50105" s="612"/>
      <c r="H50105" s="612"/>
    </row>
    <row r="50106">
      <c r="B50106" s="612"/>
      <c r="H50106" s="612"/>
    </row>
    <row r="50107">
      <c r="B50107" s="612"/>
      <c r="H50107" s="612"/>
    </row>
    <row r="50108">
      <c r="B50108" s="612"/>
      <c r="H50108" s="612"/>
    </row>
    <row r="50109">
      <c r="B50109" s="612"/>
      <c r="H50109" s="612"/>
    </row>
    <row r="50110">
      <c r="B50110" s="612"/>
      <c r="H50110" s="612"/>
    </row>
    <row r="50111">
      <c r="B50111" s="612"/>
      <c r="H50111" s="612"/>
    </row>
    <row r="50112">
      <c r="B50112" s="612"/>
      <c r="H50112" s="612"/>
    </row>
    <row r="50113">
      <c r="B50113" s="612"/>
      <c r="H50113" s="612"/>
    </row>
    <row r="50114">
      <c r="B50114" s="612"/>
      <c r="H50114" s="612"/>
    </row>
    <row r="50115">
      <c r="B50115" s="612"/>
      <c r="H50115" s="612"/>
    </row>
    <row r="50116">
      <c r="B50116" s="612"/>
      <c r="H50116" s="612"/>
    </row>
    <row r="50117">
      <c r="B50117" s="612"/>
      <c r="H50117" s="612"/>
    </row>
    <row r="50118">
      <c r="B50118" s="612"/>
      <c r="H50118" s="612"/>
    </row>
    <row r="50119">
      <c r="B50119" s="612"/>
      <c r="H50119" s="612"/>
    </row>
    <row r="50120">
      <c r="B50120" s="612"/>
      <c r="H50120" s="612"/>
    </row>
    <row r="50121">
      <c r="B50121" s="612"/>
      <c r="H50121" s="612"/>
    </row>
    <row r="50122">
      <c r="B50122" s="612"/>
      <c r="H50122" s="612"/>
    </row>
    <row r="50123">
      <c r="B50123" s="612"/>
      <c r="H50123" s="612"/>
    </row>
    <row r="50124">
      <c r="B50124" s="612"/>
      <c r="H50124" s="612"/>
    </row>
    <row r="50125">
      <c r="B50125" s="612"/>
      <c r="H50125" s="612"/>
    </row>
    <row r="50126">
      <c r="B50126" s="612"/>
      <c r="H50126" s="612"/>
    </row>
    <row r="50127">
      <c r="B50127" s="612"/>
      <c r="H50127" s="612"/>
    </row>
    <row r="50128">
      <c r="B50128" s="612"/>
      <c r="H50128" s="612"/>
    </row>
    <row r="50129">
      <c r="B50129" s="612"/>
      <c r="H50129" s="612"/>
    </row>
    <row r="50130">
      <c r="B50130" s="612"/>
      <c r="H50130" s="612"/>
    </row>
    <row r="50131">
      <c r="B50131" s="612"/>
      <c r="H50131" s="612"/>
    </row>
    <row r="50132">
      <c r="B50132" s="612"/>
      <c r="H50132" s="612"/>
    </row>
    <row r="50133">
      <c r="B50133" s="612"/>
      <c r="H50133" s="612"/>
    </row>
    <row r="50134">
      <c r="B50134" s="612"/>
      <c r="H50134" s="612"/>
    </row>
    <row r="50135">
      <c r="B50135" s="612"/>
      <c r="H50135" s="612"/>
    </row>
    <row r="50136">
      <c r="B50136" s="612"/>
      <c r="H50136" s="612"/>
    </row>
    <row r="50137">
      <c r="B50137" s="612"/>
      <c r="H50137" s="612"/>
    </row>
    <row r="50138">
      <c r="B50138" s="612"/>
      <c r="H50138" s="612"/>
    </row>
    <row r="50139">
      <c r="B50139" s="612"/>
      <c r="H50139" s="612"/>
    </row>
    <row r="50140">
      <c r="B50140" s="612"/>
      <c r="H50140" s="612"/>
    </row>
    <row r="50141">
      <c r="B50141" s="612"/>
      <c r="H50141" s="612"/>
    </row>
    <row r="50142">
      <c r="B50142" s="612"/>
      <c r="H50142" s="612"/>
    </row>
    <row r="50143">
      <c r="B50143" s="612"/>
      <c r="H50143" s="612"/>
    </row>
    <row r="50144">
      <c r="B50144" s="612"/>
      <c r="H50144" s="612"/>
    </row>
    <row r="50145">
      <c r="B50145" s="612"/>
      <c r="H50145" s="612"/>
    </row>
    <row r="50146">
      <c r="B50146" s="612"/>
      <c r="H50146" s="612"/>
    </row>
    <row r="50147">
      <c r="B50147" s="612"/>
      <c r="H50147" s="612"/>
    </row>
    <row r="50148">
      <c r="B50148" s="612"/>
      <c r="H50148" s="612"/>
    </row>
    <row r="50149">
      <c r="B50149" s="612"/>
      <c r="H50149" s="612"/>
    </row>
    <row r="50150">
      <c r="B50150" s="612"/>
      <c r="H50150" s="612"/>
    </row>
    <row r="50151">
      <c r="B50151" s="612"/>
      <c r="H50151" s="612"/>
    </row>
    <row r="50152">
      <c r="B50152" s="612"/>
      <c r="H50152" s="612"/>
    </row>
    <row r="50153">
      <c r="B50153" s="612"/>
      <c r="H50153" s="612"/>
    </row>
    <row r="50154">
      <c r="B50154" s="612"/>
      <c r="H50154" s="612"/>
    </row>
    <row r="50155">
      <c r="B50155" s="612"/>
      <c r="H50155" s="612"/>
    </row>
    <row r="50156">
      <c r="B50156" s="612"/>
      <c r="H50156" s="612"/>
    </row>
    <row r="50157">
      <c r="B50157" s="612"/>
      <c r="H50157" s="612"/>
    </row>
    <row r="50158">
      <c r="B50158" s="612"/>
      <c r="H50158" s="612"/>
    </row>
    <row r="50159">
      <c r="B50159" s="612"/>
      <c r="H50159" s="612"/>
    </row>
    <row r="50160">
      <c r="B50160" s="612"/>
      <c r="H50160" s="612"/>
    </row>
    <row r="50161">
      <c r="B50161" s="612"/>
      <c r="H50161" s="612"/>
    </row>
    <row r="50162">
      <c r="B50162" s="612"/>
      <c r="H50162" s="612"/>
    </row>
    <row r="50163">
      <c r="B50163" s="612"/>
      <c r="H50163" s="612"/>
    </row>
    <row r="50164">
      <c r="B50164" s="612"/>
      <c r="H50164" s="612"/>
    </row>
    <row r="50165">
      <c r="B50165" s="612"/>
      <c r="H50165" s="612"/>
    </row>
    <row r="50166">
      <c r="B50166" s="612"/>
      <c r="H50166" s="612"/>
    </row>
    <row r="50167">
      <c r="B50167" s="612"/>
      <c r="H50167" s="612"/>
    </row>
    <row r="50168">
      <c r="B50168" s="612"/>
      <c r="H50168" s="612"/>
    </row>
    <row r="50169">
      <c r="B50169" s="612"/>
      <c r="H50169" s="612"/>
    </row>
    <row r="50170">
      <c r="B50170" s="612"/>
      <c r="H50170" s="612"/>
    </row>
    <row r="50171">
      <c r="B50171" s="612"/>
      <c r="H50171" s="612"/>
    </row>
    <row r="50172">
      <c r="B50172" s="612"/>
      <c r="H50172" s="612"/>
    </row>
    <row r="50173">
      <c r="B50173" s="612"/>
      <c r="H50173" s="612"/>
    </row>
    <row r="50174">
      <c r="B50174" s="612"/>
      <c r="H50174" s="612"/>
    </row>
    <row r="50175">
      <c r="B50175" s="612"/>
      <c r="H50175" s="612"/>
    </row>
    <row r="50176">
      <c r="B50176" s="612"/>
      <c r="H50176" s="612"/>
    </row>
    <row r="50177">
      <c r="B50177" s="612"/>
      <c r="H50177" s="612"/>
    </row>
    <row r="50178">
      <c r="B50178" s="612"/>
      <c r="H50178" s="612"/>
    </row>
    <row r="50179">
      <c r="B50179" s="612"/>
      <c r="H50179" s="612"/>
    </row>
    <row r="50180">
      <c r="B50180" s="612"/>
      <c r="H50180" s="612"/>
    </row>
    <row r="50181">
      <c r="B50181" s="612"/>
      <c r="H50181" s="612"/>
    </row>
    <row r="50182">
      <c r="B50182" s="612"/>
      <c r="H50182" s="612"/>
    </row>
    <row r="50183">
      <c r="B50183" s="612"/>
      <c r="H50183" s="612"/>
    </row>
    <row r="50184">
      <c r="B50184" s="612"/>
      <c r="H50184" s="612"/>
    </row>
    <row r="50185">
      <c r="B50185" s="612"/>
      <c r="H50185" s="612"/>
    </row>
    <row r="50186">
      <c r="B50186" s="612"/>
      <c r="H50186" s="612"/>
    </row>
    <row r="50187">
      <c r="B50187" s="612"/>
      <c r="H50187" s="612"/>
    </row>
    <row r="50188">
      <c r="B50188" s="612"/>
      <c r="H50188" s="612"/>
    </row>
    <row r="50189">
      <c r="B50189" s="612"/>
      <c r="H50189" s="612"/>
    </row>
    <row r="50190">
      <c r="B50190" s="612"/>
      <c r="H50190" s="612"/>
    </row>
    <row r="50191">
      <c r="B50191" s="612"/>
      <c r="H50191" s="612"/>
    </row>
    <row r="50192">
      <c r="B50192" s="612"/>
      <c r="H50192" s="612"/>
    </row>
    <row r="50193">
      <c r="B50193" s="612"/>
      <c r="H50193" s="612"/>
    </row>
    <row r="50194">
      <c r="B50194" s="612"/>
      <c r="H50194" s="612"/>
    </row>
    <row r="50195">
      <c r="B50195" s="612"/>
      <c r="H50195" s="612"/>
    </row>
    <row r="50196">
      <c r="B50196" s="612"/>
      <c r="H50196" s="612"/>
    </row>
    <row r="50197">
      <c r="B50197" s="612"/>
      <c r="H50197" s="612"/>
    </row>
    <row r="50198">
      <c r="B50198" s="612"/>
      <c r="H50198" s="612"/>
    </row>
    <row r="50199">
      <c r="B50199" s="612"/>
      <c r="H50199" s="612"/>
    </row>
    <row r="50200">
      <c r="B50200" s="612"/>
      <c r="H50200" s="612"/>
    </row>
    <row r="50201">
      <c r="B50201" s="612"/>
      <c r="H50201" s="612"/>
    </row>
    <row r="50202">
      <c r="B50202" s="612"/>
      <c r="H50202" s="612"/>
    </row>
    <row r="50203">
      <c r="B50203" s="612"/>
      <c r="H50203" s="612"/>
    </row>
    <row r="50204">
      <c r="B50204" s="612"/>
      <c r="H50204" s="612"/>
    </row>
    <row r="50205">
      <c r="B50205" s="612"/>
      <c r="H50205" s="612"/>
    </row>
    <row r="50206">
      <c r="B50206" s="612"/>
      <c r="H50206" s="612"/>
    </row>
    <row r="50207">
      <c r="B50207" s="612"/>
      <c r="H50207" s="612"/>
    </row>
    <row r="50208">
      <c r="B50208" s="612"/>
      <c r="H50208" s="612"/>
    </row>
    <row r="50209">
      <c r="B50209" s="612"/>
      <c r="H50209" s="612"/>
    </row>
    <row r="50210">
      <c r="B50210" s="612"/>
      <c r="H50210" s="612"/>
    </row>
    <row r="50211">
      <c r="B50211" s="612"/>
      <c r="H50211" s="612"/>
    </row>
    <row r="50212">
      <c r="B50212" s="612"/>
      <c r="H50212" s="612"/>
    </row>
    <row r="50213">
      <c r="B50213" s="612"/>
      <c r="H50213" s="612"/>
    </row>
    <row r="50214">
      <c r="B50214" s="612"/>
      <c r="H50214" s="612"/>
    </row>
    <row r="50215">
      <c r="B50215" s="612"/>
      <c r="H50215" s="612"/>
    </row>
    <row r="50216">
      <c r="B50216" s="612"/>
      <c r="H50216" s="612"/>
    </row>
    <row r="50217">
      <c r="B50217" s="612"/>
      <c r="H50217" s="612"/>
    </row>
    <row r="50218">
      <c r="B50218" s="612"/>
      <c r="H50218" s="612"/>
    </row>
    <row r="50219">
      <c r="B50219" s="612"/>
      <c r="H50219" s="612"/>
    </row>
    <row r="50220">
      <c r="B50220" s="612"/>
      <c r="H50220" s="612"/>
    </row>
    <row r="50221">
      <c r="B50221" s="612"/>
      <c r="H50221" s="612"/>
    </row>
    <row r="50222">
      <c r="B50222" s="612"/>
      <c r="H50222" s="612"/>
    </row>
    <row r="50223">
      <c r="B50223" s="612"/>
      <c r="H50223" s="612"/>
    </row>
    <row r="50224">
      <c r="B50224" s="612"/>
      <c r="H50224" s="612"/>
    </row>
    <row r="50225">
      <c r="B50225" s="612"/>
      <c r="H50225" s="612"/>
    </row>
    <row r="50226">
      <c r="B50226" s="612"/>
      <c r="H50226" s="612"/>
    </row>
    <row r="50227">
      <c r="B50227" s="612"/>
      <c r="H50227" s="612"/>
    </row>
    <row r="50228">
      <c r="B50228" s="612"/>
      <c r="H50228" s="612"/>
    </row>
    <row r="50229">
      <c r="B50229" s="612"/>
      <c r="H50229" s="612"/>
    </row>
    <row r="50230">
      <c r="B50230" s="612"/>
      <c r="H50230" s="612"/>
    </row>
    <row r="50231">
      <c r="B50231" s="612"/>
      <c r="H50231" s="612"/>
    </row>
    <row r="50232">
      <c r="B50232" s="612"/>
      <c r="H50232" s="612"/>
    </row>
    <row r="50233">
      <c r="B50233" s="612"/>
      <c r="H50233" s="612"/>
    </row>
    <row r="50234">
      <c r="B50234" s="612"/>
      <c r="H50234" s="612"/>
    </row>
    <row r="50235">
      <c r="B50235" s="612"/>
      <c r="H50235" s="612"/>
    </row>
    <row r="50236">
      <c r="B50236" s="612"/>
      <c r="H50236" s="612"/>
    </row>
    <row r="50237">
      <c r="B50237" s="612"/>
      <c r="H50237" s="612"/>
    </row>
    <row r="50238">
      <c r="B50238" s="612"/>
      <c r="H50238" s="612"/>
    </row>
    <row r="50239">
      <c r="B50239" s="612"/>
      <c r="H50239" s="612"/>
    </row>
    <row r="50240">
      <c r="B50240" s="612"/>
      <c r="H50240" s="612"/>
    </row>
    <row r="50241">
      <c r="B50241" s="612"/>
      <c r="H50241" s="612"/>
    </row>
    <row r="50242">
      <c r="B50242" s="612"/>
      <c r="H50242" s="612"/>
    </row>
    <row r="50243">
      <c r="B50243" s="612"/>
      <c r="H50243" s="612"/>
    </row>
    <row r="50244">
      <c r="B50244" s="612"/>
      <c r="H50244" s="612"/>
    </row>
    <row r="50245">
      <c r="B50245" s="612"/>
      <c r="H50245" s="612"/>
    </row>
    <row r="50246">
      <c r="B50246" s="612"/>
      <c r="H50246" s="612"/>
    </row>
    <row r="50247">
      <c r="B50247" s="612"/>
      <c r="H50247" s="612"/>
    </row>
    <row r="50248">
      <c r="B50248" s="612"/>
      <c r="H50248" s="612"/>
    </row>
    <row r="50249">
      <c r="B50249" s="612"/>
      <c r="H50249" s="612"/>
    </row>
    <row r="50250">
      <c r="B50250" s="612"/>
      <c r="H50250" s="612"/>
    </row>
    <row r="50251">
      <c r="B50251" s="612"/>
      <c r="H50251" s="612"/>
    </row>
    <row r="50252">
      <c r="B50252" s="612"/>
      <c r="H50252" s="612"/>
    </row>
    <row r="50253">
      <c r="B50253" s="612"/>
      <c r="H50253" s="612"/>
    </row>
    <row r="50254">
      <c r="B50254" s="612"/>
      <c r="H50254" s="612"/>
    </row>
    <row r="50255">
      <c r="B50255" s="612"/>
      <c r="H50255" s="612"/>
    </row>
    <row r="50256">
      <c r="B50256" s="612"/>
      <c r="H50256" s="612"/>
    </row>
    <row r="50257">
      <c r="B50257" s="612"/>
      <c r="H50257" s="612"/>
    </row>
    <row r="50258">
      <c r="B50258" s="612"/>
      <c r="H50258" s="612"/>
    </row>
    <row r="50259">
      <c r="B50259" s="612"/>
      <c r="H50259" s="612"/>
    </row>
    <row r="50260">
      <c r="B50260" s="612"/>
      <c r="H50260" s="612"/>
    </row>
    <row r="50261">
      <c r="B50261" s="612"/>
      <c r="H50261" s="612"/>
    </row>
    <row r="50262">
      <c r="B50262" s="612"/>
      <c r="H50262" s="612"/>
    </row>
    <row r="50263">
      <c r="B50263" s="612"/>
      <c r="H50263" s="612"/>
    </row>
    <row r="50264">
      <c r="B50264" s="612"/>
      <c r="H50264" s="612"/>
    </row>
    <row r="50265">
      <c r="B50265" s="612"/>
      <c r="H50265" s="612"/>
    </row>
    <row r="50266">
      <c r="B50266" s="612"/>
      <c r="H50266" s="612"/>
    </row>
    <row r="50267">
      <c r="B50267" s="612"/>
      <c r="H50267" s="612"/>
    </row>
    <row r="50268">
      <c r="B50268" s="612"/>
      <c r="H50268" s="612"/>
    </row>
    <row r="50269">
      <c r="B50269" s="612"/>
      <c r="H50269" s="612"/>
    </row>
    <row r="50270">
      <c r="B50270" s="612"/>
      <c r="H50270" s="612"/>
    </row>
    <row r="50271">
      <c r="B50271" s="612"/>
      <c r="H50271" s="612"/>
    </row>
    <row r="50272">
      <c r="B50272" s="612"/>
      <c r="H50272" s="612"/>
    </row>
    <row r="50273">
      <c r="B50273" s="612"/>
      <c r="H50273" s="612"/>
    </row>
    <row r="50274">
      <c r="B50274" s="612"/>
      <c r="H50274" s="612"/>
    </row>
    <row r="50275">
      <c r="B50275" s="612"/>
      <c r="H50275" s="612"/>
    </row>
    <row r="50276">
      <c r="B50276" s="612"/>
      <c r="H50276" s="612"/>
    </row>
    <row r="50277">
      <c r="B50277" s="612"/>
      <c r="H50277" s="612"/>
    </row>
    <row r="50278">
      <c r="B50278" s="612"/>
      <c r="H50278" s="612"/>
    </row>
    <row r="50279">
      <c r="B50279" s="612"/>
      <c r="H50279" s="612"/>
    </row>
    <row r="50280">
      <c r="B50280" s="612"/>
      <c r="H50280" s="612"/>
    </row>
    <row r="50281">
      <c r="B50281" s="612"/>
      <c r="H50281" s="612"/>
    </row>
    <row r="50282">
      <c r="B50282" s="612"/>
      <c r="H50282" s="612"/>
    </row>
    <row r="50283">
      <c r="B50283" s="612"/>
      <c r="H50283" s="612"/>
    </row>
    <row r="50284">
      <c r="B50284" s="612"/>
      <c r="H50284" s="612"/>
    </row>
    <row r="50285">
      <c r="B50285" s="612"/>
      <c r="H50285" s="612"/>
    </row>
    <row r="50286">
      <c r="B50286" s="612"/>
      <c r="H50286" s="612"/>
    </row>
    <row r="50287">
      <c r="B50287" s="612"/>
      <c r="H50287" s="612"/>
    </row>
    <row r="50288">
      <c r="B50288" s="612"/>
      <c r="H50288" s="612"/>
    </row>
    <row r="50289">
      <c r="B50289" s="612"/>
      <c r="H50289" s="612"/>
    </row>
    <row r="50290">
      <c r="B50290" s="612"/>
      <c r="H50290" s="612"/>
    </row>
    <row r="50291">
      <c r="B50291" s="612"/>
      <c r="H50291" s="612"/>
    </row>
    <row r="50292">
      <c r="B50292" s="612"/>
      <c r="H50292" s="612"/>
    </row>
    <row r="50293">
      <c r="B50293" s="612"/>
      <c r="H50293" s="612"/>
    </row>
    <row r="50294">
      <c r="B50294" s="612"/>
      <c r="H50294" s="612"/>
    </row>
    <row r="50295">
      <c r="B50295" s="612"/>
      <c r="H50295" s="612"/>
    </row>
    <row r="50296">
      <c r="B50296" s="612"/>
      <c r="H50296" s="612"/>
    </row>
    <row r="50297">
      <c r="B50297" s="612"/>
      <c r="H50297" s="612"/>
    </row>
    <row r="50298">
      <c r="B50298" s="612"/>
      <c r="H50298" s="612"/>
    </row>
    <row r="50299">
      <c r="B50299" s="612"/>
      <c r="H50299" s="612"/>
    </row>
    <row r="50300">
      <c r="B50300" s="612"/>
      <c r="H50300" s="612"/>
    </row>
    <row r="50301">
      <c r="B50301" s="612"/>
      <c r="H50301" s="612"/>
    </row>
    <row r="50302">
      <c r="B50302" s="612"/>
      <c r="H50302" s="612"/>
    </row>
    <row r="50303">
      <c r="B50303" s="612"/>
      <c r="H50303" s="612"/>
    </row>
    <row r="50304">
      <c r="B50304" s="612"/>
      <c r="H50304" s="612"/>
    </row>
    <row r="50305">
      <c r="B50305" s="612"/>
      <c r="H50305" s="612"/>
    </row>
    <row r="50306">
      <c r="B50306" s="612"/>
      <c r="H50306" s="612"/>
    </row>
    <row r="50307">
      <c r="B50307" s="612"/>
      <c r="H50307" s="612"/>
    </row>
    <row r="50308">
      <c r="B50308" s="612"/>
      <c r="H50308" s="612"/>
    </row>
    <row r="50309">
      <c r="B50309" s="612"/>
      <c r="H50309" s="612"/>
    </row>
    <row r="50310">
      <c r="B50310" s="612"/>
      <c r="H50310" s="612"/>
    </row>
    <row r="50311">
      <c r="B50311" s="612"/>
      <c r="H50311" s="612"/>
    </row>
    <row r="50312">
      <c r="B50312" s="612"/>
      <c r="H50312" s="612"/>
    </row>
    <row r="50313">
      <c r="B50313" s="612"/>
      <c r="H50313" s="612"/>
    </row>
    <row r="50314">
      <c r="B50314" s="612"/>
      <c r="H50314" s="612"/>
    </row>
    <row r="50315">
      <c r="B50315" s="612"/>
      <c r="H50315" s="612"/>
    </row>
    <row r="50316">
      <c r="B50316" s="612"/>
      <c r="H50316" s="612"/>
    </row>
    <row r="50317">
      <c r="B50317" s="612"/>
      <c r="H50317" s="612"/>
    </row>
    <row r="50318">
      <c r="B50318" s="612"/>
      <c r="H50318" s="612"/>
    </row>
    <row r="50319">
      <c r="B50319" s="612"/>
      <c r="H50319" s="612"/>
    </row>
    <row r="50320">
      <c r="B50320" s="612"/>
      <c r="H50320" s="612"/>
    </row>
    <row r="50321">
      <c r="B50321" s="612"/>
      <c r="H50321" s="612"/>
    </row>
    <row r="50322">
      <c r="B50322" s="612"/>
      <c r="H50322" s="612"/>
    </row>
    <row r="50323">
      <c r="B50323" s="612"/>
      <c r="H50323" s="612"/>
    </row>
    <row r="50324">
      <c r="B50324" s="612"/>
      <c r="H50324" s="612"/>
    </row>
    <row r="50325">
      <c r="B50325" s="612"/>
      <c r="H50325" s="612"/>
    </row>
    <row r="50326">
      <c r="B50326" s="612"/>
      <c r="H50326" s="612"/>
    </row>
    <row r="50327">
      <c r="B50327" s="612"/>
      <c r="H50327" s="612"/>
    </row>
    <row r="50328">
      <c r="B50328" s="612"/>
      <c r="H50328" s="612"/>
    </row>
    <row r="50329">
      <c r="B50329" s="612"/>
      <c r="H50329" s="612"/>
    </row>
    <row r="50330">
      <c r="B50330" s="612"/>
      <c r="H50330" s="612"/>
    </row>
    <row r="50331">
      <c r="B50331" s="612"/>
      <c r="H50331" s="612"/>
    </row>
    <row r="50332">
      <c r="B50332" s="612"/>
      <c r="H50332" s="612"/>
    </row>
    <row r="50333">
      <c r="B50333" s="612"/>
      <c r="H50333" s="612"/>
    </row>
    <row r="50334">
      <c r="B50334" s="612"/>
      <c r="H50334" s="612"/>
    </row>
    <row r="50335">
      <c r="B50335" s="612"/>
      <c r="H50335" s="612"/>
    </row>
    <row r="50336">
      <c r="B50336" s="612"/>
      <c r="H50336" s="612"/>
    </row>
    <row r="50337">
      <c r="B50337" s="612"/>
      <c r="H50337" s="612"/>
    </row>
    <row r="50338">
      <c r="B50338" s="612"/>
      <c r="H50338" s="612"/>
    </row>
    <row r="50339">
      <c r="B50339" s="612"/>
      <c r="H50339" s="612"/>
    </row>
    <row r="50340">
      <c r="B50340" s="612"/>
      <c r="H50340" s="612"/>
    </row>
    <row r="50341">
      <c r="B50341" s="612"/>
      <c r="H50341" s="612"/>
    </row>
    <row r="50342">
      <c r="B50342" s="612"/>
      <c r="H50342" s="612"/>
    </row>
    <row r="50343">
      <c r="B50343" s="612"/>
      <c r="H50343" s="612"/>
    </row>
    <row r="50344">
      <c r="B50344" s="612"/>
      <c r="H50344" s="612"/>
    </row>
    <row r="50345">
      <c r="B50345" s="612"/>
      <c r="H50345" s="612"/>
    </row>
    <row r="50346">
      <c r="B50346" s="612"/>
      <c r="H50346" s="612"/>
    </row>
    <row r="50347">
      <c r="B50347" s="612"/>
      <c r="H50347" s="612"/>
    </row>
    <row r="50348">
      <c r="B50348" s="612"/>
      <c r="H50348" s="612"/>
    </row>
    <row r="50349">
      <c r="B50349" s="612"/>
      <c r="H50349" s="612"/>
    </row>
    <row r="50350">
      <c r="B50350" s="612"/>
      <c r="H50350" s="612"/>
    </row>
    <row r="50351">
      <c r="B50351" s="612"/>
      <c r="H50351" s="612"/>
    </row>
    <row r="50352">
      <c r="B50352" s="612"/>
      <c r="H50352" s="612"/>
    </row>
    <row r="50353">
      <c r="B50353" s="612"/>
      <c r="H50353" s="612"/>
    </row>
    <row r="50354">
      <c r="B50354" s="612"/>
      <c r="H50354" s="612"/>
    </row>
    <row r="50355">
      <c r="B50355" s="612"/>
      <c r="H50355" s="612"/>
    </row>
    <row r="50356">
      <c r="B50356" s="612"/>
      <c r="H50356" s="612"/>
    </row>
    <row r="50357">
      <c r="B50357" s="612"/>
      <c r="H50357" s="612"/>
    </row>
    <row r="50358">
      <c r="B50358" s="612"/>
      <c r="H50358" s="612"/>
    </row>
    <row r="50359">
      <c r="B50359" s="612"/>
      <c r="H50359" s="612"/>
    </row>
    <row r="50360">
      <c r="B50360" s="612"/>
      <c r="H50360" s="612"/>
    </row>
    <row r="50361">
      <c r="B50361" s="612"/>
      <c r="H50361" s="612"/>
    </row>
    <row r="50362">
      <c r="B50362" s="612"/>
      <c r="H50362" s="612"/>
    </row>
    <row r="50363">
      <c r="B50363" s="612"/>
      <c r="H50363" s="612"/>
    </row>
    <row r="50364">
      <c r="B50364" s="612"/>
      <c r="H50364" s="612"/>
    </row>
    <row r="50365">
      <c r="B50365" s="612"/>
      <c r="H50365" s="612"/>
    </row>
    <row r="50366">
      <c r="B50366" s="612"/>
      <c r="H50366" s="612"/>
    </row>
    <row r="50367">
      <c r="B50367" s="612"/>
      <c r="H50367" s="612"/>
    </row>
    <row r="50368">
      <c r="B50368" s="612"/>
      <c r="H50368" s="612"/>
    </row>
    <row r="50369">
      <c r="B50369" s="612"/>
      <c r="H50369" s="612"/>
    </row>
    <row r="50370">
      <c r="B50370" s="612"/>
      <c r="H50370" s="612"/>
    </row>
    <row r="50371">
      <c r="B50371" s="612"/>
      <c r="H50371" s="612"/>
    </row>
    <row r="50372">
      <c r="B50372" s="612"/>
      <c r="H50372" s="612"/>
    </row>
    <row r="50373">
      <c r="B50373" s="612"/>
      <c r="H50373" s="612"/>
    </row>
    <row r="50374">
      <c r="B50374" s="612"/>
      <c r="H50374" s="612"/>
    </row>
    <row r="50375">
      <c r="B50375" s="612"/>
      <c r="H50375" s="612"/>
    </row>
    <row r="50376">
      <c r="B50376" s="612"/>
      <c r="H50376" s="612"/>
    </row>
    <row r="50377">
      <c r="B50377" s="612"/>
      <c r="H50377" s="612"/>
    </row>
    <row r="50378">
      <c r="B50378" s="612"/>
      <c r="H50378" s="612"/>
    </row>
    <row r="50379">
      <c r="B50379" s="612"/>
      <c r="H50379" s="612"/>
    </row>
    <row r="50380">
      <c r="B50380" s="612"/>
      <c r="H50380" s="612"/>
    </row>
    <row r="50381">
      <c r="B50381" s="612"/>
      <c r="H50381" s="612"/>
    </row>
    <row r="50382">
      <c r="B50382" s="612"/>
      <c r="H50382" s="612"/>
    </row>
    <row r="50383">
      <c r="B50383" s="612"/>
      <c r="H50383" s="612"/>
    </row>
    <row r="50384">
      <c r="B50384" s="612"/>
      <c r="H50384" s="612"/>
    </row>
    <row r="50385">
      <c r="B50385" s="612"/>
      <c r="H50385" s="612"/>
    </row>
    <row r="50386">
      <c r="B50386" s="612"/>
      <c r="H50386" s="612"/>
    </row>
    <row r="50387">
      <c r="B50387" s="612"/>
      <c r="H50387" s="612"/>
    </row>
    <row r="50388">
      <c r="B50388" s="612"/>
      <c r="H50388" s="612"/>
    </row>
    <row r="50389">
      <c r="B50389" s="612"/>
      <c r="H50389" s="612"/>
    </row>
    <row r="50390">
      <c r="B50390" s="612"/>
      <c r="H50390" s="612"/>
    </row>
    <row r="50391">
      <c r="B50391" s="612"/>
      <c r="H50391" s="612"/>
    </row>
    <row r="50392">
      <c r="B50392" s="612"/>
      <c r="H50392" s="612"/>
    </row>
    <row r="50393">
      <c r="B50393" s="612"/>
      <c r="H50393" s="612"/>
    </row>
    <row r="50394">
      <c r="B50394" s="612"/>
      <c r="H50394" s="612"/>
    </row>
    <row r="50395">
      <c r="B50395" s="612"/>
      <c r="H50395" s="612"/>
    </row>
    <row r="50396">
      <c r="B50396" s="612"/>
      <c r="H50396" s="612"/>
    </row>
    <row r="50397">
      <c r="B50397" s="612"/>
      <c r="H50397" s="612"/>
    </row>
    <row r="50398">
      <c r="B50398" s="612"/>
      <c r="H50398" s="612"/>
    </row>
    <row r="50399">
      <c r="B50399" s="612"/>
      <c r="H50399" s="612"/>
    </row>
    <row r="50400">
      <c r="B50400" s="612"/>
      <c r="H50400" s="612"/>
    </row>
    <row r="50401">
      <c r="B50401" s="612"/>
      <c r="H50401" s="612"/>
    </row>
    <row r="50402">
      <c r="B50402" s="612"/>
      <c r="H50402" s="612"/>
    </row>
    <row r="50403">
      <c r="B50403" s="612"/>
      <c r="H50403" s="612"/>
    </row>
    <row r="50404">
      <c r="B50404" s="612"/>
      <c r="H50404" s="612"/>
    </row>
    <row r="50405">
      <c r="B50405" s="612"/>
      <c r="H50405" s="612"/>
    </row>
    <row r="50406">
      <c r="B50406" s="612"/>
      <c r="H50406" s="612"/>
    </row>
    <row r="50407">
      <c r="B50407" s="612"/>
      <c r="H50407" s="612"/>
    </row>
    <row r="50408">
      <c r="B50408" s="612"/>
      <c r="H50408" s="612"/>
    </row>
    <row r="50409">
      <c r="B50409" s="612"/>
      <c r="H50409" s="612"/>
    </row>
    <row r="50410">
      <c r="B50410" s="612"/>
      <c r="H50410" s="612"/>
    </row>
    <row r="50411">
      <c r="B50411" s="612"/>
      <c r="H50411" s="612"/>
    </row>
    <row r="50412">
      <c r="B50412" s="612"/>
      <c r="H50412" s="612"/>
    </row>
    <row r="50413">
      <c r="B50413" s="612"/>
      <c r="H50413" s="612"/>
    </row>
    <row r="50414">
      <c r="B50414" s="612"/>
      <c r="H50414" s="612"/>
    </row>
    <row r="50415">
      <c r="B50415" s="612"/>
      <c r="H50415" s="612"/>
    </row>
    <row r="50416">
      <c r="B50416" s="612"/>
      <c r="H50416" s="612"/>
    </row>
    <row r="50417">
      <c r="B50417" s="612"/>
      <c r="H50417" s="612"/>
    </row>
    <row r="50418">
      <c r="B50418" s="612"/>
      <c r="H50418" s="612"/>
    </row>
    <row r="50419">
      <c r="B50419" s="612"/>
      <c r="H50419" s="612"/>
    </row>
    <row r="50420">
      <c r="B50420" s="612"/>
      <c r="H50420" s="612"/>
    </row>
    <row r="50421">
      <c r="B50421" s="612"/>
      <c r="H50421" s="612"/>
    </row>
    <row r="50422">
      <c r="B50422" s="612"/>
      <c r="H50422" s="612"/>
    </row>
    <row r="50423">
      <c r="B50423" s="612"/>
      <c r="H50423" s="612"/>
    </row>
    <row r="50424">
      <c r="B50424" s="612"/>
      <c r="H50424" s="612"/>
    </row>
    <row r="50425">
      <c r="B50425" s="612"/>
      <c r="H50425" s="612"/>
    </row>
    <row r="50426">
      <c r="B50426" s="612"/>
      <c r="H50426" s="612"/>
    </row>
    <row r="50427">
      <c r="B50427" s="612"/>
      <c r="H50427" s="612"/>
    </row>
    <row r="50428">
      <c r="B50428" s="612"/>
      <c r="H50428" s="612"/>
    </row>
    <row r="50429">
      <c r="B50429" s="612"/>
      <c r="H50429" s="612"/>
    </row>
    <row r="50430">
      <c r="B50430" s="612"/>
      <c r="H50430" s="612"/>
    </row>
    <row r="50431">
      <c r="B50431" s="612"/>
      <c r="H50431" s="612"/>
    </row>
    <row r="50432">
      <c r="B50432" s="612"/>
      <c r="H50432" s="612"/>
    </row>
    <row r="50433">
      <c r="B50433" s="612"/>
      <c r="H50433" s="612"/>
    </row>
    <row r="50434">
      <c r="B50434" s="612"/>
      <c r="H50434" s="612"/>
    </row>
    <row r="50435">
      <c r="B50435" s="612"/>
      <c r="H50435" s="612"/>
    </row>
    <row r="50436">
      <c r="B50436" s="612"/>
      <c r="H50436" s="612"/>
    </row>
    <row r="50437">
      <c r="B50437" s="612"/>
      <c r="H50437" s="612"/>
    </row>
    <row r="50438">
      <c r="B50438" s="612"/>
      <c r="H50438" s="612"/>
    </row>
    <row r="50439">
      <c r="B50439" s="612"/>
      <c r="H50439" s="612"/>
    </row>
    <row r="50440">
      <c r="B50440" s="612"/>
      <c r="H50440" s="612"/>
    </row>
    <row r="50441">
      <c r="B50441" s="612"/>
      <c r="H50441" s="612"/>
    </row>
    <row r="50442">
      <c r="B50442" s="612"/>
      <c r="H50442" s="612"/>
    </row>
    <row r="50443">
      <c r="B50443" s="612"/>
      <c r="H50443" s="612"/>
    </row>
    <row r="50444">
      <c r="B50444" s="612"/>
      <c r="H50444" s="612"/>
    </row>
    <row r="50445">
      <c r="B50445" s="612"/>
      <c r="H50445" s="612"/>
    </row>
    <row r="50446">
      <c r="B50446" s="612"/>
      <c r="H50446" s="612"/>
    </row>
    <row r="50447">
      <c r="B50447" s="612"/>
      <c r="H50447" s="612"/>
    </row>
    <row r="50448">
      <c r="B50448" s="612"/>
      <c r="H50448" s="612"/>
    </row>
    <row r="50449">
      <c r="B50449" s="612"/>
      <c r="H50449" s="612"/>
    </row>
    <row r="50450">
      <c r="B50450" s="612"/>
      <c r="H50450" s="612"/>
    </row>
    <row r="50451">
      <c r="B50451" s="612"/>
      <c r="H50451" s="612"/>
    </row>
    <row r="50452">
      <c r="B50452" s="612"/>
      <c r="H50452" s="612"/>
    </row>
    <row r="50453">
      <c r="B50453" s="612"/>
      <c r="H50453" s="612"/>
    </row>
    <row r="50454">
      <c r="B50454" s="612"/>
      <c r="H50454" s="612"/>
    </row>
    <row r="50455">
      <c r="B50455" s="612"/>
      <c r="H50455" s="612"/>
    </row>
    <row r="50456">
      <c r="B50456" s="612"/>
      <c r="H50456" s="612"/>
    </row>
    <row r="50457">
      <c r="B50457" s="612"/>
      <c r="H50457" s="612"/>
    </row>
    <row r="50458">
      <c r="B50458" s="612"/>
      <c r="H50458" s="612"/>
    </row>
    <row r="50459">
      <c r="B50459" s="612"/>
      <c r="H50459" s="612"/>
    </row>
    <row r="50460">
      <c r="B50460" s="612"/>
      <c r="H50460" s="612"/>
    </row>
    <row r="50461">
      <c r="B50461" s="612"/>
      <c r="H50461" s="612"/>
    </row>
    <row r="50462">
      <c r="B50462" s="612"/>
      <c r="H50462" s="612"/>
    </row>
    <row r="50463">
      <c r="B50463" s="612"/>
      <c r="H50463" s="612"/>
    </row>
    <row r="50464">
      <c r="B50464" s="612"/>
      <c r="H50464" s="612"/>
    </row>
    <row r="50465">
      <c r="B50465" s="612"/>
      <c r="H50465" s="612"/>
    </row>
    <row r="50466">
      <c r="B50466" s="612"/>
      <c r="H50466" s="612"/>
    </row>
    <row r="50467">
      <c r="B50467" s="612"/>
      <c r="H50467" s="612"/>
    </row>
    <row r="50468">
      <c r="B50468" s="612"/>
      <c r="H50468" s="612"/>
    </row>
    <row r="50469">
      <c r="B50469" s="612"/>
      <c r="H50469" s="612"/>
    </row>
    <row r="50470">
      <c r="B50470" s="612"/>
      <c r="H50470" s="612"/>
    </row>
    <row r="50471">
      <c r="B50471" s="612"/>
      <c r="H50471" s="612"/>
    </row>
    <row r="50472">
      <c r="B50472" s="612"/>
      <c r="H50472" s="612"/>
    </row>
    <row r="50473">
      <c r="B50473" s="612"/>
      <c r="H50473" s="612"/>
    </row>
    <row r="50474">
      <c r="B50474" s="612"/>
      <c r="H50474" s="612"/>
    </row>
    <row r="50475">
      <c r="B50475" s="612"/>
      <c r="H50475" s="612"/>
    </row>
    <row r="50476">
      <c r="B50476" s="612"/>
      <c r="H50476" s="612"/>
    </row>
    <row r="50477">
      <c r="B50477" s="612"/>
      <c r="H50477" s="612"/>
    </row>
    <row r="50478">
      <c r="B50478" s="612"/>
      <c r="H50478" s="612"/>
    </row>
    <row r="50479">
      <c r="B50479" s="612"/>
      <c r="H50479" s="612"/>
    </row>
    <row r="50480">
      <c r="B50480" s="612"/>
      <c r="H50480" s="612"/>
    </row>
    <row r="50481">
      <c r="B50481" s="612"/>
      <c r="H50481" s="612"/>
    </row>
    <row r="50482">
      <c r="B50482" s="612"/>
      <c r="H50482" s="612"/>
    </row>
    <row r="50483">
      <c r="B50483" s="612"/>
      <c r="H50483" s="612"/>
    </row>
    <row r="50484">
      <c r="B50484" s="612"/>
      <c r="H50484" s="612"/>
    </row>
    <row r="50485">
      <c r="B50485" s="612"/>
      <c r="H50485" s="612"/>
    </row>
    <row r="50486">
      <c r="B50486" s="612"/>
      <c r="H50486" s="612"/>
    </row>
    <row r="50487">
      <c r="B50487" s="612"/>
      <c r="H50487" s="612"/>
    </row>
    <row r="50488">
      <c r="B50488" s="612"/>
      <c r="H50488" s="612"/>
    </row>
    <row r="50489">
      <c r="B50489" s="612"/>
      <c r="H50489" s="612"/>
    </row>
    <row r="50490">
      <c r="B50490" s="612"/>
      <c r="H50490" s="612"/>
    </row>
    <row r="50491">
      <c r="B50491" s="612"/>
      <c r="H50491" s="612"/>
    </row>
    <row r="50492">
      <c r="B50492" s="612"/>
      <c r="H50492" s="612"/>
    </row>
    <row r="50493">
      <c r="B50493" s="612"/>
      <c r="H50493" s="612"/>
    </row>
    <row r="50494">
      <c r="B50494" s="612"/>
      <c r="H50494" s="612"/>
    </row>
    <row r="50495">
      <c r="B50495" s="612"/>
      <c r="H50495" s="612"/>
    </row>
    <row r="50496">
      <c r="B50496" s="612"/>
      <c r="H50496" s="612"/>
    </row>
    <row r="50497">
      <c r="B50497" s="612"/>
      <c r="H50497" s="612"/>
    </row>
    <row r="50498">
      <c r="B50498" s="612"/>
      <c r="H50498" s="612"/>
    </row>
    <row r="50499">
      <c r="B50499" s="612"/>
      <c r="H50499" s="612"/>
    </row>
    <row r="50500">
      <c r="B50500" s="612"/>
      <c r="H50500" s="612"/>
    </row>
  </sheetData>
  <mergeCells count="7">
    <mergeCell ref="I10:J10"/>
    <mergeCell ref="K10:L10"/>
    <mergeCell ref="M10:N10"/>
    <mergeCell ref="O10:P10"/>
    <mergeCell ref="Q10:R10"/>
    <mergeCell ref="S10:T10"/>
    <mergeCell ref="U10:V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38"/>
    <col customWidth="1" min="3" max="3" width="7.63"/>
    <col customWidth="1" min="4" max="7" width="8.38"/>
    <col customWidth="1" min="8" max="9" width="6.5"/>
    <col customWidth="1" min="10" max="11" width="8.38"/>
    <col customWidth="1" min="12" max="12" width="7.5"/>
    <col customWidth="1" min="13" max="13" width="5.38"/>
    <col customWidth="1" min="14" max="14" width="4.75"/>
    <col customWidth="1" min="15" max="15" width="8.0"/>
    <col customWidth="1" min="16" max="16" width="6.13"/>
    <col customWidth="1" min="17" max="17" width="7.0"/>
    <col customWidth="1" min="18" max="18" width="6.13"/>
    <col customWidth="1" min="19" max="19" width="7.0"/>
    <col customWidth="1" min="20" max="21" width="6.13"/>
    <col customWidth="1" min="22" max="22" width="6.75"/>
    <col customWidth="1" min="23" max="23" width="6.88"/>
    <col customWidth="1" min="24" max="24" width="5.13"/>
    <col customWidth="1" min="25" max="25" width="7.38"/>
    <col customWidth="1" min="26" max="26" width="9.0"/>
    <col customWidth="1" min="27" max="28" width="8.25"/>
    <col customWidth="1" min="29" max="29" width="7.5"/>
    <col customWidth="1" min="30" max="30" width="6.5"/>
    <col customWidth="1" min="31" max="31" width="7.88"/>
  </cols>
  <sheetData>
    <row r="1">
      <c r="AG1" s="743"/>
      <c r="AH1" s="743"/>
      <c r="AI1" s="743"/>
      <c r="AJ1" s="743"/>
      <c r="AK1" s="743"/>
      <c r="AL1" s="743"/>
      <c r="AM1" s="743"/>
      <c r="AN1" s="743"/>
      <c r="AO1" s="743"/>
      <c r="AP1" s="743"/>
      <c r="AQ1" s="743"/>
      <c r="AR1" s="743"/>
      <c r="AS1" s="743"/>
      <c r="AT1" s="743"/>
      <c r="AU1" s="743"/>
      <c r="AV1" s="743"/>
      <c r="AW1" s="743"/>
      <c r="AX1" s="743"/>
      <c r="AY1" s="743"/>
      <c r="AZ1" s="743"/>
      <c r="BA1" s="743"/>
    </row>
    <row r="2"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</row>
    <row r="3"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</row>
    <row r="4"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</row>
    <row r="5"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</row>
    <row r="6"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</row>
    <row r="7"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</row>
    <row r="8"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</row>
    <row r="9"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</row>
    <row r="10"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</row>
    <row r="11"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</row>
    <row r="12"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</row>
    <row r="13"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</row>
    <row r="14"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</row>
    <row r="15"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</row>
    <row r="16"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</row>
    <row r="17"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</row>
    <row r="18"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</row>
    <row r="19"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</row>
    <row r="20"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</row>
    <row r="21"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</row>
    <row r="22"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</row>
    <row r="23"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</row>
    <row r="24"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</row>
    <row r="25"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</row>
    <row r="26"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</row>
    <row r="27"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</row>
    <row r="28"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</row>
    <row r="29"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</row>
    <row r="30"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</row>
    <row r="31"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</row>
    <row r="32"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</row>
    <row r="33"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</row>
    <row r="34"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</row>
    <row r="35"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</row>
    <row r="36"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</row>
    <row r="37"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</row>
    <row r="38"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</row>
    <row r="39"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</row>
    <row r="40">
      <c r="AG40" s="273"/>
      <c r="AH40" s="273"/>
      <c r="AI40" s="273"/>
      <c r="AJ40" s="273"/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</row>
    <row r="41">
      <c r="AG41" s="273"/>
      <c r="AH41" s="273"/>
      <c r="AI41" s="273"/>
      <c r="AJ41" s="273"/>
      <c r="AK41" s="273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73"/>
    </row>
    <row r="42"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</row>
    <row r="43">
      <c r="AG43" s="273"/>
      <c r="AH43" s="273"/>
      <c r="AI43" s="273"/>
      <c r="AJ43" s="273"/>
      <c r="AK43" s="273"/>
      <c r="AL43" s="273"/>
      <c r="AM43" s="273"/>
      <c r="AN43" s="273"/>
      <c r="AO43" s="273"/>
      <c r="AP43" s="273"/>
      <c r="AQ43" s="273"/>
      <c r="AR43" s="273"/>
      <c r="AS43" s="273"/>
      <c r="AT43" s="273"/>
      <c r="AU43" s="273"/>
      <c r="AV43" s="273"/>
      <c r="AW43" s="273"/>
      <c r="AX43" s="273"/>
      <c r="AY43" s="273"/>
      <c r="AZ43" s="273"/>
      <c r="BA43" s="273"/>
    </row>
    <row r="44">
      <c r="A44" s="273"/>
      <c r="B44" s="273"/>
      <c r="C44" s="745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</row>
    <row r="45">
      <c r="A45" s="273"/>
      <c r="B45" s="273"/>
      <c r="C45" s="745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  <c r="AN45" s="273"/>
      <c r="AO45" s="273"/>
      <c r="AP45" s="273"/>
      <c r="AQ45" s="273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</row>
    <row r="46">
      <c r="A46" s="273"/>
      <c r="B46" s="273"/>
      <c r="C46" s="745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</row>
    <row r="47">
      <c r="A47" s="273"/>
      <c r="B47" s="273"/>
      <c r="C47" s="745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</row>
    <row r="48">
      <c r="A48" s="273"/>
      <c r="B48" s="273"/>
      <c r="C48" s="745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  <c r="AN48" s="273"/>
      <c r="AO48" s="273"/>
      <c r="AP48" s="273"/>
      <c r="AQ48" s="273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</row>
    <row r="49">
      <c r="A49" s="273"/>
      <c r="B49" s="273"/>
      <c r="C49" s="745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3"/>
      <c r="AT49" s="273"/>
      <c r="AU49" s="273"/>
      <c r="AV49" s="273"/>
      <c r="AW49" s="273"/>
      <c r="AX49" s="273"/>
      <c r="AY49" s="273"/>
      <c r="AZ49" s="273"/>
      <c r="BA49" s="273"/>
    </row>
    <row r="50">
      <c r="A50" s="273"/>
      <c r="B50" s="273"/>
      <c r="C50" s="745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</row>
    <row r="51">
      <c r="A51" s="273"/>
      <c r="B51" s="273"/>
      <c r="C51" s="745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3"/>
      <c r="AV51" s="273"/>
      <c r="AW51" s="273"/>
      <c r="AX51" s="273"/>
      <c r="AY51" s="273"/>
      <c r="AZ51" s="273"/>
      <c r="BA51" s="273"/>
    </row>
    <row r="52">
      <c r="A52" s="273"/>
      <c r="B52" s="273"/>
      <c r="C52" s="745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  <c r="AN52" s="273"/>
      <c r="AO52" s="273"/>
      <c r="AP52" s="273"/>
      <c r="AQ52" s="273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</row>
    <row r="53">
      <c r="A53" s="273"/>
      <c r="B53" s="273"/>
      <c r="C53" s="745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  <c r="AN53" s="273"/>
      <c r="AO53" s="273"/>
      <c r="AP53" s="273"/>
      <c r="AQ53" s="273"/>
      <c r="AR53" s="273"/>
      <c r="AS53" s="273"/>
      <c r="AT53" s="273"/>
      <c r="AU53" s="273"/>
      <c r="AV53" s="273"/>
      <c r="AW53" s="273"/>
      <c r="AX53" s="273"/>
      <c r="AY53" s="273"/>
      <c r="AZ53" s="273"/>
      <c r="BA53" s="273"/>
    </row>
    <row r="54">
      <c r="A54" s="273"/>
      <c r="B54" s="273"/>
      <c r="C54" s="745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  <c r="AN54" s="273"/>
      <c r="AO54" s="273"/>
      <c r="AP54" s="273"/>
      <c r="AQ54" s="273"/>
      <c r="AR54" s="273"/>
      <c r="AS54" s="273"/>
      <c r="AT54" s="273"/>
      <c r="AU54" s="273"/>
      <c r="AV54" s="273"/>
      <c r="AW54" s="273"/>
      <c r="AX54" s="273"/>
      <c r="AY54" s="273"/>
      <c r="AZ54" s="273"/>
      <c r="BA54" s="273"/>
    </row>
    <row r="55">
      <c r="A55" s="273"/>
      <c r="B55" s="273"/>
      <c r="C55" s="745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  <c r="AK55" s="273"/>
      <c r="AL55" s="273"/>
      <c r="AM55" s="273"/>
      <c r="AN55" s="273"/>
      <c r="AO55" s="273"/>
      <c r="AP55" s="273"/>
      <c r="AQ55" s="273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</row>
    <row r="56">
      <c r="A56" s="273"/>
      <c r="B56" s="273"/>
      <c r="C56" s="745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</row>
    <row r="57">
      <c r="A57" s="273"/>
      <c r="B57" s="273"/>
      <c r="C57" s="745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</row>
    <row r="58">
      <c r="A58" s="273"/>
      <c r="B58" s="273"/>
      <c r="C58" s="745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273"/>
      <c r="AP58" s="273"/>
      <c r="AQ58" s="273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</row>
    <row r="59">
      <c r="A59" s="273"/>
      <c r="B59" s="273"/>
      <c r="C59" s="745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</row>
    <row r="60">
      <c r="A60" s="273"/>
      <c r="B60" s="273"/>
      <c r="C60" s="745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</row>
    <row r="61">
      <c r="A61" s="273"/>
      <c r="B61" s="273"/>
      <c r="C61" s="745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  <c r="AU61" s="273"/>
      <c r="AV61" s="273"/>
      <c r="AW61" s="273"/>
      <c r="AX61" s="273"/>
      <c r="AY61" s="273"/>
      <c r="AZ61" s="273"/>
      <c r="BA61" s="273"/>
    </row>
    <row r="62">
      <c r="A62" s="273"/>
      <c r="B62" s="273"/>
      <c r="C62" s="745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</row>
    <row r="63">
      <c r="A63" s="273"/>
      <c r="B63" s="273"/>
      <c r="C63" s="745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3"/>
      <c r="AM63" s="273"/>
      <c r="AN63" s="273"/>
      <c r="AO63" s="273"/>
      <c r="AP63" s="273"/>
      <c r="AQ63" s="273"/>
      <c r="AR63" s="273"/>
      <c r="AS63" s="273"/>
      <c r="AT63" s="273"/>
      <c r="AU63" s="273"/>
      <c r="AV63" s="273"/>
      <c r="AW63" s="273"/>
      <c r="AX63" s="273"/>
      <c r="AY63" s="273"/>
      <c r="AZ63" s="273"/>
      <c r="BA63" s="273"/>
    </row>
    <row r="64">
      <c r="A64" s="273"/>
      <c r="B64" s="273"/>
      <c r="C64" s="745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3"/>
      <c r="AM64" s="273"/>
      <c r="AN64" s="273"/>
      <c r="AO64" s="273"/>
      <c r="AP64" s="273"/>
      <c r="AQ64" s="273"/>
      <c r="AR64" s="273"/>
      <c r="AS64" s="273"/>
      <c r="AT64" s="273"/>
      <c r="AU64" s="273"/>
      <c r="AV64" s="273"/>
      <c r="AW64" s="273"/>
      <c r="AX64" s="273"/>
      <c r="AY64" s="273"/>
      <c r="AZ64" s="273"/>
      <c r="BA64" s="273"/>
    </row>
    <row r="65">
      <c r="A65" s="273"/>
      <c r="B65" s="273"/>
      <c r="C65" s="745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  <c r="AJ65" s="273"/>
      <c r="AK65" s="273"/>
      <c r="AL65" s="273"/>
      <c r="AM65" s="273"/>
      <c r="AN65" s="273"/>
      <c r="AO65" s="273"/>
      <c r="AP65" s="273"/>
      <c r="AQ65" s="273"/>
      <c r="AR65" s="273"/>
      <c r="AS65" s="273"/>
      <c r="AT65" s="273"/>
      <c r="AU65" s="273"/>
      <c r="AV65" s="273"/>
      <c r="AW65" s="273"/>
      <c r="AX65" s="273"/>
      <c r="AY65" s="273"/>
      <c r="AZ65" s="273"/>
      <c r="BA65" s="273"/>
    </row>
    <row r="66">
      <c r="A66" s="273"/>
      <c r="B66" s="273"/>
      <c r="C66" s="745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  <c r="AM66" s="273"/>
      <c r="AN66" s="273"/>
      <c r="AO66" s="273"/>
      <c r="AP66" s="273"/>
      <c r="AQ66" s="273"/>
      <c r="AR66" s="273"/>
      <c r="AS66" s="273"/>
      <c r="AT66" s="273"/>
      <c r="AU66" s="273"/>
      <c r="AV66" s="273"/>
      <c r="AW66" s="273"/>
      <c r="AX66" s="273"/>
      <c r="AY66" s="273"/>
      <c r="AZ66" s="273"/>
      <c r="BA66" s="273"/>
    </row>
    <row r="67">
      <c r="A67" s="273"/>
      <c r="B67" s="273"/>
      <c r="C67" s="745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3"/>
      <c r="AM67" s="273"/>
      <c r="AN67" s="273"/>
      <c r="AO67" s="273"/>
      <c r="AP67" s="273"/>
      <c r="AQ67" s="273"/>
      <c r="AR67" s="273"/>
      <c r="AS67" s="273"/>
      <c r="AT67" s="273"/>
      <c r="AU67" s="273"/>
      <c r="AV67" s="273"/>
      <c r="AW67" s="273"/>
      <c r="AX67" s="273"/>
      <c r="AY67" s="273"/>
      <c r="AZ67" s="273"/>
      <c r="BA67" s="273"/>
    </row>
    <row r="68">
      <c r="A68" s="273"/>
      <c r="B68" s="273"/>
      <c r="C68" s="745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3"/>
      <c r="AM68" s="273"/>
      <c r="AN68" s="273"/>
      <c r="AO68" s="273"/>
      <c r="AP68" s="273"/>
      <c r="AQ68" s="273"/>
      <c r="AR68" s="273"/>
      <c r="AS68" s="273"/>
      <c r="AT68" s="273"/>
      <c r="AU68" s="273"/>
      <c r="AV68" s="273"/>
      <c r="AW68" s="273"/>
      <c r="AX68" s="273"/>
      <c r="AY68" s="273"/>
      <c r="AZ68" s="273"/>
      <c r="BA68" s="273"/>
    </row>
    <row r="69">
      <c r="A69" s="273"/>
      <c r="B69" s="273"/>
      <c r="C69" s="745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</row>
    <row r="70">
      <c r="A70" s="273"/>
      <c r="B70" s="273"/>
      <c r="C70" s="745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</row>
    <row r="71">
      <c r="A71" s="273"/>
      <c r="B71" s="273"/>
      <c r="C71" s="745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3"/>
      <c r="AM71" s="273"/>
      <c r="AN71" s="273"/>
      <c r="AO71" s="273"/>
      <c r="AP71" s="273"/>
      <c r="AQ71" s="273"/>
      <c r="AR71" s="273"/>
      <c r="AS71" s="273"/>
      <c r="AT71" s="273"/>
      <c r="AU71" s="273"/>
      <c r="AV71" s="273"/>
      <c r="AW71" s="273"/>
      <c r="AX71" s="273"/>
      <c r="AY71" s="273"/>
      <c r="AZ71" s="273"/>
      <c r="BA71" s="273"/>
    </row>
    <row r="72">
      <c r="A72" s="273"/>
      <c r="B72" s="273"/>
      <c r="C72" s="745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  <c r="AJ72" s="273"/>
      <c r="AK72" s="273"/>
      <c r="AL72" s="273"/>
      <c r="AM72" s="273"/>
      <c r="AN72" s="273"/>
      <c r="AO72" s="273"/>
      <c r="AP72" s="273"/>
      <c r="AQ72" s="273"/>
      <c r="AR72" s="273"/>
      <c r="AS72" s="273"/>
      <c r="AT72" s="273"/>
      <c r="AU72" s="273"/>
      <c r="AV72" s="273"/>
      <c r="AW72" s="273"/>
      <c r="AX72" s="273"/>
      <c r="AY72" s="273"/>
      <c r="AZ72" s="273"/>
      <c r="BA72" s="273"/>
    </row>
    <row r="73">
      <c r="A73" s="273"/>
      <c r="B73" s="273"/>
      <c r="C73" s="745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  <c r="AI73" s="273"/>
      <c r="AJ73" s="273"/>
      <c r="AK73" s="273"/>
      <c r="AL73" s="273"/>
      <c r="AM73" s="273"/>
      <c r="AN73" s="273"/>
      <c r="AO73" s="273"/>
      <c r="AP73" s="273"/>
      <c r="AQ73" s="273"/>
      <c r="AR73" s="273"/>
      <c r="AS73" s="273"/>
      <c r="AT73" s="273"/>
      <c r="AU73" s="273"/>
      <c r="AV73" s="273"/>
      <c r="AW73" s="273"/>
      <c r="AX73" s="273"/>
      <c r="AY73" s="273"/>
      <c r="AZ73" s="273"/>
      <c r="BA73" s="273"/>
    </row>
    <row r="74">
      <c r="A74" s="273"/>
      <c r="B74" s="273"/>
      <c r="C74" s="745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  <c r="AJ74" s="273"/>
      <c r="AK74" s="273"/>
      <c r="AL74" s="273"/>
      <c r="AM74" s="273"/>
      <c r="AN74" s="273"/>
      <c r="AO74" s="273"/>
      <c r="AP74" s="273"/>
      <c r="AQ74" s="273"/>
      <c r="AR74" s="273"/>
      <c r="AS74" s="273"/>
      <c r="AT74" s="273"/>
      <c r="AU74" s="273"/>
      <c r="AV74" s="273"/>
      <c r="AW74" s="273"/>
      <c r="AX74" s="273"/>
      <c r="AY74" s="273"/>
      <c r="AZ74" s="273"/>
      <c r="BA74" s="273"/>
    </row>
    <row r="75">
      <c r="A75" s="273"/>
      <c r="B75" s="273"/>
      <c r="C75" s="745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  <c r="AI75" s="273"/>
      <c r="AJ75" s="273"/>
      <c r="AK75" s="273"/>
      <c r="AL75" s="273"/>
      <c r="AM75" s="273"/>
      <c r="AN75" s="273"/>
      <c r="AO75" s="273"/>
      <c r="AP75" s="273"/>
      <c r="AQ75" s="273"/>
      <c r="AR75" s="273"/>
      <c r="AS75" s="273"/>
      <c r="AT75" s="273"/>
      <c r="AU75" s="273"/>
      <c r="AV75" s="273"/>
      <c r="AW75" s="273"/>
      <c r="AX75" s="273"/>
      <c r="AY75" s="273"/>
      <c r="AZ75" s="273"/>
      <c r="BA75" s="273"/>
    </row>
    <row r="76">
      <c r="A76" s="273"/>
      <c r="B76" s="273"/>
      <c r="C76" s="745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  <c r="AJ76" s="273"/>
      <c r="AK76" s="273"/>
      <c r="AL76" s="273"/>
      <c r="AM76" s="273"/>
      <c r="AN76" s="273"/>
      <c r="AO76" s="273"/>
      <c r="AP76" s="273"/>
      <c r="AQ76" s="273"/>
      <c r="AR76" s="273"/>
      <c r="AS76" s="273"/>
      <c r="AT76" s="273"/>
      <c r="AU76" s="273"/>
      <c r="AV76" s="273"/>
      <c r="AW76" s="273"/>
      <c r="AX76" s="273"/>
      <c r="AY76" s="273"/>
      <c r="AZ76" s="273"/>
      <c r="BA76" s="273"/>
    </row>
    <row r="77">
      <c r="A77" s="273"/>
      <c r="B77" s="273"/>
      <c r="C77" s="745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  <c r="AD77" s="273"/>
      <c r="AE77" s="273"/>
      <c r="AF77" s="273"/>
      <c r="AG77" s="273"/>
      <c r="AH77" s="273"/>
      <c r="AI77" s="273"/>
      <c r="AJ77" s="273"/>
      <c r="AK77" s="273"/>
      <c r="AL77" s="273"/>
      <c r="AM77" s="273"/>
      <c r="AN77" s="273"/>
      <c r="AO77" s="273"/>
      <c r="AP77" s="273"/>
      <c r="AQ77" s="273"/>
      <c r="AR77" s="273"/>
      <c r="AS77" s="273"/>
      <c r="AT77" s="273"/>
      <c r="AU77" s="273"/>
      <c r="AV77" s="273"/>
      <c r="AW77" s="273"/>
      <c r="AX77" s="273"/>
      <c r="AY77" s="273"/>
      <c r="AZ77" s="273"/>
      <c r="BA77" s="273"/>
    </row>
    <row r="78">
      <c r="A78" s="273"/>
      <c r="B78" s="273"/>
      <c r="C78" s="745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L78" s="273"/>
      <c r="AM78" s="273"/>
      <c r="AN78" s="273"/>
      <c r="AO78" s="273"/>
      <c r="AP78" s="273"/>
      <c r="AQ78" s="273"/>
      <c r="AR78" s="273"/>
      <c r="AS78" s="273"/>
      <c r="AT78" s="273"/>
      <c r="AU78" s="273"/>
      <c r="AV78" s="273"/>
      <c r="AW78" s="273"/>
      <c r="AX78" s="273"/>
      <c r="AY78" s="273"/>
      <c r="AZ78" s="273"/>
      <c r="BA78" s="273"/>
    </row>
    <row r="79">
      <c r="A79" s="273"/>
      <c r="B79" s="273"/>
      <c r="C79" s="745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273"/>
      <c r="AF79" s="273"/>
      <c r="AG79" s="273"/>
      <c r="AH79" s="273"/>
      <c r="AI79" s="273"/>
      <c r="AJ79" s="273"/>
      <c r="AK79" s="273"/>
      <c r="AL79" s="273"/>
      <c r="AM79" s="273"/>
      <c r="AN79" s="273"/>
      <c r="AO79" s="273"/>
      <c r="AP79" s="273"/>
      <c r="AQ79" s="273"/>
      <c r="AR79" s="273"/>
      <c r="AS79" s="273"/>
      <c r="AT79" s="273"/>
      <c r="AU79" s="273"/>
      <c r="AV79" s="273"/>
      <c r="AW79" s="273"/>
      <c r="AX79" s="273"/>
      <c r="AY79" s="273"/>
      <c r="AZ79" s="273"/>
      <c r="BA79" s="273"/>
    </row>
    <row r="80">
      <c r="A80" s="273"/>
      <c r="B80" s="273"/>
      <c r="C80" s="745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  <c r="AM80" s="273"/>
      <c r="AN80" s="273"/>
      <c r="AO80" s="273"/>
      <c r="AP80" s="273"/>
      <c r="AQ80" s="273"/>
      <c r="AR80" s="273"/>
      <c r="AS80" s="273"/>
      <c r="AT80" s="273"/>
      <c r="AU80" s="273"/>
      <c r="AV80" s="273"/>
      <c r="AW80" s="273"/>
      <c r="AX80" s="273"/>
      <c r="AY80" s="273"/>
      <c r="AZ80" s="273"/>
      <c r="BA80" s="273"/>
    </row>
    <row r="81">
      <c r="A81" s="273"/>
      <c r="B81" s="273"/>
      <c r="C81" s="745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  <c r="AJ81" s="273"/>
      <c r="AK81" s="273"/>
      <c r="AL81" s="273"/>
      <c r="AM81" s="273"/>
      <c r="AN81" s="273"/>
      <c r="AO81" s="273"/>
      <c r="AP81" s="273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</row>
    <row r="82">
      <c r="A82" s="273"/>
      <c r="B82" s="273"/>
      <c r="C82" s="745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  <c r="AJ82" s="273"/>
      <c r="AK82" s="273"/>
      <c r="AL82" s="273"/>
      <c r="AM82" s="273"/>
      <c r="AN82" s="273"/>
      <c r="AO82" s="273"/>
      <c r="AP82" s="273"/>
      <c r="AQ82" s="273"/>
      <c r="AR82" s="273"/>
      <c r="AS82" s="273"/>
      <c r="AT82" s="273"/>
      <c r="AU82" s="273"/>
      <c r="AV82" s="273"/>
      <c r="AW82" s="273"/>
      <c r="AX82" s="273"/>
      <c r="AY82" s="273"/>
      <c r="AZ82" s="273"/>
      <c r="BA82" s="273"/>
    </row>
    <row r="83">
      <c r="A83" s="273"/>
      <c r="B83" s="273"/>
      <c r="C83" s="745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  <c r="AD83" s="273"/>
      <c r="AE83" s="273"/>
      <c r="AF83" s="273"/>
      <c r="AG83" s="273"/>
      <c r="AH83" s="273"/>
      <c r="AI83" s="273"/>
      <c r="AJ83" s="273"/>
      <c r="AK83" s="273"/>
      <c r="AL83" s="273"/>
      <c r="AM83" s="273"/>
      <c r="AN83" s="273"/>
      <c r="AO83" s="273"/>
      <c r="AP83" s="273"/>
      <c r="AQ83" s="273"/>
      <c r="AR83" s="273"/>
      <c r="AS83" s="273"/>
      <c r="AT83" s="273"/>
      <c r="AU83" s="273"/>
      <c r="AV83" s="273"/>
      <c r="AW83" s="273"/>
      <c r="AX83" s="273"/>
      <c r="AY83" s="273"/>
      <c r="AZ83" s="273"/>
      <c r="BA83" s="273"/>
    </row>
    <row r="84">
      <c r="A84" s="273"/>
      <c r="B84" s="273"/>
      <c r="C84" s="745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  <c r="AJ84" s="273"/>
      <c r="AK84" s="273"/>
      <c r="AL84" s="273"/>
      <c r="AM84" s="273"/>
      <c r="AN84" s="273"/>
      <c r="AO84" s="273"/>
      <c r="AP84" s="273"/>
      <c r="AQ84" s="273"/>
      <c r="AR84" s="273"/>
      <c r="AS84" s="273"/>
      <c r="AT84" s="273"/>
      <c r="AU84" s="273"/>
      <c r="AV84" s="273"/>
      <c r="AW84" s="273"/>
      <c r="AX84" s="273"/>
      <c r="AY84" s="273"/>
      <c r="AZ84" s="273"/>
      <c r="BA84" s="273"/>
    </row>
    <row r="85">
      <c r="A85" s="273"/>
      <c r="B85" s="273"/>
      <c r="C85" s="745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  <c r="AC85" s="273"/>
      <c r="AD85" s="273"/>
      <c r="AE85" s="273"/>
      <c r="AF85" s="273"/>
      <c r="AG85" s="273"/>
      <c r="AH85" s="273"/>
      <c r="AI85" s="273"/>
      <c r="AJ85" s="273"/>
      <c r="AK85" s="273"/>
      <c r="AL85" s="273"/>
      <c r="AM85" s="273"/>
      <c r="AN85" s="273"/>
      <c r="AO85" s="273"/>
      <c r="AP85" s="273"/>
      <c r="AQ85" s="273"/>
      <c r="AR85" s="273"/>
      <c r="AS85" s="273"/>
      <c r="AT85" s="273"/>
      <c r="AU85" s="273"/>
      <c r="AV85" s="273"/>
      <c r="AW85" s="273"/>
      <c r="AX85" s="273"/>
      <c r="AY85" s="273"/>
      <c r="AZ85" s="273"/>
      <c r="BA85" s="273"/>
    </row>
    <row r="86">
      <c r="A86" s="273"/>
      <c r="B86" s="273"/>
      <c r="C86" s="745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  <c r="AJ86" s="273"/>
      <c r="AK86" s="273"/>
      <c r="AL86" s="273"/>
      <c r="AM86" s="273"/>
      <c r="AN86" s="273"/>
      <c r="AO86" s="273"/>
      <c r="AP86" s="273"/>
      <c r="AQ86" s="273"/>
      <c r="AR86" s="273"/>
      <c r="AS86" s="273"/>
      <c r="AT86" s="273"/>
      <c r="AU86" s="273"/>
      <c r="AV86" s="273"/>
      <c r="AW86" s="273"/>
      <c r="AX86" s="273"/>
      <c r="AY86" s="273"/>
      <c r="AZ86" s="273"/>
      <c r="BA86" s="273"/>
    </row>
    <row r="87">
      <c r="A87" s="273"/>
      <c r="B87" s="273"/>
      <c r="C87" s="745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  <c r="AC87" s="273"/>
      <c r="AD87" s="273"/>
      <c r="AE87" s="273"/>
      <c r="AF87" s="273"/>
      <c r="AG87" s="273"/>
      <c r="AH87" s="273"/>
      <c r="AI87" s="273"/>
      <c r="AJ87" s="273"/>
      <c r="AK87" s="273"/>
      <c r="AL87" s="273"/>
      <c r="AM87" s="273"/>
      <c r="AN87" s="273"/>
      <c r="AO87" s="273"/>
      <c r="AP87" s="273"/>
      <c r="AQ87" s="273"/>
      <c r="AR87" s="273"/>
      <c r="AS87" s="273"/>
      <c r="AT87" s="273"/>
      <c r="AU87" s="273"/>
      <c r="AV87" s="273"/>
      <c r="AW87" s="273"/>
      <c r="AX87" s="273"/>
      <c r="AY87" s="273"/>
      <c r="AZ87" s="273"/>
      <c r="BA87" s="273"/>
    </row>
    <row r="88">
      <c r="A88" s="273"/>
      <c r="B88" s="273"/>
      <c r="C88" s="745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  <c r="AJ88" s="273"/>
      <c r="AK88" s="273"/>
      <c r="AL88" s="273"/>
      <c r="AM88" s="273"/>
      <c r="AN88" s="273"/>
      <c r="AO88" s="273"/>
      <c r="AP88" s="273"/>
      <c r="AQ88" s="273"/>
      <c r="AR88" s="273"/>
      <c r="AS88" s="273"/>
      <c r="AT88" s="273"/>
      <c r="AU88" s="273"/>
      <c r="AV88" s="273"/>
      <c r="AW88" s="273"/>
      <c r="AX88" s="273"/>
      <c r="AY88" s="273"/>
      <c r="AZ88" s="273"/>
      <c r="BA88" s="273"/>
    </row>
    <row r="89">
      <c r="A89" s="273"/>
      <c r="B89" s="273"/>
      <c r="C89" s="745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  <c r="AC89" s="273"/>
      <c r="AD89" s="273"/>
      <c r="AE89" s="273"/>
      <c r="AF89" s="273"/>
      <c r="AG89" s="273"/>
      <c r="AH89" s="273"/>
      <c r="AI89" s="273"/>
      <c r="AJ89" s="273"/>
      <c r="AK89" s="273"/>
      <c r="AL89" s="273"/>
      <c r="AM89" s="273"/>
      <c r="AN89" s="273"/>
      <c r="AO89" s="273"/>
      <c r="AP89" s="273"/>
      <c r="AQ89" s="273"/>
      <c r="AR89" s="273"/>
      <c r="AS89" s="273"/>
      <c r="AT89" s="273"/>
      <c r="AU89" s="273"/>
      <c r="AV89" s="273"/>
      <c r="AW89" s="273"/>
      <c r="AX89" s="273"/>
      <c r="AY89" s="273"/>
      <c r="AZ89" s="273"/>
      <c r="BA89" s="273"/>
    </row>
    <row r="90">
      <c r="A90" s="273"/>
      <c r="B90" s="273"/>
      <c r="C90" s="745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  <c r="AM90" s="273"/>
      <c r="AN90" s="273"/>
      <c r="AO90" s="273"/>
      <c r="AP90" s="273"/>
      <c r="AQ90" s="273"/>
      <c r="AR90" s="273"/>
      <c r="AS90" s="273"/>
      <c r="AT90" s="273"/>
      <c r="AU90" s="273"/>
      <c r="AV90" s="273"/>
      <c r="AW90" s="273"/>
      <c r="AX90" s="273"/>
      <c r="AY90" s="273"/>
      <c r="AZ90" s="273"/>
      <c r="BA90" s="273"/>
    </row>
    <row r="91">
      <c r="A91" s="273"/>
      <c r="B91" s="273"/>
      <c r="C91" s="745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/>
      <c r="AD91" s="273"/>
      <c r="AE91" s="273"/>
      <c r="AF91" s="273"/>
      <c r="AG91" s="273"/>
      <c r="AH91" s="273"/>
      <c r="AI91" s="273"/>
      <c r="AJ91" s="273"/>
      <c r="AK91" s="273"/>
      <c r="AL91" s="273"/>
      <c r="AM91" s="273"/>
      <c r="AN91" s="273"/>
      <c r="AO91" s="273"/>
      <c r="AP91" s="273"/>
      <c r="AQ91" s="273"/>
      <c r="AR91" s="273"/>
      <c r="AS91" s="273"/>
      <c r="AT91" s="273"/>
      <c r="AU91" s="273"/>
      <c r="AV91" s="273"/>
      <c r="AW91" s="273"/>
      <c r="AX91" s="273"/>
      <c r="AY91" s="273"/>
      <c r="AZ91" s="273"/>
      <c r="BA91" s="273"/>
    </row>
    <row r="92">
      <c r="A92" s="273"/>
      <c r="B92" s="273"/>
      <c r="C92" s="745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  <c r="AJ92" s="273"/>
      <c r="AK92" s="273"/>
      <c r="AL92" s="273"/>
      <c r="AM92" s="273"/>
      <c r="AN92" s="273"/>
      <c r="AO92" s="273"/>
      <c r="AP92" s="273"/>
      <c r="AQ92" s="273"/>
      <c r="AR92" s="273"/>
      <c r="AS92" s="273"/>
      <c r="AT92" s="273"/>
      <c r="AU92" s="273"/>
      <c r="AV92" s="273"/>
      <c r="AW92" s="273"/>
      <c r="AX92" s="273"/>
      <c r="AY92" s="273"/>
      <c r="AZ92" s="273"/>
      <c r="BA92" s="273"/>
    </row>
    <row r="93">
      <c r="A93" s="273"/>
      <c r="B93" s="273"/>
      <c r="C93" s="745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  <c r="AJ93" s="273"/>
      <c r="AK93" s="273"/>
      <c r="AL93" s="273"/>
      <c r="AM93" s="273"/>
      <c r="AN93" s="273"/>
      <c r="AO93" s="273"/>
      <c r="AP93" s="273"/>
      <c r="AQ93" s="273"/>
      <c r="AR93" s="273"/>
      <c r="AS93" s="273"/>
      <c r="AT93" s="273"/>
      <c r="AU93" s="273"/>
      <c r="AV93" s="273"/>
      <c r="AW93" s="273"/>
      <c r="AX93" s="273"/>
      <c r="AY93" s="273"/>
      <c r="AZ93" s="273"/>
      <c r="BA93" s="273"/>
    </row>
    <row r="94">
      <c r="A94" s="273"/>
      <c r="B94" s="273"/>
      <c r="C94" s="745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  <c r="AJ94" s="273"/>
      <c r="AK94" s="273"/>
      <c r="AL94" s="273"/>
      <c r="AM94" s="273"/>
      <c r="AN94" s="273"/>
      <c r="AO94" s="273"/>
      <c r="AP94" s="273"/>
      <c r="AQ94" s="273"/>
      <c r="AR94" s="273"/>
      <c r="AS94" s="273"/>
      <c r="AT94" s="273"/>
      <c r="AU94" s="273"/>
      <c r="AV94" s="273"/>
      <c r="AW94" s="273"/>
      <c r="AX94" s="273"/>
      <c r="AY94" s="273"/>
      <c r="AZ94" s="273"/>
      <c r="BA94" s="273"/>
    </row>
    <row r="95">
      <c r="A95" s="273"/>
      <c r="B95" s="273"/>
      <c r="C95" s="745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  <c r="AC95" s="273"/>
      <c r="AD95" s="273"/>
      <c r="AE95" s="273"/>
      <c r="AF95" s="273"/>
      <c r="AG95" s="273"/>
      <c r="AH95" s="273"/>
      <c r="AI95" s="273"/>
      <c r="AJ95" s="273"/>
      <c r="AK95" s="273"/>
      <c r="AL95" s="273"/>
      <c r="AM95" s="273"/>
      <c r="AN95" s="273"/>
      <c r="AO95" s="273"/>
      <c r="AP95" s="273"/>
      <c r="AQ95" s="273"/>
      <c r="AR95" s="273"/>
      <c r="AS95" s="273"/>
      <c r="AT95" s="273"/>
      <c r="AU95" s="273"/>
      <c r="AV95" s="273"/>
      <c r="AW95" s="273"/>
      <c r="AX95" s="273"/>
      <c r="AY95" s="273"/>
      <c r="AZ95" s="273"/>
      <c r="BA95" s="273"/>
    </row>
    <row r="96">
      <c r="A96" s="273"/>
      <c r="B96" s="273"/>
      <c r="C96" s="745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  <c r="AJ96" s="273"/>
      <c r="AK96" s="273"/>
      <c r="AL96" s="273"/>
      <c r="AM96" s="273"/>
      <c r="AN96" s="273"/>
      <c r="AO96" s="273"/>
      <c r="AP96" s="273"/>
      <c r="AQ96" s="273"/>
      <c r="AR96" s="273"/>
      <c r="AS96" s="273"/>
      <c r="AT96" s="273"/>
      <c r="AU96" s="273"/>
      <c r="AV96" s="273"/>
      <c r="AW96" s="273"/>
      <c r="AX96" s="273"/>
      <c r="AY96" s="273"/>
      <c r="AZ96" s="273"/>
      <c r="BA96" s="273"/>
    </row>
    <row r="97">
      <c r="A97" s="273"/>
      <c r="B97" s="273"/>
      <c r="C97" s="745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3"/>
      <c r="AD97" s="273"/>
      <c r="AE97" s="273"/>
      <c r="AF97" s="273"/>
      <c r="AG97" s="273"/>
      <c r="AH97" s="273"/>
      <c r="AI97" s="273"/>
      <c r="AJ97" s="273"/>
      <c r="AK97" s="273"/>
      <c r="AL97" s="273"/>
      <c r="AM97" s="273"/>
      <c r="AN97" s="273"/>
      <c r="AO97" s="273"/>
      <c r="AP97" s="273"/>
      <c r="AQ97" s="273"/>
      <c r="AR97" s="273"/>
      <c r="AS97" s="273"/>
      <c r="AT97" s="273"/>
      <c r="AU97" s="273"/>
      <c r="AV97" s="273"/>
      <c r="AW97" s="273"/>
      <c r="AX97" s="273"/>
      <c r="AY97" s="273"/>
      <c r="AZ97" s="273"/>
      <c r="BA97" s="273"/>
    </row>
    <row r="98">
      <c r="A98" s="273"/>
      <c r="B98" s="273"/>
      <c r="C98" s="745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  <c r="AJ98" s="273"/>
      <c r="AK98" s="273"/>
      <c r="AL98" s="273"/>
      <c r="AM98" s="273"/>
      <c r="AN98" s="273"/>
      <c r="AO98" s="273"/>
      <c r="AP98" s="273"/>
      <c r="AQ98" s="273"/>
      <c r="AR98" s="273"/>
      <c r="AS98" s="273"/>
      <c r="AT98" s="273"/>
      <c r="AU98" s="273"/>
      <c r="AV98" s="273"/>
      <c r="AW98" s="273"/>
      <c r="AX98" s="273"/>
      <c r="AY98" s="273"/>
      <c r="AZ98" s="273"/>
      <c r="BA98" s="273"/>
    </row>
    <row r="99">
      <c r="A99" s="273"/>
      <c r="B99" s="273"/>
      <c r="C99" s="745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  <c r="AC99" s="273"/>
      <c r="AD99" s="273"/>
      <c r="AE99" s="273"/>
      <c r="AF99" s="273"/>
      <c r="AG99" s="273"/>
      <c r="AH99" s="273"/>
      <c r="AI99" s="273"/>
      <c r="AJ99" s="273"/>
      <c r="AK99" s="273"/>
      <c r="AL99" s="273"/>
      <c r="AM99" s="273"/>
      <c r="AN99" s="273"/>
      <c r="AO99" s="273"/>
      <c r="AP99" s="273"/>
      <c r="AQ99" s="273"/>
      <c r="AR99" s="273"/>
      <c r="AS99" s="273"/>
      <c r="AT99" s="273"/>
      <c r="AU99" s="273"/>
      <c r="AV99" s="273"/>
      <c r="AW99" s="273"/>
      <c r="AX99" s="273"/>
      <c r="AY99" s="273"/>
      <c r="AZ99" s="273"/>
      <c r="BA99" s="273"/>
    </row>
    <row r="100">
      <c r="A100" s="273"/>
      <c r="B100" s="273"/>
      <c r="C100" s="745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  <c r="AM100" s="273"/>
      <c r="AN100" s="273"/>
      <c r="AO100" s="273"/>
      <c r="AP100" s="273"/>
      <c r="AQ100" s="273"/>
      <c r="AR100" s="273"/>
      <c r="AS100" s="273"/>
      <c r="AT100" s="273"/>
      <c r="AU100" s="273"/>
      <c r="AV100" s="273"/>
      <c r="AW100" s="273"/>
      <c r="AX100" s="273"/>
      <c r="AY100" s="273"/>
      <c r="AZ100" s="273"/>
      <c r="BA100" s="273"/>
    </row>
    <row r="101">
      <c r="A101" s="273"/>
      <c r="B101" s="273"/>
      <c r="C101" s="745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  <c r="AJ101" s="273"/>
      <c r="AK101" s="273"/>
      <c r="AL101" s="273"/>
      <c r="AM101" s="273"/>
      <c r="AN101" s="273"/>
      <c r="AO101" s="273"/>
      <c r="AP101" s="273"/>
      <c r="AQ101" s="273"/>
      <c r="AR101" s="273"/>
      <c r="AS101" s="273"/>
      <c r="AT101" s="273"/>
      <c r="AU101" s="273"/>
      <c r="AV101" s="273"/>
      <c r="AW101" s="273"/>
      <c r="AX101" s="273"/>
      <c r="AY101" s="273"/>
      <c r="AZ101" s="273"/>
      <c r="BA101" s="273"/>
    </row>
    <row r="102">
      <c r="A102" s="273"/>
      <c r="B102" s="273"/>
      <c r="C102" s="745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  <c r="AJ102" s="273"/>
      <c r="AK102" s="273"/>
      <c r="AL102" s="273"/>
      <c r="AM102" s="273"/>
      <c r="AN102" s="273"/>
      <c r="AO102" s="273"/>
      <c r="AP102" s="273"/>
      <c r="AQ102" s="273"/>
      <c r="AR102" s="273"/>
      <c r="AS102" s="273"/>
      <c r="AT102" s="273"/>
      <c r="AU102" s="273"/>
      <c r="AV102" s="273"/>
      <c r="AW102" s="273"/>
      <c r="AX102" s="273"/>
      <c r="AY102" s="273"/>
      <c r="AZ102" s="273"/>
      <c r="BA102" s="273"/>
    </row>
    <row r="103">
      <c r="A103" s="273"/>
      <c r="B103" s="273"/>
      <c r="C103" s="745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  <c r="AJ103" s="273"/>
      <c r="AK103" s="273"/>
      <c r="AL103" s="273"/>
      <c r="AM103" s="273"/>
      <c r="AN103" s="273"/>
      <c r="AO103" s="273"/>
      <c r="AP103" s="273"/>
      <c r="AQ103" s="273"/>
      <c r="AR103" s="273"/>
      <c r="AS103" s="273"/>
      <c r="AT103" s="273"/>
      <c r="AU103" s="273"/>
      <c r="AV103" s="273"/>
      <c r="AW103" s="273"/>
      <c r="AX103" s="273"/>
      <c r="AY103" s="273"/>
      <c r="AZ103" s="273"/>
      <c r="BA103" s="273"/>
    </row>
    <row r="104">
      <c r="A104" s="273"/>
      <c r="B104" s="273"/>
      <c r="C104" s="745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  <c r="AJ104" s="273"/>
      <c r="AK104" s="273"/>
      <c r="AL104" s="273"/>
      <c r="AM104" s="273"/>
      <c r="AN104" s="273"/>
      <c r="AO104" s="273"/>
      <c r="AP104" s="273"/>
      <c r="AQ104" s="273"/>
      <c r="AR104" s="273"/>
      <c r="AS104" s="273"/>
      <c r="AT104" s="273"/>
      <c r="AU104" s="273"/>
      <c r="AV104" s="273"/>
      <c r="AW104" s="273"/>
      <c r="AX104" s="273"/>
      <c r="AY104" s="273"/>
      <c r="AZ104" s="273"/>
      <c r="BA104" s="273"/>
    </row>
    <row r="105">
      <c r="A105" s="273"/>
      <c r="B105" s="273"/>
      <c r="C105" s="745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  <c r="AC105" s="273"/>
      <c r="AD105" s="273"/>
      <c r="AE105" s="273"/>
      <c r="AF105" s="273"/>
      <c r="AG105" s="273"/>
      <c r="AH105" s="273"/>
      <c r="AI105" s="273"/>
      <c r="AJ105" s="273"/>
      <c r="AK105" s="273"/>
      <c r="AL105" s="273"/>
      <c r="AM105" s="273"/>
      <c r="AN105" s="273"/>
      <c r="AO105" s="273"/>
      <c r="AP105" s="273"/>
      <c r="AQ105" s="273"/>
      <c r="AR105" s="273"/>
      <c r="AS105" s="273"/>
      <c r="AT105" s="273"/>
      <c r="AU105" s="273"/>
      <c r="AV105" s="273"/>
      <c r="AW105" s="273"/>
      <c r="AX105" s="273"/>
      <c r="AY105" s="273"/>
      <c r="AZ105" s="273"/>
      <c r="BA105" s="273"/>
    </row>
    <row r="106">
      <c r="A106" s="273"/>
      <c r="B106" s="273"/>
      <c r="C106" s="745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  <c r="AJ106" s="273"/>
      <c r="AK106" s="273"/>
      <c r="AL106" s="273"/>
      <c r="AM106" s="273"/>
      <c r="AN106" s="273"/>
      <c r="AO106" s="273"/>
      <c r="AP106" s="273"/>
      <c r="AQ106" s="273"/>
      <c r="AR106" s="273"/>
      <c r="AS106" s="273"/>
      <c r="AT106" s="273"/>
      <c r="AU106" s="273"/>
      <c r="AV106" s="273"/>
      <c r="AW106" s="273"/>
      <c r="AX106" s="273"/>
      <c r="AY106" s="273"/>
      <c r="AZ106" s="273"/>
      <c r="BA106" s="273"/>
    </row>
    <row r="107">
      <c r="A107" s="273"/>
      <c r="B107" s="273"/>
      <c r="C107" s="745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  <c r="AC107" s="273"/>
      <c r="AD107" s="273"/>
      <c r="AE107" s="273"/>
      <c r="AF107" s="273"/>
      <c r="AG107" s="273"/>
      <c r="AH107" s="273"/>
      <c r="AI107" s="273"/>
      <c r="AJ107" s="273"/>
      <c r="AK107" s="273"/>
      <c r="AL107" s="273"/>
      <c r="AM107" s="273"/>
      <c r="AN107" s="273"/>
      <c r="AO107" s="273"/>
      <c r="AP107" s="273"/>
      <c r="AQ107" s="273"/>
      <c r="AR107" s="273"/>
      <c r="AS107" s="273"/>
      <c r="AT107" s="273"/>
      <c r="AU107" s="273"/>
      <c r="AV107" s="273"/>
      <c r="AW107" s="273"/>
      <c r="AX107" s="273"/>
      <c r="AY107" s="273"/>
      <c r="AZ107" s="273"/>
      <c r="BA107" s="273"/>
    </row>
    <row r="108">
      <c r="A108" s="273"/>
      <c r="B108" s="273"/>
      <c r="C108" s="745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  <c r="AJ108" s="273"/>
      <c r="AK108" s="273"/>
      <c r="AL108" s="273"/>
      <c r="AM108" s="273"/>
      <c r="AN108" s="273"/>
      <c r="AO108" s="273"/>
      <c r="AP108" s="273"/>
      <c r="AQ108" s="273"/>
      <c r="AR108" s="273"/>
      <c r="AS108" s="273"/>
      <c r="AT108" s="273"/>
      <c r="AU108" s="273"/>
      <c r="AV108" s="273"/>
      <c r="AW108" s="273"/>
      <c r="AX108" s="273"/>
      <c r="AY108" s="273"/>
      <c r="AZ108" s="273"/>
      <c r="BA108" s="273"/>
    </row>
    <row r="109">
      <c r="A109" s="273"/>
      <c r="B109" s="273"/>
      <c r="C109" s="745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3"/>
      <c r="AS109" s="273"/>
      <c r="AT109" s="273"/>
      <c r="AU109" s="273"/>
      <c r="AV109" s="273"/>
      <c r="AW109" s="273"/>
      <c r="AX109" s="273"/>
      <c r="AY109" s="273"/>
      <c r="AZ109" s="273"/>
      <c r="BA109" s="273"/>
    </row>
    <row r="110">
      <c r="A110" s="273"/>
      <c r="B110" s="273"/>
      <c r="C110" s="745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  <c r="AJ110" s="273"/>
      <c r="AK110" s="273"/>
      <c r="AL110" s="273"/>
      <c r="AM110" s="273"/>
      <c r="AN110" s="273"/>
      <c r="AO110" s="273"/>
      <c r="AP110" s="273"/>
      <c r="AQ110" s="273"/>
      <c r="AR110" s="273"/>
      <c r="AS110" s="273"/>
      <c r="AT110" s="273"/>
      <c r="AU110" s="273"/>
      <c r="AV110" s="273"/>
      <c r="AW110" s="273"/>
      <c r="AX110" s="273"/>
      <c r="AY110" s="273"/>
      <c r="AZ110" s="273"/>
      <c r="BA110" s="273"/>
    </row>
    <row r="111">
      <c r="A111" s="273"/>
      <c r="B111" s="273"/>
      <c r="C111" s="745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  <c r="AC111" s="273"/>
      <c r="AD111" s="273"/>
      <c r="AE111" s="273"/>
      <c r="AF111" s="273"/>
      <c r="AG111" s="273"/>
      <c r="AH111" s="273"/>
      <c r="AI111" s="273"/>
      <c r="AJ111" s="273"/>
      <c r="AK111" s="273"/>
      <c r="AL111" s="273"/>
      <c r="AM111" s="273"/>
      <c r="AN111" s="273"/>
      <c r="AO111" s="273"/>
      <c r="AP111" s="273"/>
      <c r="AQ111" s="273"/>
      <c r="AR111" s="273"/>
      <c r="AS111" s="273"/>
      <c r="AT111" s="273"/>
      <c r="AU111" s="273"/>
      <c r="AV111" s="273"/>
      <c r="AW111" s="273"/>
      <c r="AX111" s="273"/>
      <c r="AY111" s="273"/>
      <c r="AZ111" s="273"/>
      <c r="BA111" s="273"/>
    </row>
    <row r="112">
      <c r="A112" s="273"/>
      <c r="B112" s="273"/>
      <c r="C112" s="745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3"/>
      <c r="AL112" s="273"/>
      <c r="AM112" s="273"/>
      <c r="AN112" s="273"/>
      <c r="AO112" s="273"/>
      <c r="AP112" s="273"/>
      <c r="AQ112" s="273"/>
      <c r="AR112" s="273"/>
      <c r="AS112" s="273"/>
      <c r="AT112" s="273"/>
      <c r="AU112" s="273"/>
      <c r="AV112" s="273"/>
      <c r="AW112" s="273"/>
      <c r="AX112" s="273"/>
      <c r="AY112" s="273"/>
      <c r="AZ112" s="273"/>
      <c r="BA112" s="273"/>
    </row>
    <row r="113">
      <c r="A113" s="273"/>
      <c r="B113" s="273"/>
      <c r="C113" s="745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  <c r="AC113" s="273"/>
      <c r="AD113" s="273"/>
      <c r="AE113" s="273"/>
      <c r="AF113" s="273"/>
      <c r="AG113" s="273"/>
      <c r="AH113" s="273"/>
      <c r="AI113" s="273"/>
      <c r="AJ113" s="273"/>
      <c r="AK113" s="273"/>
      <c r="AL113" s="273"/>
      <c r="AM113" s="273"/>
      <c r="AN113" s="273"/>
      <c r="AO113" s="273"/>
      <c r="AP113" s="273"/>
      <c r="AQ113" s="273"/>
      <c r="AR113" s="273"/>
      <c r="AS113" s="273"/>
      <c r="AT113" s="273"/>
      <c r="AU113" s="273"/>
      <c r="AV113" s="273"/>
      <c r="AW113" s="273"/>
      <c r="AX113" s="273"/>
      <c r="AY113" s="273"/>
      <c r="AZ113" s="273"/>
      <c r="BA113" s="273"/>
    </row>
    <row r="114">
      <c r="A114" s="273"/>
      <c r="B114" s="273"/>
      <c r="C114" s="745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73"/>
      <c r="AL114" s="273"/>
      <c r="AM114" s="273"/>
      <c r="AN114" s="273"/>
      <c r="AO114" s="273"/>
      <c r="AP114" s="273"/>
      <c r="AQ114" s="273"/>
      <c r="AR114" s="273"/>
      <c r="AS114" s="273"/>
      <c r="AT114" s="273"/>
      <c r="AU114" s="273"/>
      <c r="AV114" s="273"/>
      <c r="AW114" s="273"/>
      <c r="AX114" s="273"/>
      <c r="AY114" s="273"/>
      <c r="AZ114" s="273"/>
      <c r="BA114" s="273"/>
    </row>
    <row r="115">
      <c r="A115" s="273"/>
      <c r="B115" s="273"/>
      <c r="C115" s="745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3"/>
      <c r="AD115" s="273"/>
      <c r="AE115" s="273"/>
      <c r="AF115" s="273"/>
      <c r="AG115" s="273"/>
      <c r="AH115" s="273"/>
      <c r="AI115" s="273"/>
      <c r="AJ115" s="273"/>
      <c r="AK115" s="273"/>
      <c r="AL115" s="273"/>
      <c r="AM115" s="273"/>
      <c r="AN115" s="273"/>
      <c r="AO115" s="273"/>
      <c r="AP115" s="273"/>
      <c r="AQ115" s="273"/>
      <c r="AR115" s="273"/>
      <c r="AS115" s="273"/>
      <c r="AT115" s="273"/>
      <c r="AU115" s="273"/>
      <c r="AV115" s="273"/>
      <c r="AW115" s="273"/>
      <c r="AX115" s="273"/>
      <c r="AY115" s="273"/>
      <c r="AZ115" s="273"/>
      <c r="BA115" s="273"/>
    </row>
    <row r="116">
      <c r="A116" s="273"/>
      <c r="B116" s="273"/>
      <c r="C116" s="745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  <c r="AJ116" s="273"/>
      <c r="AK116" s="273"/>
      <c r="AL116" s="273"/>
      <c r="AM116" s="273"/>
      <c r="AN116" s="273"/>
      <c r="AO116" s="273"/>
      <c r="AP116" s="273"/>
      <c r="AQ116" s="273"/>
      <c r="AR116" s="273"/>
      <c r="AS116" s="273"/>
      <c r="AT116" s="273"/>
      <c r="AU116" s="273"/>
      <c r="AV116" s="273"/>
      <c r="AW116" s="273"/>
      <c r="AX116" s="273"/>
      <c r="AY116" s="273"/>
      <c r="AZ116" s="273"/>
      <c r="BA116" s="273"/>
    </row>
    <row r="117">
      <c r="A117" s="273"/>
      <c r="B117" s="273"/>
      <c r="C117" s="745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  <c r="AJ117" s="273"/>
      <c r="AK117" s="273"/>
      <c r="AL117" s="273"/>
      <c r="AM117" s="273"/>
      <c r="AN117" s="273"/>
      <c r="AO117" s="273"/>
      <c r="AP117" s="273"/>
      <c r="AQ117" s="273"/>
      <c r="AR117" s="273"/>
      <c r="AS117" s="273"/>
      <c r="AT117" s="273"/>
      <c r="AU117" s="273"/>
      <c r="AV117" s="273"/>
      <c r="AW117" s="273"/>
      <c r="AX117" s="273"/>
      <c r="AY117" s="273"/>
      <c r="AZ117" s="273"/>
      <c r="BA117" s="273"/>
    </row>
    <row r="118">
      <c r="A118" s="273"/>
      <c r="B118" s="273"/>
      <c r="C118" s="745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  <c r="AJ118" s="273"/>
      <c r="AK118" s="273"/>
      <c r="AL118" s="273"/>
      <c r="AM118" s="273"/>
      <c r="AN118" s="273"/>
      <c r="AO118" s="273"/>
      <c r="AP118" s="273"/>
      <c r="AQ118" s="273"/>
      <c r="AR118" s="273"/>
      <c r="AS118" s="273"/>
      <c r="AT118" s="273"/>
      <c r="AU118" s="273"/>
      <c r="AV118" s="273"/>
      <c r="AW118" s="273"/>
      <c r="AX118" s="273"/>
      <c r="AY118" s="273"/>
      <c r="AZ118" s="273"/>
      <c r="BA118" s="273"/>
    </row>
    <row r="119">
      <c r="A119" s="273"/>
      <c r="B119" s="273"/>
      <c r="C119" s="745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3"/>
      <c r="AK119" s="273"/>
      <c r="AL119" s="273"/>
      <c r="AM119" s="273"/>
      <c r="AN119" s="273"/>
      <c r="AO119" s="273"/>
      <c r="AP119" s="273"/>
      <c r="AQ119" s="273"/>
      <c r="AR119" s="273"/>
      <c r="AS119" s="273"/>
      <c r="AT119" s="273"/>
      <c r="AU119" s="273"/>
      <c r="AV119" s="273"/>
      <c r="AW119" s="273"/>
      <c r="AX119" s="273"/>
      <c r="AY119" s="273"/>
      <c r="AZ119" s="273"/>
      <c r="BA119" s="273"/>
    </row>
    <row r="120">
      <c r="A120" s="273"/>
      <c r="B120" s="273"/>
      <c r="C120" s="745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3"/>
      <c r="AL120" s="273"/>
      <c r="AM120" s="273"/>
      <c r="AN120" s="273"/>
      <c r="AO120" s="273"/>
      <c r="AP120" s="273"/>
      <c r="AQ120" s="273"/>
      <c r="AR120" s="273"/>
      <c r="AS120" s="273"/>
      <c r="AT120" s="273"/>
      <c r="AU120" s="273"/>
      <c r="AV120" s="273"/>
      <c r="AW120" s="273"/>
      <c r="AX120" s="273"/>
      <c r="AY120" s="273"/>
      <c r="AZ120" s="273"/>
      <c r="BA120" s="273"/>
    </row>
    <row r="121">
      <c r="A121" s="273"/>
      <c r="B121" s="273"/>
      <c r="C121" s="745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  <c r="AC121" s="273"/>
      <c r="AD121" s="273"/>
      <c r="AE121" s="273"/>
      <c r="AF121" s="273"/>
      <c r="AG121" s="273"/>
      <c r="AH121" s="273"/>
      <c r="AI121" s="273"/>
      <c r="AJ121" s="273"/>
      <c r="AK121" s="273"/>
      <c r="AL121" s="273"/>
      <c r="AM121" s="273"/>
      <c r="AN121" s="273"/>
      <c r="AO121" s="273"/>
      <c r="AP121" s="273"/>
      <c r="AQ121" s="273"/>
      <c r="AR121" s="273"/>
      <c r="AS121" s="273"/>
      <c r="AT121" s="273"/>
      <c r="AU121" s="273"/>
      <c r="AV121" s="273"/>
      <c r="AW121" s="273"/>
      <c r="AX121" s="273"/>
      <c r="AY121" s="273"/>
      <c r="AZ121" s="273"/>
      <c r="BA121" s="273"/>
    </row>
    <row r="122">
      <c r="A122" s="273"/>
      <c r="B122" s="273"/>
      <c r="C122" s="745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  <c r="AJ122" s="273"/>
      <c r="AK122" s="273"/>
      <c r="AL122" s="273"/>
      <c r="AM122" s="273"/>
      <c r="AN122" s="273"/>
      <c r="AO122" s="273"/>
      <c r="AP122" s="273"/>
      <c r="AQ122" s="273"/>
      <c r="AR122" s="273"/>
      <c r="AS122" s="273"/>
      <c r="AT122" s="273"/>
      <c r="AU122" s="273"/>
      <c r="AV122" s="273"/>
      <c r="AW122" s="273"/>
      <c r="AX122" s="273"/>
      <c r="AY122" s="273"/>
      <c r="AZ122" s="273"/>
      <c r="BA122" s="273"/>
    </row>
    <row r="123">
      <c r="A123" s="273"/>
      <c r="B123" s="273"/>
      <c r="C123" s="745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  <c r="AC123" s="273"/>
      <c r="AD123" s="273"/>
      <c r="AE123" s="273"/>
      <c r="AF123" s="273"/>
      <c r="AG123" s="273"/>
      <c r="AH123" s="273"/>
      <c r="AI123" s="273"/>
      <c r="AJ123" s="273"/>
      <c r="AK123" s="273"/>
      <c r="AL123" s="273"/>
      <c r="AM123" s="273"/>
      <c r="AN123" s="273"/>
      <c r="AO123" s="273"/>
      <c r="AP123" s="273"/>
      <c r="AQ123" s="273"/>
      <c r="AR123" s="273"/>
      <c r="AS123" s="273"/>
      <c r="AT123" s="273"/>
      <c r="AU123" s="273"/>
      <c r="AV123" s="273"/>
      <c r="AW123" s="273"/>
      <c r="AX123" s="273"/>
      <c r="AY123" s="273"/>
      <c r="AZ123" s="273"/>
      <c r="BA123" s="273"/>
    </row>
    <row r="124">
      <c r="A124" s="273"/>
      <c r="B124" s="273"/>
      <c r="C124" s="745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  <c r="AJ124" s="273"/>
      <c r="AK124" s="273"/>
      <c r="AL124" s="273"/>
      <c r="AM124" s="273"/>
      <c r="AN124" s="273"/>
      <c r="AO124" s="273"/>
      <c r="AP124" s="273"/>
      <c r="AQ124" s="273"/>
      <c r="AR124" s="273"/>
      <c r="AS124" s="273"/>
      <c r="AT124" s="273"/>
      <c r="AU124" s="273"/>
      <c r="AV124" s="273"/>
      <c r="AW124" s="273"/>
      <c r="AX124" s="273"/>
      <c r="AY124" s="273"/>
      <c r="AZ124" s="273"/>
      <c r="BA124" s="273"/>
    </row>
    <row r="125">
      <c r="A125" s="273"/>
      <c r="B125" s="273"/>
      <c r="C125" s="745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  <c r="AJ125" s="273"/>
      <c r="AK125" s="273"/>
      <c r="AL125" s="273"/>
      <c r="AM125" s="273"/>
      <c r="AN125" s="273"/>
      <c r="AO125" s="273"/>
      <c r="AP125" s="273"/>
      <c r="AQ125" s="273"/>
      <c r="AR125" s="273"/>
      <c r="AS125" s="273"/>
      <c r="AT125" s="273"/>
      <c r="AU125" s="273"/>
      <c r="AV125" s="273"/>
      <c r="AW125" s="273"/>
      <c r="AX125" s="273"/>
      <c r="AY125" s="273"/>
      <c r="AZ125" s="273"/>
      <c r="BA125" s="273"/>
    </row>
    <row r="126">
      <c r="A126" s="273"/>
      <c r="B126" s="273"/>
      <c r="C126" s="745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3"/>
      <c r="AL126" s="273"/>
      <c r="AM126" s="273"/>
      <c r="AN126" s="273"/>
      <c r="AO126" s="273"/>
      <c r="AP126" s="273"/>
      <c r="AQ126" s="273"/>
      <c r="AR126" s="273"/>
      <c r="AS126" s="273"/>
      <c r="AT126" s="273"/>
      <c r="AU126" s="273"/>
      <c r="AV126" s="273"/>
      <c r="AW126" s="273"/>
      <c r="AX126" s="273"/>
      <c r="AY126" s="273"/>
      <c r="AZ126" s="273"/>
      <c r="BA126" s="273"/>
    </row>
    <row r="127">
      <c r="A127" s="273"/>
      <c r="B127" s="273"/>
      <c r="C127" s="745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  <c r="AJ127" s="273"/>
      <c r="AK127" s="273"/>
      <c r="AL127" s="273"/>
      <c r="AM127" s="273"/>
      <c r="AN127" s="273"/>
      <c r="AO127" s="273"/>
      <c r="AP127" s="273"/>
      <c r="AQ127" s="273"/>
      <c r="AR127" s="273"/>
      <c r="AS127" s="273"/>
      <c r="AT127" s="273"/>
      <c r="AU127" s="273"/>
      <c r="AV127" s="273"/>
      <c r="AW127" s="273"/>
      <c r="AX127" s="273"/>
      <c r="AY127" s="273"/>
      <c r="AZ127" s="273"/>
      <c r="BA127" s="273"/>
    </row>
    <row r="128">
      <c r="A128" s="273"/>
      <c r="B128" s="273"/>
      <c r="C128" s="745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  <c r="AJ128" s="273"/>
      <c r="AK128" s="273"/>
      <c r="AL128" s="273"/>
      <c r="AM128" s="273"/>
      <c r="AN128" s="273"/>
      <c r="AO128" s="273"/>
      <c r="AP128" s="273"/>
      <c r="AQ128" s="273"/>
      <c r="AR128" s="273"/>
      <c r="AS128" s="273"/>
      <c r="AT128" s="273"/>
      <c r="AU128" s="273"/>
      <c r="AV128" s="273"/>
      <c r="AW128" s="273"/>
      <c r="AX128" s="273"/>
      <c r="AY128" s="273"/>
      <c r="AZ128" s="273"/>
      <c r="BA128" s="273"/>
    </row>
    <row r="129">
      <c r="A129" s="273"/>
      <c r="B129" s="273"/>
      <c r="C129" s="745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/>
      <c r="AJ129" s="273"/>
      <c r="AK129" s="273"/>
      <c r="AL129" s="273"/>
      <c r="AM129" s="273"/>
      <c r="AN129" s="273"/>
      <c r="AO129" s="273"/>
      <c r="AP129" s="273"/>
      <c r="AQ129" s="273"/>
      <c r="AR129" s="273"/>
      <c r="AS129" s="273"/>
      <c r="AT129" s="273"/>
      <c r="AU129" s="273"/>
      <c r="AV129" s="273"/>
      <c r="AW129" s="273"/>
      <c r="AX129" s="273"/>
      <c r="AY129" s="273"/>
      <c r="AZ129" s="273"/>
      <c r="BA129" s="273"/>
    </row>
    <row r="130">
      <c r="A130" s="273"/>
      <c r="B130" s="273"/>
      <c r="C130" s="745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273"/>
      <c r="AP130" s="273"/>
      <c r="AQ130" s="273"/>
      <c r="AR130" s="273"/>
      <c r="AS130" s="273"/>
      <c r="AT130" s="273"/>
      <c r="AU130" s="273"/>
      <c r="AV130" s="273"/>
      <c r="AW130" s="273"/>
      <c r="AX130" s="273"/>
      <c r="AY130" s="273"/>
      <c r="AZ130" s="273"/>
      <c r="BA130" s="273"/>
    </row>
    <row r="131">
      <c r="A131" s="273"/>
      <c r="B131" s="273"/>
      <c r="C131" s="745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  <c r="AC131" s="273"/>
      <c r="AD131" s="273"/>
      <c r="AE131" s="273"/>
      <c r="AF131" s="273"/>
      <c r="AG131" s="273"/>
      <c r="AH131" s="273"/>
      <c r="AI131" s="273"/>
      <c r="AJ131" s="273"/>
      <c r="AK131" s="273"/>
      <c r="AL131" s="273"/>
      <c r="AM131" s="273"/>
      <c r="AN131" s="273"/>
      <c r="AO131" s="273"/>
      <c r="AP131" s="273"/>
      <c r="AQ131" s="273"/>
      <c r="AR131" s="273"/>
      <c r="AS131" s="273"/>
      <c r="AT131" s="273"/>
      <c r="AU131" s="273"/>
      <c r="AV131" s="273"/>
      <c r="AW131" s="273"/>
      <c r="AX131" s="273"/>
      <c r="AY131" s="273"/>
      <c r="AZ131" s="273"/>
      <c r="BA131" s="273"/>
    </row>
    <row r="132">
      <c r="A132" s="273"/>
      <c r="B132" s="273"/>
      <c r="C132" s="745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3"/>
      <c r="AL132" s="273"/>
      <c r="AM132" s="273"/>
      <c r="AN132" s="273"/>
      <c r="AO132" s="273"/>
      <c r="AP132" s="273"/>
      <c r="AQ132" s="273"/>
      <c r="AR132" s="273"/>
      <c r="AS132" s="273"/>
      <c r="AT132" s="273"/>
      <c r="AU132" s="273"/>
      <c r="AV132" s="273"/>
      <c r="AW132" s="273"/>
      <c r="AX132" s="273"/>
      <c r="AY132" s="273"/>
      <c r="AZ132" s="273"/>
      <c r="BA132" s="273"/>
    </row>
    <row r="133">
      <c r="A133" s="273"/>
      <c r="B133" s="273"/>
      <c r="C133" s="745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3"/>
      <c r="AD133" s="273"/>
      <c r="AE133" s="273"/>
      <c r="AF133" s="273"/>
      <c r="AG133" s="273"/>
      <c r="AH133" s="273"/>
      <c r="AI133" s="273"/>
      <c r="AJ133" s="273"/>
      <c r="AK133" s="273"/>
      <c r="AL133" s="273"/>
      <c r="AM133" s="273"/>
      <c r="AN133" s="273"/>
      <c r="AO133" s="273"/>
      <c r="AP133" s="273"/>
      <c r="AQ133" s="273"/>
      <c r="AR133" s="273"/>
      <c r="AS133" s="273"/>
      <c r="AT133" s="273"/>
      <c r="AU133" s="273"/>
      <c r="AV133" s="273"/>
      <c r="AW133" s="273"/>
      <c r="AX133" s="273"/>
      <c r="AY133" s="273"/>
      <c r="AZ133" s="273"/>
      <c r="BA133" s="273"/>
    </row>
    <row r="134">
      <c r="A134" s="273"/>
      <c r="B134" s="273"/>
      <c r="C134" s="745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  <c r="AJ134" s="273"/>
      <c r="AK134" s="273"/>
      <c r="AL134" s="273"/>
      <c r="AM134" s="273"/>
      <c r="AN134" s="273"/>
      <c r="AO134" s="273"/>
      <c r="AP134" s="273"/>
      <c r="AQ134" s="273"/>
      <c r="AR134" s="273"/>
      <c r="AS134" s="273"/>
      <c r="AT134" s="273"/>
      <c r="AU134" s="273"/>
      <c r="AV134" s="273"/>
      <c r="AW134" s="273"/>
      <c r="AX134" s="273"/>
      <c r="AY134" s="273"/>
      <c r="AZ134" s="273"/>
      <c r="BA134" s="273"/>
    </row>
    <row r="135">
      <c r="A135" s="273"/>
      <c r="B135" s="273"/>
      <c r="C135" s="745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3"/>
      <c r="AS135" s="273"/>
      <c r="AT135" s="273"/>
      <c r="AU135" s="273"/>
      <c r="AV135" s="273"/>
      <c r="AW135" s="273"/>
      <c r="AX135" s="273"/>
      <c r="AY135" s="273"/>
      <c r="AZ135" s="273"/>
      <c r="BA135" s="273"/>
    </row>
    <row r="136">
      <c r="A136" s="273"/>
      <c r="B136" s="273"/>
      <c r="C136" s="745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273"/>
      <c r="AP136" s="273"/>
      <c r="AQ136" s="273"/>
      <c r="AR136" s="273"/>
      <c r="AS136" s="273"/>
      <c r="AT136" s="273"/>
      <c r="AU136" s="273"/>
      <c r="AV136" s="273"/>
      <c r="AW136" s="273"/>
      <c r="AX136" s="273"/>
      <c r="AY136" s="273"/>
      <c r="AZ136" s="273"/>
      <c r="BA136" s="273"/>
    </row>
    <row r="137">
      <c r="A137" s="273"/>
      <c r="B137" s="273"/>
      <c r="C137" s="745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  <c r="AJ137" s="273"/>
      <c r="AK137" s="273"/>
      <c r="AL137" s="273"/>
      <c r="AM137" s="273"/>
      <c r="AN137" s="273"/>
      <c r="AO137" s="273"/>
      <c r="AP137" s="273"/>
      <c r="AQ137" s="273"/>
      <c r="AR137" s="273"/>
      <c r="AS137" s="273"/>
      <c r="AT137" s="273"/>
      <c r="AU137" s="273"/>
      <c r="AV137" s="273"/>
      <c r="AW137" s="273"/>
      <c r="AX137" s="273"/>
      <c r="AY137" s="273"/>
      <c r="AZ137" s="273"/>
      <c r="BA137" s="273"/>
    </row>
    <row r="138">
      <c r="A138" s="273"/>
      <c r="B138" s="273"/>
      <c r="C138" s="745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3"/>
      <c r="AY138" s="273"/>
      <c r="AZ138" s="273"/>
      <c r="BA138" s="273"/>
    </row>
    <row r="139">
      <c r="A139" s="273"/>
      <c r="B139" s="273"/>
      <c r="C139" s="745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  <c r="AC139" s="273"/>
      <c r="AD139" s="273"/>
      <c r="AE139" s="273"/>
      <c r="AF139" s="273"/>
      <c r="AG139" s="273"/>
      <c r="AH139" s="273"/>
      <c r="AI139" s="273"/>
      <c r="AJ139" s="273"/>
      <c r="AK139" s="273"/>
      <c r="AL139" s="273"/>
      <c r="AM139" s="273"/>
      <c r="AN139" s="273"/>
      <c r="AO139" s="273"/>
      <c r="AP139" s="273"/>
      <c r="AQ139" s="273"/>
      <c r="AR139" s="273"/>
      <c r="AS139" s="273"/>
      <c r="AT139" s="273"/>
      <c r="AU139" s="273"/>
      <c r="AV139" s="273"/>
      <c r="AW139" s="273"/>
      <c r="AX139" s="273"/>
      <c r="AY139" s="273"/>
      <c r="AZ139" s="273"/>
      <c r="BA139" s="273"/>
    </row>
    <row r="140">
      <c r="A140" s="273"/>
      <c r="B140" s="273"/>
      <c r="C140" s="745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  <c r="AJ140" s="273"/>
      <c r="AK140" s="273"/>
      <c r="AL140" s="273"/>
      <c r="AM140" s="273"/>
      <c r="AN140" s="273"/>
      <c r="AO140" s="273"/>
      <c r="AP140" s="273"/>
      <c r="AQ140" s="273"/>
      <c r="AR140" s="273"/>
      <c r="AS140" s="273"/>
      <c r="AT140" s="273"/>
      <c r="AU140" s="273"/>
      <c r="AV140" s="273"/>
      <c r="AW140" s="273"/>
      <c r="AX140" s="273"/>
      <c r="AY140" s="273"/>
      <c r="AZ140" s="273"/>
      <c r="BA140" s="273"/>
    </row>
    <row r="141">
      <c r="A141" s="273"/>
      <c r="B141" s="273"/>
      <c r="C141" s="745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  <c r="AC141" s="273"/>
      <c r="AD141" s="273"/>
      <c r="AE141" s="273"/>
      <c r="AF141" s="273"/>
      <c r="AG141" s="273"/>
      <c r="AH141" s="273"/>
      <c r="AI141" s="273"/>
      <c r="AJ141" s="273"/>
      <c r="AK141" s="273"/>
      <c r="AL141" s="273"/>
      <c r="AM141" s="273"/>
      <c r="AN141" s="273"/>
      <c r="AO141" s="273"/>
      <c r="AP141" s="273"/>
      <c r="AQ141" s="273"/>
      <c r="AR141" s="273"/>
      <c r="AS141" s="273"/>
      <c r="AT141" s="273"/>
      <c r="AU141" s="273"/>
      <c r="AV141" s="273"/>
      <c r="AW141" s="273"/>
      <c r="AX141" s="273"/>
      <c r="AY141" s="273"/>
      <c r="AZ141" s="273"/>
      <c r="BA141" s="273"/>
    </row>
    <row r="142">
      <c r="A142" s="273"/>
      <c r="B142" s="273"/>
      <c r="C142" s="745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  <c r="AJ142" s="273"/>
      <c r="AK142" s="273"/>
      <c r="AL142" s="273"/>
      <c r="AM142" s="273"/>
      <c r="AN142" s="273"/>
      <c r="AO142" s="273"/>
      <c r="AP142" s="273"/>
      <c r="AQ142" s="273"/>
      <c r="AR142" s="273"/>
      <c r="AS142" s="273"/>
      <c r="AT142" s="273"/>
      <c r="AU142" s="273"/>
      <c r="AV142" s="273"/>
      <c r="AW142" s="273"/>
      <c r="AX142" s="273"/>
      <c r="AY142" s="273"/>
      <c r="AZ142" s="273"/>
      <c r="BA142" s="273"/>
    </row>
    <row r="143">
      <c r="A143" s="273"/>
      <c r="B143" s="273"/>
      <c r="C143" s="745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  <c r="AJ143" s="273"/>
      <c r="AK143" s="273"/>
      <c r="AL143" s="273"/>
      <c r="AM143" s="273"/>
      <c r="AN143" s="273"/>
      <c r="AO143" s="273"/>
      <c r="AP143" s="273"/>
      <c r="AQ143" s="273"/>
      <c r="AR143" s="273"/>
      <c r="AS143" s="273"/>
      <c r="AT143" s="273"/>
      <c r="AU143" s="273"/>
      <c r="AV143" s="273"/>
      <c r="AW143" s="273"/>
      <c r="AX143" s="273"/>
      <c r="AY143" s="273"/>
      <c r="AZ143" s="273"/>
      <c r="BA143" s="273"/>
    </row>
    <row r="144">
      <c r="A144" s="273"/>
      <c r="B144" s="273"/>
      <c r="C144" s="745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273"/>
      <c r="AP144" s="273"/>
      <c r="AQ144" s="273"/>
      <c r="AR144" s="273"/>
      <c r="AS144" s="273"/>
      <c r="AT144" s="273"/>
      <c r="AU144" s="273"/>
      <c r="AV144" s="273"/>
      <c r="AW144" s="273"/>
      <c r="AX144" s="273"/>
      <c r="AY144" s="273"/>
      <c r="AZ144" s="273"/>
      <c r="BA144" s="273"/>
    </row>
    <row r="145">
      <c r="A145" s="273"/>
      <c r="B145" s="273"/>
      <c r="C145" s="745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  <c r="AJ145" s="273"/>
      <c r="AK145" s="273"/>
      <c r="AL145" s="273"/>
      <c r="AM145" s="273"/>
      <c r="AN145" s="273"/>
      <c r="AO145" s="273"/>
      <c r="AP145" s="273"/>
      <c r="AQ145" s="273"/>
      <c r="AR145" s="273"/>
      <c r="AS145" s="273"/>
      <c r="AT145" s="273"/>
      <c r="AU145" s="273"/>
      <c r="AV145" s="273"/>
      <c r="AW145" s="273"/>
      <c r="AX145" s="273"/>
      <c r="AY145" s="273"/>
      <c r="AZ145" s="273"/>
      <c r="BA145" s="273"/>
    </row>
    <row r="146">
      <c r="A146" s="273"/>
      <c r="B146" s="273"/>
      <c r="C146" s="745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273"/>
      <c r="AP146" s="273"/>
      <c r="AQ146" s="273"/>
      <c r="AR146" s="273"/>
      <c r="AS146" s="273"/>
      <c r="AT146" s="273"/>
      <c r="AU146" s="273"/>
      <c r="AV146" s="273"/>
      <c r="AW146" s="273"/>
      <c r="AX146" s="273"/>
      <c r="AY146" s="273"/>
      <c r="AZ146" s="273"/>
      <c r="BA146" s="273"/>
    </row>
    <row r="147">
      <c r="A147" s="273"/>
      <c r="B147" s="273"/>
      <c r="C147" s="745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  <c r="AJ147" s="273"/>
      <c r="AK147" s="273"/>
      <c r="AL147" s="273"/>
      <c r="AM147" s="273"/>
      <c r="AN147" s="273"/>
      <c r="AO147" s="273"/>
      <c r="AP147" s="273"/>
      <c r="AQ147" s="273"/>
      <c r="AR147" s="273"/>
      <c r="AS147" s="273"/>
      <c r="AT147" s="273"/>
      <c r="AU147" s="273"/>
      <c r="AV147" s="273"/>
      <c r="AW147" s="273"/>
      <c r="AX147" s="273"/>
      <c r="AY147" s="273"/>
      <c r="AZ147" s="273"/>
      <c r="BA147" s="273"/>
    </row>
    <row r="148">
      <c r="A148" s="273"/>
      <c r="B148" s="273"/>
      <c r="C148" s="745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273"/>
      <c r="AP148" s="273"/>
      <c r="AQ148" s="273"/>
      <c r="AR148" s="273"/>
      <c r="AS148" s="273"/>
      <c r="AT148" s="273"/>
      <c r="AU148" s="273"/>
      <c r="AV148" s="273"/>
      <c r="AW148" s="273"/>
      <c r="AX148" s="273"/>
      <c r="AY148" s="273"/>
      <c r="AZ148" s="273"/>
      <c r="BA148" s="273"/>
    </row>
    <row r="149">
      <c r="A149" s="273"/>
      <c r="B149" s="273"/>
      <c r="C149" s="745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  <c r="AJ149" s="273"/>
      <c r="AK149" s="273"/>
      <c r="AL149" s="273"/>
      <c r="AM149" s="273"/>
      <c r="AN149" s="273"/>
      <c r="AO149" s="273"/>
      <c r="AP149" s="273"/>
      <c r="AQ149" s="273"/>
      <c r="AR149" s="273"/>
      <c r="AS149" s="273"/>
      <c r="AT149" s="273"/>
      <c r="AU149" s="273"/>
      <c r="AV149" s="273"/>
      <c r="AW149" s="273"/>
      <c r="AX149" s="273"/>
      <c r="AY149" s="273"/>
      <c r="AZ149" s="273"/>
      <c r="BA149" s="273"/>
    </row>
    <row r="150">
      <c r="A150" s="273"/>
      <c r="B150" s="273"/>
      <c r="C150" s="745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  <c r="AJ150" s="273"/>
      <c r="AK150" s="273"/>
      <c r="AL150" s="273"/>
      <c r="AM150" s="273"/>
      <c r="AN150" s="273"/>
      <c r="AO150" s="273"/>
      <c r="AP150" s="273"/>
      <c r="AQ150" s="273"/>
      <c r="AR150" s="273"/>
      <c r="AS150" s="273"/>
      <c r="AT150" s="273"/>
      <c r="AU150" s="273"/>
      <c r="AV150" s="273"/>
      <c r="AW150" s="273"/>
      <c r="AX150" s="273"/>
      <c r="AY150" s="273"/>
      <c r="AZ150" s="273"/>
      <c r="BA150" s="273"/>
    </row>
    <row r="151">
      <c r="A151" s="273"/>
      <c r="B151" s="273"/>
      <c r="C151" s="745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  <c r="AD151" s="273"/>
      <c r="AE151" s="273"/>
      <c r="AF151" s="273"/>
      <c r="AG151" s="273"/>
      <c r="AH151" s="273"/>
      <c r="AI151" s="273"/>
      <c r="AJ151" s="273"/>
      <c r="AK151" s="273"/>
      <c r="AL151" s="273"/>
      <c r="AM151" s="273"/>
      <c r="AN151" s="273"/>
      <c r="AO151" s="273"/>
      <c r="AP151" s="273"/>
      <c r="AQ151" s="273"/>
      <c r="AR151" s="273"/>
      <c r="AS151" s="273"/>
      <c r="AT151" s="273"/>
      <c r="AU151" s="273"/>
      <c r="AV151" s="273"/>
      <c r="AW151" s="273"/>
      <c r="AX151" s="273"/>
      <c r="AY151" s="273"/>
      <c r="AZ151" s="273"/>
      <c r="BA151" s="273"/>
    </row>
    <row r="152">
      <c r="A152" s="273"/>
      <c r="B152" s="273"/>
      <c r="C152" s="745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  <c r="AJ152" s="273"/>
      <c r="AK152" s="273"/>
      <c r="AL152" s="273"/>
      <c r="AM152" s="273"/>
      <c r="AN152" s="273"/>
      <c r="AO152" s="273"/>
      <c r="AP152" s="273"/>
      <c r="AQ152" s="273"/>
      <c r="AR152" s="273"/>
      <c r="AS152" s="273"/>
      <c r="AT152" s="273"/>
      <c r="AU152" s="273"/>
      <c r="AV152" s="273"/>
      <c r="AW152" s="273"/>
      <c r="AX152" s="273"/>
      <c r="AY152" s="273"/>
      <c r="AZ152" s="273"/>
      <c r="BA152" s="273"/>
    </row>
    <row r="153">
      <c r="A153" s="273"/>
      <c r="B153" s="273"/>
      <c r="C153" s="745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  <c r="AC153" s="273"/>
      <c r="AD153" s="273"/>
      <c r="AE153" s="273"/>
      <c r="AF153" s="273"/>
      <c r="AG153" s="273"/>
      <c r="AH153" s="273"/>
      <c r="AI153" s="273"/>
      <c r="AJ153" s="273"/>
      <c r="AK153" s="273"/>
      <c r="AL153" s="273"/>
      <c r="AM153" s="273"/>
      <c r="AN153" s="273"/>
      <c r="AO153" s="273"/>
      <c r="AP153" s="273"/>
      <c r="AQ153" s="273"/>
      <c r="AR153" s="273"/>
      <c r="AS153" s="273"/>
      <c r="AT153" s="273"/>
      <c r="AU153" s="273"/>
      <c r="AV153" s="273"/>
      <c r="AW153" s="273"/>
      <c r="AX153" s="273"/>
      <c r="AY153" s="273"/>
      <c r="AZ153" s="273"/>
      <c r="BA153" s="273"/>
    </row>
    <row r="154">
      <c r="A154" s="273"/>
      <c r="B154" s="273"/>
      <c r="C154" s="745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  <c r="AJ154" s="273"/>
      <c r="AK154" s="273"/>
      <c r="AL154" s="273"/>
      <c r="AM154" s="273"/>
      <c r="AN154" s="273"/>
      <c r="AO154" s="273"/>
      <c r="AP154" s="273"/>
      <c r="AQ154" s="273"/>
      <c r="AR154" s="273"/>
      <c r="AS154" s="273"/>
      <c r="AT154" s="273"/>
      <c r="AU154" s="273"/>
      <c r="AV154" s="273"/>
      <c r="AW154" s="273"/>
      <c r="AX154" s="273"/>
      <c r="AY154" s="273"/>
      <c r="AZ154" s="273"/>
      <c r="BA154" s="273"/>
    </row>
    <row r="155">
      <c r="A155" s="273"/>
      <c r="B155" s="273"/>
      <c r="C155" s="745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  <c r="AC155" s="273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73"/>
      <c r="AN155" s="273"/>
      <c r="AO155" s="273"/>
      <c r="AP155" s="273"/>
      <c r="AQ155" s="273"/>
      <c r="AR155" s="273"/>
      <c r="AS155" s="273"/>
      <c r="AT155" s="273"/>
      <c r="AU155" s="273"/>
      <c r="AV155" s="273"/>
      <c r="AW155" s="273"/>
      <c r="AX155" s="273"/>
      <c r="AY155" s="273"/>
      <c r="AZ155" s="273"/>
      <c r="BA155" s="273"/>
    </row>
    <row r="156">
      <c r="A156" s="273"/>
      <c r="B156" s="273"/>
      <c r="C156" s="745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3"/>
      <c r="AN156" s="273"/>
      <c r="AO156" s="273"/>
      <c r="AP156" s="273"/>
      <c r="AQ156" s="273"/>
      <c r="AR156" s="273"/>
      <c r="AS156" s="273"/>
      <c r="AT156" s="273"/>
      <c r="AU156" s="273"/>
      <c r="AV156" s="273"/>
      <c r="AW156" s="273"/>
      <c r="AX156" s="273"/>
      <c r="AY156" s="273"/>
      <c r="AZ156" s="273"/>
      <c r="BA156" s="273"/>
    </row>
    <row r="157">
      <c r="A157" s="273"/>
      <c r="B157" s="273"/>
      <c r="C157" s="745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  <c r="AJ157" s="273"/>
      <c r="AK157" s="273"/>
      <c r="AL157" s="273"/>
      <c r="AM157" s="273"/>
      <c r="AN157" s="273"/>
      <c r="AO157" s="273"/>
      <c r="AP157" s="273"/>
      <c r="AQ157" s="273"/>
      <c r="AR157" s="273"/>
      <c r="AS157" s="273"/>
      <c r="AT157" s="273"/>
      <c r="AU157" s="273"/>
      <c r="AV157" s="273"/>
      <c r="AW157" s="273"/>
      <c r="AX157" s="273"/>
      <c r="AY157" s="273"/>
      <c r="AZ157" s="273"/>
      <c r="BA157" s="273"/>
    </row>
    <row r="158">
      <c r="A158" s="273"/>
      <c r="B158" s="273"/>
      <c r="C158" s="745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  <c r="AJ158" s="273"/>
      <c r="AK158" s="273"/>
      <c r="AL158" s="273"/>
      <c r="AM158" s="273"/>
      <c r="AN158" s="273"/>
      <c r="AO158" s="273"/>
      <c r="AP158" s="273"/>
      <c r="AQ158" s="273"/>
      <c r="AR158" s="273"/>
      <c r="AS158" s="273"/>
      <c r="AT158" s="273"/>
      <c r="AU158" s="273"/>
      <c r="AV158" s="273"/>
      <c r="AW158" s="273"/>
      <c r="AX158" s="273"/>
      <c r="AY158" s="273"/>
      <c r="AZ158" s="273"/>
      <c r="BA158" s="273"/>
    </row>
    <row r="159">
      <c r="A159" s="273"/>
      <c r="B159" s="273"/>
      <c r="C159" s="745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3"/>
      <c r="AN159" s="273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3"/>
    </row>
    <row r="160">
      <c r="A160" s="273"/>
      <c r="B160" s="273"/>
      <c r="C160" s="745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  <c r="AJ160" s="273"/>
      <c r="AK160" s="273"/>
      <c r="AL160" s="273"/>
      <c r="AM160" s="273"/>
      <c r="AN160" s="273"/>
      <c r="AO160" s="273"/>
      <c r="AP160" s="273"/>
      <c r="AQ160" s="273"/>
      <c r="AR160" s="273"/>
      <c r="AS160" s="273"/>
      <c r="AT160" s="273"/>
      <c r="AU160" s="273"/>
      <c r="AV160" s="273"/>
      <c r="AW160" s="273"/>
      <c r="AX160" s="273"/>
      <c r="AY160" s="273"/>
      <c r="AZ160" s="273"/>
      <c r="BA160" s="273"/>
    </row>
    <row r="161">
      <c r="A161" s="273"/>
      <c r="B161" s="273"/>
      <c r="C161" s="745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3"/>
      <c r="AD161" s="273"/>
      <c r="AE161" s="273"/>
      <c r="AF161" s="273"/>
      <c r="AG161" s="273"/>
      <c r="AH161" s="273"/>
      <c r="AI161" s="273"/>
      <c r="AJ161" s="273"/>
      <c r="AK161" s="273"/>
      <c r="AL161" s="273"/>
      <c r="AM161" s="273"/>
      <c r="AN161" s="273"/>
      <c r="AO161" s="273"/>
      <c r="AP161" s="273"/>
      <c r="AQ161" s="273"/>
      <c r="AR161" s="273"/>
      <c r="AS161" s="273"/>
      <c r="AT161" s="273"/>
      <c r="AU161" s="273"/>
      <c r="AV161" s="273"/>
      <c r="AW161" s="273"/>
      <c r="AX161" s="273"/>
      <c r="AY161" s="273"/>
      <c r="AZ161" s="273"/>
      <c r="BA161" s="273"/>
    </row>
    <row r="162">
      <c r="A162" s="273"/>
      <c r="B162" s="273"/>
      <c r="C162" s="745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  <c r="AJ162" s="273"/>
      <c r="AK162" s="273"/>
      <c r="AL162" s="273"/>
      <c r="AM162" s="273"/>
      <c r="AN162" s="273"/>
      <c r="AO162" s="273"/>
      <c r="AP162" s="273"/>
      <c r="AQ162" s="273"/>
      <c r="AR162" s="273"/>
      <c r="AS162" s="273"/>
      <c r="AT162" s="273"/>
      <c r="AU162" s="273"/>
      <c r="AV162" s="273"/>
      <c r="AW162" s="273"/>
      <c r="AX162" s="273"/>
      <c r="AY162" s="273"/>
      <c r="AZ162" s="273"/>
      <c r="BA162" s="273"/>
    </row>
    <row r="163">
      <c r="A163" s="273"/>
      <c r="B163" s="273"/>
      <c r="C163" s="745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  <c r="AC163" s="273"/>
      <c r="AD163" s="273"/>
      <c r="AE163" s="273"/>
      <c r="AF163" s="273"/>
      <c r="AG163" s="273"/>
      <c r="AH163" s="273"/>
      <c r="AI163" s="273"/>
      <c r="AJ163" s="273"/>
      <c r="AK163" s="273"/>
      <c r="AL163" s="273"/>
      <c r="AM163" s="273"/>
      <c r="AN163" s="273"/>
      <c r="AO163" s="273"/>
      <c r="AP163" s="273"/>
      <c r="AQ163" s="273"/>
      <c r="AR163" s="273"/>
      <c r="AS163" s="273"/>
      <c r="AT163" s="273"/>
      <c r="AU163" s="273"/>
      <c r="AV163" s="273"/>
      <c r="AW163" s="273"/>
      <c r="AX163" s="273"/>
      <c r="AY163" s="273"/>
      <c r="AZ163" s="273"/>
      <c r="BA163" s="273"/>
    </row>
    <row r="164">
      <c r="A164" s="273"/>
      <c r="B164" s="273"/>
      <c r="C164" s="745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3"/>
      <c r="AN164" s="273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3"/>
    </row>
    <row r="165">
      <c r="A165" s="273"/>
      <c r="B165" s="273"/>
      <c r="C165" s="745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  <c r="AC165" s="273"/>
      <c r="AD165" s="273"/>
      <c r="AE165" s="273"/>
      <c r="AF165" s="273"/>
      <c r="AG165" s="273"/>
      <c r="AH165" s="273"/>
      <c r="AI165" s="273"/>
      <c r="AJ165" s="273"/>
      <c r="AK165" s="273"/>
      <c r="AL165" s="273"/>
      <c r="AM165" s="273"/>
      <c r="AN165" s="273"/>
      <c r="AO165" s="273"/>
      <c r="AP165" s="273"/>
      <c r="AQ165" s="273"/>
      <c r="AR165" s="273"/>
      <c r="AS165" s="273"/>
      <c r="AT165" s="273"/>
      <c r="AU165" s="273"/>
      <c r="AV165" s="273"/>
      <c r="AW165" s="273"/>
      <c r="AX165" s="273"/>
      <c r="AY165" s="273"/>
      <c r="AZ165" s="273"/>
      <c r="BA165" s="273"/>
    </row>
    <row r="166">
      <c r="A166" s="273"/>
      <c r="B166" s="273"/>
      <c r="C166" s="745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  <c r="AJ166" s="273"/>
      <c r="AK166" s="273"/>
      <c r="AL166" s="273"/>
      <c r="AM166" s="273"/>
      <c r="AN166" s="273"/>
      <c r="AO166" s="273"/>
      <c r="AP166" s="273"/>
      <c r="AQ166" s="273"/>
      <c r="AR166" s="273"/>
      <c r="AS166" s="273"/>
      <c r="AT166" s="273"/>
      <c r="AU166" s="273"/>
      <c r="AV166" s="273"/>
      <c r="AW166" s="273"/>
      <c r="AX166" s="273"/>
      <c r="AY166" s="273"/>
      <c r="AZ166" s="273"/>
      <c r="BA166" s="273"/>
    </row>
    <row r="167">
      <c r="A167" s="273"/>
      <c r="B167" s="273"/>
      <c r="C167" s="745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  <c r="AC167" s="273"/>
      <c r="AD167" s="273"/>
      <c r="AE167" s="273"/>
      <c r="AF167" s="273"/>
      <c r="AG167" s="273"/>
      <c r="AH167" s="273"/>
      <c r="AI167" s="273"/>
      <c r="AJ167" s="273"/>
      <c r="AK167" s="273"/>
      <c r="AL167" s="273"/>
      <c r="AM167" s="273"/>
      <c r="AN167" s="273"/>
      <c r="AO167" s="273"/>
      <c r="AP167" s="273"/>
      <c r="AQ167" s="273"/>
      <c r="AR167" s="273"/>
      <c r="AS167" s="273"/>
      <c r="AT167" s="273"/>
      <c r="AU167" s="273"/>
      <c r="AV167" s="273"/>
      <c r="AW167" s="273"/>
      <c r="AX167" s="273"/>
      <c r="AY167" s="273"/>
      <c r="AZ167" s="273"/>
      <c r="BA167" s="273"/>
    </row>
    <row r="168">
      <c r="A168" s="273"/>
      <c r="B168" s="273"/>
      <c r="C168" s="745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  <c r="AJ168" s="273"/>
      <c r="AK168" s="273"/>
      <c r="AL168" s="273"/>
      <c r="AM168" s="273"/>
      <c r="AN168" s="273"/>
      <c r="AO168" s="273"/>
      <c r="AP168" s="273"/>
      <c r="AQ168" s="273"/>
      <c r="AR168" s="273"/>
      <c r="AS168" s="273"/>
      <c r="AT168" s="273"/>
      <c r="AU168" s="273"/>
      <c r="AV168" s="273"/>
      <c r="AW168" s="273"/>
      <c r="AX168" s="273"/>
      <c r="AY168" s="273"/>
      <c r="AZ168" s="273"/>
      <c r="BA168" s="273"/>
    </row>
    <row r="169">
      <c r="A169" s="273"/>
      <c r="B169" s="273"/>
      <c r="C169" s="745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  <c r="AC169" s="273"/>
      <c r="AD169" s="273"/>
      <c r="AE169" s="273"/>
      <c r="AF169" s="273"/>
      <c r="AG169" s="273"/>
      <c r="AH169" s="273"/>
      <c r="AI169" s="273"/>
      <c r="AJ169" s="273"/>
      <c r="AK169" s="273"/>
      <c r="AL169" s="273"/>
      <c r="AM169" s="273"/>
      <c r="AN169" s="273"/>
      <c r="AO169" s="273"/>
      <c r="AP169" s="273"/>
      <c r="AQ169" s="273"/>
      <c r="AR169" s="273"/>
      <c r="AS169" s="273"/>
      <c r="AT169" s="273"/>
      <c r="AU169" s="273"/>
      <c r="AV169" s="273"/>
      <c r="AW169" s="273"/>
      <c r="AX169" s="273"/>
      <c r="AY169" s="273"/>
      <c r="AZ169" s="273"/>
      <c r="BA169" s="273"/>
    </row>
    <row r="170">
      <c r="A170" s="273"/>
      <c r="B170" s="273"/>
      <c r="C170" s="745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  <c r="AJ170" s="273"/>
      <c r="AK170" s="273"/>
      <c r="AL170" s="273"/>
      <c r="AM170" s="273"/>
      <c r="AN170" s="273"/>
      <c r="AO170" s="273"/>
      <c r="AP170" s="273"/>
      <c r="AQ170" s="273"/>
      <c r="AR170" s="273"/>
      <c r="AS170" s="273"/>
      <c r="AT170" s="273"/>
      <c r="AU170" s="273"/>
      <c r="AV170" s="273"/>
      <c r="AW170" s="273"/>
      <c r="AX170" s="273"/>
      <c r="AY170" s="273"/>
      <c r="AZ170" s="273"/>
      <c r="BA170" s="273"/>
    </row>
    <row r="171">
      <c r="A171" s="273"/>
      <c r="B171" s="273"/>
      <c r="C171" s="745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  <c r="AJ171" s="273"/>
      <c r="AK171" s="273"/>
      <c r="AL171" s="273"/>
      <c r="AM171" s="273"/>
      <c r="AN171" s="273"/>
      <c r="AO171" s="273"/>
      <c r="AP171" s="273"/>
      <c r="AQ171" s="273"/>
      <c r="AR171" s="273"/>
      <c r="AS171" s="273"/>
      <c r="AT171" s="273"/>
      <c r="AU171" s="273"/>
      <c r="AV171" s="273"/>
      <c r="AW171" s="273"/>
      <c r="AX171" s="273"/>
      <c r="AY171" s="273"/>
      <c r="AZ171" s="273"/>
      <c r="BA171" s="273"/>
    </row>
    <row r="172">
      <c r="A172" s="273"/>
      <c r="B172" s="273"/>
      <c r="C172" s="745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  <c r="AJ172" s="273"/>
      <c r="AK172" s="273"/>
      <c r="AL172" s="273"/>
      <c r="AM172" s="273"/>
      <c r="AN172" s="273"/>
      <c r="AO172" s="273"/>
      <c r="AP172" s="273"/>
      <c r="AQ172" s="273"/>
      <c r="AR172" s="273"/>
      <c r="AS172" s="273"/>
      <c r="AT172" s="273"/>
      <c r="AU172" s="273"/>
      <c r="AV172" s="273"/>
      <c r="AW172" s="273"/>
      <c r="AX172" s="273"/>
      <c r="AY172" s="273"/>
      <c r="AZ172" s="273"/>
      <c r="BA172" s="273"/>
    </row>
    <row r="173">
      <c r="A173" s="273"/>
      <c r="B173" s="273"/>
      <c r="C173" s="745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  <c r="AC173" s="273"/>
      <c r="AD173" s="273"/>
      <c r="AE173" s="273"/>
      <c r="AF173" s="273"/>
      <c r="AG173" s="273"/>
      <c r="AH173" s="273"/>
      <c r="AI173" s="273"/>
      <c r="AJ173" s="273"/>
      <c r="AK173" s="273"/>
      <c r="AL173" s="273"/>
      <c r="AM173" s="273"/>
      <c r="AN173" s="273"/>
      <c r="AO173" s="273"/>
      <c r="AP173" s="273"/>
      <c r="AQ173" s="273"/>
      <c r="AR173" s="273"/>
      <c r="AS173" s="273"/>
      <c r="AT173" s="273"/>
      <c r="AU173" s="273"/>
      <c r="AV173" s="273"/>
      <c r="AW173" s="273"/>
      <c r="AX173" s="273"/>
      <c r="AY173" s="273"/>
      <c r="AZ173" s="273"/>
      <c r="BA173" s="273"/>
    </row>
    <row r="174">
      <c r="A174" s="273"/>
      <c r="B174" s="273"/>
      <c r="C174" s="745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  <c r="AJ174" s="273"/>
      <c r="AK174" s="273"/>
      <c r="AL174" s="273"/>
      <c r="AM174" s="273"/>
      <c r="AN174" s="273"/>
      <c r="AO174" s="273"/>
      <c r="AP174" s="273"/>
      <c r="AQ174" s="273"/>
      <c r="AR174" s="273"/>
      <c r="AS174" s="273"/>
      <c r="AT174" s="273"/>
      <c r="AU174" s="273"/>
      <c r="AV174" s="273"/>
      <c r="AW174" s="273"/>
      <c r="AX174" s="273"/>
      <c r="AY174" s="273"/>
      <c r="AZ174" s="273"/>
      <c r="BA174" s="273"/>
    </row>
    <row r="175">
      <c r="A175" s="273"/>
      <c r="B175" s="273"/>
      <c r="C175" s="745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  <c r="AC175" s="273"/>
      <c r="AD175" s="273"/>
      <c r="AE175" s="273"/>
      <c r="AF175" s="273"/>
      <c r="AG175" s="273"/>
      <c r="AH175" s="273"/>
      <c r="AI175" s="273"/>
      <c r="AJ175" s="273"/>
      <c r="AK175" s="273"/>
      <c r="AL175" s="273"/>
      <c r="AM175" s="273"/>
      <c r="AN175" s="273"/>
      <c r="AO175" s="273"/>
      <c r="AP175" s="273"/>
      <c r="AQ175" s="273"/>
      <c r="AR175" s="273"/>
      <c r="AS175" s="273"/>
      <c r="AT175" s="273"/>
      <c r="AU175" s="273"/>
      <c r="AV175" s="273"/>
      <c r="AW175" s="273"/>
      <c r="AX175" s="273"/>
      <c r="AY175" s="273"/>
      <c r="AZ175" s="273"/>
      <c r="BA175" s="273"/>
    </row>
    <row r="176">
      <c r="A176" s="273"/>
      <c r="B176" s="273"/>
      <c r="C176" s="745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  <c r="AJ176" s="273"/>
      <c r="AK176" s="273"/>
      <c r="AL176" s="273"/>
      <c r="AM176" s="273"/>
      <c r="AN176" s="273"/>
      <c r="AO176" s="273"/>
      <c r="AP176" s="273"/>
      <c r="AQ176" s="273"/>
      <c r="AR176" s="273"/>
      <c r="AS176" s="273"/>
      <c r="AT176" s="273"/>
      <c r="AU176" s="273"/>
      <c r="AV176" s="273"/>
      <c r="AW176" s="273"/>
      <c r="AX176" s="273"/>
      <c r="AY176" s="273"/>
      <c r="AZ176" s="273"/>
      <c r="BA176" s="273"/>
    </row>
    <row r="177">
      <c r="A177" s="273"/>
      <c r="B177" s="273"/>
      <c r="C177" s="745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  <c r="AJ177" s="273"/>
      <c r="AK177" s="273"/>
      <c r="AL177" s="273"/>
      <c r="AM177" s="273"/>
      <c r="AN177" s="273"/>
      <c r="AO177" s="273"/>
      <c r="AP177" s="273"/>
      <c r="AQ177" s="273"/>
      <c r="AR177" s="273"/>
      <c r="AS177" s="273"/>
      <c r="AT177" s="273"/>
      <c r="AU177" s="273"/>
      <c r="AV177" s="273"/>
      <c r="AW177" s="273"/>
      <c r="AX177" s="273"/>
      <c r="AY177" s="273"/>
      <c r="AZ177" s="273"/>
      <c r="BA177" s="273"/>
    </row>
    <row r="178">
      <c r="A178" s="273"/>
      <c r="B178" s="273"/>
      <c r="C178" s="745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  <c r="AJ178" s="273"/>
      <c r="AK178" s="273"/>
      <c r="AL178" s="273"/>
      <c r="AM178" s="273"/>
      <c r="AN178" s="273"/>
      <c r="AO178" s="273"/>
      <c r="AP178" s="273"/>
      <c r="AQ178" s="273"/>
      <c r="AR178" s="273"/>
      <c r="AS178" s="273"/>
      <c r="AT178" s="273"/>
      <c r="AU178" s="273"/>
      <c r="AV178" s="273"/>
      <c r="AW178" s="273"/>
      <c r="AX178" s="273"/>
      <c r="AY178" s="273"/>
      <c r="AZ178" s="273"/>
      <c r="BA178" s="273"/>
    </row>
    <row r="179">
      <c r="A179" s="273"/>
      <c r="B179" s="273"/>
      <c r="C179" s="745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  <c r="AC179" s="273"/>
      <c r="AD179" s="273"/>
      <c r="AE179" s="273"/>
      <c r="AF179" s="273"/>
      <c r="AG179" s="273"/>
      <c r="AH179" s="273"/>
      <c r="AI179" s="273"/>
      <c r="AJ179" s="273"/>
      <c r="AK179" s="273"/>
      <c r="AL179" s="273"/>
      <c r="AM179" s="273"/>
      <c r="AN179" s="273"/>
      <c r="AO179" s="273"/>
      <c r="AP179" s="273"/>
      <c r="AQ179" s="273"/>
      <c r="AR179" s="273"/>
      <c r="AS179" s="273"/>
      <c r="AT179" s="273"/>
      <c r="AU179" s="273"/>
      <c r="AV179" s="273"/>
      <c r="AW179" s="273"/>
      <c r="AX179" s="273"/>
      <c r="AY179" s="273"/>
      <c r="AZ179" s="273"/>
      <c r="BA179" s="273"/>
    </row>
    <row r="180">
      <c r="A180" s="273"/>
      <c r="B180" s="273"/>
      <c r="C180" s="745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  <c r="AJ180" s="273"/>
      <c r="AK180" s="273"/>
      <c r="AL180" s="273"/>
      <c r="AM180" s="273"/>
      <c r="AN180" s="273"/>
      <c r="AO180" s="273"/>
      <c r="AP180" s="273"/>
      <c r="AQ180" s="273"/>
      <c r="AR180" s="273"/>
      <c r="AS180" s="273"/>
      <c r="AT180" s="273"/>
      <c r="AU180" s="273"/>
      <c r="AV180" s="273"/>
      <c r="AW180" s="273"/>
      <c r="AX180" s="273"/>
      <c r="AY180" s="273"/>
      <c r="AZ180" s="273"/>
      <c r="BA180" s="273"/>
    </row>
    <row r="181">
      <c r="A181" s="273"/>
      <c r="B181" s="273"/>
      <c r="C181" s="745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  <c r="AC181" s="273"/>
      <c r="AD181" s="273"/>
      <c r="AE181" s="273"/>
      <c r="AF181" s="273"/>
      <c r="AG181" s="273"/>
      <c r="AH181" s="273"/>
      <c r="AI181" s="273"/>
      <c r="AJ181" s="273"/>
      <c r="AK181" s="273"/>
      <c r="AL181" s="273"/>
      <c r="AM181" s="273"/>
      <c r="AN181" s="273"/>
      <c r="AO181" s="273"/>
      <c r="AP181" s="273"/>
      <c r="AQ181" s="273"/>
      <c r="AR181" s="273"/>
      <c r="AS181" s="273"/>
      <c r="AT181" s="273"/>
      <c r="AU181" s="273"/>
      <c r="AV181" s="273"/>
      <c r="AW181" s="273"/>
      <c r="AX181" s="273"/>
      <c r="AY181" s="273"/>
      <c r="AZ181" s="273"/>
      <c r="BA181" s="273"/>
    </row>
    <row r="182">
      <c r="A182" s="273"/>
      <c r="B182" s="273"/>
      <c r="C182" s="745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  <c r="AJ182" s="273"/>
      <c r="AK182" s="273"/>
      <c r="AL182" s="273"/>
      <c r="AM182" s="273"/>
      <c r="AN182" s="273"/>
      <c r="AO182" s="273"/>
      <c r="AP182" s="273"/>
      <c r="AQ182" s="273"/>
      <c r="AR182" s="273"/>
      <c r="AS182" s="273"/>
      <c r="AT182" s="273"/>
      <c r="AU182" s="273"/>
      <c r="AV182" s="273"/>
      <c r="AW182" s="273"/>
      <c r="AX182" s="273"/>
      <c r="AY182" s="273"/>
      <c r="AZ182" s="273"/>
      <c r="BA182" s="273"/>
    </row>
    <row r="183">
      <c r="A183" s="273"/>
      <c r="B183" s="273"/>
      <c r="C183" s="745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  <c r="AC183" s="273"/>
      <c r="AD183" s="273"/>
      <c r="AE183" s="273"/>
      <c r="AF183" s="273"/>
      <c r="AG183" s="273"/>
      <c r="AH183" s="273"/>
      <c r="AI183" s="273"/>
      <c r="AJ183" s="273"/>
      <c r="AK183" s="273"/>
      <c r="AL183" s="273"/>
      <c r="AM183" s="273"/>
      <c r="AN183" s="273"/>
      <c r="AO183" s="273"/>
      <c r="AP183" s="273"/>
      <c r="AQ183" s="273"/>
      <c r="AR183" s="273"/>
      <c r="AS183" s="273"/>
      <c r="AT183" s="273"/>
      <c r="AU183" s="273"/>
      <c r="AV183" s="273"/>
      <c r="AW183" s="273"/>
      <c r="AX183" s="273"/>
      <c r="AY183" s="273"/>
      <c r="AZ183" s="273"/>
      <c r="BA183" s="273"/>
    </row>
    <row r="184">
      <c r="A184" s="273"/>
      <c r="B184" s="273"/>
      <c r="C184" s="745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  <c r="AJ184" s="273"/>
      <c r="AK184" s="273"/>
      <c r="AL184" s="273"/>
      <c r="AM184" s="273"/>
      <c r="AN184" s="273"/>
      <c r="AO184" s="273"/>
      <c r="AP184" s="273"/>
      <c r="AQ184" s="273"/>
      <c r="AR184" s="273"/>
      <c r="AS184" s="273"/>
      <c r="AT184" s="273"/>
      <c r="AU184" s="273"/>
      <c r="AV184" s="273"/>
      <c r="AW184" s="273"/>
      <c r="AX184" s="273"/>
      <c r="AY184" s="273"/>
      <c r="AZ184" s="273"/>
      <c r="BA184" s="273"/>
    </row>
    <row r="185">
      <c r="A185" s="273"/>
      <c r="B185" s="273"/>
      <c r="C185" s="745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  <c r="AC185" s="273"/>
      <c r="AD185" s="273"/>
      <c r="AE185" s="273"/>
      <c r="AF185" s="273"/>
      <c r="AG185" s="273"/>
      <c r="AH185" s="273"/>
      <c r="AI185" s="273"/>
      <c r="AJ185" s="273"/>
      <c r="AK185" s="273"/>
      <c r="AL185" s="273"/>
      <c r="AM185" s="273"/>
      <c r="AN185" s="273"/>
      <c r="AO185" s="273"/>
      <c r="AP185" s="273"/>
      <c r="AQ185" s="273"/>
      <c r="AR185" s="273"/>
      <c r="AS185" s="273"/>
      <c r="AT185" s="273"/>
      <c r="AU185" s="273"/>
      <c r="AV185" s="273"/>
      <c r="AW185" s="273"/>
      <c r="AX185" s="273"/>
      <c r="AY185" s="273"/>
      <c r="AZ185" s="273"/>
      <c r="BA185" s="273"/>
    </row>
    <row r="186">
      <c r="A186" s="273"/>
      <c r="B186" s="273"/>
      <c r="C186" s="745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  <c r="AJ186" s="273"/>
      <c r="AK186" s="273"/>
      <c r="AL186" s="273"/>
      <c r="AM186" s="273"/>
      <c r="AN186" s="273"/>
      <c r="AO186" s="273"/>
      <c r="AP186" s="273"/>
      <c r="AQ186" s="273"/>
      <c r="AR186" s="273"/>
      <c r="AS186" s="273"/>
      <c r="AT186" s="273"/>
      <c r="AU186" s="273"/>
      <c r="AV186" s="273"/>
      <c r="AW186" s="273"/>
      <c r="AX186" s="273"/>
      <c r="AY186" s="273"/>
      <c r="AZ186" s="273"/>
      <c r="BA186" s="273"/>
    </row>
    <row r="187">
      <c r="A187" s="273"/>
      <c r="B187" s="273"/>
      <c r="C187" s="745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  <c r="AC187" s="273"/>
      <c r="AD187" s="273"/>
      <c r="AE187" s="273"/>
      <c r="AF187" s="273"/>
      <c r="AG187" s="273"/>
      <c r="AH187" s="273"/>
      <c r="AI187" s="273"/>
      <c r="AJ187" s="273"/>
      <c r="AK187" s="273"/>
      <c r="AL187" s="273"/>
      <c r="AM187" s="273"/>
      <c r="AN187" s="273"/>
      <c r="AO187" s="273"/>
      <c r="AP187" s="273"/>
      <c r="AQ187" s="273"/>
      <c r="AR187" s="273"/>
      <c r="AS187" s="273"/>
      <c r="AT187" s="273"/>
      <c r="AU187" s="273"/>
      <c r="AV187" s="273"/>
      <c r="AW187" s="273"/>
      <c r="AX187" s="273"/>
      <c r="AY187" s="273"/>
      <c r="AZ187" s="273"/>
      <c r="BA187" s="273"/>
    </row>
    <row r="188">
      <c r="A188" s="273"/>
      <c r="B188" s="273"/>
      <c r="C188" s="745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  <c r="AJ188" s="273"/>
      <c r="AK188" s="273"/>
      <c r="AL188" s="273"/>
      <c r="AM188" s="273"/>
      <c r="AN188" s="273"/>
      <c r="AO188" s="273"/>
      <c r="AP188" s="273"/>
      <c r="AQ188" s="273"/>
      <c r="AR188" s="273"/>
      <c r="AS188" s="273"/>
      <c r="AT188" s="273"/>
      <c r="AU188" s="273"/>
      <c r="AV188" s="273"/>
      <c r="AW188" s="273"/>
      <c r="AX188" s="273"/>
      <c r="AY188" s="273"/>
      <c r="AZ188" s="273"/>
      <c r="BA188" s="273"/>
    </row>
    <row r="189">
      <c r="A189" s="273"/>
      <c r="B189" s="273"/>
      <c r="C189" s="745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  <c r="AD189" s="273"/>
      <c r="AE189" s="273"/>
      <c r="AF189" s="273"/>
      <c r="AG189" s="273"/>
      <c r="AH189" s="273"/>
      <c r="AI189" s="273"/>
      <c r="AJ189" s="273"/>
      <c r="AK189" s="273"/>
      <c r="AL189" s="273"/>
      <c r="AM189" s="273"/>
      <c r="AN189" s="273"/>
      <c r="AO189" s="273"/>
      <c r="AP189" s="273"/>
      <c r="AQ189" s="273"/>
      <c r="AR189" s="273"/>
      <c r="AS189" s="273"/>
      <c r="AT189" s="273"/>
      <c r="AU189" s="273"/>
      <c r="AV189" s="273"/>
      <c r="AW189" s="273"/>
      <c r="AX189" s="273"/>
      <c r="AY189" s="273"/>
      <c r="AZ189" s="273"/>
      <c r="BA189" s="273"/>
    </row>
    <row r="190">
      <c r="A190" s="273"/>
      <c r="B190" s="273"/>
      <c r="C190" s="745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  <c r="AJ190" s="273"/>
      <c r="AK190" s="273"/>
      <c r="AL190" s="273"/>
      <c r="AM190" s="273"/>
      <c r="AN190" s="273"/>
      <c r="AO190" s="273"/>
      <c r="AP190" s="273"/>
      <c r="AQ190" s="273"/>
      <c r="AR190" s="273"/>
      <c r="AS190" s="273"/>
      <c r="AT190" s="273"/>
      <c r="AU190" s="273"/>
      <c r="AV190" s="273"/>
      <c r="AW190" s="273"/>
      <c r="AX190" s="273"/>
      <c r="AY190" s="273"/>
      <c r="AZ190" s="273"/>
      <c r="BA190" s="273"/>
    </row>
    <row r="191">
      <c r="A191" s="273"/>
      <c r="B191" s="273"/>
      <c r="C191" s="745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  <c r="AC191" s="273"/>
      <c r="AD191" s="273"/>
      <c r="AE191" s="273"/>
      <c r="AF191" s="273"/>
      <c r="AG191" s="273"/>
      <c r="AH191" s="273"/>
      <c r="AI191" s="273"/>
      <c r="AJ191" s="273"/>
      <c r="AK191" s="273"/>
      <c r="AL191" s="273"/>
      <c r="AM191" s="273"/>
      <c r="AN191" s="273"/>
      <c r="AO191" s="273"/>
      <c r="AP191" s="273"/>
      <c r="AQ191" s="273"/>
      <c r="AR191" s="273"/>
      <c r="AS191" s="273"/>
      <c r="AT191" s="273"/>
      <c r="AU191" s="273"/>
      <c r="AV191" s="273"/>
      <c r="AW191" s="273"/>
      <c r="AX191" s="273"/>
      <c r="AY191" s="273"/>
      <c r="AZ191" s="273"/>
      <c r="BA191" s="273"/>
    </row>
    <row r="192">
      <c r="A192" s="273"/>
      <c r="B192" s="273"/>
      <c r="C192" s="745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  <c r="AJ192" s="273"/>
      <c r="AK192" s="273"/>
      <c r="AL192" s="273"/>
      <c r="AM192" s="273"/>
      <c r="AN192" s="273"/>
      <c r="AO192" s="273"/>
      <c r="AP192" s="273"/>
      <c r="AQ192" s="273"/>
      <c r="AR192" s="273"/>
      <c r="AS192" s="273"/>
      <c r="AT192" s="273"/>
      <c r="AU192" s="273"/>
      <c r="AV192" s="273"/>
      <c r="AW192" s="273"/>
      <c r="AX192" s="273"/>
      <c r="AY192" s="273"/>
      <c r="AZ192" s="273"/>
      <c r="BA192" s="273"/>
    </row>
    <row r="193">
      <c r="A193" s="273"/>
      <c r="B193" s="273"/>
      <c r="C193" s="745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  <c r="AH193" s="273"/>
      <c r="AI193" s="273"/>
      <c r="AJ193" s="273"/>
      <c r="AK193" s="273"/>
      <c r="AL193" s="273"/>
      <c r="AM193" s="273"/>
      <c r="AN193" s="273"/>
      <c r="AO193" s="273"/>
      <c r="AP193" s="273"/>
      <c r="AQ193" s="273"/>
      <c r="AR193" s="273"/>
      <c r="AS193" s="273"/>
      <c r="AT193" s="273"/>
      <c r="AU193" s="273"/>
      <c r="AV193" s="273"/>
      <c r="AW193" s="273"/>
      <c r="AX193" s="273"/>
      <c r="AY193" s="273"/>
      <c r="AZ193" s="273"/>
      <c r="BA193" s="273"/>
    </row>
    <row r="194">
      <c r="A194" s="273"/>
      <c r="B194" s="273"/>
      <c r="C194" s="745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  <c r="AJ194" s="273"/>
      <c r="AK194" s="273"/>
      <c r="AL194" s="273"/>
      <c r="AM194" s="273"/>
      <c r="AN194" s="273"/>
      <c r="AO194" s="273"/>
      <c r="AP194" s="273"/>
      <c r="AQ194" s="273"/>
      <c r="AR194" s="273"/>
      <c r="AS194" s="273"/>
      <c r="AT194" s="273"/>
      <c r="AU194" s="273"/>
      <c r="AV194" s="273"/>
      <c r="AW194" s="273"/>
      <c r="AX194" s="273"/>
      <c r="AY194" s="273"/>
      <c r="AZ194" s="273"/>
      <c r="BA194" s="273"/>
    </row>
    <row r="195">
      <c r="A195" s="273"/>
      <c r="B195" s="273"/>
      <c r="C195" s="745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  <c r="AC195" s="273"/>
      <c r="AD195" s="273"/>
      <c r="AE195" s="273"/>
      <c r="AF195" s="273"/>
      <c r="AG195" s="273"/>
      <c r="AH195" s="273"/>
      <c r="AI195" s="273"/>
      <c r="AJ195" s="273"/>
      <c r="AK195" s="273"/>
      <c r="AL195" s="273"/>
      <c r="AM195" s="273"/>
      <c r="AN195" s="273"/>
      <c r="AO195" s="273"/>
      <c r="AP195" s="273"/>
      <c r="AQ195" s="273"/>
      <c r="AR195" s="273"/>
      <c r="AS195" s="273"/>
      <c r="AT195" s="273"/>
      <c r="AU195" s="273"/>
      <c r="AV195" s="273"/>
      <c r="AW195" s="273"/>
      <c r="AX195" s="273"/>
      <c r="AY195" s="273"/>
      <c r="AZ195" s="273"/>
      <c r="BA195" s="273"/>
    </row>
    <row r="196">
      <c r="A196" s="273"/>
      <c r="B196" s="273"/>
      <c r="C196" s="745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273"/>
      <c r="AO196" s="273"/>
      <c r="AP196" s="273"/>
      <c r="AQ196" s="273"/>
      <c r="AR196" s="273"/>
      <c r="AS196" s="273"/>
      <c r="AT196" s="273"/>
      <c r="AU196" s="273"/>
      <c r="AV196" s="273"/>
      <c r="AW196" s="273"/>
      <c r="AX196" s="273"/>
      <c r="AY196" s="273"/>
      <c r="AZ196" s="273"/>
      <c r="BA196" s="273"/>
    </row>
    <row r="197">
      <c r="A197" s="273"/>
      <c r="B197" s="273"/>
      <c r="C197" s="745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  <c r="AJ197" s="273"/>
      <c r="AK197" s="273"/>
      <c r="AL197" s="273"/>
      <c r="AM197" s="273"/>
      <c r="AN197" s="273"/>
      <c r="AO197" s="273"/>
      <c r="AP197" s="273"/>
      <c r="AQ197" s="273"/>
      <c r="AR197" s="273"/>
      <c r="AS197" s="273"/>
      <c r="AT197" s="273"/>
      <c r="AU197" s="273"/>
      <c r="AV197" s="273"/>
      <c r="AW197" s="273"/>
      <c r="AX197" s="273"/>
      <c r="AY197" s="273"/>
      <c r="AZ197" s="273"/>
      <c r="BA197" s="273"/>
    </row>
    <row r="198">
      <c r="A198" s="273"/>
      <c r="B198" s="273"/>
      <c r="C198" s="745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273"/>
      <c r="AP198" s="273"/>
      <c r="AQ198" s="273"/>
      <c r="AR198" s="273"/>
      <c r="AS198" s="273"/>
      <c r="AT198" s="273"/>
      <c r="AU198" s="273"/>
      <c r="AV198" s="273"/>
      <c r="AW198" s="273"/>
      <c r="AX198" s="273"/>
      <c r="AY198" s="273"/>
      <c r="AZ198" s="273"/>
      <c r="BA198" s="273"/>
    </row>
    <row r="199">
      <c r="A199" s="273"/>
      <c r="B199" s="273"/>
      <c r="C199" s="745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  <c r="AJ199" s="273"/>
      <c r="AK199" s="273"/>
      <c r="AL199" s="273"/>
      <c r="AM199" s="273"/>
      <c r="AN199" s="273"/>
      <c r="AO199" s="273"/>
      <c r="AP199" s="273"/>
      <c r="AQ199" s="273"/>
      <c r="AR199" s="273"/>
      <c r="AS199" s="273"/>
      <c r="AT199" s="273"/>
      <c r="AU199" s="273"/>
      <c r="AV199" s="273"/>
      <c r="AW199" s="273"/>
      <c r="AX199" s="273"/>
      <c r="AY199" s="273"/>
      <c r="AZ199" s="273"/>
      <c r="BA199" s="273"/>
    </row>
    <row r="200">
      <c r="A200" s="273"/>
      <c r="B200" s="273"/>
      <c r="C200" s="745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273"/>
      <c r="AP200" s="273"/>
      <c r="AQ200" s="273"/>
      <c r="AR200" s="273"/>
      <c r="AS200" s="273"/>
      <c r="AT200" s="273"/>
      <c r="AU200" s="273"/>
      <c r="AV200" s="273"/>
      <c r="AW200" s="273"/>
      <c r="AX200" s="273"/>
      <c r="AY200" s="273"/>
      <c r="AZ200" s="273"/>
      <c r="BA200" s="273"/>
    </row>
    <row r="201">
      <c r="A201" s="273"/>
      <c r="B201" s="273"/>
      <c r="C201" s="745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  <c r="AJ201" s="273"/>
      <c r="AK201" s="273"/>
      <c r="AL201" s="273"/>
      <c r="AM201" s="273"/>
      <c r="AN201" s="273"/>
      <c r="AO201" s="273"/>
      <c r="AP201" s="273"/>
      <c r="AQ201" s="273"/>
      <c r="AR201" s="273"/>
      <c r="AS201" s="273"/>
      <c r="AT201" s="273"/>
      <c r="AU201" s="273"/>
      <c r="AV201" s="273"/>
      <c r="AW201" s="273"/>
      <c r="AX201" s="273"/>
      <c r="AY201" s="273"/>
      <c r="AZ201" s="273"/>
      <c r="BA201" s="273"/>
    </row>
    <row r="202">
      <c r="A202" s="273"/>
      <c r="B202" s="273"/>
      <c r="C202" s="745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273"/>
      <c r="AP202" s="273"/>
      <c r="AQ202" s="273"/>
      <c r="AR202" s="273"/>
      <c r="AS202" s="273"/>
      <c r="AT202" s="273"/>
      <c r="AU202" s="273"/>
      <c r="AV202" s="273"/>
      <c r="AW202" s="273"/>
      <c r="AX202" s="273"/>
      <c r="AY202" s="273"/>
      <c r="AZ202" s="273"/>
      <c r="BA202" s="273"/>
    </row>
    <row r="203">
      <c r="A203" s="273"/>
      <c r="B203" s="273"/>
      <c r="C203" s="745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73"/>
      <c r="AP203" s="273"/>
      <c r="AQ203" s="273"/>
      <c r="AR203" s="273"/>
      <c r="AS203" s="273"/>
      <c r="AT203" s="273"/>
      <c r="AU203" s="273"/>
      <c r="AV203" s="273"/>
      <c r="AW203" s="273"/>
      <c r="AX203" s="273"/>
      <c r="AY203" s="273"/>
      <c r="AZ203" s="273"/>
      <c r="BA203" s="273"/>
    </row>
    <row r="204">
      <c r="A204" s="273"/>
      <c r="B204" s="273"/>
      <c r="C204" s="745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273"/>
      <c r="AP204" s="273"/>
      <c r="AQ204" s="273"/>
      <c r="AR204" s="273"/>
      <c r="AS204" s="273"/>
      <c r="AT204" s="273"/>
      <c r="AU204" s="273"/>
      <c r="AV204" s="273"/>
      <c r="AW204" s="273"/>
      <c r="AX204" s="273"/>
      <c r="AY204" s="273"/>
      <c r="AZ204" s="273"/>
      <c r="BA204" s="273"/>
    </row>
    <row r="205">
      <c r="A205" s="273"/>
      <c r="B205" s="273"/>
      <c r="C205" s="745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</row>
    <row r="206">
      <c r="A206" s="273"/>
      <c r="B206" s="273"/>
      <c r="C206" s="745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</row>
    <row r="207">
      <c r="A207" s="273"/>
      <c r="B207" s="273"/>
      <c r="C207" s="745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</row>
    <row r="208">
      <c r="A208" s="273"/>
      <c r="B208" s="273"/>
      <c r="C208" s="745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</row>
    <row r="209">
      <c r="A209" s="273"/>
      <c r="B209" s="273"/>
      <c r="C209" s="745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</row>
    <row r="210">
      <c r="A210" s="273"/>
      <c r="B210" s="273"/>
      <c r="C210" s="745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273"/>
      <c r="AP210" s="273"/>
      <c r="AQ210" s="273"/>
      <c r="AR210" s="273"/>
      <c r="AS210" s="273"/>
      <c r="AT210" s="273"/>
      <c r="AU210" s="273"/>
      <c r="AV210" s="273"/>
      <c r="AW210" s="273"/>
      <c r="AX210" s="273"/>
      <c r="AY210" s="273"/>
      <c r="AZ210" s="273"/>
      <c r="BA210" s="273"/>
    </row>
    <row r="211">
      <c r="A211" s="273"/>
      <c r="B211" s="273"/>
      <c r="C211" s="745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  <c r="AJ211" s="273"/>
      <c r="AK211" s="273"/>
      <c r="AL211" s="273"/>
      <c r="AM211" s="273"/>
      <c r="AN211" s="273"/>
      <c r="AO211" s="273"/>
      <c r="AP211" s="273"/>
      <c r="AQ211" s="273"/>
      <c r="AR211" s="273"/>
      <c r="AS211" s="273"/>
      <c r="AT211" s="273"/>
      <c r="AU211" s="273"/>
      <c r="AV211" s="273"/>
      <c r="AW211" s="273"/>
      <c r="AX211" s="273"/>
      <c r="AY211" s="273"/>
      <c r="AZ211" s="273"/>
      <c r="BA211" s="273"/>
    </row>
    <row r="212">
      <c r="A212" s="273"/>
      <c r="B212" s="273"/>
      <c r="C212" s="745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273"/>
      <c r="AP212" s="273"/>
      <c r="AQ212" s="273"/>
      <c r="AR212" s="273"/>
      <c r="AS212" s="273"/>
      <c r="AT212" s="273"/>
      <c r="AU212" s="273"/>
      <c r="AV212" s="273"/>
      <c r="AW212" s="273"/>
      <c r="AX212" s="273"/>
      <c r="AY212" s="273"/>
      <c r="AZ212" s="273"/>
      <c r="BA212" s="273"/>
    </row>
    <row r="213">
      <c r="A213" s="273"/>
      <c r="B213" s="273"/>
      <c r="C213" s="745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  <c r="AJ213" s="273"/>
      <c r="AK213" s="273"/>
      <c r="AL213" s="273"/>
      <c r="AM213" s="273"/>
      <c r="AN213" s="273"/>
      <c r="AO213" s="273"/>
      <c r="AP213" s="273"/>
      <c r="AQ213" s="273"/>
      <c r="AR213" s="273"/>
      <c r="AS213" s="273"/>
      <c r="AT213" s="273"/>
      <c r="AU213" s="273"/>
      <c r="AV213" s="273"/>
      <c r="AW213" s="273"/>
      <c r="AX213" s="273"/>
      <c r="AY213" s="273"/>
      <c r="AZ213" s="273"/>
      <c r="BA213" s="273"/>
    </row>
    <row r="214">
      <c r="A214" s="273"/>
      <c r="B214" s="273"/>
      <c r="C214" s="745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273"/>
      <c r="AP214" s="273"/>
      <c r="AQ214" s="273"/>
      <c r="AR214" s="273"/>
      <c r="AS214" s="273"/>
      <c r="AT214" s="273"/>
      <c r="AU214" s="273"/>
      <c r="AV214" s="273"/>
      <c r="AW214" s="273"/>
      <c r="AX214" s="273"/>
      <c r="AY214" s="273"/>
      <c r="AZ214" s="273"/>
      <c r="BA214" s="273"/>
    </row>
    <row r="215">
      <c r="A215" s="273"/>
      <c r="B215" s="273"/>
      <c r="C215" s="745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  <c r="AJ215" s="273"/>
      <c r="AK215" s="273"/>
      <c r="AL215" s="273"/>
      <c r="AM215" s="273"/>
      <c r="AN215" s="273"/>
      <c r="AO215" s="273"/>
      <c r="AP215" s="273"/>
      <c r="AQ215" s="273"/>
      <c r="AR215" s="273"/>
      <c r="AS215" s="273"/>
      <c r="AT215" s="273"/>
      <c r="AU215" s="273"/>
      <c r="AV215" s="273"/>
      <c r="AW215" s="273"/>
      <c r="AX215" s="273"/>
      <c r="AY215" s="273"/>
      <c r="AZ215" s="273"/>
      <c r="BA215" s="273"/>
    </row>
    <row r="216">
      <c r="A216" s="273"/>
      <c r="B216" s="273"/>
      <c r="C216" s="745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273"/>
      <c r="AP216" s="273"/>
      <c r="AQ216" s="273"/>
      <c r="AR216" s="273"/>
      <c r="AS216" s="273"/>
      <c r="AT216" s="273"/>
      <c r="AU216" s="273"/>
      <c r="AV216" s="273"/>
      <c r="AW216" s="273"/>
      <c r="AX216" s="273"/>
      <c r="AY216" s="273"/>
      <c r="AZ216" s="273"/>
      <c r="BA216" s="273"/>
    </row>
    <row r="217">
      <c r="A217" s="273"/>
      <c r="B217" s="273"/>
      <c r="C217" s="745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  <c r="AJ217" s="273"/>
      <c r="AK217" s="273"/>
      <c r="AL217" s="273"/>
      <c r="AM217" s="273"/>
      <c r="AN217" s="273"/>
      <c r="AO217" s="273"/>
      <c r="AP217" s="273"/>
      <c r="AQ217" s="273"/>
      <c r="AR217" s="273"/>
      <c r="AS217" s="273"/>
      <c r="AT217" s="273"/>
      <c r="AU217" s="273"/>
      <c r="AV217" s="273"/>
      <c r="AW217" s="273"/>
      <c r="AX217" s="273"/>
      <c r="AY217" s="273"/>
      <c r="AZ217" s="273"/>
      <c r="BA217" s="273"/>
    </row>
    <row r="218">
      <c r="A218" s="273"/>
      <c r="B218" s="273"/>
      <c r="C218" s="745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273"/>
      <c r="AP218" s="273"/>
      <c r="AQ218" s="273"/>
      <c r="AR218" s="273"/>
      <c r="AS218" s="273"/>
      <c r="AT218" s="273"/>
      <c r="AU218" s="273"/>
      <c r="AV218" s="273"/>
      <c r="AW218" s="273"/>
      <c r="AX218" s="273"/>
      <c r="AY218" s="273"/>
      <c r="AZ218" s="273"/>
      <c r="BA218" s="273"/>
    </row>
    <row r="219">
      <c r="A219" s="273"/>
      <c r="B219" s="273"/>
      <c r="C219" s="745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273"/>
      <c r="AL219" s="273"/>
      <c r="AM219" s="273"/>
      <c r="AN219" s="273"/>
      <c r="AO219" s="273"/>
      <c r="AP219" s="273"/>
      <c r="AQ219" s="273"/>
      <c r="AR219" s="273"/>
      <c r="AS219" s="273"/>
      <c r="AT219" s="273"/>
      <c r="AU219" s="273"/>
      <c r="AV219" s="273"/>
      <c r="AW219" s="273"/>
      <c r="AX219" s="273"/>
      <c r="AY219" s="273"/>
      <c r="AZ219" s="273"/>
      <c r="BA219" s="273"/>
    </row>
    <row r="220">
      <c r="A220" s="273"/>
      <c r="B220" s="273"/>
      <c r="C220" s="745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273"/>
      <c r="AP220" s="273"/>
      <c r="AQ220" s="273"/>
      <c r="AR220" s="273"/>
      <c r="AS220" s="273"/>
      <c r="AT220" s="273"/>
      <c r="AU220" s="273"/>
      <c r="AV220" s="273"/>
      <c r="AW220" s="273"/>
      <c r="AX220" s="273"/>
      <c r="AY220" s="273"/>
      <c r="AZ220" s="273"/>
      <c r="BA220" s="273"/>
    </row>
    <row r="221">
      <c r="A221" s="273"/>
      <c r="B221" s="273"/>
      <c r="C221" s="745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  <c r="AJ221" s="273"/>
      <c r="AK221" s="273"/>
      <c r="AL221" s="273"/>
      <c r="AM221" s="273"/>
      <c r="AN221" s="273"/>
      <c r="AO221" s="273"/>
      <c r="AP221" s="273"/>
      <c r="AQ221" s="273"/>
      <c r="AR221" s="273"/>
      <c r="AS221" s="273"/>
      <c r="AT221" s="273"/>
      <c r="AU221" s="273"/>
      <c r="AV221" s="273"/>
      <c r="AW221" s="273"/>
      <c r="AX221" s="273"/>
      <c r="AY221" s="273"/>
      <c r="AZ221" s="273"/>
      <c r="BA221" s="273"/>
    </row>
    <row r="222">
      <c r="A222" s="273"/>
      <c r="B222" s="273"/>
      <c r="C222" s="745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273"/>
      <c r="AP222" s="273"/>
      <c r="AQ222" s="273"/>
      <c r="AR222" s="273"/>
      <c r="AS222" s="273"/>
      <c r="AT222" s="273"/>
      <c r="AU222" s="273"/>
      <c r="AV222" s="273"/>
      <c r="AW222" s="273"/>
      <c r="AX222" s="273"/>
      <c r="AY222" s="273"/>
      <c r="AZ222" s="273"/>
      <c r="BA222" s="273"/>
    </row>
    <row r="223">
      <c r="A223" s="273"/>
      <c r="B223" s="273"/>
      <c r="C223" s="745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  <c r="AJ223" s="273"/>
      <c r="AK223" s="273"/>
      <c r="AL223" s="273"/>
      <c r="AM223" s="273"/>
      <c r="AN223" s="273"/>
      <c r="AO223" s="273"/>
      <c r="AP223" s="273"/>
      <c r="AQ223" s="273"/>
      <c r="AR223" s="273"/>
      <c r="AS223" s="273"/>
      <c r="AT223" s="273"/>
      <c r="AU223" s="273"/>
      <c r="AV223" s="273"/>
      <c r="AW223" s="273"/>
      <c r="AX223" s="273"/>
      <c r="AY223" s="273"/>
      <c r="AZ223" s="273"/>
      <c r="BA223" s="273"/>
    </row>
    <row r="224">
      <c r="A224" s="273"/>
      <c r="B224" s="273"/>
      <c r="C224" s="745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73"/>
      <c r="AS224" s="273"/>
      <c r="AT224" s="273"/>
      <c r="AU224" s="273"/>
      <c r="AV224" s="273"/>
      <c r="AW224" s="273"/>
      <c r="AX224" s="273"/>
      <c r="AY224" s="273"/>
      <c r="AZ224" s="273"/>
      <c r="BA224" s="273"/>
    </row>
    <row r="225">
      <c r="A225" s="273"/>
      <c r="B225" s="273"/>
      <c r="C225" s="745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273"/>
      <c r="AM225" s="273"/>
      <c r="AN225" s="273"/>
      <c r="AO225" s="273"/>
      <c r="AP225" s="273"/>
      <c r="AQ225" s="273"/>
      <c r="AR225" s="273"/>
      <c r="AS225" s="273"/>
      <c r="AT225" s="273"/>
      <c r="AU225" s="273"/>
      <c r="AV225" s="273"/>
      <c r="AW225" s="273"/>
      <c r="AX225" s="273"/>
      <c r="AY225" s="273"/>
      <c r="AZ225" s="273"/>
      <c r="BA225" s="273"/>
    </row>
    <row r="226">
      <c r="A226" s="273"/>
      <c r="B226" s="273"/>
      <c r="C226" s="745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</row>
    <row r="227">
      <c r="A227" s="273"/>
      <c r="B227" s="273"/>
      <c r="C227" s="745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73"/>
      <c r="AS227" s="273"/>
      <c r="AT227" s="273"/>
      <c r="AU227" s="273"/>
      <c r="AV227" s="273"/>
      <c r="AW227" s="273"/>
      <c r="AX227" s="273"/>
      <c r="AY227" s="273"/>
      <c r="AZ227" s="273"/>
      <c r="BA227" s="273"/>
    </row>
    <row r="228">
      <c r="A228" s="273"/>
      <c r="B228" s="273"/>
      <c r="C228" s="745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273"/>
      <c r="AP228" s="273"/>
      <c r="AQ228" s="273"/>
      <c r="AR228" s="273"/>
      <c r="AS228" s="273"/>
      <c r="AT228" s="273"/>
      <c r="AU228" s="273"/>
      <c r="AV228" s="273"/>
      <c r="AW228" s="273"/>
      <c r="AX228" s="273"/>
      <c r="AY228" s="273"/>
      <c r="AZ228" s="273"/>
      <c r="BA228" s="273"/>
    </row>
    <row r="229">
      <c r="A229" s="273"/>
      <c r="B229" s="273"/>
      <c r="C229" s="745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</row>
    <row r="230">
      <c r="A230" s="273"/>
      <c r="B230" s="273"/>
      <c r="C230" s="745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273"/>
      <c r="AP230" s="273"/>
      <c r="AQ230" s="273"/>
      <c r="AR230" s="273"/>
      <c r="AS230" s="273"/>
      <c r="AT230" s="273"/>
      <c r="AU230" s="273"/>
      <c r="AV230" s="273"/>
      <c r="AW230" s="273"/>
      <c r="AX230" s="273"/>
      <c r="AY230" s="273"/>
      <c r="AZ230" s="273"/>
      <c r="BA230" s="273"/>
    </row>
    <row r="231">
      <c r="A231" s="273"/>
      <c r="B231" s="273"/>
      <c r="C231" s="745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  <c r="AJ231" s="273"/>
      <c r="AK231" s="273"/>
      <c r="AL231" s="273"/>
      <c r="AM231" s="273"/>
      <c r="AN231" s="273"/>
      <c r="AO231" s="273"/>
      <c r="AP231" s="273"/>
      <c r="AQ231" s="273"/>
      <c r="AR231" s="273"/>
      <c r="AS231" s="273"/>
      <c r="AT231" s="273"/>
      <c r="AU231" s="273"/>
      <c r="AV231" s="273"/>
      <c r="AW231" s="273"/>
      <c r="AX231" s="273"/>
      <c r="AY231" s="273"/>
      <c r="AZ231" s="273"/>
      <c r="BA231" s="273"/>
    </row>
    <row r="232">
      <c r="A232" s="273"/>
      <c r="B232" s="273"/>
      <c r="C232" s="745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273"/>
      <c r="AP232" s="273"/>
      <c r="AQ232" s="273"/>
      <c r="AR232" s="273"/>
      <c r="AS232" s="273"/>
      <c r="AT232" s="273"/>
      <c r="AU232" s="273"/>
      <c r="AV232" s="273"/>
      <c r="AW232" s="273"/>
      <c r="AX232" s="273"/>
      <c r="AY232" s="273"/>
      <c r="AZ232" s="273"/>
      <c r="BA232" s="273"/>
    </row>
    <row r="233">
      <c r="A233" s="273"/>
      <c r="B233" s="273"/>
      <c r="C233" s="745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  <c r="AJ233" s="273"/>
      <c r="AK233" s="273"/>
      <c r="AL233" s="273"/>
      <c r="AM233" s="273"/>
      <c r="AN233" s="273"/>
      <c r="AO233" s="273"/>
      <c r="AP233" s="273"/>
      <c r="AQ233" s="273"/>
      <c r="AR233" s="273"/>
      <c r="AS233" s="273"/>
      <c r="AT233" s="273"/>
      <c r="AU233" s="273"/>
      <c r="AV233" s="273"/>
      <c r="AW233" s="273"/>
      <c r="AX233" s="273"/>
      <c r="AY233" s="273"/>
      <c r="AZ233" s="273"/>
      <c r="BA233" s="273"/>
    </row>
    <row r="234">
      <c r="A234" s="273"/>
      <c r="B234" s="273"/>
      <c r="C234" s="745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273"/>
      <c r="AP234" s="273"/>
      <c r="AQ234" s="273"/>
      <c r="AR234" s="273"/>
      <c r="AS234" s="273"/>
      <c r="AT234" s="273"/>
      <c r="AU234" s="273"/>
      <c r="AV234" s="273"/>
      <c r="AW234" s="273"/>
      <c r="AX234" s="273"/>
      <c r="AY234" s="273"/>
      <c r="AZ234" s="273"/>
      <c r="BA234" s="273"/>
    </row>
    <row r="235">
      <c r="A235" s="273"/>
      <c r="B235" s="273"/>
      <c r="C235" s="745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  <c r="AJ235" s="273"/>
      <c r="AK235" s="273"/>
      <c r="AL235" s="273"/>
      <c r="AM235" s="273"/>
      <c r="AN235" s="273"/>
      <c r="AO235" s="273"/>
      <c r="AP235" s="273"/>
      <c r="AQ235" s="273"/>
      <c r="AR235" s="273"/>
      <c r="AS235" s="273"/>
      <c r="AT235" s="273"/>
      <c r="AU235" s="273"/>
      <c r="AV235" s="273"/>
      <c r="AW235" s="273"/>
      <c r="AX235" s="273"/>
      <c r="AY235" s="273"/>
      <c r="AZ235" s="273"/>
      <c r="BA235" s="273"/>
    </row>
    <row r="236">
      <c r="A236" s="273"/>
      <c r="B236" s="273"/>
      <c r="C236" s="745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</row>
    <row r="237">
      <c r="A237" s="273"/>
      <c r="B237" s="273"/>
      <c r="C237" s="745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  <c r="AJ237" s="273"/>
      <c r="AK237" s="273"/>
      <c r="AL237" s="273"/>
      <c r="AM237" s="273"/>
      <c r="AN237" s="273"/>
      <c r="AO237" s="273"/>
      <c r="AP237" s="273"/>
      <c r="AQ237" s="273"/>
      <c r="AR237" s="273"/>
      <c r="AS237" s="273"/>
      <c r="AT237" s="273"/>
      <c r="AU237" s="273"/>
      <c r="AV237" s="273"/>
      <c r="AW237" s="273"/>
      <c r="AX237" s="273"/>
      <c r="AY237" s="273"/>
      <c r="AZ237" s="273"/>
      <c r="BA237" s="273"/>
    </row>
    <row r="238">
      <c r="A238" s="273"/>
      <c r="B238" s="273"/>
      <c r="C238" s="745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273"/>
      <c r="AP238" s="273"/>
      <c r="AQ238" s="273"/>
      <c r="AR238" s="273"/>
      <c r="AS238" s="273"/>
      <c r="AT238" s="273"/>
      <c r="AU238" s="273"/>
      <c r="AV238" s="273"/>
      <c r="AW238" s="273"/>
      <c r="AX238" s="273"/>
      <c r="AY238" s="273"/>
      <c r="AZ238" s="273"/>
      <c r="BA238" s="273"/>
    </row>
    <row r="239">
      <c r="A239" s="273"/>
      <c r="B239" s="273"/>
      <c r="C239" s="745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  <c r="AJ239" s="273"/>
      <c r="AK239" s="273"/>
      <c r="AL239" s="273"/>
      <c r="AM239" s="273"/>
      <c r="AN239" s="273"/>
      <c r="AO239" s="273"/>
      <c r="AP239" s="273"/>
      <c r="AQ239" s="273"/>
      <c r="AR239" s="273"/>
      <c r="AS239" s="273"/>
      <c r="AT239" s="273"/>
      <c r="AU239" s="273"/>
      <c r="AV239" s="273"/>
      <c r="AW239" s="273"/>
      <c r="AX239" s="273"/>
      <c r="AY239" s="273"/>
      <c r="AZ239" s="273"/>
      <c r="BA239" s="273"/>
    </row>
    <row r="240">
      <c r="A240" s="273"/>
      <c r="B240" s="273"/>
      <c r="C240" s="745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273"/>
      <c r="AP240" s="273"/>
      <c r="AQ240" s="273"/>
      <c r="AR240" s="273"/>
      <c r="AS240" s="273"/>
      <c r="AT240" s="273"/>
      <c r="AU240" s="273"/>
      <c r="AV240" s="273"/>
      <c r="AW240" s="273"/>
      <c r="AX240" s="273"/>
      <c r="AY240" s="273"/>
      <c r="AZ240" s="273"/>
      <c r="BA240" s="273"/>
    </row>
    <row r="241">
      <c r="A241" s="273"/>
      <c r="B241" s="273"/>
      <c r="C241" s="745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  <c r="AJ241" s="273"/>
      <c r="AK241" s="273"/>
      <c r="AL241" s="273"/>
      <c r="AM241" s="273"/>
      <c r="AN241" s="273"/>
      <c r="AO241" s="273"/>
      <c r="AP241" s="273"/>
      <c r="AQ241" s="273"/>
      <c r="AR241" s="273"/>
      <c r="AS241" s="273"/>
      <c r="AT241" s="273"/>
      <c r="AU241" s="273"/>
      <c r="AV241" s="273"/>
      <c r="AW241" s="273"/>
      <c r="AX241" s="273"/>
      <c r="AY241" s="273"/>
      <c r="AZ241" s="273"/>
      <c r="BA241" s="273"/>
    </row>
    <row r="242">
      <c r="A242" s="273"/>
      <c r="B242" s="273"/>
      <c r="C242" s="745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273"/>
      <c r="AP242" s="273"/>
      <c r="AQ242" s="273"/>
      <c r="AR242" s="273"/>
      <c r="AS242" s="273"/>
      <c r="AT242" s="273"/>
      <c r="AU242" s="273"/>
      <c r="AV242" s="273"/>
      <c r="AW242" s="273"/>
      <c r="AX242" s="273"/>
      <c r="AY242" s="273"/>
      <c r="AZ242" s="273"/>
      <c r="BA242" s="273"/>
    </row>
    <row r="243">
      <c r="A243" s="273"/>
      <c r="B243" s="273"/>
      <c r="C243" s="745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  <c r="AJ243" s="273"/>
      <c r="AK243" s="273"/>
      <c r="AL243" s="273"/>
      <c r="AM243" s="273"/>
      <c r="AN243" s="273"/>
      <c r="AO243" s="273"/>
      <c r="AP243" s="273"/>
      <c r="AQ243" s="273"/>
      <c r="AR243" s="273"/>
      <c r="AS243" s="273"/>
      <c r="AT243" s="273"/>
      <c r="AU243" s="273"/>
      <c r="AV243" s="273"/>
      <c r="AW243" s="273"/>
      <c r="AX243" s="273"/>
      <c r="AY243" s="273"/>
      <c r="AZ243" s="273"/>
      <c r="BA243" s="273"/>
    </row>
    <row r="244">
      <c r="A244" s="273"/>
      <c r="B244" s="273"/>
      <c r="C244" s="745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273"/>
      <c r="AP244" s="273"/>
      <c r="AQ244" s="273"/>
      <c r="AR244" s="273"/>
      <c r="AS244" s="273"/>
      <c r="AT244" s="273"/>
      <c r="AU244" s="273"/>
      <c r="AV244" s="273"/>
      <c r="AW244" s="273"/>
      <c r="AX244" s="273"/>
      <c r="AY244" s="273"/>
      <c r="AZ244" s="273"/>
      <c r="BA244" s="273"/>
    </row>
    <row r="245">
      <c r="A245" s="273"/>
      <c r="B245" s="273"/>
      <c r="C245" s="745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  <c r="AJ245" s="273"/>
      <c r="AK245" s="273"/>
      <c r="AL245" s="273"/>
      <c r="AM245" s="273"/>
      <c r="AN245" s="273"/>
      <c r="AO245" s="273"/>
      <c r="AP245" s="273"/>
      <c r="AQ245" s="273"/>
      <c r="AR245" s="273"/>
      <c r="AS245" s="273"/>
      <c r="AT245" s="273"/>
      <c r="AU245" s="273"/>
      <c r="AV245" s="273"/>
      <c r="AW245" s="273"/>
      <c r="AX245" s="273"/>
      <c r="AY245" s="273"/>
      <c r="AZ245" s="273"/>
      <c r="BA245" s="273"/>
    </row>
    <row r="246">
      <c r="A246" s="273"/>
      <c r="B246" s="273"/>
      <c r="C246" s="745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273"/>
      <c r="AP246" s="273"/>
      <c r="AQ246" s="273"/>
      <c r="AR246" s="273"/>
      <c r="AS246" s="273"/>
      <c r="AT246" s="273"/>
      <c r="AU246" s="273"/>
      <c r="AV246" s="273"/>
      <c r="AW246" s="273"/>
      <c r="AX246" s="273"/>
      <c r="AY246" s="273"/>
      <c r="AZ246" s="273"/>
      <c r="BA246" s="273"/>
    </row>
    <row r="247">
      <c r="A247" s="273"/>
      <c r="B247" s="273"/>
      <c r="C247" s="745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</row>
    <row r="248">
      <c r="A248" s="273"/>
      <c r="B248" s="273"/>
      <c r="C248" s="745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73"/>
      <c r="AS248" s="273"/>
      <c r="AT248" s="273"/>
      <c r="AU248" s="273"/>
      <c r="AV248" s="273"/>
      <c r="AW248" s="273"/>
      <c r="AX248" s="273"/>
      <c r="AY248" s="273"/>
      <c r="AZ248" s="273"/>
      <c r="BA248" s="273"/>
    </row>
    <row r="249">
      <c r="A249" s="273"/>
      <c r="B249" s="273"/>
      <c r="C249" s="745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  <c r="AJ249" s="273"/>
      <c r="AK249" s="273"/>
      <c r="AL249" s="273"/>
      <c r="AM249" s="273"/>
      <c r="AN249" s="273"/>
      <c r="AO249" s="273"/>
      <c r="AP249" s="273"/>
      <c r="AQ249" s="273"/>
      <c r="AR249" s="273"/>
      <c r="AS249" s="273"/>
      <c r="AT249" s="273"/>
      <c r="AU249" s="273"/>
      <c r="AV249" s="273"/>
      <c r="AW249" s="273"/>
      <c r="AX249" s="273"/>
      <c r="AY249" s="273"/>
      <c r="AZ249" s="273"/>
      <c r="BA249" s="273"/>
    </row>
    <row r="250">
      <c r="A250" s="273"/>
      <c r="B250" s="273"/>
      <c r="C250" s="745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273"/>
      <c r="AP250" s="273"/>
      <c r="AQ250" s="273"/>
      <c r="AR250" s="273"/>
      <c r="AS250" s="273"/>
      <c r="AT250" s="273"/>
      <c r="AU250" s="273"/>
      <c r="AV250" s="273"/>
      <c r="AW250" s="273"/>
      <c r="AX250" s="273"/>
      <c r="AY250" s="273"/>
      <c r="AZ250" s="273"/>
      <c r="BA250" s="273"/>
    </row>
    <row r="251">
      <c r="A251" s="273"/>
      <c r="B251" s="273"/>
      <c r="C251" s="745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  <c r="AJ251" s="273"/>
      <c r="AK251" s="273"/>
      <c r="AL251" s="273"/>
      <c r="AM251" s="273"/>
      <c r="AN251" s="273"/>
      <c r="AO251" s="273"/>
      <c r="AP251" s="273"/>
      <c r="AQ251" s="273"/>
      <c r="AR251" s="273"/>
      <c r="AS251" s="273"/>
      <c r="AT251" s="273"/>
      <c r="AU251" s="273"/>
      <c r="AV251" s="273"/>
      <c r="AW251" s="273"/>
      <c r="AX251" s="273"/>
      <c r="AY251" s="273"/>
      <c r="AZ251" s="273"/>
      <c r="BA251" s="273"/>
    </row>
    <row r="252">
      <c r="A252" s="273"/>
      <c r="B252" s="273"/>
      <c r="C252" s="745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</row>
    <row r="253">
      <c r="A253" s="273"/>
      <c r="B253" s="273"/>
      <c r="C253" s="745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  <c r="AJ253" s="273"/>
      <c r="AK253" s="273"/>
      <c r="AL253" s="273"/>
      <c r="AM253" s="273"/>
      <c r="AN253" s="273"/>
      <c r="AO253" s="273"/>
      <c r="AP253" s="273"/>
      <c r="AQ253" s="273"/>
      <c r="AR253" s="273"/>
      <c r="AS253" s="273"/>
      <c r="AT253" s="273"/>
      <c r="AU253" s="273"/>
      <c r="AV253" s="273"/>
      <c r="AW253" s="273"/>
      <c r="AX253" s="273"/>
      <c r="AY253" s="273"/>
      <c r="AZ253" s="273"/>
      <c r="BA253" s="273"/>
    </row>
    <row r="254">
      <c r="A254" s="273"/>
      <c r="B254" s="273"/>
      <c r="C254" s="745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73"/>
      <c r="AS254" s="273"/>
      <c r="AT254" s="273"/>
      <c r="AU254" s="273"/>
      <c r="AV254" s="273"/>
      <c r="AW254" s="273"/>
      <c r="AX254" s="273"/>
      <c r="AY254" s="273"/>
      <c r="AZ254" s="273"/>
      <c r="BA254" s="273"/>
    </row>
    <row r="255">
      <c r="A255" s="273"/>
      <c r="B255" s="273"/>
      <c r="C255" s="745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  <c r="AJ255" s="273"/>
      <c r="AK255" s="273"/>
      <c r="AL255" s="273"/>
      <c r="AM255" s="273"/>
      <c r="AN255" s="273"/>
      <c r="AO255" s="273"/>
      <c r="AP255" s="273"/>
      <c r="AQ255" s="273"/>
      <c r="AR255" s="273"/>
      <c r="AS255" s="273"/>
      <c r="AT255" s="273"/>
      <c r="AU255" s="273"/>
      <c r="AV255" s="273"/>
      <c r="AW255" s="273"/>
      <c r="AX255" s="273"/>
      <c r="AY255" s="273"/>
      <c r="AZ255" s="273"/>
      <c r="BA255" s="273"/>
    </row>
    <row r="256">
      <c r="A256" s="273"/>
      <c r="B256" s="273"/>
      <c r="C256" s="745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273"/>
      <c r="AP256" s="273"/>
      <c r="AQ256" s="273"/>
      <c r="AR256" s="273"/>
      <c r="AS256" s="273"/>
      <c r="AT256" s="273"/>
      <c r="AU256" s="273"/>
      <c r="AV256" s="273"/>
      <c r="AW256" s="273"/>
      <c r="AX256" s="273"/>
      <c r="AY256" s="273"/>
      <c r="AZ256" s="273"/>
      <c r="BA256" s="273"/>
    </row>
    <row r="257">
      <c r="A257" s="273"/>
      <c r="B257" s="273"/>
      <c r="C257" s="745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</row>
    <row r="258">
      <c r="A258" s="273"/>
      <c r="B258" s="273"/>
      <c r="C258" s="745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273"/>
      <c r="AP258" s="273"/>
      <c r="AQ258" s="273"/>
      <c r="AR258" s="273"/>
      <c r="AS258" s="273"/>
      <c r="AT258" s="273"/>
      <c r="AU258" s="273"/>
      <c r="AV258" s="273"/>
      <c r="AW258" s="273"/>
      <c r="AX258" s="273"/>
      <c r="AY258" s="273"/>
      <c r="AZ258" s="273"/>
      <c r="BA258" s="273"/>
    </row>
    <row r="259">
      <c r="A259" s="273"/>
      <c r="B259" s="273"/>
      <c r="C259" s="745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  <c r="AJ259" s="273"/>
      <c r="AK259" s="273"/>
      <c r="AL259" s="273"/>
      <c r="AM259" s="273"/>
      <c r="AN259" s="273"/>
      <c r="AO259" s="273"/>
      <c r="AP259" s="273"/>
      <c r="AQ259" s="273"/>
      <c r="AR259" s="273"/>
      <c r="AS259" s="273"/>
      <c r="AT259" s="273"/>
      <c r="AU259" s="273"/>
      <c r="AV259" s="273"/>
      <c r="AW259" s="273"/>
      <c r="AX259" s="273"/>
      <c r="AY259" s="273"/>
      <c r="AZ259" s="273"/>
      <c r="BA259" s="273"/>
    </row>
    <row r="260">
      <c r="A260" s="273"/>
      <c r="B260" s="273"/>
      <c r="C260" s="745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273"/>
      <c r="AP260" s="273"/>
      <c r="AQ260" s="273"/>
      <c r="AR260" s="273"/>
      <c r="AS260" s="273"/>
      <c r="AT260" s="273"/>
      <c r="AU260" s="273"/>
      <c r="AV260" s="273"/>
      <c r="AW260" s="273"/>
      <c r="AX260" s="273"/>
      <c r="AY260" s="273"/>
      <c r="AZ260" s="273"/>
      <c r="BA260" s="273"/>
    </row>
    <row r="261">
      <c r="A261" s="273"/>
      <c r="B261" s="273"/>
      <c r="C261" s="745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  <c r="AJ261" s="273"/>
      <c r="AK261" s="273"/>
      <c r="AL261" s="273"/>
      <c r="AM261" s="273"/>
      <c r="AN261" s="273"/>
      <c r="AO261" s="273"/>
      <c r="AP261" s="273"/>
      <c r="AQ261" s="273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</row>
    <row r="262">
      <c r="A262" s="273"/>
      <c r="B262" s="273"/>
      <c r="C262" s="745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273"/>
      <c r="AP262" s="273"/>
      <c r="AQ262" s="273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</row>
    <row r="263">
      <c r="A263" s="273"/>
      <c r="B263" s="273"/>
      <c r="C263" s="745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273"/>
      <c r="AO263" s="273"/>
      <c r="AP263" s="273"/>
      <c r="AQ263" s="273"/>
      <c r="AR263" s="273"/>
      <c r="AS263" s="273"/>
      <c r="AT263" s="273"/>
      <c r="AU263" s="273"/>
      <c r="AV263" s="273"/>
      <c r="AW263" s="273"/>
      <c r="AX263" s="273"/>
      <c r="AY263" s="273"/>
      <c r="AZ263" s="273"/>
      <c r="BA263" s="273"/>
    </row>
    <row r="264">
      <c r="A264" s="273"/>
      <c r="B264" s="273"/>
      <c r="C264" s="745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273"/>
      <c r="AP264" s="273"/>
      <c r="AQ264" s="273"/>
      <c r="AR264" s="273"/>
      <c r="AS264" s="273"/>
      <c r="AT264" s="273"/>
      <c r="AU264" s="273"/>
      <c r="AV264" s="273"/>
      <c r="AW264" s="273"/>
      <c r="AX264" s="273"/>
      <c r="AY264" s="273"/>
      <c r="AZ264" s="273"/>
      <c r="BA264" s="273"/>
    </row>
    <row r="265">
      <c r="A265" s="273"/>
      <c r="B265" s="273"/>
      <c r="C265" s="745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  <c r="AJ265" s="273"/>
      <c r="AK265" s="273"/>
      <c r="AL265" s="273"/>
      <c r="AM265" s="273"/>
      <c r="AN265" s="273"/>
      <c r="AO265" s="273"/>
      <c r="AP265" s="273"/>
      <c r="AQ265" s="273"/>
      <c r="AR265" s="273"/>
      <c r="AS265" s="273"/>
      <c r="AT265" s="273"/>
      <c r="AU265" s="273"/>
      <c r="AV265" s="273"/>
      <c r="AW265" s="273"/>
      <c r="AX265" s="273"/>
      <c r="AY265" s="273"/>
      <c r="AZ265" s="273"/>
      <c r="BA265" s="273"/>
    </row>
    <row r="266">
      <c r="A266" s="273"/>
      <c r="B266" s="273"/>
      <c r="C266" s="745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273"/>
      <c r="AP266" s="273"/>
      <c r="AQ266" s="273"/>
      <c r="AR266" s="273"/>
      <c r="AS266" s="273"/>
      <c r="AT266" s="273"/>
      <c r="AU266" s="273"/>
      <c r="AV266" s="273"/>
      <c r="AW266" s="273"/>
      <c r="AX266" s="273"/>
      <c r="AY266" s="273"/>
      <c r="AZ266" s="273"/>
      <c r="BA266" s="273"/>
    </row>
    <row r="267">
      <c r="A267" s="273"/>
      <c r="B267" s="273"/>
      <c r="C267" s="745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  <c r="AJ267" s="273"/>
      <c r="AK267" s="273"/>
      <c r="AL267" s="273"/>
      <c r="AM267" s="273"/>
      <c r="AN267" s="273"/>
      <c r="AO267" s="273"/>
      <c r="AP267" s="273"/>
      <c r="AQ267" s="273"/>
      <c r="AR267" s="273"/>
      <c r="AS267" s="273"/>
      <c r="AT267" s="273"/>
      <c r="AU267" s="273"/>
      <c r="AV267" s="273"/>
      <c r="AW267" s="273"/>
      <c r="AX267" s="273"/>
      <c r="AY267" s="273"/>
      <c r="AZ267" s="273"/>
      <c r="BA267" s="273"/>
    </row>
    <row r="268">
      <c r="A268" s="273"/>
      <c r="B268" s="273"/>
      <c r="C268" s="745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273"/>
      <c r="AP268" s="273"/>
      <c r="AQ268" s="273"/>
      <c r="AR268" s="273"/>
      <c r="AS268" s="273"/>
      <c r="AT268" s="273"/>
      <c r="AU268" s="273"/>
      <c r="AV268" s="273"/>
      <c r="AW268" s="273"/>
      <c r="AX268" s="273"/>
      <c r="AY268" s="273"/>
      <c r="AZ268" s="273"/>
      <c r="BA268" s="273"/>
    </row>
    <row r="269">
      <c r="A269" s="273"/>
      <c r="B269" s="273"/>
      <c r="C269" s="745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</row>
    <row r="270">
      <c r="A270" s="273"/>
      <c r="B270" s="273"/>
      <c r="C270" s="745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273"/>
      <c r="AP270" s="273"/>
      <c r="AQ270" s="273"/>
      <c r="AR270" s="273"/>
      <c r="AS270" s="273"/>
      <c r="AT270" s="273"/>
      <c r="AU270" s="273"/>
      <c r="AV270" s="273"/>
      <c r="AW270" s="273"/>
      <c r="AX270" s="273"/>
      <c r="AY270" s="273"/>
      <c r="AZ270" s="273"/>
      <c r="BA270" s="273"/>
    </row>
    <row r="271">
      <c r="A271" s="273"/>
      <c r="B271" s="273"/>
      <c r="C271" s="745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  <c r="AJ271" s="273"/>
      <c r="AK271" s="273"/>
      <c r="AL271" s="273"/>
      <c r="AM271" s="273"/>
      <c r="AN271" s="273"/>
      <c r="AO271" s="273"/>
      <c r="AP271" s="273"/>
      <c r="AQ271" s="273"/>
      <c r="AR271" s="273"/>
      <c r="AS271" s="273"/>
      <c r="AT271" s="273"/>
      <c r="AU271" s="273"/>
      <c r="AV271" s="273"/>
      <c r="AW271" s="273"/>
      <c r="AX271" s="273"/>
      <c r="AY271" s="273"/>
      <c r="AZ271" s="273"/>
      <c r="BA271" s="273"/>
    </row>
    <row r="272">
      <c r="A272" s="273"/>
      <c r="B272" s="273"/>
      <c r="C272" s="745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273"/>
      <c r="AP272" s="273"/>
      <c r="AQ272" s="273"/>
      <c r="AR272" s="273"/>
      <c r="AS272" s="273"/>
      <c r="AT272" s="273"/>
      <c r="AU272" s="273"/>
      <c r="AV272" s="273"/>
      <c r="AW272" s="273"/>
      <c r="AX272" s="273"/>
      <c r="AY272" s="273"/>
      <c r="AZ272" s="273"/>
      <c r="BA272" s="273"/>
    </row>
    <row r="273">
      <c r="A273" s="273"/>
      <c r="B273" s="273"/>
      <c r="C273" s="745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  <c r="AJ273" s="273"/>
      <c r="AK273" s="273"/>
      <c r="AL273" s="273"/>
      <c r="AM273" s="273"/>
      <c r="AN273" s="273"/>
      <c r="AO273" s="273"/>
      <c r="AP273" s="273"/>
      <c r="AQ273" s="273"/>
      <c r="AR273" s="273"/>
      <c r="AS273" s="273"/>
      <c r="AT273" s="273"/>
      <c r="AU273" s="273"/>
      <c r="AV273" s="273"/>
      <c r="AW273" s="273"/>
      <c r="AX273" s="273"/>
      <c r="AY273" s="273"/>
      <c r="AZ273" s="273"/>
      <c r="BA273" s="273"/>
    </row>
    <row r="274">
      <c r="A274" s="273"/>
      <c r="B274" s="273"/>
      <c r="C274" s="745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273"/>
      <c r="AP274" s="273"/>
      <c r="AQ274" s="273"/>
      <c r="AR274" s="273"/>
      <c r="AS274" s="273"/>
      <c r="AT274" s="273"/>
      <c r="AU274" s="273"/>
      <c r="AV274" s="273"/>
      <c r="AW274" s="273"/>
      <c r="AX274" s="273"/>
      <c r="AY274" s="273"/>
      <c r="AZ274" s="273"/>
      <c r="BA274" s="273"/>
    </row>
    <row r="275">
      <c r="A275" s="273"/>
      <c r="B275" s="273"/>
      <c r="C275" s="745"/>
      <c r="D275" s="273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  <c r="AJ275" s="273"/>
      <c r="AK275" s="273"/>
      <c r="AL275" s="273"/>
      <c r="AM275" s="273"/>
      <c r="AN275" s="273"/>
      <c r="AO275" s="273"/>
      <c r="AP275" s="273"/>
      <c r="AQ275" s="273"/>
      <c r="AR275" s="273"/>
      <c r="AS275" s="273"/>
      <c r="AT275" s="273"/>
      <c r="AU275" s="273"/>
      <c r="AV275" s="273"/>
      <c r="AW275" s="273"/>
      <c r="AX275" s="273"/>
      <c r="AY275" s="273"/>
      <c r="AZ275" s="273"/>
      <c r="BA275" s="273"/>
    </row>
    <row r="276">
      <c r="A276" s="273"/>
      <c r="B276" s="273"/>
      <c r="C276" s="745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273"/>
      <c r="AP276" s="273"/>
      <c r="AQ276" s="273"/>
      <c r="AR276" s="273"/>
      <c r="AS276" s="273"/>
      <c r="AT276" s="273"/>
      <c r="AU276" s="273"/>
      <c r="AV276" s="273"/>
      <c r="AW276" s="273"/>
      <c r="AX276" s="273"/>
      <c r="AY276" s="273"/>
      <c r="AZ276" s="273"/>
      <c r="BA276" s="273"/>
    </row>
    <row r="277">
      <c r="A277" s="273"/>
      <c r="B277" s="273"/>
      <c r="C277" s="745"/>
      <c r="D277" s="273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</row>
    <row r="278">
      <c r="A278" s="273"/>
      <c r="B278" s="273"/>
      <c r="C278" s="745"/>
      <c r="D278" s="273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</row>
    <row r="279">
      <c r="A279" s="273"/>
      <c r="B279" s="273"/>
      <c r="C279" s="745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3"/>
      <c r="AQ279" s="273"/>
      <c r="AR279" s="273"/>
      <c r="AS279" s="273"/>
      <c r="AT279" s="273"/>
      <c r="AU279" s="273"/>
      <c r="AV279" s="273"/>
      <c r="AW279" s="273"/>
      <c r="AX279" s="273"/>
      <c r="AY279" s="273"/>
      <c r="AZ279" s="273"/>
      <c r="BA279" s="273"/>
    </row>
    <row r="280">
      <c r="A280" s="273"/>
      <c r="B280" s="273"/>
      <c r="C280" s="745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3"/>
      <c r="AQ280" s="273"/>
      <c r="AR280" s="273"/>
      <c r="AS280" s="273"/>
      <c r="AT280" s="273"/>
      <c r="AU280" s="273"/>
      <c r="AV280" s="273"/>
      <c r="AW280" s="273"/>
      <c r="AX280" s="273"/>
      <c r="AY280" s="273"/>
      <c r="AZ280" s="273"/>
      <c r="BA280" s="273"/>
    </row>
    <row r="281">
      <c r="A281" s="273"/>
      <c r="B281" s="273"/>
      <c r="C281" s="745"/>
      <c r="D281" s="273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</row>
    <row r="282">
      <c r="A282" s="273"/>
      <c r="B282" s="273"/>
      <c r="C282" s="745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</row>
    <row r="283">
      <c r="A283" s="273"/>
      <c r="B283" s="273"/>
      <c r="C283" s="745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</row>
    <row r="284">
      <c r="A284" s="273"/>
      <c r="B284" s="273"/>
      <c r="C284" s="745"/>
      <c r="D284" s="273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273"/>
      <c r="AP284" s="273"/>
      <c r="AQ284" s="273"/>
      <c r="AR284" s="273"/>
      <c r="AS284" s="273"/>
      <c r="AT284" s="273"/>
      <c r="AU284" s="273"/>
      <c r="AV284" s="273"/>
      <c r="AW284" s="273"/>
      <c r="AX284" s="273"/>
      <c r="AY284" s="273"/>
      <c r="AZ284" s="273"/>
      <c r="BA284" s="273"/>
    </row>
    <row r="285">
      <c r="A285" s="273"/>
      <c r="B285" s="273"/>
      <c r="C285" s="745"/>
      <c r="D285" s="273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  <c r="AJ285" s="273"/>
      <c r="AK285" s="273"/>
      <c r="AL285" s="273"/>
      <c r="AM285" s="273"/>
      <c r="AN285" s="273"/>
      <c r="AO285" s="273"/>
      <c r="AP285" s="273"/>
      <c r="AQ285" s="273"/>
      <c r="AR285" s="273"/>
      <c r="AS285" s="273"/>
      <c r="AT285" s="273"/>
      <c r="AU285" s="273"/>
      <c r="AV285" s="273"/>
      <c r="AW285" s="273"/>
      <c r="AX285" s="273"/>
      <c r="AY285" s="273"/>
      <c r="AZ285" s="273"/>
      <c r="BA285" s="273"/>
    </row>
    <row r="286">
      <c r="A286" s="273"/>
      <c r="B286" s="273"/>
      <c r="C286" s="745"/>
      <c r="D286" s="273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</row>
    <row r="287">
      <c r="A287" s="273"/>
      <c r="B287" s="273"/>
      <c r="C287" s="745"/>
      <c r="D287" s="273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</row>
    <row r="288">
      <c r="A288" s="273"/>
      <c r="B288" s="273"/>
      <c r="C288" s="745"/>
      <c r="D288" s="273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</row>
    <row r="289">
      <c r="A289" s="273"/>
      <c r="B289" s="273"/>
      <c r="C289" s="745"/>
      <c r="D289" s="273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  <c r="AJ289" s="273"/>
      <c r="AK289" s="273"/>
      <c r="AL289" s="273"/>
      <c r="AM289" s="273"/>
      <c r="AN289" s="273"/>
      <c r="AO289" s="273"/>
      <c r="AP289" s="273"/>
      <c r="AQ289" s="273"/>
      <c r="AR289" s="273"/>
      <c r="AS289" s="273"/>
      <c r="AT289" s="273"/>
      <c r="AU289" s="273"/>
      <c r="AV289" s="273"/>
      <c r="AW289" s="273"/>
      <c r="AX289" s="273"/>
      <c r="AY289" s="273"/>
      <c r="AZ289" s="273"/>
      <c r="BA289" s="273"/>
    </row>
    <row r="290">
      <c r="A290" s="273"/>
      <c r="B290" s="273"/>
      <c r="C290" s="745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273"/>
      <c r="AP290" s="273"/>
      <c r="AQ290" s="273"/>
      <c r="AR290" s="273"/>
      <c r="AS290" s="273"/>
      <c r="AT290" s="273"/>
      <c r="AU290" s="273"/>
      <c r="AV290" s="273"/>
      <c r="AW290" s="273"/>
      <c r="AX290" s="273"/>
      <c r="AY290" s="273"/>
      <c r="AZ290" s="273"/>
      <c r="BA290" s="273"/>
    </row>
    <row r="291">
      <c r="A291" s="273"/>
      <c r="B291" s="273"/>
      <c r="C291" s="745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  <c r="AJ291" s="273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</row>
    <row r="292">
      <c r="A292" s="273"/>
      <c r="B292" s="273"/>
      <c r="C292" s="745"/>
      <c r="D292" s="273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</row>
    <row r="293">
      <c r="A293" s="273"/>
      <c r="B293" s="273"/>
      <c r="C293" s="745"/>
      <c r="D293" s="273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</row>
    <row r="294">
      <c r="A294" s="273"/>
      <c r="B294" s="273"/>
      <c r="C294" s="745"/>
      <c r="D294" s="273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273"/>
      <c r="AP294" s="273"/>
      <c r="AQ294" s="273"/>
      <c r="AR294" s="273"/>
      <c r="AS294" s="273"/>
      <c r="AT294" s="273"/>
      <c r="AU294" s="273"/>
      <c r="AV294" s="273"/>
      <c r="AW294" s="273"/>
      <c r="AX294" s="273"/>
      <c r="AY294" s="273"/>
      <c r="AZ294" s="273"/>
      <c r="BA294" s="273"/>
    </row>
    <row r="295">
      <c r="A295" s="273"/>
      <c r="B295" s="273"/>
      <c r="C295" s="745"/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73"/>
      <c r="AS295" s="273"/>
      <c r="AT295" s="273"/>
      <c r="AU295" s="273"/>
      <c r="AV295" s="273"/>
      <c r="AW295" s="273"/>
      <c r="AX295" s="273"/>
      <c r="AY295" s="273"/>
      <c r="AZ295" s="273"/>
      <c r="BA295" s="273"/>
    </row>
    <row r="296">
      <c r="A296" s="273"/>
      <c r="B296" s="273"/>
      <c r="C296" s="745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</row>
    <row r="297">
      <c r="A297" s="273"/>
      <c r="B297" s="273"/>
      <c r="C297" s="745"/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</row>
    <row r="298">
      <c r="A298" s="273"/>
      <c r="B298" s="273"/>
      <c r="C298" s="745"/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</row>
    <row r="299">
      <c r="A299" s="273"/>
      <c r="B299" s="273"/>
      <c r="C299" s="745"/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  <c r="AJ299" s="273"/>
      <c r="AK299" s="273"/>
      <c r="AL299" s="273"/>
      <c r="AM299" s="273"/>
      <c r="AN299" s="273"/>
      <c r="AO299" s="273"/>
      <c r="AP299" s="273"/>
      <c r="AQ299" s="273"/>
      <c r="AR299" s="273"/>
      <c r="AS299" s="273"/>
      <c r="AT299" s="273"/>
      <c r="AU299" s="273"/>
      <c r="AV299" s="273"/>
      <c r="AW299" s="273"/>
      <c r="AX299" s="273"/>
      <c r="AY299" s="273"/>
      <c r="AZ299" s="273"/>
      <c r="BA299" s="273"/>
    </row>
    <row r="300">
      <c r="A300" s="273"/>
      <c r="B300" s="273"/>
      <c r="C300" s="745"/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273"/>
      <c r="AP300" s="273"/>
      <c r="AQ300" s="273"/>
      <c r="AR300" s="273"/>
      <c r="AS300" s="273"/>
      <c r="AT300" s="273"/>
      <c r="AU300" s="273"/>
      <c r="AV300" s="273"/>
      <c r="AW300" s="273"/>
      <c r="AX300" s="273"/>
      <c r="AY300" s="273"/>
      <c r="AZ300" s="273"/>
      <c r="BA300" s="273"/>
    </row>
    <row r="301">
      <c r="A301" s="273"/>
      <c r="B301" s="273"/>
      <c r="C301" s="745"/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  <c r="AJ301" s="273"/>
      <c r="AK301" s="273"/>
      <c r="AL301" s="273"/>
      <c r="AM301" s="273"/>
      <c r="AN301" s="273"/>
      <c r="AO301" s="273"/>
      <c r="AP301" s="273"/>
      <c r="AQ301" s="273"/>
      <c r="AR301" s="273"/>
      <c r="AS301" s="273"/>
      <c r="AT301" s="273"/>
      <c r="AU301" s="273"/>
      <c r="AV301" s="273"/>
      <c r="AW301" s="273"/>
      <c r="AX301" s="273"/>
      <c r="AY301" s="273"/>
      <c r="AZ301" s="273"/>
      <c r="BA301" s="273"/>
    </row>
    <row r="302">
      <c r="A302" s="273"/>
      <c r="B302" s="273"/>
      <c r="C302" s="745"/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</row>
    <row r="303">
      <c r="A303" s="273"/>
      <c r="B303" s="273"/>
      <c r="C303" s="745"/>
      <c r="D303" s="273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</row>
    <row r="304">
      <c r="A304" s="273"/>
      <c r="B304" s="273"/>
      <c r="C304" s="745"/>
      <c r="D304" s="273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273"/>
      <c r="AP304" s="273"/>
      <c r="AQ304" s="273"/>
      <c r="AR304" s="273"/>
      <c r="AS304" s="273"/>
      <c r="AT304" s="273"/>
      <c r="AU304" s="273"/>
      <c r="AV304" s="273"/>
      <c r="AW304" s="273"/>
      <c r="AX304" s="273"/>
      <c r="AY304" s="273"/>
      <c r="AZ304" s="273"/>
      <c r="BA304" s="273"/>
    </row>
    <row r="305">
      <c r="A305" s="273"/>
      <c r="B305" s="273"/>
      <c r="C305" s="745"/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  <c r="AJ305" s="273"/>
      <c r="AK305" s="273"/>
      <c r="AL305" s="273"/>
      <c r="AM305" s="273"/>
      <c r="AN305" s="273"/>
      <c r="AO305" s="273"/>
      <c r="AP305" s="273"/>
      <c r="AQ305" s="273"/>
      <c r="AR305" s="273"/>
      <c r="AS305" s="273"/>
      <c r="AT305" s="273"/>
      <c r="AU305" s="273"/>
      <c r="AV305" s="273"/>
      <c r="AW305" s="273"/>
      <c r="AX305" s="273"/>
      <c r="AY305" s="273"/>
      <c r="AZ305" s="273"/>
      <c r="BA305" s="273"/>
    </row>
    <row r="306">
      <c r="A306" s="273"/>
      <c r="B306" s="273"/>
      <c r="C306" s="745"/>
      <c r="D306" s="273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273"/>
      <c r="AP306" s="273"/>
      <c r="AQ306" s="273"/>
      <c r="AR306" s="273"/>
      <c r="AS306" s="273"/>
      <c r="AT306" s="273"/>
      <c r="AU306" s="273"/>
      <c r="AV306" s="273"/>
      <c r="AW306" s="273"/>
      <c r="AX306" s="273"/>
      <c r="AY306" s="273"/>
      <c r="AZ306" s="273"/>
      <c r="BA306" s="273"/>
    </row>
    <row r="307">
      <c r="A307" s="273"/>
      <c r="B307" s="273"/>
      <c r="C307" s="745"/>
      <c r="D307" s="273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  <c r="AJ307" s="273"/>
      <c r="AK307" s="273"/>
      <c r="AL307" s="273"/>
      <c r="AM307" s="273"/>
      <c r="AN307" s="273"/>
      <c r="AO307" s="273"/>
      <c r="AP307" s="273"/>
      <c r="AQ307" s="273"/>
      <c r="AR307" s="273"/>
      <c r="AS307" s="273"/>
      <c r="AT307" s="273"/>
      <c r="AU307" s="273"/>
      <c r="AV307" s="273"/>
      <c r="AW307" s="273"/>
      <c r="AX307" s="273"/>
      <c r="AY307" s="273"/>
      <c r="AZ307" s="273"/>
      <c r="BA307" s="273"/>
    </row>
    <row r="308">
      <c r="A308" s="273"/>
      <c r="B308" s="273"/>
      <c r="C308" s="745"/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273"/>
      <c r="AP308" s="273"/>
      <c r="AQ308" s="273"/>
      <c r="AR308" s="273"/>
      <c r="AS308" s="273"/>
      <c r="AT308" s="273"/>
      <c r="AU308" s="273"/>
      <c r="AV308" s="273"/>
      <c r="AW308" s="273"/>
      <c r="AX308" s="273"/>
      <c r="AY308" s="273"/>
      <c r="AZ308" s="273"/>
      <c r="BA308" s="273"/>
    </row>
    <row r="309">
      <c r="A309" s="273"/>
      <c r="B309" s="273"/>
      <c r="C309" s="745"/>
      <c r="D309" s="273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  <c r="AJ309" s="273"/>
      <c r="AK309" s="273"/>
      <c r="AL309" s="273"/>
      <c r="AM309" s="273"/>
      <c r="AN309" s="273"/>
      <c r="AO309" s="273"/>
      <c r="AP309" s="273"/>
      <c r="AQ309" s="273"/>
      <c r="AR309" s="273"/>
      <c r="AS309" s="273"/>
      <c r="AT309" s="273"/>
      <c r="AU309" s="273"/>
      <c r="AV309" s="273"/>
      <c r="AW309" s="273"/>
      <c r="AX309" s="273"/>
      <c r="AY309" s="273"/>
      <c r="AZ309" s="273"/>
      <c r="BA309" s="273"/>
    </row>
    <row r="310">
      <c r="A310" s="273"/>
      <c r="B310" s="273"/>
      <c r="C310" s="745"/>
      <c r="D310" s="273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273"/>
      <c r="AP310" s="273"/>
      <c r="AQ310" s="273"/>
      <c r="AR310" s="273"/>
      <c r="AS310" s="273"/>
      <c r="AT310" s="273"/>
      <c r="AU310" s="273"/>
      <c r="AV310" s="273"/>
      <c r="AW310" s="273"/>
      <c r="AX310" s="273"/>
      <c r="AY310" s="273"/>
      <c r="AZ310" s="273"/>
      <c r="BA310" s="273"/>
    </row>
    <row r="311">
      <c r="A311" s="273"/>
      <c r="B311" s="273"/>
      <c r="C311" s="745"/>
      <c r="D311" s="273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  <c r="AJ311" s="273"/>
      <c r="AK311" s="273"/>
      <c r="AL311" s="273"/>
      <c r="AM311" s="273"/>
      <c r="AN311" s="273"/>
      <c r="AO311" s="273"/>
      <c r="AP311" s="273"/>
      <c r="AQ311" s="273"/>
      <c r="AR311" s="273"/>
      <c r="AS311" s="273"/>
      <c r="AT311" s="273"/>
      <c r="AU311" s="273"/>
      <c r="AV311" s="273"/>
      <c r="AW311" s="273"/>
      <c r="AX311" s="273"/>
      <c r="AY311" s="273"/>
      <c r="AZ311" s="273"/>
      <c r="BA311" s="273"/>
    </row>
    <row r="312">
      <c r="A312" s="273"/>
      <c r="B312" s="273"/>
      <c r="C312" s="745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273"/>
      <c r="AP312" s="273"/>
      <c r="AQ312" s="273"/>
      <c r="AR312" s="273"/>
      <c r="AS312" s="273"/>
      <c r="AT312" s="273"/>
      <c r="AU312" s="273"/>
      <c r="AV312" s="273"/>
      <c r="AW312" s="273"/>
      <c r="AX312" s="273"/>
      <c r="AY312" s="273"/>
      <c r="AZ312" s="273"/>
      <c r="BA312" s="273"/>
    </row>
    <row r="313">
      <c r="A313" s="273"/>
      <c r="B313" s="273"/>
      <c r="C313" s="745"/>
      <c r="D313" s="273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  <c r="AJ313" s="273"/>
      <c r="AK313" s="273"/>
      <c r="AL313" s="273"/>
      <c r="AM313" s="273"/>
      <c r="AN313" s="273"/>
      <c r="AO313" s="273"/>
      <c r="AP313" s="273"/>
      <c r="AQ313" s="273"/>
      <c r="AR313" s="273"/>
      <c r="AS313" s="273"/>
      <c r="AT313" s="273"/>
      <c r="AU313" s="273"/>
      <c r="AV313" s="273"/>
      <c r="AW313" s="273"/>
      <c r="AX313" s="273"/>
      <c r="AY313" s="273"/>
      <c r="AZ313" s="273"/>
      <c r="BA313" s="273"/>
    </row>
    <row r="314">
      <c r="A314" s="273"/>
      <c r="B314" s="273"/>
      <c r="C314" s="745"/>
      <c r="D314" s="273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273"/>
      <c r="AP314" s="273"/>
      <c r="AQ314" s="273"/>
      <c r="AR314" s="273"/>
      <c r="AS314" s="273"/>
      <c r="AT314" s="273"/>
      <c r="AU314" s="273"/>
      <c r="AV314" s="273"/>
      <c r="AW314" s="273"/>
      <c r="AX314" s="273"/>
      <c r="AY314" s="273"/>
      <c r="AZ314" s="273"/>
      <c r="BA314" s="273"/>
    </row>
    <row r="315">
      <c r="A315" s="273"/>
      <c r="B315" s="273"/>
      <c r="C315" s="745"/>
      <c r="D315" s="273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  <c r="AJ315" s="273"/>
      <c r="AK315" s="273"/>
      <c r="AL315" s="273"/>
      <c r="AM315" s="273"/>
      <c r="AN315" s="273"/>
      <c r="AO315" s="273"/>
      <c r="AP315" s="273"/>
      <c r="AQ315" s="273"/>
      <c r="AR315" s="273"/>
      <c r="AS315" s="273"/>
      <c r="AT315" s="273"/>
      <c r="AU315" s="273"/>
      <c r="AV315" s="273"/>
      <c r="AW315" s="273"/>
      <c r="AX315" s="273"/>
      <c r="AY315" s="273"/>
      <c r="AZ315" s="273"/>
      <c r="BA315" s="273"/>
    </row>
    <row r="316">
      <c r="A316" s="273"/>
      <c r="B316" s="273"/>
      <c r="C316" s="745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273"/>
      <c r="AP316" s="273"/>
      <c r="AQ316" s="273"/>
      <c r="AR316" s="273"/>
      <c r="AS316" s="273"/>
      <c r="AT316" s="273"/>
      <c r="AU316" s="273"/>
      <c r="AV316" s="273"/>
      <c r="AW316" s="273"/>
      <c r="AX316" s="273"/>
      <c r="AY316" s="273"/>
      <c r="AZ316" s="273"/>
      <c r="BA316" s="273"/>
    </row>
    <row r="317">
      <c r="A317" s="273"/>
      <c r="B317" s="273"/>
      <c r="C317" s="745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  <c r="AJ317" s="273"/>
      <c r="AK317" s="273"/>
      <c r="AL317" s="273"/>
      <c r="AM317" s="273"/>
      <c r="AN317" s="273"/>
      <c r="AO317" s="273"/>
      <c r="AP317" s="273"/>
      <c r="AQ317" s="273"/>
      <c r="AR317" s="273"/>
      <c r="AS317" s="273"/>
      <c r="AT317" s="273"/>
      <c r="AU317" s="273"/>
      <c r="AV317" s="273"/>
      <c r="AW317" s="273"/>
      <c r="AX317" s="273"/>
      <c r="AY317" s="273"/>
      <c r="AZ317" s="273"/>
      <c r="BA317" s="273"/>
    </row>
    <row r="318">
      <c r="A318" s="273"/>
      <c r="B318" s="273"/>
      <c r="C318" s="745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273"/>
      <c r="AP318" s="273"/>
      <c r="AQ318" s="273"/>
      <c r="AR318" s="273"/>
      <c r="AS318" s="273"/>
      <c r="AT318" s="273"/>
      <c r="AU318" s="273"/>
      <c r="AV318" s="273"/>
      <c r="AW318" s="273"/>
      <c r="AX318" s="273"/>
      <c r="AY318" s="273"/>
      <c r="AZ318" s="273"/>
      <c r="BA318" s="273"/>
    </row>
    <row r="319">
      <c r="A319" s="273"/>
      <c r="B319" s="273"/>
      <c r="C319" s="745"/>
      <c r="D319" s="273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  <c r="AJ319" s="273"/>
      <c r="AK319" s="273"/>
      <c r="AL319" s="273"/>
      <c r="AM319" s="273"/>
      <c r="AN319" s="273"/>
      <c r="AO319" s="273"/>
      <c r="AP319" s="273"/>
      <c r="AQ319" s="273"/>
      <c r="AR319" s="273"/>
      <c r="AS319" s="273"/>
      <c r="AT319" s="273"/>
      <c r="AU319" s="273"/>
      <c r="AV319" s="273"/>
      <c r="AW319" s="273"/>
      <c r="AX319" s="273"/>
      <c r="AY319" s="273"/>
      <c r="AZ319" s="273"/>
      <c r="BA319" s="273"/>
    </row>
    <row r="320">
      <c r="A320" s="273"/>
      <c r="B320" s="273"/>
      <c r="C320" s="745"/>
      <c r="D320" s="273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273"/>
      <c r="AP320" s="273"/>
      <c r="AQ320" s="273"/>
      <c r="AR320" s="273"/>
      <c r="AS320" s="273"/>
      <c r="AT320" s="273"/>
      <c r="AU320" s="273"/>
      <c r="AV320" s="273"/>
      <c r="AW320" s="273"/>
      <c r="AX320" s="273"/>
      <c r="AY320" s="273"/>
      <c r="AZ320" s="273"/>
      <c r="BA320" s="273"/>
    </row>
    <row r="321">
      <c r="A321" s="273"/>
      <c r="B321" s="273"/>
      <c r="C321" s="745"/>
      <c r="D321" s="273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  <c r="AJ321" s="273"/>
      <c r="AK321" s="273"/>
      <c r="AL321" s="273"/>
      <c r="AM321" s="273"/>
      <c r="AN321" s="273"/>
      <c r="AO321" s="273"/>
      <c r="AP321" s="273"/>
      <c r="AQ321" s="273"/>
      <c r="AR321" s="273"/>
      <c r="AS321" s="273"/>
      <c r="AT321" s="273"/>
      <c r="AU321" s="273"/>
      <c r="AV321" s="273"/>
      <c r="AW321" s="273"/>
      <c r="AX321" s="273"/>
      <c r="AY321" s="273"/>
      <c r="AZ321" s="273"/>
      <c r="BA321" s="273"/>
    </row>
    <row r="322">
      <c r="A322" s="273"/>
      <c r="B322" s="273"/>
      <c r="C322" s="745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273"/>
      <c r="AP322" s="273"/>
      <c r="AQ322" s="273"/>
      <c r="AR322" s="273"/>
      <c r="AS322" s="273"/>
      <c r="AT322" s="273"/>
      <c r="AU322" s="273"/>
      <c r="AV322" s="273"/>
      <c r="AW322" s="273"/>
      <c r="AX322" s="273"/>
      <c r="AY322" s="273"/>
      <c r="AZ322" s="273"/>
      <c r="BA322" s="273"/>
    </row>
    <row r="323">
      <c r="A323" s="273"/>
      <c r="B323" s="273"/>
      <c r="C323" s="745"/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  <c r="AJ323" s="273"/>
      <c r="AK323" s="273"/>
      <c r="AL323" s="273"/>
      <c r="AM323" s="273"/>
      <c r="AN323" s="273"/>
      <c r="AO323" s="273"/>
      <c r="AP323" s="273"/>
      <c r="AQ323" s="273"/>
      <c r="AR323" s="273"/>
      <c r="AS323" s="273"/>
      <c r="AT323" s="273"/>
      <c r="AU323" s="273"/>
      <c r="AV323" s="273"/>
      <c r="AW323" s="273"/>
      <c r="AX323" s="273"/>
      <c r="AY323" s="273"/>
      <c r="AZ323" s="273"/>
      <c r="BA323" s="273"/>
    </row>
    <row r="324">
      <c r="A324" s="273"/>
      <c r="B324" s="273"/>
      <c r="C324" s="745"/>
      <c r="D324" s="273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</row>
    <row r="325">
      <c r="A325" s="273"/>
      <c r="B325" s="273"/>
      <c r="C325" s="745"/>
      <c r="D325" s="273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  <c r="AU325" s="273"/>
      <c r="AV325" s="273"/>
      <c r="AW325" s="273"/>
      <c r="AX325" s="273"/>
      <c r="AY325" s="273"/>
      <c r="AZ325" s="273"/>
      <c r="BA325" s="273"/>
    </row>
    <row r="326">
      <c r="A326" s="273"/>
      <c r="B326" s="273"/>
      <c r="C326" s="745"/>
      <c r="D326" s="273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  <c r="AU326" s="273"/>
      <c r="AV326" s="273"/>
      <c r="AW326" s="273"/>
      <c r="AX326" s="273"/>
      <c r="AY326" s="273"/>
      <c r="AZ326" s="273"/>
      <c r="BA326" s="273"/>
    </row>
    <row r="327">
      <c r="A327" s="273"/>
      <c r="B327" s="273"/>
      <c r="C327" s="745"/>
      <c r="D327" s="273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  <c r="AU327" s="273"/>
      <c r="AV327" s="273"/>
      <c r="AW327" s="273"/>
      <c r="AX327" s="273"/>
      <c r="AY327" s="273"/>
      <c r="AZ327" s="273"/>
      <c r="BA327" s="273"/>
    </row>
    <row r="328">
      <c r="A328" s="273"/>
      <c r="B328" s="273"/>
      <c r="C328" s="745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273"/>
      <c r="AP328" s="273"/>
      <c r="AQ328" s="273"/>
      <c r="AR328" s="273"/>
      <c r="AS328" s="273"/>
      <c r="AT328" s="273"/>
      <c r="AU328" s="273"/>
      <c r="AV328" s="273"/>
      <c r="AW328" s="273"/>
      <c r="AX328" s="273"/>
      <c r="AY328" s="273"/>
      <c r="AZ328" s="273"/>
      <c r="BA328" s="273"/>
    </row>
    <row r="329">
      <c r="A329" s="273"/>
      <c r="B329" s="273"/>
      <c r="C329" s="745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  <c r="AU329" s="273"/>
      <c r="AV329" s="273"/>
      <c r="AW329" s="273"/>
      <c r="AX329" s="273"/>
      <c r="AY329" s="273"/>
      <c r="AZ329" s="273"/>
      <c r="BA329" s="273"/>
    </row>
    <row r="330">
      <c r="A330" s="273"/>
      <c r="B330" s="273"/>
      <c r="C330" s="745"/>
      <c r="D330" s="273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273"/>
      <c r="AP330" s="273"/>
      <c r="AQ330" s="273"/>
      <c r="AR330" s="273"/>
      <c r="AS330" s="273"/>
      <c r="AT330" s="273"/>
      <c r="AU330" s="273"/>
      <c r="AV330" s="273"/>
      <c r="AW330" s="273"/>
      <c r="AX330" s="273"/>
      <c r="AY330" s="273"/>
      <c r="AZ330" s="273"/>
      <c r="BA330" s="273"/>
    </row>
    <row r="331">
      <c r="A331" s="273"/>
      <c r="B331" s="273"/>
      <c r="C331" s="745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  <c r="AU331" s="273"/>
      <c r="AV331" s="273"/>
      <c r="AW331" s="273"/>
      <c r="AX331" s="273"/>
      <c r="AY331" s="273"/>
      <c r="AZ331" s="273"/>
      <c r="BA331" s="273"/>
    </row>
    <row r="332">
      <c r="A332" s="273"/>
      <c r="B332" s="273"/>
      <c r="C332" s="745"/>
      <c r="D332" s="273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273"/>
      <c r="AP332" s="273"/>
      <c r="AQ332" s="273"/>
      <c r="AR332" s="273"/>
      <c r="AS332" s="273"/>
      <c r="AT332" s="273"/>
      <c r="AU332" s="273"/>
      <c r="AV332" s="273"/>
      <c r="AW332" s="273"/>
      <c r="AX332" s="273"/>
      <c r="AY332" s="273"/>
      <c r="AZ332" s="273"/>
      <c r="BA332" s="273"/>
    </row>
    <row r="333">
      <c r="A333" s="273"/>
      <c r="B333" s="273"/>
      <c r="C333" s="745"/>
      <c r="D333" s="273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  <c r="AJ333" s="273"/>
      <c r="AK333" s="273"/>
      <c r="AL333" s="273"/>
      <c r="AM333" s="273"/>
      <c r="AN333" s="273"/>
      <c r="AO333" s="273"/>
      <c r="AP333" s="273"/>
      <c r="AQ333" s="273"/>
      <c r="AR333" s="273"/>
      <c r="AS333" s="273"/>
      <c r="AT333" s="273"/>
      <c r="AU333" s="273"/>
      <c r="AV333" s="273"/>
      <c r="AW333" s="273"/>
      <c r="AX333" s="273"/>
      <c r="AY333" s="273"/>
      <c r="AZ333" s="273"/>
      <c r="BA333" s="273"/>
    </row>
    <row r="334">
      <c r="A334" s="273"/>
      <c r="B334" s="273"/>
      <c r="C334" s="745"/>
      <c r="D334" s="273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273"/>
      <c r="AP334" s="273"/>
      <c r="AQ334" s="273"/>
      <c r="AR334" s="273"/>
      <c r="AS334" s="273"/>
      <c r="AT334" s="273"/>
      <c r="AU334" s="273"/>
      <c r="AV334" s="273"/>
      <c r="AW334" s="273"/>
      <c r="AX334" s="273"/>
      <c r="AY334" s="273"/>
      <c r="AZ334" s="273"/>
      <c r="BA334" s="273"/>
    </row>
    <row r="335">
      <c r="A335" s="273"/>
      <c r="B335" s="273"/>
      <c r="C335" s="745"/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  <c r="AJ335" s="273"/>
      <c r="AK335" s="273"/>
      <c r="AL335" s="273"/>
      <c r="AM335" s="273"/>
      <c r="AN335" s="273"/>
      <c r="AO335" s="273"/>
      <c r="AP335" s="273"/>
      <c r="AQ335" s="273"/>
      <c r="AR335" s="273"/>
      <c r="AS335" s="273"/>
      <c r="AT335" s="273"/>
      <c r="AU335" s="273"/>
      <c r="AV335" s="273"/>
      <c r="AW335" s="273"/>
      <c r="AX335" s="273"/>
      <c r="AY335" s="273"/>
      <c r="AZ335" s="273"/>
      <c r="BA335" s="273"/>
    </row>
    <row r="336">
      <c r="A336" s="273"/>
      <c r="B336" s="273"/>
      <c r="C336" s="745"/>
      <c r="D336" s="273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273"/>
      <c r="AP336" s="273"/>
      <c r="AQ336" s="273"/>
      <c r="AR336" s="273"/>
      <c r="AS336" s="273"/>
      <c r="AT336" s="273"/>
      <c r="AU336" s="273"/>
      <c r="AV336" s="273"/>
      <c r="AW336" s="273"/>
      <c r="AX336" s="273"/>
      <c r="AY336" s="273"/>
      <c r="AZ336" s="273"/>
      <c r="BA336" s="273"/>
    </row>
    <row r="337">
      <c r="A337" s="273"/>
      <c r="B337" s="273"/>
      <c r="C337" s="745"/>
      <c r="D337" s="273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  <c r="AJ337" s="273"/>
      <c r="AK337" s="273"/>
      <c r="AL337" s="273"/>
      <c r="AM337" s="273"/>
      <c r="AN337" s="273"/>
      <c r="AO337" s="273"/>
      <c r="AP337" s="273"/>
      <c r="AQ337" s="273"/>
      <c r="AR337" s="273"/>
      <c r="AS337" s="273"/>
      <c r="AT337" s="273"/>
      <c r="AU337" s="273"/>
      <c r="AV337" s="273"/>
      <c r="AW337" s="273"/>
      <c r="AX337" s="273"/>
      <c r="AY337" s="273"/>
      <c r="AZ337" s="273"/>
      <c r="BA337" s="273"/>
    </row>
    <row r="338">
      <c r="A338" s="273"/>
      <c r="B338" s="273"/>
      <c r="C338" s="745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273"/>
      <c r="AP338" s="273"/>
      <c r="AQ338" s="273"/>
      <c r="AR338" s="273"/>
      <c r="AS338" s="273"/>
      <c r="AT338" s="273"/>
      <c r="AU338" s="273"/>
      <c r="AV338" s="273"/>
      <c r="AW338" s="273"/>
      <c r="AX338" s="273"/>
      <c r="AY338" s="273"/>
      <c r="AZ338" s="273"/>
      <c r="BA338" s="273"/>
    </row>
    <row r="339">
      <c r="A339" s="273"/>
      <c r="B339" s="273"/>
      <c r="C339" s="745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  <c r="AJ339" s="273"/>
      <c r="AK339" s="273"/>
      <c r="AL339" s="273"/>
      <c r="AM339" s="273"/>
      <c r="AN339" s="273"/>
      <c r="AO339" s="273"/>
      <c r="AP339" s="273"/>
      <c r="AQ339" s="273"/>
      <c r="AR339" s="273"/>
      <c r="AS339" s="273"/>
      <c r="AT339" s="273"/>
      <c r="AU339" s="273"/>
      <c r="AV339" s="273"/>
      <c r="AW339" s="273"/>
      <c r="AX339" s="273"/>
      <c r="AY339" s="273"/>
      <c r="AZ339" s="273"/>
      <c r="BA339" s="273"/>
    </row>
    <row r="340">
      <c r="A340" s="273"/>
      <c r="B340" s="273"/>
      <c r="C340" s="745"/>
      <c r="D340" s="273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273"/>
      <c r="AP340" s="273"/>
      <c r="AQ340" s="273"/>
      <c r="AR340" s="273"/>
      <c r="AS340" s="273"/>
      <c r="AT340" s="273"/>
      <c r="AU340" s="273"/>
      <c r="AV340" s="273"/>
      <c r="AW340" s="273"/>
      <c r="AX340" s="273"/>
      <c r="AY340" s="273"/>
      <c r="AZ340" s="273"/>
      <c r="BA340" s="273"/>
    </row>
    <row r="341">
      <c r="A341" s="273"/>
      <c r="B341" s="273"/>
      <c r="C341" s="745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  <c r="AJ341" s="273"/>
      <c r="AK341" s="273"/>
      <c r="AL341" s="273"/>
      <c r="AM341" s="273"/>
      <c r="AN341" s="273"/>
      <c r="AO341" s="273"/>
      <c r="AP341" s="273"/>
      <c r="AQ341" s="273"/>
      <c r="AR341" s="273"/>
      <c r="AS341" s="273"/>
      <c r="AT341" s="273"/>
      <c r="AU341" s="273"/>
      <c r="AV341" s="273"/>
      <c r="AW341" s="273"/>
      <c r="AX341" s="273"/>
      <c r="AY341" s="273"/>
      <c r="AZ341" s="273"/>
      <c r="BA341" s="273"/>
    </row>
    <row r="342">
      <c r="A342" s="273"/>
      <c r="B342" s="273"/>
      <c r="C342" s="745"/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273"/>
      <c r="AP342" s="273"/>
      <c r="AQ342" s="273"/>
      <c r="AR342" s="273"/>
      <c r="AS342" s="273"/>
      <c r="AT342" s="273"/>
      <c r="AU342" s="273"/>
      <c r="AV342" s="273"/>
      <c r="AW342" s="273"/>
      <c r="AX342" s="273"/>
      <c r="AY342" s="273"/>
      <c r="AZ342" s="273"/>
      <c r="BA342" s="273"/>
    </row>
    <row r="343">
      <c r="A343" s="273"/>
      <c r="B343" s="273"/>
      <c r="C343" s="745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  <c r="AJ343" s="273"/>
      <c r="AK343" s="273"/>
      <c r="AL343" s="273"/>
      <c r="AM343" s="273"/>
      <c r="AN343" s="273"/>
      <c r="AO343" s="273"/>
      <c r="AP343" s="273"/>
      <c r="AQ343" s="273"/>
      <c r="AR343" s="273"/>
      <c r="AS343" s="273"/>
      <c r="AT343" s="273"/>
      <c r="AU343" s="273"/>
      <c r="AV343" s="273"/>
      <c r="AW343" s="273"/>
      <c r="AX343" s="273"/>
      <c r="AY343" s="273"/>
      <c r="AZ343" s="273"/>
      <c r="BA343" s="273"/>
    </row>
    <row r="344">
      <c r="A344" s="273"/>
      <c r="B344" s="273"/>
      <c r="C344" s="745"/>
      <c r="D344" s="273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273"/>
      <c r="AP344" s="273"/>
      <c r="AQ344" s="273"/>
      <c r="AR344" s="273"/>
      <c r="AS344" s="273"/>
      <c r="AT344" s="273"/>
      <c r="AU344" s="273"/>
      <c r="AV344" s="273"/>
      <c r="AW344" s="273"/>
      <c r="AX344" s="273"/>
      <c r="AY344" s="273"/>
      <c r="AZ344" s="273"/>
      <c r="BA344" s="273"/>
    </row>
    <row r="345">
      <c r="A345" s="273"/>
      <c r="B345" s="273"/>
      <c r="C345" s="745"/>
      <c r="D345" s="273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  <c r="AJ345" s="273"/>
      <c r="AK345" s="273"/>
      <c r="AL345" s="273"/>
      <c r="AM345" s="273"/>
      <c r="AN345" s="273"/>
      <c r="AO345" s="273"/>
      <c r="AP345" s="273"/>
      <c r="AQ345" s="273"/>
      <c r="AR345" s="273"/>
      <c r="AS345" s="273"/>
      <c r="AT345" s="273"/>
      <c r="AU345" s="273"/>
      <c r="AV345" s="273"/>
      <c r="AW345" s="273"/>
      <c r="AX345" s="273"/>
      <c r="AY345" s="273"/>
      <c r="AZ345" s="273"/>
      <c r="BA345" s="273"/>
    </row>
    <row r="346">
      <c r="A346" s="273"/>
      <c r="B346" s="273"/>
      <c r="C346" s="745"/>
      <c r="D346" s="273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273"/>
      <c r="AP346" s="273"/>
      <c r="AQ346" s="273"/>
      <c r="AR346" s="273"/>
      <c r="AS346" s="273"/>
      <c r="AT346" s="273"/>
      <c r="AU346" s="273"/>
      <c r="AV346" s="273"/>
      <c r="AW346" s="273"/>
      <c r="AX346" s="273"/>
      <c r="AY346" s="273"/>
      <c r="AZ346" s="273"/>
      <c r="BA346" s="273"/>
    </row>
    <row r="347">
      <c r="A347" s="273"/>
      <c r="B347" s="273"/>
      <c r="C347" s="745"/>
      <c r="D347" s="273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  <c r="AJ347" s="273"/>
      <c r="AK347" s="273"/>
      <c r="AL347" s="273"/>
      <c r="AM347" s="273"/>
      <c r="AN347" s="273"/>
      <c r="AO347" s="273"/>
      <c r="AP347" s="273"/>
      <c r="AQ347" s="273"/>
      <c r="AR347" s="273"/>
      <c r="AS347" s="273"/>
      <c r="AT347" s="273"/>
      <c r="AU347" s="273"/>
      <c r="AV347" s="273"/>
      <c r="AW347" s="273"/>
      <c r="AX347" s="273"/>
      <c r="AY347" s="273"/>
      <c r="AZ347" s="273"/>
      <c r="BA347" s="273"/>
    </row>
    <row r="348">
      <c r="A348" s="273"/>
      <c r="B348" s="273"/>
      <c r="C348" s="745"/>
      <c r="D348" s="273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273"/>
      <c r="AP348" s="273"/>
      <c r="AQ348" s="273"/>
      <c r="AR348" s="273"/>
      <c r="AS348" s="273"/>
      <c r="AT348" s="273"/>
      <c r="AU348" s="273"/>
      <c r="AV348" s="273"/>
      <c r="AW348" s="273"/>
      <c r="AX348" s="273"/>
      <c r="AY348" s="273"/>
      <c r="AZ348" s="273"/>
      <c r="BA348" s="273"/>
    </row>
    <row r="349">
      <c r="A349" s="273"/>
      <c r="B349" s="273"/>
      <c r="C349" s="745"/>
      <c r="D349" s="273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  <c r="AJ349" s="273"/>
      <c r="AK349" s="273"/>
      <c r="AL349" s="273"/>
      <c r="AM349" s="273"/>
      <c r="AN349" s="273"/>
      <c r="AO349" s="273"/>
      <c r="AP349" s="273"/>
      <c r="AQ349" s="273"/>
      <c r="AR349" s="273"/>
      <c r="AS349" s="273"/>
      <c r="AT349" s="273"/>
      <c r="AU349" s="273"/>
      <c r="AV349" s="273"/>
      <c r="AW349" s="273"/>
      <c r="AX349" s="273"/>
      <c r="AY349" s="273"/>
      <c r="AZ349" s="273"/>
      <c r="BA349" s="273"/>
    </row>
    <row r="350">
      <c r="A350" s="273"/>
      <c r="B350" s="273"/>
      <c r="C350" s="745"/>
      <c r="D350" s="273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273"/>
      <c r="AP350" s="273"/>
      <c r="AQ350" s="273"/>
      <c r="AR350" s="273"/>
      <c r="AS350" s="273"/>
      <c r="AT350" s="273"/>
      <c r="AU350" s="273"/>
      <c r="AV350" s="273"/>
      <c r="AW350" s="273"/>
      <c r="AX350" s="273"/>
      <c r="AY350" s="273"/>
      <c r="AZ350" s="273"/>
      <c r="BA350" s="273"/>
    </row>
    <row r="351">
      <c r="A351" s="273"/>
      <c r="B351" s="273"/>
      <c r="C351" s="745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  <c r="AJ351" s="273"/>
      <c r="AK351" s="273"/>
      <c r="AL351" s="273"/>
      <c r="AM351" s="273"/>
      <c r="AN351" s="273"/>
      <c r="AO351" s="273"/>
      <c r="AP351" s="273"/>
      <c r="AQ351" s="273"/>
      <c r="AR351" s="273"/>
      <c r="AS351" s="273"/>
      <c r="AT351" s="273"/>
      <c r="AU351" s="273"/>
      <c r="AV351" s="273"/>
      <c r="AW351" s="273"/>
      <c r="AX351" s="273"/>
      <c r="AY351" s="273"/>
      <c r="AZ351" s="273"/>
      <c r="BA351" s="273"/>
    </row>
    <row r="352">
      <c r="A352" s="273"/>
      <c r="B352" s="273"/>
      <c r="C352" s="745"/>
      <c r="D352" s="273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273"/>
      <c r="AP352" s="273"/>
      <c r="AQ352" s="273"/>
      <c r="AR352" s="273"/>
      <c r="AS352" s="273"/>
      <c r="AT352" s="273"/>
      <c r="AU352" s="273"/>
      <c r="AV352" s="273"/>
      <c r="AW352" s="273"/>
      <c r="AX352" s="273"/>
      <c r="AY352" s="273"/>
      <c r="AZ352" s="273"/>
      <c r="BA352" s="273"/>
    </row>
    <row r="353">
      <c r="A353" s="273"/>
      <c r="B353" s="273"/>
      <c r="C353" s="745"/>
      <c r="D353" s="273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  <c r="AJ353" s="273"/>
      <c r="AK353" s="273"/>
      <c r="AL353" s="273"/>
      <c r="AM353" s="273"/>
      <c r="AN353" s="273"/>
      <c r="AO353" s="273"/>
      <c r="AP353" s="273"/>
      <c r="AQ353" s="273"/>
      <c r="AR353" s="273"/>
      <c r="AS353" s="273"/>
      <c r="AT353" s="273"/>
      <c r="AU353" s="273"/>
      <c r="AV353" s="273"/>
      <c r="AW353" s="273"/>
      <c r="AX353" s="273"/>
      <c r="AY353" s="273"/>
      <c r="AZ353" s="273"/>
      <c r="BA353" s="273"/>
    </row>
    <row r="354">
      <c r="A354" s="273"/>
      <c r="B354" s="273"/>
      <c r="C354" s="745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273"/>
      <c r="AP354" s="273"/>
      <c r="AQ354" s="273"/>
      <c r="AR354" s="273"/>
      <c r="AS354" s="273"/>
      <c r="AT354" s="273"/>
      <c r="AU354" s="273"/>
      <c r="AV354" s="273"/>
      <c r="AW354" s="273"/>
      <c r="AX354" s="273"/>
      <c r="AY354" s="273"/>
      <c r="AZ354" s="273"/>
      <c r="BA354" s="273"/>
    </row>
    <row r="355">
      <c r="A355" s="273"/>
      <c r="B355" s="273"/>
      <c r="C355" s="745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</row>
    <row r="356">
      <c r="A356" s="273"/>
      <c r="B356" s="273"/>
      <c r="C356" s="745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</row>
    <row r="357">
      <c r="A357" s="273"/>
      <c r="B357" s="273"/>
      <c r="C357" s="745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</row>
    <row r="358">
      <c r="A358" s="273"/>
      <c r="B358" s="273"/>
      <c r="C358" s="745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</row>
    <row r="359">
      <c r="A359" s="273"/>
      <c r="B359" s="273"/>
      <c r="C359" s="745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  <c r="AJ359" s="273"/>
      <c r="AK359" s="273"/>
      <c r="AL359" s="273"/>
      <c r="AM359" s="273"/>
      <c r="AN359" s="273"/>
      <c r="AO359" s="273"/>
      <c r="AP359" s="273"/>
      <c r="AQ359" s="273"/>
      <c r="AR359" s="273"/>
      <c r="AS359" s="273"/>
      <c r="AT359" s="273"/>
      <c r="AU359" s="273"/>
      <c r="AV359" s="273"/>
      <c r="AW359" s="273"/>
      <c r="AX359" s="273"/>
      <c r="AY359" s="273"/>
      <c r="AZ359" s="273"/>
      <c r="BA359" s="273"/>
    </row>
    <row r="360">
      <c r="A360" s="273"/>
      <c r="B360" s="273"/>
      <c r="C360" s="745"/>
      <c r="D360" s="273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273"/>
      <c r="AP360" s="273"/>
      <c r="AQ360" s="273"/>
      <c r="AR360" s="273"/>
      <c r="AS360" s="273"/>
      <c r="AT360" s="273"/>
      <c r="AU360" s="273"/>
      <c r="AV360" s="273"/>
      <c r="AW360" s="273"/>
      <c r="AX360" s="273"/>
      <c r="AY360" s="273"/>
      <c r="AZ360" s="273"/>
      <c r="BA360" s="273"/>
    </row>
    <row r="361">
      <c r="A361" s="273"/>
      <c r="B361" s="273"/>
      <c r="C361" s="745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  <c r="AJ361" s="273"/>
      <c r="AK361" s="273"/>
      <c r="AL361" s="273"/>
      <c r="AM361" s="273"/>
      <c r="AN361" s="273"/>
      <c r="AO361" s="273"/>
      <c r="AP361" s="273"/>
      <c r="AQ361" s="273"/>
      <c r="AR361" s="273"/>
      <c r="AS361" s="273"/>
      <c r="AT361" s="273"/>
      <c r="AU361" s="273"/>
      <c r="AV361" s="273"/>
      <c r="AW361" s="273"/>
      <c r="AX361" s="273"/>
      <c r="AY361" s="273"/>
      <c r="AZ361" s="273"/>
      <c r="BA361" s="273"/>
    </row>
    <row r="362">
      <c r="A362" s="273"/>
      <c r="B362" s="273"/>
      <c r="C362" s="745"/>
      <c r="D362" s="273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</row>
    <row r="363">
      <c r="A363" s="273"/>
      <c r="B363" s="273"/>
      <c r="C363" s="745"/>
      <c r="D363" s="273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73"/>
      <c r="AV363" s="273"/>
      <c r="AW363" s="273"/>
      <c r="AX363" s="273"/>
      <c r="AY363" s="273"/>
      <c r="AZ363" s="273"/>
      <c r="BA363" s="273"/>
    </row>
    <row r="364">
      <c r="A364" s="273"/>
      <c r="B364" s="273"/>
      <c r="C364" s="745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73"/>
      <c r="AV364" s="273"/>
      <c r="AW364" s="273"/>
      <c r="AX364" s="273"/>
      <c r="AY364" s="273"/>
      <c r="AZ364" s="273"/>
      <c r="BA364" s="273"/>
    </row>
    <row r="365">
      <c r="A365" s="273"/>
      <c r="B365" s="273"/>
      <c r="C365" s="745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73"/>
      <c r="AV365" s="273"/>
      <c r="AW365" s="273"/>
      <c r="AX365" s="273"/>
      <c r="AY365" s="273"/>
      <c r="AZ365" s="273"/>
      <c r="BA365" s="273"/>
    </row>
    <row r="366">
      <c r="A366" s="273"/>
      <c r="B366" s="273"/>
      <c r="C366" s="745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</row>
    <row r="367">
      <c r="A367" s="273"/>
      <c r="B367" s="273"/>
      <c r="C367" s="745"/>
      <c r="D367" s="273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</row>
    <row r="368">
      <c r="A368" s="273"/>
      <c r="B368" s="273"/>
      <c r="C368" s="745"/>
      <c r="D368" s="273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</row>
    <row r="369">
      <c r="A369" s="273"/>
      <c r="B369" s="273"/>
      <c r="C369" s="745"/>
      <c r="D369" s="273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</row>
    <row r="370">
      <c r="A370" s="273"/>
      <c r="B370" s="273"/>
      <c r="C370" s="745"/>
      <c r="D370" s="273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73"/>
      <c r="AV370" s="273"/>
      <c r="AW370" s="273"/>
      <c r="AX370" s="273"/>
      <c r="AY370" s="273"/>
      <c r="AZ370" s="273"/>
      <c r="BA370" s="273"/>
    </row>
    <row r="371">
      <c r="A371" s="273"/>
      <c r="B371" s="273"/>
      <c r="C371" s="745"/>
      <c r="D371" s="273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  <c r="AJ371" s="273"/>
      <c r="AK371" s="273"/>
      <c r="AL371" s="273"/>
      <c r="AM371" s="273"/>
      <c r="AN371" s="273"/>
      <c r="AO371" s="273"/>
      <c r="AP371" s="273"/>
      <c r="AQ371" s="273"/>
      <c r="AR371" s="273"/>
      <c r="AS371" s="273"/>
      <c r="AT371" s="273"/>
      <c r="AU371" s="273"/>
      <c r="AV371" s="273"/>
      <c r="AW371" s="273"/>
      <c r="AX371" s="273"/>
      <c r="AY371" s="273"/>
      <c r="AZ371" s="273"/>
      <c r="BA371" s="273"/>
    </row>
    <row r="372">
      <c r="A372" s="273"/>
      <c r="B372" s="273"/>
      <c r="C372" s="745"/>
      <c r="D372" s="273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273"/>
      <c r="AP372" s="273"/>
      <c r="AQ372" s="273"/>
      <c r="AR372" s="273"/>
      <c r="AS372" s="273"/>
      <c r="AT372" s="273"/>
      <c r="AU372" s="273"/>
      <c r="AV372" s="273"/>
      <c r="AW372" s="273"/>
      <c r="AX372" s="273"/>
      <c r="AY372" s="273"/>
      <c r="AZ372" s="273"/>
      <c r="BA372" s="273"/>
    </row>
    <row r="373">
      <c r="A373" s="273"/>
      <c r="B373" s="273"/>
      <c r="C373" s="745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  <c r="AJ373" s="273"/>
      <c r="AK373" s="273"/>
      <c r="AL373" s="273"/>
      <c r="AM373" s="273"/>
      <c r="AN373" s="273"/>
      <c r="AO373" s="273"/>
      <c r="AP373" s="273"/>
      <c r="AQ373" s="273"/>
      <c r="AR373" s="273"/>
      <c r="AS373" s="273"/>
      <c r="AT373" s="273"/>
      <c r="AU373" s="273"/>
      <c r="AV373" s="273"/>
      <c r="AW373" s="273"/>
      <c r="AX373" s="273"/>
      <c r="AY373" s="273"/>
      <c r="AZ373" s="273"/>
      <c r="BA373" s="273"/>
    </row>
    <row r="374">
      <c r="A374" s="273"/>
      <c r="B374" s="273"/>
      <c r="C374" s="745"/>
      <c r="D374" s="273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273"/>
      <c r="AP374" s="273"/>
      <c r="AQ374" s="273"/>
      <c r="AR374" s="273"/>
      <c r="AS374" s="273"/>
      <c r="AT374" s="273"/>
      <c r="AU374" s="273"/>
      <c r="AV374" s="273"/>
      <c r="AW374" s="273"/>
      <c r="AX374" s="273"/>
      <c r="AY374" s="273"/>
      <c r="AZ374" s="273"/>
      <c r="BA374" s="273"/>
    </row>
    <row r="375">
      <c r="A375" s="273"/>
      <c r="B375" s="273"/>
      <c r="C375" s="745"/>
      <c r="D375" s="273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  <c r="AJ375" s="273"/>
      <c r="AK375" s="273"/>
      <c r="AL375" s="273"/>
      <c r="AM375" s="273"/>
      <c r="AN375" s="273"/>
      <c r="AO375" s="273"/>
      <c r="AP375" s="273"/>
      <c r="AQ375" s="273"/>
      <c r="AR375" s="273"/>
      <c r="AS375" s="273"/>
      <c r="AT375" s="273"/>
      <c r="AU375" s="273"/>
      <c r="AV375" s="273"/>
      <c r="AW375" s="273"/>
      <c r="AX375" s="273"/>
      <c r="AY375" s="273"/>
      <c r="AZ375" s="273"/>
      <c r="BA375" s="273"/>
    </row>
    <row r="376">
      <c r="A376" s="273"/>
      <c r="B376" s="273"/>
      <c r="C376" s="745"/>
      <c r="D376" s="273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273"/>
      <c r="AP376" s="273"/>
      <c r="AQ376" s="273"/>
      <c r="AR376" s="273"/>
      <c r="AS376" s="273"/>
      <c r="AT376" s="273"/>
      <c r="AU376" s="273"/>
      <c r="AV376" s="273"/>
      <c r="AW376" s="273"/>
      <c r="AX376" s="273"/>
      <c r="AY376" s="273"/>
      <c r="AZ376" s="273"/>
      <c r="BA376" s="273"/>
    </row>
    <row r="377">
      <c r="A377" s="273"/>
      <c r="B377" s="273"/>
      <c r="C377" s="745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</row>
    <row r="378">
      <c r="A378" s="273"/>
      <c r="B378" s="273"/>
      <c r="C378" s="745"/>
      <c r="D378" s="273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273"/>
      <c r="AP378" s="273"/>
      <c r="AQ378" s="273"/>
      <c r="AR378" s="273"/>
      <c r="AS378" s="273"/>
      <c r="AT378" s="273"/>
      <c r="AU378" s="273"/>
      <c r="AV378" s="273"/>
      <c r="AW378" s="273"/>
      <c r="AX378" s="273"/>
      <c r="AY378" s="273"/>
      <c r="AZ378" s="273"/>
      <c r="BA378" s="273"/>
    </row>
    <row r="379">
      <c r="A379" s="273"/>
      <c r="B379" s="273"/>
      <c r="C379" s="745"/>
      <c r="D379" s="273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  <c r="AJ379" s="273"/>
      <c r="AK379" s="273"/>
      <c r="AL379" s="273"/>
      <c r="AM379" s="273"/>
      <c r="AN379" s="273"/>
      <c r="AO379" s="273"/>
      <c r="AP379" s="273"/>
      <c r="AQ379" s="273"/>
      <c r="AR379" s="273"/>
      <c r="AS379" s="273"/>
      <c r="AT379" s="273"/>
      <c r="AU379" s="273"/>
      <c r="AV379" s="273"/>
      <c r="AW379" s="273"/>
      <c r="AX379" s="273"/>
      <c r="AY379" s="273"/>
      <c r="AZ379" s="273"/>
      <c r="BA379" s="273"/>
    </row>
    <row r="380">
      <c r="A380" s="273"/>
      <c r="B380" s="273"/>
      <c r="C380" s="745"/>
      <c r="D380" s="273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273"/>
      <c r="AP380" s="273"/>
      <c r="AQ380" s="273"/>
      <c r="AR380" s="273"/>
      <c r="AS380" s="273"/>
      <c r="AT380" s="273"/>
      <c r="AU380" s="273"/>
      <c r="AV380" s="273"/>
      <c r="AW380" s="273"/>
      <c r="AX380" s="273"/>
      <c r="AY380" s="273"/>
      <c r="AZ380" s="273"/>
      <c r="BA380" s="273"/>
    </row>
    <row r="381">
      <c r="A381" s="273"/>
      <c r="B381" s="273"/>
      <c r="C381" s="745"/>
      <c r="D381" s="273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  <c r="AJ381" s="273"/>
      <c r="AK381" s="273"/>
      <c r="AL381" s="273"/>
      <c r="AM381" s="273"/>
      <c r="AN381" s="273"/>
      <c r="AO381" s="273"/>
      <c r="AP381" s="273"/>
      <c r="AQ381" s="273"/>
      <c r="AR381" s="273"/>
      <c r="AS381" s="273"/>
      <c r="AT381" s="273"/>
      <c r="AU381" s="273"/>
      <c r="AV381" s="273"/>
      <c r="AW381" s="273"/>
      <c r="AX381" s="273"/>
      <c r="AY381" s="273"/>
      <c r="AZ381" s="273"/>
      <c r="BA381" s="273"/>
    </row>
    <row r="382">
      <c r="A382" s="273"/>
      <c r="B382" s="273"/>
      <c r="C382" s="745"/>
      <c r="D382" s="273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273"/>
      <c r="AP382" s="273"/>
      <c r="AQ382" s="273"/>
      <c r="AR382" s="273"/>
      <c r="AS382" s="273"/>
      <c r="AT382" s="273"/>
      <c r="AU382" s="273"/>
      <c r="AV382" s="273"/>
      <c r="AW382" s="273"/>
      <c r="AX382" s="273"/>
      <c r="AY382" s="273"/>
      <c r="AZ382" s="273"/>
      <c r="BA382" s="273"/>
    </row>
    <row r="383">
      <c r="A383" s="273"/>
      <c r="B383" s="273"/>
      <c r="C383" s="745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  <c r="AJ383" s="273"/>
      <c r="AK383" s="273"/>
      <c r="AL383" s="273"/>
      <c r="AM383" s="273"/>
      <c r="AN383" s="273"/>
      <c r="AO383" s="273"/>
      <c r="AP383" s="273"/>
      <c r="AQ383" s="273"/>
      <c r="AR383" s="273"/>
      <c r="AS383" s="273"/>
      <c r="AT383" s="273"/>
      <c r="AU383" s="273"/>
      <c r="AV383" s="273"/>
      <c r="AW383" s="273"/>
      <c r="AX383" s="273"/>
      <c r="AY383" s="273"/>
      <c r="AZ383" s="273"/>
      <c r="BA383" s="273"/>
    </row>
    <row r="384">
      <c r="A384" s="273"/>
      <c r="B384" s="273"/>
      <c r="C384" s="745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273"/>
      <c r="AP384" s="273"/>
      <c r="AQ384" s="273"/>
      <c r="AR384" s="273"/>
      <c r="AS384" s="273"/>
      <c r="AT384" s="273"/>
      <c r="AU384" s="273"/>
      <c r="AV384" s="273"/>
      <c r="AW384" s="273"/>
      <c r="AX384" s="273"/>
      <c r="AY384" s="273"/>
      <c r="AZ384" s="273"/>
      <c r="BA384" s="273"/>
    </row>
    <row r="385">
      <c r="A385" s="273"/>
      <c r="B385" s="273"/>
      <c r="C385" s="745"/>
      <c r="D385" s="273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  <c r="AJ385" s="273"/>
      <c r="AK385" s="273"/>
      <c r="AL385" s="273"/>
      <c r="AM385" s="273"/>
      <c r="AN385" s="273"/>
      <c r="AO385" s="273"/>
      <c r="AP385" s="273"/>
      <c r="AQ385" s="273"/>
      <c r="AR385" s="273"/>
      <c r="AS385" s="273"/>
      <c r="AT385" s="273"/>
      <c r="AU385" s="273"/>
      <c r="AV385" s="273"/>
      <c r="AW385" s="273"/>
      <c r="AX385" s="273"/>
      <c r="AY385" s="273"/>
      <c r="AZ385" s="273"/>
      <c r="BA385" s="273"/>
    </row>
    <row r="386">
      <c r="A386" s="273"/>
      <c r="B386" s="273"/>
      <c r="C386" s="745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273"/>
      <c r="AP386" s="273"/>
      <c r="AQ386" s="273"/>
      <c r="AR386" s="273"/>
      <c r="AS386" s="273"/>
      <c r="AT386" s="273"/>
      <c r="AU386" s="273"/>
      <c r="AV386" s="273"/>
      <c r="AW386" s="273"/>
      <c r="AX386" s="273"/>
      <c r="AY386" s="273"/>
      <c r="AZ386" s="273"/>
      <c r="BA386" s="273"/>
    </row>
    <row r="387">
      <c r="A387" s="273"/>
      <c r="B387" s="273"/>
      <c r="C387" s="745"/>
      <c r="D387" s="273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  <c r="AJ387" s="273"/>
      <c r="AK387" s="273"/>
      <c r="AL387" s="273"/>
      <c r="AM387" s="273"/>
      <c r="AN387" s="273"/>
      <c r="AO387" s="273"/>
      <c r="AP387" s="273"/>
      <c r="AQ387" s="273"/>
      <c r="AR387" s="273"/>
      <c r="AS387" s="273"/>
      <c r="AT387" s="273"/>
      <c r="AU387" s="273"/>
      <c r="AV387" s="273"/>
      <c r="AW387" s="273"/>
      <c r="AX387" s="273"/>
      <c r="AY387" s="273"/>
      <c r="AZ387" s="273"/>
      <c r="BA387" s="273"/>
    </row>
    <row r="388">
      <c r="A388" s="273"/>
      <c r="B388" s="273"/>
      <c r="C388" s="745"/>
      <c r="D388" s="273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273"/>
      <c r="AP388" s="273"/>
      <c r="AQ388" s="273"/>
      <c r="AR388" s="273"/>
      <c r="AS388" s="273"/>
      <c r="AT388" s="273"/>
      <c r="AU388" s="273"/>
      <c r="AV388" s="273"/>
      <c r="AW388" s="273"/>
      <c r="AX388" s="273"/>
      <c r="AY388" s="273"/>
      <c r="AZ388" s="273"/>
      <c r="BA388" s="273"/>
    </row>
    <row r="389">
      <c r="A389" s="273"/>
      <c r="B389" s="273"/>
      <c r="C389" s="745"/>
      <c r="D389" s="273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  <c r="AJ389" s="273"/>
      <c r="AK389" s="273"/>
      <c r="AL389" s="273"/>
      <c r="AM389" s="273"/>
      <c r="AN389" s="273"/>
      <c r="AO389" s="273"/>
      <c r="AP389" s="273"/>
      <c r="AQ389" s="273"/>
      <c r="AR389" s="273"/>
      <c r="AS389" s="273"/>
      <c r="AT389" s="273"/>
      <c r="AU389" s="273"/>
      <c r="AV389" s="273"/>
      <c r="AW389" s="273"/>
      <c r="AX389" s="273"/>
      <c r="AY389" s="273"/>
      <c r="AZ389" s="273"/>
      <c r="BA389" s="273"/>
    </row>
    <row r="390">
      <c r="A390" s="273"/>
      <c r="B390" s="273"/>
      <c r="C390" s="745"/>
      <c r="D390" s="273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273"/>
      <c r="AP390" s="273"/>
      <c r="AQ390" s="273"/>
      <c r="AR390" s="273"/>
      <c r="AS390" s="273"/>
      <c r="AT390" s="273"/>
      <c r="AU390" s="273"/>
      <c r="AV390" s="273"/>
      <c r="AW390" s="273"/>
      <c r="AX390" s="273"/>
      <c r="AY390" s="273"/>
      <c r="AZ390" s="273"/>
      <c r="BA390" s="273"/>
    </row>
    <row r="391">
      <c r="A391" s="273"/>
      <c r="B391" s="273"/>
      <c r="C391" s="745"/>
      <c r="D391" s="273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  <c r="AJ391" s="273"/>
      <c r="AK391" s="273"/>
      <c r="AL391" s="273"/>
      <c r="AM391" s="273"/>
      <c r="AN391" s="273"/>
      <c r="AO391" s="273"/>
      <c r="AP391" s="273"/>
      <c r="AQ391" s="273"/>
      <c r="AR391" s="273"/>
      <c r="AS391" s="273"/>
      <c r="AT391" s="273"/>
      <c r="AU391" s="273"/>
      <c r="AV391" s="273"/>
      <c r="AW391" s="273"/>
      <c r="AX391" s="273"/>
      <c r="AY391" s="273"/>
      <c r="AZ391" s="273"/>
      <c r="BA391" s="273"/>
    </row>
    <row r="392">
      <c r="A392" s="273"/>
      <c r="B392" s="273"/>
      <c r="C392" s="745"/>
      <c r="D392" s="273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273"/>
      <c r="AP392" s="273"/>
      <c r="AQ392" s="273"/>
      <c r="AR392" s="273"/>
      <c r="AS392" s="273"/>
      <c r="AT392" s="273"/>
      <c r="AU392" s="273"/>
      <c r="AV392" s="273"/>
      <c r="AW392" s="273"/>
      <c r="AX392" s="273"/>
      <c r="AY392" s="273"/>
      <c r="AZ392" s="273"/>
      <c r="BA392" s="273"/>
    </row>
    <row r="393">
      <c r="A393" s="273"/>
      <c r="B393" s="273"/>
      <c r="C393" s="745"/>
      <c r="D393" s="273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  <c r="AJ393" s="273"/>
      <c r="AK393" s="273"/>
      <c r="AL393" s="273"/>
      <c r="AM393" s="273"/>
      <c r="AN393" s="273"/>
      <c r="AO393" s="273"/>
      <c r="AP393" s="273"/>
      <c r="AQ393" s="273"/>
      <c r="AR393" s="273"/>
      <c r="AS393" s="273"/>
      <c r="AT393" s="273"/>
      <c r="AU393" s="273"/>
      <c r="AV393" s="273"/>
      <c r="AW393" s="273"/>
      <c r="AX393" s="273"/>
      <c r="AY393" s="273"/>
      <c r="AZ393" s="273"/>
      <c r="BA393" s="273"/>
    </row>
    <row r="394">
      <c r="A394" s="273"/>
      <c r="B394" s="273"/>
      <c r="C394" s="745"/>
      <c r="D394" s="273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  <c r="AJ394" s="273"/>
      <c r="AK394" s="273"/>
      <c r="AL394" s="273"/>
      <c r="AM394" s="273"/>
      <c r="AN394" s="273"/>
      <c r="AO394" s="273"/>
      <c r="AP394" s="273"/>
      <c r="AQ394" s="273"/>
      <c r="AR394" s="273"/>
      <c r="AS394" s="273"/>
      <c r="AT394" s="273"/>
      <c r="AU394" s="273"/>
      <c r="AV394" s="273"/>
      <c r="AW394" s="273"/>
      <c r="AX394" s="273"/>
      <c r="AY394" s="273"/>
      <c r="AZ394" s="273"/>
      <c r="BA394" s="273"/>
    </row>
    <row r="395">
      <c r="A395" s="273"/>
      <c r="B395" s="273"/>
      <c r="C395" s="745"/>
      <c r="D395" s="273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  <c r="AJ395" s="273"/>
      <c r="AK395" s="273"/>
      <c r="AL395" s="273"/>
      <c r="AM395" s="273"/>
      <c r="AN395" s="273"/>
      <c r="AO395" s="273"/>
      <c r="AP395" s="273"/>
      <c r="AQ395" s="273"/>
      <c r="AR395" s="273"/>
      <c r="AS395" s="273"/>
      <c r="AT395" s="273"/>
      <c r="AU395" s="273"/>
      <c r="AV395" s="273"/>
      <c r="AW395" s="273"/>
      <c r="AX395" s="273"/>
      <c r="AY395" s="273"/>
      <c r="AZ395" s="273"/>
      <c r="BA395" s="273"/>
    </row>
    <row r="396">
      <c r="A396" s="273"/>
      <c r="B396" s="273"/>
      <c r="C396" s="745"/>
      <c r="D396" s="273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273"/>
      <c r="AP396" s="273"/>
      <c r="AQ396" s="273"/>
      <c r="AR396" s="273"/>
      <c r="AS396" s="273"/>
      <c r="AT396" s="273"/>
      <c r="AU396" s="273"/>
      <c r="AV396" s="273"/>
      <c r="AW396" s="273"/>
      <c r="AX396" s="273"/>
      <c r="AY396" s="273"/>
      <c r="AZ396" s="273"/>
      <c r="BA396" s="273"/>
    </row>
    <row r="397">
      <c r="A397" s="273"/>
      <c r="B397" s="273"/>
      <c r="C397" s="745"/>
      <c r="D397" s="273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  <c r="AJ397" s="273"/>
      <c r="AK397" s="273"/>
      <c r="AL397" s="273"/>
      <c r="AM397" s="273"/>
      <c r="AN397" s="273"/>
      <c r="AO397" s="273"/>
      <c r="AP397" s="273"/>
      <c r="AQ397" s="273"/>
      <c r="AR397" s="273"/>
      <c r="AS397" s="273"/>
      <c r="AT397" s="273"/>
      <c r="AU397" s="273"/>
      <c r="AV397" s="273"/>
      <c r="AW397" s="273"/>
      <c r="AX397" s="273"/>
      <c r="AY397" s="273"/>
      <c r="AZ397" s="273"/>
      <c r="BA397" s="273"/>
    </row>
    <row r="398">
      <c r="A398" s="273"/>
      <c r="B398" s="273"/>
      <c r="C398" s="745"/>
      <c r="D398" s="273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273"/>
      <c r="AP398" s="273"/>
      <c r="AQ398" s="273"/>
      <c r="AR398" s="273"/>
      <c r="AS398" s="273"/>
      <c r="AT398" s="273"/>
      <c r="AU398" s="273"/>
      <c r="AV398" s="273"/>
      <c r="AW398" s="273"/>
      <c r="AX398" s="273"/>
      <c r="AY398" s="273"/>
      <c r="AZ398" s="273"/>
      <c r="BA398" s="273"/>
    </row>
    <row r="399">
      <c r="A399" s="273"/>
      <c r="B399" s="273"/>
      <c r="C399" s="745"/>
      <c r="D399" s="273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  <c r="AJ399" s="273"/>
      <c r="AK399" s="273"/>
      <c r="AL399" s="273"/>
      <c r="AM399" s="273"/>
      <c r="AN399" s="273"/>
      <c r="AO399" s="273"/>
      <c r="AP399" s="273"/>
      <c r="AQ399" s="273"/>
      <c r="AR399" s="273"/>
      <c r="AS399" s="273"/>
      <c r="AT399" s="273"/>
      <c r="AU399" s="273"/>
      <c r="AV399" s="273"/>
      <c r="AW399" s="273"/>
      <c r="AX399" s="273"/>
      <c r="AY399" s="273"/>
      <c r="AZ399" s="273"/>
      <c r="BA399" s="273"/>
    </row>
    <row r="400">
      <c r="A400" s="273"/>
      <c r="B400" s="273"/>
      <c r="C400" s="745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273"/>
      <c r="AP400" s="273"/>
      <c r="AQ400" s="273"/>
      <c r="AR400" s="273"/>
      <c r="AS400" s="273"/>
      <c r="AT400" s="273"/>
      <c r="AU400" s="273"/>
      <c r="AV400" s="273"/>
      <c r="AW400" s="273"/>
      <c r="AX400" s="273"/>
      <c r="AY400" s="273"/>
      <c r="AZ400" s="273"/>
      <c r="BA400" s="273"/>
    </row>
    <row r="401">
      <c r="A401" s="273"/>
      <c r="B401" s="273"/>
      <c r="C401" s="745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  <c r="AJ401" s="273"/>
      <c r="AK401" s="273"/>
      <c r="AL401" s="273"/>
      <c r="AM401" s="273"/>
      <c r="AN401" s="273"/>
      <c r="AO401" s="273"/>
      <c r="AP401" s="273"/>
      <c r="AQ401" s="273"/>
      <c r="AR401" s="273"/>
      <c r="AS401" s="273"/>
      <c r="AT401" s="273"/>
      <c r="AU401" s="273"/>
      <c r="AV401" s="273"/>
      <c r="AW401" s="273"/>
      <c r="AX401" s="273"/>
      <c r="AY401" s="273"/>
      <c r="AZ401" s="273"/>
      <c r="BA401" s="273"/>
    </row>
    <row r="402">
      <c r="A402" s="273"/>
      <c r="B402" s="273"/>
      <c r="C402" s="745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273"/>
      <c r="AP402" s="273"/>
      <c r="AQ402" s="273"/>
      <c r="AR402" s="273"/>
      <c r="AS402" s="273"/>
      <c r="AT402" s="273"/>
      <c r="AU402" s="273"/>
      <c r="AV402" s="273"/>
      <c r="AW402" s="273"/>
      <c r="AX402" s="273"/>
      <c r="AY402" s="273"/>
      <c r="AZ402" s="273"/>
      <c r="BA402" s="273"/>
    </row>
    <row r="403">
      <c r="A403" s="273"/>
      <c r="B403" s="273"/>
      <c r="C403" s="745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  <c r="AJ403" s="273"/>
      <c r="AK403" s="273"/>
      <c r="AL403" s="273"/>
      <c r="AM403" s="273"/>
      <c r="AN403" s="273"/>
      <c r="AO403" s="273"/>
      <c r="AP403" s="273"/>
      <c r="AQ403" s="273"/>
      <c r="AR403" s="273"/>
      <c r="AS403" s="273"/>
      <c r="AT403" s="273"/>
      <c r="AU403" s="273"/>
      <c r="AV403" s="273"/>
      <c r="AW403" s="273"/>
      <c r="AX403" s="273"/>
      <c r="AY403" s="273"/>
      <c r="AZ403" s="273"/>
      <c r="BA403" s="273"/>
    </row>
    <row r="404">
      <c r="A404" s="273"/>
      <c r="B404" s="273"/>
      <c r="C404" s="745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273"/>
      <c r="AP404" s="273"/>
      <c r="AQ404" s="273"/>
      <c r="AR404" s="273"/>
      <c r="AS404" s="273"/>
      <c r="AT404" s="273"/>
      <c r="AU404" s="273"/>
      <c r="AV404" s="273"/>
      <c r="AW404" s="273"/>
      <c r="AX404" s="273"/>
      <c r="AY404" s="273"/>
      <c r="AZ404" s="273"/>
      <c r="BA404" s="273"/>
    </row>
    <row r="405">
      <c r="A405" s="273"/>
      <c r="B405" s="273"/>
      <c r="C405" s="745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  <c r="AJ405" s="273"/>
      <c r="AK405" s="273"/>
      <c r="AL405" s="273"/>
      <c r="AM405" s="273"/>
      <c r="AN405" s="273"/>
      <c r="AO405" s="273"/>
      <c r="AP405" s="273"/>
      <c r="AQ405" s="273"/>
      <c r="AR405" s="273"/>
      <c r="AS405" s="273"/>
      <c r="AT405" s="273"/>
      <c r="AU405" s="273"/>
      <c r="AV405" s="273"/>
      <c r="AW405" s="273"/>
      <c r="AX405" s="273"/>
      <c r="AY405" s="273"/>
      <c r="AZ405" s="273"/>
      <c r="BA405" s="273"/>
    </row>
    <row r="406">
      <c r="A406" s="273"/>
      <c r="B406" s="273"/>
      <c r="C406" s="745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273"/>
      <c r="AP406" s="273"/>
      <c r="AQ406" s="273"/>
      <c r="AR406" s="273"/>
      <c r="AS406" s="273"/>
      <c r="AT406" s="273"/>
      <c r="AU406" s="273"/>
      <c r="AV406" s="273"/>
      <c r="AW406" s="273"/>
      <c r="AX406" s="273"/>
      <c r="AY406" s="273"/>
      <c r="AZ406" s="273"/>
      <c r="BA406" s="273"/>
    </row>
    <row r="407">
      <c r="A407" s="273"/>
      <c r="B407" s="273"/>
      <c r="C407" s="745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  <c r="AJ407" s="273"/>
      <c r="AK407" s="273"/>
      <c r="AL407" s="273"/>
      <c r="AM407" s="273"/>
      <c r="AN407" s="273"/>
      <c r="AO407" s="273"/>
      <c r="AP407" s="273"/>
      <c r="AQ407" s="273"/>
      <c r="AR407" s="273"/>
      <c r="AS407" s="273"/>
      <c r="AT407" s="273"/>
      <c r="AU407" s="273"/>
      <c r="AV407" s="273"/>
      <c r="AW407" s="273"/>
      <c r="AX407" s="273"/>
      <c r="AY407" s="273"/>
      <c r="AZ407" s="273"/>
      <c r="BA407" s="273"/>
    </row>
    <row r="408">
      <c r="A408" s="273"/>
      <c r="B408" s="273"/>
      <c r="C408" s="745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273"/>
      <c r="AP408" s="273"/>
      <c r="AQ408" s="273"/>
      <c r="AR408" s="273"/>
      <c r="AS408" s="273"/>
      <c r="AT408" s="273"/>
      <c r="AU408" s="273"/>
      <c r="AV408" s="273"/>
      <c r="AW408" s="273"/>
      <c r="AX408" s="273"/>
      <c r="AY408" s="273"/>
      <c r="AZ408" s="273"/>
      <c r="BA408" s="273"/>
    </row>
    <row r="409">
      <c r="A409" s="273"/>
      <c r="B409" s="273"/>
      <c r="C409" s="745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  <c r="AJ409" s="273"/>
      <c r="AK409" s="273"/>
      <c r="AL409" s="273"/>
      <c r="AM409" s="273"/>
      <c r="AN409" s="273"/>
      <c r="AO409" s="273"/>
      <c r="AP409" s="273"/>
      <c r="AQ409" s="273"/>
      <c r="AR409" s="273"/>
      <c r="AS409" s="273"/>
      <c r="AT409" s="273"/>
      <c r="AU409" s="273"/>
      <c r="AV409" s="273"/>
      <c r="AW409" s="273"/>
      <c r="AX409" s="273"/>
      <c r="AY409" s="273"/>
      <c r="AZ409" s="273"/>
      <c r="BA409" s="273"/>
    </row>
    <row r="410">
      <c r="A410" s="273"/>
      <c r="B410" s="273"/>
      <c r="C410" s="745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273"/>
      <c r="AP410" s="273"/>
      <c r="AQ410" s="273"/>
      <c r="AR410" s="273"/>
      <c r="AS410" s="273"/>
      <c r="AT410" s="273"/>
      <c r="AU410" s="273"/>
      <c r="AV410" s="273"/>
      <c r="AW410" s="273"/>
      <c r="AX410" s="273"/>
      <c r="AY410" s="273"/>
      <c r="AZ410" s="273"/>
      <c r="BA410" s="273"/>
    </row>
    <row r="411">
      <c r="A411" s="273"/>
      <c r="B411" s="273"/>
      <c r="C411" s="745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  <c r="AJ411" s="273"/>
      <c r="AK411" s="273"/>
      <c r="AL411" s="273"/>
      <c r="AM411" s="273"/>
      <c r="AN411" s="273"/>
      <c r="AO411" s="273"/>
      <c r="AP411" s="273"/>
      <c r="AQ411" s="273"/>
      <c r="AR411" s="273"/>
      <c r="AS411" s="273"/>
      <c r="AT411" s="273"/>
      <c r="AU411" s="273"/>
      <c r="AV411" s="273"/>
      <c r="AW411" s="273"/>
      <c r="AX411" s="273"/>
      <c r="AY411" s="273"/>
      <c r="AZ411" s="273"/>
      <c r="BA411" s="273"/>
    </row>
    <row r="412">
      <c r="A412" s="273"/>
      <c r="B412" s="273"/>
      <c r="C412" s="745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273"/>
      <c r="AP412" s="273"/>
      <c r="AQ412" s="273"/>
      <c r="AR412" s="273"/>
      <c r="AS412" s="273"/>
      <c r="AT412" s="273"/>
      <c r="AU412" s="273"/>
      <c r="AV412" s="273"/>
      <c r="AW412" s="273"/>
      <c r="AX412" s="273"/>
      <c r="AY412" s="273"/>
      <c r="AZ412" s="273"/>
      <c r="BA412" s="273"/>
    </row>
    <row r="413">
      <c r="A413" s="273"/>
      <c r="B413" s="273"/>
      <c r="C413" s="745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  <c r="AJ413" s="273"/>
      <c r="AK413" s="273"/>
      <c r="AL413" s="273"/>
      <c r="AM413" s="273"/>
      <c r="AN413" s="273"/>
      <c r="AO413" s="273"/>
      <c r="AP413" s="273"/>
      <c r="AQ413" s="273"/>
      <c r="AR413" s="273"/>
      <c r="AS413" s="273"/>
      <c r="AT413" s="273"/>
      <c r="AU413" s="273"/>
      <c r="AV413" s="273"/>
      <c r="AW413" s="273"/>
      <c r="AX413" s="273"/>
      <c r="AY413" s="273"/>
      <c r="AZ413" s="273"/>
      <c r="BA413" s="273"/>
    </row>
    <row r="414">
      <c r="A414" s="273"/>
      <c r="B414" s="273"/>
      <c r="C414" s="745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273"/>
      <c r="AP414" s="273"/>
      <c r="AQ414" s="273"/>
      <c r="AR414" s="273"/>
      <c r="AS414" s="273"/>
      <c r="AT414" s="273"/>
      <c r="AU414" s="273"/>
      <c r="AV414" s="273"/>
      <c r="AW414" s="273"/>
      <c r="AX414" s="273"/>
      <c r="AY414" s="273"/>
      <c r="AZ414" s="273"/>
      <c r="BA414" s="273"/>
    </row>
    <row r="415">
      <c r="A415" s="273"/>
      <c r="B415" s="273"/>
      <c r="C415" s="745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  <c r="AJ415" s="273"/>
      <c r="AK415" s="273"/>
      <c r="AL415" s="273"/>
      <c r="AM415" s="273"/>
      <c r="AN415" s="273"/>
      <c r="AO415" s="273"/>
      <c r="AP415" s="273"/>
      <c r="AQ415" s="273"/>
      <c r="AR415" s="273"/>
      <c r="AS415" s="273"/>
      <c r="AT415" s="273"/>
      <c r="AU415" s="273"/>
      <c r="AV415" s="273"/>
      <c r="AW415" s="273"/>
      <c r="AX415" s="273"/>
      <c r="AY415" s="273"/>
      <c r="AZ415" s="273"/>
      <c r="BA415" s="273"/>
    </row>
    <row r="416">
      <c r="A416" s="273"/>
      <c r="B416" s="273"/>
      <c r="C416" s="745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273"/>
      <c r="AP416" s="273"/>
      <c r="AQ416" s="273"/>
      <c r="AR416" s="273"/>
      <c r="AS416" s="273"/>
      <c r="AT416" s="273"/>
      <c r="AU416" s="273"/>
      <c r="AV416" s="273"/>
      <c r="AW416" s="273"/>
      <c r="AX416" s="273"/>
      <c r="AY416" s="273"/>
      <c r="AZ416" s="273"/>
      <c r="BA416" s="273"/>
    </row>
    <row r="417">
      <c r="A417" s="273"/>
      <c r="B417" s="273"/>
      <c r="C417" s="745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  <c r="AJ417" s="273"/>
      <c r="AK417" s="273"/>
      <c r="AL417" s="273"/>
      <c r="AM417" s="273"/>
      <c r="AN417" s="273"/>
      <c r="AO417" s="273"/>
      <c r="AP417" s="273"/>
      <c r="AQ417" s="273"/>
      <c r="AR417" s="273"/>
      <c r="AS417" s="273"/>
      <c r="AT417" s="273"/>
      <c r="AU417" s="273"/>
      <c r="AV417" s="273"/>
      <c r="AW417" s="273"/>
      <c r="AX417" s="273"/>
      <c r="AY417" s="273"/>
      <c r="AZ417" s="273"/>
      <c r="BA417" s="273"/>
    </row>
    <row r="418">
      <c r="A418" s="273"/>
      <c r="B418" s="273"/>
      <c r="C418" s="745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273"/>
      <c r="AP418" s="273"/>
      <c r="AQ418" s="273"/>
      <c r="AR418" s="273"/>
      <c r="AS418" s="273"/>
      <c r="AT418" s="273"/>
      <c r="AU418" s="273"/>
      <c r="AV418" s="273"/>
      <c r="AW418" s="273"/>
      <c r="AX418" s="273"/>
      <c r="AY418" s="273"/>
      <c r="AZ418" s="273"/>
      <c r="BA418" s="273"/>
    </row>
    <row r="419">
      <c r="A419" s="273"/>
      <c r="B419" s="273"/>
      <c r="C419" s="745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  <c r="AJ419" s="273"/>
      <c r="AK419" s="273"/>
      <c r="AL419" s="273"/>
      <c r="AM419" s="273"/>
      <c r="AN419" s="273"/>
      <c r="AO419" s="273"/>
      <c r="AP419" s="273"/>
      <c r="AQ419" s="273"/>
      <c r="AR419" s="273"/>
      <c r="AS419" s="273"/>
      <c r="AT419" s="273"/>
      <c r="AU419" s="273"/>
      <c r="AV419" s="273"/>
      <c r="AW419" s="273"/>
      <c r="AX419" s="273"/>
      <c r="AY419" s="273"/>
      <c r="AZ419" s="273"/>
      <c r="BA419" s="273"/>
    </row>
    <row r="420">
      <c r="A420" s="273"/>
      <c r="B420" s="273"/>
      <c r="C420" s="745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273"/>
      <c r="AP420" s="273"/>
      <c r="AQ420" s="273"/>
      <c r="AR420" s="273"/>
      <c r="AS420" s="273"/>
      <c r="AT420" s="273"/>
      <c r="AU420" s="273"/>
      <c r="AV420" s="273"/>
      <c r="AW420" s="273"/>
      <c r="AX420" s="273"/>
      <c r="AY420" s="273"/>
      <c r="AZ420" s="273"/>
      <c r="BA420" s="273"/>
    </row>
    <row r="421">
      <c r="A421" s="273"/>
      <c r="B421" s="273"/>
      <c r="C421" s="745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  <c r="AJ421" s="273"/>
      <c r="AK421" s="273"/>
      <c r="AL421" s="273"/>
      <c r="AM421" s="273"/>
      <c r="AN421" s="273"/>
      <c r="AO421" s="273"/>
      <c r="AP421" s="273"/>
      <c r="AQ421" s="273"/>
      <c r="AR421" s="273"/>
      <c r="AS421" s="273"/>
      <c r="AT421" s="273"/>
      <c r="AU421" s="273"/>
      <c r="AV421" s="273"/>
      <c r="AW421" s="273"/>
      <c r="AX421" s="273"/>
      <c r="AY421" s="273"/>
      <c r="AZ421" s="273"/>
      <c r="BA421" s="273"/>
    </row>
    <row r="422">
      <c r="A422" s="273"/>
      <c r="B422" s="273"/>
      <c r="C422" s="745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273"/>
      <c r="AP422" s="273"/>
      <c r="AQ422" s="273"/>
      <c r="AR422" s="273"/>
      <c r="AS422" s="273"/>
      <c r="AT422" s="273"/>
      <c r="AU422" s="273"/>
      <c r="AV422" s="273"/>
      <c r="AW422" s="273"/>
      <c r="AX422" s="273"/>
      <c r="AY422" s="273"/>
      <c r="AZ422" s="273"/>
      <c r="BA422" s="273"/>
    </row>
    <row r="423">
      <c r="A423" s="273"/>
      <c r="B423" s="273"/>
      <c r="C423" s="745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  <c r="AJ423" s="273"/>
      <c r="AK423" s="273"/>
      <c r="AL423" s="273"/>
      <c r="AM423" s="273"/>
      <c r="AN423" s="273"/>
      <c r="AO423" s="273"/>
      <c r="AP423" s="273"/>
      <c r="AQ423" s="273"/>
      <c r="AR423" s="273"/>
      <c r="AS423" s="273"/>
      <c r="AT423" s="273"/>
      <c r="AU423" s="273"/>
      <c r="AV423" s="273"/>
      <c r="AW423" s="273"/>
      <c r="AX423" s="273"/>
      <c r="AY423" s="273"/>
      <c r="AZ423" s="273"/>
      <c r="BA423" s="273"/>
    </row>
    <row r="424">
      <c r="A424" s="273"/>
      <c r="B424" s="273"/>
      <c r="C424" s="745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273"/>
      <c r="AP424" s="273"/>
      <c r="AQ424" s="273"/>
      <c r="AR424" s="273"/>
      <c r="AS424" s="273"/>
      <c r="AT424" s="273"/>
      <c r="AU424" s="273"/>
      <c r="AV424" s="273"/>
      <c r="AW424" s="273"/>
      <c r="AX424" s="273"/>
      <c r="AY424" s="273"/>
      <c r="AZ424" s="273"/>
      <c r="BA424" s="273"/>
    </row>
    <row r="425">
      <c r="A425" s="273"/>
      <c r="B425" s="273"/>
      <c r="C425" s="745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  <c r="AJ425" s="273"/>
      <c r="AK425" s="273"/>
      <c r="AL425" s="273"/>
      <c r="AM425" s="273"/>
      <c r="AN425" s="273"/>
      <c r="AO425" s="273"/>
      <c r="AP425" s="273"/>
      <c r="AQ425" s="273"/>
      <c r="AR425" s="273"/>
      <c r="AS425" s="273"/>
      <c r="AT425" s="273"/>
      <c r="AU425" s="273"/>
      <c r="AV425" s="273"/>
      <c r="AW425" s="273"/>
      <c r="AX425" s="273"/>
      <c r="AY425" s="273"/>
      <c r="AZ425" s="273"/>
      <c r="BA425" s="273"/>
    </row>
    <row r="426">
      <c r="A426" s="273"/>
      <c r="B426" s="273"/>
      <c r="C426" s="745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273"/>
      <c r="AP426" s="273"/>
      <c r="AQ426" s="273"/>
      <c r="AR426" s="273"/>
      <c r="AS426" s="273"/>
      <c r="AT426" s="273"/>
      <c r="AU426" s="273"/>
      <c r="AV426" s="273"/>
      <c r="AW426" s="273"/>
      <c r="AX426" s="273"/>
      <c r="AY426" s="273"/>
      <c r="AZ426" s="273"/>
      <c r="BA426" s="273"/>
    </row>
    <row r="427">
      <c r="A427" s="273"/>
      <c r="B427" s="273"/>
      <c r="C427" s="745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  <c r="AJ427" s="273"/>
      <c r="AK427" s="273"/>
      <c r="AL427" s="273"/>
      <c r="AM427" s="273"/>
      <c r="AN427" s="273"/>
      <c r="AO427" s="273"/>
      <c r="AP427" s="273"/>
      <c r="AQ427" s="273"/>
      <c r="AR427" s="273"/>
      <c r="AS427" s="273"/>
      <c r="AT427" s="273"/>
      <c r="AU427" s="273"/>
      <c r="AV427" s="273"/>
      <c r="AW427" s="273"/>
      <c r="AX427" s="273"/>
      <c r="AY427" s="273"/>
      <c r="AZ427" s="273"/>
      <c r="BA427" s="273"/>
    </row>
    <row r="428">
      <c r="A428" s="273"/>
      <c r="B428" s="273"/>
      <c r="C428" s="745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273"/>
      <c r="AP428" s="273"/>
      <c r="AQ428" s="273"/>
      <c r="AR428" s="273"/>
      <c r="AS428" s="273"/>
      <c r="AT428" s="273"/>
      <c r="AU428" s="273"/>
      <c r="AV428" s="273"/>
      <c r="AW428" s="273"/>
      <c r="AX428" s="273"/>
      <c r="AY428" s="273"/>
      <c r="AZ428" s="273"/>
      <c r="BA428" s="273"/>
    </row>
    <row r="429">
      <c r="A429" s="273"/>
      <c r="B429" s="273"/>
      <c r="C429" s="745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  <c r="AJ429" s="273"/>
      <c r="AK429" s="273"/>
      <c r="AL429" s="273"/>
      <c r="AM429" s="273"/>
      <c r="AN429" s="273"/>
      <c r="AO429" s="273"/>
      <c r="AP429" s="273"/>
      <c r="AQ429" s="273"/>
      <c r="AR429" s="273"/>
      <c r="AS429" s="273"/>
      <c r="AT429" s="273"/>
      <c r="AU429" s="273"/>
      <c r="AV429" s="273"/>
      <c r="AW429" s="273"/>
      <c r="AX429" s="273"/>
      <c r="AY429" s="273"/>
      <c r="AZ429" s="273"/>
      <c r="BA429" s="273"/>
    </row>
    <row r="430">
      <c r="A430" s="273"/>
      <c r="B430" s="273"/>
      <c r="C430" s="745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273"/>
      <c r="AP430" s="273"/>
      <c r="AQ430" s="273"/>
      <c r="AR430" s="273"/>
      <c r="AS430" s="273"/>
      <c r="AT430" s="273"/>
      <c r="AU430" s="273"/>
      <c r="AV430" s="273"/>
      <c r="AW430" s="273"/>
      <c r="AX430" s="273"/>
      <c r="AY430" s="273"/>
      <c r="AZ430" s="273"/>
      <c r="BA430" s="273"/>
    </row>
    <row r="431">
      <c r="A431" s="273"/>
      <c r="B431" s="273"/>
      <c r="C431" s="745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  <c r="AJ431" s="273"/>
      <c r="AK431" s="273"/>
      <c r="AL431" s="273"/>
      <c r="AM431" s="273"/>
      <c r="AN431" s="273"/>
      <c r="AO431" s="273"/>
      <c r="AP431" s="273"/>
      <c r="AQ431" s="273"/>
      <c r="AR431" s="273"/>
      <c r="AS431" s="273"/>
      <c r="AT431" s="273"/>
      <c r="AU431" s="273"/>
      <c r="AV431" s="273"/>
      <c r="AW431" s="273"/>
      <c r="AX431" s="273"/>
      <c r="AY431" s="273"/>
      <c r="AZ431" s="273"/>
      <c r="BA431" s="273"/>
    </row>
    <row r="432">
      <c r="A432" s="273"/>
      <c r="B432" s="273"/>
      <c r="C432" s="745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273"/>
      <c r="AP432" s="273"/>
      <c r="AQ432" s="273"/>
      <c r="AR432" s="273"/>
      <c r="AS432" s="273"/>
      <c r="AT432" s="273"/>
      <c r="AU432" s="273"/>
      <c r="AV432" s="273"/>
      <c r="AW432" s="273"/>
      <c r="AX432" s="273"/>
      <c r="AY432" s="273"/>
      <c r="AZ432" s="273"/>
      <c r="BA432" s="273"/>
    </row>
    <row r="433">
      <c r="A433" s="273"/>
      <c r="B433" s="273"/>
      <c r="C433" s="745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  <c r="AJ433" s="273"/>
      <c r="AK433" s="273"/>
      <c r="AL433" s="273"/>
      <c r="AM433" s="273"/>
      <c r="AN433" s="273"/>
      <c r="AO433" s="273"/>
      <c r="AP433" s="273"/>
      <c r="AQ433" s="273"/>
      <c r="AR433" s="273"/>
      <c r="AS433" s="273"/>
      <c r="AT433" s="273"/>
      <c r="AU433" s="273"/>
      <c r="AV433" s="273"/>
      <c r="AW433" s="273"/>
      <c r="AX433" s="273"/>
      <c r="AY433" s="273"/>
      <c r="AZ433" s="273"/>
      <c r="BA433" s="273"/>
    </row>
    <row r="434">
      <c r="A434" s="273"/>
      <c r="B434" s="273"/>
      <c r="C434" s="745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273"/>
      <c r="AP434" s="273"/>
      <c r="AQ434" s="273"/>
      <c r="AR434" s="273"/>
      <c r="AS434" s="273"/>
      <c r="AT434" s="273"/>
      <c r="AU434" s="273"/>
      <c r="AV434" s="273"/>
      <c r="AW434" s="273"/>
      <c r="AX434" s="273"/>
      <c r="AY434" s="273"/>
      <c r="AZ434" s="273"/>
      <c r="BA434" s="273"/>
    </row>
    <row r="435">
      <c r="A435" s="273"/>
      <c r="B435" s="273"/>
      <c r="C435" s="745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  <c r="AJ435" s="273"/>
      <c r="AK435" s="273"/>
      <c r="AL435" s="273"/>
      <c r="AM435" s="273"/>
      <c r="AN435" s="273"/>
      <c r="AO435" s="273"/>
      <c r="AP435" s="273"/>
      <c r="AQ435" s="273"/>
      <c r="AR435" s="273"/>
      <c r="AS435" s="273"/>
      <c r="AT435" s="273"/>
      <c r="AU435" s="273"/>
      <c r="AV435" s="273"/>
      <c r="AW435" s="273"/>
      <c r="AX435" s="273"/>
      <c r="AY435" s="273"/>
      <c r="AZ435" s="273"/>
      <c r="BA435" s="273"/>
    </row>
    <row r="436">
      <c r="A436" s="273"/>
      <c r="B436" s="273"/>
      <c r="C436" s="745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273"/>
      <c r="AP436" s="273"/>
      <c r="AQ436" s="273"/>
      <c r="AR436" s="273"/>
      <c r="AS436" s="273"/>
      <c r="AT436" s="273"/>
      <c r="AU436" s="273"/>
      <c r="AV436" s="273"/>
      <c r="AW436" s="273"/>
      <c r="AX436" s="273"/>
      <c r="AY436" s="273"/>
      <c r="AZ436" s="273"/>
      <c r="BA436" s="273"/>
    </row>
    <row r="437">
      <c r="A437" s="273"/>
      <c r="B437" s="273"/>
      <c r="C437" s="745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  <c r="AJ437" s="273"/>
      <c r="AK437" s="273"/>
      <c r="AL437" s="273"/>
      <c r="AM437" s="273"/>
      <c r="AN437" s="273"/>
      <c r="AO437" s="273"/>
      <c r="AP437" s="273"/>
      <c r="AQ437" s="273"/>
      <c r="AR437" s="273"/>
      <c r="AS437" s="273"/>
      <c r="AT437" s="273"/>
      <c r="AU437" s="273"/>
      <c r="AV437" s="273"/>
      <c r="AW437" s="273"/>
      <c r="AX437" s="273"/>
      <c r="AY437" s="273"/>
      <c r="AZ437" s="273"/>
      <c r="BA437" s="273"/>
    </row>
    <row r="438">
      <c r="A438" s="273"/>
      <c r="B438" s="273"/>
      <c r="C438" s="745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273"/>
      <c r="AP438" s="273"/>
      <c r="AQ438" s="273"/>
      <c r="AR438" s="273"/>
      <c r="AS438" s="273"/>
      <c r="AT438" s="273"/>
      <c r="AU438" s="273"/>
      <c r="AV438" s="273"/>
      <c r="AW438" s="273"/>
      <c r="AX438" s="273"/>
      <c r="AY438" s="273"/>
      <c r="AZ438" s="273"/>
      <c r="BA438" s="273"/>
    </row>
    <row r="439">
      <c r="A439" s="273"/>
      <c r="B439" s="273"/>
      <c r="C439" s="745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  <c r="AJ439" s="273"/>
      <c r="AK439" s="273"/>
      <c r="AL439" s="273"/>
      <c r="AM439" s="273"/>
      <c r="AN439" s="273"/>
      <c r="AO439" s="273"/>
      <c r="AP439" s="273"/>
      <c r="AQ439" s="273"/>
      <c r="AR439" s="273"/>
      <c r="AS439" s="273"/>
      <c r="AT439" s="273"/>
      <c r="AU439" s="273"/>
      <c r="AV439" s="273"/>
      <c r="AW439" s="273"/>
      <c r="AX439" s="273"/>
      <c r="AY439" s="273"/>
      <c r="AZ439" s="273"/>
      <c r="BA439" s="273"/>
    </row>
    <row r="440">
      <c r="A440" s="273"/>
      <c r="B440" s="273"/>
      <c r="C440" s="745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273"/>
      <c r="AP440" s="273"/>
      <c r="AQ440" s="273"/>
      <c r="AR440" s="273"/>
      <c r="AS440" s="273"/>
      <c r="AT440" s="273"/>
      <c r="AU440" s="273"/>
      <c r="AV440" s="273"/>
      <c r="AW440" s="273"/>
      <c r="AX440" s="273"/>
      <c r="AY440" s="273"/>
      <c r="AZ440" s="273"/>
      <c r="BA440" s="273"/>
    </row>
    <row r="441">
      <c r="A441" s="273"/>
      <c r="B441" s="273"/>
      <c r="C441" s="745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  <c r="AJ441" s="273"/>
      <c r="AK441" s="273"/>
      <c r="AL441" s="273"/>
      <c r="AM441" s="273"/>
      <c r="AN441" s="273"/>
      <c r="AO441" s="273"/>
      <c r="AP441" s="273"/>
      <c r="AQ441" s="273"/>
      <c r="AR441" s="273"/>
      <c r="AS441" s="273"/>
      <c r="AT441" s="273"/>
      <c r="AU441" s="273"/>
      <c r="AV441" s="273"/>
      <c r="AW441" s="273"/>
      <c r="AX441" s="273"/>
      <c r="AY441" s="273"/>
      <c r="AZ441" s="273"/>
      <c r="BA441" s="273"/>
    </row>
    <row r="442">
      <c r="A442" s="273"/>
      <c r="B442" s="273"/>
      <c r="C442" s="745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273"/>
      <c r="AP442" s="273"/>
      <c r="AQ442" s="273"/>
      <c r="AR442" s="273"/>
      <c r="AS442" s="273"/>
      <c r="AT442" s="273"/>
      <c r="AU442" s="273"/>
      <c r="AV442" s="273"/>
      <c r="AW442" s="273"/>
      <c r="AX442" s="273"/>
      <c r="AY442" s="273"/>
      <c r="AZ442" s="273"/>
      <c r="BA442" s="273"/>
    </row>
    <row r="443">
      <c r="A443" s="273"/>
      <c r="B443" s="273"/>
      <c r="C443" s="745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  <c r="AJ443" s="273"/>
      <c r="AK443" s="273"/>
      <c r="AL443" s="273"/>
      <c r="AM443" s="273"/>
      <c r="AN443" s="273"/>
      <c r="AO443" s="273"/>
      <c r="AP443" s="273"/>
      <c r="AQ443" s="273"/>
      <c r="AR443" s="273"/>
      <c r="AS443" s="273"/>
      <c r="AT443" s="273"/>
      <c r="AU443" s="273"/>
      <c r="AV443" s="273"/>
      <c r="AW443" s="273"/>
      <c r="AX443" s="273"/>
      <c r="AY443" s="273"/>
      <c r="AZ443" s="273"/>
      <c r="BA443" s="273"/>
    </row>
    <row r="444">
      <c r="A444" s="273"/>
      <c r="B444" s="273"/>
      <c r="C444" s="745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273"/>
      <c r="AP444" s="273"/>
      <c r="AQ444" s="273"/>
      <c r="AR444" s="273"/>
      <c r="AS444" s="273"/>
      <c r="AT444" s="273"/>
      <c r="AU444" s="273"/>
      <c r="AV444" s="273"/>
      <c r="AW444" s="273"/>
      <c r="AX444" s="273"/>
      <c r="AY444" s="273"/>
      <c r="AZ444" s="273"/>
      <c r="BA444" s="273"/>
    </row>
    <row r="445">
      <c r="A445" s="273"/>
      <c r="B445" s="273"/>
      <c r="C445" s="745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  <c r="AJ445" s="273"/>
      <c r="AK445" s="273"/>
      <c r="AL445" s="273"/>
      <c r="AM445" s="273"/>
      <c r="AN445" s="273"/>
      <c r="AO445" s="273"/>
      <c r="AP445" s="273"/>
      <c r="AQ445" s="273"/>
      <c r="AR445" s="273"/>
      <c r="AS445" s="273"/>
      <c r="AT445" s="273"/>
      <c r="AU445" s="273"/>
      <c r="AV445" s="273"/>
      <c r="AW445" s="273"/>
      <c r="AX445" s="273"/>
      <c r="AY445" s="273"/>
      <c r="AZ445" s="273"/>
      <c r="BA445" s="273"/>
    </row>
    <row r="446">
      <c r="A446" s="273"/>
      <c r="B446" s="273"/>
      <c r="C446" s="745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273"/>
      <c r="AP446" s="273"/>
      <c r="AQ446" s="273"/>
      <c r="AR446" s="273"/>
      <c r="AS446" s="273"/>
      <c r="AT446" s="273"/>
      <c r="AU446" s="273"/>
      <c r="AV446" s="273"/>
      <c r="AW446" s="273"/>
      <c r="AX446" s="273"/>
      <c r="AY446" s="273"/>
      <c r="AZ446" s="273"/>
      <c r="BA446" s="273"/>
    </row>
    <row r="447">
      <c r="A447" s="273"/>
      <c r="B447" s="273"/>
      <c r="C447" s="745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  <c r="AJ447" s="273"/>
      <c r="AK447" s="273"/>
      <c r="AL447" s="273"/>
      <c r="AM447" s="273"/>
      <c r="AN447" s="273"/>
      <c r="AO447" s="273"/>
      <c r="AP447" s="273"/>
      <c r="AQ447" s="273"/>
      <c r="AR447" s="273"/>
      <c r="AS447" s="273"/>
      <c r="AT447" s="273"/>
      <c r="AU447" s="273"/>
      <c r="AV447" s="273"/>
      <c r="AW447" s="273"/>
      <c r="AX447" s="273"/>
      <c r="AY447" s="273"/>
      <c r="AZ447" s="273"/>
      <c r="BA447" s="273"/>
    </row>
    <row r="448">
      <c r="A448" s="273"/>
      <c r="B448" s="273"/>
      <c r="C448" s="745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273"/>
      <c r="AP448" s="273"/>
      <c r="AQ448" s="273"/>
      <c r="AR448" s="273"/>
      <c r="AS448" s="273"/>
      <c r="AT448" s="273"/>
      <c r="AU448" s="273"/>
      <c r="AV448" s="273"/>
      <c r="AW448" s="273"/>
      <c r="AX448" s="273"/>
      <c r="AY448" s="273"/>
      <c r="AZ448" s="273"/>
      <c r="BA448" s="273"/>
    </row>
    <row r="449">
      <c r="A449" s="273"/>
      <c r="B449" s="273"/>
      <c r="C449" s="745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  <c r="AJ449" s="273"/>
      <c r="AK449" s="273"/>
      <c r="AL449" s="273"/>
      <c r="AM449" s="273"/>
      <c r="AN449" s="273"/>
      <c r="AO449" s="273"/>
      <c r="AP449" s="273"/>
      <c r="AQ449" s="273"/>
      <c r="AR449" s="273"/>
      <c r="AS449" s="273"/>
      <c r="AT449" s="273"/>
      <c r="AU449" s="273"/>
      <c r="AV449" s="273"/>
      <c r="AW449" s="273"/>
      <c r="AX449" s="273"/>
      <c r="AY449" s="273"/>
      <c r="AZ449" s="273"/>
      <c r="BA449" s="273"/>
    </row>
    <row r="450">
      <c r="A450" s="273"/>
      <c r="B450" s="273"/>
      <c r="C450" s="745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273"/>
      <c r="AP450" s="273"/>
      <c r="AQ450" s="273"/>
      <c r="AR450" s="273"/>
      <c r="AS450" s="273"/>
      <c r="AT450" s="273"/>
      <c r="AU450" s="273"/>
      <c r="AV450" s="273"/>
      <c r="AW450" s="273"/>
      <c r="AX450" s="273"/>
      <c r="AY450" s="273"/>
      <c r="AZ450" s="273"/>
      <c r="BA450" s="273"/>
    </row>
    <row r="451">
      <c r="A451" s="273"/>
      <c r="B451" s="273"/>
      <c r="C451" s="745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  <c r="AJ451" s="273"/>
      <c r="AK451" s="273"/>
      <c r="AL451" s="273"/>
      <c r="AM451" s="273"/>
      <c r="AN451" s="273"/>
      <c r="AO451" s="273"/>
      <c r="AP451" s="273"/>
      <c r="AQ451" s="273"/>
      <c r="AR451" s="273"/>
      <c r="AS451" s="273"/>
      <c r="AT451" s="273"/>
      <c r="AU451" s="273"/>
      <c r="AV451" s="273"/>
      <c r="AW451" s="273"/>
      <c r="AX451" s="273"/>
      <c r="AY451" s="273"/>
      <c r="AZ451" s="273"/>
      <c r="BA451" s="273"/>
    </row>
    <row r="452">
      <c r="A452" s="273"/>
      <c r="B452" s="273"/>
      <c r="C452" s="745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273"/>
      <c r="AP452" s="273"/>
      <c r="AQ452" s="273"/>
      <c r="AR452" s="273"/>
      <c r="AS452" s="273"/>
      <c r="AT452" s="273"/>
      <c r="AU452" s="273"/>
      <c r="AV452" s="273"/>
      <c r="AW452" s="273"/>
      <c r="AX452" s="273"/>
      <c r="AY452" s="273"/>
      <c r="AZ452" s="273"/>
      <c r="BA452" s="273"/>
    </row>
    <row r="453">
      <c r="A453" s="273"/>
      <c r="B453" s="273"/>
      <c r="C453" s="745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  <c r="AJ453" s="273"/>
      <c r="AK453" s="273"/>
      <c r="AL453" s="273"/>
      <c r="AM453" s="273"/>
      <c r="AN453" s="273"/>
      <c r="AO453" s="273"/>
      <c r="AP453" s="273"/>
      <c r="AQ453" s="273"/>
      <c r="AR453" s="273"/>
      <c r="AS453" s="273"/>
      <c r="AT453" s="273"/>
      <c r="AU453" s="273"/>
      <c r="AV453" s="273"/>
      <c r="AW453" s="273"/>
      <c r="AX453" s="273"/>
      <c r="AY453" s="273"/>
      <c r="AZ453" s="273"/>
      <c r="BA453" s="273"/>
    </row>
    <row r="454">
      <c r="A454" s="273"/>
      <c r="B454" s="273"/>
      <c r="C454" s="745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273"/>
      <c r="AP454" s="273"/>
      <c r="AQ454" s="273"/>
      <c r="AR454" s="273"/>
      <c r="AS454" s="273"/>
      <c r="AT454" s="273"/>
      <c r="AU454" s="273"/>
      <c r="AV454" s="273"/>
      <c r="AW454" s="273"/>
      <c r="AX454" s="273"/>
      <c r="AY454" s="273"/>
      <c r="AZ454" s="273"/>
      <c r="BA454" s="273"/>
    </row>
    <row r="455">
      <c r="A455" s="273"/>
      <c r="B455" s="273"/>
      <c r="C455" s="745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  <c r="AJ455" s="273"/>
      <c r="AK455" s="273"/>
      <c r="AL455" s="273"/>
      <c r="AM455" s="273"/>
      <c r="AN455" s="273"/>
      <c r="AO455" s="273"/>
      <c r="AP455" s="273"/>
      <c r="AQ455" s="273"/>
      <c r="AR455" s="273"/>
      <c r="AS455" s="273"/>
      <c r="AT455" s="273"/>
      <c r="AU455" s="273"/>
      <c r="AV455" s="273"/>
      <c r="AW455" s="273"/>
      <c r="AX455" s="273"/>
      <c r="AY455" s="273"/>
      <c r="AZ455" s="273"/>
      <c r="BA455" s="273"/>
    </row>
    <row r="456">
      <c r="A456" s="273"/>
      <c r="B456" s="273"/>
      <c r="C456" s="745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273"/>
      <c r="AP456" s="273"/>
      <c r="AQ456" s="273"/>
      <c r="AR456" s="273"/>
      <c r="AS456" s="273"/>
      <c r="AT456" s="273"/>
      <c r="AU456" s="273"/>
      <c r="AV456" s="273"/>
      <c r="AW456" s="273"/>
      <c r="AX456" s="273"/>
      <c r="AY456" s="273"/>
      <c r="AZ456" s="273"/>
      <c r="BA456" s="273"/>
    </row>
    <row r="457">
      <c r="A457" s="273"/>
      <c r="B457" s="273"/>
      <c r="C457" s="745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  <c r="AJ457" s="273"/>
      <c r="AK457" s="273"/>
      <c r="AL457" s="273"/>
      <c r="AM457" s="273"/>
      <c r="AN457" s="273"/>
      <c r="AO457" s="273"/>
      <c r="AP457" s="273"/>
      <c r="AQ457" s="273"/>
      <c r="AR457" s="273"/>
      <c r="AS457" s="273"/>
      <c r="AT457" s="273"/>
      <c r="AU457" s="273"/>
      <c r="AV457" s="273"/>
      <c r="AW457" s="273"/>
      <c r="AX457" s="273"/>
      <c r="AY457" s="273"/>
      <c r="AZ457" s="273"/>
      <c r="BA457" s="273"/>
    </row>
    <row r="458">
      <c r="A458" s="273"/>
      <c r="B458" s="273"/>
      <c r="C458" s="745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273"/>
      <c r="AP458" s="273"/>
      <c r="AQ458" s="273"/>
      <c r="AR458" s="273"/>
      <c r="AS458" s="273"/>
      <c r="AT458" s="273"/>
      <c r="AU458" s="273"/>
      <c r="AV458" s="273"/>
      <c r="AW458" s="273"/>
      <c r="AX458" s="273"/>
      <c r="AY458" s="273"/>
      <c r="AZ458" s="273"/>
      <c r="BA458" s="273"/>
    </row>
    <row r="459">
      <c r="A459" s="273"/>
      <c r="B459" s="273"/>
      <c r="C459" s="745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  <c r="AJ459" s="273"/>
      <c r="AK459" s="273"/>
      <c r="AL459" s="273"/>
      <c r="AM459" s="273"/>
      <c r="AN459" s="273"/>
      <c r="AO459" s="273"/>
      <c r="AP459" s="273"/>
      <c r="AQ459" s="273"/>
      <c r="AR459" s="273"/>
      <c r="AS459" s="273"/>
      <c r="AT459" s="273"/>
      <c r="AU459" s="273"/>
      <c r="AV459" s="273"/>
      <c r="AW459" s="273"/>
      <c r="AX459" s="273"/>
      <c r="AY459" s="273"/>
      <c r="AZ459" s="273"/>
      <c r="BA459" s="273"/>
    </row>
    <row r="460">
      <c r="A460" s="273"/>
      <c r="B460" s="273"/>
      <c r="C460" s="745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  <c r="AW460" s="273"/>
      <c r="AX460" s="273"/>
      <c r="AY460" s="273"/>
      <c r="AZ460" s="273"/>
      <c r="BA460" s="273"/>
    </row>
    <row r="461">
      <c r="A461" s="273"/>
      <c r="B461" s="273"/>
      <c r="C461" s="745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  <c r="AW461" s="273"/>
      <c r="AX461" s="273"/>
      <c r="AY461" s="273"/>
      <c r="AZ461" s="273"/>
      <c r="BA461" s="273"/>
    </row>
    <row r="462">
      <c r="A462" s="273"/>
      <c r="B462" s="273"/>
      <c r="C462" s="745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273"/>
      <c r="AP462" s="273"/>
      <c r="AQ462" s="273"/>
      <c r="AR462" s="273"/>
      <c r="AS462" s="273"/>
      <c r="AT462" s="273"/>
      <c r="AU462" s="273"/>
      <c r="AV462" s="273"/>
      <c r="AW462" s="273"/>
      <c r="AX462" s="273"/>
      <c r="AY462" s="273"/>
      <c r="AZ462" s="273"/>
      <c r="BA462" s="273"/>
    </row>
    <row r="463">
      <c r="A463" s="273"/>
      <c r="B463" s="273"/>
      <c r="C463" s="745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  <c r="AJ463" s="273"/>
      <c r="AK463" s="273"/>
      <c r="AL463" s="273"/>
      <c r="AM463" s="273"/>
      <c r="AN463" s="273"/>
      <c r="AO463" s="273"/>
      <c r="AP463" s="273"/>
      <c r="AQ463" s="273"/>
      <c r="AR463" s="273"/>
      <c r="AS463" s="273"/>
      <c r="AT463" s="273"/>
      <c r="AU463" s="273"/>
      <c r="AV463" s="273"/>
      <c r="AW463" s="273"/>
      <c r="AX463" s="273"/>
      <c r="AY463" s="273"/>
      <c r="AZ463" s="273"/>
      <c r="BA463" s="273"/>
    </row>
    <row r="464">
      <c r="A464" s="273"/>
      <c r="B464" s="273"/>
      <c r="C464" s="745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273"/>
      <c r="AP464" s="273"/>
      <c r="AQ464" s="273"/>
      <c r="AR464" s="273"/>
      <c r="AS464" s="273"/>
      <c r="AT464" s="273"/>
      <c r="AU464" s="273"/>
      <c r="AV464" s="273"/>
      <c r="AW464" s="273"/>
      <c r="AX464" s="273"/>
      <c r="AY464" s="273"/>
      <c r="AZ464" s="273"/>
      <c r="BA464" s="273"/>
    </row>
    <row r="465">
      <c r="A465" s="273"/>
      <c r="B465" s="273"/>
      <c r="C465" s="745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  <c r="AJ465" s="273"/>
      <c r="AK465" s="273"/>
      <c r="AL465" s="273"/>
      <c r="AM465" s="273"/>
      <c r="AN465" s="273"/>
      <c r="AO465" s="273"/>
      <c r="AP465" s="273"/>
      <c r="AQ465" s="273"/>
      <c r="AR465" s="273"/>
      <c r="AS465" s="273"/>
      <c r="AT465" s="273"/>
      <c r="AU465" s="273"/>
      <c r="AV465" s="273"/>
      <c r="AW465" s="273"/>
      <c r="AX465" s="273"/>
      <c r="AY465" s="273"/>
      <c r="AZ465" s="273"/>
      <c r="BA465" s="273"/>
    </row>
    <row r="466">
      <c r="A466" s="273"/>
      <c r="B466" s="273"/>
      <c r="C466" s="745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273"/>
      <c r="AP466" s="273"/>
      <c r="AQ466" s="273"/>
      <c r="AR466" s="273"/>
      <c r="AS466" s="273"/>
      <c r="AT466" s="273"/>
      <c r="AU466" s="273"/>
      <c r="AV466" s="273"/>
      <c r="AW466" s="273"/>
      <c r="AX466" s="273"/>
      <c r="AY466" s="273"/>
      <c r="AZ466" s="273"/>
      <c r="BA466" s="273"/>
    </row>
    <row r="467">
      <c r="A467" s="273"/>
      <c r="B467" s="273"/>
      <c r="C467" s="745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  <c r="AJ467" s="273"/>
      <c r="AK467" s="273"/>
      <c r="AL467" s="273"/>
      <c r="AM467" s="273"/>
      <c r="AN467" s="273"/>
      <c r="AO467" s="273"/>
      <c r="AP467" s="273"/>
      <c r="AQ467" s="273"/>
      <c r="AR467" s="273"/>
      <c r="AS467" s="273"/>
      <c r="AT467" s="273"/>
      <c r="AU467" s="273"/>
      <c r="AV467" s="273"/>
      <c r="AW467" s="273"/>
      <c r="AX467" s="273"/>
      <c r="AY467" s="273"/>
      <c r="AZ467" s="273"/>
      <c r="BA467" s="273"/>
    </row>
    <row r="468">
      <c r="A468" s="273"/>
      <c r="B468" s="273"/>
      <c r="C468" s="745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273"/>
      <c r="AP468" s="273"/>
      <c r="AQ468" s="273"/>
      <c r="AR468" s="273"/>
      <c r="AS468" s="273"/>
      <c r="AT468" s="273"/>
      <c r="AU468" s="273"/>
      <c r="AV468" s="273"/>
      <c r="AW468" s="273"/>
      <c r="AX468" s="273"/>
      <c r="AY468" s="273"/>
      <c r="AZ468" s="273"/>
      <c r="BA468" s="273"/>
    </row>
    <row r="469">
      <c r="A469" s="273"/>
      <c r="B469" s="273"/>
      <c r="C469" s="745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  <c r="AJ469" s="273"/>
      <c r="AK469" s="273"/>
      <c r="AL469" s="273"/>
      <c r="AM469" s="273"/>
      <c r="AN469" s="273"/>
      <c r="AO469" s="273"/>
      <c r="AP469" s="273"/>
      <c r="AQ469" s="273"/>
      <c r="AR469" s="273"/>
      <c r="AS469" s="273"/>
      <c r="AT469" s="273"/>
      <c r="AU469" s="273"/>
      <c r="AV469" s="273"/>
      <c r="AW469" s="273"/>
      <c r="AX469" s="273"/>
      <c r="AY469" s="273"/>
      <c r="AZ469" s="273"/>
      <c r="BA469" s="273"/>
    </row>
    <row r="470">
      <c r="A470" s="273"/>
      <c r="B470" s="273"/>
      <c r="C470" s="745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273"/>
      <c r="AP470" s="273"/>
      <c r="AQ470" s="273"/>
      <c r="AR470" s="273"/>
      <c r="AS470" s="273"/>
      <c r="AT470" s="273"/>
      <c r="AU470" s="273"/>
      <c r="AV470" s="273"/>
      <c r="AW470" s="273"/>
      <c r="AX470" s="273"/>
      <c r="AY470" s="273"/>
      <c r="AZ470" s="273"/>
      <c r="BA470" s="273"/>
    </row>
    <row r="471">
      <c r="A471" s="273"/>
      <c r="B471" s="273"/>
      <c r="C471" s="745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  <c r="AJ471" s="273"/>
      <c r="AK471" s="273"/>
      <c r="AL471" s="273"/>
      <c r="AM471" s="273"/>
      <c r="AN471" s="273"/>
      <c r="AO471" s="273"/>
      <c r="AP471" s="273"/>
      <c r="AQ471" s="273"/>
      <c r="AR471" s="273"/>
      <c r="AS471" s="273"/>
      <c r="AT471" s="273"/>
      <c r="AU471" s="273"/>
      <c r="AV471" s="273"/>
      <c r="AW471" s="273"/>
      <c r="AX471" s="273"/>
      <c r="AY471" s="273"/>
      <c r="AZ471" s="273"/>
      <c r="BA471" s="273"/>
    </row>
    <row r="472">
      <c r="A472" s="273"/>
      <c r="B472" s="273"/>
      <c r="C472" s="745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273"/>
      <c r="AP472" s="273"/>
      <c r="AQ472" s="273"/>
      <c r="AR472" s="273"/>
      <c r="AS472" s="273"/>
      <c r="AT472" s="273"/>
      <c r="AU472" s="273"/>
      <c r="AV472" s="273"/>
      <c r="AW472" s="273"/>
      <c r="AX472" s="273"/>
      <c r="AY472" s="273"/>
      <c r="AZ472" s="273"/>
      <c r="BA472" s="273"/>
    </row>
    <row r="473">
      <c r="A473" s="273"/>
      <c r="B473" s="273"/>
      <c r="C473" s="745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  <c r="AJ473" s="273"/>
      <c r="AK473" s="273"/>
      <c r="AL473" s="273"/>
      <c r="AM473" s="273"/>
      <c r="AN473" s="273"/>
      <c r="AO473" s="273"/>
      <c r="AP473" s="273"/>
      <c r="AQ473" s="273"/>
      <c r="AR473" s="273"/>
      <c r="AS473" s="273"/>
      <c r="AT473" s="273"/>
      <c r="AU473" s="273"/>
      <c r="AV473" s="273"/>
      <c r="AW473" s="273"/>
      <c r="AX473" s="273"/>
      <c r="AY473" s="273"/>
      <c r="AZ473" s="273"/>
      <c r="BA473" s="273"/>
    </row>
    <row r="474">
      <c r="A474" s="273"/>
      <c r="B474" s="273"/>
      <c r="C474" s="745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273"/>
      <c r="AP474" s="273"/>
      <c r="AQ474" s="273"/>
      <c r="AR474" s="273"/>
      <c r="AS474" s="273"/>
      <c r="AT474" s="273"/>
      <c r="AU474" s="273"/>
      <c r="AV474" s="273"/>
      <c r="AW474" s="273"/>
      <c r="AX474" s="273"/>
      <c r="AY474" s="273"/>
      <c r="AZ474" s="273"/>
      <c r="BA474" s="273"/>
    </row>
    <row r="475">
      <c r="A475" s="273"/>
      <c r="B475" s="273"/>
      <c r="C475" s="745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  <c r="AJ475" s="273"/>
      <c r="AK475" s="273"/>
      <c r="AL475" s="273"/>
      <c r="AM475" s="273"/>
      <c r="AN475" s="273"/>
      <c r="AO475" s="273"/>
      <c r="AP475" s="273"/>
      <c r="AQ475" s="273"/>
      <c r="AR475" s="273"/>
      <c r="AS475" s="273"/>
      <c r="AT475" s="273"/>
      <c r="AU475" s="273"/>
      <c r="AV475" s="273"/>
      <c r="AW475" s="273"/>
      <c r="AX475" s="273"/>
      <c r="AY475" s="273"/>
      <c r="AZ475" s="273"/>
      <c r="BA475" s="273"/>
    </row>
    <row r="476">
      <c r="A476" s="273"/>
      <c r="B476" s="273"/>
      <c r="C476" s="745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273"/>
      <c r="AP476" s="273"/>
      <c r="AQ476" s="273"/>
      <c r="AR476" s="273"/>
      <c r="AS476" s="273"/>
      <c r="AT476" s="273"/>
      <c r="AU476" s="273"/>
      <c r="AV476" s="273"/>
      <c r="AW476" s="273"/>
      <c r="AX476" s="273"/>
      <c r="AY476" s="273"/>
      <c r="AZ476" s="273"/>
      <c r="BA476" s="273"/>
    </row>
    <row r="477">
      <c r="A477" s="273"/>
      <c r="B477" s="273"/>
      <c r="C477" s="745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  <c r="AJ477" s="273"/>
      <c r="AK477" s="273"/>
      <c r="AL477" s="273"/>
      <c r="AM477" s="273"/>
      <c r="AN477" s="273"/>
      <c r="AO477" s="273"/>
      <c r="AP477" s="273"/>
      <c r="AQ477" s="273"/>
      <c r="AR477" s="273"/>
      <c r="AS477" s="273"/>
      <c r="AT477" s="273"/>
      <c r="AU477" s="273"/>
      <c r="AV477" s="273"/>
      <c r="AW477" s="273"/>
      <c r="AX477" s="273"/>
      <c r="AY477" s="273"/>
      <c r="AZ477" s="273"/>
      <c r="BA477" s="273"/>
    </row>
    <row r="478">
      <c r="A478" s="273"/>
      <c r="B478" s="273"/>
      <c r="C478" s="745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273"/>
      <c r="AP478" s="273"/>
      <c r="AQ478" s="273"/>
      <c r="AR478" s="273"/>
      <c r="AS478" s="273"/>
      <c r="AT478" s="273"/>
      <c r="AU478" s="273"/>
      <c r="AV478" s="273"/>
      <c r="AW478" s="273"/>
      <c r="AX478" s="273"/>
      <c r="AY478" s="273"/>
      <c r="AZ478" s="273"/>
      <c r="BA478" s="273"/>
    </row>
    <row r="479">
      <c r="A479" s="273"/>
      <c r="B479" s="273"/>
      <c r="C479" s="745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  <c r="AJ479" s="273"/>
      <c r="AK479" s="273"/>
      <c r="AL479" s="273"/>
      <c r="AM479" s="273"/>
      <c r="AN479" s="273"/>
      <c r="AO479" s="273"/>
      <c r="AP479" s="273"/>
      <c r="AQ479" s="273"/>
      <c r="AR479" s="273"/>
      <c r="AS479" s="273"/>
      <c r="AT479" s="273"/>
      <c r="AU479" s="273"/>
      <c r="AV479" s="273"/>
      <c r="AW479" s="273"/>
      <c r="AX479" s="273"/>
      <c r="AY479" s="273"/>
      <c r="AZ479" s="273"/>
      <c r="BA479" s="273"/>
    </row>
    <row r="480">
      <c r="A480" s="273"/>
      <c r="B480" s="273"/>
      <c r="C480" s="745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273"/>
      <c r="AP480" s="273"/>
      <c r="AQ480" s="273"/>
      <c r="AR480" s="273"/>
      <c r="AS480" s="273"/>
      <c r="AT480" s="273"/>
      <c r="AU480" s="273"/>
      <c r="AV480" s="273"/>
      <c r="AW480" s="273"/>
      <c r="AX480" s="273"/>
      <c r="AY480" s="273"/>
      <c r="AZ480" s="273"/>
      <c r="BA480" s="273"/>
    </row>
    <row r="481">
      <c r="A481" s="273"/>
      <c r="B481" s="273"/>
      <c r="C481" s="745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  <c r="AJ481" s="273"/>
      <c r="AK481" s="273"/>
      <c r="AL481" s="273"/>
      <c r="AM481" s="273"/>
      <c r="AN481" s="273"/>
      <c r="AO481" s="273"/>
      <c r="AP481" s="273"/>
      <c r="AQ481" s="273"/>
      <c r="AR481" s="273"/>
      <c r="AS481" s="273"/>
      <c r="AT481" s="273"/>
      <c r="AU481" s="273"/>
      <c r="AV481" s="273"/>
      <c r="AW481" s="273"/>
      <c r="AX481" s="273"/>
      <c r="AY481" s="273"/>
      <c r="AZ481" s="273"/>
      <c r="BA481" s="273"/>
    </row>
    <row r="482">
      <c r="A482" s="273"/>
      <c r="B482" s="273"/>
      <c r="C482" s="745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273"/>
      <c r="AP482" s="273"/>
      <c r="AQ482" s="273"/>
      <c r="AR482" s="273"/>
      <c r="AS482" s="273"/>
      <c r="AT482" s="273"/>
      <c r="AU482" s="273"/>
      <c r="AV482" s="273"/>
      <c r="AW482" s="273"/>
      <c r="AX482" s="273"/>
      <c r="AY482" s="273"/>
      <c r="AZ482" s="273"/>
      <c r="BA482" s="273"/>
    </row>
    <row r="483">
      <c r="A483" s="273"/>
      <c r="B483" s="273"/>
      <c r="C483" s="745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  <c r="AJ483" s="273"/>
      <c r="AK483" s="273"/>
      <c r="AL483" s="273"/>
      <c r="AM483" s="273"/>
      <c r="AN483" s="273"/>
      <c r="AO483" s="273"/>
      <c r="AP483" s="273"/>
      <c r="AQ483" s="273"/>
      <c r="AR483" s="273"/>
      <c r="AS483" s="273"/>
      <c r="AT483" s="273"/>
      <c r="AU483" s="273"/>
      <c r="AV483" s="273"/>
      <c r="AW483" s="273"/>
      <c r="AX483" s="273"/>
      <c r="AY483" s="273"/>
      <c r="AZ483" s="273"/>
      <c r="BA483" s="273"/>
    </row>
    <row r="484">
      <c r="A484" s="273"/>
      <c r="B484" s="273"/>
      <c r="C484" s="745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273"/>
      <c r="AP484" s="273"/>
      <c r="AQ484" s="273"/>
      <c r="AR484" s="273"/>
      <c r="AS484" s="273"/>
      <c r="AT484" s="273"/>
      <c r="AU484" s="273"/>
      <c r="AV484" s="273"/>
      <c r="AW484" s="273"/>
      <c r="AX484" s="273"/>
      <c r="AY484" s="273"/>
      <c r="AZ484" s="273"/>
      <c r="BA484" s="273"/>
    </row>
    <row r="485">
      <c r="A485" s="273"/>
      <c r="B485" s="273"/>
      <c r="C485" s="745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  <c r="AJ485" s="273"/>
      <c r="AK485" s="273"/>
      <c r="AL485" s="273"/>
      <c r="AM485" s="273"/>
      <c r="AN485" s="273"/>
      <c r="AO485" s="273"/>
      <c r="AP485" s="273"/>
      <c r="AQ485" s="273"/>
      <c r="AR485" s="273"/>
      <c r="AS485" s="273"/>
      <c r="AT485" s="273"/>
      <c r="AU485" s="273"/>
      <c r="AV485" s="273"/>
      <c r="AW485" s="273"/>
      <c r="AX485" s="273"/>
      <c r="AY485" s="273"/>
      <c r="AZ485" s="273"/>
      <c r="BA485" s="273"/>
    </row>
    <row r="486">
      <c r="A486" s="273"/>
      <c r="B486" s="273"/>
      <c r="C486" s="745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273"/>
      <c r="AP486" s="273"/>
      <c r="AQ486" s="273"/>
      <c r="AR486" s="273"/>
      <c r="AS486" s="273"/>
      <c r="AT486" s="273"/>
      <c r="AU486" s="273"/>
      <c r="AV486" s="273"/>
      <c r="AW486" s="273"/>
      <c r="AX486" s="273"/>
      <c r="AY486" s="273"/>
      <c r="AZ486" s="273"/>
      <c r="BA486" s="273"/>
    </row>
    <row r="487">
      <c r="A487" s="273"/>
      <c r="B487" s="273"/>
      <c r="C487" s="745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  <c r="AJ487" s="273"/>
      <c r="AK487" s="273"/>
      <c r="AL487" s="273"/>
      <c r="AM487" s="273"/>
      <c r="AN487" s="273"/>
      <c r="AO487" s="273"/>
      <c r="AP487" s="273"/>
      <c r="AQ487" s="273"/>
      <c r="AR487" s="273"/>
      <c r="AS487" s="273"/>
      <c r="AT487" s="273"/>
      <c r="AU487" s="273"/>
      <c r="AV487" s="273"/>
      <c r="AW487" s="273"/>
      <c r="AX487" s="273"/>
      <c r="AY487" s="273"/>
      <c r="AZ487" s="273"/>
      <c r="BA487" s="273"/>
    </row>
    <row r="488">
      <c r="A488" s="273"/>
      <c r="B488" s="273"/>
      <c r="C488" s="745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273"/>
      <c r="AP488" s="273"/>
      <c r="AQ488" s="273"/>
      <c r="AR488" s="273"/>
      <c r="AS488" s="273"/>
      <c r="AT488" s="273"/>
      <c r="AU488" s="273"/>
      <c r="AV488" s="273"/>
      <c r="AW488" s="273"/>
      <c r="AX488" s="273"/>
      <c r="AY488" s="273"/>
      <c r="AZ488" s="273"/>
      <c r="BA488" s="273"/>
    </row>
    <row r="489">
      <c r="A489" s="273"/>
      <c r="B489" s="273"/>
      <c r="C489" s="745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  <c r="AJ489" s="273"/>
      <c r="AK489" s="273"/>
      <c r="AL489" s="273"/>
      <c r="AM489" s="273"/>
      <c r="AN489" s="273"/>
      <c r="AO489" s="273"/>
      <c r="AP489" s="273"/>
      <c r="AQ489" s="273"/>
      <c r="AR489" s="273"/>
      <c r="AS489" s="273"/>
      <c r="AT489" s="273"/>
      <c r="AU489" s="273"/>
      <c r="AV489" s="273"/>
      <c r="AW489" s="273"/>
      <c r="AX489" s="273"/>
      <c r="AY489" s="273"/>
      <c r="AZ489" s="273"/>
      <c r="BA489" s="273"/>
    </row>
    <row r="490">
      <c r="A490" s="273"/>
      <c r="B490" s="273"/>
      <c r="C490" s="745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273"/>
      <c r="AP490" s="273"/>
      <c r="AQ490" s="273"/>
      <c r="AR490" s="273"/>
      <c r="AS490" s="273"/>
      <c r="AT490" s="273"/>
      <c r="AU490" s="273"/>
      <c r="AV490" s="273"/>
      <c r="AW490" s="273"/>
      <c r="AX490" s="273"/>
      <c r="AY490" s="273"/>
      <c r="AZ490" s="273"/>
      <c r="BA490" s="273"/>
    </row>
    <row r="491">
      <c r="A491" s="273"/>
      <c r="B491" s="273"/>
      <c r="C491" s="745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  <c r="AJ491" s="273"/>
      <c r="AK491" s="273"/>
      <c r="AL491" s="273"/>
      <c r="AM491" s="273"/>
      <c r="AN491" s="273"/>
      <c r="AO491" s="273"/>
      <c r="AP491" s="273"/>
      <c r="AQ491" s="273"/>
      <c r="AR491" s="273"/>
      <c r="AS491" s="273"/>
      <c r="AT491" s="273"/>
      <c r="AU491" s="273"/>
      <c r="AV491" s="273"/>
      <c r="AW491" s="273"/>
      <c r="AX491" s="273"/>
      <c r="AY491" s="273"/>
      <c r="AZ491" s="273"/>
      <c r="BA491" s="273"/>
    </row>
    <row r="492">
      <c r="A492" s="273"/>
      <c r="B492" s="273"/>
      <c r="C492" s="745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273"/>
      <c r="AP492" s="273"/>
      <c r="AQ492" s="273"/>
      <c r="AR492" s="273"/>
      <c r="AS492" s="273"/>
      <c r="AT492" s="273"/>
      <c r="AU492" s="273"/>
      <c r="AV492" s="273"/>
      <c r="AW492" s="273"/>
      <c r="AX492" s="273"/>
      <c r="AY492" s="273"/>
      <c r="AZ492" s="273"/>
      <c r="BA492" s="273"/>
    </row>
    <row r="493">
      <c r="A493" s="273"/>
      <c r="B493" s="273"/>
      <c r="C493" s="745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  <c r="AQ493" s="273"/>
      <c r="AR493" s="273"/>
      <c r="AS493" s="273"/>
      <c r="AT493" s="273"/>
      <c r="AU493" s="273"/>
      <c r="AV493" s="273"/>
      <c r="AW493" s="273"/>
      <c r="AX493" s="273"/>
      <c r="AY493" s="273"/>
      <c r="AZ493" s="273"/>
      <c r="BA493" s="273"/>
    </row>
    <row r="494">
      <c r="A494" s="273"/>
      <c r="B494" s="273"/>
      <c r="C494" s="745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  <c r="AQ494" s="273"/>
      <c r="AR494" s="273"/>
      <c r="AS494" s="273"/>
      <c r="AT494" s="273"/>
      <c r="AU494" s="273"/>
      <c r="AV494" s="273"/>
      <c r="AW494" s="273"/>
      <c r="AX494" s="273"/>
      <c r="AY494" s="273"/>
      <c r="AZ494" s="273"/>
      <c r="BA494" s="273"/>
    </row>
    <row r="495">
      <c r="A495" s="273"/>
      <c r="B495" s="273"/>
      <c r="C495" s="745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  <c r="AJ495" s="273"/>
      <c r="AK495" s="273"/>
      <c r="AL495" s="273"/>
      <c r="AM495" s="273"/>
      <c r="AN495" s="273"/>
      <c r="AO495" s="273"/>
      <c r="AP495" s="273"/>
      <c r="AQ495" s="273"/>
      <c r="AR495" s="273"/>
      <c r="AS495" s="273"/>
      <c r="AT495" s="273"/>
      <c r="AU495" s="273"/>
      <c r="AV495" s="273"/>
      <c r="AW495" s="273"/>
      <c r="AX495" s="273"/>
      <c r="AY495" s="273"/>
      <c r="AZ495" s="273"/>
      <c r="BA495" s="273"/>
    </row>
    <row r="496">
      <c r="A496" s="273"/>
      <c r="B496" s="273"/>
      <c r="C496" s="745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273"/>
      <c r="AP496" s="273"/>
      <c r="AQ496" s="273"/>
      <c r="AR496" s="273"/>
      <c r="AS496" s="273"/>
      <c r="AT496" s="273"/>
      <c r="AU496" s="273"/>
      <c r="AV496" s="273"/>
      <c r="AW496" s="273"/>
      <c r="AX496" s="273"/>
      <c r="AY496" s="273"/>
      <c r="AZ496" s="273"/>
      <c r="BA496" s="273"/>
    </row>
    <row r="497">
      <c r="A497" s="273"/>
      <c r="B497" s="273"/>
      <c r="C497" s="745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  <c r="AJ497" s="273"/>
      <c r="AK497" s="273"/>
      <c r="AL497" s="273"/>
      <c r="AM497" s="273"/>
      <c r="AN497" s="273"/>
      <c r="AO497" s="273"/>
      <c r="AP497" s="273"/>
      <c r="AQ497" s="273"/>
      <c r="AR497" s="273"/>
      <c r="AS497" s="273"/>
      <c r="AT497" s="273"/>
      <c r="AU497" s="273"/>
      <c r="AV497" s="273"/>
      <c r="AW497" s="273"/>
      <c r="AX497" s="273"/>
      <c r="AY497" s="273"/>
      <c r="AZ497" s="273"/>
      <c r="BA497" s="273"/>
    </row>
    <row r="498">
      <c r="A498" s="273"/>
      <c r="B498" s="273"/>
      <c r="C498" s="745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273"/>
      <c r="AP498" s="273"/>
      <c r="AQ498" s="273"/>
      <c r="AR498" s="273"/>
      <c r="AS498" s="273"/>
      <c r="AT498" s="273"/>
      <c r="AU498" s="273"/>
      <c r="AV498" s="273"/>
      <c r="AW498" s="273"/>
      <c r="AX498" s="273"/>
      <c r="AY498" s="273"/>
      <c r="AZ498" s="273"/>
      <c r="BA498" s="273"/>
    </row>
    <row r="499">
      <c r="A499" s="273"/>
      <c r="B499" s="273"/>
      <c r="C499" s="745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  <c r="AJ499" s="273"/>
      <c r="AK499" s="273"/>
      <c r="AL499" s="273"/>
      <c r="AM499" s="273"/>
      <c r="AN499" s="273"/>
      <c r="AO499" s="273"/>
      <c r="AP499" s="273"/>
      <c r="AQ499" s="273"/>
      <c r="AR499" s="273"/>
      <c r="AS499" s="273"/>
      <c r="AT499" s="273"/>
      <c r="AU499" s="273"/>
      <c r="AV499" s="273"/>
      <c r="AW499" s="273"/>
      <c r="AX499" s="273"/>
      <c r="AY499" s="273"/>
      <c r="AZ499" s="273"/>
      <c r="BA499" s="273"/>
    </row>
    <row r="500">
      <c r="A500" s="273"/>
      <c r="B500" s="273"/>
      <c r="C500" s="745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273"/>
      <c r="AP500" s="273"/>
      <c r="AQ500" s="273"/>
      <c r="AR500" s="273"/>
      <c r="AS500" s="273"/>
      <c r="AT500" s="273"/>
      <c r="AU500" s="273"/>
      <c r="AV500" s="273"/>
      <c r="AW500" s="273"/>
      <c r="AX500" s="273"/>
      <c r="AY500" s="273"/>
      <c r="AZ500" s="273"/>
      <c r="BA500" s="273"/>
    </row>
    <row r="501">
      <c r="A501" s="273"/>
      <c r="B501" s="273"/>
      <c r="C501" s="745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  <c r="AJ501" s="273"/>
      <c r="AK501" s="273"/>
      <c r="AL501" s="273"/>
      <c r="AM501" s="273"/>
      <c r="AN501" s="273"/>
      <c r="AO501" s="273"/>
      <c r="AP501" s="273"/>
      <c r="AQ501" s="273"/>
      <c r="AR501" s="273"/>
      <c r="AS501" s="273"/>
      <c r="AT501" s="273"/>
      <c r="AU501" s="273"/>
      <c r="AV501" s="273"/>
      <c r="AW501" s="273"/>
      <c r="AX501" s="273"/>
      <c r="AY501" s="273"/>
      <c r="AZ501" s="273"/>
      <c r="BA501" s="273"/>
    </row>
    <row r="502">
      <c r="A502" s="273"/>
      <c r="B502" s="273"/>
      <c r="C502" s="745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273"/>
      <c r="AP502" s="273"/>
      <c r="AQ502" s="273"/>
      <c r="AR502" s="273"/>
      <c r="AS502" s="273"/>
      <c r="AT502" s="273"/>
      <c r="AU502" s="273"/>
      <c r="AV502" s="273"/>
      <c r="AW502" s="273"/>
      <c r="AX502" s="273"/>
      <c r="AY502" s="273"/>
      <c r="AZ502" s="273"/>
      <c r="BA502" s="273"/>
    </row>
    <row r="503">
      <c r="A503" s="273"/>
      <c r="B503" s="273"/>
      <c r="C503" s="745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  <c r="AJ503" s="273"/>
      <c r="AK503" s="273"/>
      <c r="AL503" s="273"/>
      <c r="AM503" s="273"/>
      <c r="AN503" s="273"/>
      <c r="AO503" s="273"/>
      <c r="AP503" s="273"/>
      <c r="AQ503" s="273"/>
      <c r="AR503" s="273"/>
      <c r="AS503" s="273"/>
      <c r="AT503" s="273"/>
      <c r="AU503" s="273"/>
      <c r="AV503" s="273"/>
      <c r="AW503" s="273"/>
      <c r="AX503" s="273"/>
      <c r="AY503" s="273"/>
      <c r="AZ503" s="273"/>
      <c r="BA503" s="273"/>
    </row>
    <row r="504">
      <c r="A504" s="273"/>
      <c r="B504" s="273"/>
      <c r="C504" s="745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273"/>
      <c r="AP504" s="273"/>
      <c r="AQ504" s="273"/>
      <c r="AR504" s="273"/>
      <c r="AS504" s="273"/>
      <c r="AT504" s="273"/>
      <c r="AU504" s="273"/>
      <c r="AV504" s="273"/>
      <c r="AW504" s="273"/>
      <c r="AX504" s="273"/>
      <c r="AY504" s="273"/>
      <c r="AZ504" s="273"/>
      <c r="BA504" s="273"/>
    </row>
    <row r="505">
      <c r="A505" s="273"/>
      <c r="B505" s="273"/>
      <c r="C505" s="745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  <c r="AJ505" s="273"/>
      <c r="AK505" s="273"/>
      <c r="AL505" s="273"/>
      <c r="AM505" s="273"/>
      <c r="AN505" s="273"/>
      <c r="AO505" s="273"/>
      <c r="AP505" s="273"/>
      <c r="AQ505" s="273"/>
      <c r="AR505" s="273"/>
      <c r="AS505" s="273"/>
      <c r="AT505" s="273"/>
      <c r="AU505" s="273"/>
      <c r="AV505" s="273"/>
      <c r="AW505" s="273"/>
      <c r="AX505" s="273"/>
      <c r="AY505" s="273"/>
      <c r="AZ505" s="273"/>
      <c r="BA505" s="273"/>
    </row>
    <row r="506">
      <c r="A506" s="273"/>
      <c r="B506" s="273"/>
      <c r="C506" s="745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  <c r="AJ506" s="273"/>
      <c r="AK506" s="273"/>
      <c r="AL506" s="273"/>
      <c r="AM506" s="273"/>
      <c r="AN506" s="273"/>
      <c r="AO506" s="273"/>
      <c r="AP506" s="273"/>
      <c r="AQ506" s="273"/>
      <c r="AR506" s="273"/>
      <c r="AS506" s="273"/>
      <c r="AT506" s="273"/>
      <c r="AU506" s="273"/>
      <c r="AV506" s="273"/>
      <c r="AW506" s="273"/>
      <c r="AX506" s="273"/>
      <c r="AY506" s="273"/>
      <c r="AZ506" s="273"/>
      <c r="BA506" s="273"/>
    </row>
    <row r="507">
      <c r="A507" s="273"/>
      <c r="B507" s="273"/>
      <c r="C507" s="745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  <c r="AJ507" s="273"/>
      <c r="AK507" s="273"/>
      <c r="AL507" s="273"/>
      <c r="AM507" s="273"/>
      <c r="AN507" s="273"/>
      <c r="AO507" s="273"/>
      <c r="AP507" s="273"/>
      <c r="AQ507" s="273"/>
      <c r="AR507" s="273"/>
      <c r="AS507" s="273"/>
      <c r="AT507" s="273"/>
      <c r="AU507" s="273"/>
      <c r="AV507" s="273"/>
      <c r="AW507" s="273"/>
      <c r="AX507" s="273"/>
      <c r="AY507" s="273"/>
      <c r="AZ507" s="273"/>
      <c r="BA507" s="273"/>
    </row>
    <row r="508">
      <c r="A508" s="273"/>
      <c r="B508" s="273"/>
      <c r="C508" s="745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273"/>
      <c r="AP508" s="273"/>
      <c r="AQ508" s="273"/>
      <c r="AR508" s="273"/>
      <c r="AS508" s="273"/>
      <c r="AT508" s="273"/>
      <c r="AU508" s="273"/>
      <c r="AV508" s="273"/>
      <c r="AW508" s="273"/>
      <c r="AX508" s="273"/>
      <c r="AY508" s="273"/>
      <c r="AZ508" s="273"/>
      <c r="BA508" s="273"/>
    </row>
    <row r="509">
      <c r="A509" s="273"/>
      <c r="B509" s="273"/>
      <c r="C509" s="745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  <c r="AJ509" s="273"/>
      <c r="AK509" s="273"/>
      <c r="AL509" s="273"/>
      <c r="AM509" s="273"/>
      <c r="AN509" s="273"/>
      <c r="AO509" s="273"/>
      <c r="AP509" s="273"/>
      <c r="AQ509" s="273"/>
      <c r="AR509" s="273"/>
      <c r="AS509" s="273"/>
      <c r="AT509" s="273"/>
      <c r="AU509" s="273"/>
      <c r="AV509" s="273"/>
      <c r="AW509" s="273"/>
      <c r="AX509" s="273"/>
      <c r="AY509" s="273"/>
      <c r="AZ509" s="273"/>
      <c r="BA509" s="273"/>
    </row>
    <row r="510">
      <c r="A510" s="273"/>
      <c r="B510" s="273"/>
      <c r="C510" s="745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273"/>
      <c r="AP510" s="273"/>
      <c r="AQ510" s="273"/>
      <c r="AR510" s="273"/>
      <c r="AS510" s="273"/>
      <c r="AT510" s="273"/>
      <c r="AU510" s="273"/>
      <c r="AV510" s="273"/>
      <c r="AW510" s="273"/>
      <c r="AX510" s="273"/>
      <c r="AY510" s="273"/>
      <c r="AZ510" s="273"/>
      <c r="BA510" s="273"/>
    </row>
    <row r="511">
      <c r="A511" s="273"/>
      <c r="B511" s="273"/>
      <c r="C511" s="745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  <c r="AJ511" s="273"/>
      <c r="AK511" s="273"/>
      <c r="AL511" s="273"/>
      <c r="AM511" s="273"/>
      <c r="AN511" s="273"/>
      <c r="AO511" s="273"/>
      <c r="AP511" s="273"/>
      <c r="AQ511" s="273"/>
      <c r="AR511" s="273"/>
      <c r="AS511" s="273"/>
      <c r="AT511" s="273"/>
      <c r="AU511" s="273"/>
      <c r="AV511" s="273"/>
      <c r="AW511" s="273"/>
      <c r="AX511" s="273"/>
      <c r="AY511" s="273"/>
      <c r="AZ511" s="273"/>
      <c r="BA511" s="273"/>
    </row>
    <row r="512">
      <c r="A512" s="273"/>
      <c r="B512" s="273"/>
      <c r="C512" s="745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273"/>
      <c r="AP512" s="273"/>
      <c r="AQ512" s="273"/>
      <c r="AR512" s="273"/>
      <c r="AS512" s="273"/>
      <c r="AT512" s="273"/>
      <c r="AU512" s="273"/>
      <c r="AV512" s="273"/>
      <c r="AW512" s="273"/>
      <c r="AX512" s="273"/>
      <c r="AY512" s="273"/>
      <c r="AZ512" s="273"/>
      <c r="BA512" s="273"/>
    </row>
    <row r="513">
      <c r="A513" s="273"/>
      <c r="B513" s="273"/>
      <c r="C513" s="745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  <c r="AJ513" s="273"/>
      <c r="AK513" s="273"/>
      <c r="AL513" s="273"/>
      <c r="AM513" s="273"/>
      <c r="AN513" s="273"/>
      <c r="AO513" s="273"/>
      <c r="AP513" s="273"/>
      <c r="AQ513" s="273"/>
      <c r="AR513" s="273"/>
      <c r="AS513" s="273"/>
      <c r="AT513" s="273"/>
      <c r="AU513" s="273"/>
      <c r="AV513" s="273"/>
      <c r="AW513" s="273"/>
      <c r="AX513" s="273"/>
      <c r="AY513" s="273"/>
      <c r="AZ513" s="273"/>
      <c r="BA513" s="273"/>
    </row>
    <row r="514">
      <c r="A514" s="273"/>
      <c r="B514" s="273"/>
      <c r="C514" s="745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273"/>
      <c r="AP514" s="273"/>
      <c r="AQ514" s="273"/>
      <c r="AR514" s="273"/>
      <c r="AS514" s="273"/>
      <c r="AT514" s="273"/>
      <c r="AU514" s="273"/>
      <c r="AV514" s="273"/>
      <c r="AW514" s="273"/>
      <c r="AX514" s="273"/>
      <c r="AY514" s="273"/>
      <c r="AZ514" s="273"/>
      <c r="BA514" s="273"/>
    </row>
    <row r="515">
      <c r="A515" s="273"/>
      <c r="B515" s="273"/>
      <c r="C515" s="745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  <c r="AJ515" s="273"/>
      <c r="AK515" s="273"/>
      <c r="AL515" s="273"/>
      <c r="AM515" s="273"/>
      <c r="AN515" s="273"/>
      <c r="AO515" s="273"/>
      <c r="AP515" s="273"/>
      <c r="AQ515" s="273"/>
      <c r="AR515" s="273"/>
      <c r="AS515" s="273"/>
      <c r="AT515" s="273"/>
      <c r="AU515" s="273"/>
      <c r="AV515" s="273"/>
      <c r="AW515" s="273"/>
      <c r="AX515" s="273"/>
      <c r="AY515" s="273"/>
      <c r="AZ515" s="273"/>
      <c r="BA515" s="273"/>
    </row>
    <row r="516">
      <c r="A516" s="273"/>
      <c r="B516" s="273"/>
      <c r="C516" s="745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273"/>
      <c r="AP516" s="273"/>
      <c r="AQ516" s="273"/>
      <c r="AR516" s="273"/>
      <c r="AS516" s="273"/>
      <c r="AT516" s="273"/>
      <c r="AU516" s="273"/>
      <c r="AV516" s="273"/>
      <c r="AW516" s="273"/>
      <c r="AX516" s="273"/>
      <c r="AY516" s="273"/>
      <c r="AZ516" s="273"/>
      <c r="BA516" s="273"/>
    </row>
    <row r="517">
      <c r="A517" s="273"/>
      <c r="B517" s="273"/>
      <c r="C517" s="745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  <c r="AJ517" s="273"/>
      <c r="AK517" s="273"/>
      <c r="AL517" s="273"/>
      <c r="AM517" s="273"/>
      <c r="AN517" s="273"/>
      <c r="AO517" s="273"/>
      <c r="AP517" s="273"/>
      <c r="AQ517" s="273"/>
      <c r="AR517" s="273"/>
      <c r="AS517" s="273"/>
      <c r="AT517" s="273"/>
      <c r="AU517" s="273"/>
      <c r="AV517" s="273"/>
      <c r="AW517" s="273"/>
      <c r="AX517" s="273"/>
      <c r="AY517" s="273"/>
      <c r="AZ517" s="273"/>
      <c r="BA517" s="273"/>
    </row>
    <row r="518">
      <c r="A518" s="273"/>
      <c r="B518" s="273"/>
      <c r="C518" s="745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273"/>
      <c r="AP518" s="273"/>
      <c r="AQ518" s="273"/>
      <c r="AR518" s="273"/>
      <c r="AS518" s="273"/>
      <c r="AT518" s="273"/>
      <c r="AU518" s="273"/>
      <c r="AV518" s="273"/>
      <c r="AW518" s="273"/>
      <c r="AX518" s="273"/>
      <c r="AY518" s="273"/>
      <c r="AZ518" s="273"/>
      <c r="BA518" s="273"/>
    </row>
    <row r="519">
      <c r="A519" s="273"/>
      <c r="B519" s="273"/>
      <c r="C519" s="745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  <c r="AJ519" s="273"/>
      <c r="AK519" s="273"/>
      <c r="AL519" s="273"/>
      <c r="AM519" s="273"/>
      <c r="AN519" s="273"/>
      <c r="AO519" s="273"/>
      <c r="AP519" s="273"/>
      <c r="AQ519" s="273"/>
      <c r="AR519" s="273"/>
      <c r="AS519" s="273"/>
      <c r="AT519" s="273"/>
      <c r="AU519" s="273"/>
      <c r="AV519" s="273"/>
      <c r="AW519" s="273"/>
      <c r="AX519" s="273"/>
      <c r="AY519" s="273"/>
      <c r="AZ519" s="273"/>
      <c r="BA519" s="273"/>
    </row>
    <row r="520">
      <c r="A520" s="273"/>
      <c r="B520" s="273"/>
      <c r="C520" s="745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273"/>
      <c r="AP520" s="273"/>
      <c r="AQ520" s="273"/>
      <c r="AR520" s="273"/>
      <c r="AS520" s="273"/>
      <c r="AT520" s="273"/>
      <c r="AU520" s="273"/>
      <c r="AV520" s="273"/>
      <c r="AW520" s="273"/>
      <c r="AX520" s="273"/>
      <c r="AY520" s="273"/>
      <c r="AZ520" s="273"/>
      <c r="BA520" s="273"/>
    </row>
    <row r="521">
      <c r="A521" s="273"/>
      <c r="B521" s="273"/>
      <c r="C521" s="745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  <c r="AJ521" s="273"/>
      <c r="AK521" s="273"/>
      <c r="AL521" s="273"/>
      <c r="AM521" s="273"/>
      <c r="AN521" s="273"/>
      <c r="AO521" s="273"/>
      <c r="AP521" s="273"/>
      <c r="AQ521" s="273"/>
      <c r="AR521" s="273"/>
      <c r="AS521" s="273"/>
      <c r="AT521" s="273"/>
      <c r="AU521" s="273"/>
      <c r="AV521" s="273"/>
      <c r="AW521" s="273"/>
      <c r="AX521" s="273"/>
      <c r="AY521" s="273"/>
      <c r="AZ521" s="273"/>
      <c r="BA521" s="273"/>
    </row>
    <row r="522">
      <c r="A522" s="273"/>
      <c r="B522" s="273"/>
      <c r="C522" s="745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273"/>
      <c r="AP522" s="273"/>
      <c r="AQ522" s="273"/>
      <c r="AR522" s="273"/>
      <c r="AS522" s="273"/>
      <c r="AT522" s="273"/>
      <c r="AU522" s="273"/>
      <c r="AV522" s="273"/>
      <c r="AW522" s="273"/>
      <c r="AX522" s="273"/>
      <c r="AY522" s="273"/>
      <c r="AZ522" s="273"/>
      <c r="BA522" s="273"/>
    </row>
    <row r="523">
      <c r="A523" s="273"/>
      <c r="B523" s="273"/>
      <c r="C523" s="745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  <c r="AJ523" s="273"/>
      <c r="AK523" s="273"/>
      <c r="AL523" s="273"/>
      <c r="AM523" s="273"/>
      <c r="AN523" s="273"/>
      <c r="AO523" s="273"/>
      <c r="AP523" s="273"/>
      <c r="AQ523" s="273"/>
      <c r="AR523" s="273"/>
      <c r="AS523" s="273"/>
      <c r="AT523" s="273"/>
      <c r="AU523" s="273"/>
      <c r="AV523" s="273"/>
      <c r="AW523" s="273"/>
      <c r="AX523" s="273"/>
      <c r="AY523" s="273"/>
      <c r="AZ523" s="273"/>
      <c r="BA523" s="273"/>
    </row>
    <row r="524">
      <c r="A524" s="273"/>
      <c r="B524" s="273"/>
      <c r="C524" s="745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273"/>
      <c r="AP524" s="273"/>
      <c r="AQ524" s="273"/>
      <c r="AR524" s="273"/>
      <c r="AS524" s="273"/>
      <c r="AT524" s="273"/>
      <c r="AU524" s="273"/>
      <c r="AV524" s="273"/>
      <c r="AW524" s="273"/>
      <c r="AX524" s="273"/>
      <c r="AY524" s="273"/>
      <c r="AZ524" s="273"/>
      <c r="BA524" s="273"/>
    </row>
    <row r="525">
      <c r="A525" s="273"/>
      <c r="B525" s="273"/>
      <c r="C525" s="745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  <c r="AJ525" s="273"/>
      <c r="AK525" s="273"/>
      <c r="AL525" s="273"/>
      <c r="AM525" s="273"/>
      <c r="AN525" s="273"/>
      <c r="AO525" s="273"/>
      <c r="AP525" s="273"/>
      <c r="AQ525" s="273"/>
      <c r="AR525" s="273"/>
      <c r="AS525" s="273"/>
      <c r="AT525" s="273"/>
      <c r="AU525" s="273"/>
      <c r="AV525" s="273"/>
      <c r="AW525" s="273"/>
      <c r="AX525" s="273"/>
      <c r="AY525" s="273"/>
      <c r="AZ525" s="273"/>
      <c r="BA525" s="273"/>
    </row>
    <row r="526">
      <c r="A526" s="273"/>
      <c r="B526" s="273"/>
      <c r="C526" s="745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273"/>
      <c r="AP526" s="273"/>
      <c r="AQ526" s="273"/>
      <c r="AR526" s="273"/>
      <c r="AS526" s="273"/>
      <c r="AT526" s="273"/>
      <c r="AU526" s="273"/>
      <c r="AV526" s="273"/>
      <c r="AW526" s="273"/>
      <c r="AX526" s="273"/>
      <c r="AY526" s="273"/>
      <c r="AZ526" s="273"/>
      <c r="BA526" s="273"/>
    </row>
    <row r="527">
      <c r="A527" s="273"/>
      <c r="B527" s="273"/>
      <c r="C527" s="745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  <c r="AW527" s="273"/>
      <c r="AX527" s="273"/>
      <c r="AY527" s="273"/>
      <c r="AZ527" s="273"/>
      <c r="BA527" s="273"/>
    </row>
    <row r="528">
      <c r="A528" s="273"/>
      <c r="B528" s="273"/>
      <c r="C528" s="745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273"/>
      <c r="AP528" s="273"/>
      <c r="AQ528" s="273"/>
      <c r="AR528" s="273"/>
      <c r="AS528" s="273"/>
      <c r="AT528" s="273"/>
      <c r="AU528" s="273"/>
      <c r="AV528" s="273"/>
      <c r="AW528" s="273"/>
      <c r="AX528" s="273"/>
      <c r="AY528" s="273"/>
      <c r="AZ528" s="273"/>
      <c r="BA528" s="273"/>
    </row>
    <row r="529">
      <c r="A529" s="273"/>
      <c r="B529" s="273"/>
      <c r="C529" s="745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  <c r="AJ529" s="273"/>
      <c r="AK529" s="273"/>
      <c r="AL529" s="273"/>
      <c r="AM529" s="273"/>
      <c r="AN529" s="273"/>
      <c r="AO529" s="273"/>
      <c r="AP529" s="273"/>
      <c r="AQ529" s="273"/>
      <c r="AR529" s="273"/>
      <c r="AS529" s="273"/>
      <c r="AT529" s="273"/>
      <c r="AU529" s="273"/>
      <c r="AV529" s="273"/>
      <c r="AW529" s="273"/>
      <c r="AX529" s="273"/>
      <c r="AY529" s="273"/>
      <c r="AZ529" s="273"/>
      <c r="BA529" s="273"/>
    </row>
    <row r="530">
      <c r="A530" s="273"/>
      <c r="B530" s="273"/>
      <c r="C530" s="745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273"/>
      <c r="AP530" s="273"/>
      <c r="AQ530" s="273"/>
      <c r="AR530" s="273"/>
      <c r="AS530" s="273"/>
      <c r="AT530" s="273"/>
      <c r="AU530" s="273"/>
      <c r="AV530" s="273"/>
      <c r="AW530" s="273"/>
      <c r="AX530" s="273"/>
      <c r="AY530" s="273"/>
      <c r="AZ530" s="273"/>
      <c r="BA530" s="273"/>
    </row>
    <row r="531">
      <c r="A531" s="273"/>
      <c r="B531" s="273"/>
      <c r="C531" s="745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  <c r="AJ531" s="273"/>
      <c r="AK531" s="273"/>
      <c r="AL531" s="273"/>
      <c r="AM531" s="273"/>
      <c r="AN531" s="273"/>
      <c r="AO531" s="273"/>
      <c r="AP531" s="273"/>
      <c r="AQ531" s="273"/>
      <c r="AR531" s="273"/>
      <c r="AS531" s="273"/>
      <c r="AT531" s="273"/>
      <c r="AU531" s="273"/>
      <c r="AV531" s="273"/>
      <c r="AW531" s="273"/>
      <c r="AX531" s="273"/>
      <c r="AY531" s="273"/>
      <c r="AZ531" s="273"/>
      <c r="BA531" s="273"/>
    </row>
    <row r="532">
      <c r="A532" s="273"/>
      <c r="B532" s="273"/>
      <c r="C532" s="745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273"/>
      <c r="AP532" s="273"/>
      <c r="AQ532" s="273"/>
      <c r="AR532" s="273"/>
      <c r="AS532" s="273"/>
      <c r="AT532" s="273"/>
      <c r="AU532" s="273"/>
      <c r="AV532" s="273"/>
      <c r="AW532" s="273"/>
      <c r="AX532" s="273"/>
      <c r="AY532" s="273"/>
      <c r="AZ532" s="273"/>
      <c r="BA532" s="273"/>
    </row>
    <row r="533">
      <c r="A533" s="273"/>
      <c r="B533" s="273"/>
      <c r="C533" s="745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  <c r="AJ533" s="273"/>
      <c r="AK533" s="273"/>
      <c r="AL533" s="273"/>
      <c r="AM533" s="273"/>
      <c r="AN533" s="273"/>
      <c r="AO533" s="273"/>
      <c r="AP533" s="273"/>
      <c r="AQ533" s="273"/>
      <c r="AR533" s="273"/>
      <c r="AS533" s="273"/>
      <c r="AT533" s="273"/>
      <c r="AU533" s="273"/>
      <c r="AV533" s="273"/>
      <c r="AW533" s="273"/>
      <c r="AX533" s="273"/>
      <c r="AY533" s="273"/>
      <c r="AZ533" s="273"/>
      <c r="BA533" s="273"/>
    </row>
    <row r="534">
      <c r="A534" s="273"/>
      <c r="B534" s="273"/>
      <c r="C534" s="745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273"/>
      <c r="AP534" s="273"/>
      <c r="AQ534" s="273"/>
      <c r="AR534" s="273"/>
      <c r="AS534" s="273"/>
      <c r="AT534" s="273"/>
      <c r="AU534" s="273"/>
      <c r="AV534" s="273"/>
      <c r="AW534" s="273"/>
      <c r="AX534" s="273"/>
      <c r="AY534" s="273"/>
      <c r="AZ534" s="273"/>
      <c r="BA534" s="273"/>
    </row>
    <row r="535">
      <c r="A535" s="273"/>
      <c r="B535" s="273"/>
      <c r="C535" s="745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  <c r="AJ535" s="273"/>
      <c r="AK535" s="273"/>
      <c r="AL535" s="273"/>
      <c r="AM535" s="273"/>
      <c r="AN535" s="273"/>
      <c r="AO535" s="273"/>
      <c r="AP535" s="273"/>
      <c r="AQ535" s="273"/>
      <c r="AR535" s="273"/>
      <c r="AS535" s="273"/>
      <c r="AT535" s="273"/>
      <c r="AU535" s="273"/>
      <c r="AV535" s="273"/>
      <c r="AW535" s="273"/>
      <c r="AX535" s="273"/>
      <c r="AY535" s="273"/>
      <c r="AZ535" s="273"/>
      <c r="BA535" s="273"/>
    </row>
    <row r="536">
      <c r="A536" s="273"/>
      <c r="B536" s="273"/>
      <c r="C536" s="745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273"/>
      <c r="AP536" s="273"/>
      <c r="AQ536" s="273"/>
      <c r="AR536" s="273"/>
      <c r="AS536" s="273"/>
      <c r="AT536" s="273"/>
      <c r="AU536" s="273"/>
      <c r="AV536" s="273"/>
      <c r="AW536" s="273"/>
      <c r="AX536" s="273"/>
      <c r="AY536" s="273"/>
      <c r="AZ536" s="273"/>
      <c r="BA536" s="273"/>
    </row>
    <row r="537">
      <c r="A537" s="273"/>
      <c r="B537" s="273"/>
      <c r="C537" s="745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  <c r="AJ537" s="273"/>
      <c r="AK537" s="273"/>
      <c r="AL537" s="273"/>
      <c r="AM537" s="273"/>
      <c r="AN537" s="273"/>
      <c r="AO537" s="273"/>
      <c r="AP537" s="273"/>
      <c r="AQ537" s="273"/>
      <c r="AR537" s="273"/>
      <c r="AS537" s="273"/>
      <c r="AT537" s="273"/>
      <c r="AU537" s="273"/>
      <c r="AV537" s="273"/>
      <c r="AW537" s="273"/>
      <c r="AX537" s="273"/>
      <c r="AY537" s="273"/>
      <c r="AZ537" s="273"/>
      <c r="BA537" s="273"/>
    </row>
    <row r="538">
      <c r="A538" s="273"/>
      <c r="B538" s="273"/>
      <c r="C538" s="745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273"/>
      <c r="AP538" s="273"/>
      <c r="AQ538" s="273"/>
      <c r="AR538" s="273"/>
      <c r="AS538" s="273"/>
      <c r="AT538" s="273"/>
      <c r="AU538" s="273"/>
      <c r="AV538" s="273"/>
      <c r="AW538" s="273"/>
      <c r="AX538" s="273"/>
      <c r="AY538" s="273"/>
      <c r="AZ538" s="273"/>
      <c r="BA538" s="273"/>
    </row>
    <row r="539">
      <c r="A539" s="273"/>
      <c r="B539" s="273"/>
      <c r="C539" s="745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  <c r="AJ539" s="273"/>
      <c r="AK539" s="273"/>
      <c r="AL539" s="273"/>
      <c r="AM539" s="273"/>
      <c r="AN539" s="273"/>
      <c r="AO539" s="273"/>
      <c r="AP539" s="273"/>
      <c r="AQ539" s="273"/>
      <c r="AR539" s="273"/>
      <c r="AS539" s="273"/>
      <c r="AT539" s="273"/>
      <c r="AU539" s="273"/>
      <c r="AV539" s="273"/>
      <c r="AW539" s="273"/>
      <c r="AX539" s="273"/>
      <c r="AY539" s="273"/>
      <c r="AZ539" s="273"/>
      <c r="BA539" s="273"/>
    </row>
    <row r="540">
      <c r="A540" s="273"/>
      <c r="B540" s="273"/>
      <c r="C540" s="745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273"/>
      <c r="AP540" s="273"/>
      <c r="AQ540" s="273"/>
      <c r="AR540" s="273"/>
      <c r="AS540" s="273"/>
      <c r="AT540" s="273"/>
      <c r="AU540" s="273"/>
      <c r="AV540" s="273"/>
      <c r="AW540" s="273"/>
      <c r="AX540" s="273"/>
      <c r="AY540" s="273"/>
      <c r="AZ540" s="273"/>
      <c r="BA540" s="273"/>
    </row>
    <row r="541">
      <c r="A541" s="273"/>
      <c r="B541" s="273"/>
      <c r="C541" s="745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  <c r="AJ541" s="273"/>
      <c r="AK541" s="273"/>
      <c r="AL541" s="273"/>
      <c r="AM541" s="273"/>
      <c r="AN541" s="273"/>
      <c r="AO541" s="273"/>
      <c r="AP541" s="273"/>
      <c r="AQ541" s="273"/>
      <c r="AR541" s="273"/>
      <c r="AS541" s="273"/>
      <c r="AT541" s="273"/>
      <c r="AU541" s="273"/>
      <c r="AV541" s="273"/>
      <c r="AW541" s="273"/>
      <c r="AX541" s="273"/>
      <c r="AY541" s="273"/>
      <c r="AZ541" s="273"/>
      <c r="BA541" s="273"/>
    </row>
    <row r="542">
      <c r="A542" s="273"/>
      <c r="B542" s="273"/>
      <c r="C542" s="745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273"/>
      <c r="AP542" s="273"/>
      <c r="AQ542" s="273"/>
      <c r="AR542" s="273"/>
      <c r="AS542" s="273"/>
      <c r="AT542" s="273"/>
      <c r="AU542" s="273"/>
      <c r="AV542" s="273"/>
      <c r="AW542" s="273"/>
      <c r="AX542" s="273"/>
      <c r="AY542" s="273"/>
      <c r="AZ542" s="273"/>
      <c r="BA542" s="273"/>
    </row>
    <row r="543">
      <c r="A543" s="273"/>
      <c r="B543" s="273"/>
      <c r="C543" s="745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  <c r="AJ543" s="273"/>
      <c r="AK543" s="273"/>
      <c r="AL543" s="273"/>
      <c r="AM543" s="273"/>
      <c r="AN543" s="273"/>
      <c r="AO543" s="273"/>
      <c r="AP543" s="273"/>
      <c r="AQ543" s="273"/>
      <c r="AR543" s="273"/>
      <c r="AS543" s="273"/>
      <c r="AT543" s="273"/>
      <c r="AU543" s="273"/>
      <c r="AV543" s="273"/>
      <c r="AW543" s="273"/>
      <c r="AX543" s="273"/>
      <c r="AY543" s="273"/>
      <c r="AZ543" s="273"/>
      <c r="BA543" s="273"/>
    </row>
    <row r="544">
      <c r="A544" s="273"/>
      <c r="B544" s="273"/>
      <c r="C544" s="745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273"/>
      <c r="AP544" s="273"/>
      <c r="AQ544" s="273"/>
      <c r="AR544" s="273"/>
      <c r="AS544" s="273"/>
      <c r="AT544" s="273"/>
      <c r="AU544" s="273"/>
      <c r="AV544" s="273"/>
      <c r="AW544" s="273"/>
      <c r="AX544" s="273"/>
      <c r="AY544" s="273"/>
      <c r="AZ544" s="273"/>
      <c r="BA544" s="273"/>
    </row>
    <row r="545">
      <c r="A545" s="273"/>
      <c r="B545" s="273"/>
      <c r="C545" s="745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  <c r="AJ545" s="273"/>
      <c r="AK545" s="273"/>
      <c r="AL545" s="273"/>
      <c r="AM545" s="273"/>
      <c r="AN545" s="273"/>
      <c r="AO545" s="273"/>
      <c r="AP545" s="273"/>
      <c r="AQ545" s="273"/>
      <c r="AR545" s="273"/>
      <c r="AS545" s="273"/>
      <c r="AT545" s="273"/>
      <c r="AU545" s="273"/>
      <c r="AV545" s="273"/>
      <c r="AW545" s="273"/>
      <c r="AX545" s="273"/>
      <c r="AY545" s="273"/>
      <c r="AZ545" s="273"/>
      <c r="BA545" s="273"/>
    </row>
    <row r="546">
      <c r="A546" s="273"/>
      <c r="B546" s="273"/>
      <c r="C546" s="745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273"/>
      <c r="AP546" s="273"/>
      <c r="AQ546" s="273"/>
      <c r="AR546" s="273"/>
      <c r="AS546" s="273"/>
      <c r="AT546" s="273"/>
      <c r="AU546" s="273"/>
      <c r="AV546" s="273"/>
      <c r="AW546" s="273"/>
      <c r="AX546" s="273"/>
      <c r="AY546" s="273"/>
      <c r="AZ546" s="273"/>
      <c r="BA546" s="273"/>
    </row>
    <row r="547">
      <c r="A547" s="273"/>
      <c r="B547" s="273"/>
      <c r="C547" s="745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  <c r="AJ547" s="273"/>
      <c r="AK547" s="273"/>
      <c r="AL547" s="273"/>
      <c r="AM547" s="273"/>
      <c r="AN547" s="273"/>
      <c r="AO547" s="273"/>
      <c r="AP547" s="273"/>
      <c r="AQ547" s="273"/>
      <c r="AR547" s="273"/>
      <c r="AS547" s="273"/>
      <c r="AT547" s="273"/>
      <c r="AU547" s="273"/>
      <c r="AV547" s="273"/>
      <c r="AW547" s="273"/>
      <c r="AX547" s="273"/>
      <c r="AY547" s="273"/>
      <c r="AZ547" s="273"/>
      <c r="BA547" s="273"/>
    </row>
    <row r="548">
      <c r="A548" s="273"/>
      <c r="B548" s="273"/>
      <c r="C548" s="745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273"/>
      <c r="AP548" s="273"/>
      <c r="AQ548" s="273"/>
      <c r="AR548" s="273"/>
      <c r="AS548" s="273"/>
      <c r="AT548" s="273"/>
      <c r="AU548" s="273"/>
      <c r="AV548" s="273"/>
      <c r="AW548" s="273"/>
      <c r="AX548" s="273"/>
      <c r="AY548" s="273"/>
      <c r="AZ548" s="273"/>
      <c r="BA548" s="273"/>
    </row>
    <row r="549">
      <c r="A549" s="273"/>
      <c r="B549" s="273"/>
      <c r="C549" s="745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  <c r="AJ549" s="273"/>
      <c r="AK549" s="273"/>
      <c r="AL549" s="273"/>
      <c r="AM549" s="273"/>
      <c r="AN549" s="273"/>
      <c r="AO549" s="273"/>
      <c r="AP549" s="273"/>
      <c r="AQ549" s="273"/>
      <c r="AR549" s="273"/>
      <c r="AS549" s="273"/>
      <c r="AT549" s="273"/>
      <c r="AU549" s="273"/>
      <c r="AV549" s="273"/>
      <c r="AW549" s="273"/>
      <c r="AX549" s="273"/>
      <c r="AY549" s="273"/>
      <c r="AZ549" s="273"/>
      <c r="BA549" s="273"/>
    </row>
    <row r="550">
      <c r="A550" s="273"/>
      <c r="B550" s="273"/>
      <c r="C550" s="745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273"/>
      <c r="AP550" s="273"/>
      <c r="AQ550" s="273"/>
      <c r="AR550" s="273"/>
      <c r="AS550" s="273"/>
      <c r="AT550" s="273"/>
      <c r="AU550" s="273"/>
      <c r="AV550" s="273"/>
      <c r="AW550" s="273"/>
      <c r="AX550" s="273"/>
      <c r="AY550" s="273"/>
      <c r="AZ550" s="273"/>
      <c r="BA550" s="273"/>
    </row>
    <row r="551">
      <c r="A551" s="273"/>
      <c r="B551" s="273"/>
      <c r="C551" s="745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  <c r="AJ551" s="273"/>
      <c r="AK551" s="273"/>
      <c r="AL551" s="273"/>
      <c r="AM551" s="273"/>
      <c r="AN551" s="273"/>
      <c r="AO551" s="273"/>
      <c r="AP551" s="273"/>
      <c r="AQ551" s="273"/>
      <c r="AR551" s="273"/>
      <c r="AS551" s="273"/>
      <c r="AT551" s="273"/>
      <c r="AU551" s="273"/>
      <c r="AV551" s="273"/>
      <c r="AW551" s="273"/>
      <c r="AX551" s="273"/>
      <c r="AY551" s="273"/>
      <c r="AZ551" s="273"/>
      <c r="BA551" s="273"/>
    </row>
    <row r="552">
      <c r="A552" s="273"/>
      <c r="B552" s="273"/>
      <c r="C552" s="745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273"/>
      <c r="AP552" s="273"/>
      <c r="AQ552" s="273"/>
      <c r="AR552" s="273"/>
      <c r="AS552" s="273"/>
      <c r="AT552" s="273"/>
      <c r="AU552" s="273"/>
      <c r="AV552" s="273"/>
      <c r="AW552" s="273"/>
      <c r="AX552" s="273"/>
      <c r="AY552" s="273"/>
      <c r="AZ552" s="273"/>
      <c r="BA552" s="273"/>
    </row>
    <row r="553">
      <c r="A553" s="273"/>
      <c r="B553" s="273"/>
      <c r="C553" s="745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  <c r="AJ553" s="273"/>
      <c r="AK553" s="273"/>
      <c r="AL553" s="273"/>
      <c r="AM553" s="273"/>
      <c r="AN553" s="273"/>
      <c r="AO553" s="273"/>
      <c r="AP553" s="273"/>
      <c r="AQ553" s="273"/>
      <c r="AR553" s="273"/>
      <c r="AS553" s="273"/>
      <c r="AT553" s="273"/>
      <c r="AU553" s="273"/>
      <c r="AV553" s="273"/>
      <c r="AW553" s="273"/>
      <c r="AX553" s="273"/>
      <c r="AY553" s="273"/>
      <c r="AZ553" s="273"/>
      <c r="BA553" s="273"/>
    </row>
    <row r="554">
      <c r="A554" s="273"/>
      <c r="B554" s="273"/>
      <c r="C554" s="745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273"/>
      <c r="AP554" s="273"/>
      <c r="AQ554" s="273"/>
      <c r="AR554" s="273"/>
      <c r="AS554" s="273"/>
      <c r="AT554" s="273"/>
      <c r="AU554" s="273"/>
      <c r="AV554" s="273"/>
      <c r="AW554" s="273"/>
      <c r="AX554" s="273"/>
      <c r="AY554" s="273"/>
      <c r="AZ554" s="273"/>
      <c r="BA554" s="273"/>
    </row>
    <row r="555">
      <c r="A555" s="273"/>
      <c r="B555" s="273"/>
      <c r="C555" s="745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  <c r="AJ555" s="273"/>
      <c r="AK555" s="273"/>
      <c r="AL555" s="273"/>
      <c r="AM555" s="273"/>
      <c r="AN555" s="273"/>
      <c r="AO555" s="273"/>
      <c r="AP555" s="273"/>
      <c r="AQ555" s="273"/>
      <c r="AR555" s="273"/>
      <c r="AS555" s="273"/>
      <c r="AT555" s="273"/>
      <c r="AU555" s="273"/>
      <c r="AV555" s="273"/>
      <c r="AW555" s="273"/>
      <c r="AX555" s="273"/>
      <c r="AY555" s="273"/>
      <c r="AZ555" s="273"/>
      <c r="BA555" s="273"/>
    </row>
    <row r="556">
      <c r="A556" s="273"/>
      <c r="B556" s="273"/>
      <c r="C556" s="745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273"/>
      <c r="AP556" s="273"/>
      <c r="AQ556" s="273"/>
      <c r="AR556" s="273"/>
      <c r="AS556" s="273"/>
      <c r="AT556" s="273"/>
      <c r="AU556" s="273"/>
      <c r="AV556" s="273"/>
      <c r="AW556" s="273"/>
      <c r="AX556" s="273"/>
      <c r="AY556" s="273"/>
      <c r="AZ556" s="273"/>
      <c r="BA556" s="273"/>
    </row>
    <row r="557">
      <c r="A557" s="273"/>
      <c r="B557" s="273"/>
      <c r="C557" s="745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  <c r="AJ557" s="273"/>
      <c r="AK557" s="273"/>
      <c r="AL557" s="273"/>
      <c r="AM557" s="273"/>
      <c r="AN557" s="273"/>
      <c r="AO557" s="273"/>
      <c r="AP557" s="273"/>
      <c r="AQ557" s="273"/>
      <c r="AR557" s="273"/>
      <c r="AS557" s="273"/>
      <c r="AT557" s="273"/>
      <c r="AU557" s="273"/>
      <c r="AV557" s="273"/>
      <c r="AW557" s="273"/>
      <c r="AX557" s="273"/>
      <c r="AY557" s="273"/>
      <c r="AZ557" s="273"/>
      <c r="BA557" s="273"/>
    </row>
    <row r="558">
      <c r="A558" s="273"/>
      <c r="B558" s="273"/>
      <c r="C558" s="745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273"/>
      <c r="AP558" s="273"/>
      <c r="AQ558" s="273"/>
      <c r="AR558" s="273"/>
      <c r="AS558" s="273"/>
      <c r="AT558" s="273"/>
      <c r="AU558" s="273"/>
      <c r="AV558" s="273"/>
      <c r="AW558" s="273"/>
      <c r="AX558" s="273"/>
      <c r="AY558" s="273"/>
      <c r="AZ558" s="273"/>
      <c r="BA558" s="273"/>
    </row>
    <row r="559">
      <c r="A559" s="273"/>
      <c r="B559" s="273"/>
      <c r="C559" s="745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  <c r="AJ559" s="273"/>
      <c r="AK559" s="273"/>
      <c r="AL559" s="273"/>
      <c r="AM559" s="273"/>
      <c r="AN559" s="273"/>
      <c r="AO559" s="273"/>
      <c r="AP559" s="273"/>
      <c r="AQ559" s="273"/>
      <c r="AR559" s="273"/>
      <c r="AS559" s="273"/>
      <c r="AT559" s="273"/>
      <c r="AU559" s="273"/>
      <c r="AV559" s="273"/>
      <c r="AW559" s="273"/>
      <c r="AX559" s="273"/>
      <c r="AY559" s="273"/>
      <c r="AZ559" s="273"/>
      <c r="BA559" s="273"/>
    </row>
    <row r="560">
      <c r="A560" s="273"/>
      <c r="B560" s="273"/>
      <c r="C560" s="745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273"/>
      <c r="AP560" s="273"/>
      <c r="AQ560" s="273"/>
      <c r="AR560" s="273"/>
      <c r="AS560" s="273"/>
      <c r="AT560" s="273"/>
      <c r="AU560" s="273"/>
      <c r="AV560" s="273"/>
      <c r="AW560" s="273"/>
      <c r="AX560" s="273"/>
      <c r="AY560" s="273"/>
      <c r="AZ560" s="273"/>
      <c r="BA560" s="273"/>
    </row>
    <row r="561">
      <c r="A561" s="273"/>
      <c r="B561" s="273"/>
      <c r="C561" s="745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  <c r="AJ561" s="273"/>
      <c r="AK561" s="273"/>
      <c r="AL561" s="273"/>
      <c r="AM561" s="273"/>
      <c r="AN561" s="273"/>
      <c r="AO561" s="273"/>
      <c r="AP561" s="273"/>
      <c r="AQ561" s="273"/>
      <c r="AR561" s="273"/>
      <c r="AS561" s="273"/>
      <c r="AT561" s="273"/>
      <c r="AU561" s="273"/>
      <c r="AV561" s="273"/>
      <c r="AW561" s="273"/>
      <c r="AX561" s="273"/>
      <c r="AY561" s="273"/>
      <c r="AZ561" s="273"/>
      <c r="BA561" s="273"/>
    </row>
    <row r="562">
      <c r="A562" s="273"/>
      <c r="B562" s="273"/>
      <c r="C562" s="745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273"/>
      <c r="AP562" s="273"/>
      <c r="AQ562" s="273"/>
      <c r="AR562" s="273"/>
      <c r="AS562" s="273"/>
      <c r="AT562" s="273"/>
      <c r="AU562" s="273"/>
      <c r="AV562" s="273"/>
      <c r="AW562" s="273"/>
      <c r="AX562" s="273"/>
      <c r="AY562" s="273"/>
      <c r="AZ562" s="273"/>
      <c r="BA562" s="273"/>
    </row>
    <row r="563">
      <c r="A563" s="273"/>
      <c r="B563" s="273"/>
      <c r="C563" s="745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  <c r="AJ563" s="273"/>
      <c r="AK563" s="273"/>
      <c r="AL563" s="273"/>
      <c r="AM563" s="273"/>
      <c r="AN563" s="273"/>
      <c r="AO563" s="273"/>
      <c r="AP563" s="273"/>
      <c r="AQ563" s="273"/>
      <c r="AR563" s="273"/>
      <c r="AS563" s="273"/>
      <c r="AT563" s="273"/>
      <c r="AU563" s="273"/>
      <c r="AV563" s="273"/>
      <c r="AW563" s="273"/>
      <c r="AX563" s="273"/>
      <c r="AY563" s="273"/>
      <c r="AZ563" s="273"/>
      <c r="BA563" s="273"/>
    </row>
    <row r="564">
      <c r="A564" s="273"/>
      <c r="B564" s="273"/>
      <c r="C564" s="745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273"/>
      <c r="AP564" s="273"/>
      <c r="AQ564" s="273"/>
      <c r="AR564" s="273"/>
      <c r="AS564" s="273"/>
      <c r="AT564" s="273"/>
      <c r="AU564" s="273"/>
      <c r="AV564" s="273"/>
      <c r="AW564" s="273"/>
      <c r="AX564" s="273"/>
      <c r="AY564" s="273"/>
      <c r="AZ564" s="273"/>
      <c r="BA564" s="273"/>
    </row>
    <row r="565">
      <c r="A565" s="273"/>
      <c r="B565" s="273"/>
      <c r="C565" s="745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  <c r="AJ565" s="273"/>
      <c r="AK565" s="273"/>
      <c r="AL565" s="273"/>
      <c r="AM565" s="273"/>
      <c r="AN565" s="273"/>
      <c r="AO565" s="273"/>
      <c r="AP565" s="273"/>
      <c r="AQ565" s="273"/>
      <c r="AR565" s="273"/>
      <c r="AS565" s="273"/>
      <c r="AT565" s="273"/>
      <c r="AU565" s="273"/>
      <c r="AV565" s="273"/>
      <c r="AW565" s="273"/>
      <c r="AX565" s="273"/>
      <c r="AY565" s="273"/>
      <c r="AZ565" s="273"/>
      <c r="BA565" s="273"/>
    </row>
    <row r="566">
      <c r="A566" s="273"/>
      <c r="B566" s="273"/>
      <c r="C566" s="745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273"/>
      <c r="AP566" s="273"/>
      <c r="AQ566" s="273"/>
      <c r="AR566" s="273"/>
      <c r="AS566" s="273"/>
      <c r="AT566" s="273"/>
      <c r="AU566" s="273"/>
      <c r="AV566" s="273"/>
      <c r="AW566" s="273"/>
      <c r="AX566" s="273"/>
      <c r="AY566" s="273"/>
      <c r="AZ566" s="273"/>
      <c r="BA566" s="273"/>
    </row>
    <row r="567">
      <c r="A567" s="273"/>
      <c r="B567" s="273"/>
      <c r="C567" s="745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  <c r="AJ567" s="273"/>
      <c r="AK567" s="273"/>
      <c r="AL567" s="273"/>
      <c r="AM567" s="273"/>
      <c r="AN567" s="273"/>
      <c r="AO567" s="273"/>
      <c r="AP567" s="273"/>
      <c r="AQ567" s="273"/>
      <c r="AR567" s="273"/>
      <c r="AS567" s="273"/>
      <c r="AT567" s="273"/>
      <c r="AU567" s="273"/>
      <c r="AV567" s="273"/>
      <c r="AW567" s="273"/>
      <c r="AX567" s="273"/>
      <c r="AY567" s="273"/>
      <c r="AZ567" s="273"/>
      <c r="BA567" s="273"/>
    </row>
    <row r="568">
      <c r="A568" s="273"/>
      <c r="B568" s="273"/>
      <c r="C568" s="745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273"/>
      <c r="AP568" s="273"/>
      <c r="AQ568" s="273"/>
      <c r="AR568" s="273"/>
      <c r="AS568" s="273"/>
      <c r="AT568" s="273"/>
      <c r="AU568" s="273"/>
      <c r="AV568" s="273"/>
      <c r="AW568" s="273"/>
      <c r="AX568" s="273"/>
      <c r="AY568" s="273"/>
      <c r="AZ568" s="273"/>
      <c r="BA568" s="273"/>
    </row>
    <row r="569">
      <c r="A569" s="273"/>
      <c r="B569" s="273"/>
      <c r="C569" s="745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  <c r="AJ569" s="273"/>
      <c r="AK569" s="273"/>
      <c r="AL569" s="273"/>
      <c r="AM569" s="273"/>
      <c r="AN569" s="273"/>
      <c r="AO569" s="273"/>
      <c r="AP569" s="273"/>
      <c r="AQ569" s="273"/>
      <c r="AR569" s="273"/>
      <c r="AS569" s="273"/>
      <c r="AT569" s="273"/>
      <c r="AU569" s="273"/>
      <c r="AV569" s="273"/>
      <c r="AW569" s="273"/>
      <c r="AX569" s="273"/>
      <c r="AY569" s="273"/>
      <c r="AZ569" s="273"/>
      <c r="BA569" s="273"/>
    </row>
    <row r="570">
      <c r="A570" s="273"/>
      <c r="B570" s="273"/>
      <c r="C570" s="745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273"/>
      <c r="AP570" s="273"/>
      <c r="AQ570" s="273"/>
      <c r="AR570" s="273"/>
      <c r="AS570" s="273"/>
      <c r="AT570" s="273"/>
      <c r="AU570" s="273"/>
      <c r="AV570" s="273"/>
      <c r="AW570" s="273"/>
      <c r="AX570" s="273"/>
      <c r="AY570" s="273"/>
      <c r="AZ570" s="273"/>
      <c r="BA570" s="273"/>
    </row>
    <row r="571">
      <c r="A571" s="273"/>
      <c r="B571" s="273"/>
      <c r="C571" s="745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  <c r="AJ571" s="273"/>
      <c r="AK571" s="273"/>
      <c r="AL571" s="273"/>
      <c r="AM571" s="273"/>
      <c r="AN571" s="273"/>
      <c r="AO571" s="273"/>
      <c r="AP571" s="273"/>
      <c r="AQ571" s="273"/>
      <c r="AR571" s="273"/>
      <c r="AS571" s="273"/>
      <c r="AT571" s="273"/>
      <c r="AU571" s="273"/>
      <c r="AV571" s="273"/>
      <c r="AW571" s="273"/>
      <c r="AX571" s="273"/>
      <c r="AY571" s="273"/>
      <c r="AZ571" s="273"/>
      <c r="BA571" s="273"/>
    </row>
    <row r="572">
      <c r="A572" s="273"/>
      <c r="B572" s="273"/>
      <c r="C572" s="745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273"/>
      <c r="AP572" s="273"/>
      <c r="AQ572" s="273"/>
      <c r="AR572" s="273"/>
      <c r="AS572" s="273"/>
      <c r="AT572" s="273"/>
      <c r="AU572" s="273"/>
      <c r="AV572" s="273"/>
      <c r="AW572" s="273"/>
      <c r="AX572" s="273"/>
      <c r="AY572" s="273"/>
      <c r="AZ572" s="273"/>
      <c r="BA572" s="273"/>
    </row>
    <row r="573">
      <c r="A573" s="273"/>
      <c r="B573" s="273"/>
      <c r="C573" s="745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  <c r="AJ573" s="273"/>
      <c r="AK573" s="273"/>
      <c r="AL573" s="273"/>
      <c r="AM573" s="273"/>
      <c r="AN573" s="273"/>
      <c r="AO573" s="273"/>
      <c r="AP573" s="273"/>
      <c r="AQ573" s="273"/>
      <c r="AR573" s="273"/>
      <c r="AS573" s="273"/>
      <c r="AT573" s="273"/>
      <c r="AU573" s="273"/>
      <c r="AV573" s="273"/>
      <c r="AW573" s="273"/>
      <c r="AX573" s="273"/>
      <c r="AY573" s="273"/>
      <c r="AZ573" s="273"/>
      <c r="BA573" s="273"/>
    </row>
    <row r="574">
      <c r="A574" s="273"/>
      <c r="B574" s="273"/>
      <c r="C574" s="745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273"/>
      <c r="AP574" s="273"/>
      <c r="AQ574" s="273"/>
      <c r="AR574" s="273"/>
      <c r="AS574" s="273"/>
      <c r="AT574" s="273"/>
      <c r="AU574" s="273"/>
      <c r="AV574" s="273"/>
      <c r="AW574" s="273"/>
      <c r="AX574" s="273"/>
      <c r="AY574" s="273"/>
      <c r="AZ574" s="273"/>
      <c r="BA574" s="273"/>
    </row>
    <row r="575">
      <c r="A575" s="273"/>
      <c r="B575" s="273"/>
      <c r="C575" s="745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  <c r="AJ575" s="273"/>
      <c r="AK575" s="273"/>
      <c r="AL575" s="273"/>
      <c r="AM575" s="273"/>
      <c r="AN575" s="273"/>
      <c r="AO575" s="273"/>
      <c r="AP575" s="273"/>
      <c r="AQ575" s="273"/>
      <c r="AR575" s="273"/>
      <c r="AS575" s="273"/>
      <c r="AT575" s="273"/>
      <c r="AU575" s="273"/>
      <c r="AV575" s="273"/>
      <c r="AW575" s="273"/>
      <c r="AX575" s="273"/>
      <c r="AY575" s="273"/>
      <c r="AZ575" s="273"/>
      <c r="BA575" s="273"/>
    </row>
    <row r="576">
      <c r="A576" s="273"/>
      <c r="B576" s="273"/>
      <c r="C576" s="745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273"/>
      <c r="AP576" s="273"/>
      <c r="AQ576" s="273"/>
      <c r="AR576" s="273"/>
      <c r="AS576" s="273"/>
      <c r="AT576" s="273"/>
      <c r="AU576" s="273"/>
      <c r="AV576" s="273"/>
      <c r="AW576" s="273"/>
      <c r="AX576" s="273"/>
      <c r="AY576" s="273"/>
      <c r="AZ576" s="273"/>
      <c r="BA576" s="273"/>
    </row>
    <row r="577">
      <c r="A577" s="273"/>
      <c r="B577" s="273"/>
      <c r="C577" s="745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  <c r="AJ577" s="273"/>
      <c r="AK577" s="273"/>
      <c r="AL577" s="273"/>
      <c r="AM577" s="273"/>
      <c r="AN577" s="273"/>
      <c r="AO577" s="273"/>
      <c r="AP577" s="273"/>
      <c r="AQ577" s="273"/>
      <c r="AR577" s="273"/>
      <c r="AS577" s="273"/>
      <c r="AT577" s="273"/>
      <c r="AU577" s="273"/>
      <c r="AV577" s="273"/>
      <c r="AW577" s="273"/>
      <c r="AX577" s="273"/>
      <c r="AY577" s="273"/>
      <c r="AZ577" s="273"/>
      <c r="BA577" s="273"/>
    </row>
    <row r="578">
      <c r="A578" s="273"/>
      <c r="B578" s="273"/>
      <c r="C578" s="745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273"/>
      <c r="AP578" s="273"/>
      <c r="AQ578" s="273"/>
      <c r="AR578" s="273"/>
      <c r="AS578" s="273"/>
      <c r="AT578" s="273"/>
      <c r="AU578" s="273"/>
      <c r="AV578" s="273"/>
      <c r="AW578" s="273"/>
      <c r="AX578" s="273"/>
      <c r="AY578" s="273"/>
      <c r="AZ578" s="273"/>
      <c r="BA578" s="273"/>
    </row>
    <row r="579">
      <c r="A579" s="273"/>
      <c r="B579" s="273"/>
      <c r="C579" s="745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  <c r="AJ579" s="273"/>
      <c r="AK579" s="273"/>
      <c r="AL579" s="273"/>
      <c r="AM579" s="273"/>
      <c r="AN579" s="273"/>
      <c r="AO579" s="273"/>
      <c r="AP579" s="273"/>
      <c r="AQ579" s="273"/>
      <c r="AR579" s="273"/>
      <c r="AS579" s="273"/>
      <c r="AT579" s="273"/>
      <c r="AU579" s="273"/>
      <c r="AV579" s="273"/>
      <c r="AW579" s="273"/>
      <c r="AX579" s="273"/>
      <c r="AY579" s="273"/>
      <c r="AZ579" s="273"/>
      <c r="BA579" s="273"/>
    </row>
    <row r="580">
      <c r="A580" s="273"/>
      <c r="B580" s="273"/>
      <c r="C580" s="745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273"/>
      <c r="AP580" s="273"/>
      <c r="AQ580" s="273"/>
      <c r="AR580" s="273"/>
      <c r="AS580" s="273"/>
      <c r="AT580" s="273"/>
      <c r="AU580" s="273"/>
      <c r="AV580" s="273"/>
      <c r="AW580" s="273"/>
      <c r="AX580" s="273"/>
      <c r="AY580" s="273"/>
      <c r="AZ580" s="273"/>
      <c r="BA580" s="273"/>
    </row>
    <row r="581">
      <c r="A581" s="273"/>
      <c r="B581" s="273"/>
      <c r="C581" s="745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  <c r="AJ581" s="273"/>
      <c r="AK581" s="273"/>
      <c r="AL581" s="273"/>
      <c r="AM581" s="273"/>
      <c r="AN581" s="273"/>
      <c r="AO581" s="273"/>
      <c r="AP581" s="273"/>
      <c r="AQ581" s="273"/>
      <c r="AR581" s="273"/>
      <c r="AS581" s="273"/>
      <c r="AT581" s="273"/>
      <c r="AU581" s="273"/>
      <c r="AV581" s="273"/>
      <c r="AW581" s="273"/>
      <c r="AX581" s="273"/>
      <c r="AY581" s="273"/>
      <c r="AZ581" s="273"/>
      <c r="BA581" s="273"/>
    </row>
    <row r="582">
      <c r="A582" s="273"/>
      <c r="B582" s="273"/>
      <c r="C582" s="745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273"/>
      <c r="AP582" s="273"/>
      <c r="AQ582" s="273"/>
      <c r="AR582" s="273"/>
      <c r="AS582" s="273"/>
      <c r="AT582" s="273"/>
      <c r="AU582" s="273"/>
      <c r="AV582" s="273"/>
      <c r="AW582" s="273"/>
      <c r="AX582" s="273"/>
      <c r="AY582" s="273"/>
      <c r="AZ582" s="273"/>
      <c r="BA582" s="273"/>
    </row>
    <row r="583">
      <c r="A583" s="273"/>
      <c r="B583" s="273"/>
      <c r="C583" s="745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  <c r="AJ583" s="273"/>
      <c r="AK583" s="273"/>
      <c r="AL583" s="273"/>
      <c r="AM583" s="273"/>
      <c r="AN583" s="273"/>
      <c r="AO583" s="273"/>
      <c r="AP583" s="273"/>
      <c r="AQ583" s="273"/>
      <c r="AR583" s="273"/>
      <c r="AS583" s="273"/>
      <c r="AT583" s="273"/>
      <c r="AU583" s="273"/>
      <c r="AV583" s="273"/>
      <c r="AW583" s="273"/>
      <c r="AX583" s="273"/>
      <c r="AY583" s="273"/>
      <c r="AZ583" s="273"/>
      <c r="BA583" s="273"/>
    </row>
    <row r="584">
      <c r="A584" s="273"/>
      <c r="B584" s="273"/>
      <c r="C584" s="745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273"/>
      <c r="AP584" s="273"/>
      <c r="AQ584" s="273"/>
      <c r="AR584" s="273"/>
      <c r="AS584" s="273"/>
      <c r="AT584" s="273"/>
      <c r="AU584" s="273"/>
      <c r="AV584" s="273"/>
      <c r="AW584" s="273"/>
      <c r="AX584" s="273"/>
      <c r="AY584" s="273"/>
      <c r="AZ584" s="273"/>
      <c r="BA584" s="273"/>
    </row>
    <row r="585">
      <c r="A585" s="273"/>
      <c r="B585" s="273"/>
      <c r="C585" s="745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  <c r="AJ585" s="273"/>
      <c r="AK585" s="273"/>
      <c r="AL585" s="273"/>
      <c r="AM585" s="273"/>
      <c r="AN585" s="273"/>
      <c r="AO585" s="273"/>
      <c r="AP585" s="273"/>
      <c r="AQ585" s="273"/>
      <c r="AR585" s="273"/>
      <c r="AS585" s="273"/>
      <c r="AT585" s="273"/>
      <c r="AU585" s="273"/>
      <c r="AV585" s="273"/>
      <c r="AW585" s="273"/>
      <c r="AX585" s="273"/>
      <c r="AY585" s="273"/>
      <c r="AZ585" s="273"/>
      <c r="BA585" s="273"/>
    </row>
    <row r="586">
      <c r="A586" s="273"/>
      <c r="B586" s="273"/>
      <c r="C586" s="745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273"/>
      <c r="AP586" s="273"/>
      <c r="AQ586" s="273"/>
      <c r="AR586" s="273"/>
      <c r="AS586" s="273"/>
      <c r="AT586" s="273"/>
      <c r="AU586" s="273"/>
      <c r="AV586" s="273"/>
      <c r="AW586" s="273"/>
      <c r="AX586" s="273"/>
      <c r="AY586" s="273"/>
      <c r="AZ586" s="273"/>
      <c r="BA586" s="273"/>
    </row>
    <row r="587">
      <c r="A587" s="273"/>
      <c r="B587" s="273"/>
      <c r="C587" s="745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  <c r="AJ587" s="273"/>
      <c r="AK587" s="273"/>
      <c r="AL587" s="273"/>
      <c r="AM587" s="273"/>
      <c r="AN587" s="273"/>
      <c r="AO587" s="273"/>
      <c r="AP587" s="273"/>
      <c r="AQ587" s="273"/>
      <c r="AR587" s="273"/>
      <c r="AS587" s="273"/>
      <c r="AT587" s="273"/>
      <c r="AU587" s="273"/>
      <c r="AV587" s="273"/>
      <c r="AW587" s="273"/>
      <c r="AX587" s="273"/>
      <c r="AY587" s="273"/>
      <c r="AZ587" s="273"/>
      <c r="BA587" s="273"/>
    </row>
    <row r="588">
      <c r="A588" s="273"/>
      <c r="B588" s="273"/>
      <c r="C588" s="745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273"/>
      <c r="AP588" s="273"/>
      <c r="AQ588" s="273"/>
      <c r="AR588" s="273"/>
      <c r="AS588" s="273"/>
      <c r="AT588" s="273"/>
      <c r="AU588" s="273"/>
      <c r="AV588" s="273"/>
      <c r="AW588" s="273"/>
      <c r="AX588" s="273"/>
      <c r="AY588" s="273"/>
      <c r="AZ588" s="273"/>
      <c r="BA588" s="273"/>
    </row>
    <row r="589">
      <c r="A589" s="273"/>
      <c r="B589" s="273"/>
      <c r="C589" s="745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  <c r="AJ589" s="273"/>
      <c r="AK589" s="273"/>
      <c r="AL589" s="273"/>
      <c r="AM589" s="273"/>
      <c r="AN589" s="273"/>
      <c r="AO589" s="273"/>
      <c r="AP589" s="273"/>
      <c r="AQ589" s="273"/>
      <c r="AR589" s="273"/>
      <c r="AS589" s="273"/>
      <c r="AT589" s="273"/>
      <c r="AU589" s="273"/>
      <c r="AV589" s="273"/>
      <c r="AW589" s="273"/>
      <c r="AX589" s="273"/>
      <c r="AY589" s="273"/>
      <c r="AZ589" s="273"/>
      <c r="BA589" s="273"/>
    </row>
    <row r="590">
      <c r="A590" s="273"/>
      <c r="B590" s="273"/>
      <c r="C590" s="745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273"/>
      <c r="AP590" s="273"/>
      <c r="AQ590" s="273"/>
      <c r="AR590" s="273"/>
      <c r="AS590" s="273"/>
      <c r="AT590" s="273"/>
      <c r="AU590" s="273"/>
      <c r="AV590" s="273"/>
      <c r="AW590" s="273"/>
      <c r="AX590" s="273"/>
      <c r="AY590" s="273"/>
      <c r="AZ590" s="273"/>
      <c r="BA590" s="273"/>
    </row>
    <row r="591">
      <c r="A591" s="273"/>
      <c r="B591" s="273"/>
      <c r="C591" s="745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  <c r="AJ591" s="273"/>
      <c r="AK591" s="273"/>
      <c r="AL591" s="273"/>
      <c r="AM591" s="273"/>
      <c r="AN591" s="273"/>
      <c r="AO591" s="273"/>
      <c r="AP591" s="273"/>
      <c r="AQ591" s="273"/>
      <c r="AR591" s="273"/>
      <c r="AS591" s="273"/>
      <c r="AT591" s="273"/>
      <c r="AU591" s="273"/>
      <c r="AV591" s="273"/>
      <c r="AW591" s="273"/>
      <c r="AX591" s="273"/>
      <c r="AY591" s="273"/>
      <c r="AZ591" s="273"/>
      <c r="BA591" s="273"/>
    </row>
    <row r="592">
      <c r="A592" s="273"/>
      <c r="B592" s="273"/>
      <c r="C592" s="745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273"/>
      <c r="AP592" s="273"/>
      <c r="AQ592" s="273"/>
      <c r="AR592" s="273"/>
      <c r="AS592" s="273"/>
      <c r="AT592" s="273"/>
      <c r="AU592" s="273"/>
      <c r="AV592" s="273"/>
      <c r="AW592" s="273"/>
      <c r="AX592" s="273"/>
      <c r="AY592" s="273"/>
      <c r="AZ592" s="273"/>
      <c r="BA592" s="273"/>
    </row>
    <row r="593">
      <c r="A593" s="273"/>
      <c r="B593" s="273"/>
      <c r="C593" s="745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</row>
    <row r="594">
      <c r="A594" s="273"/>
      <c r="B594" s="273"/>
      <c r="C594" s="745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</row>
    <row r="595">
      <c r="A595" s="273"/>
      <c r="B595" s="273"/>
      <c r="C595" s="745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  <c r="AJ595" s="273"/>
      <c r="AK595" s="273"/>
      <c r="AL595" s="273"/>
      <c r="AM595" s="273"/>
      <c r="AN595" s="273"/>
      <c r="AO595" s="273"/>
      <c r="AP595" s="273"/>
      <c r="AQ595" s="273"/>
      <c r="AR595" s="273"/>
      <c r="AS595" s="273"/>
      <c r="AT595" s="273"/>
      <c r="AU595" s="273"/>
      <c r="AV595" s="273"/>
      <c r="AW595" s="273"/>
      <c r="AX595" s="273"/>
      <c r="AY595" s="273"/>
      <c r="AZ595" s="273"/>
      <c r="BA595" s="273"/>
    </row>
    <row r="596">
      <c r="A596" s="273"/>
      <c r="B596" s="273"/>
      <c r="C596" s="745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273"/>
      <c r="AP596" s="273"/>
      <c r="AQ596" s="273"/>
      <c r="AR596" s="273"/>
      <c r="AS596" s="273"/>
      <c r="AT596" s="273"/>
      <c r="AU596" s="273"/>
      <c r="AV596" s="273"/>
      <c r="AW596" s="273"/>
      <c r="AX596" s="273"/>
      <c r="AY596" s="273"/>
      <c r="AZ596" s="273"/>
      <c r="BA596" s="273"/>
    </row>
    <row r="597">
      <c r="A597" s="273"/>
      <c r="B597" s="273"/>
      <c r="C597" s="745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  <c r="AJ597" s="273"/>
      <c r="AK597" s="273"/>
      <c r="AL597" s="273"/>
      <c r="AM597" s="273"/>
      <c r="AN597" s="273"/>
      <c r="AO597" s="273"/>
      <c r="AP597" s="273"/>
      <c r="AQ597" s="273"/>
      <c r="AR597" s="273"/>
      <c r="AS597" s="273"/>
      <c r="AT597" s="273"/>
      <c r="AU597" s="273"/>
      <c r="AV597" s="273"/>
      <c r="AW597" s="273"/>
      <c r="AX597" s="273"/>
      <c r="AY597" s="273"/>
      <c r="AZ597" s="273"/>
      <c r="BA597" s="273"/>
    </row>
    <row r="598">
      <c r="A598" s="273"/>
      <c r="B598" s="273"/>
      <c r="C598" s="745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273"/>
      <c r="AP598" s="273"/>
      <c r="AQ598" s="273"/>
      <c r="AR598" s="273"/>
      <c r="AS598" s="273"/>
      <c r="AT598" s="273"/>
      <c r="AU598" s="273"/>
      <c r="AV598" s="273"/>
      <c r="AW598" s="273"/>
      <c r="AX598" s="273"/>
      <c r="AY598" s="273"/>
      <c r="AZ598" s="273"/>
      <c r="BA598" s="273"/>
    </row>
    <row r="599">
      <c r="A599" s="273"/>
      <c r="B599" s="273"/>
      <c r="C599" s="745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  <c r="AJ599" s="273"/>
      <c r="AK599" s="273"/>
      <c r="AL599" s="273"/>
      <c r="AM599" s="273"/>
      <c r="AN599" s="273"/>
      <c r="AO599" s="273"/>
      <c r="AP599" s="273"/>
      <c r="AQ599" s="273"/>
      <c r="AR599" s="273"/>
      <c r="AS599" s="273"/>
      <c r="AT599" s="273"/>
      <c r="AU599" s="273"/>
      <c r="AV599" s="273"/>
      <c r="AW599" s="273"/>
      <c r="AX599" s="273"/>
      <c r="AY599" s="273"/>
      <c r="AZ599" s="273"/>
      <c r="BA599" s="273"/>
    </row>
    <row r="600">
      <c r="A600" s="273"/>
      <c r="B600" s="273"/>
      <c r="C600" s="745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273"/>
      <c r="AP600" s="273"/>
      <c r="AQ600" s="273"/>
      <c r="AR600" s="273"/>
      <c r="AS600" s="273"/>
      <c r="AT600" s="273"/>
      <c r="AU600" s="273"/>
      <c r="AV600" s="273"/>
      <c r="AW600" s="273"/>
      <c r="AX600" s="273"/>
      <c r="AY600" s="273"/>
      <c r="AZ600" s="273"/>
      <c r="BA600" s="273"/>
    </row>
    <row r="601">
      <c r="A601" s="273"/>
      <c r="B601" s="273"/>
      <c r="C601" s="745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  <c r="AJ601" s="273"/>
      <c r="AK601" s="273"/>
      <c r="AL601" s="273"/>
      <c r="AM601" s="273"/>
      <c r="AN601" s="273"/>
      <c r="AO601" s="273"/>
      <c r="AP601" s="273"/>
      <c r="AQ601" s="273"/>
      <c r="AR601" s="273"/>
      <c r="AS601" s="273"/>
      <c r="AT601" s="273"/>
      <c r="AU601" s="273"/>
      <c r="AV601" s="273"/>
      <c r="AW601" s="273"/>
      <c r="AX601" s="273"/>
      <c r="AY601" s="273"/>
      <c r="AZ601" s="273"/>
      <c r="BA601" s="273"/>
    </row>
    <row r="602">
      <c r="A602" s="273"/>
      <c r="B602" s="273"/>
      <c r="C602" s="745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273"/>
      <c r="AP602" s="273"/>
      <c r="AQ602" s="273"/>
      <c r="AR602" s="273"/>
      <c r="AS602" s="273"/>
      <c r="AT602" s="273"/>
      <c r="AU602" s="273"/>
      <c r="AV602" s="273"/>
      <c r="AW602" s="273"/>
      <c r="AX602" s="273"/>
      <c r="AY602" s="273"/>
      <c r="AZ602" s="273"/>
      <c r="BA602" s="273"/>
    </row>
    <row r="603">
      <c r="A603" s="273"/>
      <c r="B603" s="273"/>
      <c r="C603" s="745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  <c r="AJ603" s="273"/>
      <c r="AK603" s="273"/>
      <c r="AL603" s="273"/>
      <c r="AM603" s="273"/>
      <c r="AN603" s="273"/>
      <c r="AO603" s="273"/>
      <c r="AP603" s="273"/>
      <c r="AQ603" s="273"/>
      <c r="AR603" s="273"/>
      <c r="AS603" s="273"/>
      <c r="AT603" s="273"/>
      <c r="AU603" s="273"/>
      <c r="AV603" s="273"/>
      <c r="AW603" s="273"/>
      <c r="AX603" s="273"/>
      <c r="AY603" s="273"/>
      <c r="AZ603" s="273"/>
      <c r="BA603" s="273"/>
    </row>
    <row r="604">
      <c r="A604" s="273"/>
      <c r="B604" s="273"/>
      <c r="C604" s="745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273"/>
      <c r="AP604" s="273"/>
      <c r="AQ604" s="273"/>
      <c r="AR604" s="273"/>
      <c r="AS604" s="273"/>
      <c r="AT604" s="273"/>
      <c r="AU604" s="273"/>
      <c r="AV604" s="273"/>
      <c r="AW604" s="273"/>
      <c r="AX604" s="273"/>
      <c r="AY604" s="273"/>
      <c r="AZ604" s="273"/>
      <c r="BA604" s="273"/>
    </row>
    <row r="605">
      <c r="A605" s="273"/>
      <c r="B605" s="273"/>
      <c r="C605" s="745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  <c r="AJ605" s="273"/>
      <c r="AK605" s="273"/>
      <c r="AL605" s="273"/>
      <c r="AM605" s="273"/>
      <c r="AN605" s="273"/>
      <c r="AO605" s="273"/>
      <c r="AP605" s="273"/>
      <c r="AQ605" s="273"/>
      <c r="AR605" s="273"/>
      <c r="AS605" s="273"/>
      <c r="AT605" s="273"/>
      <c r="AU605" s="273"/>
      <c r="AV605" s="273"/>
      <c r="AW605" s="273"/>
      <c r="AX605" s="273"/>
      <c r="AY605" s="273"/>
      <c r="AZ605" s="273"/>
      <c r="BA605" s="273"/>
    </row>
    <row r="606">
      <c r="A606" s="273"/>
      <c r="B606" s="273"/>
      <c r="C606" s="745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273"/>
      <c r="AP606" s="273"/>
      <c r="AQ606" s="273"/>
      <c r="AR606" s="273"/>
      <c r="AS606" s="273"/>
      <c r="AT606" s="273"/>
      <c r="AU606" s="273"/>
      <c r="AV606" s="273"/>
      <c r="AW606" s="273"/>
      <c r="AX606" s="273"/>
      <c r="AY606" s="273"/>
      <c r="AZ606" s="273"/>
      <c r="BA606" s="273"/>
    </row>
    <row r="607">
      <c r="A607" s="273"/>
      <c r="B607" s="273"/>
      <c r="C607" s="745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  <c r="AJ607" s="273"/>
      <c r="AK607" s="273"/>
      <c r="AL607" s="273"/>
      <c r="AM607" s="273"/>
      <c r="AN607" s="273"/>
      <c r="AO607" s="273"/>
      <c r="AP607" s="273"/>
      <c r="AQ607" s="273"/>
      <c r="AR607" s="273"/>
      <c r="AS607" s="273"/>
      <c r="AT607" s="273"/>
      <c r="AU607" s="273"/>
      <c r="AV607" s="273"/>
      <c r="AW607" s="273"/>
      <c r="AX607" s="273"/>
      <c r="AY607" s="273"/>
      <c r="AZ607" s="273"/>
      <c r="BA607" s="273"/>
    </row>
    <row r="608">
      <c r="A608" s="273"/>
      <c r="B608" s="273"/>
      <c r="C608" s="745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273"/>
      <c r="AP608" s="273"/>
      <c r="AQ608" s="273"/>
      <c r="AR608" s="273"/>
      <c r="AS608" s="273"/>
      <c r="AT608" s="273"/>
      <c r="AU608" s="273"/>
      <c r="AV608" s="273"/>
      <c r="AW608" s="273"/>
      <c r="AX608" s="273"/>
      <c r="AY608" s="273"/>
      <c r="AZ608" s="273"/>
      <c r="BA608" s="273"/>
    </row>
    <row r="609">
      <c r="A609" s="273"/>
      <c r="B609" s="273"/>
      <c r="C609" s="745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  <c r="AJ609" s="273"/>
      <c r="AK609" s="273"/>
      <c r="AL609" s="273"/>
      <c r="AM609" s="273"/>
      <c r="AN609" s="273"/>
      <c r="AO609" s="273"/>
      <c r="AP609" s="273"/>
      <c r="AQ609" s="273"/>
      <c r="AR609" s="273"/>
      <c r="AS609" s="273"/>
      <c r="AT609" s="273"/>
      <c r="AU609" s="273"/>
      <c r="AV609" s="273"/>
      <c r="AW609" s="273"/>
      <c r="AX609" s="273"/>
      <c r="AY609" s="273"/>
      <c r="AZ609" s="273"/>
      <c r="BA609" s="273"/>
    </row>
    <row r="610">
      <c r="A610" s="273"/>
      <c r="B610" s="273"/>
      <c r="C610" s="745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273"/>
      <c r="AP610" s="273"/>
      <c r="AQ610" s="273"/>
      <c r="AR610" s="273"/>
      <c r="AS610" s="273"/>
      <c r="AT610" s="273"/>
      <c r="AU610" s="273"/>
      <c r="AV610" s="273"/>
      <c r="AW610" s="273"/>
      <c r="AX610" s="273"/>
      <c r="AY610" s="273"/>
      <c r="AZ610" s="273"/>
      <c r="BA610" s="273"/>
    </row>
    <row r="611">
      <c r="A611" s="273"/>
      <c r="B611" s="273"/>
      <c r="C611" s="745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  <c r="AJ611" s="273"/>
      <c r="AK611" s="273"/>
      <c r="AL611" s="273"/>
      <c r="AM611" s="273"/>
      <c r="AN611" s="273"/>
      <c r="AO611" s="273"/>
      <c r="AP611" s="273"/>
      <c r="AQ611" s="273"/>
      <c r="AR611" s="273"/>
      <c r="AS611" s="273"/>
      <c r="AT611" s="273"/>
      <c r="AU611" s="273"/>
      <c r="AV611" s="273"/>
      <c r="AW611" s="273"/>
      <c r="AX611" s="273"/>
      <c r="AY611" s="273"/>
      <c r="AZ611" s="273"/>
      <c r="BA611" s="273"/>
    </row>
    <row r="612">
      <c r="A612" s="273"/>
      <c r="B612" s="273"/>
      <c r="C612" s="745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273"/>
      <c r="AP612" s="273"/>
      <c r="AQ612" s="273"/>
      <c r="AR612" s="273"/>
      <c r="AS612" s="273"/>
      <c r="AT612" s="273"/>
      <c r="AU612" s="273"/>
      <c r="AV612" s="273"/>
      <c r="AW612" s="273"/>
      <c r="AX612" s="273"/>
      <c r="AY612" s="273"/>
      <c r="AZ612" s="273"/>
      <c r="BA612" s="273"/>
    </row>
    <row r="613">
      <c r="A613" s="273"/>
      <c r="B613" s="273"/>
      <c r="C613" s="745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  <c r="AJ613" s="273"/>
      <c r="AK613" s="273"/>
      <c r="AL613" s="273"/>
      <c r="AM613" s="273"/>
      <c r="AN613" s="273"/>
      <c r="AO613" s="273"/>
      <c r="AP613" s="273"/>
      <c r="AQ613" s="273"/>
      <c r="AR613" s="273"/>
      <c r="AS613" s="273"/>
      <c r="AT613" s="273"/>
      <c r="AU613" s="273"/>
      <c r="AV613" s="273"/>
      <c r="AW613" s="273"/>
      <c r="AX613" s="273"/>
      <c r="AY613" s="273"/>
      <c r="AZ613" s="273"/>
      <c r="BA613" s="273"/>
    </row>
    <row r="614">
      <c r="A614" s="273"/>
      <c r="B614" s="273"/>
      <c r="C614" s="745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273"/>
      <c r="AP614" s="273"/>
      <c r="AQ614" s="273"/>
      <c r="AR614" s="273"/>
      <c r="AS614" s="273"/>
      <c r="AT614" s="273"/>
      <c r="AU614" s="273"/>
      <c r="AV614" s="273"/>
      <c r="AW614" s="273"/>
      <c r="AX614" s="273"/>
      <c r="AY614" s="273"/>
      <c r="AZ614" s="273"/>
      <c r="BA614" s="273"/>
    </row>
    <row r="615">
      <c r="A615" s="273"/>
      <c r="B615" s="273"/>
      <c r="C615" s="745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  <c r="AJ615" s="273"/>
      <c r="AK615" s="273"/>
      <c r="AL615" s="273"/>
      <c r="AM615" s="273"/>
      <c r="AN615" s="273"/>
      <c r="AO615" s="273"/>
      <c r="AP615" s="273"/>
      <c r="AQ615" s="273"/>
      <c r="AR615" s="273"/>
      <c r="AS615" s="273"/>
      <c r="AT615" s="273"/>
      <c r="AU615" s="273"/>
      <c r="AV615" s="273"/>
      <c r="AW615" s="273"/>
      <c r="AX615" s="273"/>
      <c r="AY615" s="273"/>
      <c r="AZ615" s="273"/>
      <c r="BA615" s="273"/>
    </row>
    <row r="616">
      <c r="A616" s="273"/>
      <c r="B616" s="273"/>
      <c r="C616" s="745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273"/>
      <c r="AP616" s="273"/>
      <c r="AQ616" s="273"/>
      <c r="AR616" s="273"/>
      <c r="AS616" s="273"/>
      <c r="AT616" s="273"/>
      <c r="AU616" s="273"/>
      <c r="AV616" s="273"/>
      <c r="AW616" s="273"/>
      <c r="AX616" s="273"/>
      <c r="AY616" s="273"/>
      <c r="AZ616" s="273"/>
      <c r="BA616" s="273"/>
    </row>
    <row r="617">
      <c r="A617" s="273"/>
      <c r="B617" s="273"/>
      <c r="C617" s="745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  <c r="AJ617" s="273"/>
      <c r="AK617" s="273"/>
      <c r="AL617" s="273"/>
      <c r="AM617" s="273"/>
      <c r="AN617" s="273"/>
      <c r="AO617" s="273"/>
      <c r="AP617" s="273"/>
      <c r="AQ617" s="273"/>
      <c r="AR617" s="273"/>
      <c r="AS617" s="273"/>
      <c r="AT617" s="273"/>
      <c r="AU617" s="273"/>
      <c r="AV617" s="273"/>
      <c r="AW617" s="273"/>
      <c r="AX617" s="273"/>
      <c r="AY617" s="273"/>
      <c r="AZ617" s="273"/>
      <c r="BA617" s="273"/>
    </row>
    <row r="618">
      <c r="A618" s="273"/>
      <c r="B618" s="273"/>
      <c r="C618" s="745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3"/>
      <c r="AV618" s="273"/>
      <c r="AW618" s="273"/>
      <c r="AX618" s="273"/>
      <c r="AY618" s="273"/>
      <c r="AZ618" s="273"/>
      <c r="BA618" s="273"/>
    </row>
    <row r="619">
      <c r="A619" s="273"/>
      <c r="B619" s="273"/>
      <c r="C619" s="745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  <c r="AJ619" s="273"/>
      <c r="AK619" s="273"/>
      <c r="AL619" s="273"/>
      <c r="AM619" s="273"/>
      <c r="AN619" s="273"/>
      <c r="AO619" s="273"/>
      <c r="AP619" s="273"/>
      <c r="AQ619" s="273"/>
      <c r="AR619" s="273"/>
      <c r="AS619" s="273"/>
      <c r="AT619" s="273"/>
      <c r="AU619" s="273"/>
      <c r="AV619" s="273"/>
      <c r="AW619" s="273"/>
      <c r="AX619" s="273"/>
      <c r="AY619" s="273"/>
      <c r="AZ619" s="273"/>
      <c r="BA619" s="273"/>
    </row>
    <row r="620">
      <c r="A620" s="273"/>
      <c r="B620" s="273"/>
      <c r="C620" s="745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  <c r="AJ620" s="273"/>
      <c r="AK620" s="273"/>
      <c r="AL620" s="273"/>
      <c r="AM620" s="273"/>
      <c r="AN620" s="273"/>
      <c r="AO620" s="273"/>
      <c r="AP620" s="273"/>
      <c r="AQ620" s="273"/>
      <c r="AR620" s="273"/>
      <c r="AS620" s="273"/>
      <c r="AT620" s="273"/>
      <c r="AU620" s="273"/>
      <c r="AV620" s="273"/>
      <c r="AW620" s="273"/>
      <c r="AX620" s="273"/>
      <c r="AY620" s="273"/>
      <c r="AZ620" s="273"/>
      <c r="BA620" s="273"/>
    </row>
    <row r="621">
      <c r="A621" s="273"/>
      <c r="B621" s="273"/>
      <c r="C621" s="745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  <c r="AJ621" s="273"/>
      <c r="AK621" s="273"/>
      <c r="AL621" s="273"/>
      <c r="AM621" s="273"/>
      <c r="AN621" s="273"/>
      <c r="AO621" s="273"/>
      <c r="AP621" s="273"/>
      <c r="AQ621" s="273"/>
      <c r="AR621" s="273"/>
      <c r="AS621" s="273"/>
      <c r="AT621" s="273"/>
      <c r="AU621" s="273"/>
      <c r="AV621" s="273"/>
      <c r="AW621" s="273"/>
      <c r="AX621" s="273"/>
      <c r="AY621" s="273"/>
      <c r="AZ621" s="273"/>
      <c r="BA621" s="273"/>
    </row>
    <row r="622">
      <c r="A622" s="273"/>
      <c r="B622" s="273"/>
      <c r="C622" s="745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  <c r="AJ622" s="273"/>
      <c r="AK622" s="273"/>
      <c r="AL622" s="273"/>
      <c r="AM622" s="273"/>
      <c r="AN622" s="273"/>
      <c r="AO622" s="273"/>
      <c r="AP622" s="273"/>
      <c r="AQ622" s="273"/>
      <c r="AR622" s="273"/>
      <c r="AS622" s="273"/>
      <c r="AT622" s="273"/>
      <c r="AU622" s="273"/>
      <c r="AV622" s="273"/>
      <c r="AW622" s="273"/>
      <c r="AX622" s="273"/>
      <c r="AY622" s="273"/>
      <c r="AZ622" s="273"/>
      <c r="BA622" s="273"/>
    </row>
    <row r="623">
      <c r="A623" s="273"/>
      <c r="B623" s="273"/>
      <c r="C623" s="745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  <c r="AJ623" s="273"/>
      <c r="AK623" s="273"/>
      <c r="AL623" s="273"/>
      <c r="AM623" s="273"/>
      <c r="AN623" s="273"/>
      <c r="AO623" s="273"/>
      <c r="AP623" s="273"/>
      <c r="AQ623" s="273"/>
      <c r="AR623" s="273"/>
      <c r="AS623" s="273"/>
      <c r="AT623" s="273"/>
      <c r="AU623" s="273"/>
      <c r="AV623" s="273"/>
      <c r="AW623" s="273"/>
      <c r="AX623" s="273"/>
      <c r="AY623" s="273"/>
      <c r="AZ623" s="273"/>
      <c r="BA623" s="273"/>
    </row>
    <row r="624">
      <c r="A624" s="273"/>
      <c r="B624" s="273"/>
      <c r="C624" s="745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  <c r="AJ624" s="273"/>
      <c r="AK624" s="273"/>
      <c r="AL624" s="273"/>
      <c r="AM624" s="273"/>
      <c r="AN624" s="273"/>
      <c r="AO624" s="273"/>
      <c r="AP624" s="273"/>
      <c r="AQ624" s="273"/>
      <c r="AR624" s="273"/>
      <c r="AS624" s="273"/>
      <c r="AT624" s="273"/>
      <c r="AU624" s="273"/>
      <c r="AV624" s="273"/>
      <c r="AW624" s="273"/>
      <c r="AX624" s="273"/>
      <c r="AY624" s="273"/>
      <c r="AZ624" s="273"/>
      <c r="BA624" s="273"/>
    </row>
    <row r="625">
      <c r="A625" s="273"/>
      <c r="B625" s="273"/>
      <c r="C625" s="745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  <c r="AJ625" s="273"/>
      <c r="AK625" s="273"/>
      <c r="AL625" s="273"/>
      <c r="AM625" s="273"/>
      <c r="AN625" s="273"/>
      <c r="AO625" s="273"/>
      <c r="AP625" s="273"/>
      <c r="AQ625" s="273"/>
      <c r="AR625" s="273"/>
      <c r="AS625" s="273"/>
      <c r="AT625" s="273"/>
      <c r="AU625" s="273"/>
      <c r="AV625" s="273"/>
      <c r="AW625" s="273"/>
      <c r="AX625" s="273"/>
      <c r="AY625" s="273"/>
      <c r="AZ625" s="273"/>
      <c r="BA625" s="273"/>
    </row>
    <row r="626">
      <c r="A626" s="273"/>
      <c r="B626" s="273"/>
      <c r="C626" s="745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  <c r="AJ626" s="273"/>
      <c r="AK626" s="273"/>
      <c r="AL626" s="273"/>
      <c r="AM626" s="273"/>
      <c r="AN626" s="273"/>
      <c r="AO626" s="273"/>
      <c r="AP626" s="273"/>
      <c r="AQ626" s="273"/>
      <c r="AR626" s="273"/>
      <c r="AS626" s="273"/>
      <c r="AT626" s="273"/>
      <c r="AU626" s="273"/>
      <c r="AV626" s="273"/>
      <c r="AW626" s="273"/>
      <c r="AX626" s="273"/>
      <c r="AY626" s="273"/>
      <c r="AZ626" s="273"/>
      <c r="BA626" s="273"/>
    </row>
    <row r="627">
      <c r="A627" s="273"/>
      <c r="B627" s="273"/>
      <c r="C627" s="745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3"/>
      <c r="AK627" s="273"/>
      <c r="AL627" s="273"/>
      <c r="AM627" s="273"/>
      <c r="AN627" s="273"/>
      <c r="AO627" s="273"/>
      <c r="AP627" s="273"/>
      <c r="AQ627" s="273"/>
      <c r="AR627" s="273"/>
      <c r="AS627" s="273"/>
      <c r="AT627" s="273"/>
      <c r="AU627" s="273"/>
      <c r="AV627" s="273"/>
      <c r="AW627" s="273"/>
      <c r="AX627" s="273"/>
      <c r="AY627" s="273"/>
      <c r="AZ627" s="273"/>
      <c r="BA627" s="273"/>
    </row>
    <row r="628">
      <c r="A628" s="273"/>
      <c r="B628" s="273"/>
      <c r="C628" s="745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  <c r="AJ628" s="273"/>
      <c r="AK628" s="273"/>
      <c r="AL628" s="273"/>
      <c r="AM628" s="273"/>
      <c r="AN628" s="273"/>
      <c r="AO628" s="273"/>
      <c r="AP628" s="273"/>
      <c r="AQ628" s="273"/>
      <c r="AR628" s="273"/>
      <c r="AS628" s="273"/>
      <c r="AT628" s="273"/>
      <c r="AU628" s="273"/>
      <c r="AV628" s="273"/>
      <c r="AW628" s="273"/>
      <c r="AX628" s="273"/>
      <c r="AY628" s="273"/>
      <c r="AZ628" s="273"/>
      <c r="BA628" s="273"/>
    </row>
    <row r="629">
      <c r="A629" s="273"/>
      <c r="B629" s="273"/>
      <c r="C629" s="745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  <c r="AJ629" s="273"/>
      <c r="AK629" s="273"/>
      <c r="AL629" s="273"/>
      <c r="AM629" s="273"/>
      <c r="AN629" s="273"/>
      <c r="AO629" s="273"/>
      <c r="AP629" s="273"/>
      <c r="AQ629" s="273"/>
      <c r="AR629" s="273"/>
      <c r="AS629" s="273"/>
      <c r="AT629" s="273"/>
      <c r="AU629" s="273"/>
      <c r="AV629" s="273"/>
      <c r="AW629" s="273"/>
      <c r="AX629" s="273"/>
      <c r="AY629" s="273"/>
      <c r="AZ629" s="273"/>
      <c r="BA629" s="273"/>
    </row>
    <row r="630">
      <c r="A630" s="273"/>
      <c r="B630" s="273"/>
      <c r="C630" s="745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3"/>
      <c r="AK630" s="273"/>
      <c r="AL630" s="273"/>
      <c r="AM630" s="273"/>
      <c r="AN630" s="273"/>
      <c r="AO630" s="273"/>
      <c r="AP630" s="273"/>
      <c r="AQ630" s="273"/>
      <c r="AR630" s="273"/>
      <c r="AS630" s="273"/>
      <c r="AT630" s="273"/>
      <c r="AU630" s="273"/>
      <c r="AV630" s="273"/>
      <c r="AW630" s="273"/>
      <c r="AX630" s="273"/>
      <c r="AY630" s="273"/>
      <c r="AZ630" s="273"/>
      <c r="BA630" s="273"/>
    </row>
    <row r="631">
      <c r="A631" s="273"/>
      <c r="B631" s="273"/>
      <c r="C631" s="745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  <c r="AJ631" s="273"/>
      <c r="AK631" s="273"/>
      <c r="AL631" s="273"/>
      <c r="AM631" s="273"/>
      <c r="AN631" s="273"/>
      <c r="AO631" s="273"/>
      <c r="AP631" s="273"/>
      <c r="AQ631" s="273"/>
      <c r="AR631" s="273"/>
      <c r="AS631" s="273"/>
      <c r="AT631" s="273"/>
      <c r="AU631" s="273"/>
      <c r="AV631" s="273"/>
      <c r="AW631" s="273"/>
      <c r="AX631" s="273"/>
      <c r="AY631" s="273"/>
      <c r="AZ631" s="273"/>
      <c r="BA631" s="273"/>
    </row>
    <row r="632">
      <c r="A632" s="273"/>
      <c r="B632" s="273"/>
      <c r="C632" s="745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  <c r="AJ632" s="273"/>
      <c r="AK632" s="273"/>
      <c r="AL632" s="273"/>
      <c r="AM632" s="273"/>
      <c r="AN632" s="273"/>
      <c r="AO632" s="273"/>
      <c r="AP632" s="273"/>
      <c r="AQ632" s="273"/>
      <c r="AR632" s="273"/>
      <c r="AS632" s="273"/>
      <c r="AT632" s="273"/>
      <c r="AU632" s="273"/>
      <c r="AV632" s="273"/>
      <c r="AW632" s="273"/>
      <c r="AX632" s="273"/>
      <c r="AY632" s="273"/>
      <c r="AZ632" s="273"/>
      <c r="BA632" s="273"/>
    </row>
    <row r="633">
      <c r="A633" s="273"/>
      <c r="B633" s="273"/>
      <c r="C633" s="745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  <c r="AJ633" s="273"/>
      <c r="AK633" s="273"/>
      <c r="AL633" s="273"/>
      <c r="AM633" s="273"/>
      <c r="AN633" s="273"/>
      <c r="AO633" s="273"/>
      <c r="AP633" s="273"/>
      <c r="AQ633" s="273"/>
      <c r="AR633" s="273"/>
      <c r="AS633" s="273"/>
      <c r="AT633" s="273"/>
      <c r="AU633" s="273"/>
      <c r="AV633" s="273"/>
      <c r="AW633" s="273"/>
      <c r="AX633" s="273"/>
      <c r="AY633" s="273"/>
      <c r="AZ633" s="273"/>
      <c r="BA633" s="273"/>
    </row>
    <row r="634">
      <c r="A634" s="273"/>
      <c r="B634" s="273"/>
      <c r="C634" s="745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  <c r="AJ634" s="273"/>
      <c r="AK634" s="273"/>
      <c r="AL634" s="273"/>
      <c r="AM634" s="273"/>
      <c r="AN634" s="273"/>
      <c r="AO634" s="273"/>
      <c r="AP634" s="273"/>
      <c r="AQ634" s="273"/>
      <c r="AR634" s="273"/>
      <c r="AS634" s="273"/>
      <c r="AT634" s="273"/>
      <c r="AU634" s="273"/>
      <c r="AV634" s="273"/>
      <c r="AW634" s="273"/>
      <c r="AX634" s="273"/>
      <c r="AY634" s="273"/>
      <c r="AZ634" s="273"/>
      <c r="BA634" s="273"/>
    </row>
    <row r="635">
      <c r="A635" s="273"/>
      <c r="B635" s="273"/>
      <c r="C635" s="745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  <c r="AJ635" s="273"/>
      <c r="AK635" s="273"/>
      <c r="AL635" s="273"/>
      <c r="AM635" s="273"/>
      <c r="AN635" s="273"/>
      <c r="AO635" s="273"/>
      <c r="AP635" s="273"/>
      <c r="AQ635" s="273"/>
      <c r="AR635" s="273"/>
      <c r="AS635" s="273"/>
      <c r="AT635" s="273"/>
      <c r="AU635" s="273"/>
      <c r="AV635" s="273"/>
      <c r="AW635" s="273"/>
      <c r="AX635" s="273"/>
      <c r="AY635" s="273"/>
      <c r="AZ635" s="273"/>
      <c r="BA635" s="273"/>
    </row>
    <row r="636">
      <c r="A636" s="273"/>
      <c r="B636" s="273"/>
      <c r="C636" s="745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  <c r="AJ636" s="273"/>
      <c r="AK636" s="273"/>
      <c r="AL636" s="273"/>
      <c r="AM636" s="273"/>
      <c r="AN636" s="273"/>
      <c r="AO636" s="273"/>
      <c r="AP636" s="273"/>
      <c r="AQ636" s="273"/>
      <c r="AR636" s="273"/>
      <c r="AS636" s="273"/>
      <c r="AT636" s="273"/>
      <c r="AU636" s="273"/>
      <c r="AV636" s="273"/>
      <c r="AW636" s="273"/>
      <c r="AX636" s="273"/>
      <c r="AY636" s="273"/>
      <c r="AZ636" s="273"/>
      <c r="BA636" s="273"/>
    </row>
    <row r="637">
      <c r="A637" s="273"/>
      <c r="B637" s="273"/>
      <c r="C637" s="745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  <c r="AJ637" s="273"/>
      <c r="AK637" s="273"/>
      <c r="AL637" s="273"/>
      <c r="AM637" s="273"/>
      <c r="AN637" s="273"/>
      <c r="AO637" s="273"/>
      <c r="AP637" s="273"/>
      <c r="AQ637" s="273"/>
      <c r="AR637" s="273"/>
      <c r="AS637" s="273"/>
      <c r="AT637" s="273"/>
      <c r="AU637" s="273"/>
      <c r="AV637" s="273"/>
      <c r="AW637" s="273"/>
      <c r="AX637" s="273"/>
      <c r="AY637" s="273"/>
      <c r="AZ637" s="273"/>
      <c r="BA637" s="273"/>
    </row>
    <row r="638">
      <c r="A638" s="273"/>
      <c r="B638" s="273"/>
      <c r="C638" s="745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  <c r="AJ638" s="273"/>
      <c r="AK638" s="273"/>
      <c r="AL638" s="273"/>
      <c r="AM638" s="273"/>
      <c r="AN638" s="273"/>
      <c r="AO638" s="273"/>
      <c r="AP638" s="273"/>
      <c r="AQ638" s="273"/>
      <c r="AR638" s="273"/>
      <c r="AS638" s="273"/>
      <c r="AT638" s="273"/>
      <c r="AU638" s="273"/>
      <c r="AV638" s="273"/>
      <c r="AW638" s="273"/>
      <c r="AX638" s="273"/>
      <c r="AY638" s="273"/>
      <c r="AZ638" s="273"/>
      <c r="BA638" s="273"/>
    </row>
    <row r="639">
      <c r="A639" s="273"/>
      <c r="B639" s="273"/>
      <c r="C639" s="745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  <c r="AJ639" s="273"/>
      <c r="AK639" s="273"/>
      <c r="AL639" s="273"/>
      <c r="AM639" s="273"/>
      <c r="AN639" s="273"/>
      <c r="AO639" s="273"/>
      <c r="AP639" s="273"/>
      <c r="AQ639" s="273"/>
      <c r="AR639" s="273"/>
      <c r="AS639" s="273"/>
      <c r="AT639" s="273"/>
      <c r="AU639" s="273"/>
      <c r="AV639" s="273"/>
      <c r="AW639" s="273"/>
      <c r="AX639" s="273"/>
      <c r="AY639" s="273"/>
      <c r="AZ639" s="273"/>
      <c r="BA639" s="273"/>
    </row>
    <row r="640">
      <c r="A640" s="273"/>
      <c r="B640" s="273"/>
      <c r="C640" s="745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  <c r="AJ640" s="273"/>
      <c r="AK640" s="273"/>
      <c r="AL640" s="273"/>
      <c r="AM640" s="273"/>
      <c r="AN640" s="273"/>
      <c r="AO640" s="273"/>
      <c r="AP640" s="273"/>
      <c r="AQ640" s="273"/>
      <c r="AR640" s="273"/>
      <c r="AS640" s="273"/>
      <c r="AT640" s="273"/>
      <c r="AU640" s="273"/>
      <c r="AV640" s="273"/>
      <c r="AW640" s="273"/>
      <c r="AX640" s="273"/>
      <c r="AY640" s="273"/>
      <c r="AZ640" s="273"/>
      <c r="BA640" s="273"/>
    </row>
    <row r="641">
      <c r="A641" s="273"/>
      <c r="B641" s="273"/>
      <c r="C641" s="745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  <c r="AJ641" s="273"/>
      <c r="AK641" s="273"/>
      <c r="AL641" s="273"/>
      <c r="AM641" s="273"/>
      <c r="AN641" s="273"/>
      <c r="AO641" s="273"/>
      <c r="AP641" s="273"/>
      <c r="AQ641" s="273"/>
      <c r="AR641" s="273"/>
      <c r="AS641" s="273"/>
      <c r="AT641" s="273"/>
      <c r="AU641" s="273"/>
      <c r="AV641" s="273"/>
      <c r="AW641" s="273"/>
      <c r="AX641" s="273"/>
      <c r="AY641" s="273"/>
      <c r="AZ641" s="273"/>
      <c r="BA641" s="273"/>
    </row>
    <row r="642">
      <c r="A642" s="273"/>
      <c r="B642" s="273"/>
      <c r="C642" s="745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  <c r="AJ642" s="273"/>
      <c r="AK642" s="273"/>
      <c r="AL642" s="273"/>
      <c r="AM642" s="273"/>
      <c r="AN642" s="273"/>
      <c r="AO642" s="273"/>
      <c r="AP642" s="273"/>
      <c r="AQ642" s="273"/>
      <c r="AR642" s="273"/>
      <c r="AS642" s="273"/>
      <c r="AT642" s="273"/>
      <c r="AU642" s="273"/>
      <c r="AV642" s="273"/>
      <c r="AW642" s="273"/>
      <c r="AX642" s="273"/>
      <c r="AY642" s="273"/>
      <c r="AZ642" s="273"/>
      <c r="BA642" s="273"/>
    </row>
    <row r="643">
      <c r="A643" s="273"/>
      <c r="B643" s="273"/>
      <c r="C643" s="745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  <c r="AJ643" s="273"/>
      <c r="AK643" s="273"/>
      <c r="AL643" s="273"/>
      <c r="AM643" s="273"/>
      <c r="AN643" s="273"/>
      <c r="AO643" s="273"/>
      <c r="AP643" s="273"/>
      <c r="AQ643" s="273"/>
      <c r="AR643" s="273"/>
      <c r="AS643" s="273"/>
      <c r="AT643" s="273"/>
      <c r="AU643" s="273"/>
      <c r="AV643" s="273"/>
      <c r="AW643" s="273"/>
      <c r="AX643" s="273"/>
      <c r="AY643" s="273"/>
      <c r="AZ643" s="273"/>
      <c r="BA643" s="273"/>
    </row>
    <row r="644">
      <c r="A644" s="273"/>
      <c r="B644" s="273"/>
      <c r="C644" s="745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  <c r="AJ644" s="273"/>
      <c r="AK644" s="273"/>
      <c r="AL644" s="273"/>
      <c r="AM644" s="273"/>
      <c r="AN644" s="273"/>
      <c r="AO644" s="273"/>
      <c r="AP644" s="273"/>
      <c r="AQ644" s="273"/>
      <c r="AR644" s="273"/>
      <c r="AS644" s="273"/>
      <c r="AT644" s="273"/>
      <c r="AU644" s="273"/>
      <c r="AV644" s="273"/>
      <c r="AW644" s="273"/>
      <c r="AX644" s="273"/>
      <c r="AY644" s="273"/>
      <c r="AZ644" s="273"/>
      <c r="BA644" s="273"/>
    </row>
    <row r="645">
      <c r="A645" s="273"/>
      <c r="B645" s="273"/>
      <c r="C645" s="745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  <c r="AJ645" s="273"/>
      <c r="AK645" s="273"/>
      <c r="AL645" s="273"/>
      <c r="AM645" s="273"/>
      <c r="AN645" s="273"/>
      <c r="AO645" s="273"/>
      <c r="AP645" s="273"/>
      <c r="AQ645" s="273"/>
      <c r="AR645" s="273"/>
      <c r="AS645" s="273"/>
      <c r="AT645" s="273"/>
      <c r="AU645" s="273"/>
      <c r="AV645" s="273"/>
      <c r="AW645" s="273"/>
      <c r="AX645" s="273"/>
      <c r="AY645" s="273"/>
      <c r="AZ645" s="273"/>
      <c r="BA645" s="273"/>
    </row>
    <row r="646">
      <c r="A646" s="273"/>
      <c r="B646" s="273"/>
      <c r="C646" s="745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  <c r="AJ646" s="273"/>
      <c r="AK646" s="273"/>
      <c r="AL646" s="273"/>
      <c r="AM646" s="273"/>
      <c r="AN646" s="273"/>
      <c r="AO646" s="273"/>
      <c r="AP646" s="273"/>
      <c r="AQ646" s="273"/>
      <c r="AR646" s="273"/>
      <c r="AS646" s="273"/>
      <c r="AT646" s="273"/>
      <c r="AU646" s="273"/>
      <c r="AV646" s="273"/>
      <c r="AW646" s="273"/>
      <c r="AX646" s="273"/>
      <c r="AY646" s="273"/>
      <c r="AZ646" s="273"/>
      <c r="BA646" s="273"/>
    </row>
    <row r="647">
      <c r="A647" s="273"/>
      <c r="B647" s="273"/>
      <c r="C647" s="745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  <c r="AJ647" s="273"/>
      <c r="AK647" s="273"/>
      <c r="AL647" s="273"/>
      <c r="AM647" s="273"/>
      <c r="AN647" s="273"/>
      <c r="AO647" s="273"/>
      <c r="AP647" s="273"/>
      <c r="AQ647" s="273"/>
      <c r="AR647" s="273"/>
      <c r="AS647" s="273"/>
      <c r="AT647" s="273"/>
      <c r="AU647" s="273"/>
      <c r="AV647" s="273"/>
      <c r="AW647" s="273"/>
      <c r="AX647" s="273"/>
      <c r="AY647" s="273"/>
      <c r="AZ647" s="273"/>
      <c r="BA647" s="273"/>
    </row>
    <row r="648">
      <c r="A648" s="273"/>
      <c r="B648" s="273"/>
      <c r="C648" s="745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  <c r="AJ648" s="273"/>
      <c r="AK648" s="273"/>
      <c r="AL648" s="273"/>
      <c r="AM648" s="273"/>
      <c r="AN648" s="273"/>
      <c r="AO648" s="273"/>
      <c r="AP648" s="273"/>
      <c r="AQ648" s="273"/>
      <c r="AR648" s="273"/>
      <c r="AS648" s="273"/>
      <c r="AT648" s="273"/>
      <c r="AU648" s="273"/>
      <c r="AV648" s="273"/>
      <c r="AW648" s="273"/>
      <c r="AX648" s="273"/>
      <c r="AY648" s="273"/>
      <c r="AZ648" s="273"/>
      <c r="BA648" s="273"/>
    </row>
    <row r="649">
      <c r="A649" s="273"/>
      <c r="B649" s="273"/>
      <c r="C649" s="745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  <c r="AJ649" s="273"/>
      <c r="AK649" s="273"/>
      <c r="AL649" s="273"/>
      <c r="AM649" s="273"/>
      <c r="AN649" s="273"/>
      <c r="AO649" s="273"/>
      <c r="AP649" s="273"/>
      <c r="AQ649" s="273"/>
      <c r="AR649" s="273"/>
      <c r="AS649" s="273"/>
      <c r="AT649" s="273"/>
      <c r="AU649" s="273"/>
      <c r="AV649" s="273"/>
      <c r="AW649" s="273"/>
      <c r="AX649" s="273"/>
      <c r="AY649" s="273"/>
      <c r="AZ649" s="273"/>
      <c r="BA649" s="273"/>
    </row>
    <row r="650">
      <c r="A650" s="273"/>
      <c r="B650" s="273"/>
      <c r="C650" s="745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  <c r="AJ650" s="273"/>
      <c r="AK650" s="273"/>
      <c r="AL650" s="273"/>
      <c r="AM650" s="273"/>
      <c r="AN650" s="273"/>
      <c r="AO650" s="273"/>
      <c r="AP650" s="273"/>
      <c r="AQ650" s="273"/>
      <c r="AR650" s="273"/>
      <c r="AS650" s="273"/>
      <c r="AT650" s="273"/>
      <c r="AU650" s="273"/>
      <c r="AV650" s="273"/>
      <c r="AW650" s="273"/>
      <c r="AX650" s="273"/>
      <c r="AY650" s="273"/>
      <c r="AZ650" s="273"/>
      <c r="BA650" s="273"/>
    </row>
    <row r="651">
      <c r="A651" s="273"/>
      <c r="B651" s="273"/>
      <c r="C651" s="745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  <c r="AJ651" s="273"/>
      <c r="AK651" s="273"/>
      <c r="AL651" s="273"/>
      <c r="AM651" s="273"/>
      <c r="AN651" s="273"/>
      <c r="AO651" s="273"/>
      <c r="AP651" s="273"/>
      <c r="AQ651" s="273"/>
      <c r="AR651" s="273"/>
      <c r="AS651" s="273"/>
      <c r="AT651" s="273"/>
      <c r="AU651" s="273"/>
      <c r="AV651" s="273"/>
      <c r="AW651" s="273"/>
      <c r="AX651" s="273"/>
      <c r="AY651" s="273"/>
      <c r="AZ651" s="273"/>
      <c r="BA651" s="273"/>
    </row>
    <row r="652">
      <c r="A652" s="273"/>
      <c r="B652" s="273"/>
      <c r="C652" s="745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  <c r="AJ652" s="273"/>
      <c r="AK652" s="273"/>
      <c r="AL652" s="273"/>
      <c r="AM652" s="273"/>
      <c r="AN652" s="273"/>
      <c r="AO652" s="273"/>
      <c r="AP652" s="273"/>
      <c r="AQ652" s="273"/>
      <c r="AR652" s="273"/>
      <c r="AS652" s="273"/>
      <c r="AT652" s="273"/>
      <c r="AU652" s="273"/>
      <c r="AV652" s="273"/>
      <c r="AW652" s="273"/>
      <c r="AX652" s="273"/>
      <c r="AY652" s="273"/>
      <c r="AZ652" s="273"/>
      <c r="BA652" s="273"/>
    </row>
    <row r="653">
      <c r="A653" s="273"/>
      <c r="B653" s="273"/>
      <c r="C653" s="745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  <c r="AJ653" s="273"/>
      <c r="AK653" s="273"/>
      <c r="AL653" s="273"/>
      <c r="AM653" s="273"/>
      <c r="AN653" s="273"/>
      <c r="AO653" s="273"/>
      <c r="AP653" s="273"/>
      <c r="AQ653" s="273"/>
      <c r="AR653" s="273"/>
      <c r="AS653" s="273"/>
      <c r="AT653" s="273"/>
      <c r="AU653" s="273"/>
      <c r="AV653" s="273"/>
      <c r="AW653" s="273"/>
      <c r="AX653" s="273"/>
      <c r="AY653" s="273"/>
      <c r="AZ653" s="273"/>
      <c r="BA653" s="273"/>
    </row>
    <row r="654">
      <c r="A654" s="273"/>
      <c r="B654" s="273"/>
      <c r="C654" s="745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  <c r="AJ654" s="273"/>
      <c r="AK654" s="273"/>
      <c r="AL654" s="273"/>
      <c r="AM654" s="273"/>
      <c r="AN654" s="273"/>
      <c r="AO654" s="273"/>
      <c r="AP654" s="273"/>
      <c r="AQ654" s="273"/>
      <c r="AR654" s="273"/>
      <c r="AS654" s="273"/>
      <c r="AT654" s="273"/>
      <c r="AU654" s="273"/>
      <c r="AV654" s="273"/>
      <c r="AW654" s="273"/>
      <c r="AX654" s="273"/>
      <c r="AY654" s="273"/>
      <c r="AZ654" s="273"/>
      <c r="BA654" s="273"/>
    </row>
    <row r="655">
      <c r="A655" s="273"/>
      <c r="B655" s="273"/>
      <c r="C655" s="745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  <c r="AJ655" s="273"/>
      <c r="AK655" s="273"/>
      <c r="AL655" s="273"/>
      <c r="AM655" s="273"/>
      <c r="AN655" s="273"/>
      <c r="AO655" s="273"/>
      <c r="AP655" s="273"/>
      <c r="AQ655" s="273"/>
      <c r="AR655" s="273"/>
      <c r="AS655" s="273"/>
      <c r="AT655" s="273"/>
      <c r="AU655" s="273"/>
      <c r="AV655" s="273"/>
      <c r="AW655" s="273"/>
      <c r="AX655" s="273"/>
      <c r="AY655" s="273"/>
      <c r="AZ655" s="273"/>
      <c r="BA655" s="273"/>
    </row>
    <row r="656">
      <c r="A656" s="273"/>
      <c r="B656" s="273"/>
      <c r="C656" s="745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  <c r="AJ656" s="273"/>
      <c r="AK656" s="273"/>
      <c r="AL656" s="273"/>
      <c r="AM656" s="273"/>
      <c r="AN656" s="273"/>
      <c r="AO656" s="273"/>
      <c r="AP656" s="273"/>
      <c r="AQ656" s="273"/>
      <c r="AR656" s="273"/>
      <c r="AS656" s="273"/>
      <c r="AT656" s="273"/>
      <c r="AU656" s="273"/>
      <c r="AV656" s="273"/>
      <c r="AW656" s="273"/>
      <c r="AX656" s="273"/>
      <c r="AY656" s="273"/>
      <c r="AZ656" s="273"/>
      <c r="BA656" s="273"/>
    </row>
    <row r="657">
      <c r="A657" s="273"/>
      <c r="B657" s="273"/>
      <c r="C657" s="745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  <c r="AJ657" s="273"/>
      <c r="AK657" s="273"/>
      <c r="AL657" s="273"/>
      <c r="AM657" s="273"/>
      <c r="AN657" s="273"/>
      <c r="AO657" s="273"/>
      <c r="AP657" s="273"/>
      <c r="AQ657" s="273"/>
      <c r="AR657" s="273"/>
      <c r="AS657" s="273"/>
      <c r="AT657" s="273"/>
      <c r="AU657" s="273"/>
      <c r="AV657" s="273"/>
      <c r="AW657" s="273"/>
      <c r="AX657" s="273"/>
      <c r="AY657" s="273"/>
      <c r="AZ657" s="273"/>
      <c r="BA657" s="273"/>
    </row>
    <row r="658">
      <c r="A658" s="273"/>
      <c r="B658" s="273"/>
      <c r="C658" s="745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  <c r="AJ658" s="273"/>
      <c r="AK658" s="273"/>
      <c r="AL658" s="273"/>
      <c r="AM658" s="273"/>
      <c r="AN658" s="273"/>
      <c r="AO658" s="273"/>
      <c r="AP658" s="273"/>
      <c r="AQ658" s="273"/>
      <c r="AR658" s="273"/>
      <c r="AS658" s="273"/>
      <c r="AT658" s="273"/>
      <c r="AU658" s="273"/>
      <c r="AV658" s="273"/>
      <c r="AW658" s="273"/>
      <c r="AX658" s="273"/>
      <c r="AY658" s="273"/>
      <c r="AZ658" s="273"/>
      <c r="BA658" s="273"/>
    </row>
    <row r="659">
      <c r="A659" s="273"/>
      <c r="B659" s="273"/>
      <c r="C659" s="745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  <c r="AJ659" s="273"/>
      <c r="AK659" s="273"/>
      <c r="AL659" s="273"/>
      <c r="AM659" s="273"/>
      <c r="AN659" s="273"/>
      <c r="AO659" s="273"/>
      <c r="AP659" s="273"/>
      <c r="AQ659" s="273"/>
      <c r="AR659" s="273"/>
      <c r="AS659" s="273"/>
      <c r="AT659" s="273"/>
      <c r="AU659" s="273"/>
      <c r="AV659" s="273"/>
      <c r="AW659" s="273"/>
      <c r="AX659" s="273"/>
      <c r="AY659" s="273"/>
      <c r="AZ659" s="273"/>
      <c r="BA659" s="273"/>
    </row>
    <row r="660">
      <c r="A660" s="273"/>
      <c r="B660" s="273"/>
      <c r="C660" s="745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  <c r="AJ660" s="273"/>
      <c r="AK660" s="273"/>
      <c r="AL660" s="273"/>
      <c r="AM660" s="273"/>
      <c r="AN660" s="273"/>
      <c r="AO660" s="273"/>
      <c r="AP660" s="273"/>
      <c r="AQ660" s="273"/>
      <c r="AR660" s="273"/>
      <c r="AS660" s="273"/>
      <c r="AT660" s="273"/>
      <c r="AU660" s="273"/>
      <c r="AV660" s="273"/>
      <c r="AW660" s="273"/>
      <c r="AX660" s="273"/>
      <c r="AY660" s="273"/>
      <c r="AZ660" s="273"/>
      <c r="BA660" s="273"/>
    </row>
    <row r="661">
      <c r="A661" s="273"/>
      <c r="B661" s="273"/>
      <c r="C661" s="745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  <c r="AJ661" s="273"/>
      <c r="AK661" s="273"/>
      <c r="AL661" s="273"/>
      <c r="AM661" s="273"/>
      <c r="AN661" s="273"/>
      <c r="AO661" s="273"/>
      <c r="AP661" s="273"/>
      <c r="AQ661" s="273"/>
      <c r="AR661" s="273"/>
      <c r="AS661" s="273"/>
      <c r="AT661" s="273"/>
      <c r="AU661" s="273"/>
      <c r="AV661" s="273"/>
      <c r="AW661" s="273"/>
      <c r="AX661" s="273"/>
      <c r="AY661" s="273"/>
      <c r="AZ661" s="273"/>
      <c r="BA661" s="273"/>
    </row>
    <row r="662">
      <c r="A662" s="273"/>
      <c r="B662" s="273"/>
      <c r="C662" s="745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  <c r="AJ662" s="273"/>
      <c r="AK662" s="273"/>
      <c r="AL662" s="273"/>
      <c r="AM662" s="273"/>
      <c r="AN662" s="273"/>
      <c r="AO662" s="273"/>
      <c r="AP662" s="273"/>
      <c r="AQ662" s="273"/>
      <c r="AR662" s="273"/>
      <c r="AS662" s="273"/>
      <c r="AT662" s="273"/>
      <c r="AU662" s="273"/>
      <c r="AV662" s="273"/>
      <c r="AW662" s="273"/>
      <c r="AX662" s="273"/>
      <c r="AY662" s="273"/>
      <c r="AZ662" s="273"/>
      <c r="BA662" s="273"/>
    </row>
    <row r="663">
      <c r="A663" s="273"/>
      <c r="B663" s="273"/>
      <c r="C663" s="745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  <c r="AJ663" s="273"/>
      <c r="AK663" s="273"/>
      <c r="AL663" s="273"/>
      <c r="AM663" s="273"/>
      <c r="AN663" s="273"/>
      <c r="AO663" s="273"/>
      <c r="AP663" s="273"/>
      <c r="AQ663" s="273"/>
      <c r="AR663" s="273"/>
      <c r="AS663" s="273"/>
      <c r="AT663" s="273"/>
      <c r="AU663" s="273"/>
      <c r="AV663" s="273"/>
      <c r="AW663" s="273"/>
      <c r="AX663" s="273"/>
      <c r="AY663" s="273"/>
      <c r="AZ663" s="273"/>
      <c r="BA663" s="273"/>
    </row>
    <row r="664">
      <c r="A664" s="273"/>
      <c r="B664" s="273"/>
      <c r="C664" s="745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273"/>
      <c r="AK664" s="273"/>
      <c r="AL664" s="273"/>
      <c r="AM664" s="273"/>
      <c r="AN664" s="273"/>
      <c r="AO664" s="273"/>
      <c r="AP664" s="273"/>
      <c r="AQ664" s="273"/>
      <c r="AR664" s="273"/>
      <c r="AS664" s="273"/>
      <c r="AT664" s="273"/>
      <c r="AU664" s="273"/>
      <c r="AV664" s="273"/>
      <c r="AW664" s="273"/>
      <c r="AX664" s="273"/>
      <c r="AY664" s="273"/>
      <c r="AZ664" s="273"/>
      <c r="BA664" s="273"/>
    </row>
    <row r="665">
      <c r="A665" s="273"/>
      <c r="B665" s="273"/>
      <c r="C665" s="745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  <c r="AJ665" s="273"/>
      <c r="AK665" s="273"/>
      <c r="AL665" s="273"/>
      <c r="AM665" s="273"/>
      <c r="AN665" s="273"/>
      <c r="AO665" s="273"/>
      <c r="AP665" s="273"/>
      <c r="AQ665" s="273"/>
      <c r="AR665" s="273"/>
      <c r="AS665" s="273"/>
      <c r="AT665" s="273"/>
      <c r="AU665" s="273"/>
      <c r="AV665" s="273"/>
      <c r="AW665" s="273"/>
      <c r="AX665" s="273"/>
      <c r="AY665" s="273"/>
      <c r="AZ665" s="273"/>
      <c r="BA665" s="273"/>
    </row>
    <row r="666">
      <c r="A666" s="273"/>
      <c r="B666" s="273"/>
      <c r="C666" s="745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  <c r="AJ666" s="273"/>
      <c r="AK666" s="273"/>
      <c r="AL666" s="273"/>
      <c r="AM666" s="273"/>
      <c r="AN666" s="273"/>
      <c r="AO666" s="273"/>
      <c r="AP666" s="273"/>
      <c r="AQ666" s="273"/>
      <c r="AR666" s="273"/>
      <c r="AS666" s="273"/>
      <c r="AT666" s="273"/>
      <c r="AU666" s="273"/>
      <c r="AV666" s="273"/>
      <c r="AW666" s="273"/>
      <c r="AX666" s="273"/>
      <c r="AY666" s="273"/>
      <c r="AZ666" s="273"/>
      <c r="BA666" s="273"/>
    </row>
    <row r="667">
      <c r="A667" s="273"/>
      <c r="B667" s="273"/>
      <c r="C667" s="745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  <c r="AJ667" s="273"/>
      <c r="AK667" s="273"/>
      <c r="AL667" s="273"/>
      <c r="AM667" s="273"/>
      <c r="AN667" s="273"/>
      <c r="AO667" s="273"/>
      <c r="AP667" s="273"/>
      <c r="AQ667" s="273"/>
      <c r="AR667" s="273"/>
      <c r="AS667" s="273"/>
      <c r="AT667" s="273"/>
      <c r="AU667" s="273"/>
      <c r="AV667" s="273"/>
      <c r="AW667" s="273"/>
      <c r="AX667" s="273"/>
      <c r="AY667" s="273"/>
      <c r="AZ667" s="273"/>
      <c r="BA667" s="273"/>
    </row>
    <row r="668">
      <c r="A668" s="273"/>
      <c r="B668" s="273"/>
      <c r="C668" s="745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  <c r="AJ668" s="273"/>
      <c r="AK668" s="273"/>
      <c r="AL668" s="273"/>
      <c r="AM668" s="273"/>
      <c r="AN668" s="273"/>
      <c r="AO668" s="273"/>
      <c r="AP668" s="273"/>
      <c r="AQ668" s="273"/>
      <c r="AR668" s="273"/>
      <c r="AS668" s="273"/>
      <c r="AT668" s="273"/>
      <c r="AU668" s="273"/>
      <c r="AV668" s="273"/>
      <c r="AW668" s="273"/>
      <c r="AX668" s="273"/>
      <c r="AY668" s="273"/>
      <c r="AZ668" s="273"/>
      <c r="BA668" s="273"/>
    </row>
    <row r="669">
      <c r="A669" s="273"/>
      <c r="B669" s="273"/>
      <c r="C669" s="745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  <c r="AJ669" s="273"/>
      <c r="AK669" s="273"/>
      <c r="AL669" s="273"/>
      <c r="AM669" s="273"/>
      <c r="AN669" s="273"/>
      <c r="AO669" s="273"/>
      <c r="AP669" s="273"/>
      <c r="AQ669" s="273"/>
      <c r="AR669" s="273"/>
      <c r="AS669" s="273"/>
      <c r="AT669" s="273"/>
      <c r="AU669" s="273"/>
      <c r="AV669" s="273"/>
      <c r="AW669" s="273"/>
      <c r="AX669" s="273"/>
      <c r="AY669" s="273"/>
      <c r="AZ669" s="273"/>
      <c r="BA669" s="273"/>
    </row>
    <row r="670">
      <c r="A670" s="273"/>
      <c r="B670" s="273"/>
      <c r="C670" s="745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  <c r="AJ670" s="273"/>
      <c r="AK670" s="273"/>
      <c r="AL670" s="273"/>
      <c r="AM670" s="273"/>
      <c r="AN670" s="273"/>
      <c r="AO670" s="273"/>
      <c r="AP670" s="273"/>
      <c r="AQ670" s="273"/>
      <c r="AR670" s="273"/>
      <c r="AS670" s="273"/>
      <c r="AT670" s="273"/>
      <c r="AU670" s="273"/>
      <c r="AV670" s="273"/>
      <c r="AW670" s="273"/>
      <c r="AX670" s="273"/>
      <c r="AY670" s="273"/>
      <c r="AZ670" s="273"/>
      <c r="BA670" s="273"/>
    </row>
    <row r="671">
      <c r="A671" s="273"/>
      <c r="B671" s="273"/>
      <c r="C671" s="745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  <c r="AJ671" s="273"/>
      <c r="AK671" s="273"/>
      <c r="AL671" s="273"/>
      <c r="AM671" s="273"/>
      <c r="AN671" s="273"/>
      <c r="AO671" s="273"/>
      <c r="AP671" s="273"/>
      <c r="AQ671" s="273"/>
      <c r="AR671" s="273"/>
      <c r="AS671" s="273"/>
      <c r="AT671" s="273"/>
      <c r="AU671" s="273"/>
      <c r="AV671" s="273"/>
      <c r="AW671" s="273"/>
      <c r="AX671" s="273"/>
      <c r="AY671" s="273"/>
      <c r="AZ671" s="273"/>
      <c r="BA671" s="273"/>
    </row>
    <row r="672">
      <c r="A672" s="273"/>
      <c r="B672" s="273"/>
      <c r="C672" s="745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  <c r="AJ672" s="273"/>
      <c r="AK672" s="273"/>
      <c r="AL672" s="273"/>
      <c r="AM672" s="273"/>
      <c r="AN672" s="273"/>
      <c r="AO672" s="273"/>
      <c r="AP672" s="273"/>
      <c r="AQ672" s="273"/>
      <c r="AR672" s="273"/>
      <c r="AS672" s="273"/>
      <c r="AT672" s="273"/>
      <c r="AU672" s="273"/>
      <c r="AV672" s="273"/>
      <c r="AW672" s="273"/>
      <c r="AX672" s="273"/>
      <c r="AY672" s="273"/>
      <c r="AZ672" s="273"/>
      <c r="BA672" s="273"/>
    </row>
    <row r="673">
      <c r="A673" s="273"/>
      <c r="B673" s="273"/>
      <c r="C673" s="745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  <c r="AJ673" s="273"/>
      <c r="AK673" s="273"/>
      <c r="AL673" s="273"/>
      <c r="AM673" s="273"/>
      <c r="AN673" s="273"/>
      <c r="AO673" s="273"/>
      <c r="AP673" s="273"/>
      <c r="AQ673" s="273"/>
      <c r="AR673" s="273"/>
      <c r="AS673" s="273"/>
      <c r="AT673" s="273"/>
      <c r="AU673" s="273"/>
      <c r="AV673" s="273"/>
      <c r="AW673" s="273"/>
      <c r="AX673" s="273"/>
      <c r="AY673" s="273"/>
      <c r="AZ673" s="273"/>
      <c r="BA673" s="273"/>
    </row>
    <row r="674">
      <c r="A674" s="273"/>
      <c r="B674" s="273"/>
      <c r="C674" s="745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  <c r="AJ674" s="273"/>
      <c r="AK674" s="273"/>
      <c r="AL674" s="273"/>
      <c r="AM674" s="273"/>
      <c r="AN674" s="273"/>
      <c r="AO674" s="273"/>
      <c r="AP674" s="273"/>
      <c r="AQ674" s="273"/>
      <c r="AR674" s="273"/>
      <c r="AS674" s="273"/>
      <c r="AT674" s="273"/>
      <c r="AU674" s="273"/>
      <c r="AV674" s="273"/>
      <c r="AW674" s="273"/>
      <c r="AX674" s="273"/>
      <c r="AY674" s="273"/>
      <c r="AZ674" s="273"/>
      <c r="BA674" s="273"/>
    </row>
    <row r="675">
      <c r="A675" s="273"/>
      <c r="B675" s="273"/>
      <c r="C675" s="745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  <c r="AJ675" s="273"/>
      <c r="AK675" s="273"/>
      <c r="AL675" s="273"/>
      <c r="AM675" s="273"/>
      <c r="AN675" s="273"/>
      <c r="AO675" s="273"/>
      <c r="AP675" s="273"/>
      <c r="AQ675" s="273"/>
      <c r="AR675" s="273"/>
      <c r="AS675" s="273"/>
      <c r="AT675" s="273"/>
      <c r="AU675" s="273"/>
      <c r="AV675" s="273"/>
      <c r="AW675" s="273"/>
      <c r="AX675" s="273"/>
      <c r="AY675" s="273"/>
      <c r="AZ675" s="273"/>
      <c r="BA675" s="273"/>
    </row>
    <row r="676">
      <c r="A676" s="273"/>
      <c r="B676" s="273"/>
      <c r="C676" s="745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  <c r="AJ676" s="273"/>
      <c r="AK676" s="273"/>
      <c r="AL676" s="273"/>
      <c r="AM676" s="273"/>
      <c r="AN676" s="273"/>
      <c r="AO676" s="273"/>
      <c r="AP676" s="273"/>
      <c r="AQ676" s="273"/>
      <c r="AR676" s="273"/>
      <c r="AS676" s="273"/>
      <c r="AT676" s="273"/>
      <c r="AU676" s="273"/>
      <c r="AV676" s="273"/>
      <c r="AW676" s="273"/>
      <c r="AX676" s="273"/>
      <c r="AY676" s="273"/>
      <c r="AZ676" s="273"/>
      <c r="BA676" s="273"/>
    </row>
    <row r="677">
      <c r="A677" s="273"/>
      <c r="B677" s="273"/>
      <c r="C677" s="745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  <c r="AJ677" s="273"/>
      <c r="AK677" s="273"/>
      <c r="AL677" s="273"/>
      <c r="AM677" s="273"/>
      <c r="AN677" s="273"/>
      <c r="AO677" s="273"/>
      <c r="AP677" s="273"/>
      <c r="AQ677" s="273"/>
      <c r="AR677" s="273"/>
      <c r="AS677" s="273"/>
      <c r="AT677" s="273"/>
      <c r="AU677" s="273"/>
      <c r="AV677" s="273"/>
      <c r="AW677" s="273"/>
      <c r="AX677" s="273"/>
      <c r="AY677" s="273"/>
      <c r="AZ677" s="273"/>
      <c r="BA677" s="273"/>
    </row>
    <row r="678">
      <c r="A678" s="273"/>
      <c r="B678" s="273"/>
      <c r="C678" s="745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  <c r="AJ678" s="273"/>
      <c r="AK678" s="273"/>
      <c r="AL678" s="273"/>
      <c r="AM678" s="273"/>
      <c r="AN678" s="273"/>
      <c r="AO678" s="273"/>
      <c r="AP678" s="273"/>
      <c r="AQ678" s="273"/>
      <c r="AR678" s="273"/>
      <c r="AS678" s="273"/>
      <c r="AT678" s="273"/>
      <c r="AU678" s="273"/>
      <c r="AV678" s="273"/>
      <c r="AW678" s="273"/>
      <c r="AX678" s="273"/>
      <c r="AY678" s="273"/>
      <c r="AZ678" s="273"/>
      <c r="BA678" s="273"/>
    </row>
    <row r="679">
      <c r="A679" s="273"/>
      <c r="B679" s="273"/>
      <c r="C679" s="745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  <c r="AJ679" s="273"/>
      <c r="AK679" s="273"/>
      <c r="AL679" s="273"/>
      <c r="AM679" s="273"/>
      <c r="AN679" s="273"/>
      <c r="AO679" s="273"/>
      <c r="AP679" s="273"/>
      <c r="AQ679" s="273"/>
      <c r="AR679" s="273"/>
      <c r="AS679" s="273"/>
      <c r="AT679" s="273"/>
      <c r="AU679" s="273"/>
      <c r="AV679" s="273"/>
      <c r="AW679" s="273"/>
      <c r="AX679" s="273"/>
      <c r="AY679" s="273"/>
      <c r="AZ679" s="273"/>
      <c r="BA679" s="273"/>
    </row>
    <row r="680">
      <c r="A680" s="273"/>
      <c r="B680" s="273"/>
      <c r="C680" s="745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  <c r="AJ680" s="273"/>
      <c r="AK680" s="273"/>
      <c r="AL680" s="273"/>
      <c r="AM680" s="273"/>
      <c r="AN680" s="273"/>
      <c r="AO680" s="273"/>
      <c r="AP680" s="273"/>
      <c r="AQ680" s="273"/>
      <c r="AR680" s="273"/>
      <c r="AS680" s="273"/>
      <c r="AT680" s="273"/>
      <c r="AU680" s="273"/>
      <c r="AV680" s="273"/>
      <c r="AW680" s="273"/>
      <c r="AX680" s="273"/>
      <c r="AY680" s="273"/>
      <c r="AZ680" s="273"/>
      <c r="BA680" s="273"/>
    </row>
    <row r="681">
      <c r="A681" s="273"/>
      <c r="B681" s="273"/>
      <c r="C681" s="745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  <c r="AJ681" s="273"/>
      <c r="AK681" s="273"/>
      <c r="AL681" s="273"/>
      <c r="AM681" s="273"/>
      <c r="AN681" s="273"/>
      <c r="AO681" s="273"/>
      <c r="AP681" s="273"/>
      <c r="AQ681" s="273"/>
      <c r="AR681" s="273"/>
      <c r="AS681" s="273"/>
      <c r="AT681" s="273"/>
      <c r="AU681" s="273"/>
      <c r="AV681" s="273"/>
      <c r="AW681" s="273"/>
      <c r="AX681" s="273"/>
      <c r="AY681" s="273"/>
      <c r="AZ681" s="273"/>
      <c r="BA681" s="273"/>
    </row>
    <row r="682">
      <c r="A682" s="273"/>
      <c r="B682" s="273"/>
      <c r="C682" s="745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  <c r="AJ682" s="273"/>
      <c r="AK682" s="273"/>
      <c r="AL682" s="273"/>
      <c r="AM682" s="273"/>
      <c r="AN682" s="273"/>
      <c r="AO682" s="273"/>
      <c r="AP682" s="273"/>
      <c r="AQ682" s="273"/>
      <c r="AR682" s="273"/>
      <c r="AS682" s="273"/>
      <c r="AT682" s="273"/>
      <c r="AU682" s="273"/>
      <c r="AV682" s="273"/>
      <c r="AW682" s="273"/>
      <c r="AX682" s="273"/>
      <c r="AY682" s="273"/>
      <c r="AZ682" s="273"/>
      <c r="BA682" s="273"/>
    </row>
    <row r="683">
      <c r="A683" s="273"/>
      <c r="B683" s="273"/>
      <c r="C683" s="745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  <c r="AJ683" s="273"/>
      <c r="AK683" s="273"/>
      <c r="AL683" s="273"/>
      <c r="AM683" s="273"/>
      <c r="AN683" s="273"/>
      <c r="AO683" s="273"/>
      <c r="AP683" s="273"/>
      <c r="AQ683" s="273"/>
      <c r="AR683" s="273"/>
      <c r="AS683" s="273"/>
      <c r="AT683" s="273"/>
      <c r="AU683" s="273"/>
      <c r="AV683" s="273"/>
      <c r="AW683" s="273"/>
      <c r="AX683" s="273"/>
      <c r="AY683" s="273"/>
      <c r="AZ683" s="273"/>
      <c r="BA683" s="273"/>
    </row>
    <row r="684">
      <c r="A684" s="273"/>
      <c r="B684" s="273"/>
      <c r="C684" s="745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  <c r="AJ684" s="273"/>
      <c r="AK684" s="273"/>
      <c r="AL684" s="273"/>
      <c r="AM684" s="273"/>
      <c r="AN684" s="273"/>
      <c r="AO684" s="273"/>
      <c r="AP684" s="273"/>
      <c r="AQ684" s="273"/>
      <c r="AR684" s="273"/>
      <c r="AS684" s="273"/>
      <c r="AT684" s="273"/>
      <c r="AU684" s="273"/>
      <c r="AV684" s="273"/>
      <c r="AW684" s="273"/>
      <c r="AX684" s="273"/>
      <c r="AY684" s="273"/>
      <c r="AZ684" s="273"/>
      <c r="BA684" s="273"/>
    </row>
    <row r="685">
      <c r="A685" s="273"/>
      <c r="B685" s="273"/>
      <c r="C685" s="745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  <c r="AJ685" s="273"/>
      <c r="AK685" s="273"/>
      <c r="AL685" s="273"/>
      <c r="AM685" s="273"/>
      <c r="AN685" s="273"/>
      <c r="AO685" s="273"/>
      <c r="AP685" s="273"/>
      <c r="AQ685" s="273"/>
      <c r="AR685" s="273"/>
      <c r="AS685" s="273"/>
      <c r="AT685" s="273"/>
      <c r="AU685" s="273"/>
      <c r="AV685" s="273"/>
      <c r="AW685" s="273"/>
      <c r="AX685" s="273"/>
      <c r="AY685" s="273"/>
      <c r="AZ685" s="273"/>
      <c r="BA685" s="273"/>
    </row>
    <row r="686">
      <c r="A686" s="273"/>
      <c r="B686" s="273"/>
      <c r="C686" s="745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  <c r="AJ686" s="273"/>
      <c r="AK686" s="273"/>
      <c r="AL686" s="273"/>
      <c r="AM686" s="273"/>
      <c r="AN686" s="273"/>
      <c r="AO686" s="273"/>
      <c r="AP686" s="273"/>
      <c r="AQ686" s="273"/>
      <c r="AR686" s="273"/>
      <c r="AS686" s="273"/>
      <c r="AT686" s="273"/>
      <c r="AU686" s="273"/>
      <c r="AV686" s="273"/>
      <c r="AW686" s="273"/>
      <c r="AX686" s="273"/>
      <c r="AY686" s="273"/>
      <c r="AZ686" s="273"/>
      <c r="BA686" s="273"/>
    </row>
    <row r="687">
      <c r="A687" s="273"/>
      <c r="B687" s="273"/>
      <c r="C687" s="745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  <c r="AJ687" s="273"/>
      <c r="AK687" s="273"/>
      <c r="AL687" s="273"/>
      <c r="AM687" s="273"/>
      <c r="AN687" s="273"/>
      <c r="AO687" s="273"/>
      <c r="AP687" s="273"/>
      <c r="AQ687" s="273"/>
      <c r="AR687" s="273"/>
      <c r="AS687" s="273"/>
      <c r="AT687" s="273"/>
      <c r="AU687" s="273"/>
      <c r="AV687" s="273"/>
      <c r="AW687" s="273"/>
      <c r="AX687" s="273"/>
      <c r="AY687" s="273"/>
      <c r="AZ687" s="273"/>
      <c r="BA687" s="273"/>
    </row>
    <row r="688">
      <c r="A688" s="273"/>
      <c r="B688" s="273"/>
      <c r="C688" s="745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  <c r="AJ688" s="273"/>
      <c r="AK688" s="273"/>
      <c r="AL688" s="273"/>
      <c r="AM688" s="273"/>
      <c r="AN688" s="273"/>
      <c r="AO688" s="273"/>
      <c r="AP688" s="273"/>
      <c r="AQ688" s="273"/>
      <c r="AR688" s="273"/>
      <c r="AS688" s="273"/>
      <c r="AT688" s="273"/>
      <c r="AU688" s="273"/>
      <c r="AV688" s="273"/>
      <c r="AW688" s="273"/>
      <c r="AX688" s="273"/>
      <c r="AY688" s="273"/>
      <c r="AZ688" s="273"/>
      <c r="BA688" s="273"/>
    </row>
    <row r="689">
      <c r="A689" s="273"/>
      <c r="B689" s="273"/>
      <c r="C689" s="745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  <c r="AJ689" s="273"/>
      <c r="AK689" s="273"/>
      <c r="AL689" s="273"/>
      <c r="AM689" s="273"/>
      <c r="AN689" s="273"/>
      <c r="AO689" s="273"/>
      <c r="AP689" s="273"/>
      <c r="AQ689" s="273"/>
      <c r="AR689" s="273"/>
      <c r="AS689" s="273"/>
      <c r="AT689" s="273"/>
      <c r="AU689" s="273"/>
      <c r="AV689" s="273"/>
      <c r="AW689" s="273"/>
      <c r="AX689" s="273"/>
      <c r="AY689" s="273"/>
      <c r="AZ689" s="273"/>
      <c r="BA689" s="273"/>
    </row>
    <row r="690">
      <c r="A690" s="273"/>
      <c r="B690" s="273"/>
      <c r="C690" s="745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  <c r="AJ690" s="273"/>
      <c r="AK690" s="273"/>
      <c r="AL690" s="273"/>
      <c r="AM690" s="273"/>
      <c r="AN690" s="273"/>
      <c r="AO690" s="273"/>
      <c r="AP690" s="273"/>
      <c r="AQ690" s="273"/>
      <c r="AR690" s="273"/>
      <c r="AS690" s="273"/>
      <c r="AT690" s="273"/>
      <c r="AU690" s="273"/>
      <c r="AV690" s="273"/>
      <c r="AW690" s="273"/>
      <c r="AX690" s="273"/>
      <c r="AY690" s="273"/>
      <c r="AZ690" s="273"/>
      <c r="BA690" s="273"/>
    </row>
    <row r="691">
      <c r="A691" s="273"/>
      <c r="B691" s="273"/>
      <c r="C691" s="745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  <c r="AJ691" s="273"/>
      <c r="AK691" s="273"/>
      <c r="AL691" s="273"/>
      <c r="AM691" s="273"/>
      <c r="AN691" s="273"/>
      <c r="AO691" s="273"/>
      <c r="AP691" s="273"/>
      <c r="AQ691" s="273"/>
      <c r="AR691" s="273"/>
      <c r="AS691" s="273"/>
      <c r="AT691" s="273"/>
      <c r="AU691" s="273"/>
      <c r="AV691" s="273"/>
      <c r="AW691" s="273"/>
      <c r="AX691" s="273"/>
      <c r="AY691" s="273"/>
      <c r="AZ691" s="273"/>
      <c r="BA691" s="273"/>
    </row>
    <row r="692">
      <c r="A692" s="273"/>
      <c r="B692" s="273"/>
      <c r="C692" s="745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  <c r="AJ692" s="273"/>
      <c r="AK692" s="273"/>
      <c r="AL692" s="273"/>
      <c r="AM692" s="273"/>
      <c r="AN692" s="273"/>
      <c r="AO692" s="273"/>
      <c r="AP692" s="273"/>
      <c r="AQ692" s="273"/>
      <c r="AR692" s="273"/>
      <c r="AS692" s="273"/>
      <c r="AT692" s="273"/>
      <c r="AU692" s="273"/>
      <c r="AV692" s="273"/>
      <c r="AW692" s="273"/>
      <c r="AX692" s="273"/>
      <c r="AY692" s="273"/>
      <c r="AZ692" s="273"/>
      <c r="BA692" s="273"/>
    </row>
    <row r="693">
      <c r="A693" s="273"/>
      <c r="B693" s="273"/>
      <c r="C693" s="745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  <c r="AJ693" s="273"/>
      <c r="AK693" s="273"/>
      <c r="AL693" s="273"/>
      <c r="AM693" s="273"/>
      <c r="AN693" s="273"/>
      <c r="AO693" s="273"/>
      <c r="AP693" s="273"/>
      <c r="AQ693" s="273"/>
      <c r="AR693" s="273"/>
      <c r="AS693" s="273"/>
      <c r="AT693" s="273"/>
      <c r="AU693" s="273"/>
      <c r="AV693" s="273"/>
      <c r="AW693" s="273"/>
      <c r="AX693" s="273"/>
      <c r="AY693" s="273"/>
      <c r="AZ693" s="273"/>
      <c r="BA693" s="273"/>
    </row>
    <row r="694">
      <c r="A694" s="273"/>
      <c r="B694" s="273"/>
      <c r="C694" s="745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  <c r="AJ694" s="273"/>
      <c r="AK694" s="273"/>
      <c r="AL694" s="273"/>
      <c r="AM694" s="273"/>
      <c r="AN694" s="273"/>
      <c r="AO694" s="273"/>
      <c r="AP694" s="273"/>
      <c r="AQ694" s="273"/>
      <c r="AR694" s="273"/>
      <c r="AS694" s="273"/>
      <c r="AT694" s="273"/>
      <c r="AU694" s="273"/>
      <c r="AV694" s="273"/>
      <c r="AW694" s="273"/>
      <c r="AX694" s="273"/>
      <c r="AY694" s="273"/>
      <c r="AZ694" s="273"/>
      <c r="BA694" s="273"/>
    </row>
    <row r="695">
      <c r="A695" s="273"/>
      <c r="B695" s="273"/>
      <c r="C695" s="745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  <c r="AJ695" s="273"/>
      <c r="AK695" s="273"/>
      <c r="AL695" s="273"/>
      <c r="AM695" s="273"/>
      <c r="AN695" s="273"/>
      <c r="AO695" s="273"/>
      <c r="AP695" s="273"/>
      <c r="AQ695" s="273"/>
      <c r="AR695" s="273"/>
      <c r="AS695" s="273"/>
      <c r="AT695" s="273"/>
      <c r="AU695" s="273"/>
      <c r="AV695" s="273"/>
      <c r="AW695" s="273"/>
      <c r="AX695" s="273"/>
      <c r="AY695" s="273"/>
      <c r="AZ695" s="273"/>
      <c r="BA695" s="273"/>
    </row>
    <row r="696">
      <c r="A696" s="273"/>
      <c r="B696" s="273"/>
      <c r="C696" s="745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  <c r="AJ696" s="273"/>
      <c r="AK696" s="273"/>
      <c r="AL696" s="273"/>
      <c r="AM696" s="273"/>
      <c r="AN696" s="273"/>
      <c r="AO696" s="273"/>
      <c r="AP696" s="273"/>
      <c r="AQ696" s="273"/>
      <c r="AR696" s="273"/>
      <c r="AS696" s="273"/>
      <c r="AT696" s="273"/>
      <c r="AU696" s="273"/>
      <c r="AV696" s="273"/>
      <c r="AW696" s="273"/>
      <c r="AX696" s="273"/>
      <c r="AY696" s="273"/>
      <c r="AZ696" s="273"/>
      <c r="BA696" s="273"/>
    </row>
    <row r="697">
      <c r="A697" s="273"/>
      <c r="B697" s="273"/>
      <c r="C697" s="745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  <c r="AJ697" s="273"/>
      <c r="AK697" s="273"/>
      <c r="AL697" s="273"/>
      <c r="AM697" s="273"/>
      <c r="AN697" s="273"/>
      <c r="AO697" s="273"/>
      <c r="AP697" s="273"/>
      <c r="AQ697" s="273"/>
      <c r="AR697" s="273"/>
      <c r="AS697" s="273"/>
      <c r="AT697" s="273"/>
      <c r="AU697" s="273"/>
      <c r="AV697" s="273"/>
      <c r="AW697" s="273"/>
      <c r="AX697" s="273"/>
      <c r="AY697" s="273"/>
      <c r="AZ697" s="273"/>
      <c r="BA697" s="273"/>
    </row>
    <row r="698">
      <c r="A698" s="273"/>
      <c r="B698" s="273"/>
      <c r="C698" s="745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  <c r="AJ698" s="273"/>
      <c r="AK698" s="273"/>
      <c r="AL698" s="273"/>
      <c r="AM698" s="273"/>
      <c r="AN698" s="273"/>
      <c r="AO698" s="273"/>
      <c r="AP698" s="273"/>
      <c r="AQ698" s="273"/>
      <c r="AR698" s="273"/>
      <c r="AS698" s="273"/>
      <c r="AT698" s="273"/>
      <c r="AU698" s="273"/>
      <c r="AV698" s="273"/>
      <c r="AW698" s="273"/>
      <c r="AX698" s="273"/>
      <c r="AY698" s="273"/>
      <c r="AZ698" s="273"/>
      <c r="BA698" s="273"/>
    </row>
    <row r="699">
      <c r="A699" s="273"/>
      <c r="B699" s="273"/>
      <c r="C699" s="745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  <c r="AJ699" s="273"/>
      <c r="AK699" s="273"/>
      <c r="AL699" s="273"/>
      <c r="AM699" s="273"/>
      <c r="AN699" s="273"/>
      <c r="AO699" s="273"/>
      <c r="AP699" s="273"/>
      <c r="AQ699" s="273"/>
      <c r="AR699" s="273"/>
      <c r="AS699" s="273"/>
      <c r="AT699" s="273"/>
      <c r="AU699" s="273"/>
      <c r="AV699" s="273"/>
      <c r="AW699" s="273"/>
      <c r="AX699" s="273"/>
      <c r="AY699" s="273"/>
      <c r="AZ699" s="273"/>
      <c r="BA699" s="273"/>
    </row>
    <row r="700">
      <c r="A700" s="273"/>
      <c r="B700" s="273"/>
      <c r="C700" s="745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  <c r="AJ700" s="273"/>
      <c r="AK700" s="273"/>
      <c r="AL700" s="273"/>
      <c r="AM700" s="273"/>
      <c r="AN700" s="273"/>
      <c r="AO700" s="273"/>
      <c r="AP700" s="273"/>
      <c r="AQ700" s="273"/>
      <c r="AR700" s="273"/>
      <c r="AS700" s="273"/>
      <c r="AT700" s="273"/>
      <c r="AU700" s="273"/>
      <c r="AV700" s="273"/>
      <c r="AW700" s="273"/>
      <c r="AX700" s="273"/>
      <c r="AY700" s="273"/>
      <c r="AZ700" s="273"/>
      <c r="BA700" s="273"/>
    </row>
    <row r="701">
      <c r="A701" s="273"/>
      <c r="B701" s="273"/>
      <c r="C701" s="745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  <c r="AJ701" s="273"/>
      <c r="AK701" s="273"/>
      <c r="AL701" s="273"/>
      <c r="AM701" s="273"/>
      <c r="AN701" s="273"/>
      <c r="AO701" s="273"/>
      <c r="AP701" s="273"/>
      <c r="AQ701" s="273"/>
      <c r="AR701" s="273"/>
      <c r="AS701" s="273"/>
      <c r="AT701" s="273"/>
      <c r="AU701" s="273"/>
      <c r="AV701" s="273"/>
      <c r="AW701" s="273"/>
      <c r="AX701" s="273"/>
      <c r="AY701" s="273"/>
      <c r="AZ701" s="273"/>
      <c r="BA701" s="273"/>
    </row>
    <row r="702">
      <c r="A702" s="273"/>
      <c r="B702" s="273"/>
      <c r="C702" s="745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  <c r="AJ702" s="273"/>
      <c r="AK702" s="273"/>
      <c r="AL702" s="273"/>
      <c r="AM702" s="273"/>
      <c r="AN702" s="273"/>
      <c r="AO702" s="273"/>
      <c r="AP702" s="273"/>
      <c r="AQ702" s="273"/>
      <c r="AR702" s="273"/>
      <c r="AS702" s="273"/>
      <c r="AT702" s="273"/>
      <c r="AU702" s="273"/>
      <c r="AV702" s="273"/>
      <c r="AW702" s="273"/>
      <c r="AX702" s="273"/>
      <c r="AY702" s="273"/>
      <c r="AZ702" s="273"/>
      <c r="BA702" s="273"/>
    </row>
    <row r="703">
      <c r="A703" s="273"/>
      <c r="B703" s="273"/>
      <c r="C703" s="745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  <c r="AJ703" s="273"/>
      <c r="AK703" s="273"/>
      <c r="AL703" s="273"/>
      <c r="AM703" s="273"/>
      <c r="AN703" s="273"/>
      <c r="AO703" s="273"/>
      <c r="AP703" s="273"/>
      <c r="AQ703" s="273"/>
      <c r="AR703" s="273"/>
      <c r="AS703" s="273"/>
      <c r="AT703" s="273"/>
      <c r="AU703" s="273"/>
      <c r="AV703" s="273"/>
      <c r="AW703" s="273"/>
      <c r="AX703" s="273"/>
      <c r="AY703" s="273"/>
      <c r="AZ703" s="273"/>
      <c r="BA703" s="273"/>
    </row>
    <row r="704">
      <c r="A704" s="273"/>
      <c r="B704" s="273"/>
      <c r="C704" s="745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  <c r="AJ704" s="273"/>
      <c r="AK704" s="273"/>
      <c r="AL704" s="273"/>
      <c r="AM704" s="273"/>
      <c r="AN704" s="273"/>
      <c r="AO704" s="273"/>
      <c r="AP704" s="273"/>
      <c r="AQ704" s="273"/>
      <c r="AR704" s="273"/>
      <c r="AS704" s="273"/>
      <c r="AT704" s="273"/>
      <c r="AU704" s="273"/>
      <c r="AV704" s="273"/>
      <c r="AW704" s="273"/>
      <c r="AX704" s="273"/>
      <c r="AY704" s="273"/>
      <c r="AZ704" s="273"/>
      <c r="BA704" s="273"/>
    </row>
    <row r="705">
      <c r="A705" s="273"/>
      <c r="B705" s="273"/>
      <c r="C705" s="745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  <c r="AJ705" s="273"/>
      <c r="AK705" s="273"/>
      <c r="AL705" s="273"/>
      <c r="AM705" s="273"/>
      <c r="AN705" s="273"/>
      <c r="AO705" s="273"/>
      <c r="AP705" s="273"/>
      <c r="AQ705" s="273"/>
      <c r="AR705" s="273"/>
      <c r="AS705" s="273"/>
      <c r="AT705" s="273"/>
      <c r="AU705" s="273"/>
      <c r="AV705" s="273"/>
      <c r="AW705" s="273"/>
      <c r="AX705" s="273"/>
      <c r="AY705" s="273"/>
      <c r="AZ705" s="273"/>
      <c r="BA705" s="273"/>
    </row>
    <row r="706">
      <c r="A706" s="273"/>
      <c r="B706" s="273"/>
      <c r="C706" s="745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  <c r="AJ706" s="273"/>
      <c r="AK706" s="273"/>
      <c r="AL706" s="273"/>
      <c r="AM706" s="273"/>
      <c r="AN706" s="273"/>
      <c r="AO706" s="273"/>
      <c r="AP706" s="273"/>
      <c r="AQ706" s="273"/>
      <c r="AR706" s="273"/>
      <c r="AS706" s="273"/>
      <c r="AT706" s="273"/>
      <c r="AU706" s="273"/>
      <c r="AV706" s="273"/>
      <c r="AW706" s="273"/>
      <c r="AX706" s="273"/>
      <c r="AY706" s="273"/>
      <c r="AZ706" s="273"/>
      <c r="BA706" s="273"/>
    </row>
    <row r="707">
      <c r="A707" s="273"/>
      <c r="B707" s="273"/>
      <c r="C707" s="745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  <c r="AJ707" s="273"/>
      <c r="AK707" s="273"/>
      <c r="AL707" s="273"/>
      <c r="AM707" s="273"/>
      <c r="AN707" s="273"/>
      <c r="AO707" s="273"/>
      <c r="AP707" s="273"/>
      <c r="AQ707" s="273"/>
      <c r="AR707" s="273"/>
      <c r="AS707" s="273"/>
      <c r="AT707" s="273"/>
      <c r="AU707" s="273"/>
      <c r="AV707" s="273"/>
      <c r="AW707" s="273"/>
      <c r="AX707" s="273"/>
      <c r="AY707" s="273"/>
      <c r="AZ707" s="273"/>
      <c r="BA707" s="273"/>
    </row>
    <row r="708">
      <c r="A708" s="273"/>
      <c r="B708" s="273"/>
      <c r="C708" s="745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  <c r="AJ708" s="273"/>
      <c r="AK708" s="273"/>
      <c r="AL708" s="273"/>
      <c r="AM708" s="273"/>
      <c r="AN708" s="273"/>
      <c r="AO708" s="273"/>
      <c r="AP708" s="273"/>
      <c r="AQ708" s="273"/>
      <c r="AR708" s="273"/>
      <c r="AS708" s="273"/>
      <c r="AT708" s="273"/>
      <c r="AU708" s="273"/>
      <c r="AV708" s="273"/>
      <c r="AW708" s="273"/>
      <c r="AX708" s="273"/>
      <c r="AY708" s="273"/>
      <c r="AZ708" s="273"/>
      <c r="BA708" s="273"/>
    </row>
    <row r="709">
      <c r="A709" s="273"/>
      <c r="B709" s="273"/>
      <c r="C709" s="745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  <c r="AJ709" s="273"/>
      <c r="AK709" s="273"/>
      <c r="AL709" s="273"/>
      <c r="AM709" s="273"/>
      <c r="AN709" s="273"/>
      <c r="AO709" s="273"/>
      <c r="AP709" s="273"/>
      <c r="AQ709" s="273"/>
      <c r="AR709" s="273"/>
      <c r="AS709" s="273"/>
      <c r="AT709" s="273"/>
      <c r="AU709" s="273"/>
      <c r="AV709" s="273"/>
      <c r="AW709" s="273"/>
      <c r="AX709" s="273"/>
      <c r="AY709" s="273"/>
      <c r="AZ709" s="273"/>
      <c r="BA709" s="273"/>
    </row>
    <row r="710">
      <c r="A710" s="273"/>
      <c r="B710" s="273"/>
      <c r="C710" s="745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  <c r="AJ710" s="273"/>
      <c r="AK710" s="273"/>
      <c r="AL710" s="273"/>
      <c r="AM710" s="273"/>
      <c r="AN710" s="273"/>
      <c r="AO710" s="273"/>
      <c r="AP710" s="273"/>
      <c r="AQ710" s="273"/>
      <c r="AR710" s="273"/>
      <c r="AS710" s="273"/>
      <c r="AT710" s="273"/>
      <c r="AU710" s="273"/>
      <c r="AV710" s="273"/>
      <c r="AW710" s="273"/>
      <c r="AX710" s="273"/>
      <c r="AY710" s="273"/>
      <c r="AZ710" s="273"/>
      <c r="BA710" s="273"/>
    </row>
    <row r="711">
      <c r="A711" s="273"/>
      <c r="B711" s="273"/>
      <c r="C711" s="745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  <c r="AJ711" s="273"/>
      <c r="AK711" s="273"/>
      <c r="AL711" s="273"/>
      <c r="AM711" s="273"/>
      <c r="AN711" s="273"/>
      <c r="AO711" s="273"/>
      <c r="AP711" s="273"/>
      <c r="AQ711" s="273"/>
      <c r="AR711" s="273"/>
      <c r="AS711" s="273"/>
      <c r="AT711" s="273"/>
      <c r="AU711" s="273"/>
      <c r="AV711" s="273"/>
      <c r="AW711" s="273"/>
      <c r="AX711" s="273"/>
      <c r="AY711" s="273"/>
      <c r="AZ711" s="273"/>
      <c r="BA711" s="273"/>
    </row>
    <row r="712">
      <c r="A712" s="273"/>
      <c r="B712" s="273"/>
      <c r="C712" s="745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  <c r="AJ712" s="273"/>
      <c r="AK712" s="273"/>
      <c r="AL712" s="273"/>
      <c r="AM712" s="273"/>
      <c r="AN712" s="273"/>
      <c r="AO712" s="273"/>
      <c r="AP712" s="273"/>
      <c r="AQ712" s="273"/>
      <c r="AR712" s="273"/>
      <c r="AS712" s="273"/>
      <c r="AT712" s="273"/>
      <c r="AU712" s="273"/>
      <c r="AV712" s="273"/>
      <c r="AW712" s="273"/>
      <c r="AX712" s="273"/>
      <c r="AY712" s="273"/>
      <c r="AZ712" s="273"/>
      <c r="BA712" s="273"/>
    </row>
    <row r="713">
      <c r="A713" s="273"/>
      <c r="B713" s="273"/>
      <c r="C713" s="745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  <c r="AJ713" s="273"/>
      <c r="AK713" s="273"/>
      <c r="AL713" s="273"/>
      <c r="AM713" s="273"/>
      <c r="AN713" s="273"/>
      <c r="AO713" s="273"/>
      <c r="AP713" s="273"/>
      <c r="AQ713" s="273"/>
      <c r="AR713" s="273"/>
      <c r="AS713" s="273"/>
      <c r="AT713" s="273"/>
      <c r="AU713" s="273"/>
      <c r="AV713" s="273"/>
      <c r="AW713" s="273"/>
      <c r="AX713" s="273"/>
      <c r="AY713" s="273"/>
      <c r="AZ713" s="273"/>
      <c r="BA713" s="273"/>
    </row>
    <row r="714">
      <c r="A714" s="273"/>
      <c r="B714" s="273"/>
      <c r="C714" s="745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  <c r="AJ714" s="273"/>
      <c r="AK714" s="273"/>
      <c r="AL714" s="273"/>
      <c r="AM714" s="273"/>
      <c r="AN714" s="273"/>
      <c r="AO714" s="273"/>
      <c r="AP714" s="273"/>
      <c r="AQ714" s="273"/>
      <c r="AR714" s="273"/>
      <c r="AS714" s="273"/>
      <c r="AT714" s="273"/>
      <c r="AU714" s="273"/>
      <c r="AV714" s="273"/>
      <c r="AW714" s="273"/>
      <c r="AX714" s="273"/>
      <c r="AY714" s="273"/>
      <c r="AZ714" s="273"/>
      <c r="BA714" s="273"/>
    </row>
    <row r="715">
      <c r="A715" s="273"/>
      <c r="B715" s="273"/>
      <c r="C715" s="745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  <c r="AJ715" s="273"/>
      <c r="AK715" s="273"/>
      <c r="AL715" s="273"/>
      <c r="AM715" s="273"/>
      <c r="AN715" s="273"/>
      <c r="AO715" s="273"/>
      <c r="AP715" s="273"/>
      <c r="AQ715" s="273"/>
      <c r="AR715" s="273"/>
      <c r="AS715" s="273"/>
      <c r="AT715" s="273"/>
      <c r="AU715" s="273"/>
      <c r="AV715" s="273"/>
      <c r="AW715" s="273"/>
      <c r="AX715" s="273"/>
      <c r="AY715" s="273"/>
      <c r="AZ715" s="273"/>
      <c r="BA715" s="273"/>
    </row>
    <row r="716">
      <c r="A716" s="273"/>
      <c r="B716" s="273"/>
      <c r="C716" s="745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  <c r="AJ716" s="273"/>
      <c r="AK716" s="273"/>
      <c r="AL716" s="273"/>
      <c r="AM716" s="273"/>
      <c r="AN716" s="273"/>
      <c r="AO716" s="273"/>
      <c r="AP716" s="273"/>
      <c r="AQ716" s="273"/>
      <c r="AR716" s="273"/>
      <c r="AS716" s="273"/>
      <c r="AT716" s="273"/>
      <c r="AU716" s="273"/>
      <c r="AV716" s="273"/>
      <c r="AW716" s="273"/>
      <c r="AX716" s="273"/>
      <c r="AY716" s="273"/>
      <c r="AZ716" s="273"/>
      <c r="BA716" s="273"/>
    </row>
    <row r="717">
      <c r="A717" s="273"/>
      <c r="B717" s="273"/>
      <c r="C717" s="745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  <c r="AJ717" s="273"/>
      <c r="AK717" s="273"/>
      <c r="AL717" s="273"/>
      <c r="AM717" s="273"/>
      <c r="AN717" s="273"/>
      <c r="AO717" s="273"/>
      <c r="AP717" s="273"/>
      <c r="AQ717" s="273"/>
      <c r="AR717" s="273"/>
      <c r="AS717" s="273"/>
      <c r="AT717" s="273"/>
      <c r="AU717" s="273"/>
      <c r="AV717" s="273"/>
      <c r="AW717" s="273"/>
      <c r="AX717" s="273"/>
      <c r="AY717" s="273"/>
      <c r="AZ717" s="273"/>
      <c r="BA717" s="273"/>
    </row>
    <row r="718">
      <c r="A718" s="273"/>
      <c r="B718" s="273"/>
      <c r="C718" s="745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  <c r="AJ718" s="273"/>
      <c r="AK718" s="273"/>
      <c r="AL718" s="273"/>
      <c r="AM718" s="273"/>
      <c r="AN718" s="273"/>
      <c r="AO718" s="273"/>
      <c r="AP718" s="273"/>
      <c r="AQ718" s="273"/>
      <c r="AR718" s="273"/>
      <c r="AS718" s="273"/>
      <c r="AT718" s="273"/>
      <c r="AU718" s="273"/>
      <c r="AV718" s="273"/>
      <c r="AW718" s="273"/>
      <c r="AX718" s="273"/>
      <c r="AY718" s="273"/>
      <c r="AZ718" s="273"/>
      <c r="BA718" s="273"/>
    </row>
    <row r="719">
      <c r="A719" s="273"/>
      <c r="B719" s="273"/>
      <c r="C719" s="745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  <c r="AJ719" s="273"/>
      <c r="AK719" s="273"/>
      <c r="AL719" s="273"/>
      <c r="AM719" s="273"/>
      <c r="AN719" s="273"/>
      <c r="AO719" s="273"/>
      <c r="AP719" s="273"/>
      <c r="AQ719" s="273"/>
      <c r="AR719" s="273"/>
      <c r="AS719" s="273"/>
      <c r="AT719" s="273"/>
      <c r="AU719" s="273"/>
      <c r="AV719" s="273"/>
      <c r="AW719" s="273"/>
      <c r="AX719" s="273"/>
      <c r="AY719" s="273"/>
      <c r="AZ719" s="273"/>
      <c r="BA719" s="273"/>
    </row>
    <row r="720">
      <c r="A720" s="273"/>
      <c r="B720" s="273"/>
      <c r="C720" s="745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  <c r="AJ720" s="273"/>
      <c r="AK720" s="273"/>
      <c r="AL720" s="273"/>
      <c r="AM720" s="273"/>
      <c r="AN720" s="273"/>
      <c r="AO720" s="273"/>
      <c r="AP720" s="273"/>
      <c r="AQ720" s="273"/>
      <c r="AR720" s="273"/>
      <c r="AS720" s="273"/>
      <c r="AT720" s="273"/>
      <c r="AU720" s="273"/>
      <c r="AV720" s="273"/>
      <c r="AW720" s="273"/>
      <c r="AX720" s="273"/>
      <c r="AY720" s="273"/>
      <c r="AZ720" s="273"/>
      <c r="BA720" s="273"/>
    </row>
    <row r="721">
      <c r="A721" s="273"/>
      <c r="B721" s="273"/>
      <c r="C721" s="745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  <c r="AJ721" s="273"/>
      <c r="AK721" s="273"/>
      <c r="AL721" s="273"/>
      <c r="AM721" s="273"/>
      <c r="AN721" s="273"/>
      <c r="AO721" s="273"/>
      <c r="AP721" s="273"/>
      <c r="AQ721" s="273"/>
      <c r="AR721" s="273"/>
      <c r="AS721" s="273"/>
      <c r="AT721" s="273"/>
      <c r="AU721" s="273"/>
      <c r="AV721" s="273"/>
      <c r="AW721" s="273"/>
      <c r="AX721" s="273"/>
      <c r="AY721" s="273"/>
      <c r="AZ721" s="273"/>
      <c r="BA721" s="273"/>
    </row>
    <row r="722">
      <c r="A722" s="273"/>
      <c r="B722" s="273"/>
      <c r="C722" s="745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  <c r="AJ722" s="273"/>
      <c r="AK722" s="273"/>
      <c r="AL722" s="273"/>
      <c r="AM722" s="273"/>
      <c r="AN722" s="273"/>
      <c r="AO722" s="273"/>
      <c r="AP722" s="273"/>
      <c r="AQ722" s="273"/>
      <c r="AR722" s="273"/>
      <c r="AS722" s="273"/>
      <c r="AT722" s="273"/>
      <c r="AU722" s="273"/>
      <c r="AV722" s="273"/>
      <c r="AW722" s="273"/>
      <c r="AX722" s="273"/>
      <c r="AY722" s="273"/>
      <c r="AZ722" s="273"/>
      <c r="BA722" s="273"/>
    </row>
    <row r="723">
      <c r="A723" s="273"/>
      <c r="B723" s="273"/>
      <c r="C723" s="745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</row>
    <row r="724">
      <c r="A724" s="273"/>
      <c r="B724" s="273"/>
      <c r="C724" s="745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  <c r="AJ724" s="273"/>
      <c r="AK724" s="273"/>
      <c r="AL724" s="273"/>
      <c r="AM724" s="273"/>
      <c r="AN724" s="273"/>
      <c r="AO724" s="273"/>
      <c r="AP724" s="273"/>
      <c r="AQ724" s="273"/>
      <c r="AR724" s="273"/>
      <c r="AS724" s="273"/>
      <c r="AT724" s="273"/>
      <c r="AU724" s="273"/>
      <c r="AV724" s="273"/>
      <c r="AW724" s="273"/>
      <c r="AX724" s="273"/>
      <c r="AY724" s="273"/>
      <c r="AZ724" s="273"/>
      <c r="BA724" s="273"/>
    </row>
    <row r="725">
      <c r="A725" s="273"/>
      <c r="B725" s="273"/>
      <c r="C725" s="745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  <c r="AJ725" s="273"/>
      <c r="AK725" s="273"/>
      <c r="AL725" s="273"/>
      <c r="AM725" s="273"/>
      <c r="AN725" s="273"/>
      <c r="AO725" s="273"/>
      <c r="AP725" s="273"/>
      <c r="AQ725" s="273"/>
      <c r="AR725" s="273"/>
      <c r="AS725" s="273"/>
      <c r="AT725" s="273"/>
      <c r="AU725" s="273"/>
      <c r="AV725" s="273"/>
      <c r="AW725" s="273"/>
      <c r="AX725" s="273"/>
      <c r="AY725" s="273"/>
      <c r="AZ725" s="273"/>
      <c r="BA725" s="273"/>
    </row>
    <row r="726">
      <c r="A726" s="273"/>
      <c r="B726" s="273"/>
      <c r="C726" s="745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  <c r="AJ726" s="273"/>
      <c r="AK726" s="273"/>
      <c r="AL726" s="273"/>
      <c r="AM726" s="273"/>
      <c r="AN726" s="273"/>
      <c r="AO726" s="273"/>
      <c r="AP726" s="273"/>
      <c r="AQ726" s="273"/>
      <c r="AR726" s="273"/>
      <c r="AS726" s="273"/>
      <c r="AT726" s="273"/>
      <c r="AU726" s="273"/>
      <c r="AV726" s="273"/>
      <c r="AW726" s="273"/>
      <c r="AX726" s="273"/>
      <c r="AY726" s="273"/>
      <c r="AZ726" s="273"/>
      <c r="BA726" s="273"/>
    </row>
    <row r="727">
      <c r="A727" s="273"/>
      <c r="B727" s="273"/>
      <c r="C727" s="745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  <c r="AJ727" s="273"/>
      <c r="AK727" s="273"/>
      <c r="AL727" s="273"/>
      <c r="AM727" s="273"/>
      <c r="AN727" s="273"/>
      <c r="AO727" s="273"/>
      <c r="AP727" s="273"/>
      <c r="AQ727" s="273"/>
      <c r="AR727" s="273"/>
      <c r="AS727" s="273"/>
      <c r="AT727" s="273"/>
      <c r="AU727" s="273"/>
      <c r="AV727" s="273"/>
      <c r="AW727" s="273"/>
      <c r="AX727" s="273"/>
      <c r="AY727" s="273"/>
      <c r="AZ727" s="273"/>
      <c r="BA727" s="273"/>
    </row>
    <row r="728">
      <c r="A728" s="273"/>
      <c r="B728" s="273"/>
      <c r="C728" s="745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  <c r="AJ728" s="273"/>
      <c r="AK728" s="273"/>
      <c r="AL728" s="273"/>
      <c r="AM728" s="273"/>
      <c r="AN728" s="273"/>
      <c r="AO728" s="273"/>
      <c r="AP728" s="273"/>
      <c r="AQ728" s="273"/>
      <c r="AR728" s="273"/>
      <c r="AS728" s="273"/>
      <c r="AT728" s="273"/>
      <c r="AU728" s="273"/>
      <c r="AV728" s="273"/>
      <c r="AW728" s="273"/>
      <c r="AX728" s="273"/>
      <c r="AY728" s="273"/>
      <c r="AZ728" s="273"/>
      <c r="BA728" s="273"/>
    </row>
    <row r="729">
      <c r="A729" s="273"/>
      <c r="B729" s="273"/>
      <c r="C729" s="745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  <c r="AJ729" s="273"/>
      <c r="AK729" s="273"/>
      <c r="AL729" s="273"/>
      <c r="AM729" s="273"/>
      <c r="AN729" s="273"/>
      <c r="AO729" s="273"/>
      <c r="AP729" s="273"/>
      <c r="AQ729" s="273"/>
      <c r="AR729" s="273"/>
      <c r="AS729" s="273"/>
      <c r="AT729" s="273"/>
      <c r="AU729" s="273"/>
      <c r="AV729" s="273"/>
      <c r="AW729" s="273"/>
      <c r="AX729" s="273"/>
      <c r="AY729" s="273"/>
      <c r="AZ729" s="273"/>
      <c r="BA729" s="273"/>
    </row>
    <row r="730">
      <c r="A730" s="273"/>
      <c r="B730" s="273"/>
      <c r="C730" s="745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  <c r="AJ730" s="273"/>
      <c r="AK730" s="273"/>
      <c r="AL730" s="273"/>
      <c r="AM730" s="273"/>
      <c r="AN730" s="273"/>
      <c r="AO730" s="273"/>
      <c r="AP730" s="273"/>
      <c r="AQ730" s="273"/>
      <c r="AR730" s="273"/>
      <c r="AS730" s="273"/>
      <c r="AT730" s="273"/>
      <c r="AU730" s="273"/>
      <c r="AV730" s="273"/>
      <c r="AW730" s="273"/>
      <c r="AX730" s="273"/>
      <c r="AY730" s="273"/>
      <c r="AZ730" s="273"/>
      <c r="BA730" s="273"/>
    </row>
    <row r="731">
      <c r="A731" s="273"/>
      <c r="B731" s="273"/>
      <c r="C731" s="745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  <c r="AJ731" s="273"/>
      <c r="AK731" s="273"/>
      <c r="AL731" s="273"/>
      <c r="AM731" s="273"/>
      <c r="AN731" s="273"/>
      <c r="AO731" s="273"/>
      <c r="AP731" s="273"/>
      <c r="AQ731" s="273"/>
      <c r="AR731" s="273"/>
      <c r="AS731" s="273"/>
      <c r="AT731" s="273"/>
      <c r="AU731" s="273"/>
      <c r="AV731" s="273"/>
      <c r="AW731" s="273"/>
      <c r="AX731" s="273"/>
      <c r="AY731" s="273"/>
      <c r="AZ731" s="273"/>
      <c r="BA731" s="273"/>
    </row>
    <row r="732">
      <c r="A732" s="273"/>
      <c r="B732" s="273"/>
      <c r="C732" s="745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  <c r="AJ732" s="273"/>
      <c r="AK732" s="273"/>
      <c r="AL732" s="273"/>
      <c r="AM732" s="273"/>
      <c r="AN732" s="273"/>
      <c r="AO732" s="273"/>
      <c r="AP732" s="273"/>
      <c r="AQ732" s="273"/>
      <c r="AR732" s="273"/>
      <c r="AS732" s="273"/>
      <c r="AT732" s="273"/>
      <c r="AU732" s="273"/>
      <c r="AV732" s="273"/>
      <c r="AW732" s="273"/>
      <c r="AX732" s="273"/>
      <c r="AY732" s="273"/>
      <c r="AZ732" s="273"/>
      <c r="BA732" s="273"/>
    </row>
    <row r="733">
      <c r="A733" s="273"/>
      <c r="B733" s="273"/>
      <c r="C733" s="745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  <c r="AJ733" s="273"/>
      <c r="AK733" s="273"/>
      <c r="AL733" s="273"/>
      <c r="AM733" s="273"/>
      <c r="AN733" s="273"/>
      <c r="AO733" s="273"/>
      <c r="AP733" s="273"/>
      <c r="AQ733" s="273"/>
      <c r="AR733" s="273"/>
      <c r="AS733" s="273"/>
      <c r="AT733" s="273"/>
      <c r="AU733" s="273"/>
      <c r="AV733" s="273"/>
      <c r="AW733" s="273"/>
      <c r="AX733" s="273"/>
      <c r="AY733" s="273"/>
      <c r="AZ733" s="273"/>
      <c r="BA733" s="273"/>
    </row>
    <row r="734">
      <c r="A734" s="273"/>
      <c r="B734" s="273"/>
      <c r="C734" s="745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  <c r="AJ734" s="273"/>
      <c r="AK734" s="273"/>
      <c r="AL734" s="273"/>
      <c r="AM734" s="273"/>
      <c r="AN734" s="273"/>
      <c r="AO734" s="273"/>
      <c r="AP734" s="273"/>
      <c r="AQ734" s="273"/>
      <c r="AR734" s="273"/>
      <c r="AS734" s="273"/>
      <c r="AT734" s="273"/>
      <c r="AU734" s="273"/>
      <c r="AV734" s="273"/>
      <c r="AW734" s="273"/>
      <c r="AX734" s="273"/>
      <c r="AY734" s="273"/>
      <c r="AZ734" s="273"/>
      <c r="BA734" s="273"/>
    </row>
    <row r="735">
      <c r="A735" s="273"/>
      <c r="B735" s="273"/>
      <c r="C735" s="745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  <c r="AJ735" s="273"/>
      <c r="AK735" s="273"/>
      <c r="AL735" s="273"/>
      <c r="AM735" s="273"/>
      <c r="AN735" s="273"/>
      <c r="AO735" s="273"/>
      <c r="AP735" s="273"/>
      <c r="AQ735" s="273"/>
      <c r="AR735" s="273"/>
      <c r="AS735" s="273"/>
      <c r="AT735" s="273"/>
      <c r="AU735" s="273"/>
      <c r="AV735" s="273"/>
      <c r="AW735" s="273"/>
      <c r="AX735" s="273"/>
      <c r="AY735" s="273"/>
      <c r="AZ735" s="273"/>
      <c r="BA735" s="273"/>
    </row>
    <row r="736">
      <c r="A736" s="273"/>
      <c r="B736" s="273"/>
      <c r="C736" s="745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  <c r="AJ736" s="273"/>
      <c r="AK736" s="273"/>
      <c r="AL736" s="273"/>
      <c r="AM736" s="273"/>
      <c r="AN736" s="273"/>
      <c r="AO736" s="273"/>
      <c r="AP736" s="273"/>
      <c r="AQ736" s="273"/>
      <c r="AR736" s="273"/>
      <c r="AS736" s="273"/>
      <c r="AT736" s="273"/>
      <c r="AU736" s="273"/>
      <c r="AV736" s="273"/>
      <c r="AW736" s="273"/>
      <c r="AX736" s="273"/>
      <c r="AY736" s="273"/>
      <c r="AZ736" s="273"/>
      <c r="BA736" s="273"/>
    </row>
    <row r="737">
      <c r="A737" s="273"/>
      <c r="B737" s="273"/>
      <c r="C737" s="745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  <c r="AJ737" s="273"/>
      <c r="AK737" s="273"/>
      <c r="AL737" s="273"/>
      <c r="AM737" s="273"/>
      <c r="AN737" s="273"/>
      <c r="AO737" s="273"/>
      <c r="AP737" s="273"/>
      <c r="AQ737" s="273"/>
      <c r="AR737" s="273"/>
      <c r="AS737" s="273"/>
      <c r="AT737" s="273"/>
      <c r="AU737" s="273"/>
      <c r="AV737" s="273"/>
      <c r="AW737" s="273"/>
      <c r="AX737" s="273"/>
      <c r="AY737" s="273"/>
      <c r="AZ737" s="273"/>
      <c r="BA737" s="273"/>
    </row>
    <row r="738">
      <c r="A738" s="273"/>
      <c r="B738" s="273"/>
      <c r="C738" s="745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  <c r="AJ738" s="273"/>
      <c r="AK738" s="273"/>
      <c r="AL738" s="273"/>
      <c r="AM738" s="273"/>
      <c r="AN738" s="273"/>
      <c r="AO738" s="273"/>
      <c r="AP738" s="273"/>
      <c r="AQ738" s="273"/>
      <c r="AR738" s="273"/>
      <c r="AS738" s="273"/>
      <c r="AT738" s="273"/>
      <c r="AU738" s="273"/>
      <c r="AV738" s="273"/>
      <c r="AW738" s="273"/>
      <c r="AX738" s="273"/>
      <c r="AY738" s="273"/>
      <c r="AZ738" s="273"/>
      <c r="BA738" s="273"/>
    </row>
    <row r="739">
      <c r="A739" s="273"/>
      <c r="B739" s="273"/>
      <c r="C739" s="745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  <c r="AJ739" s="273"/>
      <c r="AK739" s="273"/>
      <c r="AL739" s="273"/>
      <c r="AM739" s="273"/>
      <c r="AN739" s="273"/>
      <c r="AO739" s="273"/>
      <c r="AP739" s="273"/>
      <c r="AQ739" s="273"/>
      <c r="AR739" s="273"/>
      <c r="AS739" s="273"/>
      <c r="AT739" s="273"/>
      <c r="AU739" s="273"/>
      <c r="AV739" s="273"/>
      <c r="AW739" s="273"/>
      <c r="AX739" s="273"/>
      <c r="AY739" s="273"/>
      <c r="AZ739" s="273"/>
      <c r="BA739" s="273"/>
    </row>
    <row r="740">
      <c r="A740" s="273"/>
      <c r="B740" s="273"/>
      <c r="C740" s="745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  <c r="AJ740" s="273"/>
      <c r="AK740" s="273"/>
      <c r="AL740" s="273"/>
      <c r="AM740" s="273"/>
      <c r="AN740" s="273"/>
      <c r="AO740" s="273"/>
      <c r="AP740" s="273"/>
      <c r="AQ740" s="273"/>
      <c r="AR740" s="273"/>
      <c r="AS740" s="273"/>
      <c r="AT740" s="273"/>
      <c r="AU740" s="273"/>
      <c r="AV740" s="273"/>
      <c r="AW740" s="273"/>
      <c r="AX740" s="273"/>
      <c r="AY740" s="273"/>
      <c r="AZ740" s="273"/>
      <c r="BA740" s="273"/>
    </row>
    <row r="741">
      <c r="A741" s="273"/>
      <c r="B741" s="273"/>
      <c r="C741" s="745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  <c r="AJ741" s="273"/>
      <c r="AK741" s="273"/>
      <c r="AL741" s="273"/>
      <c r="AM741" s="273"/>
      <c r="AN741" s="273"/>
      <c r="AO741" s="273"/>
      <c r="AP741" s="273"/>
      <c r="AQ741" s="273"/>
      <c r="AR741" s="273"/>
      <c r="AS741" s="273"/>
      <c r="AT741" s="273"/>
      <c r="AU741" s="273"/>
      <c r="AV741" s="273"/>
      <c r="AW741" s="273"/>
      <c r="AX741" s="273"/>
      <c r="AY741" s="273"/>
      <c r="AZ741" s="273"/>
      <c r="BA741" s="273"/>
    </row>
    <row r="742">
      <c r="A742" s="273"/>
      <c r="B742" s="273"/>
      <c r="C742" s="745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  <c r="AJ742" s="273"/>
      <c r="AK742" s="273"/>
      <c r="AL742" s="273"/>
      <c r="AM742" s="273"/>
      <c r="AN742" s="273"/>
      <c r="AO742" s="273"/>
      <c r="AP742" s="273"/>
      <c r="AQ742" s="273"/>
      <c r="AR742" s="273"/>
      <c r="AS742" s="273"/>
      <c r="AT742" s="273"/>
      <c r="AU742" s="273"/>
      <c r="AV742" s="273"/>
      <c r="AW742" s="273"/>
      <c r="AX742" s="273"/>
      <c r="AY742" s="273"/>
      <c r="AZ742" s="273"/>
      <c r="BA742" s="273"/>
    </row>
    <row r="743">
      <c r="A743" s="273"/>
      <c r="B743" s="273"/>
      <c r="C743" s="745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  <c r="AJ743" s="273"/>
      <c r="AK743" s="273"/>
      <c r="AL743" s="273"/>
      <c r="AM743" s="273"/>
      <c r="AN743" s="273"/>
      <c r="AO743" s="273"/>
      <c r="AP743" s="273"/>
      <c r="AQ743" s="273"/>
      <c r="AR743" s="273"/>
      <c r="AS743" s="273"/>
      <c r="AT743" s="273"/>
      <c r="AU743" s="273"/>
      <c r="AV743" s="273"/>
      <c r="AW743" s="273"/>
      <c r="AX743" s="273"/>
      <c r="AY743" s="273"/>
      <c r="AZ743" s="273"/>
      <c r="BA743" s="273"/>
    </row>
    <row r="744">
      <c r="A744" s="273"/>
      <c r="B744" s="273"/>
      <c r="C744" s="745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  <c r="AJ744" s="273"/>
      <c r="AK744" s="273"/>
      <c r="AL744" s="273"/>
      <c r="AM744" s="273"/>
      <c r="AN744" s="273"/>
      <c r="AO744" s="273"/>
      <c r="AP744" s="273"/>
      <c r="AQ744" s="273"/>
      <c r="AR744" s="273"/>
      <c r="AS744" s="273"/>
      <c r="AT744" s="273"/>
      <c r="AU744" s="273"/>
      <c r="AV744" s="273"/>
      <c r="AW744" s="273"/>
      <c r="AX744" s="273"/>
      <c r="AY744" s="273"/>
      <c r="AZ744" s="273"/>
      <c r="BA744" s="273"/>
    </row>
    <row r="745">
      <c r="A745" s="273"/>
      <c r="B745" s="273"/>
      <c r="C745" s="745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  <c r="AJ745" s="273"/>
      <c r="AK745" s="273"/>
      <c r="AL745" s="273"/>
      <c r="AM745" s="273"/>
      <c r="AN745" s="273"/>
      <c r="AO745" s="273"/>
      <c r="AP745" s="273"/>
      <c r="AQ745" s="273"/>
      <c r="AR745" s="273"/>
      <c r="AS745" s="273"/>
      <c r="AT745" s="273"/>
      <c r="AU745" s="273"/>
      <c r="AV745" s="273"/>
      <c r="AW745" s="273"/>
      <c r="AX745" s="273"/>
      <c r="AY745" s="273"/>
      <c r="AZ745" s="273"/>
      <c r="BA745" s="273"/>
    </row>
    <row r="746">
      <c r="A746" s="273"/>
      <c r="B746" s="273"/>
      <c r="C746" s="745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  <c r="AJ746" s="273"/>
      <c r="AK746" s="273"/>
      <c r="AL746" s="273"/>
      <c r="AM746" s="273"/>
      <c r="AN746" s="273"/>
      <c r="AO746" s="273"/>
      <c r="AP746" s="273"/>
      <c r="AQ746" s="273"/>
      <c r="AR746" s="273"/>
      <c r="AS746" s="273"/>
      <c r="AT746" s="273"/>
      <c r="AU746" s="273"/>
      <c r="AV746" s="273"/>
      <c r="AW746" s="273"/>
      <c r="AX746" s="273"/>
      <c r="AY746" s="273"/>
      <c r="AZ746" s="273"/>
      <c r="BA746" s="273"/>
    </row>
    <row r="747">
      <c r="A747" s="273"/>
      <c r="B747" s="273"/>
      <c r="C747" s="745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  <c r="AJ747" s="273"/>
      <c r="AK747" s="273"/>
      <c r="AL747" s="273"/>
      <c r="AM747" s="273"/>
      <c r="AN747" s="273"/>
      <c r="AO747" s="273"/>
      <c r="AP747" s="273"/>
      <c r="AQ747" s="273"/>
      <c r="AR747" s="273"/>
      <c r="AS747" s="273"/>
      <c r="AT747" s="273"/>
      <c r="AU747" s="273"/>
      <c r="AV747" s="273"/>
      <c r="AW747" s="273"/>
      <c r="AX747" s="273"/>
      <c r="AY747" s="273"/>
      <c r="AZ747" s="273"/>
      <c r="BA747" s="273"/>
    </row>
    <row r="748">
      <c r="A748" s="273"/>
      <c r="B748" s="273"/>
      <c r="C748" s="745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  <c r="AJ748" s="273"/>
      <c r="AK748" s="273"/>
      <c r="AL748" s="273"/>
      <c r="AM748" s="273"/>
      <c r="AN748" s="273"/>
      <c r="AO748" s="273"/>
      <c r="AP748" s="273"/>
      <c r="AQ748" s="273"/>
      <c r="AR748" s="273"/>
      <c r="AS748" s="273"/>
      <c r="AT748" s="273"/>
      <c r="AU748" s="273"/>
      <c r="AV748" s="273"/>
      <c r="AW748" s="273"/>
      <c r="AX748" s="273"/>
      <c r="AY748" s="273"/>
      <c r="AZ748" s="273"/>
      <c r="BA748" s="273"/>
    </row>
    <row r="749">
      <c r="A749" s="273"/>
      <c r="B749" s="273"/>
      <c r="C749" s="745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  <c r="AJ749" s="273"/>
      <c r="AK749" s="273"/>
      <c r="AL749" s="273"/>
      <c r="AM749" s="273"/>
      <c r="AN749" s="273"/>
      <c r="AO749" s="273"/>
      <c r="AP749" s="273"/>
      <c r="AQ749" s="273"/>
      <c r="AR749" s="273"/>
      <c r="AS749" s="273"/>
      <c r="AT749" s="273"/>
      <c r="AU749" s="273"/>
      <c r="AV749" s="273"/>
      <c r="AW749" s="273"/>
      <c r="AX749" s="273"/>
      <c r="AY749" s="273"/>
      <c r="AZ749" s="273"/>
      <c r="BA749" s="273"/>
    </row>
    <row r="750">
      <c r="A750" s="273"/>
      <c r="B750" s="273"/>
      <c r="C750" s="745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  <c r="AJ750" s="273"/>
      <c r="AK750" s="273"/>
      <c r="AL750" s="273"/>
      <c r="AM750" s="273"/>
      <c r="AN750" s="273"/>
      <c r="AO750" s="273"/>
      <c r="AP750" s="273"/>
      <c r="AQ750" s="273"/>
      <c r="AR750" s="273"/>
      <c r="AS750" s="273"/>
      <c r="AT750" s="273"/>
      <c r="AU750" s="273"/>
      <c r="AV750" s="273"/>
      <c r="AW750" s="273"/>
      <c r="AX750" s="273"/>
      <c r="AY750" s="273"/>
      <c r="AZ750" s="273"/>
      <c r="BA750" s="273"/>
    </row>
    <row r="751">
      <c r="A751" s="273"/>
      <c r="B751" s="273"/>
      <c r="C751" s="745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  <c r="AJ751" s="273"/>
      <c r="AK751" s="273"/>
      <c r="AL751" s="273"/>
      <c r="AM751" s="273"/>
      <c r="AN751" s="273"/>
      <c r="AO751" s="273"/>
      <c r="AP751" s="273"/>
      <c r="AQ751" s="273"/>
      <c r="AR751" s="273"/>
      <c r="AS751" s="273"/>
      <c r="AT751" s="273"/>
      <c r="AU751" s="273"/>
      <c r="AV751" s="273"/>
      <c r="AW751" s="273"/>
      <c r="AX751" s="273"/>
      <c r="AY751" s="273"/>
      <c r="AZ751" s="273"/>
      <c r="BA751" s="273"/>
    </row>
    <row r="752">
      <c r="A752" s="273"/>
      <c r="B752" s="273"/>
      <c r="C752" s="745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  <c r="AJ752" s="273"/>
      <c r="AK752" s="273"/>
      <c r="AL752" s="273"/>
      <c r="AM752" s="273"/>
      <c r="AN752" s="273"/>
      <c r="AO752" s="273"/>
      <c r="AP752" s="273"/>
      <c r="AQ752" s="273"/>
      <c r="AR752" s="273"/>
      <c r="AS752" s="273"/>
      <c r="AT752" s="273"/>
      <c r="AU752" s="273"/>
      <c r="AV752" s="273"/>
      <c r="AW752" s="273"/>
      <c r="AX752" s="273"/>
      <c r="AY752" s="273"/>
      <c r="AZ752" s="273"/>
      <c r="BA752" s="273"/>
    </row>
    <row r="753">
      <c r="A753" s="273"/>
      <c r="B753" s="273"/>
      <c r="C753" s="745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  <c r="AJ753" s="273"/>
      <c r="AK753" s="273"/>
      <c r="AL753" s="273"/>
      <c r="AM753" s="273"/>
      <c r="AN753" s="273"/>
      <c r="AO753" s="273"/>
      <c r="AP753" s="273"/>
      <c r="AQ753" s="273"/>
      <c r="AR753" s="273"/>
      <c r="AS753" s="273"/>
      <c r="AT753" s="273"/>
      <c r="AU753" s="273"/>
      <c r="AV753" s="273"/>
      <c r="AW753" s="273"/>
      <c r="AX753" s="273"/>
      <c r="AY753" s="273"/>
      <c r="AZ753" s="273"/>
      <c r="BA753" s="273"/>
    </row>
    <row r="754">
      <c r="A754" s="273"/>
      <c r="B754" s="273"/>
      <c r="C754" s="745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  <c r="AJ754" s="273"/>
      <c r="AK754" s="273"/>
      <c r="AL754" s="273"/>
      <c r="AM754" s="273"/>
      <c r="AN754" s="273"/>
      <c r="AO754" s="273"/>
      <c r="AP754" s="273"/>
      <c r="AQ754" s="273"/>
      <c r="AR754" s="273"/>
      <c r="AS754" s="273"/>
      <c r="AT754" s="273"/>
      <c r="AU754" s="273"/>
      <c r="AV754" s="273"/>
      <c r="AW754" s="273"/>
      <c r="AX754" s="273"/>
      <c r="AY754" s="273"/>
      <c r="AZ754" s="273"/>
      <c r="BA754" s="273"/>
    </row>
    <row r="755">
      <c r="A755" s="273"/>
      <c r="B755" s="273"/>
      <c r="C755" s="745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  <c r="AJ755" s="273"/>
      <c r="AK755" s="273"/>
      <c r="AL755" s="273"/>
      <c r="AM755" s="273"/>
      <c r="AN755" s="273"/>
      <c r="AO755" s="273"/>
      <c r="AP755" s="273"/>
      <c r="AQ755" s="273"/>
      <c r="AR755" s="273"/>
      <c r="AS755" s="273"/>
      <c r="AT755" s="273"/>
      <c r="AU755" s="273"/>
      <c r="AV755" s="273"/>
      <c r="AW755" s="273"/>
      <c r="AX755" s="273"/>
      <c r="AY755" s="273"/>
      <c r="AZ755" s="273"/>
      <c r="BA755" s="273"/>
    </row>
    <row r="756">
      <c r="A756" s="273"/>
      <c r="B756" s="273"/>
      <c r="C756" s="745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  <c r="AJ756" s="273"/>
      <c r="AK756" s="273"/>
      <c r="AL756" s="273"/>
      <c r="AM756" s="273"/>
      <c r="AN756" s="273"/>
      <c r="AO756" s="273"/>
      <c r="AP756" s="273"/>
      <c r="AQ756" s="273"/>
      <c r="AR756" s="273"/>
      <c r="AS756" s="273"/>
      <c r="AT756" s="273"/>
      <c r="AU756" s="273"/>
      <c r="AV756" s="273"/>
      <c r="AW756" s="273"/>
      <c r="AX756" s="273"/>
      <c r="AY756" s="273"/>
      <c r="AZ756" s="273"/>
      <c r="BA756" s="273"/>
    </row>
    <row r="757">
      <c r="A757" s="273"/>
      <c r="B757" s="273"/>
      <c r="C757" s="745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  <c r="AJ757" s="273"/>
      <c r="AK757" s="273"/>
      <c r="AL757" s="273"/>
      <c r="AM757" s="273"/>
      <c r="AN757" s="273"/>
      <c r="AO757" s="273"/>
      <c r="AP757" s="273"/>
      <c r="AQ757" s="273"/>
      <c r="AR757" s="273"/>
      <c r="AS757" s="273"/>
      <c r="AT757" s="273"/>
      <c r="AU757" s="273"/>
      <c r="AV757" s="273"/>
      <c r="AW757" s="273"/>
      <c r="AX757" s="273"/>
      <c r="AY757" s="273"/>
      <c r="AZ757" s="273"/>
      <c r="BA757" s="273"/>
    </row>
    <row r="758">
      <c r="A758" s="273"/>
      <c r="B758" s="273"/>
      <c r="C758" s="745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  <c r="AJ758" s="273"/>
      <c r="AK758" s="273"/>
      <c r="AL758" s="273"/>
      <c r="AM758" s="273"/>
      <c r="AN758" s="273"/>
      <c r="AO758" s="273"/>
      <c r="AP758" s="273"/>
      <c r="AQ758" s="273"/>
      <c r="AR758" s="273"/>
      <c r="AS758" s="273"/>
      <c r="AT758" s="273"/>
      <c r="AU758" s="273"/>
      <c r="AV758" s="273"/>
      <c r="AW758" s="273"/>
      <c r="AX758" s="273"/>
      <c r="AY758" s="273"/>
      <c r="AZ758" s="273"/>
      <c r="BA758" s="273"/>
    </row>
    <row r="759">
      <c r="A759" s="273"/>
      <c r="B759" s="273"/>
      <c r="C759" s="745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  <c r="AJ759" s="273"/>
      <c r="AK759" s="273"/>
      <c r="AL759" s="273"/>
      <c r="AM759" s="273"/>
      <c r="AN759" s="273"/>
      <c r="AO759" s="273"/>
      <c r="AP759" s="273"/>
      <c r="AQ759" s="273"/>
      <c r="AR759" s="273"/>
      <c r="AS759" s="273"/>
      <c r="AT759" s="273"/>
      <c r="AU759" s="273"/>
      <c r="AV759" s="273"/>
      <c r="AW759" s="273"/>
      <c r="AX759" s="273"/>
      <c r="AY759" s="273"/>
      <c r="AZ759" s="273"/>
      <c r="BA759" s="273"/>
    </row>
    <row r="760">
      <c r="A760" s="273"/>
      <c r="B760" s="273"/>
      <c r="C760" s="745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  <c r="AJ760" s="273"/>
      <c r="AK760" s="273"/>
      <c r="AL760" s="273"/>
      <c r="AM760" s="273"/>
      <c r="AN760" s="273"/>
      <c r="AO760" s="273"/>
      <c r="AP760" s="273"/>
      <c r="AQ760" s="273"/>
      <c r="AR760" s="273"/>
      <c r="AS760" s="273"/>
      <c r="AT760" s="273"/>
      <c r="AU760" s="273"/>
      <c r="AV760" s="273"/>
      <c r="AW760" s="273"/>
      <c r="AX760" s="273"/>
      <c r="AY760" s="273"/>
      <c r="AZ760" s="273"/>
      <c r="BA760" s="273"/>
    </row>
    <row r="761">
      <c r="A761" s="273"/>
      <c r="B761" s="273"/>
      <c r="C761" s="745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  <c r="AJ761" s="273"/>
      <c r="AK761" s="273"/>
      <c r="AL761" s="273"/>
      <c r="AM761" s="273"/>
      <c r="AN761" s="273"/>
      <c r="AO761" s="273"/>
      <c r="AP761" s="273"/>
      <c r="AQ761" s="273"/>
      <c r="AR761" s="273"/>
      <c r="AS761" s="273"/>
      <c r="AT761" s="273"/>
      <c r="AU761" s="273"/>
      <c r="AV761" s="273"/>
      <c r="AW761" s="273"/>
      <c r="AX761" s="273"/>
      <c r="AY761" s="273"/>
      <c r="AZ761" s="273"/>
      <c r="BA761" s="273"/>
    </row>
    <row r="762">
      <c r="A762" s="273"/>
      <c r="B762" s="273"/>
      <c r="C762" s="745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  <c r="AJ762" s="273"/>
      <c r="AK762" s="273"/>
      <c r="AL762" s="273"/>
      <c r="AM762" s="273"/>
      <c r="AN762" s="273"/>
      <c r="AO762" s="273"/>
      <c r="AP762" s="273"/>
      <c r="AQ762" s="273"/>
      <c r="AR762" s="273"/>
      <c r="AS762" s="273"/>
      <c r="AT762" s="273"/>
      <c r="AU762" s="273"/>
      <c r="AV762" s="273"/>
      <c r="AW762" s="273"/>
      <c r="AX762" s="273"/>
      <c r="AY762" s="273"/>
      <c r="AZ762" s="273"/>
      <c r="BA762" s="273"/>
    </row>
    <row r="763">
      <c r="A763" s="273"/>
      <c r="B763" s="273"/>
      <c r="C763" s="745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  <c r="AJ763" s="273"/>
      <c r="AK763" s="273"/>
      <c r="AL763" s="273"/>
      <c r="AM763" s="273"/>
      <c r="AN763" s="273"/>
      <c r="AO763" s="273"/>
      <c r="AP763" s="273"/>
      <c r="AQ763" s="273"/>
      <c r="AR763" s="273"/>
      <c r="AS763" s="273"/>
      <c r="AT763" s="273"/>
      <c r="AU763" s="273"/>
      <c r="AV763" s="273"/>
      <c r="AW763" s="273"/>
      <c r="AX763" s="273"/>
      <c r="AY763" s="273"/>
      <c r="AZ763" s="273"/>
      <c r="BA763" s="273"/>
    </row>
    <row r="764">
      <c r="A764" s="273"/>
      <c r="B764" s="273"/>
      <c r="C764" s="745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  <c r="AJ764" s="273"/>
      <c r="AK764" s="273"/>
      <c r="AL764" s="273"/>
      <c r="AM764" s="273"/>
      <c r="AN764" s="273"/>
      <c r="AO764" s="273"/>
      <c r="AP764" s="273"/>
      <c r="AQ764" s="273"/>
      <c r="AR764" s="273"/>
      <c r="AS764" s="273"/>
      <c r="AT764" s="273"/>
      <c r="AU764" s="273"/>
      <c r="AV764" s="273"/>
      <c r="AW764" s="273"/>
      <c r="AX764" s="273"/>
      <c r="AY764" s="273"/>
      <c r="AZ764" s="273"/>
      <c r="BA764" s="273"/>
    </row>
    <row r="765">
      <c r="A765" s="273"/>
      <c r="B765" s="273"/>
      <c r="C765" s="745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  <c r="AJ765" s="273"/>
      <c r="AK765" s="273"/>
      <c r="AL765" s="273"/>
      <c r="AM765" s="273"/>
      <c r="AN765" s="273"/>
      <c r="AO765" s="273"/>
      <c r="AP765" s="273"/>
      <c r="AQ765" s="273"/>
      <c r="AR765" s="273"/>
      <c r="AS765" s="273"/>
      <c r="AT765" s="273"/>
      <c r="AU765" s="273"/>
      <c r="AV765" s="273"/>
      <c r="AW765" s="273"/>
      <c r="AX765" s="273"/>
      <c r="AY765" s="273"/>
      <c r="AZ765" s="273"/>
      <c r="BA765" s="273"/>
    </row>
    <row r="766">
      <c r="A766" s="273"/>
      <c r="B766" s="273"/>
      <c r="C766" s="745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  <c r="AJ766" s="273"/>
      <c r="AK766" s="273"/>
      <c r="AL766" s="273"/>
      <c r="AM766" s="273"/>
      <c r="AN766" s="273"/>
      <c r="AO766" s="273"/>
      <c r="AP766" s="273"/>
      <c r="AQ766" s="273"/>
      <c r="AR766" s="273"/>
      <c r="AS766" s="273"/>
      <c r="AT766" s="273"/>
      <c r="AU766" s="273"/>
      <c r="AV766" s="273"/>
      <c r="AW766" s="273"/>
      <c r="AX766" s="273"/>
      <c r="AY766" s="273"/>
      <c r="AZ766" s="273"/>
      <c r="BA766" s="273"/>
    </row>
    <row r="767">
      <c r="A767" s="273"/>
      <c r="B767" s="273"/>
      <c r="C767" s="745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  <c r="AJ767" s="273"/>
      <c r="AK767" s="273"/>
      <c r="AL767" s="273"/>
      <c r="AM767" s="273"/>
      <c r="AN767" s="273"/>
      <c r="AO767" s="273"/>
      <c r="AP767" s="273"/>
      <c r="AQ767" s="273"/>
      <c r="AR767" s="273"/>
      <c r="AS767" s="273"/>
      <c r="AT767" s="273"/>
      <c r="AU767" s="273"/>
      <c r="AV767" s="273"/>
      <c r="AW767" s="273"/>
      <c r="AX767" s="273"/>
      <c r="AY767" s="273"/>
      <c r="AZ767" s="273"/>
      <c r="BA767" s="273"/>
    </row>
    <row r="768">
      <c r="A768" s="273"/>
      <c r="B768" s="273"/>
      <c r="C768" s="745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  <c r="AJ768" s="273"/>
      <c r="AK768" s="273"/>
      <c r="AL768" s="273"/>
      <c r="AM768" s="273"/>
      <c r="AN768" s="273"/>
      <c r="AO768" s="273"/>
      <c r="AP768" s="273"/>
      <c r="AQ768" s="273"/>
      <c r="AR768" s="273"/>
      <c r="AS768" s="273"/>
      <c r="AT768" s="273"/>
      <c r="AU768" s="273"/>
      <c r="AV768" s="273"/>
      <c r="AW768" s="273"/>
      <c r="AX768" s="273"/>
      <c r="AY768" s="273"/>
      <c r="AZ768" s="273"/>
      <c r="BA768" s="273"/>
    </row>
    <row r="769">
      <c r="A769" s="273"/>
      <c r="B769" s="273"/>
      <c r="C769" s="745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  <c r="AJ769" s="273"/>
      <c r="AK769" s="273"/>
      <c r="AL769" s="273"/>
      <c r="AM769" s="273"/>
      <c r="AN769" s="273"/>
      <c r="AO769" s="273"/>
      <c r="AP769" s="273"/>
      <c r="AQ769" s="273"/>
      <c r="AR769" s="273"/>
      <c r="AS769" s="273"/>
      <c r="AT769" s="273"/>
      <c r="AU769" s="273"/>
      <c r="AV769" s="273"/>
      <c r="AW769" s="273"/>
      <c r="AX769" s="273"/>
      <c r="AY769" s="273"/>
      <c r="AZ769" s="273"/>
      <c r="BA769" s="273"/>
    </row>
    <row r="770">
      <c r="A770" s="273"/>
      <c r="B770" s="273"/>
      <c r="C770" s="745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  <c r="AJ770" s="273"/>
      <c r="AK770" s="273"/>
      <c r="AL770" s="273"/>
      <c r="AM770" s="273"/>
      <c r="AN770" s="273"/>
      <c r="AO770" s="273"/>
      <c r="AP770" s="273"/>
      <c r="AQ770" s="273"/>
      <c r="AR770" s="273"/>
      <c r="AS770" s="273"/>
      <c r="AT770" s="273"/>
      <c r="AU770" s="273"/>
      <c r="AV770" s="273"/>
      <c r="AW770" s="273"/>
      <c r="AX770" s="273"/>
      <c r="AY770" s="273"/>
      <c r="AZ770" s="273"/>
      <c r="BA770" s="273"/>
    </row>
    <row r="771">
      <c r="A771" s="273"/>
      <c r="B771" s="273"/>
      <c r="C771" s="745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  <c r="AJ771" s="273"/>
      <c r="AK771" s="273"/>
      <c r="AL771" s="273"/>
      <c r="AM771" s="273"/>
      <c r="AN771" s="273"/>
      <c r="AO771" s="273"/>
      <c r="AP771" s="273"/>
      <c r="AQ771" s="273"/>
      <c r="AR771" s="273"/>
      <c r="AS771" s="273"/>
      <c r="AT771" s="273"/>
      <c r="AU771" s="273"/>
      <c r="AV771" s="273"/>
      <c r="AW771" s="273"/>
      <c r="AX771" s="273"/>
      <c r="AY771" s="273"/>
      <c r="AZ771" s="273"/>
      <c r="BA771" s="273"/>
    </row>
    <row r="772">
      <c r="A772" s="273"/>
      <c r="B772" s="273"/>
      <c r="C772" s="745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  <c r="AJ772" s="273"/>
      <c r="AK772" s="273"/>
      <c r="AL772" s="273"/>
      <c r="AM772" s="273"/>
      <c r="AN772" s="273"/>
      <c r="AO772" s="273"/>
      <c r="AP772" s="273"/>
      <c r="AQ772" s="273"/>
      <c r="AR772" s="273"/>
      <c r="AS772" s="273"/>
      <c r="AT772" s="273"/>
      <c r="AU772" s="273"/>
      <c r="AV772" s="273"/>
      <c r="AW772" s="273"/>
      <c r="AX772" s="273"/>
      <c r="AY772" s="273"/>
      <c r="AZ772" s="273"/>
      <c r="BA772" s="273"/>
    </row>
    <row r="773">
      <c r="A773" s="273"/>
      <c r="B773" s="273"/>
      <c r="C773" s="745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  <c r="AJ773" s="273"/>
      <c r="AK773" s="273"/>
      <c r="AL773" s="273"/>
      <c r="AM773" s="273"/>
      <c r="AN773" s="273"/>
      <c r="AO773" s="273"/>
      <c r="AP773" s="273"/>
      <c r="AQ773" s="273"/>
      <c r="AR773" s="273"/>
      <c r="AS773" s="273"/>
      <c r="AT773" s="273"/>
      <c r="AU773" s="273"/>
      <c r="AV773" s="273"/>
      <c r="AW773" s="273"/>
      <c r="AX773" s="273"/>
      <c r="AY773" s="273"/>
      <c r="AZ773" s="273"/>
      <c r="BA773" s="273"/>
    </row>
    <row r="774">
      <c r="A774" s="273"/>
      <c r="B774" s="273"/>
      <c r="C774" s="745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  <c r="AJ774" s="273"/>
      <c r="AK774" s="273"/>
      <c r="AL774" s="273"/>
      <c r="AM774" s="273"/>
      <c r="AN774" s="273"/>
      <c r="AO774" s="273"/>
      <c r="AP774" s="273"/>
      <c r="AQ774" s="273"/>
      <c r="AR774" s="273"/>
      <c r="AS774" s="273"/>
      <c r="AT774" s="273"/>
      <c r="AU774" s="273"/>
      <c r="AV774" s="273"/>
      <c r="AW774" s="273"/>
      <c r="AX774" s="273"/>
      <c r="AY774" s="273"/>
      <c r="AZ774" s="273"/>
      <c r="BA774" s="273"/>
    </row>
    <row r="775">
      <c r="A775" s="273"/>
      <c r="B775" s="273"/>
      <c r="C775" s="745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  <c r="AJ775" s="273"/>
      <c r="AK775" s="273"/>
      <c r="AL775" s="273"/>
      <c r="AM775" s="273"/>
      <c r="AN775" s="273"/>
      <c r="AO775" s="273"/>
      <c r="AP775" s="273"/>
      <c r="AQ775" s="273"/>
      <c r="AR775" s="273"/>
      <c r="AS775" s="273"/>
      <c r="AT775" s="273"/>
      <c r="AU775" s="273"/>
      <c r="AV775" s="273"/>
      <c r="AW775" s="273"/>
      <c r="AX775" s="273"/>
      <c r="AY775" s="273"/>
      <c r="AZ775" s="273"/>
      <c r="BA775" s="273"/>
    </row>
    <row r="776">
      <c r="A776" s="273"/>
      <c r="B776" s="273"/>
      <c r="C776" s="745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</row>
    <row r="777">
      <c r="A777" s="273"/>
      <c r="B777" s="273"/>
      <c r="C777" s="745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</row>
    <row r="778">
      <c r="A778" s="273"/>
      <c r="B778" s="273"/>
      <c r="C778" s="745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</row>
    <row r="779">
      <c r="A779" s="273"/>
      <c r="B779" s="273"/>
      <c r="C779" s="745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  <c r="AJ779" s="273"/>
      <c r="AK779" s="273"/>
      <c r="AL779" s="273"/>
      <c r="AM779" s="273"/>
      <c r="AN779" s="273"/>
      <c r="AO779" s="273"/>
      <c r="AP779" s="273"/>
      <c r="AQ779" s="273"/>
      <c r="AR779" s="273"/>
      <c r="AS779" s="273"/>
      <c r="AT779" s="273"/>
      <c r="AU779" s="273"/>
      <c r="AV779" s="273"/>
      <c r="AW779" s="273"/>
      <c r="AX779" s="273"/>
      <c r="AY779" s="273"/>
      <c r="AZ779" s="273"/>
      <c r="BA779" s="273"/>
    </row>
    <row r="780">
      <c r="A780" s="273"/>
      <c r="B780" s="273"/>
      <c r="C780" s="745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  <c r="AJ780" s="273"/>
      <c r="AK780" s="273"/>
      <c r="AL780" s="273"/>
      <c r="AM780" s="273"/>
      <c r="AN780" s="273"/>
      <c r="AO780" s="273"/>
      <c r="AP780" s="273"/>
      <c r="AQ780" s="273"/>
      <c r="AR780" s="273"/>
      <c r="AS780" s="273"/>
      <c r="AT780" s="273"/>
      <c r="AU780" s="273"/>
      <c r="AV780" s="273"/>
      <c r="AW780" s="273"/>
      <c r="AX780" s="273"/>
      <c r="AY780" s="273"/>
      <c r="AZ780" s="273"/>
      <c r="BA780" s="273"/>
    </row>
    <row r="781">
      <c r="A781" s="273"/>
      <c r="B781" s="273"/>
      <c r="C781" s="745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  <c r="AJ781" s="273"/>
      <c r="AK781" s="273"/>
      <c r="AL781" s="273"/>
      <c r="AM781" s="273"/>
      <c r="AN781" s="273"/>
      <c r="AO781" s="273"/>
      <c r="AP781" s="273"/>
      <c r="AQ781" s="273"/>
      <c r="AR781" s="273"/>
      <c r="AS781" s="273"/>
      <c r="AT781" s="273"/>
      <c r="AU781" s="273"/>
      <c r="AV781" s="273"/>
      <c r="AW781" s="273"/>
      <c r="AX781" s="273"/>
      <c r="AY781" s="273"/>
      <c r="AZ781" s="273"/>
      <c r="BA781" s="273"/>
    </row>
    <row r="782">
      <c r="A782" s="273"/>
      <c r="B782" s="273"/>
      <c r="C782" s="745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  <c r="AJ782" s="273"/>
      <c r="AK782" s="273"/>
      <c r="AL782" s="273"/>
      <c r="AM782" s="273"/>
      <c r="AN782" s="273"/>
      <c r="AO782" s="273"/>
      <c r="AP782" s="273"/>
      <c r="AQ782" s="273"/>
      <c r="AR782" s="273"/>
      <c r="AS782" s="273"/>
      <c r="AT782" s="273"/>
      <c r="AU782" s="273"/>
      <c r="AV782" s="273"/>
      <c r="AW782" s="273"/>
      <c r="AX782" s="273"/>
      <c r="AY782" s="273"/>
      <c r="AZ782" s="273"/>
      <c r="BA782" s="273"/>
    </row>
    <row r="783">
      <c r="A783" s="273"/>
      <c r="B783" s="273"/>
      <c r="C783" s="745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  <c r="AJ783" s="273"/>
      <c r="AK783" s="273"/>
      <c r="AL783" s="273"/>
      <c r="AM783" s="273"/>
      <c r="AN783" s="273"/>
      <c r="AO783" s="273"/>
      <c r="AP783" s="273"/>
      <c r="AQ783" s="273"/>
      <c r="AR783" s="273"/>
      <c r="AS783" s="273"/>
      <c r="AT783" s="273"/>
      <c r="AU783" s="273"/>
      <c r="AV783" s="273"/>
      <c r="AW783" s="273"/>
      <c r="AX783" s="273"/>
      <c r="AY783" s="273"/>
      <c r="AZ783" s="273"/>
      <c r="BA783" s="273"/>
    </row>
    <row r="784">
      <c r="A784" s="273"/>
      <c r="B784" s="273"/>
      <c r="C784" s="745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  <c r="AJ784" s="273"/>
      <c r="AK784" s="273"/>
      <c r="AL784" s="273"/>
      <c r="AM784" s="273"/>
      <c r="AN784" s="273"/>
      <c r="AO784" s="273"/>
      <c r="AP784" s="273"/>
      <c r="AQ784" s="273"/>
      <c r="AR784" s="273"/>
      <c r="AS784" s="273"/>
      <c r="AT784" s="273"/>
      <c r="AU784" s="273"/>
      <c r="AV784" s="273"/>
      <c r="AW784" s="273"/>
      <c r="AX784" s="273"/>
      <c r="AY784" s="273"/>
      <c r="AZ784" s="273"/>
      <c r="BA784" s="273"/>
    </row>
    <row r="785">
      <c r="A785" s="273"/>
      <c r="B785" s="273"/>
      <c r="C785" s="745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  <c r="AJ785" s="273"/>
      <c r="AK785" s="273"/>
      <c r="AL785" s="273"/>
      <c r="AM785" s="273"/>
      <c r="AN785" s="273"/>
      <c r="AO785" s="273"/>
      <c r="AP785" s="273"/>
      <c r="AQ785" s="273"/>
      <c r="AR785" s="273"/>
      <c r="AS785" s="273"/>
      <c r="AT785" s="273"/>
      <c r="AU785" s="273"/>
      <c r="AV785" s="273"/>
      <c r="AW785" s="273"/>
      <c r="AX785" s="273"/>
      <c r="AY785" s="273"/>
      <c r="AZ785" s="273"/>
      <c r="BA785" s="273"/>
    </row>
    <row r="786">
      <c r="A786" s="273"/>
      <c r="B786" s="273"/>
      <c r="C786" s="745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  <c r="AJ786" s="273"/>
      <c r="AK786" s="273"/>
      <c r="AL786" s="273"/>
      <c r="AM786" s="273"/>
      <c r="AN786" s="273"/>
      <c r="AO786" s="273"/>
      <c r="AP786" s="273"/>
      <c r="AQ786" s="273"/>
      <c r="AR786" s="273"/>
      <c r="AS786" s="273"/>
      <c r="AT786" s="273"/>
      <c r="AU786" s="273"/>
      <c r="AV786" s="273"/>
      <c r="AW786" s="273"/>
      <c r="AX786" s="273"/>
      <c r="AY786" s="273"/>
      <c r="AZ786" s="273"/>
      <c r="BA786" s="273"/>
    </row>
    <row r="787">
      <c r="A787" s="273"/>
      <c r="B787" s="273"/>
      <c r="C787" s="745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  <c r="AJ787" s="273"/>
      <c r="AK787" s="273"/>
      <c r="AL787" s="273"/>
      <c r="AM787" s="273"/>
      <c r="AN787" s="273"/>
      <c r="AO787" s="273"/>
      <c r="AP787" s="273"/>
      <c r="AQ787" s="273"/>
      <c r="AR787" s="273"/>
      <c r="AS787" s="273"/>
      <c r="AT787" s="273"/>
      <c r="AU787" s="273"/>
      <c r="AV787" s="273"/>
      <c r="AW787" s="273"/>
      <c r="AX787" s="273"/>
      <c r="AY787" s="273"/>
      <c r="AZ787" s="273"/>
      <c r="BA787" s="273"/>
    </row>
    <row r="788">
      <c r="A788" s="273"/>
      <c r="B788" s="273"/>
      <c r="C788" s="745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  <c r="AJ788" s="273"/>
      <c r="AK788" s="273"/>
      <c r="AL788" s="273"/>
      <c r="AM788" s="273"/>
      <c r="AN788" s="273"/>
      <c r="AO788" s="273"/>
      <c r="AP788" s="273"/>
      <c r="AQ788" s="273"/>
      <c r="AR788" s="273"/>
      <c r="AS788" s="273"/>
      <c r="AT788" s="273"/>
      <c r="AU788" s="273"/>
      <c r="AV788" s="273"/>
      <c r="AW788" s="273"/>
      <c r="AX788" s="273"/>
      <c r="AY788" s="273"/>
      <c r="AZ788" s="273"/>
      <c r="BA788" s="273"/>
    </row>
    <row r="789">
      <c r="A789" s="273"/>
      <c r="B789" s="273"/>
      <c r="C789" s="745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  <c r="AJ789" s="273"/>
      <c r="AK789" s="273"/>
      <c r="AL789" s="273"/>
      <c r="AM789" s="273"/>
      <c r="AN789" s="273"/>
      <c r="AO789" s="273"/>
      <c r="AP789" s="273"/>
      <c r="AQ789" s="273"/>
      <c r="AR789" s="273"/>
      <c r="AS789" s="273"/>
      <c r="AT789" s="273"/>
      <c r="AU789" s="273"/>
      <c r="AV789" s="273"/>
      <c r="AW789" s="273"/>
      <c r="AX789" s="273"/>
      <c r="AY789" s="273"/>
      <c r="AZ789" s="273"/>
      <c r="BA789" s="273"/>
    </row>
    <row r="790">
      <c r="A790" s="273"/>
      <c r="B790" s="273"/>
      <c r="C790" s="745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  <c r="AJ790" s="273"/>
      <c r="AK790" s="273"/>
      <c r="AL790" s="273"/>
      <c r="AM790" s="273"/>
      <c r="AN790" s="273"/>
      <c r="AO790" s="273"/>
      <c r="AP790" s="273"/>
      <c r="AQ790" s="273"/>
      <c r="AR790" s="273"/>
      <c r="AS790" s="273"/>
      <c r="AT790" s="273"/>
      <c r="AU790" s="273"/>
      <c r="AV790" s="273"/>
      <c r="AW790" s="273"/>
      <c r="AX790" s="273"/>
      <c r="AY790" s="273"/>
      <c r="AZ790" s="273"/>
      <c r="BA790" s="273"/>
    </row>
    <row r="791">
      <c r="A791" s="273"/>
      <c r="B791" s="273"/>
      <c r="C791" s="745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  <c r="AJ791" s="273"/>
      <c r="AK791" s="273"/>
      <c r="AL791" s="273"/>
      <c r="AM791" s="273"/>
      <c r="AN791" s="273"/>
      <c r="AO791" s="273"/>
      <c r="AP791" s="273"/>
      <c r="AQ791" s="273"/>
      <c r="AR791" s="273"/>
      <c r="AS791" s="273"/>
      <c r="AT791" s="273"/>
      <c r="AU791" s="273"/>
      <c r="AV791" s="273"/>
      <c r="AW791" s="273"/>
      <c r="AX791" s="273"/>
      <c r="AY791" s="273"/>
      <c r="AZ791" s="273"/>
      <c r="BA791" s="273"/>
    </row>
    <row r="792">
      <c r="A792" s="273"/>
      <c r="B792" s="273"/>
      <c r="C792" s="745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  <c r="AJ792" s="273"/>
      <c r="AK792" s="273"/>
      <c r="AL792" s="273"/>
      <c r="AM792" s="273"/>
      <c r="AN792" s="273"/>
      <c r="AO792" s="273"/>
      <c r="AP792" s="273"/>
      <c r="AQ792" s="273"/>
      <c r="AR792" s="273"/>
      <c r="AS792" s="273"/>
      <c r="AT792" s="273"/>
      <c r="AU792" s="273"/>
      <c r="AV792" s="273"/>
      <c r="AW792" s="273"/>
      <c r="AX792" s="273"/>
      <c r="AY792" s="273"/>
      <c r="AZ792" s="273"/>
      <c r="BA792" s="273"/>
    </row>
    <row r="793">
      <c r="A793" s="273"/>
      <c r="B793" s="273"/>
      <c r="C793" s="745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  <c r="AJ793" s="273"/>
      <c r="AK793" s="273"/>
      <c r="AL793" s="273"/>
      <c r="AM793" s="273"/>
      <c r="AN793" s="273"/>
      <c r="AO793" s="273"/>
      <c r="AP793" s="273"/>
      <c r="AQ793" s="273"/>
      <c r="AR793" s="273"/>
      <c r="AS793" s="273"/>
      <c r="AT793" s="273"/>
      <c r="AU793" s="273"/>
      <c r="AV793" s="273"/>
      <c r="AW793" s="273"/>
      <c r="AX793" s="273"/>
      <c r="AY793" s="273"/>
      <c r="AZ793" s="273"/>
      <c r="BA793" s="273"/>
    </row>
    <row r="794">
      <c r="A794" s="273"/>
      <c r="B794" s="273"/>
      <c r="C794" s="745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  <c r="AJ794" s="273"/>
      <c r="AK794" s="273"/>
      <c r="AL794" s="273"/>
      <c r="AM794" s="273"/>
      <c r="AN794" s="273"/>
      <c r="AO794" s="273"/>
      <c r="AP794" s="273"/>
      <c r="AQ794" s="273"/>
      <c r="AR794" s="273"/>
      <c r="AS794" s="273"/>
      <c r="AT794" s="273"/>
      <c r="AU794" s="273"/>
      <c r="AV794" s="273"/>
      <c r="AW794" s="273"/>
      <c r="AX794" s="273"/>
      <c r="AY794" s="273"/>
      <c r="AZ794" s="273"/>
      <c r="BA794" s="273"/>
    </row>
    <row r="795">
      <c r="A795" s="273"/>
      <c r="B795" s="273"/>
      <c r="C795" s="745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  <c r="AJ795" s="273"/>
      <c r="AK795" s="273"/>
      <c r="AL795" s="273"/>
      <c r="AM795" s="273"/>
      <c r="AN795" s="273"/>
      <c r="AO795" s="273"/>
      <c r="AP795" s="273"/>
      <c r="AQ795" s="273"/>
      <c r="AR795" s="273"/>
      <c r="AS795" s="273"/>
      <c r="AT795" s="273"/>
      <c r="AU795" s="273"/>
      <c r="AV795" s="273"/>
      <c r="AW795" s="273"/>
      <c r="AX795" s="273"/>
      <c r="AY795" s="273"/>
      <c r="AZ795" s="273"/>
      <c r="BA795" s="273"/>
    </row>
    <row r="796">
      <c r="A796" s="273"/>
      <c r="B796" s="273"/>
      <c r="C796" s="745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  <c r="AJ796" s="273"/>
      <c r="AK796" s="273"/>
      <c r="AL796" s="273"/>
      <c r="AM796" s="273"/>
      <c r="AN796" s="273"/>
      <c r="AO796" s="273"/>
      <c r="AP796" s="273"/>
      <c r="AQ796" s="273"/>
      <c r="AR796" s="273"/>
      <c r="AS796" s="273"/>
      <c r="AT796" s="273"/>
      <c r="AU796" s="273"/>
      <c r="AV796" s="273"/>
      <c r="AW796" s="273"/>
      <c r="AX796" s="273"/>
      <c r="AY796" s="273"/>
      <c r="AZ796" s="273"/>
      <c r="BA796" s="273"/>
    </row>
    <row r="797">
      <c r="A797" s="273"/>
      <c r="B797" s="273"/>
      <c r="C797" s="745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  <c r="AJ797" s="273"/>
      <c r="AK797" s="273"/>
      <c r="AL797" s="273"/>
      <c r="AM797" s="273"/>
      <c r="AN797" s="273"/>
      <c r="AO797" s="273"/>
      <c r="AP797" s="273"/>
      <c r="AQ797" s="273"/>
      <c r="AR797" s="273"/>
      <c r="AS797" s="273"/>
      <c r="AT797" s="273"/>
      <c r="AU797" s="273"/>
      <c r="AV797" s="273"/>
      <c r="AW797" s="273"/>
      <c r="AX797" s="273"/>
      <c r="AY797" s="273"/>
      <c r="AZ797" s="273"/>
      <c r="BA797" s="273"/>
    </row>
    <row r="798">
      <c r="A798" s="273"/>
      <c r="B798" s="273"/>
      <c r="C798" s="745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  <c r="AJ798" s="273"/>
      <c r="AK798" s="273"/>
      <c r="AL798" s="273"/>
      <c r="AM798" s="273"/>
      <c r="AN798" s="273"/>
      <c r="AO798" s="273"/>
      <c r="AP798" s="273"/>
      <c r="AQ798" s="273"/>
      <c r="AR798" s="273"/>
      <c r="AS798" s="273"/>
      <c r="AT798" s="273"/>
      <c r="AU798" s="273"/>
      <c r="AV798" s="273"/>
      <c r="AW798" s="273"/>
      <c r="AX798" s="273"/>
      <c r="AY798" s="273"/>
      <c r="AZ798" s="273"/>
      <c r="BA798" s="273"/>
    </row>
    <row r="799">
      <c r="A799" s="273"/>
      <c r="B799" s="273"/>
      <c r="C799" s="745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  <c r="AJ799" s="273"/>
      <c r="AK799" s="273"/>
      <c r="AL799" s="273"/>
      <c r="AM799" s="273"/>
      <c r="AN799" s="273"/>
      <c r="AO799" s="273"/>
      <c r="AP799" s="273"/>
      <c r="AQ799" s="273"/>
      <c r="AR799" s="273"/>
      <c r="AS799" s="273"/>
      <c r="AT799" s="273"/>
      <c r="AU799" s="273"/>
      <c r="AV799" s="273"/>
      <c r="AW799" s="273"/>
      <c r="AX799" s="273"/>
      <c r="AY799" s="273"/>
      <c r="AZ799" s="273"/>
      <c r="BA799" s="273"/>
    </row>
    <row r="800">
      <c r="A800" s="273"/>
      <c r="B800" s="273"/>
      <c r="C800" s="745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  <c r="AJ800" s="273"/>
      <c r="AK800" s="273"/>
      <c r="AL800" s="273"/>
      <c r="AM800" s="273"/>
      <c r="AN800" s="273"/>
      <c r="AO800" s="273"/>
      <c r="AP800" s="273"/>
      <c r="AQ800" s="273"/>
      <c r="AR800" s="273"/>
      <c r="AS800" s="273"/>
      <c r="AT800" s="273"/>
      <c r="AU800" s="273"/>
      <c r="AV800" s="273"/>
      <c r="AW800" s="273"/>
      <c r="AX800" s="273"/>
      <c r="AY800" s="273"/>
      <c r="AZ800" s="273"/>
      <c r="BA800" s="273"/>
    </row>
    <row r="801">
      <c r="A801" s="273"/>
      <c r="B801" s="273"/>
      <c r="C801" s="745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  <c r="AJ801" s="273"/>
      <c r="AK801" s="273"/>
      <c r="AL801" s="273"/>
      <c r="AM801" s="273"/>
      <c r="AN801" s="273"/>
      <c r="AO801" s="273"/>
      <c r="AP801" s="273"/>
      <c r="AQ801" s="273"/>
      <c r="AR801" s="273"/>
      <c r="AS801" s="273"/>
      <c r="AT801" s="273"/>
      <c r="AU801" s="273"/>
      <c r="AV801" s="273"/>
      <c r="AW801" s="273"/>
      <c r="AX801" s="273"/>
      <c r="AY801" s="273"/>
      <c r="AZ801" s="273"/>
      <c r="BA801" s="273"/>
    </row>
    <row r="802">
      <c r="A802" s="273"/>
      <c r="B802" s="273"/>
      <c r="C802" s="745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  <c r="AJ802" s="273"/>
      <c r="AK802" s="273"/>
      <c r="AL802" s="273"/>
      <c r="AM802" s="273"/>
      <c r="AN802" s="273"/>
      <c r="AO802" s="273"/>
      <c r="AP802" s="273"/>
      <c r="AQ802" s="273"/>
      <c r="AR802" s="273"/>
      <c r="AS802" s="273"/>
      <c r="AT802" s="273"/>
      <c r="AU802" s="273"/>
      <c r="AV802" s="273"/>
      <c r="AW802" s="273"/>
      <c r="AX802" s="273"/>
      <c r="AY802" s="273"/>
      <c r="AZ802" s="273"/>
      <c r="BA802" s="273"/>
    </row>
    <row r="803">
      <c r="A803" s="273"/>
      <c r="B803" s="273"/>
      <c r="C803" s="745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  <c r="AJ803" s="273"/>
      <c r="AK803" s="273"/>
      <c r="AL803" s="273"/>
      <c r="AM803" s="273"/>
      <c r="AN803" s="273"/>
      <c r="AO803" s="273"/>
      <c r="AP803" s="273"/>
      <c r="AQ803" s="273"/>
      <c r="AR803" s="273"/>
      <c r="AS803" s="273"/>
      <c r="AT803" s="273"/>
      <c r="AU803" s="273"/>
      <c r="AV803" s="273"/>
      <c r="AW803" s="273"/>
      <c r="AX803" s="273"/>
      <c r="AY803" s="273"/>
      <c r="AZ803" s="273"/>
      <c r="BA803" s="273"/>
    </row>
    <row r="804">
      <c r="A804" s="273"/>
      <c r="B804" s="273"/>
      <c r="C804" s="745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  <c r="AJ804" s="273"/>
      <c r="AK804" s="273"/>
      <c r="AL804" s="273"/>
      <c r="AM804" s="273"/>
      <c r="AN804" s="273"/>
      <c r="AO804" s="273"/>
      <c r="AP804" s="273"/>
      <c r="AQ804" s="273"/>
      <c r="AR804" s="273"/>
      <c r="AS804" s="273"/>
      <c r="AT804" s="273"/>
      <c r="AU804" s="273"/>
      <c r="AV804" s="273"/>
      <c r="AW804" s="273"/>
      <c r="AX804" s="273"/>
      <c r="AY804" s="273"/>
      <c r="AZ804" s="273"/>
      <c r="BA804" s="273"/>
    </row>
    <row r="805">
      <c r="A805" s="273"/>
      <c r="B805" s="273"/>
      <c r="C805" s="745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  <c r="AJ805" s="273"/>
      <c r="AK805" s="273"/>
      <c r="AL805" s="273"/>
      <c r="AM805" s="273"/>
      <c r="AN805" s="273"/>
      <c r="AO805" s="273"/>
      <c r="AP805" s="273"/>
      <c r="AQ805" s="273"/>
      <c r="AR805" s="273"/>
      <c r="AS805" s="273"/>
      <c r="AT805" s="273"/>
      <c r="AU805" s="273"/>
      <c r="AV805" s="273"/>
      <c r="AW805" s="273"/>
      <c r="AX805" s="273"/>
      <c r="AY805" s="273"/>
      <c r="AZ805" s="273"/>
      <c r="BA805" s="273"/>
    </row>
    <row r="806">
      <c r="A806" s="273"/>
      <c r="B806" s="273"/>
      <c r="C806" s="745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  <c r="AJ806" s="273"/>
      <c r="AK806" s="273"/>
      <c r="AL806" s="273"/>
      <c r="AM806" s="273"/>
      <c r="AN806" s="273"/>
      <c r="AO806" s="273"/>
      <c r="AP806" s="273"/>
      <c r="AQ806" s="273"/>
      <c r="AR806" s="273"/>
      <c r="AS806" s="273"/>
      <c r="AT806" s="273"/>
      <c r="AU806" s="273"/>
      <c r="AV806" s="273"/>
      <c r="AW806" s="273"/>
      <c r="AX806" s="273"/>
      <c r="AY806" s="273"/>
      <c r="AZ806" s="273"/>
      <c r="BA806" s="273"/>
    </row>
    <row r="807">
      <c r="A807" s="273"/>
      <c r="B807" s="273"/>
      <c r="C807" s="745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  <c r="AJ807" s="273"/>
      <c r="AK807" s="273"/>
      <c r="AL807" s="273"/>
      <c r="AM807" s="273"/>
      <c r="AN807" s="273"/>
      <c r="AO807" s="273"/>
      <c r="AP807" s="273"/>
      <c r="AQ807" s="273"/>
      <c r="AR807" s="273"/>
      <c r="AS807" s="273"/>
      <c r="AT807" s="273"/>
      <c r="AU807" s="273"/>
      <c r="AV807" s="273"/>
      <c r="AW807" s="273"/>
      <c r="AX807" s="273"/>
      <c r="AY807" s="273"/>
      <c r="AZ807" s="273"/>
      <c r="BA807" s="273"/>
    </row>
    <row r="808">
      <c r="A808" s="273"/>
      <c r="B808" s="273"/>
      <c r="C808" s="745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  <c r="AJ808" s="273"/>
      <c r="AK808" s="273"/>
      <c r="AL808" s="273"/>
      <c r="AM808" s="273"/>
      <c r="AN808" s="273"/>
      <c r="AO808" s="273"/>
      <c r="AP808" s="273"/>
      <c r="AQ808" s="273"/>
      <c r="AR808" s="273"/>
      <c r="AS808" s="273"/>
      <c r="AT808" s="273"/>
      <c r="AU808" s="273"/>
      <c r="AV808" s="273"/>
      <c r="AW808" s="273"/>
      <c r="AX808" s="273"/>
      <c r="AY808" s="273"/>
      <c r="AZ808" s="273"/>
      <c r="BA808" s="273"/>
    </row>
    <row r="809">
      <c r="A809" s="273"/>
      <c r="B809" s="273"/>
      <c r="C809" s="745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  <c r="AJ809" s="273"/>
      <c r="AK809" s="273"/>
      <c r="AL809" s="273"/>
      <c r="AM809" s="273"/>
      <c r="AN809" s="273"/>
      <c r="AO809" s="273"/>
      <c r="AP809" s="273"/>
      <c r="AQ809" s="273"/>
      <c r="AR809" s="273"/>
      <c r="AS809" s="273"/>
      <c r="AT809" s="273"/>
      <c r="AU809" s="273"/>
      <c r="AV809" s="273"/>
      <c r="AW809" s="273"/>
      <c r="AX809" s="273"/>
      <c r="AY809" s="273"/>
      <c r="AZ809" s="273"/>
      <c r="BA809" s="273"/>
    </row>
    <row r="810">
      <c r="A810" s="273"/>
      <c r="B810" s="273"/>
      <c r="C810" s="745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  <c r="AJ810" s="273"/>
      <c r="AK810" s="273"/>
      <c r="AL810" s="273"/>
      <c r="AM810" s="273"/>
      <c r="AN810" s="273"/>
      <c r="AO810" s="273"/>
      <c r="AP810" s="273"/>
      <c r="AQ810" s="273"/>
      <c r="AR810" s="273"/>
      <c r="AS810" s="273"/>
      <c r="AT810" s="273"/>
      <c r="AU810" s="273"/>
      <c r="AV810" s="273"/>
      <c r="AW810" s="273"/>
      <c r="AX810" s="273"/>
      <c r="AY810" s="273"/>
      <c r="AZ810" s="273"/>
      <c r="BA810" s="273"/>
    </row>
    <row r="811">
      <c r="A811" s="273"/>
      <c r="B811" s="273"/>
      <c r="C811" s="745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  <c r="AJ811" s="273"/>
      <c r="AK811" s="273"/>
      <c r="AL811" s="273"/>
      <c r="AM811" s="273"/>
      <c r="AN811" s="273"/>
      <c r="AO811" s="273"/>
      <c r="AP811" s="273"/>
      <c r="AQ811" s="273"/>
      <c r="AR811" s="273"/>
      <c r="AS811" s="273"/>
      <c r="AT811" s="273"/>
      <c r="AU811" s="273"/>
      <c r="AV811" s="273"/>
      <c r="AW811" s="273"/>
      <c r="AX811" s="273"/>
      <c r="AY811" s="273"/>
      <c r="AZ811" s="273"/>
      <c r="BA811" s="273"/>
    </row>
    <row r="812">
      <c r="A812" s="273"/>
      <c r="B812" s="273"/>
      <c r="C812" s="745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  <c r="AJ812" s="273"/>
      <c r="AK812" s="273"/>
      <c r="AL812" s="273"/>
      <c r="AM812" s="273"/>
      <c r="AN812" s="273"/>
      <c r="AO812" s="273"/>
      <c r="AP812" s="273"/>
      <c r="AQ812" s="273"/>
      <c r="AR812" s="273"/>
      <c r="AS812" s="273"/>
      <c r="AT812" s="273"/>
      <c r="AU812" s="273"/>
      <c r="AV812" s="273"/>
      <c r="AW812" s="273"/>
      <c r="AX812" s="273"/>
      <c r="AY812" s="273"/>
      <c r="AZ812" s="273"/>
      <c r="BA812" s="273"/>
    </row>
    <row r="813">
      <c r="A813" s="273"/>
      <c r="B813" s="273"/>
      <c r="C813" s="745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  <c r="AJ813" s="273"/>
      <c r="AK813" s="273"/>
      <c r="AL813" s="273"/>
      <c r="AM813" s="273"/>
      <c r="AN813" s="273"/>
      <c r="AO813" s="273"/>
      <c r="AP813" s="273"/>
      <c r="AQ813" s="273"/>
      <c r="AR813" s="273"/>
      <c r="AS813" s="273"/>
      <c r="AT813" s="273"/>
      <c r="AU813" s="273"/>
      <c r="AV813" s="273"/>
      <c r="AW813" s="273"/>
      <c r="AX813" s="273"/>
      <c r="AY813" s="273"/>
      <c r="AZ813" s="273"/>
      <c r="BA813" s="273"/>
    </row>
    <row r="814">
      <c r="A814" s="273"/>
      <c r="B814" s="273"/>
      <c r="C814" s="745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  <c r="AJ814" s="273"/>
      <c r="AK814" s="273"/>
      <c r="AL814" s="273"/>
      <c r="AM814" s="273"/>
      <c r="AN814" s="273"/>
      <c r="AO814" s="273"/>
      <c r="AP814" s="273"/>
      <c r="AQ814" s="273"/>
      <c r="AR814" s="273"/>
      <c r="AS814" s="273"/>
      <c r="AT814" s="273"/>
      <c r="AU814" s="273"/>
      <c r="AV814" s="273"/>
      <c r="AW814" s="273"/>
      <c r="AX814" s="273"/>
      <c r="AY814" s="273"/>
      <c r="AZ814" s="273"/>
      <c r="BA814" s="273"/>
    </row>
    <row r="815">
      <c r="A815" s="273"/>
      <c r="B815" s="273"/>
      <c r="C815" s="745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  <c r="AJ815" s="273"/>
      <c r="AK815" s="273"/>
      <c r="AL815" s="273"/>
      <c r="AM815" s="273"/>
      <c r="AN815" s="273"/>
      <c r="AO815" s="273"/>
      <c r="AP815" s="273"/>
      <c r="AQ815" s="273"/>
      <c r="AR815" s="273"/>
      <c r="AS815" s="273"/>
      <c r="AT815" s="273"/>
      <c r="AU815" s="273"/>
      <c r="AV815" s="273"/>
      <c r="AW815" s="273"/>
      <c r="AX815" s="273"/>
      <c r="AY815" s="273"/>
      <c r="AZ815" s="273"/>
      <c r="BA815" s="273"/>
    </row>
    <row r="816">
      <c r="A816" s="273"/>
      <c r="B816" s="273"/>
      <c r="C816" s="745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  <c r="AJ816" s="273"/>
      <c r="AK816" s="273"/>
      <c r="AL816" s="273"/>
      <c r="AM816" s="273"/>
      <c r="AN816" s="273"/>
      <c r="AO816" s="273"/>
      <c r="AP816" s="273"/>
      <c r="AQ816" s="273"/>
      <c r="AR816" s="273"/>
      <c r="AS816" s="273"/>
      <c r="AT816" s="273"/>
      <c r="AU816" s="273"/>
      <c r="AV816" s="273"/>
      <c r="AW816" s="273"/>
      <c r="AX816" s="273"/>
      <c r="AY816" s="273"/>
      <c r="AZ816" s="273"/>
      <c r="BA816" s="273"/>
    </row>
    <row r="817">
      <c r="A817" s="273"/>
      <c r="B817" s="273"/>
      <c r="C817" s="745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  <c r="AJ817" s="273"/>
      <c r="AK817" s="273"/>
      <c r="AL817" s="273"/>
      <c r="AM817" s="273"/>
      <c r="AN817" s="273"/>
      <c r="AO817" s="273"/>
      <c r="AP817" s="273"/>
      <c r="AQ817" s="273"/>
      <c r="AR817" s="273"/>
      <c r="AS817" s="273"/>
      <c r="AT817" s="273"/>
      <c r="AU817" s="273"/>
      <c r="AV817" s="273"/>
      <c r="AW817" s="273"/>
      <c r="AX817" s="273"/>
      <c r="AY817" s="273"/>
      <c r="AZ817" s="273"/>
      <c r="BA817" s="273"/>
    </row>
    <row r="818">
      <c r="A818" s="273"/>
      <c r="B818" s="273"/>
      <c r="C818" s="745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  <c r="AJ818" s="273"/>
      <c r="AK818" s="273"/>
      <c r="AL818" s="273"/>
      <c r="AM818" s="273"/>
      <c r="AN818" s="273"/>
      <c r="AO818" s="273"/>
      <c r="AP818" s="273"/>
      <c r="AQ818" s="273"/>
      <c r="AR818" s="273"/>
      <c r="AS818" s="273"/>
      <c r="AT818" s="273"/>
      <c r="AU818" s="273"/>
      <c r="AV818" s="273"/>
      <c r="AW818" s="273"/>
      <c r="AX818" s="273"/>
      <c r="AY818" s="273"/>
      <c r="AZ818" s="273"/>
      <c r="BA818" s="273"/>
    </row>
    <row r="819">
      <c r="A819" s="273"/>
      <c r="B819" s="273"/>
      <c r="C819" s="745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  <c r="AJ819" s="273"/>
      <c r="AK819" s="273"/>
      <c r="AL819" s="273"/>
      <c r="AM819" s="273"/>
      <c r="AN819" s="273"/>
      <c r="AO819" s="273"/>
      <c r="AP819" s="273"/>
      <c r="AQ819" s="273"/>
      <c r="AR819" s="273"/>
      <c r="AS819" s="273"/>
      <c r="AT819" s="273"/>
      <c r="AU819" s="273"/>
      <c r="AV819" s="273"/>
      <c r="AW819" s="273"/>
      <c r="AX819" s="273"/>
      <c r="AY819" s="273"/>
      <c r="AZ819" s="273"/>
      <c r="BA819" s="273"/>
    </row>
    <row r="820">
      <c r="A820" s="273"/>
      <c r="B820" s="273"/>
      <c r="C820" s="745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  <c r="AJ820" s="273"/>
      <c r="AK820" s="273"/>
      <c r="AL820" s="273"/>
      <c r="AM820" s="273"/>
      <c r="AN820" s="273"/>
      <c r="AO820" s="273"/>
      <c r="AP820" s="273"/>
      <c r="AQ820" s="273"/>
      <c r="AR820" s="273"/>
      <c r="AS820" s="273"/>
      <c r="AT820" s="273"/>
      <c r="AU820" s="273"/>
      <c r="AV820" s="273"/>
      <c r="AW820" s="273"/>
      <c r="AX820" s="273"/>
      <c r="AY820" s="273"/>
      <c r="AZ820" s="273"/>
      <c r="BA820" s="273"/>
    </row>
    <row r="821">
      <c r="A821" s="273"/>
      <c r="B821" s="273"/>
      <c r="C821" s="745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  <c r="AJ821" s="273"/>
      <c r="AK821" s="273"/>
      <c r="AL821" s="273"/>
      <c r="AM821" s="273"/>
      <c r="AN821" s="273"/>
      <c r="AO821" s="273"/>
      <c r="AP821" s="273"/>
      <c r="AQ821" s="273"/>
      <c r="AR821" s="273"/>
      <c r="AS821" s="273"/>
      <c r="AT821" s="273"/>
      <c r="AU821" s="273"/>
      <c r="AV821" s="273"/>
      <c r="AW821" s="273"/>
      <c r="AX821" s="273"/>
      <c r="AY821" s="273"/>
      <c r="AZ821" s="273"/>
      <c r="BA821" s="273"/>
    </row>
    <row r="822">
      <c r="A822" s="273"/>
      <c r="B822" s="273"/>
      <c r="C822" s="745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  <c r="AJ822" s="273"/>
      <c r="AK822" s="273"/>
      <c r="AL822" s="273"/>
      <c r="AM822" s="273"/>
      <c r="AN822" s="273"/>
      <c r="AO822" s="273"/>
      <c r="AP822" s="273"/>
      <c r="AQ822" s="273"/>
      <c r="AR822" s="273"/>
      <c r="AS822" s="273"/>
      <c r="AT822" s="273"/>
      <c r="AU822" s="273"/>
      <c r="AV822" s="273"/>
      <c r="AW822" s="273"/>
      <c r="AX822" s="273"/>
      <c r="AY822" s="273"/>
      <c r="AZ822" s="273"/>
      <c r="BA822" s="273"/>
    </row>
    <row r="823">
      <c r="A823" s="273"/>
      <c r="B823" s="273"/>
      <c r="C823" s="745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  <c r="AJ823" s="273"/>
      <c r="AK823" s="273"/>
      <c r="AL823" s="273"/>
      <c r="AM823" s="273"/>
      <c r="AN823" s="273"/>
      <c r="AO823" s="273"/>
      <c r="AP823" s="273"/>
      <c r="AQ823" s="273"/>
      <c r="AR823" s="273"/>
      <c r="AS823" s="273"/>
      <c r="AT823" s="273"/>
      <c r="AU823" s="273"/>
      <c r="AV823" s="273"/>
      <c r="AW823" s="273"/>
      <c r="AX823" s="273"/>
      <c r="AY823" s="273"/>
      <c r="AZ823" s="273"/>
      <c r="BA823" s="273"/>
    </row>
    <row r="824">
      <c r="A824" s="273"/>
      <c r="B824" s="273"/>
      <c r="C824" s="745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  <c r="AJ824" s="273"/>
      <c r="AK824" s="273"/>
      <c r="AL824" s="273"/>
      <c r="AM824" s="273"/>
      <c r="AN824" s="273"/>
      <c r="AO824" s="273"/>
      <c r="AP824" s="273"/>
      <c r="AQ824" s="273"/>
      <c r="AR824" s="273"/>
      <c r="AS824" s="273"/>
      <c r="AT824" s="273"/>
      <c r="AU824" s="273"/>
      <c r="AV824" s="273"/>
      <c r="AW824" s="273"/>
      <c r="AX824" s="273"/>
      <c r="AY824" s="273"/>
      <c r="AZ824" s="273"/>
      <c r="BA824" s="273"/>
    </row>
    <row r="825">
      <c r="A825" s="273"/>
      <c r="B825" s="273"/>
      <c r="C825" s="745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  <c r="AJ825" s="273"/>
      <c r="AK825" s="273"/>
      <c r="AL825" s="273"/>
      <c r="AM825" s="273"/>
      <c r="AN825" s="273"/>
      <c r="AO825" s="273"/>
      <c r="AP825" s="273"/>
      <c r="AQ825" s="273"/>
      <c r="AR825" s="273"/>
      <c r="AS825" s="273"/>
      <c r="AT825" s="273"/>
      <c r="AU825" s="273"/>
      <c r="AV825" s="273"/>
      <c r="AW825" s="273"/>
      <c r="AX825" s="273"/>
      <c r="AY825" s="273"/>
      <c r="AZ825" s="273"/>
      <c r="BA825" s="273"/>
    </row>
    <row r="826">
      <c r="A826" s="273"/>
      <c r="B826" s="273"/>
      <c r="C826" s="745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  <c r="AJ826" s="273"/>
      <c r="AK826" s="273"/>
      <c r="AL826" s="273"/>
      <c r="AM826" s="273"/>
      <c r="AN826" s="273"/>
      <c r="AO826" s="273"/>
      <c r="AP826" s="273"/>
      <c r="AQ826" s="273"/>
      <c r="AR826" s="273"/>
      <c r="AS826" s="273"/>
      <c r="AT826" s="273"/>
      <c r="AU826" s="273"/>
      <c r="AV826" s="273"/>
      <c r="AW826" s="273"/>
      <c r="AX826" s="273"/>
      <c r="AY826" s="273"/>
      <c r="AZ826" s="273"/>
      <c r="BA826" s="273"/>
    </row>
    <row r="827">
      <c r="A827" s="273"/>
      <c r="B827" s="273"/>
      <c r="C827" s="745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  <c r="AJ827" s="273"/>
      <c r="AK827" s="273"/>
      <c r="AL827" s="273"/>
      <c r="AM827" s="273"/>
      <c r="AN827" s="273"/>
      <c r="AO827" s="273"/>
      <c r="AP827" s="273"/>
      <c r="AQ827" s="273"/>
      <c r="AR827" s="273"/>
      <c r="AS827" s="273"/>
      <c r="AT827" s="273"/>
      <c r="AU827" s="273"/>
      <c r="AV827" s="273"/>
      <c r="AW827" s="273"/>
      <c r="AX827" s="273"/>
      <c r="AY827" s="273"/>
      <c r="AZ827" s="273"/>
      <c r="BA827" s="273"/>
    </row>
    <row r="828">
      <c r="A828" s="273"/>
      <c r="B828" s="273"/>
      <c r="C828" s="745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  <c r="AJ828" s="273"/>
      <c r="AK828" s="273"/>
      <c r="AL828" s="273"/>
      <c r="AM828" s="273"/>
      <c r="AN828" s="273"/>
      <c r="AO828" s="273"/>
      <c r="AP828" s="273"/>
      <c r="AQ828" s="273"/>
      <c r="AR828" s="273"/>
      <c r="AS828" s="273"/>
      <c r="AT828" s="273"/>
      <c r="AU828" s="273"/>
      <c r="AV828" s="273"/>
      <c r="AW828" s="273"/>
      <c r="AX828" s="273"/>
      <c r="AY828" s="273"/>
      <c r="AZ828" s="273"/>
      <c r="BA828" s="273"/>
    </row>
    <row r="829">
      <c r="A829" s="273"/>
      <c r="B829" s="273"/>
      <c r="C829" s="745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  <c r="AJ829" s="273"/>
      <c r="AK829" s="273"/>
      <c r="AL829" s="273"/>
      <c r="AM829" s="273"/>
      <c r="AN829" s="273"/>
      <c r="AO829" s="273"/>
      <c r="AP829" s="273"/>
      <c r="AQ829" s="273"/>
      <c r="AR829" s="273"/>
      <c r="AS829" s="273"/>
      <c r="AT829" s="273"/>
      <c r="AU829" s="273"/>
      <c r="AV829" s="273"/>
      <c r="AW829" s="273"/>
      <c r="AX829" s="273"/>
      <c r="AY829" s="273"/>
      <c r="AZ829" s="273"/>
      <c r="BA829" s="273"/>
    </row>
    <row r="830">
      <c r="A830" s="273"/>
      <c r="B830" s="273"/>
      <c r="C830" s="745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  <c r="AJ830" s="273"/>
      <c r="AK830" s="273"/>
      <c r="AL830" s="273"/>
      <c r="AM830" s="273"/>
      <c r="AN830" s="273"/>
      <c r="AO830" s="273"/>
      <c r="AP830" s="273"/>
      <c r="AQ830" s="273"/>
      <c r="AR830" s="273"/>
      <c r="AS830" s="273"/>
      <c r="AT830" s="273"/>
      <c r="AU830" s="273"/>
      <c r="AV830" s="273"/>
      <c r="AW830" s="273"/>
      <c r="AX830" s="273"/>
      <c r="AY830" s="273"/>
      <c r="AZ830" s="273"/>
      <c r="BA830" s="273"/>
    </row>
    <row r="831">
      <c r="A831" s="273"/>
      <c r="B831" s="273"/>
      <c r="C831" s="745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  <c r="AJ831" s="273"/>
      <c r="AK831" s="273"/>
      <c r="AL831" s="273"/>
      <c r="AM831" s="273"/>
      <c r="AN831" s="273"/>
      <c r="AO831" s="273"/>
      <c r="AP831" s="273"/>
      <c r="AQ831" s="273"/>
      <c r="AR831" s="273"/>
      <c r="AS831" s="273"/>
      <c r="AT831" s="273"/>
      <c r="AU831" s="273"/>
      <c r="AV831" s="273"/>
      <c r="AW831" s="273"/>
      <c r="AX831" s="273"/>
      <c r="AY831" s="273"/>
      <c r="AZ831" s="273"/>
      <c r="BA831" s="273"/>
    </row>
    <row r="832">
      <c r="A832" s="273"/>
      <c r="B832" s="273"/>
      <c r="C832" s="745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  <c r="AJ832" s="273"/>
      <c r="AK832" s="273"/>
      <c r="AL832" s="273"/>
      <c r="AM832" s="273"/>
      <c r="AN832" s="273"/>
      <c r="AO832" s="273"/>
      <c r="AP832" s="273"/>
      <c r="AQ832" s="273"/>
      <c r="AR832" s="273"/>
      <c r="AS832" s="273"/>
      <c r="AT832" s="273"/>
      <c r="AU832" s="273"/>
      <c r="AV832" s="273"/>
      <c r="AW832" s="273"/>
      <c r="AX832" s="273"/>
      <c r="AY832" s="273"/>
      <c r="AZ832" s="273"/>
      <c r="BA832" s="273"/>
    </row>
    <row r="833">
      <c r="A833" s="273"/>
      <c r="B833" s="273"/>
      <c r="C833" s="745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  <c r="AJ833" s="273"/>
      <c r="AK833" s="273"/>
      <c r="AL833" s="273"/>
      <c r="AM833" s="273"/>
      <c r="AN833" s="273"/>
      <c r="AO833" s="273"/>
      <c r="AP833" s="273"/>
      <c r="AQ833" s="273"/>
      <c r="AR833" s="273"/>
      <c r="AS833" s="273"/>
      <c r="AT833" s="273"/>
      <c r="AU833" s="273"/>
      <c r="AV833" s="273"/>
      <c r="AW833" s="273"/>
      <c r="AX833" s="273"/>
      <c r="AY833" s="273"/>
      <c r="AZ833" s="273"/>
      <c r="BA833" s="273"/>
    </row>
    <row r="834">
      <c r="A834" s="273"/>
      <c r="B834" s="273"/>
      <c r="C834" s="745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  <c r="AJ834" s="273"/>
      <c r="AK834" s="273"/>
      <c r="AL834" s="273"/>
      <c r="AM834" s="273"/>
      <c r="AN834" s="273"/>
      <c r="AO834" s="273"/>
      <c r="AP834" s="273"/>
      <c r="AQ834" s="273"/>
      <c r="AR834" s="273"/>
      <c r="AS834" s="273"/>
      <c r="AT834" s="273"/>
      <c r="AU834" s="273"/>
      <c r="AV834" s="273"/>
      <c r="AW834" s="273"/>
      <c r="AX834" s="273"/>
      <c r="AY834" s="273"/>
      <c r="AZ834" s="273"/>
      <c r="BA834" s="273"/>
    </row>
    <row r="835">
      <c r="A835" s="273"/>
      <c r="B835" s="273"/>
      <c r="C835" s="745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  <c r="AJ835" s="273"/>
      <c r="AK835" s="273"/>
      <c r="AL835" s="273"/>
      <c r="AM835" s="273"/>
      <c r="AN835" s="273"/>
      <c r="AO835" s="273"/>
      <c r="AP835" s="273"/>
      <c r="AQ835" s="273"/>
      <c r="AR835" s="273"/>
      <c r="AS835" s="273"/>
      <c r="AT835" s="273"/>
      <c r="AU835" s="273"/>
      <c r="AV835" s="273"/>
      <c r="AW835" s="273"/>
      <c r="AX835" s="273"/>
      <c r="AY835" s="273"/>
      <c r="AZ835" s="273"/>
      <c r="BA835" s="273"/>
    </row>
    <row r="836">
      <c r="A836" s="273"/>
      <c r="B836" s="273"/>
      <c r="C836" s="745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  <c r="AJ836" s="273"/>
      <c r="AK836" s="273"/>
      <c r="AL836" s="273"/>
      <c r="AM836" s="273"/>
      <c r="AN836" s="273"/>
      <c r="AO836" s="273"/>
      <c r="AP836" s="273"/>
      <c r="AQ836" s="273"/>
      <c r="AR836" s="273"/>
      <c r="AS836" s="273"/>
      <c r="AT836" s="273"/>
      <c r="AU836" s="273"/>
      <c r="AV836" s="273"/>
      <c r="AW836" s="273"/>
      <c r="AX836" s="273"/>
      <c r="AY836" s="273"/>
      <c r="AZ836" s="273"/>
      <c r="BA836" s="273"/>
    </row>
    <row r="837">
      <c r="A837" s="273"/>
      <c r="B837" s="273"/>
      <c r="C837" s="745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  <c r="AJ837" s="273"/>
      <c r="AK837" s="273"/>
      <c r="AL837" s="273"/>
      <c r="AM837" s="273"/>
      <c r="AN837" s="273"/>
      <c r="AO837" s="273"/>
      <c r="AP837" s="273"/>
      <c r="AQ837" s="273"/>
      <c r="AR837" s="273"/>
      <c r="AS837" s="273"/>
      <c r="AT837" s="273"/>
      <c r="AU837" s="273"/>
      <c r="AV837" s="273"/>
      <c r="AW837" s="273"/>
      <c r="AX837" s="273"/>
      <c r="AY837" s="273"/>
      <c r="AZ837" s="273"/>
      <c r="BA837" s="273"/>
    </row>
    <row r="838">
      <c r="A838" s="273"/>
      <c r="B838" s="273"/>
      <c r="C838" s="745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  <c r="AJ838" s="273"/>
      <c r="AK838" s="273"/>
      <c r="AL838" s="273"/>
      <c r="AM838" s="273"/>
      <c r="AN838" s="273"/>
      <c r="AO838" s="273"/>
      <c r="AP838" s="273"/>
      <c r="AQ838" s="273"/>
      <c r="AR838" s="273"/>
      <c r="AS838" s="273"/>
      <c r="AT838" s="273"/>
      <c r="AU838" s="273"/>
      <c r="AV838" s="273"/>
      <c r="AW838" s="273"/>
      <c r="AX838" s="273"/>
      <c r="AY838" s="273"/>
      <c r="AZ838" s="273"/>
      <c r="BA838" s="273"/>
    </row>
    <row r="839">
      <c r="A839" s="273"/>
      <c r="B839" s="273"/>
      <c r="C839" s="745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  <c r="AJ839" s="273"/>
      <c r="AK839" s="273"/>
      <c r="AL839" s="273"/>
      <c r="AM839" s="273"/>
      <c r="AN839" s="273"/>
      <c r="AO839" s="273"/>
      <c r="AP839" s="273"/>
      <c r="AQ839" s="273"/>
      <c r="AR839" s="273"/>
      <c r="AS839" s="273"/>
      <c r="AT839" s="273"/>
      <c r="AU839" s="273"/>
      <c r="AV839" s="273"/>
      <c r="AW839" s="273"/>
      <c r="AX839" s="273"/>
      <c r="AY839" s="273"/>
      <c r="AZ839" s="273"/>
      <c r="BA839" s="273"/>
    </row>
    <row r="840">
      <c r="A840" s="273"/>
      <c r="B840" s="273"/>
      <c r="C840" s="745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  <c r="AJ840" s="273"/>
      <c r="AK840" s="273"/>
      <c r="AL840" s="273"/>
      <c r="AM840" s="273"/>
      <c r="AN840" s="273"/>
      <c r="AO840" s="273"/>
      <c r="AP840" s="273"/>
      <c r="AQ840" s="273"/>
      <c r="AR840" s="273"/>
      <c r="AS840" s="273"/>
      <c r="AT840" s="273"/>
      <c r="AU840" s="273"/>
      <c r="AV840" s="273"/>
      <c r="AW840" s="273"/>
      <c r="AX840" s="273"/>
      <c r="AY840" s="273"/>
      <c r="AZ840" s="273"/>
      <c r="BA840" s="273"/>
    </row>
    <row r="841">
      <c r="A841" s="273"/>
      <c r="B841" s="273"/>
      <c r="C841" s="745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  <c r="AJ841" s="273"/>
      <c r="AK841" s="273"/>
      <c r="AL841" s="273"/>
      <c r="AM841" s="273"/>
      <c r="AN841" s="273"/>
      <c r="AO841" s="273"/>
      <c r="AP841" s="273"/>
      <c r="AQ841" s="273"/>
      <c r="AR841" s="273"/>
      <c r="AS841" s="273"/>
      <c r="AT841" s="273"/>
      <c r="AU841" s="273"/>
      <c r="AV841" s="273"/>
      <c r="AW841" s="273"/>
      <c r="AX841" s="273"/>
      <c r="AY841" s="273"/>
      <c r="AZ841" s="273"/>
      <c r="BA841" s="273"/>
    </row>
    <row r="842">
      <c r="A842" s="273"/>
      <c r="B842" s="273"/>
      <c r="C842" s="745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  <c r="AJ842" s="273"/>
      <c r="AK842" s="273"/>
      <c r="AL842" s="273"/>
      <c r="AM842" s="273"/>
      <c r="AN842" s="273"/>
      <c r="AO842" s="273"/>
      <c r="AP842" s="273"/>
      <c r="AQ842" s="273"/>
      <c r="AR842" s="273"/>
      <c r="AS842" s="273"/>
      <c r="AT842" s="273"/>
      <c r="AU842" s="273"/>
      <c r="AV842" s="273"/>
      <c r="AW842" s="273"/>
      <c r="AX842" s="273"/>
      <c r="AY842" s="273"/>
      <c r="AZ842" s="273"/>
      <c r="BA842" s="273"/>
    </row>
    <row r="843">
      <c r="A843" s="273"/>
      <c r="B843" s="273"/>
      <c r="C843" s="745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  <c r="AJ843" s="273"/>
      <c r="AK843" s="273"/>
      <c r="AL843" s="273"/>
      <c r="AM843" s="273"/>
      <c r="AN843" s="273"/>
      <c r="AO843" s="273"/>
      <c r="AP843" s="273"/>
      <c r="AQ843" s="273"/>
      <c r="AR843" s="273"/>
      <c r="AS843" s="273"/>
      <c r="AT843" s="273"/>
      <c r="AU843" s="273"/>
      <c r="AV843" s="273"/>
      <c r="AW843" s="273"/>
      <c r="AX843" s="273"/>
      <c r="AY843" s="273"/>
      <c r="AZ843" s="273"/>
      <c r="BA843" s="273"/>
    </row>
    <row r="844">
      <c r="A844" s="273"/>
      <c r="B844" s="273"/>
      <c r="C844" s="745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  <c r="AJ844" s="273"/>
      <c r="AK844" s="273"/>
      <c r="AL844" s="273"/>
      <c r="AM844" s="273"/>
      <c r="AN844" s="273"/>
      <c r="AO844" s="273"/>
      <c r="AP844" s="273"/>
      <c r="AQ844" s="273"/>
      <c r="AR844" s="273"/>
      <c r="AS844" s="273"/>
      <c r="AT844" s="273"/>
      <c r="AU844" s="273"/>
      <c r="AV844" s="273"/>
      <c r="AW844" s="273"/>
      <c r="AX844" s="273"/>
      <c r="AY844" s="273"/>
      <c r="AZ844" s="273"/>
      <c r="BA844" s="273"/>
    </row>
    <row r="845">
      <c r="A845" s="273"/>
      <c r="B845" s="273"/>
      <c r="C845" s="745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  <c r="AJ845" s="273"/>
      <c r="AK845" s="273"/>
      <c r="AL845" s="273"/>
      <c r="AM845" s="273"/>
      <c r="AN845" s="273"/>
      <c r="AO845" s="273"/>
      <c r="AP845" s="273"/>
      <c r="AQ845" s="273"/>
      <c r="AR845" s="273"/>
      <c r="AS845" s="273"/>
      <c r="AT845" s="273"/>
      <c r="AU845" s="273"/>
      <c r="AV845" s="273"/>
      <c r="AW845" s="273"/>
      <c r="AX845" s="273"/>
      <c r="AY845" s="273"/>
      <c r="AZ845" s="273"/>
      <c r="BA845" s="273"/>
    </row>
    <row r="846">
      <c r="A846" s="273"/>
      <c r="B846" s="273"/>
      <c r="C846" s="745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  <c r="AJ846" s="273"/>
      <c r="AK846" s="273"/>
      <c r="AL846" s="273"/>
      <c r="AM846" s="273"/>
      <c r="AN846" s="273"/>
      <c r="AO846" s="273"/>
      <c r="AP846" s="273"/>
      <c r="AQ846" s="273"/>
      <c r="AR846" s="273"/>
      <c r="AS846" s="273"/>
      <c r="AT846" s="273"/>
      <c r="AU846" s="273"/>
      <c r="AV846" s="273"/>
      <c r="AW846" s="273"/>
      <c r="AX846" s="273"/>
      <c r="AY846" s="273"/>
      <c r="AZ846" s="273"/>
      <c r="BA846" s="273"/>
    </row>
    <row r="847">
      <c r="A847" s="273"/>
      <c r="B847" s="273"/>
      <c r="C847" s="745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  <c r="AJ847" s="273"/>
      <c r="AK847" s="273"/>
      <c r="AL847" s="273"/>
      <c r="AM847" s="273"/>
      <c r="AN847" s="273"/>
      <c r="AO847" s="273"/>
      <c r="AP847" s="273"/>
      <c r="AQ847" s="273"/>
      <c r="AR847" s="273"/>
      <c r="AS847" s="273"/>
      <c r="AT847" s="273"/>
      <c r="AU847" s="273"/>
      <c r="AV847" s="273"/>
      <c r="AW847" s="273"/>
      <c r="AX847" s="273"/>
      <c r="AY847" s="273"/>
      <c r="AZ847" s="273"/>
      <c r="BA847" s="273"/>
    </row>
    <row r="848">
      <c r="A848" s="273"/>
      <c r="B848" s="273"/>
      <c r="C848" s="745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  <c r="AJ848" s="273"/>
      <c r="AK848" s="273"/>
      <c r="AL848" s="273"/>
      <c r="AM848" s="273"/>
      <c r="AN848" s="273"/>
      <c r="AO848" s="273"/>
      <c r="AP848" s="273"/>
      <c r="AQ848" s="273"/>
      <c r="AR848" s="273"/>
      <c r="AS848" s="273"/>
      <c r="AT848" s="273"/>
      <c r="AU848" s="273"/>
      <c r="AV848" s="273"/>
      <c r="AW848" s="273"/>
      <c r="AX848" s="273"/>
      <c r="AY848" s="273"/>
      <c r="AZ848" s="273"/>
      <c r="BA848" s="273"/>
    </row>
    <row r="849">
      <c r="A849" s="273"/>
      <c r="B849" s="273"/>
      <c r="C849" s="745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  <c r="AJ849" s="273"/>
      <c r="AK849" s="273"/>
      <c r="AL849" s="273"/>
      <c r="AM849" s="273"/>
      <c r="AN849" s="273"/>
      <c r="AO849" s="273"/>
      <c r="AP849" s="273"/>
      <c r="AQ849" s="273"/>
      <c r="AR849" s="273"/>
      <c r="AS849" s="273"/>
      <c r="AT849" s="273"/>
      <c r="AU849" s="273"/>
      <c r="AV849" s="273"/>
      <c r="AW849" s="273"/>
      <c r="AX849" s="273"/>
      <c r="AY849" s="273"/>
      <c r="AZ849" s="273"/>
      <c r="BA849" s="273"/>
    </row>
    <row r="850">
      <c r="A850" s="273"/>
      <c r="B850" s="273"/>
      <c r="C850" s="745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  <c r="AJ850" s="273"/>
      <c r="AK850" s="273"/>
      <c r="AL850" s="273"/>
      <c r="AM850" s="273"/>
      <c r="AN850" s="273"/>
      <c r="AO850" s="273"/>
      <c r="AP850" s="273"/>
      <c r="AQ850" s="273"/>
      <c r="AR850" s="273"/>
      <c r="AS850" s="273"/>
      <c r="AT850" s="273"/>
      <c r="AU850" s="273"/>
      <c r="AV850" s="273"/>
      <c r="AW850" s="273"/>
      <c r="AX850" s="273"/>
      <c r="AY850" s="273"/>
      <c r="AZ850" s="273"/>
      <c r="BA850" s="273"/>
    </row>
    <row r="851">
      <c r="A851" s="273"/>
      <c r="B851" s="273"/>
      <c r="C851" s="745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  <c r="AJ851" s="273"/>
      <c r="AK851" s="273"/>
      <c r="AL851" s="273"/>
      <c r="AM851" s="273"/>
      <c r="AN851" s="273"/>
      <c r="AO851" s="273"/>
      <c r="AP851" s="273"/>
      <c r="AQ851" s="273"/>
      <c r="AR851" s="273"/>
      <c r="AS851" s="273"/>
      <c r="AT851" s="273"/>
      <c r="AU851" s="273"/>
      <c r="AV851" s="273"/>
      <c r="AW851" s="273"/>
      <c r="AX851" s="273"/>
      <c r="AY851" s="273"/>
      <c r="AZ851" s="273"/>
      <c r="BA851" s="273"/>
    </row>
    <row r="852">
      <c r="A852" s="273"/>
      <c r="B852" s="273"/>
      <c r="C852" s="745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  <c r="AJ852" s="273"/>
      <c r="AK852" s="273"/>
      <c r="AL852" s="273"/>
      <c r="AM852" s="273"/>
      <c r="AN852" s="273"/>
      <c r="AO852" s="273"/>
      <c r="AP852" s="273"/>
      <c r="AQ852" s="273"/>
      <c r="AR852" s="273"/>
      <c r="AS852" s="273"/>
      <c r="AT852" s="273"/>
      <c r="AU852" s="273"/>
      <c r="AV852" s="273"/>
      <c r="AW852" s="273"/>
      <c r="AX852" s="273"/>
      <c r="AY852" s="273"/>
      <c r="AZ852" s="273"/>
      <c r="BA852" s="273"/>
    </row>
    <row r="853">
      <c r="A853" s="273"/>
      <c r="B853" s="273"/>
      <c r="C853" s="745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  <c r="AJ853" s="273"/>
      <c r="AK853" s="273"/>
      <c r="AL853" s="273"/>
      <c r="AM853" s="273"/>
      <c r="AN853" s="273"/>
      <c r="AO853" s="273"/>
      <c r="AP853" s="273"/>
      <c r="AQ853" s="273"/>
      <c r="AR853" s="273"/>
      <c r="AS853" s="273"/>
      <c r="AT853" s="273"/>
      <c r="AU853" s="273"/>
      <c r="AV853" s="273"/>
      <c r="AW853" s="273"/>
      <c r="AX853" s="273"/>
      <c r="AY853" s="273"/>
      <c r="AZ853" s="273"/>
      <c r="BA853" s="273"/>
    </row>
    <row r="854">
      <c r="A854" s="273"/>
      <c r="B854" s="273"/>
      <c r="C854" s="745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  <c r="AJ854" s="273"/>
      <c r="AK854" s="273"/>
      <c r="AL854" s="273"/>
      <c r="AM854" s="273"/>
      <c r="AN854" s="273"/>
      <c r="AO854" s="273"/>
      <c r="AP854" s="273"/>
      <c r="AQ854" s="273"/>
      <c r="AR854" s="273"/>
      <c r="AS854" s="273"/>
      <c r="AT854" s="273"/>
      <c r="AU854" s="273"/>
      <c r="AV854" s="273"/>
      <c r="AW854" s="273"/>
      <c r="AX854" s="273"/>
      <c r="AY854" s="273"/>
      <c r="AZ854" s="273"/>
      <c r="BA854" s="273"/>
    </row>
    <row r="855">
      <c r="A855" s="273"/>
      <c r="B855" s="273"/>
      <c r="C855" s="745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  <c r="AJ855" s="273"/>
      <c r="AK855" s="273"/>
      <c r="AL855" s="273"/>
      <c r="AM855" s="273"/>
      <c r="AN855" s="273"/>
      <c r="AO855" s="273"/>
      <c r="AP855" s="273"/>
      <c r="AQ855" s="273"/>
      <c r="AR855" s="273"/>
      <c r="AS855" s="273"/>
      <c r="AT855" s="273"/>
      <c r="AU855" s="273"/>
      <c r="AV855" s="273"/>
      <c r="AW855" s="273"/>
      <c r="AX855" s="273"/>
      <c r="AY855" s="273"/>
      <c r="AZ855" s="273"/>
      <c r="BA855" s="273"/>
    </row>
    <row r="856">
      <c r="A856" s="273"/>
      <c r="B856" s="273"/>
      <c r="C856" s="745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  <c r="AJ856" s="273"/>
      <c r="AK856" s="273"/>
      <c r="AL856" s="273"/>
      <c r="AM856" s="273"/>
      <c r="AN856" s="273"/>
      <c r="AO856" s="273"/>
      <c r="AP856" s="273"/>
      <c r="AQ856" s="273"/>
      <c r="AR856" s="273"/>
      <c r="AS856" s="273"/>
      <c r="AT856" s="273"/>
      <c r="AU856" s="273"/>
      <c r="AV856" s="273"/>
      <c r="AW856" s="273"/>
      <c r="AX856" s="273"/>
      <c r="AY856" s="273"/>
      <c r="AZ856" s="273"/>
      <c r="BA856" s="273"/>
    </row>
    <row r="857">
      <c r="A857" s="273"/>
      <c r="B857" s="273"/>
      <c r="C857" s="745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  <c r="AJ857" s="273"/>
      <c r="AK857" s="273"/>
      <c r="AL857" s="273"/>
      <c r="AM857" s="273"/>
      <c r="AN857" s="273"/>
      <c r="AO857" s="273"/>
      <c r="AP857" s="273"/>
      <c r="AQ857" s="273"/>
      <c r="AR857" s="273"/>
      <c r="AS857" s="273"/>
      <c r="AT857" s="273"/>
      <c r="AU857" s="273"/>
      <c r="AV857" s="273"/>
      <c r="AW857" s="273"/>
      <c r="AX857" s="273"/>
      <c r="AY857" s="273"/>
      <c r="AZ857" s="273"/>
      <c r="BA857" s="273"/>
    </row>
    <row r="858">
      <c r="A858" s="273"/>
      <c r="B858" s="273"/>
      <c r="C858" s="745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  <c r="AJ858" s="273"/>
      <c r="AK858" s="273"/>
      <c r="AL858" s="273"/>
      <c r="AM858" s="273"/>
      <c r="AN858" s="273"/>
      <c r="AO858" s="273"/>
      <c r="AP858" s="273"/>
      <c r="AQ858" s="273"/>
      <c r="AR858" s="273"/>
      <c r="AS858" s="273"/>
      <c r="AT858" s="273"/>
      <c r="AU858" s="273"/>
      <c r="AV858" s="273"/>
      <c r="AW858" s="273"/>
      <c r="AX858" s="273"/>
      <c r="AY858" s="273"/>
      <c r="AZ858" s="273"/>
      <c r="BA858" s="273"/>
    </row>
    <row r="859">
      <c r="A859" s="273"/>
      <c r="B859" s="273"/>
      <c r="C859" s="745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  <c r="AJ859" s="273"/>
      <c r="AK859" s="273"/>
      <c r="AL859" s="273"/>
      <c r="AM859" s="273"/>
      <c r="AN859" s="273"/>
      <c r="AO859" s="273"/>
      <c r="AP859" s="273"/>
      <c r="AQ859" s="273"/>
      <c r="AR859" s="273"/>
      <c r="AS859" s="273"/>
      <c r="AT859" s="273"/>
      <c r="AU859" s="273"/>
      <c r="AV859" s="273"/>
      <c r="AW859" s="273"/>
      <c r="AX859" s="273"/>
      <c r="AY859" s="273"/>
      <c r="AZ859" s="273"/>
      <c r="BA859" s="273"/>
    </row>
    <row r="860">
      <c r="A860" s="273"/>
      <c r="B860" s="273"/>
      <c r="C860" s="745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  <c r="AJ860" s="273"/>
      <c r="AK860" s="273"/>
      <c r="AL860" s="273"/>
      <c r="AM860" s="273"/>
      <c r="AN860" s="273"/>
      <c r="AO860" s="273"/>
      <c r="AP860" s="273"/>
      <c r="AQ860" s="273"/>
      <c r="AR860" s="273"/>
      <c r="AS860" s="273"/>
      <c r="AT860" s="273"/>
      <c r="AU860" s="273"/>
      <c r="AV860" s="273"/>
      <c r="AW860" s="273"/>
      <c r="AX860" s="273"/>
      <c r="AY860" s="273"/>
      <c r="AZ860" s="273"/>
      <c r="BA860" s="273"/>
    </row>
    <row r="861">
      <c r="A861" s="273"/>
      <c r="B861" s="273"/>
      <c r="C861" s="745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  <c r="AJ861" s="273"/>
      <c r="AK861" s="273"/>
      <c r="AL861" s="273"/>
      <c r="AM861" s="273"/>
      <c r="AN861" s="273"/>
      <c r="AO861" s="273"/>
      <c r="AP861" s="273"/>
      <c r="AQ861" s="273"/>
      <c r="AR861" s="273"/>
      <c r="AS861" s="273"/>
      <c r="AT861" s="273"/>
      <c r="AU861" s="273"/>
      <c r="AV861" s="273"/>
      <c r="AW861" s="273"/>
      <c r="AX861" s="273"/>
      <c r="AY861" s="273"/>
      <c r="AZ861" s="273"/>
      <c r="BA861" s="273"/>
    </row>
    <row r="862">
      <c r="A862" s="273"/>
      <c r="B862" s="273"/>
      <c r="C862" s="745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  <c r="AJ862" s="273"/>
      <c r="AK862" s="273"/>
      <c r="AL862" s="273"/>
      <c r="AM862" s="273"/>
      <c r="AN862" s="273"/>
      <c r="AO862" s="273"/>
      <c r="AP862" s="273"/>
      <c r="AQ862" s="273"/>
      <c r="AR862" s="273"/>
      <c r="AS862" s="273"/>
      <c r="AT862" s="273"/>
      <c r="AU862" s="273"/>
      <c r="AV862" s="273"/>
      <c r="AW862" s="273"/>
      <c r="AX862" s="273"/>
      <c r="AY862" s="273"/>
      <c r="AZ862" s="273"/>
      <c r="BA862" s="273"/>
    </row>
    <row r="863">
      <c r="A863" s="273"/>
      <c r="B863" s="273"/>
      <c r="C863" s="745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  <c r="AJ863" s="273"/>
      <c r="AK863" s="273"/>
      <c r="AL863" s="273"/>
      <c r="AM863" s="273"/>
      <c r="AN863" s="273"/>
      <c r="AO863" s="273"/>
      <c r="AP863" s="273"/>
      <c r="AQ863" s="273"/>
      <c r="AR863" s="273"/>
      <c r="AS863" s="273"/>
      <c r="AT863" s="273"/>
      <c r="AU863" s="273"/>
      <c r="AV863" s="273"/>
      <c r="AW863" s="273"/>
      <c r="AX863" s="273"/>
      <c r="AY863" s="273"/>
      <c r="AZ863" s="273"/>
      <c r="BA863" s="273"/>
    </row>
    <row r="864">
      <c r="A864" s="273"/>
      <c r="B864" s="273"/>
      <c r="C864" s="745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  <c r="AJ864" s="273"/>
      <c r="AK864" s="273"/>
      <c r="AL864" s="273"/>
      <c r="AM864" s="273"/>
      <c r="AN864" s="273"/>
      <c r="AO864" s="273"/>
      <c r="AP864" s="273"/>
      <c r="AQ864" s="273"/>
      <c r="AR864" s="273"/>
      <c r="AS864" s="273"/>
      <c r="AT864" s="273"/>
      <c r="AU864" s="273"/>
      <c r="AV864" s="273"/>
      <c r="AW864" s="273"/>
      <c r="AX864" s="273"/>
      <c r="AY864" s="273"/>
      <c r="AZ864" s="273"/>
      <c r="BA864" s="273"/>
    </row>
    <row r="865">
      <c r="A865" s="273"/>
      <c r="B865" s="273"/>
      <c r="C865" s="745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  <c r="AJ865" s="273"/>
      <c r="AK865" s="273"/>
      <c r="AL865" s="273"/>
      <c r="AM865" s="273"/>
      <c r="AN865" s="273"/>
      <c r="AO865" s="273"/>
      <c r="AP865" s="273"/>
      <c r="AQ865" s="273"/>
      <c r="AR865" s="273"/>
      <c r="AS865" s="273"/>
      <c r="AT865" s="273"/>
      <c r="AU865" s="273"/>
      <c r="AV865" s="273"/>
      <c r="AW865" s="273"/>
      <c r="AX865" s="273"/>
      <c r="AY865" s="273"/>
      <c r="AZ865" s="273"/>
      <c r="BA865" s="273"/>
    </row>
    <row r="866">
      <c r="A866" s="273"/>
      <c r="B866" s="273"/>
      <c r="C866" s="745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  <c r="AJ866" s="273"/>
      <c r="AK866" s="273"/>
      <c r="AL866" s="273"/>
      <c r="AM866" s="273"/>
      <c r="AN866" s="273"/>
      <c r="AO866" s="273"/>
      <c r="AP866" s="273"/>
      <c r="AQ866" s="273"/>
      <c r="AR866" s="273"/>
      <c r="AS866" s="273"/>
      <c r="AT866" s="273"/>
      <c r="AU866" s="273"/>
      <c r="AV866" s="273"/>
      <c r="AW866" s="273"/>
      <c r="AX866" s="273"/>
      <c r="AY866" s="273"/>
      <c r="AZ866" s="273"/>
      <c r="BA866" s="273"/>
    </row>
    <row r="867">
      <c r="A867" s="273"/>
      <c r="B867" s="273"/>
      <c r="C867" s="745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  <c r="AJ867" s="273"/>
      <c r="AK867" s="273"/>
      <c r="AL867" s="273"/>
      <c r="AM867" s="273"/>
      <c r="AN867" s="273"/>
      <c r="AO867" s="273"/>
      <c r="AP867" s="273"/>
      <c r="AQ867" s="273"/>
      <c r="AR867" s="273"/>
      <c r="AS867" s="273"/>
      <c r="AT867" s="273"/>
      <c r="AU867" s="273"/>
      <c r="AV867" s="273"/>
      <c r="AW867" s="273"/>
      <c r="AX867" s="273"/>
      <c r="AY867" s="273"/>
      <c r="AZ867" s="273"/>
      <c r="BA867" s="273"/>
    </row>
    <row r="868">
      <c r="A868" s="273"/>
      <c r="B868" s="273"/>
      <c r="C868" s="745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  <c r="AJ868" s="273"/>
      <c r="AK868" s="273"/>
      <c r="AL868" s="273"/>
      <c r="AM868" s="273"/>
      <c r="AN868" s="273"/>
      <c r="AO868" s="273"/>
      <c r="AP868" s="273"/>
      <c r="AQ868" s="273"/>
      <c r="AR868" s="273"/>
      <c r="AS868" s="273"/>
      <c r="AT868" s="273"/>
      <c r="AU868" s="273"/>
      <c r="AV868" s="273"/>
      <c r="AW868" s="273"/>
      <c r="AX868" s="273"/>
      <c r="AY868" s="273"/>
      <c r="AZ868" s="273"/>
      <c r="BA868" s="273"/>
    </row>
    <row r="869">
      <c r="A869" s="273"/>
      <c r="B869" s="273"/>
      <c r="C869" s="745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  <c r="AJ869" s="273"/>
      <c r="AK869" s="273"/>
      <c r="AL869" s="273"/>
      <c r="AM869" s="273"/>
      <c r="AN869" s="273"/>
      <c r="AO869" s="273"/>
      <c r="AP869" s="273"/>
      <c r="AQ869" s="273"/>
      <c r="AR869" s="273"/>
      <c r="AS869" s="273"/>
      <c r="AT869" s="273"/>
      <c r="AU869" s="273"/>
      <c r="AV869" s="273"/>
      <c r="AW869" s="273"/>
      <c r="AX869" s="273"/>
      <c r="AY869" s="273"/>
      <c r="AZ869" s="273"/>
      <c r="BA869" s="273"/>
    </row>
    <row r="870">
      <c r="A870" s="273"/>
      <c r="B870" s="273"/>
      <c r="C870" s="745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  <c r="AJ870" s="273"/>
      <c r="AK870" s="273"/>
      <c r="AL870" s="273"/>
      <c r="AM870" s="273"/>
      <c r="AN870" s="273"/>
      <c r="AO870" s="273"/>
      <c r="AP870" s="273"/>
      <c r="AQ870" s="273"/>
      <c r="AR870" s="273"/>
      <c r="AS870" s="273"/>
      <c r="AT870" s="273"/>
      <c r="AU870" s="273"/>
      <c r="AV870" s="273"/>
      <c r="AW870" s="273"/>
      <c r="AX870" s="273"/>
      <c r="AY870" s="273"/>
      <c r="AZ870" s="273"/>
      <c r="BA870" s="273"/>
    </row>
    <row r="871">
      <c r="A871" s="273"/>
      <c r="B871" s="273"/>
      <c r="C871" s="745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  <c r="AJ871" s="273"/>
      <c r="AK871" s="273"/>
      <c r="AL871" s="273"/>
      <c r="AM871" s="273"/>
      <c r="AN871" s="273"/>
      <c r="AO871" s="273"/>
      <c r="AP871" s="273"/>
      <c r="AQ871" s="273"/>
      <c r="AR871" s="273"/>
      <c r="AS871" s="273"/>
      <c r="AT871" s="273"/>
      <c r="AU871" s="273"/>
      <c r="AV871" s="273"/>
      <c r="AW871" s="273"/>
      <c r="AX871" s="273"/>
      <c r="AY871" s="273"/>
      <c r="AZ871" s="273"/>
      <c r="BA871" s="273"/>
    </row>
    <row r="872">
      <c r="A872" s="273"/>
      <c r="B872" s="273"/>
      <c r="C872" s="745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  <c r="AJ872" s="273"/>
      <c r="AK872" s="273"/>
      <c r="AL872" s="273"/>
      <c r="AM872" s="273"/>
      <c r="AN872" s="273"/>
      <c r="AO872" s="273"/>
      <c r="AP872" s="273"/>
      <c r="AQ872" s="273"/>
      <c r="AR872" s="273"/>
      <c r="AS872" s="273"/>
      <c r="AT872" s="273"/>
      <c r="AU872" s="273"/>
      <c r="AV872" s="273"/>
      <c r="AW872" s="273"/>
      <c r="AX872" s="273"/>
      <c r="AY872" s="273"/>
      <c r="AZ872" s="273"/>
      <c r="BA872" s="273"/>
    </row>
    <row r="873">
      <c r="A873" s="273"/>
      <c r="B873" s="273"/>
      <c r="C873" s="745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  <c r="AJ873" s="273"/>
      <c r="AK873" s="273"/>
      <c r="AL873" s="273"/>
      <c r="AM873" s="273"/>
      <c r="AN873" s="273"/>
      <c r="AO873" s="273"/>
      <c r="AP873" s="273"/>
      <c r="AQ873" s="273"/>
      <c r="AR873" s="273"/>
      <c r="AS873" s="273"/>
      <c r="AT873" s="273"/>
      <c r="AU873" s="273"/>
      <c r="AV873" s="273"/>
      <c r="AW873" s="273"/>
      <c r="AX873" s="273"/>
      <c r="AY873" s="273"/>
      <c r="AZ873" s="273"/>
      <c r="BA873" s="273"/>
    </row>
    <row r="874">
      <c r="A874" s="273"/>
      <c r="B874" s="273"/>
      <c r="C874" s="745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  <c r="AJ874" s="273"/>
      <c r="AK874" s="273"/>
      <c r="AL874" s="273"/>
      <c r="AM874" s="273"/>
      <c r="AN874" s="273"/>
      <c r="AO874" s="273"/>
      <c r="AP874" s="273"/>
      <c r="AQ874" s="273"/>
      <c r="AR874" s="273"/>
      <c r="AS874" s="273"/>
      <c r="AT874" s="273"/>
      <c r="AU874" s="273"/>
      <c r="AV874" s="273"/>
      <c r="AW874" s="273"/>
      <c r="AX874" s="273"/>
      <c r="AY874" s="273"/>
      <c r="AZ874" s="273"/>
      <c r="BA874" s="273"/>
    </row>
    <row r="875">
      <c r="A875" s="273"/>
      <c r="B875" s="273"/>
      <c r="C875" s="745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  <c r="AJ875" s="273"/>
      <c r="AK875" s="273"/>
      <c r="AL875" s="273"/>
      <c r="AM875" s="273"/>
      <c r="AN875" s="273"/>
      <c r="AO875" s="273"/>
      <c r="AP875" s="273"/>
      <c r="AQ875" s="273"/>
      <c r="AR875" s="273"/>
      <c r="AS875" s="273"/>
      <c r="AT875" s="273"/>
      <c r="AU875" s="273"/>
      <c r="AV875" s="273"/>
      <c r="AW875" s="273"/>
      <c r="AX875" s="273"/>
      <c r="AY875" s="273"/>
      <c r="AZ875" s="273"/>
      <c r="BA875" s="273"/>
    </row>
    <row r="876">
      <c r="A876" s="273"/>
      <c r="B876" s="273"/>
      <c r="C876" s="745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  <c r="AJ876" s="273"/>
      <c r="AK876" s="273"/>
      <c r="AL876" s="273"/>
      <c r="AM876" s="273"/>
      <c r="AN876" s="273"/>
      <c r="AO876" s="273"/>
      <c r="AP876" s="273"/>
      <c r="AQ876" s="273"/>
      <c r="AR876" s="273"/>
      <c r="AS876" s="273"/>
      <c r="AT876" s="273"/>
      <c r="AU876" s="273"/>
      <c r="AV876" s="273"/>
      <c r="AW876" s="273"/>
      <c r="AX876" s="273"/>
      <c r="AY876" s="273"/>
      <c r="AZ876" s="273"/>
      <c r="BA876" s="273"/>
    </row>
    <row r="877">
      <c r="A877" s="273"/>
      <c r="B877" s="273"/>
      <c r="C877" s="745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  <c r="AJ877" s="273"/>
      <c r="AK877" s="273"/>
      <c r="AL877" s="273"/>
      <c r="AM877" s="273"/>
      <c r="AN877" s="273"/>
      <c r="AO877" s="273"/>
      <c r="AP877" s="273"/>
      <c r="AQ877" s="273"/>
      <c r="AR877" s="273"/>
      <c r="AS877" s="273"/>
      <c r="AT877" s="273"/>
      <c r="AU877" s="273"/>
      <c r="AV877" s="273"/>
      <c r="AW877" s="273"/>
      <c r="AX877" s="273"/>
      <c r="AY877" s="273"/>
      <c r="AZ877" s="273"/>
      <c r="BA877" s="273"/>
    </row>
    <row r="878">
      <c r="A878" s="273"/>
      <c r="B878" s="273"/>
      <c r="C878" s="745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  <c r="AJ878" s="273"/>
      <c r="AK878" s="273"/>
      <c r="AL878" s="273"/>
      <c r="AM878" s="273"/>
      <c r="AN878" s="273"/>
      <c r="AO878" s="273"/>
      <c r="AP878" s="273"/>
      <c r="AQ878" s="273"/>
      <c r="AR878" s="273"/>
      <c r="AS878" s="273"/>
      <c r="AT878" s="273"/>
      <c r="AU878" s="273"/>
      <c r="AV878" s="273"/>
      <c r="AW878" s="273"/>
      <c r="AX878" s="273"/>
      <c r="AY878" s="273"/>
      <c r="AZ878" s="273"/>
      <c r="BA878" s="273"/>
    </row>
    <row r="879">
      <c r="A879" s="273"/>
      <c r="B879" s="273"/>
      <c r="C879" s="745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  <c r="AJ879" s="273"/>
      <c r="AK879" s="273"/>
      <c r="AL879" s="273"/>
      <c r="AM879" s="273"/>
      <c r="AN879" s="273"/>
      <c r="AO879" s="273"/>
      <c r="AP879" s="273"/>
      <c r="AQ879" s="273"/>
      <c r="AR879" s="273"/>
      <c r="AS879" s="273"/>
      <c r="AT879" s="273"/>
      <c r="AU879" s="273"/>
      <c r="AV879" s="273"/>
      <c r="AW879" s="273"/>
      <c r="AX879" s="273"/>
      <c r="AY879" s="273"/>
      <c r="AZ879" s="273"/>
      <c r="BA879" s="273"/>
    </row>
    <row r="880">
      <c r="A880" s="273"/>
      <c r="B880" s="273"/>
      <c r="C880" s="745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  <c r="AJ880" s="273"/>
      <c r="AK880" s="273"/>
      <c r="AL880" s="273"/>
      <c r="AM880" s="273"/>
      <c r="AN880" s="273"/>
      <c r="AO880" s="273"/>
      <c r="AP880" s="273"/>
      <c r="AQ880" s="273"/>
      <c r="AR880" s="273"/>
      <c r="AS880" s="273"/>
      <c r="AT880" s="273"/>
      <c r="AU880" s="273"/>
      <c r="AV880" s="273"/>
      <c r="AW880" s="273"/>
      <c r="AX880" s="273"/>
      <c r="AY880" s="273"/>
      <c r="AZ880" s="273"/>
      <c r="BA880" s="273"/>
    </row>
    <row r="881">
      <c r="A881" s="273"/>
      <c r="B881" s="273"/>
      <c r="C881" s="745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  <c r="AJ881" s="273"/>
      <c r="AK881" s="273"/>
      <c r="AL881" s="273"/>
      <c r="AM881" s="273"/>
      <c r="AN881" s="273"/>
      <c r="AO881" s="273"/>
      <c r="AP881" s="273"/>
      <c r="AQ881" s="273"/>
      <c r="AR881" s="273"/>
      <c r="AS881" s="273"/>
      <c r="AT881" s="273"/>
      <c r="AU881" s="273"/>
      <c r="AV881" s="273"/>
      <c r="AW881" s="273"/>
      <c r="AX881" s="273"/>
      <c r="AY881" s="273"/>
      <c r="AZ881" s="273"/>
      <c r="BA881" s="273"/>
    </row>
    <row r="882">
      <c r="A882" s="273"/>
      <c r="B882" s="273"/>
      <c r="C882" s="745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  <c r="AJ882" s="273"/>
      <c r="AK882" s="273"/>
      <c r="AL882" s="273"/>
      <c r="AM882" s="273"/>
      <c r="AN882" s="273"/>
      <c r="AO882" s="273"/>
      <c r="AP882" s="273"/>
      <c r="AQ882" s="273"/>
      <c r="AR882" s="273"/>
      <c r="AS882" s="273"/>
      <c r="AT882" s="273"/>
      <c r="AU882" s="273"/>
      <c r="AV882" s="273"/>
      <c r="AW882" s="273"/>
      <c r="AX882" s="273"/>
      <c r="AY882" s="273"/>
      <c r="AZ882" s="273"/>
      <c r="BA882" s="273"/>
    </row>
    <row r="883">
      <c r="A883" s="273"/>
      <c r="B883" s="273"/>
      <c r="C883" s="745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  <c r="AJ883" s="273"/>
      <c r="AK883" s="273"/>
      <c r="AL883" s="273"/>
      <c r="AM883" s="273"/>
      <c r="AN883" s="273"/>
      <c r="AO883" s="273"/>
      <c r="AP883" s="273"/>
      <c r="AQ883" s="273"/>
      <c r="AR883" s="273"/>
      <c r="AS883" s="273"/>
      <c r="AT883" s="273"/>
      <c r="AU883" s="273"/>
      <c r="AV883" s="273"/>
      <c r="AW883" s="273"/>
      <c r="AX883" s="273"/>
      <c r="AY883" s="273"/>
      <c r="AZ883" s="273"/>
      <c r="BA883" s="273"/>
    </row>
    <row r="884">
      <c r="A884" s="273"/>
      <c r="B884" s="273"/>
      <c r="C884" s="745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  <c r="AJ884" s="273"/>
      <c r="AK884" s="273"/>
      <c r="AL884" s="273"/>
      <c r="AM884" s="273"/>
      <c r="AN884" s="273"/>
      <c r="AO884" s="273"/>
      <c r="AP884" s="273"/>
      <c r="AQ884" s="273"/>
      <c r="AR884" s="273"/>
      <c r="AS884" s="273"/>
      <c r="AT884" s="273"/>
      <c r="AU884" s="273"/>
      <c r="AV884" s="273"/>
      <c r="AW884" s="273"/>
      <c r="AX884" s="273"/>
      <c r="AY884" s="273"/>
      <c r="AZ884" s="273"/>
      <c r="BA884" s="273"/>
    </row>
    <row r="885">
      <c r="A885" s="273"/>
      <c r="B885" s="273"/>
      <c r="C885" s="745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  <c r="AJ885" s="273"/>
      <c r="AK885" s="273"/>
      <c r="AL885" s="273"/>
      <c r="AM885" s="273"/>
      <c r="AN885" s="273"/>
      <c r="AO885" s="273"/>
      <c r="AP885" s="273"/>
      <c r="AQ885" s="273"/>
      <c r="AR885" s="273"/>
      <c r="AS885" s="273"/>
      <c r="AT885" s="273"/>
      <c r="AU885" s="273"/>
      <c r="AV885" s="273"/>
      <c r="AW885" s="273"/>
      <c r="AX885" s="273"/>
      <c r="AY885" s="273"/>
      <c r="AZ885" s="273"/>
      <c r="BA885" s="273"/>
    </row>
    <row r="886">
      <c r="A886" s="273"/>
      <c r="B886" s="273"/>
      <c r="C886" s="745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  <c r="AJ886" s="273"/>
      <c r="AK886" s="273"/>
      <c r="AL886" s="273"/>
      <c r="AM886" s="273"/>
      <c r="AN886" s="273"/>
      <c r="AO886" s="273"/>
      <c r="AP886" s="273"/>
      <c r="AQ886" s="273"/>
      <c r="AR886" s="273"/>
      <c r="AS886" s="273"/>
      <c r="AT886" s="273"/>
      <c r="AU886" s="273"/>
      <c r="AV886" s="273"/>
      <c r="AW886" s="273"/>
      <c r="AX886" s="273"/>
      <c r="AY886" s="273"/>
      <c r="AZ886" s="273"/>
      <c r="BA886" s="273"/>
    </row>
    <row r="887">
      <c r="A887" s="273"/>
      <c r="B887" s="273"/>
      <c r="C887" s="745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  <c r="AJ887" s="273"/>
      <c r="AK887" s="273"/>
      <c r="AL887" s="273"/>
      <c r="AM887" s="273"/>
      <c r="AN887" s="273"/>
      <c r="AO887" s="273"/>
      <c r="AP887" s="273"/>
      <c r="AQ887" s="273"/>
      <c r="AR887" s="273"/>
      <c r="AS887" s="273"/>
      <c r="AT887" s="273"/>
      <c r="AU887" s="273"/>
      <c r="AV887" s="273"/>
      <c r="AW887" s="273"/>
      <c r="AX887" s="273"/>
      <c r="AY887" s="273"/>
      <c r="AZ887" s="273"/>
      <c r="BA887" s="273"/>
    </row>
    <row r="888">
      <c r="A888" s="273"/>
      <c r="B888" s="273"/>
      <c r="C888" s="745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  <c r="AJ888" s="273"/>
      <c r="AK888" s="273"/>
      <c r="AL888" s="273"/>
      <c r="AM888" s="273"/>
      <c r="AN888" s="273"/>
      <c r="AO888" s="273"/>
      <c r="AP888" s="273"/>
      <c r="AQ888" s="273"/>
      <c r="AR888" s="273"/>
      <c r="AS888" s="273"/>
      <c r="AT888" s="273"/>
      <c r="AU888" s="273"/>
      <c r="AV888" s="273"/>
      <c r="AW888" s="273"/>
      <c r="AX888" s="273"/>
      <c r="AY888" s="273"/>
      <c r="AZ888" s="273"/>
      <c r="BA888" s="273"/>
    </row>
    <row r="889">
      <c r="A889" s="273"/>
      <c r="B889" s="273"/>
      <c r="C889" s="745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  <c r="AJ889" s="273"/>
      <c r="AK889" s="273"/>
      <c r="AL889" s="273"/>
      <c r="AM889" s="273"/>
      <c r="AN889" s="273"/>
      <c r="AO889" s="273"/>
      <c r="AP889" s="273"/>
      <c r="AQ889" s="273"/>
      <c r="AR889" s="273"/>
      <c r="AS889" s="273"/>
      <c r="AT889" s="273"/>
      <c r="AU889" s="273"/>
      <c r="AV889" s="273"/>
      <c r="AW889" s="273"/>
      <c r="AX889" s="273"/>
      <c r="AY889" s="273"/>
      <c r="AZ889" s="273"/>
      <c r="BA889" s="273"/>
    </row>
    <row r="890">
      <c r="A890" s="273"/>
      <c r="B890" s="273"/>
      <c r="C890" s="745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  <c r="AJ890" s="273"/>
      <c r="AK890" s="273"/>
      <c r="AL890" s="273"/>
      <c r="AM890" s="273"/>
      <c r="AN890" s="273"/>
      <c r="AO890" s="273"/>
      <c r="AP890" s="273"/>
      <c r="AQ890" s="273"/>
      <c r="AR890" s="273"/>
      <c r="AS890" s="273"/>
      <c r="AT890" s="273"/>
      <c r="AU890" s="273"/>
      <c r="AV890" s="273"/>
      <c r="AW890" s="273"/>
      <c r="AX890" s="273"/>
      <c r="AY890" s="273"/>
      <c r="AZ890" s="273"/>
      <c r="BA890" s="273"/>
    </row>
    <row r="891">
      <c r="A891" s="273"/>
      <c r="B891" s="273"/>
      <c r="C891" s="745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  <c r="AJ891" s="273"/>
      <c r="AK891" s="273"/>
      <c r="AL891" s="273"/>
      <c r="AM891" s="273"/>
      <c r="AN891" s="273"/>
      <c r="AO891" s="273"/>
      <c r="AP891" s="273"/>
      <c r="AQ891" s="273"/>
      <c r="AR891" s="273"/>
      <c r="AS891" s="273"/>
      <c r="AT891" s="273"/>
      <c r="AU891" s="273"/>
      <c r="AV891" s="273"/>
      <c r="AW891" s="273"/>
      <c r="AX891" s="273"/>
      <c r="AY891" s="273"/>
      <c r="AZ891" s="273"/>
      <c r="BA891" s="273"/>
    </row>
    <row r="892">
      <c r="A892" s="273"/>
      <c r="B892" s="273"/>
      <c r="C892" s="745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  <c r="AJ892" s="273"/>
      <c r="AK892" s="273"/>
      <c r="AL892" s="273"/>
      <c r="AM892" s="273"/>
      <c r="AN892" s="273"/>
      <c r="AO892" s="273"/>
      <c r="AP892" s="273"/>
      <c r="AQ892" s="273"/>
      <c r="AR892" s="273"/>
      <c r="AS892" s="273"/>
      <c r="AT892" s="273"/>
      <c r="AU892" s="273"/>
      <c r="AV892" s="273"/>
      <c r="AW892" s="273"/>
      <c r="AX892" s="273"/>
      <c r="AY892" s="273"/>
      <c r="AZ892" s="273"/>
      <c r="BA892" s="273"/>
    </row>
    <row r="893">
      <c r="A893" s="273"/>
      <c r="B893" s="273"/>
      <c r="C893" s="745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  <c r="AJ893" s="273"/>
      <c r="AK893" s="273"/>
      <c r="AL893" s="273"/>
      <c r="AM893" s="273"/>
      <c r="AN893" s="273"/>
      <c r="AO893" s="273"/>
      <c r="AP893" s="273"/>
      <c r="AQ893" s="273"/>
      <c r="AR893" s="273"/>
      <c r="AS893" s="273"/>
      <c r="AT893" s="273"/>
      <c r="AU893" s="273"/>
      <c r="AV893" s="273"/>
      <c r="AW893" s="273"/>
      <c r="AX893" s="273"/>
      <c r="AY893" s="273"/>
      <c r="AZ893" s="273"/>
      <c r="BA893" s="273"/>
    </row>
    <row r="894">
      <c r="A894" s="273"/>
      <c r="B894" s="273"/>
      <c r="C894" s="745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  <c r="AJ894" s="273"/>
      <c r="AK894" s="273"/>
      <c r="AL894" s="273"/>
      <c r="AM894" s="273"/>
      <c r="AN894" s="273"/>
      <c r="AO894" s="273"/>
      <c r="AP894" s="273"/>
      <c r="AQ894" s="273"/>
      <c r="AR894" s="273"/>
      <c r="AS894" s="273"/>
      <c r="AT894" s="273"/>
      <c r="AU894" s="273"/>
      <c r="AV894" s="273"/>
      <c r="AW894" s="273"/>
      <c r="AX894" s="273"/>
      <c r="AY894" s="273"/>
      <c r="AZ894" s="273"/>
      <c r="BA894" s="273"/>
    </row>
    <row r="895">
      <c r="A895" s="273"/>
      <c r="B895" s="273"/>
      <c r="C895" s="745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  <c r="AJ895" s="273"/>
      <c r="AK895" s="273"/>
      <c r="AL895" s="273"/>
      <c r="AM895" s="273"/>
      <c r="AN895" s="273"/>
      <c r="AO895" s="273"/>
      <c r="AP895" s="273"/>
      <c r="AQ895" s="273"/>
      <c r="AR895" s="273"/>
      <c r="AS895" s="273"/>
      <c r="AT895" s="273"/>
      <c r="AU895" s="273"/>
      <c r="AV895" s="273"/>
      <c r="AW895" s="273"/>
      <c r="AX895" s="273"/>
      <c r="AY895" s="273"/>
      <c r="AZ895" s="273"/>
      <c r="BA895" s="273"/>
    </row>
    <row r="896">
      <c r="A896" s="273"/>
      <c r="B896" s="273"/>
      <c r="C896" s="745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  <c r="AJ896" s="273"/>
      <c r="AK896" s="273"/>
      <c r="AL896" s="273"/>
      <c r="AM896" s="273"/>
      <c r="AN896" s="273"/>
      <c r="AO896" s="273"/>
      <c r="AP896" s="273"/>
      <c r="AQ896" s="273"/>
      <c r="AR896" s="273"/>
      <c r="AS896" s="273"/>
      <c r="AT896" s="273"/>
      <c r="AU896" s="273"/>
      <c r="AV896" s="273"/>
      <c r="AW896" s="273"/>
      <c r="AX896" s="273"/>
      <c r="AY896" s="273"/>
      <c r="AZ896" s="273"/>
      <c r="BA896" s="273"/>
    </row>
    <row r="897">
      <c r="A897" s="273"/>
      <c r="B897" s="273"/>
      <c r="C897" s="745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  <c r="AJ897" s="273"/>
      <c r="AK897" s="273"/>
      <c r="AL897" s="273"/>
      <c r="AM897" s="273"/>
      <c r="AN897" s="273"/>
      <c r="AO897" s="273"/>
      <c r="AP897" s="273"/>
      <c r="AQ897" s="273"/>
      <c r="AR897" s="273"/>
      <c r="AS897" s="273"/>
      <c r="AT897" s="273"/>
      <c r="AU897" s="273"/>
      <c r="AV897" s="273"/>
      <c r="AW897" s="273"/>
      <c r="AX897" s="273"/>
      <c r="AY897" s="273"/>
      <c r="AZ897" s="273"/>
      <c r="BA897" s="273"/>
    </row>
    <row r="898">
      <c r="A898" s="273"/>
      <c r="B898" s="273"/>
      <c r="C898" s="745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AR898" s="273"/>
      <c r="AS898" s="273"/>
      <c r="AT898" s="273"/>
      <c r="AU898" s="273"/>
      <c r="AV898" s="273"/>
      <c r="AW898" s="273"/>
      <c r="AX898" s="273"/>
      <c r="AY898" s="273"/>
      <c r="AZ898" s="273"/>
      <c r="BA898" s="273"/>
    </row>
    <row r="899">
      <c r="A899" s="273"/>
      <c r="B899" s="273"/>
      <c r="C899" s="745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  <c r="AJ899" s="273"/>
      <c r="AK899" s="273"/>
      <c r="AL899" s="273"/>
      <c r="AM899" s="273"/>
      <c r="AN899" s="273"/>
      <c r="AO899" s="273"/>
      <c r="AP899" s="273"/>
      <c r="AQ899" s="273"/>
      <c r="AR899" s="273"/>
      <c r="AS899" s="273"/>
      <c r="AT899" s="273"/>
      <c r="AU899" s="273"/>
      <c r="AV899" s="273"/>
      <c r="AW899" s="273"/>
      <c r="AX899" s="273"/>
      <c r="AY899" s="273"/>
      <c r="AZ899" s="273"/>
      <c r="BA899" s="273"/>
    </row>
    <row r="900">
      <c r="A900" s="273"/>
      <c r="B900" s="273"/>
      <c r="C900" s="745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  <c r="AJ900" s="273"/>
      <c r="AK900" s="273"/>
      <c r="AL900" s="273"/>
      <c r="AM900" s="273"/>
      <c r="AN900" s="273"/>
      <c r="AO900" s="273"/>
      <c r="AP900" s="273"/>
      <c r="AQ900" s="273"/>
      <c r="AR900" s="273"/>
      <c r="AS900" s="273"/>
      <c r="AT900" s="273"/>
      <c r="AU900" s="273"/>
      <c r="AV900" s="273"/>
      <c r="AW900" s="273"/>
      <c r="AX900" s="273"/>
      <c r="AY900" s="273"/>
      <c r="AZ900" s="273"/>
      <c r="BA900" s="273"/>
    </row>
    <row r="901">
      <c r="A901" s="273"/>
      <c r="B901" s="273"/>
      <c r="C901" s="745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  <c r="AJ901" s="273"/>
      <c r="AK901" s="273"/>
      <c r="AL901" s="273"/>
      <c r="AM901" s="273"/>
      <c r="AN901" s="273"/>
      <c r="AO901" s="273"/>
      <c r="AP901" s="273"/>
      <c r="AQ901" s="273"/>
      <c r="AR901" s="273"/>
      <c r="AS901" s="273"/>
      <c r="AT901" s="273"/>
      <c r="AU901" s="273"/>
      <c r="AV901" s="273"/>
      <c r="AW901" s="273"/>
      <c r="AX901" s="273"/>
      <c r="AY901" s="273"/>
      <c r="AZ901" s="273"/>
      <c r="BA901" s="273"/>
    </row>
    <row r="902">
      <c r="A902" s="273"/>
      <c r="B902" s="273"/>
      <c r="C902" s="745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  <c r="AJ902" s="273"/>
      <c r="AK902" s="273"/>
      <c r="AL902" s="273"/>
      <c r="AM902" s="273"/>
      <c r="AN902" s="273"/>
      <c r="AO902" s="273"/>
      <c r="AP902" s="273"/>
      <c r="AQ902" s="273"/>
      <c r="AR902" s="273"/>
      <c r="AS902" s="273"/>
      <c r="AT902" s="273"/>
      <c r="AU902" s="273"/>
      <c r="AV902" s="273"/>
      <c r="AW902" s="273"/>
      <c r="AX902" s="273"/>
      <c r="AY902" s="273"/>
      <c r="AZ902" s="273"/>
      <c r="BA902" s="273"/>
    </row>
    <row r="903">
      <c r="A903" s="273"/>
      <c r="B903" s="273"/>
      <c r="C903" s="745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  <c r="AJ903" s="273"/>
      <c r="AK903" s="273"/>
      <c r="AL903" s="273"/>
      <c r="AM903" s="273"/>
      <c r="AN903" s="273"/>
      <c r="AO903" s="273"/>
      <c r="AP903" s="273"/>
      <c r="AQ903" s="273"/>
      <c r="AR903" s="273"/>
      <c r="AS903" s="273"/>
      <c r="AT903" s="273"/>
      <c r="AU903" s="273"/>
      <c r="AV903" s="273"/>
      <c r="AW903" s="273"/>
      <c r="AX903" s="273"/>
      <c r="AY903" s="273"/>
      <c r="AZ903" s="273"/>
      <c r="BA903" s="273"/>
    </row>
    <row r="904">
      <c r="A904" s="273"/>
      <c r="B904" s="273"/>
      <c r="C904" s="745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  <c r="AJ904" s="273"/>
      <c r="AK904" s="273"/>
      <c r="AL904" s="273"/>
      <c r="AM904" s="273"/>
      <c r="AN904" s="273"/>
      <c r="AO904" s="273"/>
      <c r="AP904" s="273"/>
      <c r="AQ904" s="273"/>
      <c r="AR904" s="273"/>
      <c r="AS904" s="273"/>
      <c r="AT904" s="273"/>
      <c r="AU904" s="273"/>
      <c r="AV904" s="273"/>
      <c r="AW904" s="273"/>
      <c r="AX904" s="273"/>
      <c r="AY904" s="273"/>
      <c r="AZ904" s="273"/>
      <c r="BA904" s="273"/>
    </row>
    <row r="905">
      <c r="A905" s="273"/>
      <c r="B905" s="273"/>
      <c r="C905" s="745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  <c r="AJ905" s="273"/>
      <c r="AK905" s="273"/>
      <c r="AL905" s="273"/>
      <c r="AM905" s="273"/>
      <c r="AN905" s="273"/>
      <c r="AO905" s="273"/>
      <c r="AP905" s="273"/>
      <c r="AQ905" s="273"/>
      <c r="AR905" s="273"/>
      <c r="AS905" s="273"/>
      <c r="AT905" s="273"/>
      <c r="AU905" s="273"/>
      <c r="AV905" s="273"/>
      <c r="AW905" s="273"/>
      <c r="AX905" s="273"/>
      <c r="AY905" s="273"/>
      <c r="AZ905" s="273"/>
      <c r="BA905" s="273"/>
    </row>
    <row r="906">
      <c r="A906" s="273"/>
      <c r="B906" s="273"/>
      <c r="C906" s="745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  <c r="AJ906" s="273"/>
      <c r="AK906" s="273"/>
      <c r="AL906" s="273"/>
      <c r="AM906" s="273"/>
      <c r="AN906" s="273"/>
      <c r="AO906" s="273"/>
      <c r="AP906" s="273"/>
      <c r="AQ906" s="273"/>
      <c r="AR906" s="273"/>
      <c r="AS906" s="273"/>
      <c r="AT906" s="273"/>
      <c r="AU906" s="273"/>
      <c r="AV906" s="273"/>
      <c r="AW906" s="273"/>
      <c r="AX906" s="273"/>
      <c r="AY906" s="273"/>
      <c r="AZ906" s="273"/>
      <c r="BA906" s="273"/>
    </row>
    <row r="907">
      <c r="A907" s="273"/>
      <c r="B907" s="273"/>
      <c r="C907" s="745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  <c r="AJ907" s="273"/>
      <c r="AK907" s="273"/>
      <c r="AL907" s="273"/>
      <c r="AM907" s="273"/>
      <c r="AN907" s="273"/>
      <c r="AO907" s="273"/>
      <c r="AP907" s="273"/>
      <c r="AQ907" s="273"/>
      <c r="AR907" s="273"/>
      <c r="AS907" s="273"/>
      <c r="AT907" s="273"/>
      <c r="AU907" s="273"/>
      <c r="AV907" s="273"/>
      <c r="AW907" s="273"/>
      <c r="AX907" s="273"/>
      <c r="AY907" s="273"/>
      <c r="AZ907" s="273"/>
      <c r="BA907" s="273"/>
    </row>
    <row r="908">
      <c r="A908" s="273"/>
      <c r="B908" s="273"/>
      <c r="C908" s="745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  <c r="AJ908" s="273"/>
      <c r="AK908" s="273"/>
      <c r="AL908" s="273"/>
      <c r="AM908" s="273"/>
      <c r="AN908" s="273"/>
      <c r="AO908" s="273"/>
      <c r="AP908" s="273"/>
      <c r="AQ908" s="273"/>
      <c r="AR908" s="273"/>
      <c r="AS908" s="273"/>
      <c r="AT908" s="273"/>
      <c r="AU908" s="273"/>
      <c r="AV908" s="273"/>
      <c r="AW908" s="273"/>
      <c r="AX908" s="273"/>
      <c r="AY908" s="273"/>
      <c r="AZ908" s="273"/>
      <c r="BA908" s="273"/>
    </row>
    <row r="909">
      <c r="A909" s="273"/>
      <c r="B909" s="273"/>
      <c r="C909" s="745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  <c r="AJ909" s="273"/>
      <c r="AK909" s="273"/>
      <c r="AL909" s="273"/>
      <c r="AM909" s="273"/>
      <c r="AN909" s="273"/>
      <c r="AO909" s="273"/>
      <c r="AP909" s="273"/>
      <c r="AQ909" s="273"/>
      <c r="AR909" s="273"/>
      <c r="AS909" s="273"/>
      <c r="AT909" s="273"/>
      <c r="AU909" s="273"/>
      <c r="AV909" s="273"/>
      <c r="AW909" s="273"/>
      <c r="AX909" s="273"/>
      <c r="AY909" s="273"/>
      <c r="AZ909" s="273"/>
      <c r="BA909" s="273"/>
    </row>
    <row r="910">
      <c r="A910" s="273"/>
      <c r="B910" s="273"/>
      <c r="C910" s="745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  <c r="AJ910" s="273"/>
      <c r="AK910" s="273"/>
      <c r="AL910" s="273"/>
      <c r="AM910" s="273"/>
      <c r="AN910" s="273"/>
      <c r="AO910" s="273"/>
      <c r="AP910" s="273"/>
      <c r="AQ910" s="273"/>
      <c r="AR910" s="273"/>
      <c r="AS910" s="273"/>
      <c r="AT910" s="273"/>
      <c r="AU910" s="273"/>
      <c r="AV910" s="273"/>
      <c r="AW910" s="273"/>
      <c r="AX910" s="273"/>
      <c r="AY910" s="273"/>
      <c r="AZ910" s="273"/>
      <c r="BA910" s="273"/>
    </row>
    <row r="911">
      <c r="A911" s="273"/>
      <c r="B911" s="273"/>
      <c r="C911" s="745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  <c r="AJ911" s="273"/>
      <c r="AK911" s="273"/>
      <c r="AL911" s="273"/>
      <c r="AM911" s="273"/>
      <c r="AN911" s="273"/>
      <c r="AO911" s="273"/>
      <c r="AP911" s="273"/>
      <c r="AQ911" s="273"/>
      <c r="AR911" s="273"/>
      <c r="AS911" s="273"/>
      <c r="AT911" s="273"/>
      <c r="AU911" s="273"/>
      <c r="AV911" s="273"/>
      <c r="AW911" s="273"/>
      <c r="AX911" s="273"/>
      <c r="AY911" s="273"/>
      <c r="AZ911" s="273"/>
      <c r="BA911" s="273"/>
    </row>
    <row r="912">
      <c r="A912" s="273"/>
      <c r="B912" s="273"/>
      <c r="C912" s="745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  <c r="AJ912" s="273"/>
      <c r="AK912" s="273"/>
      <c r="AL912" s="273"/>
      <c r="AM912" s="273"/>
      <c r="AN912" s="273"/>
      <c r="AO912" s="273"/>
      <c r="AP912" s="273"/>
      <c r="AQ912" s="273"/>
      <c r="AR912" s="273"/>
      <c r="AS912" s="273"/>
      <c r="AT912" s="273"/>
      <c r="AU912" s="273"/>
      <c r="AV912" s="273"/>
      <c r="AW912" s="273"/>
      <c r="AX912" s="273"/>
      <c r="AY912" s="273"/>
      <c r="AZ912" s="273"/>
      <c r="BA912" s="273"/>
    </row>
    <row r="913">
      <c r="A913" s="273"/>
      <c r="B913" s="273"/>
      <c r="C913" s="745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  <c r="AJ913" s="273"/>
      <c r="AK913" s="273"/>
      <c r="AL913" s="273"/>
      <c r="AM913" s="273"/>
      <c r="AN913" s="273"/>
      <c r="AO913" s="273"/>
      <c r="AP913" s="273"/>
      <c r="AQ913" s="273"/>
      <c r="AR913" s="273"/>
      <c r="AS913" s="273"/>
      <c r="AT913" s="273"/>
      <c r="AU913" s="273"/>
      <c r="AV913" s="273"/>
      <c r="AW913" s="273"/>
      <c r="AX913" s="273"/>
      <c r="AY913" s="273"/>
      <c r="AZ913" s="273"/>
      <c r="BA913" s="273"/>
    </row>
    <row r="914">
      <c r="A914" s="273"/>
      <c r="B914" s="273"/>
      <c r="C914" s="745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  <c r="AJ914" s="273"/>
      <c r="AK914" s="273"/>
      <c r="AL914" s="273"/>
      <c r="AM914" s="273"/>
      <c r="AN914" s="273"/>
      <c r="AO914" s="273"/>
      <c r="AP914" s="273"/>
      <c r="AQ914" s="273"/>
      <c r="AR914" s="273"/>
      <c r="AS914" s="273"/>
      <c r="AT914" s="273"/>
      <c r="AU914" s="273"/>
      <c r="AV914" s="273"/>
      <c r="AW914" s="273"/>
      <c r="AX914" s="273"/>
      <c r="AY914" s="273"/>
      <c r="AZ914" s="273"/>
      <c r="BA914" s="273"/>
    </row>
    <row r="915">
      <c r="A915" s="273"/>
      <c r="B915" s="273"/>
      <c r="C915" s="745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  <c r="AJ915" s="273"/>
      <c r="AK915" s="273"/>
      <c r="AL915" s="273"/>
      <c r="AM915" s="273"/>
      <c r="AN915" s="273"/>
      <c r="AO915" s="273"/>
      <c r="AP915" s="273"/>
      <c r="AQ915" s="273"/>
      <c r="AR915" s="273"/>
      <c r="AS915" s="273"/>
      <c r="AT915" s="273"/>
      <c r="AU915" s="273"/>
      <c r="AV915" s="273"/>
      <c r="AW915" s="273"/>
      <c r="AX915" s="273"/>
      <c r="AY915" s="273"/>
      <c r="AZ915" s="273"/>
      <c r="BA915" s="273"/>
    </row>
    <row r="916">
      <c r="A916" s="273"/>
      <c r="B916" s="273"/>
      <c r="C916" s="745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  <c r="AJ916" s="273"/>
      <c r="AK916" s="273"/>
      <c r="AL916" s="273"/>
      <c r="AM916" s="273"/>
      <c r="AN916" s="273"/>
      <c r="AO916" s="273"/>
      <c r="AP916" s="273"/>
      <c r="AQ916" s="273"/>
      <c r="AR916" s="273"/>
      <c r="AS916" s="273"/>
      <c r="AT916" s="273"/>
      <c r="AU916" s="273"/>
      <c r="AV916" s="273"/>
      <c r="AW916" s="273"/>
      <c r="AX916" s="273"/>
      <c r="AY916" s="273"/>
      <c r="AZ916" s="273"/>
      <c r="BA916" s="273"/>
    </row>
    <row r="917">
      <c r="A917" s="273"/>
      <c r="B917" s="273"/>
      <c r="C917" s="745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  <c r="AJ917" s="273"/>
      <c r="AK917" s="273"/>
      <c r="AL917" s="273"/>
      <c r="AM917" s="273"/>
      <c r="AN917" s="273"/>
      <c r="AO917" s="273"/>
      <c r="AP917" s="273"/>
      <c r="AQ917" s="273"/>
      <c r="AR917" s="273"/>
      <c r="AS917" s="273"/>
      <c r="AT917" s="273"/>
      <c r="AU917" s="273"/>
      <c r="AV917" s="273"/>
      <c r="AW917" s="273"/>
      <c r="AX917" s="273"/>
      <c r="AY917" s="273"/>
      <c r="AZ917" s="273"/>
      <c r="BA917" s="273"/>
    </row>
    <row r="918">
      <c r="A918" s="273"/>
      <c r="B918" s="273"/>
      <c r="C918" s="745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  <c r="AJ918" s="273"/>
      <c r="AK918" s="273"/>
      <c r="AL918" s="273"/>
      <c r="AM918" s="273"/>
      <c r="AN918" s="273"/>
      <c r="AO918" s="273"/>
      <c r="AP918" s="273"/>
      <c r="AQ918" s="273"/>
      <c r="AR918" s="273"/>
      <c r="AS918" s="273"/>
      <c r="AT918" s="273"/>
      <c r="AU918" s="273"/>
      <c r="AV918" s="273"/>
      <c r="AW918" s="273"/>
      <c r="AX918" s="273"/>
      <c r="AY918" s="273"/>
      <c r="AZ918" s="273"/>
      <c r="BA918" s="273"/>
    </row>
    <row r="919">
      <c r="A919" s="273"/>
      <c r="B919" s="273"/>
      <c r="C919" s="745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  <c r="AJ919" s="273"/>
      <c r="AK919" s="273"/>
      <c r="AL919" s="273"/>
      <c r="AM919" s="273"/>
      <c r="AN919" s="273"/>
      <c r="AO919" s="273"/>
      <c r="AP919" s="273"/>
      <c r="AQ919" s="273"/>
      <c r="AR919" s="273"/>
      <c r="AS919" s="273"/>
      <c r="AT919" s="273"/>
      <c r="AU919" s="273"/>
      <c r="AV919" s="273"/>
      <c r="AW919" s="273"/>
      <c r="AX919" s="273"/>
      <c r="AY919" s="273"/>
      <c r="AZ919" s="273"/>
      <c r="BA919" s="273"/>
    </row>
    <row r="920">
      <c r="A920" s="273"/>
      <c r="B920" s="273"/>
      <c r="C920" s="745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  <c r="AJ920" s="273"/>
      <c r="AK920" s="273"/>
      <c r="AL920" s="273"/>
      <c r="AM920" s="273"/>
      <c r="AN920" s="273"/>
      <c r="AO920" s="273"/>
      <c r="AP920" s="273"/>
      <c r="AQ920" s="273"/>
      <c r="AR920" s="273"/>
      <c r="AS920" s="273"/>
      <c r="AT920" s="273"/>
      <c r="AU920" s="273"/>
      <c r="AV920" s="273"/>
      <c r="AW920" s="273"/>
      <c r="AX920" s="273"/>
      <c r="AY920" s="273"/>
      <c r="AZ920" s="273"/>
      <c r="BA920" s="273"/>
    </row>
    <row r="921">
      <c r="A921" s="273"/>
      <c r="B921" s="273"/>
      <c r="C921" s="745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  <c r="AJ921" s="273"/>
      <c r="AK921" s="273"/>
      <c r="AL921" s="273"/>
      <c r="AM921" s="273"/>
      <c r="AN921" s="273"/>
      <c r="AO921" s="273"/>
      <c r="AP921" s="273"/>
      <c r="AQ921" s="273"/>
      <c r="AR921" s="273"/>
      <c r="AS921" s="273"/>
      <c r="AT921" s="273"/>
      <c r="AU921" s="273"/>
      <c r="AV921" s="273"/>
      <c r="AW921" s="273"/>
      <c r="AX921" s="273"/>
      <c r="AY921" s="273"/>
      <c r="AZ921" s="273"/>
      <c r="BA921" s="273"/>
    </row>
    <row r="922">
      <c r="A922" s="273"/>
      <c r="B922" s="273"/>
      <c r="C922" s="745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  <c r="AJ922" s="273"/>
      <c r="AK922" s="273"/>
      <c r="AL922" s="273"/>
      <c r="AM922" s="273"/>
      <c r="AN922" s="273"/>
      <c r="AO922" s="273"/>
      <c r="AP922" s="273"/>
      <c r="AQ922" s="273"/>
      <c r="AR922" s="273"/>
      <c r="AS922" s="273"/>
      <c r="AT922" s="273"/>
      <c r="AU922" s="273"/>
      <c r="AV922" s="273"/>
      <c r="AW922" s="273"/>
      <c r="AX922" s="273"/>
      <c r="AY922" s="273"/>
      <c r="AZ922" s="273"/>
      <c r="BA922" s="273"/>
    </row>
    <row r="923">
      <c r="A923" s="273"/>
      <c r="B923" s="273"/>
      <c r="C923" s="745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  <c r="AJ923" s="273"/>
      <c r="AK923" s="273"/>
      <c r="AL923" s="273"/>
      <c r="AM923" s="273"/>
      <c r="AN923" s="273"/>
      <c r="AO923" s="273"/>
      <c r="AP923" s="273"/>
      <c r="AQ923" s="273"/>
      <c r="AR923" s="273"/>
      <c r="AS923" s="273"/>
      <c r="AT923" s="273"/>
      <c r="AU923" s="273"/>
      <c r="AV923" s="273"/>
      <c r="AW923" s="273"/>
      <c r="AX923" s="273"/>
      <c r="AY923" s="273"/>
      <c r="AZ923" s="273"/>
      <c r="BA923" s="273"/>
    </row>
    <row r="924">
      <c r="A924" s="273"/>
      <c r="B924" s="273"/>
      <c r="C924" s="745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  <c r="AJ924" s="273"/>
      <c r="AK924" s="273"/>
      <c r="AL924" s="273"/>
      <c r="AM924" s="273"/>
      <c r="AN924" s="273"/>
      <c r="AO924" s="273"/>
      <c r="AP924" s="273"/>
      <c r="AQ924" s="273"/>
      <c r="AR924" s="273"/>
      <c r="AS924" s="273"/>
      <c r="AT924" s="273"/>
      <c r="AU924" s="273"/>
      <c r="AV924" s="273"/>
      <c r="AW924" s="273"/>
      <c r="AX924" s="273"/>
      <c r="AY924" s="273"/>
      <c r="AZ924" s="273"/>
      <c r="BA924" s="273"/>
    </row>
    <row r="925">
      <c r="A925" s="273"/>
      <c r="B925" s="273"/>
      <c r="C925" s="745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  <c r="AJ925" s="273"/>
      <c r="AK925" s="273"/>
      <c r="AL925" s="273"/>
      <c r="AM925" s="273"/>
      <c r="AN925" s="273"/>
      <c r="AO925" s="273"/>
      <c r="AP925" s="273"/>
      <c r="AQ925" s="273"/>
      <c r="AR925" s="273"/>
      <c r="AS925" s="273"/>
      <c r="AT925" s="273"/>
      <c r="AU925" s="273"/>
      <c r="AV925" s="273"/>
      <c r="AW925" s="273"/>
      <c r="AX925" s="273"/>
      <c r="AY925" s="273"/>
      <c r="AZ925" s="273"/>
      <c r="BA925" s="273"/>
    </row>
    <row r="926">
      <c r="A926" s="273"/>
      <c r="B926" s="273"/>
      <c r="C926" s="745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  <c r="AJ926" s="273"/>
      <c r="AK926" s="273"/>
      <c r="AL926" s="273"/>
      <c r="AM926" s="273"/>
      <c r="AN926" s="273"/>
      <c r="AO926" s="273"/>
      <c r="AP926" s="273"/>
      <c r="AQ926" s="273"/>
      <c r="AR926" s="273"/>
      <c r="AS926" s="273"/>
      <c r="AT926" s="273"/>
      <c r="AU926" s="273"/>
      <c r="AV926" s="273"/>
      <c r="AW926" s="273"/>
      <c r="AX926" s="273"/>
      <c r="AY926" s="273"/>
      <c r="AZ926" s="273"/>
      <c r="BA926" s="273"/>
    </row>
    <row r="927">
      <c r="A927" s="273"/>
      <c r="B927" s="273"/>
      <c r="C927" s="745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  <c r="AJ927" s="273"/>
      <c r="AK927" s="273"/>
      <c r="AL927" s="273"/>
      <c r="AM927" s="273"/>
      <c r="AN927" s="273"/>
      <c r="AO927" s="273"/>
      <c r="AP927" s="273"/>
      <c r="AQ927" s="273"/>
      <c r="AR927" s="273"/>
      <c r="AS927" s="273"/>
      <c r="AT927" s="273"/>
      <c r="AU927" s="273"/>
      <c r="AV927" s="273"/>
      <c r="AW927" s="273"/>
      <c r="AX927" s="273"/>
      <c r="AY927" s="273"/>
      <c r="AZ927" s="273"/>
      <c r="BA927" s="273"/>
    </row>
    <row r="928">
      <c r="A928" s="273"/>
      <c r="B928" s="273"/>
      <c r="C928" s="745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  <c r="AJ928" s="273"/>
      <c r="AK928" s="273"/>
      <c r="AL928" s="273"/>
      <c r="AM928" s="273"/>
      <c r="AN928" s="273"/>
      <c r="AO928" s="273"/>
      <c r="AP928" s="273"/>
      <c r="AQ928" s="273"/>
      <c r="AR928" s="273"/>
      <c r="AS928" s="273"/>
      <c r="AT928" s="273"/>
      <c r="AU928" s="273"/>
      <c r="AV928" s="273"/>
      <c r="AW928" s="273"/>
      <c r="AX928" s="273"/>
      <c r="AY928" s="273"/>
      <c r="AZ928" s="273"/>
      <c r="BA928" s="273"/>
    </row>
    <row r="929">
      <c r="A929" s="273"/>
      <c r="B929" s="273"/>
      <c r="C929" s="745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  <c r="AJ929" s="273"/>
      <c r="AK929" s="273"/>
      <c r="AL929" s="273"/>
      <c r="AM929" s="273"/>
      <c r="AN929" s="273"/>
      <c r="AO929" s="273"/>
      <c r="AP929" s="273"/>
      <c r="AQ929" s="273"/>
      <c r="AR929" s="273"/>
      <c r="AS929" s="273"/>
      <c r="AT929" s="273"/>
      <c r="AU929" s="273"/>
      <c r="AV929" s="273"/>
      <c r="AW929" s="273"/>
      <c r="AX929" s="273"/>
      <c r="AY929" s="273"/>
      <c r="AZ929" s="273"/>
      <c r="BA929" s="273"/>
    </row>
    <row r="930">
      <c r="A930" s="273"/>
      <c r="B930" s="273"/>
      <c r="C930" s="745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  <c r="AJ930" s="273"/>
      <c r="AK930" s="273"/>
      <c r="AL930" s="273"/>
      <c r="AM930" s="273"/>
      <c r="AN930" s="273"/>
      <c r="AO930" s="273"/>
      <c r="AP930" s="273"/>
      <c r="AQ930" s="273"/>
      <c r="AR930" s="273"/>
      <c r="AS930" s="273"/>
      <c r="AT930" s="273"/>
      <c r="AU930" s="273"/>
      <c r="AV930" s="273"/>
      <c r="AW930" s="273"/>
      <c r="AX930" s="273"/>
      <c r="AY930" s="273"/>
      <c r="AZ930" s="273"/>
      <c r="BA930" s="273"/>
    </row>
    <row r="931">
      <c r="A931" s="273"/>
      <c r="B931" s="273"/>
      <c r="C931" s="745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  <c r="AJ931" s="273"/>
      <c r="AK931" s="273"/>
      <c r="AL931" s="273"/>
      <c r="AM931" s="273"/>
      <c r="AN931" s="273"/>
      <c r="AO931" s="273"/>
      <c r="AP931" s="273"/>
      <c r="AQ931" s="273"/>
      <c r="AR931" s="273"/>
      <c r="AS931" s="273"/>
      <c r="AT931" s="273"/>
      <c r="AU931" s="273"/>
      <c r="AV931" s="273"/>
      <c r="AW931" s="273"/>
      <c r="AX931" s="273"/>
      <c r="AY931" s="273"/>
      <c r="AZ931" s="273"/>
      <c r="BA931" s="273"/>
    </row>
    <row r="932">
      <c r="A932" s="273"/>
      <c r="B932" s="273"/>
      <c r="C932" s="745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  <c r="AJ932" s="273"/>
      <c r="AK932" s="273"/>
      <c r="AL932" s="273"/>
      <c r="AM932" s="273"/>
      <c r="AN932" s="273"/>
      <c r="AO932" s="273"/>
      <c r="AP932" s="273"/>
      <c r="AQ932" s="273"/>
      <c r="AR932" s="273"/>
      <c r="AS932" s="273"/>
      <c r="AT932" s="273"/>
      <c r="AU932" s="273"/>
      <c r="AV932" s="273"/>
      <c r="AW932" s="273"/>
      <c r="AX932" s="273"/>
      <c r="AY932" s="273"/>
      <c r="AZ932" s="273"/>
      <c r="BA932" s="273"/>
    </row>
    <row r="933">
      <c r="A933" s="273"/>
      <c r="B933" s="273"/>
      <c r="C933" s="745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  <c r="AJ933" s="273"/>
      <c r="AK933" s="273"/>
      <c r="AL933" s="273"/>
      <c r="AM933" s="273"/>
      <c r="AN933" s="273"/>
      <c r="AO933" s="273"/>
      <c r="AP933" s="273"/>
      <c r="AQ933" s="273"/>
      <c r="AR933" s="273"/>
      <c r="AS933" s="273"/>
      <c r="AT933" s="273"/>
      <c r="AU933" s="273"/>
      <c r="AV933" s="273"/>
      <c r="AW933" s="273"/>
      <c r="AX933" s="273"/>
      <c r="AY933" s="273"/>
      <c r="AZ933" s="273"/>
      <c r="BA933" s="273"/>
    </row>
    <row r="934">
      <c r="A934" s="273"/>
      <c r="B934" s="273"/>
      <c r="C934" s="745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  <c r="AJ934" s="273"/>
      <c r="AK934" s="273"/>
      <c r="AL934" s="273"/>
      <c r="AM934" s="273"/>
      <c r="AN934" s="273"/>
      <c r="AO934" s="273"/>
      <c r="AP934" s="273"/>
      <c r="AQ934" s="273"/>
      <c r="AR934" s="273"/>
      <c r="AS934" s="273"/>
      <c r="AT934" s="273"/>
      <c r="AU934" s="273"/>
      <c r="AV934" s="273"/>
      <c r="AW934" s="273"/>
      <c r="AX934" s="273"/>
      <c r="AY934" s="273"/>
      <c r="AZ934" s="273"/>
      <c r="BA934" s="273"/>
    </row>
    <row r="935">
      <c r="A935" s="273"/>
      <c r="B935" s="273"/>
      <c r="C935" s="745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  <c r="AJ935" s="273"/>
      <c r="AK935" s="273"/>
      <c r="AL935" s="273"/>
      <c r="AM935" s="273"/>
      <c r="AN935" s="273"/>
      <c r="AO935" s="273"/>
      <c r="AP935" s="273"/>
      <c r="AQ935" s="273"/>
      <c r="AR935" s="273"/>
      <c r="AS935" s="273"/>
      <c r="AT935" s="273"/>
      <c r="AU935" s="273"/>
      <c r="AV935" s="273"/>
      <c r="AW935" s="273"/>
      <c r="AX935" s="273"/>
      <c r="AY935" s="273"/>
      <c r="AZ935" s="273"/>
      <c r="BA935" s="273"/>
    </row>
    <row r="936">
      <c r="A936" s="273"/>
      <c r="B936" s="273"/>
      <c r="C936" s="745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  <c r="AJ936" s="273"/>
      <c r="AK936" s="273"/>
      <c r="AL936" s="273"/>
      <c r="AM936" s="273"/>
      <c r="AN936" s="273"/>
      <c r="AO936" s="273"/>
      <c r="AP936" s="273"/>
      <c r="AQ936" s="273"/>
      <c r="AR936" s="273"/>
      <c r="AS936" s="273"/>
      <c r="AT936" s="273"/>
      <c r="AU936" s="273"/>
      <c r="AV936" s="273"/>
      <c r="AW936" s="273"/>
      <c r="AX936" s="273"/>
      <c r="AY936" s="273"/>
      <c r="AZ936" s="273"/>
      <c r="BA936" s="273"/>
    </row>
    <row r="937">
      <c r="A937" s="273"/>
      <c r="B937" s="273"/>
      <c r="C937" s="745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  <c r="AJ937" s="273"/>
      <c r="AK937" s="273"/>
      <c r="AL937" s="273"/>
      <c r="AM937" s="273"/>
      <c r="AN937" s="273"/>
      <c r="AO937" s="273"/>
      <c r="AP937" s="273"/>
      <c r="AQ937" s="273"/>
      <c r="AR937" s="273"/>
      <c r="AS937" s="273"/>
      <c r="AT937" s="273"/>
      <c r="AU937" s="273"/>
      <c r="AV937" s="273"/>
      <c r="AW937" s="273"/>
      <c r="AX937" s="273"/>
      <c r="AY937" s="273"/>
      <c r="AZ937" s="273"/>
      <c r="BA937" s="273"/>
    </row>
    <row r="938">
      <c r="A938" s="273"/>
      <c r="B938" s="273"/>
      <c r="C938" s="745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  <c r="AJ938" s="273"/>
      <c r="AK938" s="273"/>
      <c r="AL938" s="273"/>
      <c r="AM938" s="273"/>
      <c r="AN938" s="273"/>
      <c r="AO938" s="273"/>
      <c r="AP938" s="273"/>
      <c r="AQ938" s="273"/>
      <c r="AR938" s="273"/>
      <c r="AS938" s="273"/>
      <c r="AT938" s="273"/>
      <c r="AU938" s="273"/>
      <c r="AV938" s="273"/>
      <c r="AW938" s="273"/>
      <c r="AX938" s="273"/>
      <c r="AY938" s="273"/>
      <c r="AZ938" s="273"/>
      <c r="BA938" s="273"/>
    </row>
    <row r="939">
      <c r="A939" s="273"/>
      <c r="B939" s="273"/>
      <c r="C939" s="745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  <c r="AJ939" s="273"/>
      <c r="AK939" s="273"/>
      <c r="AL939" s="273"/>
      <c r="AM939" s="273"/>
      <c r="AN939" s="273"/>
      <c r="AO939" s="273"/>
      <c r="AP939" s="273"/>
      <c r="AQ939" s="273"/>
      <c r="AR939" s="273"/>
      <c r="AS939" s="273"/>
      <c r="AT939" s="273"/>
      <c r="AU939" s="273"/>
      <c r="AV939" s="273"/>
      <c r="AW939" s="273"/>
      <c r="AX939" s="273"/>
      <c r="AY939" s="273"/>
      <c r="AZ939" s="273"/>
      <c r="BA939" s="273"/>
    </row>
    <row r="940">
      <c r="A940" s="273"/>
      <c r="B940" s="273"/>
      <c r="C940" s="745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  <c r="AJ940" s="273"/>
      <c r="AK940" s="273"/>
      <c r="AL940" s="273"/>
      <c r="AM940" s="273"/>
      <c r="AN940" s="273"/>
      <c r="AO940" s="273"/>
      <c r="AP940" s="273"/>
      <c r="AQ940" s="273"/>
      <c r="AR940" s="273"/>
      <c r="AS940" s="273"/>
      <c r="AT940" s="273"/>
      <c r="AU940" s="273"/>
      <c r="AV940" s="273"/>
      <c r="AW940" s="273"/>
      <c r="AX940" s="273"/>
      <c r="AY940" s="273"/>
      <c r="AZ940" s="273"/>
      <c r="BA940" s="273"/>
    </row>
    <row r="941">
      <c r="A941" s="273"/>
      <c r="B941" s="273"/>
      <c r="C941" s="745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  <c r="AJ941" s="273"/>
      <c r="AK941" s="273"/>
      <c r="AL941" s="273"/>
      <c r="AM941" s="273"/>
      <c r="AN941" s="273"/>
      <c r="AO941" s="273"/>
      <c r="AP941" s="273"/>
      <c r="AQ941" s="273"/>
      <c r="AR941" s="273"/>
      <c r="AS941" s="273"/>
      <c r="AT941" s="273"/>
      <c r="AU941" s="273"/>
      <c r="AV941" s="273"/>
      <c r="AW941" s="273"/>
      <c r="AX941" s="273"/>
      <c r="AY941" s="273"/>
      <c r="AZ941" s="273"/>
      <c r="BA941" s="273"/>
    </row>
    <row r="942">
      <c r="A942" s="273"/>
      <c r="B942" s="273"/>
      <c r="C942" s="745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  <c r="AJ942" s="273"/>
      <c r="AK942" s="273"/>
      <c r="AL942" s="273"/>
      <c r="AM942" s="273"/>
      <c r="AN942" s="273"/>
      <c r="AO942" s="273"/>
      <c r="AP942" s="273"/>
      <c r="AQ942" s="273"/>
      <c r="AR942" s="273"/>
      <c r="AS942" s="273"/>
      <c r="AT942" s="273"/>
      <c r="AU942" s="273"/>
      <c r="AV942" s="273"/>
      <c r="AW942" s="273"/>
      <c r="AX942" s="273"/>
      <c r="AY942" s="273"/>
      <c r="AZ942" s="273"/>
      <c r="BA942" s="273"/>
    </row>
    <row r="943">
      <c r="A943" s="273"/>
      <c r="B943" s="273"/>
      <c r="C943" s="745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  <c r="AJ943" s="273"/>
      <c r="AK943" s="273"/>
      <c r="AL943" s="273"/>
      <c r="AM943" s="273"/>
      <c r="AN943" s="273"/>
      <c r="AO943" s="273"/>
      <c r="AP943" s="273"/>
      <c r="AQ943" s="273"/>
      <c r="AR943" s="273"/>
      <c r="AS943" s="273"/>
      <c r="AT943" s="273"/>
      <c r="AU943" s="273"/>
      <c r="AV943" s="273"/>
      <c r="AW943" s="273"/>
      <c r="AX943" s="273"/>
      <c r="AY943" s="273"/>
      <c r="AZ943" s="273"/>
      <c r="BA943" s="273"/>
    </row>
    <row r="944">
      <c r="A944" s="273"/>
      <c r="B944" s="273"/>
      <c r="C944" s="745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  <c r="AJ944" s="273"/>
      <c r="AK944" s="273"/>
      <c r="AL944" s="273"/>
      <c r="AM944" s="273"/>
      <c r="AN944" s="273"/>
      <c r="AO944" s="273"/>
      <c r="AP944" s="273"/>
      <c r="AQ944" s="273"/>
      <c r="AR944" s="273"/>
      <c r="AS944" s="273"/>
      <c r="AT944" s="273"/>
      <c r="AU944" s="273"/>
      <c r="AV944" s="273"/>
      <c r="AW944" s="273"/>
      <c r="AX944" s="273"/>
      <c r="AY944" s="273"/>
      <c r="AZ944" s="273"/>
      <c r="BA944" s="273"/>
    </row>
    <row r="945">
      <c r="A945" s="273"/>
      <c r="B945" s="273"/>
      <c r="C945" s="745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  <c r="AJ945" s="273"/>
      <c r="AK945" s="273"/>
      <c r="AL945" s="273"/>
      <c r="AM945" s="273"/>
      <c r="AN945" s="273"/>
      <c r="AO945" s="273"/>
      <c r="AP945" s="273"/>
      <c r="AQ945" s="273"/>
      <c r="AR945" s="273"/>
      <c r="AS945" s="273"/>
      <c r="AT945" s="273"/>
      <c r="AU945" s="273"/>
      <c r="AV945" s="273"/>
      <c r="AW945" s="273"/>
      <c r="AX945" s="273"/>
      <c r="AY945" s="273"/>
      <c r="AZ945" s="273"/>
      <c r="BA945" s="273"/>
    </row>
    <row r="946">
      <c r="A946" s="273"/>
      <c r="B946" s="273"/>
      <c r="C946" s="745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  <c r="AJ946" s="273"/>
      <c r="AK946" s="273"/>
      <c r="AL946" s="273"/>
      <c r="AM946" s="273"/>
      <c r="AN946" s="273"/>
      <c r="AO946" s="273"/>
      <c r="AP946" s="273"/>
      <c r="AQ946" s="273"/>
      <c r="AR946" s="273"/>
      <c r="AS946" s="273"/>
      <c r="AT946" s="273"/>
      <c r="AU946" s="273"/>
      <c r="AV946" s="273"/>
      <c r="AW946" s="273"/>
      <c r="AX946" s="273"/>
      <c r="AY946" s="273"/>
      <c r="AZ946" s="273"/>
      <c r="BA946" s="273"/>
    </row>
    <row r="947">
      <c r="A947" s="273"/>
      <c r="B947" s="273"/>
      <c r="C947" s="745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  <c r="AJ947" s="273"/>
      <c r="AK947" s="273"/>
      <c r="AL947" s="273"/>
      <c r="AM947" s="273"/>
      <c r="AN947" s="273"/>
      <c r="AO947" s="273"/>
      <c r="AP947" s="273"/>
      <c r="AQ947" s="273"/>
      <c r="AR947" s="273"/>
      <c r="AS947" s="273"/>
      <c r="AT947" s="273"/>
      <c r="AU947" s="273"/>
      <c r="AV947" s="273"/>
      <c r="AW947" s="273"/>
      <c r="AX947" s="273"/>
      <c r="AY947" s="273"/>
      <c r="AZ947" s="273"/>
      <c r="BA947" s="273"/>
    </row>
    <row r="948">
      <c r="A948" s="273"/>
      <c r="B948" s="273"/>
      <c r="C948" s="745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  <c r="AJ948" s="273"/>
      <c r="AK948" s="273"/>
      <c r="AL948" s="273"/>
      <c r="AM948" s="273"/>
      <c r="AN948" s="273"/>
      <c r="AO948" s="273"/>
      <c r="AP948" s="273"/>
      <c r="AQ948" s="273"/>
      <c r="AR948" s="273"/>
      <c r="AS948" s="273"/>
      <c r="AT948" s="273"/>
      <c r="AU948" s="273"/>
      <c r="AV948" s="273"/>
      <c r="AW948" s="273"/>
      <c r="AX948" s="273"/>
      <c r="AY948" s="273"/>
      <c r="AZ948" s="273"/>
      <c r="BA948" s="273"/>
    </row>
    <row r="949">
      <c r="A949" s="273"/>
      <c r="B949" s="273"/>
      <c r="C949" s="745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  <c r="AJ949" s="273"/>
      <c r="AK949" s="273"/>
      <c r="AL949" s="273"/>
      <c r="AM949" s="273"/>
      <c r="AN949" s="273"/>
      <c r="AO949" s="273"/>
      <c r="AP949" s="273"/>
      <c r="AQ949" s="273"/>
      <c r="AR949" s="273"/>
      <c r="AS949" s="273"/>
      <c r="AT949" s="273"/>
      <c r="AU949" s="273"/>
      <c r="AV949" s="273"/>
      <c r="AW949" s="273"/>
      <c r="AX949" s="273"/>
      <c r="AY949" s="273"/>
      <c r="AZ949" s="273"/>
      <c r="BA949" s="273"/>
    </row>
    <row r="950">
      <c r="A950" s="273"/>
      <c r="B950" s="273"/>
      <c r="C950" s="745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  <c r="AJ950" s="273"/>
      <c r="AK950" s="273"/>
      <c r="AL950" s="273"/>
      <c r="AM950" s="273"/>
      <c r="AN950" s="273"/>
      <c r="AO950" s="273"/>
      <c r="AP950" s="273"/>
      <c r="AQ950" s="273"/>
      <c r="AR950" s="273"/>
      <c r="AS950" s="273"/>
      <c r="AT950" s="273"/>
      <c r="AU950" s="273"/>
      <c r="AV950" s="273"/>
      <c r="AW950" s="273"/>
      <c r="AX950" s="273"/>
      <c r="AY950" s="273"/>
      <c r="AZ950" s="273"/>
      <c r="BA950" s="273"/>
    </row>
    <row r="951">
      <c r="A951" s="273"/>
      <c r="B951" s="273"/>
      <c r="C951" s="745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  <c r="AJ951" s="273"/>
      <c r="AK951" s="273"/>
      <c r="AL951" s="273"/>
      <c r="AM951" s="273"/>
      <c r="AN951" s="273"/>
      <c r="AO951" s="273"/>
      <c r="AP951" s="273"/>
      <c r="AQ951" s="273"/>
      <c r="AR951" s="273"/>
      <c r="AS951" s="273"/>
      <c r="AT951" s="273"/>
      <c r="AU951" s="273"/>
      <c r="AV951" s="273"/>
      <c r="AW951" s="273"/>
      <c r="AX951" s="273"/>
      <c r="AY951" s="273"/>
      <c r="AZ951" s="273"/>
      <c r="BA951" s="273"/>
    </row>
    <row r="952">
      <c r="A952" s="273"/>
      <c r="B952" s="273"/>
      <c r="C952" s="745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  <c r="AJ952" s="273"/>
      <c r="AK952" s="273"/>
      <c r="AL952" s="273"/>
      <c r="AM952" s="273"/>
      <c r="AN952" s="273"/>
      <c r="AO952" s="273"/>
      <c r="AP952" s="273"/>
      <c r="AQ952" s="273"/>
      <c r="AR952" s="273"/>
      <c r="AS952" s="273"/>
      <c r="AT952" s="273"/>
      <c r="AU952" s="273"/>
      <c r="AV952" s="273"/>
      <c r="AW952" s="273"/>
      <c r="AX952" s="273"/>
      <c r="AY952" s="273"/>
      <c r="AZ952" s="273"/>
      <c r="BA952" s="273"/>
    </row>
    <row r="953">
      <c r="A953" s="273"/>
      <c r="B953" s="273"/>
      <c r="C953" s="745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  <c r="AJ953" s="273"/>
      <c r="AK953" s="273"/>
      <c r="AL953" s="273"/>
      <c r="AM953" s="273"/>
      <c r="AN953" s="273"/>
      <c r="AO953" s="273"/>
      <c r="AP953" s="273"/>
      <c r="AQ953" s="273"/>
      <c r="AR953" s="273"/>
      <c r="AS953" s="273"/>
      <c r="AT953" s="273"/>
      <c r="AU953" s="273"/>
      <c r="AV953" s="273"/>
      <c r="AW953" s="273"/>
      <c r="AX953" s="273"/>
      <c r="AY953" s="273"/>
      <c r="AZ953" s="273"/>
      <c r="BA953" s="273"/>
    </row>
    <row r="954">
      <c r="A954" s="273"/>
      <c r="B954" s="273"/>
      <c r="C954" s="745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  <c r="AJ954" s="273"/>
      <c r="AK954" s="273"/>
      <c r="AL954" s="273"/>
      <c r="AM954" s="273"/>
      <c r="AN954" s="273"/>
      <c r="AO954" s="273"/>
      <c r="AP954" s="273"/>
      <c r="AQ954" s="273"/>
      <c r="AR954" s="273"/>
      <c r="AS954" s="273"/>
      <c r="AT954" s="273"/>
      <c r="AU954" s="273"/>
      <c r="AV954" s="273"/>
      <c r="AW954" s="273"/>
      <c r="AX954" s="273"/>
      <c r="AY954" s="273"/>
      <c r="AZ954" s="273"/>
      <c r="BA954" s="273"/>
    </row>
    <row r="955">
      <c r="A955" s="273"/>
      <c r="B955" s="273"/>
      <c r="C955" s="745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  <c r="AJ955" s="273"/>
      <c r="AK955" s="273"/>
      <c r="AL955" s="273"/>
      <c r="AM955" s="273"/>
      <c r="AN955" s="273"/>
      <c r="AO955" s="273"/>
      <c r="AP955" s="273"/>
      <c r="AQ955" s="273"/>
      <c r="AR955" s="273"/>
      <c r="AS955" s="273"/>
      <c r="AT955" s="273"/>
      <c r="AU955" s="273"/>
      <c r="AV955" s="273"/>
      <c r="AW955" s="273"/>
      <c r="AX955" s="273"/>
      <c r="AY955" s="273"/>
      <c r="AZ955" s="273"/>
      <c r="BA955" s="273"/>
    </row>
    <row r="956">
      <c r="A956" s="273"/>
      <c r="B956" s="273"/>
      <c r="C956" s="745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  <c r="AJ956" s="273"/>
      <c r="AK956" s="273"/>
      <c r="AL956" s="273"/>
      <c r="AM956" s="273"/>
      <c r="AN956" s="273"/>
      <c r="AO956" s="273"/>
      <c r="AP956" s="273"/>
      <c r="AQ956" s="273"/>
      <c r="AR956" s="273"/>
      <c r="AS956" s="273"/>
      <c r="AT956" s="273"/>
      <c r="AU956" s="273"/>
      <c r="AV956" s="273"/>
      <c r="AW956" s="273"/>
      <c r="AX956" s="273"/>
      <c r="AY956" s="273"/>
      <c r="AZ956" s="273"/>
      <c r="BA956" s="273"/>
    </row>
    <row r="957">
      <c r="A957" s="273"/>
      <c r="B957" s="273"/>
      <c r="C957" s="745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  <c r="AJ957" s="273"/>
      <c r="AK957" s="273"/>
      <c r="AL957" s="273"/>
      <c r="AM957" s="273"/>
      <c r="AN957" s="273"/>
      <c r="AO957" s="273"/>
      <c r="AP957" s="273"/>
      <c r="AQ957" s="273"/>
      <c r="AR957" s="273"/>
      <c r="AS957" s="273"/>
      <c r="AT957" s="273"/>
      <c r="AU957" s="273"/>
      <c r="AV957" s="273"/>
      <c r="AW957" s="273"/>
      <c r="AX957" s="273"/>
      <c r="AY957" s="273"/>
      <c r="AZ957" s="273"/>
      <c r="BA957" s="273"/>
    </row>
    <row r="958">
      <c r="A958" s="273"/>
      <c r="B958" s="273"/>
      <c r="C958" s="745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  <c r="AJ958" s="273"/>
      <c r="AK958" s="273"/>
      <c r="AL958" s="273"/>
      <c r="AM958" s="273"/>
      <c r="AN958" s="273"/>
      <c r="AO958" s="273"/>
      <c r="AP958" s="273"/>
      <c r="AQ958" s="273"/>
      <c r="AR958" s="273"/>
      <c r="AS958" s="273"/>
      <c r="AT958" s="273"/>
      <c r="AU958" s="273"/>
      <c r="AV958" s="273"/>
      <c r="AW958" s="273"/>
      <c r="AX958" s="273"/>
      <c r="AY958" s="273"/>
      <c r="AZ958" s="273"/>
      <c r="BA958" s="273"/>
    </row>
    <row r="959">
      <c r="A959" s="273"/>
      <c r="B959" s="273"/>
      <c r="C959" s="745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  <c r="AJ959" s="273"/>
      <c r="AK959" s="273"/>
      <c r="AL959" s="273"/>
      <c r="AM959" s="273"/>
      <c r="AN959" s="273"/>
      <c r="AO959" s="273"/>
      <c r="AP959" s="273"/>
      <c r="AQ959" s="273"/>
      <c r="AR959" s="273"/>
      <c r="AS959" s="273"/>
      <c r="AT959" s="273"/>
      <c r="AU959" s="273"/>
      <c r="AV959" s="273"/>
      <c r="AW959" s="273"/>
      <c r="AX959" s="273"/>
      <c r="AY959" s="273"/>
      <c r="AZ959" s="273"/>
      <c r="BA959" s="273"/>
    </row>
    <row r="960">
      <c r="A960" s="273"/>
      <c r="B960" s="273"/>
      <c r="C960" s="745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  <c r="AJ960" s="273"/>
      <c r="AK960" s="273"/>
      <c r="AL960" s="273"/>
      <c r="AM960" s="273"/>
      <c r="AN960" s="273"/>
      <c r="AO960" s="273"/>
      <c r="AP960" s="273"/>
      <c r="AQ960" s="273"/>
      <c r="AR960" s="273"/>
      <c r="AS960" s="273"/>
      <c r="AT960" s="273"/>
      <c r="AU960" s="273"/>
      <c r="AV960" s="273"/>
      <c r="AW960" s="273"/>
      <c r="AX960" s="273"/>
      <c r="AY960" s="273"/>
      <c r="AZ960" s="273"/>
      <c r="BA960" s="273"/>
    </row>
    <row r="961">
      <c r="A961" s="273"/>
      <c r="B961" s="273"/>
      <c r="C961" s="745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  <c r="AJ961" s="273"/>
      <c r="AK961" s="273"/>
      <c r="AL961" s="273"/>
      <c r="AM961" s="273"/>
      <c r="AN961" s="273"/>
      <c r="AO961" s="273"/>
      <c r="AP961" s="273"/>
      <c r="AQ961" s="273"/>
      <c r="AR961" s="273"/>
      <c r="AS961" s="273"/>
      <c r="AT961" s="273"/>
      <c r="AU961" s="273"/>
      <c r="AV961" s="273"/>
      <c r="AW961" s="273"/>
      <c r="AX961" s="273"/>
      <c r="AY961" s="273"/>
      <c r="AZ961" s="273"/>
      <c r="BA961" s="273"/>
    </row>
    <row r="962">
      <c r="A962" s="273"/>
      <c r="B962" s="273"/>
      <c r="C962" s="745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  <c r="AJ962" s="273"/>
      <c r="AK962" s="273"/>
      <c r="AL962" s="273"/>
      <c r="AM962" s="273"/>
      <c r="AN962" s="273"/>
      <c r="AO962" s="273"/>
      <c r="AP962" s="273"/>
      <c r="AQ962" s="273"/>
      <c r="AR962" s="273"/>
      <c r="AS962" s="273"/>
      <c r="AT962" s="273"/>
      <c r="AU962" s="273"/>
      <c r="AV962" s="273"/>
      <c r="AW962" s="273"/>
      <c r="AX962" s="273"/>
      <c r="AY962" s="273"/>
      <c r="AZ962" s="273"/>
      <c r="BA962" s="273"/>
    </row>
    <row r="963">
      <c r="A963" s="273"/>
      <c r="B963" s="273"/>
      <c r="C963" s="745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  <c r="AJ963" s="273"/>
      <c r="AK963" s="273"/>
      <c r="AL963" s="273"/>
      <c r="AM963" s="273"/>
      <c r="AN963" s="273"/>
      <c r="AO963" s="273"/>
      <c r="AP963" s="273"/>
      <c r="AQ963" s="273"/>
      <c r="AR963" s="273"/>
      <c r="AS963" s="273"/>
      <c r="AT963" s="273"/>
      <c r="AU963" s="273"/>
      <c r="AV963" s="273"/>
      <c r="AW963" s="273"/>
      <c r="AX963" s="273"/>
      <c r="AY963" s="273"/>
      <c r="AZ963" s="273"/>
      <c r="BA963" s="273"/>
    </row>
    <row r="964">
      <c r="A964" s="273"/>
      <c r="B964" s="273"/>
      <c r="C964" s="745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  <c r="AJ964" s="273"/>
      <c r="AK964" s="273"/>
      <c r="AL964" s="273"/>
      <c r="AM964" s="273"/>
      <c r="AN964" s="273"/>
      <c r="AO964" s="273"/>
      <c r="AP964" s="273"/>
      <c r="AQ964" s="273"/>
      <c r="AR964" s="273"/>
      <c r="AS964" s="273"/>
      <c r="AT964" s="273"/>
      <c r="AU964" s="273"/>
      <c r="AV964" s="273"/>
      <c r="AW964" s="273"/>
      <c r="AX964" s="273"/>
      <c r="AY964" s="273"/>
      <c r="AZ964" s="273"/>
      <c r="BA964" s="273"/>
    </row>
    <row r="965">
      <c r="A965" s="273"/>
      <c r="B965" s="273"/>
      <c r="C965" s="745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  <c r="AJ965" s="273"/>
      <c r="AK965" s="273"/>
      <c r="AL965" s="273"/>
      <c r="AM965" s="273"/>
      <c r="AN965" s="273"/>
      <c r="AO965" s="273"/>
      <c r="AP965" s="273"/>
      <c r="AQ965" s="273"/>
      <c r="AR965" s="273"/>
      <c r="AS965" s="273"/>
      <c r="AT965" s="273"/>
      <c r="AU965" s="273"/>
      <c r="AV965" s="273"/>
      <c r="AW965" s="273"/>
      <c r="AX965" s="273"/>
      <c r="AY965" s="273"/>
      <c r="AZ965" s="273"/>
      <c r="BA965" s="273"/>
    </row>
    <row r="966">
      <c r="A966" s="273"/>
      <c r="B966" s="273"/>
      <c r="C966" s="745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  <c r="AJ966" s="273"/>
      <c r="AK966" s="273"/>
      <c r="AL966" s="273"/>
      <c r="AM966" s="273"/>
      <c r="AN966" s="273"/>
      <c r="AO966" s="273"/>
      <c r="AP966" s="273"/>
      <c r="AQ966" s="273"/>
      <c r="AR966" s="273"/>
      <c r="AS966" s="273"/>
      <c r="AT966" s="273"/>
      <c r="AU966" s="273"/>
      <c r="AV966" s="273"/>
      <c r="AW966" s="273"/>
      <c r="AX966" s="273"/>
      <c r="AY966" s="273"/>
      <c r="AZ966" s="273"/>
      <c r="BA966" s="273"/>
    </row>
    <row r="967">
      <c r="A967" s="273"/>
      <c r="B967" s="273"/>
      <c r="C967" s="745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  <c r="AJ967" s="273"/>
      <c r="AK967" s="273"/>
      <c r="AL967" s="273"/>
      <c r="AM967" s="273"/>
      <c r="AN967" s="273"/>
      <c r="AO967" s="273"/>
      <c r="AP967" s="273"/>
      <c r="AQ967" s="273"/>
      <c r="AR967" s="273"/>
      <c r="AS967" s="273"/>
      <c r="AT967" s="273"/>
      <c r="AU967" s="273"/>
      <c r="AV967" s="273"/>
      <c r="AW967" s="273"/>
      <c r="AX967" s="273"/>
      <c r="AY967" s="273"/>
      <c r="AZ967" s="273"/>
      <c r="BA967" s="273"/>
    </row>
    <row r="968">
      <c r="A968" s="273"/>
      <c r="B968" s="273"/>
      <c r="C968" s="745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  <c r="AJ968" s="273"/>
      <c r="AK968" s="273"/>
      <c r="AL968" s="273"/>
      <c r="AM968" s="273"/>
      <c r="AN968" s="273"/>
      <c r="AO968" s="273"/>
      <c r="AP968" s="273"/>
      <c r="AQ968" s="273"/>
      <c r="AR968" s="273"/>
      <c r="AS968" s="273"/>
      <c r="AT968" s="273"/>
      <c r="AU968" s="273"/>
      <c r="AV968" s="273"/>
      <c r="AW968" s="273"/>
      <c r="AX968" s="273"/>
      <c r="AY968" s="273"/>
      <c r="AZ968" s="273"/>
      <c r="BA968" s="273"/>
    </row>
    <row r="969">
      <c r="A969" s="273"/>
      <c r="B969" s="273"/>
      <c r="C969" s="745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  <c r="AJ969" s="273"/>
      <c r="AK969" s="273"/>
      <c r="AL969" s="273"/>
      <c r="AM969" s="273"/>
      <c r="AN969" s="273"/>
      <c r="AO969" s="273"/>
      <c r="AP969" s="273"/>
      <c r="AQ969" s="273"/>
      <c r="AR969" s="273"/>
      <c r="AS969" s="273"/>
      <c r="AT969" s="273"/>
      <c r="AU969" s="273"/>
      <c r="AV969" s="273"/>
      <c r="AW969" s="273"/>
      <c r="AX969" s="273"/>
      <c r="AY969" s="273"/>
      <c r="AZ969" s="273"/>
      <c r="BA969" s="273"/>
    </row>
    <row r="970">
      <c r="A970" s="273"/>
      <c r="B970" s="273"/>
      <c r="C970" s="745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  <c r="AJ970" s="273"/>
      <c r="AK970" s="273"/>
      <c r="AL970" s="273"/>
      <c r="AM970" s="273"/>
      <c r="AN970" s="273"/>
      <c r="AO970" s="273"/>
      <c r="AP970" s="273"/>
      <c r="AQ970" s="273"/>
      <c r="AR970" s="273"/>
      <c r="AS970" s="273"/>
      <c r="AT970" s="273"/>
      <c r="AU970" s="273"/>
      <c r="AV970" s="273"/>
      <c r="AW970" s="273"/>
      <c r="AX970" s="273"/>
      <c r="AY970" s="273"/>
      <c r="AZ970" s="273"/>
      <c r="BA970" s="273"/>
    </row>
    <row r="971">
      <c r="A971" s="273"/>
      <c r="B971" s="273"/>
      <c r="C971" s="745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  <c r="AJ971" s="273"/>
      <c r="AK971" s="273"/>
      <c r="AL971" s="273"/>
      <c r="AM971" s="273"/>
      <c r="AN971" s="273"/>
      <c r="AO971" s="273"/>
      <c r="AP971" s="273"/>
      <c r="AQ971" s="273"/>
      <c r="AR971" s="273"/>
      <c r="AS971" s="273"/>
      <c r="AT971" s="273"/>
      <c r="AU971" s="273"/>
      <c r="AV971" s="273"/>
      <c r="AW971" s="273"/>
      <c r="AX971" s="273"/>
      <c r="AY971" s="273"/>
      <c r="AZ971" s="273"/>
      <c r="BA971" s="273"/>
    </row>
    <row r="972">
      <c r="A972" s="273"/>
      <c r="B972" s="273"/>
      <c r="C972" s="745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  <c r="AJ972" s="273"/>
      <c r="AK972" s="273"/>
      <c r="AL972" s="273"/>
      <c r="AM972" s="273"/>
      <c r="AN972" s="273"/>
      <c r="AO972" s="273"/>
      <c r="AP972" s="273"/>
      <c r="AQ972" s="273"/>
      <c r="AR972" s="273"/>
      <c r="AS972" s="273"/>
      <c r="AT972" s="273"/>
      <c r="AU972" s="273"/>
      <c r="AV972" s="273"/>
      <c r="AW972" s="273"/>
      <c r="AX972" s="273"/>
      <c r="AY972" s="273"/>
      <c r="AZ972" s="273"/>
      <c r="BA972" s="273"/>
    </row>
    <row r="973">
      <c r="A973" s="273"/>
      <c r="B973" s="273"/>
      <c r="C973" s="745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  <c r="AJ973" s="273"/>
      <c r="AK973" s="273"/>
      <c r="AL973" s="273"/>
      <c r="AM973" s="273"/>
      <c r="AN973" s="273"/>
      <c r="AO973" s="273"/>
      <c r="AP973" s="273"/>
      <c r="AQ973" s="273"/>
      <c r="AR973" s="273"/>
      <c r="AS973" s="273"/>
      <c r="AT973" s="273"/>
      <c r="AU973" s="273"/>
      <c r="AV973" s="273"/>
      <c r="AW973" s="273"/>
      <c r="AX973" s="273"/>
      <c r="AY973" s="273"/>
      <c r="AZ973" s="273"/>
      <c r="BA973" s="273"/>
    </row>
    <row r="974">
      <c r="A974" s="273"/>
      <c r="B974" s="273"/>
      <c r="C974" s="745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  <c r="AJ974" s="273"/>
      <c r="AK974" s="273"/>
      <c r="AL974" s="273"/>
      <c r="AM974" s="273"/>
      <c r="AN974" s="273"/>
      <c r="AO974" s="273"/>
      <c r="AP974" s="273"/>
      <c r="AQ974" s="273"/>
      <c r="AR974" s="273"/>
      <c r="AS974" s="273"/>
      <c r="AT974" s="273"/>
      <c r="AU974" s="273"/>
      <c r="AV974" s="273"/>
      <c r="AW974" s="273"/>
      <c r="AX974" s="273"/>
      <c r="AY974" s="273"/>
      <c r="AZ974" s="273"/>
      <c r="BA974" s="273"/>
    </row>
    <row r="975">
      <c r="A975" s="273"/>
      <c r="B975" s="273"/>
      <c r="C975" s="745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  <c r="AJ975" s="273"/>
      <c r="AK975" s="273"/>
      <c r="AL975" s="273"/>
      <c r="AM975" s="273"/>
      <c r="AN975" s="273"/>
      <c r="AO975" s="273"/>
      <c r="AP975" s="273"/>
      <c r="AQ975" s="273"/>
      <c r="AR975" s="273"/>
      <c r="AS975" s="273"/>
      <c r="AT975" s="273"/>
      <c r="AU975" s="273"/>
      <c r="AV975" s="273"/>
      <c r="AW975" s="273"/>
      <c r="AX975" s="273"/>
      <c r="AY975" s="273"/>
      <c r="AZ975" s="273"/>
      <c r="BA975" s="273"/>
    </row>
    <row r="976">
      <c r="A976" s="273"/>
      <c r="B976" s="273"/>
      <c r="C976" s="745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  <c r="AJ976" s="273"/>
      <c r="AK976" s="273"/>
      <c r="AL976" s="273"/>
      <c r="AM976" s="273"/>
      <c r="AN976" s="273"/>
      <c r="AO976" s="273"/>
      <c r="AP976" s="273"/>
      <c r="AQ976" s="273"/>
      <c r="AR976" s="273"/>
      <c r="AS976" s="273"/>
      <c r="AT976" s="273"/>
      <c r="AU976" s="273"/>
      <c r="AV976" s="273"/>
      <c r="AW976" s="273"/>
      <c r="AX976" s="273"/>
      <c r="AY976" s="273"/>
      <c r="AZ976" s="273"/>
      <c r="BA976" s="273"/>
    </row>
    <row r="977">
      <c r="A977" s="273"/>
      <c r="B977" s="273"/>
      <c r="C977" s="745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  <c r="AJ977" s="273"/>
      <c r="AK977" s="273"/>
      <c r="AL977" s="273"/>
      <c r="AM977" s="273"/>
      <c r="AN977" s="273"/>
      <c r="AO977" s="273"/>
      <c r="AP977" s="273"/>
      <c r="AQ977" s="273"/>
      <c r="AR977" s="273"/>
      <c r="AS977" s="273"/>
      <c r="AT977" s="273"/>
      <c r="AU977" s="273"/>
      <c r="AV977" s="273"/>
      <c r="AW977" s="273"/>
      <c r="AX977" s="273"/>
      <c r="AY977" s="273"/>
      <c r="AZ977" s="273"/>
      <c r="BA977" s="273"/>
    </row>
    <row r="978">
      <c r="A978" s="273"/>
      <c r="B978" s="273"/>
      <c r="C978" s="745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  <c r="AJ978" s="273"/>
      <c r="AK978" s="273"/>
      <c r="AL978" s="273"/>
      <c r="AM978" s="273"/>
      <c r="AN978" s="273"/>
      <c r="AO978" s="273"/>
      <c r="AP978" s="273"/>
      <c r="AQ978" s="273"/>
      <c r="AR978" s="273"/>
      <c r="AS978" s="273"/>
      <c r="AT978" s="273"/>
      <c r="AU978" s="273"/>
      <c r="AV978" s="273"/>
      <c r="AW978" s="273"/>
      <c r="AX978" s="273"/>
      <c r="AY978" s="273"/>
      <c r="AZ978" s="273"/>
      <c r="BA978" s="273"/>
    </row>
    <row r="979">
      <c r="A979" s="273"/>
      <c r="B979" s="273"/>
      <c r="C979" s="745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  <c r="AJ979" s="273"/>
      <c r="AK979" s="273"/>
      <c r="AL979" s="273"/>
      <c r="AM979" s="273"/>
      <c r="AN979" s="273"/>
      <c r="AO979" s="273"/>
      <c r="AP979" s="273"/>
      <c r="AQ979" s="273"/>
      <c r="AR979" s="273"/>
      <c r="AS979" s="273"/>
      <c r="AT979" s="273"/>
      <c r="AU979" s="273"/>
      <c r="AV979" s="273"/>
      <c r="AW979" s="273"/>
      <c r="AX979" s="273"/>
      <c r="AY979" s="273"/>
      <c r="AZ979" s="273"/>
      <c r="BA979" s="273"/>
    </row>
    <row r="980">
      <c r="A980" s="273"/>
      <c r="B980" s="273"/>
      <c r="C980" s="745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  <c r="AJ980" s="273"/>
      <c r="AK980" s="273"/>
      <c r="AL980" s="273"/>
      <c r="AM980" s="273"/>
      <c r="AN980" s="273"/>
      <c r="AO980" s="273"/>
      <c r="AP980" s="273"/>
      <c r="AQ980" s="273"/>
      <c r="AR980" s="273"/>
      <c r="AS980" s="273"/>
      <c r="AT980" s="273"/>
      <c r="AU980" s="273"/>
      <c r="AV980" s="273"/>
      <c r="AW980" s="273"/>
      <c r="AX980" s="273"/>
      <c r="AY980" s="273"/>
      <c r="AZ980" s="273"/>
      <c r="BA980" s="273"/>
    </row>
    <row r="981">
      <c r="A981" s="273"/>
      <c r="B981" s="273"/>
      <c r="C981" s="745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  <c r="AJ981" s="273"/>
      <c r="AK981" s="273"/>
      <c r="AL981" s="273"/>
      <c r="AM981" s="273"/>
      <c r="AN981" s="273"/>
      <c r="AO981" s="273"/>
      <c r="AP981" s="273"/>
      <c r="AQ981" s="273"/>
      <c r="AR981" s="273"/>
      <c r="AS981" s="273"/>
      <c r="AT981" s="273"/>
      <c r="AU981" s="273"/>
      <c r="AV981" s="273"/>
      <c r="AW981" s="273"/>
      <c r="AX981" s="273"/>
      <c r="AY981" s="273"/>
      <c r="AZ981" s="273"/>
      <c r="BA981" s="273"/>
    </row>
    <row r="982">
      <c r="A982" s="273"/>
      <c r="B982" s="273"/>
      <c r="C982" s="745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  <c r="AJ982" s="273"/>
      <c r="AK982" s="273"/>
      <c r="AL982" s="273"/>
      <c r="AM982" s="273"/>
      <c r="AN982" s="273"/>
      <c r="AO982" s="273"/>
      <c r="AP982" s="273"/>
      <c r="AQ982" s="273"/>
      <c r="AR982" s="273"/>
      <c r="AS982" s="273"/>
      <c r="AT982" s="273"/>
      <c r="AU982" s="273"/>
      <c r="AV982" s="273"/>
      <c r="AW982" s="273"/>
      <c r="AX982" s="273"/>
      <c r="AY982" s="273"/>
      <c r="AZ982" s="273"/>
      <c r="BA982" s="273"/>
    </row>
    <row r="983">
      <c r="A983" s="273"/>
      <c r="B983" s="273"/>
      <c r="C983" s="745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  <c r="AJ983" s="273"/>
      <c r="AK983" s="273"/>
      <c r="AL983" s="273"/>
      <c r="AM983" s="273"/>
      <c r="AN983" s="273"/>
      <c r="AO983" s="273"/>
      <c r="AP983" s="273"/>
      <c r="AQ983" s="273"/>
      <c r="AR983" s="273"/>
      <c r="AS983" s="273"/>
      <c r="AT983" s="273"/>
      <c r="AU983" s="273"/>
      <c r="AV983" s="273"/>
      <c r="AW983" s="273"/>
      <c r="AX983" s="273"/>
      <c r="AY983" s="273"/>
      <c r="AZ983" s="273"/>
      <c r="BA983" s="273"/>
    </row>
    <row r="984">
      <c r="A984" s="273"/>
      <c r="B984" s="273"/>
      <c r="C984" s="745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  <c r="AJ984" s="273"/>
      <c r="AK984" s="273"/>
      <c r="AL984" s="273"/>
      <c r="AM984" s="273"/>
      <c r="AN984" s="273"/>
      <c r="AO984" s="273"/>
      <c r="AP984" s="273"/>
      <c r="AQ984" s="273"/>
      <c r="AR984" s="273"/>
      <c r="AS984" s="273"/>
      <c r="AT984" s="273"/>
      <c r="AU984" s="273"/>
      <c r="AV984" s="273"/>
      <c r="AW984" s="273"/>
      <c r="AX984" s="273"/>
      <c r="AY984" s="273"/>
      <c r="AZ984" s="273"/>
      <c r="BA984" s="273"/>
    </row>
    <row r="985">
      <c r="A985" s="273"/>
      <c r="B985" s="273"/>
      <c r="C985" s="745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  <c r="AJ985" s="273"/>
      <c r="AK985" s="273"/>
      <c r="AL985" s="273"/>
      <c r="AM985" s="273"/>
      <c r="AN985" s="273"/>
      <c r="AO985" s="273"/>
      <c r="AP985" s="273"/>
      <c r="AQ985" s="273"/>
      <c r="AR985" s="273"/>
      <c r="AS985" s="273"/>
      <c r="AT985" s="273"/>
      <c r="AU985" s="273"/>
      <c r="AV985" s="273"/>
      <c r="AW985" s="273"/>
      <c r="AX985" s="273"/>
      <c r="AY985" s="273"/>
      <c r="AZ985" s="273"/>
      <c r="BA985" s="273"/>
    </row>
    <row r="986">
      <c r="A986" s="273"/>
      <c r="B986" s="273"/>
      <c r="C986" s="745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  <c r="AJ986" s="273"/>
      <c r="AK986" s="273"/>
      <c r="AL986" s="273"/>
      <c r="AM986" s="273"/>
      <c r="AN986" s="273"/>
      <c r="AO986" s="273"/>
      <c r="AP986" s="273"/>
      <c r="AQ986" s="273"/>
      <c r="AR986" s="273"/>
      <c r="AS986" s="273"/>
      <c r="AT986" s="273"/>
      <c r="AU986" s="273"/>
      <c r="AV986" s="273"/>
      <c r="AW986" s="273"/>
      <c r="AX986" s="273"/>
      <c r="AY986" s="273"/>
      <c r="AZ986" s="273"/>
      <c r="BA986" s="273"/>
    </row>
    <row r="987">
      <c r="A987" s="273"/>
      <c r="B987" s="273"/>
      <c r="C987" s="745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  <c r="AJ987" s="273"/>
      <c r="AK987" s="273"/>
      <c r="AL987" s="273"/>
      <c r="AM987" s="273"/>
      <c r="AN987" s="273"/>
      <c r="AO987" s="273"/>
      <c r="AP987" s="273"/>
      <c r="AQ987" s="273"/>
      <c r="AR987" s="273"/>
      <c r="AS987" s="273"/>
      <c r="AT987" s="273"/>
      <c r="AU987" s="273"/>
      <c r="AV987" s="273"/>
      <c r="AW987" s="273"/>
      <c r="AX987" s="273"/>
      <c r="AY987" s="273"/>
      <c r="AZ987" s="273"/>
      <c r="BA987" s="273"/>
    </row>
    <row r="988">
      <c r="A988" s="273"/>
      <c r="B988" s="273"/>
      <c r="C988" s="745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  <c r="AJ988" s="273"/>
      <c r="AK988" s="273"/>
      <c r="AL988" s="273"/>
      <c r="AM988" s="273"/>
      <c r="AN988" s="273"/>
      <c r="AO988" s="273"/>
      <c r="AP988" s="273"/>
      <c r="AQ988" s="273"/>
      <c r="AR988" s="273"/>
      <c r="AS988" s="273"/>
      <c r="AT988" s="273"/>
      <c r="AU988" s="273"/>
      <c r="AV988" s="273"/>
      <c r="AW988" s="273"/>
      <c r="AX988" s="273"/>
      <c r="AY988" s="273"/>
      <c r="AZ988" s="273"/>
      <c r="BA988" s="273"/>
    </row>
    <row r="989">
      <c r="A989" s="273"/>
      <c r="B989" s="273"/>
      <c r="C989" s="745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  <c r="AJ989" s="273"/>
      <c r="AK989" s="273"/>
      <c r="AL989" s="273"/>
      <c r="AM989" s="273"/>
      <c r="AN989" s="273"/>
      <c r="AO989" s="273"/>
      <c r="AP989" s="273"/>
      <c r="AQ989" s="273"/>
      <c r="AR989" s="273"/>
      <c r="AS989" s="273"/>
      <c r="AT989" s="273"/>
      <c r="AU989" s="273"/>
      <c r="AV989" s="273"/>
      <c r="AW989" s="273"/>
      <c r="AX989" s="273"/>
      <c r="AY989" s="273"/>
      <c r="AZ989" s="273"/>
      <c r="BA989" s="273"/>
    </row>
    <row r="990">
      <c r="A990" s="273"/>
      <c r="B990" s="273"/>
      <c r="C990" s="745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  <c r="AJ990" s="273"/>
      <c r="AK990" s="273"/>
      <c r="AL990" s="273"/>
      <c r="AM990" s="273"/>
      <c r="AN990" s="273"/>
      <c r="AO990" s="273"/>
      <c r="AP990" s="273"/>
      <c r="AQ990" s="273"/>
      <c r="AR990" s="273"/>
      <c r="AS990" s="273"/>
      <c r="AT990" s="273"/>
      <c r="AU990" s="273"/>
      <c r="AV990" s="273"/>
      <c r="AW990" s="273"/>
      <c r="AX990" s="273"/>
      <c r="AY990" s="273"/>
      <c r="AZ990" s="273"/>
      <c r="BA990" s="273"/>
    </row>
    <row r="991">
      <c r="A991" s="273"/>
      <c r="B991" s="273"/>
      <c r="C991" s="745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  <c r="AJ991" s="273"/>
      <c r="AK991" s="273"/>
      <c r="AL991" s="273"/>
      <c r="AM991" s="273"/>
      <c r="AN991" s="273"/>
      <c r="AO991" s="273"/>
      <c r="AP991" s="273"/>
      <c r="AQ991" s="273"/>
      <c r="AR991" s="273"/>
      <c r="AS991" s="273"/>
      <c r="AT991" s="273"/>
      <c r="AU991" s="273"/>
      <c r="AV991" s="273"/>
      <c r="AW991" s="273"/>
      <c r="AX991" s="273"/>
      <c r="AY991" s="273"/>
      <c r="AZ991" s="273"/>
      <c r="BA991" s="273"/>
    </row>
    <row r="992">
      <c r="A992" s="273"/>
      <c r="B992" s="273"/>
      <c r="C992" s="745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  <c r="AJ992" s="273"/>
      <c r="AK992" s="273"/>
      <c r="AL992" s="273"/>
      <c r="AM992" s="273"/>
      <c r="AN992" s="273"/>
      <c r="AO992" s="273"/>
      <c r="AP992" s="273"/>
      <c r="AQ992" s="273"/>
      <c r="AR992" s="273"/>
      <c r="AS992" s="273"/>
      <c r="AT992" s="273"/>
      <c r="AU992" s="273"/>
      <c r="AV992" s="273"/>
      <c r="AW992" s="273"/>
      <c r="AX992" s="273"/>
      <c r="AY992" s="273"/>
      <c r="AZ992" s="273"/>
      <c r="BA992" s="273"/>
    </row>
    <row r="993">
      <c r="A993" s="273"/>
      <c r="B993" s="273"/>
      <c r="C993" s="745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  <c r="AJ993" s="273"/>
      <c r="AK993" s="273"/>
      <c r="AL993" s="273"/>
      <c r="AM993" s="273"/>
      <c r="AN993" s="273"/>
      <c r="AO993" s="273"/>
      <c r="AP993" s="273"/>
      <c r="AQ993" s="273"/>
      <c r="AR993" s="273"/>
      <c r="AS993" s="273"/>
      <c r="AT993" s="273"/>
      <c r="AU993" s="273"/>
      <c r="AV993" s="273"/>
      <c r="AW993" s="273"/>
      <c r="AX993" s="273"/>
      <c r="AY993" s="273"/>
      <c r="AZ993" s="273"/>
      <c r="BA993" s="273"/>
    </row>
    <row r="994">
      <c r="A994" s="273"/>
      <c r="B994" s="273"/>
      <c r="C994" s="745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  <c r="AJ994" s="273"/>
      <c r="AK994" s="273"/>
      <c r="AL994" s="273"/>
      <c r="AM994" s="273"/>
      <c r="AN994" s="273"/>
      <c r="AO994" s="273"/>
      <c r="AP994" s="273"/>
      <c r="AQ994" s="273"/>
      <c r="AR994" s="273"/>
      <c r="AS994" s="273"/>
      <c r="AT994" s="273"/>
      <c r="AU994" s="273"/>
      <c r="AV994" s="273"/>
      <c r="AW994" s="273"/>
      <c r="AX994" s="273"/>
      <c r="AY994" s="273"/>
      <c r="AZ994" s="273"/>
      <c r="BA994" s="273"/>
    </row>
    <row r="995">
      <c r="A995" s="273"/>
      <c r="B995" s="273"/>
      <c r="C995" s="745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  <c r="AJ995" s="273"/>
      <c r="AK995" s="273"/>
      <c r="AL995" s="273"/>
      <c r="AM995" s="273"/>
      <c r="AN995" s="273"/>
      <c r="AO995" s="273"/>
      <c r="AP995" s="273"/>
      <c r="AQ995" s="273"/>
      <c r="AR995" s="273"/>
      <c r="AS995" s="273"/>
      <c r="AT995" s="273"/>
      <c r="AU995" s="273"/>
      <c r="AV995" s="273"/>
      <c r="AW995" s="273"/>
      <c r="AX995" s="273"/>
      <c r="AY995" s="273"/>
      <c r="AZ995" s="273"/>
      <c r="BA995" s="273"/>
    </row>
    <row r="996">
      <c r="A996" s="273"/>
      <c r="B996" s="273"/>
      <c r="C996" s="745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  <c r="AJ996" s="273"/>
      <c r="AK996" s="273"/>
      <c r="AL996" s="273"/>
      <c r="AM996" s="273"/>
      <c r="AN996" s="273"/>
      <c r="AO996" s="273"/>
      <c r="AP996" s="273"/>
      <c r="AQ996" s="273"/>
      <c r="AR996" s="273"/>
      <c r="AS996" s="273"/>
      <c r="AT996" s="273"/>
      <c r="AU996" s="273"/>
      <c r="AV996" s="273"/>
      <c r="AW996" s="273"/>
      <c r="AX996" s="273"/>
      <c r="AY996" s="273"/>
      <c r="AZ996" s="273"/>
      <c r="BA996" s="273"/>
    </row>
    <row r="997">
      <c r="A997" s="273"/>
      <c r="B997" s="273"/>
      <c r="C997" s="745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  <c r="AJ997" s="273"/>
      <c r="AK997" s="273"/>
      <c r="AL997" s="273"/>
      <c r="AM997" s="273"/>
      <c r="AN997" s="273"/>
      <c r="AO997" s="273"/>
      <c r="AP997" s="273"/>
      <c r="AQ997" s="273"/>
      <c r="AR997" s="273"/>
      <c r="AS997" s="273"/>
      <c r="AT997" s="273"/>
      <c r="AU997" s="273"/>
      <c r="AV997" s="273"/>
      <c r="AW997" s="273"/>
      <c r="AX997" s="273"/>
      <c r="AY997" s="273"/>
      <c r="AZ997" s="273"/>
      <c r="BA997" s="273"/>
    </row>
    <row r="998">
      <c r="A998" s="273"/>
      <c r="B998" s="273"/>
      <c r="C998" s="745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  <c r="AJ998" s="273"/>
      <c r="AK998" s="273"/>
      <c r="AL998" s="273"/>
      <c r="AM998" s="273"/>
      <c r="AN998" s="273"/>
      <c r="AO998" s="273"/>
      <c r="AP998" s="273"/>
      <c r="AQ998" s="273"/>
      <c r="AR998" s="273"/>
      <c r="AS998" s="273"/>
      <c r="AT998" s="273"/>
      <c r="AU998" s="273"/>
      <c r="AV998" s="273"/>
      <c r="AW998" s="273"/>
      <c r="AX998" s="273"/>
      <c r="AY998" s="273"/>
      <c r="AZ998" s="273"/>
      <c r="BA998" s="273"/>
    </row>
    <row r="999">
      <c r="A999" s="273"/>
      <c r="B999" s="273"/>
      <c r="C999" s="745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  <c r="AJ999" s="273"/>
      <c r="AK999" s="273"/>
      <c r="AL999" s="273"/>
      <c r="AM999" s="273"/>
      <c r="AN999" s="273"/>
      <c r="AO999" s="273"/>
      <c r="AP999" s="273"/>
      <c r="AQ999" s="273"/>
      <c r="AR999" s="273"/>
      <c r="AS999" s="273"/>
      <c r="AT999" s="273"/>
      <c r="AU999" s="273"/>
      <c r="AV999" s="273"/>
      <c r="AW999" s="273"/>
      <c r="AX999" s="273"/>
      <c r="AY999" s="273"/>
      <c r="AZ999" s="273"/>
      <c r="BA999" s="273"/>
    </row>
    <row r="1000">
      <c r="A1000" s="273"/>
      <c r="B1000" s="273"/>
      <c r="C1000" s="745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  <c r="AJ1000" s="273"/>
      <c r="AK1000" s="273"/>
      <c r="AL1000" s="273"/>
      <c r="AM1000" s="273"/>
      <c r="AN1000" s="273"/>
      <c r="AO1000" s="273"/>
      <c r="AP1000" s="273"/>
      <c r="AQ1000" s="273"/>
      <c r="AR1000" s="273"/>
      <c r="AS1000" s="273"/>
      <c r="AT1000" s="273"/>
      <c r="AU1000" s="273"/>
      <c r="AV1000" s="273"/>
      <c r="AW1000" s="273"/>
      <c r="AX1000" s="273"/>
      <c r="AY1000" s="273"/>
      <c r="AZ1000" s="273"/>
      <c r="BA1000" s="273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63"/>
    <col customWidth="1" min="3" max="3" width="6.38"/>
    <col customWidth="1" min="4" max="4" width="10.25"/>
    <col customWidth="1" min="5" max="5" width="9.5"/>
    <col customWidth="1" min="6" max="7" width="5.63"/>
    <col customWidth="1" min="8" max="8" width="6.13"/>
    <col customWidth="1" min="9" max="9" width="6.5"/>
    <col customWidth="1" min="10" max="10" width="5.63"/>
    <col customWidth="1" min="11" max="11" width="1.38"/>
    <col customWidth="1" min="12" max="12" width="14.0"/>
    <col customWidth="1" min="13" max="13" width="8.63"/>
    <col customWidth="1" min="14" max="14" width="6.38"/>
    <col customWidth="1" min="15" max="15" width="10.25"/>
    <col customWidth="1" min="16" max="16" width="9.5"/>
    <col customWidth="1" min="17" max="17" width="4.75"/>
    <col customWidth="1" min="18" max="18" width="4.5"/>
    <col customWidth="1" min="19" max="19" width="6.13"/>
    <col customWidth="1" min="20" max="20" width="6.5"/>
    <col customWidth="1" min="21" max="21" width="4.75"/>
    <col customWidth="1" min="22" max="22" width="10.0"/>
    <col customWidth="1" min="23" max="23" width="9.63"/>
    <col customWidth="1" min="24" max="24" width="9.0"/>
    <col customWidth="1" min="25" max="25" width="5.63"/>
    <col customWidth="1" min="26" max="26" width="9.75"/>
    <col customWidth="1" min="27" max="27" width="8.63"/>
    <col customWidth="1" min="28" max="28" width="7.88"/>
    <col customWidth="1" min="29" max="29" width="10.5"/>
    <col customWidth="1" min="30" max="30" width="10.25"/>
    <col customWidth="1" min="31" max="31" width="11.38"/>
    <col customWidth="1" min="32" max="32" width="9.5"/>
    <col customWidth="1" min="33" max="35" width="10.5"/>
  </cols>
  <sheetData>
    <row r="1">
      <c r="A1" s="243" t="s">
        <v>138</v>
      </c>
      <c r="B1" s="246" t="s">
        <v>139</v>
      </c>
      <c r="C1" s="246" t="s">
        <v>140</v>
      </c>
      <c r="D1" s="246" t="s">
        <v>134</v>
      </c>
      <c r="E1" s="246" t="s">
        <v>135</v>
      </c>
      <c r="F1" s="246" t="s">
        <v>141</v>
      </c>
      <c r="G1" s="246" t="s">
        <v>142</v>
      </c>
      <c r="H1" s="246" t="s">
        <v>143</v>
      </c>
      <c r="I1" s="246" t="s">
        <v>144</v>
      </c>
      <c r="J1" s="249" t="s">
        <v>145</v>
      </c>
      <c r="K1" s="252"/>
      <c r="L1" s="243" t="s">
        <v>138</v>
      </c>
      <c r="M1" s="246" t="s">
        <v>139</v>
      </c>
      <c r="N1" s="246" t="s">
        <v>140</v>
      </c>
      <c r="O1" s="246" t="s">
        <v>134</v>
      </c>
      <c r="P1" s="246" t="s">
        <v>135</v>
      </c>
      <c r="Q1" s="246" t="s">
        <v>141</v>
      </c>
      <c r="R1" s="246" t="s">
        <v>142</v>
      </c>
      <c r="S1" s="246" t="s">
        <v>143</v>
      </c>
      <c r="T1" s="246" t="s">
        <v>144</v>
      </c>
      <c r="U1" s="257" t="s">
        <v>145</v>
      </c>
      <c r="V1" s="260" t="s">
        <v>136</v>
      </c>
      <c r="W1" s="262" t="s">
        <v>137</v>
      </c>
      <c r="X1" s="265"/>
      <c r="Y1" s="267"/>
      <c r="Z1" s="265"/>
      <c r="AA1" s="246" t="s">
        <v>139</v>
      </c>
      <c r="AB1" s="246" t="s">
        <v>140</v>
      </c>
      <c r="AC1" s="246" t="s">
        <v>134</v>
      </c>
      <c r="AD1" s="246" t="s">
        <v>135</v>
      </c>
      <c r="AE1" s="246" t="s">
        <v>141</v>
      </c>
      <c r="AF1" s="246" t="s">
        <v>142</v>
      </c>
      <c r="AG1" s="246" t="s">
        <v>143</v>
      </c>
      <c r="AH1" s="246" t="s">
        <v>144</v>
      </c>
      <c r="AI1" s="257" t="s">
        <v>145</v>
      </c>
    </row>
    <row r="2">
      <c r="A2" s="272" t="str">
        <f>'Halo Infinite Stats'!$A2</f>
        <v>Ace B S1lentND1</v>
      </c>
      <c r="B2" s="275">
        <f>IFERROR(VLOOKUP($A2,'Full Season PG+ Stats'!$A:$W,2,0),)</f>
        <v>0.05834572703</v>
      </c>
      <c r="C2" s="275">
        <f>IFERROR(VLOOKUP($A2,'Full Season PG+ Stats'!$A:$W,3,0),)</f>
        <v>0.6109140831</v>
      </c>
      <c r="D2" s="275">
        <f>IFERROR(VLOOKUP($A2,'Full Season PG+ Stats'!$A:$W,4,0),)</f>
        <v>0.837432788</v>
      </c>
      <c r="E2" s="275">
        <f>IFERROR(VLOOKUP($A2,'Full Season PG+ Stats'!$A:$W,5,0),)</f>
        <v>0.133851962</v>
      </c>
      <c r="F2" s="275">
        <f>IFERROR(VLOOKUP($A2,'Full Season PG+ Stats'!$A:$W,6,0),)</f>
        <v>0.9541242421</v>
      </c>
      <c r="G2" s="275">
        <f>IFERROR(VLOOKUP($A2,'Full Season PG+ Stats'!$A:$W,7,0),)</f>
        <v>0.2882965336</v>
      </c>
      <c r="H2" s="275">
        <f>IFERROR(VLOOKUP($A2,'Full Season PG+ Stats'!$A:$W,8,0),)</f>
        <v>1.578766731</v>
      </c>
      <c r="I2" s="275">
        <f>IFERROR(VLOOKUP($A2,'Full Season PG+ Stats'!$A:$W,9,0),)</f>
        <v>0.08580253976</v>
      </c>
      <c r="J2" s="275">
        <f>IFERROR(VLOOKUP($A2,'Full Season PG+ Stats'!$A:$X,10,0),)</f>
        <v>4.204324448</v>
      </c>
      <c r="K2" s="284"/>
      <c r="L2" s="272" t="str">
        <f>'Halo Infinite Stats'!$A2</f>
        <v>Ace B S1lentND1</v>
      </c>
      <c r="M2" s="290" t="str">
        <f t="shared" ref="M2:M43" si="3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B+</v>
      </c>
      <c r="N2" s="29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S</v>
      </c>
      <c r="O2" s="290" t="str">
        <f t="shared" si="1"/>
        <v>S</v>
      </c>
      <c r="P2" s="290" t="str">
        <f t="shared" si="1"/>
        <v>S</v>
      </c>
      <c r="Q2" s="290" t="str">
        <f t="shared" si="1"/>
        <v>S+</v>
      </c>
      <c r="R2" s="290" t="str">
        <f t="shared" si="1"/>
        <v>S</v>
      </c>
      <c r="S2" s="290" t="str">
        <f t="shared" si="1"/>
        <v>S+</v>
      </c>
      <c r="T2" s="290" t="str">
        <f t="shared" si="1"/>
        <v>S-</v>
      </c>
      <c r="U2" s="290" t="str">
        <f t="shared" si="1"/>
        <v>S+</v>
      </c>
      <c r="V2" s="288" t="str">
        <f t="shared" ref="V2:V43" si="5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S+</v>
      </c>
      <c r="W2" s="289">
        <f t="shared" ref="W2:W43" si="6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27.675</v>
      </c>
      <c r="X2" s="291" t="s">
        <v>147</v>
      </c>
      <c r="Y2" s="292" t="s">
        <v>148</v>
      </c>
      <c r="Z2" s="306" t="s">
        <v>150</v>
      </c>
      <c r="AA2" s="293">
        <f t="shared" ref="AA2:AI2" si="2">PERCENTILE(B2:B55,1)</f>
        <v>0.2230600063</v>
      </c>
      <c r="AB2" s="293">
        <f t="shared" si="2"/>
        <v>1.112882411</v>
      </c>
      <c r="AC2" s="293">
        <f t="shared" si="2"/>
        <v>0.9565019358</v>
      </c>
      <c r="AD2" s="293">
        <f t="shared" si="2"/>
        <v>0.1518257041</v>
      </c>
      <c r="AE2" s="293">
        <f t="shared" si="2"/>
        <v>0.9541242421</v>
      </c>
      <c r="AF2" s="293">
        <f t="shared" si="2"/>
        <v>0.3113903305</v>
      </c>
      <c r="AG2" s="293">
        <f t="shared" si="2"/>
        <v>1.578766731</v>
      </c>
      <c r="AH2" s="293">
        <f t="shared" si="2"/>
        <v>0.1191912026</v>
      </c>
      <c r="AI2" s="293">
        <f t="shared" si="2"/>
        <v>4.204324448</v>
      </c>
    </row>
    <row r="3">
      <c r="A3" s="272" t="str">
        <f>'Halo Infinite Stats'!$A3</f>
        <v>Almighty Tycoon</v>
      </c>
      <c r="B3" s="275">
        <f>IFERROR(VLOOKUP($A3,'Full Season PG+ Stats'!$A:$W,2,0),)</f>
        <v>0.04542951542</v>
      </c>
      <c r="C3" s="275">
        <f>IFERROR(VLOOKUP($A3,'Full Season PG+ Stats'!$A:$W,3,0),)</f>
        <v>-0.6525330396</v>
      </c>
      <c r="D3" s="275">
        <f>IFERROR(VLOOKUP($A3,'Full Season PG+ Stats'!$A:$W,4,0),)</f>
        <v>0.3262665198</v>
      </c>
      <c r="E3" s="275">
        <f>IFERROR(VLOOKUP($A3,'Full Season PG+ Stats'!$A:$W,5,0),)</f>
        <v>0.02890969163</v>
      </c>
      <c r="F3" s="275">
        <f>IFERROR(VLOOKUP($A3,'Full Season PG+ Stats'!$A:$W,6,0),)</f>
        <v>0.3840859031</v>
      </c>
      <c r="G3" s="275">
        <f>IFERROR(VLOOKUP($A3,'Full Season PG+ Stats'!$A:$W,7,0),)</f>
        <v>0.0702092511</v>
      </c>
      <c r="H3" s="275">
        <f>IFERROR(VLOOKUP($A3,'Full Season PG+ Stats'!$A:$W,8,0),)</f>
        <v>0.5162444934</v>
      </c>
      <c r="I3" s="275">
        <f>IFERROR(VLOOKUP($A3,'Full Season PG+ Stats'!$A:$W,9,0),)</f>
        <v>0.02064977974</v>
      </c>
      <c r="J3" s="275">
        <f>IFERROR(VLOOKUP($A3,'Full Season PG+ Stats'!$A:$X,10,0),)</f>
        <v>2.457323789</v>
      </c>
      <c r="K3" s="284"/>
      <c r="L3" s="272" t="str">
        <f>'Halo Infinite Stats'!$A3</f>
        <v>Almighty Tycoon</v>
      </c>
      <c r="M3" s="290" t="str">
        <f t="shared" si="3"/>
        <v>C</v>
      </c>
      <c r="N3" s="290" t="str">
        <f t="shared" ref="N3:U3" si="4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C+</v>
      </c>
      <c r="O3" s="290" t="str">
        <f t="shared" si="4"/>
        <v>E+</v>
      </c>
      <c r="P3" s="290" t="str">
        <f t="shared" si="4"/>
        <v>D</v>
      </c>
      <c r="Q3" s="290" t="str">
        <f t="shared" si="4"/>
        <v>D</v>
      </c>
      <c r="R3" s="290" t="str">
        <f t="shared" si="4"/>
        <v>E</v>
      </c>
      <c r="S3" s="290" t="str">
        <f t="shared" si="4"/>
        <v>D-</v>
      </c>
      <c r="T3" s="290" t="str">
        <f t="shared" si="4"/>
        <v>F-</v>
      </c>
      <c r="U3" s="290" t="str">
        <f t="shared" si="4"/>
        <v>D-</v>
      </c>
      <c r="V3" s="288" t="str">
        <f t="shared" si="5"/>
        <v>D-</v>
      </c>
      <c r="W3" s="289">
        <f t="shared" si="6"/>
        <v>12.6</v>
      </c>
      <c r="X3" s="303" t="s">
        <v>150</v>
      </c>
      <c r="Y3" s="305">
        <v>11.0</v>
      </c>
      <c r="Z3" s="311" t="s">
        <v>152</v>
      </c>
      <c r="AA3" s="293">
        <f t="shared" ref="AA3:AI3" si="7">PERCENTILE(B2:B55,0.95)</f>
        <v>0.1313710884</v>
      </c>
      <c r="AB3" s="293">
        <f t="shared" si="7"/>
        <v>0.6045104663</v>
      </c>
      <c r="AC3" s="293">
        <f t="shared" si="7"/>
        <v>0.7698459859</v>
      </c>
      <c r="AD3" s="293">
        <f t="shared" si="7"/>
        <v>0.1233736933</v>
      </c>
      <c r="AE3" s="293">
        <f t="shared" si="7"/>
        <v>0.823216261</v>
      </c>
      <c r="AF3" s="293">
        <f t="shared" si="7"/>
        <v>0.2861795889</v>
      </c>
      <c r="AG3" s="293">
        <f t="shared" si="7"/>
        <v>1.380295554</v>
      </c>
      <c r="AH3" s="293">
        <f t="shared" si="7"/>
        <v>0.1056556377</v>
      </c>
      <c r="AI3" s="293">
        <f t="shared" si="7"/>
        <v>3.992163585</v>
      </c>
    </row>
    <row r="4">
      <c r="A4" s="272" t="str">
        <f>'Halo Infinite Stats'!$A4</f>
        <v>Amnatu</v>
      </c>
      <c r="B4" s="275">
        <f>IFERROR(VLOOKUP($A4,'Full Season PG+ Stats'!$A:$W,2,0),)</f>
        <v>0.04649776453</v>
      </c>
      <c r="C4" s="275">
        <f>IFERROR(VLOOKUP($A4,'Full Season PG+ Stats'!$A:$W,3,0),)</f>
        <v>-1.838450075</v>
      </c>
      <c r="D4" s="275">
        <f>IFERROR(VLOOKUP($A4,'Full Season PG+ Stats'!$A:$W,4,0),)</f>
        <v>0.2110283159</v>
      </c>
      <c r="E4" s="275">
        <f>IFERROR(VLOOKUP($A4,'Full Season PG+ Stats'!$A:$W,5,0),)</f>
        <v>0.01073025335</v>
      </c>
      <c r="F4" s="275">
        <f>IFERROR(VLOOKUP($A4,'Full Season PG+ Stats'!$A:$W,6,0),)</f>
        <v>0.2002980626</v>
      </c>
      <c r="G4" s="275">
        <f>IFERROR(VLOOKUP($A4,'Full Season PG+ Stats'!$A:$W,7,0),)</f>
        <v>0.03219076006</v>
      </c>
      <c r="H4" s="275">
        <f>IFERROR(VLOOKUP($A4,'Full Season PG+ Stats'!$A:$W,8,0),)</f>
        <v>0.2718330849</v>
      </c>
      <c r="I4" s="275">
        <f>IFERROR(VLOOKUP($A4,'Full Season PG+ Stats'!$A:$W,9,0),)</f>
        <v>0.0393442623</v>
      </c>
      <c r="J4" s="275">
        <f>IFERROR(VLOOKUP($A4,'Full Season PG+ Stats'!$A:$X,10,0),)</f>
        <v>1.605961252</v>
      </c>
      <c r="K4" s="284"/>
      <c r="L4" s="272" t="str">
        <f>'Halo Infinite Stats'!$A4</f>
        <v>Amnatu</v>
      </c>
      <c r="M4" s="290" t="str">
        <f t="shared" si="3"/>
        <v>C+</v>
      </c>
      <c r="N4" s="290" t="str">
        <f t="shared" ref="N4:U4" si="8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F-</v>
      </c>
      <c r="O4" s="290" t="str">
        <f t="shared" si="8"/>
        <v>F</v>
      </c>
      <c r="P4" s="290" t="str">
        <f t="shared" si="8"/>
        <v>F</v>
      </c>
      <c r="Q4" s="290" t="str">
        <f t="shared" si="8"/>
        <v>F-</v>
      </c>
      <c r="R4" s="290" t="str">
        <f t="shared" si="8"/>
        <v>F-</v>
      </c>
      <c r="S4" s="290" t="str">
        <f t="shared" si="8"/>
        <v>F-</v>
      </c>
      <c r="T4" s="290" t="str">
        <f t="shared" si="8"/>
        <v>E-</v>
      </c>
      <c r="U4" s="290" t="str">
        <f t="shared" si="8"/>
        <v>F-</v>
      </c>
      <c r="V4" s="288" t="str">
        <f t="shared" si="5"/>
        <v>F-</v>
      </c>
      <c r="W4" s="289">
        <f t="shared" si="6"/>
        <v>5.9875</v>
      </c>
      <c r="X4" s="307" t="s">
        <v>152</v>
      </c>
      <c r="Y4" s="305">
        <v>10.5</v>
      </c>
      <c r="Z4" s="306" t="s">
        <v>154</v>
      </c>
      <c r="AA4" s="293">
        <f t="shared" ref="AA4:AI4" si="9">PERCENTILE(B2:B55,0.9)</f>
        <v>0.1184360768</v>
      </c>
      <c r="AB4" s="293">
        <f t="shared" si="9"/>
        <v>0.4493476992</v>
      </c>
      <c r="AC4" s="293">
        <f t="shared" si="9"/>
        <v>0.6962204954</v>
      </c>
      <c r="AD4" s="293">
        <f t="shared" si="9"/>
        <v>0.09496259715</v>
      </c>
      <c r="AE4" s="293">
        <f t="shared" si="9"/>
        <v>0.6859432282</v>
      </c>
      <c r="AF4" s="293">
        <f t="shared" si="9"/>
        <v>0.195970444</v>
      </c>
      <c r="AG4" s="293">
        <f t="shared" si="9"/>
        <v>1.054770059</v>
      </c>
      <c r="AH4" s="293">
        <f t="shared" si="9"/>
        <v>0.08577538628</v>
      </c>
      <c r="AI4" s="293">
        <f t="shared" si="9"/>
        <v>3.622627325</v>
      </c>
    </row>
    <row r="5">
      <c r="A5" s="272" t="str">
        <f>'Halo Infinite Stats'!$A5</f>
        <v>ASpence501</v>
      </c>
      <c r="B5" s="275">
        <f>IFERROR(VLOOKUP($A5,'Full Season PG+ Stats'!$A:$W,2,0),)</f>
        <v>0.1316733488</v>
      </c>
      <c r="C5" s="275">
        <f>IFERROR(VLOOKUP($A5,'Full Season PG+ Stats'!$A:$W,3,0),)</f>
        <v>0.1873813041</v>
      </c>
      <c r="D5" s="275">
        <f>IFERROR(VLOOKUP($A5,'Full Season PG+ Stats'!$A:$W,4,0),)</f>
        <v>0.5697404516</v>
      </c>
      <c r="E5" s="275">
        <f>IFERROR(VLOOKUP($A5,'Full Season PG+ Stats'!$A:$W,5,0),)</f>
        <v>0.06330449462</v>
      </c>
      <c r="F5" s="275">
        <f>IFERROR(VLOOKUP($A5,'Full Season PG+ Stats'!$A:$W,6,0),)</f>
        <v>0.5190968559</v>
      </c>
      <c r="G5" s="275">
        <f>IFERROR(VLOOKUP($A5,'Full Season PG+ Stats'!$A:$W,7,0),)</f>
        <v>0.1696560456</v>
      </c>
      <c r="H5" s="275">
        <f>IFERROR(VLOOKUP($A5,'Full Season PG+ Stats'!$A:$W,8,0),)</f>
        <v>0.8027009918</v>
      </c>
      <c r="I5" s="275">
        <f>IFERROR(VLOOKUP($A5,'Full Season PG+ Stats'!$A:$W,9,0),)</f>
        <v>0.1038193712</v>
      </c>
      <c r="J5" s="275">
        <f>IFERROR(VLOOKUP($A5,'Full Season PG+ Stats'!$A:$X,10,0),)</f>
        <v>3.256383203</v>
      </c>
      <c r="K5" s="284"/>
      <c r="L5" s="272" t="str">
        <f>'Halo Infinite Stats'!$A5</f>
        <v>ASpence501</v>
      </c>
      <c r="M5" s="290" t="str">
        <f t="shared" si="3"/>
        <v>S</v>
      </c>
      <c r="N5" s="290" t="str">
        <f t="shared" ref="N5:U5" si="10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A+</v>
      </c>
      <c r="O5" s="290" t="str">
        <f t="shared" si="10"/>
        <v>A-</v>
      </c>
      <c r="P5" s="290" t="str">
        <f t="shared" si="10"/>
        <v>A-</v>
      </c>
      <c r="Q5" s="290" t="str">
        <f t="shared" si="10"/>
        <v>A-</v>
      </c>
      <c r="R5" s="290" t="str">
        <f t="shared" si="10"/>
        <v>A</v>
      </c>
      <c r="S5" s="290" t="str">
        <f t="shared" si="10"/>
        <v>A</v>
      </c>
      <c r="T5" s="290" t="str">
        <f t="shared" si="10"/>
        <v>S-</v>
      </c>
      <c r="U5" s="290" t="str">
        <f t="shared" si="10"/>
        <v>A</v>
      </c>
      <c r="V5" s="288" t="str">
        <f t="shared" si="5"/>
        <v>S-</v>
      </c>
      <c r="W5" s="289">
        <f t="shared" si="6"/>
        <v>25.225</v>
      </c>
      <c r="X5" s="303" t="s">
        <v>154</v>
      </c>
      <c r="Y5" s="305">
        <v>10.0</v>
      </c>
      <c r="Z5" s="353" t="s">
        <v>156</v>
      </c>
      <c r="AA5" s="312">
        <f t="shared" ref="AA5:AI5" si="11">PERCENTILE(B2:B55,0.85)</f>
        <v>0.1020758276</v>
      </c>
      <c r="AB5" s="312">
        <f t="shared" si="11"/>
        <v>0.1427626775</v>
      </c>
      <c r="AC5" s="312">
        <f t="shared" si="11"/>
        <v>0.6327792484</v>
      </c>
      <c r="AD5" s="312">
        <f t="shared" si="11"/>
        <v>0.08283841744</v>
      </c>
      <c r="AE5" s="312">
        <f t="shared" si="11"/>
        <v>0.5834164486</v>
      </c>
      <c r="AF5" s="312">
        <f t="shared" si="11"/>
        <v>0.1701659138</v>
      </c>
      <c r="AG5" s="312">
        <f t="shared" si="11"/>
        <v>0.867885483</v>
      </c>
      <c r="AH5" s="312">
        <f t="shared" si="11"/>
        <v>0.08255816025</v>
      </c>
      <c r="AI5" s="312">
        <f t="shared" si="11"/>
        <v>3.365680557</v>
      </c>
    </row>
    <row r="6">
      <c r="A6" s="272" t="str">
        <f>'Halo Infinite Stats'!$A6</f>
        <v>AwareMosquito</v>
      </c>
      <c r="B6" s="275">
        <f>IFERROR(VLOOKUP($A6,'Full Season PG+ Stats'!$A:$W,2,0),)</f>
        <v>0.06659484869</v>
      </c>
      <c r="C6" s="275">
        <f>IFERROR(VLOOKUP($A6,'Full Season PG+ Stats'!$A:$W,3,0),)</f>
        <v>-0.7932621682</v>
      </c>
      <c r="D6" s="275">
        <f>IFERROR(VLOOKUP($A6,'Full Season PG+ Stats'!$A:$W,4,0),)</f>
        <v>0.4681226129</v>
      </c>
      <c r="E6" s="275">
        <f>IFERROR(VLOOKUP($A6,'Full Season PG+ Stats'!$A:$W,5,0),)</f>
        <v>0.03133875233</v>
      </c>
      <c r="F6" s="275">
        <f>IFERROR(VLOOKUP($A6,'Full Season PG+ Stats'!$A:$W,6,0),)</f>
        <v>0.3153461953</v>
      </c>
      <c r="G6" s="275">
        <f>IFERROR(VLOOKUP($A6,'Full Season PG+ Stats'!$A:$W,7,0),)</f>
        <v>0.05876016061</v>
      </c>
      <c r="H6" s="275">
        <f>IFERROR(VLOOKUP($A6,'Full Season PG+ Stats'!$A:$W,8,0),)</f>
        <v>0.4152384683</v>
      </c>
      <c r="I6" s="275">
        <f>IFERROR(VLOOKUP($A6,'Full Season PG+ Stats'!$A:$W,9,0),)</f>
        <v>0.03721476839</v>
      </c>
      <c r="J6" s="275">
        <f>IFERROR(VLOOKUP($A6,'Full Season PG+ Stats'!$A:$X,10,0),)</f>
        <v>2.430711977</v>
      </c>
      <c r="K6" s="284"/>
      <c r="L6" s="272" t="str">
        <f>'Halo Infinite Stats'!$A6</f>
        <v>AwareMosquito</v>
      </c>
      <c r="M6" s="290" t="str">
        <f t="shared" si="3"/>
        <v>A-</v>
      </c>
      <c r="N6" s="290" t="str">
        <f t="shared" ref="N6:U6" si="12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D+</v>
      </c>
      <c r="O6" s="290" t="str">
        <f t="shared" si="12"/>
        <v>C</v>
      </c>
      <c r="P6" s="290" t="str">
        <f t="shared" si="12"/>
        <v>D+</v>
      </c>
      <c r="Q6" s="290" t="str">
        <f t="shared" si="12"/>
        <v>F+</v>
      </c>
      <c r="R6" s="290" t="str">
        <f t="shared" si="12"/>
        <v>F+</v>
      </c>
      <c r="S6" s="290" t="str">
        <f t="shared" si="12"/>
        <v>F+</v>
      </c>
      <c r="T6" s="290" t="str">
        <f t="shared" si="12"/>
        <v>E-</v>
      </c>
      <c r="U6" s="290" t="str">
        <f t="shared" si="12"/>
        <v>E+</v>
      </c>
      <c r="V6" s="288" t="str">
        <f t="shared" si="5"/>
        <v>D</v>
      </c>
      <c r="W6" s="289">
        <f t="shared" si="6"/>
        <v>13.0625</v>
      </c>
      <c r="X6" s="321" t="s">
        <v>156</v>
      </c>
      <c r="Y6" s="324">
        <v>9.5</v>
      </c>
      <c r="Z6" s="375" t="s">
        <v>165</v>
      </c>
      <c r="AA6" s="327">
        <f t="shared" ref="AA6:AI6" si="13">PERCENTILE(B2:B55,0.8)</f>
        <v>0.07745522601</v>
      </c>
      <c r="AB6" s="327">
        <f t="shared" si="13"/>
        <v>-0.137606032</v>
      </c>
      <c r="AC6" s="327">
        <f t="shared" si="13"/>
        <v>0.6038894939</v>
      </c>
      <c r="AD6" s="327">
        <f t="shared" si="13"/>
        <v>0.07469243162</v>
      </c>
      <c r="AE6" s="327">
        <f t="shared" si="13"/>
        <v>0.5545350741</v>
      </c>
      <c r="AF6" s="327">
        <f t="shared" si="13"/>
        <v>0.1595495708</v>
      </c>
      <c r="AG6" s="327">
        <f t="shared" si="13"/>
        <v>0.8015861708</v>
      </c>
      <c r="AH6" s="327">
        <f t="shared" si="13"/>
        <v>0.08000706794</v>
      </c>
      <c r="AI6" s="327">
        <f t="shared" si="13"/>
        <v>3.242160001</v>
      </c>
    </row>
    <row r="7">
      <c r="A7" s="272" t="str">
        <f>'Halo Infinite Stats'!$A7</f>
        <v>Beam1n1</v>
      </c>
      <c r="B7" s="275">
        <f>IFERROR(VLOOKUP($A7,'Full Season PG+ Stats'!$A:$W,2,0),)</f>
        <v>0.03103983445</v>
      </c>
      <c r="C7" s="275">
        <f>IFERROR(VLOOKUP($A7,'Full Season PG+ Stats'!$A:$W,3,0),)</f>
        <v>-1.738230729</v>
      </c>
      <c r="D7" s="275">
        <f>IFERROR(VLOOKUP($A7,'Full Season PG+ Stats'!$A:$W,4,0),)</f>
        <v>0.4138644594</v>
      </c>
      <c r="E7" s="275">
        <f>IFERROR(VLOOKUP($A7,'Full Season PG+ Stats'!$A:$W,5,0),)</f>
        <v>0.03103983445</v>
      </c>
      <c r="F7" s="275">
        <f>IFERROR(VLOOKUP($A7,'Full Season PG+ Stats'!$A:$W,6,0),)</f>
        <v>0.362131402</v>
      </c>
      <c r="G7" s="275">
        <f>IFERROR(VLOOKUP($A7,'Full Season PG+ Stats'!$A:$W,7,0),)</f>
        <v>0.09311950336</v>
      </c>
      <c r="H7" s="275">
        <f>IFERROR(VLOOKUP($A7,'Full Season PG+ Stats'!$A:$W,8,0),)</f>
        <v>0.5380237972</v>
      </c>
      <c r="I7" s="275">
        <f>IFERROR(VLOOKUP($A7,'Full Season PG+ Stats'!$A:$W,9,0),)</f>
        <v>0.07242628039</v>
      </c>
      <c r="J7" s="275">
        <f>IFERROR(VLOOKUP($A7,'Full Season PG+ Stats'!$A:$X,10,0),)</f>
        <v>2.359027419</v>
      </c>
      <c r="K7" s="284"/>
      <c r="L7" s="272" t="str">
        <f>'Halo Infinite Stats'!$A7</f>
        <v>Beam1n1</v>
      </c>
      <c r="M7" s="290" t="str">
        <f t="shared" si="3"/>
        <v>D</v>
      </c>
      <c r="N7" s="290" t="str">
        <f t="shared" ref="N7:U7" si="14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F+</v>
      </c>
      <c r="O7" s="290" t="str">
        <f t="shared" si="14"/>
        <v>D</v>
      </c>
      <c r="P7" s="290" t="str">
        <f t="shared" si="14"/>
        <v>D</v>
      </c>
      <c r="Q7" s="290" t="str">
        <f t="shared" si="14"/>
        <v>E+</v>
      </c>
      <c r="R7" s="290" t="str">
        <f t="shared" si="14"/>
        <v>D+</v>
      </c>
      <c r="S7" s="290" t="str">
        <f t="shared" si="14"/>
        <v>D</v>
      </c>
      <c r="T7" s="290" t="str">
        <f t="shared" si="14"/>
        <v>B+</v>
      </c>
      <c r="U7" s="290" t="str">
        <f t="shared" si="14"/>
        <v>E</v>
      </c>
      <c r="V7" s="288" t="str">
        <f t="shared" si="5"/>
        <v>E+</v>
      </c>
      <c r="W7" s="289">
        <f t="shared" si="6"/>
        <v>10.9</v>
      </c>
      <c r="X7" s="338" t="s">
        <v>158</v>
      </c>
      <c r="Y7" s="340">
        <v>9.0</v>
      </c>
      <c r="Z7" s="396" t="s">
        <v>159</v>
      </c>
      <c r="AA7" s="312">
        <f t="shared" ref="AA7:AI7" si="15">PERCENTILE(B2:B55,0.75)</f>
        <v>0.06548373751</v>
      </c>
      <c r="AB7" s="312">
        <f t="shared" si="15"/>
        <v>-0.1922967522</v>
      </c>
      <c r="AC7" s="312">
        <f t="shared" si="15"/>
        <v>0.5206732095</v>
      </c>
      <c r="AD7" s="312">
        <f t="shared" si="15"/>
        <v>0.05993577284</v>
      </c>
      <c r="AE7" s="312">
        <f t="shared" si="15"/>
        <v>0.5165697959</v>
      </c>
      <c r="AF7" s="312">
        <f t="shared" si="15"/>
        <v>0.1482320678</v>
      </c>
      <c r="AG7" s="312">
        <f t="shared" si="15"/>
        <v>0.7800836793</v>
      </c>
      <c r="AH7" s="312">
        <f t="shared" si="15"/>
        <v>0.07771121154</v>
      </c>
      <c r="AI7" s="312">
        <f t="shared" si="15"/>
        <v>3.137723741</v>
      </c>
    </row>
    <row r="8">
      <c r="A8" s="272" t="str">
        <f>'Halo Infinite Stats'!$A8</f>
        <v>CaptainSev004</v>
      </c>
      <c r="B8" s="275">
        <f>IFERROR(VLOOKUP($A8,'Full Season PG+ Stats'!$A:$W,2,0),)</f>
        <v>0.07840342124</v>
      </c>
      <c r="C8" s="275">
        <f>IFERROR(VLOOKUP($A8,'Full Season PG+ Stats'!$A:$W,3,0),)</f>
        <v>-0.7448325018</v>
      </c>
      <c r="D8" s="275">
        <f>IFERROR(VLOOKUP($A8,'Full Season PG+ Stats'!$A:$W,4,0),)</f>
        <v>0.4062722737</v>
      </c>
      <c r="E8" s="275">
        <f>IFERROR(VLOOKUP($A8,'Full Season PG+ Stats'!$A:$W,5,0),)</f>
        <v>0.02138275125</v>
      </c>
      <c r="F8" s="275">
        <f>IFERROR(VLOOKUP($A8,'Full Season PG+ Stats'!$A:$W,6,0),)</f>
        <v>0.34212402</v>
      </c>
      <c r="G8" s="275">
        <f>IFERROR(VLOOKUP($A8,'Full Season PG+ Stats'!$A:$W,7,0),)</f>
        <v>0.1104775481</v>
      </c>
      <c r="H8" s="275">
        <f>IFERROR(VLOOKUP($A8,'Full Season PG+ Stats'!$A:$W,8,0),)</f>
        <v>0.5238774056</v>
      </c>
      <c r="I8" s="275">
        <f>IFERROR(VLOOKUP($A8,'Full Season PG+ Stats'!$A:$W,9,0),)</f>
        <v>0.08553100499</v>
      </c>
      <c r="J8" s="275">
        <f>IFERROR(VLOOKUP($A8,'Full Season PG+ Stats'!$A:$X,10,0),)</f>
        <v>2.33784747</v>
      </c>
      <c r="K8" s="284"/>
      <c r="L8" s="272" t="str">
        <f>'Halo Infinite Stats'!$A8</f>
        <v>CaptainSev004</v>
      </c>
      <c r="M8" s="290" t="str">
        <f t="shared" si="3"/>
        <v>A</v>
      </c>
      <c r="N8" s="290" t="str">
        <f t="shared" ref="N8:U8" si="16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C-</v>
      </c>
      <c r="O8" s="290" t="str">
        <f t="shared" si="16"/>
        <v>D</v>
      </c>
      <c r="P8" s="290" t="str">
        <f t="shared" si="16"/>
        <v>E+</v>
      </c>
      <c r="Q8" s="290" t="str">
        <f t="shared" si="16"/>
        <v>E</v>
      </c>
      <c r="R8" s="290" t="str">
        <f t="shared" si="16"/>
        <v>C</v>
      </c>
      <c r="S8" s="290" t="str">
        <f t="shared" si="16"/>
        <v>D-</v>
      </c>
      <c r="T8" s="290" t="str">
        <f t="shared" si="16"/>
        <v>A+</v>
      </c>
      <c r="U8" s="290" t="str">
        <f t="shared" si="16"/>
        <v>E</v>
      </c>
      <c r="V8" s="288" t="str">
        <f t="shared" si="5"/>
        <v>C</v>
      </c>
      <c r="W8" s="289">
        <f t="shared" si="6"/>
        <v>14.8125</v>
      </c>
      <c r="X8" s="321" t="s">
        <v>159</v>
      </c>
      <c r="Y8" s="324">
        <v>8.5</v>
      </c>
      <c r="Z8" s="413" t="s">
        <v>161</v>
      </c>
      <c r="AA8" s="346">
        <f t="shared" ref="AA8:AI8" si="17">PERCENTILE(B2:B55,0.7)</f>
        <v>0.05693006989</v>
      </c>
      <c r="AB8" s="346">
        <f t="shared" si="17"/>
        <v>-0.2716153608</v>
      </c>
      <c r="AC8" s="346">
        <f t="shared" si="17"/>
        <v>0.503031926</v>
      </c>
      <c r="AD8" s="346">
        <f t="shared" si="17"/>
        <v>0.05884840204</v>
      </c>
      <c r="AE8" s="346">
        <f t="shared" si="17"/>
        <v>0.4724035832</v>
      </c>
      <c r="AF8" s="346">
        <f t="shared" si="17"/>
        <v>0.1318487371</v>
      </c>
      <c r="AG8" s="346">
        <f t="shared" si="17"/>
        <v>0.6708038368</v>
      </c>
      <c r="AH8" s="346">
        <f t="shared" si="17"/>
        <v>0.07232867867</v>
      </c>
      <c r="AI8" s="346">
        <f t="shared" si="17"/>
        <v>2.991611652</v>
      </c>
    </row>
    <row r="9">
      <c r="A9" s="272" t="str">
        <f>'Halo Infinite Stats'!$A9</f>
        <v>Clydrohsun</v>
      </c>
      <c r="B9" s="275">
        <f>IFERROR(VLOOKUP($A9,'Full Season PG+ Stats'!$A:$W,2,0),)</f>
        <v>0.04824443849</v>
      </c>
      <c r="C9" s="275">
        <f>IFERROR(VLOOKUP($A9,'Full Season PG+ Stats'!$A:$W,3,0),)</f>
        <v>-0.7236665773</v>
      </c>
      <c r="D9" s="275">
        <f>IFERROR(VLOOKUP($A9,'Full Season PG+ Stats'!$A:$W,4,0),)</f>
        <v>0.4985258644</v>
      </c>
      <c r="E9" s="275">
        <f>IFERROR(VLOOKUP($A9,'Full Season PG+ Stats'!$A:$W,5,0),)</f>
        <v>0.04824443849</v>
      </c>
      <c r="F9" s="275">
        <f>IFERROR(VLOOKUP($A9,'Full Season PG+ Stats'!$A:$W,6,0),)</f>
        <v>0.4181184669</v>
      </c>
      <c r="G9" s="275">
        <f>IFERROR(VLOOKUP($A9,'Full Season PG+ Stats'!$A:$W,7,0),)</f>
        <v>0.06432591798</v>
      </c>
      <c r="H9" s="275">
        <f>IFERROR(VLOOKUP($A9,'Full Season PG+ Stats'!$A:$W,8,0),)</f>
        <v>0.5306888234</v>
      </c>
      <c r="I9" s="275">
        <f>IFERROR(VLOOKUP($A9,'Full Season PG+ Stats'!$A:$W,9,0),)</f>
        <v>0.08040739748</v>
      </c>
      <c r="J9" s="275">
        <f>IFERROR(VLOOKUP($A9,'Full Season PG+ Stats'!$A:$X,10,0),)</f>
        <v>2.798177432</v>
      </c>
      <c r="K9" s="284"/>
      <c r="L9" s="272" t="str">
        <f>'Halo Infinite Stats'!$A9</f>
        <v>Clydrohsun</v>
      </c>
      <c r="M9" s="290" t="str">
        <f t="shared" si="3"/>
        <v>B-</v>
      </c>
      <c r="N9" s="290" t="str">
        <f t="shared" ref="N9:U9" si="18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C-</v>
      </c>
      <c r="O9" s="290" t="str">
        <f t="shared" si="18"/>
        <v>B</v>
      </c>
      <c r="P9" s="290" t="str">
        <f t="shared" si="18"/>
        <v>B-</v>
      </c>
      <c r="Q9" s="290" t="str">
        <f t="shared" si="18"/>
        <v>C-</v>
      </c>
      <c r="R9" s="290" t="str">
        <f t="shared" si="18"/>
        <v>E-</v>
      </c>
      <c r="S9" s="290" t="str">
        <f t="shared" si="18"/>
        <v>D</v>
      </c>
      <c r="T9" s="290" t="str">
        <f t="shared" si="18"/>
        <v>A</v>
      </c>
      <c r="U9" s="290" t="str">
        <f t="shared" si="18"/>
        <v>C</v>
      </c>
      <c r="V9" s="288" t="str">
        <f t="shared" si="5"/>
        <v>B-</v>
      </c>
      <c r="W9" s="289">
        <f t="shared" si="6"/>
        <v>16.65</v>
      </c>
      <c r="X9" s="351" t="s">
        <v>161</v>
      </c>
      <c r="Y9" s="352">
        <v>8.0</v>
      </c>
      <c r="Z9" s="426" t="s">
        <v>180</v>
      </c>
      <c r="AA9" s="355">
        <f t="shared" ref="AA9:AI9" si="19">PERCENTILE(B2:B55,0.65)</f>
        <v>0.04933327658</v>
      </c>
      <c r="AB9" s="355">
        <f t="shared" si="19"/>
        <v>-0.3398425251</v>
      </c>
      <c r="AC9" s="355">
        <f t="shared" si="19"/>
        <v>0.4974767042</v>
      </c>
      <c r="AD9" s="355">
        <f t="shared" si="19"/>
        <v>0.05644747809</v>
      </c>
      <c r="AE9" s="355">
        <f t="shared" si="19"/>
        <v>0.4428236385</v>
      </c>
      <c r="AF9" s="355">
        <f t="shared" si="19"/>
        <v>0.1287191734</v>
      </c>
      <c r="AG9" s="355">
        <f t="shared" si="19"/>
        <v>0.6447021802</v>
      </c>
      <c r="AH9" s="355">
        <f t="shared" si="19"/>
        <v>0.06442881152</v>
      </c>
      <c r="AI9" s="355">
        <f t="shared" si="19"/>
        <v>2.919661681</v>
      </c>
    </row>
    <row r="10">
      <c r="A10" s="272" t="str">
        <f>'Halo Infinite Stats'!$A10</f>
        <v>DCleak</v>
      </c>
      <c r="B10" s="275">
        <f>IFERROR(VLOOKUP($A10,'Full Season PG+ Stats'!$A:$W,2,0),)</f>
        <v>0.03620455574</v>
      </c>
      <c r="C10" s="275">
        <f>IFERROR(VLOOKUP($A10,'Full Season PG+ Stats'!$A:$W,3,0),)</f>
        <v>-1.837381204</v>
      </c>
      <c r="D10" s="275">
        <f>IFERROR(VLOOKUP($A10,'Full Season PG+ Stats'!$A:$W,4,0),)</f>
        <v>0.696937698</v>
      </c>
      <c r="E10" s="275">
        <f>IFERROR(VLOOKUP($A10,'Full Season PG+ Stats'!$A:$W,5,0),)</f>
        <v>0.03620455574</v>
      </c>
      <c r="F10" s="275">
        <f>IFERROR(VLOOKUP($A10,'Full Season PG+ Stats'!$A:$W,6,0),)</f>
        <v>0.4254035299</v>
      </c>
      <c r="G10" s="275">
        <f>IFERROR(VLOOKUP($A10,'Full Season PG+ Stats'!$A:$W,7,0),)</f>
        <v>0.09956252828</v>
      </c>
      <c r="H10" s="275">
        <f>IFERROR(VLOOKUP($A10,'Full Season PG+ Stats'!$A:$W,8,0),)</f>
        <v>0.5702217529</v>
      </c>
      <c r="I10" s="275">
        <f>IFERROR(VLOOKUP($A10,'Full Season PG+ Stats'!$A:$W,9,0),)</f>
        <v>0.06335797254</v>
      </c>
      <c r="J10" s="275">
        <f>IFERROR(VLOOKUP($A10,'Full Season PG+ Stats'!$A:$X,10,0),)</f>
        <v>2.615779152</v>
      </c>
      <c r="K10" s="284"/>
      <c r="L10" s="272" t="str">
        <f>'Halo Infinite Stats'!$A10</f>
        <v>DCleak</v>
      </c>
      <c r="M10" s="290" t="str">
        <f t="shared" si="3"/>
        <v>D+</v>
      </c>
      <c r="N10" s="290" t="str">
        <f t="shared" ref="N10:U10" si="20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F</v>
      </c>
      <c r="O10" s="290" t="str">
        <f t="shared" si="20"/>
        <v>S-</v>
      </c>
      <c r="P10" s="290" t="str">
        <f t="shared" si="20"/>
        <v>C-</v>
      </c>
      <c r="Q10" s="290" t="str">
        <f t="shared" si="20"/>
        <v>C+</v>
      </c>
      <c r="R10" s="290" t="str">
        <f t="shared" si="20"/>
        <v>C-</v>
      </c>
      <c r="S10" s="290" t="str">
        <f t="shared" si="20"/>
        <v>D+</v>
      </c>
      <c r="T10" s="290" t="str">
        <f t="shared" si="20"/>
        <v>B-</v>
      </c>
      <c r="U10" s="290" t="str">
        <f t="shared" si="20"/>
        <v>D</v>
      </c>
      <c r="V10" s="288" t="str">
        <f t="shared" si="5"/>
        <v>C-</v>
      </c>
      <c r="W10" s="289">
        <f t="shared" si="6"/>
        <v>14.5</v>
      </c>
      <c r="X10" s="366" t="s">
        <v>164</v>
      </c>
      <c r="Y10" s="368">
        <v>7.5</v>
      </c>
      <c r="Z10" s="441" t="s">
        <v>166</v>
      </c>
      <c r="AA10" s="346">
        <f t="shared" ref="AA10:AI10" si="21">PERCENTILE(B2:B55,0.6)</f>
        <v>0.04683868677</v>
      </c>
      <c r="AB10" s="346">
        <f t="shared" si="21"/>
        <v>-0.6342386328</v>
      </c>
      <c r="AC10" s="346">
        <f t="shared" si="21"/>
        <v>0.4809595323</v>
      </c>
      <c r="AD10" s="346">
        <f t="shared" si="21"/>
        <v>0.04659453294</v>
      </c>
      <c r="AE10" s="346">
        <f t="shared" si="21"/>
        <v>0.4318013492</v>
      </c>
      <c r="AF10" s="346">
        <f t="shared" si="21"/>
        <v>0.1219630087</v>
      </c>
      <c r="AG10" s="346">
        <f t="shared" si="21"/>
        <v>0.606483317</v>
      </c>
      <c r="AH10" s="346">
        <f t="shared" si="21"/>
        <v>0.06005248213</v>
      </c>
      <c r="AI10" s="346">
        <f t="shared" si="21"/>
        <v>2.87681866</v>
      </c>
    </row>
    <row r="11">
      <c r="A11" s="272" t="str">
        <f>'Halo Infinite Stats'!$A11</f>
        <v>Deathcrawller</v>
      </c>
      <c r="B11" s="275">
        <f>IFERROR(VLOOKUP($A11,'Full Season PG+ Stats'!$A:$W,2,0),)</f>
        <v>0.01853424975</v>
      </c>
      <c r="C11" s="275">
        <f>IFERROR(VLOOKUP($A11,'Full Season PG+ Stats'!$A:$W,3,0),)</f>
        <v>-0.6394316163</v>
      </c>
      <c r="D11" s="275">
        <f>IFERROR(VLOOKUP($A11,'Full Season PG+ Stats'!$A:$W,4,0),)</f>
        <v>0.3197158082</v>
      </c>
      <c r="E11" s="275">
        <f>IFERROR(VLOOKUP($A11,'Full Season PG+ Stats'!$A:$W,5,0),)</f>
        <v>0.02085103097</v>
      </c>
      <c r="F11" s="275">
        <f>IFERROR(VLOOKUP($A11,'Full Season PG+ Stats'!$A:$W,6,0),)</f>
        <v>0.3521507452</v>
      </c>
      <c r="G11" s="275">
        <f>IFERROR(VLOOKUP($A11,'Full Season PG+ Stats'!$A:$W,7,0),)</f>
        <v>0.06950343656</v>
      </c>
      <c r="H11" s="275">
        <f>IFERROR(VLOOKUP($A11,'Full Season PG+ Stats'!$A:$W,8,0),)</f>
        <v>0.4703065874</v>
      </c>
      <c r="I11" s="275">
        <f>IFERROR(VLOOKUP($A11,'Full Season PG+ Stats'!$A:$W,9,0),)</f>
        <v>0.04401884315</v>
      </c>
      <c r="J11" s="275">
        <f>IFERROR(VLOOKUP($A11,'Full Season PG+ Stats'!$A:$X,10,0),)</f>
        <v>2.437253842</v>
      </c>
      <c r="K11" s="284"/>
      <c r="L11" s="272" t="str">
        <f>'Halo Infinite Stats'!$A11</f>
        <v>Deathcrawller</v>
      </c>
      <c r="M11" s="290" t="str">
        <f t="shared" si="3"/>
        <v>E-</v>
      </c>
      <c r="N11" s="290" t="str">
        <f t="shared" ref="N11:U11" si="22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C+</v>
      </c>
      <c r="O11" s="290" t="str">
        <f t="shared" si="22"/>
        <v>E-</v>
      </c>
      <c r="P11" s="290" t="str">
        <f t="shared" si="22"/>
        <v>E</v>
      </c>
      <c r="Q11" s="290" t="str">
        <f t="shared" si="22"/>
        <v>E+</v>
      </c>
      <c r="R11" s="290" t="str">
        <f t="shared" si="22"/>
        <v>E</v>
      </c>
      <c r="S11" s="290" t="str">
        <f t="shared" si="22"/>
        <v>E</v>
      </c>
      <c r="T11" s="290" t="str">
        <f t="shared" si="22"/>
        <v>E+</v>
      </c>
      <c r="U11" s="290" t="str">
        <f t="shared" si="22"/>
        <v>E+</v>
      </c>
      <c r="V11" s="288" t="str">
        <f t="shared" si="5"/>
        <v>E</v>
      </c>
      <c r="W11" s="289">
        <f t="shared" si="6"/>
        <v>9.7875</v>
      </c>
      <c r="X11" s="351" t="s">
        <v>166</v>
      </c>
      <c r="Y11" s="352">
        <v>7.0</v>
      </c>
      <c r="Z11" s="448" t="s">
        <v>168</v>
      </c>
      <c r="AA11" s="377">
        <f t="shared" ref="AA11:AI11" si="23">PERCENTILE(B2:B55,0.55)</f>
        <v>0.04559845998</v>
      </c>
      <c r="AB11" s="377">
        <f t="shared" si="23"/>
        <v>-0.6703913137</v>
      </c>
      <c r="AC11" s="377">
        <f t="shared" si="23"/>
        <v>0.470799916</v>
      </c>
      <c r="AD11" s="377">
        <f t="shared" si="23"/>
        <v>0.04303858451</v>
      </c>
      <c r="AE11" s="377">
        <f t="shared" si="23"/>
        <v>0.4235843795</v>
      </c>
      <c r="AF11" s="377">
        <f t="shared" si="23"/>
        <v>0.1153762224</v>
      </c>
      <c r="AG11" s="377">
        <f t="shared" si="23"/>
        <v>0.5881719099</v>
      </c>
      <c r="AH11" s="377">
        <f t="shared" si="23"/>
        <v>0.05790511139</v>
      </c>
      <c r="AI11" s="377">
        <f t="shared" si="23"/>
        <v>2.840570742</v>
      </c>
    </row>
    <row r="12">
      <c r="A12" s="272" t="str">
        <f>'Halo Infinite Stats'!$A12</f>
        <v>Doerstopper</v>
      </c>
      <c r="B12" s="275">
        <f>IFERROR(VLOOKUP($A12,'Full Season PG+ Stats'!$A:$W,2,0),)</f>
        <v>0.06215040398</v>
      </c>
      <c r="C12" s="275">
        <f>IFERROR(VLOOKUP($A12,'Full Season PG+ Stats'!$A:$W,3,0),)</f>
        <v>-1.923555003</v>
      </c>
      <c r="D12" s="275">
        <f>IFERROR(VLOOKUP($A12,'Full Season PG+ Stats'!$A:$W,4,0),)</f>
        <v>0.3169670603</v>
      </c>
      <c r="E12" s="275">
        <f>IFERROR(VLOOKUP($A12,'Full Season PG+ Stats'!$A:$W,5,0),)</f>
        <v>0.009322560597</v>
      </c>
      <c r="F12" s="275">
        <f>IFERROR(VLOOKUP($A12,'Full Season PG+ Stats'!$A:$W,6,0),)</f>
        <v>0.3293971411</v>
      </c>
      <c r="G12" s="275">
        <f>IFERROR(VLOOKUP($A12,'Full Season PG+ Stats'!$A:$W,7,0),)</f>
        <v>0.07768800497</v>
      </c>
      <c r="H12" s="275">
        <f>IFERROR(VLOOKUP($A12,'Full Season PG+ Stats'!$A:$W,8,0),)</f>
        <v>0.4940957116</v>
      </c>
      <c r="I12" s="275">
        <f>IFERROR(VLOOKUP($A12,'Full Season PG+ Stats'!$A:$W,9,0),)</f>
        <v>0.03418272219</v>
      </c>
      <c r="J12" s="275">
        <f>IFERROR(VLOOKUP($A12,'Full Season PG+ Stats'!$A:$X,10,0),)</f>
        <v>2.324425109</v>
      </c>
      <c r="K12" s="284"/>
      <c r="L12" s="272" t="str">
        <f>'Halo Infinite Stats'!$A12</f>
        <v>Doerstopper</v>
      </c>
      <c r="M12" s="290" t="str">
        <f t="shared" si="3"/>
        <v>B+</v>
      </c>
      <c r="N12" s="290" t="str">
        <f t="shared" ref="N12:U12" si="2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F-</v>
      </c>
      <c r="O12" s="290" t="str">
        <f t="shared" si="24"/>
        <v>E-</v>
      </c>
      <c r="P12" s="290" t="str">
        <f t="shared" si="24"/>
        <v>F</v>
      </c>
      <c r="Q12" s="290" t="str">
        <f t="shared" si="24"/>
        <v>E-</v>
      </c>
      <c r="R12" s="290" t="str">
        <f t="shared" si="24"/>
        <v>E+</v>
      </c>
      <c r="S12" s="290" t="str">
        <f t="shared" si="24"/>
        <v>E+</v>
      </c>
      <c r="T12" s="290" t="str">
        <f t="shared" si="24"/>
        <v>F</v>
      </c>
      <c r="U12" s="290" t="str">
        <f t="shared" si="24"/>
        <v>E-</v>
      </c>
      <c r="V12" s="288" t="str">
        <f t="shared" si="5"/>
        <v>E-</v>
      </c>
      <c r="W12" s="289">
        <f t="shared" si="6"/>
        <v>8.8875</v>
      </c>
      <c r="X12" s="389" t="s">
        <v>168</v>
      </c>
      <c r="Y12" s="391">
        <v>6.5</v>
      </c>
      <c r="Z12" s="461" t="s">
        <v>189</v>
      </c>
      <c r="AA12" s="392">
        <f t="shared" ref="AA12:AI12" si="25">PERCENTILE(B2:B55,0.5)</f>
        <v>0.04379330639</v>
      </c>
      <c r="AB12" s="392">
        <f t="shared" si="25"/>
        <v>-0.7185166656</v>
      </c>
      <c r="AC12" s="392">
        <f t="shared" si="25"/>
        <v>0.4641628105</v>
      </c>
      <c r="AD12" s="392">
        <f t="shared" si="25"/>
        <v>0.03864230954</v>
      </c>
      <c r="AE12" s="392">
        <f t="shared" si="25"/>
        <v>0.4195524788</v>
      </c>
      <c r="AF12" s="392">
        <f t="shared" si="25"/>
        <v>0.1038596778</v>
      </c>
      <c r="AG12" s="392">
        <f t="shared" si="25"/>
        <v>0.5815328632</v>
      </c>
      <c r="AH12" s="392">
        <f t="shared" si="25"/>
        <v>0.05696844695</v>
      </c>
      <c r="AI12" s="392">
        <f t="shared" si="25"/>
        <v>2.763152686</v>
      </c>
    </row>
    <row r="13">
      <c r="A13" s="272" t="str">
        <f>'Halo Infinite Stats'!$A13</f>
        <v>Fanciest Pants</v>
      </c>
      <c r="B13" s="275">
        <f>IFERROR(VLOOKUP($A13,'Full Season PG+ Stats'!$A:$W,2,0),)</f>
        <v>0.0300464354</v>
      </c>
      <c r="C13" s="275">
        <f>IFERROR(VLOOKUP($A13,'Full Season PG+ Stats'!$A:$W,3,0),)</f>
        <v>0.4616225075</v>
      </c>
      <c r="D13" s="275">
        <f>IFERROR(VLOOKUP($A13,'Full Season PG+ Stats'!$A:$W,4,0),)</f>
        <v>0.6145861786</v>
      </c>
      <c r="E13" s="275">
        <f>IFERROR(VLOOKUP($A13,'Full Season PG+ Stats'!$A:$W,5,0),)</f>
        <v>0.1092597651</v>
      </c>
      <c r="F13" s="275">
        <f>IFERROR(VLOOKUP($A13,'Full Season PG+ Stats'!$A:$W,6,0),)</f>
        <v>0.8249112264</v>
      </c>
      <c r="G13" s="275">
        <f>IFERROR(VLOOKUP($A13,'Full Season PG+ Stats'!$A:$W,7,0),)</f>
        <v>0.3113903305</v>
      </c>
      <c r="H13" s="275">
        <f>IFERROR(VLOOKUP($A13,'Full Season PG+ Stats'!$A:$W,8,0),)</f>
        <v>1.414913958</v>
      </c>
      <c r="I13" s="275">
        <f>IFERROR(VLOOKUP($A13,'Full Season PG+ Stats'!$A:$W,9,0),)</f>
        <v>0.05736137667</v>
      </c>
      <c r="J13" s="275">
        <f>IFERROR(VLOOKUP($A13,'Full Season PG+ Stats'!$A:$X,10,0),)</f>
        <v>4.097241191</v>
      </c>
      <c r="K13" s="284"/>
      <c r="L13" s="272" t="str">
        <f>'Halo Infinite Stats'!$A13</f>
        <v>Fanciest Pants</v>
      </c>
      <c r="M13" s="290" t="str">
        <f t="shared" si="3"/>
        <v>D-</v>
      </c>
      <c r="N13" s="290" t="str">
        <f t="shared" ref="N13:U13" si="26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S-</v>
      </c>
      <c r="O13" s="290" t="str">
        <f t="shared" si="26"/>
        <v>A</v>
      </c>
      <c r="P13" s="290" t="str">
        <f t="shared" si="26"/>
        <v>S-</v>
      </c>
      <c r="Q13" s="290" t="str">
        <f t="shared" si="26"/>
        <v>S</v>
      </c>
      <c r="R13" s="290" t="str">
        <f t="shared" si="26"/>
        <v>S+</v>
      </c>
      <c r="S13" s="290" t="str">
        <f t="shared" si="26"/>
        <v>S</v>
      </c>
      <c r="T13" s="290" t="str">
        <f t="shared" si="26"/>
        <v>C</v>
      </c>
      <c r="U13" s="290" t="str">
        <f t="shared" si="26"/>
        <v>S</v>
      </c>
      <c r="V13" s="288" t="str">
        <f t="shared" si="5"/>
        <v>A</v>
      </c>
      <c r="W13" s="289">
        <f t="shared" si="6"/>
        <v>23.925</v>
      </c>
      <c r="X13" s="401" t="s">
        <v>171</v>
      </c>
      <c r="Y13" s="404">
        <v>6.0</v>
      </c>
      <c r="Z13" s="469" t="s">
        <v>173</v>
      </c>
      <c r="AA13" s="377">
        <f t="shared" ref="AA13:AI13" si="27">PERCENTILE(B2:B55,0.45)</f>
        <v>0.03666893782</v>
      </c>
      <c r="AB13" s="377">
        <f t="shared" si="27"/>
        <v>-0.7714688183</v>
      </c>
      <c r="AC13" s="377">
        <f t="shared" si="27"/>
        <v>0.4517081567</v>
      </c>
      <c r="AD13" s="377">
        <f t="shared" si="27"/>
        <v>0.03152042852</v>
      </c>
      <c r="AE13" s="377">
        <f t="shared" si="27"/>
        <v>0.4077598286</v>
      </c>
      <c r="AF13" s="377">
        <f t="shared" si="27"/>
        <v>0.09900365714</v>
      </c>
      <c r="AG13" s="377">
        <f t="shared" si="27"/>
        <v>0.5752262904</v>
      </c>
      <c r="AH13" s="377">
        <f t="shared" si="27"/>
        <v>0.05649190534</v>
      </c>
      <c r="AI13" s="377">
        <f t="shared" si="27"/>
        <v>2.720830341</v>
      </c>
    </row>
    <row r="14">
      <c r="A14" s="272" t="str">
        <f>'Halo Infinite Stats'!$A14</f>
        <v>GeneralCornBeef</v>
      </c>
      <c r="B14" s="275">
        <f>IFERROR(VLOOKUP($A14,'Full Season PG+ Stats'!$A:$W,2,0),)</f>
        <v>0.02403460984</v>
      </c>
      <c r="C14" s="275">
        <f>IFERROR(VLOOKUP($A14,'Full Season PG+ Stats'!$A:$W,3,0),)</f>
        <v>-1.139240506</v>
      </c>
      <c r="D14" s="275">
        <f>IFERROR(VLOOKUP($A14,'Full Season PG+ Stats'!$A:$W,4,0),)</f>
        <v>0.3509053036</v>
      </c>
      <c r="E14" s="275">
        <f>IFERROR(VLOOKUP($A14,'Full Season PG+ Stats'!$A:$W,5,0),)</f>
        <v>0.02403460984</v>
      </c>
      <c r="F14" s="275">
        <f>IFERROR(VLOOKUP($A14,'Full Season PG+ Stats'!$A:$W,6,0),)</f>
        <v>0.4085883672</v>
      </c>
      <c r="G14" s="275">
        <f>IFERROR(VLOOKUP($A14,'Full Season PG+ Stats'!$A:$W,7,0),)</f>
        <v>0.08652459542</v>
      </c>
      <c r="H14" s="275">
        <f>IFERROR(VLOOKUP($A14,'Full Season PG+ Stats'!$A:$W,8,0),)</f>
        <v>0.5816375581</v>
      </c>
      <c r="I14" s="275">
        <f>IFERROR(VLOOKUP($A14,'Full Season PG+ Stats'!$A:$W,9,0),)</f>
        <v>0.1057522833</v>
      </c>
      <c r="J14" s="275">
        <f>IFERROR(VLOOKUP($A14,'Full Season PG+ Stats'!$A:$X,10,0),)</f>
        <v>2.864925493</v>
      </c>
      <c r="K14" s="284"/>
      <c r="L14" s="272" t="str">
        <f>'Halo Infinite Stats'!$A14</f>
        <v>GeneralCornBeef</v>
      </c>
      <c r="M14" s="290" t="str">
        <f t="shared" si="3"/>
        <v>D-</v>
      </c>
      <c r="N14" s="290" t="str">
        <f t="shared" ref="N14:U14" si="28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E+</v>
      </c>
      <c r="O14" s="290" t="str">
        <f t="shared" si="28"/>
        <v>D-</v>
      </c>
      <c r="P14" s="290" t="str">
        <f t="shared" si="28"/>
        <v>E+</v>
      </c>
      <c r="Q14" s="290" t="str">
        <f t="shared" si="28"/>
        <v>C-</v>
      </c>
      <c r="R14" s="290" t="str">
        <f t="shared" si="28"/>
        <v>D</v>
      </c>
      <c r="S14" s="290" t="str">
        <f t="shared" si="28"/>
        <v>C</v>
      </c>
      <c r="T14" s="290" t="str">
        <f t="shared" si="28"/>
        <v>S</v>
      </c>
      <c r="U14" s="290" t="str">
        <f t="shared" si="28"/>
        <v>C+</v>
      </c>
      <c r="V14" s="288" t="str">
        <f t="shared" si="5"/>
        <v>D</v>
      </c>
      <c r="W14" s="289">
        <f t="shared" si="6"/>
        <v>12.9875</v>
      </c>
      <c r="X14" s="389" t="s">
        <v>173</v>
      </c>
      <c r="Y14" s="391">
        <v>5.5</v>
      </c>
      <c r="Z14" s="494" t="s">
        <v>175</v>
      </c>
      <c r="AA14" s="409">
        <f t="shared" ref="AA14:AI14" si="29">PERCENTILE(B2:B55,0.4)</f>
        <v>0.03491459988</v>
      </c>
      <c r="AB14" s="409">
        <f t="shared" si="29"/>
        <v>-0.8504642299</v>
      </c>
      <c r="AC14" s="409">
        <f t="shared" si="29"/>
        <v>0.4242533285</v>
      </c>
      <c r="AD14" s="409">
        <f t="shared" si="29"/>
        <v>0.0311594016</v>
      </c>
      <c r="AE14" s="409">
        <f t="shared" si="29"/>
        <v>0.3884122113</v>
      </c>
      <c r="AF14" s="409">
        <f t="shared" si="29"/>
        <v>0.08928687445</v>
      </c>
      <c r="AG14" s="409">
        <f t="shared" si="29"/>
        <v>0.5489276107</v>
      </c>
      <c r="AH14" s="409">
        <f t="shared" si="29"/>
        <v>0.05374997815</v>
      </c>
      <c r="AI14" s="409">
        <f t="shared" si="29"/>
        <v>2.616278676</v>
      </c>
    </row>
    <row r="15">
      <c r="A15" s="272" t="str">
        <f>'Halo Infinite Stats'!$A15</f>
        <v>Grunt Padre</v>
      </c>
      <c r="B15" s="275">
        <f>IFERROR(VLOOKUP($A15,'Full Season PG+ Stats'!$A:$W,2,0),)</f>
        <v>0.01318623357</v>
      </c>
      <c r="C15" s="275">
        <f>IFERROR(VLOOKUP($A15,'Full Season PG+ Stats'!$A:$W,3,0),)</f>
        <v>-1.075996659</v>
      </c>
      <c r="D15" s="275">
        <f>IFERROR(VLOOKUP($A15,'Full Season PG+ Stats'!$A:$W,4,0),)</f>
        <v>0.479978902</v>
      </c>
      <c r="E15" s="275">
        <f>IFERROR(VLOOKUP($A15,'Full Season PG+ Stats'!$A:$W,5,0),)</f>
        <v>0.03164696057</v>
      </c>
      <c r="F15" s="275">
        <f>IFERROR(VLOOKUP($A15,'Full Season PG+ Stats'!$A:$W,6,0),)</f>
        <v>0.5089886159</v>
      </c>
      <c r="G15" s="275">
        <f>IFERROR(VLOOKUP($A15,'Full Season PG+ Stats'!$A:$W,7,0),)</f>
        <v>0.1318623357</v>
      </c>
      <c r="H15" s="275">
        <f>IFERROR(VLOOKUP($A15,'Full Season PG+ Stats'!$A:$W,8,0),)</f>
        <v>0.7357918333</v>
      </c>
      <c r="I15" s="275">
        <f>IFERROR(VLOOKUP($A15,'Full Season PG+ Stats'!$A:$W,9,0),)</f>
        <v>0.05801942772</v>
      </c>
      <c r="J15" s="275">
        <f>IFERROR(VLOOKUP($A15,'Full Season PG+ Stats'!$A:$X,10,0),)</f>
        <v>3.096127643</v>
      </c>
      <c r="K15" s="284"/>
      <c r="L15" s="272" t="str">
        <f>'Halo Infinite Stats'!$A15</f>
        <v>Grunt Padre</v>
      </c>
      <c r="M15" s="290" t="str">
        <f t="shared" si="3"/>
        <v>F+</v>
      </c>
      <c r="N15" s="290" t="str">
        <f t="shared" ref="N15:U15" si="30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D-</v>
      </c>
      <c r="O15" s="290" t="str">
        <f t="shared" si="30"/>
        <v>C+</v>
      </c>
      <c r="P15" s="290" t="str">
        <f t="shared" si="30"/>
        <v>C-</v>
      </c>
      <c r="Q15" s="290" t="str">
        <f t="shared" si="30"/>
        <v>B+</v>
      </c>
      <c r="R15" s="290" t="str">
        <f t="shared" si="30"/>
        <v>B+</v>
      </c>
      <c r="S15" s="290" t="str">
        <f t="shared" si="30"/>
        <v>B+</v>
      </c>
      <c r="T15" s="290" t="str">
        <f t="shared" si="30"/>
        <v>C+</v>
      </c>
      <c r="U15" s="290" t="str">
        <f t="shared" si="30"/>
        <v>B+</v>
      </c>
      <c r="V15" s="288" t="str">
        <f t="shared" si="5"/>
        <v>C</v>
      </c>
      <c r="W15" s="289">
        <f t="shared" si="6"/>
        <v>15.3875</v>
      </c>
      <c r="X15" s="414" t="s">
        <v>175</v>
      </c>
      <c r="Y15" s="417">
        <v>5.0</v>
      </c>
      <c r="Z15" s="515" t="s">
        <v>196</v>
      </c>
      <c r="AA15" s="418">
        <f t="shared" ref="AA15:AI15" si="31">PERCENTILE(B2:B55,0.35)</f>
        <v>0.03039412507</v>
      </c>
      <c r="AB15" s="418">
        <f t="shared" si="31"/>
        <v>-0.9233526804</v>
      </c>
      <c r="AC15" s="418">
        <f t="shared" si="31"/>
        <v>0.4017223798</v>
      </c>
      <c r="AD15" s="418">
        <f t="shared" si="31"/>
        <v>0.02742019767</v>
      </c>
      <c r="AE15" s="418">
        <f t="shared" si="31"/>
        <v>0.3824866032</v>
      </c>
      <c r="AF15" s="418">
        <f t="shared" si="31"/>
        <v>0.08540728331</v>
      </c>
      <c r="AG15" s="418">
        <f t="shared" si="31"/>
        <v>0.5262614018</v>
      </c>
      <c r="AH15" s="418">
        <f t="shared" si="31"/>
        <v>0.04889956989</v>
      </c>
      <c r="AI15" s="418">
        <f t="shared" si="31"/>
        <v>2.568808506</v>
      </c>
    </row>
    <row r="16">
      <c r="A16" s="272" t="str">
        <f>'Halo Infinite Stats'!$A16</f>
        <v>Holy Morals</v>
      </c>
      <c r="B16" s="275">
        <f>IFERROR(VLOOKUP($A16,'Full Season PG+ Stats'!$A:$W,2,0),)</f>
        <v>0.2230600063</v>
      </c>
      <c r="C16" s="275">
        <f>IFERROR(VLOOKUP($A16,'Full Season PG+ Stats'!$A:$W,3,0),)</f>
        <v>-0.1319509896</v>
      </c>
      <c r="D16" s="275">
        <f>IFERROR(VLOOKUP($A16,'Full Season PG+ Stats'!$A:$W,4,0),)</f>
        <v>0.5026704367</v>
      </c>
      <c r="E16" s="275">
        <f>IFERROR(VLOOKUP($A16,'Full Season PG+ Stats'!$A:$W,5,0),)</f>
        <v>0.05969211436</v>
      </c>
      <c r="F16" s="275">
        <f>IFERROR(VLOOKUP($A16,'Full Season PG+ Stats'!$A:$W,6,0),)</f>
        <v>0.4209864907</v>
      </c>
      <c r="G16" s="275">
        <f>IFERROR(VLOOKUP($A16,'Full Season PG+ Stats'!$A:$W,7,0),)</f>
        <v>0.1193842287</v>
      </c>
      <c r="H16" s="275">
        <f>IFERROR(VLOOKUP($A16,'Full Season PG+ Stats'!$A:$W,8,0),)</f>
        <v>0.5874960729</v>
      </c>
      <c r="I16" s="275">
        <f>IFERROR(VLOOKUP($A16,'Full Season PG+ Stats'!$A:$W,9,0),)</f>
        <v>0.04712535344</v>
      </c>
      <c r="J16" s="275">
        <f>IFERROR(VLOOKUP($A16,'Full Season PG+ Stats'!$A:$X,10,0),)</f>
        <v>2.617027961</v>
      </c>
      <c r="K16" s="284"/>
      <c r="L16" s="272" t="str">
        <f>'Halo Infinite Stats'!$A16</f>
        <v>Holy Morals</v>
      </c>
      <c r="M16" s="290" t="str">
        <f t="shared" si="3"/>
        <v>S+</v>
      </c>
      <c r="N16" s="290" t="str">
        <f t="shared" ref="N16:U16" si="32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A</v>
      </c>
      <c r="O16" s="290" t="str">
        <f t="shared" si="32"/>
        <v>B</v>
      </c>
      <c r="P16" s="290" t="str">
        <f t="shared" si="32"/>
        <v>B+</v>
      </c>
      <c r="Q16" s="290" t="str">
        <f t="shared" si="32"/>
        <v>C</v>
      </c>
      <c r="R16" s="290" t="str">
        <f t="shared" si="32"/>
        <v>C+</v>
      </c>
      <c r="S16" s="290" t="str">
        <f t="shared" si="32"/>
        <v>C</v>
      </c>
      <c r="T16" s="290" t="str">
        <f t="shared" si="32"/>
        <v>D-</v>
      </c>
      <c r="U16" s="290" t="str">
        <f t="shared" si="32"/>
        <v>D+</v>
      </c>
      <c r="V16" s="288" t="str">
        <f t="shared" si="5"/>
        <v>A-</v>
      </c>
      <c r="W16" s="289">
        <f t="shared" si="6"/>
        <v>21</v>
      </c>
      <c r="X16" s="423" t="s">
        <v>179</v>
      </c>
      <c r="Y16" s="424">
        <v>4.5</v>
      </c>
      <c r="Z16" s="525" t="s">
        <v>181</v>
      </c>
      <c r="AA16" s="425">
        <f t="shared" ref="AA16:AI16" si="33">PERCENTILE(B2:B55,0.3)</f>
        <v>0.02129961475</v>
      </c>
      <c r="AB16" s="425">
        <f t="shared" si="33"/>
        <v>-1.120267352</v>
      </c>
      <c r="AC16" s="425">
        <f t="shared" si="33"/>
        <v>0.3473759996</v>
      </c>
      <c r="AD16" s="425">
        <f t="shared" si="33"/>
        <v>0.02470893493</v>
      </c>
      <c r="AE16" s="425">
        <f t="shared" si="33"/>
        <v>0.3664607555</v>
      </c>
      <c r="AF16" s="425">
        <f t="shared" si="33"/>
        <v>0.07825939029</v>
      </c>
      <c r="AG16" s="425">
        <f t="shared" si="33"/>
        <v>0.5007403462</v>
      </c>
      <c r="AH16" s="425">
        <f t="shared" si="33"/>
        <v>0.04492585019</v>
      </c>
      <c r="AI16" s="425">
        <f t="shared" si="33"/>
        <v>2.443274826</v>
      </c>
    </row>
    <row r="17">
      <c r="A17" s="272" t="str">
        <f>'Halo Infinite Stats'!$A17</f>
        <v>ill Shrek u</v>
      </c>
      <c r="B17" s="275">
        <f>IFERROR(VLOOKUP($A17,'Full Season PG+ Stats'!$A:$W,2,0),)</f>
        <v>0.05362686988</v>
      </c>
      <c r="C17" s="275">
        <f>IFERROR(VLOOKUP($A17,'Full Season PG+ Stats'!$A:$W,3,0),)</f>
        <v>-0.1100762066</v>
      </c>
      <c r="D17" s="275">
        <f>IFERROR(VLOOKUP($A17,'Full Season PG+ Stats'!$A:$W,4,0),)</f>
        <v>0.5080440305</v>
      </c>
      <c r="E17" s="275">
        <f>IFERROR(VLOOKUP($A17,'Full Season PG+ Stats'!$A:$W,5,0),)</f>
        <v>0.05644933672</v>
      </c>
      <c r="F17" s="275">
        <f>IFERROR(VLOOKUP($A17,'Full Season PG+ Stats'!$A:$W,6,0),)</f>
        <v>0.4290149591</v>
      </c>
      <c r="G17" s="275">
        <f>IFERROR(VLOOKUP($A17,'Full Season PG+ Stats'!$A:$W,7,0),)</f>
        <v>0.09878633926</v>
      </c>
      <c r="H17" s="275">
        <f>IFERROR(VLOOKUP($A17,'Full Season PG+ Stats'!$A:$W,8,0),)</f>
        <v>0.5814281682</v>
      </c>
      <c r="I17" s="275">
        <f>IFERROR(VLOOKUP($A17,'Full Season PG+ Stats'!$A:$W,9,0),)</f>
        <v>0.03669206887</v>
      </c>
      <c r="J17" s="275">
        <f>IFERROR(VLOOKUP($A17,'Full Season PG+ Stats'!$A:$X,10,0),)</f>
        <v>2.726502964</v>
      </c>
      <c r="K17" s="284"/>
      <c r="L17" s="272" t="str">
        <f>'Halo Infinite Stats'!$A17</f>
        <v>ill Shrek u</v>
      </c>
      <c r="M17" s="290" t="str">
        <f t="shared" si="3"/>
        <v>B</v>
      </c>
      <c r="N17" s="290" t="str">
        <f t="shared" ref="N17:U17" si="34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A</v>
      </c>
      <c r="O17" s="290" t="str">
        <f t="shared" si="34"/>
        <v>B+</v>
      </c>
      <c r="P17" s="290" t="str">
        <f t="shared" si="34"/>
        <v>B</v>
      </c>
      <c r="Q17" s="290" t="str">
        <f t="shared" si="34"/>
        <v>C+</v>
      </c>
      <c r="R17" s="290" t="str">
        <f t="shared" si="34"/>
        <v>D+</v>
      </c>
      <c r="S17" s="290" t="str">
        <f t="shared" si="34"/>
        <v>C-</v>
      </c>
      <c r="T17" s="290" t="str">
        <f t="shared" si="34"/>
        <v>F+</v>
      </c>
      <c r="U17" s="290" t="str">
        <f t="shared" si="34"/>
        <v>C-</v>
      </c>
      <c r="V17" s="288" t="str">
        <f t="shared" si="5"/>
        <v>B</v>
      </c>
      <c r="W17" s="289">
        <f t="shared" si="6"/>
        <v>18.9</v>
      </c>
      <c r="X17" s="414" t="s">
        <v>181</v>
      </c>
      <c r="Y17" s="417">
        <v>4.0</v>
      </c>
      <c r="Z17" s="531" t="s">
        <v>183</v>
      </c>
      <c r="AA17" s="428">
        <f t="shared" ref="AA17:AI17" si="35">PERCENTILE(B2:B55,0.25)</f>
        <v>0.01925411587</v>
      </c>
      <c r="AB17" s="428">
        <f t="shared" si="35"/>
        <v>-1.206569836</v>
      </c>
      <c r="AC17" s="428">
        <f t="shared" si="35"/>
        <v>0.3242058637</v>
      </c>
      <c r="AD17" s="428">
        <f t="shared" si="35"/>
        <v>0.02098396104</v>
      </c>
      <c r="AE17" s="428">
        <f t="shared" si="35"/>
        <v>0.3446307013</v>
      </c>
      <c r="AF17" s="428">
        <f t="shared" si="35"/>
        <v>0.07024487802</v>
      </c>
      <c r="AG17" s="428">
        <f t="shared" si="35"/>
        <v>0.474589237</v>
      </c>
      <c r="AH17" s="428">
        <f t="shared" si="35"/>
        <v>0.04294650574</v>
      </c>
      <c r="AI17" s="428">
        <f t="shared" si="35"/>
        <v>2.376948558</v>
      </c>
    </row>
    <row r="18">
      <c r="A18" s="272" t="str">
        <f>'Halo Infinite Stats'!$A18</f>
        <v>Its Rainin MenZ</v>
      </c>
      <c r="B18" s="275">
        <f>IFERROR(VLOOKUP($A18,'Full Season PG+ Stats'!$A:$W,2,0),)</f>
        <v>0.01102991865</v>
      </c>
      <c r="C18" s="275">
        <f>IFERROR(VLOOKUP($A18,'Full Season PG+ Stats'!$A:$W,3,0),)</f>
        <v>-0.9458155246</v>
      </c>
      <c r="D18" s="275">
        <f>IFERROR(VLOOKUP($A18,'Full Season PG+ Stats'!$A:$W,4,0),)</f>
        <v>0.4660140631</v>
      </c>
      <c r="E18" s="275">
        <f>IFERROR(VLOOKUP($A18,'Full Season PG+ Stats'!$A:$W,5,0),)</f>
        <v>0.04411967462</v>
      </c>
      <c r="F18" s="275">
        <f>IFERROR(VLOOKUP($A18,'Full Season PG+ Stats'!$A:$W,6,0),)</f>
        <v>0.3860471529</v>
      </c>
      <c r="G18" s="275">
        <f>IFERROR(VLOOKUP($A18,'Full Season PG+ Stats'!$A:$W,7,0),)</f>
        <v>0.09926926789</v>
      </c>
      <c r="H18" s="275">
        <f>IFERROR(VLOOKUP($A18,'Full Season PG+ Stats'!$A:$W,8,0),)</f>
        <v>0.565283331</v>
      </c>
      <c r="I18" s="275">
        <f>IFERROR(VLOOKUP($A18,'Full Season PG+ Stats'!$A:$W,9,0),)</f>
        <v>0.05514959327</v>
      </c>
      <c r="J18" s="275">
        <f>IFERROR(VLOOKUP($A18,'Full Season PG+ Stats'!$A:$X,10,0),)</f>
        <v>2.589273404</v>
      </c>
      <c r="K18" s="284"/>
      <c r="L18" s="272" t="str">
        <f>'Halo Infinite Stats'!$A18</f>
        <v>Its Rainin MenZ</v>
      </c>
      <c r="M18" s="290" t="str">
        <f t="shared" si="3"/>
        <v>F</v>
      </c>
      <c r="N18" s="290" t="str">
        <f t="shared" ref="N18:U18" si="36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D-</v>
      </c>
      <c r="O18" s="290" t="str">
        <f t="shared" si="36"/>
        <v>C</v>
      </c>
      <c r="P18" s="290" t="str">
        <f t="shared" si="36"/>
        <v>C+</v>
      </c>
      <c r="Q18" s="290" t="str">
        <f t="shared" si="36"/>
        <v>D</v>
      </c>
      <c r="R18" s="290" t="str">
        <f t="shared" si="36"/>
        <v>C-</v>
      </c>
      <c r="S18" s="290" t="str">
        <f t="shared" si="36"/>
        <v>D+</v>
      </c>
      <c r="T18" s="290" t="str">
        <f t="shared" si="36"/>
        <v>D+</v>
      </c>
      <c r="U18" s="290" t="str">
        <f t="shared" si="36"/>
        <v>D</v>
      </c>
      <c r="V18" s="288" t="str">
        <f t="shared" si="5"/>
        <v>E+</v>
      </c>
      <c r="W18" s="289">
        <f t="shared" si="6"/>
        <v>12</v>
      </c>
      <c r="X18" s="439" t="s">
        <v>183</v>
      </c>
      <c r="Y18" s="440">
        <v>3.5</v>
      </c>
      <c r="Z18" s="540" t="s">
        <v>198</v>
      </c>
      <c r="AA18" s="442">
        <f t="shared" ref="AA18:AI18" si="37">PERCENTILE(B2:B55,0.2)</f>
        <v>0.01866910607</v>
      </c>
      <c r="AB18" s="442">
        <f t="shared" si="37"/>
        <v>-1.423244222</v>
      </c>
      <c r="AC18" s="442">
        <f t="shared" si="37"/>
        <v>0.3199734799</v>
      </c>
      <c r="AD18" s="442">
        <f t="shared" si="37"/>
        <v>0.02014324058</v>
      </c>
      <c r="AE18" s="442">
        <f t="shared" si="37"/>
        <v>0.3368072464</v>
      </c>
      <c r="AF18" s="442">
        <f t="shared" si="37"/>
        <v>0.0653614217</v>
      </c>
      <c r="AG18" s="442">
        <f t="shared" si="37"/>
        <v>0.4609527859</v>
      </c>
      <c r="AH18" s="442">
        <f t="shared" si="37"/>
        <v>0.03951561084</v>
      </c>
      <c r="AI18" s="442">
        <f t="shared" si="37"/>
        <v>2.327109581</v>
      </c>
    </row>
    <row r="19">
      <c r="A19" s="272" t="str">
        <f>'Halo Infinite Stats'!$A19</f>
        <v>Itzreelz</v>
      </c>
      <c r="B19" s="275">
        <f>IFERROR(VLOOKUP($A19,'Full Season PG+ Stats'!$A:$W,2,0),)</f>
        <v>0.07366244508</v>
      </c>
      <c r="C19" s="275">
        <f>IFERROR(VLOOKUP($A19,'Full Season PG+ Stats'!$A:$W,3,0),)</f>
        <v>-0.3683122254</v>
      </c>
      <c r="D19" s="275">
        <f>IFERROR(VLOOKUP($A19,'Full Season PG+ Stats'!$A:$W,4,0),)</f>
        <v>0.4729904368</v>
      </c>
      <c r="E19" s="275">
        <f>IFERROR(VLOOKUP($A19,'Full Season PG+ Stats'!$A:$W,5,0),)</f>
        <v>0.07753941587</v>
      </c>
      <c r="F19" s="275">
        <f>IFERROR(VLOOKUP($A19,'Full Season PG+ Stats'!$A:$W,6,0),)</f>
        <v>0.4070819333</v>
      </c>
      <c r="G19" s="275">
        <f>IFERROR(VLOOKUP($A19,'Full Season PG+ Stats'!$A:$W,7,0),)</f>
        <v>0.131817007</v>
      </c>
      <c r="H19" s="275">
        <f>IFERROR(VLOOKUP($A19,'Full Season PG+ Stats'!$A:$W,8,0),)</f>
        <v>0.6358232101</v>
      </c>
      <c r="I19" s="275">
        <f>IFERROR(VLOOKUP($A19,'Full Season PG+ Stats'!$A:$W,9,0),)</f>
        <v>0.07753941587</v>
      </c>
      <c r="J19" s="275">
        <f>IFERROR(VLOOKUP($A19,'Full Season PG+ Stats'!$A:$X,10,0),)</f>
        <v>2.810803825</v>
      </c>
      <c r="K19" s="284"/>
      <c r="L19" s="272" t="str">
        <f>'Halo Infinite Stats'!$A19</f>
        <v>Itzreelz</v>
      </c>
      <c r="M19" s="290" t="str">
        <f t="shared" si="3"/>
        <v>A-</v>
      </c>
      <c r="N19" s="290" t="str">
        <f t="shared" ref="N19:U19" si="38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B-</v>
      </c>
      <c r="O19" s="290" t="str">
        <f t="shared" si="38"/>
        <v>C+</v>
      </c>
      <c r="P19" s="290" t="str">
        <f t="shared" si="38"/>
        <v>A</v>
      </c>
      <c r="Q19" s="290" t="str">
        <f t="shared" si="38"/>
        <v>D+</v>
      </c>
      <c r="R19" s="290" t="str">
        <f t="shared" si="38"/>
        <v>B</v>
      </c>
      <c r="S19" s="290" t="str">
        <f t="shared" si="38"/>
        <v>B-</v>
      </c>
      <c r="T19" s="290" t="str">
        <f t="shared" si="38"/>
        <v>B+</v>
      </c>
      <c r="U19" s="290" t="str">
        <f t="shared" si="38"/>
        <v>C</v>
      </c>
      <c r="V19" s="288" t="str">
        <f t="shared" si="5"/>
        <v>B</v>
      </c>
      <c r="W19" s="289">
        <f t="shared" si="6"/>
        <v>19.65</v>
      </c>
      <c r="X19" s="445" t="s">
        <v>184</v>
      </c>
      <c r="Y19" s="446">
        <v>3.0</v>
      </c>
      <c r="Z19" s="552" t="s">
        <v>186</v>
      </c>
      <c r="AA19" s="428">
        <f t="shared" ref="AA19:AI19" si="39">PERCENTILE(B2:B55,0.15)</f>
        <v>0.01618707753</v>
      </c>
      <c r="AB19" s="428">
        <f t="shared" si="39"/>
        <v>-1.712473062</v>
      </c>
      <c r="AC19" s="428">
        <f t="shared" si="39"/>
        <v>0.3156251326</v>
      </c>
      <c r="AD19" s="428">
        <f t="shared" si="39"/>
        <v>0.01582187943</v>
      </c>
      <c r="AE19" s="428">
        <f t="shared" si="39"/>
        <v>0.3174538371</v>
      </c>
      <c r="AF19" s="428">
        <f t="shared" si="39"/>
        <v>0.05900349982</v>
      </c>
      <c r="AG19" s="428">
        <f t="shared" si="39"/>
        <v>0.4191598075</v>
      </c>
      <c r="AH19" s="428">
        <f t="shared" si="39"/>
        <v>0.0367704738</v>
      </c>
      <c r="AI19" s="428">
        <f t="shared" si="39"/>
        <v>2.291362285</v>
      </c>
    </row>
    <row r="20">
      <c r="A20" s="272" t="str">
        <f>'Halo Infinite Stats'!$A20</f>
        <v>Jussshhhyyy</v>
      </c>
      <c r="B20" s="275">
        <f>IFERROR(VLOOKUP($A20,'Full Season PG+ Stats'!$A:$W,2,0),)</f>
        <v>0.04706596827</v>
      </c>
      <c r="C20" s="275">
        <f>IFERROR(VLOOKUP($A20,'Full Season PG+ Stats'!$A:$W,3,0),)</f>
        <v>1.112882411</v>
      </c>
      <c r="D20" s="275">
        <f>IFERROR(VLOOKUP($A20,'Full Season PG+ Stats'!$A:$W,4,0),)</f>
        <v>0.9565019358</v>
      </c>
      <c r="E20" s="275">
        <f>IFERROR(VLOOKUP($A20,'Full Season PG+ Stats'!$A:$W,5,0),)</f>
        <v>0.1518257041</v>
      </c>
      <c r="F20" s="275">
        <f>IFERROR(VLOOKUP($A20,'Full Season PG+ Stats'!$A:$W,6,0),)</f>
        <v>0.7910119183</v>
      </c>
      <c r="G20" s="275">
        <f>IFERROR(VLOOKUP($A20,'Full Season PG+ Stats'!$A:$W,7,0),)</f>
        <v>0.2459576406</v>
      </c>
      <c r="H20" s="275">
        <f>IFERROR(VLOOKUP($A20,'Full Season PG+ Stats'!$A:$W,8,0),)</f>
        <v>1.207014348</v>
      </c>
      <c r="I20" s="275">
        <f>IFERROR(VLOOKUP($A20,'Full Season PG+ Stats'!$A:$W,9,0),)</f>
        <v>0.1153875351</v>
      </c>
      <c r="J20" s="275">
        <f>IFERROR(VLOOKUP($A20,'Full Season PG+ Stats'!$A:$X,10,0),)</f>
        <v>3.856372884</v>
      </c>
      <c r="K20" s="284"/>
      <c r="L20" s="272" t="str">
        <f>'Halo Infinite Stats'!$A20</f>
        <v>Jussshhhyyy</v>
      </c>
      <c r="M20" s="290" t="str">
        <f t="shared" si="3"/>
        <v>B-</v>
      </c>
      <c r="N20" s="290" t="str">
        <f t="shared" ref="N20:U20" si="40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S+</v>
      </c>
      <c r="O20" s="290" t="str">
        <f t="shared" si="40"/>
        <v>S+</v>
      </c>
      <c r="P20" s="290" t="str">
        <f t="shared" si="40"/>
        <v>S+</v>
      </c>
      <c r="Q20" s="290" t="str">
        <f t="shared" si="40"/>
        <v>S-</v>
      </c>
      <c r="R20" s="290" t="str">
        <f t="shared" si="40"/>
        <v>S-</v>
      </c>
      <c r="S20" s="290" t="str">
        <f t="shared" si="40"/>
        <v>S-</v>
      </c>
      <c r="T20" s="290" t="str">
        <f t="shared" si="40"/>
        <v>S</v>
      </c>
      <c r="U20" s="290" t="str">
        <f t="shared" si="40"/>
        <v>S-</v>
      </c>
      <c r="V20" s="288" t="str">
        <f t="shared" si="5"/>
        <v>S</v>
      </c>
      <c r="W20" s="289">
        <f t="shared" si="6"/>
        <v>26.9625</v>
      </c>
      <c r="X20" s="439" t="s">
        <v>186</v>
      </c>
      <c r="Y20" s="440">
        <v>2.5</v>
      </c>
      <c r="Z20" s="565" t="s">
        <v>188</v>
      </c>
      <c r="AA20" s="451">
        <f t="shared" ref="AA20:AI20" si="41">PERCENTILE(B2:B55,0.1)</f>
        <v>0.01124555015</v>
      </c>
      <c r="AB20" s="451">
        <f t="shared" si="41"/>
        <v>-1.805998809</v>
      </c>
      <c r="AC20" s="451">
        <f t="shared" si="41"/>
        <v>0.2187716382</v>
      </c>
      <c r="AD20" s="451">
        <f t="shared" si="41"/>
        <v>0.01111862284</v>
      </c>
      <c r="AE20" s="451">
        <f t="shared" si="41"/>
        <v>0.2716014346</v>
      </c>
      <c r="AF20" s="451">
        <f t="shared" si="41"/>
        <v>0.04912584005</v>
      </c>
      <c r="AG20" s="451">
        <f t="shared" si="41"/>
        <v>0.3905505748</v>
      </c>
      <c r="AH20" s="451">
        <f t="shared" si="41"/>
        <v>0.03435895551</v>
      </c>
      <c r="AI20" s="451">
        <f t="shared" si="41"/>
        <v>2.256536338</v>
      </c>
    </row>
    <row r="21">
      <c r="A21" s="272" t="str">
        <f>'Halo Infinite Stats'!$A21</f>
        <v>KDSkill</v>
      </c>
      <c r="B21" s="275">
        <f>IFERROR(VLOOKUP($A21,'Full Season PG+ Stats'!$A:$W,2,0),)</f>
        <v>0.1256281407</v>
      </c>
      <c r="C21" s="275">
        <f>IFERROR(VLOOKUP($A21,'Full Season PG+ Stats'!$A:$W,3,0),)</f>
        <v>-0.3165829146</v>
      </c>
      <c r="D21" s="275">
        <f>IFERROR(VLOOKUP($A21,'Full Season PG+ Stats'!$A:$W,4,0),)</f>
        <v>0.4623115578</v>
      </c>
      <c r="E21" s="275">
        <f>IFERROR(VLOOKUP($A21,'Full Season PG+ Stats'!$A:$W,5,0),)</f>
        <v>0.02010050251</v>
      </c>
      <c r="F21" s="275">
        <f>IFERROR(VLOOKUP($A21,'Full Season PG+ Stats'!$A:$W,6,0),)</f>
        <v>0.391959799</v>
      </c>
      <c r="G21" s="275">
        <f>IFERROR(VLOOKUP($A21,'Full Season PG+ Stats'!$A:$W,7,0),)</f>
        <v>0.07035175879</v>
      </c>
      <c r="H21" s="275">
        <f>IFERROR(VLOOKUP($A21,'Full Season PG+ Stats'!$A:$W,8,0),)</f>
        <v>0.4874371859</v>
      </c>
      <c r="I21" s="275">
        <f>IFERROR(VLOOKUP($A21,'Full Season PG+ Stats'!$A:$W,9,0),)</f>
        <v>0.04020100503</v>
      </c>
      <c r="J21" s="275">
        <f>IFERROR(VLOOKUP($A21,'Full Season PG+ Stats'!$A:$X,10,0),)</f>
        <v>2.557788945</v>
      </c>
      <c r="K21" s="284"/>
      <c r="L21" s="272" t="str">
        <f>'Halo Infinite Stats'!$A21</f>
        <v>KDSkill</v>
      </c>
      <c r="M21" s="290" t="str">
        <f t="shared" si="3"/>
        <v>S-</v>
      </c>
      <c r="N21" s="290" t="str">
        <f t="shared" ref="N21:U21" si="42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B</v>
      </c>
      <c r="O21" s="290" t="str">
        <f t="shared" si="42"/>
        <v>C-</v>
      </c>
      <c r="P21" s="290" t="str">
        <f t="shared" si="42"/>
        <v>E-</v>
      </c>
      <c r="Q21" s="290" t="str">
        <f t="shared" si="42"/>
        <v>D+</v>
      </c>
      <c r="R21" s="290" t="str">
        <f t="shared" si="42"/>
        <v>E+</v>
      </c>
      <c r="S21" s="290" t="str">
        <f t="shared" si="42"/>
        <v>E+</v>
      </c>
      <c r="T21" s="290" t="str">
        <f t="shared" si="42"/>
        <v>E</v>
      </c>
      <c r="U21" s="290" t="str">
        <f t="shared" si="42"/>
        <v>D-</v>
      </c>
      <c r="V21" s="288" t="str">
        <f t="shared" si="5"/>
        <v>C+</v>
      </c>
      <c r="W21" s="289">
        <f t="shared" si="6"/>
        <v>15.725</v>
      </c>
      <c r="X21" s="454" t="s">
        <v>188</v>
      </c>
      <c r="Y21" s="456">
        <v>2.0</v>
      </c>
      <c r="Z21" s="604" t="s">
        <v>190</v>
      </c>
      <c r="AA21" s="451">
        <f t="shared" ref="AA21:AI21" si="43">PERCENTILE(B2:B55,0.05)</f>
        <v>0.009268002338</v>
      </c>
      <c r="AB21" s="451">
        <f t="shared" si="43"/>
        <v>-1.838396631</v>
      </c>
      <c r="AC21" s="451">
        <f t="shared" si="43"/>
        <v>0.1710451179</v>
      </c>
      <c r="AD21" s="451">
        <f t="shared" si="43"/>
        <v>0.00523440643</v>
      </c>
      <c r="AE21" s="451">
        <f t="shared" si="43"/>
        <v>0.2152822196</v>
      </c>
      <c r="AF21" s="451">
        <f t="shared" si="43"/>
        <v>0.03301688009</v>
      </c>
      <c r="AG21" s="451">
        <f t="shared" si="43"/>
        <v>0.2743434099</v>
      </c>
      <c r="AH21" s="451">
        <f t="shared" si="43"/>
        <v>0.02183986522</v>
      </c>
      <c r="AI21" s="451">
        <f t="shared" si="43"/>
        <v>2.216248524</v>
      </c>
    </row>
    <row r="22">
      <c r="A22" s="272" t="str">
        <f>'Halo Infinite Stats'!$A22</f>
        <v>Ken Khaneki</v>
      </c>
      <c r="B22" s="275">
        <f>IFERROR(VLOOKUP($A22,'Full Season PG+ Stats'!$A:$W,2,0),)</f>
        <v>0.01577287066</v>
      </c>
      <c r="C22" s="275">
        <f>IFERROR(VLOOKUP($A22,'Full Season PG+ Stats'!$A:$W,3,0),)</f>
        <v>-1.216764308</v>
      </c>
      <c r="D22" s="275">
        <f>IFERROR(VLOOKUP($A22,'Full Season PG+ Stats'!$A:$W,4,0),)</f>
        <v>0.1982875169</v>
      </c>
      <c r="E22" s="275">
        <f>IFERROR(VLOOKUP($A22,'Full Season PG+ Stats'!$A:$W,5,0),)</f>
        <v>0.0180261379</v>
      </c>
      <c r="F22" s="275">
        <f>IFERROR(VLOOKUP($A22,'Full Season PG+ Stats'!$A:$W,6,0),)</f>
        <v>0.4213609734</v>
      </c>
      <c r="G22" s="275">
        <f>IFERROR(VLOOKUP($A22,'Full Season PG+ Stats'!$A:$W,7,0),)</f>
        <v>0.1081568274</v>
      </c>
      <c r="H22" s="275">
        <f>IFERROR(VLOOKUP($A22,'Full Season PG+ Stats'!$A:$W,8,0),)</f>
        <v>0.5813429473</v>
      </c>
      <c r="I22" s="275">
        <f>IFERROR(VLOOKUP($A22,'Full Season PG+ Stats'!$A:$W,9,0),)</f>
        <v>0.08111762055</v>
      </c>
      <c r="J22" s="275">
        <f>IFERROR(VLOOKUP($A22,'Full Season PG+ Stats'!$A:$X,10,0),)</f>
        <v>2.875168995</v>
      </c>
      <c r="K22" s="284"/>
      <c r="L22" s="272" t="str">
        <f>'Halo Infinite Stats'!$A22</f>
        <v>Ken Khaneki</v>
      </c>
      <c r="M22" s="290" t="str">
        <f t="shared" si="3"/>
        <v>F+</v>
      </c>
      <c r="N22" s="290" t="str">
        <f t="shared" ref="N22:U22" si="4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E</v>
      </c>
      <c r="O22" s="290" t="str">
        <f t="shared" si="44"/>
        <v>F</v>
      </c>
      <c r="P22" s="290" t="str">
        <f t="shared" si="44"/>
        <v>E-</v>
      </c>
      <c r="Q22" s="290" t="str">
        <f t="shared" si="44"/>
        <v>C</v>
      </c>
      <c r="R22" s="290" t="str">
        <f t="shared" si="44"/>
        <v>C</v>
      </c>
      <c r="S22" s="290" t="str">
        <f t="shared" si="44"/>
        <v>C-</v>
      </c>
      <c r="T22" s="290" t="str">
        <f t="shared" si="44"/>
        <v>A</v>
      </c>
      <c r="U22" s="290" t="str">
        <f t="shared" si="44"/>
        <v>C+</v>
      </c>
      <c r="V22" s="288" t="str">
        <f t="shared" si="5"/>
        <v>E</v>
      </c>
      <c r="W22" s="289">
        <f t="shared" si="6"/>
        <v>10.575</v>
      </c>
      <c r="X22" s="462" t="s">
        <v>190</v>
      </c>
      <c r="Y22" s="456">
        <v>1.5</v>
      </c>
      <c r="Z22" s="565" t="s">
        <v>191</v>
      </c>
      <c r="AA22" s="451">
        <f t="shared" ref="AA22:AI22" si="45">PERCENTILE(B2:B55,0)</f>
        <v>0</v>
      </c>
      <c r="AB22" s="451">
        <f t="shared" si="45"/>
        <v>-2.518470407</v>
      </c>
      <c r="AC22" s="451">
        <f t="shared" si="45"/>
        <v>0.1317027281</v>
      </c>
      <c r="AD22" s="451">
        <f t="shared" si="45"/>
        <v>0</v>
      </c>
      <c r="AE22" s="451">
        <f t="shared" si="45"/>
        <v>0.1204617701</v>
      </c>
      <c r="AF22" s="451">
        <f t="shared" si="45"/>
        <v>0.02979780064</v>
      </c>
      <c r="AG22" s="451">
        <f t="shared" si="45"/>
        <v>0.1606156935</v>
      </c>
      <c r="AH22" s="451">
        <f t="shared" si="45"/>
        <v>0</v>
      </c>
      <c r="AI22" s="451">
        <f t="shared" si="45"/>
        <v>1.605961252</v>
      </c>
    </row>
    <row r="23">
      <c r="A23" s="272" t="str">
        <f>'Halo Infinite Stats'!$A23</f>
        <v>Mavbrid</v>
      </c>
      <c r="B23" s="275">
        <f>IFERROR(VLOOKUP($A23,'Full Season PG+ Stats'!$A:$W,2,0),)</f>
        <v>0.1552750993</v>
      </c>
      <c r="C23" s="275">
        <f>IFERROR(VLOOKUP($A23,'Full Season PG+ Stats'!$A:$W,3,0),)</f>
        <v>0.482841747</v>
      </c>
      <c r="D23" s="275">
        <f>IFERROR(VLOOKUP($A23,'Full Season PG+ Stats'!$A:$W,4,0),)</f>
        <v>0.6359897901</v>
      </c>
      <c r="E23" s="275">
        <f>IFERROR(VLOOKUP($A23,'Full Season PG+ Stats'!$A:$W,5,0),)</f>
        <v>0.09571752694</v>
      </c>
      <c r="F23" s="275">
        <f>IFERROR(VLOOKUP($A23,'Full Season PG+ Stats'!$A:$W,6,0),)</f>
        <v>0.4807146909</v>
      </c>
      <c r="G23" s="275">
        <f>IFERROR(VLOOKUP($A23,'Full Season PG+ Stats'!$A:$W,7,0),)</f>
        <v>0.1212422008</v>
      </c>
      <c r="H23" s="275">
        <f>IFERROR(VLOOKUP($A23,'Full Season PG+ Stats'!$A:$W,8,0),)</f>
        <v>0.6764038571</v>
      </c>
      <c r="I23" s="275">
        <f>IFERROR(VLOOKUP($A23,'Full Season PG+ Stats'!$A:$W,9,0),)</f>
        <v>0.05955757232</v>
      </c>
      <c r="J23" s="275">
        <f>IFERROR(VLOOKUP($A23,'Full Season PG+ Stats'!$A:$X,10,0),)</f>
        <v>2.914066931</v>
      </c>
      <c r="K23" s="284"/>
      <c r="L23" s="272" t="str">
        <f>'Halo Infinite Stats'!$A23</f>
        <v>Mavbrid</v>
      </c>
      <c r="M23" s="290" t="str">
        <f t="shared" si="3"/>
        <v>S</v>
      </c>
      <c r="N23" s="290" t="str">
        <f t="shared" ref="N23:U23" si="46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S-</v>
      </c>
      <c r="O23" s="290" t="str">
        <f t="shared" si="46"/>
        <v>A+</v>
      </c>
      <c r="P23" s="290" t="str">
        <f t="shared" si="46"/>
        <v>S-</v>
      </c>
      <c r="Q23" s="290" t="str">
        <f t="shared" si="46"/>
        <v>B+</v>
      </c>
      <c r="R23" s="290" t="str">
        <f t="shared" si="46"/>
        <v>C+</v>
      </c>
      <c r="S23" s="290" t="str">
        <f t="shared" si="46"/>
        <v>B+</v>
      </c>
      <c r="T23" s="290" t="str">
        <f t="shared" si="46"/>
        <v>C+</v>
      </c>
      <c r="U23" s="290" t="str">
        <f t="shared" si="46"/>
        <v>B-</v>
      </c>
      <c r="V23" s="288" t="str">
        <f t="shared" si="5"/>
        <v>A+</v>
      </c>
      <c r="W23" s="289">
        <f t="shared" si="6"/>
        <v>24.3625</v>
      </c>
      <c r="X23" s="454" t="s">
        <v>191</v>
      </c>
      <c r="Y23" s="456">
        <v>1.0</v>
      </c>
      <c r="Z23" s="284"/>
      <c r="AA23" s="623"/>
      <c r="AB23" s="284"/>
      <c r="AC23" s="284"/>
      <c r="AD23" s="284"/>
      <c r="AE23" s="284"/>
      <c r="AF23" s="466" t="s">
        <v>192</v>
      </c>
      <c r="AG23" s="284"/>
      <c r="AH23" s="284"/>
      <c r="AI23" s="284"/>
    </row>
    <row r="24">
      <c r="A24" s="272" t="str">
        <f>'Halo Infinite Stats'!$A24</f>
        <v>Memorized</v>
      </c>
      <c r="B24" s="275">
        <f>IFERROR(VLOOKUP($A24,'Full Season PG+ Stats'!$A:$W,2,0),)</f>
        <v>0.009425070688</v>
      </c>
      <c r="C24" s="275">
        <f>IFERROR(VLOOKUP($A24,'Full Season PG+ Stats'!$A:$W,3,0),)</f>
        <v>-0.1602262017</v>
      </c>
      <c r="D24" s="275">
        <f>IFERROR(VLOOKUP($A24,'Full Season PG+ Stats'!$A:$W,4,0),)</f>
        <v>0.4398366321</v>
      </c>
      <c r="E24" s="275">
        <f>IFERROR(VLOOKUP($A24,'Full Season PG+ Stats'!$A:$W,5,0),)</f>
        <v>0.03141690229</v>
      </c>
      <c r="F24" s="275">
        <f>IFERROR(VLOOKUP($A24,'Full Season PG+ Stats'!$A:$W,6,0),)</f>
        <v>0.603204524</v>
      </c>
      <c r="G24" s="275">
        <f>IFERROR(VLOOKUP($A24,'Full Season PG+ Stats'!$A:$W,7,0),)</f>
        <v>0.1413760603</v>
      </c>
      <c r="H24" s="275">
        <f>IFERROR(VLOOKUP($A24,'Full Season PG+ Stats'!$A:$W,8,0),)</f>
        <v>0.794847628</v>
      </c>
      <c r="I24" s="275">
        <f>IFERROR(VLOOKUP($A24,'Full Season PG+ Stats'!$A:$W,9,0),)</f>
        <v>0.05655042413</v>
      </c>
      <c r="J24" s="275">
        <f>IFERROR(VLOOKUP($A24,'Full Season PG+ Stats'!$A:$X,10,0),)</f>
        <v>3.625510525</v>
      </c>
      <c r="K24" s="284"/>
      <c r="L24" s="272" t="str">
        <f>'Halo Infinite Stats'!$A24</f>
        <v>Memorized</v>
      </c>
      <c r="M24" s="290" t="str">
        <f t="shared" si="3"/>
        <v>F</v>
      </c>
      <c r="N24" s="290" t="str">
        <f t="shared" ref="N24:U24" si="47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A-</v>
      </c>
      <c r="O24" s="290" t="str">
        <f t="shared" si="47"/>
        <v>D+</v>
      </c>
      <c r="P24" s="290" t="str">
        <f t="shared" si="47"/>
        <v>D+</v>
      </c>
      <c r="Q24" s="290" t="str">
        <f t="shared" si="47"/>
        <v>A+</v>
      </c>
      <c r="R24" s="290" t="str">
        <f t="shared" si="47"/>
        <v>B+</v>
      </c>
      <c r="S24" s="290" t="str">
        <f t="shared" si="47"/>
        <v>A-</v>
      </c>
      <c r="T24" s="290" t="str">
        <f t="shared" si="47"/>
        <v>C-</v>
      </c>
      <c r="U24" s="290" t="str">
        <f t="shared" si="47"/>
        <v>S-</v>
      </c>
      <c r="V24" s="288" t="str">
        <f t="shared" si="5"/>
        <v>B-</v>
      </c>
      <c r="W24" s="289">
        <f t="shared" si="6"/>
        <v>17.5625</v>
      </c>
      <c r="X24" s="11"/>
      <c r="Y24" s="11"/>
      <c r="Z24" s="284"/>
      <c r="AA24" s="623"/>
      <c r="AB24" s="284"/>
      <c r="AC24" s="284"/>
      <c r="AD24" s="284"/>
      <c r="AE24" s="284"/>
      <c r="AF24" s="284"/>
      <c r="AG24" s="284"/>
      <c r="AH24" s="284"/>
      <c r="AI24" s="284"/>
    </row>
    <row r="25">
      <c r="A25" s="272" t="str">
        <f>'Halo Infinite Stats'!$A25</f>
        <v>Mr epic beast</v>
      </c>
      <c r="B25" s="275">
        <f>IFERROR(VLOOKUP($A25,'Full Season PG+ Stats'!$A:$W,2,0),)</f>
        <v>0.03656554713</v>
      </c>
      <c r="C25" s="275">
        <f>IFERROR(VLOOKUP($A25,'Full Season PG+ Stats'!$A:$W,3,0),)</f>
        <v>-0.8816359697</v>
      </c>
      <c r="D25" s="275">
        <f>IFERROR(VLOOKUP($A25,'Full Season PG+ Stats'!$A:$W,4,0),)</f>
        <v>0.4509750813</v>
      </c>
      <c r="E25" s="275">
        <f>IFERROR(VLOOKUP($A25,'Full Season PG+ Stats'!$A:$W,5,0),)</f>
        <v>0.05687973998</v>
      </c>
      <c r="F25" s="275">
        <f>IFERROR(VLOOKUP($A25,'Full Season PG+ Stats'!$A:$W,6,0),)</f>
        <v>0.434723727</v>
      </c>
      <c r="G25" s="275">
        <f>IFERROR(VLOOKUP($A25,'Full Season PG+ Stats'!$A:$W,7,0),)</f>
        <v>0.1300108342</v>
      </c>
      <c r="H25" s="275">
        <f>IFERROR(VLOOKUP($A25,'Full Season PG+ Stats'!$A:$W,8,0),)</f>
        <v>0.6094257855</v>
      </c>
      <c r="I25" s="275">
        <f>IFERROR(VLOOKUP($A25,'Full Season PG+ Stats'!$A:$W,9,0),)</f>
        <v>0.06500541712</v>
      </c>
      <c r="J25" s="275">
        <f>IFERROR(VLOOKUP($A25,'Full Season PG+ Stats'!$A:$X,10,0),)</f>
        <v>3.002437703</v>
      </c>
      <c r="K25" s="284"/>
      <c r="L25" s="272" t="str">
        <f>'Halo Infinite Stats'!$A25</f>
        <v>Mr epic beast</v>
      </c>
      <c r="M25" s="290" t="str">
        <f t="shared" si="3"/>
        <v>D+</v>
      </c>
      <c r="N25" s="290" t="str">
        <f t="shared" ref="N25:U25" si="48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D</v>
      </c>
      <c r="O25" s="290" t="str">
        <f t="shared" si="48"/>
        <v>D+</v>
      </c>
      <c r="P25" s="290" t="str">
        <f t="shared" si="48"/>
        <v>B</v>
      </c>
      <c r="Q25" s="290" t="str">
        <f t="shared" si="48"/>
        <v>B-</v>
      </c>
      <c r="R25" s="290" t="str">
        <f t="shared" si="48"/>
        <v>B</v>
      </c>
      <c r="S25" s="290" t="str">
        <f t="shared" si="48"/>
        <v>B-</v>
      </c>
      <c r="T25" s="290" t="str">
        <f t="shared" si="48"/>
        <v>B</v>
      </c>
      <c r="U25" s="290" t="str">
        <f t="shared" si="48"/>
        <v>B+</v>
      </c>
      <c r="V25" s="288" t="str">
        <f t="shared" si="5"/>
        <v>C+</v>
      </c>
      <c r="W25" s="289">
        <f t="shared" si="6"/>
        <v>16.6125</v>
      </c>
      <c r="X25" s="480" t="s">
        <v>150</v>
      </c>
      <c r="Y25" s="482">
        <f>PERCENTILE($W$2:$W$50,1)</f>
        <v>27.675</v>
      </c>
      <c r="Z25" s="284"/>
      <c r="AA25" s="623"/>
      <c r="AB25" s="284"/>
      <c r="AC25" s="284"/>
      <c r="AD25" s="284"/>
      <c r="AE25" s="284"/>
      <c r="AF25" s="284"/>
      <c r="AG25" s="284"/>
      <c r="AH25" s="284"/>
      <c r="AI25" s="284"/>
    </row>
    <row r="26">
      <c r="A26" s="272" t="str">
        <f>'Halo Infinite Stats'!$A26</f>
        <v>MuNgO PuNgO</v>
      </c>
      <c r="B26" s="275">
        <f>IFERROR(VLOOKUP($A26,'Full Season PG+ Stats'!$A:$W,2,0),)</f>
        <v>0.1027001583</v>
      </c>
      <c r="C26" s="275">
        <f>IFERROR(VLOOKUP($A26,'Full Season PG+ Stats'!$A:$W,3,0),)</f>
        <v>-0.8780863537</v>
      </c>
      <c r="D26" s="275">
        <f>IFERROR(VLOOKUP($A26,'Full Season PG+ Stats'!$A:$W,4,0),)</f>
        <v>0.4955282639</v>
      </c>
      <c r="E26" s="275">
        <f>IFERROR(VLOOKUP($A26,'Full Season PG+ Stats'!$A:$W,5,0),)</f>
        <v>0.04108006333</v>
      </c>
      <c r="F26" s="275">
        <f>IFERROR(VLOOKUP($A26,'Full Season PG+ Stats'!$A:$W,6,0),)</f>
        <v>0.3363430185</v>
      </c>
      <c r="G26" s="275">
        <f>IFERROR(VLOOKUP($A26,'Full Season PG+ Stats'!$A:$W,7,0),)</f>
        <v>0.07959262271</v>
      </c>
      <c r="H26" s="275">
        <f>IFERROR(VLOOKUP($A26,'Full Season PG+ Stats'!$A:$W,8,0),)</f>
        <v>0.4595832085</v>
      </c>
      <c r="I26" s="275">
        <f>IFERROR(VLOOKUP($A26,'Full Season PG+ Stats'!$A:$W,9,0),)</f>
        <v>0.03594505542</v>
      </c>
      <c r="J26" s="275">
        <f>IFERROR(VLOOKUP($A26,'Full Season PG+ Stats'!$A:$X,10,0),)</f>
        <v>2.300483547</v>
      </c>
      <c r="K26" s="284"/>
      <c r="L26" s="272" t="str">
        <f>'Halo Infinite Stats'!$A26</f>
        <v>MuNgO PuNgO</v>
      </c>
      <c r="M26" s="290" t="str">
        <f t="shared" si="3"/>
        <v>A+</v>
      </c>
      <c r="N26" s="290" t="str">
        <f t="shared" ref="N26:U26" si="49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D</v>
      </c>
      <c r="O26" s="290" t="str">
        <f t="shared" si="49"/>
        <v>B-</v>
      </c>
      <c r="P26" s="290" t="str">
        <f t="shared" si="49"/>
        <v>C</v>
      </c>
      <c r="Q26" s="290" t="str">
        <f t="shared" si="49"/>
        <v>E-</v>
      </c>
      <c r="R26" s="290" t="str">
        <f t="shared" si="49"/>
        <v>D-</v>
      </c>
      <c r="S26" s="290" t="str">
        <f t="shared" si="49"/>
        <v>E-</v>
      </c>
      <c r="T26" s="290" t="str">
        <f t="shared" si="49"/>
        <v>F+</v>
      </c>
      <c r="U26" s="290" t="str">
        <f t="shared" si="49"/>
        <v>E-</v>
      </c>
      <c r="V26" s="288" t="str">
        <f t="shared" si="5"/>
        <v>D+</v>
      </c>
      <c r="W26" s="289">
        <f t="shared" si="6"/>
        <v>14.225</v>
      </c>
      <c r="X26" s="491" t="s">
        <v>152</v>
      </c>
      <c r="Y26" s="482">
        <f>PERCENTILE($W$2:$W$50,0.95)</f>
        <v>26.875625</v>
      </c>
      <c r="Z26" s="284"/>
      <c r="AA26" s="623"/>
      <c r="AB26" s="284"/>
      <c r="AC26" s="284"/>
      <c r="AD26" s="284"/>
      <c r="AE26" s="284"/>
      <c r="AF26" s="284"/>
      <c r="AG26" s="284"/>
      <c r="AH26" s="284"/>
      <c r="AI26" s="284"/>
    </row>
    <row r="27">
      <c r="A27" s="272" t="str">
        <f>'Halo Infinite Stats'!$A27</f>
        <v>MysticalNovice</v>
      </c>
      <c r="B27" s="275">
        <f>IFERROR(VLOOKUP($A27,'Full Season PG+ Stats'!$A:$W,2,0),)</f>
        <v>0.1172211688</v>
      </c>
      <c r="C27" s="275">
        <f>IFERROR(VLOOKUP($A27,'Full Season PG+ Stats'!$A:$W,3,0),)</f>
        <v>0.7515945527</v>
      </c>
      <c r="D27" s="275">
        <f>IFERROR(VLOOKUP($A27,'Full Season PG+ Stats'!$A:$W,4,0),)</f>
        <v>0.7722806413</v>
      </c>
      <c r="E27" s="275">
        <f>IFERROR(VLOOKUP($A27,'Full Season PG+ Stats'!$A:$W,5,0),)</f>
        <v>0.1241165316</v>
      </c>
      <c r="F27" s="275">
        <f>IFERROR(VLOOKUP($A27,'Full Season PG+ Stats'!$A:$W,6,0),)</f>
        <v>0.8688157214</v>
      </c>
      <c r="G27" s="275">
        <f>IFERROR(VLOOKUP($A27,'Full Season PG+ Stats'!$A:$W,7,0),)</f>
        <v>0.3068436476</v>
      </c>
      <c r="H27" s="275">
        <f>IFERROR(VLOOKUP($A27,'Full Season PG+ Stats'!$A:$W,8,0),)</f>
        <v>1.389415618</v>
      </c>
      <c r="I27" s="275">
        <f>IFERROR(VLOOKUP($A27,'Full Season PG+ Stats'!$A:$W,9,0),)</f>
        <v>0.04481985865</v>
      </c>
      <c r="J27" s="275">
        <f>IFERROR(VLOOKUP($A27,'Full Season PG+ Stats'!$A:$X,10,0),)</f>
        <v>3.999310464</v>
      </c>
      <c r="K27" s="284"/>
      <c r="L27" s="272" t="str">
        <f>'Halo Infinite Stats'!$A27</f>
        <v>MysticalNovice</v>
      </c>
      <c r="M27" s="290" t="str">
        <f t="shared" si="3"/>
        <v>A+</v>
      </c>
      <c r="N27" s="290" t="str">
        <f t="shared" ref="N27:U27" si="50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S</v>
      </c>
      <c r="O27" s="290" t="str">
        <f t="shared" si="50"/>
        <v>S</v>
      </c>
      <c r="P27" s="290" t="str">
        <f t="shared" si="50"/>
        <v>S</v>
      </c>
      <c r="Q27" s="290" t="str">
        <f t="shared" si="50"/>
        <v>S</v>
      </c>
      <c r="R27" s="290" t="str">
        <f t="shared" si="50"/>
        <v>S</v>
      </c>
      <c r="S27" s="290" t="str">
        <f t="shared" si="50"/>
        <v>S</v>
      </c>
      <c r="T27" s="290" t="str">
        <f t="shared" si="50"/>
        <v>E+</v>
      </c>
      <c r="U27" s="290" t="str">
        <f t="shared" si="50"/>
        <v>S</v>
      </c>
      <c r="V27" s="288" t="str">
        <f t="shared" si="5"/>
        <v>S</v>
      </c>
      <c r="W27" s="289">
        <f t="shared" si="6"/>
        <v>27.2375</v>
      </c>
      <c r="X27" s="480" t="s">
        <v>154</v>
      </c>
      <c r="Y27" s="482">
        <f>PERCENTILE($W$2:$W$50,0.9)</f>
        <v>25.14625</v>
      </c>
      <c r="Z27" s="284"/>
      <c r="AA27" s="623"/>
      <c r="AB27" s="284"/>
      <c r="AC27" s="284"/>
      <c r="AD27" s="284"/>
      <c r="AE27" s="284"/>
      <c r="AF27" s="284"/>
      <c r="AG27" s="284"/>
      <c r="AH27" s="284"/>
      <c r="AI27" s="284"/>
    </row>
    <row r="28">
      <c r="A28" s="272" t="str">
        <f>'Halo Infinite Stats'!$A28</f>
        <v>NOPLEX</v>
      </c>
      <c r="B28" s="275">
        <f>IFERROR(VLOOKUP($A28,'Full Season PG+ Stats'!$A:$W,2,0),)</f>
        <v>0.03679530422</v>
      </c>
      <c r="C28" s="275">
        <f>IFERROR(VLOOKUP($A28,'Full Season PG+ Stats'!$A:$W,3,0),)</f>
        <v>-0.6307766437</v>
      </c>
      <c r="D28" s="275">
        <f>IFERROR(VLOOKUP($A28,'Full Season PG+ Stats'!$A:$W,4,0),)</f>
        <v>0.3153883219</v>
      </c>
      <c r="E28" s="275">
        <f>IFERROR(VLOOKUP($A28,'Full Season PG+ Stats'!$A:$W,5,0),)</f>
        <v>0.02628236016</v>
      </c>
      <c r="F28" s="275">
        <f>IFERROR(VLOOKUP($A28,'Full Season PG+ Stats'!$A:$W,6,0),)</f>
        <v>0.4336589426</v>
      </c>
      <c r="G28" s="275">
        <f>IFERROR(VLOOKUP($A28,'Full Season PG+ Stats'!$A:$W,7,0),)</f>
        <v>0.08673178851</v>
      </c>
      <c r="H28" s="275">
        <f>IFERROR(VLOOKUP($A28,'Full Season PG+ Stats'!$A:$W,8,0),)</f>
        <v>0.5887248675</v>
      </c>
      <c r="I28" s="275">
        <f>IFERROR(VLOOKUP($A28,'Full Season PG+ Stats'!$A:$W,9,0),)</f>
        <v>0.02628236016</v>
      </c>
      <c r="J28" s="275">
        <f>IFERROR(VLOOKUP($A28,'Full Season PG+ Stats'!$A:$X,10,0),)</f>
        <v>2.877918437</v>
      </c>
      <c r="K28" s="284"/>
      <c r="L28" s="272" t="str">
        <f>'Halo Infinite Stats'!$A28</f>
        <v>NOPLEX</v>
      </c>
      <c r="M28" s="290" t="str">
        <f t="shared" si="3"/>
        <v>C-</v>
      </c>
      <c r="N28" s="290" t="str">
        <f t="shared" ref="N28:U28" si="51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B-</v>
      </c>
      <c r="O28" s="290" t="str">
        <f t="shared" si="51"/>
        <v>F+</v>
      </c>
      <c r="P28" s="290" t="str">
        <f t="shared" si="51"/>
        <v>D-</v>
      </c>
      <c r="Q28" s="290" t="str">
        <f t="shared" si="51"/>
        <v>B-</v>
      </c>
      <c r="R28" s="290" t="str">
        <f t="shared" si="51"/>
        <v>D</v>
      </c>
      <c r="S28" s="290" t="str">
        <f t="shared" si="51"/>
        <v>C+</v>
      </c>
      <c r="T28" s="290" t="str">
        <f t="shared" si="51"/>
        <v>F</v>
      </c>
      <c r="U28" s="290" t="str">
        <f t="shared" si="51"/>
        <v>B-</v>
      </c>
      <c r="V28" s="288" t="str">
        <f t="shared" si="5"/>
        <v>C-</v>
      </c>
      <c r="W28" s="289">
        <f t="shared" si="6"/>
        <v>14.2625</v>
      </c>
      <c r="X28" s="501" t="s">
        <v>156</v>
      </c>
      <c r="Y28" s="503">
        <f>PERCENTILE($W$2:$W$50,0.85)</f>
        <v>24.296875</v>
      </c>
      <c r="Z28" s="284"/>
      <c r="AA28" s="623"/>
      <c r="AB28" s="284"/>
      <c r="AC28" s="284"/>
      <c r="AD28" s="284"/>
      <c r="AE28" s="284"/>
      <c r="AF28" s="284"/>
      <c r="AG28" s="284"/>
      <c r="AH28" s="284"/>
      <c r="AI28" s="284"/>
    </row>
    <row r="29">
      <c r="A29" s="272" t="str">
        <f>'Halo Infinite Stats'!$A29</f>
        <v>oh zilly</v>
      </c>
      <c r="B29" s="275">
        <f>IFERROR(VLOOKUP($A29,'Full Season PG+ Stats'!$A:$W,2,0),)</f>
        <v>0.04991957402</v>
      </c>
      <c r="C29" s="275">
        <f>IFERROR(VLOOKUP($A29,'Full Season PG+ Stats'!$A:$W,3,0),)</f>
        <v>-0.6922180931</v>
      </c>
      <c r="D29" s="275">
        <f>IFERROR(VLOOKUP($A29,'Full Season PG+ Stats'!$A:$W,4,0),)</f>
        <v>0.4526041378</v>
      </c>
      <c r="E29" s="275">
        <f>IFERROR(VLOOKUP($A29,'Full Season PG+ Stats'!$A:$W,5,0),)</f>
        <v>0.05990348882</v>
      </c>
      <c r="F29" s="275">
        <f>IFERROR(VLOOKUP($A29,'Full Season PG+ Stats'!$A:$W,6,0),)</f>
        <v>0.559099229</v>
      </c>
      <c r="G29" s="275">
        <f>IFERROR(VLOOKUP($A29,'Full Season PG+ Stats'!$A:$W,7,0),)</f>
        <v>0.1597426369</v>
      </c>
      <c r="H29" s="275">
        <f>IFERROR(VLOOKUP($A29,'Full Season PG+ Stats'!$A:$W,8,0),)</f>
        <v>0.8586166731</v>
      </c>
      <c r="I29" s="275">
        <f>IFERROR(VLOOKUP($A29,'Full Season PG+ Stats'!$A:$W,9,0),)</f>
        <v>0.05657551722</v>
      </c>
      <c r="J29" s="275">
        <f>IFERROR(VLOOKUP($A29,'Full Season PG+ Stats'!$A:$X,10,0),)</f>
        <v>3.151589106</v>
      </c>
      <c r="K29" s="284"/>
      <c r="L29" s="272" t="str">
        <f>'Halo Infinite Stats'!$A29</f>
        <v>oh zilly</v>
      </c>
      <c r="M29" s="290" t="str">
        <f t="shared" si="3"/>
        <v>B</v>
      </c>
      <c r="N29" s="290" t="str">
        <f t="shared" ref="N29:U29" si="52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C</v>
      </c>
      <c r="O29" s="290" t="str">
        <f t="shared" si="52"/>
        <v>C-</v>
      </c>
      <c r="P29" s="290" t="str">
        <f t="shared" si="52"/>
        <v>B+</v>
      </c>
      <c r="Q29" s="290" t="str">
        <f t="shared" si="52"/>
        <v>A</v>
      </c>
      <c r="R29" s="290" t="str">
        <f t="shared" si="52"/>
        <v>A</v>
      </c>
      <c r="S29" s="290" t="str">
        <f t="shared" si="52"/>
        <v>A</v>
      </c>
      <c r="T29" s="290" t="str">
        <f t="shared" si="52"/>
        <v>C-</v>
      </c>
      <c r="U29" s="290" t="str">
        <f t="shared" si="52"/>
        <v>A-</v>
      </c>
      <c r="V29" s="288" t="str">
        <f t="shared" si="5"/>
        <v>B+</v>
      </c>
      <c r="W29" s="289">
        <f t="shared" si="6"/>
        <v>20.0375</v>
      </c>
      <c r="X29" s="508" t="s">
        <v>158</v>
      </c>
      <c r="Y29" s="509">
        <f>PERCENTILE($W$2:$W$50,0.8)</f>
        <v>21.69</v>
      </c>
      <c r="Z29" s="284"/>
      <c r="AA29" s="623"/>
      <c r="AB29" s="284"/>
      <c r="AC29" s="284"/>
      <c r="AD29" s="284"/>
      <c r="AE29" s="284"/>
      <c r="AF29" s="284"/>
      <c r="AG29" s="284"/>
      <c r="AH29" s="284"/>
      <c r="AI29" s="284"/>
    </row>
    <row r="30">
      <c r="A30" s="272" t="str">
        <f>'Halo Infinite Stats'!$A30</f>
        <v>OREOTHECAT</v>
      </c>
      <c r="B30" s="275">
        <f>IFERROR(VLOOKUP($A30,'Full Season PG+ Stats'!$A:$W,2,0),)</f>
        <v>0.02007696169</v>
      </c>
      <c r="C30" s="275">
        <f>IFERROR(VLOOKUP($A30,'Full Season PG+ Stats'!$A:$W,3,0),)</f>
        <v>-1.756734148</v>
      </c>
      <c r="D30" s="275">
        <f>IFERROR(VLOOKUP($A30,'Full Season PG+ Stats'!$A:$W,4,0),)</f>
        <v>0.1355194914</v>
      </c>
      <c r="E30" s="275">
        <f>IFERROR(VLOOKUP($A30,'Full Season PG+ Stats'!$A:$W,5,0),)</f>
        <v>0.005019240422</v>
      </c>
      <c r="F30" s="275">
        <f>IFERROR(VLOOKUP($A30,'Full Season PG+ Stats'!$A:$W,6,0),)</f>
        <v>0.1204617701</v>
      </c>
      <c r="G30" s="275">
        <f>IFERROR(VLOOKUP($A30,'Full Season PG+ Stats'!$A:$W,7,0),)</f>
        <v>0.03011544253</v>
      </c>
      <c r="H30" s="275">
        <f>IFERROR(VLOOKUP($A30,'Full Season PG+ Stats'!$A:$W,8,0),)</f>
        <v>0.1606156935</v>
      </c>
      <c r="I30" s="275">
        <f>IFERROR(VLOOKUP($A30,'Full Season PG+ Stats'!$A:$W,9,0),)</f>
        <v>0.04517316379</v>
      </c>
      <c r="J30" s="275">
        <f>IFERROR(VLOOKUP($A30,'Full Season PG+ Stats'!$A:$X,10,0),)</f>
        <v>1.862138196</v>
      </c>
      <c r="K30" s="284"/>
      <c r="L30" s="272" t="str">
        <f>'Halo Infinite Stats'!$A30</f>
        <v>OREOTHECAT</v>
      </c>
      <c r="M30" s="290" t="str">
        <f t="shared" si="3"/>
        <v>E+</v>
      </c>
      <c r="N30" s="290" t="str">
        <f t="shared" ref="N30:U30" si="53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F+</v>
      </c>
      <c r="O30" s="290" t="str">
        <f t="shared" si="53"/>
        <v>F-</v>
      </c>
      <c r="P30" s="290" t="str">
        <f t="shared" si="53"/>
        <v>F-</v>
      </c>
      <c r="Q30" s="290" t="str">
        <f t="shared" si="53"/>
        <v>F-</v>
      </c>
      <c r="R30" s="290" t="str">
        <f t="shared" si="53"/>
        <v>F-</v>
      </c>
      <c r="S30" s="290" t="str">
        <f t="shared" si="53"/>
        <v>F-</v>
      </c>
      <c r="T30" s="290" t="str">
        <f t="shared" si="53"/>
        <v>D-</v>
      </c>
      <c r="U30" s="290" t="str">
        <f t="shared" si="53"/>
        <v>F-</v>
      </c>
      <c r="V30" s="288" t="str">
        <f t="shared" si="5"/>
        <v>F-</v>
      </c>
      <c r="W30" s="289">
        <f t="shared" si="6"/>
        <v>4.85</v>
      </c>
      <c r="X30" s="501" t="s">
        <v>159</v>
      </c>
      <c r="Y30" s="503">
        <f>PERCENTILE($W$2:$W$50,0.75)</f>
        <v>20.46875</v>
      </c>
      <c r="Z30" s="284"/>
      <c r="AA30" s="623"/>
      <c r="AB30" s="284"/>
      <c r="AC30" s="284"/>
      <c r="AD30" s="284"/>
      <c r="AE30" s="284"/>
      <c r="AF30" s="284"/>
      <c r="AG30" s="284"/>
      <c r="AH30" s="284"/>
      <c r="AI30" s="284"/>
    </row>
    <row r="31">
      <c r="A31" s="272" t="str">
        <f>'Halo Infinite Stats'!$A31</f>
        <v>Pd Craig 69</v>
      </c>
      <c r="B31" s="275">
        <f>IFERROR(VLOOKUP($A31,'Full Season PG+ Stats'!$A:$W,2,0),)</f>
        <v>0.01881467545</v>
      </c>
      <c r="C31" s="275">
        <f>IFERROR(VLOOKUP($A31,'Full Season PG+ Stats'!$A:$W,3,0),)</f>
        <v>-0.8090310442</v>
      </c>
      <c r="D31" s="275">
        <f>IFERROR(VLOOKUP($A31,'Full Season PG+ Stats'!$A:$W,4,0),)</f>
        <v>0.1317027281</v>
      </c>
      <c r="E31" s="275">
        <f>IFERROR(VLOOKUP($A31,'Full Season PG+ Stats'!$A:$W,5,0),)</f>
        <v>0.05644402634</v>
      </c>
      <c r="F31" s="275">
        <f>IFERROR(VLOOKUP($A31,'Full Season PG+ Stats'!$A:$W,6,0),)</f>
        <v>0.338664158</v>
      </c>
      <c r="G31" s="275">
        <f>IFERROR(VLOOKUP($A31,'Full Season PG+ Stats'!$A:$W,7,0),)</f>
        <v>0.1505174036</v>
      </c>
      <c r="H31" s="275">
        <f>IFERROR(VLOOKUP($A31,'Full Season PG+ Stats'!$A:$W,8,0),)</f>
        <v>0.6020696143</v>
      </c>
      <c r="I31" s="275">
        <f>IFERROR(VLOOKUP($A31,'Full Season PG+ Stats'!$A:$W,9,0),)</f>
        <v>0.05644402634</v>
      </c>
      <c r="J31" s="275">
        <f>IFERROR(VLOOKUP($A31,'Full Season PG+ Stats'!$A:$X,10,0),)</f>
        <v>2.72812794</v>
      </c>
      <c r="K31" s="284"/>
      <c r="L31" s="272" t="str">
        <f>'Halo Infinite Stats'!$A31</f>
        <v>Pd Craig 69</v>
      </c>
      <c r="M31" s="290" t="str">
        <f t="shared" si="3"/>
        <v>E</v>
      </c>
      <c r="N31" s="290" t="str">
        <f t="shared" ref="N31:U31" si="54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D+</v>
      </c>
      <c r="O31" s="290" t="str">
        <f t="shared" si="54"/>
        <v>F-</v>
      </c>
      <c r="P31" s="290" t="str">
        <f t="shared" si="54"/>
        <v>B-</v>
      </c>
      <c r="Q31" s="290" t="str">
        <f t="shared" si="54"/>
        <v>E</v>
      </c>
      <c r="R31" s="290" t="str">
        <f t="shared" si="54"/>
        <v>A-</v>
      </c>
      <c r="S31" s="290" t="str">
        <f t="shared" si="54"/>
        <v>C+</v>
      </c>
      <c r="T31" s="290" t="str">
        <f t="shared" si="54"/>
        <v>D+</v>
      </c>
      <c r="U31" s="290" t="str">
        <f t="shared" si="54"/>
        <v>C-</v>
      </c>
      <c r="V31" s="288" t="str">
        <f t="shared" si="5"/>
        <v>D-</v>
      </c>
      <c r="W31" s="289">
        <f t="shared" si="6"/>
        <v>12.35</v>
      </c>
      <c r="X31" s="518" t="s">
        <v>161</v>
      </c>
      <c r="Y31" s="520">
        <f>PERCENTILE($W$2:$W$50,0.7)</f>
        <v>19.92125</v>
      </c>
      <c r="Z31" s="739"/>
      <c r="AA31" s="623"/>
      <c r="AB31" s="284"/>
      <c r="AC31" s="284"/>
      <c r="AD31" s="284"/>
      <c r="AE31" s="284"/>
      <c r="AF31" s="284"/>
      <c r="AG31" s="284"/>
      <c r="AH31" s="284"/>
      <c r="AI31" s="284"/>
    </row>
    <row r="32">
      <c r="A32" s="272" t="str">
        <f>'Halo Infinite Stats'!$A32</f>
        <v>Priest XYZ</v>
      </c>
      <c r="B32" s="275">
        <f>IFERROR(VLOOKUP($A32,'Full Season PG+ Stats'!$A:$W,2,0),)</f>
        <v>0.01863271372</v>
      </c>
      <c r="C32" s="275">
        <f>IFERROR(VLOOKUP($A32,'Full Season PG+ Stats'!$A:$W,3,0),)</f>
        <v>-0.7133667539</v>
      </c>
      <c r="D32" s="275">
        <f>IFERROR(VLOOKUP($A32,'Full Season PG+ Stats'!$A:$W,4,0),)</f>
        <v>0.3992724369</v>
      </c>
      <c r="E32" s="275">
        <f>IFERROR(VLOOKUP($A32,'Full Season PG+ Stats'!$A:$W,5,0),)</f>
        <v>0.02661816246</v>
      </c>
      <c r="F32" s="275">
        <f>IFERROR(VLOOKUP($A32,'Full Season PG+ Stats'!$A:$W,6,0),)</f>
        <v>0.4471851293</v>
      </c>
      <c r="G32" s="275">
        <f>IFERROR(VLOOKUP($A32,'Full Season PG+ Stats'!$A:$W,7,0),)</f>
        <v>0.1224435473</v>
      </c>
      <c r="H32" s="275">
        <f>IFERROR(VLOOKUP($A32,'Full Season PG+ Stats'!$A:$W,8,0),)</f>
        <v>0.649483164</v>
      </c>
      <c r="I32" s="275">
        <f>IFERROR(VLOOKUP($A32,'Full Season PG+ Stats'!$A:$W,9,0),)</f>
        <v>0.04258905994</v>
      </c>
      <c r="J32" s="275">
        <f>IFERROR(VLOOKUP($A32,'Full Season PG+ Stats'!$A:$X,10,0),)</f>
        <v>2.922674238</v>
      </c>
      <c r="K32" s="284"/>
      <c r="L32" s="272" t="str">
        <f>'Halo Infinite Stats'!$A32</f>
        <v>Priest XYZ</v>
      </c>
      <c r="M32" s="290" t="str">
        <f t="shared" si="3"/>
        <v>E-</v>
      </c>
      <c r="N32" s="290" t="str">
        <f t="shared" ref="N32:U32" si="55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C</v>
      </c>
      <c r="O32" s="290" t="str">
        <f t="shared" si="55"/>
        <v>D-</v>
      </c>
      <c r="P32" s="290" t="str">
        <f t="shared" si="55"/>
        <v>D-</v>
      </c>
      <c r="Q32" s="290" t="str">
        <f t="shared" si="55"/>
        <v>B</v>
      </c>
      <c r="R32" s="290" t="str">
        <f t="shared" si="55"/>
        <v>B-</v>
      </c>
      <c r="S32" s="290" t="str">
        <f t="shared" si="55"/>
        <v>B</v>
      </c>
      <c r="T32" s="290" t="str">
        <f t="shared" si="55"/>
        <v>E</v>
      </c>
      <c r="U32" s="290" t="str">
        <f t="shared" si="55"/>
        <v>B</v>
      </c>
      <c r="V32" s="288" t="str">
        <f t="shared" si="5"/>
        <v>D+</v>
      </c>
      <c r="W32" s="289">
        <f t="shared" si="6"/>
        <v>14.25</v>
      </c>
      <c r="X32" s="522" t="s">
        <v>164</v>
      </c>
      <c r="Y32" s="523">
        <f>PERCENTILE($W$2:$W$50,0.65)</f>
        <v>18.431875</v>
      </c>
      <c r="Z32" s="284"/>
      <c r="AA32" s="623"/>
      <c r="AB32" s="284"/>
      <c r="AC32" s="284"/>
      <c r="AD32" s="284"/>
      <c r="AE32" s="284"/>
      <c r="AF32" s="284"/>
      <c r="AG32" s="284"/>
      <c r="AH32" s="284"/>
      <c r="AI32" s="284"/>
    </row>
    <row r="33">
      <c r="A33" s="272" t="str">
        <f>'Halo Infinite Stats'!$A33</f>
        <v>Ram Osneb</v>
      </c>
      <c r="B33" s="275">
        <f>IFERROR(VLOOKUP($A33,'Full Season PG+ Stats'!$A:$W,2,0),)</f>
        <v>0.0340546293</v>
      </c>
      <c r="C33" s="275">
        <f>IFERROR(VLOOKUP($A33,'Full Season PG+ Stats'!$A:$W,3,0),)</f>
        <v>-1.566512948</v>
      </c>
      <c r="D33" s="275">
        <f>IFERROR(VLOOKUP($A33,'Full Season PG+ Stats'!$A:$W,4,0),)</f>
        <v>0.3235189784</v>
      </c>
      <c r="E33" s="275">
        <f>IFERROR(VLOOKUP($A33,'Full Season PG+ Stats'!$A:$W,5,0),)</f>
        <v>0</v>
      </c>
      <c r="F33" s="275">
        <f>IFERROR(VLOOKUP($A33,'Full Season PG+ Stats'!$A:$W,6,0),)</f>
        <v>0.2128414331</v>
      </c>
      <c r="G33" s="275">
        <f>IFERROR(VLOOKUP($A33,'Full Season PG+ Stats'!$A:$W,7,0),)</f>
        <v>0.02979780064</v>
      </c>
      <c r="H33" s="275">
        <f>IFERROR(VLOOKUP($A33,'Full Season PG+ Stats'!$A:$W,8,0),)</f>
        <v>0.2554097198</v>
      </c>
      <c r="I33" s="275">
        <f>IFERROR(VLOOKUP($A33,'Full Season PG+ Stats'!$A:$W,9,0),)</f>
        <v>0.1191912026</v>
      </c>
      <c r="J33" s="275">
        <f>IFERROR(VLOOKUP($A33,'Full Season PG+ Stats'!$A:$X,10,0),)</f>
        <v>2.256119191</v>
      </c>
      <c r="K33" s="284"/>
      <c r="L33" s="272" t="str">
        <f>'Halo Infinite Stats'!$A33</f>
        <v>Ram Osneb</v>
      </c>
      <c r="M33" s="290" t="str">
        <f t="shared" si="3"/>
        <v>D</v>
      </c>
      <c r="N33" s="290" t="str">
        <f t="shared" ref="N33:U33" si="56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E-</v>
      </c>
      <c r="O33" s="290" t="str">
        <f t="shared" si="56"/>
        <v>E</v>
      </c>
      <c r="P33" s="290" t="str">
        <f t="shared" si="56"/>
        <v>F-</v>
      </c>
      <c r="Q33" s="290" t="str">
        <f t="shared" si="56"/>
        <v>F-</v>
      </c>
      <c r="R33" s="290" t="str">
        <f t="shared" si="56"/>
        <v>F-</v>
      </c>
      <c r="S33" s="290" t="str">
        <f t="shared" si="56"/>
        <v>F-</v>
      </c>
      <c r="T33" s="290" t="str">
        <f t="shared" si="56"/>
        <v>S+</v>
      </c>
      <c r="U33" s="290" t="str">
        <f t="shared" si="56"/>
        <v>F</v>
      </c>
      <c r="V33" s="288" t="str">
        <f t="shared" si="5"/>
        <v>F+</v>
      </c>
      <c r="W33" s="289">
        <f t="shared" si="6"/>
        <v>7.425</v>
      </c>
      <c r="X33" s="518" t="s">
        <v>166</v>
      </c>
      <c r="Y33" s="527">
        <f>PERCENTILE($W$2:$W$50,0.6)</f>
        <v>16.635</v>
      </c>
      <c r="Z33" s="284"/>
      <c r="AA33" s="623"/>
      <c r="AB33" s="284"/>
      <c r="AC33" s="284"/>
      <c r="AD33" s="284"/>
      <c r="AE33" s="284"/>
      <c r="AF33" s="284"/>
      <c r="AG33" s="284"/>
      <c r="AH33" s="284"/>
      <c r="AI33" s="284"/>
    </row>
    <row r="34">
      <c r="A34" s="272" t="str">
        <f>'Halo Infinite Stats'!$A34</f>
        <v>Scullen cx</v>
      </c>
      <c r="B34" s="275">
        <f>IFERROR(VLOOKUP($A34,'Full Season PG+ Stats'!$A:$W,2,0),)</f>
        <v>0.1185710666</v>
      </c>
      <c r="C34" s="275">
        <f>IFERROR(VLOOKUP($A34,'Full Season PG+ Stats'!$A:$W,3,0),)</f>
        <v>-0.2523435521</v>
      </c>
      <c r="D34" s="275">
        <f>IFERROR(VLOOKUP($A34,'Full Season PG+ Stats'!$A:$W,4,0),)</f>
        <v>0.7235875348</v>
      </c>
      <c r="E34" s="275">
        <f>IFERROR(VLOOKUP($A34,'Full Season PG+ Stats'!$A:$W,5,0),)</f>
        <v>0.08816822903</v>
      </c>
      <c r="F34" s="275">
        <f>IFERROR(VLOOKUP($A34,'Full Season PG+ Stats'!$A:$W,6,0),)</f>
        <v>0.5837344819</v>
      </c>
      <c r="G34" s="275">
        <f>IFERROR(VLOOKUP($A34,'Full Season PG+ Stats'!$A:$W,7,0),)</f>
        <v>0.1702558905</v>
      </c>
      <c r="H34" s="275">
        <f>IFERROR(VLOOKUP($A34,'Full Season PG+ Stats'!$A:$W,8,0),)</f>
        <v>0.8695211553</v>
      </c>
      <c r="I34" s="275">
        <f>IFERROR(VLOOKUP($A34,'Full Season PG+ Stats'!$A:$W,9,0),)</f>
        <v>0.05776539144</v>
      </c>
      <c r="J34" s="275">
        <f>IFERROR(VLOOKUP($A34,'Full Season PG+ Stats'!$A:$X,10,0),)</f>
        <v>3.262224474</v>
      </c>
      <c r="K34" s="284"/>
      <c r="L34" s="272" t="str">
        <f>'Halo Infinite Stats'!$A34</f>
        <v>Scullen cx</v>
      </c>
      <c r="M34" s="290" t="str">
        <f t="shared" si="3"/>
        <v>S-</v>
      </c>
      <c r="N34" s="290" t="str">
        <f t="shared" ref="N34:U34" si="57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B+</v>
      </c>
      <c r="O34" s="290" t="str">
        <f t="shared" si="57"/>
        <v>S-</v>
      </c>
      <c r="P34" s="290" t="str">
        <f t="shared" si="57"/>
        <v>A+</v>
      </c>
      <c r="Q34" s="290" t="str">
        <f t="shared" si="57"/>
        <v>A+</v>
      </c>
      <c r="R34" s="290" t="str">
        <f t="shared" si="57"/>
        <v>A+</v>
      </c>
      <c r="S34" s="290" t="str">
        <f t="shared" si="57"/>
        <v>A+</v>
      </c>
      <c r="T34" s="290" t="str">
        <f t="shared" si="57"/>
        <v>C</v>
      </c>
      <c r="U34" s="290" t="str">
        <f t="shared" si="57"/>
        <v>A</v>
      </c>
      <c r="V34" s="288" t="str">
        <f t="shared" si="5"/>
        <v>A+</v>
      </c>
      <c r="W34" s="289">
        <f t="shared" si="6"/>
        <v>25</v>
      </c>
      <c r="X34" s="529" t="s">
        <v>168</v>
      </c>
      <c r="Y34" s="530">
        <f>PERCENTILE($W$2:$W$50,0.55)</f>
        <v>15.573125</v>
      </c>
      <c r="Z34" s="284"/>
      <c r="AA34" s="623"/>
      <c r="AB34" s="284"/>
      <c r="AC34" s="284"/>
      <c r="AD34" s="284"/>
      <c r="AE34" s="284"/>
      <c r="AF34" s="284"/>
      <c r="AG34" s="284"/>
      <c r="AH34" s="284"/>
      <c r="AI34" s="284"/>
    </row>
    <row r="35">
      <c r="A35" s="272" t="str">
        <f>'Halo Infinite Stats'!$A35</f>
        <v>SPANKTR0N</v>
      </c>
      <c r="B35" s="275">
        <f>IFERROR(VLOOKUP($A35,'Full Season PG+ Stats'!$A:$W,2,0),)</f>
        <v>0.01897983393</v>
      </c>
      <c r="C35" s="275">
        <f>IFERROR(VLOOKUP($A35,'Full Season PG+ Stats'!$A:$W,3,0),)</f>
        <v>-0.2491103203</v>
      </c>
      <c r="D35" s="275">
        <f>IFERROR(VLOOKUP($A35,'Full Season PG+ Stats'!$A:$W,4,0),)</f>
        <v>0.4816132859</v>
      </c>
      <c r="E35" s="275">
        <f>IFERROR(VLOOKUP($A35,'Full Season PG+ Stats'!$A:$W,5,0),)</f>
        <v>0.08303677343</v>
      </c>
      <c r="F35" s="275">
        <f>IFERROR(VLOOKUP($A35,'Full Season PG+ Stats'!$A:$W,6,0),)</f>
        <v>0.6951364176</v>
      </c>
      <c r="G35" s="275">
        <f>IFERROR(VLOOKUP($A35,'Full Season PG+ Stats'!$A:$W,7,0),)</f>
        <v>0.196915777</v>
      </c>
      <c r="H35" s="275">
        <f>IFERROR(VLOOKUP($A35,'Full Season PG+ Stats'!$A:$W,8,0),)</f>
        <v>1.072360617</v>
      </c>
      <c r="I35" s="275">
        <f>IFERROR(VLOOKUP($A35,'Full Season PG+ Stats'!$A:$W,9,0),)</f>
        <v>0.0521945433</v>
      </c>
      <c r="J35" s="275">
        <f>IFERROR(VLOOKUP($A35,'Full Season PG+ Stats'!$A:$X,10,0),)</f>
        <v>3.596678529</v>
      </c>
      <c r="K35" s="284"/>
      <c r="L35" s="272" t="str">
        <f>'Halo Infinite Stats'!$A35</f>
        <v>SPANKTR0N</v>
      </c>
      <c r="M35" s="290" t="str">
        <f t="shared" si="3"/>
        <v>E</v>
      </c>
      <c r="N35" s="290" t="str">
        <f t="shared" ref="N35:U35" si="58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B+</v>
      </c>
      <c r="O35" s="290" t="str">
        <f t="shared" si="58"/>
        <v>B-</v>
      </c>
      <c r="P35" s="290" t="str">
        <f t="shared" si="58"/>
        <v>A+</v>
      </c>
      <c r="Q35" s="290" t="str">
        <f t="shared" si="58"/>
        <v>S-</v>
      </c>
      <c r="R35" s="290" t="str">
        <f t="shared" si="58"/>
        <v>S-</v>
      </c>
      <c r="S35" s="290" t="str">
        <f t="shared" si="58"/>
        <v>S-</v>
      </c>
      <c r="T35" s="290" t="str">
        <f t="shared" si="58"/>
        <v>D</v>
      </c>
      <c r="U35" s="290" t="str">
        <f t="shared" si="58"/>
        <v>A+</v>
      </c>
      <c r="V35" s="288" t="str">
        <f t="shared" si="5"/>
        <v>A-</v>
      </c>
      <c r="W35" s="289">
        <f t="shared" si="6"/>
        <v>20.5875</v>
      </c>
      <c r="X35" s="534" t="s">
        <v>171</v>
      </c>
      <c r="Y35" s="535">
        <f>PERCENTILE($W$2:$W$50,0.5)</f>
        <v>14.65625</v>
      </c>
      <c r="Z35" s="284"/>
      <c r="AA35" s="623"/>
      <c r="AB35" s="284"/>
      <c r="AC35" s="284"/>
      <c r="AD35" s="284"/>
      <c r="AE35" s="284"/>
      <c r="AF35" s="284"/>
      <c r="AG35" s="284"/>
      <c r="AH35" s="284"/>
      <c r="AI35" s="284"/>
    </row>
    <row r="36">
      <c r="A36" s="272" t="str">
        <f>'Halo Infinite Stats'!$A36</f>
        <v>StarMonster8129</v>
      </c>
      <c r="B36" s="275">
        <f>IFERROR(VLOOKUP($A36,'Full Season PG+ Stats'!$A:$W,2,0),)</f>
        <v>0.020127474</v>
      </c>
      <c r="C36" s="275">
        <f>IFERROR(VLOOKUP($A36,'Full Season PG+ Stats'!$A:$W,3,0),)</f>
        <v>-1.81147266</v>
      </c>
      <c r="D36" s="275">
        <f>IFERROR(VLOOKUP($A36,'Full Season PG+ Stats'!$A:$W,4,0),)</f>
        <v>0.5031868501</v>
      </c>
      <c r="E36" s="275">
        <f>IFERROR(VLOOKUP($A36,'Full Season PG+ Stats'!$A:$W,5,0),)</f>
        <v>0</v>
      </c>
      <c r="F36" s="275">
        <f>IFERROR(VLOOKUP($A36,'Full Season PG+ Stats'!$A:$W,6,0),)</f>
        <v>0.261657162</v>
      </c>
      <c r="G36" s="275">
        <f>IFERROR(VLOOKUP($A36,'Full Season PG+ Stats'!$A:$W,7,0),)</f>
        <v>0.06038242201</v>
      </c>
      <c r="H36" s="275">
        <f>IFERROR(VLOOKUP($A36,'Full Season PG+ Stats'!$A:$W,8,0),)</f>
        <v>0.322039584</v>
      </c>
      <c r="I36" s="275">
        <f>IFERROR(VLOOKUP($A36,'Full Season PG+ Stats'!$A:$W,9,0),)</f>
        <v>0.06038242201</v>
      </c>
      <c r="J36" s="275">
        <f>IFERROR(VLOOKUP($A36,'Full Season PG+ Stats'!$A:$X,10,0),)</f>
        <v>2.254277088</v>
      </c>
      <c r="K36" s="284"/>
      <c r="L36" s="272" t="str">
        <f>'Halo Infinite Stats'!$A36</f>
        <v>StarMonster8129</v>
      </c>
      <c r="M36" s="290" t="str">
        <f t="shared" si="3"/>
        <v>E+</v>
      </c>
      <c r="N36" s="290" t="str">
        <f t="shared" ref="N36:U36" si="59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F</v>
      </c>
      <c r="O36" s="290" t="str">
        <f t="shared" si="59"/>
        <v>B+</v>
      </c>
      <c r="P36" s="290" t="str">
        <f t="shared" si="59"/>
        <v>F-</v>
      </c>
      <c r="Q36" s="290" t="str">
        <f t="shared" si="59"/>
        <v>F</v>
      </c>
      <c r="R36" s="290" t="str">
        <f t="shared" si="59"/>
        <v>E-</v>
      </c>
      <c r="S36" s="290" t="str">
        <f t="shared" si="59"/>
        <v>F</v>
      </c>
      <c r="T36" s="290" t="str">
        <f t="shared" si="59"/>
        <v>B-</v>
      </c>
      <c r="U36" s="290" t="str">
        <f t="shared" si="59"/>
        <v>F</v>
      </c>
      <c r="V36" s="288" t="str">
        <f t="shared" si="5"/>
        <v>E-</v>
      </c>
      <c r="W36" s="289">
        <f t="shared" si="6"/>
        <v>8.45</v>
      </c>
      <c r="X36" s="529" t="s">
        <v>173</v>
      </c>
      <c r="Y36" s="536">
        <f>PERCENTILE($W$2:$W$50,0.45)</f>
        <v>14.255625</v>
      </c>
      <c r="Z36" s="284"/>
      <c r="AA36" s="623"/>
      <c r="AB36" s="284"/>
      <c r="AC36" s="284"/>
      <c r="AD36" s="284"/>
      <c r="AE36" s="284"/>
      <c r="AF36" s="284"/>
      <c r="AG36" s="284"/>
      <c r="AH36" s="284"/>
      <c r="AI36" s="284"/>
    </row>
    <row r="37">
      <c r="A37" s="272" t="str">
        <f>'Halo Infinite Stats'!$A37</f>
        <v>xXTHEChickenGod</v>
      </c>
      <c r="B37" s="275">
        <f>IFERROR(VLOOKUP($A37,'Full Season PG+ Stats'!$A:$W,2,0),)</f>
        <v>0.009259735583</v>
      </c>
      <c r="C37" s="275">
        <f>IFERROR(VLOOKUP($A37,'Full Season PG+ Stats'!$A:$W,3,0),)</f>
        <v>-1.175986419</v>
      </c>
      <c r="D37" s="275">
        <f>IFERROR(VLOOKUP($A37,'Full Season PG+ Stats'!$A:$W,4,0),)</f>
        <v>0.3210041669</v>
      </c>
      <c r="E37" s="275">
        <f>IFERROR(VLOOKUP($A37,'Full Season PG+ Stats'!$A:$W,5,0),)</f>
        <v>0.01543289264</v>
      </c>
      <c r="F37" s="275">
        <f>IFERROR(VLOOKUP($A37,'Full Season PG+ Stats'!$A:$W,6,0),)</f>
        <v>0.3765625804</v>
      </c>
      <c r="G37" s="275">
        <f>IFERROR(VLOOKUP($A37,'Full Season PG+ Stats'!$A:$W,7,0),)</f>
        <v>0.05247183497</v>
      </c>
      <c r="H37" s="275">
        <f>IFERROR(VLOOKUP($A37,'Full Season PG+ Stats'!$A:$W,8,0),)</f>
        <v>0.4413807295</v>
      </c>
      <c r="I37" s="275">
        <f>IFERROR(VLOOKUP($A37,'Full Season PG+ Stats'!$A:$W,9,0),)</f>
        <v>0.02160604969</v>
      </c>
      <c r="J37" s="275">
        <f>IFERROR(VLOOKUP($A37,'Full Season PG+ Stats'!$A:$X,10,0),)</f>
        <v>2.716189104</v>
      </c>
      <c r="K37" s="284"/>
      <c r="L37" s="272" t="str">
        <f>'Halo Infinite Stats'!$A37</f>
        <v>xXTHEChickenGod</v>
      </c>
      <c r="M37" s="290" t="str">
        <f t="shared" si="3"/>
        <v>F-</v>
      </c>
      <c r="N37" s="290" t="str">
        <f t="shared" ref="N37:U37" si="60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E+</v>
      </c>
      <c r="O37" s="290" t="str">
        <f t="shared" si="60"/>
        <v>E</v>
      </c>
      <c r="P37" s="290" t="str">
        <f t="shared" si="60"/>
        <v>F+</v>
      </c>
      <c r="Q37" s="290" t="str">
        <f t="shared" si="60"/>
        <v>D-</v>
      </c>
      <c r="R37" s="290" t="str">
        <f t="shared" si="60"/>
        <v>F+</v>
      </c>
      <c r="S37" s="290" t="str">
        <f t="shared" si="60"/>
        <v>E-</v>
      </c>
      <c r="T37" s="290" t="str">
        <f t="shared" si="60"/>
        <v>F-</v>
      </c>
      <c r="U37" s="290" t="str">
        <f t="shared" si="60"/>
        <v>D+</v>
      </c>
      <c r="V37" s="288" t="str">
        <f t="shared" si="5"/>
        <v>F</v>
      </c>
      <c r="W37" s="289">
        <f t="shared" si="6"/>
        <v>7.4</v>
      </c>
      <c r="X37" s="538" t="s">
        <v>175</v>
      </c>
      <c r="Y37" s="539">
        <f>PERCENTILE($W$2:$W$50,0.4)</f>
        <v>13.5275</v>
      </c>
      <c r="Z37" s="284"/>
      <c r="AA37" s="623"/>
      <c r="AB37" s="284"/>
      <c r="AC37" s="284"/>
      <c r="AD37" s="284"/>
      <c r="AE37" s="284"/>
      <c r="AF37" s="284"/>
      <c r="AG37" s="284"/>
      <c r="AH37" s="284"/>
      <c r="AI37" s="284"/>
    </row>
    <row r="38">
      <c r="A38" s="272" t="str">
        <f>'Halo Infinite Stats'!$A38</f>
        <v>ThePro#1771</v>
      </c>
      <c r="B38" s="275">
        <f>IFERROR(VLOOKUP($A38,'Full Season PG+ Stats'!$A:$W,2,0),)</f>
        <v>0</v>
      </c>
      <c r="C38" s="275">
        <f>IFERROR(VLOOKUP($A38,'Full Season PG+ Stats'!$A:$W,3,0),)</f>
        <v>-1.314487633</v>
      </c>
      <c r="D38" s="275">
        <f>IFERROR(VLOOKUP($A38,'Full Season PG+ Stats'!$A:$W,4,0),)</f>
        <v>0.1696113074</v>
      </c>
      <c r="E38" s="275">
        <f>IFERROR(VLOOKUP($A38,'Full Season PG+ Stats'!$A:$W,5,0),)</f>
        <v>0.04240282686</v>
      </c>
      <c r="F38" s="275">
        <f>IFERROR(VLOOKUP($A38,'Full Season PG+ Stats'!$A:$W,6,0),)</f>
        <v>0.3816254417</v>
      </c>
      <c r="G38" s="275">
        <f>IFERROR(VLOOKUP($A38,'Full Season PG+ Stats'!$A:$W,7,0),)</f>
        <v>0.08480565371</v>
      </c>
      <c r="H38" s="275">
        <f>IFERROR(VLOOKUP($A38,'Full Season PG+ Stats'!$A:$W,8,0),)</f>
        <v>0.4664310954</v>
      </c>
      <c r="I38" s="275">
        <f>IFERROR(VLOOKUP($A38,'Full Season PG+ Stats'!$A:$W,9,0),)</f>
        <v>0</v>
      </c>
      <c r="J38" s="275">
        <f>IFERROR(VLOOKUP($A38,'Full Season PG+ Stats'!$A:$X,10,0),)</f>
        <v>2.28975265</v>
      </c>
      <c r="K38" s="284"/>
      <c r="L38" s="272" t="str">
        <f>'Halo Infinite Stats'!$A38</f>
        <v>ThePro#1771</v>
      </c>
      <c r="M38" s="290" t="str">
        <f t="shared" si="3"/>
        <v>F-</v>
      </c>
      <c r="N38" s="290" t="str">
        <f t="shared" ref="N38:U38" si="61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E</v>
      </c>
      <c r="O38" s="290" t="str">
        <f t="shared" si="61"/>
        <v>F-</v>
      </c>
      <c r="P38" s="290" t="str">
        <f t="shared" si="61"/>
        <v>C</v>
      </c>
      <c r="Q38" s="290" t="str">
        <f t="shared" si="61"/>
        <v>D-</v>
      </c>
      <c r="R38" s="290" t="str">
        <f t="shared" si="61"/>
        <v>D-</v>
      </c>
      <c r="S38" s="290" t="str">
        <f t="shared" si="61"/>
        <v>E</v>
      </c>
      <c r="T38" s="290" t="str">
        <f t="shared" si="61"/>
        <v>F-</v>
      </c>
      <c r="U38" s="290" t="str">
        <f t="shared" si="61"/>
        <v>F+</v>
      </c>
      <c r="V38" s="288" t="str">
        <f t="shared" si="5"/>
        <v>F</v>
      </c>
      <c r="W38" s="289">
        <f t="shared" si="6"/>
        <v>6.975</v>
      </c>
      <c r="X38" s="544" t="s">
        <v>179</v>
      </c>
      <c r="Y38" s="545">
        <f>PERCENTILE($W$2:$W$50,0.35)</f>
        <v>12.735625</v>
      </c>
      <c r="Z38" s="284"/>
      <c r="AA38" s="623"/>
      <c r="AB38" s="284"/>
      <c r="AC38" s="284"/>
      <c r="AD38" s="284"/>
      <c r="AE38" s="284"/>
      <c r="AF38" s="284"/>
      <c r="AG38" s="284"/>
      <c r="AH38" s="284"/>
      <c r="AI38" s="284"/>
    </row>
    <row r="39">
      <c r="A39" s="272" t="str">
        <f>'Halo Infinite Stats'!$A39</f>
        <v>TJP37</v>
      </c>
      <c r="B39" s="275">
        <f>IFERROR(VLOOKUP($A39,'Full Season PG+ Stats'!$A:$W,2,0),)</f>
        <v>0.04573668736</v>
      </c>
      <c r="C39" s="275">
        <f>IFERROR(VLOOKUP($A39,'Full Season PG+ Stats'!$A:$W,3,0),)</f>
        <v>-0.3245126865</v>
      </c>
      <c r="D39" s="275">
        <f>IFERROR(VLOOKUP($A39,'Full Season PG+ Stats'!$A:$W,4,0),)</f>
        <v>0.5248829359</v>
      </c>
      <c r="E39" s="275">
        <f>IFERROR(VLOOKUP($A39,'Full Season PG+ Stats'!$A:$W,5,0),)</f>
        <v>0.04355874986</v>
      </c>
      <c r="F39" s="275">
        <f>IFERROR(VLOOKUP($A39,'Full Season PG+ Stats'!$A:$W,6,0),)</f>
        <v>0.4530109986</v>
      </c>
      <c r="G39" s="275">
        <f>IFERROR(VLOOKUP($A39,'Full Season PG+ Stats'!$A:$W,7,0),)</f>
        <v>0.1263203746</v>
      </c>
      <c r="H39" s="275">
        <f>IFERROR(VLOOKUP($A39,'Full Season PG+ Stats'!$A:$W,8,0),)</f>
        <v>0.6577371229</v>
      </c>
      <c r="I39" s="275">
        <f>IFERROR(VLOOKUP($A39,'Full Season PG+ Stats'!$A:$W,9,0),)</f>
        <v>0.07840574975</v>
      </c>
      <c r="J39" s="275">
        <f>IFERROR(VLOOKUP($A39,'Full Season PG+ Stats'!$A:$X,10,0),)</f>
        <v>2.966350866</v>
      </c>
      <c r="K39" s="284"/>
      <c r="L39" s="272" t="str">
        <f>'Halo Infinite Stats'!$A39</f>
        <v>TJP37</v>
      </c>
      <c r="M39" s="290" t="str">
        <f t="shared" si="3"/>
        <v>C+</v>
      </c>
      <c r="N39" s="290" t="str">
        <f t="shared" ref="N39:U39" si="62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B</v>
      </c>
      <c r="O39" s="290" t="str">
        <f t="shared" si="62"/>
        <v>A-</v>
      </c>
      <c r="P39" s="290" t="str">
        <f t="shared" si="62"/>
        <v>C+</v>
      </c>
      <c r="Q39" s="290" t="str">
        <f t="shared" si="62"/>
        <v>B</v>
      </c>
      <c r="R39" s="290" t="str">
        <f t="shared" si="62"/>
        <v>B-</v>
      </c>
      <c r="S39" s="290" t="str">
        <f t="shared" si="62"/>
        <v>B</v>
      </c>
      <c r="T39" s="290" t="str">
        <f t="shared" si="62"/>
        <v>A-</v>
      </c>
      <c r="U39" s="290" t="str">
        <f t="shared" si="62"/>
        <v>B</v>
      </c>
      <c r="V39" s="288" t="str">
        <f t="shared" si="5"/>
        <v>B+</v>
      </c>
      <c r="W39" s="289">
        <f t="shared" si="6"/>
        <v>20.1125</v>
      </c>
      <c r="X39" s="538" t="s">
        <v>181</v>
      </c>
      <c r="Y39" s="547">
        <f>PERCENTILE($W$2:$W$50,0.3)</f>
        <v>12.105</v>
      </c>
      <c r="Z39" s="284"/>
      <c r="AA39" s="623"/>
      <c r="AB39" s="284"/>
      <c r="AC39" s="284"/>
      <c r="AD39" s="284"/>
      <c r="AE39" s="284"/>
      <c r="AF39" s="284"/>
      <c r="AG39" s="284"/>
      <c r="AH39" s="284"/>
      <c r="AI39" s="284"/>
    </row>
    <row r="40">
      <c r="A40" s="272" t="str">
        <f>'Halo Infinite Stats'!$A40</f>
        <v>TommyWstSide</v>
      </c>
      <c r="B40" s="275">
        <f>IFERROR(VLOOKUP($A40,'Full Season PG+ Stats'!$A:$W,2,0),)</f>
        <v>0.04374476818</v>
      </c>
      <c r="C40" s="275">
        <f>IFERROR(VLOOKUP($A40,'Full Season PG+ Stats'!$A:$W,3,0),)</f>
        <v>-0.1733588961</v>
      </c>
      <c r="D40" s="275">
        <f>IFERROR(VLOOKUP($A40,'Full Season PG+ Stats'!$A:$W,4,0),)</f>
        <v>0.6124267545</v>
      </c>
      <c r="E40" s="275">
        <f>IFERROR(VLOOKUP($A40,'Full Season PG+ Stats'!$A:$W,5,0),)</f>
        <v>0.05994653417</v>
      </c>
      <c r="F40" s="275">
        <f>IFERROR(VLOOKUP($A40,'Full Season PG+ Stats'!$A:$W,6,0),)</f>
        <v>0.5362784544</v>
      </c>
      <c r="G40" s="275">
        <f>IFERROR(VLOOKUP($A40,'Full Season PG+ Stats'!$A:$W,7,0),)</f>
        <v>0.1587773067</v>
      </c>
      <c r="H40" s="275">
        <f>IFERROR(VLOOKUP($A40,'Full Season PG+ Stats'!$A:$W,8,0),)</f>
        <v>0.7971268868</v>
      </c>
      <c r="I40" s="275">
        <f>IFERROR(VLOOKUP($A40,'Full Season PG+ Stats'!$A:$W,9,0),)</f>
        <v>0.07776847676</v>
      </c>
      <c r="J40" s="275">
        <f>IFERROR(VLOOKUP($A40,'Full Season PG+ Stats'!$A:$X,10,0),)</f>
        <v>3.185267194</v>
      </c>
      <c r="K40" s="284"/>
      <c r="L40" s="272" t="str">
        <f>'Halo Infinite Stats'!$A40</f>
        <v>TommyWstSide</v>
      </c>
      <c r="M40" s="290" t="str">
        <f t="shared" si="3"/>
        <v>C-</v>
      </c>
      <c r="N40" s="290" t="str">
        <f t="shared" ref="N40:U40" si="63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A-</v>
      </c>
      <c r="O40" s="290" t="str">
        <f t="shared" si="63"/>
        <v>A</v>
      </c>
      <c r="P40" s="290" t="str">
        <f t="shared" si="63"/>
        <v>A-</v>
      </c>
      <c r="Q40" s="290" t="str">
        <f t="shared" si="63"/>
        <v>A-</v>
      </c>
      <c r="R40" s="290" t="str">
        <f t="shared" si="63"/>
        <v>A-</v>
      </c>
      <c r="S40" s="290" t="str">
        <f t="shared" si="63"/>
        <v>A-</v>
      </c>
      <c r="T40" s="290" t="str">
        <f t="shared" si="63"/>
        <v>A-</v>
      </c>
      <c r="U40" s="290" t="str">
        <f t="shared" si="63"/>
        <v>A-</v>
      </c>
      <c r="V40" s="288" t="str">
        <f t="shared" si="5"/>
        <v>A</v>
      </c>
      <c r="W40" s="289">
        <f t="shared" si="6"/>
        <v>21.8625</v>
      </c>
      <c r="X40" s="550" t="s">
        <v>183</v>
      </c>
      <c r="Y40" s="551">
        <f>PERCENTILE($W$2:$W$50,0.25)</f>
        <v>10.65625</v>
      </c>
      <c r="Z40" s="284"/>
      <c r="AA40" s="623"/>
      <c r="AB40" s="284"/>
      <c r="AC40" s="284"/>
      <c r="AD40" s="284"/>
      <c r="AE40" s="284"/>
      <c r="AF40" s="284"/>
      <c r="AG40" s="284"/>
      <c r="AH40" s="284"/>
      <c r="AI40" s="284"/>
    </row>
    <row r="41">
      <c r="A41" s="272" t="str">
        <f>'Halo Infinite Stats'!$A41</f>
        <v>Trespa5s</v>
      </c>
      <c r="B41" s="275">
        <f>IFERROR(VLOOKUP($A41,'Full Season PG+ Stats'!$A:$W,2,0),)</f>
        <v>0</v>
      </c>
      <c r="C41" s="275">
        <f>IFERROR(VLOOKUP($A41,'Full Season PG+ Stats'!$A:$W,3,0),)</f>
        <v>-1.450433369</v>
      </c>
      <c r="D41" s="275">
        <f>IFERROR(VLOOKUP($A41,'Full Season PG+ Stats'!$A:$W,4,0),)</f>
        <v>0.2884615385</v>
      </c>
      <c r="E41" s="275">
        <f>IFERROR(VLOOKUP($A41,'Full Season PG+ Stats'!$A:$W,5,0),)</f>
        <v>0.02031419285</v>
      </c>
      <c r="F41" s="275">
        <f>IFERROR(VLOOKUP($A41,'Full Season PG+ Stats'!$A:$W,6,0),)</f>
        <v>0.3047128927</v>
      </c>
      <c r="G41" s="275">
        <f>IFERROR(VLOOKUP($A41,'Full Season PG+ Stats'!$A:$W,7,0),)</f>
        <v>0.04875406284</v>
      </c>
      <c r="H41" s="275">
        <f>IFERROR(VLOOKUP($A41,'Full Season PG+ Stats'!$A:$W,8,0),)</f>
        <v>0.3981581798</v>
      </c>
      <c r="I41" s="275">
        <f>IFERROR(VLOOKUP($A41,'Full Season PG+ Stats'!$A:$W,9,0),)</f>
        <v>0.05281690141</v>
      </c>
      <c r="J41" s="275">
        <f>IFERROR(VLOOKUP($A41,'Full Season PG+ Stats'!$A:$X,10,0),)</f>
        <v>2.214247021</v>
      </c>
      <c r="K41" s="284"/>
      <c r="L41" s="272" t="str">
        <f>'Halo Infinite Stats'!$A41</f>
        <v>Trespa5s</v>
      </c>
      <c r="M41" s="290" t="str">
        <f t="shared" si="3"/>
        <v>F-</v>
      </c>
      <c r="N41" s="290" t="str">
        <f t="shared" ref="N41:U41" si="64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E-</v>
      </c>
      <c r="O41" s="290" t="str">
        <f t="shared" si="64"/>
        <v>F+</v>
      </c>
      <c r="P41" s="290" t="str">
        <f t="shared" si="64"/>
        <v>E</v>
      </c>
      <c r="Q41" s="290" t="str">
        <f t="shared" si="64"/>
        <v>F+</v>
      </c>
      <c r="R41" s="290" t="str">
        <f t="shared" si="64"/>
        <v>F</v>
      </c>
      <c r="S41" s="290" t="str">
        <f t="shared" si="64"/>
        <v>F+</v>
      </c>
      <c r="T41" s="290" t="str">
        <f t="shared" si="64"/>
        <v>D</v>
      </c>
      <c r="U41" s="290" t="str">
        <f t="shared" si="64"/>
        <v>F-</v>
      </c>
      <c r="V41" s="288" t="str">
        <f t="shared" si="5"/>
        <v>F-</v>
      </c>
      <c r="W41" s="289">
        <f t="shared" si="6"/>
        <v>5.3625</v>
      </c>
      <c r="X41" s="556" t="s">
        <v>184</v>
      </c>
      <c r="Y41" s="557">
        <f>PERCENTILE($W$2:$W$50,0.2)</f>
        <v>9.0675</v>
      </c>
      <c r="Z41" s="284"/>
      <c r="AA41" s="623"/>
      <c r="AB41" s="284"/>
      <c r="AC41" s="284"/>
      <c r="AD41" s="284"/>
      <c r="AE41" s="284"/>
      <c r="AF41" s="284"/>
      <c r="AG41" s="284"/>
      <c r="AH41" s="284"/>
      <c r="AI41" s="284"/>
    </row>
    <row r="42">
      <c r="A42" s="272" t="str">
        <f>'Halo Infinite Stats'!$A42</f>
        <v>WeirdPG</v>
      </c>
      <c r="B42" s="275">
        <f>IFERROR(VLOOKUP($A42,'Full Season PG+ Stats'!$A:$W,2,0),)</f>
        <v>0.04384184461</v>
      </c>
      <c r="C42" s="275">
        <f>IFERROR(VLOOKUP($A42,'Full Season PG+ Stats'!$A:$W,3,0),)</f>
        <v>-2.518470407</v>
      </c>
      <c r="D42" s="275">
        <f>IFERROR(VLOOKUP($A42,'Full Season PG+ Stats'!$A:$W,4,0),)</f>
        <v>0.3458634408</v>
      </c>
      <c r="E42" s="275">
        <f>IFERROR(VLOOKUP($A42,'Full Season PG+ Stats'!$A:$W,5,0),)</f>
        <v>0.0146139482</v>
      </c>
      <c r="F42" s="275">
        <f>IFERROR(VLOOKUP($A42,'Full Season PG+ Stats'!$A:$W,6,0),)</f>
        <v>0.2679223837</v>
      </c>
      <c r="G42" s="275">
        <f>IFERROR(VLOOKUP($A42,'Full Season PG+ Stats'!$A:$W,7,0),)</f>
        <v>0.04871316067</v>
      </c>
      <c r="H42" s="275">
        <f>IFERROR(VLOOKUP($A42,'Full Season PG+ Stats'!$A:$W,8,0),)</f>
        <v>0.3897052854</v>
      </c>
      <c r="I42" s="275">
        <f>IFERROR(VLOOKUP($A42,'Full Season PG+ Stats'!$A:$W,9,0),)</f>
        <v>0.08281237314</v>
      </c>
      <c r="J42" s="275">
        <f>IFERROR(VLOOKUP($A42,'Full Season PG+ Stats'!$A:$X,10,0),)</f>
        <v>2.260290655</v>
      </c>
      <c r="K42" s="284"/>
      <c r="L42" s="272" t="str">
        <f>'Halo Infinite Stats'!$A42</f>
        <v>WeirdPG</v>
      </c>
      <c r="M42" s="290" t="str">
        <f t="shared" si="3"/>
        <v>C</v>
      </c>
      <c r="N42" s="290" t="str">
        <f t="shared" ref="N42:U42" si="65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F-</v>
      </c>
      <c r="O42" s="290" t="str">
        <f t="shared" si="65"/>
        <v>E+</v>
      </c>
      <c r="P42" s="290" t="str">
        <f t="shared" si="65"/>
        <v>F+</v>
      </c>
      <c r="Q42" s="290" t="str">
        <f t="shared" si="65"/>
        <v>F</v>
      </c>
      <c r="R42" s="290" t="str">
        <f t="shared" si="65"/>
        <v>F</v>
      </c>
      <c r="S42" s="290" t="str">
        <f t="shared" si="65"/>
        <v>F</v>
      </c>
      <c r="T42" s="290" t="str">
        <f t="shared" si="65"/>
        <v>A+</v>
      </c>
      <c r="U42" s="290" t="str">
        <f t="shared" si="65"/>
        <v>F+</v>
      </c>
      <c r="V42" s="288" t="str">
        <f t="shared" si="5"/>
        <v>F+</v>
      </c>
      <c r="W42" s="289">
        <f t="shared" si="6"/>
        <v>8.1625</v>
      </c>
      <c r="X42" s="550" t="s">
        <v>186</v>
      </c>
      <c r="Y42" s="559">
        <f>PERCENTILE($W$2:$W$50,0.15)</f>
        <v>8.205625</v>
      </c>
      <c r="Z42" s="284"/>
      <c r="AA42" s="623"/>
      <c r="AB42" s="284"/>
      <c r="AC42" s="284"/>
      <c r="AD42" s="284"/>
      <c r="AE42" s="284"/>
      <c r="AF42" s="284"/>
      <c r="AG42" s="284"/>
      <c r="AH42" s="284"/>
      <c r="AI42" s="284"/>
    </row>
    <row r="43">
      <c r="A43" s="272" t="str">
        <f>'Halo Infinite Stats'!$A43</f>
        <v>yLuxe</v>
      </c>
      <c r="B43" s="275">
        <f>IFERROR(VLOOKUP($A43,'Full Season PG+ Stats'!$A:$W,2,0),)</f>
        <v>0.09853795313</v>
      </c>
      <c r="C43" s="275">
        <f>IFERROR(VLOOKUP($A43,'Full Season PG+ Stats'!$A:$W,3,0),)</f>
        <v>0.3388744242</v>
      </c>
      <c r="D43" s="275">
        <f>IFERROR(VLOOKUP($A43,'Full Season PG+ Stats'!$A:$W,4,0),)</f>
        <v>0.6897656719</v>
      </c>
      <c r="E43" s="275">
        <f>IFERROR(VLOOKUP($A43,'Full Season PG+ Stats'!$A:$W,5,0),)</f>
        <v>0.08171440016</v>
      </c>
      <c r="F43" s="275">
        <f>IFERROR(VLOOKUP($A43,'Full Season PG+ Stats'!$A:$W,6,0),)</f>
        <v>0.58161426</v>
      </c>
      <c r="G43" s="275">
        <f>IFERROR(VLOOKUP($A43,'Full Season PG+ Stats'!$A:$W,7,0),)</f>
        <v>0.1874624474</v>
      </c>
      <c r="H43" s="275">
        <f>IFERROR(VLOOKUP($A43,'Full Season PG+ Stats'!$A:$W,8,0),)</f>
        <v>0.8964550371</v>
      </c>
      <c r="I43" s="275">
        <f>IFERROR(VLOOKUP($A43,'Full Season PG+ Stats'!$A:$W,9,0),)</f>
        <v>0.07210094132</v>
      </c>
      <c r="J43" s="275">
        <f>IFERROR(VLOOKUP($A43,'Full Season PG+ Stats'!$A:$X,10,0),)</f>
        <v>3.383937513</v>
      </c>
      <c r="K43" s="284"/>
      <c r="L43" s="272" t="str">
        <f>'Halo Infinite Stats'!$A43</f>
        <v>yLuxe</v>
      </c>
      <c r="M43" s="290" t="str">
        <f t="shared" si="3"/>
        <v>A</v>
      </c>
      <c r="N43" s="290" t="str">
        <f t="shared" ref="N43:U43" si="66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A+</v>
      </c>
      <c r="O43" s="290" t="str">
        <f t="shared" si="66"/>
        <v>A+</v>
      </c>
      <c r="P43" s="290" t="str">
        <f t="shared" si="66"/>
        <v>A</v>
      </c>
      <c r="Q43" s="290" t="str">
        <f t="shared" si="66"/>
        <v>A</v>
      </c>
      <c r="R43" s="290" t="str">
        <f t="shared" si="66"/>
        <v>A+</v>
      </c>
      <c r="S43" s="290" t="str">
        <f t="shared" si="66"/>
        <v>A+</v>
      </c>
      <c r="T43" s="290" t="str">
        <f t="shared" si="66"/>
        <v>B</v>
      </c>
      <c r="U43" s="290" t="str">
        <f t="shared" si="66"/>
        <v>A+</v>
      </c>
      <c r="V43" s="288" t="str">
        <f t="shared" si="5"/>
        <v>S-</v>
      </c>
      <c r="W43" s="289">
        <f t="shared" si="6"/>
        <v>25.1625</v>
      </c>
      <c r="X43" s="560" t="s">
        <v>188</v>
      </c>
      <c r="Y43" s="561">
        <f>PERCENTILE($W$2:$W$50,0.1)</f>
        <v>7.4025</v>
      </c>
      <c r="Z43" s="284"/>
      <c r="AA43" s="746" t="s">
        <v>252</v>
      </c>
      <c r="AB43" s="747" t="s">
        <v>253</v>
      </c>
      <c r="AC43" s="747"/>
      <c r="AD43" s="747"/>
      <c r="AE43" s="747"/>
      <c r="AF43" s="747"/>
      <c r="AG43" s="284"/>
      <c r="AH43" s="284"/>
      <c r="AI43" s="284"/>
    </row>
    <row r="44">
      <c r="A44" s="272" t="str">
        <f>'Halo Infinite Stats'!$A44</f>
        <v/>
      </c>
      <c r="B44" s="275" t="str">
        <f>IFERROR(VLOOKUP($A44,'PG+ Stats'!$A:$W,2,0),)</f>
        <v/>
      </c>
      <c r="C44" s="275" t="str">
        <f>IFERROR(VLOOKUP($A44,'PG+ Stats'!$A:$W,3,0),)</f>
        <v/>
      </c>
      <c r="D44" s="275" t="str">
        <f>IFERROR(VLOOKUP($A44,'PG+ Stats'!$A:$W,4,0),)</f>
        <v/>
      </c>
      <c r="E44" s="275" t="str">
        <f>IFERROR(VLOOKUP($A44,'PG+ Stats'!$A:$W,5,0),)</f>
        <v/>
      </c>
      <c r="F44" s="275" t="str">
        <f>IFERROR(VLOOKUP($A44,'PG+ Stats'!$A:$W,6,0),)</f>
        <v/>
      </c>
      <c r="G44" s="275" t="str">
        <f>IFERROR(VLOOKUP($A44,'PG+ Stats'!$A:$W,7,0),)</f>
        <v/>
      </c>
      <c r="H44" s="275" t="str">
        <f>IFERROR(VLOOKUP($A44,'PG+ Stats'!$A:$W,8,0),)</f>
        <v/>
      </c>
      <c r="I44" s="275" t="str">
        <f>IFERROR(VLOOKUP($A44,'PG+ Stats'!$A:$W,9,0),)</f>
        <v/>
      </c>
      <c r="J44" s="275" t="str">
        <f>IFERROR(VLOOKUP($A44,'PG+ Stats'!$A:$X,10,0),)</f>
        <v/>
      </c>
      <c r="K44" s="284"/>
      <c r="L44" s="272" t="str">
        <f>'Halo Infinite Stats'!$A44</f>
        <v/>
      </c>
      <c r="M44" s="290"/>
      <c r="N44" s="290"/>
      <c r="O44" s="290"/>
      <c r="P44" s="290"/>
      <c r="Q44" s="290"/>
      <c r="R44" s="290"/>
      <c r="S44" s="290"/>
      <c r="T44" s="290"/>
      <c r="U44" s="290"/>
      <c r="V44" s="288"/>
      <c r="W44" s="748"/>
      <c r="X44" s="563" t="s">
        <v>190</v>
      </c>
      <c r="Y44" s="561">
        <f>PERCENTILE($W$2:$W$50,0.05)</f>
        <v>6.036875</v>
      </c>
      <c r="Z44" s="284"/>
      <c r="AA44" s="746" t="s">
        <v>254</v>
      </c>
      <c r="AB44" s="747" t="s">
        <v>255</v>
      </c>
      <c r="AC44" s="747"/>
      <c r="AD44" s="747"/>
      <c r="AE44" s="747"/>
      <c r="AF44" s="747"/>
      <c r="AG44" s="284"/>
      <c r="AH44" s="284"/>
      <c r="AI44" s="284"/>
    </row>
    <row r="45">
      <c r="A45" s="272" t="str">
        <f>'Halo Infinite Stats'!$A45</f>
        <v/>
      </c>
      <c r="B45" s="275" t="str">
        <f>IFERROR(VLOOKUP($A45,'PG+ Stats'!$A:$W,2,0),)</f>
        <v/>
      </c>
      <c r="C45" s="275" t="str">
        <f>IFERROR(VLOOKUP($A45,'PG+ Stats'!$A:$W,3,0),)</f>
        <v/>
      </c>
      <c r="D45" s="275" t="str">
        <f>IFERROR(VLOOKUP($A45,'PG+ Stats'!$A:$W,4,0),)</f>
        <v/>
      </c>
      <c r="E45" s="275" t="str">
        <f>IFERROR(VLOOKUP($A45,'PG+ Stats'!$A:$W,5,0),)</f>
        <v/>
      </c>
      <c r="F45" s="275" t="str">
        <f>IFERROR(VLOOKUP($A45,'PG+ Stats'!$A:$W,6,0),)</f>
        <v/>
      </c>
      <c r="G45" s="275" t="str">
        <f>IFERROR(VLOOKUP($A45,'PG+ Stats'!$A:$W,7,0),)</f>
        <v/>
      </c>
      <c r="H45" s="275" t="str">
        <f>IFERROR(VLOOKUP($A45,'PG+ Stats'!$A:$W,8,0),)</f>
        <v/>
      </c>
      <c r="I45" s="275" t="str">
        <f>IFERROR(VLOOKUP($A45,'PG+ Stats'!$A:$W,9,0),)</f>
        <v/>
      </c>
      <c r="J45" s="275" t="str">
        <f>IFERROR(VLOOKUP($A45,'PG+ Stats'!$A:$X,10,0),)</f>
        <v/>
      </c>
      <c r="K45" s="284"/>
      <c r="L45" s="272" t="str">
        <f>'Halo Infinite Stats'!$A45</f>
        <v/>
      </c>
      <c r="M45" s="290"/>
      <c r="N45" s="290"/>
      <c r="O45" s="290"/>
      <c r="P45" s="290"/>
      <c r="Q45" s="290"/>
      <c r="R45" s="290"/>
      <c r="S45" s="290"/>
      <c r="T45" s="290"/>
      <c r="U45" s="290"/>
      <c r="V45" s="288"/>
      <c r="W45" s="748"/>
      <c r="X45" s="560" t="s">
        <v>191</v>
      </c>
      <c r="Y45" s="561">
        <f>PERCENTILE($W$2:$W$50,0)</f>
        <v>4.85</v>
      </c>
      <c r="Z45" s="284"/>
      <c r="AA45" s="746" t="s">
        <v>256</v>
      </c>
      <c r="AB45" s="747" t="s">
        <v>257</v>
      </c>
      <c r="AC45" s="747"/>
      <c r="AD45" s="747"/>
      <c r="AE45" s="747"/>
      <c r="AF45" s="747"/>
      <c r="AG45" s="284"/>
      <c r="AH45" s="284"/>
      <c r="AI45" s="284"/>
    </row>
    <row r="46">
      <c r="A46" s="272"/>
      <c r="B46" s="275" t="str">
        <f>IFERROR(VLOOKUP($A46,'PG+ Stats'!$A:$W,2,0),)</f>
        <v/>
      </c>
      <c r="C46" s="275" t="str">
        <f>IFERROR(VLOOKUP($A46,'PG+ Stats'!$A:$W,3,0),)</f>
        <v/>
      </c>
      <c r="D46" s="275" t="str">
        <f>IFERROR(VLOOKUP($A46,'PG+ Stats'!$A:$W,4,0),)</f>
        <v/>
      </c>
      <c r="E46" s="275" t="str">
        <f>IFERROR(VLOOKUP($A46,'PG+ Stats'!$A:$W,5,0),)</f>
        <v/>
      </c>
      <c r="F46" s="275" t="str">
        <f>IFERROR(VLOOKUP($A46,'PG+ Stats'!$A:$W,6,0),)</f>
        <v/>
      </c>
      <c r="G46" s="275" t="str">
        <f>IFERROR(VLOOKUP($A46,'PG+ Stats'!$A:$W,7,0),)</f>
        <v/>
      </c>
      <c r="H46" s="275" t="str">
        <f>IFERROR(VLOOKUP($A46,'PG+ Stats'!$A:$W,8,0),)</f>
        <v/>
      </c>
      <c r="I46" s="275" t="str">
        <f>IFERROR(VLOOKUP($A46,'PG+ Stats'!$A:$W,9,0),)</f>
        <v/>
      </c>
      <c r="J46" s="275" t="str">
        <f>IFERROR(VLOOKUP($A46,'PG+ Stats'!$A:$X,10,0),)</f>
        <v/>
      </c>
      <c r="K46" s="284"/>
      <c r="L46" s="272" t="str">
        <f>'Halo Infinite Stats'!$A46</f>
        <v/>
      </c>
      <c r="M46" s="290"/>
      <c r="N46" s="290"/>
      <c r="O46" s="290"/>
      <c r="P46" s="290"/>
      <c r="Q46" s="290"/>
      <c r="R46" s="290"/>
      <c r="S46" s="290"/>
      <c r="T46" s="290"/>
      <c r="U46" s="290"/>
      <c r="V46" s="288"/>
      <c r="W46" s="289"/>
      <c r="X46" s="11"/>
      <c r="Y46" s="11"/>
      <c r="Z46" s="284"/>
      <c r="AA46" s="746" t="s">
        <v>258</v>
      </c>
      <c r="AB46" s="747" t="s">
        <v>259</v>
      </c>
      <c r="AC46" s="747"/>
      <c r="AD46" s="747"/>
      <c r="AE46" s="747"/>
      <c r="AF46" s="747"/>
      <c r="AG46" s="284"/>
      <c r="AH46" s="284"/>
      <c r="AI46" s="284"/>
    </row>
    <row r="47">
      <c r="A47" s="272"/>
      <c r="B47" s="275" t="str">
        <f>IFERROR(VLOOKUP($A47,'PG+ Stats'!$A:$W,2,0),)</f>
        <v/>
      </c>
      <c r="C47" s="275" t="str">
        <f>IFERROR(VLOOKUP($A47,'PG+ Stats'!$A:$W,3,0),)</f>
        <v/>
      </c>
      <c r="D47" s="275" t="str">
        <f>IFERROR(VLOOKUP($A47,'PG+ Stats'!$A:$W,4,0),)</f>
        <v/>
      </c>
      <c r="E47" s="275" t="str">
        <f>IFERROR(VLOOKUP($A47,'PG+ Stats'!$A:$W,5,0),)</f>
        <v/>
      </c>
      <c r="F47" s="275" t="str">
        <f>IFERROR(VLOOKUP($A47,'PG+ Stats'!$A:$W,6,0),)</f>
        <v/>
      </c>
      <c r="G47" s="275" t="str">
        <f>IFERROR(VLOOKUP($A47,'PG+ Stats'!$A:$W,7,0),)</f>
        <v/>
      </c>
      <c r="H47" s="275" t="str">
        <f>IFERROR(VLOOKUP($A47,'PG+ Stats'!$A:$W,8,0),)</f>
        <v/>
      </c>
      <c r="I47" s="275" t="str">
        <f>IFERROR(VLOOKUP($A47,'PG+ Stats'!$A:$W,9,0),)</f>
        <v/>
      </c>
      <c r="J47" s="275" t="str">
        <f>IFERROR(VLOOKUP($A47,'PG+ Stats'!$A:$X,10,0),)</f>
        <v/>
      </c>
      <c r="K47" s="284"/>
      <c r="L47" s="272" t="str">
        <f>'Halo Infinite Stats'!$A47</f>
        <v/>
      </c>
      <c r="M47" s="290"/>
      <c r="N47" s="290"/>
      <c r="O47" s="290"/>
      <c r="P47" s="290"/>
      <c r="Q47" s="749"/>
      <c r="R47" s="749"/>
      <c r="S47" s="749"/>
      <c r="T47" s="749"/>
      <c r="U47" s="749"/>
      <c r="V47" s="288"/>
      <c r="W47" s="289"/>
      <c r="X47" s="750" t="s">
        <v>139</v>
      </c>
      <c r="Y47" s="751">
        <v>0.5</v>
      </c>
      <c r="Z47" s="284"/>
      <c r="AA47" s="746" t="s">
        <v>260</v>
      </c>
      <c r="AB47" s="747" t="s">
        <v>261</v>
      </c>
      <c r="AC47" s="747"/>
      <c r="AD47" s="747"/>
      <c r="AE47" s="747"/>
      <c r="AF47" s="747"/>
      <c r="AG47" s="284"/>
      <c r="AH47" s="284"/>
      <c r="AI47" s="284"/>
    </row>
    <row r="48">
      <c r="A48" s="272"/>
      <c r="B48" s="275" t="str">
        <f>IFERROR(VLOOKUP($A48,'PG+ Stats'!$A:$W,2,0),)</f>
        <v/>
      </c>
      <c r="C48" s="275" t="str">
        <f>IFERROR(VLOOKUP($A48,'PG+ Stats'!$A:$W,3,0),)</f>
        <v/>
      </c>
      <c r="D48" s="275" t="str">
        <f>IFERROR(VLOOKUP($A48,'PG+ Stats'!$A:$W,4,0),)</f>
        <v/>
      </c>
      <c r="E48" s="275" t="str">
        <f>IFERROR(VLOOKUP($A48,'PG+ Stats'!$A:$W,5,0),)</f>
        <v/>
      </c>
      <c r="F48" s="275" t="str">
        <f>IFERROR(VLOOKUP($A48,'PG+ Stats'!$A:$W,6,0),)</f>
        <v/>
      </c>
      <c r="G48" s="275" t="str">
        <f>IFERROR(VLOOKUP($A48,'PG+ Stats'!$A:$W,7,0),)</f>
        <v/>
      </c>
      <c r="H48" s="275" t="str">
        <f>IFERROR(VLOOKUP($A48,'PG+ Stats'!$A:$W,8,0),)</f>
        <v/>
      </c>
      <c r="I48" s="275" t="str">
        <f>IFERROR(VLOOKUP($A48,'PG+ Stats'!$A:$W,9,0),)</f>
        <v/>
      </c>
      <c r="J48" s="275" t="str">
        <f>IFERROR(VLOOKUP($A48,'PG+ Stats'!$A:$X,10,0),)</f>
        <v/>
      </c>
      <c r="K48" s="284"/>
      <c r="L48" s="272" t="str">
        <f>'Halo Infinite Stats'!$A48</f>
        <v/>
      </c>
      <c r="M48" s="290"/>
      <c r="N48" s="290"/>
      <c r="O48" s="290"/>
      <c r="P48" s="290"/>
      <c r="Q48" s="290"/>
      <c r="R48" s="753"/>
      <c r="S48" s="290"/>
      <c r="T48" s="290"/>
      <c r="U48" s="290"/>
      <c r="V48" s="288"/>
      <c r="W48" s="289"/>
      <c r="X48" s="754" t="s">
        <v>226</v>
      </c>
      <c r="Y48" s="755">
        <v>0.5</v>
      </c>
      <c r="Z48" s="284"/>
      <c r="AA48" s="757" t="s">
        <v>262</v>
      </c>
      <c r="AB48" s="758" t="s">
        <v>263</v>
      </c>
      <c r="AC48" s="759"/>
      <c r="AD48" s="759"/>
      <c r="AE48" s="759"/>
      <c r="AF48" s="759"/>
      <c r="AG48" s="284"/>
      <c r="AH48" s="284"/>
      <c r="AI48" s="284"/>
    </row>
    <row r="49">
      <c r="A49" s="272"/>
      <c r="B49" s="275"/>
      <c r="C49" s="275"/>
      <c r="D49" s="275"/>
      <c r="E49" s="275"/>
      <c r="F49" s="275"/>
      <c r="G49" s="275"/>
      <c r="H49" s="275"/>
      <c r="I49" s="275"/>
      <c r="J49" s="275"/>
      <c r="K49" s="284"/>
      <c r="L49" s="272"/>
      <c r="M49" s="290"/>
      <c r="N49" s="290"/>
      <c r="O49" s="290"/>
      <c r="P49" s="290"/>
      <c r="Q49" s="290"/>
      <c r="R49" s="290"/>
      <c r="S49" s="290"/>
      <c r="T49" s="290"/>
      <c r="U49" s="290"/>
      <c r="V49" s="288"/>
      <c r="W49" s="289"/>
      <c r="X49" s="754" t="s">
        <v>227</v>
      </c>
      <c r="Y49" s="755">
        <v>0.4</v>
      </c>
      <c r="Z49" s="839"/>
      <c r="AA49" s="758" t="s">
        <v>143</v>
      </c>
      <c r="AB49" s="758" t="s">
        <v>264</v>
      </c>
      <c r="AC49" s="761"/>
      <c r="AD49" s="761"/>
      <c r="AE49" s="761"/>
      <c r="AF49" s="761"/>
      <c r="AG49" s="284"/>
      <c r="AH49" s="284"/>
      <c r="AI49" s="284"/>
    </row>
    <row r="50">
      <c r="A50" s="272"/>
      <c r="B50" s="275"/>
      <c r="C50" s="275"/>
      <c r="D50" s="275"/>
      <c r="E50" s="275"/>
      <c r="F50" s="275"/>
      <c r="G50" s="275"/>
      <c r="H50" s="275"/>
      <c r="I50" s="275"/>
      <c r="J50" s="275"/>
      <c r="K50" s="284"/>
      <c r="L50" s="272"/>
      <c r="M50" s="290"/>
      <c r="N50" s="290"/>
      <c r="O50" s="290"/>
      <c r="P50" s="290"/>
      <c r="Q50" s="290"/>
      <c r="R50" s="290"/>
      <c r="S50" s="290"/>
      <c r="T50" s="290"/>
      <c r="U50" s="290"/>
      <c r="V50" s="288"/>
      <c r="W50" s="289"/>
      <c r="X50" s="754" t="s">
        <v>228</v>
      </c>
      <c r="Y50" s="755">
        <v>0.25</v>
      </c>
      <c r="Z50" s="284"/>
      <c r="AA50" s="762" t="s">
        <v>265</v>
      </c>
      <c r="AB50" s="747" t="s">
        <v>266</v>
      </c>
      <c r="AC50" s="761"/>
      <c r="AD50" s="761"/>
      <c r="AE50" s="761"/>
      <c r="AF50" s="761"/>
      <c r="AG50" s="284"/>
      <c r="AH50" s="284"/>
      <c r="AI50" s="284"/>
    </row>
    <row r="51">
      <c r="A51" s="272"/>
      <c r="B51" s="275"/>
      <c r="C51" s="275"/>
      <c r="D51" s="275"/>
      <c r="E51" s="275"/>
      <c r="F51" s="275"/>
      <c r="G51" s="275"/>
      <c r="H51" s="275"/>
      <c r="I51" s="275"/>
      <c r="J51" s="275"/>
      <c r="K51" s="284"/>
      <c r="L51" s="272"/>
      <c r="M51" s="290"/>
      <c r="N51" s="290"/>
      <c r="O51" s="749"/>
      <c r="P51" s="290"/>
      <c r="Q51" s="290"/>
      <c r="R51" s="749"/>
      <c r="S51" s="290"/>
      <c r="T51" s="290"/>
      <c r="U51" s="290"/>
      <c r="V51" s="288"/>
      <c r="W51" s="289"/>
      <c r="X51" s="754" t="s">
        <v>141</v>
      </c>
      <c r="Y51" s="755">
        <v>0.2</v>
      </c>
      <c r="Z51" s="284"/>
      <c r="AA51" s="762" t="s">
        <v>267</v>
      </c>
      <c r="AB51" s="747" t="s">
        <v>268</v>
      </c>
      <c r="AC51" s="759"/>
      <c r="AD51" s="759"/>
      <c r="AE51" s="759"/>
      <c r="AF51" s="759"/>
      <c r="AG51" s="284"/>
      <c r="AH51" s="284"/>
      <c r="AI51" s="284"/>
    </row>
    <row r="52">
      <c r="A52" s="272"/>
      <c r="B52" s="275"/>
      <c r="C52" s="275"/>
      <c r="D52" s="275"/>
      <c r="E52" s="275"/>
      <c r="F52" s="275"/>
      <c r="G52" s="275"/>
      <c r="H52" s="275"/>
      <c r="I52" s="275"/>
      <c r="J52" s="275"/>
      <c r="K52" s="284"/>
      <c r="L52" s="272"/>
      <c r="M52" s="290"/>
      <c r="N52" s="290"/>
      <c r="O52" s="290"/>
      <c r="P52" s="290"/>
      <c r="Q52" s="290"/>
      <c r="R52" s="749"/>
      <c r="S52" s="290"/>
      <c r="T52" s="290"/>
      <c r="U52" s="290"/>
      <c r="V52" s="288"/>
      <c r="W52" s="289"/>
      <c r="X52" s="754" t="s">
        <v>142</v>
      </c>
      <c r="Y52" s="755">
        <v>0.2</v>
      </c>
      <c r="Z52" s="284"/>
      <c r="AA52" s="623"/>
      <c r="AB52" s="284"/>
      <c r="AC52" s="284"/>
      <c r="AD52" s="284"/>
      <c r="AE52" s="284"/>
      <c r="AF52" s="284"/>
      <c r="AG52" s="284"/>
      <c r="AH52" s="284"/>
      <c r="AI52" s="284"/>
    </row>
    <row r="53">
      <c r="A53" s="272"/>
      <c r="B53" s="275"/>
      <c r="C53" s="275"/>
      <c r="D53" s="275"/>
      <c r="E53" s="275"/>
      <c r="F53" s="275"/>
      <c r="G53" s="275"/>
      <c r="H53" s="275"/>
      <c r="I53" s="275"/>
      <c r="J53" s="275"/>
      <c r="K53" s="284"/>
      <c r="L53" s="272"/>
      <c r="M53" s="290"/>
      <c r="N53" s="290"/>
      <c r="O53" s="749"/>
      <c r="P53" s="290"/>
      <c r="Q53" s="290"/>
      <c r="R53" s="749"/>
      <c r="S53" s="290"/>
      <c r="T53" s="290"/>
      <c r="U53" s="290"/>
      <c r="V53" s="288"/>
      <c r="W53" s="289"/>
      <c r="X53" s="763" t="s">
        <v>143</v>
      </c>
      <c r="Y53" s="764">
        <v>0.25</v>
      </c>
      <c r="Z53" s="284"/>
      <c r="AA53" s="765"/>
      <c r="AB53" s="766"/>
      <c r="AC53" s="284"/>
      <c r="AD53" s="284"/>
      <c r="AE53" s="284"/>
      <c r="AF53" s="284"/>
      <c r="AG53" s="284"/>
      <c r="AH53" s="284"/>
      <c r="AI53" s="284"/>
    </row>
    <row r="54">
      <c r="A54" s="272"/>
      <c r="B54" s="275"/>
      <c r="C54" s="275"/>
      <c r="D54" s="275"/>
      <c r="E54" s="275"/>
      <c r="F54" s="275"/>
      <c r="G54" s="275"/>
      <c r="H54" s="275"/>
      <c r="I54" s="275"/>
      <c r="J54" s="275"/>
      <c r="K54" s="284"/>
      <c r="L54" s="272"/>
      <c r="M54" s="290"/>
      <c r="N54" s="290"/>
      <c r="O54" s="753"/>
      <c r="P54" s="290"/>
      <c r="Q54" s="290"/>
      <c r="R54" s="749"/>
      <c r="S54" s="290"/>
      <c r="T54" s="290"/>
      <c r="U54" s="290"/>
      <c r="V54" s="288"/>
      <c r="W54" s="289"/>
      <c r="X54" s="763" t="s">
        <v>144</v>
      </c>
      <c r="Y54" s="764">
        <v>0.125</v>
      </c>
      <c r="Z54" s="284"/>
      <c r="AA54" s="767"/>
      <c r="AB54" s="768"/>
      <c r="AC54" s="284"/>
      <c r="AD54" s="284"/>
      <c r="AE54" s="284"/>
      <c r="AF54" s="284"/>
      <c r="AG54" s="284"/>
      <c r="AH54" s="284"/>
      <c r="AI54" s="284"/>
    </row>
    <row r="55">
      <c r="A55" s="769"/>
      <c r="B55" s="275"/>
      <c r="C55" s="275"/>
      <c r="D55" s="275"/>
      <c r="E55" s="275"/>
      <c r="F55" s="275"/>
      <c r="G55" s="275"/>
      <c r="H55" s="275"/>
      <c r="I55" s="275"/>
      <c r="J55" s="275"/>
      <c r="K55" s="284"/>
      <c r="L55" s="272"/>
      <c r="M55" s="290"/>
      <c r="N55" s="290"/>
      <c r="O55" s="749"/>
      <c r="P55" s="290"/>
      <c r="Q55" s="290"/>
      <c r="R55" s="749"/>
      <c r="S55" s="290"/>
      <c r="T55" s="290"/>
      <c r="U55" s="290"/>
      <c r="V55" s="288"/>
      <c r="W55" s="289"/>
      <c r="X55" s="763" t="s">
        <v>145</v>
      </c>
      <c r="Y55" s="764">
        <v>0.3</v>
      </c>
      <c r="Z55" s="284"/>
      <c r="AA55" s="767"/>
      <c r="AB55" s="768"/>
      <c r="AC55" s="284"/>
      <c r="AD55" s="284"/>
      <c r="AE55" s="284"/>
      <c r="AF55" s="284"/>
      <c r="AG55" s="284"/>
      <c r="AH55" s="284"/>
      <c r="AI55" s="284"/>
    </row>
    <row r="56">
      <c r="A56" s="769"/>
      <c r="B56" s="275"/>
      <c r="C56" s="275"/>
      <c r="D56" s="275"/>
      <c r="E56" s="275"/>
      <c r="F56" s="275"/>
      <c r="G56" s="275"/>
      <c r="H56" s="275"/>
      <c r="I56" s="275"/>
      <c r="J56" s="275"/>
      <c r="K56" s="284"/>
      <c r="L56" s="272"/>
      <c r="M56" s="290"/>
      <c r="N56" s="290"/>
      <c r="O56" s="753"/>
      <c r="P56" s="290"/>
      <c r="Q56" s="290"/>
      <c r="R56" s="749"/>
      <c r="S56" s="290"/>
      <c r="T56" s="290"/>
      <c r="U56" s="290"/>
      <c r="V56" s="288"/>
      <c r="W56" s="289"/>
      <c r="X56" s="596" t="s">
        <v>207</v>
      </c>
      <c r="Z56" s="284"/>
      <c r="AA56" s="767"/>
      <c r="AB56" s="768"/>
      <c r="AC56" s="284"/>
      <c r="AD56" s="284"/>
      <c r="AE56" s="284"/>
      <c r="AF56" s="284"/>
      <c r="AG56" s="284"/>
      <c r="AH56" s="284"/>
      <c r="AI56" s="284"/>
    </row>
    <row r="57">
      <c r="A57" s="769"/>
      <c r="B57" s="275"/>
      <c r="C57" s="275"/>
      <c r="D57" s="275"/>
      <c r="E57" s="275"/>
      <c r="F57" s="275"/>
      <c r="G57" s="275"/>
      <c r="H57" s="275"/>
      <c r="I57" s="275"/>
      <c r="J57" s="275"/>
      <c r="K57" s="284"/>
      <c r="L57" s="272"/>
      <c r="M57" s="290"/>
      <c r="N57" s="290"/>
      <c r="O57" s="749"/>
      <c r="P57" s="290"/>
      <c r="Q57" s="290"/>
      <c r="R57" s="749"/>
      <c r="S57" s="290"/>
      <c r="T57" s="290"/>
      <c r="U57" s="290"/>
      <c r="V57" s="288"/>
      <c r="W57" s="289"/>
      <c r="X57" s="11"/>
      <c r="Y57" s="11"/>
      <c r="Z57" s="284"/>
      <c r="AA57" s="767"/>
      <c r="AB57" s="768"/>
      <c r="AC57" s="284"/>
      <c r="AD57" s="284"/>
      <c r="AE57" s="284"/>
      <c r="AF57" s="284"/>
      <c r="AG57" s="284"/>
      <c r="AH57" s="284"/>
      <c r="AI57" s="284"/>
    </row>
    <row r="58">
      <c r="A58" s="769"/>
      <c r="B58" s="275"/>
      <c r="C58" s="275"/>
      <c r="D58" s="275"/>
      <c r="E58" s="275"/>
      <c r="F58" s="275"/>
      <c r="G58" s="275"/>
      <c r="H58" s="275"/>
      <c r="I58" s="275"/>
      <c r="J58" s="275"/>
      <c r="K58" s="284"/>
      <c r="L58" s="272"/>
      <c r="M58" s="290"/>
      <c r="N58" s="290"/>
      <c r="O58" s="290"/>
      <c r="P58" s="290"/>
      <c r="Q58" s="290"/>
      <c r="R58" s="290"/>
      <c r="S58" s="290"/>
      <c r="T58" s="290"/>
      <c r="U58" s="290"/>
      <c r="V58" s="776"/>
      <c r="W58" s="777"/>
      <c r="X58" s="284"/>
      <c r="Y58" s="284"/>
      <c r="Z58" s="284"/>
      <c r="AA58" s="767"/>
      <c r="AB58" s="768"/>
      <c r="AC58" s="284"/>
      <c r="AD58" s="284"/>
      <c r="AE58" s="284"/>
      <c r="AF58" s="284"/>
      <c r="AG58" s="284"/>
      <c r="AH58" s="284"/>
      <c r="AI58" s="284"/>
    </row>
    <row r="59">
      <c r="A59" s="769"/>
      <c r="B59" s="275"/>
      <c r="C59" s="275"/>
      <c r="D59" s="275"/>
      <c r="E59" s="275"/>
      <c r="F59" s="275"/>
      <c r="G59" s="275"/>
      <c r="H59" s="275"/>
      <c r="I59" s="275"/>
      <c r="J59" s="275"/>
      <c r="K59" s="284"/>
      <c r="L59" s="272"/>
      <c r="M59" s="290"/>
      <c r="N59" s="290"/>
      <c r="O59" s="290"/>
      <c r="P59" s="290"/>
      <c r="Q59" s="290"/>
      <c r="R59" s="290"/>
      <c r="S59" s="290"/>
      <c r="T59" s="290"/>
      <c r="U59" s="290"/>
      <c r="V59" s="776"/>
      <c r="W59" s="777"/>
      <c r="X59" s="284"/>
      <c r="Y59" s="284"/>
      <c r="Z59" s="284"/>
      <c r="AA59" s="602"/>
      <c r="AB59" s="840"/>
      <c r="AC59" s="284"/>
      <c r="AD59" s="284"/>
      <c r="AE59" s="284"/>
      <c r="AF59" s="284"/>
      <c r="AG59" s="284"/>
      <c r="AH59" s="284"/>
      <c r="AI59" s="284"/>
    </row>
    <row r="60">
      <c r="A60" s="769"/>
      <c r="B60" s="275"/>
      <c r="C60" s="275"/>
      <c r="D60" s="275"/>
      <c r="E60" s="275"/>
      <c r="F60" s="275"/>
      <c r="G60" s="275"/>
      <c r="H60" s="275"/>
      <c r="I60" s="275"/>
      <c r="J60" s="275"/>
      <c r="K60" s="284"/>
      <c r="L60" s="272"/>
      <c r="M60" s="290"/>
      <c r="N60" s="290"/>
      <c r="O60" s="290"/>
      <c r="P60" s="290"/>
      <c r="Q60" s="290"/>
      <c r="R60" s="290"/>
      <c r="S60" s="290"/>
      <c r="T60" s="290"/>
      <c r="U60" s="290"/>
      <c r="V60" s="776"/>
      <c r="W60" s="777"/>
      <c r="X60" s="284"/>
      <c r="Y60" s="284"/>
      <c r="Z60" s="284"/>
      <c r="AA60" s="602"/>
      <c r="AB60" s="841"/>
      <c r="AC60" s="284"/>
      <c r="AD60" s="284"/>
      <c r="AE60" s="284"/>
      <c r="AF60" s="284"/>
      <c r="AG60" s="284"/>
      <c r="AH60" s="284"/>
      <c r="AI60" s="284"/>
    </row>
    <row r="61">
      <c r="A61" s="769"/>
      <c r="B61" s="275"/>
      <c r="C61" s="275"/>
      <c r="D61" s="275"/>
      <c r="E61" s="275"/>
      <c r="F61" s="275"/>
      <c r="G61" s="275"/>
      <c r="H61" s="275"/>
      <c r="I61" s="275"/>
      <c r="J61" s="275"/>
      <c r="K61" s="284"/>
      <c r="L61" s="272"/>
      <c r="M61" s="290"/>
      <c r="N61" s="290"/>
      <c r="O61" s="290"/>
      <c r="P61" s="290"/>
      <c r="Q61" s="290"/>
      <c r="R61" s="290"/>
      <c r="S61" s="290"/>
      <c r="T61" s="290"/>
      <c r="U61" s="290"/>
      <c r="V61" s="776"/>
      <c r="W61" s="777"/>
      <c r="X61" s="284"/>
      <c r="Y61" s="284"/>
      <c r="Z61" s="284"/>
      <c r="AA61" s="602"/>
      <c r="AB61" s="841"/>
      <c r="AC61" s="284"/>
      <c r="AD61" s="284"/>
      <c r="AE61" s="284"/>
      <c r="AF61" s="284"/>
      <c r="AG61" s="284"/>
      <c r="AH61" s="284"/>
      <c r="AI61" s="284"/>
    </row>
  </sheetData>
  <mergeCells count="1">
    <mergeCell ref="X56:Y56"/>
  </mergeCells>
  <conditionalFormatting sqref="M2:W61">
    <cfRule type="cellIs" dxfId="21" priority="1" operator="equal">
      <formula>"S+"</formula>
    </cfRule>
  </conditionalFormatting>
  <conditionalFormatting sqref="M2:W61">
    <cfRule type="cellIs" dxfId="22" priority="2" operator="equal">
      <formula>"A+"</formula>
    </cfRule>
  </conditionalFormatting>
  <conditionalFormatting sqref="M2:W61">
    <cfRule type="cellIs" dxfId="22" priority="3" operator="equal">
      <formula>"A"</formula>
    </cfRule>
  </conditionalFormatting>
  <conditionalFormatting sqref="M2:W61">
    <cfRule type="cellIs" dxfId="22" priority="4" operator="equal">
      <formula>"A-"</formula>
    </cfRule>
  </conditionalFormatting>
  <conditionalFormatting sqref="M2:W61">
    <cfRule type="cellIs" dxfId="23" priority="5" operator="equal">
      <formula>"B+"</formula>
    </cfRule>
  </conditionalFormatting>
  <conditionalFormatting sqref="M2:W61">
    <cfRule type="cellIs" dxfId="23" priority="6" operator="equal">
      <formula>"B"</formula>
    </cfRule>
  </conditionalFormatting>
  <conditionalFormatting sqref="M2:W61">
    <cfRule type="cellIs" dxfId="23" priority="7" operator="equal">
      <formula>"B-"</formula>
    </cfRule>
  </conditionalFormatting>
  <conditionalFormatting sqref="M2:W61">
    <cfRule type="cellIs" dxfId="24" priority="8" operator="equal">
      <formula>"C+"</formula>
    </cfRule>
  </conditionalFormatting>
  <conditionalFormatting sqref="M2:W61">
    <cfRule type="cellIs" dxfId="24" priority="9" operator="equal">
      <formula>"C"</formula>
    </cfRule>
  </conditionalFormatting>
  <conditionalFormatting sqref="M2:W61">
    <cfRule type="cellIs" dxfId="24" priority="10" operator="equal">
      <formula>"C-"</formula>
    </cfRule>
  </conditionalFormatting>
  <conditionalFormatting sqref="M2:W61">
    <cfRule type="cellIs" dxfId="25" priority="11" operator="equal">
      <formula>"D+"</formula>
    </cfRule>
  </conditionalFormatting>
  <conditionalFormatting sqref="M2:W61">
    <cfRule type="cellIs" dxfId="25" priority="12" operator="equal">
      <formula>"D"</formula>
    </cfRule>
  </conditionalFormatting>
  <conditionalFormatting sqref="M2:W61">
    <cfRule type="cellIs" dxfId="25" priority="13" operator="equal">
      <formula>"D-"</formula>
    </cfRule>
  </conditionalFormatting>
  <conditionalFormatting sqref="M2:W61">
    <cfRule type="cellIs" dxfId="26" priority="14" operator="equal">
      <formula>"E+"</formula>
    </cfRule>
  </conditionalFormatting>
  <conditionalFormatting sqref="M2:W61">
    <cfRule type="cellIs" dxfId="26" priority="15" operator="equal">
      <formula>"E"</formula>
    </cfRule>
  </conditionalFormatting>
  <conditionalFormatting sqref="M2:W61">
    <cfRule type="cellIs" dxfId="26" priority="16" operator="equal">
      <formula>"E-"</formula>
    </cfRule>
  </conditionalFormatting>
  <conditionalFormatting sqref="M2:W61">
    <cfRule type="cellIs" dxfId="27" priority="17" operator="equal">
      <formula>"F+"</formula>
    </cfRule>
  </conditionalFormatting>
  <conditionalFormatting sqref="M2:W61">
    <cfRule type="cellIs" dxfId="21" priority="18" operator="equal">
      <formula>"S"</formula>
    </cfRule>
  </conditionalFormatting>
  <conditionalFormatting sqref="M2:W61">
    <cfRule type="cellIs" dxfId="21" priority="19" operator="equal">
      <formula>"S-"</formula>
    </cfRule>
  </conditionalFormatting>
  <conditionalFormatting sqref="M2:W61">
    <cfRule type="cellIs" dxfId="27" priority="20" operator="equal">
      <formula>"F"</formula>
    </cfRule>
  </conditionalFormatting>
  <conditionalFormatting sqref="M2:W61">
    <cfRule type="cellIs" dxfId="27" priority="21" operator="equal">
      <formula>"F-"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38"/>
    <col customWidth="1" min="3" max="3" width="7.63"/>
    <col customWidth="1" min="4" max="7" width="8.38"/>
    <col customWidth="1" min="8" max="9" width="6.5"/>
    <col customWidth="1" min="10" max="11" width="8.38"/>
    <col customWidth="1" min="12" max="12" width="7.5"/>
    <col customWidth="1" min="13" max="13" width="5.38"/>
    <col customWidth="1" min="14" max="14" width="4.75"/>
    <col customWidth="1" min="15" max="15" width="8.0"/>
    <col customWidth="1" min="16" max="16" width="6.13"/>
    <col customWidth="1" min="17" max="17" width="7.0"/>
    <col customWidth="1" min="18" max="18" width="6.13"/>
    <col customWidth="1" min="19" max="19" width="7.0"/>
    <col customWidth="1" min="20" max="21" width="6.13"/>
    <col customWidth="1" min="22" max="22" width="6.75"/>
    <col customWidth="1" min="23" max="23" width="6.88"/>
    <col customWidth="1" min="24" max="24" width="5.13"/>
    <col customWidth="1" min="25" max="25" width="7.38"/>
    <col customWidth="1" min="26" max="26" width="9.0"/>
    <col customWidth="1" min="27" max="28" width="8.25"/>
    <col customWidth="1" min="29" max="29" width="7.5"/>
    <col customWidth="1" min="30" max="30" width="6.5"/>
    <col customWidth="1" min="31" max="31" width="7.88"/>
  </cols>
  <sheetData>
    <row r="1">
      <c r="AG1" s="743"/>
      <c r="AH1" s="743"/>
      <c r="AI1" s="743"/>
      <c r="AJ1" s="743"/>
      <c r="AK1" s="743"/>
      <c r="AL1" s="743"/>
      <c r="AM1" s="743"/>
      <c r="AN1" s="743"/>
      <c r="AO1" s="743"/>
      <c r="AP1" s="743"/>
      <c r="AQ1" s="743"/>
      <c r="AR1" s="743"/>
      <c r="AS1" s="743"/>
      <c r="AT1" s="743"/>
      <c r="AU1" s="743"/>
      <c r="AV1" s="743"/>
      <c r="AW1" s="743"/>
      <c r="AX1" s="743"/>
      <c r="AY1" s="743"/>
      <c r="AZ1" s="743"/>
      <c r="BA1" s="743"/>
    </row>
    <row r="2"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</row>
    <row r="3"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</row>
    <row r="4"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</row>
    <row r="5"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</row>
    <row r="6"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</row>
    <row r="7"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</row>
    <row r="8"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</row>
    <row r="9"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</row>
    <row r="10"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</row>
    <row r="11"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</row>
    <row r="12"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</row>
    <row r="13"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</row>
    <row r="14"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</row>
    <row r="15"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</row>
    <row r="16"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</row>
    <row r="17"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</row>
    <row r="18"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</row>
    <row r="19"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</row>
    <row r="20"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</row>
    <row r="21"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</row>
    <row r="22"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</row>
    <row r="23"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</row>
    <row r="24"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</row>
    <row r="25"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</row>
    <row r="26"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</row>
    <row r="27"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</row>
    <row r="28"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</row>
    <row r="29"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</row>
    <row r="30"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</row>
    <row r="31"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</row>
    <row r="32"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</row>
    <row r="33"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</row>
    <row r="34"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</row>
    <row r="35"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</row>
    <row r="36"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</row>
    <row r="37"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</row>
    <row r="38"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</row>
    <row r="39"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</row>
    <row r="40">
      <c r="AG40" s="273"/>
      <c r="AH40" s="273"/>
      <c r="AI40" s="273"/>
      <c r="AJ40" s="273"/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</row>
    <row r="41">
      <c r="AG41" s="273"/>
      <c r="AH41" s="273"/>
      <c r="AI41" s="273"/>
      <c r="AJ41" s="273"/>
      <c r="AK41" s="273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73"/>
    </row>
    <row r="42"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</row>
    <row r="43">
      <c r="AG43" s="273"/>
      <c r="AH43" s="273"/>
      <c r="AI43" s="273"/>
      <c r="AJ43" s="273"/>
      <c r="AK43" s="273"/>
      <c r="AL43" s="273"/>
      <c r="AM43" s="273"/>
      <c r="AN43" s="273"/>
      <c r="AO43" s="273"/>
      <c r="AP43" s="273"/>
      <c r="AQ43" s="273"/>
      <c r="AR43" s="273"/>
      <c r="AS43" s="273"/>
      <c r="AT43" s="273"/>
      <c r="AU43" s="273"/>
      <c r="AV43" s="273"/>
      <c r="AW43" s="273"/>
      <c r="AX43" s="273"/>
      <c r="AY43" s="273"/>
      <c r="AZ43" s="273"/>
      <c r="BA43" s="273"/>
    </row>
    <row r="44">
      <c r="A44" s="273"/>
      <c r="B44" s="273"/>
      <c r="C44" s="745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</row>
    <row r="45">
      <c r="A45" s="273"/>
      <c r="B45" s="273"/>
      <c r="C45" s="745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  <c r="AN45" s="273"/>
      <c r="AO45" s="273"/>
      <c r="AP45" s="273"/>
      <c r="AQ45" s="273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</row>
    <row r="46">
      <c r="A46" s="273"/>
      <c r="B46" s="273"/>
      <c r="C46" s="745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</row>
    <row r="47">
      <c r="A47" s="273"/>
      <c r="B47" s="273"/>
      <c r="C47" s="745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</row>
    <row r="48">
      <c r="A48" s="273"/>
      <c r="B48" s="273"/>
      <c r="C48" s="745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  <c r="AN48" s="273"/>
      <c r="AO48" s="273"/>
      <c r="AP48" s="273"/>
      <c r="AQ48" s="273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</row>
    <row r="49">
      <c r="A49" s="273"/>
      <c r="B49" s="273"/>
      <c r="C49" s="745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3"/>
      <c r="AT49" s="273"/>
      <c r="AU49" s="273"/>
      <c r="AV49" s="273"/>
      <c r="AW49" s="273"/>
      <c r="AX49" s="273"/>
      <c r="AY49" s="273"/>
      <c r="AZ49" s="273"/>
      <c r="BA49" s="273"/>
    </row>
    <row r="50">
      <c r="A50" s="273"/>
      <c r="B50" s="273"/>
      <c r="C50" s="745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</row>
    <row r="51">
      <c r="A51" s="273"/>
      <c r="B51" s="273"/>
      <c r="C51" s="745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3"/>
      <c r="AV51" s="273"/>
      <c r="AW51" s="273"/>
      <c r="AX51" s="273"/>
      <c r="AY51" s="273"/>
      <c r="AZ51" s="273"/>
      <c r="BA51" s="273"/>
    </row>
    <row r="52">
      <c r="A52" s="273"/>
      <c r="B52" s="273"/>
      <c r="C52" s="745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  <c r="AN52" s="273"/>
      <c r="AO52" s="273"/>
      <c r="AP52" s="273"/>
      <c r="AQ52" s="273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</row>
    <row r="53">
      <c r="A53" s="273"/>
      <c r="B53" s="273"/>
      <c r="C53" s="745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  <c r="AN53" s="273"/>
      <c r="AO53" s="273"/>
      <c r="AP53" s="273"/>
      <c r="AQ53" s="273"/>
      <c r="AR53" s="273"/>
      <c r="AS53" s="273"/>
      <c r="AT53" s="273"/>
      <c r="AU53" s="273"/>
      <c r="AV53" s="273"/>
      <c r="AW53" s="273"/>
      <c r="AX53" s="273"/>
      <c r="AY53" s="273"/>
      <c r="AZ53" s="273"/>
      <c r="BA53" s="273"/>
    </row>
    <row r="54">
      <c r="A54" s="273"/>
      <c r="B54" s="273"/>
      <c r="C54" s="745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  <c r="AN54" s="273"/>
      <c r="AO54" s="273"/>
      <c r="AP54" s="273"/>
      <c r="AQ54" s="273"/>
      <c r="AR54" s="273"/>
      <c r="AS54" s="273"/>
      <c r="AT54" s="273"/>
      <c r="AU54" s="273"/>
      <c r="AV54" s="273"/>
      <c r="AW54" s="273"/>
      <c r="AX54" s="273"/>
      <c r="AY54" s="273"/>
      <c r="AZ54" s="273"/>
      <c r="BA54" s="273"/>
    </row>
    <row r="55">
      <c r="A55" s="273"/>
      <c r="B55" s="273"/>
      <c r="C55" s="745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  <c r="AK55" s="273"/>
      <c r="AL55" s="273"/>
      <c r="AM55" s="273"/>
      <c r="AN55" s="273"/>
      <c r="AO55" s="273"/>
      <c r="AP55" s="273"/>
      <c r="AQ55" s="273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</row>
    <row r="56">
      <c r="A56" s="273"/>
      <c r="B56" s="273"/>
      <c r="C56" s="745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</row>
    <row r="57">
      <c r="A57" s="273"/>
      <c r="B57" s="273"/>
      <c r="C57" s="745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</row>
    <row r="58">
      <c r="A58" s="273"/>
      <c r="B58" s="273"/>
      <c r="C58" s="745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273"/>
      <c r="AP58" s="273"/>
      <c r="AQ58" s="273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</row>
    <row r="59">
      <c r="A59" s="273"/>
      <c r="B59" s="273"/>
      <c r="C59" s="745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</row>
    <row r="60">
      <c r="A60" s="273"/>
      <c r="B60" s="273"/>
      <c r="C60" s="745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</row>
    <row r="61">
      <c r="A61" s="273"/>
      <c r="B61" s="273"/>
      <c r="C61" s="745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  <c r="AU61" s="273"/>
      <c r="AV61" s="273"/>
      <c r="AW61" s="273"/>
      <c r="AX61" s="273"/>
      <c r="AY61" s="273"/>
      <c r="AZ61" s="273"/>
      <c r="BA61" s="273"/>
    </row>
    <row r="62">
      <c r="A62" s="273"/>
      <c r="B62" s="273"/>
      <c r="C62" s="745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</row>
    <row r="63">
      <c r="A63" s="273"/>
      <c r="B63" s="273"/>
      <c r="C63" s="745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3"/>
      <c r="AM63" s="273"/>
      <c r="AN63" s="273"/>
      <c r="AO63" s="273"/>
      <c r="AP63" s="273"/>
      <c r="AQ63" s="273"/>
      <c r="AR63" s="273"/>
      <c r="AS63" s="273"/>
      <c r="AT63" s="273"/>
      <c r="AU63" s="273"/>
      <c r="AV63" s="273"/>
      <c r="AW63" s="273"/>
      <c r="AX63" s="273"/>
      <c r="AY63" s="273"/>
      <c r="AZ63" s="273"/>
      <c r="BA63" s="273"/>
    </row>
    <row r="64">
      <c r="A64" s="273"/>
      <c r="B64" s="273"/>
      <c r="C64" s="745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3"/>
      <c r="AM64" s="273"/>
      <c r="AN64" s="273"/>
      <c r="AO64" s="273"/>
      <c r="AP64" s="273"/>
      <c r="AQ64" s="273"/>
      <c r="AR64" s="273"/>
      <c r="AS64" s="273"/>
      <c r="AT64" s="273"/>
      <c r="AU64" s="273"/>
      <c r="AV64" s="273"/>
      <c r="AW64" s="273"/>
      <c r="AX64" s="273"/>
      <c r="AY64" s="273"/>
      <c r="AZ64" s="273"/>
      <c r="BA64" s="273"/>
    </row>
    <row r="65">
      <c r="A65" s="273"/>
      <c r="B65" s="273"/>
      <c r="C65" s="745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  <c r="AJ65" s="273"/>
      <c r="AK65" s="273"/>
      <c r="AL65" s="273"/>
      <c r="AM65" s="273"/>
      <c r="AN65" s="273"/>
      <c r="AO65" s="273"/>
      <c r="AP65" s="273"/>
      <c r="AQ65" s="273"/>
      <c r="AR65" s="273"/>
      <c r="AS65" s="273"/>
      <c r="AT65" s="273"/>
      <c r="AU65" s="273"/>
      <c r="AV65" s="273"/>
      <c r="AW65" s="273"/>
      <c r="AX65" s="273"/>
      <c r="AY65" s="273"/>
      <c r="AZ65" s="273"/>
      <c r="BA65" s="273"/>
    </row>
    <row r="66">
      <c r="A66" s="273"/>
      <c r="B66" s="273"/>
      <c r="C66" s="745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  <c r="AM66" s="273"/>
      <c r="AN66" s="273"/>
      <c r="AO66" s="273"/>
      <c r="AP66" s="273"/>
      <c r="AQ66" s="273"/>
      <c r="AR66" s="273"/>
      <c r="AS66" s="273"/>
      <c r="AT66" s="273"/>
      <c r="AU66" s="273"/>
      <c r="AV66" s="273"/>
      <c r="AW66" s="273"/>
      <c r="AX66" s="273"/>
      <c r="AY66" s="273"/>
      <c r="AZ66" s="273"/>
      <c r="BA66" s="273"/>
    </row>
    <row r="67">
      <c r="A67" s="273"/>
      <c r="B67" s="273"/>
      <c r="C67" s="745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3"/>
      <c r="AM67" s="273"/>
      <c r="AN67" s="273"/>
      <c r="AO67" s="273"/>
      <c r="AP67" s="273"/>
      <c r="AQ67" s="273"/>
      <c r="AR67" s="273"/>
      <c r="AS67" s="273"/>
      <c r="AT67" s="273"/>
      <c r="AU67" s="273"/>
      <c r="AV67" s="273"/>
      <c r="AW67" s="273"/>
      <c r="AX67" s="273"/>
      <c r="AY67" s="273"/>
      <c r="AZ67" s="273"/>
      <c r="BA67" s="273"/>
    </row>
    <row r="68">
      <c r="A68" s="273"/>
      <c r="B68" s="273"/>
      <c r="C68" s="745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3"/>
      <c r="AM68" s="273"/>
      <c r="AN68" s="273"/>
      <c r="AO68" s="273"/>
      <c r="AP68" s="273"/>
      <c r="AQ68" s="273"/>
      <c r="AR68" s="273"/>
      <c r="AS68" s="273"/>
      <c r="AT68" s="273"/>
      <c r="AU68" s="273"/>
      <c r="AV68" s="273"/>
      <c r="AW68" s="273"/>
      <c r="AX68" s="273"/>
      <c r="AY68" s="273"/>
      <c r="AZ68" s="273"/>
      <c r="BA68" s="273"/>
    </row>
    <row r="69">
      <c r="A69" s="273"/>
      <c r="B69" s="273"/>
      <c r="C69" s="745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</row>
    <row r="70">
      <c r="A70" s="273"/>
      <c r="B70" s="273"/>
      <c r="C70" s="745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</row>
    <row r="71">
      <c r="A71" s="273"/>
      <c r="B71" s="273"/>
      <c r="C71" s="745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3"/>
      <c r="AM71" s="273"/>
      <c r="AN71" s="273"/>
      <c r="AO71" s="273"/>
      <c r="AP71" s="273"/>
      <c r="AQ71" s="273"/>
      <c r="AR71" s="273"/>
      <c r="AS71" s="273"/>
      <c r="AT71" s="273"/>
      <c r="AU71" s="273"/>
      <c r="AV71" s="273"/>
      <c r="AW71" s="273"/>
      <c r="AX71" s="273"/>
      <c r="AY71" s="273"/>
      <c r="AZ71" s="273"/>
      <c r="BA71" s="273"/>
    </row>
    <row r="72">
      <c r="A72" s="273"/>
      <c r="B72" s="273"/>
      <c r="C72" s="745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  <c r="AJ72" s="273"/>
      <c r="AK72" s="273"/>
      <c r="AL72" s="273"/>
      <c r="AM72" s="273"/>
      <c r="AN72" s="273"/>
      <c r="AO72" s="273"/>
      <c r="AP72" s="273"/>
      <c r="AQ72" s="273"/>
      <c r="AR72" s="273"/>
      <c r="AS72" s="273"/>
      <c r="AT72" s="273"/>
      <c r="AU72" s="273"/>
      <c r="AV72" s="273"/>
      <c r="AW72" s="273"/>
      <c r="AX72" s="273"/>
      <c r="AY72" s="273"/>
      <c r="AZ72" s="273"/>
      <c r="BA72" s="273"/>
    </row>
    <row r="73">
      <c r="A73" s="273"/>
      <c r="B73" s="273"/>
      <c r="C73" s="745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  <c r="AI73" s="273"/>
      <c r="AJ73" s="273"/>
      <c r="AK73" s="273"/>
      <c r="AL73" s="273"/>
      <c r="AM73" s="273"/>
      <c r="AN73" s="273"/>
      <c r="AO73" s="273"/>
      <c r="AP73" s="273"/>
      <c r="AQ73" s="273"/>
      <c r="AR73" s="273"/>
      <c r="AS73" s="273"/>
      <c r="AT73" s="273"/>
      <c r="AU73" s="273"/>
      <c r="AV73" s="273"/>
      <c r="AW73" s="273"/>
      <c r="AX73" s="273"/>
      <c r="AY73" s="273"/>
      <c r="AZ73" s="273"/>
      <c r="BA73" s="273"/>
    </row>
    <row r="74">
      <c r="A74" s="273"/>
      <c r="B74" s="273"/>
      <c r="C74" s="745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  <c r="AJ74" s="273"/>
      <c r="AK74" s="273"/>
      <c r="AL74" s="273"/>
      <c r="AM74" s="273"/>
      <c r="AN74" s="273"/>
      <c r="AO74" s="273"/>
      <c r="AP74" s="273"/>
      <c r="AQ74" s="273"/>
      <c r="AR74" s="273"/>
      <c r="AS74" s="273"/>
      <c r="AT74" s="273"/>
      <c r="AU74" s="273"/>
      <c r="AV74" s="273"/>
      <c r="AW74" s="273"/>
      <c r="AX74" s="273"/>
      <c r="AY74" s="273"/>
      <c r="AZ74" s="273"/>
      <c r="BA74" s="273"/>
    </row>
    <row r="75">
      <c r="A75" s="273"/>
      <c r="B75" s="273"/>
      <c r="C75" s="745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  <c r="AI75" s="273"/>
      <c r="AJ75" s="273"/>
      <c r="AK75" s="273"/>
      <c r="AL75" s="273"/>
      <c r="AM75" s="273"/>
      <c r="AN75" s="273"/>
      <c r="AO75" s="273"/>
      <c r="AP75" s="273"/>
      <c r="AQ75" s="273"/>
      <c r="AR75" s="273"/>
      <c r="AS75" s="273"/>
      <c r="AT75" s="273"/>
      <c r="AU75" s="273"/>
      <c r="AV75" s="273"/>
      <c r="AW75" s="273"/>
      <c r="AX75" s="273"/>
      <c r="AY75" s="273"/>
      <c r="AZ75" s="273"/>
      <c r="BA75" s="273"/>
    </row>
    <row r="76">
      <c r="A76" s="273"/>
      <c r="B76" s="273"/>
      <c r="C76" s="745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  <c r="AJ76" s="273"/>
      <c r="AK76" s="273"/>
      <c r="AL76" s="273"/>
      <c r="AM76" s="273"/>
      <c r="AN76" s="273"/>
      <c r="AO76" s="273"/>
      <c r="AP76" s="273"/>
      <c r="AQ76" s="273"/>
      <c r="AR76" s="273"/>
      <c r="AS76" s="273"/>
      <c r="AT76" s="273"/>
      <c r="AU76" s="273"/>
      <c r="AV76" s="273"/>
      <c r="AW76" s="273"/>
      <c r="AX76" s="273"/>
      <c r="AY76" s="273"/>
      <c r="AZ76" s="273"/>
      <c r="BA76" s="273"/>
    </row>
    <row r="77">
      <c r="A77" s="273"/>
      <c r="B77" s="273"/>
      <c r="C77" s="745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  <c r="AD77" s="273"/>
      <c r="AE77" s="273"/>
      <c r="AF77" s="273"/>
      <c r="AG77" s="273"/>
      <c r="AH77" s="273"/>
      <c r="AI77" s="273"/>
      <c r="AJ77" s="273"/>
      <c r="AK77" s="273"/>
      <c r="AL77" s="273"/>
      <c r="AM77" s="273"/>
      <c r="AN77" s="273"/>
      <c r="AO77" s="273"/>
      <c r="AP77" s="273"/>
      <c r="AQ77" s="273"/>
      <c r="AR77" s="273"/>
      <c r="AS77" s="273"/>
      <c r="AT77" s="273"/>
      <c r="AU77" s="273"/>
      <c r="AV77" s="273"/>
      <c r="AW77" s="273"/>
      <c r="AX77" s="273"/>
      <c r="AY77" s="273"/>
      <c r="AZ77" s="273"/>
      <c r="BA77" s="273"/>
    </row>
    <row r="78">
      <c r="A78" s="273"/>
      <c r="B78" s="273"/>
      <c r="C78" s="745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L78" s="273"/>
      <c r="AM78" s="273"/>
      <c r="AN78" s="273"/>
      <c r="AO78" s="273"/>
      <c r="AP78" s="273"/>
      <c r="AQ78" s="273"/>
      <c r="AR78" s="273"/>
      <c r="AS78" s="273"/>
      <c r="AT78" s="273"/>
      <c r="AU78" s="273"/>
      <c r="AV78" s="273"/>
      <c r="AW78" s="273"/>
      <c r="AX78" s="273"/>
      <c r="AY78" s="273"/>
      <c r="AZ78" s="273"/>
      <c r="BA78" s="273"/>
    </row>
    <row r="79">
      <c r="A79" s="273"/>
      <c r="B79" s="273"/>
      <c r="C79" s="745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273"/>
      <c r="AF79" s="273"/>
      <c r="AG79" s="273"/>
      <c r="AH79" s="273"/>
      <c r="AI79" s="273"/>
      <c r="AJ79" s="273"/>
      <c r="AK79" s="273"/>
      <c r="AL79" s="273"/>
      <c r="AM79" s="273"/>
      <c r="AN79" s="273"/>
      <c r="AO79" s="273"/>
      <c r="AP79" s="273"/>
      <c r="AQ79" s="273"/>
      <c r="AR79" s="273"/>
      <c r="AS79" s="273"/>
      <c r="AT79" s="273"/>
      <c r="AU79" s="273"/>
      <c r="AV79" s="273"/>
      <c r="AW79" s="273"/>
      <c r="AX79" s="273"/>
      <c r="AY79" s="273"/>
      <c r="AZ79" s="273"/>
      <c r="BA79" s="273"/>
    </row>
    <row r="80">
      <c r="A80" s="273"/>
      <c r="B80" s="273"/>
      <c r="C80" s="745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  <c r="AM80" s="273"/>
      <c r="AN80" s="273"/>
      <c r="AO80" s="273"/>
      <c r="AP80" s="273"/>
      <c r="AQ80" s="273"/>
      <c r="AR80" s="273"/>
      <c r="AS80" s="273"/>
      <c r="AT80" s="273"/>
      <c r="AU80" s="273"/>
      <c r="AV80" s="273"/>
      <c r="AW80" s="273"/>
      <c r="AX80" s="273"/>
      <c r="AY80" s="273"/>
      <c r="AZ80" s="273"/>
      <c r="BA80" s="273"/>
    </row>
    <row r="81">
      <c r="A81" s="273"/>
      <c r="B81" s="273"/>
      <c r="C81" s="745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  <c r="AJ81" s="273"/>
      <c r="AK81" s="273"/>
      <c r="AL81" s="273"/>
      <c r="AM81" s="273"/>
      <c r="AN81" s="273"/>
      <c r="AO81" s="273"/>
      <c r="AP81" s="273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</row>
    <row r="82">
      <c r="A82" s="273"/>
      <c r="B82" s="273"/>
      <c r="C82" s="745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  <c r="AJ82" s="273"/>
      <c r="AK82" s="273"/>
      <c r="AL82" s="273"/>
      <c r="AM82" s="273"/>
      <c r="AN82" s="273"/>
      <c r="AO82" s="273"/>
      <c r="AP82" s="273"/>
      <c r="AQ82" s="273"/>
      <c r="AR82" s="273"/>
      <c r="AS82" s="273"/>
      <c r="AT82" s="273"/>
      <c r="AU82" s="273"/>
      <c r="AV82" s="273"/>
      <c r="AW82" s="273"/>
      <c r="AX82" s="273"/>
      <c r="AY82" s="273"/>
      <c r="AZ82" s="273"/>
      <c r="BA82" s="273"/>
    </row>
    <row r="83">
      <c r="A83" s="273"/>
      <c r="B83" s="273"/>
      <c r="C83" s="745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  <c r="AD83" s="273"/>
      <c r="AE83" s="273"/>
      <c r="AF83" s="273"/>
      <c r="AG83" s="273"/>
      <c r="AH83" s="273"/>
      <c r="AI83" s="273"/>
      <c r="AJ83" s="273"/>
      <c r="AK83" s="273"/>
      <c r="AL83" s="273"/>
      <c r="AM83" s="273"/>
      <c r="AN83" s="273"/>
      <c r="AO83" s="273"/>
      <c r="AP83" s="273"/>
      <c r="AQ83" s="273"/>
      <c r="AR83" s="273"/>
      <c r="AS83" s="273"/>
      <c r="AT83" s="273"/>
      <c r="AU83" s="273"/>
      <c r="AV83" s="273"/>
      <c r="AW83" s="273"/>
      <c r="AX83" s="273"/>
      <c r="AY83" s="273"/>
      <c r="AZ83" s="273"/>
      <c r="BA83" s="273"/>
    </row>
    <row r="84">
      <c r="A84" s="273"/>
      <c r="B84" s="273"/>
      <c r="C84" s="745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  <c r="AJ84" s="273"/>
      <c r="AK84" s="273"/>
      <c r="AL84" s="273"/>
      <c r="AM84" s="273"/>
      <c r="AN84" s="273"/>
      <c r="AO84" s="273"/>
      <c r="AP84" s="273"/>
      <c r="AQ84" s="273"/>
      <c r="AR84" s="273"/>
      <c r="AS84" s="273"/>
      <c r="AT84" s="273"/>
      <c r="AU84" s="273"/>
      <c r="AV84" s="273"/>
      <c r="AW84" s="273"/>
      <c r="AX84" s="273"/>
      <c r="AY84" s="273"/>
      <c r="AZ84" s="273"/>
      <c r="BA84" s="273"/>
    </row>
    <row r="85">
      <c r="A85" s="273"/>
      <c r="B85" s="273"/>
      <c r="C85" s="745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  <c r="AC85" s="273"/>
      <c r="AD85" s="273"/>
      <c r="AE85" s="273"/>
      <c r="AF85" s="273"/>
      <c r="AG85" s="273"/>
      <c r="AH85" s="273"/>
      <c r="AI85" s="273"/>
      <c r="AJ85" s="273"/>
      <c r="AK85" s="273"/>
      <c r="AL85" s="273"/>
      <c r="AM85" s="273"/>
      <c r="AN85" s="273"/>
      <c r="AO85" s="273"/>
      <c r="AP85" s="273"/>
      <c r="AQ85" s="273"/>
      <c r="AR85" s="273"/>
      <c r="AS85" s="273"/>
      <c r="AT85" s="273"/>
      <c r="AU85" s="273"/>
      <c r="AV85" s="273"/>
      <c r="AW85" s="273"/>
      <c r="AX85" s="273"/>
      <c r="AY85" s="273"/>
      <c r="AZ85" s="273"/>
      <c r="BA85" s="273"/>
    </row>
    <row r="86">
      <c r="A86" s="273"/>
      <c r="B86" s="273"/>
      <c r="C86" s="745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  <c r="AJ86" s="273"/>
      <c r="AK86" s="273"/>
      <c r="AL86" s="273"/>
      <c r="AM86" s="273"/>
      <c r="AN86" s="273"/>
      <c r="AO86" s="273"/>
      <c r="AP86" s="273"/>
      <c r="AQ86" s="273"/>
      <c r="AR86" s="273"/>
      <c r="AS86" s="273"/>
      <c r="AT86" s="273"/>
      <c r="AU86" s="273"/>
      <c r="AV86" s="273"/>
      <c r="AW86" s="273"/>
      <c r="AX86" s="273"/>
      <c r="AY86" s="273"/>
      <c r="AZ86" s="273"/>
      <c r="BA86" s="273"/>
    </row>
    <row r="87">
      <c r="A87" s="273"/>
      <c r="B87" s="273"/>
      <c r="C87" s="745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  <c r="AC87" s="273"/>
      <c r="AD87" s="273"/>
      <c r="AE87" s="273"/>
      <c r="AF87" s="273"/>
      <c r="AG87" s="273"/>
      <c r="AH87" s="273"/>
      <c r="AI87" s="273"/>
      <c r="AJ87" s="273"/>
      <c r="AK87" s="273"/>
      <c r="AL87" s="273"/>
      <c r="AM87" s="273"/>
      <c r="AN87" s="273"/>
      <c r="AO87" s="273"/>
      <c r="AP87" s="273"/>
      <c r="AQ87" s="273"/>
      <c r="AR87" s="273"/>
      <c r="AS87" s="273"/>
      <c r="AT87" s="273"/>
      <c r="AU87" s="273"/>
      <c r="AV87" s="273"/>
      <c r="AW87" s="273"/>
      <c r="AX87" s="273"/>
      <c r="AY87" s="273"/>
      <c r="AZ87" s="273"/>
      <c r="BA87" s="273"/>
    </row>
    <row r="88">
      <c r="A88" s="273"/>
      <c r="B88" s="273"/>
      <c r="C88" s="745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  <c r="AJ88" s="273"/>
      <c r="AK88" s="273"/>
      <c r="AL88" s="273"/>
      <c r="AM88" s="273"/>
      <c r="AN88" s="273"/>
      <c r="AO88" s="273"/>
      <c r="AP88" s="273"/>
      <c r="AQ88" s="273"/>
      <c r="AR88" s="273"/>
      <c r="AS88" s="273"/>
      <c r="AT88" s="273"/>
      <c r="AU88" s="273"/>
      <c r="AV88" s="273"/>
      <c r="AW88" s="273"/>
      <c r="AX88" s="273"/>
      <c r="AY88" s="273"/>
      <c r="AZ88" s="273"/>
      <c r="BA88" s="273"/>
    </row>
    <row r="89">
      <c r="A89" s="273"/>
      <c r="B89" s="273"/>
      <c r="C89" s="745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  <c r="AC89" s="273"/>
      <c r="AD89" s="273"/>
      <c r="AE89" s="273"/>
      <c r="AF89" s="273"/>
      <c r="AG89" s="273"/>
      <c r="AH89" s="273"/>
      <c r="AI89" s="273"/>
      <c r="AJ89" s="273"/>
      <c r="AK89" s="273"/>
      <c r="AL89" s="273"/>
      <c r="AM89" s="273"/>
      <c r="AN89" s="273"/>
      <c r="AO89" s="273"/>
      <c r="AP89" s="273"/>
      <c r="AQ89" s="273"/>
      <c r="AR89" s="273"/>
      <c r="AS89" s="273"/>
      <c r="AT89" s="273"/>
      <c r="AU89" s="273"/>
      <c r="AV89" s="273"/>
      <c r="AW89" s="273"/>
      <c r="AX89" s="273"/>
      <c r="AY89" s="273"/>
      <c r="AZ89" s="273"/>
      <c r="BA89" s="273"/>
    </row>
    <row r="90">
      <c r="A90" s="273"/>
      <c r="B90" s="273"/>
      <c r="C90" s="745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  <c r="AM90" s="273"/>
      <c r="AN90" s="273"/>
      <c r="AO90" s="273"/>
      <c r="AP90" s="273"/>
      <c r="AQ90" s="273"/>
      <c r="AR90" s="273"/>
      <c r="AS90" s="273"/>
      <c r="AT90" s="273"/>
      <c r="AU90" s="273"/>
      <c r="AV90" s="273"/>
      <c r="AW90" s="273"/>
      <c r="AX90" s="273"/>
      <c r="AY90" s="273"/>
      <c r="AZ90" s="273"/>
      <c r="BA90" s="273"/>
    </row>
    <row r="91">
      <c r="A91" s="273"/>
      <c r="B91" s="273"/>
      <c r="C91" s="745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/>
      <c r="AD91" s="273"/>
      <c r="AE91" s="273"/>
      <c r="AF91" s="273"/>
      <c r="AG91" s="273"/>
      <c r="AH91" s="273"/>
      <c r="AI91" s="273"/>
      <c r="AJ91" s="273"/>
      <c r="AK91" s="273"/>
      <c r="AL91" s="273"/>
      <c r="AM91" s="273"/>
      <c r="AN91" s="273"/>
      <c r="AO91" s="273"/>
      <c r="AP91" s="273"/>
      <c r="AQ91" s="273"/>
      <c r="AR91" s="273"/>
      <c r="AS91" s="273"/>
      <c r="AT91" s="273"/>
      <c r="AU91" s="273"/>
      <c r="AV91" s="273"/>
      <c r="AW91" s="273"/>
      <c r="AX91" s="273"/>
      <c r="AY91" s="273"/>
      <c r="AZ91" s="273"/>
      <c r="BA91" s="273"/>
    </row>
    <row r="92">
      <c r="A92" s="273"/>
      <c r="B92" s="273"/>
      <c r="C92" s="745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  <c r="AJ92" s="273"/>
      <c r="AK92" s="273"/>
      <c r="AL92" s="273"/>
      <c r="AM92" s="273"/>
      <c r="AN92" s="273"/>
      <c r="AO92" s="273"/>
      <c r="AP92" s="273"/>
      <c r="AQ92" s="273"/>
      <c r="AR92" s="273"/>
      <c r="AS92" s="273"/>
      <c r="AT92" s="273"/>
      <c r="AU92" s="273"/>
      <c r="AV92" s="273"/>
      <c r="AW92" s="273"/>
      <c r="AX92" s="273"/>
      <c r="AY92" s="273"/>
      <c r="AZ92" s="273"/>
      <c r="BA92" s="273"/>
    </row>
    <row r="93">
      <c r="A93" s="273"/>
      <c r="B93" s="273"/>
      <c r="C93" s="745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  <c r="AJ93" s="273"/>
      <c r="AK93" s="273"/>
      <c r="AL93" s="273"/>
      <c r="AM93" s="273"/>
      <c r="AN93" s="273"/>
      <c r="AO93" s="273"/>
      <c r="AP93" s="273"/>
      <c r="AQ93" s="273"/>
      <c r="AR93" s="273"/>
      <c r="AS93" s="273"/>
      <c r="AT93" s="273"/>
      <c r="AU93" s="273"/>
      <c r="AV93" s="273"/>
      <c r="AW93" s="273"/>
      <c r="AX93" s="273"/>
      <c r="AY93" s="273"/>
      <c r="AZ93" s="273"/>
      <c r="BA93" s="273"/>
    </row>
    <row r="94">
      <c r="A94" s="273"/>
      <c r="B94" s="273"/>
      <c r="C94" s="745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  <c r="AJ94" s="273"/>
      <c r="AK94" s="273"/>
      <c r="AL94" s="273"/>
      <c r="AM94" s="273"/>
      <c r="AN94" s="273"/>
      <c r="AO94" s="273"/>
      <c r="AP94" s="273"/>
      <c r="AQ94" s="273"/>
      <c r="AR94" s="273"/>
      <c r="AS94" s="273"/>
      <c r="AT94" s="273"/>
      <c r="AU94" s="273"/>
      <c r="AV94" s="273"/>
      <c r="AW94" s="273"/>
      <c r="AX94" s="273"/>
      <c r="AY94" s="273"/>
      <c r="AZ94" s="273"/>
      <c r="BA94" s="273"/>
    </row>
    <row r="95">
      <c r="A95" s="273"/>
      <c r="B95" s="273"/>
      <c r="C95" s="745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  <c r="AC95" s="273"/>
      <c r="AD95" s="273"/>
      <c r="AE95" s="273"/>
      <c r="AF95" s="273"/>
      <c r="AG95" s="273"/>
      <c r="AH95" s="273"/>
      <c r="AI95" s="273"/>
      <c r="AJ95" s="273"/>
      <c r="AK95" s="273"/>
      <c r="AL95" s="273"/>
      <c r="AM95" s="273"/>
      <c r="AN95" s="273"/>
      <c r="AO95" s="273"/>
      <c r="AP95" s="273"/>
      <c r="AQ95" s="273"/>
      <c r="AR95" s="273"/>
      <c r="AS95" s="273"/>
      <c r="AT95" s="273"/>
      <c r="AU95" s="273"/>
      <c r="AV95" s="273"/>
      <c r="AW95" s="273"/>
      <c r="AX95" s="273"/>
      <c r="AY95" s="273"/>
      <c r="AZ95" s="273"/>
      <c r="BA95" s="273"/>
    </row>
    <row r="96">
      <c r="A96" s="273"/>
      <c r="B96" s="273"/>
      <c r="C96" s="745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  <c r="AJ96" s="273"/>
      <c r="AK96" s="273"/>
      <c r="AL96" s="273"/>
      <c r="AM96" s="273"/>
      <c r="AN96" s="273"/>
      <c r="AO96" s="273"/>
      <c r="AP96" s="273"/>
      <c r="AQ96" s="273"/>
      <c r="AR96" s="273"/>
      <c r="AS96" s="273"/>
      <c r="AT96" s="273"/>
      <c r="AU96" s="273"/>
      <c r="AV96" s="273"/>
      <c r="AW96" s="273"/>
      <c r="AX96" s="273"/>
      <c r="AY96" s="273"/>
      <c r="AZ96" s="273"/>
      <c r="BA96" s="273"/>
    </row>
    <row r="97">
      <c r="A97" s="273"/>
      <c r="B97" s="273"/>
      <c r="C97" s="745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3"/>
      <c r="AD97" s="273"/>
      <c r="AE97" s="273"/>
      <c r="AF97" s="273"/>
      <c r="AG97" s="273"/>
      <c r="AH97" s="273"/>
      <c r="AI97" s="273"/>
      <c r="AJ97" s="273"/>
      <c r="AK97" s="273"/>
      <c r="AL97" s="273"/>
      <c r="AM97" s="273"/>
      <c r="AN97" s="273"/>
      <c r="AO97" s="273"/>
      <c r="AP97" s="273"/>
      <c r="AQ97" s="273"/>
      <c r="AR97" s="273"/>
      <c r="AS97" s="273"/>
      <c r="AT97" s="273"/>
      <c r="AU97" s="273"/>
      <c r="AV97" s="273"/>
      <c r="AW97" s="273"/>
      <c r="AX97" s="273"/>
      <c r="AY97" s="273"/>
      <c r="AZ97" s="273"/>
      <c r="BA97" s="273"/>
    </row>
    <row r="98">
      <c r="A98" s="273"/>
      <c r="B98" s="273"/>
      <c r="C98" s="745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  <c r="AJ98" s="273"/>
      <c r="AK98" s="273"/>
      <c r="AL98" s="273"/>
      <c r="AM98" s="273"/>
      <c r="AN98" s="273"/>
      <c r="AO98" s="273"/>
      <c r="AP98" s="273"/>
      <c r="AQ98" s="273"/>
      <c r="AR98" s="273"/>
      <c r="AS98" s="273"/>
      <c r="AT98" s="273"/>
      <c r="AU98" s="273"/>
      <c r="AV98" s="273"/>
      <c r="AW98" s="273"/>
      <c r="AX98" s="273"/>
      <c r="AY98" s="273"/>
      <c r="AZ98" s="273"/>
      <c r="BA98" s="273"/>
    </row>
    <row r="99">
      <c r="A99" s="273"/>
      <c r="B99" s="273"/>
      <c r="C99" s="745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  <c r="AC99" s="273"/>
      <c r="AD99" s="273"/>
      <c r="AE99" s="273"/>
      <c r="AF99" s="273"/>
      <c r="AG99" s="273"/>
      <c r="AH99" s="273"/>
      <c r="AI99" s="273"/>
      <c r="AJ99" s="273"/>
      <c r="AK99" s="273"/>
      <c r="AL99" s="273"/>
      <c r="AM99" s="273"/>
      <c r="AN99" s="273"/>
      <c r="AO99" s="273"/>
      <c r="AP99" s="273"/>
      <c r="AQ99" s="273"/>
      <c r="AR99" s="273"/>
      <c r="AS99" s="273"/>
      <c r="AT99" s="273"/>
      <c r="AU99" s="273"/>
      <c r="AV99" s="273"/>
      <c r="AW99" s="273"/>
      <c r="AX99" s="273"/>
      <c r="AY99" s="273"/>
      <c r="AZ99" s="273"/>
      <c r="BA99" s="273"/>
    </row>
    <row r="100">
      <c r="A100" s="273"/>
      <c r="B100" s="273"/>
      <c r="C100" s="745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  <c r="AM100" s="273"/>
      <c r="AN100" s="273"/>
      <c r="AO100" s="273"/>
      <c r="AP100" s="273"/>
      <c r="AQ100" s="273"/>
      <c r="AR100" s="273"/>
      <c r="AS100" s="273"/>
      <c r="AT100" s="273"/>
      <c r="AU100" s="273"/>
      <c r="AV100" s="273"/>
      <c r="AW100" s="273"/>
      <c r="AX100" s="273"/>
      <c r="AY100" s="273"/>
      <c r="AZ100" s="273"/>
      <c r="BA100" s="273"/>
    </row>
    <row r="101">
      <c r="A101" s="273"/>
      <c r="B101" s="273"/>
      <c r="C101" s="745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  <c r="AJ101" s="273"/>
      <c r="AK101" s="273"/>
      <c r="AL101" s="273"/>
      <c r="AM101" s="273"/>
      <c r="AN101" s="273"/>
      <c r="AO101" s="273"/>
      <c r="AP101" s="273"/>
      <c r="AQ101" s="273"/>
      <c r="AR101" s="273"/>
      <c r="AS101" s="273"/>
      <c r="AT101" s="273"/>
      <c r="AU101" s="273"/>
      <c r="AV101" s="273"/>
      <c r="AW101" s="273"/>
      <c r="AX101" s="273"/>
      <c r="AY101" s="273"/>
      <c r="AZ101" s="273"/>
      <c r="BA101" s="273"/>
    </row>
    <row r="102">
      <c r="A102" s="273"/>
      <c r="B102" s="273"/>
      <c r="C102" s="745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  <c r="AJ102" s="273"/>
      <c r="AK102" s="273"/>
      <c r="AL102" s="273"/>
      <c r="AM102" s="273"/>
      <c r="AN102" s="273"/>
      <c r="AO102" s="273"/>
      <c r="AP102" s="273"/>
      <c r="AQ102" s="273"/>
      <c r="AR102" s="273"/>
      <c r="AS102" s="273"/>
      <c r="AT102" s="273"/>
      <c r="AU102" s="273"/>
      <c r="AV102" s="273"/>
      <c r="AW102" s="273"/>
      <c r="AX102" s="273"/>
      <c r="AY102" s="273"/>
      <c r="AZ102" s="273"/>
      <c r="BA102" s="273"/>
    </row>
    <row r="103">
      <c r="A103" s="273"/>
      <c r="B103" s="273"/>
      <c r="C103" s="745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  <c r="AJ103" s="273"/>
      <c r="AK103" s="273"/>
      <c r="AL103" s="273"/>
      <c r="AM103" s="273"/>
      <c r="AN103" s="273"/>
      <c r="AO103" s="273"/>
      <c r="AP103" s="273"/>
      <c r="AQ103" s="273"/>
      <c r="AR103" s="273"/>
      <c r="AS103" s="273"/>
      <c r="AT103" s="273"/>
      <c r="AU103" s="273"/>
      <c r="AV103" s="273"/>
      <c r="AW103" s="273"/>
      <c r="AX103" s="273"/>
      <c r="AY103" s="273"/>
      <c r="AZ103" s="273"/>
      <c r="BA103" s="273"/>
    </row>
    <row r="104">
      <c r="A104" s="273"/>
      <c r="B104" s="273"/>
      <c r="C104" s="745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  <c r="AJ104" s="273"/>
      <c r="AK104" s="273"/>
      <c r="AL104" s="273"/>
      <c r="AM104" s="273"/>
      <c r="AN104" s="273"/>
      <c r="AO104" s="273"/>
      <c r="AP104" s="273"/>
      <c r="AQ104" s="273"/>
      <c r="AR104" s="273"/>
      <c r="AS104" s="273"/>
      <c r="AT104" s="273"/>
      <c r="AU104" s="273"/>
      <c r="AV104" s="273"/>
      <c r="AW104" s="273"/>
      <c r="AX104" s="273"/>
      <c r="AY104" s="273"/>
      <c r="AZ104" s="273"/>
      <c r="BA104" s="273"/>
    </row>
    <row r="105">
      <c r="A105" s="273"/>
      <c r="B105" s="273"/>
      <c r="C105" s="745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  <c r="AC105" s="273"/>
      <c r="AD105" s="273"/>
      <c r="AE105" s="273"/>
      <c r="AF105" s="273"/>
      <c r="AG105" s="273"/>
      <c r="AH105" s="273"/>
      <c r="AI105" s="273"/>
      <c r="AJ105" s="273"/>
      <c r="AK105" s="273"/>
      <c r="AL105" s="273"/>
      <c r="AM105" s="273"/>
      <c r="AN105" s="273"/>
      <c r="AO105" s="273"/>
      <c r="AP105" s="273"/>
      <c r="AQ105" s="273"/>
      <c r="AR105" s="273"/>
      <c r="AS105" s="273"/>
      <c r="AT105" s="273"/>
      <c r="AU105" s="273"/>
      <c r="AV105" s="273"/>
      <c r="AW105" s="273"/>
      <c r="AX105" s="273"/>
      <c r="AY105" s="273"/>
      <c r="AZ105" s="273"/>
      <c r="BA105" s="273"/>
    </row>
    <row r="106">
      <c r="A106" s="273"/>
      <c r="B106" s="273"/>
      <c r="C106" s="745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  <c r="AJ106" s="273"/>
      <c r="AK106" s="273"/>
      <c r="AL106" s="273"/>
      <c r="AM106" s="273"/>
      <c r="AN106" s="273"/>
      <c r="AO106" s="273"/>
      <c r="AP106" s="273"/>
      <c r="AQ106" s="273"/>
      <c r="AR106" s="273"/>
      <c r="AS106" s="273"/>
      <c r="AT106" s="273"/>
      <c r="AU106" s="273"/>
      <c r="AV106" s="273"/>
      <c r="AW106" s="273"/>
      <c r="AX106" s="273"/>
      <c r="AY106" s="273"/>
      <c r="AZ106" s="273"/>
      <c r="BA106" s="273"/>
    </row>
    <row r="107">
      <c r="A107" s="273"/>
      <c r="B107" s="273"/>
      <c r="C107" s="745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  <c r="AC107" s="273"/>
      <c r="AD107" s="273"/>
      <c r="AE107" s="273"/>
      <c r="AF107" s="273"/>
      <c r="AG107" s="273"/>
      <c r="AH107" s="273"/>
      <c r="AI107" s="273"/>
      <c r="AJ107" s="273"/>
      <c r="AK107" s="273"/>
      <c r="AL107" s="273"/>
      <c r="AM107" s="273"/>
      <c r="AN107" s="273"/>
      <c r="AO107" s="273"/>
      <c r="AP107" s="273"/>
      <c r="AQ107" s="273"/>
      <c r="AR107" s="273"/>
      <c r="AS107" s="273"/>
      <c r="AT107" s="273"/>
      <c r="AU107" s="273"/>
      <c r="AV107" s="273"/>
      <c r="AW107" s="273"/>
      <c r="AX107" s="273"/>
      <c r="AY107" s="273"/>
      <c r="AZ107" s="273"/>
      <c r="BA107" s="273"/>
    </row>
    <row r="108">
      <c r="A108" s="273"/>
      <c r="B108" s="273"/>
      <c r="C108" s="745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  <c r="AJ108" s="273"/>
      <c r="AK108" s="273"/>
      <c r="AL108" s="273"/>
      <c r="AM108" s="273"/>
      <c r="AN108" s="273"/>
      <c r="AO108" s="273"/>
      <c r="AP108" s="273"/>
      <c r="AQ108" s="273"/>
      <c r="AR108" s="273"/>
      <c r="AS108" s="273"/>
      <c r="AT108" s="273"/>
      <c r="AU108" s="273"/>
      <c r="AV108" s="273"/>
      <c r="AW108" s="273"/>
      <c r="AX108" s="273"/>
      <c r="AY108" s="273"/>
      <c r="AZ108" s="273"/>
      <c r="BA108" s="273"/>
    </row>
    <row r="109">
      <c r="A109" s="273"/>
      <c r="B109" s="273"/>
      <c r="C109" s="745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3"/>
      <c r="AS109" s="273"/>
      <c r="AT109" s="273"/>
      <c r="AU109" s="273"/>
      <c r="AV109" s="273"/>
      <c r="AW109" s="273"/>
      <c r="AX109" s="273"/>
      <c r="AY109" s="273"/>
      <c r="AZ109" s="273"/>
      <c r="BA109" s="273"/>
    </row>
    <row r="110">
      <c r="A110" s="273"/>
      <c r="B110" s="273"/>
      <c r="C110" s="745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  <c r="AJ110" s="273"/>
      <c r="AK110" s="273"/>
      <c r="AL110" s="273"/>
      <c r="AM110" s="273"/>
      <c r="AN110" s="273"/>
      <c r="AO110" s="273"/>
      <c r="AP110" s="273"/>
      <c r="AQ110" s="273"/>
      <c r="AR110" s="273"/>
      <c r="AS110" s="273"/>
      <c r="AT110" s="273"/>
      <c r="AU110" s="273"/>
      <c r="AV110" s="273"/>
      <c r="AW110" s="273"/>
      <c r="AX110" s="273"/>
      <c r="AY110" s="273"/>
      <c r="AZ110" s="273"/>
      <c r="BA110" s="273"/>
    </row>
    <row r="111">
      <c r="A111" s="273"/>
      <c r="B111" s="273"/>
      <c r="C111" s="745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  <c r="AC111" s="273"/>
      <c r="AD111" s="273"/>
      <c r="AE111" s="273"/>
      <c r="AF111" s="273"/>
      <c r="AG111" s="273"/>
      <c r="AH111" s="273"/>
      <c r="AI111" s="273"/>
      <c r="AJ111" s="273"/>
      <c r="AK111" s="273"/>
      <c r="AL111" s="273"/>
      <c r="AM111" s="273"/>
      <c r="AN111" s="273"/>
      <c r="AO111" s="273"/>
      <c r="AP111" s="273"/>
      <c r="AQ111" s="273"/>
      <c r="AR111" s="273"/>
      <c r="AS111" s="273"/>
      <c r="AT111" s="273"/>
      <c r="AU111" s="273"/>
      <c r="AV111" s="273"/>
      <c r="AW111" s="273"/>
      <c r="AX111" s="273"/>
      <c r="AY111" s="273"/>
      <c r="AZ111" s="273"/>
      <c r="BA111" s="273"/>
    </row>
    <row r="112">
      <c r="A112" s="273"/>
      <c r="B112" s="273"/>
      <c r="C112" s="745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3"/>
      <c r="AL112" s="273"/>
      <c r="AM112" s="273"/>
      <c r="AN112" s="273"/>
      <c r="AO112" s="273"/>
      <c r="AP112" s="273"/>
      <c r="AQ112" s="273"/>
      <c r="AR112" s="273"/>
      <c r="AS112" s="273"/>
      <c r="AT112" s="273"/>
      <c r="AU112" s="273"/>
      <c r="AV112" s="273"/>
      <c r="AW112" s="273"/>
      <c r="AX112" s="273"/>
      <c r="AY112" s="273"/>
      <c r="AZ112" s="273"/>
      <c r="BA112" s="273"/>
    </row>
    <row r="113">
      <c r="A113" s="273"/>
      <c r="B113" s="273"/>
      <c r="C113" s="745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  <c r="AC113" s="273"/>
      <c r="AD113" s="273"/>
      <c r="AE113" s="273"/>
      <c r="AF113" s="273"/>
      <c r="AG113" s="273"/>
      <c r="AH113" s="273"/>
      <c r="AI113" s="273"/>
      <c r="AJ113" s="273"/>
      <c r="AK113" s="273"/>
      <c r="AL113" s="273"/>
      <c r="AM113" s="273"/>
      <c r="AN113" s="273"/>
      <c r="AO113" s="273"/>
      <c r="AP113" s="273"/>
      <c r="AQ113" s="273"/>
      <c r="AR113" s="273"/>
      <c r="AS113" s="273"/>
      <c r="AT113" s="273"/>
      <c r="AU113" s="273"/>
      <c r="AV113" s="273"/>
      <c r="AW113" s="273"/>
      <c r="AX113" s="273"/>
      <c r="AY113" s="273"/>
      <c r="AZ113" s="273"/>
      <c r="BA113" s="273"/>
    </row>
    <row r="114">
      <c r="A114" s="273"/>
      <c r="B114" s="273"/>
      <c r="C114" s="745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73"/>
      <c r="AL114" s="273"/>
      <c r="AM114" s="273"/>
      <c r="AN114" s="273"/>
      <c r="AO114" s="273"/>
      <c r="AP114" s="273"/>
      <c r="AQ114" s="273"/>
      <c r="AR114" s="273"/>
      <c r="AS114" s="273"/>
      <c r="AT114" s="273"/>
      <c r="AU114" s="273"/>
      <c r="AV114" s="273"/>
      <c r="AW114" s="273"/>
      <c r="AX114" s="273"/>
      <c r="AY114" s="273"/>
      <c r="AZ114" s="273"/>
      <c r="BA114" s="273"/>
    </row>
    <row r="115">
      <c r="A115" s="273"/>
      <c r="B115" s="273"/>
      <c r="C115" s="745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3"/>
      <c r="AD115" s="273"/>
      <c r="AE115" s="273"/>
      <c r="AF115" s="273"/>
      <c r="AG115" s="273"/>
      <c r="AH115" s="273"/>
      <c r="AI115" s="273"/>
      <c r="AJ115" s="273"/>
      <c r="AK115" s="273"/>
      <c r="AL115" s="273"/>
      <c r="AM115" s="273"/>
      <c r="AN115" s="273"/>
      <c r="AO115" s="273"/>
      <c r="AP115" s="273"/>
      <c r="AQ115" s="273"/>
      <c r="AR115" s="273"/>
      <c r="AS115" s="273"/>
      <c r="AT115" s="273"/>
      <c r="AU115" s="273"/>
      <c r="AV115" s="273"/>
      <c r="AW115" s="273"/>
      <c r="AX115" s="273"/>
      <c r="AY115" s="273"/>
      <c r="AZ115" s="273"/>
      <c r="BA115" s="273"/>
    </row>
    <row r="116">
      <c r="A116" s="273"/>
      <c r="B116" s="273"/>
      <c r="C116" s="745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  <c r="AJ116" s="273"/>
      <c r="AK116" s="273"/>
      <c r="AL116" s="273"/>
      <c r="AM116" s="273"/>
      <c r="AN116" s="273"/>
      <c r="AO116" s="273"/>
      <c r="AP116" s="273"/>
      <c r="AQ116" s="273"/>
      <c r="AR116" s="273"/>
      <c r="AS116" s="273"/>
      <c r="AT116" s="273"/>
      <c r="AU116" s="273"/>
      <c r="AV116" s="273"/>
      <c r="AW116" s="273"/>
      <c r="AX116" s="273"/>
      <c r="AY116" s="273"/>
      <c r="AZ116" s="273"/>
      <c r="BA116" s="273"/>
    </row>
    <row r="117">
      <c r="A117" s="273"/>
      <c r="B117" s="273"/>
      <c r="C117" s="745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  <c r="AJ117" s="273"/>
      <c r="AK117" s="273"/>
      <c r="AL117" s="273"/>
      <c r="AM117" s="273"/>
      <c r="AN117" s="273"/>
      <c r="AO117" s="273"/>
      <c r="AP117" s="273"/>
      <c r="AQ117" s="273"/>
      <c r="AR117" s="273"/>
      <c r="AS117" s="273"/>
      <c r="AT117" s="273"/>
      <c r="AU117" s="273"/>
      <c r="AV117" s="273"/>
      <c r="AW117" s="273"/>
      <c r="AX117" s="273"/>
      <c r="AY117" s="273"/>
      <c r="AZ117" s="273"/>
      <c r="BA117" s="273"/>
    </row>
    <row r="118">
      <c r="A118" s="273"/>
      <c r="B118" s="273"/>
      <c r="C118" s="745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  <c r="AJ118" s="273"/>
      <c r="AK118" s="273"/>
      <c r="AL118" s="273"/>
      <c r="AM118" s="273"/>
      <c r="AN118" s="273"/>
      <c r="AO118" s="273"/>
      <c r="AP118" s="273"/>
      <c r="AQ118" s="273"/>
      <c r="AR118" s="273"/>
      <c r="AS118" s="273"/>
      <c r="AT118" s="273"/>
      <c r="AU118" s="273"/>
      <c r="AV118" s="273"/>
      <c r="AW118" s="273"/>
      <c r="AX118" s="273"/>
      <c r="AY118" s="273"/>
      <c r="AZ118" s="273"/>
      <c r="BA118" s="273"/>
    </row>
    <row r="119">
      <c r="A119" s="273"/>
      <c r="B119" s="273"/>
      <c r="C119" s="745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3"/>
      <c r="AK119" s="273"/>
      <c r="AL119" s="273"/>
      <c r="AM119" s="273"/>
      <c r="AN119" s="273"/>
      <c r="AO119" s="273"/>
      <c r="AP119" s="273"/>
      <c r="AQ119" s="273"/>
      <c r="AR119" s="273"/>
      <c r="AS119" s="273"/>
      <c r="AT119" s="273"/>
      <c r="AU119" s="273"/>
      <c r="AV119" s="273"/>
      <c r="AW119" s="273"/>
      <c r="AX119" s="273"/>
      <c r="AY119" s="273"/>
      <c r="AZ119" s="273"/>
      <c r="BA119" s="273"/>
    </row>
    <row r="120">
      <c r="A120" s="273"/>
      <c r="B120" s="273"/>
      <c r="C120" s="745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3"/>
      <c r="AL120" s="273"/>
      <c r="AM120" s="273"/>
      <c r="AN120" s="273"/>
      <c r="AO120" s="273"/>
      <c r="AP120" s="273"/>
      <c r="AQ120" s="273"/>
      <c r="AR120" s="273"/>
      <c r="AS120" s="273"/>
      <c r="AT120" s="273"/>
      <c r="AU120" s="273"/>
      <c r="AV120" s="273"/>
      <c r="AW120" s="273"/>
      <c r="AX120" s="273"/>
      <c r="AY120" s="273"/>
      <c r="AZ120" s="273"/>
      <c r="BA120" s="273"/>
    </row>
    <row r="121">
      <c r="A121" s="273"/>
      <c r="B121" s="273"/>
      <c r="C121" s="745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  <c r="AC121" s="273"/>
      <c r="AD121" s="273"/>
      <c r="AE121" s="273"/>
      <c r="AF121" s="273"/>
      <c r="AG121" s="273"/>
      <c r="AH121" s="273"/>
      <c r="AI121" s="273"/>
      <c r="AJ121" s="273"/>
      <c r="AK121" s="273"/>
      <c r="AL121" s="273"/>
      <c r="AM121" s="273"/>
      <c r="AN121" s="273"/>
      <c r="AO121" s="273"/>
      <c r="AP121" s="273"/>
      <c r="AQ121" s="273"/>
      <c r="AR121" s="273"/>
      <c r="AS121" s="273"/>
      <c r="AT121" s="273"/>
      <c r="AU121" s="273"/>
      <c r="AV121" s="273"/>
      <c r="AW121" s="273"/>
      <c r="AX121" s="273"/>
      <c r="AY121" s="273"/>
      <c r="AZ121" s="273"/>
      <c r="BA121" s="273"/>
    </row>
    <row r="122">
      <c r="A122" s="273"/>
      <c r="B122" s="273"/>
      <c r="C122" s="745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  <c r="AJ122" s="273"/>
      <c r="AK122" s="273"/>
      <c r="AL122" s="273"/>
      <c r="AM122" s="273"/>
      <c r="AN122" s="273"/>
      <c r="AO122" s="273"/>
      <c r="AP122" s="273"/>
      <c r="AQ122" s="273"/>
      <c r="AR122" s="273"/>
      <c r="AS122" s="273"/>
      <c r="AT122" s="273"/>
      <c r="AU122" s="273"/>
      <c r="AV122" s="273"/>
      <c r="AW122" s="273"/>
      <c r="AX122" s="273"/>
      <c r="AY122" s="273"/>
      <c r="AZ122" s="273"/>
      <c r="BA122" s="273"/>
    </row>
    <row r="123">
      <c r="A123" s="273"/>
      <c r="B123" s="273"/>
      <c r="C123" s="745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  <c r="AC123" s="273"/>
      <c r="AD123" s="273"/>
      <c r="AE123" s="273"/>
      <c r="AF123" s="273"/>
      <c r="AG123" s="273"/>
      <c r="AH123" s="273"/>
      <c r="AI123" s="273"/>
      <c r="AJ123" s="273"/>
      <c r="AK123" s="273"/>
      <c r="AL123" s="273"/>
      <c r="AM123" s="273"/>
      <c r="AN123" s="273"/>
      <c r="AO123" s="273"/>
      <c r="AP123" s="273"/>
      <c r="AQ123" s="273"/>
      <c r="AR123" s="273"/>
      <c r="AS123" s="273"/>
      <c r="AT123" s="273"/>
      <c r="AU123" s="273"/>
      <c r="AV123" s="273"/>
      <c r="AW123" s="273"/>
      <c r="AX123" s="273"/>
      <c r="AY123" s="273"/>
      <c r="AZ123" s="273"/>
      <c r="BA123" s="273"/>
    </row>
    <row r="124">
      <c r="A124" s="273"/>
      <c r="B124" s="273"/>
      <c r="C124" s="745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  <c r="AJ124" s="273"/>
      <c r="AK124" s="273"/>
      <c r="AL124" s="273"/>
      <c r="AM124" s="273"/>
      <c r="AN124" s="273"/>
      <c r="AO124" s="273"/>
      <c r="AP124" s="273"/>
      <c r="AQ124" s="273"/>
      <c r="AR124" s="273"/>
      <c r="AS124" s="273"/>
      <c r="AT124" s="273"/>
      <c r="AU124" s="273"/>
      <c r="AV124" s="273"/>
      <c r="AW124" s="273"/>
      <c r="AX124" s="273"/>
      <c r="AY124" s="273"/>
      <c r="AZ124" s="273"/>
      <c r="BA124" s="273"/>
    </row>
    <row r="125">
      <c r="A125" s="273"/>
      <c r="B125" s="273"/>
      <c r="C125" s="745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  <c r="AJ125" s="273"/>
      <c r="AK125" s="273"/>
      <c r="AL125" s="273"/>
      <c r="AM125" s="273"/>
      <c r="AN125" s="273"/>
      <c r="AO125" s="273"/>
      <c r="AP125" s="273"/>
      <c r="AQ125" s="273"/>
      <c r="AR125" s="273"/>
      <c r="AS125" s="273"/>
      <c r="AT125" s="273"/>
      <c r="AU125" s="273"/>
      <c r="AV125" s="273"/>
      <c r="AW125" s="273"/>
      <c r="AX125" s="273"/>
      <c r="AY125" s="273"/>
      <c r="AZ125" s="273"/>
      <c r="BA125" s="273"/>
    </row>
    <row r="126">
      <c r="A126" s="273"/>
      <c r="B126" s="273"/>
      <c r="C126" s="745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3"/>
      <c r="AL126" s="273"/>
      <c r="AM126" s="273"/>
      <c r="AN126" s="273"/>
      <c r="AO126" s="273"/>
      <c r="AP126" s="273"/>
      <c r="AQ126" s="273"/>
      <c r="AR126" s="273"/>
      <c r="AS126" s="273"/>
      <c r="AT126" s="273"/>
      <c r="AU126" s="273"/>
      <c r="AV126" s="273"/>
      <c r="AW126" s="273"/>
      <c r="AX126" s="273"/>
      <c r="AY126" s="273"/>
      <c r="AZ126" s="273"/>
      <c r="BA126" s="273"/>
    </row>
    <row r="127">
      <c r="A127" s="273"/>
      <c r="B127" s="273"/>
      <c r="C127" s="745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  <c r="AJ127" s="273"/>
      <c r="AK127" s="273"/>
      <c r="AL127" s="273"/>
      <c r="AM127" s="273"/>
      <c r="AN127" s="273"/>
      <c r="AO127" s="273"/>
      <c r="AP127" s="273"/>
      <c r="AQ127" s="273"/>
      <c r="AR127" s="273"/>
      <c r="AS127" s="273"/>
      <c r="AT127" s="273"/>
      <c r="AU127" s="273"/>
      <c r="AV127" s="273"/>
      <c r="AW127" s="273"/>
      <c r="AX127" s="273"/>
      <c r="AY127" s="273"/>
      <c r="AZ127" s="273"/>
      <c r="BA127" s="273"/>
    </row>
    <row r="128">
      <c r="A128" s="273"/>
      <c r="B128" s="273"/>
      <c r="C128" s="745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  <c r="AJ128" s="273"/>
      <c r="AK128" s="273"/>
      <c r="AL128" s="273"/>
      <c r="AM128" s="273"/>
      <c r="AN128" s="273"/>
      <c r="AO128" s="273"/>
      <c r="AP128" s="273"/>
      <c r="AQ128" s="273"/>
      <c r="AR128" s="273"/>
      <c r="AS128" s="273"/>
      <c r="AT128" s="273"/>
      <c r="AU128" s="273"/>
      <c r="AV128" s="273"/>
      <c r="AW128" s="273"/>
      <c r="AX128" s="273"/>
      <c r="AY128" s="273"/>
      <c r="AZ128" s="273"/>
      <c r="BA128" s="273"/>
    </row>
    <row r="129">
      <c r="A129" s="273"/>
      <c r="B129" s="273"/>
      <c r="C129" s="745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/>
      <c r="AJ129" s="273"/>
      <c r="AK129" s="273"/>
      <c r="AL129" s="273"/>
      <c r="AM129" s="273"/>
      <c r="AN129" s="273"/>
      <c r="AO129" s="273"/>
      <c r="AP129" s="273"/>
      <c r="AQ129" s="273"/>
      <c r="AR129" s="273"/>
      <c r="AS129" s="273"/>
      <c r="AT129" s="273"/>
      <c r="AU129" s="273"/>
      <c r="AV129" s="273"/>
      <c r="AW129" s="273"/>
      <c r="AX129" s="273"/>
      <c r="AY129" s="273"/>
      <c r="AZ129" s="273"/>
      <c r="BA129" s="273"/>
    </row>
    <row r="130">
      <c r="A130" s="273"/>
      <c r="B130" s="273"/>
      <c r="C130" s="745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273"/>
      <c r="AP130" s="273"/>
      <c r="AQ130" s="273"/>
      <c r="AR130" s="273"/>
      <c r="AS130" s="273"/>
      <c r="AT130" s="273"/>
      <c r="AU130" s="273"/>
      <c r="AV130" s="273"/>
      <c r="AW130" s="273"/>
      <c r="AX130" s="273"/>
      <c r="AY130" s="273"/>
      <c r="AZ130" s="273"/>
      <c r="BA130" s="273"/>
    </row>
    <row r="131">
      <c r="A131" s="273"/>
      <c r="B131" s="273"/>
      <c r="C131" s="745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  <c r="AC131" s="273"/>
      <c r="AD131" s="273"/>
      <c r="AE131" s="273"/>
      <c r="AF131" s="273"/>
      <c r="AG131" s="273"/>
      <c r="AH131" s="273"/>
      <c r="AI131" s="273"/>
      <c r="AJ131" s="273"/>
      <c r="AK131" s="273"/>
      <c r="AL131" s="273"/>
      <c r="AM131" s="273"/>
      <c r="AN131" s="273"/>
      <c r="AO131" s="273"/>
      <c r="AP131" s="273"/>
      <c r="AQ131" s="273"/>
      <c r="AR131" s="273"/>
      <c r="AS131" s="273"/>
      <c r="AT131" s="273"/>
      <c r="AU131" s="273"/>
      <c r="AV131" s="273"/>
      <c r="AW131" s="273"/>
      <c r="AX131" s="273"/>
      <c r="AY131" s="273"/>
      <c r="AZ131" s="273"/>
      <c r="BA131" s="273"/>
    </row>
    <row r="132">
      <c r="A132" s="273"/>
      <c r="B132" s="273"/>
      <c r="C132" s="745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3"/>
      <c r="AL132" s="273"/>
      <c r="AM132" s="273"/>
      <c r="AN132" s="273"/>
      <c r="AO132" s="273"/>
      <c r="AP132" s="273"/>
      <c r="AQ132" s="273"/>
      <c r="AR132" s="273"/>
      <c r="AS132" s="273"/>
      <c r="AT132" s="273"/>
      <c r="AU132" s="273"/>
      <c r="AV132" s="273"/>
      <c r="AW132" s="273"/>
      <c r="AX132" s="273"/>
      <c r="AY132" s="273"/>
      <c r="AZ132" s="273"/>
      <c r="BA132" s="273"/>
    </row>
    <row r="133">
      <c r="A133" s="273"/>
      <c r="B133" s="273"/>
      <c r="C133" s="745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3"/>
      <c r="AD133" s="273"/>
      <c r="AE133" s="273"/>
      <c r="AF133" s="273"/>
      <c r="AG133" s="273"/>
      <c r="AH133" s="273"/>
      <c r="AI133" s="273"/>
      <c r="AJ133" s="273"/>
      <c r="AK133" s="273"/>
      <c r="AL133" s="273"/>
      <c r="AM133" s="273"/>
      <c r="AN133" s="273"/>
      <c r="AO133" s="273"/>
      <c r="AP133" s="273"/>
      <c r="AQ133" s="273"/>
      <c r="AR133" s="273"/>
      <c r="AS133" s="273"/>
      <c r="AT133" s="273"/>
      <c r="AU133" s="273"/>
      <c r="AV133" s="273"/>
      <c r="AW133" s="273"/>
      <c r="AX133" s="273"/>
      <c r="AY133" s="273"/>
      <c r="AZ133" s="273"/>
      <c r="BA133" s="273"/>
    </row>
    <row r="134">
      <c r="A134" s="273"/>
      <c r="B134" s="273"/>
      <c r="C134" s="745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  <c r="AJ134" s="273"/>
      <c r="AK134" s="273"/>
      <c r="AL134" s="273"/>
      <c r="AM134" s="273"/>
      <c r="AN134" s="273"/>
      <c r="AO134" s="273"/>
      <c r="AP134" s="273"/>
      <c r="AQ134" s="273"/>
      <c r="AR134" s="273"/>
      <c r="AS134" s="273"/>
      <c r="AT134" s="273"/>
      <c r="AU134" s="273"/>
      <c r="AV134" s="273"/>
      <c r="AW134" s="273"/>
      <c r="AX134" s="273"/>
      <c r="AY134" s="273"/>
      <c r="AZ134" s="273"/>
      <c r="BA134" s="273"/>
    </row>
    <row r="135">
      <c r="A135" s="273"/>
      <c r="B135" s="273"/>
      <c r="C135" s="745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3"/>
      <c r="AS135" s="273"/>
      <c r="AT135" s="273"/>
      <c r="AU135" s="273"/>
      <c r="AV135" s="273"/>
      <c r="AW135" s="273"/>
      <c r="AX135" s="273"/>
      <c r="AY135" s="273"/>
      <c r="AZ135" s="273"/>
      <c r="BA135" s="273"/>
    </row>
    <row r="136">
      <c r="A136" s="273"/>
      <c r="B136" s="273"/>
      <c r="C136" s="745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273"/>
      <c r="AP136" s="273"/>
      <c r="AQ136" s="273"/>
      <c r="AR136" s="273"/>
      <c r="AS136" s="273"/>
      <c r="AT136" s="273"/>
      <c r="AU136" s="273"/>
      <c r="AV136" s="273"/>
      <c r="AW136" s="273"/>
      <c r="AX136" s="273"/>
      <c r="AY136" s="273"/>
      <c r="AZ136" s="273"/>
      <c r="BA136" s="273"/>
    </row>
    <row r="137">
      <c r="A137" s="273"/>
      <c r="B137" s="273"/>
      <c r="C137" s="745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  <c r="AJ137" s="273"/>
      <c r="AK137" s="273"/>
      <c r="AL137" s="273"/>
      <c r="AM137" s="273"/>
      <c r="AN137" s="273"/>
      <c r="AO137" s="273"/>
      <c r="AP137" s="273"/>
      <c r="AQ137" s="273"/>
      <c r="AR137" s="273"/>
      <c r="AS137" s="273"/>
      <c r="AT137" s="273"/>
      <c r="AU137" s="273"/>
      <c r="AV137" s="273"/>
      <c r="AW137" s="273"/>
      <c r="AX137" s="273"/>
      <c r="AY137" s="273"/>
      <c r="AZ137" s="273"/>
      <c r="BA137" s="273"/>
    </row>
    <row r="138">
      <c r="A138" s="273"/>
      <c r="B138" s="273"/>
      <c r="C138" s="745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3"/>
      <c r="AY138" s="273"/>
      <c r="AZ138" s="273"/>
      <c r="BA138" s="273"/>
    </row>
    <row r="139">
      <c r="A139" s="273"/>
      <c r="B139" s="273"/>
      <c r="C139" s="745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  <c r="AC139" s="273"/>
      <c r="AD139" s="273"/>
      <c r="AE139" s="273"/>
      <c r="AF139" s="273"/>
      <c r="AG139" s="273"/>
      <c r="AH139" s="273"/>
      <c r="AI139" s="273"/>
      <c r="AJ139" s="273"/>
      <c r="AK139" s="273"/>
      <c r="AL139" s="273"/>
      <c r="AM139" s="273"/>
      <c r="AN139" s="273"/>
      <c r="AO139" s="273"/>
      <c r="AP139" s="273"/>
      <c r="AQ139" s="273"/>
      <c r="AR139" s="273"/>
      <c r="AS139" s="273"/>
      <c r="AT139" s="273"/>
      <c r="AU139" s="273"/>
      <c r="AV139" s="273"/>
      <c r="AW139" s="273"/>
      <c r="AX139" s="273"/>
      <c r="AY139" s="273"/>
      <c r="AZ139" s="273"/>
      <c r="BA139" s="273"/>
    </row>
    <row r="140">
      <c r="A140" s="273"/>
      <c r="B140" s="273"/>
      <c r="C140" s="745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  <c r="AJ140" s="273"/>
      <c r="AK140" s="273"/>
      <c r="AL140" s="273"/>
      <c r="AM140" s="273"/>
      <c r="AN140" s="273"/>
      <c r="AO140" s="273"/>
      <c r="AP140" s="273"/>
      <c r="AQ140" s="273"/>
      <c r="AR140" s="273"/>
      <c r="AS140" s="273"/>
      <c r="AT140" s="273"/>
      <c r="AU140" s="273"/>
      <c r="AV140" s="273"/>
      <c r="AW140" s="273"/>
      <c r="AX140" s="273"/>
      <c r="AY140" s="273"/>
      <c r="AZ140" s="273"/>
      <c r="BA140" s="273"/>
    </row>
    <row r="141">
      <c r="A141" s="273"/>
      <c r="B141" s="273"/>
      <c r="C141" s="745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  <c r="AC141" s="273"/>
      <c r="AD141" s="273"/>
      <c r="AE141" s="273"/>
      <c r="AF141" s="273"/>
      <c r="AG141" s="273"/>
      <c r="AH141" s="273"/>
      <c r="AI141" s="273"/>
      <c r="AJ141" s="273"/>
      <c r="AK141" s="273"/>
      <c r="AL141" s="273"/>
      <c r="AM141" s="273"/>
      <c r="AN141" s="273"/>
      <c r="AO141" s="273"/>
      <c r="AP141" s="273"/>
      <c r="AQ141" s="273"/>
      <c r="AR141" s="273"/>
      <c r="AS141" s="273"/>
      <c r="AT141" s="273"/>
      <c r="AU141" s="273"/>
      <c r="AV141" s="273"/>
      <c r="AW141" s="273"/>
      <c r="AX141" s="273"/>
      <c r="AY141" s="273"/>
      <c r="AZ141" s="273"/>
      <c r="BA141" s="273"/>
    </row>
    <row r="142">
      <c r="A142" s="273"/>
      <c r="B142" s="273"/>
      <c r="C142" s="745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  <c r="AJ142" s="273"/>
      <c r="AK142" s="273"/>
      <c r="AL142" s="273"/>
      <c r="AM142" s="273"/>
      <c r="AN142" s="273"/>
      <c r="AO142" s="273"/>
      <c r="AP142" s="273"/>
      <c r="AQ142" s="273"/>
      <c r="AR142" s="273"/>
      <c r="AS142" s="273"/>
      <c r="AT142" s="273"/>
      <c r="AU142" s="273"/>
      <c r="AV142" s="273"/>
      <c r="AW142" s="273"/>
      <c r="AX142" s="273"/>
      <c r="AY142" s="273"/>
      <c r="AZ142" s="273"/>
      <c r="BA142" s="273"/>
    </row>
    <row r="143">
      <c r="A143" s="273"/>
      <c r="B143" s="273"/>
      <c r="C143" s="745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  <c r="AJ143" s="273"/>
      <c r="AK143" s="273"/>
      <c r="AL143" s="273"/>
      <c r="AM143" s="273"/>
      <c r="AN143" s="273"/>
      <c r="AO143" s="273"/>
      <c r="AP143" s="273"/>
      <c r="AQ143" s="273"/>
      <c r="AR143" s="273"/>
      <c r="AS143" s="273"/>
      <c r="AT143" s="273"/>
      <c r="AU143" s="273"/>
      <c r="AV143" s="273"/>
      <c r="AW143" s="273"/>
      <c r="AX143" s="273"/>
      <c r="AY143" s="273"/>
      <c r="AZ143" s="273"/>
      <c r="BA143" s="273"/>
    </row>
    <row r="144">
      <c r="A144" s="273"/>
      <c r="B144" s="273"/>
      <c r="C144" s="745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273"/>
      <c r="AP144" s="273"/>
      <c r="AQ144" s="273"/>
      <c r="AR144" s="273"/>
      <c r="AS144" s="273"/>
      <c r="AT144" s="273"/>
      <c r="AU144" s="273"/>
      <c r="AV144" s="273"/>
      <c r="AW144" s="273"/>
      <c r="AX144" s="273"/>
      <c r="AY144" s="273"/>
      <c r="AZ144" s="273"/>
      <c r="BA144" s="273"/>
    </row>
    <row r="145">
      <c r="A145" s="273"/>
      <c r="B145" s="273"/>
      <c r="C145" s="745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  <c r="AJ145" s="273"/>
      <c r="AK145" s="273"/>
      <c r="AL145" s="273"/>
      <c r="AM145" s="273"/>
      <c r="AN145" s="273"/>
      <c r="AO145" s="273"/>
      <c r="AP145" s="273"/>
      <c r="AQ145" s="273"/>
      <c r="AR145" s="273"/>
      <c r="AS145" s="273"/>
      <c r="AT145" s="273"/>
      <c r="AU145" s="273"/>
      <c r="AV145" s="273"/>
      <c r="AW145" s="273"/>
      <c r="AX145" s="273"/>
      <c r="AY145" s="273"/>
      <c r="AZ145" s="273"/>
      <c r="BA145" s="273"/>
    </row>
    <row r="146">
      <c r="A146" s="273"/>
      <c r="B146" s="273"/>
      <c r="C146" s="745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273"/>
      <c r="AP146" s="273"/>
      <c r="AQ146" s="273"/>
      <c r="AR146" s="273"/>
      <c r="AS146" s="273"/>
      <c r="AT146" s="273"/>
      <c r="AU146" s="273"/>
      <c r="AV146" s="273"/>
      <c r="AW146" s="273"/>
      <c r="AX146" s="273"/>
      <c r="AY146" s="273"/>
      <c r="AZ146" s="273"/>
      <c r="BA146" s="273"/>
    </row>
    <row r="147">
      <c r="A147" s="273"/>
      <c r="B147" s="273"/>
      <c r="C147" s="745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  <c r="AJ147" s="273"/>
      <c r="AK147" s="273"/>
      <c r="AL147" s="273"/>
      <c r="AM147" s="273"/>
      <c r="AN147" s="273"/>
      <c r="AO147" s="273"/>
      <c r="AP147" s="273"/>
      <c r="AQ147" s="273"/>
      <c r="AR147" s="273"/>
      <c r="AS147" s="273"/>
      <c r="AT147" s="273"/>
      <c r="AU147" s="273"/>
      <c r="AV147" s="273"/>
      <c r="AW147" s="273"/>
      <c r="AX147" s="273"/>
      <c r="AY147" s="273"/>
      <c r="AZ147" s="273"/>
      <c r="BA147" s="273"/>
    </row>
    <row r="148">
      <c r="A148" s="273"/>
      <c r="B148" s="273"/>
      <c r="C148" s="745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273"/>
      <c r="AP148" s="273"/>
      <c r="AQ148" s="273"/>
      <c r="AR148" s="273"/>
      <c r="AS148" s="273"/>
      <c r="AT148" s="273"/>
      <c r="AU148" s="273"/>
      <c r="AV148" s="273"/>
      <c r="AW148" s="273"/>
      <c r="AX148" s="273"/>
      <c r="AY148" s="273"/>
      <c r="AZ148" s="273"/>
      <c r="BA148" s="273"/>
    </row>
    <row r="149">
      <c r="A149" s="273"/>
      <c r="B149" s="273"/>
      <c r="C149" s="745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  <c r="AJ149" s="273"/>
      <c r="AK149" s="273"/>
      <c r="AL149" s="273"/>
      <c r="AM149" s="273"/>
      <c r="AN149" s="273"/>
      <c r="AO149" s="273"/>
      <c r="AP149" s="273"/>
      <c r="AQ149" s="273"/>
      <c r="AR149" s="273"/>
      <c r="AS149" s="273"/>
      <c r="AT149" s="273"/>
      <c r="AU149" s="273"/>
      <c r="AV149" s="273"/>
      <c r="AW149" s="273"/>
      <c r="AX149" s="273"/>
      <c r="AY149" s="273"/>
      <c r="AZ149" s="273"/>
      <c r="BA149" s="273"/>
    </row>
    <row r="150">
      <c r="A150" s="273"/>
      <c r="B150" s="273"/>
      <c r="C150" s="745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  <c r="AJ150" s="273"/>
      <c r="AK150" s="273"/>
      <c r="AL150" s="273"/>
      <c r="AM150" s="273"/>
      <c r="AN150" s="273"/>
      <c r="AO150" s="273"/>
      <c r="AP150" s="273"/>
      <c r="AQ150" s="273"/>
      <c r="AR150" s="273"/>
      <c r="AS150" s="273"/>
      <c r="AT150" s="273"/>
      <c r="AU150" s="273"/>
      <c r="AV150" s="273"/>
      <c r="AW150" s="273"/>
      <c r="AX150" s="273"/>
      <c r="AY150" s="273"/>
      <c r="AZ150" s="273"/>
      <c r="BA150" s="273"/>
    </row>
    <row r="151">
      <c r="A151" s="273"/>
      <c r="B151" s="273"/>
      <c r="C151" s="745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  <c r="AD151" s="273"/>
      <c r="AE151" s="273"/>
      <c r="AF151" s="273"/>
      <c r="AG151" s="273"/>
      <c r="AH151" s="273"/>
      <c r="AI151" s="273"/>
      <c r="AJ151" s="273"/>
      <c r="AK151" s="273"/>
      <c r="AL151" s="273"/>
      <c r="AM151" s="273"/>
      <c r="AN151" s="273"/>
      <c r="AO151" s="273"/>
      <c r="AP151" s="273"/>
      <c r="AQ151" s="273"/>
      <c r="AR151" s="273"/>
      <c r="AS151" s="273"/>
      <c r="AT151" s="273"/>
      <c r="AU151" s="273"/>
      <c r="AV151" s="273"/>
      <c r="AW151" s="273"/>
      <c r="AX151" s="273"/>
      <c r="AY151" s="273"/>
      <c r="AZ151" s="273"/>
      <c r="BA151" s="273"/>
    </row>
    <row r="152">
      <c r="A152" s="273"/>
      <c r="B152" s="273"/>
      <c r="C152" s="745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  <c r="AJ152" s="273"/>
      <c r="AK152" s="273"/>
      <c r="AL152" s="273"/>
      <c r="AM152" s="273"/>
      <c r="AN152" s="273"/>
      <c r="AO152" s="273"/>
      <c r="AP152" s="273"/>
      <c r="AQ152" s="273"/>
      <c r="AR152" s="273"/>
      <c r="AS152" s="273"/>
      <c r="AT152" s="273"/>
      <c r="AU152" s="273"/>
      <c r="AV152" s="273"/>
      <c r="AW152" s="273"/>
      <c r="AX152" s="273"/>
      <c r="AY152" s="273"/>
      <c r="AZ152" s="273"/>
      <c r="BA152" s="273"/>
    </row>
    <row r="153">
      <c r="A153" s="273"/>
      <c r="B153" s="273"/>
      <c r="C153" s="745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  <c r="AC153" s="273"/>
      <c r="AD153" s="273"/>
      <c r="AE153" s="273"/>
      <c r="AF153" s="273"/>
      <c r="AG153" s="273"/>
      <c r="AH153" s="273"/>
      <c r="AI153" s="273"/>
      <c r="AJ153" s="273"/>
      <c r="AK153" s="273"/>
      <c r="AL153" s="273"/>
      <c r="AM153" s="273"/>
      <c r="AN153" s="273"/>
      <c r="AO153" s="273"/>
      <c r="AP153" s="273"/>
      <c r="AQ153" s="273"/>
      <c r="AR153" s="273"/>
      <c r="AS153" s="273"/>
      <c r="AT153" s="273"/>
      <c r="AU153" s="273"/>
      <c r="AV153" s="273"/>
      <c r="AW153" s="273"/>
      <c r="AX153" s="273"/>
      <c r="AY153" s="273"/>
      <c r="AZ153" s="273"/>
      <c r="BA153" s="273"/>
    </row>
    <row r="154">
      <c r="A154" s="273"/>
      <c r="B154" s="273"/>
      <c r="C154" s="745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  <c r="AJ154" s="273"/>
      <c r="AK154" s="273"/>
      <c r="AL154" s="273"/>
      <c r="AM154" s="273"/>
      <c r="AN154" s="273"/>
      <c r="AO154" s="273"/>
      <c r="AP154" s="273"/>
      <c r="AQ154" s="273"/>
      <c r="AR154" s="273"/>
      <c r="AS154" s="273"/>
      <c r="AT154" s="273"/>
      <c r="AU154" s="273"/>
      <c r="AV154" s="273"/>
      <c r="AW154" s="273"/>
      <c r="AX154" s="273"/>
      <c r="AY154" s="273"/>
      <c r="AZ154" s="273"/>
      <c r="BA154" s="273"/>
    </row>
    <row r="155">
      <c r="A155" s="273"/>
      <c r="B155" s="273"/>
      <c r="C155" s="745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  <c r="AC155" s="273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73"/>
      <c r="AN155" s="273"/>
      <c r="AO155" s="273"/>
      <c r="AP155" s="273"/>
      <c r="AQ155" s="273"/>
      <c r="AR155" s="273"/>
      <c r="AS155" s="273"/>
      <c r="AT155" s="273"/>
      <c r="AU155" s="273"/>
      <c r="AV155" s="273"/>
      <c r="AW155" s="273"/>
      <c r="AX155" s="273"/>
      <c r="AY155" s="273"/>
      <c r="AZ155" s="273"/>
      <c r="BA155" s="273"/>
    </row>
    <row r="156">
      <c r="A156" s="273"/>
      <c r="B156" s="273"/>
      <c r="C156" s="745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3"/>
      <c r="AN156" s="273"/>
      <c r="AO156" s="273"/>
      <c r="AP156" s="273"/>
      <c r="AQ156" s="273"/>
      <c r="AR156" s="273"/>
      <c r="AS156" s="273"/>
      <c r="AT156" s="273"/>
      <c r="AU156" s="273"/>
      <c r="AV156" s="273"/>
      <c r="AW156" s="273"/>
      <c r="AX156" s="273"/>
      <c r="AY156" s="273"/>
      <c r="AZ156" s="273"/>
      <c r="BA156" s="273"/>
    </row>
    <row r="157">
      <c r="A157" s="273"/>
      <c r="B157" s="273"/>
      <c r="C157" s="745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  <c r="AJ157" s="273"/>
      <c r="AK157" s="273"/>
      <c r="AL157" s="273"/>
      <c r="AM157" s="273"/>
      <c r="AN157" s="273"/>
      <c r="AO157" s="273"/>
      <c r="AP157" s="273"/>
      <c r="AQ157" s="273"/>
      <c r="AR157" s="273"/>
      <c r="AS157" s="273"/>
      <c r="AT157" s="273"/>
      <c r="AU157" s="273"/>
      <c r="AV157" s="273"/>
      <c r="AW157" s="273"/>
      <c r="AX157" s="273"/>
      <c r="AY157" s="273"/>
      <c r="AZ157" s="273"/>
      <c r="BA157" s="273"/>
    </row>
    <row r="158">
      <c r="A158" s="273"/>
      <c r="B158" s="273"/>
      <c r="C158" s="745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  <c r="AJ158" s="273"/>
      <c r="AK158" s="273"/>
      <c r="AL158" s="273"/>
      <c r="AM158" s="273"/>
      <c r="AN158" s="273"/>
      <c r="AO158" s="273"/>
      <c r="AP158" s="273"/>
      <c r="AQ158" s="273"/>
      <c r="AR158" s="273"/>
      <c r="AS158" s="273"/>
      <c r="AT158" s="273"/>
      <c r="AU158" s="273"/>
      <c r="AV158" s="273"/>
      <c r="AW158" s="273"/>
      <c r="AX158" s="273"/>
      <c r="AY158" s="273"/>
      <c r="AZ158" s="273"/>
      <c r="BA158" s="273"/>
    </row>
    <row r="159">
      <c r="A159" s="273"/>
      <c r="B159" s="273"/>
      <c r="C159" s="745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3"/>
      <c r="AN159" s="273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3"/>
    </row>
    <row r="160">
      <c r="A160" s="273"/>
      <c r="B160" s="273"/>
      <c r="C160" s="745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  <c r="AJ160" s="273"/>
      <c r="AK160" s="273"/>
      <c r="AL160" s="273"/>
      <c r="AM160" s="273"/>
      <c r="AN160" s="273"/>
      <c r="AO160" s="273"/>
      <c r="AP160" s="273"/>
      <c r="AQ160" s="273"/>
      <c r="AR160" s="273"/>
      <c r="AS160" s="273"/>
      <c r="AT160" s="273"/>
      <c r="AU160" s="273"/>
      <c r="AV160" s="273"/>
      <c r="AW160" s="273"/>
      <c r="AX160" s="273"/>
      <c r="AY160" s="273"/>
      <c r="AZ160" s="273"/>
      <c r="BA160" s="273"/>
    </row>
    <row r="161">
      <c r="A161" s="273"/>
      <c r="B161" s="273"/>
      <c r="C161" s="745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3"/>
      <c r="AD161" s="273"/>
      <c r="AE161" s="273"/>
      <c r="AF161" s="273"/>
      <c r="AG161" s="273"/>
      <c r="AH161" s="273"/>
      <c r="AI161" s="273"/>
      <c r="AJ161" s="273"/>
      <c r="AK161" s="273"/>
      <c r="AL161" s="273"/>
      <c r="AM161" s="273"/>
      <c r="AN161" s="273"/>
      <c r="AO161" s="273"/>
      <c r="AP161" s="273"/>
      <c r="AQ161" s="273"/>
      <c r="AR161" s="273"/>
      <c r="AS161" s="273"/>
      <c r="AT161" s="273"/>
      <c r="AU161" s="273"/>
      <c r="AV161" s="273"/>
      <c r="AW161" s="273"/>
      <c r="AX161" s="273"/>
      <c r="AY161" s="273"/>
      <c r="AZ161" s="273"/>
      <c r="BA161" s="273"/>
    </row>
    <row r="162">
      <c r="A162" s="273"/>
      <c r="B162" s="273"/>
      <c r="C162" s="745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  <c r="AJ162" s="273"/>
      <c r="AK162" s="273"/>
      <c r="AL162" s="273"/>
      <c r="AM162" s="273"/>
      <c r="AN162" s="273"/>
      <c r="AO162" s="273"/>
      <c r="AP162" s="273"/>
      <c r="AQ162" s="273"/>
      <c r="AR162" s="273"/>
      <c r="AS162" s="273"/>
      <c r="AT162" s="273"/>
      <c r="AU162" s="273"/>
      <c r="AV162" s="273"/>
      <c r="AW162" s="273"/>
      <c r="AX162" s="273"/>
      <c r="AY162" s="273"/>
      <c r="AZ162" s="273"/>
      <c r="BA162" s="273"/>
    </row>
    <row r="163">
      <c r="A163" s="273"/>
      <c r="B163" s="273"/>
      <c r="C163" s="745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  <c r="AC163" s="273"/>
      <c r="AD163" s="273"/>
      <c r="AE163" s="273"/>
      <c r="AF163" s="273"/>
      <c r="AG163" s="273"/>
      <c r="AH163" s="273"/>
      <c r="AI163" s="273"/>
      <c r="AJ163" s="273"/>
      <c r="AK163" s="273"/>
      <c r="AL163" s="273"/>
      <c r="AM163" s="273"/>
      <c r="AN163" s="273"/>
      <c r="AO163" s="273"/>
      <c r="AP163" s="273"/>
      <c r="AQ163" s="273"/>
      <c r="AR163" s="273"/>
      <c r="AS163" s="273"/>
      <c r="AT163" s="273"/>
      <c r="AU163" s="273"/>
      <c r="AV163" s="273"/>
      <c r="AW163" s="273"/>
      <c r="AX163" s="273"/>
      <c r="AY163" s="273"/>
      <c r="AZ163" s="273"/>
      <c r="BA163" s="273"/>
    </row>
    <row r="164">
      <c r="A164" s="273"/>
      <c r="B164" s="273"/>
      <c r="C164" s="745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3"/>
      <c r="AN164" s="273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3"/>
    </row>
    <row r="165">
      <c r="A165" s="273"/>
      <c r="B165" s="273"/>
      <c r="C165" s="745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  <c r="AC165" s="273"/>
      <c r="AD165" s="273"/>
      <c r="AE165" s="273"/>
      <c r="AF165" s="273"/>
      <c r="AG165" s="273"/>
      <c r="AH165" s="273"/>
      <c r="AI165" s="273"/>
      <c r="AJ165" s="273"/>
      <c r="AK165" s="273"/>
      <c r="AL165" s="273"/>
      <c r="AM165" s="273"/>
      <c r="AN165" s="273"/>
      <c r="AO165" s="273"/>
      <c r="AP165" s="273"/>
      <c r="AQ165" s="273"/>
      <c r="AR165" s="273"/>
      <c r="AS165" s="273"/>
      <c r="AT165" s="273"/>
      <c r="AU165" s="273"/>
      <c r="AV165" s="273"/>
      <c r="AW165" s="273"/>
      <c r="AX165" s="273"/>
      <c r="AY165" s="273"/>
      <c r="AZ165" s="273"/>
      <c r="BA165" s="273"/>
    </row>
    <row r="166">
      <c r="A166" s="273"/>
      <c r="B166" s="273"/>
      <c r="C166" s="745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  <c r="AJ166" s="273"/>
      <c r="AK166" s="273"/>
      <c r="AL166" s="273"/>
      <c r="AM166" s="273"/>
      <c r="AN166" s="273"/>
      <c r="AO166" s="273"/>
      <c r="AP166" s="273"/>
      <c r="AQ166" s="273"/>
      <c r="AR166" s="273"/>
      <c r="AS166" s="273"/>
      <c r="AT166" s="273"/>
      <c r="AU166" s="273"/>
      <c r="AV166" s="273"/>
      <c r="AW166" s="273"/>
      <c r="AX166" s="273"/>
      <c r="AY166" s="273"/>
      <c r="AZ166" s="273"/>
      <c r="BA166" s="273"/>
    </row>
    <row r="167">
      <c r="A167" s="273"/>
      <c r="B167" s="273"/>
      <c r="C167" s="745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  <c r="AC167" s="273"/>
      <c r="AD167" s="273"/>
      <c r="AE167" s="273"/>
      <c r="AF167" s="273"/>
      <c r="AG167" s="273"/>
      <c r="AH167" s="273"/>
      <c r="AI167" s="273"/>
      <c r="AJ167" s="273"/>
      <c r="AK167" s="273"/>
      <c r="AL167" s="273"/>
      <c r="AM167" s="273"/>
      <c r="AN167" s="273"/>
      <c r="AO167" s="273"/>
      <c r="AP167" s="273"/>
      <c r="AQ167" s="273"/>
      <c r="AR167" s="273"/>
      <c r="AS167" s="273"/>
      <c r="AT167" s="273"/>
      <c r="AU167" s="273"/>
      <c r="AV167" s="273"/>
      <c r="AW167" s="273"/>
      <c r="AX167" s="273"/>
      <c r="AY167" s="273"/>
      <c r="AZ167" s="273"/>
      <c r="BA167" s="273"/>
    </row>
    <row r="168">
      <c r="A168" s="273"/>
      <c r="B168" s="273"/>
      <c r="C168" s="745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  <c r="AJ168" s="273"/>
      <c r="AK168" s="273"/>
      <c r="AL168" s="273"/>
      <c r="AM168" s="273"/>
      <c r="AN168" s="273"/>
      <c r="AO168" s="273"/>
      <c r="AP168" s="273"/>
      <c r="AQ168" s="273"/>
      <c r="AR168" s="273"/>
      <c r="AS168" s="273"/>
      <c r="AT168" s="273"/>
      <c r="AU168" s="273"/>
      <c r="AV168" s="273"/>
      <c r="AW168" s="273"/>
      <c r="AX168" s="273"/>
      <c r="AY168" s="273"/>
      <c r="AZ168" s="273"/>
      <c r="BA168" s="273"/>
    </row>
    <row r="169">
      <c r="A169" s="273"/>
      <c r="B169" s="273"/>
      <c r="C169" s="745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  <c r="AC169" s="273"/>
      <c r="AD169" s="273"/>
      <c r="AE169" s="273"/>
      <c r="AF169" s="273"/>
      <c r="AG169" s="273"/>
      <c r="AH169" s="273"/>
      <c r="AI169" s="273"/>
      <c r="AJ169" s="273"/>
      <c r="AK169" s="273"/>
      <c r="AL169" s="273"/>
      <c r="AM169" s="273"/>
      <c r="AN169" s="273"/>
      <c r="AO169" s="273"/>
      <c r="AP169" s="273"/>
      <c r="AQ169" s="273"/>
      <c r="AR169" s="273"/>
      <c r="AS169" s="273"/>
      <c r="AT169" s="273"/>
      <c r="AU169" s="273"/>
      <c r="AV169" s="273"/>
      <c r="AW169" s="273"/>
      <c r="AX169" s="273"/>
      <c r="AY169" s="273"/>
      <c r="AZ169" s="273"/>
      <c r="BA169" s="273"/>
    </row>
    <row r="170">
      <c r="A170" s="273"/>
      <c r="B170" s="273"/>
      <c r="C170" s="745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  <c r="AJ170" s="273"/>
      <c r="AK170" s="273"/>
      <c r="AL170" s="273"/>
      <c r="AM170" s="273"/>
      <c r="AN170" s="273"/>
      <c r="AO170" s="273"/>
      <c r="AP170" s="273"/>
      <c r="AQ170" s="273"/>
      <c r="AR170" s="273"/>
      <c r="AS170" s="273"/>
      <c r="AT170" s="273"/>
      <c r="AU170" s="273"/>
      <c r="AV170" s="273"/>
      <c r="AW170" s="273"/>
      <c r="AX170" s="273"/>
      <c r="AY170" s="273"/>
      <c r="AZ170" s="273"/>
      <c r="BA170" s="273"/>
    </row>
    <row r="171">
      <c r="A171" s="273"/>
      <c r="B171" s="273"/>
      <c r="C171" s="745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  <c r="AJ171" s="273"/>
      <c r="AK171" s="273"/>
      <c r="AL171" s="273"/>
      <c r="AM171" s="273"/>
      <c r="AN171" s="273"/>
      <c r="AO171" s="273"/>
      <c r="AP171" s="273"/>
      <c r="AQ171" s="273"/>
      <c r="AR171" s="273"/>
      <c r="AS171" s="273"/>
      <c r="AT171" s="273"/>
      <c r="AU171" s="273"/>
      <c r="AV171" s="273"/>
      <c r="AW171" s="273"/>
      <c r="AX171" s="273"/>
      <c r="AY171" s="273"/>
      <c r="AZ171" s="273"/>
      <c r="BA171" s="273"/>
    </row>
    <row r="172">
      <c r="A172" s="273"/>
      <c r="B172" s="273"/>
      <c r="C172" s="745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  <c r="AJ172" s="273"/>
      <c r="AK172" s="273"/>
      <c r="AL172" s="273"/>
      <c r="AM172" s="273"/>
      <c r="AN172" s="273"/>
      <c r="AO172" s="273"/>
      <c r="AP172" s="273"/>
      <c r="AQ172" s="273"/>
      <c r="AR172" s="273"/>
      <c r="AS172" s="273"/>
      <c r="AT172" s="273"/>
      <c r="AU172" s="273"/>
      <c r="AV172" s="273"/>
      <c r="AW172" s="273"/>
      <c r="AX172" s="273"/>
      <c r="AY172" s="273"/>
      <c r="AZ172" s="273"/>
      <c r="BA172" s="273"/>
    </row>
    <row r="173">
      <c r="A173" s="273"/>
      <c r="B173" s="273"/>
      <c r="C173" s="745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  <c r="AC173" s="273"/>
      <c r="AD173" s="273"/>
      <c r="AE173" s="273"/>
      <c r="AF173" s="273"/>
      <c r="AG173" s="273"/>
      <c r="AH173" s="273"/>
      <c r="AI173" s="273"/>
      <c r="AJ173" s="273"/>
      <c r="AK173" s="273"/>
      <c r="AL173" s="273"/>
      <c r="AM173" s="273"/>
      <c r="AN173" s="273"/>
      <c r="AO173" s="273"/>
      <c r="AP173" s="273"/>
      <c r="AQ173" s="273"/>
      <c r="AR173" s="273"/>
      <c r="AS173" s="273"/>
      <c r="AT173" s="273"/>
      <c r="AU173" s="273"/>
      <c r="AV173" s="273"/>
      <c r="AW173" s="273"/>
      <c r="AX173" s="273"/>
      <c r="AY173" s="273"/>
      <c r="AZ173" s="273"/>
      <c r="BA173" s="273"/>
    </row>
    <row r="174">
      <c r="A174" s="273"/>
      <c r="B174" s="273"/>
      <c r="C174" s="745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  <c r="AJ174" s="273"/>
      <c r="AK174" s="273"/>
      <c r="AL174" s="273"/>
      <c r="AM174" s="273"/>
      <c r="AN174" s="273"/>
      <c r="AO174" s="273"/>
      <c r="AP174" s="273"/>
      <c r="AQ174" s="273"/>
      <c r="AR174" s="273"/>
      <c r="AS174" s="273"/>
      <c r="AT174" s="273"/>
      <c r="AU174" s="273"/>
      <c r="AV174" s="273"/>
      <c r="AW174" s="273"/>
      <c r="AX174" s="273"/>
      <c r="AY174" s="273"/>
      <c r="AZ174" s="273"/>
      <c r="BA174" s="273"/>
    </row>
    <row r="175">
      <c r="A175" s="273"/>
      <c r="B175" s="273"/>
      <c r="C175" s="745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  <c r="AC175" s="273"/>
      <c r="AD175" s="273"/>
      <c r="AE175" s="273"/>
      <c r="AF175" s="273"/>
      <c r="AG175" s="273"/>
      <c r="AH175" s="273"/>
      <c r="AI175" s="273"/>
      <c r="AJ175" s="273"/>
      <c r="AK175" s="273"/>
      <c r="AL175" s="273"/>
      <c r="AM175" s="273"/>
      <c r="AN175" s="273"/>
      <c r="AO175" s="273"/>
      <c r="AP175" s="273"/>
      <c r="AQ175" s="273"/>
      <c r="AR175" s="273"/>
      <c r="AS175" s="273"/>
      <c r="AT175" s="273"/>
      <c r="AU175" s="273"/>
      <c r="AV175" s="273"/>
      <c r="AW175" s="273"/>
      <c r="AX175" s="273"/>
      <c r="AY175" s="273"/>
      <c r="AZ175" s="273"/>
      <c r="BA175" s="273"/>
    </row>
    <row r="176">
      <c r="A176" s="273"/>
      <c r="B176" s="273"/>
      <c r="C176" s="745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  <c r="AJ176" s="273"/>
      <c r="AK176" s="273"/>
      <c r="AL176" s="273"/>
      <c r="AM176" s="273"/>
      <c r="AN176" s="273"/>
      <c r="AO176" s="273"/>
      <c r="AP176" s="273"/>
      <c r="AQ176" s="273"/>
      <c r="AR176" s="273"/>
      <c r="AS176" s="273"/>
      <c r="AT176" s="273"/>
      <c r="AU176" s="273"/>
      <c r="AV176" s="273"/>
      <c r="AW176" s="273"/>
      <c r="AX176" s="273"/>
      <c r="AY176" s="273"/>
      <c r="AZ176" s="273"/>
      <c r="BA176" s="273"/>
    </row>
    <row r="177">
      <c r="A177" s="273"/>
      <c r="B177" s="273"/>
      <c r="C177" s="745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  <c r="AJ177" s="273"/>
      <c r="AK177" s="273"/>
      <c r="AL177" s="273"/>
      <c r="AM177" s="273"/>
      <c r="AN177" s="273"/>
      <c r="AO177" s="273"/>
      <c r="AP177" s="273"/>
      <c r="AQ177" s="273"/>
      <c r="AR177" s="273"/>
      <c r="AS177" s="273"/>
      <c r="AT177" s="273"/>
      <c r="AU177" s="273"/>
      <c r="AV177" s="273"/>
      <c r="AW177" s="273"/>
      <c r="AX177" s="273"/>
      <c r="AY177" s="273"/>
      <c r="AZ177" s="273"/>
      <c r="BA177" s="273"/>
    </row>
    <row r="178">
      <c r="A178" s="273"/>
      <c r="B178" s="273"/>
      <c r="C178" s="745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  <c r="AJ178" s="273"/>
      <c r="AK178" s="273"/>
      <c r="AL178" s="273"/>
      <c r="AM178" s="273"/>
      <c r="AN178" s="273"/>
      <c r="AO178" s="273"/>
      <c r="AP178" s="273"/>
      <c r="AQ178" s="273"/>
      <c r="AR178" s="273"/>
      <c r="AS178" s="273"/>
      <c r="AT178" s="273"/>
      <c r="AU178" s="273"/>
      <c r="AV178" s="273"/>
      <c r="AW178" s="273"/>
      <c r="AX178" s="273"/>
      <c r="AY178" s="273"/>
      <c r="AZ178" s="273"/>
      <c r="BA178" s="273"/>
    </row>
    <row r="179">
      <c r="A179" s="273"/>
      <c r="B179" s="273"/>
      <c r="C179" s="745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  <c r="AC179" s="273"/>
      <c r="AD179" s="273"/>
      <c r="AE179" s="273"/>
      <c r="AF179" s="273"/>
      <c r="AG179" s="273"/>
      <c r="AH179" s="273"/>
      <c r="AI179" s="273"/>
      <c r="AJ179" s="273"/>
      <c r="AK179" s="273"/>
      <c r="AL179" s="273"/>
      <c r="AM179" s="273"/>
      <c r="AN179" s="273"/>
      <c r="AO179" s="273"/>
      <c r="AP179" s="273"/>
      <c r="AQ179" s="273"/>
      <c r="AR179" s="273"/>
      <c r="AS179" s="273"/>
      <c r="AT179" s="273"/>
      <c r="AU179" s="273"/>
      <c r="AV179" s="273"/>
      <c r="AW179" s="273"/>
      <c r="AX179" s="273"/>
      <c r="AY179" s="273"/>
      <c r="AZ179" s="273"/>
      <c r="BA179" s="273"/>
    </row>
    <row r="180">
      <c r="A180" s="273"/>
      <c r="B180" s="273"/>
      <c r="C180" s="745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  <c r="AJ180" s="273"/>
      <c r="AK180" s="273"/>
      <c r="AL180" s="273"/>
      <c r="AM180" s="273"/>
      <c r="AN180" s="273"/>
      <c r="AO180" s="273"/>
      <c r="AP180" s="273"/>
      <c r="AQ180" s="273"/>
      <c r="AR180" s="273"/>
      <c r="AS180" s="273"/>
      <c r="AT180" s="273"/>
      <c r="AU180" s="273"/>
      <c r="AV180" s="273"/>
      <c r="AW180" s="273"/>
      <c r="AX180" s="273"/>
      <c r="AY180" s="273"/>
      <c r="AZ180" s="273"/>
      <c r="BA180" s="273"/>
    </row>
    <row r="181">
      <c r="A181" s="273"/>
      <c r="B181" s="273"/>
      <c r="C181" s="745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  <c r="AC181" s="273"/>
      <c r="AD181" s="273"/>
      <c r="AE181" s="273"/>
      <c r="AF181" s="273"/>
      <c r="AG181" s="273"/>
      <c r="AH181" s="273"/>
      <c r="AI181" s="273"/>
      <c r="AJ181" s="273"/>
      <c r="AK181" s="273"/>
      <c r="AL181" s="273"/>
      <c r="AM181" s="273"/>
      <c r="AN181" s="273"/>
      <c r="AO181" s="273"/>
      <c r="AP181" s="273"/>
      <c r="AQ181" s="273"/>
      <c r="AR181" s="273"/>
      <c r="AS181" s="273"/>
      <c r="AT181" s="273"/>
      <c r="AU181" s="273"/>
      <c r="AV181" s="273"/>
      <c r="AW181" s="273"/>
      <c r="AX181" s="273"/>
      <c r="AY181" s="273"/>
      <c r="AZ181" s="273"/>
      <c r="BA181" s="273"/>
    </row>
    <row r="182">
      <c r="A182" s="273"/>
      <c r="B182" s="273"/>
      <c r="C182" s="745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  <c r="AJ182" s="273"/>
      <c r="AK182" s="273"/>
      <c r="AL182" s="273"/>
      <c r="AM182" s="273"/>
      <c r="AN182" s="273"/>
      <c r="AO182" s="273"/>
      <c r="AP182" s="273"/>
      <c r="AQ182" s="273"/>
      <c r="AR182" s="273"/>
      <c r="AS182" s="273"/>
      <c r="AT182" s="273"/>
      <c r="AU182" s="273"/>
      <c r="AV182" s="273"/>
      <c r="AW182" s="273"/>
      <c r="AX182" s="273"/>
      <c r="AY182" s="273"/>
      <c r="AZ182" s="273"/>
      <c r="BA182" s="273"/>
    </row>
    <row r="183">
      <c r="A183" s="273"/>
      <c r="B183" s="273"/>
      <c r="C183" s="745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  <c r="AC183" s="273"/>
      <c r="AD183" s="273"/>
      <c r="AE183" s="273"/>
      <c r="AF183" s="273"/>
      <c r="AG183" s="273"/>
      <c r="AH183" s="273"/>
      <c r="AI183" s="273"/>
      <c r="AJ183" s="273"/>
      <c r="AK183" s="273"/>
      <c r="AL183" s="273"/>
      <c r="AM183" s="273"/>
      <c r="AN183" s="273"/>
      <c r="AO183" s="273"/>
      <c r="AP183" s="273"/>
      <c r="AQ183" s="273"/>
      <c r="AR183" s="273"/>
      <c r="AS183" s="273"/>
      <c r="AT183" s="273"/>
      <c r="AU183" s="273"/>
      <c r="AV183" s="273"/>
      <c r="AW183" s="273"/>
      <c r="AX183" s="273"/>
      <c r="AY183" s="273"/>
      <c r="AZ183" s="273"/>
      <c r="BA183" s="273"/>
    </row>
    <row r="184">
      <c r="A184" s="273"/>
      <c r="B184" s="273"/>
      <c r="C184" s="745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  <c r="AJ184" s="273"/>
      <c r="AK184" s="273"/>
      <c r="AL184" s="273"/>
      <c r="AM184" s="273"/>
      <c r="AN184" s="273"/>
      <c r="AO184" s="273"/>
      <c r="AP184" s="273"/>
      <c r="AQ184" s="273"/>
      <c r="AR184" s="273"/>
      <c r="AS184" s="273"/>
      <c r="AT184" s="273"/>
      <c r="AU184" s="273"/>
      <c r="AV184" s="273"/>
      <c r="AW184" s="273"/>
      <c r="AX184" s="273"/>
      <c r="AY184" s="273"/>
      <c r="AZ184" s="273"/>
      <c r="BA184" s="273"/>
    </row>
    <row r="185">
      <c r="A185" s="273"/>
      <c r="B185" s="273"/>
      <c r="C185" s="745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  <c r="AC185" s="273"/>
      <c r="AD185" s="273"/>
      <c r="AE185" s="273"/>
      <c r="AF185" s="273"/>
      <c r="AG185" s="273"/>
      <c r="AH185" s="273"/>
      <c r="AI185" s="273"/>
      <c r="AJ185" s="273"/>
      <c r="AK185" s="273"/>
      <c r="AL185" s="273"/>
      <c r="AM185" s="273"/>
      <c r="AN185" s="273"/>
      <c r="AO185" s="273"/>
      <c r="AP185" s="273"/>
      <c r="AQ185" s="273"/>
      <c r="AR185" s="273"/>
      <c r="AS185" s="273"/>
      <c r="AT185" s="273"/>
      <c r="AU185" s="273"/>
      <c r="AV185" s="273"/>
      <c r="AW185" s="273"/>
      <c r="AX185" s="273"/>
      <c r="AY185" s="273"/>
      <c r="AZ185" s="273"/>
      <c r="BA185" s="273"/>
    </row>
    <row r="186">
      <c r="A186" s="273"/>
      <c r="B186" s="273"/>
      <c r="C186" s="745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  <c r="AJ186" s="273"/>
      <c r="AK186" s="273"/>
      <c r="AL186" s="273"/>
      <c r="AM186" s="273"/>
      <c r="AN186" s="273"/>
      <c r="AO186" s="273"/>
      <c r="AP186" s="273"/>
      <c r="AQ186" s="273"/>
      <c r="AR186" s="273"/>
      <c r="AS186" s="273"/>
      <c r="AT186" s="273"/>
      <c r="AU186" s="273"/>
      <c r="AV186" s="273"/>
      <c r="AW186" s="273"/>
      <c r="AX186" s="273"/>
      <c r="AY186" s="273"/>
      <c r="AZ186" s="273"/>
      <c r="BA186" s="273"/>
    </row>
    <row r="187">
      <c r="A187" s="273"/>
      <c r="B187" s="273"/>
      <c r="C187" s="745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  <c r="AC187" s="273"/>
      <c r="AD187" s="273"/>
      <c r="AE187" s="273"/>
      <c r="AF187" s="273"/>
      <c r="AG187" s="273"/>
      <c r="AH187" s="273"/>
      <c r="AI187" s="273"/>
      <c r="AJ187" s="273"/>
      <c r="AK187" s="273"/>
      <c r="AL187" s="273"/>
      <c r="AM187" s="273"/>
      <c r="AN187" s="273"/>
      <c r="AO187" s="273"/>
      <c r="AP187" s="273"/>
      <c r="AQ187" s="273"/>
      <c r="AR187" s="273"/>
      <c r="AS187" s="273"/>
      <c r="AT187" s="273"/>
      <c r="AU187" s="273"/>
      <c r="AV187" s="273"/>
      <c r="AW187" s="273"/>
      <c r="AX187" s="273"/>
      <c r="AY187" s="273"/>
      <c r="AZ187" s="273"/>
      <c r="BA187" s="273"/>
    </row>
    <row r="188">
      <c r="A188" s="273"/>
      <c r="B188" s="273"/>
      <c r="C188" s="745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  <c r="AJ188" s="273"/>
      <c r="AK188" s="273"/>
      <c r="AL188" s="273"/>
      <c r="AM188" s="273"/>
      <c r="AN188" s="273"/>
      <c r="AO188" s="273"/>
      <c r="AP188" s="273"/>
      <c r="AQ188" s="273"/>
      <c r="AR188" s="273"/>
      <c r="AS188" s="273"/>
      <c r="AT188" s="273"/>
      <c r="AU188" s="273"/>
      <c r="AV188" s="273"/>
      <c r="AW188" s="273"/>
      <c r="AX188" s="273"/>
      <c r="AY188" s="273"/>
      <c r="AZ188" s="273"/>
      <c r="BA188" s="273"/>
    </row>
    <row r="189">
      <c r="A189" s="273"/>
      <c r="B189" s="273"/>
      <c r="C189" s="745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  <c r="AD189" s="273"/>
      <c r="AE189" s="273"/>
      <c r="AF189" s="273"/>
      <c r="AG189" s="273"/>
      <c r="AH189" s="273"/>
      <c r="AI189" s="273"/>
      <c r="AJ189" s="273"/>
      <c r="AK189" s="273"/>
      <c r="AL189" s="273"/>
      <c r="AM189" s="273"/>
      <c r="AN189" s="273"/>
      <c r="AO189" s="273"/>
      <c r="AP189" s="273"/>
      <c r="AQ189" s="273"/>
      <c r="AR189" s="273"/>
      <c r="AS189" s="273"/>
      <c r="AT189" s="273"/>
      <c r="AU189" s="273"/>
      <c r="AV189" s="273"/>
      <c r="AW189" s="273"/>
      <c r="AX189" s="273"/>
      <c r="AY189" s="273"/>
      <c r="AZ189" s="273"/>
      <c r="BA189" s="273"/>
    </row>
    <row r="190">
      <c r="A190" s="273"/>
      <c r="B190" s="273"/>
      <c r="C190" s="745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  <c r="AJ190" s="273"/>
      <c r="AK190" s="273"/>
      <c r="AL190" s="273"/>
      <c r="AM190" s="273"/>
      <c r="AN190" s="273"/>
      <c r="AO190" s="273"/>
      <c r="AP190" s="273"/>
      <c r="AQ190" s="273"/>
      <c r="AR190" s="273"/>
      <c r="AS190" s="273"/>
      <c r="AT190" s="273"/>
      <c r="AU190" s="273"/>
      <c r="AV190" s="273"/>
      <c r="AW190" s="273"/>
      <c r="AX190" s="273"/>
      <c r="AY190" s="273"/>
      <c r="AZ190" s="273"/>
      <c r="BA190" s="273"/>
    </row>
    <row r="191">
      <c r="A191" s="273"/>
      <c r="B191" s="273"/>
      <c r="C191" s="745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  <c r="AC191" s="273"/>
      <c r="AD191" s="273"/>
      <c r="AE191" s="273"/>
      <c r="AF191" s="273"/>
      <c r="AG191" s="273"/>
      <c r="AH191" s="273"/>
      <c r="AI191" s="273"/>
      <c r="AJ191" s="273"/>
      <c r="AK191" s="273"/>
      <c r="AL191" s="273"/>
      <c r="AM191" s="273"/>
      <c r="AN191" s="273"/>
      <c r="AO191" s="273"/>
      <c r="AP191" s="273"/>
      <c r="AQ191" s="273"/>
      <c r="AR191" s="273"/>
      <c r="AS191" s="273"/>
      <c r="AT191" s="273"/>
      <c r="AU191" s="273"/>
      <c r="AV191" s="273"/>
      <c r="AW191" s="273"/>
      <c r="AX191" s="273"/>
      <c r="AY191" s="273"/>
      <c r="AZ191" s="273"/>
      <c r="BA191" s="273"/>
    </row>
    <row r="192">
      <c r="A192" s="273"/>
      <c r="B192" s="273"/>
      <c r="C192" s="745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  <c r="AJ192" s="273"/>
      <c r="AK192" s="273"/>
      <c r="AL192" s="273"/>
      <c r="AM192" s="273"/>
      <c r="AN192" s="273"/>
      <c r="AO192" s="273"/>
      <c r="AP192" s="273"/>
      <c r="AQ192" s="273"/>
      <c r="AR192" s="273"/>
      <c r="AS192" s="273"/>
      <c r="AT192" s="273"/>
      <c r="AU192" s="273"/>
      <c r="AV192" s="273"/>
      <c r="AW192" s="273"/>
      <c r="AX192" s="273"/>
      <c r="AY192" s="273"/>
      <c r="AZ192" s="273"/>
      <c r="BA192" s="273"/>
    </row>
    <row r="193">
      <c r="A193" s="273"/>
      <c r="B193" s="273"/>
      <c r="C193" s="745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  <c r="AH193" s="273"/>
      <c r="AI193" s="273"/>
      <c r="AJ193" s="273"/>
      <c r="AK193" s="273"/>
      <c r="AL193" s="273"/>
      <c r="AM193" s="273"/>
      <c r="AN193" s="273"/>
      <c r="AO193" s="273"/>
      <c r="AP193" s="273"/>
      <c r="AQ193" s="273"/>
      <c r="AR193" s="273"/>
      <c r="AS193" s="273"/>
      <c r="AT193" s="273"/>
      <c r="AU193" s="273"/>
      <c r="AV193" s="273"/>
      <c r="AW193" s="273"/>
      <c r="AX193" s="273"/>
      <c r="AY193" s="273"/>
      <c r="AZ193" s="273"/>
      <c r="BA193" s="273"/>
    </row>
    <row r="194">
      <c r="A194" s="273"/>
      <c r="B194" s="273"/>
      <c r="C194" s="745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  <c r="AJ194" s="273"/>
      <c r="AK194" s="273"/>
      <c r="AL194" s="273"/>
      <c r="AM194" s="273"/>
      <c r="AN194" s="273"/>
      <c r="AO194" s="273"/>
      <c r="AP194" s="273"/>
      <c r="AQ194" s="273"/>
      <c r="AR194" s="273"/>
      <c r="AS194" s="273"/>
      <c r="AT194" s="273"/>
      <c r="AU194" s="273"/>
      <c r="AV194" s="273"/>
      <c r="AW194" s="273"/>
      <c r="AX194" s="273"/>
      <c r="AY194" s="273"/>
      <c r="AZ194" s="273"/>
      <c r="BA194" s="273"/>
    </row>
    <row r="195">
      <c r="A195" s="273"/>
      <c r="B195" s="273"/>
      <c r="C195" s="745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  <c r="AC195" s="273"/>
      <c r="AD195" s="273"/>
      <c r="AE195" s="273"/>
      <c r="AF195" s="273"/>
      <c r="AG195" s="273"/>
      <c r="AH195" s="273"/>
      <c r="AI195" s="273"/>
      <c r="AJ195" s="273"/>
      <c r="AK195" s="273"/>
      <c r="AL195" s="273"/>
      <c r="AM195" s="273"/>
      <c r="AN195" s="273"/>
      <c r="AO195" s="273"/>
      <c r="AP195" s="273"/>
      <c r="AQ195" s="273"/>
      <c r="AR195" s="273"/>
      <c r="AS195" s="273"/>
      <c r="AT195" s="273"/>
      <c r="AU195" s="273"/>
      <c r="AV195" s="273"/>
      <c r="AW195" s="273"/>
      <c r="AX195" s="273"/>
      <c r="AY195" s="273"/>
      <c r="AZ195" s="273"/>
      <c r="BA195" s="273"/>
    </row>
    <row r="196">
      <c r="A196" s="273"/>
      <c r="B196" s="273"/>
      <c r="C196" s="745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273"/>
      <c r="AO196" s="273"/>
      <c r="AP196" s="273"/>
      <c r="AQ196" s="273"/>
      <c r="AR196" s="273"/>
      <c r="AS196" s="273"/>
      <c r="AT196" s="273"/>
      <c r="AU196" s="273"/>
      <c r="AV196" s="273"/>
      <c r="AW196" s="273"/>
      <c r="AX196" s="273"/>
      <c r="AY196" s="273"/>
      <c r="AZ196" s="273"/>
      <c r="BA196" s="273"/>
    </row>
    <row r="197">
      <c r="A197" s="273"/>
      <c r="B197" s="273"/>
      <c r="C197" s="745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  <c r="AJ197" s="273"/>
      <c r="AK197" s="273"/>
      <c r="AL197" s="273"/>
      <c r="AM197" s="273"/>
      <c r="AN197" s="273"/>
      <c r="AO197" s="273"/>
      <c r="AP197" s="273"/>
      <c r="AQ197" s="273"/>
      <c r="AR197" s="273"/>
      <c r="AS197" s="273"/>
      <c r="AT197" s="273"/>
      <c r="AU197" s="273"/>
      <c r="AV197" s="273"/>
      <c r="AW197" s="273"/>
      <c r="AX197" s="273"/>
      <c r="AY197" s="273"/>
      <c r="AZ197" s="273"/>
      <c r="BA197" s="273"/>
    </row>
    <row r="198">
      <c r="A198" s="273"/>
      <c r="B198" s="273"/>
      <c r="C198" s="745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273"/>
      <c r="AP198" s="273"/>
      <c r="AQ198" s="273"/>
      <c r="AR198" s="273"/>
      <c r="AS198" s="273"/>
      <c r="AT198" s="273"/>
      <c r="AU198" s="273"/>
      <c r="AV198" s="273"/>
      <c r="AW198" s="273"/>
      <c r="AX198" s="273"/>
      <c r="AY198" s="273"/>
      <c r="AZ198" s="273"/>
      <c r="BA198" s="273"/>
    </row>
    <row r="199">
      <c r="A199" s="273"/>
      <c r="B199" s="273"/>
      <c r="C199" s="745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  <c r="AJ199" s="273"/>
      <c r="AK199" s="273"/>
      <c r="AL199" s="273"/>
      <c r="AM199" s="273"/>
      <c r="AN199" s="273"/>
      <c r="AO199" s="273"/>
      <c r="AP199" s="273"/>
      <c r="AQ199" s="273"/>
      <c r="AR199" s="273"/>
      <c r="AS199" s="273"/>
      <c r="AT199" s="273"/>
      <c r="AU199" s="273"/>
      <c r="AV199" s="273"/>
      <c r="AW199" s="273"/>
      <c r="AX199" s="273"/>
      <c r="AY199" s="273"/>
      <c r="AZ199" s="273"/>
      <c r="BA199" s="273"/>
    </row>
    <row r="200">
      <c r="A200" s="273"/>
      <c r="B200" s="273"/>
      <c r="C200" s="745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273"/>
      <c r="AP200" s="273"/>
      <c r="AQ200" s="273"/>
      <c r="AR200" s="273"/>
      <c r="AS200" s="273"/>
      <c r="AT200" s="273"/>
      <c r="AU200" s="273"/>
      <c r="AV200" s="273"/>
      <c r="AW200" s="273"/>
      <c r="AX200" s="273"/>
      <c r="AY200" s="273"/>
      <c r="AZ200" s="273"/>
      <c r="BA200" s="273"/>
    </row>
    <row r="201">
      <c r="A201" s="273"/>
      <c r="B201" s="273"/>
      <c r="C201" s="745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  <c r="AJ201" s="273"/>
      <c r="AK201" s="273"/>
      <c r="AL201" s="273"/>
      <c r="AM201" s="273"/>
      <c r="AN201" s="273"/>
      <c r="AO201" s="273"/>
      <c r="AP201" s="273"/>
      <c r="AQ201" s="273"/>
      <c r="AR201" s="273"/>
      <c r="AS201" s="273"/>
      <c r="AT201" s="273"/>
      <c r="AU201" s="273"/>
      <c r="AV201" s="273"/>
      <c r="AW201" s="273"/>
      <c r="AX201" s="273"/>
      <c r="AY201" s="273"/>
      <c r="AZ201" s="273"/>
      <c r="BA201" s="273"/>
    </row>
    <row r="202">
      <c r="A202" s="273"/>
      <c r="B202" s="273"/>
      <c r="C202" s="745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273"/>
      <c r="AP202" s="273"/>
      <c r="AQ202" s="273"/>
      <c r="AR202" s="273"/>
      <c r="AS202" s="273"/>
      <c r="AT202" s="273"/>
      <c r="AU202" s="273"/>
      <c r="AV202" s="273"/>
      <c r="AW202" s="273"/>
      <c r="AX202" s="273"/>
      <c r="AY202" s="273"/>
      <c r="AZ202" s="273"/>
      <c r="BA202" s="273"/>
    </row>
    <row r="203">
      <c r="A203" s="273"/>
      <c r="B203" s="273"/>
      <c r="C203" s="745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73"/>
      <c r="AP203" s="273"/>
      <c r="AQ203" s="273"/>
      <c r="AR203" s="273"/>
      <c r="AS203" s="273"/>
      <c r="AT203" s="273"/>
      <c r="AU203" s="273"/>
      <c r="AV203" s="273"/>
      <c r="AW203" s="273"/>
      <c r="AX203" s="273"/>
      <c r="AY203" s="273"/>
      <c r="AZ203" s="273"/>
      <c r="BA203" s="273"/>
    </row>
    <row r="204">
      <c r="A204" s="273"/>
      <c r="B204" s="273"/>
      <c r="C204" s="745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273"/>
      <c r="AP204" s="273"/>
      <c r="AQ204" s="273"/>
      <c r="AR204" s="273"/>
      <c r="AS204" s="273"/>
      <c r="AT204" s="273"/>
      <c r="AU204" s="273"/>
      <c r="AV204" s="273"/>
      <c r="AW204" s="273"/>
      <c r="AX204" s="273"/>
      <c r="AY204" s="273"/>
      <c r="AZ204" s="273"/>
      <c r="BA204" s="273"/>
    </row>
    <row r="205">
      <c r="A205" s="273"/>
      <c r="B205" s="273"/>
      <c r="C205" s="745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</row>
    <row r="206">
      <c r="A206" s="273"/>
      <c r="B206" s="273"/>
      <c r="C206" s="745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</row>
    <row r="207">
      <c r="A207" s="273"/>
      <c r="B207" s="273"/>
      <c r="C207" s="745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</row>
    <row r="208">
      <c r="A208" s="273"/>
      <c r="B208" s="273"/>
      <c r="C208" s="745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</row>
    <row r="209">
      <c r="A209" s="273"/>
      <c r="B209" s="273"/>
      <c r="C209" s="745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</row>
    <row r="210">
      <c r="A210" s="273"/>
      <c r="B210" s="273"/>
      <c r="C210" s="745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273"/>
      <c r="AP210" s="273"/>
      <c r="AQ210" s="273"/>
      <c r="AR210" s="273"/>
      <c r="AS210" s="273"/>
      <c r="AT210" s="273"/>
      <c r="AU210" s="273"/>
      <c r="AV210" s="273"/>
      <c r="AW210" s="273"/>
      <c r="AX210" s="273"/>
      <c r="AY210" s="273"/>
      <c r="AZ210" s="273"/>
      <c r="BA210" s="273"/>
    </row>
    <row r="211">
      <c r="A211" s="273"/>
      <c r="B211" s="273"/>
      <c r="C211" s="745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  <c r="AJ211" s="273"/>
      <c r="AK211" s="273"/>
      <c r="AL211" s="273"/>
      <c r="AM211" s="273"/>
      <c r="AN211" s="273"/>
      <c r="AO211" s="273"/>
      <c r="AP211" s="273"/>
      <c r="AQ211" s="273"/>
      <c r="AR211" s="273"/>
      <c r="AS211" s="273"/>
      <c r="AT211" s="273"/>
      <c r="AU211" s="273"/>
      <c r="AV211" s="273"/>
      <c r="AW211" s="273"/>
      <c r="AX211" s="273"/>
      <c r="AY211" s="273"/>
      <c r="AZ211" s="273"/>
      <c r="BA211" s="273"/>
    </row>
    <row r="212">
      <c r="A212" s="273"/>
      <c r="B212" s="273"/>
      <c r="C212" s="745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273"/>
      <c r="AP212" s="273"/>
      <c r="AQ212" s="273"/>
      <c r="AR212" s="273"/>
      <c r="AS212" s="273"/>
      <c r="AT212" s="273"/>
      <c r="AU212" s="273"/>
      <c r="AV212" s="273"/>
      <c r="AW212" s="273"/>
      <c r="AX212" s="273"/>
      <c r="AY212" s="273"/>
      <c r="AZ212" s="273"/>
      <c r="BA212" s="273"/>
    </row>
    <row r="213">
      <c r="A213" s="273"/>
      <c r="B213" s="273"/>
      <c r="C213" s="745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  <c r="AJ213" s="273"/>
      <c r="AK213" s="273"/>
      <c r="AL213" s="273"/>
      <c r="AM213" s="273"/>
      <c r="AN213" s="273"/>
      <c r="AO213" s="273"/>
      <c r="AP213" s="273"/>
      <c r="AQ213" s="273"/>
      <c r="AR213" s="273"/>
      <c r="AS213" s="273"/>
      <c r="AT213" s="273"/>
      <c r="AU213" s="273"/>
      <c r="AV213" s="273"/>
      <c r="AW213" s="273"/>
      <c r="AX213" s="273"/>
      <c r="AY213" s="273"/>
      <c r="AZ213" s="273"/>
      <c r="BA213" s="273"/>
    </row>
    <row r="214">
      <c r="A214" s="273"/>
      <c r="B214" s="273"/>
      <c r="C214" s="745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273"/>
      <c r="AP214" s="273"/>
      <c r="AQ214" s="273"/>
      <c r="AR214" s="273"/>
      <c r="AS214" s="273"/>
      <c r="AT214" s="273"/>
      <c r="AU214" s="273"/>
      <c r="AV214" s="273"/>
      <c r="AW214" s="273"/>
      <c r="AX214" s="273"/>
      <c r="AY214" s="273"/>
      <c r="AZ214" s="273"/>
      <c r="BA214" s="273"/>
    </row>
    <row r="215">
      <c r="A215" s="273"/>
      <c r="B215" s="273"/>
      <c r="C215" s="745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  <c r="AJ215" s="273"/>
      <c r="AK215" s="273"/>
      <c r="AL215" s="273"/>
      <c r="AM215" s="273"/>
      <c r="AN215" s="273"/>
      <c r="AO215" s="273"/>
      <c r="AP215" s="273"/>
      <c r="AQ215" s="273"/>
      <c r="AR215" s="273"/>
      <c r="AS215" s="273"/>
      <c r="AT215" s="273"/>
      <c r="AU215" s="273"/>
      <c r="AV215" s="273"/>
      <c r="AW215" s="273"/>
      <c r="AX215" s="273"/>
      <c r="AY215" s="273"/>
      <c r="AZ215" s="273"/>
      <c r="BA215" s="273"/>
    </row>
    <row r="216">
      <c r="A216" s="273"/>
      <c r="B216" s="273"/>
      <c r="C216" s="745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273"/>
      <c r="AP216" s="273"/>
      <c r="AQ216" s="273"/>
      <c r="AR216" s="273"/>
      <c r="AS216" s="273"/>
      <c r="AT216" s="273"/>
      <c r="AU216" s="273"/>
      <c r="AV216" s="273"/>
      <c r="AW216" s="273"/>
      <c r="AX216" s="273"/>
      <c r="AY216" s="273"/>
      <c r="AZ216" s="273"/>
      <c r="BA216" s="273"/>
    </row>
    <row r="217">
      <c r="A217" s="273"/>
      <c r="B217" s="273"/>
      <c r="C217" s="745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  <c r="AJ217" s="273"/>
      <c r="AK217" s="273"/>
      <c r="AL217" s="273"/>
      <c r="AM217" s="273"/>
      <c r="AN217" s="273"/>
      <c r="AO217" s="273"/>
      <c r="AP217" s="273"/>
      <c r="AQ217" s="273"/>
      <c r="AR217" s="273"/>
      <c r="AS217" s="273"/>
      <c r="AT217" s="273"/>
      <c r="AU217" s="273"/>
      <c r="AV217" s="273"/>
      <c r="AW217" s="273"/>
      <c r="AX217" s="273"/>
      <c r="AY217" s="273"/>
      <c r="AZ217" s="273"/>
      <c r="BA217" s="273"/>
    </row>
    <row r="218">
      <c r="A218" s="273"/>
      <c r="B218" s="273"/>
      <c r="C218" s="745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273"/>
      <c r="AP218" s="273"/>
      <c r="AQ218" s="273"/>
      <c r="AR218" s="273"/>
      <c r="AS218" s="273"/>
      <c r="AT218" s="273"/>
      <c r="AU218" s="273"/>
      <c r="AV218" s="273"/>
      <c r="AW218" s="273"/>
      <c r="AX218" s="273"/>
      <c r="AY218" s="273"/>
      <c r="AZ218" s="273"/>
      <c r="BA218" s="273"/>
    </row>
    <row r="219">
      <c r="A219" s="273"/>
      <c r="B219" s="273"/>
      <c r="C219" s="745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273"/>
      <c r="AL219" s="273"/>
      <c r="AM219" s="273"/>
      <c r="AN219" s="273"/>
      <c r="AO219" s="273"/>
      <c r="AP219" s="273"/>
      <c r="AQ219" s="273"/>
      <c r="AR219" s="273"/>
      <c r="AS219" s="273"/>
      <c r="AT219" s="273"/>
      <c r="AU219" s="273"/>
      <c r="AV219" s="273"/>
      <c r="AW219" s="273"/>
      <c r="AX219" s="273"/>
      <c r="AY219" s="273"/>
      <c r="AZ219" s="273"/>
      <c r="BA219" s="273"/>
    </row>
    <row r="220">
      <c r="A220" s="273"/>
      <c r="B220" s="273"/>
      <c r="C220" s="745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273"/>
      <c r="AP220" s="273"/>
      <c r="AQ220" s="273"/>
      <c r="AR220" s="273"/>
      <c r="AS220" s="273"/>
      <c r="AT220" s="273"/>
      <c r="AU220" s="273"/>
      <c r="AV220" s="273"/>
      <c r="AW220" s="273"/>
      <c r="AX220" s="273"/>
      <c r="AY220" s="273"/>
      <c r="AZ220" s="273"/>
      <c r="BA220" s="273"/>
    </row>
    <row r="221">
      <c r="A221" s="273"/>
      <c r="B221" s="273"/>
      <c r="C221" s="745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  <c r="AJ221" s="273"/>
      <c r="AK221" s="273"/>
      <c r="AL221" s="273"/>
      <c r="AM221" s="273"/>
      <c r="AN221" s="273"/>
      <c r="AO221" s="273"/>
      <c r="AP221" s="273"/>
      <c r="AQ221" s="273"/>
      <c r="AR221" s="273"/>
      <c r="AS221" s="273"/>
      <c r="AT221" s="273"/>
      <c r="AU221" s="273"/>
      <c r="AV221" s="273"/>
      <c r="AW221" s="273"/>
      <c r="AX221" s="273"/>
      <c r="AY221" s="273"/>
      <c r="AZ221" s="273"/>
      <c r="BA221" s="273"/>
    </row>
    <row r="222">
      <c r="A222" s="273"/>
      <c r="B222" s="273"/>
      <c r="C222" s="745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273"/>
      <c r="AP222" s="273"/>
      <c r="AQ222" s="273"/>
      <c r="AR222" s="273"/>
      <c r="AS222" s="273"/>
      <c r="AT222" s="273"/>
      <c r="AU222" s="273"/>
      <c r="AV222" s="273"/>
      <c r="AW222" s="273"/>
      <c r="AX222" s="273"/>
      <c r="AY222" s="273"/>
      <c r="AZ222" s="273"/>
      <c r="BA222" s="273"/>
    </row>
    <row r="223">
      <c r="A223" s="273"/>
      <c r="B223" s="273"/>
      <c r="C223" s="745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  <c r="AJ223" s="273"/>
      <c r="AK223" s="273"/>
      <c r="AL223" s="273"/>
      <c r="AM223" s="273"/>
      <c r="AN223" s="273"/>
      <c r="AO223" s="273"/>
      <c r="AP223" s="273"/>
      <c r="AQ223" s="273"/>
      <c r="AR223" s="273"/>
      <c r="AS223" s="273"/>
      <c r="AT223" s="273"/>
      <c r="AU223" s="273"/>
      <c r="AV223" s="273"/>
      <c r="AW223" s="273"/>
      <c r="AX223" s="273"/>
      <c r="AY223" s="273"/>
      <c r="AZ223" s="273"/>
      <c r="BA223" s="273"/>
    </row>
    <row r="224">
      <c r="A224" s="273"/>
      <c r="B224" s="273"/>
      <c r="C224" s="745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73"/>
      <c r="AS224" s="273"/>
      <c r="AT224" s="273"/>
      <c r="AU224" s="273"/>
      <c r="AV224" s="273"/>
      <c r="AW224" s="273"/>
      <c r="AX224" s="273"/>
      <c r="AY224" s="273"/>
      <c r="AZ224" s="273"/>
      <c r="BA224" s="273"/>
    </row>
    <row r="225">
      <c r="A225" s="273"/>
      <c r="B225" s="273"/>
      <c r="C225" s="745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273"/>
      <c r="AM225" s="273"/>
      <c r="AN225" s="273"/>
      <c r="AO225" s="273"/>
      <c r="AP225" s="273"/>
      <c r="AQ225" s="273"/>
      <c r="AR225" s="273"/>
      <c r="AS225" s="273"/>
      <c r="AT225" s="273"/>
      <c r="AU225" s="273"/>
      <c r="AV225" s="273"/>
      <c r="AW225" s="273"/>
      <c r="AX225" s="273"/>
      <c r="AY225" s="273"/>
      <c r="AZ225" s="273"/>
      <c r="BA225" s="273"/>
    </row>
    <row r="226">
      <c r="A226" s="273"/>
      <c r="B226" s="273"/>
      <c r="C226" s="745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</row>
    <row r="227">
      <c r="A227" s="273"/>
      <c r="B227" s="273"/>
      <c r="C227" s="745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73"/>
      <c r="AS227" s="273"/>
      <c r="AT227" s="273"/>
      <c r="AU227" s="273"/>
      <c r="AV227" s="273"/>
      <c r="AW227" s="273"/>
      <c r="AX227" s="273"/>
      <c r="AY227" s="273"/>
      <c r="AZ227" s="273"/>
      <c r="BA227" s="273"/>
    </row>
    <row r="228">
      <c r="A228" s="273"/>
      <c r="B228" s="273"/>
      <c r="C228" s="745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273"/>
      <c r="AP228" s="273"/>
      <c r="AQ228" s="273"/>
      <c r="AR228" s="273"/>
      <c r="AS228" s="273"/>
      <c r="AT228" s="273"/>
      <c r="AU228" s="273"/>
      <c r="AV228" s="273"/>
      <c r="AW228" s="273"/>
      <c r="AX228" s="273"/>
      <c r="AY228" s="273"/>
      <c r="AZ228" s="273"/>
      <c r="BA228" s="273"/>
    </row>
    <row r="229">
      <c r="A229" s="273"/>
      <c r="B229" s="273"/>
      <c r="C229" s="745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</row>
    <row r="230">
      <c r="A230" s="273"/>
      <c r="B230" s="273"/>
      <c r="C230" s="745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273"/>
      <c r="AP230" s="273"/>
      <c r="AQ230" s="273"/>
      <c r="AR230" s="273"/>
      <c r="AS230" s="273"/>
      <c r="AT230" s="273"/>
      <c r="AU230" s="273"/>
      <c r="AV230" s="273"/>
      <c r="AW230" s="273"/>
      <c r="AX230" s="273"/>
      <c r="AY230" s="273"/>
      <c r="AZ230" s="273"/>
      <c r="BA230" s="273"/>
    </row>
    <row r="231">
      <c r="A231" s="273"/>
      <c r="B231" s="273"/>
      <c r="C231" s="745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  <c r="AJ231" s="273"/>
      <c r="AK231" s="273"/>
      <c r="AL231" s="273"/>
      <c r="AM231" s="273"/>
      <c r="AN231" s="273"/>
      <c r="AO231" s="273"/>
      <c r="AP231" s="273"/>
      <c r="AQ231" s="273"/>
      <c r="AR231" s="273"/>
      <c r="AS231" s="273"/>
      <c r="AT231" s="273"/>
      <c r="AU231" s="273"/>
      <c r="AV231" s="273"/>
      <c r="AW231" s="273"/>
      <c r="AX231" s="273"/>
      <c r="AY231" s="273"/>
      <c r="AZ231" s="273"/>
      <c r="BA231" s="273"/>
    </row>
    <row r="232">
      <c r="A232" s="273"/>
      <c r="B232" s="273"/>
      <c r="C232" s="745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273"/>
      <c r="AP232" s="273"/>
      <c r="AQ232" s="273"/>
      <c r="AR232" s="273"/>
      <c r="AS232" s="273"/>
      <c r="AT232" s="273"/>
      <c r="AU232" s="273"/>
      <c r="AV232" s="273"/>
      <c r="AW232" s="273"/>
      <c r="AX232" s="273"/>
      <c r="AY232" s="273"/>
      <c r="AZ232" s="273"/>
      <c r="BA232" s="273"/>
    </row>
    <row r="233">
      <c r="A233" s="273"/>
      <c r="B233" s="273"/>
      <c r="C233" s="745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  <c r="AJ233" s="273"/>
      <c r="AK233" s="273"/>
      <c r="AL233" s="273"/>
      <c r="AM233" s="273"/>
      <c r="AN233" s="273"/>
      <c r="AO233" s="273"/>
      <c r="AP233" s="273"/>
      <c r="AQ233" s="273"/>
      <c r="AR233" s="273"/>
      <c r="AS233" s="273"/>
      <c r="AT233" s="273"/>
      <c r="AU233" s="273"/>
      <c r="AV233" s="273"/>
      <c r="AW233" s="273"/>
      <c r="AX233" s="273"/>
      <c r="AY233" s="273"/>
      <c r="AZ233" s="273"/>
      <c r="BA233" s="273"/>
    </row>
    <row r="234">
      <c r="A234" s="273"/>
      <c r="B234" s="273"/>
      <c r="C234" s="745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273"/>
      <c r="AP234" s="273"/>
      <c r="AQ234" s="273"/>
      <c r="AR234" s="273"/>
      <c r="AS234" s="273"/>
      <c r="AT234" s="273"/>
      <c r="AU234" s="273"/>
      <c r="AV234" s="273"/>
      <c r="AW234" s="273"/>
      <c r="AX234" s="273"/>
      <c r="AY234" s="273"/>
      <c r="AZ234" s="273"/>
      <c r="BA234" s="273"/>
    </row>
    <row r="235">
      <c r="A235" s="273"/>
      <c r="B235" s="273"/>
      <c r="C235" s="745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  <c r="AJ235" s="273"/>
      <c r="AK235" s="273"/>
      <c r="AL235" s="273"/>
      <c r="AM235" s="273"/>
      <c r="AN235" s="273"/>
      <c r="AO235" s="273"/>
      <c r="AP235" s="273"/>
      <c r="AQ235" s="273"/>
      <c r="AR235" s="273"/>
      <c r="AS235" s="273"/>
      <c r="AT235" s="273"/>
      <c r="AU235" s="273"/>
      <c r="AV235" s="273"/>
      <c r="AW235" s="273"/>
      <c r="AX235" s="273"/>
      <c r="AY235" s="273"/>
      <c r="AZ235" s="273"/>
      <c r="BA235" s="273"/>
    </row>
    <row r="236">
      <c r="A236" s="273"/>
      <c r="B236" s="273"/>
      <c r="C236" s="745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</row>
    <row r="237">
      <c r="A237" s="273"/>
      <c r="B237" s="273"/>
      <c r="C237" s="745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  <c r="AJ237" s="273"/>
      <c r="AK237" s="273"/>
      <c r="AL237" s="273"/>
      <c r="AM237" s="273"/>
      <c r="AN237" s="273"/>
      <c r="AO237" s="273"/>
      <c r="AP237" s="273"/>
      <c r="AQ237" s="273"/>
      <c r="AR237" s="273"/>
      <c r="AS237" s="273"/>
      <c r="AT237" s="273"/>
      <c r="AU237" s="273"/>
      <c r="AV237" s="273"/>
      <c r="AW237" s="273"/>
      <c r="AX237" s="273"/>
      <c r="AY237" s="273"/>
      <c r="AZ237" s="273"/>
      <c r="BA237" s="273"/>
    </row>
    <row r="238">
      <c r="A238" s="273"/>
      <c r="B238" s="273"/>
      <c r="C238" s="745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273"/>
      <c r="AP238" s="273"/>
      <c r="AQ238" s="273"/>
      <c r="AR238" s="273"/>
      <c r="AS238" s="273"/>
      <c r="AT238" s="273"/>
      <c r="AU238" s="273"/>
      <c r="AV238" s="273"/>
      <c r="AW238" s="273"/>
      <c r="AX238" s="273"/>
      <c r="AY238" s="273"/>
      <c r="AZ238" s="273"/>
      <c r="BA238" s="273"/>
    </row>
    <row r="239">
      <c r="A239" s="273"/>
      <c r="B239" s="273"/>
      <c r="C239" s="745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  <c r="AJ239" s="273"/>
      <c r="AK239" s="273"/>
      <c r="AL239" s="273"/>
      <c r="AM239" s="273"/>
      <c r="AN239" s="273"/>
      <c r="AO239" s="273"/>
      <c r="AP239" s="273"/>
      <c r="AQ239" s="273"/>
      <c r="AR239" s="273"/>
      <c r="AS239" s="273"/>
      <c r="AT239" s="273"/>
      <c r="AU239" s="273"/>
      <c r="AV239" s="273"/>
      <c r="AW239" s="273"/>
      <c r="AX239" s="273"/>
      <c r="AY239" s="273"/>
      <c r="AZ239" s="273"/>
      <c r="BA239" s="273"/>
    </row>
    <row r="240">
      <c r="A240" s="273"/>
      <c r="B240" s="273"/>
      <c r="C240" s="745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273"/>
      <c r="AP240" s="273"/>
      <c r="AQ240" s="273"/>
      <c r="AR240" s="273"/>
      <c r="AS240" s="273"/>
      <c r="AT240" s="273"/>
      <c r="AU240" s="273"/>
      <c r="AV240" s="273"/>
      <c r="AW240" s="273"/>
      <c r="AX240" s="273"/>
      <c r="AY240" s="273"/>
      <c r="AZ240" s="273"/>
      <c r="BA240" s="273"/>
    </row>
    <row r="241">
      <c r="A241" s="273"/>
      <c r="B241" s="273"/>
      <c r="C241" s="745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  <c r="AJ241" s="273"/>
      <c r="AK241" s="273"/>
      <c r="AL241" s="273"/>
      <c r="AM241" s="273"/>
      <c r="AN241" s="273"/>
      <c r="AO241" s="273"/>
      <c r="AP241" s="273"/>
      <c r="AQ241" s="273"/>
      <c r="AR241" s="273"/>
      <c r="AS241" s="273"/>
      <c r="AT241" s="273"/>
      <c r="AU241" s="273"/>
      <c r="AV241" s="273"/>
      <c r="AW241" s="273"/>
      <c r="AX241" s="273"/>
      <c r="AY241" s="273"/>
      <c r="AZ241" s="273"/>
      <c r="BA241" s="273"/>
    </row>
    <row r="242">
      <c r="A242" s="273"/>
      <c r="B242" s="273"/>
      <c r="C242" s="745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273"/>
      <c r="AP242" s="273"/>
      <c r="AQ242" s="273"/>
      <c r="AR242" s="273"/>
      <c r="AS242" s="273"/>
      <c r="AT242" s="273"/>
      <c r="AU242" s="273"/>
      <c r="AV242" s="273"/>
      <c r="AW242" s="273"/>
      <c r="AX242" s="273"/>
      <c r="AY242" s="273"/>
      <c r="AZ242" s="273"/>
      <c r="BA242" s="273"/>
    </row>
    <row r="243">
      <c r="A243" s="273"/>
      <c r="B243" s="273"/>
      <c r="C243" s="745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  <c r="AJ243" s="273"/>
      <c r="AK243" s="273"/>
      <c r="AL243" s="273"/>
      <c r="AM243" s="273"/>
      <c r="AN243" s="273"/>
      <c r="AO243" s="273"/>
      <c r="AP243" s="273"/>
      <c r="AQ243" s="273"/>
      <c r="AR243" s="273"/>
      <c r="AS243" s="273"/>
      <c r="AT243" s="273"/>
      <c r="AU243" s="273"/>
      <c r="AV243" s="273"/>
      <c r="AW243" s="273"/>
      <c r="AX243" s="273"/>
      <c r="AY243" s="273"/>
      <c r="AZ243" s="273"/>
      <c r="BA243" s="273"/>
    </row>
    <row r="244">
      <c r="A244" s="273"/>
      <c r="B244" s="273"/>
      <c r="C244" s="745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273"/>
      <c r="AP244" s="273"/>
      <c r="AQ244" s="273"/>
      <c r="AR244" s="273"/>
      <c r="AS244" s="273"/>
      <c r="AT244" s="273"/>
      <c r="AU244" s="273"/>
      <c r="AV244" s="273"/>
      <c r="AW244" s="273"/>
      <c r="AX244" s="273"/>
      <c r="AY244" s="273"/>
      <c r="AZ244" s="273"/>
      <c r="BA244" s="273"/>
    </row>
    <row r="245">
      <c r="A245" s="273"/>
      <c r="B245" s="273"/>
      <c r="C245" s="745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  <c r="AJ245" s="273"/>
      <c r="AK245" s="273"/>
      <c r="AL245" s="273"/>
      <c r="AM245" s="273"/>
      <c r="AN245" s="273"/>
      <c r="AO245" s="273"/>
      <c r="AP245" s="273"/>
      <c r="AQ245" s="273"/>
      <c r="AR245" s="273"/>
      <c r="AS245" s="273"/>
      <c r="AT245" s="273"/>
      <c r="AU245" s="273"/>
      <c r="AV245" s="273"/>
      <c r="AW245" s="273"/>
      <c r="AX245" s="273"/>
      <c r="AY245" s="273"/>
      <c r="AZ245" s="273"/>
      <c r="BA245" s="273"/>
    </row>
    <row r="246">
      <c r="A246" s="273"/>
      <c r="B246" s="273"/>
      <c r="C246" s="745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273"/>
      <c r="AP246" s="273"/>
      <c r="AQ246" s="273"/>
      <c r="AR246" s="273"/>
      <c r="AS246" s="273"/>
      <c r="AT246" s="273"/>
      <c r="AU246" s="273"/>
      <c r="AV246" s="273"/>
      <c r="AW246" s="273"/>
      <c r="AX246" s="273"/>
      <c r="AY246" s="273"/>
      <c r="AZ246" s="273"/>
      <c r="BA246" s="273"/>
    </row>
    <row r="247">
      <c r="A247" s="273"/>
      <c r="B247" s="273"/>
      <c r="C247" s="745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</row>
    <row r="248">
      <c r="A248" s="273"/>
      <c r="B248" s="273"/>
      <c r="C248" s="745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73"/>
      <c r="AS248" s="273"/>
      <c r="AT248" s="273"/>
      <c r="AU248" s="273"/>
      <c r="AV248" s="273"/>
      <c r="AW248" s="273"/>
      <c r="AX248" s="273"/>
      <c r="AY248" s="273"/>
      <c r="AZ248" s="273"/>
      <c r="BA248" s="273"/>
    </row>
    <row r="249">
      <c r="A249" s="273"/>
      <c r="B249" s="273"/>
      <c r="C249" s="745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  <c r="AJ249" s="273"/>
      <c r="AK249" s="273"/>
      <c r="AL249" s="273"/>
      <c r="AM249" s="273"/>
      <c r="AN249" s="273"/>
      <c r="AO249" s="273"/>
      <c r="AP249" s="273"/>
      <c r="AQ249" s="273"/>
      <c r="AR249" s="273"/>
      <c r="AS249" s="273"/>
      <c r="AT249" s="273"/>
      <c r="AU249" s="273"/>
      <c r="AV249" s="273"/>
      <c r="AW249" s="273"/>
      <c r="AX249" s="273"/>
      <c r="AY249" s="273"/>
      <c r="AZ249" s="273"/>
      <c r="BA249" s="273"/>
    </row>
    <row r="250">
      <c r="A250" s="273"/>
      <c r="B250" s="273"/>
      <c r="C250" s="745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273"/>
      <c r="AP250" s="273"/>
      <c r="AQ250" s="273"/>
      <c r="AR250" s="273"/>
      <c r="AS250" s="273"/>
      <c r="AT250" s="273"/>
      <c r="AU250" s="273"/>
      <c r="AV250" s="273"/>
      <c r="AW250" s="273"/>
      <c r="AX250" s="273"/>
      <c r="AY250" s="273"/>
      <c r="AZ250" s="273"/>
      <c r="BA250" s="273"/>
    </row>
    <row r="251">
      <c r="A251" s="273"/>
      <c r="B251" s="273"/>
      <c r="C251" s="745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  <c r="AJ251" s="273"/>
      <c r="AK251" s="273"/>
      <c r="AL251" s="273"/>
      <c r="AM251" s="273"/>
      <c r="AN251" s="273"/>
      <c r="AO251" s="273"/>
      <c r="AP251" s="273"/>
      <c r="AQ251" s="273"/>
      <c r="AR251" s="273"/>
      <c r="AS251" s="273"/>
      <c r="AT251" s="273"/>
      <c r="AU251" s="273"/>
      <c r="AV251" s="273"/>
      <c r="AW251" s="273"/>
      <c r="AX251" s="273"/>
      <c r="AY251" s="273"/>
      <c r="AZ251" s="273"/>
      <c r="BA251" s="273"/>
    </row>
    <row r="252">
      <c r="A252" s="273"/>
      <c r="B252" s="273"/>
      <c r="C252" s="745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</row>
    <row r="253">
      <c r="A253" s="273"/>
      <c r="B253" s="273"/>
      <c r="C253" s="745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  <c r="AJ253" s="273"/>
      <c r="AK253" s="273"/>
      <c r="AL253" s="273"/>
      <c r="AM253" s="273"/>
      <c r="AN253" s="273"/>
      <c r="AO253" s="273"/>
      <c r="AP253" s="273"/>
      <c r="AQ253" s="273"/>
      <c r="AR253" s="273"/>
      <c r="AS253" s="273"/>
      <c r="AT253" s="273"/>
      <c r="AU253" s="273"/>
      <c r="AV253" s="273"/>
      <c r="AW253" s="273"/>
      <c r="AX253" s="273"/>
      <c r="AY253" s="273"/>
      <c r="AZ253" s="273"/>
      <c r="BA253" s="273"/>
    </row>
    <row r="254">
      <c r="A254" s="273"/>
      <c r="B254" s="273"/>
      <c r="C254" s="745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73"/>
      <c r="AS254" s="273"/>
      <c r="AT254" s="273"/>
      <c r="AU254" s="273"/>
      <c r="AV254" s="273"/>
      <c r="AW254" s="273"/>
      <c r="AX254" s="273"/>
      <c r="AY254" s="273"/>
      <c r="AZ254" s="273"/>
      <c r="BA254" s="273"/>
    </row>
    <row r="255">
      <c r="A255" s="273"/>
      <c r="B255" s="273"/>
      <c r="C255" s="745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  <c r="AJ255" s="273"/>
      <c r="AK255" s="273"/>
      <c r="AL255" s="273"/>
      <c r="AM255" s="273"/>
      <c r="AN255" s="273"/>
      <c r="AO255" s="273"/>
      <c r="AP255" s="273"/>
      <c r="AQ255" s="273"/>
      <c r="AR255" s="273"/>
      <c r="AS255" s="273"/>
      <c r="AT255" s="273"/>
      <c r="AU255" s="273"/>
      <c r="AV255" s="273"/>
      <c r="AW255" s="273"/>
      <c r="AX255" s="273"/>
      <c r="AY255" s="273"/>
      <c r="AZ255" s="273"/>
      <c r="BA255" s="273"/>
    </row>
    <row r="256">
      <c r="A256" s="273"/>
      <c r="B256" s="273"/>
      <c r="C256" s="745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273"/>
      <c r="AP256" s="273"/>
      <c r="AQ256" s="273"/>
      <c r="AR256" s="273"/>
      <c r="AS256" s="273"/>
      <c r="AT256" s="273"/>
      <c r="AU256" s="273"/>
      <c r="AV256" s="273"/>
      <c r="AW256" s="273"/>
      <c r="AX256" s="273"/>
      <c r="AY256" s="273"/>
      <c r="AZ256" s="273"/>
      <c r="BA256" s="273"/>
    </row>
    <row r="257">
      <c r="A257" s="273"/>
      <c r="B257" s="273"/>
      <c r="C257" s="745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</row>
    <row r="258">
      <c r="A258" s="273"/>
      <c r="B258" s="273"/>
      <c r="C258" s="745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273"/>
      <c r="AP258" s="273"/>
      <c r="AQ258" s="273"/>
      <c r="AR258" s="273"/>
      <c r="AS258" s="273"/>
      <c r="AT258" s="273"/>
      <c r="AU258" s="273"/>
      <c r="AV258" s="273"/>
      <c r="AW258" s="273"/>
      <c r="AX258" s="273"/>
      <c r="AY258" s="273"/>
      <c r="AZ258" s="273"/>
      <c r="BA258" s="273"/>
    </row>
    <row r="259">
      <c r="A259" s="273"/>
      <c r="B259" s="273"/>
      <c r="C259" s="745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  <c r="AJ259" s="273"/>
      <c r="AK259" s="273"/>
      <c r="AL259" s="273"/>
      <c r="AM259" s="273"/>
      <c r="AN259" s="273"/>
      <c r="AO259" s="273"/>
      <c r="AP259" s="273"/>
      <c r="AQ259" s="273"/>
      <c r="AR259" s="273"/>
      <c r="AS259" s="273"/>
      <c r="AT259" s="273"/>
      <c r="AU259" s="273"/>
      <c r="AV259" s="273"/>
      <c r="AW259" s="273"/>
      <c r="AX259" s="273"/>
      <c r="AY259" s="273"/>
      <c r="AZ259" s="273"/>
      <c r="BA259" s="273"/>
    </row>
    <row r="260">
      <c r="A260" s="273"/>
      <c r="B260" s="273"/>
      <c r="C260" s="745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273"/>
      <c r="AP260" s="273"/>
      <c r="AQ260" s="273"/>
      <c r="AR260" s="273"/>
      <c r="AS260" s="273"/>
      <c r="AT260" s="273"/>
      <c r="AU260" s="273"/>
      <c r="AV260" s="273"/>
      <c r="AW260" s="273"/>
      <c r="AX260" s="273"/>
      <c r="AY260" s="273"/>
      <c r="AZ260" s="273"/>
      <c r="BA260" s="273"/>
    </row>
    <row r="261">
      <c r="A261" s="273"/>
      <c r="B261" s="273"/>
      <c r="C261" s="745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  <c r="AJ261" s="273"/>
      <c r="AK261" s="273"/>
      <c r="AL261" s="273"/>
      <c r="AM261" s="273"/>
      <c r="AN261" s="273"/>
      <c r="AO261" s="273"/>
      <c r="AP261" s="273"/>
      <c r="AQ261" s="273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</row>
    <row r="262">
      <c r="A262" s="273"/>
      <c r="B262" s="273"/>
      <c r="C262" s="745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273"/>
      <c r="AP262" s="273"/>
      <c r="AQ262" s="273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</row>
    <row r="263">
      <c r="A263" s="273"/>
      <c r="B263" s="273"/>
      <c r="C263" s="745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273"/>
      <c r="AO263" s="273"/>
      <c r="AP263" s="273"/>
      <c r="AQ263" s="273"/>
      <c r="AR263" s="273"/>
      <c r="AS263" s="273"/>
      <c r="AT263" s="273"/>
      <c r="AU263" s="273"/>
      <c r="AV263" s="273"/>
      <c r="AW263" s="273"/>
      <c r="AX263" s="273"/>
      <c r="AY263" s="273"/>
      <c r="AZ263" s="273"/>
      <c r="BA263" s="273"/>
    </row>
    <row r="264">
      <c r="A264" s="273"/>
      <c r="B264" s="273"/>
      <c r="C264" s="745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273"/>
      <c r="AP264" s="273"/>
      <c r="AQ264" s="273"/>
      <c r="AR264" s="273"/>
      <c r="AS264" s="273"/>
      <c r="AT264" s="273"/>
      <c r="AU264" s="273"/>
      <c r="AV264" s="273"/>
      <c r="AW264" s="273"/>
      <c r="AX264" s="273"/>
      <c r="AY264" s="273"/>
      <c r="AZ264" s="273"/>
      <c r="BA264" s="273"/>
    </row>
    <row r="265">
      <c r="A265" s="273"/>
      <c r="B265" s="273"/>
      <c r="C265" s="745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  <c r="AJ265" s="273"/>
      <c r="AK265" s="273"/>
      <c r="AL265" s="273"/>
      <c r="AM265" s="273"/>
      <c r="AN265" s="273"/>
      <c r="AO265" s="273"/>
      <c r="AP265" s="273"/>
      <c r="AQ265" s="273"/>
      <c r="AR265" s="273"/>
      <c r="AS265" s="273"/>
      <c r="AT265" s="273"/>
      <c r="AU265" s="273"/>
      <c r="AV265" s="273"/>
      <c r="AW265" s="273"/>
      <c r="AX265" s="273"/>
      <c r="AY265" s="273"/>
      <c r="AZ265" s="273"/>
      <c r="BA265" s="273"/>
    </row>
    <row r="266">
      <c r="A266" s="273"/>
      <c r="B266" s="273"/>
      <c r="C266" s="745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273"/>
      <c r="AP266" s="273"/>
      <c r="AQ266" s="273"/>
      <c r="AR266" s="273"/>
      <c r="AS266" s="273"/>
      <c r="AT266" s="273"/>
      <c r="AU266" s="273"/>
      <c r="AV266" s="273"/>
      <c r="AW266" s="273"/>
      <c r="AX266" s="273"/>
      <c r="AY266" s="273"/>
      <c r="AZ266" s="273"/>
      <c r="BA266" s="273"/>
    </row>
    <row r="267">
      <c r="A267" s="273"/>
      <c r="B267" s="273"/>
      <c r="C267" s="745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  <c r="AJ267" s="273"/>
      <c r="AK267" s="273"/>
      <c r="AL267" s="273"/>
      <c r="AM267" s="273"/>
      <c r="AN267" s="273"/>
      <c r="AO267" s="273"/>
      <c r="AP267" s="273"/>
      <c r="AQ267" s="273"/>
      <c r="AR267" s="273"/>
      <c r="AS267" s="273"/>
      <c r="AT267" s="273"/>
      <c r="AU267" s="273"/>
      <c r="AV267" s="273"/>
      <c r="AW267" s="273"/>
      <c r="AX267" s="273"/>
      <c r="AY267" s="273"/>
      <c r="AZ267" s="273"/>
      <c r="BA267" s="273"/>
    </row>
    <row r="268">
      <c r="A268" s="273"/>
      <c r="B268" s="273"/>
      <c r="C268" s="745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273"/>
      <c r="AP268" s="273"/>
      <c r="AQ268" s="273"/>
      <c r="AR268" s="273"/>
      <c r="AS268" s="273"/>
      <c r="AT268" s="273"/>
      <c r="AU268" s="273"/>
      <c r="AV268" s="273"/>
      <c r="AW268" s="273"/>
      <c r="AX268" s="273"/>
      <c r="AY268" s="273"/>
      <c r="AZ268" s="273"/>
      <c r="BA268" s="273"/>
    </row>
    <row r="269">
      <c r="A269" s="273"/>
      <c r="B269" s="273"/>
      <c r="C269" s="745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</row>
    <row r="270">
      <c r="A270" s="273"/>
      <c r="B270" s="273"/>
      <c r="C270" s="745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273"/>
      <c r="AP270" s="273"/>
      <c r="AQ270" s="273"/>
      <c r="AR270" s="273"/>
      <c r="AS270" s="273"/>
      <c r="AT270" s="273"/>
      <c r="AU270" s="273"/>
      <c r="AV270" s="273"/>
      <c r="AW270" s="273"/>
      <c r="AX270" s="273"/>
      <c r="AY270" s="273"/>
      <c r="AZ270" s="273"/>
      <c r="BA270" s="273"/>
    </row>
    <row r="271">
      <c r="A271" s="273"/>
      <c r="B271" s="273"/>
      <c r="C271" s="745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  <c r="AJ271" s="273"/>
      <c r="AK271" s="273"/>
      <c r="AL271" s="273"/>
      <c r="AM271" s="273"/>
      <c r="AN271" s="273"/>
      <c r="AO271" s="273"/>
      <c r="AP271" s="273"/>
      <c r="AQ271" s="273"/>
      <c r="AR271" s="273"/>
      <c r="AS271" s="273"/>
      <c r="AT271" s="273"/>
      <c r="AU271" s="273"/>
      <c r="AV271" s="273"/>
      <c r="AW271" s="273"/>
      <c r="AX271" s="273"/>
      <c r="AY271" s="273"/>
      <c r="AZ271" s="273"/>
      <c r="BA271" s="273"/>
    </row>
    <row r="272">
      <c r="A272" s="273"/>
      <c r="B272" s="273"/>
      <c r="C272" s="745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273"/>
      <c r="AP272" s="273"/>
      <c r="AQ272" s="273"/>
      <c r="AR272" s="273"/>
      <c r="AS272" s="273"/>
      <c r="AT272" s="273"/>
      <c r="AU272" s="273"/>
      <c r="AV272" s="273"/>
      <c r="AW272" s="273"/>
      <c r="AX272" s="273"/>
      <c r="AY272" s="273"/>
      <c r="AZ272" s="273"/>
      <c r="BA272" s="273"/>
    </row>
    <row r="273">
      <c r="A273" s="273"/>
      <c r="B273" s="273"/>
      <c r="C273" s="745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  <c r="AJ273" s="273"/>
      <c r="AK273" s="273"/>
      <c r="AL273" s="273"/>
      <c r="AM273" s="273"/>
      <c r="AN273" s="273"/>
      <c r="AO273" s="273"/>
      <c r="AP273" s="273"/>
      <c r="AQ273" s="273"/>
      <c r="AR273" s="273"/>
      <c r="AS273" s="273"/>
      <c r="AT273" s="273"/>
      <c r="AU273" s="273"/>
      <c r="AV273" s="273"/>
      <c r="AW273" s="273"/>
      <c r="AX273" s="273"/>
      <c r="AY273" s="273"/>
      <c r="AZ273" s="273"/>
      <c r="BA273" s="273"/>
    </row>
    <row r="274">
      <c r="A274" s="273"/>
      <c r="B274" s="273"/>
      <c r="C274" s="745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273"/>
      <c r="AP274" s="273"/>
      <c r="AQ274" s="273"/>
      <c r="AR274" s="273"/>
      <c r="AS274" s="273"/>
      <c r="AT274" s="273"/>
      <c r="AU274" s="273"/>
      <c r="AV274" s="273"/>
      <c r="AW274" s="273"/>
      <c r="AX274" s="273"/>
      <c r="AY274" s="273"/>
      <c r="AZ274" s="273"/>
      <c r="BA274" s="273"/>
    </row>
    <row r="275">
      <c r="A275" s="273"/>
      <c r="B275" s="273"/>
      <c r="C275" s="745"/>
      <c r="D275" s="273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  <c r="AJ275" s="273"/>
      <c r="AK275" s="273"/>
      <c r="AL275" s="273"/>
      <c r="AM275" s="273"/>
      <c r="AN275" s="273"/>
      <c r="AO275" s="273"/>
      <c r="AP275" s="273"/>
      <c r="AQ275" s="273"/>
      <c r="AR275" s="273"/>
      <c r="AS275" s="273"/>
      <c r="AT275" s="273"/>
      <c r="AU275" s="273"/>
      <c r="AV275" s="273"/>
      <c r="AW275" s="273"/>
      <c r="AX275" s="273"/>
      <c r="AY275" s="273"/>
      <c r="AZ275" s="273"/>
      <c r="BA275" s="273"/>
    </row>
    <row r="276">
      <c r="A276" s="273"/>
      <c r="B276" s="273"/>
      <c r="C276" s="745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273"/>
      <c r="AP276" s="273"/>
      <c r="AQ276" s="273"/>
      <c r="AR276" s="273"/>
      <c r="AS276" s="273"/>
      <c r="AT276" s="273"/>
      <c r="AU276" s="273"/>
      <c r="AV276" s="273"/>
      <c r="AW276" s="273"/>
      <c r="AX276" s="273"/>
      <c r="AY276" s="273"/>
      <c r="AZ276" s="273"/>
      <c r="BA276" s="273"/>
    </row>
    <row r="277">
      <c r="A277" s="273"/>
      <c r="B277" s="273"/>
      <c r="C277" s="745"/>
      <c r="D277" s="273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</row>
    <row r="278">
      <c r="A278" s="273"/>
      <c r="B278" s="273"/>
      <c r="C278" s="745"/>
      <c r="D278" s="273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</row>
    <row r="279">
      <c r="A279" s="273"/>
      <c r="B279" s="273"/>
      <c r="C279" s="745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3"/>
      <c r="AQ279" s="273"/>
      <c r="AR279" s="273"/>
      <c r="AS279" s="273"/>
      <c r="AT279" s="273"/>
      <c r="AU279" s="273"/>
      <c r="AV279" s="273"/>
      <c r="AW279" s="273"/>
      <c r="AX279" s="273"/>
      <c r="AY279" s="273"/>
      <c r="AZ279" s="273"/>
      <c r="BA279" s="273"/>
    </row>
    <row r="280">
      <c r="A280" s="273"/>
      <c r="B280" s="273"/>
      <c r="C280" s="745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3"/>
      <c r="AQ280" s="273"/>
      <c r="AR280" s="273"/>
      <c r="AS280" s="273"/>
      <c r="AT280" s="273"/>
      <c r="AU280" s="273"/>
      <c r="AV280" s="273"/>
      <c r="AW280" s="273"/>
      <c r="AX280" s="273"/>
      <c r="AY280" s="273"/>
      <c r="AZ280" s="273"/>
      <c r="BA280" s="273"/>
    </row>
    <row r="281">
      <c r="A281" s="273"/>
      <c r="B281" s="273"/>
      <c r="C281" s="745"/>
      <c r="D281" s="273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</row>
    <row r="282">
      <c r="A282" s="273"/>
      <c r="B282" s="273"/>
      <c r="C282" s="745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</row>
    <row r="283">
      <c r="A283" s="273"/>
      <c r="B283" s="273"/>
      <c r="C283" s="745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</row>
    <row r="284">
      <c r="A284" s="273"/>
      <c r="B284" s="273"/>
      <c r="C284" s="745"/>
      <c r="D284" s="273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273"/>
      <c r="AP284" s="273"/>
      <c r="AQ284" s="273"/>
      <c r="AR284" s="273"/>
      <c r="AS284" s="273"/>
      <c r="AT284" s="273"/>
      <c r="AU284" s="273"/>
      <c r="AV284" s="273"/>
      <c r="AW284" s="273"/>
      <c r="AX284" s="273"/>
      <c r="AY284" s="273"/>
      <c r="AZ284" s="273"/>
      <c r="BA284" s="273"/>
    </row>
    <row r="285">
      <c r="A285" s="273"/>
      <c r="B285" s="273"/>
      <c r="C285" s="745"/>
      <c r="D285" s="273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  <c r="AJ285" s="273"/>
      <c r="AK285" s="273"/>
      <c r="AL285" s="273"/>
      <c r="AM285" s="273"/>
      <c r="AN285" s="273"/>
      <c r="AO285" s="273"/>
      <c r="AP285" s="273"/>
      <c r="AQ285" s="273"/>
      <c r="AR285" s="273"/>
      <c r="AS285" s="273"/>
      <c r="AT285" s="273"/>
      <c r="AU285" s="273"/>
      <c r="AV285" s="273"/>
      <c r="AW285" s="273"/>
      <c r="AX285" s="273"/>
      <c r="AY285" s="273"/>
      <c r="AZ285" s="273"/>
      <c r="BA285" s="273"/>
    </row>
    <row r="286">
      <c r="A286" s="273"/>
      <c r="B286" s="273"/>
      <c r="C286" s="745"/>
      <c r="D286" s="273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</row>
    <row r="287">
      <c r="A287" s="273"/>
      <c r="B287" s="273"/>
      <c r="C287" s="745"/>
      <c r="D287" s="273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</row>
    <row r="288">
      <c r="A288" s="273"/>
      <c r="B288" s="273"/>
      <c r="C288" s="745"/>
      <c r="D288" s="273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</row>
    <row r="289">
      <c r="A289" s="273"/>
      <c r="B289" s="273"/>
      <c r="C289" s="745"/>
      <c r="D289" s="273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  <c r="AJ289" s="273"/>
      <c r="AK289" s="273"/>
      <c r="AL289" s="273"/>
      <c r="AM289" s="273"/>
      <c r="AN289" s="273"/>
      <c r="AO289" s="273"/>
      <c r="AP289" s="273"/>
      <c r="AQ289" s="273"/>
      <c r="AR289" s="273"/>
      <c r="AS289" s="273"/>
      <c r="AT289" s="273"/>
      <c r="AU289" s="273"/>
      <c r="AV289" s="273"/>
      <c r="AW289" s="273"/>
      <c r="AX289" s="273"/>
      <c r="AY289" s="273"/>
      <c r="AZ289" s="273"/>
      <c r="BA289" s="273"/>
    </row>
    <row r="290">
      <c r="A290" s="273"/>
      <c r="B290" s="273"/>
      <c r="C290" s="745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273"/>
      <c r="AP290" s="273"/>
      <c r="AQ290" s="273"/>
      <c r="AR290" s="273"/>
      <c r="AS290" s="273"/>
      <c r="AT290" s="273"/>
      <c r="AU290" s="273"/>
      <c r="AV290" s="273"/>
      <c r="AW290" s="273"/>
      <c r="AX290" s="273"/>
      <c r="AY290" s="273"/>
      <c r="AZ290" s="273"/>
      <c r="BA290" s="273"/>
    </row>
    <row r="291">
      <c r="A291" s="273"/>
      <c r="B291" s="273"/>
      <c r="C291" s="745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  <c r="AJ291" s="273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</row>
    <row r="292">
      <c r="A292" s="273"/>
      <c r="B292" s="273"/>
      <c r="C292" s="745"/>
      <c r="D292" s="273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</row>
    <row r="293">
      <c r="A293" s="273"/>
      <c r="B293" s="273"/>
      <c r="C293" s="745"/>
      <c r="D293" s="273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</row>
    <row r="294">
      <c r="A294" s="273"/>
      <c r="B294" s="273"/>
      <c r="C294" s="745"/>
      <c r="D294" s="273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273"/>
      <c r="AP294" s="273"/>
      <c r="AQ294" s="273"/>
      <c r="AR294" s="273"/>
      <c r="AS294" s="273"/>
      <c r="AT294" s="273"/>
      <c r="AU294" s="273"/>
      <c r="AV294" s="273"/>
      <c r="AW294" s="273"/>
      <c r="AX294" s="273"/>
      <c r="AY294" s="273"/>
      <c r="AZ294" s="273"/>
      <c r="BA294" s="273"/>
    </row>
    <row r="295">
      <c r="A295" s="273"/>
      <c r="B295" s="273"/>
      <c r="C295" s="745"/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73"/>
      <c r="AS295" s="273"/>
      <c r="AT295" s="273"/>
      <c r="AU295" s="273"/>
      <c r="AV295" s="273"/>
      <c r="AW295" s="273"/>
      <c r="AX295" s="273"/>
      <c r="AY295" s="273"/>
      <c r="AZ295" s="273"/>
      <c r="BA295" s="273"/>
    </row>
    <row r="296">
      <c r="A296" s="273"/>
      <c r="B296" s="273"/>
      <c r="C296" s="745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</row>
    <row r="297">
      <c r="A297" s="273"/>
      <c r="B297" s="273"/>
      <c r="C297" s="745"/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</row>
    <row r="298">
      <c r="A298" s="273"/>
      <c r="B298" s="273"/>
      <c r="C298" s="745"/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</row>
    <row r="299">
      <c r="A299" s="273"/>
      <c r="B299" s="273"/>
      <c r="C299" s="745"/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  <c r="AJ299" s="273"/>
      <c r="AK299" s="273"/>
      <c r="AL299" s="273"/>
      <c r="AM299" s="273"/>
      <c r="AN299" s="273"/>
      <c r="AO299" s="273"/>
      <c r="AP299" s="273"/>
      <c r="AQ299" s="273"/>
      <c r="AR299" s="273"/>
      <c r="AS299" s="273"/>
      <c r="AT299" s="273"/>
      <c r="AU299" s="273"/>
      <c r="AV299" s="273"/>
      <c r="AW299" s="273"/>
      <c r="AX299" s="273"/>
      <c r="AY299" s="273"/>
      <c r="AZ299" s="273"/>
      <c r="BA299" s="273"/>
    </row>
    <row r="300">
      <c r="A300" s="273"/>
      <c r="B300" s="273"/>
      <c r="C300" s="745"/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273"/>
      <c r="AP300" s="273"/>
      <c r="AQ300" s="273"/>
      <c r="AR300" s="273"/>
      <c r="AS300" s="273"/>
      <c r="AT300" s="273"/>
      <c r="AU300" s="273"/>
      <c r="AV300" s="273"/>
      <c r="AW300" s="273"/>
      <c r="AX300" s="273"/>
      <c r="AY300" s="273"/>
      <c r="AZ300" s="273"/>
      <c r="BA300" s="273"/>
    </row>
    <row r="301">
      <c r="A301" s="273"/>
      <c r="B301" s="273"/>
      <c r="C301" s="745"/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  <c r="AJ301" s="273"/>
      <c r="AK301" s="273"/>
      <c r="AL301" s="273"/>
      <c r="AM301" s="273"/>
      <c r="AN301" s="273"/>
      <c r="AO301" s="273"/>
      <c r="AP301" s="273"/>
      <c r="AQ301" s="273"/>
      <c r="AR301" s="273"/>
      <c r="AS301" s="273"/>
      <c r="AT301" s="273"/>
      <c r="AU301" s="273"/>
      <c r="AV301" s="273"/>
      <c r="AW301" s="273"/>
      <c r="AX301" s="273"/>
      <c r="AY301" s="273"/>
      <c r="AZ301" s="273"/>
      <c r="BA301" s="273"/>
    </row>
    <row r="302">
      <c r="A302" s="273"/>
      <c r="B302" s="273"/>
      <c r="C302" s="745"/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</row>
    <row r="303">
      <c r="A303" s="273"/>
      <c r="B303" s="273"/>
      <c r="C303" s="745"/>
      <c r="D303" s="273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</row>
    <row r="304">
      <c r="A304" s="273"/>
      <c r="B304" s="273"/>
      <c r="C304" s="745"/>
      <c r="D304" s="273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273"/>
      <c r="AP304" s="273"/>
      <c r="AQ304" s="273"/>
      <c r="AR304" s="273"/>
      <c r="AS304" s="273"/>
      <c r="AT304" s="273"/>
      <c r="AU304" s="273"/>
      <c r="AV304" s="273"/>
      <c r="AW304" s="273"/>
      <c r="AX304" s="273"/>
      <c r="AY304" s="273"/>
      <c r="AZ304" s="273"/>
      <c r="BA304" s="273"/>
    </row>
    <row r="305">
      <c r="A305" s="273"/>
      <c r="B305" s="273"/>
      <c r="C305" s="745"/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  <c r="AJ305" s="273"/>
      <c r="AK305" s="273"/>
      <c r="AL305" s="273"/>
      <c r="AM305" s="273"/>
      <c r="AN305" s="273"/>
      <c r="AO305" s="273"/>
      <c r="AP305" s="273"/>
      <c r="AQ305" s="273"/>
      <c r="AR305" s="273"/>
      <c r="AS305" s="273"/>
      <c r="AT305" s="273"/>
      <c r="AU305" s="273"/>
      <c r="AV305" s="273"/>
      <c r="AW305" s="273"/>
      <c r="AX305" s="273"/>
      <c r="AY305" s="273"/>
      <c r="AZ305" s="273"/>
      <c r="BA305" s="273"/>
    </row>
    <row r="306">
      <c r="A306" s="273"/>
      <c r="B306" s="273"/>
      <c r="C306" s="745"/>
      <c r="D306" s="273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273"/>
      <c r="AP306" s="273"/>
      <c r="AQ306" s="273"/>
      <c r="AR306" s="273"/>
      <c r="AS306" s="273"/>
      <c r="AT306" s="273"/>
      <c r="AU306" s="273"/>
      <c r="AV306" s="273"/>
      <c r="AW306" s="273"/>
      <c r="AX306" s="273"/>
      <c r="AY306" s="273"/>
      <c r="AZ306" s="273"/>
      <c r="BA306" s="273"/>
    </row>
    <row r="307">
      <c r="A307" s="273"/>
      <c r="B307" s="273"/>
      <c r="C307" s="745"/>
      <c r="D307" s="273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  <c r="AJ307" s="273"/>
      <c r="AK307" s="273"/>
      <c r="AL307" s="273"/>
      <c r="AM307" s="273"/>
      <c r="AN307" s="273"/>
      <c r="AO307" s="273"/>
      <c r="AP307" s="273"/>
      <c r="AQ307" s="273"/>
      <c r="AR307" s="273"/>
      <c r="AS307" s="273"/>
      <c r="AT307" s="273"/>
      <c r="AU307" s="273"/>
      <c r="AV307" s="273"/>
      <c r="AW307" s="273"/>
      <c r="AX307" s="273"/>
      <c r="AY307" s="273"/>
      <c r="AZ307" s="273"/>
      <c r="BA307" s="273"/>
    </row>
    <row r="308">
      <c r="A308" s="273"/>
      <c r="B308" s="273"/>
      <c r="C308" s="745"/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273"/>
      <c r="AP308" s="273"/>
      <c r="AQ308" s="273"/>
      <c r="AR308" s="273"/>
      <c r="AS308" s="273"/>
      <c r="AT308" s="273"/>
      <c r="AU308" s="273"/>
      <c r="AV308" s="273"/>
      <c r="AW308" s="273"/>
      <c r="AX308" s="273"/>
      <c r="AY308" s="273"/>
      <c r="AZ308" s="273"/>
      <c r="BA308" s="273"/>
    </row>
    <row r="309">
      <c r="A309" s="273"/>
      <c r="B309" s="273"/>
      <c r="C309" s="745"/>
      <c r="D309" s="273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  <c r="AJ309" s="273"/>
      <c r="AK309" s="273"/>
      <c r="AL309" s="273"/>
      <c r="AM309" s="273"/>
      <c r="AN309" s="273"/>
      <c r="AO309" s="273"/>
      <c r="AP309" s="273"/>
      <c r="AQ309" s="273"/>
      <c r="AR309" s="273"/>
      <c r="AS309" s="273"/>
      <c r="AT309" s="273"/>
      <c r="AU309" s="273"/>
      <c r="AV309" s="273"/>
      <c r="AW309" s="273"/>
      <c r="AX309" s="273"/>
      <c r="AY309" s="273"/>
      <c r="AZ309" s="273"/>
      <c r="BA309" s="273"/>
    </row>
    <row r="310">
      <c r="A310" s="273"/>
      <c r="B310" s="273"/>
      <c r="C310" s="745"/>
      <c r="D310" s="273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273"/>
      <c r="AP310" s="273"/>
      <c r="AQ310" s="273"/>
      <c r="AR310" s="273"/>
      <c r="AS310" s="273"/>
      <c r="AT310" s="273"/>
      <c r="AU310" s="273"/>
      <c r="AV310" s="273"/>
      <c r="AW310" s="273"/>
      <c r="AX310" s="273"/>
      <c r="AY310" s="273"/>
      <c r="AZ310" s="273"/>
      <c r="BA310" s="273"/>
    </row>
    <row r="311">
      <c r="A311" s="273"/>
      <c r="B311" s="273"/>
      <c r="C311" s="745"/>
      <c r="D311" s="273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  <c r="AJ311" s="273"/>
      <c r="AK311" s="273"/>
      <c r="AL311" s="273"/>
      <c r="AM311" s="273"/>
      <c r="AN311" s="273"/>
      <c r="AO311" s="273"/>
      <c r="AP311" s="273"/>
      <c r="AQ311" s="273"/>
      <c r="AR311" s="273"/>
      <c r="AS311" s="273"/>
      <c r="AT311" s="273"/>
      <c r="AU311" s="273"/>
      <c r="AV311" s="273"/>
      <c r="AW311" s="273"/>
      <c r="AX311" s="273"/>
      <c r="AY311" s="273"/>
      <c r="AZ311" s="273"/>
      <c r="BA311" s="273"/>
    </row>
    <row r="312">
      <c r="A312" s="273"/>
      <c r="B312" s="273"/>
      <c r="C312" s="745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273"/>
      <c r="AP312" s="273"/>
      <c r="AQ312" s="273"/>
      <c r="AR312" s="273"/>
      <c r="AS312" s="273"/>
      <c r="AT312" s="273"/>
      <c r="AU312" s="273"/>
      <c r="AV312" s="273"/>
      <c r="AW312" s="273"/>
      <c r="AX312" s="273"/>
      <c r="AY312" s="273"/>
      <c r="AZ312" s="273"/>
      <c r="BA312" s="273"/>
    </row>
    <row r="313">
      <c r="A313" s="273"/>
      <c r="B313" s="273"/>
      <c r="C313" s="745"/>
      <c r="D313" s="273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  <c r="AJ313" s="273"/>
      <c r="AK313" s="273"/>
      <c r="AL313" s="273"/>
      <c r="AM313" s="273"/>
      <c r="AN313" s="273"/>
      <c r="AO313" s="273"/>
      <c r="AP313" s="273"/>
      <c r="AQ313" s="273"/>
      <c r="AR313" s="273"/>
      <c r="AS313" s="273"/>
      <c r="AT313" s="273"/>
      <c r="AU313" s="273"/>
      <c r="AV313" s="273"/>
      <c r="AW313" s="273"/>
      <c r="AX313" s="273"/>
      <c r="AY313" s="273"/>
      <c r="AZ313" s="273"/>
      <c r="BA313" s="273"/>
    </row>
    <row r="314">
      <c r="A314" s="273"/>
      <c r="B314" s="273"/>
      <c r="C314" s="745"/>
      <c r="D314" s="273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273"/>
      <c r="AP314" s="273"/>
      <c r="AQ314" s="273"/>
      <c r="AR314" s="273"/>
      <c r="AS314" s="273"/>
      <c r="AT314" s="273"/>
      <c r="AU314" s="273"/>
      <c r="AV314" s="273"/>
      <c r="AW314" s="273"/>
      <c r="AX314" s="273"/>
      <c r="AY314" s="273"/>
      <c r="AZ314" s="273"/>
      <c r="BA314" s="273"/>
    </row>
    <row r="315">
      <c r="A315" s="273"/>
      <c r="B315" s="273"/>
      <c r="C315" s="745"/>
      <c r="D315" s="273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  <c r="AJ315" s="273"/>
      <c r="AK315" s="273"/>
      <c r="AL315" s="273"/>
      <c r="AM315" s="273"/>
      <c r="AN315" s="273"/>
      <c r="AO315" s="273"/>
      <c r="AP315" s="273"/>
      <c r="AQ315" s="273"/>
      <c r="AR315" s="273"/>
      <c r="AS315" s="273"/>
      <c r="AT315" s="273"/>
      <c r="AU315" s="273"/>
      <c r="AV315" s="273"/>
      <c r="AW315" s="273"/>
      <c r="AX315" s="273"/>
      <c r="AY315" s="273"/>
      <c r="AZ315" s="273"/>
      <c r="BA315" s="273"/>
    </row>
    <row r="316">
      <c r="A316" s="273"/>
      <c r="B316" s="273"/>
      <c r="C316" s="745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273"/>
      <c r="AP316" s="273"/>
      <c r="AQ316" s="273"/>
      <c r="AR316" s="273"/>
      <c r="AS316" s="273"/>
      <c r="AT316" s="273"/>
      <c r="AU316" s="273"/>
      <c r="AV316" s="273"/>
      <c r="AW316" s="273"/>
      <c r="AX316" s="273"/>
      <c r="AY316" s="273"/>
      <c r="AZ316" s="273"/>
      <c r="BA316" s="273"/>
    </row>
    <row r="317">
      <c r="A317" s="273"/>
      <c r="B317" s="273"/>
      <c r="C317" s="745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  <c r="AJ317" s="273"/>
      <c r="AK317" s="273"/>
      <c r="AL317" s="273"/>
      <c r="AM317" s="273"/>
      <c r="AN317" s="273"/>
      <c r="AO317" s="273"/>
      <c r="AP317" s="273"/>
      <c r="AQ317" s="273"/>
      <c r="AR317" s="273"/>
      <c r="AS317" s="273"/>
      <c r="AT317" s="273"/>
      <c r="AU317" s="273"/>
      <c r="AV317" s="273"/>
      <c r="AW317" s="273"/>
      <c r="AX317" s="273"/>
      <c r="AY317" s="273"/>
      <c r="AZ317" s="273"/>
      <c r="BA317" s="273"/>
    </row>
    <row r="318">
      <c r="A318" s="273"/>
      <c r="B318" s="273"/>
      <c r="C318" s="745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273"/>
      <c r="AP318" s="273"/>
      <c r="AQ318" s="273"/>
      <c r="AR318" s="273"/>
      <c r="AS318" s="273"/>
      <c r="AT318" s="273"/>
      <c r="AU318" s="273"/>
      <c r="AV318" s="273"/>
      <c r="AW318" s="273"/>
      <c r="AX318" s="273"/>
      <c r="AY318" s="273"/>
      <c r="AZ318" s="273"/>
      <c r="BA318" s="273"/>
    </row>
    <row r="319">
      <c r="A319" s="273"/>
      <c r="B319" s="273"/>
      <c r="C319" s="745"/>
      <c r="D319" s="273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  <c r="AJ319" s="273"/>
      <c r="AK319" s="273"/>
      <c r="AL319" s="273"/>
      <c r="AM319" s="273"/>
      <c r="AN319" s="273"/>
      <c r="AO319" s="273"/>
      <c r="AP319" s="273"/>
      <c r="AQ319" s="273"/>
      <c r="AR319" s="273"/>
      <c r="AS319" s="273"/>
      <c r="AT319" s="273"/>
      <c r="AU319" s="273"/>
      <c r="AV319" s="273"/>
      <c r="AW319" s="273"/>
      <c r="AX319" s="273"/>
      <c r="AY319" s="273"/>
      <c r="AZ319" s="273"/>
      <c r="BA319" s="273"/>
    </row>
    <row r="320">
      <c r="A320" s="273"/>
      <c r="B320" s="273"/>
      <c r="C320" s="745"/>
      <c r="D320" s="273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273"/>
      <c r="AP320" s="273"/>
      <c r="AQ320" s="273"/>
      <c r="AR320" s="273"/>
      <c r="AS320" s="273"/>
      <c r="AT320" s="273"/>
      <c r="AU320" s="273"/>
      <c r="AV320" s="273"/>
      <c r="AW320" s="273"/>
      <c r="AX320" s="273"/>
      <c r="AY320" s="273"/>
      <c r="AZ320" s="273"/>
      <c r="BA320" s="273"/>
    </row>
    <row r="321">
      <c r="A321" s="273"/>
      <c r="B321" s="273"/>
      <c r="C321" s="745"/>
      <c r="D321" s="273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  <c r="AJ321" s="273"/>
      <c r="AK321" s="273"/>
      <c r="AL321" s="273"/>
      <c r="AM321" s="273"/>
      <c r="AN321" s="273"/>
      <c r="AO321" s="273"/>
      <c r="AP321" s="273"/>
      <c r="AQ321" s="273"/>
      <c r="AR321" s="273"/>
      <c r="AS321" s="273"/>
      <c r="AT321" s="273"/>
      <c r="AU321" s="273"/>
      <c r="AV321" s="273"/>
      <c r="AW321" s="273"/>
      <c r="AX321" s="273"/>
      <c r="AY321" s="273"/>
      <c r="AZ321" s="273"/>
      <c r="BA321" s="273"/>
    </row>
    <row r="322">
      <c r="A322" s="273"/>
      <c r="B322" s="273"/>
      <c r="C322" s="745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273"/>
      <c r="AP322" s="273"/>
      <c r="AQ322" s="273"/>
      <c r="AR322" s="273"/>
      <c r="AS322" s="273"/>
      <c r="AT322" s="273"/>
      <c r="AU322" s="273"/>
      <c r="AV322" s="273"/>
      <c r="AW322" s="273"/>
      <c r="AX322" s="273"/>
      <c r="AY322" s="273"/>
      <c r="AZ322" s="273"/>
      <c r="BA322" s="273"/>
    </row>
    <row r="323">
      <c r="A323" s="273"/>
      <c r="B323" s="273"/>
      <c r="C323" s="745"/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  <c r="AJ323" s="273"/>
      <c r="AK323" s="273"/>
      <c r="AL323" s="273"/>
      <c r="AM323" s="273"/>
      <c r="AN323" s="273"/>
      <c r="AO323" s="273"/>
      <c r="AP323" s="273"/>
      <c r="AQ323" s="273"/>
      <c r="AR323" s="273"/>
      <c r="AS323" s="273"/>
      <c r="AT323" s="273"/>
      <c r="AU323" s="273"/>
      <c r="AV323" s="273"/>
      <c r="AW323" s="273"/>
      <c r="AX323" s="273"/>
      <c r="AY323" s="273"/>
      <c r="AZ323" s="273"/>
      <c r="BA323" s="273"/>
    </row>
    <row r="324">
      <c r="A324" s="273"/>
      <c r="B324" s="273"/>
      <c r="C324" s="745"/>
      <c r="D324" s="273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</row>
    <row r="325">
      <c r="A325" s="273"/>
      <c r="B325" s="273"/>
      <c r="C325" s="745"/>
      <c r="D325" s="273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  <c r="AU325" s="273"/>
      <c r="AV325" s="273"/>
      <c r="AW325" s="273"/>
      <c r="AX325" s="273"/>
      <c r="AY325" s="273"/>
      <c r="AZ325" s="273"/>
      <c r="BA325" s="273"/>
    </row>
    <row r="326">
      <c r="A326" s="273"/>
      <c r="B326" s="273"/>
      <c r="C326" s="745"/>
      <c r="D326" s="273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  <c r="AU326" s="273"/>
      <c r="AV326" s="273"/>
      <c r="AW326" s="273"/>
      <c r="AX326" s="273"/>
      <c r="AY326" s="273"/>
      <c r="AZ326" s="273"/>
      <c r="BA326" s="273"/>
    </row>
    <row r="327">
      <c r="A327" s="273"/>
      <c r="B327" s="273"/>
      <c r="C327" s="745"/>
      <c r="D327" s="273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  <c r="AU327" s="273"/>
      <c r="AV327" s="273"/>
      <c r="AW327" s="273"/>
      <c r="AX327" s="273"/>
      <c r="AY327" s="273"/>
      <c r="AZ327" s="273"/>
      <c r="BA327" s="273"/>
    </row>
    <row r="328">
      <c r="A328" s="273"/>
      <c r="B328" s="273"/>
      <c r="C328" s="745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273"/>
      <c r="AP328" s="273"/>
      <c r="AQ328" s="273"/>
      <c r="AR328" s="273"/>
      <c r="AS328" s="273"/>
      <c r="AT328" s="273"/>
      <c r="AU328" s="273"/>
      <c r="AV328" s="273"/>
      <c r="AW328" s="273"/>
      <c r="AX328" s="273"/>
      <c r="AY328" s="273"/>
      <c r="AZ328" s="273"/>
      <c r="BA328" s="273"/>
    </row>
    <row r="329">
      <c r="A329" s="273"/>
      <c r="B329" s="273"/>
      <c r="C329" s="745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  <c r="AU329" s="273"/>
      <c r="AV329" s="273"/>
      <c r="AW329" s="273"/>
      <c r="AX329" s="273"/>
      <c r="AY329" s="273"/>
      <c r="AZ329" s="273"/>
      <c r="BA329" s="273"/>
    </row>
    <row r="330">
      <c r="A330" s="273"/>
      <c r="B330" s="273"/>
      <c r="C330" s="745"/>
      <c r="D330" s="273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273"/>
      <c r="AP330" s="273"/>
      <c r="AQ330" s="273"/>
      <c r="AR330" s="273"/>
      <c r="AS330" s="273"/>
      <c r="AT330" s="273"/>
      <c r="AU330" s="273"/>
      <c r="AV330" s="273"/>
      <c r="AW330" s="273"/>
      <c r="AX330" s="273"/>
      <c r="AY330" s="273"/>
      <c r="AZ330" s="273"/>
      <c r="BA330" s="273"/>
    </row>
    <row r="331">
      <c r="A331" s="273"/>
      <c r="B331" s="273"/>
      <c r="C331" s="745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  <c r="AU331" s="273"/>
      <c r="AV331" s="273"/>
      <c r="AW331" s="273"/>
      <c r="AX331" s="273"/>
      <c r="AY331" s="273"/>
      <c r="AZ331" s="273"/>
      <c r="BA331" s="273"/>
    </row>
    <row r="332">
      <c r="A332" s="273"/>
      <c r="B332" s="273"/>
      <c r="C332" s="745"/>
      <c r="D332" s="273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273"/>
      <c r="AP332" s="273"/>
      <c r="AQ332" s="273"/>
      <c r="AR332" s="273"/>
      <c r="AS332" s="273"/>
      <c r="AT332" s="273"/>
      <c r="AU332" s="273"/>
      <c r="AV332" s="273"/>
      <c r="AW332" s="273"/>
      <c r="AX332" s="273"/>
      <c r="AY332" s="273"/>
      <c r="AZ332" s="273"/>
      <c r="BA332" s="273"/>
    </row>
    <row r="333">
      <c r="A333" s="273"/>
      <c r="B333" s="273"/>
      <c r="C333" s="745"/>
      <c r="D333" s="273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  <c r="AJ333" s="273"/>
      <c r="AK333" s="273"/>
      <c r="AL333" s="273"/>
      <c r="AM333" s="273"/>
      <c r="AN333" s="273"/>
      <c r="AO333" s="273"/>
      <c r="AP333" s="273"/>
      <c r="AQ333" s="273"/>
      <c r="AR333" s="273"/>
      <c r="AS333" s="273"/>
      <c r="AT333" s="273"/>
      <c r="AU333" s="273"/>
      <c r="AV333" s="273"/>
      <c r="AW333" s="273"/>
      <c r="AX333" s="273"/>
      <c r="AY333" s="273"/>
      <c r="AZ333" s="273"/>
      <c r="BA333" s="273"/>
    </row>
    <row r="334">
      <c r="A334" s="273"/>
      <c r="B334" s="273"/>
      <c r="C334" s="745"/>
      <c r="D334" s="273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273"/>
      <c r="AP334" s="273"/>
      <c r="AQ334" s="273"/>
      <c r="AR334" s="273"/>
      <c r="AS334" s="273"/>
      <c r="AT334" s="273"/>
      <c r="AU334" s="273"/>
      <c r="AV334" s="273"/>
      <c r="AW334" s="273"/>
      <c r="AX334" s="273"/>
      <c r="AY334" s="273"/>
      <c r="AZ334" s="273"/>
      <c r="BA334" s="273"/>
    </row>
    <row r="335">
      <c r="A335" s="273"/>
      <c r="B335" s="273"/>
      <c r="C335" s="745"/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  <c r="AJ335" s="273"/>
      <c r="AK335" s="273"/>
      <c r="AL335" s="273"/>
      <c r="AM335" s="273"/>
      <c r="AN335" s="273"/>
      <c r="AO335" s="273"/>
      <c r="AP335" s="273"/>
      <c r="AQ335" s="273"/>
      <c r="AR335" s="273"/>
      <c r="AS335" s="273"/>
      <c r="AT335" s="273"/>
      <c r="AU335" s="273"/>
      <c r="AV335" s="273"/>
      <c r="AW335" s="273"/>
      <c r="AX335" s="273"/>
      <c r="AY335" s="273"/>
      <c r="AZ335" s="273"/>
      <c r="BA335" s="273"/>
    </row>
    <row r="336">
      <c r="A336" s="273"/>
      <c r="B336" s="273"/>
      <c r="C336" s="745"/>
      <c r="D336" s="273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273"/>
      <c r="AP336" s="273"/>
      <c r="AQ336" s="273"/>
      <c r="AR336" s="273"/>
      <c r="AS336" s="273"/>
      <c r="AT336" s="273"/>
      <c r="AU336" s="273"/>
      <c r="AV336" s="273"/>
      <c r="AW336" s="273"/>
      <c r="AX336" s="273"/>
      <c r="AY336" s="273"/>
      <c r="AZ336" s="273"/>
      <c r="BA336" s="273"/>
    </row>
    <row r="337">
      <c r="A337" s="273"/>
      <c r="B337" s="273"/>
      <c r="C337" s="745"/>
      <c r="D337" s="273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  <c r="AJ337" s="273"/>
      <c r="AK337" s="273"/>
      <c r="AL337" s="273"/>
      <c r="AM337" s="273"/>
      <c r="AN337" s="273"/>
      <c r="AO337" s="273"/>
      <c r="AP337" s="273"/>
      <c r="AQ337" s="273"/>
      <c r="AR337" s="273"/>
      <c r="AS337" s="273"/>
      <c r="AT337" s="273"/>
      <c r="AU337" s="273"/>
      <c r="AV337" s="273"/>
      <c r="AW337" s="273"/>
      <c r="AX337" s="273"/>
      <c r="AY337" s="273"/>
      <c r="AZ337" s="273"/>
      <c r="BA337" s="273"/>
    </row>
    <row r="338">
      <c r="A338" s="273"/>
      <c r="B338" s="273"/>
      <c r="C338" s="745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273"/>
      <c r="AP338" s="273"/>
      <c r="AQ338" s="273"/>
      <c r="AR338" s="273"/>
      <c r="AS338" s="273"/>
      <c r="AT338" s="273"/>
      <c r="AU338" s="273"/>
      <c r="AV338" s="273"/>
      <c r="AW338" s="273"/>
      <c r="AX338" s="273"/>
      <c r="AY338" s="273"/>
      <c r="AZ338" s="273"/>
      <c r="BA338" s="273"/>
    </row>
    <row r="339">
      <c r="A339" s="273"/>
      <c r="B339" s="273"/>
      <c r="C339" s="745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  <c r="AJ339" s="273"/>
      <c r="AK339" s="273"/>
      <c r="AL339" s="273"/>
      <c r="AM339" s="273"/>
      <c r="AN339" s="273"/>
      <c r="AO339" s="273"/>
      <c r="AP339" s="273"/>
      <c r="AQ339" s="273"/>
      <c r="AR339" s="273"/>
      <c r="AS339" s="273"/>
      <c r="AT339" s="273"/>
      <c r="AU339" s="273"/>
      <c r="AV339" s="273"/>
      <c r="AW339" s="273"/>
      <c r="AX339" s="273"/>
      <c r="AY339" s="273"/>
      <c r="AZ339" s="273"/>
      <c r="BA339" s="273"/>
    </row>
    <row r="340">
      <c r="A340" s="273"/>
      <c r="B340" s="273"/>
      <c r="C340" s="745"/>
      <c r="D340" s="273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273"/>
      <c r="AP340" s="273"/>
      <c r="AQ340" s="273"/>
      <c r="AR340" s="273"/>
      <c r="AS340" s="273"/>
      <c r="AT340" s="273"/>
      <c r="AU340" s="273"/>
      <c r="AV340" s="273"/>
      <c r="AW340" s="273"/>
      <c r="AX340" s="273"/>
      <c r="AY340" s="273"/>
      <c r="AZ340" s="273"/>
      <c r="BA340" s="273"/>
    </row>
    <row r="341">
      <c r="A341" s="273"/>
      <c r="B341" s="273"/>
      <c r="C341" s="745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  <c r="AJ341" s="273"/>
      <c r="AK341" s="273"/>
      <c r="AL341" s="273"/>
      <c r="AM341" s="273"/>
      <c r="AN341" s="273"/>
      <c r="AO341" s="273"/>
      <c r="AP341" s="273"/>
      <c r="AQ341" s="273"/>
      <c r="AR341" s="273"/>
      <c r="AS341" s="273"/>
      <c r="AT341" s="273"/>
      <c r="AU341" s="273"/>
      <c r="AV341" s="273"/>
      <c r="AW341" s="273"/>
      <c r="AX341" s="273"/>
      <c r="AY341" s="273"/>
      <c r="AZ341" s="273"/>
      <c r="BA341" s="273"/>
    </row>
    <row r="342">
      <c r="A342" s="273"/>
      <c r="B342" s="273"/>
      <c r="C342" s="745"/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273"/>
      <c r="AP342" s="273"/>
      <c r="AQ342" s="273"/>
      <c r="AR342" s="273"/>
      <c r="AS342" s="273"/>
      <c r="AT342" s="273"/>
      <c r="AU342" s="273"/>
      <c r="AV342" s="273"/>
      <c r="AW342" s="273"/>
      <c r="AX342" s="273"/>
      <c r="AY342" s="273"/>
      <c r="AZ342" s="273"/>
      <c r="BA342" s="273"/>
    </row>
    <row r="343">
      <c r="A343" s="273"/>
      <c r="B343" s="273"/>
      <c r="C343" s="745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  <c r="AJ343" s="273"/>
      <c r="AK343" s="273"/>
      <c r="AL343" s="273"/>
      <c r="AM343" s="273"/>
      <c r="AN343" s="273"/>
      <c r="AO343" s="273"/>
      <c r="AP343" s="273"/>
      <c r="AQ343" s="273"/>
      <c r="AR343" s="273"/>
      <c r="AS343" s="273"/>
      <c r="AT343" s="273"/>
      <c r="AU343" s="273"/>
      <c r="AV343" s="273"/>
      <c r="AW343" s="273"/>
      <c r="AX343" s="273"/>
      <c r="AY343" s="273"/>
      <c r="AZ343" s="273"/>
      <c r="BA343" s="273"/>
    </row>
    <row r="344">
      <c r="A344" s="273"/>
      <c r="B344" s="273"/>
      <c r="C344" s="745"/>
      <c r="D344" s="273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273"/>
      <c r="AP344" s="273"/>
      <c r="AQ344" s="273"/>
      <c r="AR344" s="273"/>
      <c r="AS344" s="273"/>
      <c r="AT344" s="273"/>
      <c r="AU344" s="273"/>
      <c r="AV344" s="273"/>
      <c r="AW344" s="273"/>
      <c r="AX344" s="273"/>
      <c r="AY344" s="273"/>
      <c r="AZ344" s="273"/>
      <c r="BA344" s="273"/>
    </row>
    <row r="345">
      <c r="A345" s="273"/>
      <c r="B345" s="273"/>
      <c r="C345" s="745"/>
      <c r="D345" s="273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  <c r="AJ345" s="273"/>
      <c r="AK345" s="273"/>
      <c r="AL345" s="273"/>
      <c r="AM345" s="273"/>
      <c r="AN345" s="273"/>
      <c r="AO345" s="273"/>
      <c r="AP345" s="273"/>
      <c r="AQ345" s="273"/>
      <c r="AR345" s="273"/>
      <c r="AS345" s="273"/>
      <c r="AT345" s="273"/>
      <c r="AU345" s="273"/>
      <c r="AV345" s="273"/>
      <c r="AW345" s="273"/>
      <c r="AX345" s="273"/>
      <c r="AY345" s="273"/>
      <c r="AZ345" s="273"/>
      <c r="BA345" s="273"/>
    </row>
    <row r="346">
      <c r="A346" s="273"/>
      <c r="B346" s="273"/>
      <c r="C346" s="745"/>
      <c r="D346" s="273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273"/>
      <c r="AP346" s="273"/>
      <c r="AQ346" s="273"/>
      <c r="AR346" s="273"/>
      <c r="AS346" s="273"/>
      <c r="AT346" s="273"/>
      <c r="AU346" s="273"/>
      <c r="AV346" s="273"/>
      <c r="AW346" s="273"/>
      <c r="AX346" s="273"/>
      <c r="AY346" s="273"/>
      <c r="AZ346" s="273"/>
      <c r="BA346" s="273"/>
    </row>
    <row r="347">
      <c r="A347" s="273"/>
      <c r="B347" s="273"/>
      <c r="C347" s="745"/>
      <c r="D347" s="273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  <c r="AJ347" s="273"/>
      <c r="AK347" s="273"/>
      <c r="AL347" s="273"/>
      <c r="AM347" s="273"/>
      <c r="AN347" s="273"/>
      <c r="AO347" s="273"/>
      <c r="AP347" s="273"/>
      <c r="AQ347" s="273"/>
      <c r="AR347" s="273"/>
      <c r="AS347" s="273"/>
      <c r="AT347" s="273"/>
      <c r="AU347" s="273"/>
      <c r="AV347" s="273"/>
      <c r="AW347" s="273"/>
      <c r="AX347" s="273"/>
      <c r="AY347" s="273"/>
      <c r="AZ347" s="273"/>
      <c r="BA347" s="273"/>
    </row>
    <row r="348">
      <c r="A348" s="273"/>
      <c r="B348" s="273"/>
      <c r="C348" s="745"/>
      <c r="D348" s="273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273"/>
      <c r="AP348" s="273"/>
      <c r="AQ348" s="273"/>
      <c r="AR348" s="273"/>
      <c r="AS348" s="273"/>
      <c r="AT348" s="273"/>
      <c r="AU348" s="273"/>
      <c r="AV348" s="273"/>
      <c r="AW348" s="273"/>
      <c r="AX348" s="273"/>
      <c r="AY348" s="273"/>
      <c r="AZ348" s="273"/>
      <c r="BA348" s="273"/>
    </row>
    <row r="349">
      <c r="A349" s="273"/>
      <c r="B349" s="273"/>
      <c r="C349" s="745"/>
      <c r="D349" s="273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  <c r="AJ349" s="273"/>
      <c r="AK349" s="273"/>
      <c r="AL349" s="273"/>
      <c r="AM349" s="273"/>
      <c r="AN349" s="273"/>
      <c r="AO349" s="273"/>
      <c r="AP349" s="273"/>
      <c r="AQ349" s="273"/>
      <c r="AR349" s="273"/>
      <c r="AS349" s="273"/>
      <c r="AT349" s="273"/>
      <c r="AU349" s="273"/>
      <c r="AV349" s="273"/>
      <c r="AW349" s="273"/>
      <c r="AX349" s="273"/>
      <c r="AY349" s="273"/>
      <c r="AZ349" s="273"/>
      <c r="BA349" s="273"/>
    </row>
    <row r="350">
      <c r="A350" s="273"/>
      <c r="B350" s="273"/>
      <c r="C350" s="745"/>
      <c r="D350" s="273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273"/>
      <c r="AP350" s="273"/>
      <c r="AQ350" s="273"/>
      <c r="AR350" s="273"/>
      <c r="AS350" s="273"/>
      <c r="AT350" s="273"/>
      <c r="AU350" s="273"/>
      <c r="AV350" s="273"/>
      <c r="AW350" s="273"/>
      <c r="AX350" s="273"/>
      <c r="AY350" s="273"/>
      <c r="AZ350" s="273"/>
      <c r="BA350" s="273"/>
    </row>
    <row r="351">
      <c r="A351" s="273"/>
      <c r="B351" s="273"/>
      <c r="C351" s="745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  <c r="AJ351" s="273"/>
      <c r="AK351" s="273"/>
      <c r="AL351" s="273"/>
      <c r="AM351" s="273"/>
      <c r="AN351" s="273"/>
      <c r="AO351" s="273"/>
      <c r="AP351" s="273"/>
      <c r="AQ351" s="273"/>
      <c r="AR351" s="273"/>
      <c r="AS351" s="273"/>
      <c r="AT351" s="273"/>
      <c r="AU351" s="273"/>
      <c r="AV351" s="273"/>
      <c r="AW351" s="273"/>
      <c r="AX351" s="273"/>
      <c r="AY351" s="273"/>
      <c r="AZ351" s="273"/>
      <c r="BA351" s="273"/>
    </row>
    <row r="352">
      <c r="A352" s="273"/>
      <c r="B352" s="273"/>
      <c r="C352" s="745"/>
      <c r="D352" s="273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273"/>
      <c r="AP352" s="273"/>
      <c r="AQ352" s="273"/>
      <c r="AR352" s="273"/>
      <c r="AS352" s="273"/>
      <c r="AT352" s="273"/>
      <c r="AU352" s="273"/>
      <c r="AV352" s="273"/>
      <c r="AW352" s="273"/>
      <c r="AX352" s="273"/>
      <c r="AY352" s="273"/>
      <c r="AZ352" s="273"/>
      <c r="BA352" s="273"/>
    </row>
    <row r="353">
      <c r="A353" s="273"/>
      <c r="B353" s="273"/>
      <c r="C353" s="745"/>
      <c r="D353" s="273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  <c r="AJ353" s="273"/>
      <c r="AK353" s="273"/>
      <c r="AL353" s="273"/>
      <c r="AM353" s="273"/>
      <c r="AN353" s="273"/>
      <c r="AO353" s="273"/>
      <c r="AP353" s="273"/>
      <c r="AQ353" s="273"/>
      <c r="AR353" s="273"/>
      <c r="AS353" s="273"/>
      <c r="AT353" s="273"/>
      <c r="AU353" s="273"/>
      <c r="AV353" s="273"/>
      <c r="AW353" s="273"/>
      <c r="AX353" s="273"/>
      <c r="AY353" s="273"/>
      <c r="AZ353" s="273"/>
      <c r="BA353" s="273"/>
    </row>
    <row r="354">
      <c r="A354" s="273"/>
      <c r="B354" s="273"/>
      <c r="C354" s="745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273"/>
      <c r="AP354" s="273"/>
      <c r="AQ354" s="273"/>
      <c r="AR354" s="273"/>
      <c r="AS354" s="273"/>
      <c r="AT354" s="273"/>
      <c r="AU354" s="273"/>
      <c r="AV354" s="273"/>
      <c r="AW354" s="273"/>
      <c r="AX354" s="273"/>
      <c r="AY354" s="273"/>
      <c r="AZ354" s="273"/>
      <c r="BA354" s="273"/>
    </row>
    <row r="355">
      <c r="A355" s="273"/>
      <c r="B355" s="273"/>
      <c r="C355" s="745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</row>
    <row r="356">
      <c r="A356" s="273"/>
      <c r="B356" s="273"/>
      <c r="C356" s="745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</row>
    <row r="357">
      <c r="A357" s="273"/>
      <c r="B357" s="273"/>
      <c r="C357" s="745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</row>
    <row r="358">
      <c r="A358" s="273"/>
      <c r="B358" s="273"/>
      <c r="C358" s="745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</row>
    <row r="359">
      <c r="A359" s="273"/>
      <c r="B359" s="273"/>
      <c r="C359" s="745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  <c r="AJ359" s="273"/>
      <c r="AK359" s="273"/>
      <c r="AL359" s="273"/>
      <c r="AM359" s="273"/>
      <c r="AN359" s="273"/>
      <c r="AO359" s="273"/>
      <c r="AP359" s="273"/>
      <c r="AQ359" s="273"/>
      <c r="AR359" s="273"/>
      <c r="AS359" s="273"/>
      <c r="AT359" s="273"/>
      <c r="AU359" s="273"/>
      <c r="AV359" s="273"/>
      <c r="AW359" s="273"/>
      <c r="AX359" s="273"/>
      <c r="AY359" s="273"/>
      <c r="AZ359" s="273"/>
      <c r="BA359" s="273"/>
    </row>
    <row r="360">
      <c r="A360" s="273"/>
      <c r="B360" s="273"/>
      <c r="C360" s="745"/>
      <c r="D360" s="273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273"/>
      <c r="AP360" s="273"/>
      <c r="AQ360" s="273"/>
      <c r="AR360" s="273"/>
      <c r="AS360" s="273"/>
      <c r="AT360" s="273"/>
      <c r="AU360" s="273"/>
      <c r="AV360" s="273"/>
      <c r="AW360" s="273"/>
      <c r="AX360" s="273"/>
      <c r="AY360" s="273"/>
      <c r="AZ360" s="273"/>
      <c r="BA360" s="273"/>
    </row>
    <row r="361">
      <c r="A361" s="273"/>
      <c r="B361" s="273"/>
      <c r="C361" s="745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  <c r="AJ361" s="273"/>
      <c r="AK361" s="273"/>
      <c r="AL361" s="273"/>
      <c r="AM361" s="273"/>
      <c r="AN361" s="273"/>
      <c r="AO361" s="273"/>
      <c r="AP361" s="273"/>
      <c r="AQ361" s="273"/>
      <c r="AR361" s="273"/>
      <c r="AS361" s="273"/>
      <c r="AT361" s="273"/>
      <c r="AU361" s="273"/>
      <c r="AV361" s="273"/>
      <c r="AW361" s="273"/>
      <c r="AX361" s="273"/>
      <c r="AY361" s="273"/>
      <c r="AZ361" s="273"/>
      <c r="BA361" s="273"/>
    </row>
    <row r="362">
      <c r="A362" s="273"/>
      <c r="B362" s="273"/>
      <c r="C362" s="745"/>
      <c r="D362" s="273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</row>
    <row r="363">
      <c r="A363" s="273"/>
      <c r="B363" s="273"/>
      <c r="C363" s="745"/>
      <c r="D363" s="273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73"/>
      <c r="AV363" s="273"/>
      <c r="AW363" s="273"/>
      <c r="AX363" s="273"/>
      <c r="AY363" s="273"/>
      <c r="AZ363" s="273"/>
      <c r="BA363" s="273"/>
    </row>
    <row r="364">
      <c r="A364" s="273"/>
      <c r="B364" s="273"/>
      <c r="C364" s="745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73"/>
      <c r="AV364" s="273"/>
      <c r="AW364" s="273"/>
      <c r="AX364" s="273"/>
      <c r="AY364" s="273"/>
      <c r="AZ364" s="273"/>
      <c r="BA364" s="273"/>
    </row>
    <row r="365">
      <c r="A365" s="273"/>
      <c r="B365" s="273"/>
      <c r="C365" s="745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73"/>
      <c r="AV365" s="273"/>
      <c r="AW365" s="273"/>
      <c r="AX365" s="273"/>
      <c r="AY365" s="273"/>
      <c r="AZ365" s="273"/>
      <c r="BA365" s="273"/>
    </row>
    <row r="366">
      <c r="A366" s="273"/>
      <c r="B366" s="273"/>
      <c r="C366" s="745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</row>
    <row r="367">
      <c r="A367" s="273"/>
      <c r="B367" s="273"/>
      <c r="C367" s="745"/>
      <c r="D367" s="273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</row>
    <row r="368">
      <c r="A368" s="273"/>
      <c r="B368" s="273"/>
      <c r="C368" s="745"/>
      <c r="D368" s="273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</row>
    <row r="369">
      <c r="A369" s="273"/>
      <c r="B369" s="273"/>
      <c r="C369" s="745"/>
      <c r="D369" s="273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</row>
    <row r="370">
      <c r="A370" s="273"/>
      <c r="B370" s="273"/>
      <c r="C370" s="745"/>
      <c r="D370" s="273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73"/>
      <c r="AV370" s="273"/>
      <c r="AW370" s="273"/>
      <c r="AX370" s="273"/>
      <c r="AY370" s="273"/>
      <c r="AZ370" s="273"/>
      <c r="BA370" s="273"/>
    </row>
    <row r="371">
      <c r="A371" s="273"/>
      <c r="B371" s="273"/>
      <c r="C371" s="745"/>
      <c r="D371" s="273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  <c r="AJ371" s="273"/>
      <c r="AK371" s="273"/>
      <c r="AL371" s="273"/>
      <c r="AM371" s="273"/>
      <c r="AN371" s="273"/>
      <c r="AO371" s="273"/>
      <c r="AP371" s="273"/>
      <c r="AQ371" s="273"/>
      <c r="AR371" s="273"/>
      <c r="AS371" s="273"/>
      <c r="AT371" s="273"/>
      <c r="AU371" s="273"/>
      <c r="AV371" s="273"/>
      <c r="AW371" s="273"/>
      <c r="AX371" s="273"/>
      <c r="AY371" s="273"/>
      <c r="AZ371" s="273"/>
      <c r="BA371" s="273"/>
    </row>
    <row r="372">
      <c r="A372" s="273"/>
      <c r="B372" s="273"/>
      <c r="C372" s="745"/>
      <c r="D372" s="273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273"/>
      <c r="AP372" s="273"/>
      <c r="AQ372" s="273"/>
      <c r="AR372" s="273"/>
      <c r="AS372" s="273"/>
      <c r="AT372" s="273"/>
      <c r="AU372" s="273"/>
      <c r="AV372" s="273"/>
      <c r="AW372" s="273"/>
      <c r="AX372" s="273"/>
      <c r="AY372" s="273"/>
      <c r="AZ372" s="273"/>
      <c r="BA372" s="273"/>
    </row>
    <row r="373">
      <c r="A373" s="273"/>
      <c r="B373" s="273"/>
      <c r="C373" s="745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  <c r="AJ373" s="273"/>
      <c r="AK373" s="273"/>
      <c r="AL373" s="273"/>
      <c r="AM373" s="273"/>
      <c r="AN373" s="273"/>
      <c r="AO373" s="273"/>
      <c r="AP373" s="273"/>
      <c r="AQ373" s="273"/>
      <c r="AR373" s="273"/>
      <c r="AS373" s="273"/>
      <c r="AT373" s="273"/>
      <c r="AU373" s="273"/>
      <c r="AV373" s="273"/>
      <c r="AW373" s="273"/>
      <c r="AX373" s="273"/>
      <c r="AY373" s="273"/>
      <c r="AZ373" s="273"/>
      <c r="BA373" s="273"/>
    </row>
    <row r="374">
      <c r="A374" s="273"/>
      <c r="B374" s="273"/>
      <c r="C374" s="745"/>
      <c r="D374" s="273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273"/>
      <c r="AP374" s="273"/>
      <c r="AQ374" s="273"/>
      <c r="AR374" s="273"/>
      <c r="AS374" s="273"/>
      <c r="AT374" s="273"/>
      <c r="AU374" s="273"/>
      <c r="AV374" s="273"/>
      <c r="AW374" s="273"/>
      <c r="AX374" s="273"/>
      <c r="AY374" s="273"/>
      <c r="AZ374" s="273"/>
      <c r="BA374" s="273"/>
    </row>
    <row r="375">
      <c r="A375" s="273"/>
      <c r="B375" s="273"/>
      <c r="C375" s="745"/>
      <c r="D375" s="273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  <c r="AJ375" s="273"/>
      <c r="AK375" s="273"/>
      <c r="AL375" s="273"/>
      <c r="AM375" s="273"/>
      <c r="AN375" s="273"/>
      <c r="AO375" s="273"/>
      <c r="AP375" s="273"/>
      <c r="AQ375" s="273"/>
      <c r="AR375" s="273"/>
      <c r="AS375" s="273"/>
      <c r="AT375" s="273"/>
      <c r="AU375" s="273"/>
      <c r="AV375" s="273"/>
      <c r="AW375" s="273"/>
      <c r="AX375" s="273"/>
      <c r="AY375" s="273"/>
      <c r="AZ375" s="273"/>
      <c r="BA375" s="273"/>
    </row>
    <row r="376">
      <c r="A376" s="273"/>
      <c r="B376" s="273"/>
      <c r="C376" s="745"/>
      <c r="D376" s="273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273"/>
      <c r="AP376" s="273"/>
      <c r="AQ376" s="273"/>
      <c r="AR376" s="273"/>
      <c r="AS376" s="273"/>
      <c r="AT376" s="273"/>
      <c r="AU376" s="273"/>
      <c r="AV376" s="273"/>
      <c r="AW376" s="273"/>
      <c r="AX376" s="273"/>
      <c r="AY376" s="273"/>
      <c r="AZ376" s="273"/>
      <c r="BA376" s="273"/>
    </row>
    <row r="377">
      <c r="A377" s="273"/>
      <c r="B377" s="273"/>
      <c r="C377" s="745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</row>
    <row r="378">
      <c r="A378" s="273"/>
      <c r="B378" s="273"/>
      <c r="C378" s="745"/>
      <c r="D378" s="273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273"/>
      <c r="AP378" s="273"/>
      <c r="AQ378" s="273"/>
      <c r="AR378" s="273"/>
      <c r="AS378" s="273"/>
      <c r="AT378" s="273"/>
      <c r="AU378" s="273"/>
      <c r="AV378" s="273"/>
      <c r="AW378" s="273"/>
      <c r="AX378" s="273"/>
      <c r="AY378" s="273"/>
      <c r="AZ378" s="273"/>
      <c r="BA378" s="273"/>
    </row>
    <row r="379">
      <c r="A379" s="273"/>
      <c r="B379" s="273"/>
      <c r="C379" s="745"/>
      <c r="D379" s="273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  <c r="AJ379" s="273"/>
      <c r="AK379" s="273"/>
      <c r="AL379" s="273"/>
      <c r="AM379" s="273"/>
      <c r="AN379" s="273"/>
      <c r="AO379" s="273"/>
      <c r="AP379" s="273"/>
      <c r="AQ379" s="273"/>
      <c r="AR379" s="273"/>
      <c r="AS379" s="273"/>
      <c r="AT379" s="273"/>
      <c r="AU379" s="273"/>
      <c r="AV379" s="273"/>
      <c r="AW379" s="273"/>
      <c r="AX379" s="273"/>
      <c r="AY379" s="273"/>
      <c r="AZ379" s="273"/>
      <c r="BA379" s="273"/>
    </row>
    <row r="380">
      <c r="A380" s="273"/>
      <c r="B380" s="273"/>
      <c r="C380" s="745"/>
      <c r="D380" s="273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273"/>
      <c r="AP380" s="273"/>
      <c r="AQ380" s="273"/>
      <c r="AR380" s="273"/>
      <c r="AS380" s="273"/>
      <c r="AT380" s="273"/>
      <c r="AU380" s="273"/>
      <c r="AV380" s="273"/>
      <c r="AW380" s="273"/>
      <c r="AX380" s="273"/>
      <c r="AY380" s="273"/>
      <c r="AZ380" s="273"/>
      <c r="BA380" s="273"/>
    </row>
    <row r="381">
      <c r="A381" s="273"/>
      <c r="B381" s="273"/>
      <c r="C381" s="745"/>
      <c r="D381" s="273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  <c r="AJ381" s="273"/>
      <c r="AK381" s="273"/>
      <c r="AL381" s="273"/>
      <c r="AM381" s="273"/>
      <c r="AN381" s="273"/>
      <c r="AO381" s="273"/>
      <c r="AP381" s="273"/>
      <c r="AQ381" s="273"/>
      <c r="AR381" s="273"/>
      <c r="AS381" s="273"/>
      <c r="AT381" s="273"/>
      <c r="AU381" s="273"/>
      <c r="AV381" s="273"/>
      <c r="AW381" s="273"/>
      <c r="AX381" s="273"/>
      <c r="AY381" s="273"/>
      <c r="AZ381" s="273"/>
      <c r="BA381" s="273"/>
    </row>
    <row r="382">
      <c r="A382" s="273"/>
      <c r="B382" s="273"/>
      <c r="C382" s="745"/>
      <c r="D382" s="273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273"/>
      <c r="AP382" s="273"/>
      <c r="AQ382" s="273"/>
      <c r="AR382" s="273"/>
      <c r="AS382" s="273"/>
      <c r="AT382" s="273"/>
      <c r="AU382" s="273"/>
      <c r="AV382" s="273"/>
      <c r="AW382" s="273"/>
      <c r="AX382" s="273"/>
      <c r="AY382" s="273"/>
      <c r="AZ382" s="273"/>
      <c r="BA382" s="273"/>
    </row>
    <row r="383">
      <c r="A383" s="273"/>
      <c r="B383" s="273"/>
      <c r="C383" s="745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  <c r="AJ383" s="273"/>
      <c r="AK383" s="273"/>
      <c r="AL383" s="273"/>
      <c r="AM383" s="273"/>
      <c r="AN383" s="273"/>
      <c r="AO383" s="273"/>
      <c r="AP383" s="273"/>
      <c r="AQ383" s="273"/>
      <c r="AR383" s="273"/>
      <c r="AS383" s="273"/>
      <c r="AT383" s="273"/>
      <c r="AU383" s="273"/>
      <c r="AV383" s="273"/>
      <c r="AW383" s="273"/>
      <c r="AX383" s="273"/>
      <c r="AY383" s="273"/>
      <c r="AZ383" s="273"/>
      <c r="BA383" s="273"/>
    </row>
    <row r="384">
      <c r="A384" s="273"/>
      <c r="B384" s="273"/>
      <c r="C384" s="745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273"/>
      <c r="AP384" s="273"/>
      <c r="AQ384" s="273"/>
      <c r="AR384" s="273"/>
      <c r="AS384" s="273"/>
      <c r="AT384" s="273"/>
      <c r="AU384" s="273"/>
      <c r="AV384" s="273"/>
      <c r="AW384" s="273"/>
      <c r="AX384" s="273"/>
      <c r="AY384" s="273"/>
      <c r="AZ384" s="273"/>
      <c r="BA384" s="273"/>
    </row>
    <row r="385">
      <c r="A385" s="273"/>
      <c r="B385" s="273"/>
      <c r="C385" s="745"/>
      <c r="D385" s="273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  <c r="AJ385" s="273"/>
      <c r="AK385" s="273"/>
      <c r="AL385" s="273"/>
      <c r="AM385" s="273"/>
      <c r="AN385" s="273"/>
      <c r="AO385" s="273"/>
      <c r="AP385" s="273"/>
      <c r="AQ385" s="273"/>
      <c r="AR385" s="273"/>
      <c r="AS385" s="273"/>
      <c r="AT385" s="273"/>
      <c r="AU385" s="273"/>
      <c r="AV385" s="273"/>
      <c r="AW385" s="273"/>
      <c r="AX385" s="273"/>
      <c r="AY385" s="273"/>
      <c r="AZ385" s="273"/>
      <c r="BA385" s="273"/>
    </row>
    <row r="386">
      <c r="A386" s="273"/>
      <c r="B386" s="273"/>
      <c r="C386" s="745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273"/>
      <c r="AP386" s="273"/>
      <c r="AQ386" s="273"/>
      <c r="AR386" s="273"/>
      <c r="AS386" s="273"/>
      <c r="AT386" s="273"/>
      <c r="AU386" s="273"/>
      <c r="AV386" s="273"/>
      <c r="AW386" s="273"/>
      <c r="AX386" s="273"/>
      <c r="AY386" s="273"/>
      <c r="AZ386" s="273"/>
      <c r="BA386" s="273"/>
    </row>
    <row r="387">
      <c r="A387" s="273"/>
      <c r="B387" s="273"/>
      <c r="C387" s="745"/>
      <c r="D387" s="273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  <c r="AJ387" s="273"/>
      <c r="AK387" s="273"/>
      <c r="AL387" s="273"/>
      <c r="AM387" s="273"/>
      <c r="AN387" s="273"/>
      <c r="AO387" s="273"/>
      <c r="AP387" s="273"/>
      <c r="AQ387" s="273"/>
      <c r="AR387" s="273"/>
      <c r="AS387" s="273"/>
      <c r="AT387" s="273"/>
      <c r="AU387" s="273"/>
      <c r="AV387" s="273"/>
      <c r="AW387" s="273"/>
      <c r="AX387" s="273"/>
      <c r="AY387" s="273"/>
      <c r="AZ387" s="273"/>
      <c r="BA387" s="273"/>
    </row>
    <row r="388">
      <c r="A388" s="273"/>
      <c r="B388" s="273"/>
      <c r="C388" s="745"/>
      <c r="D388" s="273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273"/>
      <c r="AP388" s="273"/>
      <c r="AQ388" s="273"/>
      <c r="AR388" s="273"/>
      <c r="AS388" s="273"/>
      <c r="AT388" s="273"/>
      <c r="AU388" s="273"/>
      <c r="AV388" s="273"/>
      <c r="AW388" s="273"/>
      <c r="AX388" s="273"/>
      <c r="AY388" s="273"/>
      <c r="AZ388" s="273"/>
      <c r="BA388" s="273"/>
    </row>
    <row r="389">
      <c r="A389" s="273"/>
      <c r="B389" s="273"/>
      <c r="C389" s="745"/>
      <c r="D389" s="273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  <c r="AJ389" s="273"/>
      <c r="AK389" s="273"/>
      <c r="AL389" s="273"/>
      <c r="AM389" s="273"/>
      <c r="AN389" s="273"/>
      <c r="AO389" s="273"/>
      <c r="AP389" s="273"/>
      <c r="AQ389" s="273"/>
      <c r="AR389" s="273"/>
      <c r="AS389" s="273"/>
      <c r="AT389" s="273"/>
      <c r="AU389" s="273"/>
      <c r="AV389" s="273"/>
      <c r="AW389" s="273"/>
      <c r="AX389" s="273"/>
      <c r="AY389" s="273"/>
      <c r="AZ389" s="273"/>
      <c r="BA389" s="273"/>
    </row>
    <row r="390">
      <c r="A390" s="273"/>
      <c r="B390" s="273"/>
      <c r="C390" s="745"/>
      <c r="D390" s="273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273"/>
      <c r="AP390" s="273"/>
      <c r="AQ390" s="273"/>
      <c r="AR390" s="273"/>
      <c r="AS390" s="273"/>
      <c r="AT390" s="273"/>
      <c r="AU390" s="273"/>
      <c r="AV390" s="273"/>
      <c r="AW390" s="273"/>
      <c r="AX390" s="273"/>
      <c r="AY390" s="273"/>
      <c r="AZ390" s="273"/>
      <c r="BA390" s="273"/>
    </row>
    <row r="391">
      <c r="A391" s="273"/>
      <c r="B391" s="273"/>
      <c r="C391" s="745"/>
      <c r="D391" s="273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  <c r="AJ391" s="273"/>
      <c r="AK391" s="273"/>
      <c r="AL391" s="273"/>
      <c r="AM391" s="273"/>
      <c r="AN391" s="273"/>
      <c r="AO391" s="273"/>
      <c r="AP391" s="273"/>
      <c r="AQ391" s="273"/>
      <c r="AR391" s="273"/>
      <c r="AS391" s="273"/>
      <c r="AT391" s="273"/>
      <c r="AU391" s="273"/>
      <c r="AV391" s="273"/>
      <c r="AW391" s="273"/>
      <c r="AX391" s="273"/>
      <c r="AY391" s="273"/>
      <c r="AZ391" s="273"/>
      <c r="BA391" s="273"/>
    </row>
    <row r="392">
      <c r="A392" s="273"/>
      <c r="B392" s="273"/>
      <c r="C392" s="745"/>
      <c r="D392" s="273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273"/>
      <c r="AP392" s="273"/>
      <c r="AQ392" s="273"/>
      <c r="AR392" s="273"/>
      <c r="AS392" s="273"/>
      <c r="AT392" s="273"/>
      <c r="AU392" s="273"/>
      <c r="AV392" s="273"/>
      <c r="AW392" s="273"/>
      <c r="AX392" s="273"/>
      <c r="AY392" s="273"/>
      <c r="AZ392" s="273"/>
      <c r="BA392" s="273"/>
    </row>
    <row r="393">
      <c r="A393" s="273"/>
      <c r="B393" s="273"/>
      <c r="C393" s="745"/>
      <c r="D393" s="273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  <c r="AJ393" s="273"/>
      <c r="AK393" s="273"/>
      <c r="AL393" s="273"/>
      <c r="AM393" s="273"/>
      <c r="AN393" s="273"/>
      <c r="AO393" s="273"/>
      <c r="AP393" s="273"/>
      <c r="AQ393" s="273"/>
      <c r="AR393" s="273"/>
      <c r="AS393" s="273"/>
      <c r="AT393" s="273"/>
      <c r="AU393" s="273"/>
      <c r="AV393" s="273"/>
      <c r="AW393" s="273"/>
      <c r="AX393" s="273"/>
      <c r="AY393" s="273"/>
      <c r="AZ393" s="273"/>
      <c r="BA393" s="273"/>
    </row>
    <row r="394">
      <c r="A394" s="273"/>
      <c r="B394" s="273"/>
      <c r="C394" s="745"/>
      <c r="D394" s="273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  <c r="AJ394" s="273"/>
      <c r="AK394" s="273"/>
      <c r="AL394" s="273"/>
      <c r="AM394" s="273"/>
      <c r="AN394" s="273"/>
      <c r="AO394" s="273"/>
      <c r="AP394" s="273"/>
      <c r="AQ394" s="273"/>
      <c r="AR394" s="273"/>
      <c r="AS394" s="273"/>
      <c r="AT394" s="273"/>
      <c r="AU394" s="273"/>
      <c r="AV394" s="273"/>
      <c r="AW394" s="273"/>
      <c r="AX394" s="273"/>
      <c r="AY394" s="273"/>
      <c r="AZ394" s="273"/>
      <c r="BA394" s="273"/>
    </row>
    <row r="395">
      <c r="A395" s="273"/>
      <c r="B395" s="273"/>
      <c r="C395" s="745"/>
      <c r="D395" s="273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  <c r="AJ395" s="273"/>
      <c r="AK395" s="273"/>
      <c r="AL395" s="273"/>
      <c r="AM395" s="273"/>
      <c r="AN395" s="273"/>
      <c r="AO395" s="273"/>
      <c r="AP395" s="273"/>
      <c r="AQ395" s="273"/>
      <c r="AR395" s="273"/>
      <c r="AS395" s="273"/>
      <c r="AT395" s="273"/>
      <c r="AU395" s="273"/>
      <c r="AV395" s="273"/>
      <c r="AW395" s="273"/>
      <c r="AX395" s="273"/>
      <c r="AY395" s="273"/>
      <c r="AZ395" s="273"/>
      <c r="BA395" s="273"/>
    </row>
    <row r="396">
      <c r="A396" s="273"/>
      <c r="B396" s="273"/>
      <c r="C396" s="745"/>
      <c r="D396" s="273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273"/>
      <c r="AP396" s="273"/>
      <c r="AQ396" s="273"/>
      <c r="AR396" s="273"/>
      <c r="AS396" s="273"/>
      <c r="AT396" s="273"/>
      <c r="AU396" s="273"/>
      <c r="AV396" s="273"/>
      <c r="AW396" s="273"/>
      <c r="AX396" s="273"/>
      <c r="AY396" s="273"/>
      <c r="AZ396" s="273"/>
      <c r="BA396" s="273"/>
    </row>
    <row r="397">
      <c r="A397" s="273"/>
      <c r="B397" s="273"/>
      <c r="C397" s="745"/>
      <c r="D397" s="273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  <c r="AJ397" s="273"/>
      <c r="AK397" s="273"/>
      <c r="AL397" s="273"/>
      <c r="AM397" s="273"/>
      <c r="AN397" s="273"/>
      <c r="AO397" s="273"/>
      <c r="AP397" s="273"/>
      <c r="AQ397" s="273"/>
      <c r="AR397" s="273"/>
      <c r="AS397" s="273"/>
      <c r="AT397" s="273"/>
      <c r="AU397" s="273"/>
      <c r="AV397" s="273"/>
      <c r="AW397" s="273"/>
      <c r="AX397" s="273"/>
      <c r="AY397" s="273"/>
      <c r="AZ397" s="273"/>
      <c r="BA397" s="273"/>
    </row>
    <row r="398">
      <c r="A398" s="273"/>
      <c r="B398" s="273"/>
      <c r="C398" s="745"/>
      <c r="D398" s="273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273"/>
      <c r="AP398" s="273"/>
      <c r="AQ398" s="273"/>
      <c r="AR398" s="273"/>
      <c r="AS398" s="273"/>
      <c r="AT398" s="273"/>
      <c r="AU398" s="273"/>
      <c r="AV398" s="273"/>
      <c r="AW398" s="273"/>
      <c r="AX398" s="273"/>
      <c r="AY398" s="273"/>
      <c r="AZ398" s="273"/>
      <c r="BA398" s="273"/>
    </row>
    <row r="399">
      <c r="A399" s="273"/>
      <c r="B399" s="273"/>
      <c r="C399" s="745"/>
      <c r="D399" s="273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  <c r="AJ399" s="273"/>
      <c r="AK399" s="273"/>
      <c r="AL399" s="273"/>
      <c r="AM399" s="273"/>
      <c r="AN399" s="273"/>
      <c r="AO399" s="273"/>
      <c r="AP399" s="273"/>
      <c r="AQ399" s="273"/>
      <c r="AR399" s="273"/>
      <c r="AS399" s="273"/>
      <c r="AT399" s="273"/>
      <c r="AU399" s="273"/>
      <c r="AV399" s="273"/>
      <c r="AW399" s="273"/>
      <c r="AX399" s="273"/>
      <c r="AY399" s="273"/>
      <c r="AZ399" s="273"/>
      <c r="BA399" s="273"/>
    </row>
    <row r="400">
      <c r="A400" s="273"/>
      <c r="B400" s="273"/>
      <c r="C400" s="745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273"/>
      <c r="AP400" s="273"/>
      <c r="AQ400" s="273"/>
      <c r="AR400" s="273"/>
      <c r="AS400" s="273"/>
      <c r="AT400" s="273"/>
      <c r="AU400" s="273"/>
      <c r="AV400" s="273"/>
      <c r="AW400" s="273"/>
      <c r="AX400" s="273"/>
      <c r="AY400" s="273"/>
      <c r="AZ400" s="273"/>
      <c r="BA400" s="273"/>
    </row>
    <row r="401">
      <c r="A401" s="273"/>
      <c r="B401" s="273"/>
      <c r="C401" s="745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  <c r="AJ401" s="273"/>
      <c r="AK401" s="273"/>
      <c r="AL401" s="273"/>
      <c r="AM401" s="273"/>
      <c r="AN401" s="273"/>
      <c r="AO401" s="273"/>
      <c r="AP401" s="273"/>
      <c r="AQ401" s="273"/>
      <c r="AR401" s="273"/>
      <c r="AS401" s="273"/>
      <c r="AT401" s="273"/>
      <c r="AU401" s="273"/>
      <c r="AV401" s="273"/>
      <c r="AW401" s="273"/>
      <c r="AX401" s="273"/>
      <c r="AY401" s="273"/>
      <c r="AZ401" s="273"/>
      <c r="BA401" s="273"/>
    </row>
    <row r="402">
      <c r="A402" s="273"/>
      <c r="B402" s="273"/>
      <c r="C402" s="745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273"/>
      <c r="AP402" s="273"/>
      <c r="AQ402" s="273"/>
      <c r="AR402" s="273"/>
      <c r="AS402" s="273"/>
      <c r="AT402" s="273"/>
      <c r="AU402" s="273"/>
      <c r="AV402" s="273"/>
      <c r="AW402" s="273"/>
      <c r="AX402" s="273"/>
      <c r="AY402" s="273"/>
      <c r="AZ402" s="273"/>
      <c r="BA402" s="273"/>
    </row>
    <row r="403">
      <c r="A403" s="273"/>
      <c r="B403" s="273"/>
      <c r="C403" s="745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  <c r="AJ403" s="273"/>
      <c r="AK403" s="273"/>
      <c r="AL403" s="273"/>
      <c r="AM403" s="273"/>
      <c r="AN403" s="273"/>
      <c r="AO403" s="273"/>
      <c r="AP403" s="273"/>
      <c r="AQ403" s="273"/>
      <c r="AR403" s="273"/>
      <c r="AS403" s="273"/>
      <c r="AT403" s="273"/>
      <c r="AU403" s="273"/>
      <c r="AV403" s="273"/>
      <c r="AW403" s="273"/>
      <c r="AX403" s="273"/>
      <c r="AY403" s="273"/>
      <c r="AZ403" s="273"/>
      <c r="BA403" s="273"/>
    </row>
    <row r="404">
      <c r="A404" s="273"/>
      <c r="B404" s="273"/>
      <c r="C404" s="745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273"/>
      <c r="AP404" s="273"/>
      <c r="AQ404" s="273"/>
      <c r="AR404" s="273"/>
      <c r="AS404" s="273"/>
      <c r="AT404" s="273"/>
      <c r="AU404" s="273"/>
      <c r="AV404" s="273"/>
      <c r="AW404" s="273"/>
      <c r="AX404" s="273"/>
      <c r="AY404" s="273"/>
      <c r="AZ404" s="273"/>
      <c r="BA404" s="273"/>
    </row>
    <row r="405">
      <c r="A405" s="273"/>
      <c r="B405" s="273"/>
      <c r="C405" s="745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  <c r="AJ405" s="273"/>
      <c r="AK405" s="273"/>
      <c r="AL405" s="273"/>
      <c r="AM405" s="273"/>
      <c r="AN405" s="273"/>
      <c r="AO405" s="273"/>
      <c r="AP405" s="273"/>
      <c r="AQ405" s="273"/>
      <c r="AR405" s="273"/>
      <c r="AS405" s="273"/>
      <c r="AT405" s="273"/>
      <c r="AU405" s="273"/>
      <c r="AV405" s="273"/>
      <c r="AW405" s="273"/>
      <c r="AX405" s="273"/>
      <c r="AY405" s="273"/>
      <c r="AZ405" s="273"/>
      <c r="BA405" s="273"/>
    </row>
    <row r="406">
      <c r="A406" s="273"/>
      <c r="B406" s="273"/>
      <c r="C406" s="745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273"/>
      <c r="AP406" s="273"/>
      <c r="AQ406" s="273"/>
      <c r="AR406" s="273"/>
      <c r="AS406" s="273"/>
      <c r="AT406" s="273"/>
      <c r="AU406" s="273"/>
      <c r="AV406" s="273"/>
      <c r="AW406" s="273"/>
      <c r="AX406" s="273"/>
      <c r="AY406" s="273"/>
      <c r="AZ406" s="273"/>
      <c r="BA406" s="273"/>
    </row>
    <row r="407">
      <c r="A407" s="273"/>
      <c r="B407" s="273"/>
      <c r="C407" s="745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  <c r="AJ407" s="273"/>
      <c r="AK407" s="273"/>
      <c r="AL407" s="273"/>
      <c r="AM407" s="273"/>
      <c r="AN407" s="273"/>
      <c r="AO407" s="273"/>
      <c r="AP407" s="273"/>
      <c r="AQ407" s="273"/>
      <c r="AR407" s="273"/>
      <c r="AS407" s="273"/>
      <c r="AT407" s="273"/>
      <c r="AU407" s="273"/>
      <c r="AV407" s="273"/>
      <c r="AW407" s="273"/>
      <c r="AX407" s="273"/>
      <c r="AY407" s="273"/>
      <c r="AZ407" s="273"/>
      <c r="BA407" s="273"/>
    </row>
    <row r="408">
      <c r="A408" s="273"/>
      <c r="B408" s="273"/>
      <c r="C408" s="745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273"/>
      <c r="AP408" s="273"/>
      <c r="AQ408" s="273"/>
      <c r="AR408" s="273"/>
      <c r="AS408" s="273"/>
      <c r="AT408" s="273"/>
      <c r="AU408" s="273"/>
      <c r="AV408" s="273"/>
      <c r="AW408" s="273"/>
      <c r="AX408" s="273"/>
      <c r="AY408" s="273"/>
      <c r="AZ408" s="273"/>
      <c r="BA408" s="273"/>
    </row>
    <row r="409">
      <c r="A409" s="273"/>
      <c r="B409" s="273"/>
      <c r="C409" s="745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  <c r="AJ409" s="273"/>
      <c r="AK409" s="273"/>
      <c r="AL409" s="273"/>
      <c r="AM409" s="273"/>
      <c r="AN409" s="273"/>
      <c r="AO409" s="273"/>
      <c r="AP409" s="273"/>
      <c r="AQ409" s="273"/>
      <c r="AR409" s="273"/>
      <c r="AS409" s="273"/>
      <c r="AT409" s="273"/>
      <c r="AU409" s="273"/>
      <c r="AV409" s="273"/>
      <c r="AW409" s="273"/>
      <c r="AX409" s="273"/>
      <c r="AY409" s="273"/>
      <c r="AZ409" s="273"/>
      <c r="BA409" s="273"/>
    </row>
    <row r="410">
      <c r="A410" s="273"/>
      <c r="B410" s="273"/>
      <c r="C410" s="745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273"/>
      <c r="AP410" s="273"/>
      <c r="AQ410" s="273"/>
      <c r="AR410" s="273"/>
      <c r="AS410" s="273"/>
      <c r="AT410" s="273"/>
      <c r="AU410" s="273"/>
      <c r="AV410" s="273"/>
      <c r="AW410" s="273"/>
      <c r="AX410" s="273"/>
      <c r="AY410" s="273"/>
      <c r="AZ410" s="273"/>
      <c r="BA410" s="273"/>
    </row>
    <row r="411">
      <c r="A411" s="273"/>
      <c r="B411" s="273"/>
      <c r="C411" s="745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  <c r="AJ411" s="273"/>
      <c r="AK411" s="273"/>
      <c r="AL411" s="273"/>
      <c r="AM411" s="273"/>
      <c r="AN411" s="273"/>
      <c r="AO411" s="273"/>
      <c r="AP411" s="273"/>
      <c r="AQ411" s="273"/>
      <c r="AR411" s="273"/>
      <c r="AS411" s="273"/>
      <c r="AT411" s="273"/>
      <c r="AU411" s="273"/>
      <c r="AV411" s="273"/>
      <c r="AW411" s="273"/>
      <c r="AX411" s="273"/>
      <c r="AY411" s="273"/>
      <c r="AZ411" s="273"/>
      <c r="BA411" s="273"/>
    </row>
    <row r="412">
      <c r="A412" s="273"/>
      <c r="B412" s="273"/>
      <c r="C412" s="745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273"/>
      <c r="AP412" s="273"/>
      <c r="AQ412" s="273"/>
      <c r="AR412" s="273"/>
      <c r="AS412" s="273"/>
      <c r="AT412" s="273"/>
      <c r="AU412" s="273"/>
      <c r="AV412" s="273"/>
      <c r="AW412" s="273"/>
      <c r="AX412" s="273"/>
      <c r="AY412" s="273"/>
      <c r="AZ412" s="273"/>
      <c r="BA412" s="273"/>
    </row>
    <row r="413">
      <c r="A413" s="273"/>
      <c r="B413" s="273"/>
      <c r="C413" s="745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  <c r="AJ413" s="273"/>
      <c r="AK413" s="273"/>
      <c r="AL413" s="273"/>
      <c r="AM413" s="273"/>
      <c r="AN413" s="273"/>
      <c r="AO413" s="273"/>
      <c r="AP413" s="273"/>
      <c r="AQ413" s="273"/>
      <c r="AR413" s="273"/>
      <c r="AS413" s="273"/>
      <c r="AT413" s="273"/>
      <c r="AU413" s="273"/>
      <c r="AV413" s="273"/>
      <c r="AW413" s="273"/>
      <c r="AX413" s="273"/>
      <c r="AY413" s="273"/>
      <c r="AZ413" s="273"/>
      <c r="BA413" s="273"/>
    </row>
    <row r="414">
      <c r="A414" s="273"/>
      <c r="B414" s="273"/>
      <c r="C414" s="745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273"/>
      <c r="AP414" s="273"/>
      <c r="AQ414" s="273"/>
      <c r="AR414" s="273"/>
      <c r="AS414" s="273"/>
      <c r="AT414" s="273"/>
      <c r="AU414" s="273"/>
      <c r="AV414" s="273"/>
      <c r="AW414" s="273"/>
      <c r="AX414" s="273"/>
      <c r="AY414" s="273"/>
      <c r="AZ414" s="273"/>
      <c r="BA414" s="273"/>
    </row>
    <row r="415">
      <c r="A415" s="273"/>
      <c r="B415" s="273"/>
      <c r="C415" s="745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  <c r="AJ415" s="273"/>
      <c r="AK415" s="273"/>
      <c r="AL415" s="273"/>
      <c r="AM415" s="273"/>
      <c r="AN415" s="273"/>
      <c r="AO415" s="273"/>
      <c r="AP415" s="273"/>
      <c r="AQ415" s="273"/>
      <c r="AR415" s="273"/>
      <c r="AS415" s="273"/>
      <c r="AT415" s="273"/>
      <c r="AU415" s="273"/>
      <c r="AV415" s="273"/>
      <c r="AW415" s="273"/>
      <c r="AX415" s="273"/>
      <c r="AY415" s="273"/>
      <c r="AZ415" s="273"/>
      <c r="BA415" s="273"/>
    </row>
    <row r="416">
      <c r="A416" s="273"/>
      <c r="B416" s="273"/>
      <c r="C416" s="745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273"/>
      <c r="AP416" s="273"/>
      <c r="AQ416" s="273"/>
      <c r="AR416" s="273"/>
      <c r="AS416" s="273"/>
      <c r="AT416" s="273"/>
      <c r="AU416" s="273"/>
      <c r="AV416" s="273"/>
      <c r="AW416" s="273"/>
      <c r="AX416" s="273"/>
      <c r="AY416" s="273"/>
      <c r="AZ416" s="273"/>
      <c r="BA416" s="273"/>
    </row>
    <row r="417">
      <c r="A417" s="273"/>
      <c r="B417" s="273"/>
      <c r="C417" s="745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  <c r="AJ417" s="273"/>
      <c r="AK417" s="273"/>
      <c r="AL417" s="273"/>
      <c r="AM417" s="273"/>
      <c r="AN417" s="273"/>
      <c r="AO417" s="273"/>
      <c r="AP417" s="273"/>
      <c r="AQ417" s="273"/>
      <c r="AR417" s="273"/>
      <c r="AS417" s="273"/>
      <c r="AT417" s="273"/>
      <c r="AU417" s="273"/>
      <c r="AV417" s="273"/>
      <c r="AW417" s="273"/>
      <c r="AX417" s="273"/>
      <c r="AY417" s="273"/>
      <c r="AZ417" s="273"/>
      <c r="BA417" s="273"/>
    </row>
    <row r="418">
      <c r="A418" s="273"/>
      <c r="B418" s="273"/>
      <c r="C418" s="745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273"/>
      <c r="AP418" s="273"/>
      <c r="AQ418" s="273"/>
      <c r="AR418" s="273"/>
      <c r="AS418" s="273"/>
      <c r="AT418" s="273"/>
      <c r="AU418" s="273"/>
      <c r="AV418" s="273"/>
      <c r="AW418" s="273"/>
      <c r="AX418" s="273"/>
      <c r="AY418" s="273"/>
      <c r="AZ418" s="273"/>
      <c r="BA418" s="273"/>
    </row>
    <row r="419">
      <c r="A419" s="273"/>
      <c r="B419" s="273"/>
      <c r="C419" s="745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  <c r="AJ419" s="273"/>
      <c r="AK419" s="273"/>
      <c r="AL419" s="273"/>
      <c r="AM419" s="273"/>
      <c r="AN419" s="273"/>
      <c r="AO419" s="273"/>
      <c r="AP419" s="273"/>
      <c r="AQ419" s="273"/>
      <c r="AR419" s="273"/>
      <c r="AS419" s="273"/>
      <c r="AT419" s="273"/>
      <c r="AU419" s="273"/>
      <c r="AV419" s="273"/>
      <c r="AW419" s="273"/>
      <c r="AX419" s="273"/>
      <c r="AY419" s="273"/>
      <c r="AZ419" s="273"/>
      <c r="BA419" s="273"/>
    </row>
    <row r="420">
      <c r="A420" s="273"/>
      <c r="B420" s="273"/>
      <c r="C420" s="745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273"/>
      <c r="AP420" s="273"/>
      <c r="AQ420" s="273"/>
      <c r="AR420" s="273"/>
      <c r="AS420" s="273"/>
      <c r="AT420" s="273"/>
      <c r="AU420" s="273"/>
      <c r="AV420" s="273"/>
      <c r="AW420" s="273"/>
      <c r="AX420" s="273"/>
      <c r="AY420" s="273"/>
      <c r="AZ420" s="273"/>
      <c r="BA420" s="273"/>
    </row>
    <row r="421">
      <c r="A421" s="273"/>
      <c r="B421" s="273"/>
      <c r="C421" s="745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  <c r="AJ421" s="273"/>
      <c r="AK421" s="273"/>
      <c r="AL421" s="273"/>
      <c r="AM421" s="273"/>
      <c r="AN421" s="273"/>
      <c r="AO421" s="273"/>
      <c r="AP421" s="273"/>
      <c r="AQ421" s="273"/>
      <c r="AR421" s="273"/>
      <c r="AS421" s="273"/>
      <c r="AT421" s="273"/>
      <c r="AU421" s="273"/>
      <c r="AV421" s="273"/>
      <c r="AW421" s="273"/>
      <c r="AX421" s="273"/>
      <c r="AY421" s="273"/>
      <c r="AZ421" s="273"/>
      <c r="BA421" s="273"/>
    </row>
    <row r="422">
      <c r="A422" s="273"/>
      <c r="B422" s="273"/>
      <c r="C422" s="745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273"/>
      <c r="AP422" s="273"/>
      <c r="AQ422" s="273"/>
      <c r="AR422" s="273"/>
      <c r="AS422" s="273"/>
      <c r="AT422" s="273"/>
      <c r="AU422" s="273"/>
      <c r="AV422" s="273"/>
      <c r="AW422" s="273"/>
      <c r="AX422" s="273"/>
      <c r="AY422" s="273"/>
      <c r="AZ422" s="273"/>
      <c r="BA422" s="273"/>
    </row>
    <row r="423">
      <c r="A423" s="273"/>
      <c r="B423" s="273"/>
      <c r="C423" s="745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  <c r="AJ423" s="273"/>
      <c r="AK423" s="273"/>
      <c r="AL423" s="273"/>
      <c r="AM423" s="273"/>
      <c r="AN423" s="273"/>
      <c r="AO423" s="273"/>
      <c r="AP423" s="273"/>
      <c r="AQ423" s="273"/>
      <c r="AR423" s="273"/>
      <c r="AS423" s="273"/>
      <c r="AT423" s="273"/>
      <c r="AU423" s="273"/>
      <c r="AV423" s="273"/>
      <c r="AW423" s="273"/>
      <c r="AX423" s="273"/>
      <c r="AY423" s="273"/>
      <c r="AZ423" s="273"/>
      <c r="BA423" s="273"/>
    </row>
    <row r="424">
      <c r="A424" s="273"/>
      <c r="B424" s="273"/>
      <c r="C424" s="745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273"/>
      <c r="AP424" s="273"/>
      <c r="AQ424" s="273"/>
      <c r="AR424" s="273"/>
      <c r="AS424" s="273"/>
      <c r="AT424" s="273"/>
      <c r="AU424" s="273"/>
      <c r="AV424" s="273"/>
      <c r="AW424" s="273"/>
      <c r="AX424" s="273"/>
      <c r="AY424" s="273"/>
      <c r="AZ424" s="273"/>
      <c r="BA424" s="273"/>
    </row>
    <row r="425">
      <c r="A425" s="273"/>
      <c r="B425" s="273"/>
      <c r="C425" s="745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  <c r="AJ425" s="273"/>
      <c r="AK425" s="273"/>
      <c r="AL425" s="273"/>
      <c r="AM425" s="273"/>
      <c r="AN425" s="273"/>
      <c r="AO425" s="273"/>
      <c r="AP425" s="273"/>
      <c r="AQ425" s="273"/>
      <c r="AR425" s="273"/>
      <c r="AS425" s="273"/>
      <c r="AT425" s="273"/>
      <c r="AU425" s="273"/>
      <c r="AV425" s="273"/>
      <c r="AW425" s="273"/>
      <c r="AX425" s="273"/>
      <c r="AY425" s="273"/>
      <c r="AZ425" s="273"/>
      <c r="BA425" s="273"/>
    </row>
    <row r="426">
      <c r="A426" s="273"/>
      <c r="B426" s="273"/>
      <c r="C426" s="745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273"/>
      <c r="AP426" s="273"/>
      <c r="AQ426" s="273"/>
      <c r="AR426" s="273"/>
      <c r="AS426" s="273"/>
      <c r="AT426" s="273"/>
      <c r="AU426" s="273"/>
      <c r="AV426" s="273"/>
      <c r="AW426" s="273"/>
      <c r="AX426" s="273"/>
      <c r="AY426" s="273"/>
      <c r="AZ426" s="273"/>
      <c r="BA426" s="273"/>
    </row>
    <row r="427">
      <c r="A427" s="273"/>
      <c r="B427" s="273"/>
      <c r="C427" s="745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  <c r="AJ427" s="273"/>
      <c r="AK427" s="273"/>
      <c r="AL427" s="273"/>
      <c r="AM427" s="273"/>
      <c r="AN427" s="273"/>
      <c r="AO427" s="273"/>
      <c r="AP427" s="273"/>
      <c r="AQ427" s="273"/>
      <c r="AR427" s="273"/>
      <c r="AS427" s="273"/>
      <c r="AT427" s="273"/>
      <c r="AU427" s="273"/>
      <c r="AV427" s="273"/>
      <c r="AW427" s="273"/>
      <c r="AX427" s="273"/>
      <c r="AY427" s="273"/>
      <c r="AZ427" s="273"/>
      <c r="BA427" s="273"/>
    </row>
    <row r="428">
      <c r="A428" s="273"/>
      <c r="B428" s="273"/>
      <c r="C428" s="745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273"/>
      <c r="AP428" s="273"/>
      <c r="AQ428" s="273"/>
      <c r="AR428" s="273"/>
      <c r="AS428" s="273"/>
      <c r="AT428" s="273"/>
      <c r="AU428" s="273"/>
      <c r="AV428" s="273"/>
      <c r="AW428" s="273"/>
      <c r="AX428" s="273"/>
      <c r="AY428" s="273"/>
      <c r="AZ428" s="273"/>
      <c r="BA428" s="273"/>
    </row>
    <row r="429">
      <c r="A429" s="273"/>
      <c r="B429" s="273"/>
      <c r="C429" s="745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  <c r="AJ429" s="273"/>
      <c r="AK429" s="273"/>
      <c r="AL429" s="273"/>
      <c r="AM429" s="273"/>
      <c r="AN429" s="273"/>
      <c r="AO429" s="273"/>
      <c r="AP429" s="273"/>
      <c r="AQ429" s="273"/>
      <c r="AR429" s="273"/>
      <c r="AS429" s="273"/>
      <c r="AT429" s="273"/>
      <c r="AU429" s="273"/>
      <c r="AV429" s="273"/>
      <c r="AW429" s="273"/>
      <c r="AX429" s="273"/>
      <c r="AY429" s="273"/>
      <c r="AZ429" s="273"/>
      <c r="BA429" s="273"/>
    </row>
    <row r="430">
      <c r="A430" s="273"/>
      <c r="B430" s="273"/>
      <c r="C430" s="745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273"/>
      <c r="AP430" s="273"/>
      <c r="AQ430" s="273"/>
      <c r="AR430" s="273"/>
      <c r="AS430" s="273"/>
      <c r="AT430" s="273"/>
      <c r="AU430" s="273"/>
      <c r="AV430" s="273"/>
      <c r="AW430" s="273"/>
      <c r="AX430" s="273"/>
      <c r="AY430" s="273"/>
      <c r="AZ430" s="273"/>
      <c r="BA430" s="273"/>
    </row>
    <row r="431">
      <c r="A431" s="273"/>
      <c r="B431" s="273"/>
      <c r="C431" s="745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  <c r="AJ431" s="273"/>
      <c r="AK431" s="273"/>
      <c r="AL431" s="273"/>
      <c r="AM431" s="273"/>
      <c r="AN431" s="273"/>
      <c r="AO431" s="273"/>
      <c r="AP431" s="273"/>
      <c r="AQ431" s="273"/>
      <c r="AR431" s="273"/>
      <c r="AS431" s="273"/>
      <c r="AT431" s="273"/>
      <c r="AU431" s="273"/>
      <c r="AV431" s="273"/>
      <c r="AW431" s="273"/>
      <c r="AX431" s="273"/>
      <c r="AY431" s="273"/>
      <c r="AZ431" s="273"/>
      <c r="BA431" s="273"/>
    </row>
    <row r="432">
      <c r="A432" s="273"/>
      <c r="B432" s="273"/>
      <c r="C432" s="745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273"/>
      <c r="AP432" s="273"/>
      <c r="AQ432" s="273"/>
      <c r="AR432" s="273"/>
      <c r="AS432" s="273"/>
      <c r="AT432" s="273"/>
      <c r="AU432" s="273"/>
      <c r="AV432" s="273"/>
      <c r="AW432" s="273"/>
      <c r="AX432" s="273"/>
      <c r="AY432" s="273"/>
      <c r="AZ432" s="273"/>
      <c r="BA432" s="273"/>
    </row>
    <row r="433">
      <c r="A433" s="273"/>
      <c r="B433" s="273"/>
      <c r="C433" s="745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  <c r="AJ433" s="273"/>
      <c r="AK433" s="273"/>
      <c r="AL433" s="273"/>
      <c r="AM433" s="273"/>
      <c r="AN433" s="273"/>
      <c r="AO433" s="273"/>
      <c r="AP433" s="273"/>
      <c r="AQ433" s="273"/>
      <c r="AR433" s="273"/>
      <c r="AS433" s="273"/>
      <c r="AT433" s="273"/>
      <c r="AU433" s="273"/>
      <c r="AV433" s="273"/>
      <c r="AW433" s="273"/>
      <c r="AX433" s="273"/>
      <c r="AY433" s="273"/>
      <c r="AZ433" s="273"/>
      <c r="BA433" s="273"/>
    </row>
    <row r="434">
      <c r="A434" s="273"/>
      <c r="B434" s="273"/>
      <c r="C434" s="745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273"/>
      <c r="AP434" s="273"/>
      <c r="AQ434" s="273"/>
      <c r="AR434" s="273"/>
      <c r="AS434" s="273"/>
      <c r="AT434" s="273"/>
      <c r="AU434" s="273"/>
      <c r="AV434" s="273"/>
      <c r="AW434" s="273"/>
      <c r="AX434" s="273"/>
      <c r="AY434" s="273"/>
      <c r="AZ434" s="273"/>
      <c r="BA434" s="273"/>
    </row>
    <row r="435">
      <c r="A435" s="273"/>
      <c r="B435" s="273"/>
      <c r="C435" s="745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  <c r="AJ435" s="273"/>
      <c r="AK435" s="273"/>
      <c r="AL435" s="273"/>
      <c r="AM435" s="273"/>
      <c r="AN435" s="273"/>
      <c r="AO435" s="273"/>
      <c r="AP435" s="273"/>
      <c r="AQ435" s="273"/>
      <c r="AR435" s="273"/>
      <c r="AS435" s="273"/>
      <c r="AT435" s="273"/>
      <c r="AU435" s="273"/>
      <c r="AV435" s="273"/>
      <c r="AW435" s="273"/>
      <c r="AX435" s="273"/>
      <c r="AY435" s="273"/>
      <c r="AZ435" s="273"/>
      <c r="BA435" s="273"/>
    </row>
    <row r="436">
      <c r="A436" s="273"/>
      <c r="B436" s="273"/>
      <c r="C436" s="745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273"/>
      <c r="AP436" s="273"/>
      <c r="AQ436" s="273"/>
      <c r="AR436" s="273"/>
      <c r="AS436" s="273"/>
      <c r="AT436" s="273"/>
      <c r="AU436" s="273"/>
      <c r="AV436" s="273"/>
      <c r="AW436" s="273"/>
      <c r="AX436" s="273"/>
      <c r="AY436" s="273"/>
      <c r="AZ436" s="273"/>
      <c r="BA436" s="273"/>
    </row>
    <row r="437">
      <c r="A437" s="273"/>
      <c r="B437" s="273"/>
      <c r="C437" s="745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  <c r="AJ437" s="273"/>
      <c r="AK437" s="273"/>
      <c r="AL437" s="273"/>
      <c r="AM437" s="273"/>
      <c r="AN437" s="273"/>
      <c r="AO437" s="273"/>
      <c r="AP437" s="273"/>
      <c r="AQ437" s="273"/>
      <c r="AR437" s="273"/>
      <c r="AS437" s="273"/>
      <c r="AT437" s="273"/>
      <c r="AU437" s="273"/>
      <c r="AV437" s="273"/>
      <c r="AW437" s="273"/>
      <c r="AX437" s="273"/>
      <c r="AY437" s="273"/>
      <c r="AZ437" s="273"/>
      <c r="BA437" s="273"/>
    </row>
    <row r="438">
      <c r="A438" s="273"/>
      <c r="B438" s="273"/>
      <c r="C438" s="745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273"/>
      <c r="AP438" s="273"/>
      <c r="AQ438" s="273"/>
      <c r="AR438" s="273"/>
      <c r="AS438" s="273"/>
      <c r="AT438" s="273"/>
      <c r="AU438" s="273"/>
      <c r="AV438" s="273"/>
      <c r="AW438" s="273"/>
      <c r="AX438" s="273"/>
      <c r="AY438" s="273"/>
      <c r="AZ438" s="273"/>
      <c r="BA438" s="273"/>
    </row>
    <row r="439">
      <c r="A439" s="273"/>
      <c r="B439" s="273"/>
      <c r="C439" s="745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  <c r="AJ439" s="273"/>
      <c r="AK439" s="273"/>
      <c r="AL439" s="273"/>
      <c r="AM439" s="273"/>
      <c r="AN439" s="273"/>
      <c r="AO439" s="273"/>
      <c r="AP439" s="273"/>
      <c r="AQ439" s="273"/>
      <c r="AR439" s="273"/>
      <c r="AS439" s="273"/>
      <c r="AT439" s="273"/>
      <c r="AU439" s="273"/>
      <c r="AV439" s="273"/>
      <c r="AW439" s="273"/>
      <c r="AX439" s="273"/>
      <c r="AY439" s="273"/>
      <c r="AZ439" s="273"/>
      <c r="BA439" s="273"/>
    </row>
    <row r="440">
      <c r="A440" s="273"/>
      <c r="B440" s="273"/>
      <c r="C440" s="745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273"/>
      <c r="AP440" s="273"/>
      <c r="AQ440" s="273"/>
      <c r="AR440" s="273"/>
      <c r="AS440" s="273"/>
      <c r="AT440" s="273"/>
      <c r="AU440" s="273"/>
      <c r="AV440" s="273"/>
      <c r="AW440" s="273"/>
      <c r="AX440" s="273"/>
      <c r="AY440" s="273"/>
      <c r="AZ440" s="273"/>
      <c r="BA440" s="273"/>
    </row>
    <row r="441">
      <c r="A441" s="273"/>
      <c r="B441" s="273"/>
      <c r="C441" s="745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  <c r="AJ441" s="273"/>
      <c r="AK441" s="273"/>
      <c r="AL441" s="273"/>
      <c r="AM441" s="273"/>
      <c r="AN441" s="273"/>
      <c r="AO441" s="273"/>
      <c r="AP441" s="273"/>
      <c r="AQ441" s="273"/>
      <c r="AR441" s="273"/>
      <c r="AS441" s="273"/>
      <c r="AT441" s="273"/>
      <c r="AU441" s="273"/>
      <c r="AV441" s="273"/>
      <c r="AW441" s="273"/>
      <c r="AX441" s="273"/>
      <c r="AY441" s="273"/>
      <c r="AZ441" s="273"/>
      <c r="BA441" s="273"/>
    </row>
    <row r="442">
      <c r="A442" s="273"/>
      <c r="B442" s="273"/>
      <c r="C442" s="745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273"/>
      <c r="AP442" s="273"/>
      <c r="AQ442" s="273"/>
      <c r="AR442" s="273"/>
      <c r="AS442" s="273"/>
      <c r="AT442" s="273"/>
      <c r="AU442" s="273"/>
      <c r="AV442" s="273"/>
      <c r="AW442" s="273"/>
      <c r="AX442" s="273"/>
      <c r="AY442" s="273"/>
      <c r="AZ442" s="273"/>
      <c r="BA442" s="273"/>
    </row>
    <row r="443">
      <c r="A443" s="273"/>
      <c r="B443" s="273"/>
      <c r="C443" s="745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  <c r="AJ443" s="273"/>
      <c r="AK443" s="273"/>
      <c r="AL443" s="273"/>
      <c r="AM443" s="273"/>
      <c r="AN443" s="273"/>
      <c r="AO443" s="273"/>
      <c r="AP443" s="273"/>
      <c r="AQ443" s="273"/>
      <c r="AR443" s="273"/>
      <c r="AS443" s="273"/>
      <c r="AT443" s="273"/>
      <c r="AU443" s="273"/>
      <c r="AV443" s="273"/>
      <c r="AW443" s="273"/>
      <c r="AX443" s="273"/>
      <c r="AY443" s="273"/>
      <c r="AZ443" s="273"/>
      <c r="BA443" s="273"/>
    </row>
    <row r="444">
      <c r="A444" s="273"/>
      <c r="B444" s="273"/>
      <c r="C444" s="745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273"/>
      <c r="AP444" s="273"/>
      <c r="AQ444" s="273"/>
      <c r="AR444" s="273"/>
      <c r="AS444" s="273"/>
      <c r="AT444" s="273"/>
      <c r="AU444" s="273"/>
      <c r="AV444" s="273"/>
      <c r="AW444" s="273"/>
      <c r="AX444" s="273"/>
      <c r="AY444" s="273"/>
      <c r="AZ444" s="273"/>
      <c r="BA444" s="273"/>
    </row>
    <row r="445">
      <c r="A445" s="273"/>
      <c r="B445" s="273"/>
      <c r="C445" s="745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  <c r="AJ445" s="273"/>
      <c r="AK445" s="273"/>
      <c r="AL445" s="273"/>
      <c r="AM445" s="273"/>
      <c r="AN445" s="273"/>
      <c r="AO445" s="273"/>
      <c r="AP445" s="273"/>
      <c r="AQ445" s="273"/>
      <c r="AR445" s="273"/>
      <c r="AS445" s="273"/>
      <c r="AT445" s="273"/>
      <c r="AU445" s="273"/>
      <c r="AV445" s="273"/>
      <c r="AW445" s="273"/>
      <c r="AX445" s="273"/>
      <c r="AY445" s="273"/>
      <c r="AZ445" s="273"/>
      <c r="BA445" s="273"/>
    </row>
    <row r="446">
      <c r="A446" s="273"/>
      <c r="B446" s="273"/>
      <c r="C446" s="745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273"/>
      <c r="AP446" s="273"/>
      <c r="AQ446" s="273"/>
      <c r="AR446" s="273"/>
      <c r="AS446" s="273"/>
      <c r="AT446" s="273"/>
      <c r="AU446" s="273"/>
      <c r="AV446" s="273"/>
      <c r="AW446" s="273"/>
      <c r="AX446" s="273"/>
      <c r="AY446" s="273"/>
      <c r="AZ446" s="273"/>
      <c r="BA446" s="273"/>
    </row>
    <row r="447">
      <c r="A447" s="273"/>
      <c r="B447" s="273"/>
      <c r="C447" s="745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  <c r="AJ447" s="273"/>
      <c r="AK447" s="273"/>
      <c r="AL447" s="273"/>
      <c r="AM447" s="273"/>
      <c r="AN447" s="273"/>
      <c r="AO447" s="273"/>
      <c r="AP447" s="273"/>
      <c r="AQ447" s="273"/>
      <c r="AR447" s="273"/>
      <c r="AS447" s="273"/>
      <c r="AT447" s="273"/>
      <c r="AU447" s="273"/>
      <c r="AV447" s="273"/>
      <c r="AW447" s="273"/>
      <c r="AX447" s="273"/>
      <c r="AY447" s="273"/>
      <c r="AZ447" s="273"/>
      <c r="BA447" s="273"/>
    </row>
    <row r="448">
      <c r="A448" s="273"/>
      <c r="B448" s="273"/>
      <c r="C448" s="745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273"/>
      <c r="AP448" s="273"/>
      <c r="AQ448" s="273"/>
      <c r="AR448" s="273"/>
      <c r="AS448" s="273"/>
      <c r="AT448" s="273"/>
      <c r="AU448" s="273"/>
      <c r="AV448" s="273"/>
      <c r="AW448" s="273"/>
      <c r="AX448" s="273"/>
      <c r="AY448" s="273"/>
      <c r="AZ448" s="273"/>
      <c r="BA448" s="273"/>
    </row>
    <row r="449">
      <c r="A449" s="273"/>
      <c r="B449" s="273"/>
      <c r="C449" s="745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  <c r="AJ449" s="273"/>
      <c r="AK449" s="273"/>
      <c r="AL449" s="273"/>
      <c r="AM449" s="273"/>
      <c r="AN449" s="273"/>
      <c r="AO449" s="273"/>
      <c r="AP449" s="273"/>
      <c r="AQ449" s="273"/>
      <c r="AR449" s="273"/>
      <c r="AS449" s="273"/>
      <c r="AT449" s="273"/>
      <c r="AU449" s="273"/>
      <c r="AV449" s="273"/>
      <c r="AW449" s="273"/>
      <c r="AX449" s="273"/>
      <c r="AY449" s="273"/>
      <c r="AZ449" s="273"/>
      <c r="BA449" s="273"/>
    </row>
    <row r="450">
      <c r="A450" s="273"/>
      <c r="B450" s="273"/>
      <c r="C450" s="745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273"/>
      <c r="AP450" s="273"/>
      <c r="AQ450" s="273"/>
      <c r="AR450" s="273"/>
      <c r="AS450" s="273"/>
      <c r="AT450" s="273"/>
      <c r="AU450" s="273"/>
      <c r="AV450" s="273"/>
      <c r="AW450" s="273"/>
      <c r="AX450" s="273"/>
      <c r="AY450" s="273"/>
      <c r="AZ450" s="273"/>
      <c r="BA450" s="273"/>
    </row>
    <row r="451">
      <c r="A451" s="273"/>
      <c r="B451" s="273"/>
      <c r="C451" s="745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  <c r="AJ451" s="273"/>
      <c r="AK451" s="273"/>
      <c r="AL451" s="273"/>
      <c r="AM451" s="273"/>
      <c r="AN451" s="273"/>
      <c r="AO451" s="273"/>
      <c r="AP451" s="273"/>
      <c r="AQ451" s="273"/>
      <c r="AR451" s="273"/>
      <c r="AS451" s="273"/>
      <c r="AT451" s="273"/>
      <c r="AU451" s="273"/>
      <c r="AV451" s="273"/>
      <c r="AW451" s="273"/>
      <c r="AX451" s="273"/>
      <c r="AY451" s="273"/>
      <c r="AZ451" s="273"/>
      <c r="BA451" s="273"/>
    </row>
    <row r="452">
      <c r="A452" s="273"/>
      <c r="B452" s="273"/>
      <c r="C452" s="745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273"/>
      <c r="AP452" s="273"/>
      <c r="AQ452" s="273"/>
      <c r="AR452" s="273"/>
      <c r="AS452" s="273"/>
      <c r="AT452" s="273"/>
      <c r="AU452" s="273"/>
      <c r="AV452" s="273"/>
      <c r="AW452" s="273"/>
      <c r="AX452" s="273"/>
      <c r="AY452" s="273"/>
      <c r="AZ452" s="273"/>
      <c r="BA452" s="273"/>
    </row>
    <row r="453">
      <c r="A453" s="273"/>
      <c r="B453" s="273"/>
      <c r="C453" s="745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  <c r="AJ453" s="273"/>
      <c r="AK453" s="273"/>
      <c r="AL453" s="273"/>
      <c r="AM453" s="273"/>
      <c r="AN453" s="273"/>
      <c r="AO453" s="273"/>
      <c r="AP453" s="273"/>
      <c r="AQ453" s="273"/>
      <c r="AR453" s="273"/>
      <c r="AS453" s="273"/>
      <c r="AT453" s="273"/>
      <c r="AU453" s="273"/>
      <c r="AV453" s="273"/>
      <c r="AW453" s="273"/>
      <c r="AX453" s="273"/>
      <c r="AY453" s="273"/>
      <c r="AZ453" s="273"/>
      <c r="BA453" s="273"/>
    </row>
    <row r="454">
      <c r="A454" s="273"/>
      <c r="B454" s="273"/>
      <c r="C454" s="745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273"/>
      <c r="AP454" s="273"/>
      <c r="AQ454" s="273"/>
      <c r="AR454" s="273"/>
      <c r="AS454" s="273"/>
      <c r="AT454" s="273"/>
      <c r="AU454" s="273"/>
      <c r="AV454" s="273"/>
      <c r="AW454" s="273"/>
      <c r="AX454" s="273"/>
      <c r="AY454" s="273"/>
      <c r="AZ454" s="273"/>
      <c r="BA454" s="273"/>
    </row>
    <row r="455">
      <c r="A455" s="273"/>
      <c r="B455" s="273"/>
      <c r="C455" s="745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  <c r="AJ455" s="273"/>
      <c r="AK455" s="273"/>
      <c r="AL455" s="273"/>
      <c r="AM455" s="273"/>
      <c r="AN455" s="273"/>
      <c r="AO455" s="273"/>
      <c r="AP455" s="273"/>
      <c r="AQ455" s="273"/>
      <c r="AR455" s="273"/>
      <c r="AS455" s="273"/>
      <c r="AT455" s="273"/>
      <c r="AU455" s="273"/>
      <c r="AV455" s="273"/>
      <c r="AW455" s="273"/>
      <c r="AX455" s="273"/>
      <c r="AY455" s="273"/>
      <c r="AZ455" s="273"/>
      <c r="BA455" s="273"/>
    </row>
    <row r="456">
      <c r="A456" s="273"/>
      <c r="B456" s="273"/>
      <c r="C456" s="745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273"/>
      <c r="AP456" s="273"/>
      <c r="AQ456" s="273"/>
      <c r="AR456" s="273"/>
      <c r="AS456" s="273"/>
      <c r="AT456" s="273"/>
      <c r="AU456" s="273"/>
      <c r="AV456" s="273"/>
      <c r="AW456" s="273"/>
      <c r="AX456" s="273"/>
      <c r="AY456" s="273"/>
      <c r="AZ456" s="273"/>
      <c r="BA456" s="273"/>
    </row>
    <row r="457">
      <c r="A457" s="273"/>
      <c r="B457" s="273"/>
      <c r="C457" s="745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  <c r="AJ457" s="273"/>
      <c r="AK457" s="273"/>
      <c r="AL457" s="273"/>
      <c r="AM457" s="273"/>
      <c r="AN457" s="273"/>
      <c r="AO457" s="273"/>
      <c r="AP457" s="273"/>
      <c r="AQ457" s="273"/>
      <c r="AR457" s="273"/>
      <c r="AS457" s="273"/>
      <c r="AT457" s="273"/>
      <c r="AU457" s="273"/>
      <c r="AV457" s="273"/>
      <c r="AW457" s="273"/>
      <c r="AX457" s="273"/>
      <c r="AY457" s="273"/>
      <c r="AZ457" s="273"/>
      <c r="BA457" s="273"/>
    </row>
    <row r="458">
      <c r="A458" s="273"/>
      <c r="B458" s="273"/>
      <c r="C458" s="745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273"/>
      <c r="AP458" s="273"/>
      <c r="AQ458" s="273"/>
      <c r="AR458" s="273"/>
      <c r="AS458" s="273"/>
      <c r="AT458" s="273"/>
      <c r="AU458" s="273"/>
      <c r="AV458" s="273"/>
      <c r="AW458" s="273"/>
      <c r="AX458" s="273"/>
      <c r="AY458" s="273"/>
      <c r="AZ458" s="273"/>
      <c r="BA458" s="273"/>
    </row>
    <row r="459">
      <c r="A459" s="273"/>
      <c r="B459" s="273"/>
      <c r="C459" s="745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  <c r="AJ459" s="273"/>
      <c r="AK459" s="273"/>
      <c r="AL459" s="273"/>
      <c r="AM459" s="273"/>
      <c r="AN459" s="273"/>
      <c r="AO459" s="273"/>
      <c r="AP459" s="273"/>
      <c r="AQ459" s="273"/>
      <c r="AR459" s="273"/>
      <c r="AS459" s="273"/>
      <c r="AT459" s="273"/>
      <c r="AU459" s="273"/>
      <c r="AV459" s="273"/>
      <c r="AW459" s="273"/>
      <c r="AX459" s="273"/>
      <c r="AY459" s="273"/>
      <c r="AZ459" s="273"/>
      <c r="BA459" s="273"/>
    </row>
    <row r="460">
      <c r="A460" s="273"/>
      <c r="B460" s="273"/>
      <c r="C460" s="745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  <c r="AW460" s="273"/>
      <c r="AX460" s="273"/>
      <c r="AY460" s="273"/>
      <c r="AZ460" s="273"/>
      <c r="BA460" s="273"/>
    </row>
    <row r="461">
      <c r="A461" s="273"/>
      <c r="B461" s="273"/>
      <c r="C461" s="745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  <c r="AW461" s="273"/>
      <c r="AX461" s="273"/>
      <c r="AY461" s="273"/>
      <c r="AZ461" s="273"/>
      <c r="BA461" s="273"/>
    </row>
    <row r="462">
      <c r="A462" s="273"/>
      <c r="B462" s="273"/>
      <c r="C462" s="745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273"/>
      <c r="AP462" s="273"/>
      <c r="AQ462" s="273"/>
      <c r="AR462" s="273"/>
      <c r="AS462" s="273"/>
      <c r="AT462" s="273"/>
      <c r="AU462" s="273"/>
      <c r="AV462" s="273"/>
      <c r="AW462" s="273"/>
      <c r="AX462" s="273"/>
      <c r="AY462" s="273"/>
      <c r="AZ462" s="273"/>
      <c r="BA462" s="273"/>
    </row>
    <row r="463">
      <c r="A463" s="273"/>
      <c r="B463" s="273"/>
      <c r="C463" s="745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  <c r="AJ463" s="273"/>
      <c r="AK463" s="273"/>
      <c r="AL463" s="273"/>
      <c r="AM463" s="273"/>
      <c r="AN463" s="273"/>
      <c r="AO463" s="273"/>
      <c r="AP463" s="273"/>
      <c r="AQ463" s="273"/>
      <c r="AR463" s="273"/>
      <c r="AS463" s="273"/>
      <c r="AT463" s="273"/>
      <c r="AU463" s="273"/>
      <c r="AV463" s="273"/>
      <c r="AW463" s="273"/>
      <c r="AX463" s="273"/>
      <c r="AY463" s="273"/>
      <c r="AZ463" s="273"/>
      <c r="BA463" s="273"/>
    </row>
    <row r="464">
      <c r="A464" s="273"/>
      <c r="B464" s="273"/>
      <c r="C464" s="745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273"/>
      <c r="AP464" s="273"/>
      <c r="AQ464" s="273"/>
      <c r="AR464" s="273"/>
      <c r="AS464" s="273"/>
      <c r="AT464" s="273"/>
      <c r="AU464" s="273"/>
      <c r="AV464" s="273"/>
      <c r="AW464" s="273"/>
      <c r="AX464" s="273"/>
      <c r="AY464" s="273"/>
      <c r="AZ464" s="273"/>
      <c r="BA464" s="273"/>
    </row>
    <row r="465">
      <c r="A465" s="273"/>
      <c r="B465" s="273"/>
      <c r="C465" s="745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  <c r="AJ465" s="273"/>
      <c r="AK465" s="273"/>
      <c r="AL465" s="273"/>
      <c r="AM465" s="273"/>
      <c r="AN465" s="273"/>
      <c r="AO465" s="273"/>
      <c r="AP465" s="273"/>
      <c r="AQ465" s="273"/>
      <c r="AR465" s="273"/>
      <c r="AS465" s="273"/>
      <c r="AT465" s="273"/>
      <c r="AU465" s="273"/>
      <c r="AV465" s="273"/>
      <c r="AW465" s="273"/>
      <c r="AX465" s="273"/>
      <c r="AY465" s="273"/>
      <c r="AZ465" s="273"/>
      <c r="BA465" s="273"/>
    </row>
    <row r="466">
      <c r="A466" s="273"/>
      <c r="B466" s="273"/>
      <c r="C466" s="745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273"/>
      <c r="AP466" s="273"/>
      <c r="AQ466" s="273"/>
      <c r="AR466" s="273"/>
      <c r="AS466" s="273"/>
      <c r="AT466" s="273"/>
      <c r="AU466" s="273"/>
      <c r="AV466" s="273"/>
      <c r="AW466" s="273"/>
      <c r="AX466" s="273"/>
      <c r="AY466" s="273"/>
      <c r="AZ466" s="273"/>
      <c r="BA466" s="273"/>
    </row>
    <row r="467">
      <c r="A467" s="273"/>
      <c r="B467" s="273"/>
      <c r="C467" s="745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  <c r="AJ467" s="273"/>
      <c r="AK467" s="273"/>
      <c r="AL467" s="273"/>
      <c r="AM467" s="273"/>
      <c r="AN467" s="273"/>
      <c r="AO467" s="273"/>
      <c r="AP467" s="273"/>
      <c r="AQ467" s="273"/>
      <c r="AR467" s="273"/>
      <c r="AS467" s="273"/>
      <c r="AT467" s="273"/>
      <c r="AU467" s="273"/>
      <c r="AV467" s="273"/>
      <c r="AW467" s="273"/>
      <c r="AX467" s="273"/>
      <c r="AY467" s="273"/>
      <c r="AZ467" s="273"/>
      <c r="BA467" s="273"/>
    </row>
    <row r="468">
      <c r="A468" s="273"/>
      <c r="B468" s="273"/>
      <c r="C468" s="745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273"/>
      <c r="AP468" s="273"/>
      <c r="AQ468" s="273"/>
      <c r="AR468" s="273"/>
      <c r="AS468" s="273"/>
      <c r="AT468" s="273"/>
      <c r="AU468" s="273"/>
      <c r="AV468" s="273"/>
      <c r="AW468" s="273"/>
      <c r="AX468" s="273"/>
      <c r="AY468" s="273"/>
      <c r="AZ468" s="273"/>
      <c r="BA468" s="273"/>
    </row>
    <row r="469">
      <c r="A469" s="273"/>
      <c r="B469" s="273"/>
      <c r="C469" s="745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  <c r="AJ469" s="273"/>
      <c r="AK469" s="273"/>
      <c r="AL469" s="273"/>
      <c r="AM469" s="273"/>
      <c r="AN469" s="273"/>
      <c r="AO469" s="273"/>
      <c r="AP469" s="273"/>
      <c r="AQ469" s="273"/>
      <c r="AR469" s="273"/>
      <c r="AS469" s="273"/>
      <c r="AT469" s="273"/>
      <c r="AU469" s="273"/>
      <c r="AV469" s="273"/>
      <c r="AW469" s="273"/>
      <c r="AX469" s="273"/>
      <c r="AY469" s="273"/>
      <c r="AZ469" s="273"/>
      <c r="BA469" s="273"/>
    </row>
    <row r="470">
      <c r="A470" s="273"/>
      <c r="B470" s="273"/>
      <c r="C470" s="745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273"/>
      <c r="AP470" s="273"/>
      <c r="AQ470" s="273"/>
      <c r="AR470" s="273"/>
      <c r="AS470" s="273"/>
      <c r="AT470" s="273"/>
      <c r="AU470" s="273"/>
      <c r="AV470" s="273"/>
      <c r="AW470" s="273"/>
      <c r="AX470" s="273"/>
      <c r="AY470" s="273"/>
      <c r="AZ470" s="273"/>
      <c r="BA470" s="273"/>
    </row>
    <row r="471">
      <c r="A471" s="273"/>
      <c r="B471" s="273"/>
      <c r="C471" s="745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  <c r="AJ471" s="273"/>
      <c r="AK471" s="273"/>
      <c r="AL471" s="273"/>
      <c r="AM471" s="273"/>
      <c r="AN471" s="273"/>
      <c r="AO471" s="273"/>
      <c r="AP471" s="273"/>
      <c r="AQ471" s="273"/>
      <c r="AR471" s="273"/>
      <c r="AS471" s="273"/>
      <c r="AT471" s="273"/>
      <c r="AU471" s="273"/>
      <c r="AV471" s="273"/>
      <c r="AW471" s="273"/>
      <c r="AX471" s="273"/>
      <c r="AY471" s="273"/>
      <c r="AZ471" s="273"/>
      <c r="BA471" s="273"/>
    </row>
    <row r="472">
      <c r="A472" s="273"/>
      <c r="B472" s="273"/>
      <c r="C472" s="745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273"/>
      <c r="AP472" s="273"/>
      <c r="AQ472" s="273"/>
      <c r="AR472" s="273"/>
      <c r="AS472" s="273"/>
      <c r="AT472" s="273"/>
      <c r="AU472" s="273"/>
      <c r="AV472" s="273"/>
      <c r="AW472" s="273"/>
      <c r="AX472" s="273"/>
      <c r="AY472" s="273"/>
      <c r="AZ472" s="273"/>
      <c r="BA472" s="273"/>
    </row>
    <row r="473">
      <c r="A473" s="273"/>
      <c r="B473" s="273"/>
      <c r="C473" s="745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  <c r="AJ473" s="273"/>
      <c r="AK473" s="273"/>
      <c r="AL473" s="273"/>
      <c r="AM473" s="273"/>
      <c r="AN473" s="273"/>
      <c r="AO473" s="273"/>
      <c r="AP473" s="273"/>
      <c r="AQ473" s="273"/>
      <c r="AR473" s="273"/>
      <c r="AS473" s="273"/>
      <c r="AT473" s="273"/>
      <c r="AU473" s="273"/>
      <c r="AV473" s="273"/>
      <c r="AW473" s="273"/>
      <c r="AX473" s="273"/>
      <c r="AY473" s="273"/>
      <c r="AZ473" s="273"/>
      <c r="BA473" s="273"/>
    </row>
    <row r="474">
      <c r="A474" s="273"/>
      <c r="B474" s="273"/>
      <c r="C474" s="745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273"/>
      <c r="AP474" s="273"/>
      <c r="AQ474" s="273"/>
      <c r="AR474" s="273"/>
      <c r="AS474" s="273"/>
      <c r="AT474" s="273"/>
      <c r="AU474" s="273"/>
      <c r="AV474" s="273"/>
      <c r="AW474" s="273"/>
      <c r="AX474" s="273"/>
      <c r="AY474" s="273"/>
      <c r="AZ474" s="273"/>
      <c r="BA474" s="273"/>
    </row>
    <row r="475">
      <c r="A475" s="273"/>
      <c r="B475" s="273"/>
      <c r="C475" s="745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  <c r="AJ475" s="273"/>
      <c r="AK475" s="273"/>
      <c r="AL475" s="273"/>
      <c r="AM475" s="273"/>
      <c r="AN475" s="273"/>
      <c r="AO475" s="273"/>
      <c r="AP475" s="273"/>
      <c r="AQ475" s="273"/>
      <c r="AR475" s="273"/>
      <c r="AS475" s="273"/>
      <c r="AT475" s="273"/>
      <c r="AU475" s="273"/>
      <c r="AV475" s="273"/>
      <c r="AW475" s="273"/>
      <c r="AX475" s="273"/>
      <c r="AY475" s="273"/>
      <c r="AZ475" s="273"/>
      <c r="BA475" s="273"/>
    </row>
    <row r="476">
      <c r="A476" s="273"/>
      <c r="B476" s="273"/>
      <c r="C476" s="745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273"/>
      <c r="AP476" s="273"/>
      <c r="AQ476" s="273"/>
      <c r="AR476" s="273"/>
      <c r="AS476" s="273"/>
      <c r="AT476" s="273"/>
      <c r="AU476" s="273"/>
      <c r="AV476" s="273"/>
      <c r="AW476" s="273"/>
      <c r="AX476" s="273"/>
      <c r="AY476" s="273"/>
      <c r="AZ476" s="273"/>
      <c r="BA476" s="273"/>
    </row>
    <row r="477">
      <c r="A477" s="273"/>
      <c r="B477" s="273"/>
      <c r="C477" s="745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  <c r="AJ477" s="273"/>
      <c r="AK477" s="273"/>
      <c r="AL477" s="273"/>
      <c r="AM477" s="273"/>
      <c r="AN477" s="273"/>
      <c r="AO477" s="273"/>
      <c r="AP477" s="273"/>
      <c r="AQ477" s="273"/>
      <c r="AR477" s="273"/>
      <c r="AS477" s="273"/>
      <c r="AT477" s="273"/>
      <c r="AU477" s="273"/>
      <c r="AV477" s="273"/>
      <c r="AW477" s="273"/>
      <c r="AX477" s="273"/>
      <c r="AY477" s="273"/>
      <c r="AZ477" s="273"/>
      <c r="BA477" s="273"/>
    </row>
    <row r="478">
      <c r="A478" s="273"/>
      <c r="B478" s="273"/>
      <c r="C478" s="745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273"/>
      <c r="AP478" s="273"/>
      <c r="AQ478" s="273"/>
      <c r="AR478" s="273"/>
      <c r="AS478" s="273"/>
      <c r="AT478" s="273"/>
      <c r="AU478" s="273"/>
      <c r="AV478" s="273"/>
      <c r="AW478" s="273"/>
      <c r="AX478" s="273"/>
      <c r="AY478" s="273"/>
      <c r="AZ478" s="273"/>
      <c r="BA478" s="273"/>
    </row>
    <row r="479">
      <c r="A479" s="273"/>
      <c r="B479" s="273"/>
      <c r="C479" s="745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  <c r="AJ479" s="273"/>
      <c r="AK479" s="273"/>
      <c r="AL479" s="273"/>
      <c r="AM479" s="273"/>
      <c r="AN479" s="273"/>
      <c r="AO479" s="273"/>
      <c r="AP479" s="273"/>
      <c r="AQ479" s="273"/>
      <c r="AR479" s="273"/>
      <c r="AS479" s="273"/>
      <c r="AT479" s="273"/>
      <c r="AU479" s="273"/>
      <c r="AV479" s="273"/>
      <c r="AW479" s="273"/>
      <c r="AX479" s="273"/>
      <c r="AY479" s="273"/>
      <c r="AZ479" s="273"/>
      <c r="BA479" s="273"/>
    </row>
    <row r="480">
      <c r="A480" s="273"/>
      <c r="B480" s="273"/>
      <c r="C480" s="745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273"/>
      <c r="AP480" s="273"/>
      <c r="AQ480" s="273"/>
      <c r="AR480" s="273"/>
      <c r="AS480" s="273"/>
      <c r="AT480" s="273"/>
      <c r="AU480" s="273"/>
      <c r="AV480" s="273"/>
      <c r="AW480" s="273"/>
      <c r="AX480" s="273"/>
      <c r="AY480" s="273"/>
      <c r="AZ480" s="273"/>
      <c r="BA480" s="273"/>
    </row>
    <row r="481">
      <c r="A481" s="273"/>
      <c r="B481" s="273"/>
      <c r="C481" s="745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  <c r="AJ481" s="273"/>
      <c r="AK481" s="273"/>
      <c r="AL481" s="273"/>
      <c r="AM481" s="273"/>
      <c r="AN481" s="273"/>
      <c r="AO481" s="273"/>
      <c r="AP481" s="273"/>
      <c r="AQ481" s="273"/>
      <c r="AR481" s="273"/>
      <c r="AS481" s="273"/>
      <c r="AT481" s="273"/>
      <c r="AU481" s="273"/>
      <c r="AV481" s="273"/>
      <c r="AW481" s="273"/>
      <c r="AX481" s="273"/>
      <c r="AY481" s="273"/>
      <c r="AZ481" s="273"/>
      <c r="BA481" s="273"/>
    </row>
    <row r="482">
      <c r="A482" s="273"/>
      <c r="B482" s="273"/>
      <c r="C482" s="745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273"/>
      <c r="AP482" s="273"/>
      <c r="AQ482" s="273"/>
      <c r="AR482" s="273"/>
      <c r="AS482" s="273"/>
      <c r="AT482" s="273"/>
      <c r="AU482" s="273"/>
      <c r="AV482" s="273"/>
      <c r="AW482" s="273"/>
      <c r="AX482" s="273"/>
      <c r="AY482" s="273"/>
      <c r="AZ482" s="273"/>
      <c r="BA482" s="273"/>
    </row>
    <row r="483">
      <c r="A483" s="273"/>
      <c r="B483" s="273"/>
      <c r="C483" s="745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  <c r="AJ483" s="273"/>
      <c r="AK483" s="273"/>
      <c r="AL483" s="273"/>
      <c r="AM483" s="273"/>
      <c r="AN483" s="273"/>
      <c r="AO483" s="273"/>
      <c r="AP483" s="273"/>
      <c r="AQ483" s="273"/>
      <c r="AR483" s="273"/>
      <c r="AS483" s="273"/>
      <c r="AT483" s="273"/>
      <c r="AU483" s="273"/>
      <c r="AV483" s="273"/>
      <c r="AW483" s="273"/>
      <c r="AX483" s="273"/>
      <c r="AY483" s="273"/>
      <c r="AZ483" s="273"/>
      <c r="BA483" s="273"/>
    </row>
    <row r="484">
      <c r="A484" s="273"/>
      <c r="B484" s="273"/>
      <c r="C484" s="745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273"/>
      <c r="AP484" s="273"/>
      <c r="AQ484" s="273"/>
      <c r="AR484" s="273"/>
      <c r="AS484" s="273"/>
      <c r="AT484" s="273"/>
      <c r="AU484" s="273"/>
      <c r="AV484" s="273"/>
      <c r="AW484" s="273"/>
      <c r="AX484" s="273"/>
      <c r="AY484" s="273"/>
      <c r="AZ484" s="273"/>
      <c r="BA484" s="273"/>
    </row>
    <row r="485">
      <c r="A485" s="273"/>
      <c r="B485" s="273"/>
      <c r="C485" s="745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  <c r="AJ485" s="273"/>
      <c r="AK485" s="273"/>
      <c r="AL485" s="273"/>
      <c r="AM485" s="273"/>
      <c r="AN485" s="273"/>
      <c r="AO485" s="273"/>
      <c r="AP485" s="273"/>
      <c r="AQ485" s="273"/>
      <c r="AR485" s="273"/>
      <c r="AS485" s="273"/>
      <c r="AT485" s="273"/>
      <c r="AU485" s="273"/>
      <c r="AV485" s="273"/>
      <c r="AW485" s="273"/>
      <c r="AX485" s="273"/>
      <c r="AY485" s="273"/>
      <c r="AZ485" s="273"/>
      <c r="BA485" s="273"/>
    </row>
    <row r="486">
      <c r="A486" s="273"/>
      <c r="B486" s="273"/>
      <c r="C486" s="745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273"/>
      <c r="AP486" s="273"/>
      <c r="AQ486" s="273"/>
      <c r="AR486" s="273"/>
      <c r="AS486" s="273"/>
      <c r="AT486" s="273"/>
      <c r="AU486" s="273"/>
      <c r="AV486" s="273"/>
      <c r="AW486" s="273"/>
      <c r="AX486" s="273"/>
      <c r="AY486" s="273"/>
      <c r="AZ486" s="273"/>
      <c r="BA486" s="273"/>
    </row>
    <row r="487">
      <c r="A487" s="273"/>
      <c r="B487" s="273"/>
      <c r="C487" s="745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  <c r="AJ487" s="273"/>
      <c r="AK487" s="273"/>
      <c r="AL487" s="273"/>
      <c r="AM487" s="273"/>
      <c r="AN487" s="273"/>
      <c r="AO487" s="273"/>
      <c r="AP487" s="273"/>
      <c r="AQ487" s="273"/>
      <c r="AR487" s="273"/>
      <c r="AS487" s="273"/>
      <c r="AT487" s="273"/>
      <c r="AU487" s="273"/>
      <c r="AV487" s="273"/>
      <c r="AW487" s="273"/>
      <c r="AX487" s="273"/>
      <c r="AY487" s="273"/>
      <c r="AZ487" s="273"/>
      <c r="BA487" s="273"/>
    </row>
    <row r="488">
      <c r="A488" s="273"/>
      <c r="B488" s="273"/>
      <c r="C488" s="745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273"/>
      <c r="AP488" s="273"/>
      <c r="AQ488" s="273"/>
      <c r="AR488" s="273"/>
      <c r="AS488" s="273"/>
      <c r="AT488" s="273"/>
      <c r="AU488" s="273"/>
      <c r="AV488" s="273"/>
      <c r="AW488" s="273"/>
      <c r="AX488" s="273"/>
      <c r="AY488" s="273"/>
      <c r="AZ488" s="273"/>
      <c r="BA488" s="273"/>
    </row>
    <row r="489">
      <c r="A489" s="273"/>
      <c r="B489" s="273"/>
      <c r="C489" s="745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  <c r="AJ489" s="273"/>
      <c r="AK489" s="273"/>
      <c r="AL489" s="273"/>
      <c r="AM489" s="273"/>
      <c r="AN489" s="273"/>
      <c r="AO489" s="273"/>
      <c r="AP489" s="273"/>
      <c r="AQ489" s="273"/>
      <c r="AR489" s="273"/>
      <c r="AS489" s="273"/>
      <c r="AT489" s="273"/>
      <c r="AU489" s="273"/>
      <c r="AV489" s="273"/>
      <c r="AW489" s="273"/>
      <c r="AX489" s="273"/>
      <c r="AY489" s="273"/>
      <c r="AZ489" s="273"/>
      <c r="BA489" s="273"/>
    </row>
    <row r="490">
      <c r="A490" s="273"/>
      <c r="B490" s="273"/>
      <c r="C490" s="745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273"/>
      <c r="AP490" s="273"/>
      <c r="AQ490" s="273"/>
      <c r="AR490" s="273"/>
      <c r="AS490" s="273"/>
      <c r="AT490" s="273"/>
      <c r="AU490" s="273"/>
      <c r="AV490" s="273"/>
      <c r="AW490" s="273"/>
      <c r="AX490" s="273"/>
      <c r="AY490" s="273"/>
      <c r="AZ490" s="273"/>
      <c r="BA490" s="273"/>
    </row>
    <row r="491">
      <c r="A491" s="273"/>
      <c r="B491" s="273"/>
      <c r="C491" s="745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  <c r="AJ491" s="273"/>
      <c r="AK491" s="273"/>
      <c r="AL491" s="273"/>
      <c r="AM491" s="273"/>
      <c r="AN491" s="273"/>
      <c r="AO491" s="273"/>
      <c r="AP491" s="273"/>
      <c r="AQ491" s="273"/>
      <c r="AR491" s="273"/>
      <c r="AS491" s="273"/>
      <c r="AT491" s="273"/>
      <c r="AU491" s="273"/>
      <c r="AV491" s="273"/>
      <c r="AW491" s="273"/>
      <c r="AX491" s="273"/>
      <c r="AY491" s="273"/>
      <c r="AZ491" s="273"/>
      <c r="BA491" s="273"/>
    </row>
    <row r="492">
      <c r="A492" s="273"/>
      <c r="B492" s="273"/>
      <c r="C492" s="745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273"/>
      <c r="AP492" s="273"/>
      <c r="AQ492" s="273"/>
      <c r="AR492" s="273"/>
      <c r="AS492" s="273"/>
      <c r="AT492" s="273"/>
      <c r="AU492" s="273"/>
      <c r="AV492" s="273"/>
      <c r="AW492" s="273"/>
      <c r="AX492" s="273"/>
      <c r="AY492" s="273"/>
      <c r="AZ492" s="273"/>
      <c r="BA492" s="273"/>
    </row>
    <row r="493">
      <c r="A493" s="273"/>
      <c r="B493" s="273"/>
      <c r="C493" s="745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  <c r="AQ493" s="273"/>
      <c r="AR493" s="273"/>
      <c r="AS493" s="273"/>
      <c r="AT493" s="273"/>
      <c r="AU493" s="273"/>
      <c r="AV493" s="273"/>
      <c r="AW493" s="273"/>
      <c r="AX493" s="273"/>
      <c r="AY493" s="273"/>
      <c r="AZ493" s="273"/>
      <c r="BA493" s="273"/>
    </row>
    <row r="494">
      <c r="A494" s="273"/>
      <c r="B494" s="273"/>
      <c r="C494" s="745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  <c r="AQ494" s="273"/>
      <c r="AR494" s="273"/>
      <c r="AS494" s="273"/>
      <c r="AT494" s="273"/>
      <c r="AU494" s="273"/>
      <c r="AV494" s="273"/>
      <c r="AW494" s="273"/>
      <c r="AX494" s="273"/>
      <c r="AY494" s="273"/>
      <c r="AZ494" s="273"/>
      <c r="BA494" s="273"/>
    </row>
    <row r="495">
      <c r="A495" s="273"/>
      <c r="B495" s="273"/>
      <c r="C495" s="745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  <c r="AJ495" s="273"/>
      <c r="AK495" s="273"/>
      <c r="AL495" s="273"/>
      <c r="AM495" s="273"/>
      <c r="AN495" s="273"/>
      <c r="AO495" s="273"/>
      <c r="AP495" s="273"/>
      <c r="AQ495" s="273"/>
      <c r="AR495" s="273"/>
      <c r="AS495" s="273"/>
      <c r="AT495" s="273"/>
      <c r="AU495" s="273"/>
      <c r="AV495" s="273"/>
      <c r="AW495" s="273"/>
      <c r="AX495" s="273"/>
      <c r="AY495" s="273"/>
      <c r="AZ495" s="273"/>
      <c r="BA495" s="273"/>
    </row>
    <row r="496">
      <c r="A496" s="273"/>
      <c r="B496" s="273"/>
      <c r="C496" s="745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273"/>
      <c r="AP496" s="273"/>
      <c r="AQ496" s="273"/>
      <c r="AR496" s="273"/>
      <c r="AS496" s="273"/>
      <c r="AT496" s="273"/>
      <c r="AU496" s="273"/>
      <c r="AV496" s="273"/>
      <c r="AW496" s="273"/>
      <c r="AX496" s="273"/>
      <c r="AY496" s="273"/>
      <c r="AZ496" s="273"/>
      <c r="BA496" s="273"/>
    </row>
    <row r="497">
      <c r="A497" s="273"/>
      <c r="B497" s="273"/>
      <c r="C497" s="745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  <c r="AJ497" s="273"/>
      <c r="AK497" s="273"/>
      <c r="AL497" s="273"/>
      <c r="AM497" s="273"/>
      <c r="AN497" s="273"/>
      <c r="AO497" s="273"/>
      <c r="AP497" s="273"/>
      <c r="AQ497" s="273"/>
      <c r="AR497" s="273"/>
      <c r="AS497" s="273"/>
      <c r="AT497" s="273"/>
      <c r="AU497" s="273"/>
      <c r="AV497" s="273"/>
      <c r="AW497" s="273"/>
      <c r="AX497" s="273"/>
      <c r="AY497" s="273"/>
      <c r="AZ497" s="273"/>
      <c r="BA497" s="273"/>
    </row>
    <row r="498">
      <c r="A498" s="273"/>
      <c r="B498" s="273"/>
      <c r="C498" s="745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273"/>
      <c r="AP498" s="273"/>
      <c r="AQ498" s="273"/>
      <c r="AR498" s="273"/>
      <c r="AS498" s="273"/>
      <c r="AT498" s="273"/>
      <c r="AU498" s="273"/>
      <c r="AV498" s="273"/>
      <c r="AW498" s="273"/>
      <c r="AX498" s="273"/>
      <c r="AY498" s="273"/>
      <c r="AZ498" s="273"/>
      <c r="BA498" s="273"/>
    </row>
    <row r="499">
      <c r="A499" s="273"/>
      <c r="B499" s="273"/>
      <c r="C499" s="745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  <c r="AJ499" s="273"/>
      <c r="AK499" s="273"/>
      <c r="AL499" s="273"/>
      <c r="AM499" s="273"/>
      <c r="AN499" s="273"/>
      <c r="AO499" s="273"/>
      <c r="AP499" s="273"/>
      <c r="AQ499" s="273"/>
      <c r="AR499" s="273"/>
      <c r="AS499" s="273"/>
      <c r="AT499" s="273"/>
      <c r="AU499" s="273"/>
      <c r="AV499" s="273"/>
      <c r="AW499" s="273"/>
      <c r="AX499" s="273"/>
      <c r="AY499" s="273"/>
      <c r="AZ499" s="273"/>
      <c r="BA499" s="273"/>
    </row>
    <row r="500">
      <c r="A500" s="273"/>
      <c r="B500" s="273"/>
      <c r="C500" s="745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273"/>
      <c r="AP500" s="273"/>
      <c r="AQ500" s="273"/>
      <c r="AR500" s="273"/>
      <c r="AS500" s="273"/>
      <c r="AT500" s="273"/>
      <c r="AU500" s="273"/>
      <c r="AV500" s="273"/>
      <c r="AW500" s="273"/>
      <c r="AX500" s="273"/>
      <c r="AY500" s="273"/>
      <c r="AZ500" s="273"/>
      <c r="BA500" s="273"/>
    </row>
    <row r="501">
      <c r="A501" s="273"/>
      <c r="B501" s="273"/>
      <c r="C501" s="745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  <c r="AJ501" s="273"/>
      <c r="AK501" s="273"/>
      <c r="AL501" s="273"/>
      <c r="AM501" s="273"/>
      <c r="AN501" s="273"/>
      <c r="AO501" s="273"/>
      <c r="AP501" s="273"/>
      <c r="AQ501" s="273"/>
      <c r="AR501" s="273"/>
      <c r="AS501" s="273"/>
      <c r="AT501" s="273"/>
      <c r="AU501" s="273"/>
      <c r="AV501" s="273"/>
      <c r="AW501" s="273"/>
      <c r="AX501" s="273"/>
      <c r="AY501" s="273"/>
      <c r="AZ501" s="273"/>
      <c r="BA501" s="273"/>
    </row>
    <row r="502">
      <c r="A502" s="273"/>
      <c r="B502" s="273"/>
      <c r="C502" s="745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273"/>
      <c r="AP502" s="273"/>
      <c r="AQ502" s="273"/>
      <c r="AR502" s="273"/>
      <c r="AS502" s="273"/>
      <c r="AT502" s="273"/>
      <c r="AU502" s="273"/>
      <c r="AV502" s="273"/>
      <c r="AW502" s="273"/>
      <c r="AX502" s="273"/>
      <c r="AY502" s="273"/>
      <c r="AZ502" s="273"/>
      <c r="BA502" s="273"/>
    </row>
    <row r="503">
      <c r="A503" s="273"/>
      <c r="B503" s="273"/>
      <c r="C503" s="745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  <c r="AJ503" s="273"/>
      <c r="AK503" s="273"/>
      <c r="AL503" s="273"/>
      <c r="AM503" s="273"/>
      <c r="AN503" s="273"/>
      <c r="AO503" s="273"/>
      <c r="AP503" s="273"/>
      <c r="AQ503" s="273"/>
      <c r="AR503" s="273"/>
      <c r="AS503" s="273"/>
      <c r="AT503" s="273"/>
      <c r="AU503" s="273"/>
      <c r="AV503" s="273"/>
      <c r="AW503" s="273"/>
      <c r="AX503" s="273"/>
      <c r="AY503" s="273"/>
      <c r="AZ503" s="273"/>
      <c r="BA503" s="273"/>
    </row>
    <row r="504">
      <c r="A504" s="273"/>
      <c r="B504" s="273"/>
      <c r="C504" s="745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273"/>
      <c r="AP504" s="273"/>
      <c r="AQ504" s="273"/>
      <c r="AR504" s="273"/>
      <c r="AS504" s="273"/>
      <c r="AT504" s="273"/>
      <c r="AU504" s="273"/>
      <c r="AV504" s="273"/>
      <c r="AW504" s="273"/>
      <c r="AX504" s="273"/>
      <c r="AY504" s="273"/>
      <c r="AZ504" s="273"/>
      <c r="BA504" s="273"/>
    </row>
    <row r="505">
      <c r="A505" s="273"/>
      <c r="B505" s="273"/>
      <c r="C505" s="745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  <c r="AJ505" s="273"/>
      <c r="AK505" s="273"/>
      <c r="AL505" s="273"/>
      <c r="AM505" s="273"/>
      <c r="AN505" s="273"/>
      <c r="AO505" s="273"/>
      <c r="AP505" s="273"/>
      <c r="AQ505" s="273"/>
      <c r="AR505" s="273"/>
      <c r="AS505" s="273"/>
      <c r="AT505" s="273"/>
      <c r="AU505" s="273"/>
      <c r="AV505" s="273"/>
      <c r="AW505" s="273"/>
      <c r="AX505" s="273"/>
      <c r="AY505" s="273"/>
      <c r="AZ505" s="273"/>
      <c r="BA505" s="273"/>
    </row>
    <row r="506">
      <c r="A506" s="273"/>
      <c r="B506" s="273"/>
      <c r="C506" s="745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  <c r="AJ506" s="273"/>
      <c r="AK506" s="273"/>
      <c r="AL506" s="273"/>
      <c r="AM506" s="273"/>
      <c r="AN506" s="273"/>
      <c r="AO506" s="273"/>
      <c r="AP506" s="273"/>
      <c r="AQ506" s="273"/>
      <c r="AR506" s="273"/>
      <c r="AS506" s="273"/>
      <c r="AT506" s="273"/>
      <c r="AU506" s="273"/>
      <c r="AV506" s="273"/>
      <c r="AW506" s="273"/>
      <c r="AX506" s="273"/>
      <c r="AY506" s="273"/>
      <c r="AZ506" s="273"/>
      <c r="BA506" s="273"/>
    </row>
    <row r="507">
      <c r="A507" s="273"/>
      <c r="B507" s="273"/>
      <c r="C507" s="745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  <c r="AJ507" s="273"/>
      <c r="AK507" s="273"/>
      <c r="AL507" s="273"/>
      <c r="AM507" s="273"/>
      <c r="AN507" s="273"/>
      <c r="AO507" s="273"/>
      <c r="AP507" s="273"/>
      <c r="AQ507" s="273"/>
      <c r="AR507" s="273"/>
      <c r="AS507" s="273"/>
      <c r="AT507" s="273"/>
      <c r="AU507" s="273"/>
      <c r="AV507" s="273"/>
      <c r="AW507" s="273"/>
      <c r="AX507" s="273"/>
      <c r="AY507" s="273"/>
      <c r="AZ507" s="273"/>
      <c r="BA507" s="273"/>
    </row>
    <row r="508">
      <c r="A508" s="273"/>
      <c r="B508" s="273"/>
      <c r="C508" s="745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273"/>
      <c r="AP508" s="273"/>
      <c r="AQ508" s="273"/>
      <c r="AR508" s="273"/>
      <c r="AS508" s="273"/>
      <c r="AT508" s="273"/>
      <c r="AU508" s="273"/>
      <c r="AV508" s="273"/>
      <c r="AW508" s="273"/>
      <c r="AX508" s="273"/>
      <c r="AY508" s="273"/>
      <c r="AZ508" s="273"/>
      <c r="BA508" s="273"/>
    </row>
    <row r="509">
      <c r="A509" s="273"/>
      <c r="B509" s="273"/>
      <c r="C509" s="745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  <c r="AJ509" s="273"/>
      <c r="AK509" s="273"/>
      <c r="AL509" s="273"/>
      <c r="AM509" s="273"/>
      <c r="AN509" s="273"/>
      <c r="AO509" s="273"/>
      <c r="AP509" s="273"/>
      <c r="AQ509" s="273"/>
      <c r="AR509" s="273"/>
      <c r="AS509" s="273"/>
      <c r="AT509" s="273"/>
      <c r="AU509" s="273"/>
      <c r="AV509" s="273"/>
      <c r="AW509" s="273"/>
      <c r="AX509" s="273"/>
      <c r="AY509" s="273"/>
      <c r="AZ509" s="273"/>
      <c r="BA509" s="273"/>
    </row>
    <row r="510">
      <c r="A510" s="273"/>
      <c r="B510" s="273"/>
      <c r="C510" s="745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273"/>
      <c r="AP510" s="273"/>
      <c r="AQ510" s="273"/>
      <c r="AR510" s="273"/>
      <c r="AS510" s="273"/>
      <c r="AT510" s="273"/>
      <c r="AU510" s="273"/>
      <c r="AV510" s="273"/>
      <c r="AW510" s="273"/>
      <c r="AX510" s="273"/>
      <c r="AY510" s="273"/>
      <c r="AZ510" s="273"/>
      <c r="BA510" s="273"/>
    </row>
    <row r="511">
      <c r="A511" s="273"/>
      <c r="B511" s="273"/>
      <c r="C511" s="745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  <c r="AJ511" s="273"/>
      <c r="AK511" s="273"/>
      <c r="AL511" s="273"/>
      <c r="AM511" s="273"/>
      <c r="AN511" s="273"/>
      <c r="AO511" s="273"/>
      <c r="AP511" s="273"/>
      <c r="AQ511" s="273"/>
      <c r="AR511" s="273"/>
      <c r="AS511" s="273"/>
      <c r="AT511" s="273"/>
      <c r="AU511" s="273"/>
      <c r="AV511" s="273"/>
      <c r="AW511" s="273"/>
      <c r="AX511" s="273"/>
      <c r="AY511" s="273"/>
      <c r="AZ511" s="273"/>
      <c r="BA511" s="273"/>
    </row>
    <row r="512">
      <c r="A512" s="273"/>
      <c r="B512" s="273"/>
      <c r="C512" s="745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273"/>
      <c r="AP512" s="273"/>
      <c r="AQ512" s="273"/>
      <c r="AR512" s="273"/>
      <c r="AS512" s="273"/>
      <c r="AT512" s="273"/>
      <c r="AU512" s="273"/>
      <c r="AV512" s="273"/>
      <c r="AW512" s="273"/>
      <c r="AX512" s="273"/>
      <c r="AY512" s="273"/>
      <c r="AZ512" s="273"/>
      <c r="BA512" s="273"/>
    </row>
    <row r="513">
      <c r="A513" s="273"/>
      <c r="B513" s="273"/>
      <c r="C513" s="745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  <c r="AJ513" s="273"/>
      <c r="AK513" s="273"/>
      <c r="AL513" s="273"/>
      <c r="AM513" s="273"/>
      <c r="AN513" s="273"/>
      <c r="AO513" s="273"/>
      <c r="AP513" s="273"/>
      <c r="AQ513" s="273"/>
      <c r="AR513" s="273"/>
      <c r="AS513" s="273"/>
      <c r="AT513" s="273"/>
      <c r="AU513" s="273"/>
      <c r="AV513" s="273"/>
      <c r="AW513" s="273"/>
      <c r="AX513" s="273"/>
      <c r="AY513" s="273"/>
      <c r="AZ513" s="273"/>
      <c r="BA513" s="273"/>
    </row>
    <row r="514">
      <c r="A514" s="273"/>
      <c r="B514" s="273"/>
      <c r="C514" s="745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273"/>
      <c r="AP514" s="273"/>
      <c r="AQ514" s="273"/>
      <c r="AR514" s="273"/>
      <c r="AS514" s="273"/>
      <c r="AT514" s="273"/>
      <c r="AU514" s="273"/>
      <c r="AV514" s="273"/>
      <c r="AW514" s="273"/>
      <c r="AX514" s="273"/>
      <c r="AY514" s="273"/>
      <c r="AZ514" s="273"/>
      <c r="BA514" s="273"/>
    </row>
    <row r="515">
      <c r="A515" s="273"/>
      <c r="B515" s="273"/>
      <c r="C515" s="745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  <c r="AJ515" s="273"/>
      <c r="AK515" s="273"/>
      <c r="AL515" s="273"/>
      <c r="AM515" s="273"/>
      <c r="AN515" s="273"/>
      <c r="AO515" s="273"/>
      <c r="AP515" s="273"/>
      <c r="AQ515" s="273"/>
      <c r="AR515" s="273"/>
      <c r="AS515" s="273"/>
      <c r="AT515" s="273"/>
      <c r="AU515" s="273"/>
      <c r="AV515" s="273"/>
      <c r="AW515" s="273"/>
      <c r="AX515" s="273"/>
      <c r="AY515" s="273"/>
      <c r="AZ515" s="273"/>
      <c r="BA515" s="273"/>
    </row>
    <row r="516">
      <c r="A516" s="273"/>
      <c r="B516" s="273"/>
      <c r="C516" s="745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273"/>
      <c r="AP516" s="273"/>
      <c r="AQ516" s="273"/>
      <c r="AR516" s="273"/>
      <c r="AS516" s="273"/>
      <c r="AT516" s="273"/>
      <c r="AU516" s="273"/>
      <c r="AV516" s="273"/>
      <c r="AW516" s="273"/>
      <c r="AX516" s="273"/>
      <c r="AY516" s="273"/>
      <c r="AZ516" s="273"/>
      <c r="BA516" s="273"/>
    </row>
    <row r="517">
      <c r="A517" s="273"/>
      <c r="B517" s="273"/>
      <c r="C517" s="745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  <c r="AJ517" s="273"/>
      <c r="AK517" s="273"/>
      <c r="AL517" s="273"/>
      <c r="AM517" s="273"/>
      <c r="AN517" s="273"/>
      <c r="AO517" s="273"/>
      <c r="AP517" s="273"/>
      <c r="AQ517" s="273"/>
      <c r="AR517" s="273"/>
      <c r="AS517" s="273"/>
      <c r="AT517" s="273"/>
      <c r="AU517" s="273"/>
      <c r="AV517" s="273"/>
      <c r="AW517" s="273"/>
      <c r="AX517" s="273"/>
      <c r="AY517" s="273"/>
      <c r="AZ517" s="273"/>
      <c r="BA517" s="273"/>
    </row>
    <row r="518">
      <c r="A518" s="273"/>
      <c r="B518" s="273"/>
      <c r="C518" s="745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273"/>
      <c r="AP518" s="273"/>
      <c r="AQ518" s="273"/>
      <c r="AR518" s="273"/>
      <c r="AS518" s="273"/>
      <c r="AT518" s="273"/>
      <c r="AU518" s="273"/>
      <c r="AV518" s="273"/>
      <c r="AW518" s="273"/>
      <c r="AX518" s="273"/>
      <c r="AY518" s="273"/>
      <c r="AZ518" s="273"/>
      <c r="BA518" s="273"/>
    </row>
    <row r="519">
      <c r="A519" s="273"/>
      <c r="B519" s="273"/>
      <c r="C519" s="745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  <c r="AJ519" s="273"/>
      <c r="AK519" s="273"/>
      <c r="AL519" s="273"/>
      <c r="AM519" s="273"/>
      <c r="AN519" s="273"/>
      <c r="AO519" s="273"/>
      <c r="AP519" s="273"/>
      <c r="AQ519" s="273"/>
      <c r="AR519" s="273"/>
      <c r="AS519" s="273"/>
      <c r="AT519" s="273"/>
      <c r="AU519" s="273"/>
      <c r="AV519" s="273"/>
      <c r="AW519" s="273"/>
      <c r="AX519" s="273"/>
      <c r="AY519" s="273"/>
      <c r="AZ519" s="273"/>
      <c r="BA519" s="273"/>
    </row>
    <row r="520">
      <c r="A520" s="273"/>
      <c r="B520" s="273"/>
      <c r="C520" s="745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273"/>
      <c r="AP520" s="273"/>
      <c r="AQ520" s="273"/>
      <c r="AR520" s="273"/>
      <c r="AS520" s="273"/>
      <c r="AT520" s="273"/>
      <c r="AU520" s="273"/>
      <c r="AV520" s="273"/>
      <c r="AW520" s="273"/>
      <c r="AX520" s="273"/>
      <c r="AY520" s="273"/>
      <c r="AZ520" s="273"/>
      <c r="BA520" s="273"/>
    </row>
    <row r="521">
      <c r="A521" s="273"/>
      <c r="B521" s="273"/>
      <c r="C521" s="745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  <c r="AJ521" s="273"/>
      <c r="AK521" s="273"/>
      <c r="AL521" s="273"/>
      <c r="AM521" s="273"/>
      <c r="AN521" s="273"/>
      <c r="AO521" s="273"/>
      <c r="AP521" s="273"/>
      <c r="AQ521" s="273"/>
      <c r="AR521" s="273"/>
      <c r="AS521" s="273"/>
      <c r="AT521" s="273"/>
      <c r="AU521" s="273"/>
      <c r="AV521" s="273"/>
      <c r="AW521" s="273"/>
      <c r="AX521" s="273"/>
      <c r="AY521" s="273"/>
      <c r="AZ521" s="273"/>
      <c r="BA521" s="273"/>
    </row>
    <row r="522">
      <c r="A522" s="273"/>
      <c r="B522" s="273"/>
      <c r="C522" s="745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273"/>
      <c r="AP522" s="273"/>
      <c r="AQ522" s="273"/>
      <c r="AR522" s="273"/>
      <c r="AS522" s="273"/>
      <c r="AT522" s="273"/>
      <c r="AU522" s="273"/>
      <c r="AV522" s="273"/>
      <c r="AW522" s="273"/>
      <c r="AX522" s="273"/>
      <c r="AY522" s="273"/>
      <c r="AZ522" s="273"/>
      <c r="BA522" s="273"/>
    </row>
    <row r="523">
      <c r="A523" s="273"/>
      <c r="B523" s="273"/>
      <c r="C523" s="745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  <c r="AJ523" s="273"/>
      <c r="AK523" s="273"/>
      <c r="AL523" s="273"/>
      <c r="AM523" s="273"/>
      <c r="AN523" s="273"/>
      <c r="AO523" s="273"/>
      <c r="AP523" s="273"/>
      <c r="AQ523" s="273"/>
      <c r="AR523" s="273"/>
      <c r="AS523" s="273"/>
      <c r="AT523" s="273"/>
      <c r="AU523" s="273"/>
      <c r="AV523" s="273"/>
      <c r="AW523" s="273"/>
      <c r="AX523" s="273"/>
      <c r="AY523" s="273"/>
      <c r="AZ523" s="273"/>
      <c r="BA523" s="273"/>
    </row>
    <row r="524">
      <c r="A524" s="273"/>
      <c r="B524" s="273"/>
      <c r="C524" s="745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273"/>
      <c r="AP524" s="273"/>
      <c r="AQ524" s="273"/>
      <c r="AR524" s="273"/>
      <c r="AS524" s="273"/>
      <c r="AT524" s="273"/>
      <c r="AU524" s="273"/>
      <c r="AV524" s="273"/>
      <c r="AW524" s="273"/>
      <c r="AX524" s="273"/>
      <c r="AY524" s="273"/>
      <c r="AZ524" s="273"/>
      <c r="BA524" s="273"/>
    </row>
    <row r="525">
      <c r="A525" s="273"/>
      <c r="B525" s="273"/>
      <c r="C525" s="745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  <c r="AJ525" s="273"/>
      <c r="AK525" s="273"/>
      <c r="AL525" s="273"/>
      <c r="AM525" s="273"/>
      <c r="AN525" s="273"/>
      <c r="AO525" s="273"/>
      <c r="AP525" s="273"/>
      <c r="AQ525" s="273"/>
      <c r="AR525" s="273"/>
      <c r="AS525" s="273"/>
      <c r="AT525" s="273"/>
      <c r="AU525" s="273"/>
      <c r="AV525" s="273"/>
      <c r="AW525" s="273"/>
      <c r="AX525" s="273"/>
      <c r="AY525" s="273"/>
      <c r="AZ525" s="273"/>
      <c r="BA525" s="273"/>
    </row>
    <row r="526">
      <c r="A526" s="273"/>
      <c r="B526" s="273"/>
      <c r="C526" s="745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273"/>
      <c r="AP526" s="273"/>
      <c r="AQ526" s="273"/>
      <c r="AR526" s="273"/>
      <c r="AS526" s="273"/>
      <c r="AT526" s="273"/>
      <c r="AU526" s="273"/>
      <c r="AV526" s="273"/>
      <c r="AW526" s="273"/>
      <c r="AX526" s="273"/>
      <c r="AY526" s="273"/>
      <c r="AZ526" s="273"/>
      <c r="BA526" s="273"/>
    </row>
    <row r="527">
      <c r="A527" s="273"/>
      <c r="B527" s="273"/>
      <c r="C527" s="745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  <c r="AW527" s="273"/>
      <c r="AX527" s="273"/>
      <c r="AY527" s="273"/>
      <c r="AZ527" s="273"/>
      <c r="BA527" s="273"/>
    </row>
    <row r="528">
      <c r="A528" s="273"/>
      <c r="B528" s="273"/>
      <c r="C528" s="745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273"/>
      <c r="AP528" s="273"/>
      <c r="AQ528" s="273"/>
      <c r="AR528" s="273"/>
      <c r="AS528" s="273"/>
      <c r="AT528" s="273"/>
      <c r="AU528" s="273"/>
      <c r="AV528" s="273"/>
      <c r="AW528" s="273"/>
      <c r="AX528" s="273"/>
      <c r="AY528" s="273"/>
      <c r="AZ528" s="273"/>
      <c r="BA528" s="273"/>
    </row>
    <row r="529">
      <c r="A529" s="273"/>
      <c r="B529" s="273"/>
      <c r="C529" s="745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  <c r="AJ529" s="273"/>
      <c r="AK529" s="273"/>
      <c r="AL529" s="273"/>
      <c r="AM529" s="273"/>
      <c r="AN529" s="273"/>
      <c r="AO529" s="273"/>
      <c r="AP529" s="273"/>
      <c r="AQ529" s="273"/>
      <c r="AR529" s="273"/>
      <c r="AS529" s="273"/>
      <c r="AT529" s="273"/>
      <c r="AU529" s="273"/>
      <c r="AV529" s="273"/>
      <c r="AW529" s="273"/>
      <c r="AX529" s="273"/>
      <c r="AY529" s="273"/>
      <c r="AZ529" s="273"/>
      <c r="BA529" s="273"/>
    </row>
    <row r="530">
      <c r="A530" s="273"/>
      <c r="B530" s="273"/>
      <c r="C530" s="745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273"/>
      <c r="AP530" s="273"/>
      <c r="AQ530" s="273"/>
      <c r="AR530" s="273"/>
      <c r="AS530" s="273"/>
      <c r="AT530" s="273"/>
      <c r="AU530" s="273"/>
      <c r="AV530" s="273"/>
      <c r="AW530" s="273"/>
      <c r="AX530" s="273"/>
      <c r="AY530" s="273"/>
      <c r="AZ530" s="273"/>
      <c r="BA530" s="273"/>
    </row>
    <row r="531">
      <c r="A531" s="273"/>
      <c r="B531" s="273"/>
      <c r="C531" s="745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  <c r="AJ531" s="273"/>
      <c r="AK531" s="273"/>
      <c r="AL531" s="273"/>
      <c r="AM531" s="273"/>
      <c r="AN531" s="273"/>
      <c r="AO531" s="273"/>
      <c r="AP531" s="273"/>
      <c r="AQ531" s="273"/>
      <c r="AR531" s="273"/>
      <c r="AS531" s="273"/>
      <c r="AT531" s="273"/>
      <c r="AU531" s="273"/>
      <c r="AV531" s="273"/>
      <c r="AW531" s="273"/>
      <c r="AX531" s="273"/>
      <c r="AY531" s="273"/>
      <c r="AZ531" s="273"/>
      <c r="BA531" s="273"/>
    </row>
    <row r="532">
      <c r="A532" s="273"/>
      <c r="B532" s="273"/>
      <c r="C532" s="745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273"/>
      <c r="AP532" s="273"/>
      <c r="AQ532" s="273"/>
      <c r="AR532" s="273"/>
      <c r="AS532" s="273"/>
      <c r="AT532" s="273"/>
      <c r="AU532" s="273"/>
      <c r="AV532" s="273"/>
      <c r="AW532" s="273"/>
      <c r="AX532" s="273"/>
      <c r="AY532" s="273"/>
      <c r="AZ532" s="273"/>
      <c r="BA532" s="273"/>
    </row>
    <row r="533">
      <c r="A533" s="273"/>
      <c r="B533" s="273"/>
      <c r="C533" s="745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  <c r="AJ533" s="273"/>
      <c r="AK533" s="273"/>
      <c r="AL533" s="273"/>
      <c r="AM533" s="273"/>
      <c r="AN533" s="273"/>
      <c r="AO533" s="273"/>
      <c r="AP533" s="273"/>
      <c r="AQ533" s="273"/>
      <c r="AR533" s="273"/>
      <c r="AS533" s="273"/>
      <c r="AT533" s="273"/>
      <c r="AU533" s="273"/>
      <c r="AV533" s="273"/>
      <c r="AW533" s="273"/>
      <c r="AX533" s="273"/>
      <c r="AY533" s="273"/>
      <c r="AZ533" s="273"/>
      <c r="BA533" s="273"/>
    </row>
    <row r="534">
      <c r="A534" s="273"/>
      <c r="B534" s="273"/>
      <c r="C534" s="745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273"/>
      <c r="AP534" s="273"/>
      <c r="AQ534" s="273"/>
      <c r="AR534" s="273"/>
      <c r="AS534" s="273"/>
      <c r="AT534" s="273"/>
      <c r="AU534" s="273"/>
      <c r="AV534" s="273"/>
      <c r="AW534" s="273"/>
      <c r="AX534" s="273"/>
      <c r="AY534" s="273"/>
      <c r="AZ534" s="273"/>
      <c r="BA534" s="273"/>
    </row>
    <row r="535">
      <c r="A535" s="273"/>
      <c r="B535" s="273"/>
      <c r="C535" s="745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  <c r="AJ535" s="273"/>
      <c r="AK535" s="273"/>
      <c r="AL535" s="273"/>
      <c r="AM535" s="273"/>
      <c r="AN535" s="273"/>
      <c r="AO535" s="273"/>
      <c r="AP535" s="273"/>
      <c r="AQ535" s="273"/>
      <c r="AR535" s="273"/>
      <c r="AS535" s="273"/>
      <c r="AT535" s="273"/>
      <c r="AU535" s="273"/>
      <c r="AV535" s="273"/>
      <c r="AW535" s="273"/>
      <c r="AX535" s="273"/>
      <c r="AY535" s="273"/>
      <c r="AZ535" s="273"/>
      <c r="BA535" s="273"/>
    </row>
    <row r="536">
      <c r="A536" s="273"/>
      <c r="B536" s="273"/>
      <c r="C536" s="745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273"/>
      <c r="AP536" s="273"/>
      <c r="AQ536" s="273"/>
      <c r="AR536" s="273"/>
      <c r="AS536" s="273"/>
      <c r="AT536" s="273"/>
      <c r="AU536" s="273"/>
      <c r="AV536" s="273"/>
      <c r="AW536" s="273"/>
      <c r="AX536" s="273"/>
      <c r="AY536" s="273"/>
      <c r="AZ536" s="273"/>
      <c r="BA536" s="273"/>
    </row>
    <row r="537">
      <c r="A537" s="273"/>
      <c r="B537" s="273"/>
      <c r="C537" s="745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  <c r="AJ537" s="273"/>
      <c r="AK537" s="273"/>
      <c r="AL537" s="273"/>
      <c r="AM537" s="273"/>
      <c r="AN537" s="273"/>
      <c r="AO537" s="273"/>
      <c r="AP537" s="273"/>
      <c r="AQ537" s="273"/>
      <c r="AR537" s="273"/>
      <c r="AS537" s="273"/>
      <c r="AT537" s="273"/>
      <c r="AU537" s="273"/>
      <c r="AV537" s="273"/>
      <c r="AW537" s="273"/>
      <c r="AX537" s="273"/>
      <c r="AY537" s="273"/>
      <c r="AZ537" s="273"/>
      <c r="BA537" s="273"/>
    </row>
    <row r="538">
      <c r="A538" s="273"/>
      <c r="B538" s="273"/>
      <c r="C538" s="745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273"/>
      <c r="AP538" s="273"/>
      <c r="AQ538" s="273"/>
      <c r="AR538" s="273"/>
      <c r="AS538" s="273"/>
      <c r="AT538" s="273"/>
      <c r="AU538" s="273"/>
      <c r="AV538" s="273"/>
      <c r="AW538" s="273"/>
      <c r="AX538" s="273"/>
      <c r="AY538" s="273"/>
      <c r="AZ538" s="273"/>
      <c r="BA538" s="273"/>
    </row>
    <row r="539">
      <c r="A539" s="273"/>
      <c r="B539" s="273"/>
      <c r="C539" s="745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  <c r="AJ539" s="273"/>
      <c r="AK539" s="273"/>
      <c r="AL539" s="273"/>
      <c r="AM539" s="273"/>
      <c r="AN539" s="273"/>
      <c r="AO539" s="273"/>
      <c r="AP539" s="273"/>
      <c r="AQ539" s="273"/>
      <c r="AR539" s="273"/>
      <c r="AS539" s="273"/>
      <c r="AT539" s="273"/>
      <c r="AU539" s="273"/>
      <c r="AV539" s="273"/>
      <c r="AW539" s="273"/>
      <c r="AX539" s="273"/>
      <c r="AY539" s="273"/>
      <c r="AZ539" s="273"/>
      <c r="BA539" s="273"/>
    </row>
    <row r="540">
      <c r="A540" s="273"/>
      <c r="B540" s="273"/>
      <c r="C540" s="745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273"/>
      <c r="AP540" s="273"/>
      <c r="AQ540" s="273"/>
      <c r="AR540" s="273"/>
      <c r="AS540" s="273"/>
      <c r="AT540" s="273"/>
      <c r="AU540" s="273"/>
      <c r="AV540" s="273"/>
      <c r="AW540" s="273"/>
      <c r="AX540" s="273"/>
      <c r="AY540" s="273"/>
      <c r="AZ540" s="273"/>
      <c r="BA540" s="273"/>
    </row>
    <row r="541">
      <c r="A541" s="273"/>
      <c r="B541" s="273"/>
      <c r="C541" s="745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  <c r="AJ541" s="273"/>
      <c r="AK541" s="273"/>
      <c r="AL541" s="273"/>
      <c r="AM541" s="273"/>
      <c r="AN541" s="273"/>
      <c r="AO541" s="273"/>
      <c r="AP541" s="273"/>
      <c r="AQ541" s="273"/>
      <c r="AR541" s="273"/>
      <c r="AS541" s="273"/>
      <c r="AT541" s="273"/>
      <c r="AU541" s="273"/>
      <c r="AV541" s="273"/>
      <c r="AW541" s="273"/>
      <c r="AX541" s="273"/>
      <c r="AY541" s="273"/>
      <c r="AZ541" s="273"/>
      <c r="BA541" s="273"/>
    </row>
    <row r="542">
      <c r="A542" s="273"/>
      <c r="B542" s="273"/>
      <c r="C542" s="745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273"/>
      <c r="AP542" s="273"/>
      <c r="AQ542" s="273"/>
      <c r="AR542" s="273"/>
      <c r="AS542" s="273"/>
      <c r="AT542" s="273"/>
      <c r="AU542" s="273"/>
      <c r="AV542" s="273"/>
      <c r="AW542" s="273"/>
      <c r="AX542" s="273"/>
      <c r="AY542" s="273"/>
      <c r="AZ542" s="273"/>
      <c r="BA542" s="273"/>
    </row>
    <row r="543">
      <c r="A543" s="273"/>
      <c r="B543" s="273"/>
      <c r="C543" s="745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  <c r="AJ543" s="273"/>
      <c r="AK543" s="273"/>
      <c r="AL543" s="273"/>
      <c r="AM543" s="273"/>
      <c r="AN543" s="273"/>
      <c r="AO543" s="273"/>
      <c r="AP543" s="273"/>
      <c r="AQ543" s="273"/>
      <c r="AR543" s="273"/>
      <c r="AS543" s="273"/>
      <c r="AT543" s="273"/>
      <c r="AU543" s="273"/>
      <c r="AV543" s="273"/>
      <c r="AW543" s="273"/>
      <c r="AX543" s="273"/>
      <c r="AY543" s="273"/>
      <c r="AZ543" s="273"/>
      <c r="BA543" s="273"/>
    </row>
    <row r="544">
      <c r="A544" s="273"/>
      <c r="B544" s="273"/>
      <c r="C544" s="745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273"/>
      <c r="AP544" s="273"/>
      <c r="AQ544" s="273"/>
      <c r="AR544" s="273"/>
      <c r="AS544" s="273"/>
      <c r="AT544" s="273"/>
      <c r="AU544" s="273"/>
      <c r="AV544" s="273"/>
      <c r="AW544" s="273"/>
      <c r="AX544" s="273"/>
      <c r="AY544" s="273"/>
      <c r="AZ544" s="273"/>
      <c r="BA544" s="273"/>
    </row>
    <row r="545">
      <c r="A545" s="273"/>
      <c r="B545" s="273"/>
      <c r="C545" s="745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  <c r="AJ545" s="273"/>
      <c r="AK545" s="273"/>
      <c r="AL545" s="273"/>
      <c r="AM545" s="273"/>
      <c r="AN545" s="273"/>
      <c r="AO545" s="273"/>
      <c r="AP545" s="273"/>
      <c r="AQ545" s="273"/>
      <c r="AR545" s="273"/>
      <c r="AS545" s="273"/>
      <c r="AT545" s="273"/>
      <c r="AU545" s="273"/>
      <c r="AV545" s="273"/>
      <c r="AW545" s="273"/>
      <c r="AX545" s="273"/>
      <c r="AY545" s="273"/>
      <c r="AZ545" s="273"/>
      <c r="BA545" s="273"/>
    </row>
    <row r="546">
      <c r="A546" s="273"/>
      <c r="B546" s="273"/>
      <c r="C546" s="745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273"/>
      <c r="AP546" s="273"/>
      <c r="AQ546" s="273"/>
      <c r="AR546" s="273"/>
      <c r="AS546" s="273"/>
      <c r="AT546" s="273"/>
      <c r="AU546" s="273"/>
      <c r="AV546" s="273"/>
      <c r="AW546" s="273"/>
      <c r="AX546" s="273"/>
      <c r="AY546" s="273"/>
      <c r="AZ546" s="273"/>
      <c r="BA546" s="273"/>
    </row>
    <row r="547">
      <c r="A547" s="273"/>
      <c r="B547" s="273"/>
      <c r="C547" s="745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  <c r="AJ547" s="273"/>
      <c r="AK547" s="273"/>
      <c r="AL547" s="273"/>
      <c r="AM547" s="273"/>
      <c r="AN547" s="273"/>
      <c r="AO547" s="273"/>
      <c r="AP547" s="273"/>
      <c r="AQ547" s="273"/>
      <c r="AR547" s="273"/>
      <c r="AS547" s="273"/>
      <c r="AT547" s="273"/>
      <c r="AU547" s="273"/>
      <c r="AV547" s="273"/>
      <c r="AW547" s="273"/>
      <c r="AX547" s="273"/>
      <c r="AY547" s="273"/>
      <c r="AZ547" s="273"/>
      <c r="BA547" s="273"/>
    </row>
    <row r="548">
      <c r="A548" s="273"/>
      <c r="B548" s="273"/>
      <c r="C548" s="745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273"/>
      <c r="AP548" s="273"/>
      <c r="AQ548" s="273"/>
      <c r="AR548" s="273"/>
      <c r="AS548" s="273"/>
      <c r="AT548" s="273"/>
      <c r="AU548" s="273"/>
      <c r="AV548" s="273"/>
      <c r="AW548" s="273"/>
      <c r="AX548" s="273"/>
      <c r="AY548" s="273"/>
      <c r="AZ548" s="273"/>
      <c r="BA548" s="273"/>
    </row>
    <row r="549">
      <c r="A549" s="273"/>
      <c r="B549" s="273"/>
      <c r="C549" s="745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  <c r="AJ549" s="273"/>
      <c r="AK549" s="273"/>
      <c r="AL549" s="273"/>
      <c r="AM549" s="273"/>
      <c r="AN549" s="273"/>
      <c r="AO549" s="273"/>
      <c r="AP549" s="273"/>
      <c r="AQ549" s="273"/>
      <c r="AR549" s="273"/>
      <c r="AS549" s="273"/>
      <c r="AT549" s="273"/>
      <c r="AU549" s="273"/>
      <c r="AV549" s="273"/>
      <c r="AW549" s="273"/>
      <c r="AX549" s="273"/>
      <c r="AY549" s="273"/>
      <c r="AZ549" s="273"/>
      <c r="BA549" s="273"/>
    </row>
    <row r="550">
      <c r="A550" s="273"/>
      <c r="B550" s="273"/>
      <c r="C550" s="745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273"/>
      <c r="AP550" s="273"/>
      <c r="AQ550" s="273"/>
      <c r="AR550" s="273"/>
      <c r="AS550" s="273"/>
      <c r="AT550" s="273"/>
      <c r="AU550" s="273"/>
      <c r="AV550" s="273"/>
      <c r="AW550" s="273"/>
      <c r="AX550" s="273"/>
      <c r="AY550" s="273"/>
      <c r="AZ550" s="273"/>
      <c r="BA550" s="273"/>
    </row>
    <row r="551">
      <c r="A551" s="273"/>
      <c r="B551" s="273"/>
      <c r="C551" s="745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  <c r="AJ551" s="273"/>
      <c r="AK551" s="273"/>
      <c r="AL551" s="273"/>
      <c r="AM551" s="273"/>
      <c r="AN551" s="273"/>
      <c r="AO551" s="273"/>
      <c r="AP551" s="273"/>
      <c r="AQ551" s="273"/>
      <c r="AR551" s="273"/>
      <c r="AS551" s="273"/>
      <c r="AT551" s="273"/>
      <c r="AU551" s="273"/>
      <c r="AV551" s="273"/>
      <c r="AW551" s="273"/>
      <c r="AX551" s="273"/>
      <c r="AY551" s="273"/>
      <c r="AZ551" s="273"/>
      <c r="BA551" s="273"/>
    </row>
    <row r="552">
      <c r="A552" s="273"/>
      <c r="B552" s="273"/>
      <c r="C552" s="745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273"/>
      <c r="AP552" s="273"/>
      <c r="AQ552" s="273"/>
      <c r="AR552" s="273"/>
      <c r="AS552" s="273"/>
      <c r="AT552" s="273"/>
      <c r="AU552" s="273"/>
      <c r="AV552" s="273"/>
      <c r="AW552" s="273"/>
      <c r="AX552" s="273"/>
      <c r="AY552" s="273"/>
      <c r="AZ552" s="273"/>
      <c r="BA552" s="273"/>
    </row>
    <row r="553">
      <c r="A553" s="273"/>
      <c r="B553" s="273"/>
      <c r="C553" s="745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  <c r="AJ553" s="273"/>
      <c r="AK553" s="273"/>
      <c r="AL553" s="273"/>
      <c r="AM553" s="273"/>
      <c r="AN553" s="273"/>
      <c r="AO553" s="273"/>
      <c r="AP553" s="273"/>
      <c r="AQ553" s="273"/>
      <c r="AR553" s="273"/>
      <c r="AS553" s="273"/>
      <c r="AT553" s="273"/>
      <c r="AU553" s="273"/>
      <c r="AV553" s="273"/>
      <c r="AW553" s="273"/>
      <c r="AX553" s="273"/>
      <c r="AY553" s="273"/>
      <c r="AZ553" s="273"/>
      <c r="BA553" s="273"/>
    </row>
    <row r="554">
      <c r="A554" s="273"/>
      <c r="B554" s="273"/>
      <c r="C554" s="745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273"/>
      <c r="AP554" s="273"/>
      <c r="AQ554" s="273"/>
      <c r="AR554" s="273"/>
      <c r="AS554" s="273"/>
      <c r="AT554" s="273"/>
      <c r="AU554" s="273"/>
      <c r="AV554" s="273"/>
      <c r="AW554" s="273"/>
      <c r="AX554" s="273"/>
      <c r="AY554" s="273"/>
      <c r="AZ554" s="273"/>
      <c r="BA554" s="273"/>
    </row>
    <row r="555">
      <c r="A555" s="273"/>
      <c r="B555" s="273"/>
      <c r="C555" s="745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  <c r="AJ555" s="273"/>
      <c r="AK555" s="273"/>
      <c r="AL555" s="273"/>
      <c r="AM555" s="273"/>
      <c r="AN555" s="273"/>
      <c r="AO555" s="273"/>
      <c r="AP555" s="273"/>
      <c r="AQ555" s="273"/>
      <c r="AR555" s="273"/>
      <c r="AS555" s="273"/>
      <c r="AT555" s="273"/>
      <c r="AU555" s="273"/>
      <c r="AV555" s="273"/>
      <c r="AW555" s="273"/>
      <c r="AX555" s="273"/>
      <c r="AY555" s="273"/>
      <c r="AZ555" s="273"/>
      <c r="BA555" s="273"/>
    </row>
    <row r="556">
      <c r="A556" s="273"/>
      <c r="B556" s="273"/>
      <c r="C556" s="745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273"/>
      <c r="AP556" s="273"/>
      <c r="AQ556" s="273"/>
      <c r="AR556" s="273"/>
      <c r="AS556" s="273"/>
      <c r="AT556" s="273"/>
      <c r="AU556" s="273"/>
      <c r="AV556" s="273"/>
      <c r="AW556" s="273"/>
      <c r="AX556" s="273"/>
      <c r="AY556" s="273"/>
      <c r="AZ556" s="273"/>
      <c r="BA556" s="273"/>
    </row>
    <row r="557">
      <c r="A557" s="273"/>
      <c r="B557" s="273"/>
      <c r="C557" s="745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  <c r="AJ557" s="273"/>
      <c r="AK557" s="273"/>
      <c r="AL557" s="273"/>
      <c r="AM557" s="273"/>
      <c r="AN557" s="273"/>
      <c r="AO557" s="273"/>
      <c r="AP557" s="273"/>
      <c r="AQ557" s="273"/>
      <c r="AR557" s="273"/>
      <c r="AS557" s="273"/>
      <c r="AT557" s="273"/>
      <c r="AU557" s="273"/>
      <c r="AV557" s="273"/>
      <c r="AW557" s="273"/>
      <c r="AX557" s="273"/>
      <c r="AY557" s="273"/>
      <c r="AZ557" s="273"/>
      <c r="BA557" s="273"/>
    </row>
    <row r="558">
      <c r="A558" s="273"/>
      <c r="B558" s="273"/>
      <c r="C558" s="745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273"/>
      <c r="AP558" s="273"/>
      <c r="AQ558" s="273"/>
      <c r="AR558" s="273"/>
      <c r="AS558" s="273"/>
      <c r="AT558" s="273"/>
      <c r="AU558" s="273"/>
      <c r="AV558" s="273"/>
      <c r="AW558" s="273"/>
      <c r="AX558" s="273"/>
      <c r="AY558" s="273"/>
      <c r="AZ558" s="273"/>
      <c r="BA558" s="273"/>
    </row>
    <row r="559">
      <c r="A559" s="273"/>
      <c r="B559" s="273"/>
      <c r="C559" s="745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  <c r="AJ559" s="273"/>
      <c r="AK559" s="273"/>
      <c r="AL559" s="273"/>
      <c r="AM559" s="273"/>
      <c r="AN559" s="273"/>
      <c r="AO559" s="273"/>
      <c r="AP559" s="273"/>
      <c r="AQ559" s="273"/>
      <c r="AR559" s="273"/>
      <c r="AS559" s="273"/>
      <c r="AT559" s="273"/>
      <c r="AU559" s="273"/>
      <c r="AV559" s="273"/>
      <c r="AW559" s="273"/>
      <c r="AX559" s="273"/>
      <c r="AY559" s="273"/>
      <c r="AZ559" s="273"/>
      <c r="BA559" s="273"/>
    </row>
    <row r="560">
      <c r="A560" s="273"/>
      <c r="B560" s="273"/>
      <c r="C560" s="745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273"/>
      <c r="AP560" s="273"/>
      <c r="AQ560" s="273"/>
      <c r="AR560" s="273"/>
      <c r="AS560" s="273"/>
      <c r="AT560" s="273"/>
      <c r="AU560" s="273"/>
      <c r="AV560" s="273"/>
      <c r="AW560" s="273"/>
      <c r="AX560" s="273"/>
      <c r="AY560" s="273"/>
      <c r="AZ560" s="273"/>
      <c r="BA560" s="273"/>
    </row>
    <row r="561">
      <c r="A561" s="273"/>
      <c r="B561" s="273"/>
      <c r="C561" s="745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  <c r="AJ561" s="273"/>
      <c r="AK561" s="273"/>
      <c r="AL561" s="273"/>
      <c r="AM561" s="273"/>
      <c r="AN561" s="273"/>
      <c r="AO561" s="273"/>
      <c r="AP561" s="273"/>
      <c r="AQ561" s="273"/>
      <c r="AR561" s="273"/>
      <c r="AS561" s="273"/>
      <c r="AT561" s="273"/>
      <c r="AU561" s="273"/>
      <c r="AV561" s="273"/>
      <c r="AW561" s="273"/>
      <c r="AX561" s="273"/>
      <c r="AY561" s="273"/>
      <c r="AZ561" s="273"/>
      <c r="BA561" s="273"/>
    </row>
    <row r="562">
      <c r="A562" s="273"/>
      <c r="B562" s="273"/>
      <c r="C562" s="745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273"/>
      <c r="AP562" s="273"/>
      <c r="AQ562" s="273"/>
      <c r="AR562" s="273"/>
      <c r="AS562" s="273"/>
      <c r="AT562" s="273"/>
      <c r="AU562" s="273"/>
      <c r="AV562" s="273"/>
      <c r="AW562" s="273"/>
      <c r="AX562" s="273"/>
      <c r="AY562" s="273"/>
      <c r="AZ562" s="273"/>
      <c r="BA562" s="273"/>
    </row>
    <row r="563">
      <c r="A563" s="273"/>
      <c r="B563" s="273"/>
      <c r="C563" s="745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  <c r="AJ563" s="273"/>
      <c r="AK563" s="273"/>
      <c r="AL563" s="273"/>
      <c r="AM563" s="273"/>
      <c r="AN563" s="273"/>
      <c r="AO563" s="273"/>
      <c r="AP563" s="273"/>
      <c r="AQ563" s="273"/>
      <c r="AR563" s="273"/>
      <c r="AS563" s="273"/>
      <c r="AT563" s="273"/>
      <c r="AU563" s="273"/>
      <c r="AV563" s="273"/>
      <c r="AW563" s="273"/>
      <c r="AX563" s="273"/>
      <c r="AY563" s="273"/>
      <c r="AZ563" s="273"/>
      <c r="BA563" s="273"/>
    </row>
    <row r="564">
      <c r="A564" s="273"/>
      <c r="B564" s="273"/>
      <c r="C564" s="745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273"/>
      <c r="AP564" s="273"/>
      <c r="AQ564" s="273"/>
      <c r="AR564" s="273"/>
      <c r="AS564" s="273"/>
      <c r="AT564" s="273"/>
      <c r="AU564" s="273"/>
      <c r="AV564" s="273"/>
      <c r="AW564" s="273"/>
      <c r="AX564" s="273"/>
      <c r="AY564" s="273"/>
      <c r="AZ564" s="273"/>
      <c r="BA564" s="273"/>
    </row>
    <row r="565">
      <c r="A565" s="273"/>
      <c r="B565" s="273"/>
      <c r="C565" s="745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  <c r="AJ565" s="273"/>
      <c r="AK565" s="273"/>
      <c r="AL565" s="273"/>
      <c r="AM565" s="273"/>
      <c r="AN565" s="273"/>
      <c r="AO565" s="273"/>
      <c r="AP565" s="273"/>
      <c r="AQ565" s="273"/>
      <c r="AR565" s="273"/>
      <c r="AS565" s="273"/>
      <c r="AT565" s="273"/>
      <c r="AU565" s="273"/>
      <c r="AV565" s="273"/>
      <c r="AW565" s="273"/>
      <c r="AX565" s="273"/>
      <c r="AY565" s="273"/>
      <c r="AZ565" s="273"/>
      <c r="BA565" s="273"/>
    </row>
    <row r="566">
      <c r="A566" s="273"/>
      <c r="B566" s="273"/>
      <c r="C566" s="745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273"/>
      <c r="AP566" s="273"/>
      <c r="AQ566" s="273"/>
      <c r="AR566" s="273"/>
      <c r="AS566" s="273"/>
      <c r="AT566" s="273"/>
      <c r="AU566" s="273"/>
      <c r="AV566" s="273"/>
      <c r="AW566" s="273"/>
      <c r="AX566" s="273"/>
      <c r="AY566" s="273"/>
      <c r="AZ566" s="273"/>
      <c r="BA566" s="273"/>
    </row>
    <row r="567">
      <c r="A567" s="273"/>
      <c r="B567" s="273"/>
      <c r="C567" s="745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  <c r="AJ567" s="273"/>
      <c r="AK567" s="273"/>
      <c r="AL567" s="273"/>
      <c r="AM567" s="273"/>
      <c r="AN567" s="273"/>
      <c r="AO567" s="273"/>
      <c r="AP567" s="273"/>
      <c r="AQ567" s="273"/>
      <c r="AR567" s="273"/>
      <c r="AS567" s="273"/>
      <c r="AT567" s="273"/>
      <c r="AU567" s="273"/>
      <c r="AV567" s="273"/>
      <c r="AW567" s="273"/>
      <c r="AX567" s="273"/>
      <c r="AY567" s="273"/>
      <c r="AZ567" s="273"/>
      <c r="BA567" s="273"/>
    </row>
    <row r="568">
      <c r="A568" s="273"/>
      <c r="B568" s="273"/>
      <c r="C568" s="745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273"/>
      <c r="AP568" s="273"/>
      <c r="AQ568" s="273"/>
      <c r="AR568" s="273"/>
      <c r="AS568" s="273"/>
      <c r="AT568" s="273"/>
      <c r="AU568" s="273"/>
      <c r="AV568" s="273"/>
      <c r="AW568" s="273"/>
      <c r="AX568" s="273"/>
      <c r="AY568" s="273"/>
      <c r="AZ568" s="273"/>
      <c r="BA568" s="273"/>
    </row>
    <row r="569">
      <c r="A569" s="273"/>
      <c r="B569" s="273"/>
      <c r="C569" s="745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  <c r="AJ569" s="273"/>
      <c r="AK569" s="273"/>
      <c r="AL569" s="273"/>
      <c r="AM569" s="273"/>
      <c r="AN569" s="273"/>
      <c r="AO569" s="273"/>
      <c r="AP569" s="273"/>
      <c r="AQ569" s="273"/>
      <c r="AR569" s="273"/>
      <c r="AS569" s="273"/>
      <c r="AT569" s="273"/>
      <c r="AU569" s="273"/>
      <c r="AV569" s="273"/>
      <c r="AW569" s="273"/>
      <c r="AX569" s="273"/>
      <c r="AY569" s="273"/>
      <c r="AZ569" s="273"/>
      <c r="BA569" s="273"/>
    </row>
    <row r="570">
      <c r="A570" s="273"/>
      <c r="B570" s="273"/>
      <c r="C570" s="745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273"/>
      <c r="AP570" s="273"/>
      <c r="AQ570" s="273"/>
      <c r="AR570" s="273"/>
      <c r="AS570" s="273"/>
      <c r="AT570" s="273"/>
      <c r="AU570" s="273"/>
      <c r="AV570" s="273"/>
      <c r="AW570" s="273"/>
      <c r="AX570" s="273"/>
      <c r="AY570" s="273"/>
      <c r="AZ570" s="273"/>
      <c r="BA570" s="273"/>
    </row>
    <row r="571">
      <c r="A571" s="273"/>
      <c r="B571" s="273"/>
      <c r="C571" s="745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  <c r="AJ571" s="273"/>
      <c r="AK571" s="273"/>
      <c r="AL571" s="273"/>
      <c r="AM571" s="273"/>
      <c r="AN571" s="273"/>
      <c r="AO571" s="273"/>
      <c r="AP571" s="273"/>
      <c r="AQ571" s="273"/>
      <c r="AR571" s="273"/>
      <c r="AS571" s="273"/>
      <c r="AT571" s="273"/>
      <c r="AU571" s="273"/>
      <c r="AV571" s="273"/>
      <c r="AW571" s="273"/>
      <c r="AX571" s="273"/>
      <c r="AY571" s="273"/>
      <c r="AZ571" s="273"/>
      <c r="BA571" s="273"/>
    </row>
    <row r="572">
      <c r="A572" s="273"/>
      <c r="B572" s="273"/>
      <c r="C572" s="745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273"/>
      <c r="AP572" s="273"/>
      <c r="AQ572" s="273"/>
      <c r="AR572" s="273"/>
      <c r="AS572" s="273"/>
      <c r="AT572" s="273"/>
      <c r="AU572" s="273"/>
      <c r="AV572" s="273"/>
      <c r="AW572" s="273"/>
      <c r="AX572" s="273"/>
      <c r="AY572" s="273"/>
      <c r="AZ572" s="273"/>
      <c r="BA572" s="273"/>
    </row>
    <row r="573">
      <c r="A573" s="273"/>
      <c r="B573" s="273"/>
      <c r="C573" s="745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  <c r="AJ573" s="273"/>
      <c r="AK573" s="273"/>
      <c r="AL573" s="273"/>
      <c r="AM573" s="273"/>
      <c r="AN573" s="273"/>
      <c r="AO573" s="273"/>
      <c r="AP573" s="273"/>
      <c r="AQ573" s="273"/>
      <c r="AR573" s="273"/>
      <c r="AS573" s="273"/>
      <c r="AT573" s="273"/>
      <c r="AU573" s="273"/>
      <c r="AV573" s="273"/>
      <c r="AW573" s="273"/>
      <c r="AX573" s="273"/>
      <c r="AY573" s="273"/>
      <c r="AZ573" s="273"/>
      <c r="BA573" s="273"/>
    </row>
    <row r="574">
      <c r="A574" s="273"/>
      <c r="B574" s="273"/>
      <c r="C574" s="745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273"/>
      <c r="AP574" s="273"/>
      <c r="AQ574" s="273"/>
      <c r="AR574" s="273"/>
      <c r="AS574" s="273"/>
      <c r="AT574" s="273"/>
      <c r="AU574" s="273"/>
      <c r="AV574" s="273"/>
      <c r="AW574" s="273"/>
      <c r="AX574" s="273"/>
      <c r="AY574" s="273"/>
      <c r="AZ574" s="273"/>
      <c r="BA574" s="273"/>
    </row>
    <row r="575">
      <c r="A575" s="273"/>
      <c r="B575" s="273"/>
      <c r="C575" s="745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  <c r="AJ575" s="273"/>
      <c r="AK575" s="273"/>
      <c r="AL575" s="273"/>
      <c r="AM575" s="273"/>
      <c r="AN575" s="273"/>
      <c r="AO575" s="273"/>
      <c r="AP575" s="273"/>
      <c r="AQ575" s="273"/>
      <c r="AR575" s="273"/>
      <c r="AS575" s="273"/>
      <c r="AT575" s="273"/>
      <c r="AU575" s="273"/>
      <c r="AV575" s="273"/>
      <c r="AW575" s="273"/>
      <c r="AX575" s="273"/>
      <c r="AY575" s="273"/>
      <c r="AZ575" s="273"/>
      <c r="BA575" s="273"/>
    </row>
    <row r="576">
      <c r="A576" s="273"/>
      <c r="B576" s="273"/>
      <c r="C576" s="745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273"/>
      <c r="AP576" s="273"/>
      <c r="AQ576" s="273"/>
      <c r="AR576" s="273"/>
      <c r="AS576" s="273"/>
      <c r="AT576" s="273"/>
      <c r="AU576" s="273"/>
      <c r="AV576" s="273"/>
      <c r="AW576" s="273"/>
      <c r="AX576" s="273"/>
      <c r="AY576" s="273"/>
      <c r="AZ576" s="273"/>
      <c r="BA576" s="273"/>
    </row>
    <row r="577">
      <c r="A577" s="273"/>
      <c r="B577" s="273"/>
      <c r="C577" s="745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  <c r="AJ577" s="273"/>
      <c r="AK577" s="273"/>
      <c r="AL577" s="273"/>
      <c r="AM577" s="273"/>
      <c r="AN577" s="273"/>
      <c r="AO577" s="273"/>
      <c r="AP577" s="273"/>
      <c r="AQ577" s="273"/>
      <c r="AR577" s="273"/>
      <c r="AS577" s="273"/>
      <c r="AT577" s="273"/>
      <c r="AU577" s="273"/>
      <c r="AV577" s="273"/>
      <c r="AW577" s="273"/>
      <c r="AX577" s="273"/>
      <c r="AY577" s="273"/>
      <c r="AZ577" s="273"/>
      <c r="BA577" s="273"/>
    </row>
    <row r="578">
      <c r="A578" s="273"/>
      <c r="B578" s="273"/>
      <c r="C578" s="745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273"/>
      <c r="AP578" s="273"/>
      <c r="AQ578" s="273"/>
      <c r="AR578" s="273"/>
      <c r="AS578" s="273"/>
      <c r="AT578" s="273"/>
      <c r="AU578" s="273"/>
      <c r="AV578" s="273"/>
      <c r="AW578" s="273"/>
      <c r="AX578" s="273"/>
      <c r="AY578" s="273"/>
      <c r="AZ578" s="273"/>
      <c r="BA578" s="273"/>
    </row>
    <row r="579">
      <c r="A579" s="273"/>
      <c r="B579" s="273"/>
      <c r="C579" s="745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  <c r="AJ579" s="273"/>
      <c r="AK579" s="273"/>
      <c r="AL579" s="273"/>
      <c r="AM579" s="273"/>
      <c r="AN579" s="273"/>
      <c r="AO579" s="273"/>
      <c r="AP579" s="273"/>
      <c r="AQ579" s="273"/>
      <c r="AR579" s="273"/>
      <c r="AS579" s="273"/>
      <c r="AT579" s="273"/>
      <c r="AU579" s="273"/>
      <c r="AV579" s="273"/>
      <c r="AW579" s="273"/>
      <c r="AX579" s="273"/>
      <c r="AY579" s="273"/>
      <c r="AZ579" s="273"/>
      <c r="BA579" s="273"/>
    </row>
    <row r="580">
      <c r="A580" s="273"/>
      <c r="B580" s="273"/>
      <c r="C580" s="745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273"/>
      <c r="AP580" s="273"/>
      <c r="AQ580" s="273"/>
      <c r="AR580" s="273"/>
      <c r="AS580" s="273"/>
      <c r="AT580" s="273"/>
      <c r="AU580" s="273"/>
      <c r="AV580" s="273"/>
      <c r="AW580" s="273"/>
      <c r="AX580" s="273"/>
      <c r="AY580" s="273"/>
      <c r="AZ580" s="273"/>
      <c r="BA580" s="273"/>
    </row>
    <row r="581">
      <c r="A581" s="273"/>
      <c r="B581" s="273"/>
      <c r="C581" s="745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  <c r="AJ581" s="273"/>
      <c r="AK581" s="273"/>
      <c r="AL581" s="273"/>
      <c r="AM581" s="273"/>
      <c r="AN581" s="273"/>
      <c r="AO581" s="273"/>
      <c r="AP581" s="273"/>
      <c r="AQ581" s="273"/>
      <c r="AR581" s="273"/>
      <c r="AS581" s="273"/>
      <c r="AT581" s="273"/>
      <c r="AU581" s="273"/>
      <c r="AV581" s="273"/>
      <c r="AW581" s="273"/>
      <c r="AX581" s="273"/>
      <c r="AY581" s="273"/>
      <c r="AZ581" s="273"/>
      <c r="BA581" s="273"/>
    </row>
    <row r="582">
      <c r="A582" s="273"/>
      <c r="B582" s="273"/>
      <c r="C582" s="745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273"/>
      <c r="AP582" s="273"/>
      <c r="AQ582" s="273"/>
      <c r="AR582" s="273"/>
      <c r="AS582" s="273"/>
      <c r="AT582" s="273"/>
      <c r="AU582" s="273"/>
      <c r="AV582" s="273"/>
      <c r="AW582" s="273"/>
      <c r="AX582" s="273"/>
      <c r="AY582" s="273"/>
      <c r="AZ582" s="273"/>
      <c r="BA582" s="273"/>
    </row>
    <row r="583">
      <c r="A583" s="273"/>
      <c r="B583" s="273"/>
      <c r="C583" s="745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  <c r="AJ583" s="273"/>
      <c r="AK583" s="273"/>
      <c r="AL583" s="273"/>
      <c r="AM583" s="273"/>
      <c r="AN583" s="273"/>
      <c r="AO583" s="273"/>
      <c r="AP583" s="273"/>
      <c r="AQ583" s="273"/>
      <c r="AR583" s="273"/>
      <c r="AS583" s="273"/>
      <c r="AT583" s="273"/>
      <c r="AU583" s="273"/>
      <c r="AV583" s="273"/>
      <c r="AW583" s="273"/>
      <c r="AX583" s="273"/>
      <c r="AY583" s="273"/>
      <c r="AZ583" s="273"/>
      <c r="BA583" s="273"/>
    </row>
    <row r="584">
      <c r="A584" s="273"/>
      <c r="B584" s="273"/>
      <c r="C584" s="745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273"/>
      <c r="AP584" s="273"/>
      <c r="AQ584" s="273"/>
      <c r="AR584" s="273"/>
      <c r="AS584" s="273"/>
      <c r="AT584" s="273"/>
      <c r="AU584" s="273"/>
      <c r="AV584" s="273"/>
      <c r="AW584" s="273"/>
      <c r="AX584" s="273"/>
      <c r="AY584" s="273"/>
      <c r="AZ584" s="273"/>
      <c r="BA584" s="273"/>
    </row>
    <row r="585">
      <c r="A585" s="273"/>
      <c r="B585" s="273"/>
      <c r="C585" s="745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  <c r="AJ585" s="273"/>
      <c r="AK585" s="273"/>
      <c r="AL585" s="273"/>
      <c r="AM585" s="273"/>
      <c r="AN585" s="273"/>
      <c r="AO585" s="273"/>
      <c r="AP585" s="273"/>
      <c r="AQ585" s="273"/>
      <c r="AR585" s="273"/>
      <c r="AS585" s="273"/>
      <c r="AT585" s="273"/>
      <c r="AU585" s="273"/>
      <c r="AV585" s="273"/>
      <c r="AW585" s="273"/>
      <c r="AX585" s="273"/>
      <c r="AY585" s="273"/>
      <c r="AZ585" s="273"/>
      <c r="BA585" s="273"/>
    </row>
    <row r="586">
      <c r="A586" s="273"/>
      <c r="B586" s="273"/>
      <c r="C586" s="745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273"/>
      <c r="AP586" s="273"/>
      <c r="AQ586" s="273"/>
      <c r="AR586" s="273"/>
      <c r="AS586" s="273"/>
      <c r="AT586" s="273"/>
      <c r="AU586" s="273"/>
      <c r="AV586" s="273"/>
      <c r="AW586" s="273"/>
      <c r="AX586" s="273"/>
      <c r="AY586" s="273"/>
      <c r="AZ586" s="273"/>
      <c r="BA586" s="273"/>
    </row>
    <row r="587">
      <c r="A587" s="273"/>
      <c r="B587" s="273"/>
      <c r="C587" s="745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  <c r="AJ587" s="273"/>
      <c r="AK587" s="273"/>
      <c r="AL587" s="273"/>
      <c r="AM587" s="273"/>
      <c r="AN587" s="273"/>
      <c r="AO587" s="273"/>
      <c r="AP587" s="273"/>
      <c r="AQ587" s="273"/>
      <c r="AR587" s="273"/>
      <c r="AS587" s="273"/>
      <c r="AT587" s="273"/>
      <c r="AU587" s="273"/>
      <c r="AV587" s="273"/>
      <c r="AW587" s="273"/>
      <c r="AX587" s="273"/>
      <c r="AY587" s="273"/>
      <c r="AZ587" s="273"/>
      <c r="BA587" s="273"/>
    </row>
    <row r="588">
      <c r="A588" s="273"/>
      <c r="B588" s="273"/>
      <c r="C588" s="745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273"/>
      <c r="AP588" s="273"/>
      <c r="AQ588" s="273"/>
      <c r="AR588" s="273"/>
      <c r="AS588" s="273"/>
      <c r="AT588" s="273"/>
      <c r="AU588" s="273"/>
      <c r="AV588" s="273"/>
      <c r="AW588" s="273"/>
      <c r="AX588" s="273"/>
      <c r="AY588" s="273"/>
      <c r="AZ588" s="273"/>
      <c r="BA588" s="273"/>
    </row>
    <row r="589">
      <c r="A589" s="273"/>
      <c r="B589" s="273"/>
      <c r="C589" s="745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  <c r="AJ589" s="273"/>
      <c r="AK589" s="273"/>
      <c r="AL589" s="273"/>
      <c r="AM589" s="273"/>
      <c r="AN589" s="273"/>
      <c r="AO589" s="273"/>
      <c r="AP589" s="273"/>
      <c r="AQ589" s="273"/>
      <c r="AR589" s="273"/>
      <c r="AS589" s="273"/>
      <c r="AT589" s="273"/>
      <c r="AU589" s="273"/>
      <c r="AV589" s="273"/>
      <c r="AW589" s="273"/>
      <c r="AX589" s="273"/>
      <c r="AY589" s="273"/>
      <c r="AZ589" s="273"/>
      <c r="BA589" s="273"/>
    </row>
    <row r="590">
      <c r="A590" s="273"/>
      <c r="B590" s="273"/>
      <c r="C590" s="745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273"/>
      <c r="AP590" s="273"/>
      <c r="AQ590" s="273"/>
      <c r="AR590" s="273"/>
      <c r="AS590" s="273"/>
      <c r="AT590" s="273"/>
      <c r="AU590" s="273"/>
      <c r="AV590" s="273"/>
      <c r="AW590" s="273"/>
      <c r="AX590" s="273"/>
      <c r="AY590" s="273"/>
      <c r="AZ590" s="273"/>
      <c r="BA590" s="273"/>
    </row>
    <row r="591">
      <c r="A591" s="273"/>
      <c r="B591" s="273"/>
      <c r="C591" s="745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  <c r="AJ591" s="273"/>
      <c r="AK591" s="273"/>
      <c r="AL591" s="273"/>
      <c r="AM591" s="273"/>
      <c r="AN591" s="273"/>
      <c r="AO591" s="273"/>
      <c r="AP591" s="273"/>
      <c r="AQ591" s="273"/>
      <c r="AR591" s="273"/>
      <c r="AS591" s="273"/>
      <c r="AT591" s="273"/>
      <c r="AU591" s="273"/>
      <c r="AV591" s="273"/>
      <c r="AW591" s="273"/>
      <c r="AX591" s="273"/>
      <c r="AY591" s="273"/>
      <c r="AZ591" s="273"/>
      <c r="BA591" s="273"/>
    </row>
    <row r="592">
      <c r="A592" s="273"/>
      <c r="B592" s="273"/>
      <c r="C592" s="745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273"/>
      <c r="AP592" s="273"/>
      <c r="AQ592" s="273"/>
      <c r="AR592" s="273"/>
      <c r="AS592" s="273"/>
      <c r="AT592" s="273"/>
      <c r="AU592" s="273"/>
      <c r="AV592" s="273"/>
      <c r="AW592" s="273"/>
      <c r="AX592" s="273"/>
      <c r="AY592" s="273"/>
      <c r="AZ592" s="273"/>
      <c r="BA592" s="273"/>
    </row>
    <row r="593">
      <c r="A593" s="273"/>
      <c r="B593" s="273"/>
      <c r="C593" s="745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</row>
    <row r="594">
      <c r="A594" s="273"/>
      <c r="B594" s="273"/>
      <c r="C594" s="745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</row>
    <row r="595">
      <c r="A595" s="273"/>
      <c r="B595" s="273"/>
      <c r="C595" s="745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  <c r="AJ595" s="273"/>
      <c r="AK595" s="273"/>
      <c r="AL595" s="273"/>
      <c r="AM595" s="273"/>
      <c r="AN595" s="273"/>
      <c r="AO595" s="273"/>
      <c r="AP595" s="273"/>
      <c r="AQ595" s="273"/>
      <c r="AR595" s="273"/>
      <c r="AS595" s="273"/>
      <c r="AT595" s="273"/>
      <c r="AU595" s="273"/>
      <c r="AV595" s="273"/>
      <c r="AW595" s="273"/>
      <c r="AX595" s="273"/>
      <c r="AY595" s="273"/>
      <c r="AZ595" s="273"/>
      <c r="BA595" s="273"/>
    </row>
    <row r="596">
      <c r="A596" s="273"/>
      <c r="B596" s="273"/>
      <c r="C596" s="745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273"/>
      <c r="AP596" s="273"/>
      <c r="AQ596" s="273"/>
      <c r="AR596" s="273"/>
      <c r="AS596" s="273"/>
      <c r="AT596" s="273"/>
      <c r="AU596" s="273"/>
      <c r="AV596" s="273"/>
      <c r="AW596" s="273"/>
      <c r="AX596" s="273"/>
      <c r="AY596" s="273"/>
      <c r="AZ596" s="273"/>
      <c r="BA596" s="273"/>
    </row>
    <row r="597">
      <c r="A597" s="273"/>
      <c r="B597" s="273"/>
      <c r="C597" s="745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  <c r="AJ597" s="273"/>
      <c r="AK597" s="273"/>
      <c r="AL597" s="273"/>
      <c r="AM597" s="273"/>
      <c r="AN597" s="273"/>
      <c r="AO597" s="273"/>
      <c r="AP597" s="273"/>
      <c r="AQ597" s="273"/>
      <c r="AR597" s="273"/>
      <c r="AS597" s="273"/>
      <c r="AT597" s="273"/>
      <c r="AU597" s="273"/>
      <c r="AV597" s="273"/>
      <c r="AW597" s="273"/>
      <c r="AX597" s="273"/>
      <c r="AY597" s="273"/>
      <c r="AZ597" s="273"/>
      <c r="BA597" s="273"/>
    </row>
    <row r="598">
      <c r="A598" s="273"/>
      <c r="B598" s="273"/>
      <c r="C598" s="745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273"/>
      <c r="AP598" s="273"/>
      <c r="AQ598" s="273"/>
      <c r="AR598" s="273"/>
      <c r="AS598" s="273"/>
      <c r="AT598" s="273"/>
      <c r="AU598" s="273"/>
      <c r="AV598" s="273"/>
      <c r="AW598" s="273"/>
      <c r="AX598" s="273"/>
      <c r="AY598" s="273"/>
      <c r="AZ598" s="273"/>
      <c r="BA598" s="273"/>
    </row>
    <row r="599">
      <c r="A599" s="273"/>
      <c r="B599" s="273"/>
      <c r="C599" s="745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  <c r="AJ599" s="273"/>
      <c r="AK599" s="273"/>
      <c r="AL599" s="273"/>
      <c r="AM599" s="273"/>
      <c r="AN599" s="273"/>
      <c r="AO599" s="273"/>
      <c r="AP599" s="273"/>
      <c r="AQ599" s="273"/>
      <c r="AR599" s="273"/>
      <c r="AS599" s="273"/>
      <c r="AT599" s="273"/>
      <c r="AU599" s="273"/>
      <c r="AV599" s="273"/>
      <c r="AW599" s="273"/>
      <c r="AX599" s="273"/>
      <c r="AY599" s="273"/>
      <c r="AZ599" s="273"/>
      <c r="BA599" s="273"/>
    </row>
    <row r="600">
      <c r="A600" s="273"/>
      <c r="B600" s="273"/>
      <c r="C600" s="745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273"/>
      <c r="AP600" s="273"/>
      <c r="AQ600" s="273"/>
      <c r="AR600" s="273"/>
      <c r="AS600" s="273"/>
      <c r="AT600" s="273"/>
      <c r="AU600" s="273"/>
      <c r="AV600" s="273"/>
      <c r="AW600" s="273"/>
      <c r="AX600" s="273"/>
      <c r="AY600" s="273"/>
      <c r="AZ600" s="273"/>
      <c r="BA600" s="273"/>
    </row>
    <row r="601">
      <c r="A601" s="273"/>
      <c r="B601" s="273"/>
      <c r="C601" s="745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  <c r="AJ601" s="273"/>
      <c r="AK601" s="273"/>
      <c r="AL601" s="273"/>
      <c r="AM601" s="273"/>
      <c r="AN601" s="273"/>
      <c r="AO601" s="273"/>
      <c r="AP601" s="273"/>
      <c r="AQ601" s="273"/>
      <c r="AR601" s="273"/>
      <c r="AS601" s="273"/>
      <c r="AT601" s="273"/>
      <c r="AU601" s="273"/>
      <c r="AV601" s="273"/>
      <c r="AW601" s="273"/>
      <c r="AX601" s="273"/>
      <c r="AY601" s="273"/>
      <c r="AZ601" s="273"/>
      <c r="BA601" s="273"/>
    </row>
    <row r="602">
      <c r="A602" s="273"/>
      <c r="B602" s="273"/>
      <c r="C602" s="745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273"/>
      <c r="AP602" s="273"/>
      <c r="AQ602" s="273"/>
      <c r="AR602" s="273"/>
      <c r="AS602" s="273"/>
      <c r="AT602" s="273"/>
      <c r="AU602" s="273"/>
      <c r="AV602" s="273"/>
      <c r="AW602" s="273"/>
      <c r="AX602" s="273"/>
      <c r="AY602" s="273"/>
      <c r="AZ602" s="273"/>
      <c r="BA602" s="273"/>
    </row>
    <row r="603">
      <c r="A603" s="273"/>
      <c r="B603" s="273"/>
      <c r="C603" s="745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  <c r="AJ603" s="273"/>
      <c r="AK603" s="273"/>
      <c r="AL603" s="273"/>
      <c r="AM603" s="273"/>
      <c r="AN603" s="273"/>
      <c r="AO603" s="273"/>
      <c r="AP603" s="273"/>
      <c r="AQ603" s="273"/>
      <c r="AR603" s="273"/>
      <c r="AS603" s="273"/>
      <c r="AT603" s="273"/>
      <c r="AU603" s="273"/>
      <c r="AV603" s="273"/>
      <c r="AW603" s="273"/>
      <c r="AX603" s="273"/>
      <c r="AY603" s="273"/>
      <c r="AZ603" s="273"/>
      <c r="BA603" s="273"/>
    </row>
    <row r="604">
      <c r="A604" s="273"/>
      <c r="B604" s="273"/>
      <c r="C604" s="745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273"/>
      <c r="AP604" s="273"/>
      <c r="AQ604" s="273"/>
      <c r="AR604" s="273"/>
      <c r="AS604" s="273"/>
      <c r="AT604" s="273"/>
      <c r="AU604" s="273"/>
      <c r="AV604" s="273"/>
      <c r="AW604" s="273"/>
      <c r="AX604" s="273"/>
      <c r="AY604" s="273"/>
      <c r="AZ604" s="273"/>
      <c r="BA604" s="273"/>
    </row>
    <row r="605">
      <c r="A605" s="273"/>
      <c r="B605" s="273"/>
      <c r="C605" s="745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  <c r="AJ605" s="273"/>
      <c r="AK605" s="273"/>
      <c r="AL605" s="273"/>
      <c r="AM605" s="273"/>
      <c r="AN605" s="273"/>
      <c r="AO605" s="273"/>
      <c r="AP605" s="273"/>
      <c r="AQ605" s="273"/>
      <c r="AR605" s="273"/>
      <c r="AS605" s="273"/>
      <c r="AT605" s="273"/>
      <c r="AU605" s="273"/>
      <c r="AV605" s="273"/>
      <c r="AW605" s="273"/>
      <c r="AX605" s="273"/>
      <c r="AY605" s="273"/>
      <c r="AZ605" s="273"/>
      <c r="BA605" s="273"/>
    </row>
    <row r="606">
      <c r="A606" s="273"/>
      <c r="B606" s="273"/>
      <c r="C606" s="745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273"/>
      <c r="AP606" s="273"/>
      <c r="AQ606" s="273"/>
      <c r="AR606" s="273"/>
      <c r="AS606" s="273"/>
      <c r="AT606" s="273"/>
      <c r="AU606" s="273"/>
      <c r="AV606" s="273"/>
      <c r="AW606" s="273"/>
      <c r="AX606" s="273"/>
      <c r="AY606" s="273"/>
      <c r="AZ606" s="273"/>
      <c r="BA606" s="273"/>
    </row>
    <row r="607">
      <c r="A607" s="273"/>
      <c r="B607" s="273"/>
      <c r="C607" s="745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  <c r="AJ607" s="273"/>
      <c r="AK607" s="273"/>
      <c r="AL607" s="273"/>
      <c r="AM607" s="273"/>
      <c r="AN607" s="273"/>
      <c r="AO607" s="273"/>
      <c r="AP607" s="273"/>
      <c r="AQ607" s="273"/>
      <c r="AR607" s="273"/>
      <c r="AS607" s="273"/>
      <c r="AT607" s="273"/>
      <c r="AU607" s="273"/>
      <c r="AV607" s="273"/>
      <c r="AW607" s="273"/>
      <c r="AX607" s="273"/>
      <c r="AY607" s="273"/>
      <c r="AZ607" s="273"/>
      <c r="BA607" s="273"/>
    </row>
    <row r="608">
      <c r="A608" s="273"/>
      <c r="B608" s="273"/>
      <c r="C608" s="745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273"/>
      <c r="AP608" s="273"/>
      <c r="AQ608" s="273"/>
      <c r="AR608" s="273"/>
      <c r="AS608" s="273"/>
      <c r="AT608" s="273"/>
      <c r="AU608" s="273"/>
      <c r="AV608" s="273"/>
      <c r="AW608" s="273"/>
      <c r="AX608" s="273"/>
      <c r="AY608" s="273"/>
      <c r="AZ608" s="273"/>
      <c r="BA608" s="273"/>
    </row>
    <row r="609">
      <c r="A609" s="273"/>
      <c r="B609" s="273"/>
      <c r="C609" s="745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  <c r="AJ609" s="273"/>
      <c r="AK609" s="273"/>
      <c r="AL609" s="273"/>
      <c r="AM609" s="273"/>
      <c r="AN609" s="273"/>
      <c r="AO609" s="273"/>
      <c r="AP609" s="273"/>
      <c r="AQ609" s="273"/>
      <c r="AR609" s="273"/>
      <c r="AS609" s="273"/>
      <c r="AT609" s="273"/>
      <c r="AU609" s="273"/>
      <c r="AV609" s="273"/>
      <c r="AW609" s="273"/>
      <c r="AX609" s="273"/>
      <c r="AY609" s="273"/>
      <c r="AZ609" s="273"/>
      <c r="BA609" s="273"/>
    </row>
    <row r="610">
      <c r="A610" s="273"/>
      <c r="B610" s="273"/>
      <c r="C610" s="745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273"/>
      <c r="AP610" s="273"/>
      <c r="AQ610" s="273"/>
      <c r="AR610" s="273"/>
      <c r="AS610" s="273"/>
      <c r="AT610" s="273"/>
      <c r="AU610" s="273"/>
      <c r="AV610" s="273"/>
      <c r="AW610" s="273"/>
      <c r="AX610" s="273"/>
      <c r="AY610" s="273"/>
      <c r="AZ610" s="273"/>
      <c r="BA610" s="273"/>
    </row>
    <row r="611">
      <c r="A611" s="273"/>
      <c r="B611" s="273"/>
      <c r="C611" s="745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  <c r="AJ611" s="273"/>
      <c r="AK611" s="273"/>
      <c r="AL611" s="273"/>
      <c r="AM611" s="273"/>
      <c r="AN611" s="273"/>
      <c r="AO611" s="273"/>
      <c r="AP611" s="273"/>
      <c r="AQ611" s="273"/>
      <c r="AR611" s="273"/>
      <c r="AS611" s="273"/>
      <c r="AT611" s="273"/>
      <c r="AU611" s="273"/>
      <c r="AV611" s="273"/>
      <c r="AW611" s="273"/>
      <c r="AX611" s="273"/>
      <c r="AY611" s="273"/>
      <c r="AZ611" s="273"/>
      <c r="BA611" s="273"/>
    </row>
    <row r="612">
      <c r="A612" s="273"/>
      <c r="B612" s="273"/>
      <c r="C612" s="745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273"/>
      <c r="AP612" s="273"/>
      <c r="AQ612" s="273"/>
      <c r="AR612" s="273"/>
      <c r="AS612" s="273"/>
      <c r="AT612" s="273"/>
      <c r="AU612" s="273"/>
      <c r="AV612" s="273"/>
      <c r="AW612" s="273"/>
      <c r="AX612" s="273"/>
      <c r="AY612" s="273"/>
      <c r="AZ612" s="273"/>
      <c r="BA612" s="273"/>
    </row>
    <row r="613">
      <c r="A613" s="273"/>
      <c r="B613" s="273"/>
      <c r="C613" s="745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  <c r="AJ613" s="273"/>
      <c r="AK613" s="273"/>
      <c r="AL613" s="273"/>
      <c r="AM613" s="273"/>
      <c r="AN613" s="273"/>
      <c r="AO613" s="273"/>
      <c r="AP613" s="273"/>
      <c r="AQ613" s="273"/>
      <c r="AR613" s="273"/>
      <c r="AS613" s="273"/>
      <c r="AT613" s="273"/>
      <c r="AU613" s="273"/>
      <c r="AV613" s="273"/>
      <c r="AW613" s="273"/>
      <c r="AX613" s="273"/>
      <c r="AY613" s="273"/>
      <c r="AZ613" s="273"/>
      <c r="BA613" s="273"/>
    </row>
    <row r="614">
      <c r="A614" s="273"/>
      <c r="B614" s="273"/>
      <c r="C614" s="745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273"/>
      <c r="AP614" s="273"/>
      <c r="AQ614" s="273"/>
      <c r="AR614" s="273"/>
      <c r="AS614" s="273"/>
      <c r="AT614" s="273"/>
      <c r="AU614" s="273"/>
      <c r="AV614" s="273"/>
      <c r="AW614" s="273"/>
      <c r="AX614" s="273"/>
      <c r="AY614" s="273"/>
      <c r="AZ614" s="273"/>
      <c r="BA614" s="273"/>
    </row>
    <row r="615">
      <c r="A615" s="273"/>
      <c r="B615" s="273"/>
      <c r="C615" s="745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  <c r="AJ615" s="273"/>
      <c r="AK615" s="273"/>
      <c r="AL615" s="273"/>
      <c r="AM615" s="273"/>
      <c r="AN615" s="273"/>
      <c r="AO615" s="273"/>
      <c r="AP615" s="273"/>
      <c r="AQ615" s="273"/>
      <c r="AR615" s="273"/>
      <c r="AS615" s="273"/>
      <c r="AT615" s="273"/>
      <c r="AU615" s="273"/>
      <c r="AV615" s="273"/>
      <c r="AW615" s="273"/>
      <c r="AX615" s="273"/>
      <c r="AY615" s="273"/>
      <c r="AZ615" s="273"/>
      <c r="BA615" s="273"/>
    </row>
    <row r="616">
      <c r="A616" s="273"/>
      <c r="B616" s="273"/>
      <c r="C616" s="745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273"/>
      <c r="AP616" s="273"/>
      <c r="AQ616" s="273"/>
      <c r="AR616" s="273"/>
      <c r="AS616" s="273"/>
      <c r="AT616" s="273"/>
      <c r="AU616" s="273"/>
      <c r="AV616" s="273"/>
      <c r="AW616" s="273"/>
      <c r="AX616" s="273"/>
      <c r="AY616" s="273"/>
      <c r="AZ616" s="273"/>
      <c r="BA616" s="273"/>
    </row>
    <row r="617">
      <c r="A617" s="273"/>
      <c r="B617" s="273"/>
      <c r="C617" s="745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  <c r="AJ617" s="273"/>
      <c r="AK617" s="273"/>
      <c r="AL617" s="273"/>
      <c r="AM617" s="273"/>
      <c r="AN617" s="273"/>
      <c r="AO617" s="273"/>
      <c r="AP617" s="273"/>
      <c r="AQ617" s="273"/>
      <c r="AR617" s="273"/>
      <c r="AS617" s="273"/>
      <c r="AT617" s="273"/>
      <c r="AU617" s="273"/>
      <c r="AV617" s="273"/>
      <c r="AW617" s="273"/>
      <c r="AX617" s="273"/>
      <c r="AY617" s="273"/>
      <c r="AZ617" s="273"/>
      <c r="BA617" s="273"/>
    </row>
    <row r="618">
      <c r="A618" s="273"/>
      <c r="B618" s="273"/>
      <c r="C618" s="745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3"/>
      <c r="AV618" s="273"/>
      <c r="AW618" s="273"/>
      <c r="AX618" s="273"/>
      <c r="AY618" s="273"/>
      <c r="AZ618" s="273"/>
      <c r="BA618" s="273"/>
    </row>
    <row r="619">
      <c r="A619" s="273"/>
      <c r="B619" s="273"/>
      <c r="C619" s="745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  <c r="AJ619" s="273"/>
      <c r="AK619" s="273"/>
      <c r="AL619" s="273"/>
      <c r="AM619" s="273"/>
      <c r="AN619" s="273"/>
      <c r="AO619" s="273"/>
      <c r="AP619" s="273"/>
      <c r="AQ619" s="273"/>
      <c r="AR619" s="273"/>
      <c r="AS619" s="273"/>
      <c r="AT619" s="273"/>
      <c r="AU619" s="273"/>
      <c r="AV619" s="273"/>
      <c r="AW619" s="273"/>
      <c r="AX619" s="273"/>
      <c r="AY619" s="273"/>
      <c r="AZ619" s="273"/>
      <c r="BA619" s="273"/>
    </row>
    <row r="620">
      <c r="A620" s="273"/>
      <c r="B620" s="273"/>
      <c r="C620" s="745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  <c r="AJ620" s="273"/>
      <c r="AK620" s="273"/>
      <c r="AL620" s="273"/>
      <c r="AM620" s="273"/>
      <c r="AN620" s="273"/>
      <c r="AO620" s="273"/>
      <c r="AP620" s="273"/>
      <c r="AQ620" s="273"/>
      <c r="AR620" s="273"/>
      <c r="AS620" s="273"/>
      <c r="AT620" s="273"/>
      <c r="AU620" s="273"/>
      <c r="AV620" s="273"/>
      <c r="AW620" s="273"/>
      <c r="AX620" s="273"/>
      <c r="AY620" s="273"/>
      <c r="AZ620" s="273"/>
      <c r="BA620" s="273"/>
    </row>
    <row r="621">
      <c r="A621" s="273"/>
      <c r="B621" s="273"/>
      <c r="C621" s="745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  <c r="AJ621" s="273"/>
      <c r="AK621" s="273"/>
      <c r="AL621" s="273"/>
      <c r="AM621" s="273"/>
      <c r="AN621" s="273"/>
      <c r="AO621" s="273"/>
      <c r="AP621" s="273"/>
      <c r="AQ621" s="273"/>
      <c r="AR621" s="273"/>
      <c r="AS621" s="273"/>
      <c r="AT621" s="273"/>
      <c r="AU621" s="273"/>
      <c r="AV621" s="273"/>
      <c r="AW621" s="273"/>
      <c r="AX621" s="273"/>
      <c r="AY621" s="273"/>
      <c r="AZ621" s="273"/>
      <c r="BA621" s="273"/>
    </row>
    <row r="622">
      <c r="A622" s="273"/>
      <c r="B622" s="273"/>
      <c r="C622" s="745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  <c r="AJ622" s="273"/>
      <c r="AK622" s="273"/>
      <c r="AL622" s="273"/>
      <c r="AM622" s="273"/>
      <c r="AN622" s="273"/>
      <c r="AO622" s="273"/>
      <c r="AP622" s="273"/>
      <c r="AQ622" s="273"/>
      <c r="AR622" s="273"/>
      <c r="AS622" s="273"/>
      <c r="AT622" s="273"/>
      <c r="AU622" s="273"/>
      <c r="AV622" s="273"/>
      <c r="AW622" s="273"/>
      <c r="AX622" s="273"/>
      <c r="AY622" s="273"/>
      <c r="AZ622" s="273"/>
      <c r="BA622" s="273"/>
    </row>
    <row r="623">
      <c r="A623" s="273"/>
      <c r="B623" s="273"/>
      <c r="C623" s="745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  <c r="AJ623" s="273"/>
      <c r="AK623" s="273"/>
      <c r="AL623" s="273"/>
      <c r="AM623" s="273"/>
      <c r="AN623" s="273"/>
      <c r="AO623" s="273"/>
      <c r="AP623" s="273"/>
      <c r="AQ623" s="273"/>
      <c r="AR623" s="273"/>
      <c r="AS623" s="273"/>
      <c r="AT623" s="273"/>
      <c r="AU623" s="273"/>
      <c r="AV623" s="273"/>
      <c r="AW623" s="273"/>
      <c r="AX623" s="273"/>
      <c r="AY623" s="273"/>
      <c r="AZ623" s="273"/>
      <c r="BA623" s="273"/>
    </row>
    <row r="624">
      <c r="A624" s="273"/>
      <c r="B624" s="273"/>
      <c r="C624" s="745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  <c r="AJ624" s="273"/>
      <c r="AK624" s="273"/>
      <c r="AL624" s="273"/>
      <c r="AM624" s="273"/>
      <c r="AN624" s="273"/>
      <c r="AO624" s="273"/>
      <c r="AP624" s="273"/>
      <c r="AQ624" s="273"/>
      <c r="AR624" s="273"/>
      <c r="AS624" s="273"/>
      <c r="AT624" s="273"/>
      <c r="AU624" s="273"/>
      <c r="AV624" s="273"/>
      <c r="AW624" s="273"/>
      <c r="AX624" s="273"/>
      <c r="AY624" s="273"/>
      <c r="AZ624" s="273"/>
      <c r="BA624" s="273"/>
    </row>
    <row r="625">
      <c r="A625" s="273"/>
      <c r="B625" s="273"/>
      <c r="C625" s="745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  <c r="AJ625" s="273"/>
      <c r="AK625" s="273"/>
      <c r="AL625" s="273"/>
      <c r="AM625" s="273"/>
      <c r="AN625" s="273"/>
      <c r="AO625" s="273"/>
      <c r="AP625" s="273"/>
      <c r="AQ625" s="273"/>
      <c r="AR625" s="273"/>
      <c r="AS625" s="273"/>
      <c r="AT625" s="273"/>
      <c r="AU625" s="273"/>
      <c r="AV625" s="273"/>
      <c r="AW625" s="273"/>
      <c r="AX625" s="273"/>
      <c r="AY625" s="273"/>
      <c r="AZ625" s="273"/>
      <c r="BA625" s="273"/>
    </row>
    <row r="626">
      <c r="A626" s="273"/>
      <c r="B626" s="273"/>
      <c r="C626" s="745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  <c r="AJ626" s="273"/>
      <c r="AK626" s="273"/>
      <c r="AL626" s="273"/>
      <c r="AM626" s="273"/>
      <c r="AN626" s="273"/>
      <c r="AO626" s="273"/>
      <c r="AP626" s="273"/>
      <c r="AQ626" s="273"/>
      <c r="AR626" s="273"/>
      <c r="AS626" s="273"/>
      <c r="AT626" s="273"/>
      <c r="AU626" s="273"/>
      <c r="AV626" s="273"/>
      <c r="AW626" s="273"/>
      <c r="AX626" s="273"/>
      <c r="AY626" s="273"/>
      <c r="AZ626" s="273"/>
      <c r="BA626" s="273"/>
    </row>
    <row r="627">
      <c r="A627" s="273"/>
      <c r="B627" s="273"/>
      <c r="C627" s="745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3"/>
      <c r="AK627" s="273"/>
      <c r="AL627" s="273"/>
      <c r="AM627" s="273"/>
      <c r="AN627" s="273"/>
      <c r="AO627" s="273"/>
      <c r="AP627" s="273"/>
      <c r="AQ627" s="273"/>
      <c r="AR627" s="273"/>
      <c r="AS627" s="273"/>
      <c r="AT627" s="273"/>
      <c r="AU627" s="273"/>
      <c r="AV627" s="273"/>
      <c r="AW627" s="273"/>
      <c r="AX627" s="273"/>
      <c r="AY627" s="273"/>
      <c r="AZ627" s="273"/>
      <c r="BA627" s="273"/>
    </row>
    <row r="628">
      <c r="A628" s="273"/>
      <c r="B628" s="273"/>
      <c r="C628" s="745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  <c r="AJ628" s="273"/>
      <c r="AK628" s="273"/>
      <c r="AL628" s="273"/>
      <c r="AM628" s="273"/>
      <c r="AN628" s="273"/>
      <c r="AO628" s="273"/>
      <c r="AP628" s="273"/>
      <c r="AQ628" s="273"/>
      <c r="AR628" s="273"/>
      <c r="AS628" s="273"/>
      <c r="AT628" s="273"/>
      <c r="AU628" s="273"/>
      <c r="AV628" s="273"/>
      <c r="AW628" s="273"/>
      <c r="AX628" s="273"/>
      <c r="AY628" s="273"/>
      <c r="AZ628" s="273"/>
      <c r="BA628" s="273"/>
    </row>
    <row r="629">
      <c r="A629" s="273"/>
      <c r="B629" s="273"/>
      <c r="C629" s="745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  <c r="AJ629" s="273"/>
      <c r="AK629" s="273"/>
      <c r="AL629" s="273"/>
      <c r="AM629" s="273"/>
      <c r="AN629" s="273"/>
      <c r="AO629" s="273"/>
      <c r="AP629" s="273"/>
      <c r="AQ629" s="273"/>
      <c r="AR629" s="273"/>
      <c r="AS629" s="273"/>
      <c r="AT629" s="273"/>
      <c r="AU629" s="273"/>
      <c r="AV629" s="273"/>
      <c r="AW629" s="273"/>
      <c r="AX629" s="273"/>
      <c r="AY629" s="273"/>
      <c r="AZ629" s="273"/>
      <c r="BA629" s="273"/>
    </row>
    <row r="630">
      <c r="A630" s="273"/>
      <c r="B630" s="273"/>
      <c r="C630" s="745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3"/>
      <c r="AK630" s="273"/>
      <c r="AL630" s="273"/>
      <c r="AM630" s="273"/>
      <c r="AN630" s="273"/>
      <c r="AO630" s="273"/>
      <c r="AP630" s="273"/>
      <c r="AQ630" s="273"/>
      <c r="AR630" s="273"/>
      <c r="AS630" s="273"/>
      <c r="AT630" s="273"/>
      <c r="AU630" s="273"/>
      <c r="AV630" s="273"/>
      <c r="AW630" s="273"/>
      <c r="AX630" s="273"/>
      <c r="AY630" s="273"/>
      <c r="AZ630" s="273"/>
      <c r="BA630" s="273"/>
    </row>
    <row r="631">
      <c r="A631" s="273"/>
      <c r="B631" s="273"/>
      <c r="C631" s="745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  <c r="AJ631" s="273"/>
      <c r="AK631" s="273"/>
      <c r="AL631" s="273"/>
      <c r="AM631" s="273"/>
      <c r="AN631" s="273"/>
      <c r="AO631" s="273"/>
      <c r="AP631" s="273"/>
      <c r="AQ631" s="273"/>
      <c r="AR631" s="273"/>
      <c r="AS631" s="273"/>
      <c r="AT631" s="273"/>
      <c r="AU631" s="273"/>
      <c r="AV631" s="273"/>
      <c r="AW631" s="273"/>
      <c r="AX631" s="273"/>
      <c r="AY631" s="273"/>
      <c r="AZ631" s="273"/>
      <c r="BA631" s="273"/>
    </row>
    <row r="632">
      <c r="A632" s="273"/>
      <c r="B632" s="273"/>
      <c r="C632" s="745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  <c r="AJ632" s="273"/>
      <c r="AK632" s="273"/>
      <c r="AL632" s="273"/>
      <c r="AM632" s="273"/>
      <c r="AN632" s="273"/>
      <c r="AO632" s="273"/>
      <c r="AP632" s="273"/>
      <c r="AQ632" s="273"/>
      <c r="AR632" s="273"/>
      <c r="AS632" s="273"/>
      <c r="AT632" s="273"/>
      <c r="AU632" s="273"/>
      <c r="AV632" s="273"/>
      <c r="AW632" s="273"/>
      <c r="AX632" s="273"/>
      <c r="AY632" s="273"/>
      <c r="AZ632" s="273"/>
      <c r="BA632" s="273"/>
    </row>
    <row r="633">
      <c r="A633" s="273"/>
      <c r="B633" s="273"/>
      <c r="C633" s="745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  <c r="AJ633" s="273"/>
      <c r="AK633" s="273"/>
      <c r="AL633" s="273"/>
      <c r="AM633" s="273"/>
      <c r="AN633" s="273"/>
      <c r="AO633" s="273"/>
      <c r="AP633" s="273"/>
      <c r="AQ633" s="273"/>
      <c r="AR633" s="273"/>
      <c r="AS633" s="273"/>
      <c r="AT633" s="273"/>
      <c r="AU633" s="273"/>
      <c r="AV633" s="273"/>
      <c r="AW633" s="273"/>
      <c r="AX633" s="273"/>
      <c r="AY633" s="273"/>
      <c r="AZ633" s="273"/>
      <c r="BA633" s="273"/>
    </row>
    <row r="634">
      <c r="A634" s="273"/>
      <c r="B634" s="273"/>
      <c r="C634" s="745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  <c r="AJ634" s="273"/>
      <c r="AK634" s="273"/>
      <c r="AL634" s="273"/>
      <c r="AM634" s="273"/>
      <c r="AN634" s="273"/>
      <c r="AO634" s="273"/>
      <c r="AP634" s="273"/>
      <c r="AQ634" s="273"/>
      <c r="AR634" s="273"/>
      <c r="AS634" s="273"/>
      <c r="AT634" s="273"/>
      <c r="AU634" s="273"/>
      <c r="AV634" s="273"/>
      <c r="AW634" s="273"/>
      <c r="AX634" s="273"/>
      <c r="AY634" s="273"/>
      <c r="AZ634" s="273"/>
      <c r="BA634" s="273"/>
    </row>
    <row r="635">
      <c r="A635" s="273"/>
      <c r="B635" s="273"/>
      <c r="C635" s="745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  <c r="AJ635" s="273"/>
      <c r="AK635" s="273"/>
      <c r="AL635" s="273"/>
      <c r="AM635" s="273"/>
      <c r="AN635" s="273"/>
      <c r="AO635" s="273"/>
      <c r="AP635" s="273"/>
      <c r="AQ635" s="273"/>
      <c r="AR635" s="273"/>
      <c r="AS635" s="273"/>
      <c r="AT635" s="273"/>
      <c r="AU635" s="273"/>
      <c r="AV635" s="273"/>
      <c r="AW635" s="273"/>
      <c r="AX635" s="273"/>
      <c r="AY635" s="273"/>
      <c r="AZ635" s="273"/>
      <c r="BA635" s="273"/>
    </row>
    <row r="636">
      <c r="A636" s="273"/>
      <c r="B636" s="273"/>
      <c r="C636" s="745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  <c r="AJ636" s="273"/>
      <c r="AK636" s="273"/>
      <c r="AL636" s="273"/>
      <c r="AM636" s="273"/>
      <c r="AN636" s="273"/>
      <c r="AO636" s="273"/>
      <c r="AP636" s="273"/>
      <c r="AQ636" s="273"/>
      <c r="AR636" s="273"/>
      <c r="AS636" s="273"/>
      <c r="AT636" s="273"/>
      <c r="AU636" s="273"/>
      <c r="AV636" s="273"/>
      <c r="AW636" s="273"/>
      <c r="AX636" s="273"/>
      <c r="AY636" s="273"/>
      <c r="AZ636" s="273"/>
      <c r="BA636" s="273"/>
    </row>
    <row r="637">
      <c r="A637" s="273"/>
      <c r="B637" s="273"/>
      <c r="C637" s="745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  <c r="AJ637" s="273"/>
      <c r="AK637" s="273"/>
      <c r="AL637" s="273"/>
      <c r="AM637" s="273"/>
      <c r="AN637" s="273"/>
      <c r="AO637" s="273"/>
      <c r="AP637" s="273"/>
      <c r="AQ637" s="273"/>
      <c r="AR637" s="273"/>
      <c r="AS637" s="273"/>
      <c r="AT637" s="273"/>
      <c r="AU637" s="273"/>
      <c r="AV637" s="273"/>
      <c r="AW637" s="273"/>
      <c r="AX637" s="273"/>
      <c r="AY637" s="273"/>
      <c r="AZ637" s="273"/>
      <c r="BA637" s="273"/>
    </row>
    <row r="638">
      <c r="A638" s="273"/>
      <c r="B638" s="273"/>
      <c r="C638" s="745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  <c r="AJ638" s="273"/>
      <c r="AK638" s="273"/>
      <c r="AL638" s="273"/>
      <c r="AM638" s="273"/>
      <c r="AN638" s="273"/>
      <c r="AO638" s="273"/>
      <c r="AP638" s="273"/>
      <c r="AQ638" s="273"/>
      <c r="AR638" s="273"/>
      <c r="AS638" s="273"/>
      <c r="AT638" s="273"/>
      <c r="AU638" s="273"/>
      <c r="AV638" s="273"/>
      <c r="AW638" s="273"/>
      <c r="AX638" s="273"/>
      <c r="AY638" s="273"/>
      <c r="AZ638" s="273"/>
      <c r="BA638" s="273"/>
    </row>
    <row r="639">
      <c r="A639" s="273"/>
      <c r="B639" s="273"/>
      <c r="C639" s="745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  <c r="AJ639" s="273"/>
      <c r="AK639" s="273"/>
      <c r="AL639" s="273"/>
      <c r="AM639" s="273"/>
      <c r="AN639" s="273"/>
      <c r="AO639" s="273"/>
      <c r="AP639" s="273"/>
      <c r="AQ639" s="273"/>
      <c r="AR639" s="273"/>
      <c r="AS639" s="273"/>
      <c r="AT639" s="273"/>
      <c r="AU639" s="273"/>
      <c r="AV639" s="273"/>
      <c r="AW639" s="273"/>
      <c r="AX639" s="273"/>
      <c r="AY639" s="273"/>
      <c r="AZ639" s="273"/>
      <c r="BA639" s="273"/>
    </row>
    <row r="640">
      <c r="A640" s="273"/>
      <c r="B640" s="273"/>
      <c r="C640" s="745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  <c r="AJ640" s="273"/>
      <c r="AK640" s="273"/>
      <c r="AL640" s="273"/>
      <c r="AM640" s="273"/>
      <c r="AN640" s="273"/>
      <c r="AO640" s="273"/>
      <c r="AP640" s="273"/>
      <c r="AQ640" s="273"/>
      <c r="AR640" s="273"/>
      <c r="AS640" s="273"/>
      <c r="AT640" s="273"/>
      <c r="AU640" s="273"/>
      <c r="AV640" s="273"/>
      <c r="AW640" s="273"/>
      <c r="AX640" s="273"/>
      <c r="AY640" s="273"/>
      <c r="AZ640" s="273"/>
      <c r="BA640" s="273"/>
    </row>
    <row r="641">
      <c r="A641" s="273"/>
      <c r="B641" s="273"/>
      <c r="C641" s="745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  <c r="AJ641" s="273"/>
      <c r="AK641" s="273"/>
      <c r="AL641" s="273"/>
      <c r="AM641" s="273"/>
      <c r="AN641" s="273"/>
      <c r="AO641" s="273"/>
      <c r="AP641" s="273"/>
      <c r="AQ641" s="273"/>
      <c r="AR641" s="273"/>
      <c r="AS641" s="273"/>
      <c r="AT641" s="273"/>
      <c r="AU641" s="273"/>
      <c r="AV641" s="273"/>
      <c r="AW641" s="273"/>
      <c r="AX641" s="273"/>
      <c r="AY641" s="273"/>
      <c r="AZ641" s="273"/>
      <c r="BA641" s="273"/>
    </row>
    <row r="642">
      <c r="A642" s="273"/>
      <c r="B642" s="273"/>
      <c r="C642" s="745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  <c r="AJ642" s="273"/>
      <c r="AK642" s="273"/>
      <c r="AL642" s="273"/>
      <c r="AM642" s="273"/>
      <c r="AN642" s="273"/>
      <c r="AO642" s="273"/>
      <c r="AP642" s="273"/>
      <c r="AQ642" s="273"/>
      <c r="AR642" s="273"/>
      <c r="AS642" s="273"/>
      <c r="AT642" s="273"/>
      <c r="AU642" s="273"/>
      <c r="AV642" s="273"/>
      <c r="AW642" s="273"/>
      <c r="AX642" s="273"/>
      <c r="AY642" s="273"/>
      <c r="AZ642" s="273"/>
      <c r="BA642" s="273"/>
    </row>
    <row r="643">
      <c r="A643" s="273"/>
      <c r="B643" s="273"/>
      <c r="C643" s="745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  <c r="AJ643" s="273"/>
      <c r="AK643" s="273"/>
      <c r="AL643" s="273"/>
      <c r="AM643" s="273"/>
      <c r="AN643" s="273"/>
      <c r="AO643" s="273"/>
      <c r="AP643" s="273"/>
      <c r="AQ643" s="273"/>
      <c r="AR643" s="273"/>
      <c r="AS643" s="273"/>
      <c r="AT643" s="273"/>
      <c r="AU643" s="273"/>
      <c r="AV643" s="273"/>
      <c r="AW643" s="273"/>
      <c r="AX643" s="273"/>
      <c r="AY643" s="273"/>
      <c r="AZ643" s="273"/>
      <c r="BA643" s="273"/>
    </row>
    <row r="644">
      <c r="A644" s="273"/>
      <c r="B644" s="273"/>
      <c r="C644" s="745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  <c r="AJ644" s="273"/>
      <c r="AK644" s="273"/>
      <c r="AL644" s="273"/>
      <c r="AM644" s="273"/>
      <c r="AN644" s="273"/>
      <c r="AO644" s="273"/>
      <c r="AP644" s="273"/>
      <c r="AQ644" s="273"/>
      <c r="AR644" s="273"/>
      <c r="AS644" s="273"/>
      <c r="AT644" s="273"/>
      <c r="AU644" s="273"/>
      <c r="AV644" s="273"/>
      <c r="AW644" s="273"/>
      <c r="AX644" s="273"/>
      <c r="AY644" s="273"/>
      <c r="AZ644" s="273"/>
      <c r="BA644" s="273"/>
    </row>
    <row r="645">
      <c r="A645" s="273"/>
      <c r="B645" s="273"/>
      <c r="C645" s="745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  <c r="AJ645" s="273"/>
      <c r="AK645" s="273"/>
      <c r="AL645" s="273"/>
      <c r="AM645" s="273"/>
      <c r="AN645" s="273"/>
      <c r="AO645" s="273"/>
      <c r="AP645" s="273"/>
      <c r="AQ645" s="273"/>
      <c r="AR645" s="273"/>
      <c r="AS645" s="273"/>
      <c r="AT645" s="273"/>
      <c r="AU645" s="273"/>
      <c r="AV645" s="273"/>
      <c r="AW645" s="273"/>
      <c r="AX645" s="273"/>
      <c r="AY645" s="273"/>
      <c r="AZ645" s="273"/>
      <c r="BA645" s="273"/>
    </row>
    <row r="646">
      <c r="A646" s="273"/>
      <c r="B646" s="273"/>
      <c r="C646" s="745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  <c r="AJ646" s="273"/>
      <c r="AK646" s="273"/>
      <c r="AL646" s="273"/>
      <c r="AM646" s="273"/>
      <c r="AN646" s="273"/>
      <c r="AO646" s="273"/>
      <c r="AP646" s="273"/>
      <c r="AQ646" s="273"/>
      <c r="AR646" s="273"/>
      <c r="AS646" s="273"/>
      <c r="AT646" s="273"/>
      <c r="AU646" s="273"/>
      <c r="AV646" s="273"/>
      <c r="AW646" s="273"/>
      <c r="AX646" s="273"/>
      <c r="AY646" s="273"/>
      <c r="AZ646" s="273"/>
      <c r="BA646" s="273"/>
    </row>
    <row r="647">
      <c r="A647" s="273"/>
      <c r="B647" s="273"/>
      <c r="C647" s="745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  <c r="AJ647" s="273"/>
      <c r="AK647" s="273"/>
      <c r="AL647" s="273"/>
      <c r="AM647" s="273"/>
      <c r="AN647" s="273"/>
      <c r="AO647" s="273"/>
      <c r="AP647" s="273"/>
      <c r="AQ647" s="273"/>
      <c r="AR647" s="273"/>
      <c r="AS647" s="273"/>
      <c r="AT647" s="273"/>
      <c r="AU647" s="273"/>
      <c r="AV647" s="273"/>
      <c r="AW647" s="273"/>
      <c r="AX647" s="273"/>
      <c r="AY647" s="273"/>
      <c r="AZ647" s="273"/>
      <c r="BA647" s="273"/>
    </row>
    <row r="648">
      <c r="A648" s="273"/>
      <c r="B648" s="273"/>
      <c r="C648" s="745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  <c r="AJ648" s="273"/>
      <c r="AK648" s="273"/>
      <c r="AL648" s="273"/>
      <c r="AM648" s="273"/>
      <c r="AN648" s="273"/>
      <c r="AO648" s="273"/>
      <c r="AP648" s="273"/>
      <c r="AQ648" s="273"/>
      <c r="AR648" s="273"/>
      <c r="AS648" s="273"/>
      <c r="AT648" s="273"/>
      <c r="AU648" s="273"/>
      <c r="AV648" s="273"/>
      <c r="AW648" s="273"/>
      <c r="AX648" s="273"/>
      <c r="AY648" s="273"/>
      <c r="AZ648" s="273"/>
      <c r="BA648" s="273"/>
    </row>
    <row r="649">
      <c r="A649" s="273"/>
      <c r="B649" s="273"/>
      <c r="C649" s="745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  <c r="AJ649" s="273"/>
      <c r="AK649" s="273"/>
      <c r="AL649" s="273"/>
      <c r="AM649" s="273"/>
      <c r="AN649" s="273"/>
      <c r="AO649" s="273"/>
      <c r="AP649" s="273"/>
      <c r="AQ649" s="273"/>
      <c r="AR649" s="273"/>
      <c r="AS649" s="273"/>
      <c r="AT649" s="273"/>
      <c r="AU649" s="273"/>
      <c r="AV649" s="273"/>
      <c r="AW649" s="273"/>
      <c r="AX649" s="273"/>
      <c r="AY649" s="273"/>
      <c r="AZ649" s="273"/>
      <c r="BA649" s="273"/>
    </row>
    <row r="650">
      <c r="A650" s="273"/>
      <c r="B650" s="273"/>
      <c r="C650" s="745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  <c r="AJ650" s="273"/>
      <c r="AK650" s="273"/>
      <c r="AL650" s="273"/>
      <c r="AM650" s="273"/>
      <c r="AN650" s="273"/>
      <c r="AO650" s="273"/>
      <c r="AP650" s="273"/>
      <c r="AQ650" s="273"/>
      <c r="AR650" s="273"/>
      <c r="AS650" s="273"/>
      <c r="AT650" s="273"/>
      <c r="AU650" s="273"/>
      <c r="AV650" s="273"/>
      <c r="AW650" s="273"/>
      <c r="AX650" s="273"/>
      <c r="AY650" s="273"/>
      <c r="AZ650" s="273"/>
      <c r="BA650" s="273"/>
    </row>
    <row r="651">
      <c r="A651" s="273"/>
      <c r="B651" s="273"/>
      <c r="C651" s="745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  <c r="AJ651" s="273"/>
      <c r="AK651" s="273"/>
      <c r="AL651" s="273"/>
      <c r="AM651" s="273"/>
      <c r="AN651" s="273"/>
      <c r="AO651" s="273"/>
      <c r="AP651" s="273"/>
      <c r="AQ651" s="273"/>
      <c r="AR651" s="273"/>
      <c r="AS651" s="273"/>
      <c r="AT651" s="273"/>
      <c r="AU651" s="273"/>
      <c r="AV651" s="273"/>
      <c r="AW651" s="273"/>
      <c r="AX651" s="273"/>
      <c r="AY651" s="273"/>
      <c r="AZ651" s="273"/>
      <c r="BA651" s="273"/>
    </row>
    <row r="652">
      <c r="A652" s="273"/>
      <c r="B652" s="273"/>
      <c r="C652" s="745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  <c r="AJ652" s="273"/>
      <c r="AK652" s="273"/>
      <c r="AL652" s="273"/>
      <c r="AM652" s="273"/>
      <c r="AN652" s="273"/>
      <c r="AO652" s="273"/>
      <c r="AP652" s="273"/>
      <c r="AQ652" s="273"/>
      <c r="AR652" s="273"/>
      <c r="AS652" s="273"/>
      <c r="AT652" s="273"/>
      <c r="AU652" s="273"/>
      <c r="AV652" s="273"/>
      <c r="AW652" s="273"/>
      <c r="AX652" s="273"/>
      <c r="AY652" s="273"/>
      <c r="AZ652" s="273"/>
      <c r="BA652" s="273"/>
    </row>
    <row r="653">
      <c r="A653" s="273"/>
      <c r="B653" s="273"/>
      <c r="C653" s="745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  <c r="AJ653" s="273"/>
      <c r="AK653" s="273"/>
      <c r="AL653" s="273"/>
      <c r="AM653" s="273"/>
      <c r="AN653" s="273"/>
      <c r="AO653" s="273"/>
      <c r="AP653" s="273"/>
      <c r="AQ653" s="273"/>
      <c r="AR653" s="273"/>
      <c r="AS653" s="273"/>
      <c r="AT653" s="273"/>
      <c r="AU653" s="273"/>
      <c r="AV653" s="273"/>
      <c r="AW653" s="273"/>
      <c r="AX653" s="273"/>
      <c r="AY653" s="273"/>
      <c r="AZ653" s="273"/>
      <c r="BA653" s="273"/>
    </row>
    <row r="654">
      <c r="A654" s="273"/>
      <c r="B654" s="273"/>
      <c r="C654" s="745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  <c r="AJ654" s="273"/>
      <c r="AK654" s="273"/>
      <c r="AL654" s="273"/>
      <c r="AM654" s="273"/>
      <c r="AN654" s="273"/>
      <c r="AO654" s="273"/>
      <c r="AP654" s="273"/>
      <c r="AQ654" s="273"/>
      <c r="AR654" s="273"/>
      <c r="AS654" s="273"/>
      <c r="AT654" s="273"/>
      <c r="AU654" s="273"/>
      <c r="AV654" s="273"/>
      <c r="AW654" s="273"/>
      <c r="AX654" s="273"/>
      <c r="AY654" s="273"/>
      <c r="AZ654" s="273"/>
      <c r="BA654" s="273"/>
    </row>
    <row r="655">
      <c r="A655" s="273"/>
      <c r="B655" s="273"/>
      <c r="C655" s="745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  <c r="AJ655" s="273"/>
      <c r="AK655" s="273"/>
      <c r="AL655" s="273"/>
      <c r="AM655" s="273"/>
      <c r="AN655" s="273"/>
      <c r="AO655" s="273"/>
      <c r="AP655" s="273"/>
      <c r="AQ655" s="273"/>
      <c r="AR655" s="273"/>
      <c r="AS655" s="273"/>
      <c r="AT655" s="273"/>
      <c r="AU655" s="273"/>
      <c r="AV655" s="273"/>
      <c r="AW655" s="273"/>
      <c r="AX655" s="273"/>
      <c r="AY655" s="273"/>
      <c r="AZ655" s="273"/>
      <c r="BA655" s="273"/>
    </row>
    <row r="656">
      <c r="A656" s="273"/>
      <c r="B656" s="273"/>
      <c r="C656" s="745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  <c r="AJ656" s="273"/>
      <c r="AK656" s="273"/>
      <c r="AL656" s="273"/>
      <c r="AM656" s="273"/>
      <c r="AN656" s="273"/>
      <c r="AO656" s="273"/>
      <c r="AP656" s="273"/>
      <c r="AQ656" s="273"/>
      <c r="AR656" s="273"/>
      <c r="AS656" s="273"/>
      <c r="AT656" s="273"/>
      <c r="AU656" s="273"/>
      <c r="AV656" s="273"/>
      <c r="AW656" s="273"/>
      <c r="AX656" s="273"/>
      <c r="AY656" s="273"/>
      <c r="AZ656" s="273"/>
      <c r="BA656" s="273"/>
    </row>
    <row r="657">
      <c r="A657" s="273"/>
      <c r="B657" s="273"/>
      <c r="C657" s="745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  <c r="AJ657" s="273"/>
      <c r="AK657" s="273"/>
      <c r="AL657" s="273"/>
      <c r="AM657" s="273"/>
      <c r="AN657" s="273"/>
      <c r="AO657" s="273"/>
      <c r="AP657" s="273"/>
      <c r="AQ657" s="273"/>
      <c r="AR657" s="273"/>
      <c r="AS657" s="273"/>
      <c r="AT657" s="273"/>
      <c r="AU657" s="273"/>
      <c r="AV657" s="273"/>
      <c r="AW657" s="273"/>
      <c r="AX657" s="273"/>
      <c r="AY657" s="273"/>
      <c r="AZ657" s="273"/>
      <c r="BA657" s="273"/>
    </row>
    <row r="658">
      <c r="A658" s="273"/>
      <c r="B658" s="273"/>
      <c r="C658" s="745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  <c r="AJ658" s="273"/>
      <c r="AK658" s="273"/>
      <c r="AL658" s="273"/>
      <c r="AM658" s="273"/>
      <c r="AN658" s="273"/>
      <c r="AO658" s="273"/>
      <c r="AP658" s="273"/>
      <c r="AQ658" s="273"/>
      <c r="AR658" s="273"/>
      <c r="AS658" s="273"/>
      <c r="AT658" s="273"/>
      <c r="AU658" s="273"/>
      <c r="AV658" s="273"/>
      <c r="AW658" s="273"/>
      <c r="AX658" s="273"/>
      <c r="AY658" s="273"/>
      <c r="AZ658" s="273"/>
      <c r="BA658" s="273"/>
    </row>
    <row r="659">
      <c r="A659" s="273"/>
      <c r="B659" s="273"/>
      <c r="C659" s="745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  <c r="AJ659" s="273"/>
      <c r="AK659" s="273"/>
      <c r="AL659" s="273"/>
      <c r="AM659" s="273"/>
      <c r="AN659" s="273"/>
      <c r="AO659" s="273"/>
      <c r="AP659" s="273"/>
      <c r="AQ659" s="273"/>
      <c r="AR659" s="273"/>
      <c r="AS659" s="273"/>
      <c r="AT659" s="273"/>
      <c r="AU659" s="273"/>
      <c r="AV659" s="273"/>
      <c r="AW659" s="273"/>
      <c r="AX659" s="273"/>
      <c r="AY659" s="273"/>
      <c r="AZ659" s="273"/>
      <c r="BA659" s="273"/>
    </row>
    <row r="660">
      <c r="A660" s="273"/>
      <c r="B660" s="273"/>
      <c r="C660" s="745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  <c r="AJ660" s="273"/>
      <c r="AK660" s="273"/>
      <c r="AL660" s="273"/>
      <c r="AM660" s="273"/>
      <c r="AN660" s="273"/>
      <c r="AO660" s="273"/>
      <c r="AP660" s="273"/>
      <c r="AQ660" s="273"/>
      <c r="AR660" s="273"/>
      <c r="AS660" s="273"/>
      <c r="AT660" s="273"/>
      <c r="AU660" s="273"/>
      <c r="AV660" s="273"/>
      <c r="AW660" s="273"/>
      <c r="AX660" s="273"/>
      <c r="AY660" s="273"/>
      <c r="AZ660" s="273"/>
      <c r="BA660" s="273"/>
    </row>
    <row r="661">
      <c r="A661" s="273"/>
      <c r="B661" s="273"/>
      <c r="C661" s="745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  <c r="AJ661" s="273"/>
      <c r="AK661" s="273"/>
      <c r="AL661" s="273"/>
      <c r="AM661" s="273"/>
      <c r="AN661" s="273"/>
      <c r="AO661" s="273"/>
      <c r="AP661" s="273"/>
      <c r="AQ661" s="273"/>
      <c r="AR661" s="273"/>
      <c r="AS661" s="273"/>
      <c r="AT661" s="273"/>
      <c r="AU661" s="273"/>
      <c r="AV661" s="273"/>
      <c r="AW661" s="273"/>
      <c r="AX661" s="273"/>
      <c r="AY661" s="273"/>
      <c r="AZ661" s="273"/>
      <c r="BA661" s="273"/>
    </row>
    <row r="662">
      <c r="A662" s="273"/>
      <c r="B662" s="273"/>
      <c r="C662" s="745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  <c r="AJ662" s="273"/>
      <c r="AK662" s="273"/>
      <c r="AL662" s="273"/>
      <c r="AM662" s="273"/>
      <c r="AN662" s="273"/>
      <c r="AO662" s="273"/>
      <c r="AP662" s="273"/>
      <c r="AQ662" s="273"/>
      <c r="AR662" s="273"/>
      <c r="AS662" s="273"/>
      <c r="AT662" s="273"/>
      <c r="AU662" s="273"/>
      <c r="AV662" s="273"/>
      <c r="AW662" s="273"/>
      <c r="AX662" s="273"/>
      <c r="AY662" s="273"/>
      <c r="AZ662" s="273"/>
      <c r="BA662" s="273"/>
    </row>
    <row r="663">
      <c r="A663" s="273"/>
      <c r="B663" s="273"/>
      <c r="C663" s="745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  <c r="AJ663" s="273"/>
      <c r="AK663" s="273"/>
      <c r="AL663" s="273"/>
      <c r="AM663" s="273"/>
      <c r="AN663" s="273"/>
      <c r="AO663" s="273"/>
      <c r="AP663" s="273"/>
      <c r="AQ663" s="273"/>
      <c r="AR663" s="273"/>
      <c r="AS663" s="273"/>
      <c r="AT663" s="273"/>
      <c r="AU663" s="273"/>
      <c r="AV663" s="273"/>
      <c r="AW663" s="273"/>
      <c r="AX663" s="273"/>
      <c r="AY663" s="273"/>
      <c r="AZ663" s="273"/>
      <c r="BA663" s="273"/>
    </row>
    <row r="664">
      <c r="A664" s="273"/>
      <c r="B664" s="273"/>
      <c r="C664" s="745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273"/>
      <c r="AK664" s="273"/>
      <c r="AL664" s="273"/>
      <c r="AM664" s="273"/>
      <c r="AN664" s="273"/>
      <c r="AO664" s="273"/>
      <c r="AP664" s="273"/>
      <c r="AQ664" s="273"/>
      <c r="AR664" s="273"/>
      <c r="AS664" s="273"/>
      <c r="AT664" s="273"/>
      <c r="AU664" s="273"/>
      <c r="AV664" s="273"/>
      <c r="AW664" s="273"/>
      <c r="AX664" s="273"/>
      <c r="AY664" s="273"/>
      <c r="AZ664" s="273"/>
      <c r="BA664" s="273"/>
    </row>
    <row r="665">
      <c r="A665" s="273"/>
      <c r="B665" s="273"/>
      <c r="C665" s="745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  <c r="AJ665" s="273"/>
      <c r="AK665" s="273"/>
      <c r="AL665" s="273"/>
      <c r="AM665" s="273"/>
      <c r="AN665" s="273"/>
      <c r="AO665" s="273"/>
      <c r="AP665" s="273"/>
      <c r="AQ665" s="273"/>
      <c r="AR665" s="273"/>
      <c r="AS665" s="273"/>
      <c r="AT665" s="273"/>
      <c r="AU665" s="273"/>
      <c r="AV665" s="273"/>
      <c r="AW665" s="273"/>
      <c r="AX665" s="273"/>
      <c r="AY665" s="273"/>
      <c r="AZ665" s="273"/>
      <c r="BA665" s="273"/>
    </row>
    <row r="666">
      <c r="A666" s="273"/>
      <c r="B666" s="273"/>
      <c r="C666" s="745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  <c r="AJ666" s="273"/>
      <c r="AK666" s="273"/>
      <c r="AL666" s="273"/>
      <c r="AM666" s="273"/>
      <c r="AN666" s="273"/>
      <c r="AO666" s="273"/>
      <c r="AP666" s="273"/>
      <c r="AQ666" s="273"/>
      <c r="AR666" s="273"/>
      <c r="AS666" s="273"/>
      <c r="AT666" s="273"/>
      <c r="AU666" s="273"/>
      <c r="AV666" s="273"/>
      <c r="AW666" s="273"/>
      <c r="AX666" s="273"/>
      <c r="AY666" s="273"/>
      <c r="AZ666" s="273"/>
      <c r="BA666" s="273"/>
    </row>
    <row r="667">
      <c r="A667" s="273"/>
      <c r="B667" s="273"/>
      <c r="C667" s="745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  <c r="AJ667" s="273"/>
      <c r="AK667" s="273"/>
      <c r="AL667" s="273"/>
      <c r="AM667" s="273"/>
      <c r="AN667" s="273"/>
      <c r="AO667" s="273"/>
      <c r="AP667" s="273"/>
      <c r="AQ667" s="273"/>
      <c r="AR667" s="273"/>
      <c r="AS667" s="273"/>
      <c r="AT667" s="273"/>
      <c r="AU667" s="273"/>
      <c r="AV667" s="273"/>
      <c r="AW667" s="273"/>
      <c r="AX667" s="273"/>
      <c r="AY667" s="273"/>
      <c r="AZ667" s="273"/>
      <c r="BA667" s="273"/>
    </row>
    <row r="668">
      <c r="A668" s="273"/>
      <c r="B668" s="273"/>
      <c r="C668" s="745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  <c r="AJ668" s="273"/>
      <c r="AK668" s="273"/>
      <c r="AL668" s="273"/>
      <c r="AM668" s="273"/>
      <c r="AN668" s="273"/>
      <c r="AO668" s="273"/>
      <c r="AP668" s="273"/>
      <c r="AQ668" s="273"/>
      <c r="AR668" s="273"/>
      <c r="AS668" s="273"/>
      <c r="AT668" s="273"/>
      <c r="AU668" s="273"/>
      <c r="AV668" s="273"/>
      <c r="AW668" s="273"/>
      <c r="AX668" s="273"/>
      <c r="AY668" s="273"/>
      <c r="AZ668" s="273"/>
      <c r="BA668" s="273"/>
    </row>
    <row r="669">
      <c r="A669" s="273"/>
      <c r="B669" s="273"/>
      <c r="C669" s="745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  <c r="AJ669" s="273"/>
      <c r="AK669" s="273"/>
      <c r="AL669" s="273"/>
      <c r="AM669" s="273"/>
      <c r="AN669" s="273"/>
      <c r="AO669" s="273"/>
      <c r="AP669" s="273"/>
      <c r="AQ669" s="273"/>
      <c r="AR669" s="273"/>
      <c r="AS669" s="273"/>
      <c r="AT669" s="273"/>
      <c r="AU669" s="273"/>
      <c r="AV669" s="273"/>
      <c r="AW669" s="273"/>
      <c r="AX669" s="273"/>
      <c r="AY669" s="273"/>
      <c r="AZ669" s="273"/>
      <c r="BA669" s="273"/>
    </row>
    <row r="670">
      <c r="A670" s="273"/>
      <c r="B670" s="273"/>
      <c r="C670" s="745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  <c r="AJ670" s="273"/>
      <c r="AK670" s="273"/>
      <c r="AL670" s="273"/>
      <c r="AM670" s="273"/>
      <c r="AN670" s="273"/>
      <c r="AO670" s="273"/>
      <c r="AP670" s="273"/>
      <c r="AQ670" s="273"/>
      <c r="AR670" s="273"/>
      <c r="AS670" s="273"/>
      <c r="AT670" s="273"/>
      <c r="AU670" s="273"/>
      <c r="AV670" s="273"/>
      <c r="AW670" s="273"/>
      <c r="AX670" s="273"/>
      <c r="AY670" s="273"/>
      <c r="AZ670" s="273"/>
      <c r="BA670" s="273"/>
    </row>
    <row r="671">
      <c r="A671" s="273"/>
      <c r="B671" s="273"/>
      <c r="C671" s="745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  <c r="AJ671" s="273"/>
      <c r="AK671" s="273"/>
      <c r="AL671" s="273"/>
      <c r="AM671" s="273"/>
      <c r="AN671" s="273"/>
      <c r="AO671" s="273"/>
      <c r="AP671" s="273"/>
      <c r="AQ671" s="273"/>
      <c r="AR671" s="273"/>
      <c r="AS671" s="273"/>
      <c r="AT671" s="273"/>
      <c r="AU671" s="273"/>
      <c r="AV671" s="273"/>
      <c r="AW671" s="273"/>
      <c r="AX671" s="273"/>
      <c r="AY671" s="273"/>
      <c r="AZ671" s="273"/>
      <c r="BA671" s="273"/>
    </row>
    <row r="672">
      <c r="A672" s="273"/>
      <c r="B672" s="273"/>
      <c r="C672" s="745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  <c r="AJ672" s="273"/>
      <c r="AK672" s="273"/>
      <c r="AL672" s="273"/>
      <c r="AM672" s="273"/>
      <c r="AN672" s="273"/>
      <c r="AO672" s="273"/>
      <c r="AP672" s="273"/>
      <c r="AQ672" s="273"/>
      <c r="AR672" s="273"/>
      <c r="AS672" s="273"/>
      <c r="AT672" s="273"/>
      <c r="AU672" s="273"/>
      <c r="AV672" s="273"/>
      <c r="AW672" s="273"/>
      <c r="AX672" s="273"/>
      <c r="AY672" s="273"/>
      <c r="AZ672" s="273"/>
      <c r="BA672" s="273"/>
    </row>
    <row r="673">
      <c r="A673" s="273"/>
      <c r="B673" s="273"/>
      <c r="C673" s="745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  <c r="AJ673" s="273"/>
      <c r="AK673" s="273"/>
      <c r="AL673" s="273"/>
      <c r="AM673" s="273"/>
      <c r="AN673" s="273"/>
      <c r="AO673" s="273"/>
      <c r="AP673" s="273"/>
      <c r="AQ673" s="273"/>
      <c r="AR673" s="273"/>
      <c r="AS673" s="273"/>
      <c r="AT673" s="273"/>
      <c r="AU673" s="273"/>
      <c r="AV673" s="273"/>
      <c r="AW673" s="273"/>
      <c r="AX673" s="273"/>
      <c r="AY673" s="273"/>
      <c r="AZ673" s="273"/>
      <c r="BA673" s="273"/>
    </row>
    <row r="674">
      <c r="A674" s="273"/>
      <c r="B674" s="273"/>
      <c r="C674" s="745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  <c r="AJ674" s="273"/>
      <c r="AK674" s="273"/>
      <c r="AL674" s="273"/>
      <c r="AM674" s="273"/>
      <c r="AN674" s="273"/>
      <c r="AO674" s="273"/>
      <c r="AP674" s="273"/>
      <c r="AQ674" s="273"/>
      <c r="AR674" s="273"/>
      <c r="AS674" s="273"/>
      <c r="AT674" s="273"/>
      <c r="AU674" s="273"/>
      <c r="AV674" s="273"/>
      <c r="AW674" s="273"/>
      <c r="AX674" s="273"/>
      <c r="AY674" s="273"/>
      <c r="AZ674" s="273"/>
      <c r="BA674" s="273"/>
    </row>
    <row r="675">
      <c r="A675" s="273"/>
      <c r="B675" s="273"/>
      <c r="C675" s="745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  <c r="AJ675" s="273"/>
      <c r="AK675" s="273"/>
      <c r="AL675" s="273"/>
      <c r="AM675" s="273"/>
      <c r="AN675" s="273"/>
      <c r="AO675" s="273"/>
      <c r="AP675" s="273"/>
      <c r="AQ675" s="273"/>
      <c r="AR675" s="273"/>
      <c r="AS675" s="273"/>
      <c r="AT675" s="273"/>
      <c r="AU675" s="273"/>
      <c r="AV675" s="273"/>
      <c r="AW675" s="273"/>
      <c r="AX675" s="273"/>
      <c r="AY675" s="273"/>
      <c r="AZ675" s="273"/>
      <c r="BA675" s="273"/>
    </row>
    <row r="676">
      <c r="A676" s="273"/>
      <c r="B676" s="273"/>
      <c r="C676" s="745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  <c r="AJ676" s="273"/>
      <c r="AK676" s="273"/>
      <c r="AL676" s="273"/>
      <c r="AM676" s="273"/>
      <c r="AN676" s="273"/>
      <c r="AO676" s="273"/>
      <c r="AP676" s="273"/>
      <c r="AQ676" s="273"/>
      <c r="AR676" s="273"/>
      <c r="AS676" s="273"/>
      <c r="AT676" s="273"/>
      <c r="AU676" s="273"/>
      <c r="AV676" s="273"/>
      <c r="AW676" s="273"/>
      <c r="AX676" s="273"/>
      <c r="AY676" s="273"/>
      <c r="AZ676" s="273"/>
      <c r="BA676" s="273"/>
    </row>
    <row r="677">
      <c r="A677" s="273"/>
      <c r="B677" s="273"/>
      <c r="C677" s="745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  <c r="AJ677" s="273"/>
      <c r="AK677" s="273"/>
      <c r="AL677" s="273"/>
      <c r="AM677" s="273"/>
      <c r="AN677" s="273"/>
      <c r="AO677" s="273"/>
      <c r="AP677" s="273"/>
      <c r="AQ677" s="273"/>
      <c r="AR677" s="273"/>
      <c r="AS677" s="273"/>
      <c r="AT677" s="273"/>
      <c r="AU677" s="273"/>
      <c r="AV677" s="273"/>
      <c r="AW677" s="273"/>
      <c r="AX677" s="273"/>
      <c r="AY677" s="273"/>
      <c r="AZ677" s="273"/>
      <c r="BA677" s="273"/>
    </row>
    <row r="678">
      <c r="A678" s="273"/>
      <c r="B678" s="273"/>
      <c r="C678" s="745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  <c r="AJ678" s="273"/>
      <c r="AK678" s="273"/>
      <c r="AL678" s="273"/>
      <c r="AM678" s="273"/>
      <c r="AN678" s="273"/>
      <c r="AO678" s="273"/>
      <c r="AP678" s="273"/>
      <c r="AQ678" s="273"/>
      <c r="AR678" s="273"/>
      <c r="AS678" s="273"/>
      <c r="AT678" s="273"/>
      <c r="AU678" s="273"/>
      <c r="AV678" s="273"/>
      <c r="AW678" s="273"/>
      <c r="AX678" s="273"/>
      <c r="AY678" s="273"/>
      <c r="AZ678" s="273"/>
      <c r="BA678" s="273"/>
    </row>
    <row r="679">
      <c r="A679" s="273"/>
      <c r="B679" s="273"/>
      <c r="C679" s="745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  <c r="AJ679" s="273"/>
      <c r="AK679" s="273"/>
      <c r="AL679" s="273"/>
      <c r="AM679" s="273"/>
      <c r="AN679" s="273"/>
      <c r="AO679" s="273"/>
      <c r="AP679" s="273"/>
      <c r="AQ679" s="273"/>
      <c r="AR679" s="273"/>
      <c r="AS679" s="273"/>
      <c r="AT679" s="273"/>
      <c r="AU679" s="273"/>
      <c r="AV679" s="273"/>
      <c r="AW679" s="273"/>
      <c r="AX679" s="273"/>
      <c r="AY679" s="273"/>
      <c r="AZ679" s="273"/>
      <c r="BA679" s="273"/>
    </row>
    <row r="680">
      <c r="A680" s="273"/>
      <c r="B680" s="273"/>
      <c r="C680" s="745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  <c r="AJ680" s="273"/>
      <c r="AK680" s="273"/>
      <c r="AL680" s="273"/>
      <c r="AM680" s="273"/>
      <c r="AN680" s="273"/>
      <c r="AO680" s="273"/>
      <c r="AP680" s="273"/>
      <c r="AQ680" s="273"/>
      <c r="AR680" s="273"/>
      <c r="AS680" s="273"/>
      <c r="AT680" s="273"/>
      <c r="AU680" s="273"/>
      <c r="AV680" s="273"/>
      <c r="AW680" s="273"/>
      <c r="AX680" s="273"/>
      <c r="AY680" s="273"/>
      <c r="AZ680" s="273"/>
      <c r="BA680" s="273"/>
    </row>
    <row r="681">
      <c r="A681" s="273"/>
      <c r="B681" s="273"/>
      <c r="C681" s="745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  <c r="AJ681" s="273"/>
      <c r="AK681" s="273"/>
      <c r="AL681" s="273"/>
      <c r="AM681" s="273"/>
      <c r="AN681" s="273"/>
      <c r="AO681" s="273"/>
      <c r="AP681" s="273"/>
      <c r="AQ681" s="273"/>
      <c r="AR681" s="273"/>
      <c r="AS681" s="273"/>
      <c r="AT681" s="273"/>
      <c r="AU681" s="273"/>
      <c r="AV681" s="273"/>
      <c r="AW681" s="273"/>
      <c r="AX681" s="273"/>
      <c r="AY681" s="273"/>
      <c r="AZ681" s="273"/>
      <c r="BA681" s="273"/>
    </row>
    <row r="682">
      <c r="A682" s="273"/>
      <c r="B682" s="273"/>
      <c r="C682" s="745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  <c r="AJ682" s="273"/>
      <c r="AK682" s="273"/>
      <c r="AL682" s="273"/>
      <c r="AM682" s="273"/>
      <c r="AN682" s="273"/>
      <c r="AO682" s="273"/>
      <c r="AP682" s="273"/>
      <c r="AQ682" s="273"/>
      <c r="AR682" s="273"/>
      <c r="AS682" s="273"/>
      <c r="AT682" s="273"/>
      <c r="AU682" s="273"/>
      <c r="AV682" s="273"/>
      <c r="AW682" s="273"/>
      <c r="AX682" s="273"/>
      <c r="AY682" s="273"/>
      <c r="AZ682" s="273"/>
      <c r="BA682" s="273"/>
    </row>
    <row r="683">
      <c r="A683" s="273"/>
      <c r="B683" s="273"/>
      <c r="C683" s="745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  <c r="AJ683" s="273"/>
      <c r="AK683" s="273"/>
      <c r="AL683" s="273"/>
      <c r="AM683" s="273"/>
      <c r="AN683" s="273"/>
      <c r="AO683" s="273"/>
      <c r="AP683" s="273"/>
      <c r="AQ683" s="273"/>
      <c r="AR683" s="273"/>
      <c r="AS683" s="273"/>
      <c r="AT683" s="273"/>
      <c r="AU683" s="273"/>
      <c r="AV683" s="273"/>
      <c r="AW683" s="273"/>
      <c r="AX683" s="273"/>
      <c r="AY683" s="273"/>
      <c r="AZ683" s="273"/>
      <c r="BA683" s="273"/>
    </row>
    <row r="684">
      <c r="A684" s="273"/>
      <c r="B684" s="273"/>
      <c r="C684" s="745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  <c r="AJ684" s="273"/>
      <c r="AK684" s="273"/>
      <c r="AL684" s="273"/>
      <c r="AM684" s="273"/>
      <c r="AN684" s="273"/>
      <c r="AO684" s="273"/>
      <c r="AP684" s="273"/>
      <c r="AQ684" s="273"/>
      <c r="AR684" s="273"/>
      <c r="AS684" s="273"/>
      <c r="AT684" s="273"/>
      <c r="AU684" s="273"/>
      <c r="AV684" s="273"/>
      <c r="AW684" s="273"/>
      <c r="AX684" s="273"/>
      <c r="AY684" s="273"/>
      <c r="AZ684" s="273"/>
      <c r="BA684" s="273"/>
    </row>
    <row r="685">
      <c r="A685" s="273"/>
      <c r="B685" s="273"/>
      <c r="C685" s="745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  <c r="AJ685" s="273"/>
      <c r="AK685" s="273"/>
      <c r="AL685" s="273"/>
      <c r="AM685" s="273"/>
      <c r="AN685" s="273"/>
      <c r="AO685" s="273"/>
      <c r="AP685" s="273"/>
      <c r="AQ685" s="273"/>
      <c r="AR685" s="273"/>
      <c r="AS685" s="273"/>
      <c r="AT685" s="273"/>
      <c r="AU685" s="273"/>
      <c r="AV685" s="273"/>
      <c r="AW685" s="273"/>
      <c r="AX685" s="273"/>
      <c r="AY685" s="273"/>
      <c r="AZ685" s="273"/>
      <c r="BA685" s="273"/>
    </row>
    <row r="686">
      <c r="A686" s="273"/>
      <c r="B686" s="273"/>
      <c r="C686" s="745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  <c r="AJ686" s="273"/>
      <c r="AK686" s="273"/>
      <c r="AL686" s="273"/>
      <c r="AM686" s="273"/>
      <c r="AN686" s="273"/>
      <c r="AO686" s="273"/>
      <c r="AP686" s="273"/>
      <c r="AQ686" s="273"/>
      <c r="AR686" s="273"/>
      <c r="AS686" s="273"/>
      <c r="AT686" s="273"/>
      <c r="AU686" s="273"/>
      <c r="AV686" s="273"/>
      <c r="AW686" s="273"/>
      <c r="AX686" s="273"/>
      <c r="AY686" s="273"/>
      <c r="AZ686" s="273"/>
      <c r="BA686" s="273"/>
    </row>
    <row r="687">
      <c r="A687" s="273"/>
      <c r="B687" s="273"/>
      <c r="C687" s="745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  <c r="AJ687" s="273"/>
      <c r="AK687" s="273"/>
      <c r="AL687" s="273"/>
      <c r="AM687" s="273"/>
      <c r="AN687" s="273"/>
      <c r="AO687" s="273"/>
      <c r="AP687" s="273"/>
      <c r="AQ687" s="273"/>
      <c r="AR687" s="273"/>
      <c r="AS687" s="273"/>
      <c r="AT687" s="273"/>
      <c r="AU687" s="273"/>
      <c r="AV687" s="273"/>
      <c r="AW687" s="273"/>
      <c r="AX687" s="273"/>
      <c r="AY687" s="273"/>
      <c r="AZ687" s="273"/>
      <c r="BA687" s="273"/>
    </row>
    <row r="688">
      <c r="A688" s="273"/>
      <c r="B688" s="273"/>
      <c r="C688" s="745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  <c r="AJ688" s="273"/>
      <c r="AK688" s="273"/>
      <c r="AL688" s="273"/>
      <c r="AM688" s="273"/>
      <c r="AN688" s="273"/>
      <c r="AO688" s="273"/>
      <c r="AP688" s="273"/>
      <c r="AQ688" s="273"/>
      <c r="AR688" s="273"/>
      <c r="AS688" s="273"/>
      <c r="AT688" s="273"/>
      <c r="AU688" s="273"/>
      <c r="AV688" s="273"/>
      <c r="AW688" s="273"/>
      <c r="AX688" s="273"/>
      <c r="AY688" s="273"/>
      <c r="AZ688" s="273"/>
      <c r="BA688" s="273"/>
    </row>
    <row r="689">
      <c r="A689" s="273"/>
      <c r="B689" s="273"/>
      <c r="C689" s="745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  <c r="AJ689" s="273"/>
      <c r="AK689" s="273"/>
      <c r="AL689" s="273"/>
      <c r="AM689" s="273"/>
      <c r="AN689" s="273"/>
      <c r="AO689" s="273"/>
      <c r="AP689" s="273"/>
      <c r="AQ689" s="273"/>
      <c r="AR689" s="273"/>
      <c r="AS689" s="273"/>
      <c r="AT689" s="273"/>
      <c r="AU689" s="273"/>
      <c r="AV689" s="273"/>
      <c r="AW689" s="273"/>
      <c r="AX689" s="273"/>
      <c r="AY689" s="273"/>
      <c r="AZ689" s="273"/>
      <c r="BA689" s="273"/>
    </row>
    <row r="690">
      <c r="A690" s="273"/>
      <c r="B690" s="273"/>
      <c r="C690" s="745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  <c r="AJ690" s="273"/>
      <c r="AK690" s="273"/>
      <c r="AL690" s="273"/>
      <c r="AM690" s="273"/>
      <c r="AN690" s="273"/>
      <c r="AO690" s="273"/>
      <c r="AP690" s="273"/>
      <c r="AQ690" s="273"/>
      <c r="AR690" s="273"/>
      <c r="AS690" s="273"/>
      <c r="AT690" s="273"/>
      <c r="AU690" s="273"/>
      <c r="AV690" s="273"/>
      <c r="AW690" s="273"/>
      <c r="AX690" s="273"/>
      <c r="AY690" s="273"/>
      <c r="AZ690" s="273"/>
      <c r="BA690" s="273"/>
    </row>
    <row r="691">
      <c r="A691" s="273"/>
      <c r="B691" s="273"/>
      <c r="C691" s="745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  <c r="AJ691" s="273"/>
      <c r="AK691" s="273"/>
      <c r="AL691" s="273"/>
      <c r="AM691" s="273"/>
      <c r="AN691" s="273"/>
      <c r="AO691" s="273"/>
      <c r="AP691" s="273"/>
      <c r="AQ691" s="273"/>
      <c r="AR691" s="273"/>
      <c r="AS691" s="273"/>
      <c r="AT691" s="273"/>
      <c r="AU691" s="273"/>
      <c r="AV691" s="273"/>
      <c r="AW691" s="273"/>
      <c r="AX691" s="273"/>
      <c r="AY691" s="273"/>
      <c r="AZ691" s="273"/>
      <c r="BA691" s="273"/>
    </row>
    <row r="692">
      <c r="A692" s="273"/>
      <c r="B692" s="273"/>
      <c r="C692" s="745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  <c r="AJ692" s="273"/>
      <c r="AK692" s="273"/>
      <c r="AL692" s="273"/>
      <c r="AM692" s="273"/>
      <c r="AN692" s="273"/>
      <c r="AO692" s="273"/>
      <c r="AP692" s="273"/>
      <c r="AQ692" s="273"/>
      <c r="AR692" s="273"/>
      <c r="AS692" s="273"/>
      <c r="AT692" s="273"/>
      <c r="AU692" s="273"/>
      <c r="AV692" s="273"/>
      <c r="AW692" s="273"/>
      <c r="AX692" s="273"/>
      <c r="AY692" s="273"/>
      <c r="AZ692" s="273"/>
      <c r="BA692" s="273"/>
    </row>
    <row r="693">
      <c r="A693" s="273"/>
      <c r="B693" s="273"/>
      <c r="C693" s="745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  <c r="AJ693" s="273"/>
      <c r="AK693" s="273"/>
      <c r="AL693" s="273"/>
      <c r="AM693" s="273"/>
      <c r="AN693" s="273"/>
      <c r="AO693" s="273"/>
      <c r="AP693" s="273"/>
      <c r="AQ693" s="273"/>
      <c r="AR693" s="273"/>
      <c r="AS693" s="273"/>
      <c r="AT693" s="273"/>
      <c r="AU693" s="273"/>
      <c r="AV693" s="273"/>
      <c r="AW693" s="273"/>
      <c r="AX693" s="273"/>
      <c r="AY693" s="273"/>
      <c r="AZ693" s="273"/>
      <c r="BA693" s="273"/>
    </row>
    <row r="694">
      <c r="A694" s="273"/>
      <c r="B694" s="273"/>
      <c r="C694" s="745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  <c r="AJ694" s="273"/>
      <c r="AK694" s="273"/>
      <c r="AL694" s="273"/>
      <c r="AM694" s="273"/>
      <c r="AN694" s="273"/>
      <c r="AO694" s="273"/>
      <c r="AP694" s="273"/>
      <c r="AQ694" s="273"/>
      <c r="AR694" s="273"/>
      <c r="AS694" s="273"/>
      <c r="AT694" s="273"/>
      <c r="AU694" s="273"/>
      <c r="AV694" s="273"/>
      <c r="AW694" s="273"/>
      <c r="AX694" s="273"/>
      <c r="AY694" s="273"/>
      <c r="AZ694" s="273"/>
      <c r="BA694" s="273"/>
    </row>
    <row r="695">
      <c r="A695" s="273"/>
      <c r="B695" s="273"/>
      <c r="C695" s="745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  <c r="AJ695" s="273"/>
      <c r="AK695" s="273"/>
      <c r="AL695" s="273"/>
      <c r="AM695" s="273"/>
      <c r="AN695" s="273"/>
      <c r="AO695" s="273"/>
      <c r="AP695" s="273"/>
      <c r="AQ695" s="273"/>
      <c r="AR695" s="273"/>
      <c r="AS695" s="273"/>
      <c r="AT695" s="273"/>
      <c r="AU695" s="273"/>
      <c r="AV695" s="273"/>
      <c r="AW695" s="273"/>
      <c r="AX695" s="273"/>
      <c r="AY695" s="273"/>
      <c r="AZ695" s="273"/>
      <c r="BA695" s="273"/>
    </row>
    <row r="696">
      <c r="A696" s="273"/>
      <c r="B696" s="273"/>
      <c r="C696" s="745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  <c r="AJ696" s="273"/>
      <c r="AK696" s="273"/>
      <c r="AL696" s="273"/>
      <c r="AM696" s="273"/>
      <c r="AN696" s="273"/>
      <c r="AO696" s="273"/>
      <c r="AP696" s="273"/>
      <c r="AQ696" s="273"/>
      <c r="AR696" s="273"/>
      <c r="AS696" s="273"/>
      <c r="AT696" s="273"/>
      <c r="AU696" s="273"/>
      <c r="AV696" s="273"/>
      <c r="AW696" s="273"/>
      <c r="AX696" s="273"/>
      <c r="AY696" s="273"/>
      <c r="AZ696" s="273"/>
      <c r="BA696" s="273"/>
    </row>
    <row r="697">
      <c r="A697" s="273"/>
      <c r="B697" s="273"/>
      <c r="C697" s="745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  <c r="AJ697" s="273"/>
      <c r="AK697" s="273"/>
      <c r="AL697" s="273"/>
      <c r="AM697" s="273"/>
      <c r="AN697" s="273"/>
      <c r="AO697" s="273"/>
      <c r="AP697" s="273"/>
      <c r="AQ697" s="273"/>
      <c r="AR697" s="273"/>
      <c r="AS697" s="273"/>
      <c r="AT697" s="273"/>
      <c r="AU697" s="273"/>
      <c r="AV697" s="273"/>
      <c r="AW697" s="273"/>
      <c r="AX697" s="273"/>
      <c r="AY697" s="273"/>
      <c r="AZ697" s="273"/>
      <c r="BA697" s="273"/>
    </row>
    <row r="698">
      <c r="A698" s="273"/>
      <c r="B698" s="273"/>
      <c r="C698" s="745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  <c r="AJ698" s="273"/>
      <c r="AK698" s="273"/>
      <c r="AL698" s="273"/>
      <c r="AM698" s="273"/>
      <c r="AN698" s="273"/>
      <c r="AO698" s="273"/>
      <c r="AP698" s="273"/>
      <c r="AQ698" s="273"/>
      <c r="AR698" s="273"/>
      <c r="AS698" s="273"/>
      <c r="AT698" s="273"/>
      <c r="AU698" s="273"/>
      <c r="AV698" s="273"/>
      <c r="AW698" s="273"/>
      <c r="AX698" s="273"/>
      <c r="AY698" s="273"/>
      <c r="AZ698" s="273"/>
      <c r="BA698" s="273"/>
    </row>
    <row r="699">
      <c r="A699" s="273"/>
      <c r="B699" s="273"/>
      <c r="C699" s="745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  <c r="AJ699" s="273"/>
      <c r="AK699" s="273"/>
      <c r="AL699" s="273"/>
      <c r="AM699" s="273"/>
      <c r="AN699" s="273"/>
      <c r="AO699" s="273"/>
      <c r="AP699" s="273"/>
      <c r="AQ699" s="273"/>
      <c r="AR699" s="273"/>
      <c r="AS699" s="273"/>
      <c r="AT699" s="273"/>
      <c r="AU699" s="273"/>
      <c r="AV699" s="273"/>
      <c r="AW699" s="273"/>
      <c r="AX699" s="273"/>
      <c r="AY699" s="273"/>
      <c r="AZ699" s="273"/>
      <c r="BA699" s="273"/>
    </row>
    <row r="700">
      <c r="A700" s="273"/>
      <c r="B700" s="273"/>
      <c r="C700" s="745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  <c r="AJ700" s="273"/>
      <c r="AK700" s="273"/>
      <c r="AL700" s="273"/>
      <c r="AM700" s="273"/>
      <c r="AN700" s="273"/>
      <c r="AO700" s="273"/>
      <c r="AP700" s="273"/>
      <c r="AQ700" s="273"/>
      <c r="AR700" s="273"/>
      <c r="AS700" s="273"/>
      <c r="AT700" s="273"/>
      <c r="AU700" s="273"/>
      <c r="AV700" s="273"/>
      <c r="AW700" s="273"/>
      <c r="AX700" s="273"/>
      <c r="AY700" s="273"/>
      <c r="AZ700" s="273"/>
      <c r="BA700" s="273"/>
    </row>
    <row r="701">
      <c r="A701" s="273"/>
      <c r="B701" s="273"/>
      <c r="C701" s="745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  <c r="AJ701" s="273"/>
      <c r="AK701" s="273"/>
      <c r="AL701" s="273"/>
      <c r="AM701" s="273"/>
      <c r="AN701" s="273"/>
      <c r="AO701" s="273"/>
      <c r="AP701" s="273"/>
      <c r="AQ701" s="273"/>
      <c r="AR701" s="273"/>
      <c r="AS701" s="273"/>
      <c r="AT701" s="273"/>
      <c r="AU701" s="273"/>
      <c r="AV701" s="273"/>
      <c r="AW701" s="273"/>
      <c r="AX701" s="273"/>
      <c r="AY701" s="273"/>
      <c r="AZ701" s="273"/>
      <c r="BA701" s="273"/>
    </row>
    <row r="702">
      <c r="A702" s="273"/>
      <c r="B702" s="273"/>
      <c r="C702" s="745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  <c r="AJ702" s="273"/>
      <c r="AK702" s="273"/>
      <c r="AL702" s="273"/>
      <c r="AM702" s="273"/>
      <c r="AN702" s="273"/>
      <c r="AO702" s="273"/>
      <c r="AP702" s="273"/>
      <c r="AQ702" s="273"/>
      <c r="AR702" s="273"/>
      <c r="AS702" s="273"/>
      <c r="AT702" s="273"/>
      <c r="AU702" s="273"/>
      <c r="AV702" s="273"/>
      <c r="AW702" s="273"/>
      <c r="AX702" s="273"/>
      <c r="AY702" s="273"/>
      <c r="AZ702" s="273"/>
      <c r="BA702" s="273"/>
    </row>
    <row r="703">
      <c r="A703" s="273"/>
      <c r="B703" s="273"/>
      <c r="C703" s="745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  <c r="AJ703" s="273"/>
      <c r="AK703" s="273"/>
      <c r="AL703" s="273"/>
      <c r="AM703" s="273"/>
      <c r="AN703" s="273"/>
      <c r="AO703" s="273"/>
      <c r="AP703" s="273"/>
      <c r="AQ703" s="273"/>
      <c r="AR703" s="273"/>
      <c r="AS703" s="273"/>
      <c r="AT703" s="273"/>
      <c r="AU703" s="273"/>
      <c r="AV703" s="273"/>
      <c r="AW703" s="273"/>
      <c r="AX703" s="273"/>
      <c r="AY703" s="273"/>
      <c r="AZ703" s="273"/>
      <c r="BA703" s="273"/>
    </row>
    <row r="704">
      <c r="A704" s="273"/>
      <c r="B704" s="273"/>
      <c r="C704" s="745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  <c r="AJ704" s="273"/>
      <c r="AK704" s="273"/>
      <c r="AL704" s="273"/>
      <c r="AM704" s="273"/>
      <c r="AN704" s="273"/>
      <c r="AO704" s="273"/>
      <c r="AP704" s="273"/>
      <c r="AQ704" s="273"/>
      <c r="AR704" s="273"/>
      <c r="AS704" s="273"/>
      <c r="AT704" s="273"/>
      <c r="AU704" s="273"/>
      <c r="AV704" s="273"/>
      <c r="AW704" s="273"/>
      <c r="AX704" s="273"/>
      <c r="AY704" s="273"/>
      <c r="AZ704" s="273"/>
      <c r="BA704" s="273"/>
    </row>
    <row r="705">
      <c r="A705" s="273"/>
      <c r="B705" s="273"/>
      <c r="C705" s="745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  <c r="AJ705" s="273"/>
      <c r="AK705" s="273"/>
      <c r="AL705" s="273"/>
      <c r="AM705" s="273"/>
      <c r="AN705" s="273"/>
      <c r="AO705" s="273"/>
      <c r="AP705" s="273"/>
      <c r="AQ705" s="273"/>
      <c r="AR705" s="273"/>
      <c r="AS705" s="273"/>
      <c r="AT705" s="273"/>
      <c r="AU705" s="273"/>
      <c r="AV705" s="273"/>
      <c r="AW705" s="273"/>
      <c r="AX705" s="273"/>
      <c r="AY705" s="273"/>
      <c r="AZ705" s="273"/>
      <c r="BA705" s="273"/>
    </row>
    <row r="706">
      <c r="A706" s="273"/>
      <c r="B706" s="273"/>
      <c r="C706" s="745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  <c r="AJ706" s="273"/>
      <c r="AK706" s="273"/>
      <c r="AL706" s="273"/>
      <c r="AM706" s="273"/>
      <c r="AN706" s="273"/>
      <c r="AO706" s="273"/>
      <c r="AP706" s="273"/>
      <c r="AQ706" s="273"/>
      <c r="AR706" s="273"/>
      <c r="AS706" s="273"/>
      <c r="AT706" s="273"/>
      <c r="AU706" s="273"/>
      <c r="AV706" s="273"/>
      <c r="AW706" s="273"/>
      <c r="AX706" s="273"/>
      <c r="AY706" s="273"/>
      <c r="AZ706" s="273"/>
      <c r="BA706" s="273"/>
    </row>
    <row r="707">
      <c r="A707" s="273"/>
      <c r="B707" s="273"/>
      <c r="C707" s="745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  <c r="AJ707" s="273"/>
      <c r="AK707" s="273"/>
      <c r="AL707" s="273"/>
      <c r="AM707" s="273"/>
      <c r="AN707" s="273"/>
      <c r="AO707" s="273"/>
      <c r="AP707" s="273"/>
      <c r="AQ707" s="273"/>
      <c r="AR707" s="273"/>
      <c r="AS707" s="273"/>
      <c r="AT707" s="273"/>
      <c r="AU707" s="273"/>
      <c r="AV707" s="273"/>
      <c r="AW707" s="273"/>
      <c r="AX707" s="273"/>
      <c r="AY707" s="273"/>
      <c r="AZ707" s="273"/>
      <c r="BA707" s="273"/>
    </row>
    <row r="708">
      <c r="A708" s="273"/>
      <c r="B708" s="273"/>
      <c r="C708" s="745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  <c r="AJ708" s="273"/>
      <c r="AK708" s="273"/>
      <c r="AL708" s="273"/>
      <c r="AM708" s="273"/>
      <c r="AN708" s="273"/>
      <c r="AO708" s="273"/>
      <c r="AP708" s="273"/>
      <c r="AQ708" s="273"/>
      <c r="AR708" s="273"/>
      <c r="AS708" s="273"/>
      <c r="AT708" s="273"/>
      <c r="AU708" s="273"/>
      <c r="AV708" s="273"/>
      <c r="AW708" s="273"/>
      <c r="AX708" s="273"/>
      <c r="AY708" s="273"/>
      <c r="AZ708" s="273"/>
      <c r="BA708" s="273"/>
    </row>
    <row r="709">
      <c r="A709" s="273"/>
      <c r="B709" s="273"/>
      <c r="C709" s="745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  <c r="AJ709" s="273"/>
      <c r="AK709" s="273"/>
      <c r="AL709" s="273"/>
      <c r="AM709" s="273"/>
      <c r="AN709" s="273"/>
      <c r="AO709" s="273"/>
      <c r="AP709" s="273"/>
      <c r="AQ709" s="273"/>
      <c r="AR709" s="273"/>
      <c r="AS709" s="273"/>
      <c r="AT709" s="273"/>
      <c r="AU709" s="273"/>
      <c r="AV709" s="273"/>
      <c r="AW709" s="273"/>
      <c r="AX709" s="273"/>
      <c r="AY709" s="273"/>
      <c r="AZ709" s="273"/>
      <c r="BA709" s="273"/>
    </row>
    <row r="710">
      <c r="A710" s="273"/>
      <c r="B710" s="273"/>
      <c r="C710" s="745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  <c r="AJ710" s="273"/>
      <c r="AK710" s="273"/>
      <c r="AL710" s="273"/>
      <c r="AM710" s="273"/>
      <c r="AN710" s="273"/>
      <c r="AO710" s="273"/>
      <c r="AP710" s="273"/>
      <c r="AQ710" s="273"/>
      <c r="AR710" s="273"/>
      <c r="AS710" s="273"/>
      <c r="AT710" s="273"/>
      <c r="AU710" s="273"/>
      <c r="AV710" s="273"/>
      <c r="AW710" s="273"/>
      <c r="AX710" s="273"/>
      <c r="AY710" s="273"/>
      <c r="AZ710" s="273"/>
      <c r="BA710" s="273"/>
    </row>
    <row r="711">
      <c r="A711" s="273"/>
      <c r="B711" s="273"/>
      <c r="C711" s="745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  <c r="AJ711" s="273"/>
      <c r="AK711" s="273"/>
      <c r="AL711" s="273"/>
      <c r="AM711" s="273"/>
      <c r="AN711" s="273"/>
      <c r="AO711" s="273"/>
      <c r="AP711" s="273"/>
      <c r="AQ711" s="273"/>
      <c r="AR711" s="273"/>
      <c r="AS711" s="273"/>
      <c r="AT711" s="273"/>
      <c r="AU711" s="273"/>
      <c r="AV711" s="273"/>
      <c r="AW711" s="273"/>
      <c r="AX711" s="273"/>
      <c r="AY711" s="273"/>
      <c r="AZ711" s="273"/>
      <c r="BA711" s="273"/>
    </row>
    <row r="712">
      <c r="A712" s="273"/>
      <c r="B712" s="273"/>
      <c r="C712" s="745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  <c r="AJ712" s="273"/>
      <c r="AK712" s="273"/>
      <c r="AL712" s="273"/>
      <c r="AM712" s="273"/>
      <c r="AN712" s="273"/>
      <c r="AO712" s="273"/>
      <c r="AP712" s="273"/>
      <c r="AQ712" s="273"/>
      <c r="AR712" s="273"/>
      <c r="AS712" s="273"/>
      <c r="AT712" s="273"/>
      <c r="AU712" s="273"/>
      <c r="AV712" s="273"/>
      <c r="AW712" s="273"/>
      <c r="AX712" s="273"/>
      <c r="AY712" s="273"/>
      <c r="AZ712" s="273"/>
      <c r="BA712" s="273"/>
    </row>
    <row r="713">
      <c r="A713" s="273"/>
      <c r="B713" s="273"/>
      <c r="C713" s="745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  <c r="AJ713" s="273"/>
      <c r="AK713" s="273"/>
      <c r="AL713" s="273"/>
      <c r="AM713" s="273"/>
      <c r="AN713" s="273"/>
      <c r="AO713" s="273"/>
      <c r="AP713" s="273"/>
      <c r="AQ713" s="273"/>
      <c r="AR713" s="273"/>
      <c r="AS713" s="273"/>
      <c r="AT713" s="273"/>
      <c r="AU713" s="273"/>
      <c r="AV713" s="273"/>
      <c r="AW713" s="273"/>
      <c r="AX713" s="273"/>
      <c r="AY713" s="273"/>
      <c r="AZ713" s="273"/>
      <c r="BA713" s="273"/>
    </row>
    <row r="714">
      <c r="A714" s="273"/>
      <c r="B714" s="273"/>
      <c r="C714" s="745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  <c r="AJ714" s="273"/>
      <c r="AK714" s="273"/>
      <c r="AL714" s="273"/>
      <c r="AM714" s="273"/>
      <c r="AN714" s="273"/>
      <c r="AO714" s="273"/>
      <c r="AP714" s="273"/>
      <c r="AQ714" s="273"/>
      <c r="AR714" s="273"/>
      <c r="AS714" s="273"/>
      <c r="AT714" s="273"/>
      <c r="AU714" s="273"/>
      <c r="AV714" s="273"/>
      <c r="AW714" s="273"/>
      <c r="AX714" s="273"/>
      <c r="AY714" s="273"/>
      <c r="AZ714" s="273"/>
      <c r="BA714" s="273"/>
    </row>
    <row r="715">
      <c r="A715" s="273"/>
      <c r="B715" s="273"/>
      <c r="C715" s="745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  <c r="AJ715" s="273"/>
      <c r="AK715" s="273"/>
      <c r="AL715" s="273"/>
      <c r="AM715" s="273"/>
      <c r="AN715" s="273"/>
      <c r="AO715" s="273"/>
      <c r="AP715" s="273"/>
      <c r="AQ715" s="273"/>
      <c r="AR715" s="273"/>
      <c r="AS715" s="273"/>
      <c r="AT715" s="273"/>
      <c r="AU715" s="273"/>
      <c r="AV715" s="273"/>
      <c r="AW715" s="273"/>
      <c r="AX715" s="273"/>
      <c r="AY715" s="273"/>
      <c r="AZ715" s="273"/>
      <c r="BA715" s="273"/>
    </row>
    <row r="716">
      <c r="A716" s="273"/>
      <c r="B716" s="273"/>
      <c r="C716" s="745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  <c r="AJ716" s="273"/>
      <c r="AK716" s="273"/>
      <c r="AL716" s="273"/>
      <c r="AM716" s="273"/>
      <c r="AN716" s="273"/>
      <c r="AO716" s="273"/>
      <c r="AP716" s="273"/>
      <c r="AQ716" s="273"/>
      <c r="AR716" s="273"/>
      <c r="AS716" s="273"/>
      <c r="AT716" s="273"/>
      <c r="AU716" s="273"/>
      <c r="AV716" s="273"/>
      <c r="AW716" s="273"/>
      <c r="AX716" s="273"/>
      <c r="AY716" s="273"/>
      <c r="AZ716" s="273"/>
      <c r="BA716" s="273"/>
    </row>
    <row r="717">
      <c r="A717" s="273"/>
      <c r="B717" s="273"/>
      <c r="C717" s="745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  <c r="AJ717" s="273"/>
      <c r="AK717" s="273"/>
      <c r="AL717" s="273"/>
      <c r="AM717" s="273"/>
      <c r="AN717" s="273"/>
      <c r="AO717" s="273"/>
      <c r="AP717" s="273"/>
      <c r="AQ717" s="273"/>
      <c r="AR717" s="273"/>
      <c r="AS717" s="273"/>
      <c r="AT717" s="273"/>
      <c r="AU717" s="273"/>
      <c r="AV717" s="273"/>
      <c r="AW717" s="273"/>
      <c r="AX717" s="273"/>
      <c r="AY717" s="273"/>
      <c r="AZ717" s="273"/>
      <c r="BA717" s="273"/>
    </row>
    <row r="718">
      <c r="A718" s="273"/>
      <c r="B718" s="273"/>
      <c r="C718" s="745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  <c r="AJ718" s="273"/>
      <c r="AK718" s="273"/>
      <c r="AL718" s="273"/>
      <c r="AM718" s="273"/>
      <c r="AN718" s="273"/>
      <c r="AO718" s="273"/>
      <c r="AP718" s="273"/>
      <c r="AQ718" s="273"/>
      <c r="AR718" s="273"/>
      <c r="AS718" s="273"/>
      <c r="AT718" s="273"/>
      <c r="AU718" s="273"/>
      <c r="AV718" s="273"/>
      <c r="AW718" s="273"/>
      <c r="AX718" s="273"/>
      <c r="AY718" s="273"/>
      <c r="AZ718" s="273"/>
      <c r="BA718" s="273"/>
    </row>
    <row r="719">
      <c r="A719" s="273"/>
      <c r="B719" s="273"/>
      <c r="C719" s="745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  <c r="AJ719" s="273"/>
      <c r="AK719" s="273"/>
      <c r="AL719" s="273"/>
      <c r="AM719" s="273"/>
      <c r="AN719" s="273"/>
      <c r="AO719" s="273"/>
      <c r="AP719" s="273"/>
      <c r="AQ719" s="273"/>
      <c r="AR719" s="273"/>
      <c r="AS719" s="273"/>
      <c r="AT719" s="273"/>
      <c r="AU719" s="273"/>
      <c r="AV719" s="273"/>
      <c r="AW719" s="273"/>
      <c r="AX719" s="273"/>
      <c r="AY719" s="273"/>
      <c r="AZ719" s="273"/>
      <c r="BA719" s="273"/>
    </row>
    <row r="720">
      <c r="A720" s="273"/>
      <c r="B720" s="273"/>
      <c r="C720" s="745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  <c r="AJ720" s="273"/>
      <c r="AK720" s="273"/>
      <c r="AL720" s="273"/>
      <c r="AM720" s="273"/>
      <c r="AN720" s="273"/>
      <c r="AO720" s="273"/>
      <c r="AP720" s="273"/>
      <c r="AQ720" s="273"/>
      <c r="AR720" s="273"/>
      <c r="AS720" s="273"/>
      <c r="AT720" s="273"/>
      <c r="AU720" s="273"/>
      <c r="AV720" s="273"/>
      <c r="AW720" s="273"/>
      <c r="AX720" s="273"/>
      <c r="AY720" s="273"/>
      <c r="AZ720" s="273"/>
      <c r="BA720" s="273"/>
    </row>
    <row r="721">
      <c r="A721" s="273"/>
      <c r="B721" s="273"/>
      <c r="C721" s="745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  <c r="AJ721" s="273"/>
      <c r="AK721" s="273"/>
      <c r="AL721" s="273"/>
      <c r="AM721" s="273"/>
      <c r="AN721" s="273"/>
      <c r="AO721" s="273"/>
      <c r="AP721" s="273"/>
      <c r="AQ721" s="273"/>
      <c r="AR721" s="273"/>
      <c r="AS721" s="273"/>
      <c r="AT721" s="273"/>
      <c r="AU721" s="273"/>
      <c r="AV721" s="273"/>
      <c r="AW721" s="273"/>
      <c r="AX721" s="273"/>
      <c r="AY721" s="273"/>
      <c r="AZ721" s="273"/>
      <c r="BA721" s="273"/>
    </row>
    <row r="722">
      <c r="A722" s="273"/>
      <c r="B722" s="273"/>
      <c r="C722" s="745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  <c r="AJ722" s="273"/>
      <c r="AK722" s="273"/>
      <c r="AL722" s="273"/>
      <c r="AM722" s="273"/>
      <c r="AN722" s="273"/>
      <c r="AO722" s="273"/>
      <c r="AP722" s="273"/>
      <c r="AQ722" s="273"/>
      <c r="AR722" s="273"/>
      <c r="AS722" s="273"/>
      <c r="AT722" s="273"/>
      <c r="AU722" s="273"/>
      <c r="AV722" s="273"/>
      <c r="AW722" s="273"/>
      <c r="AX722" s="273"/>
      <c r="AY722" s="273"/>
      <c r="AZ722" s="273"/>
      <c r="BA722" s="273"/>
    </row>
    <row r="723">
      <c r="A723" s="273"/>
      <c r="B723" s="273"/>
      <c r="C723" s="745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</row>
    <row r="724">
      <c r="A724" s="273"/>
      <c r="B724" s="273"/>
      <c r="C724" s="745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  <c r="AJ724" s="273"/>
      <c r="AK724" s="273"/>
      <c r="AL724" s="273"/>
      <c r="AM724" s="273"/>
      <c r="AN724" s="273"/>
      <c r="AO724" s="273"/>
      <c r="AP724" s="273"/>
      <c r="AQ724" s="273"/>
      <c r="AR724" s="273"/>
      <c r="AS724" s="273"/>
      <c r="AT724" s="273"/>
      <c r="AU724" s="273"/>
      <c r="AV724" s="273"/>
      <c r="AW724" s="273"/>
      <c r="AX724" s="273"/>
      <c r="AY724" s="273"/>
      <c r="AZ724" s="273"/>
      <c r="BA724" s="273"/>
    </row>
    <row r="725">
      <c r="A725" s="273"/>
      <c r="B725" s="273"/>
      <c r="C725" s="745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  <c r="AJ725" s="273"/>
      <c r="AK725" s="273"/>
      <c r="AL725" s="273"/>
      <c r="AM725" s="273"/>
      <c r="AN725" s="273"/>
      <c r="AO725" s="273"/>
      <c r="AP725" s="273"/>
      <c r="AQ725" s="273"/>
      <c r="AR725" s="273"/>
      <c r="AS725" s="273"/>
      <c r="AT725" s="273"/>
      <c r="AU725" s="273"/>
      <c r="AV725" s="273"/>
      <c r="AW725" s="273"/>
      <c r="AX725" s="273"/>
      <c r="AY725" s="273"/>
      <c r="AZ725" s="273"/>
      <c r="BA725" s="273"/>
    </row>
    <row r="726">
      <c r="A726" s="273"/>
      <c r="B726" s="273"/>
      <c r="C726" s="745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  <c r="AJ726" s="273"/>
      <c r="AK726" s="273"/>
      <c r="AL726" s="273"/>
      <c r="AM726" s="273"/>
      <c r="AN726" s="273"/>
      <c r="AO726" s="273"/>
      <c r="AP726" s="273"/>
      <c r="AQ726" s="273"/>
      <c r="AR726" s="273"/>
      <c r="AS726" s="273"/>
      <c r="AT726" s="273"/>
      <c r="AU726" s="273"/>
      <c r="AV726" s="273"/>
      <c r="AW726" s="273"/>
      <c r="AX726" s="273"/>
      <c r="AY726" s="273"/>
      <c r="AZ726" s="273"/>
      <c r="BA726" s="273"/>
    </row>
    <row r="727">
      <c r="A727" s="273"/>
      <c r="B727" s="273"/>
      <c r="C727" s="745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  <c r="AJ727" s="273"/>
      <c r="AK727" s="273"/>
      <c r="AL727" s="273"/>
      <c r="AM727" s="273"/>
      <c r="AN727" s="273"/>
      <c r="AO727" s="273"/>
      <c r="AP727" s="273"/>
      <c r="AQ727" s="273"/>
      <c r="AR727" s="273"/>
      <c r="AS727" s="273"/>
      <c r="AT727" s="273"/>
      <c r="AU727" s="273"/>
      <c r="AV727" s="273"/>
      <c r="AW727" s="273"/>
      <c r="AX727" s="273"/>
      <c r="AY727" s="273"/>
      <c r="AZ727" s="273"/>
      <c r="BA727" s="273"/>
    </row>
    <row r="728">
      <c r="A728" s="273"/>
      <c r="B728" s="273"/>
      <c r="C728" s="745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  <c r="AJ728" s="273"/>
      <c r="AK728" s="273"/>
      <c r="AL728" s="273"/>
      <c r="AM728" s="273"/>
      <c r="AN728" s="273"/>
      <c r="AO728" s="273"/>
      <c r="AP728" s="273"/>
      <c r="AQ728" s="273"/>
      <c r="AR728" s="273"/>
      <c r="AS728" s="273"/>
      <c r="AT728" s="273"/>
      <c r="AU728" s="273"/>
      <c r="AV728" s="273"/>
      <c r="AW728" s="273"/>
      <c r="AX728" s="273"/>
      <c r="AY728" s="273"/>
      <c r="AZ728" s="273"/>
      <c r="BA728" s="273"/>
    </row>
    <row r="729">
      <c r="A729" s="273"/>
      <c r="B729" s="273"/>
      <c r="C729" s="745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  <c r="AJ729" s="273"/>
      <c r="AK729" s="273"/>
      <c r="AL729" s="273"/>
      <c r="AM729" s="273"/>
      <c r="AN729" s="273"/>
      <c r="AO729" s="273"/>
      <c r="AP729" s="273"/>
      <c r="AQ729" s="273"/>
      <c r="AR729" s="273"/>
      <c r="AS729" s="273"/>
      <c r="AT729" s="273"/>
      <c r="AU729" s="273"/>
      <c r="AV729" s="273"/>
      <c r="AW729" s="273"/>
      <c r="AX729" s="273"/>
      <c r="AY729" s="273"/>
      <c r="AZ729" s="273"/>
      <c r="BA729" s="273"/>
    </row>
    <row r="730">
      <c r="A730" s="273"/>
      <c r="B730" s="273"/>
      <c r="C730" s="745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  <c r="AJ730" s="273"/>
      <c r="AK730" s="273"/>
      <c r="AL730" s="273"/>
      <c r="AM730" s="273"/>
      <c r="AN730" s="273"/>
      <c r="AO730" s="273"/>
      <c r="AP730" s="273"/>
      <c r="AQ730" s="273"/>
      <c r="AR730" s="273"/>
      <c r="AS730" s="273"/>
      <c r="AT730" s="273"/>
      <c r="AU730" s="273"/>
      <c r="AV730" s="273"/>
      <c r="AW730" s="273"/>
      <c r="AX730" s="273"/>
      <c r="AY730" s="273"/>
      <c r="AZ730" s="273"/>
      <c r="BA730" s="273"/>
    </row>
    <row r="731">
      <c r="A731" s="273"/>
      <c r="B731" s="273"/>
      <c r="C731" s="745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  <c r="AJ731" s="273"/>
      <c r="AK731" s="273"/>
      <c r="AL731" s="273"/>
      <c r="AM731" s="273"/>
      <c r="AN731" s="273"/>
      <c r="AO731" s="273"/>
      <c r="AP731" s="273"/>
      <c r="AQ731" s="273"/>
      <c r="AR731" s="273"/>
      <c r="AS731" s="273"/>
      <c r="AT731" s="273"/>
      <c r="AU731" s="273"/>
      <c r="AV731" s="273"/>
      <c r="AW731" s="273"/>
      <c r="AX731" s="273"/>
      <c r="AY731" s="273"/>
      <c r="AZ731" s="273"/>
      <c r="BA731" s="273"/>
    </row>
    <row r="732">
      <c r="A732" s="273"/>
      <c r="B732" s="273"/>
      <c r="C732" s="745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  <c r="AJ732" s="273"/>
      <c r="AK732" s="273"/>
      <c r="AL732" s="273"/>
      <c r="AM732" s="273"/>
      <c r="AN732" s="273"/>
      <c r="AO732" s="273"/>
      <c r="AP732" s="273"/>
      <c r="AQ732" s="273"/>
      <c r="AR732" s="273"/>
      <c r="AS732" s="273"/>
      <c r="AT732" s="273"/>
      <c r="AU732" s="273"/>
      <c r="AV732" s="273"/>
      <c r="AW732" s="273"/>
      <c r="AX732" s="273"/>
      <c r="AY732" s="273"/>
      <c r="AZ732" s="273"/>
      <c r="BA732" s="273"/>
    </row>
    <row r="733">
      <c r="A733" s="273"/>
      <c r="B733" s="273"/>
      <c r="C733" s="745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  <c r="AJ733" s="273"/>
      <c r="AK733" s="273"/>
      <c r="AL733" s="273"/>
      <c r="AM733" s="273"/>
      <c r="AN733" s="273"/>
      <c r="AO733" s="273"/>
      <c r="AP733" s="273"/>
      <c r="AQ733" s="273"/>
      <c r="AR733" s="273"/>
      <c r="AS733" s="273"/>
      <c r="AT733" s="273"/>
      <c r="AU733" s="273"/>
      <c r="AV733" s="273"/>
      <c r="AW733" s="273"/>
      <c r="AX733" s="273"/>
      <c r="AY733" s="273"/>
      <c r="AZ733" s="273"/>
      <c r="BA733" s="273"/>
    </row>
    <row r="734">
      <c r="A734" s="273"/>
      <c r="B734" s="273"/>
      <c r="C734" s="745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  <c r="AJ734" s="273"/>
      <c r="AK734" s="273"/>
      <c r="AL734" s="273"/>
      <c r="AM734" s="273"/>
      <c r="AN734" s="273"/>
      <c r="AO734" s="273"/>
      <c r="AP734" s="273"/>
      <c r="AQ734" s="273"/>
      <c r="AR734" s="273"/>
      <c r="AS734" s="273"/>
      <c r="AT734" s="273"/>
      <c r="AU734" s="273"/>
      <c r="AV734" s="273"/>
      <c r="AW734" s="273"/>
      <c r="AX734" s="273"/>
      <c r="AY734" s="273"/>
      <c r="AZ734" s="273"/>
      <c r="BA734" s="273"/>
    </row>
    <row r="735">
      <c r="A735" s="273"/>
      <c r="B735" s="273"/>
      <c r="C735" s="745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  <c r="AJ735" s="273"/>
      <c r="AK735" s="273"/>
      <c r="AL735" s="273"/>
      <c r="AM735" s="273"/>
      <c r="AN735" s="273"/>
      <c r="AO735" s="273"/>
      <c r="AP735" s="273"/>
      <c r="AQ735" s="273"/>
      <c r="AR735" s="273"/>
      <c r="AS735" s="273"/>
      <c r="AT735" s="273"/>
      <c r="AU735" s="273"/>
      <c r="AV735" s="273"/>
      <c r="AW735" s="273"/>
      <c r="AX735" s="273"/>
      <c r="AY735" s="273"/>
      <c r="AZ735" s="273"/>
      <c r="BA735" s="273"/>
    </row>
    <row r="736">
      <c r="A736" s="273"/>
      <c r="B736" s="273"/>
      <c r="C736" s="745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  <c r="AJ736" s="273"/>
      <c r="AK736" s="273"/>
      <c r="AL736" s="273"/>
      <c r="AM736" s="273"/>
      <c r="AN736" s="273"/>
      <c r="AO736" s="273"/>
      <c r="AP736" s="273"/>
      <c r="AQ736" s="273"/>
      <c r="AR736" s="273"/>
      <c r="AS736" s="273"/>
      <c r="AT736" s="273"/>
      <c r="AU736" s="273"/>
      <c r="AV736" s="273"/>
      <c r="AW736" s="273"/>
      <c r="AX736" s="273"/>
      <c r="AY736" s="273"/>
      <c r="AZ736" s="273"/>
      <c r="BA736" s="273"/>
    </row>
    <row r="737">
      <c r="A737" s="273"/>
      <c r="B737" s="273"/>
      <c r="C737" s="745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  <c r="AJ737" s="273"/>
      <c r="AK737" s="273"/>
      <c r="AL737" s="273"/>
      <c r="AM737" s="273"/>
      <c r="AN737" s="273"/>
      <c r="AO737" s="273"/>
      <c r="AP737" s="273"/>
      <c r="AQ737" s="273"/>
      <c r="AR737" s="273"/>
      <c r="AS737" s="273"/>
      <c r="AT737" s="273"/>
      <c r="AU737" s="273"/>
      <c r="AV737" s="273"/>
      <c r="AW737" s="273"/>
      <c r="AX737" s="273"/>
      <c r="AY737" s="273"/>
      <c r="AZ737" s="273"/>
      <c r="BA737" s="273"/>
    </row>
    <row r="738">
      <c r="A738" s="273"/>
      <c r="B738" s="273"/>
      <c r="C738" s="745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  <c r="AJ738" s="273"/>
      <c r="AK738" s="273"/>
      <c r="AL738" s="273"/>
      <c r="AM738" s="273"/>
      <c r="AN738" s="273"/>
      <c r="AO738" s="273"/>
      <c r="AP738" s="273"/>
      <c r="AQ738" s="273"/>
      <c r="AR738" s="273"/>
      <c r="AS738" s="273"/>
      <c r="AT738" s="273"/>
      <c r="AU738" s="273"/>
      <c r="AV738" s="273"/>
      <c r="AW738" s="273"/>
      <c r="AX738" s="273"/>
      <c r="AY738" s="273"/>
      <c r="AZ738" s="273"/>
      <c r="BA738" s="273"/>
    </row>
    <row r="739">
      <c r="A739" s="273"/>
      <c r="B739" s="273"/>
      <c r="C739" s="745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  <c r="AJ739" s="273"/>
      <c r="AK739" s="273"/>
      <c r="AL739" s="273"/>
      <c r="AM739" s="273"/>
      <c r="AN739" s="273"/>
      <c r="AO739" s="273"/>
      <c r="AP739" s="273"/>
      <c r="AQ739" s="273"/>
      <c r="AR739" s="273"/>
      <c r="AS739" s="273"/>
      <c r="AT739" s="273"/>
      <c r="AU739" s="273"/>
      <c r="AV739" s="273"/>
      <c r="AW739" s="273"/>
      <c r="AX739" s="273"/>
      <c r="AY739" s="273"/>
      <c r="AZ739" s="273"/>
      <c r="BA739" s="273"/>
    </row>
    <row r="740">
      <c r="A740" s="273"/>
      <c r="B740" s="273"/>
      <c r="C740" s="745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  <c r="AJ740" s="273"/>
      <c r="AK740" s="273"/>
      <c r="AL740" s="273"/>
      <c r="AM740" s="273"/>
      <c r="AN740" s="273"/>
      <c r="AO740" s="273"/>
      <c r="AP740" s="273"/>
      <c r="AQ740" s="273"/>
      <c r="AR740" s="273"/>
      <c r="AS740" s="273"/>
      <c r="AT740" s="273"/>
      <c r="AU740" s="273"/>
      <c r="AV740" s="273"/>
      <c r="AW740" s="273"/>
      <c r="AX740" s="273"/>
      <c r="AY740" s="273"/>
      <c r="AZ740" s="273"/>
      <c r="BA740" s="273"/>
    </row>
    <row r="741">
      <c r="A741" s="273"/>
      <c r="B741" s="273"/>
      <c r="C741" s="745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  <c r="AJ741" s="273"/>
      <c r="AK741" s="273"/>
      <c r="AL741" s="273"/>
      <c r="AM741" s="273"/>
      <c r="AN741" s="273"/>
      <c r="AO741" s="273"/>
      <c r="AP741" s="273"/>
      <c r="AQ741" s="273"/>
      <c r="AR741" s="273"/>
      <c r="AS741" s="273"/>
      <c r="AT741" s="273"/>
      <c r="AU741" s="273"/>
      <c r="AV741" s="273"/>
      <c r="AW741" s="273"/>
      <c r="AX741" s="273"/>
      <c r="AY741" s="273"/>
      <c r="AZ741" s="273"/>
      <c r="BA741" s="273"/>
    </row>
    <row r="742">
      <c r="A742" s="273"/>
      <c r="B742" s="273"/>
      <c r="C742" s="745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  <c r="AJ742" s="273"/>
      <c r="AK742" s="273"/>
      <c r="AL742" s="273"/>
      <c r="AM742" s="273"/>
      <c r="AN742" s="273"/>
      <c r="AO742" s="273"/>
      <c r="AP742" s="273"/>
      <c r="AQ742" s="273"/>
      <c r="AR742" s="273"/>
      <c r="AS742" s="273"/>
      <c r="AT742" s="273"/>
      <c r="AU742" s="273"/>
      <c r="AV742" s="273"/>
      <c r="AW742" s="273"/>
      <c r="AX742" s="273"/>
      <c r="AY742" s="273"/>
      <c r="AZ742" s="273"/>
      <c r="BA742" s="273"/>
    </row>
    <row r="743">
      <c r="A743" s="273"/>
      <c r="B743" s="273"/>
      <c r="C743" s="745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  <c r="AJ743" s="273"/>
      <c r="AK743" s="273"/>
      <c r="AL743" s="273"/>
      <c r="AM743" s="273"/>
      <c r="AN743" s="273"/>
      <c r="AO743" s="273"/>
      <c r="AP743" s="273"/>
      <c r="AQ743" s="273"/>
      <c r="AR743" s="273"/>
      <c r="AS743" s="273"/>
      <c r="AT743" s="273"/>
      <c r="AU743" s="273"/>
      <c r="AV743" s="273"/>
      <c r="AW743" s="273"/>
      <c r="AX743" s="273"/>
      <c r="AY743" s="273"/>
      <c r="AZ743" s="273"/>
      <c r="BA743" s="273"/>
    </row>
    <row r="744">
      <c r="A744" s="273"/>
      <c r="B744" s="273"/>
      <c r="C744" s="745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  <c r="AJ744" s="273"/>
      <c r="AK744" s="273"/>
      <c r="AL744" s="273"/>
      <c r="AM744" s="273"/>
      <c r="AN744" s="273"/>
      <c r="AO744" s="273"/>
      <c r="AP744" s="273"/>
      <c r="AQ744" s="273"/>
      <c r="AR744" s="273"/>
      <c r="AS744" s="273"/>
      <c r="AT744" s="273"/>
      <c r="AU744" s="273"/>
      <c r="AV744" s="273"/>
      <c r="AW744" s="273"/>
      <c r="AX744" s="273"/>
      <c r="AY744" s="273"/>
      <c r="AZ744" s="273"/>
      <c r="BA744" s="273"/>
    </row>
    <row r="745">
      <c r="A745" s="273"/>
      <c r="B745" s="273"/>
      <c r="C745" s="745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  <c r="AJ745" s="273"/>
      <c r="AK745" s="273"/>
      <c r="AL745" s="273"/>
      <c r="AM745" s="273"/>
      <c r="AN745" s="273"/>
      <c r="AO745" s="273"/>
      <c r="AP745" s="273"/>
      <c r="AQ745" s="273"/>
      <c r="AR745" s="273"/>
      <c r="AS745" s="273"/>
      <c r="AT745" s="273"/>
      <c r="AU745" s="273"/>
      <c r="AV745" s="273"/>
      <c r="AW745" s="273"/>
      <c r="AX745" s="273"/>
      <c r="AY745" s="273"/>
      <c r="AZ745" s="273"/>
      <c r="BA745" s="273"/>
    </row>
    <row r="746">
      <c r="A746" s="273"/>
      <c r="B746" s="273"/>
      <c r="C746" s="745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  <c r="AJ746" s="273"/>
      <c r="AK746" s="273"/>
      <c r="AL746" s="273"/>
      <c r="AM746" s="273"/>
      <c r="AN746" s="273"/>
      <c r="AO746" s="273"/>
      <c r="AP746" s="273"/>
      <c r="AQ746" s="273"/>
      <c r="AR746" s="273"/>
      <c r="AS746" s="273"/>
      <c r="AT746" s="273"/>
      <c r="AU746" s="273"/>
      <c r="AV746" s="273"/>
      <c r="AW746" s="273"/>
      <c r="AX746" s="273"/>
      <c r="AY746" s="273"/>
      <c r="AZ746" s="273"/>
      <c r="BA746" s="273"/>
    </row>
    <row r="747">
      <c r="A747" s="273"/>
      <c r="B747" s="273"/>
      <c r="C747" s="745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  <c r="AJ747" s="273"/>
      <c r="AK747" s="273"/>
      <c r="AL747" s="273"/>
      <c r="AM747" s="273"/>
      <c r="AN747" s="273"/>
      <c r="AO747" s="273"/>
      <c r="AP747" s="273"/>
      <c r="AQ747" s="273"/>
      <c r="AR747" s="273"/>
      <c r="AS747" s="273"/>
      <c r="AT747" s="273"/>
      <c r="AU747" s="273"/>
      <c r="AV747" s="273"/>
      <c r="AW747" s="273"/>
      <c r="AX747" s="273"/>
      <c r="AY747" s="273"/>
      <c r="AZ747" s="273"/>
      <c r="BA747" s="273"/>
    </row>
    <row r="748">
      <c r="A748" s="273"/>
      <c r="B748" s="273"/>
      <c r="C748" s="745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  <c r="AJ748" s="273"/>
      <c r="AK748" s="273"/>
      <c r="AL748" s="273"/>
      <c r="AM748" s="273"/>
      <c r="AN748" s="273"/>
      <c r="AO748" s="273"/>
      <c r="AP748" s="273"/>
      <c r="AQ748" s="273"/>
      <c r="AR748" s="273"/>
      <c r="AS748" s="273"/>
      <c r="AT748" s="273"/>
      <c r="AU748" s="273"/>
      <c r="AV748" s="273"/>
      <c r="AW748" s="273"/>
      <c r="AX748" s="273"/>
      <c r="AY748" s="273"/>
      <c r="AZ748" s="273"/>
      <c r="BA748" s="273"/>
    </row>
    <row r="749">
      <c r="A749" s="273"/>
      <c r="B749" s="273"/>
      <c r="C749" s="745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  <c r="AJ749" s="273"/>
      <c r="AK749" s="273"/>
      <c r="AL749" s="273"/>
      <c r="AM749" s="273"/>
      <c r="AN749" s="273"/>
      <c r="AO749" s="273"/>
      <c r="AP749" s="273"/>
      <c r="AQ749" s="273"/>
      <c r="AR749" s="273"/>
      <c r="AS749" s="273"/>
      <c r="AT749" s="273"/>
      <c r="AU749" s="273"/>
      <c r="AV749" s="273"/>
      <c r="AW749" s="273"/>
      <c r="AX749" s="273"/>
      <c r="AY749" s="273"/>
      <c r="AZ749" s="273"/>
      <c r="BA749" s="273"/>
    </row>
    <row r="750">
      <c r="A750" s="273"/>
      <c r="B750" s="273"/>
      <c r="C750" s="745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  <c r="AJ750" s="273"/>
      <c r="AK750" s="273"/>
      <c r="AL750" s="273"/>
      <c r="AM750" s="273"/>
      <c r="AN750" s="273"/>
      <c r="AO750" s="273"/>
      <c r="AP750" s="273"/>
      <c r="AQ750" s="273"/>
      <c r="AR750" s="273"/>
      <c r="AS750" s="273"/>
      <c r="AT750" s="273"/>
      <c r="AU750" s="273"/>
      <c r="AV750" s="273"/>
      <c r="AW750" s="273"/>
      <c r="AX750" s="273"/>
      <c r="AY750" s="273"/>
      <c r="AZ750" s="273"/>
      <c r="BA750" s="273"/>
    </row>
    <row r="751">
      <c r="A751" s="273"/>
      <c r="B751" s="273"/>
      <c r="C751" s="745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  <c r="AJ751" s="273"/>
      <c r="AK751" s="273"/>
      <c r="AL751" s="273"/>
      <c r="AM751" s="273"/>
      <c r="AN751" s="273"/>
      <c r="AO751" s="273"/>
      <c r="AP751" s="273"/>
      <c r="AQ751" s="273"/>
      <c r="AR751" s="273"/>
      <c r="AS751" s="273"/>
      <c r="AT751" s="273"/>
      <c r="AU751" s="273"/>
      <c r="AV751" s="273"/>
      <c r="AW751" s="273"/>
      <c r="AX751" s="273"/>
      <c r="AY751" s="273"/>
      <c r="AZ751" s="273"/>
      <c r="BA751" s="273"/>
    </row>
    <row r="752">
      <c r="A752" s="273"/>
      <c r="B752" s="273"/>
      <c r="C752" s="745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  <c r="AJ752" s="273"/>
      <c r="AK752" s="273"/>
      <c r="AL752" s="273"/>
      <c r="AM752" s="273"/>
      <c r="AN752" s="273"/>
      <c r="AO752" s="273"/>
      <c r="AP752" s="273"/>
      <c r="AQ752" s="273"/>
      <c r="AR752" s="273"/>
      <c r="AS752" s="273"/>
      <c r="AT752" s="273"/>
      <c r="AU752" s="273"/>
      <c r="AV752" s="273"/>
      <c r="AW752" s="273"/>
      <c r="AX752" s="273"/>
      <c r="AY752" s="273"/>
      <c r="AZ752" s="273"/>
      <c r="BA752" s="273"/>
    </row>
    <row r="753">
      <c r="A753" s="273"/>
      <c r="B753" s="273"/>
      <c r="C753" s="745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  <c r="AJ753" s="273"/>
      <c r="AK753" s="273"/>
      <c r="AL753" s="273"/>
      <c r="AM753" s="273"/>
      <c r="AN753" s="273"/>
      <c r="AO753" s="273"/>
      <c r="AP753" s="273"/>
      <c r="AQ753" s="273"/>
      <c r="AR753" s="273"/>
      <c r="AS753" s="273"/>
      <c r="AT753" s="273"/>
      <c r="AU753" s="273"/>
      <c r="AV753" s="273"/>
      <c r="AW753" s="273"/>
      <c r="AX753" s="273"/>
      <c r="AY753" s="273"/>
      <c r="AZ753" s="273"/>
      <c r="BA753" s="273"/>
    </row>
    <row r="754">
      <c r="A754" s="273"/>
      <c r="B754" s="273"/>
      <c r="C754" s="745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  <c r="AJ754" s="273"/>
      <c r="AK754" s="273"/>
      <c r="AL754" s="273"/>
      <c r="AM754" s="273"/>
      <c r="AN754" s="273"/>
      <c r="AO754" s="273"/>
      <c r="AP754" s="273"/>
      <c r="AQ754" s="273"/>
      <c r="AR754" s="273"/>
      <c r="AS754" s="273"/>
      <c r="AT754" s="273"/>
      <c r="AU754" s="273"/>
      <c r="AV754" s="273"/>
      <c r="AW754" s="273"/>
      <c r="AX754" s="273"/>
      <c r="AY754" s="273"/>
      <c r="AZ754" s="273"/>
      <c r="BA754" s="273"/>
    </row>
    <row r="755">
      <c r="A755" s="273"/>
      <c r="B755" s="273"/>
      <c r="C755" s="745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  <c r="AJ755" s="273"/>
      <c r="AK755" s="273"/>
      <c r="AL755" s="273"/>
      <c r="AM755" s="273"/>
      <c r="AN755" s="273"/>
      <c r="AO755" s="273"/>
      <c r="AP755" s="273"/>
      <c r="AQ755" s="273"/>
      <c r="AR755" s="273"/>
      <c r="AS755" s="273"/>
      <c r="AT755" s="273"/>
      <c r="AU755" s="273"/>
      <c r="AV755" s="273"/>
      <c r="AW755" s="273"/>
      <c r="AX755" s="273"/>
      <c r="AY755" s="273"/>
      <c r="AZ755" s="273"/>
      <c r="BA755" s="273"/>
    </row>
    <row r="756">
      <c r="A756" s="273"/>
      <c r="B756" s="273"/>
      <c r="C756" s="745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  <c r="AJ756" s="273"/>
      <c r="AK756" s="273"/>
      <c r="AL756" s="273"/>
      <c r="AM756" s="273"/>
      <c r="AN756" s="273"/>
      <c r="AO756" s="273"/>
      <c r="AP756" s="273"/>
      <c r="AQ756" s="273"/>
      <c r="AR756" s="273"/>
      <c r="AS756" s="273"/>
      <c r="AT756" s="273"/>
      <c r="AU756" s="273"/>
      <c r="AV756" s="273"/>
      <c r="AW756" s="273"/>
      <c r="AX756" s="273"/>
      <c r="AY756" s="273"/>
      <c r="AZ756" s="273"/>
      <c r="BA756" s="273"/>
    </row>
    <row r="757">
      <c r="A757" s="273"/>
      <c r="B757" s="273"/>
      <c r="C757" s="745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  <c r="AJ757" s="273"/>
      <c r="AK757" s="273"/>
      <c r="AL757" s="273"/>
      <c r="AM757" s="273"/>
      <c r="AN757" s="273"/>
      <c r="AO757" s="273"/>
      <c r="AP757" s="273"/>
      <c r="AQ757" s="273"/>
      <c r="AR757" s="273"/>
      <c r="AS757" s="273"/>
      <c r="AT757" s="273"/>
      <c r="AU757" s="273"/>
      <c r="AV757" s="273"/>
      <c r="AW757" s="273"/>
      <c r="AX757" s="273"/>
      <c r="AY757" s="273"/>
      <c r="AZ757" s="273"/>
      <c r="BA757" s="273"/>
    </row>
    <row r="758">
      <c r="A758" s="273"/>
      <c r="B758" s="273"/>
      <c r="C758" s="745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  <c r="AJ758" s="273"/>
      <c r="AK758" s="273"/>
      <c r="AL758" s="273"/>
      <c r="AM758" s="273"/>
      <c r="AN758" s="273"/>
      <c r="AO758" s="273"/>
      <c r="AP758" s="273"/>
      <c r="AQ758" s="273"/>
      <c r="AR758" s="273"/>
      <c r="AS758" s="273"/>
      <c r="AT758" s="273"/>
      <c r="AU758" s="273"/>
      <c r="AV758" s="273"/>
      <c r="AW758" s="273"/>
      <c r="AX758" s="273"/>
      <c r="AY758" s="273"/>
      <c r="AZ758" s="273"/>
      <c r="BA758" s="273"/>
    </row>
    <row r="759">
      <c r="A759" s="273"/>
      <c r="B759" s="273"/>
      <c r="C759" s="745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  <c r="AJ759" s="273"/>
      <c r="AK759" s="273"/>
      <c r="AL759" s="273"/>
      <c r="AM759" s="273"/>
      <c r="AN759" s="273"/>
      <c r="AO759" s="273"/>
      <c r="AP759" s="273"/>
      <c r="AQ759" s="273"/>
      <c r="AR759" s="273"/>
      <c r="AS759" s="273"/>
      <c r="AT759" s="273"/>
      <c r="AU759" s="273"/>
      <c r="AV759" s="273"/>
      <c r="AW759" s="273"/>
      <c r="AX759" s="273"/>
      <c r="AY759" s="273"/>
      <c r="AZ759" s="273"/>
      <c r="BA759" s="273"/>
    </row>
    <row r="760">
      <c r="A760" s="273"/>
      <c r="B760" s="273"/>
      <c r="C760" s="745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  <c r="AJ760" s="273"/>
      <c r="AK760" s="273"/>
      <c r="AL760" s="273"/>
      <c r="AM760" s="273"/>
      <c r="AN760" s="273"/>
      <c r="AO760" s="273"/>
      <c r="AP760" s="273"/>
      <c r="AQ760" s="273"/>
      <c r="AR760" s="273"/>
      <c r="AS760" s="273"/>
      <c r="AT760" s="273"/>
      <c r="AU760" s="273"/>
      <c r="AV760" s="273"/>
      <c r="AW760" s="273"/>
      <c r="AX760" s="273"/>
      <c r="AY760" s="273"/>
      <c r="AZ760" s="273"/>
      <c r="BA760" s="273"/>
    </row>
    <row r="761">
      <c r="A761" s="273"/>
      <c r="B761" s="273"/>
      <c r="C761" s="745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  <c r="AJ761" s="273"/>
      <c r="AK761" s="273"/>
      <c r="AL761" s="273"/>
      <c r="AM761" s="273"/>
      <c r="AN761" s="273"/>
      <c r="AO761" s="273"/>
      <c r="AP761" s="273"/>
      <c r="AQ761" s="273"/>
      <c r="AR761" s="273"/>
      <c r="AS761" s="273"/>
      <c r="AT761" s="273"/>
      <c r="AU761" s="273"/>
      <c r="AV761" s="273"/>
      <c r="AW761" s="273"/>
      <c r="AX761" s="273"/>
      <c r="AY761" s="273"/>
      <c r="AZ761" s="273"/>
      <c r="BA761" s="273"/>
    </row>
    <row r="762">
      <c r="A762" s="273"/>
      <c r="B762" s="273"/>
      <c r="C762" s="745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  <c r="AJ762" s="273"/>
      <c r="AK762" s="273"/>
      <c r="AL762" s="273"/>
      <c r="AM762" s="273"/>
      <c r="AN762" s="273"/>
      <c r="AO762" s="273"/>
      <c r="AP762" s="273"/>
      <c r="AQ762" s="273"/>
      <c r="AR762" s="273"/>
      <c r="AS762" s="273"/>
      <c r="AT762" s="273"/>
      <c r="AU762" s="273"/>
      <c r="AV762" s="273"/>
      <c r="AW762" s="273"/>
      <c r="AX762" s="273"/>
      <c r="AY762" s="273"/>
      <c r="AZ762" s="273"/>
      <c r="BA762" s="273"/>
    </row>
    <row r="763">
      <c r="A763" s="273"/>
      <c r="B763" s="273"/>
      <c r="C763" s="745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  <c r="AJ763" s="273"/>
      <c r="AK763" s="273"/>
      <c r="AL763" s="273"/>
      <c r="AM763" s="273"/>
      <c r="AN763" s="273"/>
      <c r="AO763" s="273"/>
      <c r="AP763" s="273"/>
      <c r="AQ763" s="273"/>
      <c r="AR763" s="273"/>
      <c r="AS763" s="273"/>
      <c r="AT763" s="273"/>
      <c r="AU763" s="273"/>
      <c r="AV763" s="273"/>
      <c r="AW763" s="273"/>
      <c r="AX763" s="273"/>
      <c r="AY763" s="273"/>
      <c r="AZ763" s="273"/>
      <c r="BA763" s="273"/>
    </row>
    <row r="764">
      <c r="A764" s="273"/>
      <c r="B764" s="273"/>
      <c r="C764" s="745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  <c r="AJ764" s="273"/>
      <c r="AK764" s="273"/>
      <c r="AL764" s="273"/>
      <c r="AM764" s="273"/>
      <c r="AN764" s="273"/>
      <c r="AO764" s="273"/>
      <c r="AP764" s="273"/>
      <c r="AQ764" s="273"/>
      <c r="AR764" s="273"/>
      <c r="AS764" s="273"/>
      <c r="AT764" s="273"/>
      <c r="AU764" s="273"/>
      <c r="AV764" s="273"/>
      <c r="AW764" s="273"/>
      <c r="AX764" s="273"/>
      <c r="AY764" s="273"/>
      <c r="AZ764" s="273"/>
      <c r="BA764" s="273"/>
    </row>
    <row r="765">
      <c r="A765" s="273"/>
      <c r="B765" s="273"/>
      <c r="C765" s="745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  <c r="AJ765" s="273"/>
      <c r="AK765" s="273"/>
      <c r="AL765" s="273"/>
      <c r="AM765" s="273"/>
      <c r="AN765" s="273"/>
      <c r="AO765" s="273"/>
      <c r="AP765" s="273"/>
      <c r="AQ765" s="273"/>
      <c r="AR765" s="273"/>
      <c r="AS765" s="273"/>
      <c r="AT765" s="273"/>
      <c r="AU765" s="273"/>
      <c r="AV765" s="273"/>
      <c r="AW765" s="273"/>
      <c r="AX765" s="273"/>
      <c r="AY765" s="273"/>
      <c r="AZ765" s="273"/>
      <c r="BA765" s="273"/>
    </row>
    <row r="766">
      <c r="A766" s="273"/>
      <c r="B766" s="273"/>
      <c r="C766" s="745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  <c r="AJ766" s="273"/>
      <c r="AK766" s="273"/>
      <c r="AL766" s="273"/>
      <c r="AM766" s="273"/>
      <c r="AN766" s="273"/>
      <c r="AO766" s="273"/>
      <c r="AP766" s="273"/>
      <c r="AQ766" s="273"/>
      <c r="AR766" s="273"/>
      <c r="AS766" s="273"/>
      <c r="AT766" s="273"/>
      <c r="AU766" s="273"/>
      <c r="AV766" s="273"/>
      <c r="AW766" s="273"/>
      <c r="AX766" s="273"/>
      <c r="AY766" s="273"/>
      <c r="AZ766" s="273"/>
      <c r="BA766" s="273"/>
    </row>
    <row r="767">
      <c r="A767" s="273"/>
      <c r="B767" s="273"/>
      <c r="C767" s="745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  <c r="AJ767" s="273"/>
      <c r="AK767" s="273"/>
      <c r="AL767" s="273"/>
      <c r="AM767" s="273"/>
      <c r="AN767" s="273"/>
      <c r="AO767" s="273"/>
      <c r="AP767" s="273"/>
      <c r="AQ767" s="273"/>
      <c r="AR767" s="273"/>
      <c r="AS767" s="273"/>
      <c r="AT767" s="273"/>
      <c r="AU767" s="273"/>
      <c r="AV767" s="273"/>
      <c r="AW767" s="273"/>
      <c r="AX767" s="273"/>
      <c r="AY767" s="273"/>
      <c r="AZ767" s="273"/>
      <c r="BA767" s="273"/>
    </row>
    <row r="768">
      <c r="A768" s="273"/>
      <c r="B768" s="273"/>
      <c r="C768" s="745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  <c r="AJ768" s="273"/>
      <c r="AK768" s="273"/>
      <c r="AL768" s="273"/>
      <c r="AM768" s="273"/>
      <c r="AN768" s="273"/>
      <c r="AO768" s="273"/>
      <c r="AP768" s="273"/>
      <c r="AQ768" s="273"/>
      <c r="AR768" s="273"/>
      <c r="AS768" s="273"/>
      <c r="AT768" s="273"/>
      <c r="AU768" s="273"/>
      <c r="AV768" s="273"/>
      <c r="AW768" s="273"/>
      <c r="AX768" s="273"/>
      <c r="AY768" s="273"/>
      <c r="AZ768" s="273"/>
      <c r="BA768" s="273"/>
    </row>
    <row r="769">
      <c r="A769" s="273"/>
      <c r="B769" s="273"/>
      <c r="C769" s="745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  <c r="AJ769" s="273"/>
      <c r="AK769" s="273"/>
      <c r="AL769" s="273"/>
      <c r="AM769" s="273"/>
      <c r="AN769" s="273"/>
      <c r="AO769" s="273"/>
      <c r="AP769" s="273"/>
      <c r="AQ769" s="273"/>
      <c r="AR769" s="273"/>
      <c r="AS769" s="273"/>
      <c r="AT769" s="273"/>
      <c r="AU769" s="273"/>
      <c r="AV769" s="273"/>
      <c r="AW769" s="273"/>
      <c r="AX769" s="273"/>
      <c r="AY769" s="273"/>
      <c r="AZ769" s="273"/>
      <c r="BA769" s="273"/>
    </row>
    <row r="770">
      <c r="A770" s="273"/>
      <c r="B770" s="273"/>
      <c r="C770" s="745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  <c r="AJ770" s="273"/>
      <c r="AK770" s="273"/>
      <c r="AL770" s="273"/>
      <c r="AM770" s="273"/>
      <c r="AN770" s="273"/>
      <c r="AO770" s="273"/>
      <c r="AP770" s="273"/>
      <c r="AQ770" s="273"/>
      <c r="AR770" s="273"/>
      <c r="AS770" s="273"/>
      <c r="AT770" s="273"/>
      <c r="AU770" s="273"/>
      <c r="AV770" s="273"/>
      <c r="AW770" s="273"/>
      <c r="AX770" s="273"/>
      <c r="AY770" s="273"/>
      <c r="AZ770" s="273"/>
      <c r="BA770" s="273"/>
    </row>
    <row r="771">
      <c r="A771" s="273"/>
      <c r="B771" s="273"/>
      <c r="C771" s="745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  <c r="AJ771" s="273"/>
      <c r="AK771" s="273"/>
      <c r="AL771" s="273"/>
      <c r="AM771" s="273"/>
      <c r="AN771" s="273"/>
      <c r="AO771" s="273"/>
      <c r="AP771" s="273"/>
      <c r="AQ771" s="273"/>
      <c r="AR771" s="273"/>
      <c r="AS771" s="273"/>
      <c r="AT771" s="273"/>
      <c r="AU771" s="273"/>
      <c r="AV771" s="273"/>
      <c r="AW771" s="273"/>
      <c r="AX771" s="273"/>
      <c r="AY771" s="273"/>
      <c r="AZ771" s="273"/>
      <c r="BA771" s="273"/>
    </row>
    <row r="772">
      <c r="A772" s="273"/>
      <c r="B772" s="273"/>
      <c r="C772" s="745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  <c r="AJ772" s="273"/>
      <c r="AK772" s="273"/>
      <c r="AL772" s="273"/>
      <c r="AM772" s="273"/>
      <c r="AN772" s="273"/>
      <c r="AO772" s="273"/>
      <c r="AP772" s="273"/>
      <c r="AQ772" s="273"/>
      <c r="AR772" s="273"/>
      <c r="AS772" s="273"/>
      <c r="AT772" s="273"/>
      <c r="AU772" s="273"/>
      <c r="AV772" s="273"/>
      <c r="AW772" s="273"/>
      <c r="AX772" s="273"/>
      <c r="AY772" s="273"/>
      <c r="AZ772" s="273"/>
      <c r="BA772" s="273"/>
    </row>
    <row r="773">
      <c r="A773" s="273"/>
      <c r="B773" s="273"/>
      <c r="C773" s="745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  <c r="AJ773" s="273"/>
      <c r="AK773" s="273"/>
      <c r="AL773" s="273"/>
      <c r="AM773" s="273"/>
      <c r="AN773" s="273"/>
      <c r="AO773" s="273"/>
      <c r="AP773" s="273"/>
      <c r="AQ773" s="273"/>
      <c r="AR773" s="273"/>
      <c r="AS773" s="273"/>
      <c r="AT773" s="273"/>
      <c r="AU773" s="273"/>
      <c r="AV773" s="273"/>
      <c r="AW773" s="273"/>
      <c r="AX773" s="273"/>
      <c r="AY773" s="273"/>
      <c r="AZ773" s="273"/>
      <c r="BA773" s="273"/>
    </row>
    <row r="774">
      <c r="A774" s="273"/>
      <c r="B774" s="273"/>
      <c r="C774" s="745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  <c r="AJ774" s="273"/>
      <c r="AK774" s="273"/>
      <c r="AL774" s="273"/>
      <c r="AM774" s="273"/>
      <c r="AN774" s="273"/>
      <c r="AO774" s="273"/>
      <c r="AP774" s="273"/>
      <c r="AQ774" s="273"/>
      <c r="AR774" s="273"/>
      <c r="AS774" s="273"/>
      <c r="AT774" s="273"/>
      <c r="AU774" s="273"/>
      <c r="AV774" s="273"/>
      <c r="AW774" s="273"/>
      <c r="AX774" s="273"/>
      <c r="AY774" s="273"/>
      <c r="AZ774" s="273"/>
      <c r="BA774" s="273"/>
    </row>
    <row r="775">
      <c r="A775" s="273"/>
      <c r="B775" s="273"/>
      <c r="C775" s="745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  <c r="AJ775" s="273"/>
      <c r="AK775" s="273"/>
      <c r="AL775" s="273"/>
      <c r="AM775" s="273"/>
      <c r="AN775" s="273"/>
      <c r="AO775" s="273"/>
      <c r="AP775" s="273"/>
      <c r="AQ775" s="273"/>
      <c r="AR775" s="273"/>
      <c r="AS775" s="273"/>
      <c r="AT775" s="273"/>
      <c r="AU775" s="273"/>
      <c r="AV775" s="273"/>
      <c r="AW775" s="273"/>
      <c r="AX775" s="273"/>
      <c r="AY775" s="273"/>
      <c r="AZ775" s="273"/>
      <c r="BA775" s="273"/>
    </row>
    <row r="776">
      <c r="A776" s="273"/>
      <c r="B776" s="273"/>
      <c r="C776" s="745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</row>
    <row r="777">
      <c r="A777" s="273"/>
      <c r="B777" s="273"/>
      <c r="C777" s="745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</row>
    <row r="778">
      <c r="A778" s="273"/>
      <c r="B778" s="273"/>
      <c r="C778" s="745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</row>
    <row r="779">
      <c r="A779" s="273"/>
      <c r="B779" s="273"/>
      <c r="C779" s="745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  <c r="AJ779" s="273"/>
      <c r="AK779" s="273"/>
      <c r="AL779" s="273"/>
      <c r="AM779" s="273"/>
      <c r="AN779" s="273"/>
      <c r="AO779" s="273"/>
      <c r="AP779" s="273"/>
      <c r="AQ779" s="273"/>
      <c r="AR779" s="273"/>
      <c r="AS779" s="273"/>
      <c r="AT779" s="273"/>
      <c r="AU779" s="273"/>
      <c r="AV779" s="273"/>
      <c r="AW779" s="273"/>
      <c r="AX779" s="273"/>
      <c r="AY779" s="273"/>
      <c r="AZ779" s="273"/>
      <c r="BA779" s="273"/>
    </row>
    <row r="780">
      <c r="A780" s="273"/>
      <c r="B780" s="273"/>
      <c r="C780" s="745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  <c r="AJ780" s="273"/>
      <c r="AK780" s="273"/>
      <c r="AL780" s="273"/>
      <c r="AM780" s="273"/>
      <c r="AN780" s="273"/>
      <c r="AO780" s="273"/>
      <c r="AP780" s="273"/>
      <c r="AQ780" s="273"/>
      <c r="AR780" s="273"/>
      <c r="AS780" s="273"/>
      <c r="AT780" s="273"/>
      <c r="AU780" s="273"/>
      <c r="AV780" s="273"/>
      <c r="AW780" s="273"/>
      <c r="AX780" s="273"/>
      <c r="AY780" s="273"/>
      <c r="AZ780" s="273"/>
      <c r="BA780" s="273"/>
    </row>
    <row r="781">
      <c r="A781" s="273"/>
      <c r="B781" s="273"/>
      <c r="C781" s="745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  <c r="AJ781" s="273"/>
      <c r="AK781" s="273"/>
      <c r="AL781" s="273"/>
      <c r="AM781" s="273"/>
      <c r="AN781" s="273"/>
      <c r="AO781" s="273"/>
      <c r="AP781" s="273"/>
      <c r="AQ781" s="273"/>
      <c r="AR781" s="273"/>
      <c r="AS781" s="273"/>
      <c r="AT781" s="273"/>
      <c r="AU781" s="273"/>
      <c r="AV781" s="273"/>
      <c r="AW781" s="273"/>
      <c r="AX781" s="273"/>
      <c r="AY781" s="273"/>
      <c r="AZ781" s="273"/>
      <c r="BA781" s="273"/>
    </row>
    <row r="782">
      <c r="A782" s="273"/>
      <c r="B782" s="273"/>
      <c r="C782" s="745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  <c r="AJ782" s="273"/>
      <c r="AK782" s="273"/>
      <c r="AL782" s="273"/>
      <c r="AM782" s="273"/>
      <c r="AN782" s="273"/>
      <c r="AO782" s="273"/>
      <c r="AP782" s="273"/>
      <c r="AQ782" s="273"/>
      <c r="AR782" s="273"/>
      <c r="AS782" s="273"/>
      <c r="AT782" s="273"/>
      <c r="AU782" s="273"/>
      <c r="AV782" s="273"/>
      <c r="AW782" s="273"/>
      <c r="AX782" s="273"/>
      <c r="AY782" s="273"/>
      <c r="AZ782" s="273"/>
      <c r="BA782" s="273"/>
    </row>
    <row r="783">
      <c r="A783" s="273"/>
      <c r="B783" s="273"/>
      <c r="C783" s="745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  <c r="AJ783" s="273"/>
      <c r="AK783" s="273"/>
      <c r="AL783" s="273"/>
      <c r="AM783" s="273"/>
      <c r="AN783" s="273"/>
      <c r="AO783" s="273"/>
      <c r="AP783" s="273"/>
      <c r="AQ783" s="273"/>
      <c r="AR783" s="273"/>
      <c r="AS783" s="273"/>
      <c r="AT783" s="273"/>
      <c r="AU783" s="273"/>
      <c r="AV783" s="273"/>
      <c r="AW783" s="273"/>
      <c r="AX783" s="273"/>
      <c r="AY783" s="273"/>
      <c r="AZ783" s="273"/>
      <c r="BA783" s="273"/>
    </row>
    <row r="784">
      <c r="A784" s="273"/>
      <c r="B784" s="273"/>
      <c r="C784" s="745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  <c r="AJ784" s="273"/>
      <c r="AK784" s="273"/>
      <c r="AL784" s="273"/>
      <c r="AM784" s="273"/>
      <c r="AN784" s="273"/>
      <c r="AO784" s="273"/>
      <c r="AP784" s="273"/>
      <c r="AQ784" s="273"/>
      <c r="AR784" s="273"/>
      <c r="AS784" s="273"/>
      <c r="AT784" s="273"/>
      <c r="AU784" s="273"/>
      <c r="AV784" s="273"/>
      <c r="AW784" s="273"/>
      <c r="AX784" s="273"/>
      <c r="AY784" s="273"/>
      <c r="AZ784" s="273"/>
      <c r="BA784" s="273"/>
    </row>
    <row r="785">
      <c r="A785" s="273"/>
      <c r="B785" s="273"/>
      <c r="C785" s="745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  <c r="AJ785" s="273"/>
      <c r="AK785" s="273"/>
      <c r="AL785" s="273"/>
      <c r="AM785" s="273"/>
      <c r="AN785" s="273"/>
      <c r="AO785" s="273"/>
      <c r="AP785" s="273"/>
      <c r="AQ785" s="273"/>
      <c r="AR785" s="273"/>
      <c r="AS785" s="273"/>
      <c r="AT785" s="273"/>
      <c r="AU785" s="273"/>
      <c r="AV785" s="273"/>
      <c r="AW785" s="273"/>
      <c r="AX785" s="273"/>
      <c r="AY785" s="273"/>
      <c r="AZ785" s="273"/>
      <c r="BA785" s="273"/>
    </row>
    <row r="786">
      <c r="A786" s="273"/>
      <c r="B786" s="273"/>
      <c r="C786" s="745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  <c r="AJ786" s="273"/>
      <c r="AK786" s="273"/>
      <c r="AL786" s="273"/>
      <c r="AM786" s="273"/>
      <c r="AN786" s="273"/>
      <c r="AO786" s="273"/>
      <c r="AP786" s="273"/>
      <c r="AQ786" s="273"/>
      <c r="AR786" s="273"/>
      <c r="AS786" s="273"/>
      <c r="AT786" s="273"/>
      <c r="AU786" s="273"/>
      <c r="AV786" s="273"/>
      <c r="AW786" s="273"/>
      <c r="AX786" s="273"/>
      <c r="AY786" s="273"/>
      <c r="AZ786" s="273"/>
      <c r="BA786" s="273"/>
    </row>
    <row r="787">
      <c r="A787" s="273"/>
      <c r="B787" s="273"/>
      <c r="C787" s="745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  <c r="AJ787" s="273"/>
      <c r="AK787" s="273"/>
      <c r="AL787" s="273"/>
      <c r="AM787" s="273"/>
      <c r="AN787" s="273"/>
      <c r="AO787" s="273"/>
      <c r="AP787" s="273"/>
      <c r="AQ787" s="273"/>
      <c r="AR787" s="273"/>
      <c r="AS787" s="273"/>
      <c r="AT787" s="273"/>
      <c r="AU787" s="273"/>
      <c r="AV787" s="273"/>
      <c r="AW787" s="273"/>
      <c r="AX787" s="273"/>
      <c r="AY787" s="273"/>
      <c r="AZ787" s="273"/>
      <c r="BA787" s="273"/>
    </row>
    <row r="788">
      <c r="A788" s="273"/>
      <c r="B788" s="273"/>
      <c r="C788" s="745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  <c r="AJ788" s="273"/>
      <c r="AK788" s="273"/>
      <c r="AL788" s="273"/>
      <c r="AM788" s="273"/>
      <c r="AN788" s="273"/>
      <c r="AO788" s="273"/>
      <c r="AP788" s="273"/>
      <c r="AQ788" s="273"/>
      <c r="AR788" s="273"/>
      <c r="AS788" s="273"/>
      <c r="AT788" s="273"/>
      <c r="AU788" s="273"/>
      <c r="AV788" s="273"/>
      <c r="AW788" s="273"/>
      <c r="AX788" s="273"/>
      <c r="AY788" s="273"/>
      <c r="AZ788" s="273"/>
      <c r="BA788" s="273"/>
    </row>
    <row r="789">
      <c r="A789" s="273"/>
      <c r="B789" s="273"/>
      <c r="C789" s="745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  <c r="AJ789" s="273"/>
      <c r="AK789" s="273"/>
      <c r="AL789" s="273"/>
      <c r="AM789" s="273"/>
      <c r="AN789" s="273"/>
      <c r="AO789" s="273"/>
      <c r="AP789" s="273"/>
      <c r="AQ789" s="273"/>
      <c r="AR789" s="273"/>
      <c r="AS789" s="273"/>
      <c r="AT789" s="273"/>
      <c r="AU789" s="273"/>
      <c r="AV789" s="273"/>
      <c r="AW789" s="273"/>
      <c r="AX789" s="273"/>
      <c r="AY789" s="273"/>
      <c r="AZ789" s="273"/>
      <c r="BA789" s="273"/>
    </row>
    <row r="790">
      <c r="A790" s="273"/>
      <c r="B790" s="273"/>
      <c r="C790" s="745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  <c r="AJ790" s="273"/>
      <c r="AK790" s="273"/>
      <c r="AL790" s="273"/>
      <c r="AM790" s="273"/>
      <c r="AN790" s="273"/>
      <c r="AO790" s="273"/>
      <c r="AP790" s="273"/>
      <c r="AQ790" s="273"/>
      <c r="AR790" s="273"/>
      <c r="AS790" s="273"/>
      <c r="AT790" s="273"/>
      <c r="AU790" s="273"/>
      <c r="AV790" s="273"/>
      <c r="AW790" s="273"/>
      <c r="AX790" s="273"/>
      <c r="AY790" s="273"/>
      <c r="AZ790" s="273"/>
      <c r="BA790" s="273"/>
    </row>
    <row r="791">
      <c r="A791" s="273"/>
      <c r="B791" s="273"/>
      <c r="C791" s="745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  <c r="AJ791" s="273"/>
      <c r="AK791" s="273"/>
      <c r="AL791" s="273"/>
      <c r="AM791" s="273"/>
      <c r="AN791" s="273"/>
      <c r="AO791" s="273"/>
      <c r="AP791" s="273"/>
      <c r="AQ791" s="273"/>
      <c r="AR791" s="273"/>
      <c r="AS791" s="273"/>
      <c r="AT791" s="273"/>
      <c r="AU791" s="273"/>
      <c r="AV791" s="273"/>
      <c r="AW791" s="273"/>
      <c r="AX791" s="273"/>
      <c r="AY791" s="273"/>
      <c r="AZ791" s="273"/>
      <c r="BA791" s="273"/>
    </row>
    <row r="792">
      <c r="A792" s="273"/>
      <c r="B792" s="273"/>
      <c r="C792" s="745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  <c r="AJ792" s="273"/>
      <c r="AK792" s="273"/>
      <c r="AL792" s="273"/>
      <c r="AM792" s="273"/>
      <c r="AN792" s="273"/>
      <c r="AO792" s="273"/>
      <c r="AP792" s="273"/>
      <c r="AQ792" s="273"/>
      <c r="AR792" s="273"/>
      <c r="AS792" s="273"/>
      <c r="AT792" s="273"/>
      <c r="AU792" s="273"/>
      <c r="AV792" s="273"/>
      <c r="AW792" s="273"/>
      <c r="AX792" s="273"/>
      <c r="AY792" s="273"/>
      <c r="AZ792" s="273"/>
      <c r="BA792" s="273"/>
    </row>
    <row r="793">
      <c r="A793" s="273"/>
      <c r="B793" s="273"/>
      <c r="C793" s="745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  <c r="AJ793" s="273"/>
      <c r="AK793" s="273"/>
      <c r="AL793" s="273"/>
      <c r="AM793" s="273"/>
      <c r="AN793" s="273"/>
      <c r="AO793" s="273"/>
      <c r="AP793" s="273"/>
      <c r="AQ793" s="273"/>
      <c r="AR793" s="273"/>
      <c r="AS793" s="273"/>
      <c r="AT793" s="273"/>
      <c r="AU793" s="273"/>
      <c r="AV793" s="273"/>
      <c r="AW793" s="273"/>
      <c r="AX793" s="273"/>
      <c r="AY793" s="273"/>
      <c r="AZ793" s="273"/>
      <c r="BA793" s="273"/>
    </row>
    <row r="794">
      <c r="A794" s="273"/>
      <c r="B794" s="273"/>
      <c r="C794" s="745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  <c r="AJ794" s="273"/>
      <c r="AK794" s="273"/>
      <c r="AL794" s="273"/>
      <c r="AM794" s="273"/>
      <c r="AN794" s="273"/>
      <c r="AO794" s="273"/>
      <c r="AP794" s="273"/>
      <c r="AQ794" s="273"/>
      <c r="AR794" s="273"/>
      <c r="AS794" s="273"/>
      <c r="AT794" s="273"/>
      <c r="AU794" s="273"/>
      <c r="AV794" s="273"/>
      <c r="AW794" s="273"/>
      <c r="AX794" s="273"/>
      <c r="AY794" s="273"/>
      <c r="AZ794" s="273"/>
      <c r="BA794" s="273"/>
    </row>
    <row r="795">
      <c r="A795" s="273"/>
      <c r="B795" s="273"/>
      <c r="C795" s="745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  <c r="AJ795" s="273"/>
      <c r="AK795" s="273"/>
      <c r="AL795" s="273"/>
      <c r="AM795" s="273"/>
      <c r="AN795" s="273"/>
      <c r="AO795" s="273"/>
      <c r="AP795" s="273"/>
      <c r="AQ795" s="273"/>
      <c r="AR795" s="273"/>
      <c r="AS795" s="273"/>
      <c r="AT795" s="273"/>
      <c r="AU795" s="273"/>
      <c r="AV795" s="273"/>
      <c r="AW795" s="273"/>
      <c r="AX795" s="273"/>
      <c r="AY795" s="273"/>
      <c r="AZ795" s="273"/>
      <c r="BA795" s="273"/>
    </row>
    <row r="796">
      <c r="A796" s="273"/>
      <c r="B796" s="273"/>
      <c r="C796" s="745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  <c r="AJ796" s="273"/>
      <c r="AK796" s="273"/>
      <c r="AL796" s="273"/>
      <c r="AM796" s="273"/>
      <c r="AN796" s="273"/>
      <c r="AO796" s="273"/>
      <c r="AP796" s="273"/>
      <c r="AQ796" s="273"/>
      <c r="AR796" s="273"/>
      <c r="AS796" s="273"/>
      <c r="AT796" s="273"/>
      <c r="AU796" s="273"/>
      <c r="AV796" s="273"/>
      <c r="AW796" s="273"/>
      <c r="AX796" s="273"/>
      <c r="AY796" s="273"/>
      <c r="AZ796" s="273"/>
      <c r="BA796" s="273"/>
    </row>
    <row r="797">
      <c r="A797" s="273"/>
      <c r="B797" s="273"/>
      <c r="C797" s="745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  <c r="AJ797" s="273"/>
      <c r="AK797" s="273"/>
      <c r="AL797" s="273"/>
      <c r="AM797" s="273"/>
      <c r="AN797" s="273"/>
      <c r="AO797" s="273"/>
      <c r="AP797" s="273"/>
      <c r="AQ797" s="273"/>
      <c r="AR797" s="273"/>
      <c r="AS797" s="273"/>
      <c r="AT797" s="273"/>
      <c r="AU797" s="273"/>
      <c r="AV797" s="273"/>
      <c r="AW797" s="273"/>
      <c r="AX797" s="273"/>
      <c r="AY797" s="273"/>
      <c r="AZ797" s="273"/>
      <c r="BA797" s="273"/>
    </row>
    <row r="798">
      <c r="A798" s="273"/>
      <c r="B798" s="273"/>
      <c r="C798" s="745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  <c r="AJ798" s="273"/>
      <c r="AK798" s="273"/>
      <c r="AL798" s="273"/>
      <c r="AM798" s="273"/>
      <c r="AN798" s="273"/>
      <c r="AO798" s="273"/>
      <c r="AP798" s="273"/>
      <c r="AQ798" s="273"/>
      <c r="AR798" s="273"/>
      <c r="AS798" s="273"/>
      <c r="AT798" s="273"/>
      <c r="AU798" s="273"/>
      <c r="AV798" s="273"/>
      <c r="AW798" s="273"/>
      <c r="AX798" s="273"/>
      <c r="AY798" s="273"/>
      <c r="AZ798" s="273"/>
      <c r="BA798" s="273"/>
    </row>
    <row r="799">
      <c r="A799" s="273"/>
      <c r="B799" s="273"/>
      <c r="C799" s="745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  <c r="AJ799" s="273"/>
      <c r="AK799" s="273"/>
      <c r="AL799" s="273"/>
      <c r="AM799" s="273"/>
      <c r="AN799" s="273"/>
      <c r="AO799" s="273"/>
      <c r="AP799" s="273"/>
      <c r="AQ799" s="273"/>
      <c r="AR799" s="273"/>
      <c r="AS799" s="273"/>
      <c r="AT799" s="273"/>
      <c r="AU799" s="273"/>
      <c r="AV799" s="273"/>
      <c r="AW799" s="273"/>
      <c r="AX799" s="273"/>
      <c r="AY799" s="273"/>
      <c r="AZ799" s="273"/>
      <c r="BA799" s="273"/>
    </row>
    <row r="800">
      <c r="A800" s="273"/>
      <c r="B800" s="273"/>
      <c r="C800" s="745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  <c r="AJ800" s="273"/>
      <c r="AK800" s="273"/>
      <c r="AL800" s="273"/>
      <c r="AM800" s="273"/>
      <c r="AN800" s="273"/>
      <c r="AO800" s="273"/>
      <c r="AP800" s="273"/>
      <c r="AQ800" s="273"/>
      <c r="AR800" s="273"/>
      <c r="AS800" s="273"/>
      <c r="AT800" s="273"/>
      <c r="AU800" s="273"/>
      <c r="AV800" s="273"/>
      <c r="AW800" s="273"/>
      <c r="AX800" s="273"/>
      <c r="AY800" s="273"/>
      <c r="AZ800" s="273"/>
      <c r="BA800" s="273"/>
    </row>
    <row r="801">
      <c r="A801" s="273"/>
      <c r="B801" s="273"/>
      <c r="C801" s="745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  <c r="AJ801" s="273"/>
      <c r="AK801" s="273"/>
      <c r="AL801" s="273"/>
      <c r="AM801" s="273"/>
      <c r="AN801" s="273"/>
      <c r="AO801" s="273"/>
      <c r="AP801" s="273"/>
      <c r="AQ801" s="273"/>
      <c r="AR801" s="273"/>
      <c r="AS801" s="273"/>
      <c r="AT801" s="273"/>
      <c r="AU801" s="273"/>
      <c r="AV801" s="273"/>
      <c r="AW801" s="273"/>
      <c r="AX801" s="273"/>
      <c r="AY801" s="273"/>
      <c r="AZ801" s="273"/>
      <c r="BA801" s="273"/>
    </row>
    <row r="802">
      <c r="A802" s="273"/>
      <c r="B802" s="273"/>
      <c r="C802" s="745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  <c r="AJ802" s="273"/>
      <c r="AK802" s="273"/>
      <c r="AL802" s="273"/>
      <c r="AM802" s="273"/>
      <c r="AN802" s="273"/>
      <c r="AO802" s="273"/>
      <c r="AP802" s="273"/>
      <c r="AQ802" s="273"/>
      <c r="AR802" s="273"/>
      <c r="AS802" s="273"/>
      <c r="AT802" s="273"/>
      <c r="AU802" s="273"/>
      <c r="AV802" s="273"/>
      <c r="AW802" s="273"/>
      <c r="AX802" s="273"/>
      <c r="AY802" s="273"/>
      <c r="AZ802" s="273"/>
      <c r="BA802" s="273"/>
    </row>
    <row r="803">
      <c r="A803" s="273"/>
      <c r="B803" s="273"/>
      <c r="C803" s="745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  <c r="AJ803" s="273"/>
      <c r="AK803" s="273"/>
      <c r="AL803" s="273"/>
      <c r="AM803" s="273"/>
      <c r="AN803" s="273"/>
      <c r="AO803" s="273"/>
      <c r="AP803" s="273"/>
      <c r="AQ803" s="273"/>
      <c r="AR803" s="273"/>
      <c r="AS803" s="273"/>
      <c r="AT803" s="273"/>
      <c r="AU803" s="273"/>
      <c r="AV803" s="273"/>
      <c r="AW803" s="273"/>
      <c r="AX803" s="273"/>
      <c r="AY803" s="273"/>
      <c r="AZ803" s="273"/>
      <c r="BA803" s="273"/>
    </row>
    <row r="804">
      <c r="A804" s="273"/>
      <c r="B804" s="273"/>
      <c r="C804" s="745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  <c r="AJ804" s="273"/>
      <c r="AK804" s="273"/>
      <c r="AL804" s="273"/>
      <c r="AM804" s="273"/>
      <c r="AN804" s="273"/>
      <c r="AO804" s="273"/>
      <c r="AP804" s="273"/>
      <c r="AQ804" s="273"/>
      <c r="AR804" s="273"/>
      <c r="AS804" s="273"/>
      <c r="AT804" s="273"/>
      <c r="AU804" s="273"/>
      <c r="AV804" s="273"/>
      <c r="AW804" s="273"/>
      <c r="AX804" s="273"/>
      <c r="AY804" s="273"/>
      <c r="AZ804" s="273"/>
      <c r="BA804" s="273"/>
    </row>
    <row r="805">
      <c r="A805" s="273"/>
      <c r="B805" s="273"/>
      <c r="C805" s="745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  <c r="AJ805" s="273"/>
      <c r="AK805" s="273"/>
      <c r="AL805" s="273"/>
      <c r="AM805" s="273"/>
      <c r="AN805" s="273"/>
      <c r="AO805" s="273"/>
      <c r="AP805" s="273"/>
      <c r="AQ805" s="273"/>
      <c r="AR805" s="273"/>
      <c r="AS805" s="273"/>
      <c r="AT805" s="273"/>
      <c r="AU805" s="273"/>
      <c r="AV805" s="273"/>
      <c r="AW805" s="273"/>
      <c r="AX805" s="273"/>
      <c r="AY805" s="273"/>
      <c r="AZ805" s="273"/>
      <c r="BA805" s="273"/>
    </row>
    <row r="806">
      <c r="A806" s="273"/>
      <c r="B806" s="273"/>
      <c r="C806" s="745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  <c r="AJ806" s="273"/>
      <c r="AK806" s="273"/>
      <c r="AL806" s="273"/>
      <c r="AM806" s="273"/>
      <c r="AN806" s="273"/>
      <c r="AO806" s="273"/>
      <c r="AP806" s="273"/>
      <c r="AQ806" s="273"/>
      <c r="AR806" s="273"/>
      <c r="AS806" s="273"/>
      <c r="AT806" s="273"/>
      <c r="AU806" s="273"/>
      <c r="AV806" s="273"/>
      <c r="AW806" s="273"/>
      <c r="AX806" s="273"/>
      <c r="AY806" s="273"/>
      <c r="AZ806" s="273"/>
      <c r="BA806" s="273"/>
    </row>
    <row r="807">
      <c r="A807" s="273"/>
      <c r="B807" s="273"/>
      <c r="C807" s="745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  <c r="AJ807" s="273"/>
      <c r="AK807" s="273"/>
      <c r="AL807" s="273"/>
      <c r="AM807" s="273"/>
      <c r="AN807" s="273"/>
      <c r="AO807" s="273"/>
      <c r="AP807" s="273"/>
      <c r="AQ807" s="273"/>
      <c r="AR807" s="273"/>
      <c r="AS807" s="273"/>
      <c r="AT807" s="273"/>
      <c r="AU807" s="273"/>
      <c r="AV807" s="273"/>
      <c r="AW807" s="273"/>
      <c r="AX807" s="273"/>
      <c r="AY807" s="273"/>
      <c r="AZ807" s="273"/>
      <c r="BA807" s="273"/>
    </row>
    <row r="808">
      <c r="A808" s="273"/>
      <c r="B808" s="273"/>
      <c r="C808" s="745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  <c r="AJ808" s="273"/>
      <c r="AK808" s="273"/>
      <c r="AL808" s="273"/>
      <c r="AM808" s="273"/>
      <c r="AN808" s="273"/>
      <c r="AO808" s="273"/>
      <c r="AP808" s="273"/>
      <c r="AQ808" s="273"/>
      <c r="AR808" s="273"/>
      <c r="AS808" s="273"/>
      <c r="AT808" s="273"/>
      <c r="AU808" s="273"/>
      <c r="AV808" s="273"/>
      <c r="AW808" s="273"/>
      <c r="AX808" s="273"/>
      <c r="AY808" s="273"/>
      <c r="AZ808" s="273"/>
      <c r="BA808" s="273"/>
    </row>
    <row r="809">
      <c r="A809" s="273"/>
      <c r="B809" s="273"/>
      <c r="C809" s="745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  <c r="AJ809" s="273"/>
      <c r="AK809" s="273"/>
      <c r="AL809" s="273"/>
      <c r="AM809" s="273"/>
      <c r="AN809" s="273"/>
      <c r="AO809" s="273"/>
      <c r="AP809" s="273"/>
      <c r="AQ809" s="273"/>
      <c r="AR809" s="273"/>
      <c r="AS809" s="273"/>
      <c r="AT809" s="273"/>
      <c r="AU809" s="273"/>
      <c r="AV809" s="273"/>
      <c r="AW809" s="273"/>
      <c r="AX809" s="273"/>
      <c r="AY809" s="273"/>
      <c r="AZ809" s="273"/>
      <c r="BA809" s="273"/>
    </row>
    <row r="810">
      <c r="A810" s="273"/>
      <c r="B810" s="273"/>
      <c r="C810" s="745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  <c r="AJ810" s="273"/>
      <c r="AK810" s="273"/>
      <c r="AL810" s="273"/>
      <c r="AM810" s="273"/>
      <c r="AN810" s="273"/>
      <c r="AO810" s="273"/>
      <c r="AP810" s="273"/>
      <c r="AQ810" s="273"/>
      <c r="AR810" s="273"/>
      <c r="AS810" s="273"/>
      <c r="AT810" s="273"/>
      <c r="AU810" s="273"/>
      <c r="AV810" s="273"/>
      <c r="AW810" s="273"/>
      <c r="AX810" s="273"/>
      <c r="AY810" s="273"/>
      <c r="AZ810" s="273"/>
      <c r="BA810" s="273"/>
    </row>
    <row r="811">
      <c r="A811" s="273"/>
      <c r="B811" s="273"/>
      <c r="C811" s="745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  <c r="AJ811" s="273"/>
      <c r="AK811" s="273"/>
      <c r="AL811" s="273"/>
      <c r="AM811" s="273"/>
      <c r="AN811" s="273"/>
      <c r="AO811" s="273"/>
      <c r="AP811" s="273"/>
      <c r="AQ811" s="273"/>
      <c r="AR811" s="273"/>
      <c r="AS811" s="273"/>
      <c r="AT811" s="273"/>
      <c r="AU811" s="273"/>
      <c r="AV811" s="273"/>
      <c r="AW811" s="273"/>
      <c r="AX811" s="273"/>
      <c r="AY811" s="273"/>
      <c r="AZ811" s="273"/>
      <c r="BA811" s="273"/>
    </row>
    <row r="812">
      <c r="A812" s="273"/>
      <c r="B812" s="273"/>
      <c r="C812" s="745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  <c r="AJ812" s="273"/>
      <c r="AK812" s="273"/>
      <c r="AL812" s="273"/>
      <c r="AM812" s="273"/>
      <c r="AN812" s="273"/>
      <c r="AO812" s="273"/>
      <c r="AP812" s="273"/>
      <c r="AQ812" s="273"/>
      <c r="AR812" s="273"/>
      <c r="AS812" s="273"/>
      <c r="AT812" s="273"/>
      <c r="AU812" s="273"/>
      <c r="AV812" s="273"/>
      <c r="AW812" s="273"/>
      <c r="AX812" s="273"/>
      <c r="AY812" s="273"/>
      <c r="AZ812" s="273"/>
      <c r="BA812" s="273"/>
    </row>
    <row r="813">
      <c r="A813" s="273"/>
      <c r="B813" s="273"/>
      <c r="C813" s="745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  <c r="AJ813" s="273"/>
      <c r="AK813" s="273"/>
      <c r="AL813" s="273"/>
      <c r="AM813" s="273"/>
      <c r="AN813" s="273"/>
      <c r="AO813" s="273"/>
      <c r="AP813" s="273"/>
      <c r="AQ813" s="273"/>
      <c r="AR813" s="273"/>
      <c r="AS813" s="273"/>
      <c r="AT813" s="273"/>
      <c r="AU813" s="273"/>
      <c r="AV813" s="273"/>
      <c r="AW813" s="273"/>
      <c r="AX813" s="273"/>
      <c r="AY813" s="273"/>
      <c r="AZ813" s="273"/>
      <c r="BA813" s="273"/>
    </row>
    <row r="814">
      <c r="A814" s="273"/>
      <c r="B814" s="273"/>
      <c r="C814" s="745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  <c r="AJ814" s="273"/>
      <c r="AK814" s="273"/>
      <c r="AL814" s="273"/>
      <c r="AM814" s="273"/>
      <c r="AN814" s="273"/>
      <c r="AO814" s="273"/>
      <c r="AP814" s="273"/>
      <c r="AQ814" s="273"/>
      <c r="AR814" s="273"/>
      <c r="AS814" s="273"/>
      <c r="AT814" s="273"/>
      <c r="AU814" s="273"/>
      <c r="AV814" s="273"/>
      <c r="AW814" s="273"/>
      <c r="AX814" s="273"/>
      <c r="AY814" s="273"/>
      <c r="AZ814" s="273"/>
      <c r="BA814" s="273"/>
    </row>
    <row r="815">
      <c r="A815" s="273"/>
      <c r="B815" s="273"/>
      <c r="C815" s="745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  <c r="AJ815" s="273"/>
      <c r="AK815" s="273"/>
      <c r="AL815" s="273"/>
      <c r="AM815" s="273"/>
      <c r="AN815" s="273"/>
      <c r="AO815" s="273"/>
      <c r="AP815" s="273"/>
      <c r="AQ815" s="273"/>
      <c r="AR815" s="273"/>
      <c r="AS815" s="273"/>
      <c r="AT815" s="273"/>
      <c r="AU815" s="273"/>
      <c r="AV815" s="273"/>
      <c r="AW815" s="273"/>
      <c r="AX815" s="273"/>
      <c r="AY815" s="273"/>
      <c r="AZ815" s="273"/>
      <c r="BA815" s="273"/>
    </row>
    <row r="816">
      <c r="A816" s="273"/>
      <c r="B816" s="273"/>
      <c r="C816" s="745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  <c r="AJ816" s="273"/>
      <c r="AK816" s="273"/>
      <c r="AL816" s="273"/>
      <c r="AM816" s="273"/>
      <c r="AN816" s="273"/>
      <c r="AO816" s="273"/>
      <c r="AP816" s="273"/>
      <c r="AQ816" s="273"/>
      <c r="AR816" s="273"/>
      <c r="AS816" s="273"/>
      <c r="AT816" s="273"/>
      <c r="AU816" s="273"/>
      <c r="AV816" s="273"/>
      <c r="AW816" s="273"/>
      <c r="AX816" s="273"/>
      <c r="AY816" s="273"/>
      <c r="AZ816" s="273"/>
      <c r="BA816" s="273"/>
    </row>
    <row r="817">
      <c r="A817" s="273"/>
      <c r="B817" s="273"/>
      <c r="C817" s="745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  <c r="AJ817" s="273"/>
      <c r="AK817" s="273"/>
      <c r="AL817" s="273"/>
      <c r="AM817" s="273"/>
      <c r="AN817" s="273"/>
      <c r="AO817" s="273"/>
      <c r="AP817" s="273"/>
      <c r="AQ817" s="273"/>
      <c r="AR817" s="273"/>
      <c r="AS817" s="273"/>
      <c r="AT817" s="273"/>
      <c r="AU817" s="273"/>
      <c r="AV817" s="273"/>
      <c r="AW817" s="273"/>
      <c r="AX817" s="273"/>
      <c r="AY817" s="273"/>
      <c r="AZ817" s="273"/>
      <c r="BA817" s="273"/>
    </row>
    <row r="818">
      <c r="A818" s="273"/>
      <c r="B818" s="273"/>
      <c r="C818" s="745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  <c r="AJ818" s="273"/>
      <c r="AK818" s="273"/>
      <c r="AL818" s="273"/>
      <c r="AM818" s="273"/>
      <c r="AN818" s="273"/>
      <c r="AO818" s="273"/>
      <c r="AP818" s="273"/>
      <c r="AQ818" s="273"/>
      <c r="AR818" s="273"/>
      <c r="AS818" s="273"/>
      <c r="AT818" s="273"/>
      <c r="AU818" s="273"/>
      <c r="AV818" s="273"/>
      <c r="AW818" s="273"/>
      <c r="AX818" s="273"/>
      <c r="AY818" s="273"/>
      <c r="AZ818" s="273"/>
      <c r="BA818" s="273"/>
    </row>
    <row r="819">
      <c r="A819" s="273"/>
      <c r="B819" s="273"/>
      <c r="C819" s="745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  <c r="AJ819" s="273"/>
      <c r="AK819" s="273"/>
      <c r="AL819" s="273"/>
      <c r="AM819" s="273"/>
      <c r="AN819" s="273"/>
      <c r="AO819" s="273"/>
      <c r="AP819" s="273"/>
      <c r="AQ819" s="273"/>
      <c r="AR819" s="273"/>
      <c r="AS819" s="273"/>
      <c r="AT819" s="273"/>
      <c r="AU819" s="273"/>
      <c r="AV819" s="273"/>
      <c r="AW819" s="273"/>
      <c r="AX819" s="273"/>
      <c r="AY819" s="273"/>
      <c r="AZ819" s="273"/>
      <c r="BA819" s="273"/>
    </row>
    <row r="820">
      <c r="A820" s="273"/>
      <c r="B820" s="273"/>
      <c r="C820" s="745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  <c r="AJ820" s="273"/>
      <c r="AK820" s="273"/>
      <c r="AL820" s="273"/>
      <c r="AM820" s="273"/>
      <c r="AN820" s="273"/>
      <c r="AO820" s="273"/>
      <c r="AP820" s="273"/>
      <c r="AQ820" s="273"/>
      <c r="AR820" s="273"/>
      <c r="AS820" s="273"/>
      <c r="AT820" s="273"/>
      <c r="AU820" s="273"/>
      <c r="AV820" s="273"/>
      <c r="AW820" s="273"/>
      <c r="AX820" s="273"/>
      <c r="AY820" s="273"/>
      <c r="AZ820" s="273"/>
      <c r="BA820" s="273"/>
    </row>
    <row r="821">
      <c r="A821" s="273"/>
      <c r="B821" s="273"/>
      <c r="C821" s="745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  <c r="AJ821" s="273"/>
      <c r="AK821" s="273"/>
      <c r="AL821" s="273"/>
      <c r="AM821" s="273"/>
      <c r="AN821" s="273"/>
      <c r="AO821" s="273"/>
      <c r="AP821" s="273"/>
      <c r="AQ821" s="273"/>
      <c r="AR821" s="273"/>
      <c r="AS821" s="273"/>
      <c r="AT821" s="273"/>
      <c r="AU821" s="273"/>
      <c r="AV821" s="273"/>
      <c r="AW821" s="273"/>
      <c r="AX821" s="273"/>
      <c r="AY821" s="273"/>
      <c r="AZ821" s="273"/>
      <c r="BA821" s="273"/>
    </row>
    <row r="822">
      <c r="A822" s="273"/>
      <c r="B822" s="273"/>
      <c r="C822" s="745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  <c r="AJ822" s="273"/>
      <c r="AK822" s="273"/>
      <c r="AL822" s="273"/>
      <c r="AM822" s="273"/>
      <c r="AN822" s="273"/>
      <c r="AO822" s="273"/>
      <c r="AP822" s="273"/>
      <c r="AQ822" s="273"/>
      <c r="AR822" s="273"/>
      <c r="AS822" s="273"/>
      <c r="AT822" s="273"/>
      <c r="AU822" s="273"/>
      <c r="AV822" s="273"/>
      <c r="AW822" s="273"/>
      <c r="AX822" s="273"/>
      <c r="AY822" s="273"/>
      <c r="AZ822" s="273"/>
      <c r="BA822" s="273"/>
    </row>
    <row r="823">
      <c r="A823" s="273"/>
      <c r="B823" s="273"/>
      <c r="C823" s="745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  <c r="AJ823" s="273"/>
      <c r="AK823" s="273"/>
      <c r="AL823" s="273"/>
      <c r="AM823" s="273"/>
      <c r="AN823" s="273"/>
      <c r="AO823" s="273"/>
      <c r="AP823" s="273"/>
      <c r="AQ823" s="273"/>
      <c r="AR823" s="273"/>
      <c r="AS823" s="273"/>
      <c r="AT823" s="273"/>
      <c r="AU823" s="273"/>
      <c r="AV823" s="273"/>
      <c r="AW823" s="273"/>
      <c r="AX823" s="273"/>
      <c r="AY823" s="273"/>
      <c r="AZ823" s="273"/>
      <c r="BA823" s="273"/>
    </row>
    <row r="824">
      <c r="A824" s="273"/>
      <c r="B824" s="273"/>
      <c r="C824" s="745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  <c r="AJ824" s="273"/>
      <c r="AK824" s="273"/>
      <c r="AL824" s="273"/>
      <c r="AM824" s="273"/>
      <c r="AN824" s="273"/>
      <c r="AO824" s="273"/>
      <c r="AP824" s="273"/>
      <c r="AQ824" s="273"/>
      <c r="AR824" s="273"/>
      <c r="AS824" s="273"/>
      <c r="AT824" s="273"/>
      <c r="AU824" s="273"/>
      <c r="AV824" s="273"/>
      <c r="AW824" s="273"/>
      <c r="AX824" s="273"/>
      <c r="AY824" s="273"/>
      <c r="AZ824" s="273"/>
      <c r="BA824" s="273"/>
    </row>
    <row r="825">
      <c r="A825" s="273"/>
      <c r="B825" s="273"/>
      <c r="C825" s="745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  <c r="AJ825" s="273"/>
      <c r="AK825" s="273"/>
      <c r="AL825" s="273"/>
      <c r="AM825" s="273"/>
      <c r="AN825" s="273"/>
      <c r="AO825" s="273"/>
      <c r="AP825" s="273"/>
      <c r="AQ825" s="273"/>
      <c r="AR825" s="273"/>
      <c r="AS825" s="273"/>
      <c r="AT825" s="273"/>
      <c r="AU825" s="273"/>
      <c r="AV825" s="273"/>
      <c r="AW825" s="273"/>
      <c r="AX825" s="273"/>
      <c r="AY825" s="273"/>
      <c r="AZ825" s="273"/>
      <c r="BA825" s="273"/>
    </row>
    <row r="826">
      <c r="A826" s="273"/>
      <c r="B826" s="273"/>
      <c r="C826" s="745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  <c r="AJ826" s="273"/>
      <c r="AK826" s="273"/>
      <c r="AL826" s="273"/>
      <c r="AM826" s="273"/>
      <c r="AN826" s="273"/>
      <c r="AO826" s="273"/>
      <c r="AP826" s="273"/>
      <c r="AQ826" s="273"/>
      <c r="AR826" s="273"/>
      <c r="AS826" s="273"/>
      <c r="AT826" s="273"/>
      <c r="AU826" s="273"/>
      <c r="AV826" s="273"/>
      <c r="AW826" s="273"/>
      <c r="AX826" s="273"/>
      <c r="AY826" s="273"/>
      <c r="AZ826" s="273"/>
      <c r="BA826" s="273"/>
    </row>
    <row r="827">
      <c r="A827" s="273"/>
      <c r="B827" s="273"/>
      <c r="C827" s="745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  <c r="AJ827" s="273"/>
      <c r="AK827" s="273"/>
      <c r="AL827" s="273"/>
      <c r="AM827" s="273"/>
      <c r="AN827" s="273"/>
      <c r="AO827" s="273"/>
      <c r="AP827" s="273"/>
      <c r="AQ827" s="273"/>
      <c r="AR827" s="273"/>
      <c r="AS827" s="273"/>
      <c r="AT827" s="273"/>
      <c r="AU827" s="273"/>
      <c r="AV827" s="273"/>
      <c r="AW827" s="273"/>
      <c r="AX827" s="273"/>
      <c r="AY827" s="273"/>
      <c r="AZ827" s="273"/>
      <c r="BA827" s="273"/>
    </row>
    <row r="828">
      <c r="A828" s="273"/>
      <c r="B828" s="273"/>
      <c r="C828" s="745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  <c r="AJ828" s="273"/>
      <c r="AK828" s="273"/>
      <c r="AL828" s="273"/>
      <c r="AM828" s="273"/>
      <c r="AN828" s="273"/>
      <c r="AO828" s="273"/>
      <c r="AP828" s="273"/>
      <c r="AQ828" s="273"/>
      <c r="AR828" s="273"/>
      <c r="AS828" s="273"/>
      <c r="AT828" s="273"/>
      <c r="AU828" s="273"/>
      <c r="AV828" s="273"/>
      <c r="AW828" s="273"/>
      <c r="AX828" s="273"/>
      <c r="AY828" s="273"/>
      <c r="AZ828" s="273"/>
      <c r="BA828" s="273"/>
    </row>
    <row r="829">
      <c r="A829" s="273"/>
      <c r="B829" s="273"/>
      <c r="C829" s="745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  <c r="AJ829" s="273"/>
      <c r="AK829" s="273"/>
      <c r="AL829" s="273"/>
      <c r="AM829" s="273"/>
      <c r="AN829" s="273"/>
      <c r="AO829" s="273"/>
      <c r="AP829" s="273"/>
      <c r="AQ829" s="273"/>
      <c r="AR829" s="273"/>
      <c r="AS829" s="273"/>
      <c r="AT829" s="273"/>
      <c r="AU829" s="273"/>
      <c r="AV829" s="273"/>
      <c r="AW829" s="273"/>
      <c r="AX829" s="273"/>
      <c r="AY829" s="273"/>
      <c r="AZ829" s="273"/>
      <c r="BA829" s="273"/>
    </row>
    <row r="830">
      <c r="A830" s="273"/>
      <c r="B830" s="273"/>
      <c r="C830" s="745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  <c r="AJ830" s="273"/>
      <c r="AK830" s="273"/>
      <c r="AL830" s="273"/>
      <c r="AM830" s="273"/>
      <c r="AN830" s="273"/>
      <c r="AO830" s="273"/>
      <c r="AP830" s="273"/>
      <c r="AQ830" s="273"/>
      <c r="AR830" s="273"/>
      <c r="AS830" s="273"/>
      <c r="AT830" s="273"/>
      <c r="AU830" s="273"/>
      <c r="AV830" s="273"/>
      <c r="AW830" s="273"/>
      <c r="AX830" s="273"/>
      <c r="AY830" s="273"/>
      <c r="AZ830" s="273"/>
      <c r="BA830" s="273"/>
    </row>
    <row r="831">
      <c r="A831" s="273"/>
      <c r="B831" s="273"/>
      <c r="C831" s="745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  <c r="AJ831" s="273"/>
      <c r="AK831" s="273"/>
      <c r="AL831" s="273"/>
      <c r="AM831" s="273"/>
      <c r="AN831" s="273"/>
      <c r="AO831" s="273"/>
      <c r="AP831" s="273"/>
      <c r="AQ831" s="273"/>
      <c r="AR831" s="273"/>
      <c r="AS831" s="273"/>
      <c r="AT831" s="273"/>
      <c r="AU831" s="273"/>
      <c r="AV831" s="273"/>
      <c r="AW831" s="273"/>
      <c r="AX831" s="273"/>
      <c r="AY831" s="273"/>
      <c r="AZ831" s="273"/>
      <c r="BA831" s="273"/>
    </row>
    <row r="832">
      <c r="A832" s="273"/>
      <c r="B832" s="273"/>
      <c r="C832" s="745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  <c r="AJ832" s="273"/>
      <c r="AK832" s="273"/>
      <c r="AL832" s="273"/>
      <c r="AM832" s="273"/>
      <c r="AN832" s="273"/>
      <c r="AO832" s="273"/>
      <c r="AP832" s="273"/>
      <c r="AQ832" s="273"/>
      <c r="AR832" s="273"/>
      <c r="AS832" s="273"/>
      <c r="AT832" s="273"/>
      <c r="AU832" s="273"/>
      <c r="AV832" s="273"/>
      <c r="AW832" s="273"/>
      <c r="AX832" s="273"/>
      <c r="AY832" s="273"/>
      <c r="AZ832" s="273"/>
      <c r="BA832" s="273"/>
    </row>
    <row r="833">
      <c r="A833" s="273"/>
      <c r="B833" s="273"/>
      <c r="C833" s="745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  <c r="AJ833" s="273"/>
      <c r="AK833" s="273"/>
      <c r="AL833" s="273"/>
      <c r="AM833" s="273"/>
      <c r="AN833" s="273"/>
      <c r="AO833" s="273"/>
      <c r="AP833" s="273"/>
      <c r="AQ833" s="273"/>
      <c r="AR833" s="273"/>
      <c r="AS833" s="273"/>
      <c r="AT833" s="273"/>
      <c r="AU833" s="273"/>
      <c r="AV833" s="273"/>
      <c r="AW833" s="273"/>
      <c r="AX833" s="273"/>
      <c r="AY833" s="273"/>
      <c r="AZ833" s="273"/>
      <c r="BA833" s="273"/>
    </row>
    <row r="834">
      <c r="A834" s="273"/>
      <c r="B834" s="273"/>
      <c r="C834" s="745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  <c r="AJ834" s="273"/>
      <c r="AK834" s="273"/>
      <c r="AL834" s="273"/>
      <c r="AM834" s="273"/>
      <c r="AN834" s="273"/>
      <c r="AO834" s="273"/>
      <c r="AP834" s="273"/>
      <c r="AQ834" s="273"/>
      <c r="AR834" s="273"/>
      <c r="AS834" s="273"/>
      <c r="AT834" s="273"/>
      <c r="AU834" s="273"/>
      <c r="AV834" s="273"/>
      <c r="AW834" s="273"/>
      <c r="AX834" s="273"/>
      <c r="AY834" s="273"/>
      <c r="AZ834" s="273"/>
      <c r="BA834" s="273"/>
    </row>
    <row r="835">
      <c r="A835" s="273"/>
      <c r="B835" s="273"/>
      <c r="C835" s="745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  <c r="AJ835" s="273"/>
      <c r="AK835" s="273"/>
      <c r="AL835" s="273"/>
      <c r="AM835" s="273"/>
      <c r="AN835" s="273"/>
      <c r="AO835" s="273"/>
      <c r="AP835" s="273"/>
      <c r="AQ835" s="273"/>
      <c r="AR835" s="273"/>
      <c r="AS835" s="273"/>
      <c r="AT835" s="273"/>
      <c r="AU835" s="273"/>
      <c r="AV835" s="273"/>
      <c r="AW835" s="273"/>
      <c r="AX835" s="273"/>
      <c r="AY835" s="273"/>
      <c r="AZ835" s="273"/>
      <c r="BA835" s="273"/>
    </row>
    <row r="836">
      <c r="A836" s="273"/>
      <c r="B836" s="273"/>
      <c r="C836" s="745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  <c r="AJ836" s="273"/>
      <c r="AK836" s="273"/>
      <c r="AL836" s="273"/>
      <c r="AM836" s="273"/>
      <c r="AN836" s="273"/>
      <c r="AO836" s="273"/>
      <c r="AP836" s="273"/>
      <c r="AQ836" s="273"/>
      <c r="AR836" s="273"/>
      <c r="AS836" s="273"/>
      <c r="AT836" s="273"/>
      <c r="AU836" s="273"/>
      <c r="AV836" s="273"/>
      <c r="AW836" s="273"/>
      <c r="AX836" s="273"/>
      <c r="AY836" s="273"/>
      <c r="AZ836" s="273"/>
      <c r="BA836" s="273"/>
    </row>
    <row r="837">
      <c r="A837" s="273"/>
      <c r="B837" s="273"/>
      <c r="C837" s="745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  <c r="AJ837" s="273"/>
      <c r="AK837" s="273"/>
      <c r="AL837" s="273"/>
      <c r="AM837" s="273"/>
      <c r="AN837" s="273"/>
      <c r="AO837" s="273"/>
      <c r="AP837" s="273"/>
      <c r="AQ837" s="273"/>
      <c r="AR837" s="273"/>
      <c r="AS837" s="273"/>
      <c r="AT837" s="273"/>
      <c r="AU837" s="273"/>
      <c r="AV837" s="273"/>
      <c r="AW837" s="273"/>
      <c r="AX837" s="273"/>
      <c r="AY837" s="273"/>
      <c r="AZ837" s="273"/>
      <c r="BA837" s="273"/>
    </row>
    <row r="838">
      <c r="A838" s="273"/>
      <c r="B838" s="273"/>
      <c r="C838" s="745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  <c r="AJ838" s="273"/>
      <c r="AK838" s="273"/>
      <c r="AL838" s="273"/>
      <c r="AM838" s="273"/>
      <c r="AN838" s="273"/>
      <c r="AO838" s="273"/>
      <c r="AP838" s="273"/>
      <c r="AQ838" s="273"/>
      <c r="AR838" s="273"/>
      <c r="AS838" s="273"/>
      <c r="AT838" s="273"/>
      <c r="AU838" s="273"/>
      <c r="AV838" s="273"/>
      <c r="AW838" s="273"/>
      <c r="AX838" s="273"/>
      <c r="AY838" s="273"/>
      <c r="AZ838" s="273"/>
      <c r="BA838" s="273"/>
    </row>
    <row r="839">
      <c r="A839" s="273"/>
      <c r="B839" s="273"/>
      <c r="C839" s="745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  <c r="AJ839" s="273"/>
      <c r="AK839" s="273"/>
      <c r="AL839" s="273"/>
      <c r="AM839" s="273"/>
      <c r="AN839" s="273"/>
      <c r="AO839" s="273"/>
      <c r="AP839" s="273"/>
      <c r="AQ839" s="273"/>
      <c r="AR839" s="273"/>
      <c r="AS839" s="273"/>
      <c r="AT839" s="273"/>
      <c r="AU839" s="273"/>
      <c r="AV839" s="273"/>
      <c r="AW839" s="273"/>
      <c r="AX839" s="273"/>
      <c r="AY839" s="273"/>
      <c r="AZ839" s="273"/>
      <c r="BA839" s="273"/>
    </row>
    <row r="840">
      <c r="A840" s="273"/>
      <c r="B840" s="273"/>
      <c r="C840" s="745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  <c r="AJ840" s="273"/>
      <c r="AK840" s="273"/>
      <c r="AL840" s="273"/>
      <c r="AM840" s="273"/>
      <c r="AN840" s="273"/>
      <c r="AO840" s="273"/>
      <c r="AP840" s="273"/>
      <c r="AQ840" s="273"/>
      <c r="AR840" s="273"/>
      <c r="AS840" s="273"/>
      <c r="AT840" s="273"/>
      <c r="AU840" s="273"/>
      <c r="AV840" s="273"/>
      <c r="AW840" s="273"/>
      <c r="AX840" s="273"/>
      <c r="AY840" s="273"/>
      <c r="AZ840" s="273"/>
      <c r="BA840" s="273"/>
    </row>
    <row r="841">
      <c r="A841" s="273"/>
      <c r="B841" s="273"/>
      <c r="C841" s="745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  <c r="AJ841" s="273"/>
      <c r="AK841" s="273"/>
      <c r="AL841" s="273"/>
      <c r="AM841" s="273"/>
      <c r="AN841" s="273"/>
      <c r="AO841" s="273"/>
      <c r="AP841" s="273"/>
      <c r="AQ841" s="273"/>
      <c r="AR841" s="273"/>
      <c r="AS841" s="273"/>
      <c r="AT841" s="273"/>
      <c r="AU841" s="273"/>
      <c r="AV841" s="273"/>
      <c r="AW841" s="273"/>
      <c r="AX841" s="273"/>
      <c r="AY841" s="273"/>
      <c r="AZ841" s="273"/>
      <c r="BA841" s="273"/>
    </row>
    <row r="842">
      <c r="A842" s="273"/>
      <c r="B842" s="273"/>
      <c r="C842" s="745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  <c r="AJ842" s="273"/>
      <c r="AK842" s="273"/>
      <c r="AL842" s="273"/>
      <c r="AM842" s="273"/>
      <c r="AN842" s="273"/>
      <c r="AO842" s="273"/>
      <c r="AP842" s="273"/>
      <c r="AQ842" s="273"/>
      <c r="AR842" s="273"/>
      <c r="AS842" s="273"/>
      <c r="AT842" s="273"/>
      <c r="AU842" s="273"/>
      <c r="AV842" s="273"/>
      <c r="AW842" s="273"/>
      <c r="AX842" s="273"/>
      <c r="AY842" s="273"/>
      <c r="AZ842" s="273"/>
      <c r="BA842" s="273"/>
    </row>
    <row r="843">
      <c r="A843" s="273"/>
      <c r="B843" s="273"/>
      <c r="C843" s="745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  <c r="AJ843" s="273"/>
      <c r="AK843" s="273"/>
      <c r="AL843" s="273"/>
      <c r="AM843" s="273"/>
      <c r="AN843" s="273"/>
      <c r="AO843" s="273"/>
      <c r="AP843" s="273"/>
      <c r="AQ843" s="273"/>
      <c r="AR843" s="273"/>
      <c r="AS843" s="273"/>
      <c r="AT843" s="273"/>
      <c r="AU843" s="273"/>
      <c r="AV843" s="273"/>
      <c r="AW843" s="273"/>
      <c r="AX843" s="273"/>
      <c r="AY843" s="273"/>
      <c r="AZ843" s="273"/>
      <c r="BA843" s="273"/>
    </row>
    <row r="844">
      <c r="A844" s="273"/>
      <c r="B844" s="273"/>
      <c r="C844" s="745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  <c r="AJ844" s="273"/>
      <c r="AK844" s="273"/>
      <c r="AL844" s="273"/>
      <c r="AM844" s="273"/>
      <c r="AN844" s="273"/>
      <c r="AO844" s="273"/>
      <c r="AP844" s="273"/>
      <c r="AQ844" s="273"/>
      <c r="AR844" s="273"/>
      <c r="AS844" s="273"/>
      <c r="AT844" s="273"/>
      <c r="AU844" s="273"/>
      <c r="AV844" s="273"/>
      <c r="AW844" s="273"/>
      <c r="AX844" s="273"/>
      <c r="AY844" s="273"/>
      <c r="AZ844" s="273"/>
      <c r="BA844" s="273"/>
    </row>
    <row r="845">
      <c r="A845" s="273"/>
      <c r="B845" s="273"/>
      <c r="C845" s="745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  <c r="AJ845" s="273"/>
      <c r="AK845" s="273"/>
      <c r="AL845" s="273"/>
      <c r="AM845" s="273"/>
      <c r="AN845" s="273"/>
      <c r="AO845" s="273"/>
      <c r="AP845" s="273"/>
      <c r="AQ845" s="273"/>
      <c r="AR845" s="273"/>
      <c r="AS845" s="273"/>
      <c r="AT845" s="273"/>
      <c r="AU845" s="273"/>
      <c r="AV845" s="273"/>
      <c r="AW845" s="273"/>
      <c r="AX845" s="273"/>
      <c r="AY845" s="273"/>
      <c r="AZ845" s="273"/>
      <c r="BA845" s="273"/>
    </row>
    <row r="846">
      <c r="A846" s="273"/>
      <c r="B846" s="273"/>
      <c r="C846" s="745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  <c r="AJ846" s="273"/>
      <c r="AK846" s="273"/>
      <c r="AL846" s="273"/>
      <c r="AM846" s="273"/>
      <c r="AN846" s="273"/>
      <c r="AO846" s="273"/>
      <c r="AP846" s="273"/>
      <c r="AQ846" s="273"/>
      <c r="AR846" s="273"/>
      <c r="AS846" s="273"/>
      <c r="AT846" s="273"/>
      <c r="AU846" s="273"/>
      <c r="AV846" s="273"/>
      <c r="AW846" s="273"/>
      <c r="AX846" s="273"/>
      <c r="AY846" s="273"/>
      <c r="AZ846" s="273"/>
      <c r="BA846" s="273"/>
    </row>
    <row r="847">
      <c r="A847" s="273"/>
      <c r="B847" s="273"/>
      <c r="C847" s="745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  <c r="AJ847" s="273"/>
      <c r="AK847" s="273"/>
      <c r="AL847" s="273"/>
      <c r="AM847" s="273"/>
      <c r="AN847" s="273"/>
      <c r="AO847" s="273"/>
      <c r="AP847" s="273"/>
      <c r="AQ847" s="273"/>
      <c r="AR847" s="273"/>
      <c r="AS847" s="273"/>
      <c r="AT847" s="273"/>
      <c r="AU847" s="273"/>
      <c r="AV847" s="273"/>
      <c r="AW847" s="273"/>
      <c r="AX847" s="273"/>
      <c r="AY847" s="273"/>
      <c r="AZ847" s="273"/>
      <c r="BA847" s="273"/>
    </row>
    <row r="848">
      <c r="A848" s="273"/>
      <c r="B848" s="273"/>
      <c r="C848" s="745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  <c r="AJ848" s="273"/>
      <c r="AK848" s="273"/>
      <c r="AL848" s="273"/>
      <c r="AM848" s="273"/>
      <c r="AN848" s="273"/>
      <c r="AO848" s="273"/>
      <c r="AP848" s="273"/>
      <c r="AQ848" s="273"/>
      <c r="AR848" s="273"/>
      <c r="AS848" s="273"/>
      <c r="AT848" s="273"/>
      <c r="AU848" s="273"/>
      <c r="AV848" s="273"/>
      <c r="AW848" s="273"/>
      <c r="AX848" s="273"/>
      <c r="AY848" s="273"/>
      <c r="AZ848" s="273"/>
      <c r="BA848" s="273"/>
    </row>
    <row r="849">
      <c r="A849" s="273"/>
      <c r="B849" s="273"/>
      <c r="C849" s="745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  <c r="AJ849" s="273"/>
      <c r="AK849" s="273"/>
      <c r="AL849" s="273"/>
      <c r="AM849" s="273"/>
      <c r="AN849" s="273"/>
      <c r="AO849" s="273"/>
      <c r="AP849" s="273"/>
      <c r="AQ849" s="273"/>
      <c r="AR849" s="273"/>
      <c r="AS849" s="273"/>
      <c r="AT849" s="273"/>
      <c r="AU849" s="273"/>
      <c r="AV849" s="273"/>
      <c r="AW849" s="273"/>
      <c r="AX849" s="273"/>
      <c r="AY849" s="273"/>
      <c r="AZ849" s="273"/>
      <c r="BA849" s="273"/>
    </row>
    <row r="850">
      <c r="A850" s="273"/>
      <c r="B850" s="273"/>
      <c r="C850" s="745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  <c r="AJ850" s="273"/>
      <c r="AK850" s="273"/>
      <c r="AL850" s="273"/>
      <c r="AM850" s="273"/>
      <c r="AN850" s="273"/>
      <c r="AO850" s="273"/>
      <c r="AP850" s="273"/>
      <c r="AQ850" s="273"/>
      <c r="AR850" s="273"/>
      <c r="AS850" s="273"/>
      <c r="AT850" s="273"/>
      <c r="AU850" s="273"/>
      <c r="AV850" s="273"/>
      <c r="AW850" s="273"/>
      <c r="AX850" s="273"/>
      <c r="AY850" s="273"/>
      <c r="AZ850" s="273"/>
      <c r="BA850" s="273"/>
    </row>
    <row r="851">
      <c r="A851" s="273"/>
      <c r="B851" s="273"/>
      <c r="C851" s="745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  <c r="AJ851" s="273"/>
      <c r="AK851" s="273"/>
      <c r="AL851" s="273"/>
      <c r="AM851" s="273"/>
      <c r="AN851" s="273"/>
      <c r="AO851" s="273"/>
      <c r="AP851" s="273"/>
      <c r="AQ851" s="273"/>
      <c r="AR851" s="273"/>
      <c r="AS851" s="273"/>
      <c r="AT851" s="273"/>
      <c r="AU851" s="273"/>
      <c r="AV851" s="273"/>
      <c r="AW851" s="273"/>
      <c r="AX851" s="273"/>
      <c r="AY851" s="273"/>
      <c r="AZ851" s="273"/>
      <c r="BA851" s="273"/>
    </row>
    <row r="852">
      <c r="A852" s="273"/>
      <c r="B852" s="273"/>
      <c r="C852" s="745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  <c r="AJ852" s="273"/>
      <c r="AK852" s="273"/>
      <c r="AL852" s="273"/>
      <c r="AM852" s="273"/>
      <c r="AN852" s="273"/>
      <c r="AO852" s="273"/>
      <c r="AP852" s="273"/>
      <c r="AQ852" s="273"/>
      <c r="AR852" s="273"/>
      <c r="AS852" s="273"/>
      <c r="AT852" s="273"/>
      <c r="AU852" s="273"/>
      <c r="AV852" s="273"/>
      <c r="AW852" s="273"/>
      <c r="AX852" s="273"/>
      <c r="AY852" s="273"/>
      <c r="AZ852" s="273"/>
      <c r="BA852" s="273"/>
    </row>
    <row r="853">
      <c r="A853" s="273"/>
      <c r="B853" s="273"/>
      <c r="C853" s="745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  <c r="AJ853" s="273"/>
      <c r="AK853" s="273"/>
      <c r="AL853" s="273"/>
      <c r="AM853" s="273"/>
      <c r="AN853" s="273"/>
      <c r="AO853" s="273"/>
      <c r="AP853" s="273"/>
      <c r="AQ853" s="273"/>
      <c r="AR853" s="273"/>
      <c r="AS853" s="273"/>
      <c r="AT853" s="273"/>
      <c r="AU853" s="273"/>
      <c r="AV853" s="273"/>
      <c r="AW853" s="273"/>
      <c r="AX853" s="273"/>
      <c r="AY853" s="273"/>
      <c r="AZ853" s="273"/>
      <c r="BA853" s="273"/>
    </row>
    <row r="854">
      <c r="A854" s="273"/>
      <c r="B854" s="273"/>
      <c r="C854" s="745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  <c r="AJ854" s="273"/>
      <c r="AK854" s="273"/>
      <c r="AL854" s="273"/>
      <c r="AM854" s="273"/>
      <c r="AN854" s="273"/>
      <c r="AO854" s="273"/>
      <c r="AP854" s="273"/>
      <c r="AQ854" s="273"/>
      <c r="AR854" s="273"/>
      <c r="AS854" s="273"/>
      <c r="AT854" s="273"/>
      <c r="AU854" s="273"/>
      <c r="AV854" s="273"/>
      <c r="AW854" s="273"/>
      <c r="AX854" s="273"/>
      <c r="AY854" s="273"/>
      <c r="AZ854" s="273"/>
      <c r="BA854" s="273"/>
    </row>
    <row r="855">
      <c r="A855" s="273"/>
      <c r="B855" s="273"/>
      <c r="C855" s="745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  <c r="AJ855" s="273"/>
      <c r="AK855" s="273"/>
      <c r="AL855" s="273"/>
      <c r="AM855" s="273"/>
      <c r="AN855" s="273"/>
      <c r="AO855" s="273"/>
      <c r="AP855" s="273"/>
      <c r="AQ855" s="273"/>
      <c r="AR855" s="273"/>
      <c r="AS855" s="273"/>
      <c r="AT855" s="273"/>
      <c r="AU855" s="273"/>
      <c r="AV855" s="273"/>
      <c r="AW855" s="273"/>
      <c r="AX855" s="273"/>
      <c r="AY855" s="273"/>
      <c r="AZ855" s="273"/>
      <c r="BA855" s="273"/>
    </row>
    <row r="856">
      <c r="A856" s="273"/>
      <c r="B856" s="273"/>
      <c r="C856" s="745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  <c r="AJ856" s="273"/>
      <c r="AK856" s="273"/>
      <c r="AL856" s="273"/>
      <c r="AM856" s="273"/>
      <c r="AN856" s="273"/>
      <c r="AO856" s="273"/>
      <c r="AP856" s="273"/>
      <c r="AQ856" s="273"/>
      <c r="AR856" s="273"/>
      <c r="AS856" s="273"/>
      <c r="AT856" s="273"/>
      <c r="AU856" s="273"/>
      <c r="AV856" s="273"/>
      <c r="AW856" s="273"/>
      <c r="AX856" s="273"/>
      <c r="AY856" s="273"/>
      <c r="AZ856" s="273"/>
      <c r="BA856" s="273"/>
    </row>
    <row r="857">
      <c r="A857" s="273"/>
      <c r="B857" s="273"/>
      <c r="C857" s="745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  <c r="AJ857" s="273"/>
      <c r="AK857" s="273"/>
      <c r="AL857" s="273"/>
      <c r="AM857" s="273"/>
      <c r="AN857" s="273"/>
      <c r="AO857" s="273"/>
      <c r="AP857" s="273"/>
      <c r="AQ857" s="273"/>
      <c r="AR857" s="273"/>
      <c r="AS857" s="273"/>
      <c r="AT857" s="273"/>
      <c r="AU857" s="273"/>
      <c r="AV857" s="273"/>
      <c r="AW857" s="273"/>
      <c r="AX857" s="273"/>
      <c r="AY857" s="273"/>
      <c r="AZ857" s="273"/>
      <c r="BA857" s="273"/>
    </row>
    <row r="858">
      <c r="A858" s="273"/>
      <c r="B858" s="273"/>
      <c r="C858" s="745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  <c r="AJ858" s="273"/>
      <c r="AK858" s="273"/>
      <c r="AL858" s="273"/>
      <c r="AM858" s="273"/>
      <c r="AN858" s="273"/>
      <c r="AO858" s="273"/>
      <c r="AP858" s="273"/>
      <c r="AQ858" s="273"/>
      <c r="AR858" s="273"/>
      <c r="AS858" s="273"/>
      <c r="AT858" s="273"/>
      <c r="AU858" s="273"/>
      <c r="AV858" s="273"/>
      <c r="AW858" s="273"/>
      <c r="AX858" s="273"/>
      <c r="AY858" s="273"/>
      <c r="AZ858" s="273"/>
      <c r="BA858" s="273"/>
    </row>
    <row r="859">
      <c r="A859" s="273"/>
      <c r="B859" s="273"/>
      <c r="C859" s="745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  <c r="AJ859" s="273"/>
      <c r="AK859" s="273"/>
      <c r="AL859" s="273"/>
      <c r="AM859" s="273"/>
      <c r="AN859" s="273"/>
      <c r="AO859" s="273"/>
      <c r="AP859" s="273"/>
      <c r="AQ859" s="273"/>
      <c r="AR859" s="273"/>
      <c r="AS859" s="273"/>
      <c r="AT859" s="273"/>
      <c r="AU859" s="273"/>
      <c r="AV859" s="273"/>
      <c r="AW859" s="273"/>
      <c r="AX859" s="273"/>
      <c r="AY859" s="273"/>
      <c r="AZ859" s="273"/>
      <c r="BA859" s="273"/>
    </row>
    <row r="860">
      <c r="A860" s="273"/>
      <c r="B860" s="273"/>
      <c r="C860" s="745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  <c r="AJ860" s="273"/>
      <c r="AK860" s="273"/>
      <c r="AL860" s="273"/>
      <c r="AM860" s="273"/>
      <c r="AN860" s="273"/>
      <c r="AO860" s="273"/>
      <c r="AP860" s="273"/>
      <c r="AQ860" s="273"/>
      <c r="AR860" s="273"/>
      <c r="AS860" s="273"/>
      <c r="AT860" s="273"/>
      <c r="AU860" s="273"/>
      <c r="AV860" s="273"/>
      <c r="AW860" s="273"/>
      <c r="AX860" s="273"/>
      <c r="AY860" s="273"/>
      <c r="AZ860" s="273"/>
      <c r="BA860" s="273"/>
    </row>
    <row r="861">
      <c r="A861" s="273"/>
      <c r="B861" s="273"/>
      <c r="C861" s="745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  <c r="AJ861" s="273"/>
      <c r="AK861" s="273"/>
      <c r="AL861" s="273"/>
      <c r="AM861" s="273"/>
      <c r="AN861" s="273"/>
      <c r="AO861" s="273"/>
      <c r="AP861" s="273"/>
      <c r="AQ861" s="273"/>
      <c r="AR861" s="273"/>
      <c r="AS861" s="273"/>
      <c r="AT861" s="273"/>
      <c r="AU861" s="273"/>
      <c r="AV861" s="273"/>
      <c r="AW861" s="273"/>
      <c r="AX861" s="273"/>
      <c r="AY861" s="273"/>
      <c r="AZ861" s="273"/>
      <c r="BA861" s="273"/>
    </row>
    <row r="862">
      <c r="A862" s="273"/>
      <c r="B862" s="273"/>
      <c r="C862" s="745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  <c r="AJ862" s="273"/>
      <c r="AK862" s="273"/>
      <c r="AL862" s="273"/>
      <c r="AM862" s="273"/>
      <c r="AN862" s="273"/>
      <c r="AO862" s="273"/>
      <c r="AP862" s="273"/>
      <c r="AQ862" s="273"/>
      <c r="AR862" s="273"/>
      <c r="AS862" s="273"/>
      <c r="AT862" s="273"/>
      <c r="AU862" s="273"/>
      <c r="AV862" s="273"/>
      <c r="AW862" s="273"/>
      <c r="AX862" s="273"/>
      <c r="AY862" s="273"/>
      <c r="AZ862" s="273"/>
      <c r="BA862" s="273"/>
    </row>
    <row r="863">
      <c r="A863" s="273"/>
      <c r="B863" s="273"/>
      <c r="C863" s="745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  <c r="AJ863" s="273"/>
      <c r="AK863" s="273"/>
      <c r="AL863" s="273"/>
      <c r="AM863" s="273"/>
      <c r="AN863" s="273"/>
      <c r="AO863" s="273"/>
      <c r="AP863" s="273"/>
      <c r="AQ863" s="273"/>
      <c r="AR863" s="273"/>
      <c r="AS863" s="273"/>
      <c r="AT863" s="273"/>
      <c r="AU863" s="273"/>
      <c r="AV863" s="273"/>
      <c r="AW863" s="273"/>
      <c r="AX863" s="273"/>
      <c r="AY863" s="273"/>
      <c r="AZ863" s="273"/>
      <c r="BA863" s="273"/>
    </row>
    <row r="864">
      <c r="A864" s="273"/>
      <c r="B864" s="273"/>
      <c r="C864" s="745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  <c r="AJ864" s="273"/>
      <c r="AK864" s="273"/>
      <c r="AL864" s="273"/>
      <c r="AM864" s="273"/>
      <c r="AN864" s="273"/>
      <c r="AO864" s="273"/>
      <c r="AP864" s="273"/>
      <c r="AQ864" s="273"/>
      <c r="AR864" s="273"/>
      <c r="AS864" s="273"/>
      <c r="AT864" s="273"/>
      <c r="AU864" s="273"/>
      <c r="AV864" s="273"/>
      <c r="AW864" s="273"/>
      <c r="AX864" s="273"/>
      <c r="AY864" s="273"/>
      <c r="AZ864" s="273"/>
      <c r="BA864" s="273"/>
    </row>
    <row r="865">
      <c r="A865" s="273"/>
      <c r="B865" s="273"/>
      <c r="C865" s="745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  <c r="AJ865" s="273"/>
      <c r="AK865" s="273"/>
      <c r="AL865" s="273"/>
      <c r="AM865" s="273"/>
      <c r="AN865" s="273"/>
      <c r="AO865" s="273"/>
      <c r="AP865" s="273"/>
      <c r="AQ865" s="273"/>
      <c r="AR865" s="273"/>
      <c r="AS865" s="273"/>
      <c r="AT865" s="273"/>
      <c r="AU865" s="273"/>
      <c r="AV865" s="273"/>
      <c r="AW865" s="273"/>
      <c r="AX865" s="273"/>
      <c r="AY865" s="273"/>
      <c r="AZ865" s="273"/>
      <c r="BA865" s="273"/>
    </row>
    <row r="866">
      <c r="A866" s="273"/>
      <c r="B866" s="273"/>
      <c r="C866" s="745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  <c r="AJ866" s="273"/>
      <c r="AK866" s="273"/>
      <c r="AL866" s="273"/>
      <c r="AM866" s="273"/>
      <c r="AN866" s="273"/>
      <c r="AO866" s="273"/>
      <c r="AP866" s="273"/>
      <c r="AQ866" s="273"/>
      <c r="AR866" s="273"/>
      <c r="AS866" s="273"/>
      <c r="AT866" s="273"/>
      <c r="AU866" s="273"/>
      <c r="AV866" s="273"/>
      <c r="AW866" s="273"/>
      <c r="AX866" s="273"/>
      <c r="AY866" s="273"/>
      <c r="AZ866" s="273"/>
      <c r="BA866" s="273"/>
    </row>
    <row r="867">
      <c r="A867" s="273"/>
      <c r="B867" s="273"/>
      <c r="C867" s="745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  <c r="AJ867" s="273"/>
      <c r="AK867" s="273"/>
      <c r="AL867" s="273"/>
      <c r="AM867" s="273"/>
      <c r="AN867" s="273"/>
      <c r="AO867" s="273"/>
      <c r="AP867" s="273"/>
      <c r="AQ867" s="273"/>
      <c r="AR867" s="273"/>
      <c r="AS867" s="273"/>
      <c r="AT867" s="273"/>
      <c r="AU867" s="273"/>
      <c r="AV867" s="273"/>
      <c r="AW867" s="273"/>
      <c r="AX867" s="273"/>
      <c r="AY867" s="273"/>
      <c r="AZ867" s="273"/>
      <c r="BA867" s="273"/>
    </row>
    <row r="868">
      <c r="A868" s="273"/>
      <c r="B868" s="273"/>
      <c r="C868" s="745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  <c r="AJ868" s="273"/>
      <c r="AK868" s="273"/>
      <c r="AL868" s="273"/>
      <c r="AM868" s="273"/>
      <c r="AN868" s="273"/>
      <c r="AO868" s="273"/>
      <c r="AP868" s="273"/>
      <c r="AQ868" s="273"/>
      <c r="AR868" s="273"/>
      <c r="AS868" s="273"/>
      <c r="AT868" s="273"/>
      <c r="AU868" s="273"/>
      <c r="AV868" s="273"/>
      <c r="AW868" s="273"/>
      <c r="AX868" s="273"/>
      <c r="AY868" s="273"/>
      <c r="AZ868" s="273"/>
      <c r="BA868" s="273"/>
    </row>
    <row r="869">
      <c r="A869" s="273"/>
      <c r="B869" s="273"/>
      <c r="C869" s="745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  <c r="AJ869" s="273"/>
      <c r="AK869" s="273"/>
      <c r="AL869" s="273"/>
      <c r="AM869" s="273"/>
      <c r="AN869" s="273"/>
      <c r="AO869" s="273"/>
      <c r="AP869" s="273"/>
      <c r="AQ869" s="273"/>
      <c r="AR869" s="273"/>
      <c r="AS869" s="273"/>
      <c r="AT869" s="273"/>
      <c r="AU869" s="273"/>
      <c r="AV869" s="273"/>
      <c r="AW869" s="273"/>
      <c r="AX869" s="273"/>
      <c r="AY869" s="273"/>
      <c r="AZ869" s="273"/>
      <c r="BA869" s="273"/>
    </row>
    <row r="870">
      <c r="A870" s="273"/>
      <c r="B870" s="273"/>
      <c r="C870" s="745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  <c r="AJ870" s="273"/>
      <c r="AK870" s="273"/>
      <c r="AL870" s="273"/>
      <c r="AM870" s="273"/>
      <c r="AN870" s="273"/>
      <c r="AO870" s="273"/>
      <c r="AP870" s="273"/>
      <c r="AQ870" s="273"/>
      <c r="AR870" s="273"/>
      <c r="AS870" s="273"/>
      <c r="AT870" s="273"/>
      <c r="AU870" s="273"/>
      <c r="AV870" s="273"/>
      <c r="AW870" s="273"/>
      <c r="AX870" s="273"/>
      <c r="AY870" s="273"/>
      <c r="AZ870" s="273"/>
      <c r="BA870" s="273"/>
    </row>
    <row r="871">
      <c r="A871" s="273"/>
      <c r="B871" s="273"/>
      <c r="C871" s="745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  <c r="AJ871" s="273"/>
      <c r="AK871" s="273"/>
      <c r="AL871" s="273"/>
      <c r="AM871" s="273"/>
      <c r="AN871" s="273"/>
      <c r="AO871" s="273"/>
      <c r="AP871" s="273"/>
      <c r="AQ871" s="273"/>
      <c r="AR871" s="273"/>
      <c r="AS871" s="273"/>
      <c r="AT871" s="273"/>
      <c r="AU871" s="273"/>
      <c r="AV871" s="273"/>
      <c r="AW871" s="273"/>
      <c r="AX871" s="273"/>
      <c r="AY871" s="273"/>
      <c r="AZ871" s="273"/>
      <c r="BA871" s="273"/>
    </row>
    <row r="872">
      <c r="A872" s="273"/>
      <c r="B872" s="273"/>
      <c r="C872" s="745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  <c r="AJ872" s="273"/>
      <c r="AK872" s="273"/>
      <c r="AL872" s="273"/>
      <c r="AM872" s="273"/>
      <c r="AN872" s="273"/>
      <c r="AO872" s="273"/>
      <c r="AP872" s="273"/>
      <c r="AQ872" s="273"/>
      <c r="AR872" s="273"/>
      <c r="AS872" s="273"/>
      <c r="AT872" s="273"/>
      <c r="AU872" s="273"/>
      <c r="AV872" s="273"/>
      <c r="AW872" s="273"/>
      <c r="AX872" s="273"/>
      <c r="AY872" s="273"/>
      <c r="AZ872" s="273"/>
      <c r="BA872" s="273"/>
    </row>
    <row r="873">
      <c r="A873" s="273"/>
      <c r="B873" s="273"/>
      <c r="C873" s="745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  <c r="AJ873" s="273"/>
      <c r="AK873" s="273"/>
      <c r="AL873" s="273"/>
      <c r="AM873" s="273"/>
      <c r="AN873" s="273"/>
      <c r="AO873" s="273"/>
      <c r="AP873" s="273"/>
      <c r="AQ873" s="273"/>
      <c r="AR873" s="273"/>
      <c r="AS873" s="273"/>
      <c r="AT873" s="273"/>
      <c r="AU873" s="273"/>
      <c r="AV873" s="273"/>
      <c r="AW873" s="273"/>
      <c r="AX873" s="273"/>
      <c r="AY873" s="273"/>
      <c r="AZ873" s="273"/>
      <c r="BA873" s="273"/>
    </row>
    <row r="874">
      <c r="A874" s="273"/>
      <c r="B874" s="273"/>
      <c r="C874" s="745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  <c r="AJ874" s="273"/>
      <c r="AK874" s="273"/>
      <c r="AL874" s="273"/>
      <c r="AM874" s="273"/>
      <c r="AN874" s="273"/>
      <c r="AO874" s="273"/>
      <c r="AP874" s="273"/>
      <c r="AQ874" s="273"/>
      <c r="AR874" s="273"/>
      <c r="AS874" s="273"/>
      <c r="AT874" s="273"/>
      <c r="AU874" s="273"/>
      <c r="AV874" s="273"/>
      <c r="AW874" s="273"/>
      <c r="AX874" s="273"/>
      <c r="AY874" s="273"/>
      <c r="AZ874" s="273"/>
      <c r="BA874" s="273"/>
    </row>
    <row r="875">
      <c r="A875" s="273"/>
      <c r="B875" s="273"/>
      <c r="C875" s="745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  <c r="AJ875" s="273"/>
      <c r="AK875" s="273"/>
      <c r="AL875" s="273"/>
      <c r="AM875" s="273"/>
      <c r="AN875" s="273"/>
      <c r="AO875" s="273"/>
      <c r="AP875" s="273"/>
      <c r="AQ875" s="273"/>
      <c r="AR875" s="273"/>
      <c r="AS875" s="273"/>
      <c r="AT875" s="273"/>
      <c r="AU875" s="273"/>
      <c r="AV875" s="273"/>
      <c r="AW875" s="273"/>
      <c r="AX875" s="273"/>
      <c r="AY875" s="273"/>
      <c r="AZ875" s="273"/>
      <c r="BA875" s="273"/>
    </row>
    <row r="876">
      <c r="A876" s="273"/>
      <c r="B876" s="273"/>
      <c r="C876" s="745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  <c r="AJ876" s="273"/>
      <c r="AK876" s="273"/>
      <c r="AL876" s="273"/>
      <c r="AM876" s="273"/>
      <c r="AN876" s="273"/>
      <c r="AO876" s="273"/>
      <c r="AP876" s="273"/>
      <c r="AQ876" s="273"/>
      <c r="AR876" s="273"/>
      <c r="AS876" s="273"/>
      <c r="AT876" s="273"/>
      <c r="AU876" s="273"/>
      <c r="AV876" s="273"/>
      <c r="AW876" s="273"/>
      <c r="AX876" s="273"/>
      <c r="AY876" s="273"/>
      <c r="AZ876" s="273"/>
      <c r="BA876" s="273"/>
    </row>
    <row r="877">
      <c r="A877" s="273"/>
      <c r="B877" s="273"/>
      <c r="C877" s="745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  <c r="AJ877" s="273"/>
      <c r="AK877" s="273"/>
      <c r="AL877" s="273"/>
      <c r="AM877" s="273"/>
      <c r="AN877" s="273"/>
      <c r="AO877" s="273"/>
      <c r="AP877" s="273"/>
      <c r="AQ877" s="273"/>
      <c r="AR877" s="273"/>
      <c r="AS877" s="273"/>
      <c r="AT877" s="273"/>
      <c r="AU877" s="273"/>
      <c r="AV877" s="273"/>
      <c r="AW877" s="273"/>
      <c r="AX877" s="273"/>
      <c r="AY877" s="273"/>
      <c r="AZ877" s="273"/>
      <c r="BA877" s="273"/>
    </row>
    <row r="878">
      <c r="A878" s="273"/>
      <c r="B878" s="273"/>
      <c r="C878" s="745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  <c r="AJ878" s="273"/>
      <c r="AK878" s="273"/>
      <c r="AL878" s="273"/>
      <c r="AM878" s="273"/>
      <c r="AN878" s="273"/>
      <c r="AO878" s="273"/>
      <c r="AP878" s="273"/>
      <c r="AQ878" s="273"/>
      <c r="AR878" s="273"/>
      <c r="AS878" s="273"/>
      <c r="AT878" s="273"/>
      <c r="AU878" s="273"/>
      <c r="AV878" s="273"/>
      <c r="AW878" s="273"/>
      <c r="AX878" s="273"/>
      <c r="AY878" s="273"/>
      <c r="AZ878" s="273"/>
      <c r="BA878" s="273"/>
    </row>
    <row r="879">
      <c r="A879" s="273"/>
      <c r="B879" s="273"/>
      <c r="C879" s="745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  <c r="AJ879" s="273"/>
      <c r="AK879" s="273"/>
      <c r="AL879" s="273"/>
      <c r="AM879" s="273"/>
      <c r="AN879" s="273"/>
      <c r="AO879" s="273"/>
      <c r="AP879" s="273"/>
      <c r="AQ879" s="273"/>
      <c r="AR879" s="273"/>
      <c r="AS879" s="273"/>
      <c r="AT879" s="273"/>
      <c r="AU879" s="273"/>
      <c r="AV879" s="273"/>
      <c r="AW879" s="273"/>
      <c r="AX879" s="273"/>
      <c r="AY879" s="273"/>
      <c r="AZ879" s="273"/>
      <c r="BA879" s="273"/>
    </row>
    <row r="880">
      <c r="A880" s="273"/>
      <c r="B880" s="273"/>
      <c r="C880" s="745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  <c r="AJ880" s="273"/>
      <c r="AK880" s="273"/>
      <c r="AL880" s="273"/>
      <c r="AM880" s="273"/>
      <c r="AN880" s="273"/>
      <c r="AO880" s="273"/>
      <c r="AP880" s="273"/>
      <c r="AQ880" s="273"/>
      <c r="AR880" s="273"/>
      <c r="AS880" s="273"/>
      <c r="AT880" s="273"/>
      <c r="AU880" s="273"/>
      <c r="AV880" s="273"/>
      <c r="AW880" s="273"/>
      <c r="AX880" s="273"/>
      <c r="AY880" s="273"/>
      <c r="AZ880" s="273"/>
      <c r="BA880" s="273"/>
    </row>
    <row r="881">
      <c r="A881" s="273"/>
      <c r="B881" s="273"/>
      <c r="C881" s="745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  <c r="AJ881" s="273"/>
      <c r="AK881" s="273"/>
      <c r="AL881" s="273"/>
      <c r="AM881" s="273"/>
      <c r="AN881" s="273"/>
      <c r="AO881" s="273"/>
      <c r="AP881" s="273"/>
      <c r="AQ881" s="273"/>
      <c r="AR881" s="273"/>
      <c r="AS881" s="273"/>
      <c r="AT881" s="273"/>
      <c r="AU881" s="273"/>
      <c r="AV881" s="273"/>
      <c r="AW881" s="273"/>
      <c r="AX881" s="273"/>
      <c r="AY881" s="273"/>
      <c r="AZ881" s="273"/>
      <c r="BA881" s="273"/>
    </row>
    <row r="882">
      <c r="A882" s="273"/>
      <c r="B882" s="273"/>
      <c r="C882" s="745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  <c r="AJ882" s="273"/>
      <c r="AK882" s="273"/>
      <c r="AL882" s="273"/>
      <c r="AM882" s="273"/>
      <c r="AN882" s="273"/>
      <c r="AO882" s="273"/>
      <c r="AP882" s="273"/>
      <c r="AQ882" s="273"/>
      <c r="AR882" s="273"/>
      <c r="AS882" s="273"/>
      <c r="AT882" s="273"/>
      <c r="AU882" s="273"/>
      <c r="AV882" s="273"/>
      <c r="AW882" s="273"/>
      <c r="AX882" s="273"/>
      <c r="AY882" s="273"/>
      <c r="AZ882" s="273"/>
      <c r="BA882" s="273"/>
    </row>
    <row r="883">
      <c r="A883" s="273"/>
      <c r="B883" s="273"/>
      <c r="C883" s="745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  <c r="AJ883" s="273"/>
      <c r="AK883" s="273"/>
      <c r="AL883" s="273"/>
      <c r="AM883" s="273"/>
      <c r="AN883" s="273"/>
      <c r="AO883" s="273"/>
      <c r="AP883" s="273"/>
      <c r="AQ883" s="273"/>
      <c r="AR883" s="273"/>
      <c r="AS883" s="273"/>
      <c r="AT883" s="273"/>
      <c r="AU883" s="273"/>
      <c r="AV883" s="273"/>
      <c r="AW883" s="273"/>
      <c r="AX883" s="273"/>
      <c r="AY883" s="273"/>
      <c r="AZ883" s="273"/>
      <c r="BA883" s="273"/>
    </row>
    <row r="884">
      <c r="A884" s="273"/>
      <c r="B884" s="273"/>
      <c r="C884" s="745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  <c r="AJ884" s="273"/>
      <c r="AK884" s="273"/>
      <c r="AL884" s="273"/>
      <c r="AM884" s="273"/>
      <c r="AN884" s="273"/>
      <c r="AO884" s="273"/>
      <c r="AP884" s="273"/>
      <c r="AQ884" s="273"/>
      <c r="AR884" s="273"/>
      <c r="AS884" s="273"/>
      <c r="AT884" s="273"/>
      <c r="AU884" s="273"/>
      <c r="AV884" s="273"/>
      <c r="AW884" s="273"/>
      <c r="AX884" s="273"/>
      <c r="AY884" s="273"/>
      <c r="AZ884" s="273"/>
      <c r="BA884" s="273"/>
    </row>
    <row r="885">
      <c r="A885" s="273"/>
      <c r="B885" s="273"/>
      <c r="C885" s="745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  <c r="AJ885" s="273"/>
      <c r="AK885" s="273"/>
      <c r="AL885" s="273"/>
      <c r="AM885" s="273"/>
      <c r="AN885" s="273"/>
      <c r="AO885" s="273"/>
      <c r="AP885" s="273"/>
      <c r="AQ885" s="273"/>
      <c r="AR885" s="273"/>
      <c r="AS885" s="273"/>
      <c r="AT885" s="273"/>
      <c r="AU885" s="273"/>
      <c r="AV885" s="273"/>
      <c r="AW885" s="273"/>
      <c r="AX885" s="273"/>
      <c r="AY885" s="273"/>
      <c r="AZ885" s="273"/>
      <c r="BA885" s="273"/>
    </row>
    <row r="886">
      <c r="A886" s="273"/>
      <c r="B886" s="273"/>
      <c r="C886" s="745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  <c r="AJ886" s="273"/>
      <c r="AK886" s="273"/>
      <c r="AL886" s="273"/>
      <c r="AM886" s="273"/>
      <c r="AN886" s="273"/>
      <c r="AO886" s="273"/>
      <c r="AP886" s="273"/>
      <c r="AQ886" s="273"/>
      <c r="AR886" s="273"/>
      <c r="AS886" s="273"/>
      <c r="AT886" s="273"/>
      <c r="AU886" s="273"/>
      <c r="AV886" s="273"/>
      <c r="AW886" s="273"/>
      <c r="AX886" s="273"/>
      <c r="AY886" s="273"/>
      <c r="AZ886" s="273"/>
      <c r="BA886" s="273"/>
    </row>
    <row r="887">
      <c r="A887" s="273"/>
      <c r="B887" s="273"/>
      <c r="C887" s="745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  <c r="AJ887" s="273"/>
      <c r="AK887" s="273"/>
      <c r="AL887" s="273"/>
      <c r="AM887" s="273"/>
      <c r="AN887" s="273"/>
      <c r="AO887" s="273"/>
      <c r="AP887" s="273"/>
      <c r="AQ887" s="273"/>
      <c r="AR887" s="273"/>
      <c r="AS887" s="273"/>
      <c r="AT887" s="273"/>
      <c r="AU887" s="273"/>
      <c r="AV887" s="273"/>
      <c r="AW887" s="273"/>
      <c r="AX887" s="273"/>
      <c r="AY887" s="273"/>
      <c r="AZ887" s="273"/>
      <c r="BA887" s="273"/>
    </row>
    <row r="888">
      <c r="A888" s="273"/>
      <c r="B888" s="273"/>
      <c r="C888" s="745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  <c r="AJ888" s="273"/>
      <c r="AK888" s="273"/>
      <c r="AL888" s="273"/>
      <c r="AM888" s="273"/>
      <c r="AN888" s="273"/>
      <c r="AO888" s="273"/>
      <c r="AP888" s="273"/>
      <c r="AQ888" s="273"/>
      <c r="AR888" s="273"/>
      <c r="AS888" s="273"/>
      <c r="AT888" s="273"/>
      <c r="AU888" s="273"/>
      <c r="AV888" s="273"/>
      <c r="AW888" s="273"/>
      <c r="AX888" s="273"/>
      <c r="AY888" s="273"/>
      <c r="AZ888" s="273"/>
      <c r="BA888" s="273"/>
    </row>
    <row r="889">
      <c r="A889" s="273"/>
      <c r="B889" s="273"/>
      <c r="C889" s="745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  <c r="AJ889" s="273"/>
      <c r="AK889" s="273"/>
      <c r="AL889" s="273"/>
      <c r="AM889" s="273"/>
      <c r="AN889" s="273"/>
      <c r="AO889" s="273"/>
      <c r="AP889" s="273"/>
      <c r="AQ889" s="273"/>
      <c r="AR889" s="273"/>
      <c r="AS889" s="273"/>
      <c r="AT889" s="273"/>
      <c r="AU889" s="273"/>
      <c r="AV889" s="273"/>
      <c r="AW889" s="273"/>
      <c r="AX889" s="273"/>
      <c r="AY889" s="273"/>
      <c r="AZ889" s="273"/>
      <c r="BA889" s="273"/>
    </row>
    <row r="890">
      <c r="A890" s="273"/>
      <c r="B890" s="273"/>
      <c r="C890" s="745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  <c r="AJ890" s="273"/>
      <c r="AK890" s="273"/>
      <c r="AL890" s="273"/>
      <c r="AM890" s="273"/>
      <c r="AN890" s="273"/>
      <c r="AO890" s="273"/>
      <c r="AP890" s="273"/>
      <c r="AQ890" s="273"/>
      <c r="AR890" s="273"/>
      <c r="AS890" s="273"/>
      <c r="AT890" s="273"/>
      <c r="AU890" s="273"/>
      <c r="AV890" s="273"/>
      <c r="AW890" s="273"/>
      <c r="AX890" s="273"/>
      <c r="AY890" s="273"/>
      <c r="AZ890" s="273"/>
      <c r="BA890" s="273"/>
    </row>
    <row r="891">
      <c r="A891" s="273"/>
      <c r="B891" s="273"/>
      <c r="C891" s="745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  <c r="AJ891" s="273"/>
      <c r="AK891" s="273"/>
      <c r="AL891" s="273"/>
      <c r="AM891" s="273"/>
      <c r="AN891" s="273"/>
      <c r="AO891" s="273"/>
      <c r="AP891" s="273"/>
      <c r="AQ891" s="273"/>
      <c r="AR891" s="273"/>
      <c r="AS891" s="273"/>
      <c r="AT891" s="273"/>
      <c r="AU891" s="273"/>
      <c r="AV891" s="273"/>
      <c r="AW891" s="273"/>
      <c r="AX891" s="273"/>
      <c r="AY891" s="273"/>
      <c r="AZ891" s="273"/>
      <c r="BA891" s="273"/>
    </row>
    <row r="892">
      <c r="A892" s="273"/>
      <c r="B892" s="273"/>
      <c r="C892" s="745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  <c r="AJ892" s="273"/>
      <c r="AK892" s="273"/>
      <c r="AL892" s="273"/>
      <c r="AM892" s="273"/>
      <c r="AN892" s="273"/>
      <c r="AO892" s="273"/>
      <c r="AP892" s="273"/>
      <c r="AQ892" s="273"/>
      <c r="AR892" s="273"/>
      <c r="AS892" s="273"/>
      <c r="AT892" s="273"/>
      <c r="AU892" s="273"/>
      <c r="AV892" s="273"/>
      <c r="AW892" s="273"/>
      <c r="AX892" s="273"/>
      <c r="AY892" s="273"/>
      <c r="AZ892" s="273"/>
      <c r="BA892" s="273"/>
    </row>
    <row r="893">
      <c r="A893" s="273"/>
      <c r="B893" s="273"/>
      <c r="C893" s="745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  <c r="AJ893" s="273"/>
      <c r="AK893" s="273"/>
      <c r="AL893" s="273"/>
      <c r="AM893" s="273"/>
      <c r="AN893" s="273"/>
      <c r="AO893" s="273"/>
      <c r="AP893" s="273"/>
      <c r="AQ893" s="273"/>
      <c r="AR893" s="273"/>
      <c r="AS893" s="273"/>
      <c r="AT893" s="273"/>
      <c r="AU893" s="273"/>
      <c r="AV893" s="273"/>
      <c r="AW893" s="273"/>
      <c r="AX893" s="273"/>
      <c r="AY893" s="273"/>
      <c r="AZ893" s="273"/>
      <c r="BA893" s="273"/>
    </row>
    <row r="894">
      <c r="A894" s="273"/>
      <c r="B894" s="273"/>
      <c r="C894" s="745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  <c r="AJ894" s="273"/>
      <c r="AK894" s="273"/>
      <c r="AL894" s="273"/>
      <c r="AM894" s="273"/>
      <c r="AN894" s="273"/>
      <c r="AO894" s="273"/>
      <c r="AP894" s="273"/>
      <c r="AQ894" s="273"/>
      <c r="AR894" s="273"/>
      <c r="AS894" s="273"/>
      <c r="AT894" s="273"/>
      <c r="AU894" s="273"/>
      <c r="AV894" s="273"/>
      <c r="AW894" s="273"/>
      <c r="AX894" s="273"/>
      <c r="AY894" s="273"/>
      <c r="AZ894" s="273"/>
      <c r="BA894" s="273"/>
    </row>
    <row r="895">
      <c r="A895" s="273"/>
      <c r="B895" s="273"/>
      <c r="C895" s="745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  <c r="AJ895" s="273"/>
      <c r="AK895" s="273"/>
      <c r="AL895" s="273"/>
      <c r="AM895" s="273"/>
      <c r="AN895" s="273"/>
      <c r="AO895" s="273"/>
      <c r="AP895" s="273"/>
      <c r="AQ895" s="273"/>
      <c r="AR895" s="273"/>
      <c r="AS895" s="273"/>
      <c r="AT895" s="273"/>
      <c r="AU895" s="273"/>
      <c r="AV895" s="273"/>
      <c r="AW895" s="273"/>
      <c r="AX895" s="273"/>
      <c r="AY895" s="273"/>
      <c r="AZ895" s="273"/>
      <c r="BA895" s="273"/>
    </row>
    <row r="896">
      <c r="A896" s="273"/>
      <c r="B896" s="273"/>
      <c r="C896" s="745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  <c r="AJ896" s="273"/>
      <c r="AK896" s="273"/>
      <c r="AL896" s="273"/>
      <c r="AM896" s="273"/>
      <c r="AN896" s="273"/>
      <c r="AO896" s="273"/>
      <c r="AP896" s="273"/>
      <c r="AQ896" s="273"/>
      <c r="AR896" s="273"/>
      <c r="AS896" s="273"/>
      <c r="AT896" s="273"/>
      <c r="AU896" s="273"/>
      <c r="AV896" s="273"/>
      <c r="AW896" s="273"/>
      <c r="AX896" s="273"/>
      <c r="AY896" s="273"/>
      <c r="AZ896" s="273"/>
      <c r="BA896" s="273"/>
    </row>
    <row r="897">
      <c r="A897" s="273"/>
      <c r="B897" s="273"/>
      <c r="C897" s="745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  <c r="AJ897" s="273"/>
      <c r="AK897" s="273"/>
      <c r="AL897" s="273"/>
      <c r="AM897" s="273"/>
      <c r="AN897" s="273"/>
      <c r="AO897" s="273"/>
      <c r="AP897" s="273"/>
      <c r="AQ897" s="273"/>
      <c r="AR897" s="273"/>
      <c r="AS897" s="273"/>
      <c r="AT897" s="273"/>
      <c r="AU897" s="273"/>
      <c r="AV897" s="273"/>
      <c r="AW897" s="273"/>
      <c r="AX897" s="273"/>
      <c r="AY897" s="273"/>
      <c r="AZ897" s="273"/>
      <c r="BA897" s="273"/>
    </row>
    <row r="898">
      <c r="A898" s="273"/>
      <c r="B898" s="273"/>
      <c r="C898" s="745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AR898" s="273"/>
      <c r="AS898" s="273"/>
      <c r="AT898" s="273"/>
      <c r="AU898" s="273"/>
      <c r="AV898" s="273"/>
      <c r="AW898" s="273"/>
      <c r="AX898" s="273"/>
      <c r="AY898" s="273"/>
      <c r="AZ898" s="273"/>
      <c r="BA898" s="273"/>
    </row>
    <row r="899">
      <c r="A899" s="273"/>
      <c r="B899" s="273"/>
      <c r="C899" s="745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  <c r="AJ899" s="273"/>
      <c r="AK899" s="273"/>
      <c r="AL899" s="273"/>
      <c r="AM899" s="273"/>
      <c r="AN899" s="273"/>
      <c r="AO899" s="273"/>
      <c r="AP899" s="273"/>
      <c r="AQ899" s="273"/>
      <c r="AR899" s="273"/>
      <c r="AS899" s="273"/>
      <c r="AT899" s="273"/>
      <c r="AU899" s="273"/>
      <c r="AV899" s="273"/>
      <c r="AW899" s="273"/>
      <c r="AX899" s="273"/>
      <c r="AY899" s="273"/>
      <c r="AZ899" s="273"/>
      <c r="BA899" s="273"/>
    </row>
    <row r="900">
      <c r="A900" s="273"/>
      <c r="B900" s="273"/>
      <c r="C900" s="745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  <c r="AJ900" s="273"/>
      <c r="AK900" s="273"/>
      <c r="AL900" s="273"/>
      <c r="AM900" s="273"/>
      <c r="AN900" s="273"/>
      <c r="AO900" s="273"/>
      <c r="AP900" s="273"/>
      <c r="AQ900" s="273"/>
      <c r="AR900" s="273"/>
      <c r="AS900" s="273"/>
      <c r="AT900" s="273"/>
      <c r="AU900" s="273"/>
      <c r="AV900" s="273"/>
      <c r="AW900" s="273"/>
      <c r="AX900" s="273"/>
      <c r="AY900" s="273"/>
      <c r="AZ900" s="273"/>
      <c r="BA900" s="273"/>
    </row>
    <row r="901">
      <c r="A901" s="273"/>
      <c r="B901" s="273"/>
      <c r="C901" s="745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  <c r="AJ901" s="273"/>
      <c r="AK901" s="273"/>
      <c r="AL901" s="273"/>
      <c r="AM901" s="273"/>
      <c r="AN901" s="273"/>
      <c r="AO901" s="273"/>
      <c r="AP901" s="273"/>
      <c r="AQ901" s="273"/>
      <c r="AR901" s="273"/>
      <c r="AS901" s="273"/>
      <c r="AT901" s="273"/>
      <c r="AU901" s="273"/>
      <c r="AV901" s="273"/>
      <c r="AW901" s="273"/>
      <c r="AX901" s="273"/>
      <c r="AY901" s="273"/>
      <c r="AZ901" s="273"/>
      <c r="BA901" s="273"/>
    </row>
    <row r="902">
      <c r="A902" s="273"/>
      <c r="B902" s="273"/>
      <c r="C902" s="745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  <c r="AJ902" s="273"/>
      <c r="AK902" s="273"/>
      <c r="AL902" s="273"/>
      <c r="AM902" s="273"/>
      <c r="AN902" s="273"/>
      <c r="AO902" s="273"/>
      <c r="AP902" s="273"/>
      <c r="AQ902" s="273"/>
      <c r="AR902" s="273"/>
      <c r="AS902" s="273"/>
      <c r="AT902" s="273"/>
      <c r="AU902" s="273"/>
      <c r="AV902" s="273"/>
      <c r="AW902" s="273"/>
      <c r="AX902" s="273"/>
      <c r="AY902" s="273"/>
      <c r="AZ902" s="273"/>
      <c r="BA902" s="273"/>
    </row>
    <row r="903">
      <c r="A903" s="273"/>
      <c r="B903" s="273"/>
      <c r="C903" s="745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  <c r="AJ903" s="273"/>
      <c r="AK903" s="273"/>
      <c r="AL903" s="273"/>
      <c r="AM903" s="273"/>
      <c r="AN903" s="273"/>
      <c r="AO903" s="273"/>
      <c r="AP903" s="273"/>
      <c r="AQ903" s="273"/>
      <c r="AR903" s="273"/>
      <c r="AS903" s="273"/>
      <c r="AT903" s="273"/>
      <c r="AU903" s="273"/>
      <c r="AV903" s="273"/>
      <c r="AW903" s="273"/>
      <c r="AX903" s="273"/>
      <c r="AY903" s="273"/>
      <c r="AZ903" s="273"/>
      <c r="BA903" s="273"/>
    </row>
    <row r="904">
      <c r="A904" s="273"/>
      <c r="B904" s="273"/>
      <c r="C904" s="745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  <c r="AJ904" s="273"/>
      <c r="AK904" s="273"/>
      <c r="AL904" s="273"/>
      <c r="AM904" s="273"/>
      <c r="AN904" s="273"/>
      <c r="AO904" s="273"/>
      <c r="AP904" s="273"/>
      <c r="AQ904" s="273"/>
      <c r="AR904" s="273"/>
      <c r="AS904" s="273"/>
      <c r="AT904" s="273"/>
      <c r="AU904" s="273"/>
      <c r="AV904" s="273"/>
      <c r="AW904" s="273"/>
      <c r="AX904" s="273"/>
      <c r="AY904" s="273"/>
      <c r="AZ904" s="273"/>
      <c r="BA904" s="273"/>
    </row>
    <row r="905">
      <c r="A905" s="273"/>
      <c r="B905" s="273"/>
      <c r="C905" s="745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  <c r="AJ905" s="273"/>
      <c r="AK905" s="273"/>
      <c r="AL905" s="273"/>
      <c r="AM905" s="273"/>
      <c r="AN905" s="273"/>
      <c r="AO905" s="273"/>
      <c r="AP905" s="273"/>
      <c r="AQ905" s="273"/>
      <c r="AR905" s="273"/>
      <c r="AS905" s="273"/>
      <c r="AT905" s="273"/>
      <c r="AU905" s="273"/>
      <c r="AV905" s="273"/>
      <c r="AW905" s="273"/>
      <c r="AX905" s="273"/>
      <c r="AY905" s="273"/>
      <c r="AZ905" s="273"/>
      <c r="BA905" s="273"/>
    </row>
    <row r="906">
      <c r="A906" s="273"/>
      <c r="B906" s="273"/>
      <c r="C906" s="745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  <c r="AJ906" s="273"/>
      <c r="AK906" s="273"/>
      <c r="AL906" s="273"/>
      <c r="AM906" s="273"/>
      <c r="AN906" s="273"/>
      <c r="AO906" s="273"/>
      <c r="AP906" s="273"/>
      <c r="AQ906" s="273"/>
      <c r="AR906" s="273"/>
      <c r="AS906" s="273"/>
      <c r="AT906" s="273"/>
      <c r="AU906" s="273"/>
      <c r="AV906" s="273"/>
      <c r="AW906" s="273"/>
      <c r="AX906" s="273"/>
      <c r="AY906" s="273"/>
      <c r="AZ906" s="273"/>
      <c r="BA906" s="273"/>
    </row>
    <row r="907">
      <c r="A907" s="273"/>
      <c r="B907" s="273"/>
      <c r="C907" s="745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  <c r="AJ907" s="273"/>
      <c r="AK907" s="273"/>
      <c r="AL907" s="273"/>
      <c r="AM907" s="273"/>
      <c r="AN907" s="273"/>
      <c r="AO907" s="273"/>
      <c r="AP907" s="273"/>
      <c r="AQ907" s="273"/>
      <c r="AR907" s="273"/>
      <c r="AS907" s="273"/>
      <c r="AT907" s="273"/>
      <c r="AU907" s="273"/>
      <c r="AV907" s="273"/>
      <c r="AW907" s="273"/>
      <c r="AX907" s="273"/>
      <c r="AY907" s="273"/>
      <c r="AZ907" s="273"/>
      <c r="BA907" s="273"/>
    </row>
    <row r="908">
      <c r="A908" s="273"/>
      <c r="B908" s="273"/>
      <c r="C908" s="745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  <c r="AJ908" s="273"/>
      <c r="AK908" s="273"/>
      <c r="AL908" s="273"/>
      <c r="AM908" s="273"/>
      <c r="AN908" s="273"/>
      <c r="AO908" s="273"/>
      <c r="AP908" s="273"/>
      <c r="AQ908" s="273"/>
      <c r="AR908" s="273"/>
      <c r="AS908" s="273"/>
      <c r="AT908" s="273"/>
      <c r="AU908" s="273"/>
      <c r="AV908" s="273"/>
      <c r="AW908" s="273"/>
      <c r="AX908" s="273"/>
      <c r="AY908" s="273"/>
      <c r="AZ908" s="273"/>
      <c r="BA908" s="273"/>
    </row>
    <row r="909">
      <c r="A909" s="273"/>
      <c r="B909" s="273"/>
      <c r="C909" s="745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  <c r="AJ909" s="273"/>
      <c r="AK909" s="273"/>
      <c r="AL909" s="273"/>
      <c r="AM909" s="273"/>
      <c r="AN909" s="273"/>
      <c r="AO909" s="273"/>
      <c r="AP909" s="273"/>
      <c r="AQ909" s="273"/>
      <c r="AR909" s="273"/>
      <c r="AS909" s="273"/>
      <c r="AT909" s="273"/>
      <c r="AU909" s="273"/>
      <c r="AV909" s="273"/>
      <c r="AW909" s="273"/>
      <c r="AX909" s="273"/>
      <c r="AY909" s="273"/>
      <c r="AZ909" s="273"/>
      <c r="BA909" s="273"/>
    </row>
    <row r="910">
      <c r="A910" s="273"/>
      <c r="B910" s="273"/>
      <c r="C910" s="745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  <c r="AJ910" s="273"/>
      <c r="AK910" s="273"/>
      <c r="AL910" s="273"/>
      <c r="AM910" s="273"/>
      <c r="AN910" s="273"/>
      <c r="AO910" s="273"/>
      <c r="AP910" s="273"/>
      <c r="AQ910" s="273"/>
      <c r="AR910" s="273"/>
      <c r="AS910" s="273"/>
      <c r="AT910" s="273"/>
      <c r="AU910" s="273"/>
      <c r="AV910" s="273"/>
      <c r="AW910" s="273"/>
      <c r="AX910" s="273"/>
      <c r="AY910" s="273"/>
      <c r="AZ910" s="273"/>
      <c r="BA910" s="273"/>
    </row>
    <row r="911">
      <c r="A911" s="273"/>
      <c r="B911" s="273"/>
      <c r="C911" s="745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  <c r="AJ911" s="273"/>
      <c r="AK911" s="273"/>
      <c r="AL911" s="273"/>
      <c r="AM911" s="273"/>
      <c r="AN911" s="273"/>
      <c r="AO911" s="273"/>
      <c r="AP911" s="273"/>
      <c r="AQ911" s="273"/>
      <c r="AR911" s="273"/>
      <c r="AS911" s="273"/>
      <c r="AT911" s="273"/>
      <c r="AU911" s="273"/>
      <c r="AV911" s="273"/>
      <c r="AW911" s="273"/>
      <c r="AX911" s="273"/>
      <c r="AY911" s="273"/>
      <c r="AZ911" s="273"/>
      <c r="BA911" s="273"/>
    </row>
    <row r="912">
      <c r="A912" s="273"/>
      <c r="B912" s="273"/>
      <c r="C912" s="745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  <c r="AJ912" s="273"/>
      <c r="AK912" s="273"/>
      <c r="AL912" s="273"/>
      <c r="AM912" s="273"/>
      <c r="AN912" s="273"/>
      <c r="AO912" s="273"/>
      <c r="AP912" s="273"/>
      <c r="AQ912" s="273"/>
      <c r="AR912" s="273"/>
      <c r="AS912" s="273"/>
      <c r="AT912" s="273"/>
      <c r="AU912" s="273"/>
      <c r="AV912" s="273"/>
      <c r="AW912" s="273"/>
      <c r="AX912" s="273"/>
      <c r="AY912" s="273"/>
      <c r="AZ912" s="273"/>
      <c r="BA912" s="273"/>
    </row>
    <row r="913">
      <c r="A913" s="273"/>
      <c r="B913" s="273"/>
      <c r="C913" s="745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  <c r="AJ913" s="273"/>
      <c r="AK913" s="273"/>
      <c r="AL913" s="273"/>
      <c r="AM913" s="273"/>
      <c r="AN913" s="273"/>
      <c r="AO913" s="273"/>
      <c r="AP913" s="273"/>
      <c r="AQ913" s="273"/>
      <c r="AR913" s="273"/>
      <c r="AS913" s="273"/>
      <c r="AT913" s="273"/>
      <c r="AU913" s="273"/>
      <c r="AV913" s="273"/>
      <c r="AW913" s="273"/>
      <c r="AX913" s="273"/>
      <c r="AY913" s="273"/>
      <c r="AZ913" s="273"/>
      <c r="BA913" s="273"/>
    </row>
    <row r="914">
      <c r="A914" s="273"/>
      <c r="B914" s="273"/>
      <c r="C914" s="745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  <c r="AJ914" s="273"/>
      <c r="AK914" s="273"/>
      <c r="AL914" s="273"/>
      <c r="AM914" s="273"/>
      <c r="AN914" s="273"/>
      <c r="AO914" s="273"/>
      <c r="AP914" s="273"/>
      <c r="AQ914" s="273"/>
      <c r="AR914" s="273"/>
      <c r="AS914" s="273"/>
      <c r="AT914" s="273"/>
      <c r="AU914" s="273"/>
      <c r="AV914" s="273"/>
      <c r="AW914" s="273"/>
      <c r="AX914" s="273"/>
      <c r="AY914" s="273"/>
      <c r="AZ914" s="273"/>
      <c r="BA914" s="273"/>
    </row>
    <row r="915">
      <c r="A915" s="273"/>
      <c r="B915" s="273"/>
      <c r="C915" s="745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  <c r="AJ915" s="273"/>
      <c r="AK915" s="273"/>
      <c r="AL915" s="273"/>
      <c r="AM915" s="273"/>
      <c r="AN915" s="273"/>
      <c r="AO915" s="273"/>
      <c r="AP915" s="273"/>
      <c r="AQ915" s="273"/>
      <c r="AR915" s="273"/>
      <c r="AS915" s="273"/>
      <c r="AT915" s="273"/>
      <c r="AU915" s="273"/>
      <c r="AV915" s="273"/>
      <c r="AW915" s="273"/>
      <c r="AX915" s="273"/>
      <c r="AY915" s="273"/>
      <c r="AZ915" s="273"/>
      <c r="BA915" s="273"/>
    </row>
    <row r="916">
      <c r="A916" s="273"/>
      <c r="B916" s="273"/>
      <c r="C916" s="745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  <c r="AJ916" s="273"/>
      <c r="AK916" s="273"/>
      <c r="AL916" s="273"/>
      <c r="AM916" s="273"/>
      <c r="AN916" s="273"/>
      <c r="AO916" s="273"/>
      <c r="AP916" s="273"/>
      <c r="AQ916" s="273"/>
      <c r="AR916" s="273"/>
      <c r="AS916" s="273"/>
      <c r="AT916" s="273"/>
      <c r="AU916" s="273"/>
      <c r="AV916" s="273"/>
      <c r="AW916" s="273"/>
      <c r="AX916" s="273"/>
      <c r="AY916" s="273"/>
      <c r="AZ916" s="273"/>
      <c r="BA916" s="273"/>
    </row>
    <row r="917">
      <c r="A917" s="273"/>
      <c r="B917" s="273"/>
      <c r="C917" s="745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  <c r="AJ917" s="273"/>
      <c r="AK917" s="273"/>
      <c r="AL917" s="273"/>
      <c r="AM917" s="273"/>
      <c r="AN917" s="273"/>
      <c r="AO917" s="273"/>
      <c r="AP917" s="273"/>
      <c r="AQ917" s="273"/>
      <c r="AR917" s="273"/>
      <c r="AS917" s="273"/>
      <c r="AT917" s="273"/>
      <c r="AU917" s="273"/>
      <c r="AV917" s="273"/>
      <c r="AW917" s="273"/>
      <c r="AX917" s="273"/>
      <c r="AY917" s="273"/>
      <c r="AZ917" s="273"/>
      <c r="BA917" s="273"/>
    </row>
    <row r="918">
      <c r="A918" s="273"/>
      <c r="B918" s="273"/>
      <c r="C918" s="745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  <c r="AJ918" s="273"/>
      <c r="AK918" s="273"/>
      <c r="AL918" s="273"/>
      <c r="AM918" s="273"/>
      <c r="AN918" s="273"/>
      <c r="AO918" s="273"/>
      <c r="AP918" s="273"/>
      <c r="AQ918" s="273"/>
      <c r="AR918" s="273"/>
      <c r="AS918" s="273"/>
      <c r="AT918" s="273"/>
      <c r="AU918" s="273"/>
      <c r="AV918" s="273"/>
      <c r="AW918" s="273"/>
      <c r="AX918" s="273"/>
      <c r="AY918" s="273"/>
      <c r="AZ918" s="273"/>
      <c r="BA918" s="273"/>
    </row>
    <row r="919">
      <c r="A919" s="273"/>
      <c r="B919" s="273"/>
      <c r="C919" s="745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  <c r="AJ919" s="273"/>
      <c r="AK919" s="273"/>
      <c r="AL919" s="273"/>
      <c r="AM919" s="273"/>
      <c r="AN919" s="273"/>
      <c r="AO919" s="273"/>
      <c r="AP919" s="273"/>
      <c r="AQ919" s="273"/>
      <c r="AR919" s="273"/>
      <c r="AS919" s="273"/>
      <c r="AT919" s="273"/>
      <c r="AU919" s="273"/>
      <c r="AV919" s="273"/>
      <c r="AW919" s="273"/>
      <c r="AX919" s="273"/>
      <c r="AY919" s="273"/>
      <c r="AZ919" s="273"/>
      <c r="BA919" s="273"/>
    </row>
    <row r="920">
      <c r="A920" s="273"/>
      <c r="B920" s="273"/>
      <c r="C920" s="745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  <c r="AJ920" s="273"/>
      <c r="AK920" s="273"/>
      <c r="AL920" s="273"/>
      <c r="AM920" s="273"/>
      <c r="AN920" s="273"/>
      <c r="AO920" s="273"/>
      <c r="AP920" s="273"/>
      <c r="AQ920" s="273"/>
      <c r="AR920" s="273"/>
      <c r="AS920" s="273"/>
      <c r="AT920" s="273"/>
      <c r="AU920" s="273"/>
      <c r="AV920" s="273"/>
      <c r="AW920" s="273"/>
      <c r="AX920" s="273"/>
      <c r="AY920" s="273"/>
      <c r="AZ920" s="273"/>
      <c r="BA920" s="273"/>
    </row>
    <row r="921">
      <c r="A921" s="273"/>
      <c r="B921" s="273"/>
      <c r="C921" s="745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  <c r="AJ921" s="273"/>
      <c r="AK921" s="273"/>
      <c r="AL921" s="273"/>
      <c r="AM921" s="273"/>
      <c r="AN921" s="273"/>
      <c r="AO921" s="273"/>
      <c r="AP921" s="273"/>
      <c r="AQ921" s="273"/>
      <c r="AR921" s="273"/>
      <c r="AS921" s="273"/>
      <c r="AT921" s="273"/>
      <c r="AU921" s="273"/>
      <c r="AV921" s="273"/>
      <c r="AW921" s="273"/>
      <c r="AX921" s="273"/>
      <c r="AY921" s="273"/>
      <c r="AZ921" s="273"/>
      <c r="BA921" s="273"/>
    </row>
    <row r="922">
      <c r="A922" s="273"/>
      <c r="B922" s="273"/>
      <c r="C922" s="745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  <c r="AJ922" s="273"/>
      <c r="AK922" s="273"/>
      <c r="AL922" s="273"/>
      <c r="AM922" s="273"/>
      <c r="AN922" s="273"/>
      <c r="AO922" s="273"/>
      <c r="AP922" s="273"/>
      <c r="AQ922" s="273"/>
      <c r="AR922" s="273"/>
      <c r="AS922" s="273"/>
      <c r="AT922" s="273"/>
      <c r="AU922" s="273"/>
      <c r="AV922" s="273"/>
      <c r="AW922" s="273"/>
      <c r="AX922" s="273"/>
      <c r="AY922" s="273"/>
      <c r="AZ922" s="273"/>
      <c r="BA922" s="273"/>
    </row>
    <row r="923">
      <c r="A923" s="273"/>
      <c r="B923" s="273"/>
      <c r="C923" s="745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  <c r="AJ923" s="273"/>
      <c r="AK923" s="273"/>
      <c r="AL923" s="273"/>
      <c r="AM923" s="273"/>
      <c r="AN923" s="273"/>
      <c r="AO923" s="273"/>
      <c r="AP923" s="273"/>
      <c r="AQ923" s="273"/>
      <c r="AR923" s="273"/>
      <c r="AS923" s="273"/>
      <c r="AT923" s="273"/>
      <c r="AU923" s="273"/>
      <c r="AV923" s="273"/>
      <c r="AW923" s="273"/>
      <c r="AX923" s="273"/>
      <c r="AY923" s="273"/>
      <c r="AZ923" s="273"/>
      <c r="BA923" s="273"/>
    </row>
    <row r="924">
      <c r="A924" s="273"/>
      <c r="B924" s="273"/>
      <c r="C924" s="745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  <c r="AJ924" s="273"/>
      <c r="AK924" s="273"/>
      <c r="AL924" s="273"/>
      <c r="AM924" s="273"/>
      <c r="AN924" s="273"/>
      <c r="AO924" s="273"/>
      <c r="AP924" s="273"/>
      <c r="AQ924" s="273"/>
      <c r="AR924" s="273"/>
      <c r="AS924" s="273"/>
      <c r="AT924" s="273"/>
      <c r="AU924" s="273"/>
      <c r="AV924" s="273"/>
      <c r="AW924" s="273"/>
      <c r="AX924" s="273"/>
      <c r="AY924" s="273"/>
      <c r="AZ924" s="273"/>
      <c r="BA924" s="273"/>
    </row>
    <row r="925">
      <c r="A925" s="273"/>
      <c r="B925" s="273"/>
      <c r="C925" s="745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  <c r="AJ925" s="273"/>
      <c r="AK925" s="273"/>
      <c r="AL925" s="273"/>
      <c r="AM925" s="273"/>
      <c r="AN925" s="273"/>
      <c r="AO925" s="273"/>
      <c r="AP925" s="273"/>
      <c r="AQ925" s="273"/>
      <c r="AR925" s="273"/>
      <c r="AS925" s="273"/>
      <c r="AT925" s="273"/>
      <c r="AU925" s="273"/>
      <c r="AV925" s="273"/>
      <c r="AW925" s="273"/>
      <c r="AX925" s="273"/>
      <c r="AY925" s="273"/>
      <c r="AZ925" s="273"/>
      <c r="BA925" s="273"/>
    </row>
    <row r="926">
      <c r="A926" s="273"/>
      <c r="B926" s="273"/>
      <c r="C926" s="745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  <c r="AJ926" s="273"/>
      <c r="AK926" s="273"/>
      <c r="AL926" s="273"/>
      <c r="AM926" s="273"/>
      <c r="AN926" s="273"/>
      <c r="AO926" s="273"/>
      <c r="AP926" s="273"/>
      <c r="AQ926" s="273"/>
      <c r="AR926" s="273"/>
      <c r="AS926" s="273"/>
      <c r="AT926" s="273"/>
      <c r="AU926" s="273"/>
      <c r="AV926" s="273"/>
      <c r="AW926" s="273"/>
      <c r="AX926" s="273"/>
      <c r="AY926" s="273"/>
      <c r="AZ926" s="273"/>
      <c r="BA926" s="273"/>
    </row>
    <row r="927">
      <c r="A927" s="273"/>
      <c r="B927" s="273"/>
      <c r="C927" s="745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  <c r="AJ927" s="273"/>
      <c r="AK927" s="273"/>
      <c r="AL927" s="273"/>
      <c r="AM927" s="273"/>
      <c r="AN927" s="273"/>
      <c r="AO927" s="273"/>
      <c r="AP927" s="273"/>
      <c r="AQ927" s="273"/>
      <c r="AR927" s="273"/>
      <c r="AS927" s="273"/>
      <c r="AT927" s="273"/>
      <c r="AU927" s="273"/>
      <c r="AV927" s="273"/>
      <c r="AW927" s="273"/>
      <c r="AX927" s="273"/>
      <c r="AY927" s="273"/>
      <c r="AZ927" s="273"/>
      <c r="BA927" s="273"/>
    </row>
    <row r="928">
      <c r="A928" s="273"/>
      <c r="B928" s="273"/>
      <c r="C928" s="745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  <c r="AJ928" s="273"/>
      <c r="AK928" s="273"/>
      <c r="AL928" s="273"/>
      <c r="AM928" s="273"/>
      <c r="AN928" s="273"/>
      <c r="AO928" s="273"/>
      <c r="AP928" s="273"/>
      <c r="AQ928" s="273"/>
      <c r="AR928" s="273"/>
      <c r="AS928" s="273"/>
      <c r="AT928" s="273"/>
      <c r="AU928" s="273"/>
      <c r="AV928" s="273"/>
      <c r="AW928" s="273"/>
      <c r="AX928" s="273"/>
      <c r="AY928" s="273"/>
      <c r="AZ928" s="273"/>
      <c r="BA928" s="273"/>
    </row>
    <row r="929">
      <c r="A929" s="273"/>
      <c r="B929" s="273"/>
      <c r="C929" s="745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  <c r="AJ929" s="273"/>
      <c r="AK929" s="273"/>
      <c r="AL929" s="273"/>
      <c r="AM929" s="273"/>
      <c r="AN929" s="273"/>
      <c r="AO929" s="273"/>
      <c r="AP929" s="273"/>
      <c r="AQ929" s="273"/>
      <c r="AR929" s="273"/>
      <c r="AS929" s="273"/>
      <c r="AT929" s="273"/>
      <c r="AU929" s="273"/>
      <c r="AV929" s="273"/>
      <c r="AW929" s="273"/>
      <c r="AX929" s="273"/>
      <c r="AY929" s="273"/>
      <c r="AZ929" s="273"/>
      <c r="BA929" s="273"/>
    </row>
    <row r="930">
      <c r="A930" s="273"/>
      <c r="B930" s="273"/>
      <c r="C930" s="745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  <c r="AJ930" s="273"/>
      <c r="AK930" s="273"/>
      <c r="AL930" s="273"/>
      <c r="AM930" s="273"/>
      <c r="AN930" s="273"/>
      <c r="AO930" s="273"/>
      <c r="AP930" s="273"/>
      <c r="AQ930" s="273"/>
      <c r="AR930" s="273"/>
      <c r="AS930" s="273"/>
      <c r="AT930" s="273"/>
      <c r="AU930" s="273"/>
      <c r="AV930" s="273"/>
      <c r="AW930" s="273"/>
      <c r="AX930" s="273"/>
      <c r="AY930" s="273"/>
      <c r="AZ930" s="273"/>
      <c r="BA930" s="273"/>
    </row>
    <row r="931">
      <c r="A931" s="273"/>
      <c r="B931" s="273"/>
      <c r="C931" s="745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  <c r="AJ931" s="273"/>
      <c r="AK931" s="273"/>
      <c r="AL931" s="273"/>
      <c r="AM931" s="273"/>
      <c r="AN931" s="273"/>
      <c r="AO931" s="273"/>
      <c r="AP931" s="273"/>
      <c r="AQ931" s="273"/>
      <c r="AR931" s="273"/>
      <c r="AS931" s="273"/>
      <c r="AT931" s="273"/>
      <c r="AU931" s="273"/>
      <c r="AV931" s="273"/>
      <c r="AW931" s="273"/>
      <c r="AX931" s="273"/>
      <c r="AY931" s="273"/>
      <c r="AZ931" s="273"/>
      <c r="BA931" s="273"/>
    </row>
    <row r="932">
      <c r="A932" s="273"/>
      <c r="B932" s="273"/>
      <c r="C932" s="745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  <c r="AJ932" s="273"/>
      <c r="AK932" s="273"/>
      <c r="AL932" s="273"/>
      <c r="AM932" s="273"/>
      <c r="AN932" s="273"/>
      <c r="AO932" s="273"/>
      <c r="AP932" s="273"/>
      <c r="AQ932" s="273"/>
      <c r="AR932" s="273"/>
      <c r="AS932" s="273"/>
      <c r="AT932" s="273"/>
      <c r="AU932" s="273"/>
      <c r="AV932" s="273"/>
      <c r="AW932" s="273"/>
      <c r="AX932" s="273"/>
      <c r="AY932" s="273"/>
      <c r="AZ932" s="273"/>
      <c r="BA932" s="273"/>
    </row>
    <row r="933">
      <c r="A933" s="273"/>
      <c r="B933" s="273"/>
      <c r="C933" s="745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  <c r="AJ933" s="273"/>
      <c r="AK933" s="273"/>
      <c r="AL933" s="273"/>
      <c r="AM933" s="273"/>
      <c r="AN933" s="273"/>
      <c r="AO933" s="273"/>
      <c r="AP933" s="273"/>
      <c r="AQ933" s="273"/>
      <c r="AR933" s="273"/>
      <c r="AS933" s="273"/>
      <c r="AT933" s="273"/>
      <c r="AU933" s="273"/>
      <c r="AV933" s="273"/>
      <c r="AW933" s="273"/>
      <c r="AX933" s="273"/>
      <c r="AY933" s="273"/>
      <c r="AZ933" s="273"/>
      <c r="BA933" s="273"/>
    </row>
    <row r="934">
      <c r="A934" s="273"/>
      <c r="B934" s="273"/>
      <c r="C934" s="745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  <c r="AJ934" s="273"/>
      <c r="AK934" s="273"/>
      <c r="AL934" s="273"/>
      <c r="AM934" s="273"/>
      <c r="AN934" s="273"/>
      <c r="AO934" s="273"/>
      <c r="AP934" s="273"/>
      <c r="AQ934" s="273"/>
      <c r="AR934" s="273"/>
      <c r="AS934" s="273"/>
      <c r="AT934" s="273"/>
      <c r="AU934" s="273"/>
      <c r="AV934" s="273"/>
      <c r="AW934" s="273"/>
      <c r="AX934" s="273"/>
      <c r="AY934" s="273"/>
      <c r="AZ934" s="273"/>
      <c r="BA934" s="273"/>
    </row>
    <row r="935">
      <c r="A935" s="273"/>
      <c r="B935" s="273"/>
      <c r="C935" s="745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  <c r="AJ935" s="273"/>
      <c r="AK935" s="273"/>
      <c r="AL935" s="273"/>
      <c r="AM935" s="273"/>
      <c r="AN935" s="273"/>
      <c r="AO935" s="273"/>
      <c r="AP935" s="273"/>
      <c r="AQ935" s="273"/>
      <c r="AR935" s="273"/>
      <c r="AS935" s="273"/>
      <c r="AT935" s="273"/>
      <c r="AU935" s="273"/>
      <c r="AV935" s="273"/>
      <c r="AW935" s="273"/>
      <c r="AX935" s="273"/>
      <c r="AY935" s="273"/>
      <c r="AZ935" s="273"/>
      <c r="BA935" s="273"/>
    </row>
    <row r="936">
      <c r="A936" s="273"/>
      <c r="B936" s="273"/>
      <c r="C936" s="745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  <c r="AJ936" s="273"/>
      <c r="AK936" s="273"/>
      <c r="AL936" s="273"/>
      <c r="AM936" s="273"/>
      <c r="AN936" s="273"/>
      <c r="AO936" s="273"/>
      <c r="AP936" s="273"/>
      <c r="AQ936" s="273"/>
      <c r="AR936" s="273"/>
      <c r="AS936" s="273"/>
      <c r="AT936" s="273"/>
      <c r="AU936" s="273"/>
      <c r="AV936" s="273"/>
      <c r="AW936" s="273"/>
      <c r="AX936" s="273"/>
      <c r="AY936" s="273"/>
      <c r="AZ936" s="273"/>
      <c r="BA936" s="273"/>
    </row>
    <row r="937">
      <c r="A937" s="273"/>
      <c r="B937" s="273"/>
      <c r="C937" s="745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  <c r="AJ937" s="273"/>
      <c r="AK937" s="273"/>
      <c r="AL937" s="273"/>
      <c r="AM937" s="273"/>
      <c r="AN937" s="273"/>
      <c r="AO937" s="273"/>
      <c r="AP937" s="273"/>
      <c r="AQ937" s="273"/>
      <c r="AR937" s="273"/>
      <c r="AS937" s="273"/>
      <c r="AT937" s="273"/>
      <c r="AU937" s="273"/>
      <c r="AV937" s="273"/>
      <c r="AW937" s="273"/>
      <c r="AX937" s="273"/>
      <c r="AY937" s="273"/>
      <c r="AZ937" s="273"/>
      <c r="BA937" s="273"/>
    </row>
    <row r="938">
      <c r="A938" s="273"/>
      <c r="B938" s="273"/>
      <c r="C938" s="745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  <c r="AJ938" s="273"/>
      <c r="AK938" s="273"/>
      <c r="AL938" s="273"/>
      <c r="AM938" s="273"/>
      <c r="AN938" s="273"/>
      <c r="AO938" s="273"/>
      <c r="AP938" s="273"/>
      <c r="AQ938" s="273"/>
      <c r="AR938" s="273"/>
      <c r="AS938" s="273"/>
      <c r="AT938" s="273"/>
      <c r="AU938" s="273"/>
      <c r="AV938" s="273"/>
      <c r="AW938" s="273"/>
      <c r="AX938" s="273"/>
      <c r="AY938" s="273"/>
      <c r="AZ938" s="273"/>
      <c r="BA938" s="273"/>
    </row>
    <row r="939">
      <c r="A939" s="273"/>
      <c r="B939" s="273"/>
      <c r="C939" s="745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  <c r="AJ939" s="273"/>
      <c r="AK939" s="273"/>
      <c r="AL939" s="273"/>
      <c r="AM939" s="273"/>
      <c r="AN939" s="273"/>
      <c r="AO939" s="273"/>
      <c r="AP939" s="273"/>
      <c r="AQ939" s="273"/>
      <c r="AR939" s="273"/>
      <c r="AS939" s="273"/>
      <c r="AT939" s="273"/>
      <c r="AU939" s="273"/>
      <c r="AV939" s="273"/>
      <c r="AW939" s="273"/>
      <c r="AX939" s="273"/>
      <c r="AY939" s="273"/>
      <c r="AZ939" s="273"/>
      <c r="BA939" s="273"/>
    </row>
    <row r="940">
      <c r="A940" s="273"/>
      <c r="B940" s="273"/>
      <c r="C940" s="745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  <c r="AJ940" s="273"/>
      <c r="AK940" s="273"/>
      <c r="AL940" s="273"/>
      <c r="AM940" s="273"/>
      <c r="AN940" s="273"/>
      <c r="AO940" s="273"/>
      <c r="AP940" s="273"/>
      <c r="AQ940" s="273"/>
      <c r="AR940" s="273"/>
      <c r="AS940" s="273"/>
      <c r="AT940" s="273"/>
      <c r="AU940" s="273"/>
      <c r="AV940" s="273"/>
      <c r="AW940" s="273"/>
      <c r="AX940" s="273"/>
      <c r="AY940" s="273"/>
      <c r="AZ940" s="273"/>
      <c r="BA940" s="273"/>
    </row>
    <row r="941">
      <c r="A941" s="273"/>
      <c r="B941" s="273"/>
      <c r="C941" s="745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  <c r="AJ941" s="273"/>
      <c r="AK941" s="273"/>
      <c r="AL941" s="273"/>
      <c r="AM941" s="273"/>
      <c r="AN941" s="273"/>
      <c r="AO941" s="273"/>
      <c r="AP941" s="273"/>
      <c r="AQ941" s="273"/>
      <c r="AR941" s="273"/>
      <c r="AS941" s="273"/>
      <c r="AT941" s="273"/>
      <c r="AU941" s="273"/>
      <c r="AV941" s="273"/>
      <c r="AW941" s="273"/>
      <c r="AX941" s="273"/>
      <c r="AY941" s="273"/>
      <c r="AZ941" s="273"/>
      <c r="BA941" s="273"/>
    </row>
    <row r="942">
      <c r="A942" s="273"/>
      <c r="B942" s="273"/>
      <c r="C942" s="745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  <c r="AJ942" s="273"/>
      <c r="AK942" s="273"/>
      <c r="AL942" s="273"/>
      <c r="AM942" s="273"/>
      <c r="AN942" s="273"/>
      <c r="AO942" s="273"/>
      <c r="AP942" s="273"/>
      <c r="AQ942" s="273"/>
      <c r="AR942" s="273"/>
      <c r="AS942" s="273"/>
      <c r="AT942" s="273"/>
      <c r="AU942" s="273"/>
      <c r="AV942" s="273"/>
      <c r="AW942" s="273"/>
      <c r="AX942" s="273"/>
      <c r="AY942" s="273"/>
      <c r="AZ942" s="273"/>
      <c r="BA942" s="273"/>
    </row>
    <row r="943">
      <c r="A943" s="273"/>
      <c r="B943" s="273"/>
      <c r="C943" s="745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  <c r="AJ943" s="273"/>
      <c r="AK943" s="273"/>
      <c r="AL943" s="273"/>
      <c r="AM943" s="273"/>
      <c r="AN943" s="273"/>
      <c r="AO943" s="273"/>
      <c r="AP943" s="273"/>
      <c r="AQ943" s="273"/>
      <c r="AR943" s="273"/>
      <c r="AS943" s="273"/>
      <c r="AT943" s="273"/>
      <c r="AU943" s="273"/>
      <c r="AV943" s="273"/>
      <c r="AW943" s="273"/>
      <c r="AX943" s="273"/>
      <c r="AY943" s="273"/>
      <c r="AZ943" s="273"/>
      <c r="BA943" s="273"/>
    </row>
    <row r="944">
      <c r="A944" s="273"/>
      <c r="B944" s="273"/>
      <c r="C944" s="745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  <c r="AJ944" s="273"/>
      <c r="AK944" s="273"/>
      <c r="AL944" s="273"/>
      <c r="AM944" s="273"/>
      <c r="AN944" s="273"/>
      <c r="AO944" s="273"/>
      <c r="AP944" s="273"/>
      <c r="AQ944" s="273"/>
      <c r="AR944" s="273"/>
      <c r="AS944" s="273"/>
      <c r="AT944" s="273"/>
      <c r="AU944" s="273"/>
      <c r="AV944" s="273"/>
      <c r="AW944" s="273"/>
      <c r="AX944" s="273"/>
      <c r="AY944" s="273"/>
      <c r="AZ944" s="273"/>
      <c r="BA944" s="273"/>
    </row>
    <row r="945">
      <c r="A945" s="273"/>
      <c r="B945" s="273"/>
      <c r="C945" s="745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  <c r="AJ945" s="273"/>
      <c r="AK945" s="273"/>
      <c r="AL945" s="273"/>
      <c r="AM945" s="273"/>
      <c r="AN945" s="273"/>
      <c r="AO945" s="273"/>
      <c r="AP945" s="273"/>
      <c r="AQ945" s="273"/>
      <c r="AR945" s="273"/>
      <c r="AS945" s="273"/>
      <c r="AT945" s="273"/>
      <c r="AU945" s="273"/>
      <c r="AV945" s="273"/>
      <c r="AW945" s="273"/>
      <c r="AX945" s="273"/>
      <c r="AY945" s="273"/>
      <c r="AZ945" s="273"/>
      <c r="BA945" s="273"/>
    </row>
    <row r="946">
      <c r="A946" s="273"/>
      <c r="B946" s="273"/>
      <c r="C946" s="745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  <c r="AJ946" s="273"/>
      <c r="AK946" s="273"/>
      <c r="AL946" s="273"/>
      <c r="AM946" s="273"/>
      <c r="AN946" s="273"/>
      <c r="AO946" s="273"/>
      <c r="AP946" s="273"/>
      <c r="AQ946" s="273"/>
      <c r="AR946" s="273"/>
      <c r="AS946" s="273"/>
      <c r="AT946" s="273"/>
      <c r="AU946" s="273"/>
      <c r="AV946" s="273"/>
      <c r="AW946" s="273"/>
      <c r="AX946" s="273"/>
      <c r="AY946" s="273"/>
      <c r="AZ946" s="273"/>
      <c r="BA946" s="273"/>
    </row>
    <row r="947">
      <c r="A947" s="273"/>
      <c r="B947" s="273"/>
      <c r="C947" s="745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  <c r="AJ947" s="273"/>
      <c r="AK947" s="273"/>
      <c r="AL947" s="273"/>
      <c r="AM947" s="273"/>
      <c r="AN947" s="273"/>
      <c r="AO947" s="273"/>
      <c r="AP947" s="273"/>
      <c r="AQ947" s="273"/>
      <c r="AR947" s="273"/>
      <c r="AS947" s="273"/>
      <c r="AT947" s="273"/>
      <c r="AU947" s="273"/>
      <c r="AV947" s="273"/>
      <c r="AW947" s="273"/>
      <c r="AX947" s="273"/>
      <c r="AY947" s="273"/>
      <c r="AZ947" s="273"/>
      <c r="BA947" s="273"/>
    </row>
    <row r="948">
      <c r="A948" s="273"/>
      <c r="B948" s="273"/>
      <c r="C948" s="745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  <c r="AJ948" s="273"/>
      <c r="AK948" s="273"/>
      <c r="AL948" s="273"/>
      <c r="AM948" s="273"/>
      <c r="AN948" s="273"/>
      <c r="AO948" s="273"/>
      <c r="AP948" s="273"/>
      <c r="AQ948" s="273"/>
      <c r="AR948" s="273"/>
      <c r="AS948" s="273"/>
      <c r="AT948" s="273"/>
      <c r="AU948" s="273"/>
      <c r="AV948" s="273"/>
      <c r="AW948" s="273"/>
      <c r="AX948" s="273"/>
      <c r="AY948" s="273"/>
      <c r="AZ948" s="273"/>
      <c r="BA948" s="273"/>
    </row>
    <row r="949">
      <c r="A949" s="273"/>
      <c r="B949" s="273"/>
      <c r="C949" s="745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  <c r="AJ949" s="273"/>
      <c r="AK949" s="273"/>
      <c r="AL949" s="273"/>
      <c r="AM949" s="273"/>
      <c r="AN949" s="273"/>
      <c r="AO949" s="273"/>
      <c r="AP949" s="273"/>
      <c r="AQ949" s="273"/>
      <c r="AR949" s="273"/>
      <c r="AS949" s="273"/>
      <c r="AT949" s="273"/>
      <c r="AU949" s="273"/>
      <c r="AV949" s="273"/>
      <c r="AW949" s="273"/>
      <c r="AX949" s="273"/>
      <c r="AY949" s="273"/>
      <c r="AZ949" s="273"/>
      <c r="BA949" s="273"/>
    </row>
    <row r="950">
      <c r="A950" s="273"/>
      <c r="B950" s="273"/>
      <c r="C950" s="745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  <c r="AJ950" s="273"/>
      <c r="AK950" s="273"/>
      <c r="AL950" s="273"/>
      <c r="AM950" s="273"/>
      <c r="AN950" s="273"/>
      <c r="AO950" s="273"/>
      <c r="AP950" s="273"/>
      <c r="AQ950" s="273"/>
      <c r="AR950" s="273"/>
      <c r="AS950" s="273"/>
      <c r="AT950" s="273"/>
      <c r="AU950" s="273"/>
      <c r="AV950" s="273"/>
      <c r="AW950" s="273"/>
      <c r="AX950" s="273"/>
      <c r="AY950" s="273"/>
      <c r="AZ950" s="273"/>
      <c r="BA950" s="273"/>
    </row>
    <row r="951">
      <c r="A951" s="273"/>
      <c r="B951" s="273"/>
      <c r="C951" s="745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  <c r="AJ951" s="273"/>
      <c r="AK951" s="273"/>
      <c r="AL951" s="273"/>
      <c r="AM951" s="273"/>
      <c r="AN951" s="273"/>
      <c r="AO951" s="273"/>
      <c r="AP951" s="273"/>
      <c r="AQ951" s="273"/>
      <c r="AR951" s="273"/>
      <c r="AS951" s="273"/>
      <c r="AT951" s="273"/>
      <c r="AU951" s="273"/>
      <c r="AV951" s="273"/>
      <c r="AW951" s="273"/>
      <c r="AX951" s="273"/>
      <c r="AY951" s="273"/>
      <c r="AZ951" s="273"/>
      <c r="BA951" s="273"/>
    </row>
    <row r="952">
      <c r="A952" s="273"/>
      <c r="B952" s="273"/>
      <c r="C952" s="745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  <c r="AJ952" s="273"/>
      <c r="AK952" s="273"/>
      <c r="AL952" s="273"/>
      <c r="AM952" s="273"/>
      <c r="AN952" s="273"/>
      <c r="AO952" s="273"/>
      <c r="AP952" s="273"/>
      <c r="AQ952" s="273"/>
      <c r="AR952" s="273"/>
      <c r="AS952" s="273"/>
      <c r="AT952" s="273"/>
      <c r="AU952" s="273"/>
      <c r="AV952" s="273"/>
      <c r="AW952" s="273"/>
      <c r="AX952" s="273"/>
      <c r="AY952" s="273"/>
      <c r="AZ952" s="273"/>
      <c r="BA952" s="273"/>
    </row>
    <row r="953">
      <c r="A953" s="273"/>
      <c r="B953" s="273"/>
      <c r="C953" s="745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  <c r="AJ953" s="273"/>
      <c r="AK953" s="273"/>
      <c r="AL953" s="273"/>
      <c r="AM953" s="273"/>
      <c r="AN953" s="273"/>
      <c r="AO953" s="273"/>
      <c r="AP953" s="273"/>
      <c r="AQ953" s="273"/>
      <c r="AR953" s="273"/>
      <c r="AS953" s="273"/>
      <c r="AT953" s="273"/>
      <c r="AU953" s="273"/>
      <c r="AV953" s="273"/>
      <c r="AW953" s="273"/>
      <c r="AX953" s="273"/>
      <c r="AY953" s="273"/>
      <c r="AZ953" s="273"/>
      <c r="BA953" s="273"/>
    </row>
    <row r="954">
      <c r="A954" s="273"/>
      <c r="B954" s="273"/>
      <c r="C954" s="745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  <c r="AJ954" s="273"/>
      <c r="AK954" s="273"/>
      <c r="AL954" s="273"/>
      <c r="AM954" s="273"/>
      <c r="AN954" s="273"/>
      <c r="AO954" s="273"/>
      <c r="AP954" s="273"/>
      <c r="AQ954" s="273"/>
      <c r="AR954" s="273"/>
      <c r="AS954" s="273"/>
      <c r="AT954" s="273"/>
      <c r="AU954" s="273"/>
      <c r="AV954" s="273"/>
      <c r="AW954" s="273"/>
      <c r="AX954" s="273"/>
      <c r="AY954" s="273"/>
      <c r="AZ954" s="273"/>
      <c r="BA954" s="273"/>
    </row>
    <row r="955">
      <c r="A955" s="273"/>
      <c r="B955" s="273"/>
      <c r="C955" s="745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  <c r="AJ955" s="273"/>
      <c r="AK955" s="273"/>
      <c r="AL955" s="273"/>
      <c r="AM955" s="273"/>
      <c r="AN955" s="273"/>
      <c r="AO955" s="273"/>
      <c r="AP955" s="273"/>
      <c r="AQ955" s="273"/>
      <c r="AR955" s="273"/>
      <c r="AS955" s="273"/>
      <c r="AT955" s="273"/>
      <c r="AU955" s="273"/>
      <c r="AV955" s="273"/>
      <c r="AW955" s="273"/>
      <c r="AX955" s="273"/>
      <c r="AY955" s="273"/>
      <c r="AZ955" s="273"/>
      <c r="BA955" s="273"/>
    </row>
    <row r="956">
      <c r="A956" s="273"/>
      <c r="B956" s="273"/>
      <c r="C956" s="745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  <c r="AJ956" s="273"/>
      <c r="AK956" s="273"/>
      <c r="AL956" s="273"/>
      <c r="AM956" s="273"/>
      <c r="AN956" s="273"/>
      <c r="AO956" s="273"/>
      <c r="AP956" s="273"/>
      <c r="AQ956" s="273"/>
      <c r="AR956" s="273"/>
      <c r="AS956" s="273"/>
      <c r="AT956" s="273"/>
      <c r="AU956" s="273"/>
      <c r="AV956" s="273"/>
      <c r="AW956" s="273"/>
      <c r="AX956" s="273"/>
      <c r="AY956" s="273"/>
      <c r="AZ956" s="273"/>
      <c r="BA956" s="273"/>
    </row>
    <row r="957">
      <c r="A957" s="273"/>
      <c r="B957" s="273"/>
      <c r="C957" s="745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  <c r="AJ957" s="273"/>
      <c r="AK957" s="273"/>
      <c r="AL957" s="273"/>
      <c r="AM957" s="273"/>
      <c r="AN957" s="273"/>
      <c r="AO957" s="273"/>
      <c r="AP957" s="273"/>
      <c r="AQ957" s="273"/>
      <c r="AR957" s="273"/>
      <c r="AS957" s="273"/>
      <c r="AT957" s="273"/>
      <c r="AU957" s="273"/>
      <c r="AV957" s="273"/>
      <c r="AW957" s="273"/>
      <c r="AX957" s="273"/>
      <c r="AY957" s="273"/>
      <c r="AZ957" s="273"/>
      <c r="BA957" s="273"/>
    </row>
    <row r="958">
      <c r="A958" s="273"/>
      <c r="B958" s="273"/>
      <c r="C958" s="745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  <c r="AJ958" s="273"/>
      <c r="AK958" s="273"/>
      <c r="AL958" s="273"/>
      <c r="AM958" s="273"/>
      <c r="AN958" s="273"/>
      <c r="AO958" s="273"/>
      <c r="AP958" s="273"/>
      <c r="AQ958" s="273"/>
      <c r="AR958" s="273"/>
      <c r="AS958" s="273"/>
      <c r="AT958" s="273"/>
      <c r="AU958" s="273"/>
      <c r="AV958" s="273"/>
      <c r="AW958" s="273"/>
      <c r="AX958" s="273"/>
      <c r="AY958" s="273"/>
      <c r="AZ958" s="273"/>
      <c r="BA958" s="273"/>
    </row>
    <row r="959">
      <c r="A959" s="273"/>
      <c r="B959" s="273"/>
      <c r="C959" s="745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  <c r="AJ959" s="273"/>
      <c r="AK959" s="273"/>
      <c r="AL959" s="273"/>
      <c r="AM959" s="273"/>
      <c r="AN959" s="273"/>
      <c r="AO959" s="273"/>
      <c r="AP959" s="273"/>
      <c r="AQ959" s="273"/>
      <c r="AR959" s="273"/>
      <c r="AS959" s="273"/>
      <c r="AT959" s="273"/>
      <c r="AU959" s="273"/>
      <c r="AV959" s="273"/>
      <c r="AW959" s="273"/>
      <c r="AX959" s="273"/>
      <c r="AY959" s="273"/>
      <c r="AZ959" s="273"/>
      <c r="BA959" s="273"/>
    </row>
    <row r="960">
      <c r="A960" s="273"/>
      <c r="B960" s="273"/>
      <c r="C960" s="745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  <c r="AJ960" s="273"/>
      <c r="AK960" s="273"/>
      <c r="AL960" s="273"/>
      <c r="AM960" s="273"/>
      <c r="AN960" s="273"/>
      <c r="AO960" s="273"/>
      <c r="AP960" s="273"/>
      <c r="AQ960" s="273"/>
      <c r="AR960" s="273"/>
      <c r="AS960" s="273"/>
      <c r="AT960" s="273"/>
      <c r="AU960" s="273"/>
      <c r="AV960" s="273"/>
      <c r="AW960" s="273"/>
      <c r="AX960" s="273"/>
      <c r="AY960" s="273"/>
      <c r="AZ960" s="273"/>
      <c r="BA960" s="273"/>
    </row>
    <row r="961">
      <c r="A961" s="273"/>
      <c r="B961" s="273"/>
      <c r="C961" s="745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  <c r="AJ961" s="273"/>
      <c r="AK961" s="273"/>
      <c r="AL961" s="273"/>
      <c r="AM961" s="273"/>
      <c r="AN961" s="273"/>
      <c r="AO961" s="273"/>
      <c r="AP961" s="273"/>
      <c r="AQ961" s="273"/>
      <c r="AR961" s="273"/>
      <c r="AS961" s="273"/>
      <c r="AT961" s="273"/>
      <c r="AU961" s="273"/>
      <c r="AV961" s="273"/>
      <c r="AW961" s="273"/>
      <c r="AX961" s="273"/>
      <c r="AY961" s="273"/>
      <c r="AZ961" s="273"/>
      <c r="BA961" s="273"/>
    </row>
    <row r="962">
      <c r="A962" s="273"/>
      <c r="B962" s="273"/>
      <c r="C962" s="745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  <c r="AJ962" s="273"/>
      <c r="AK962" s="273"/>
      <c r="AL962" s="273"/>
      <c r="AM962" s="273"/>
      <c r="AN962" s="273"/>
      <c r="AO962" s="273"/>
      <c r="AP962" s="273"/>
      <c r="AQ962" s="273"/>
      <c r="AR962" s="273"/>
      <c r="AS962" s="273"/>
      <c r="AT962" s="273"/>
      <c r="AU962" s="273"/>
      <c r="AV962" s="273"/>
      <c r="AW962" s="273"/>
      <c r="AX962" s="273"/>
      <c r="AY962" s="273"/>
      <c r="AZ962" s="273"/>
      <c r="BA962" s="273"/>
    </row>
    <row r="963">
      <c r="A963" s="273"/>
      <c r="B963" s="273"/>
      <c r="C963" s="745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  <c r="AJ963" s="273"/>
      <c r="AK963" s="273"/>
      <c r="AL963" s="273"/>
      <c r="AM963" s="273"/>
      <c r="AN963" s="273"/>
      <c r="AO963" s="273"/>
      <c r="AP963" s="273"/>
      <c r="AQ963" s="273"/>
      <c r="AR963" s="273"/>
      <c r="AS963" s="273"/>
      <c r="AT963" s="273"/>
      <c r="AU963" s="273"/>
      <c r="AV963" s="273"/>
      <c r="AW963" s="273"/>
      <c r="AX963" s="273"/>
      <c r="AY963" s="273"/>
      <c r="AZ963" s="273"/>
      <c r="BA963" s="273"/>
    </row>
    <row r="964">
      <c r="A964" s="273"/>
      <c r="B964" s="273"/>
      <c r="C964" s="745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  <c r="AJ964" s="273"/>
      <c r="AK964" s="273"/>
      <c r="AL964" s="273"/>
      <c r="AM964" s="273"/>
      <c r="AN964" s="273"/>
      <c r="AO964" s="273"/>
      <c r="AP964" s="273"/>
      <c r="AQ964" s="273"/>
      <c r="AR964" s="273"/>
      <c r="AS964" s="273"/>
      <c r="AT964" s="273"/>
      <c r="AU964" s="273"/>
      <c r="AV964" s="273"/>
      <c r="AW964" s="273"/>
      <c r="AX964" s="273"/>
      <c r="AY964" s="273"/>
      <c r="AZ964" s="273"/>
      <c r="BA964" s="273"/>
    </row>
    <row r="965">
      <c r="A965" s="273"/>
      <c r="B965" s="273"/>
      <c r="C965" s="745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  <c r="AJ965" s="273"/>
      <c r="AK965" s="273"/>
      <c r="AL965" s="273"/>
      <c r="AM965" s="273"/>
      <c r="AN965" s="273"/>
      <c r="AO965" s="273"/>
      <c r="AP965" s="273"/>
      <c r="AQ965" s="273"/>
      <c r="AR965" s="273"/>
      <c r="AS965" s="273"/>
      <c r="AT965" s="273"/>
      <c r="AU965" s="273"/>
      <c r="AV965" s="273"/>
      <c r="AW965" s="273"/>
      <c r="AX965" s="273"/>
      <c r="AY965" s="273"/>
      <c r="AZ965" s="273"/>
      <c r="BA965" s="273"/>
    </row>
    <row r="966">
      <c r="A966" s="273"/>
      <c r="B966" s="273"/>
      <c r="C966" s="745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  <c r="AJ966" s="273"/>
      <c r="AK966" s="273"/>
      <c r="AL966" s="273"/>
      <c r="AM966" s="273"/>
      <c r="AN966" s="273"/>
      <c r="AO966" s="273"/>
      <c r="AP966" s="273"/>
      <c r="AQ966" s="273"/>
      <c r="AR966" s="273"/>
      <c r="AS966" s="273"/>
      <c r="AT966" s="273"/>
      <c r="AU966" s="273"/>
      <c r="AV966" s="273"/>
      <c r="AW966" s="273"/>
      <c r="AX966" s="273"/>
      <c r="AY966" s="273"/>
      <c r="AZ966" s="273"/>
      <c r="BA966" s="273"/>
    </row>
    <row r="967">
      <c r="A967" s="273"/>
      <c r="B967" s="273"/>
      <c r="C967" s="745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  <c r="AJ967" s="273"/>
      <c r="AK967" s="273"/>
      <c r="AL967" s="273"/>
      <c r="AM967" s="273"/>
      <c r="AN967" s="273"/>
      <c r="AO967" s="273"/>
      <c r="AP967" s="273"/>
      <c r="AQ967" s="273"/>
      <c r="AR967" s="273"/>
      <c r="AS967" s="273"/>
      <c r="AT967" s="273"/>
      <c r="AU967" s="273"/>
      <c r="AV967" s="273"/>
      <c r="AW967" s="273"/>
      <c r="AX967" s="273"/>
      <c r="AY967" s="273"/>
      <c r="AZ967" s="273"/>
      <c r="BA967" s="273"/>
    </row>
    <row r="968">
      <c r="A968" s="273"/>
      <c r="B968" s="273"/>
      <c r="C968" s="745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  <c r="AJ968" s="273"/>
      <c r="AK968" s="273"/>
      <c r="AL968" s="273"/>
      <c r="AM968" s="273"/>
      <c r="AN968" s="273"/>
      <c r="AO968" s="273"/>
      <c r="AP968" s="273"/>
      <c r="AQ968" s="273"/>
      <c r="AR968" s="273"/>
      <c r="AS968" s="273"/>
      <c r="AT968" s="273"/>
      <c r="AU968" s="273"/>
      <c r="AV968" s="273"/>
      <c r="AW968" s="273"/>
      <c r="AX968" s="273"/>
      <c r="AY968" s="273"/>
      <c r="AZ968" s="273"/>
      <c r="BA968" s="273"/>
    </row>
    <row r="969">
      <c r="A969" s="273"/>
      <c r="B969" s="273"/>
      <c r="C969" s="745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  <c r="AJ969" s="273"/>
      <c r="AK969" s="273"/>
      <c r="AL969" s="273"/>
      <c r="AM969" s="273"/>
      <c r="AN969" s="273"/>
      <c r="AO969" s="273"/>
      <c r="AP969" s="273"/>
      <c r="AQ969" s="273"/>
      <c r="AR969" s="273"/>
      <c r="AS969" s="273"/>
      <c r="AT969" s="273"/>
      <c r="AU969" s="273"/>
      <c r="AV969" s="273"/>
      <c r="AW969" s="273"/>
      <c r="AX969" s="273"/>
      <c r="AY969" s="273"/>
      <c r="AZ969" s="273"/>
      <c r="BA969" s="273"/>
    </row>
    <row r="970">
      <c r="A970" s="273"/>
      <c r="B970" s="273"/>
      <c r="C970" s="745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  <c r="AJ970" s="273"/>
      <c r="AK970" s="273"/>
      <c r="AL970" s="273"/>
      <c r="AM970" s="273"/>
      <c r="AN970" s="273"/>
      <c r="AO970" s="273"/>
      <c r="AP970" s="273"/>
      <c r="AQ970" s="273"/>
      <c r="AR970" s="273"/>
      <c r="AS970" s="273"/>
      <c r="AT970" s="273"/>
      <c r="AU970" s="273"/>
      <c r="AV970" s="273"/>
      <c r="AW970" s="273"/>
      <c r="AX970" s="273"/>
      <c r="AY970" s="273"/>
      <c r="AZ970" s="273"/>
      <c r="BA970" s="273"/>
    </row>
    <row r="971">
      <c r="A971" s="273"/>
      <c r="B971" s="273"/>
      <c r="C971" s="745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  <c r="AJ971" s="273"/>
      <c r="AK971" s="273"/>
      <c r="AL971" s="273"/>
      <c r="AM971" s="273"/>
      <c r="AN971" s="273"/>
      <c r="AO971" s="273"/>
      <c r="AP971" s="273"/>
      <c r="AQ971" s="273"/>
      <c r="AR971" s="273"/>
      <c r="AS971" s="273"/>
      <c r="AT971" s="273"/>
      <c r="AU971" s="273"/>
      <c r="AV971" s="273"/>
      <c r="AW971" s="273"/>
      <c r="AX971" s="273"/>
      <c r="AY971" s="273"/>
      <c r="AZ971" s="273"/>
      <c r="BA971" s="273"/>
    </row>
    <row r="972">
      <c r="A972" s="273"/>
      <c r="B972" s="273"/>
      <c r="C972" s="745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  <c r="AJ972" s="273"/>
      <c r="AK972" s="273"/>
      <c r="AL972" s="273"/>
      <c r="AM972" s="273"/>
      <c r="AN972" s="273"/>
      <c r="AO972" s="273"/>
      <c r="AP972" s="273"/>
      <c r="AQ972" s="273"/>
      <c r="AR972" s="273"/>
      <c r="AS972" s="273"/>
      <c r="AT972" s="273"/>
      <c r="AU972" s="273"/>
      <c r="AV972" s="273"/>
      <c r="AW972" s="273"/>
      <c r="AX972" s="273"/>
      <c r="AY972" s="273"/>
      <c r="AZ972" s="273"/>
      <c r="BA972" s="273"/>
    </row>
    <row r="973">
      <c r="A973" s="273"/>
      <c r="B973" s="273"/>
      <c r="C973" s="745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  <c r="AJ973" s="273"/>
      <c r="AK973" s="273"/>
      <c r="AL973" s="273"/>
      <c r="AM973" s="273"/>
      <c r="AN973" s="273"/>
      <c r="AO973" s="273"/>
      <c r="AP973" s="273"/>
      <c r="AQ973" s="273"/>
      <c r="AR973" s="273"/>
      <c r="AS973" s="273"/>
      <c r="AT973" s="273"/>
      <c r="AU973" s="273"/>
      <c r="AV973" s="273"/>
      <c r="AW973" s="273"/>
      <c r="AX973" s="273"/>
      <c r="AY973" s="273"/>
      <c r="AZ973" s="273"/>
      <c r="BA973" s="273"/>
    </row>
    <row r="974">
      <c r="A974" s="273"/>
      <c r="B974" s="273"/>
      <c r="C974" s="745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  <c r="AJ974" s="273"/>
      <c r="AK974" s="273"/>
      <c r="AL974" s="273"/>
      <c r="AM974" s="273"/>
      <c r="AN974" s="273"/>
      <c r="AO974" s="273"/>
      <c r="AP974" s="273"/>
      <c r="AQ974" s="273"/>
      <c r="AR974" s="273"/>
      <c r="AS974" s="273"/>
      <c r="AT974" s="273"/>
      <c r="AU974" s="273"/>
      <c r="AV974" s="273"/>
      <c r="AW974" s="273"/>
      <c r="AX974" s="273"/>
      <c r="AY974" s="273"/>
      <c r="AZ974" s="273"/>
      <c r="BA974" s="273"/>
    </row>
    <row r="975">
      <c r="A975" s="273"/>
      <c r="B975" s="273"/>
      <c r="C975" s="745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  <c r="AJ975" s="273"/>
      <c r="AK975" s="273"/>
      <c r="AL975" s="273"/>
      <c r="AM975" s="273"/>
      <c r="AN975" s="273"/>
      <c r="AO975" s="273"/>
      <c r="AP975" s="273"/>
      <c r="AQ975" s="273"/>
      <c r="AR975" s="273"/>
      <c r="AS975" s="273"/>
      <c r="AT975" s="273"/>
      <c r="AU975" s="273"/>
      <c r="AV975" s="273"/>
      <c r="AW975" s="273"/>
      <c r="AX975" s="273"/>
      <c r="AY975" s="273"/>
      <c r="AZ975" s="273"/>
      <c r="BA975" s="273"/>
    </row>
    <row r="976">
      <c r="A976" s="273"/>
      <c r="B976" s="273"/>
      <c r="C976" s="745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  <c r="AJ976" s="273"/>
      <c r="AK976" s="273"/>
      <c r="AL976" s="273"/>
      <c r="AM976" s="273"/>
      <c r="AN976" s="273"/>
      <c r="AO976" s="273"/>
      <c r="AP976" s="273"/>
      <c r="AQ976" s="273"/>
      <c r="AR976" s="273"/>
      <c r="AS976" s="273"/>
      <c r="AT976" s="273"/>
      <c r="AU976" s="273"/>
      <c r="AV976" s="273"/>
      <c r="AW976" s="273"/>
      <c r="AX976" s="273"/>
      <c r="AY976" s="273"/>
      <c r="AZ976" s="273"/>
      <c r="BA976" s="273"/>
    </row>
    <row r="977">
      <c r="A977" s="273"/>
      <c r="B977" s="273"/>
      <c r="C977" s="745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  <c r="AJ977" s="273"/>
      <c r="AK977" s="273"/>
      <c r="AL977" s="273"/>
      <c r="AM977" s="273"/>
      <c r="AN977" s="273"/>
      <c r="AO977" s="273"/>
      <c r="AP977" s="273"/>
      <c r="AQ977" s="273"/>
      <c r="AR977" s="273"/>
      <c r="AS977" s="273"/>
      <c r="AT977" s="273"/>
      <c r="AU977" s="273"/>
      <c r="AV977" s="273"/>
      <c r="AW977" s="273"/>
      <c r="AX977" s="273"/>
      <c r="AY977" s="273"/>
      <c r="AZ977" s="273"/>
      <c r="BA977" s="273"/>
    </row>
    <row r="978">
      <c r="A978" s="273"/>
      <c r="B978" s="273"/>
      <c r="C978" s="745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  <c r="AJ978" s="273"/>
      <c r="AK978" s="273"/>
      <c r="AL978" s="273"/>
      <c r="AM978" s="273"/>
      <c r="AN978" s="273"/>
      <c r="AO978" s="273"/>
      <c r="AP978" s="273"/>
      <c r="AQ978" s="273"/>
      <c r="AR978" s="273"/>
      <c r="AS978" s="273"/>
      <c r="AT978" s="273"/>
      <c r="AU978" s="273"/>
      <c r="AV978" s="273"/>
      <c r="AW978" s="273"/>
      <c r="AX978" s="273"/>
      <c r="AY978" s="273"/>
      <c r="AZ978" s="273"/>
      <c r="BA978" s="273"/>
    </row>
    <row r="979">
      <c r="A979" s="273"/>
      <c r="B979" s="273"/>
      <c r="C979" s="745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  <c r="AJ979" s="273"/>
      <c r="AK979" s="273"/>
      <c r="AL979" s="273"/>
      <c r="AM979" s="273"/>
      <c r="AN979" s="273"/>
      <c r="AO979" s="273"/>
      <c r="AP979" s="273"/>
      <c r="AQ979" s="273"/>
      <c r="AR979" s="273"/>
      <c r="AS979" s="273"/>
      <c r="AT979" s="273"/>
      <c r="AU979" s="273"/>
      <c r="AV979" s="273"/>
      <c r="AW979" s="273"/>
      <c r="AX979" s="273"/>
      <c r="AY979" s="273"/>
      <c r="AZ979" s="273"/>
      <c r="BA979" s="273"/>
    </row>
    <row r="980">
      <c r="A980" s="273"/>
      <c r="B980" s="273"/>
      <c r="C980" s="745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  <c r="AJ980" s="273"/>
      <c r="AK980" s="273"/>
      <c r="AL980" s="273"/>
      <c r="AM980" s="273"/>
      <c r="AN980" s="273"/>
      <c r="AO980" s="273"/>
      <c r="AP980" s="273"/>
      <c r="AQ980" s="273"/>
      <c r="AR980" s="273"/>
      <c r="AS980" s="273"/>
      <c r="AT980" s="273"/>
      <c r="AU980" s="273"/>
      <c r="AV980" s="273"/>
      <c r="AW980" s="273"/>
      <c r="AX980" s="273"/>
      <c r="AY980" s="273"/>
      <c r="AZ980" s="273"/>
      <c r="BA980" s="273"/>
    </row>
    <row r="981">
      <c r="A981" s="273"/>
      <c r="B981" s="273"/>
      <c r="C981" s="745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  <c r="AJ981" s="273"/>
      <c r="AK981" s="273"/>
      <c r="AL981" s="273"/>
      <c r="AM981" s="273"/>
      <c r="AN981" s="273"/>
      <c r="AO981" s="273"/>
      <c r="AP981" s="273"/>
      <c r="AQ981" s="273"/>
      <c r="AR981" s="273"/>
      <c r="AS981" s="273"/>
      <c r="AT981" s="273"/>
      <c r="AU981" s="273"/>
      <c r="AV981" s="273"/>
      <c r="AW981" s="273"/>
      <c r="AX981" s="273"/>
      <c r="AY981" s="273"/>
      <c r="AZ981" s="273"/>
      <c r="BA981" s="273"/>
    </row>
    <row r="982">
      <c r="A982" s="273"/>
      <c r="B982" s="273"/>
      <c r="C982" s="745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  <c r="AJ982" s="273"/>
      <c r="AK982" s="273"/>
      <c r="AL982" s="273"/>
      <c r="AM982" s="273"/>
      <c r="AN982" s="273"/>
      <c r="AO982" s="273"/>
      <c r="AP982" s="273"/>
      <c r="AQ982" s="273"/>
      <c r="AR982" s="273"/>
      <c r="AS982" s="273"/>
      <c r="AT982" s="273"/>
      <c r="AU982" s="273"/>
      <c r="AV982" s="273"/>
      <c r="AW982" s="273"/>
      <c r="AX982" s="273"/>
      <c r="AY982" s="273"/>
      <c r="AZ982" s="273"/>
      <c r="BA982" s="273"/>
    </row>
    <row r="983">
      <c r="A983" s="273"/>
      <c r="B983" s="273"/>
      <c r="C983" s="745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  <c r="AJ983" s="273"/>
      <c r="AK983" s="273"/>
      <c r="AL983" s="273"/>
      <c r="AM983" s="273"/>
      <c r="AN983" s="273"/>
      <c r="AO983" s="273"/>
      <c r="AP983" s="273"/>
      <c r="AQ983" s="273"/>
      <c r="AR983" s="273"/>
      <c r="AS983" s="273"/>
      <c r="AT983" s="273"/>
      <c r="AU983" s="273"/>
      <c r="AV983" s="273"/>
      <c r="AW983" s="273"/>
      <c r="AX983" s="273"/>
      <c r="AY983" s="273"/>
      <c r="AZ983" s="273"/>
      <c r="BA983" s="273"/>
    </row>
    <row r="984">
      <c r="A984" s="273"/>
      <c r="B984" s="273"/>
      <c r="C984" s="745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  <c r="AJ984" s="273"/>
      <c r="AK984" s="273"/>
      <c r="AL984" s="273"/>
      <c r="AM984" s="273"/>
      <c r="AN984" s="273"/>
      <c r="AO984" s="273"/>
      <c r="AP984" s="273"/>
      <c r="AQ984" s="273"/>
      <c r="AR984" s="273"/>
      <c r="AS984" s="273"/>
      <c r="AT984" s="273"/>
      <c r="AU984" s="273"/>
      <c r="AV984" s="273"/>
      <c r="AW984" s="273"/>
      <c r="AX984" s="273"/>
      <c r="AY984" s="273"/>
      <c r="AZ984" s="273"/>
      <c r="BA984" s="273"/>
    </row>
    <row r="985">
      <c r="A985" s="273"/>
      <c r="B985" s="273"/>
      <c r="C985" s="745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  <c r="AJ985" s="273"/>
      <c r="AK985" s="273"/>
      <c r="AL985" s="273"/>
      <c r="AM985" s="273"/>
      <c r="AN985" s="273"/>
      <c r="AO985" s="273"/>
      <c r="AP985" s="273"/>
      <c r="AQ985" s="273"/>
      <c r="AR985" s="273"/>
      <c r="AS985" s="273"/>
      <c r="AT985" s="273"/>
      <c r="AU985" s="273"/>
      <c r="AV985" s="273"/>
      <c r="AW985" s="273"/>
      <c r="AX985" s="273"/>
      <c r="AY985" s="273"/>
      <c r="AZ985" s="273"/>
      <c r="BA985" s="273"/>
    </row>
    <row r="986">
      <c r="A986" s="273"/>
      <c r="B986" s="273"/>
      <c r="C986" s="745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  <c r="AJ986" s="273"/>
      <c r="AK986" s="273"/>
      <c r="AL986" s="273"/>
      <c r="AM986" s="273"/>
      <c r="AN986" s="273"/>
      <c r="AO986" s="273"/>
      <c r="AP986" s="273"/>
      <c r="AQ986" s="273"/>
      <c r="AR986" s="273"/>
      <c r="AS986" s="273"/>
      <c r="AT986" s="273"/>
      <c r="AU986" s="273"/>
      <c r="AV986" s="273"/>
      <c r="AW986" s="273"/>
      <c r="AX986" s="273"/>
      <c r="AY986" s="273"/>
      <c r="AZ986" s="273"/>
      <c r="BA986" s="273"/>
    </row>
    <row r="987">
      <c r="A987" s="273"/>
      <c r="B987" s="273"/>
      <c r="C987" s="745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  <c r="AJ987" s="273"/>
      <c r="AK987" s="273"/>
      <c r="AL987" s="273"/>
      <c r="AM987" s="273"/>
      <c r="AN987" s="273"/>
      <c r="AO987" s="273"/>
      <c r="AP987" s="273"/>
      <c r="AQ987" s="273"/>
      <c r="AR987" s="273"/>
      <c r="AS987" s="273"/>
      <c r="AT987" s="273"/>
      <c r="AU987" s="273"/>
      <c r="AV987" s="273"/>
      <c r="AW987" s="273"/>
      <c r="AX987" s="273"/>
      <c r="AY987" s="273"/>
      <c r="AZ987" s="273"/>
      <c r="BA987" s="273"/>
    </row>
    <row r="988">
      <c r="A988" s="273"/>
      <c r="B988" s="273"/>
      <c r="C988" s="745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  <c r="AJ988" s="273"/>
      <c r="AK988" s="273"/>
      <c r="AL988" s="273"/>
      <c r="AM988" s="273"/>
      <c r="AN988" s="273"/>
      <c r="AO988" s="273"/>
      <c r="AP988" s="273"/>
      <c r="AQ988" s="273"/>
      <c r="AR988" s="273"/>
      <c r="AS988" s="273"/>
      <c r="AT988" s="273"/>
      <c r="AU988" s="273"/>
      <c r="AV988" s="273"/>
      <c r="AW988" s="273"/>
      <c r="AX988" s="273"/>
      <c r="AY988" s="273"/>
      <c r="AZ988" s="273"/>
      <c r="BA988" s="273"/>
    </row>
    <row r="989">
      <c r="A989" s="273"/>
      <c r="B989" s="273"/>
      <c r="C989" s="745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  <c r="AJ989" s="273"/>
      <c r="AK989" s="273"/>
      <c r="AL989" s="273"/>
      <c r="AM989" s="273"/>
      <c r="AN989" s="273"/>
      <c r="AO989" s="273"/>
      <c r="AP989" s="273"/>
      <c r="AQ989" s="273"/>
      <c r="AR989" s="273"/>
      <c r="AS989" s="273"/>
      <c r="AT989" s="273"/>
      <c r="AU989" s="273"/>
      <c r="AV989" s="273"/>
      <c r="AW989" s="273"/>
      <c r="AX989" s="273"/>
      <c r="AY989" s="273"/>
      <c r="AZ989" s="273"/>
      <c r="BA989" s="273"/>
    </row>
    <row r="990">
      <c r="A990" s="273"/>
      <c r="B990" s="273"/>
      <c r="C990" s="745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  <c r="AJ990" s="273"/>
      <c r="AK990" s="273"/>
      <c r="AL990" s="273"/>
      <c r="AM990" s="273"/>
      <c r="AN990" s="273"/>
      <c r="AO990" s="273"/>
      <c r="AP990" s="273"/>
      <c r="AQ990" s="273"/>
      <c r="AR990" s="273"/>
      <c r="AS990" s="273"/>
      <c r="AT990" s="273"/>
      <c r="AU990" s="273"/>
      <c r="AV990" s="273"/>
      <c r="AW990" s="273"/>
      <c r="AX990" s="273"/>
      <c r="AY990" s="273"/>
      <c r="AZ990" s="273"/>
      <c r="BA990" s="273"/>
    </row>
    <row r="991">
      <c r="A991" s="273"/>
      <c r="B991" s="273"/>
      <c r="C991" s="745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  <c r="AJ991" s="273"/>
      <c r="AK991" s="273"/>
      <c r="AL991" s="273"/>
      <c r="AM991" s="273"/>
      <c r="AN991" s="273"/>
      <c r="AO991" s="273"/>
      <c r="AP991" s="273"/>
      <c r="AQ991" s="273"/>
      <c r="AR991" s="273"/>
      <c r="AS991" s="273"/>
      <c r="AT991" s="273"/>
      <c r="AU991" s="273"/>
      <c r="AV991" s="273"/>
      <c r="AW991" s="273"/>
      <c r="AX991" s="273"/>
      <c r="AY991" s="273"/>
      <c r="AZ991" s="273"/>
      <c r="BA991" s="273"/>
    </row>
    <row r="992">
      <c r="A992" s="273"/>
      <c r="B992" s="273"/>
      <c r="C992" s="745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  <c r="AJ992" s="273"/>
      <c r="AK992" s="273"/>
      <c r="AL992" s="273"/>
      <c r="AM992" s="273"/>
      <c r="AN992" s="273"/>
      <c r="AO992" s="273"/>
      <c r="AP992" s="273"/>
      <c r="AQ992" s="273"/>
      <c r="AR992" s="273"/>
      <c r="AS992" s="273"/>
      <c r="AT992" s="273"/>
      <c r="AU992" s="273"/>
      <c r="AV992" s="273"/>
      <c r="AW992" s="273"/>
      <c r="AX992" s="273"/>
      <c r="AY992" s="273"/>
      <c r="AZ992" s="273"/>
      <c r="BA992" s="273"/>
    </row>
    <row r="993">
      <c r="A993" s="273"/>
      <c r="B993" s="273"/>
      <c r="C993" s="745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  <c r="AJ993" s="273"/>
      <c r="AK993" s="273"/>
      <c r="AL993" s="273"/>
      <c r="AM993" s="273"/>
      <c r="AN993" s="273"/>
      <c r="AO993" s="273"/>
      <c r="AP993" s="273"/>
      <c r="AQ993" s="273"/>
      <c r="AR993" s="273"/>
      <c r="AS993" s="273"/>
      <c r="AT993" s="273"/>
      <c r="AU993" s="273"/>
      <c r="AV993" s="273"/>
      <c r="AW993" s="273"/>
      <c r="AX993" s="273"/>
      <c r="AY993" s="273"/>
      <c r="AZ993" s="273"/>
      <c r="BA993" s="273"/>
    </row>
    <row r="994">
      <c r="A994" s="273"/>
      <c r="B994" s="273"/>
      <c r="C994" s="745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  <c r="AJ994" s="273"/>
      <c r="AK994" s="273"/>
      <c r="AL994" s="273"/>
      <c r="AM994" s="273"/>
      <c r="AN994" s="273"/>
      <c r="AO994" s="273"/>
      <c r="AP994" s="273"/>
      <c r="AQ994" s="273"/>
      <c r="AR994" s="273"/>
      <c r="AS994" s="273"/>
      <c r="AT994" s="273"/>
      <c r="AU994" s="273"/>
      <c r="AV994" s="273"/>
      <c r="AW994" s="273"/>
      <c r="AX994" s="273"/>
      <c r="AY994" s="273"/>
      <c r="AZ994" s="273"/>
      <c r="BA994" s="273"/>
    </row>
    <row r="995">
      <c r="A995" s="273"/>
      <c r="B995" s="273"/>
      <c r="C995" s="745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  <c r="AJ995" s="273"/>
      <c r="AK995" s="273"/>
      <c r="AL995" s="273"/>
      <c r="AM995" s="273"/>
      <c r="AN995" s="273"/>
      <c r="AO995" s="273"/>
      <c r="AP995" s="273"/>
      <c r="AQ995" s="273"/>
      <c r="AR995" s="273"/>
      <c r="AS995" s="273"/>
      <c r="AT995" s="273"/>
      <c r="AU995" s="273"/>
      <c r="AV995" s="273"/>
      <c r="AW995" s="273"/>
      <c r="AX995" s="273"/>
      <c r="AY995" s="273"/>
      <c r="AZ995" s="273"/>
      <c r="BA995" s="273"/>
    </row>
    <row r="996">
      <c r="A996" s="273"/>
      <c r="B996" s="273"/>
      <c r="C996" s="745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  <c r="AJ996" s="273"/>
      <c r="AK996" s="273"/>
      <c r="AL996" s="273"/>
      <c r="AM996" s="273"/>
      <c r="AN996" s="273"/>
      <c r="AO996" s="273"/>
      <c r="AP996" s="273"/>
      <c r="AQ996" s="273"/>
      <c r="AR996" s="273"/>
      <c r="AS996" s="273"/>
      <c r="AT996" s="273"/>
      <c r="AU996" s="273"/>
      <c r="AV996" s="273"/>
      <c r="AW996" s="273"/>
      <c r="AX996" s="273"/>
      <c r="AY996" s="273"/>
      <c r="AZ996" s="273"/>
      <c r="BA996" s="273"/>
    </row>
    <row r="997">
      <c r="A997" s="273"/>
      <c r="B997" s="273"/>
      <c r="C997" s="745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  <c r="AJ997" s="273"/>
      <c r="AK997" s="273"/>
      <c r="AL997" s="273"/>
      <c r="AM997" s="273"/>
      <c r="AN997" s="273"/>
      <c r="AO997" s="273"/>
      <c r="AP997" s="273"/>
      <c r="AQ997" s="273"/>
      <c r="AR997" s="273"/>
      <c r="AS997" s="273"/>
      <c r="AT997" s="273"/>
      <c r="AU997" s="273"/>
      <c r="AV997" s="273"/>
      <c r="AW997" s="273"/>
      <c r="AX997" s="273"/>
      <c r="AY997" s="273"/>
      <c r="AZ997" s="273"/>
      <c r="BA997" s="273"/>
    </row>
    <row r="998">
      <c r="A998" s="273"/>
      <c r="B998" s="273"/>
      <c r="C998" s="745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  <c r="AJ998" s="273"/>
      <c r="AK998" s="273"/>
      <c r="AL998" s="273"/>
      <c r="AM998" s="273"/>
      <c r="AN998" s="273"/>
      <c r="AO998" s="273"/>
      <c r="AP998" s="273"/>
      <c r="AQ998" s="273"/>
      <c r="AR998" s="273"/>
      <c r="AS998" s="273"/>
      <c r="AT998" s="273"/>
      <c r="AU998" s="273"/>
      <c r="AV998" s="273"/>
      <c r="AW998" s="273"/>
      <c r="AX998" s="273"/>
      <c r="AY998" s="273"/>
      <c r="AZ998" s="273"/>
      <c r="BA998" s="273"/>
    </row>
    <row r="999">
      <c r="A999" s="273"/>
      <c r="B999" s="273"/>
      <c r="C999" s="745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  <c r="AJ999" s="273"/>
      <c r="AK999" s="273"/>
      <c r="AL999" s="273"/>
      <c r="AM999" s="273"/>
      <c r="AN999" s="273"/>
      <c r="AO999" s="273"/>
      <c r="AP999" s="273"/>
      <c r="AQ999" s="273"/>
      <c r="AR999" s="273"/>
      <c r="AS999" s="273"/>
      <c r="AT999" s="273"/>
      <c r="AU999" s="273"/>
      <c r="AV999" s="273"/>
      <c r="AW999" s="273"/>
      <c r="AX999" s="273"/>
      <c r="AY999" s="273"/>
      <c r="AZ999" s="273"/>
      <c r="BA999" s="273"/>
    </row>
    <row r="1000">
      <c r="A1000" s="273"/>
      <c r="B1000" s="273"/>
      <c r="C1000" s="745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  <c r="AJ1000" s="273"/>
      <c r="AK1000" s="273"/>
      <c r="AL1000" s="273"/>
      <c r="AM1000" s="273"/>
      <c r="AN1000" s="273"/>
      <c r="AO1000" s="273"/>
      <c r="AP1000" s="273"/>
      <c r="AQ1000" s="273"/>
      <c r="AR1000" s="273"/>
      <c r="AS1000" s="273"/>
      <c r="AT1000" s="273"/>
      <c r="AU1000" s="273"/>
      <c r="AV1000" s="273"/>
      <c r="AW1000" s="273"/>
      <c r="AX1000" s="273"/>
      <c r="AY1000" s="273"/>
      <c r="AZ1000" s="273"/>
      <c r="BA1000" s="273"/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4" width="12.63"/>
    <col customWidth="1" min="5" max="5" width="0.5"/>
    <col customWidth="1" min="6" max="6" width="12.63"/>
    <col customWidth="1" min="7" max="7" width="0.38"/>
    <col customWidth="1" min="8" max="8" width="12.63"/>
    <col customWidth="1" min="9" max="9" width="1.13"/>
    <col customWidth="1" min="10" max="10" width="12.63"/>
    <col customWidth="1" min="11" max="11" width="3.63"/>
    <col customWidth="1" min="12" max="13" width="12.63"/>
    <col customWidth="1" min="14" max="14" width="0.63"/>
    <col customWidth="1" min="15" max="17" width="12.63"/>
    <col customWidth="1" min="18" max="18" width="0.38"/>
    <col customWidth="1" min="19" max="19" width="12.63"/>
    <col customWidth="1" min="20" max="20" width="0.5"/>
    <col customWidth="1" min="21" max="21" width="10.38"/>
    <col customWidth="1" min="22" max="22" width="2.63"/>
    <col customWidth="1" min="23" max="26" width="12.63"/>
    <col customWidth="1" min="27" max="27" width="0.38"/>
  </cols>
  <sheetData>
    <row r="1">
      <c r="A1" s="781"/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  <c r="AA1" s="781"/>
    </row>
    <row r="2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  <c r="Y2" s="781"/>
      <c r="Z2" s="781"/>
      <c r="AA2" s="781"/>
    </row>
    <row r="3">
      <c r="A3" s="781"/>
      <c r="B3" s="781"/>
      <c r="C3" s="781"/>
      <c r="D3" s="781"/>
      <c r="E3" s="781"/>
      <c r="F3" s="781"/>
      <c r="G3" s="781"/>
      <c r="H3" s="781"/>
      <c r="I3" s="781"/>
      <c r="J3" s="781"/>
      <c r="K3" s="781"/>
      <c r="L3" s="781"/>
      <c r="M3" s="781"/>
      <c r="N3" s="781"/>
      <c r="O3" s="781"/>
      <c r="P3" s="781"/>
      <c r="Q3" s="781"/>
      <c r="R3" s="781"/>
      <c r="S3" s="781"/>
      <c r="T3" s="781"/>
      <c r="U3" s="781"/>
      <c r="V3" s="781"/>
      <c r="W3" s="781"/>
      <c r="X3" s="781"/>
      <c r="Y3" s="781"/>
      <c r="Z3" s="781"/>
      <c r="AA3" s="781"/>
    </row>
    <row r="4">
      <c r="A4" s="781"/>
      <c r="B4" s="782" t="s">
        <v>275</v>
      </c>
      <c r="G4" s="781"/>
      <c r="H4" s="783" t="s">
        <v>276</v>
      </c>
      <c r="N4" s="781"/>
      <c r="O4" s="784" t="s">
        <v>277</v>
      </c>
      <c r="T4" s="781"/>
      <c r="U4" s="785" t="s">
        <v>278</v>
      </c>
      <c r="AA4" s="781"/>
    </row>
    <row r="5">
      <c r="A5" s="781"/>
      <c r="G5" s="781"/>
      <c r="N5" s="781"/>
      <c r="T5" s="781"/>
      <c r="AA5" s="781"/>
    </row>
    <row r="6">
      <c r="A6" s="781"/>
      <c r="G6" s="781"/>
      <c r="N6" s="781"/>
      <c r="T6" s="781"/>
      <c r="AA6" s="781"/>
    </row>
    <row r="7">
      <c r="A7" s="781"/>
      <c r="G7" s="781"/>
      <c r="N7" s="781"/>
      <c r="T7" s="781"/>
      <c r="AA7" s="781"/>
    </row>
    <row r="8">
      <c r="A8" s="781"/>
      <c r="G8" s="781"/>
      <c r="N8" s="781"/>
      <c r="T8" s="781"/>
      <c r="AA8" s="781"/>
    </row>
    <row r="9">
      <c r="A9" s="781"/>
      <c r="B9" s="586"/>
      <c r="C9" s="586"/>
      <c r="D9" s="586"/>
      <c r="E9" s="586"/>
      <c r="F9" s="586"/>
      <c r="G9" s="781"/>
      <c r="H9" s="586"/>
      <c r="I9" s="586"/>
      <c r="J9" s="586"/>
      <c r="K9" s="586"/>
      <c r="L9" s="586"/>
      <c r="M9" s="586"/>
      <c r="N9" s="781"/>
      <c r="O9" s="586"/>
      <c r="P9" s="586"/>
      <c r="Q9" s="586"/>
      <c r="R9" s="586"/>
      <c r="S9" s="586"/>
      <c r="T9" s="781"/>
      <c r="U9" s="586"/>
      <c r="V9" s="586"/>
      <c r="W9" s="586"/>
      <c r="X9" s="586"/>
      <c r="Y9" s="586"/>
      <c r="Z9" s="586"/>
      <c r="AA9" s="781"/>
    </row>
    <row r="10">
      <c r="A10" s="781"/>
      <c r="B10" s="781"/>
      <c r="C10" s="786" t="s">
        <v>62</v>
      </c>
      <c r="D10" s="787"/>
      <c r="E10" s="787"/>
      <c r="F10" s="781"/>
      <c r="G10" s="781"/>
      <c r="H10" s="781"/>
      <c r="I10" s="788" t="s">
        <v>172</v>
      </c>
      <c r="M10" s="781"/>
      <c r="N10" s="781"/>
      <c r="O10" s="781"/>
      <c r="P10" s="789" t="s">
        <v>75</v>
      </c>
      <c r="Q10" s="787"/>
      <c r="R10" s="787"/>
      <c r="S10" s="781"/>
      <c r="T10" s="781"/>
      <c r="U10" s="781"/>
      <c r="V10" s="781"/>
      <c r="W10" s="790" t="s">
        <v>172</v>
      </c>
      <c r="Z10" s="781"/>
      <c r="AA10" s="781"/>
    </row>
    <row r="11">
      <c r="A11" s="781"/>
      <c r="B11" s="781"/>
      <c r="F11" s="781"/>
      <c r="G11" s="781"/>
      <c r="H11" s="781"/>
      <c r="M11" s="781"/>
      <c r="N11" s="781"/>
      <c r="O11" s="781"/>
      <c r="S11" s="781"/>
      <c r="T11" s="781"/>
      <c r="U11" s="781"/>
      <c r="V11" s="781"/>
      <c r="Z11" s="781"/>
      <c r="AA11" s="781"/>
    </row>
    <row r="12">
      <c r="A12" s="781"/>
      <c r="B12" s="781"/>
      <c r="F12" s="781"/>
      <c r="G12" s="781"/>
      <c r="H12" s="781"/>
      <c r="M12" s="781"/>
      <c r="N12" s="781"/>
      <c r="O12" s="781"/>
      <c r="S12" s="781"/>
      <c r="T12" s="781"/>
      <c r="U12" s="781"/>
      <c r="V12" s="781"/>
      <c r="Z12" s="781"/>
      <c r="AA12" s="781"/>
    </row>
    <row r="13">
      <c r="A13" s="781"/>
      <c r="B13" s="781"/>
      <c r="F13" s="781"/>
      <c r="G13" s="781"/>
      <c r="H13" s="781"/>
      <c r="M13" s="781"/>
      <c r="N13" s="781"/>
      <c r="O13" s="781"/>
      <c r="S13" s="781"/>
      <c r="T13" s="781"/>
      <c r="U13" s="781"/>
      <c r="V13" s="781"/>
      <c r="Z13" s="781"/>
      <c r="AA13" s="781"/>
    </row>
    <row r="14">
      <c r="A14" s="781"/>
      <c r="B14" s="781"/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1"/>
      <c r="O14" s="781"/>
      <c r="P14" s="781"/>
      <c r="Q14" s="781"/>
      <c r="R14" s="781"/>
      <c r="S14" s="781"/>
      <c r="T14" s="781"/>
      <c r="U14" s="781"/>
      <c r="V14" s="781"/>
      <c r="W14" s="781"/>
      <c r="X14" s="781"/>
      <c r="Y14" s="781"/>
      <c r="Z14" s="781"/>
      <c r="AA14" s="781"/>
    </row>
    <row r="15">
      <c r="A15" s="781"/>
      <c r="B15" s="781"/>
      <c r="C15" s="781"/>
      <c r="D15" s="781"/>
      <c r="E15" s="781"/>
      <c r="F15" s="781"/>
      <c r="G15" s="781"/>
      <c r="H15" s="781"/>
      <c r="I15" s="781"/>
      <c r="J15" s="781"/>
      <c r="K15" s="781"/>
      <c r="L15" s="781"/>
      <c r="M15" s="781"/>
      <c r="N15" s="781"/>
      <c r="O15" s="781"/>
      <c r="P15" s="781"/>
      <c r="Q15" s="781"/>
      <c r="R15" s="781"/>
      <c r="S15" s="781"/>
      <c r="T15" s="781"/>
      <c r="U15" s="781"/>
      <c r="V15" s="781"/>
      <c r="W15" s="791" t="s">
        <v>279</v>
      </c>
    </row>
    <row r="16">
      <c r="A16" s="781"/>
      <c r="B16" s="781"/>
      <c r="C16" s="781"/>
      <c r="D16" s="781"/>
      <c r="E16" s="781"/>
      <c r="F16" s="781"/>
      <c r="G16" s="781"/>
      <c r="H16" s="781"/>
      <c r="I16" s="781"/>
      <c r="J16" s="781"/>
      <c r="K16" s="781"/>
      <c r="L16" s="781"/>
      <c r="M16" s="781"/>
      <c r="N16" s="781"/>
      <c r="O16" s="781"/>
      <c r="P16" s="781"/>
      <c r="Q16" s="781"/>
      <c r="R16" s="781"/>
      <c r="S16" s="781"/>
      <c r="T16" s="781"/>
      <c r="U16" s="781"/>
      <c r="V16" s="781"/>
    </row>
    <row r="17">
      <c r="A17" s="781"/>
      <c r="B17" s="781"/>
      <c r="C17" s="781"/>
      <c r="D17" s="781"/>
      <c r="E17" s="781"/>
      <c r="F17" s="781"/>
      <c r="G17" s="781"/>
      <c r="H17" s="781"/>
      <c r="I17" s="781"/>
      <c r="J17" s="781"/>
      <c r="K17" s="781"/>
      <c r="L17" s="781"/>
      <c r="M17" s="781"/>
      <c r="N17" s="781"/>
      <c r="O17" s="781"/>
      <c r="P17" s="781"/>
      <c r="Q17" s="781"/>
      <c r="R17" s="781"/>
      <c r="S17" s="781"/>
      <c r="T17" s="781"/>
      <c r="U17" s="781"/>
      <c r="V17" s="781"/>
    </row>
    <row r="18">
      <c r="A18" s="781"/>
      <c r="B18" s="781"/>
      <c r="C18" s="781"/>
      <c r="D18" s="781"/>
      <c r="E18" s="781"/>
      <c r="F18" s="781"/>
      <c r="G18" s="781"/>
      <c r="H18" s="781"/>
      <c r="I18" s="781"/>
      <c r="J18" s="781"/>
      <c r="K18" s="781"/>
      <c r="L18" s="781"/>
      <c r="M18" s="781"/>
      <c r="N18" s="781"/>
      <c r="O18" s="781"/>
      <c r="P18" s="781"/>
      <c r="Q18" s="781"/>
      <c r="R18" s="781"/>
      <c r="S18" s="781"/>
      <c r="T18" s="781"/>
      <c r="U18" s="781"/>
      <c r="V18" s="781"/>
    </row>
    <row r="19">
      <c r="A19" s="781"/>
      <c r="B19" s="792" t="s">
        <v>280</v>
      </c>
      <c r="E19" s="699"/>
      <c r="F19" s="793" t="s">
        <v>281</v>
      </c>
      <c r="I19" s="699"/>
      <c r="J19" s="794" t="s">
        <v>282</v>
      </c>
      <c r="N19" s="699"/>
      <c r="O19" s="795" t="s">
        <v>283</v>
      </c>
      <c r="R19" s="699"/>
      <c r="S19" s="796" t="s">
        <v>284</v>
      </c>
      <c r="V19" s="797"/>
    </row>
    <row r="20">
      <c r="A20" s="781"/>
      <c r="E20" s="699"/>
      <c r="I20" s="699"/>
      <c r="N20" s="699"/>
      <c r="R20" s="699"/>
      <c r="V20" s="797"/>
      <c r="W20" s="586"/>
      <c r="X20" s="586"/>
      <c r="Y20" s="586"/>
      <c r="Z20" s="586"/>
      <c r="AA20" s="586"/>
    </row>
    <row r="21">
      <c r="A21" s="781"/>
      <c r="E21" s="699"/>
      <c r="I21" s="699"/>
      <c r="N21" s="699"/>
      <c r="R21" s="699"/>
      <c r="V21" s="797"/>
      <c r="W21" s="798" t="s">
        <v>285</v>
      </c>
    </row>
    <row r="22">
      <c r="A22" s="781"/>
      <c r="B22" s="586"/>
      <c r="C22" s="586"/>
      <c r="D22" s="586"/>
      <c r="E22" s="699"/>
      <c r="F22" s="586"/>
      <c r="G22" s="586"/>
      <c r="H22" s="586"/>
      <c r="I22" s="699"/>
      <c r="J22" s="586"/>
      <c r="K22" s="586"/>
      <c r="L22" s="586"/>
      <c r="M22" s="586"/>
      <c r="N22" s="699"/>
      <c r="O22" s="586"/>
      <c r="P22" s="586"/>
      <c r="Q22" s="586"/>
      <c r="R22" s="699"/>
      <c r="S22" s="586"/>
      <c r="T22" s="586"/>
      <c r="U22" s="586"/>
      <c r="V22" s="797"/>
    </row>
    <row r="23">
      <c r="A23" s="781"/>
      <c r="B23" s="799" t="s">
        <v>286</v>
      </c>
      <c r="E23" s="699"/>
      <c r="F23" s="800" t="s">
        <v>62</v>
      </c>
      <c r="I23" s="699"/>
      <c r="J23" s="801" t="s">
        <v>287</v>
      </c>
      <c r="N23" s="699"/>
      <c r="O23" s="802" t="s">
        <v>106</v>
      </c>
      <c r="R23" s="699"/>
      <c r="S23" s="803" t="s">
        <v>62</v>
      </c>
      <c r="V23" s="804"/>
    </row>
    <row r="24">
      <c r="A24" s="781"/>
      <c r="E24" s="699"/>
      <c r="I24" s="699"/>
      <c r="N24" s="699"/>
      <c r="R24" s="699"/>
      <c r="V24" s="804"/>
    </row>
    <row r="25">
      <c r="A25" s="781"/>
      <c r="B25" s="586"/>
      <c r="C25" s="586"/>
      <c r="D25" s="586"/>
      <c r="E25" s="699"/>
      <c r="F25" s="586"/>
      <c r="G25" s="586"/>
      <c r="H25" s="586"/>
      <c r="I25" s="699"/>
      <c r="J25" s="586"/>
      <c r="K25" s="586"/>
      <c r="L25" s="586"/>
      <c r="M25" s="586"/>
      <c r="N25" s="699"/>
      <c r="O25" s="586"/>
      <c r="P25" s="586"/>
      <c r="Q25" s="586"/>
      <c r="R25" s="699"/>
      <c r="S25" s="586"/>
      <c r="T25" s="586"/>
      <c r="U25" s="586"/>
      <c r="V25" s="804"/>
      <c r="W25" s="699"/>
      <c r="X25" s="11"/>
      <c r="Y25" s="11"/>
      <c r="Z25" s="11"/>
      <c r="AA25" s="699"/>
    </row>
    <row r="26">
      <c r="A26" s="781"/>
      <c r="B26" s="781"/>
      <c r="C26" s="781"/>
      <c r="D26" s="781"/>
      <c r="E26" s="781"/>
      <c r="F26" s="781"/>
      <c r="G26" s="781"/>
      <c r="H26" s="781"/>
      <c r="I26" s="781"/>
      <c r="J26" s="781"/>
      <c r="K26" s="781"/>
      <c r="L26" s="781"/>
      <c r="M26" s="781"/>
      <c r="N26" s="781"/>
      <c r="O26" s="781"/>
      <c r="P26" s="781"/>
      <c r="Q26" s="781"/>
      <c r="R26" s="781"/>
      <c r="S26" s="781"/>
      <c r="T26" s="781"/>
      <c r="U26" s="781"/>
      <c r="V26" s="781"/>
      <c r="W26" s="781"/>
      <c r="X26" s="781"/>
      <c r="Y26" s="781"/>
      <c r="Z26" s="781"/>
      <c r="AA26" s="781"/>
    </row>
    <row r="27">
      <c r="A27" s="781"/>
      <c r="B27" s="805" t="s">
        <v>288</v>
      </c>
      <c r="E27" s="781"/>
      <c r="F27" s="806" t="s">
        <v>289</v>
      </c>
      <c r="I27" s="781"/>
      <c r="J27" s="781"/>
      <c r="K27" s="781"/>
      <c r="L27" s="781"/>
      <c r="M27" s="781"/>
      <c r="N27" s="781"/>
      <c r="O27" s="781"/>
      <c r="P27" s="781"/>
      <c r="Q27" s="781"/>
      <c r="R27" s="781"/>
      <c r="S27" s="805" t="s">
        <v>290</v>
      </c>
      <c r="V27" s="797"/>
      <c r="W27" s="781"/>
      <c r="X27" s="781"/>
      <c r="Y27" s="781"/>
      <c r="Z27" s="781"/>
      <c r="AA27" s="781"/>
    </row>
    <row r="28">
      <c r="A28" s="781"/>
      <c r="E28" s="781"/>
      <c r="I28" s="781"/>
      <c r="J28" s="781"/>
      <c r="K28" s="781"/>
      <c r="L28" s="781"/>
      <c r="M28" s="781"/>
      <c r="N28" s="781"/>
      <c r="O28" s="781"/>
      <c r="P28" s="781"/>
      <c r="Q28" s="781"/>
      <c r="R28" s="781"/>
      <c r="V28" s="797"/>
      <c r="W28" s="781"/>
      <c r="X28" s="781"/>
      <c r="Y28" s="781"/>
      <c r="Z28" s="781"/>
      <c r="AA28" s="781"/>
    </row>
    <row r="29">
      <c r="A29" s="781"/>
      <c r="E29" s="807"/>
      <c r="I29" s="781"/>
      <c r="J29" s="781"/>
      <c r="K29" s="781"/>
      <c r="L29" s="781"/>
      <c r="M29" s="781"/>
      <c r="N29" s="781"/>
      <c r="O29" s="781"/>
      <c r="P29" s="781"/>
      <c r="Q29" s="781"/>
      <c r="R29" s="781"/>
      <c r="V29" s="797"/>
      <c r="W29" s="781"/>
      <c r="X29" s="781"/>
      <c r="Y29" s="781"/>
      <c r="Z29" s="781"/>
      <c r="AA29" s="781"/>
    </row>
    <row r="30">
      <c r="A30" s="781"/>
      <c r="B30" s="586"/>
      <c r="C30" s="586"/>
      <c r="D30" s="586"/>
      <c r="E30" s="807"/>
      <c r="F30" s="586"/>
      <c r="G30" s="586"/>
      <c r="H30" s="586"/>
      <c r="I30" s="781"/>
      <c r="J30" s="781"/>
      <c r="K30" s="781"/>
      <c r="L30" s="808" t="s">
        <v>291</v>
      </c>
      <c r="M30" s="787"/>
      <c r="N30" s="787"/>
      <c r="O30" s="787"/>
      <c r="P30" s="809"/>
      <c r="Q30" s="781"/>
      <c r="R30" s="781"/>
      <c r="S30" s="586"/>
      <c r="T30" s="586"/>
      <c r="U30" s="586"/>
      <c r="V30" s="797"/>
      <c r="W30" s="781"/>
      <c r="X30" s="781"/>
      <c r="Y30" s="781"/>
      <c r="Z30" s="781"/>
      <c r="AA30" s="781"/>
    </row>
    <row r="31">
      <c r="A31" s="781"/>
      <c r="B31" s="810" t="s">
        <v>292</v>
      </c>
      <c r="E31" s="807"/>
      <c r="F31" s="811" t="s">
        <v>176</v>
      </c>
      <c r="I31" s="781"/>
      <c r="J31" s="781"/>
      <c r="K31" s="812" t="s">
        <v>275</v>
      </c>
      <c r="M31" s="813" t="s">
        <v>293</v>
      </c>
      <c r="Q31" s="781"/>
      <c r="R31" s="781"/>
      <c r="S31" s="810" t="s">
        <v>292</v>
      </c>
      <c r="V31" s="804"/>
      <c r="W31" s="781"/>
      <c r="X31" s="781"/>
      <c r="Y31" s="781"/>
      <c r="Z31" s="781"/>
      <c r="AA31" s="781"/>
    </row>
    <row r="32">
      <c r="A32" s="781"/>
      <c r="E32" s="807"/>
      <c r="I32" s="781"/>
      <c r="J32" s="781"/>
      <c r="K32" s="812" t="s">
        <v>276</v>
      </c>
      <c r="M32" s="813" t="s">
        <v>294</v>
      </c>
      <c r="Q32" s="781"/>
      <c r="R32" s="781"/>
      <c r="V32" s="804"/>
      <c r="W32" s="781"/>
      <c r="X32" s="781"/>
      <c r="Y32" s="781"/>
      <c r="Z32" s="781"/>
      <c r="AA32" s="781"/>
    </row>
    <row r="33" ht="17.25" customHeight="1">
      <c r="A33" s="781"/>
      <c r="B33" s="586"/>
      <c r="C33" s="586"/>
      <c r="D33" s="586"/>
      <c r="E33" s="807"/>
      <c r="F33" s="586"/>
      <c r="G33" s="586"/>
      <c r="H33" s="586"/>
      <c r="I33" s="781"/>
      <c r="J33" s="781"/>
      <c r="K33" s="812" t="s">
        <v>277</v>
      </c>
      <c r="M33" s="814" t="s">
        <v>295</v>
      </c>
      <c r="Q33" s="781"/>
      <c r="R33" s="781"/>
      <c r="S33" s="586"/>
      <c r="T33" s="586"/>
      <c r="U33" s="586"/>
      <c r="V33" s="804"/>
      <c r="W33" s="781"/>
      <c r="X33" s="781"/>
      <c r="Y33" s="781"/>
      <c r="Z33" s="781"/>
      <c r="AA33" s="781"/>
    </row>
    <row r="34">
      <c r="A34" s="781"/>
      <c r="B34" s="807"/>
      <c r="C34" s="807"/>
      <c r="D34" s="807"/>
      <c r="E34" s="807"/>
      <c r="F34" s="807"/>
      <c r="G34" s="781"/>
      <c r="H34" s="781"/>
      <c r="I34" s="781"/>
      <c r="J34" s="781"/>
      <c r="K34" s="812" t="s">
        <v>278</v>
      </c>
      <c r="M34" s="814" t="s">
        <v>296</v>
      </c>
      <c r="Q34" s="781"/>
      <c r="R34" s="781"/>
      <c r="S34" s="781"/>
      <c r="T34" s="781"/>
      <c r="U34" s="781"/>
      <c r="V34" s="781"/>
      <c r="W34" s="781"/>
      <c r="X34" s="781"/>
      <c r="Y34" s="781"/>
      <c r="Z34" s="781"/>
      <c r="AA34" s="781"/>
    </row>
    <row r="35">
      <c r="A35" s="781"/>
      <c r="B35" s="807"/>
      <c r="C35" s="815" t="s">
        <v>297</v>
      </c>
      <c r="I35" s="781"/>
      <c r="J35" s="781"/>
      <c r="K35" s="812" t="s">
        <v>279</v>
      </c>
      <c r="M35" s="814" t="s">
        <v>298</v>
      </c>
      <c r="Q35" s="781"/>
      <c r="R35" s="781"/>
      <c r="S35" s="816" t="s">
        <v>299</v>
      </c>
      <c r="V35" s="797"/>
      <c r="W35" s="781"/>
      <c r="X35" s="781"/>
      <c r="Y35" s="781"/>
      <c r="Z35" s="781"/>
      <c r="AA35" s="781"/>
    </row>
    <row r="36">
      <c r="A36" s="781"/>
      <c r="B36" s="807"/>
      <c r="I36" s="781"/>
      <c r="J36" s="781"/>
      <c r="K36" s="812" t="s">
        <v>280</v>
      </c>
      <c r="M36" s="814" t="s">
        <v>300</v>
      </c>
      <c r="Q36" s="781"/>
      <c r="R36" s="781"/>
      <c r="V36" s="797"/>
      <c r="W36" s="781"/>
      <c r="X36" s="781"/>
      <c r="Y36" s="781"/>
      <c r="Z36" s="781"/>
      <c r="AA36" s="781"/>
    </row>
    <row r="37">
      <c r="A37" s="781"/>
      <c r="B37" s="807"/>
      <c r="I37" s="781"/>
      <c r="J37" s="781"/>
      <c r="K37" s="812" t="s">
        <v>281</v>
      </c>
      <c r="M37" s="814" t="s">
        <v>301</v>
      </c>
      <c r="Q37" s="781"/>
      <c r="R37" s="781"/>
      <c r="V37" s="797"/>
      <c r="W37" s="781"/>
      <c r="X37" s="781"/>
      <c r="Y37" s="781"/>
      <c r="Z37" s="781"/>
      <c r="AA37" s="781"/>
    </row>
    <row r="38">
      <c r="A38" s="781"/>
      <c r="B38" s="807"/>
      <c r="C38" s="586"/>
      <c r="D38" s="586"/>
      <c r="E38" s="586"/>
      <c r="F38" s="586"/>
      <c r="G38" s="586"/>
      <c r="H38" s="586"/>
      <c r="I38" s="781"/>
      <c r="J38" s="781"/>
      <c r="K38" s="812" t="s">
        <v>283</v>
      </c>
      <c r="M38" s="817" t="s">
        <v>302</v>
      </c>
      <c r="Q38" s="781"/>
      <c r="R38" s="781"/>
      <c r="S38" s="586"/>
      <c r="T38" s="586"/>
      <c r="U38" s="586"/>
      <c r="V38" s="797"/>
      <c r="W38" s="781"/>
      <c r="X38" s="781"/>
      <c r="Y38" s="781"/>
      <c r="Z38" s="781"/>
      <c r="AA38" s="781"/>
    </row>
    <row r="39">
      <c r="A39" s="781"/>
      <c r="B39" s="807"/>
      <c r="C39" s="818" t="s">
        <v>303</v>
      </c>
      <c r="I39" s="781"/>
      <c r="J39" s="781"/>
      <c r="K39" s="812" t="s">
        <v>284</v>
      </c>
      <c r="M39" s="817" t="s">
        <v>304</v>
      </c>
      <c r="Q39" s="781"/>
      <c r="R39" s="781"/>
      <c r="S39" s="819" t="s">
        <v>14</v>
      </c>
      <c r="V39" s="804"/>
      <c r="W39" s="781"/>
      <c r="X39" s="781"/>
      <c r="Y39" s="781"/>
      <c r="Z39" s="781"/>
      <c r="AA39" s="781"/>
    </row>
    <row r="40">
      <c r="A40" s="781"/>
      <c r="B40" s="807"/>
      <c r="C40" s="820"/>
      <c r="D40" s="820"/>
      <c r="E40" s="820"/>
      <c r="F40" s="820"/>
      <c r="G40" s="781"/>
      <c r="H40" s="781"/>
      <c r="I40" s="781"/>
      <c r="J40" s="781"/>
      <c r="K40" s="812" t="s">
        <v>282</v>
      </c>
      <c r="M40" s="817" t="s">
        <v>305</v>
      </c>
      <c r="Q40" s="781"/>
      <c r="R40" s="781"/>
      <c r="V40" s="804"/>
      <c r="W40" s="781"/>
      <c r="X40" s="781"/>
      <c r="Y40" s="781"/>
      <c r="Z40" s="781"/>
      <c r="AA40" s="781"/>
    </row>
    <row r="41">
      <c r="A41" s="781"/>
      <c r="B41" s="807"/>
      <c r="C41" s="820"/>
      <c r="D41" s="820"/>
      <c r="E41" s="820"/>
      <c r="F41" s="820"/>
      <c r="G41" s="781"/>
      <c r="H41" s="781"/>
      <c r="I41" s="781"/>
      <c r="J41" s="781"/>
      <c r="K41" s="812" t="s">
        <v>306</v>
      </c>
      <c r="M41" s="817" t="s">
        <v>307</v>
      </c>
      <c r="Q41" s="781"/>
      <c r="R41" s="781"/>
      <c r="S41" s="586"/>
      <c r="T41" s="586"/>
      <c r="U41" s="586"/>
      <c r="V41" s="804"/>
      <c r="W41" s="781"/>
      <c r="X41" s="781"/>
      <c r="Y41" s="781"/>
      <c r="Z41" s="781"/>
      <c r="AA41" s="781"/>
    </row>
    <row r="42">
      <c r="A42" s="781"/>
      <c r="B42" s="807"/>
      <c r="C42" s="820"/>
      <c r="D42" s="820"/>
      <c r="E42" s="820"/>
      <c r="F42" s="820"/>
      <c r="G42" s="781"/>
      <c r="H42" s="781"/>
      <c r="I42" s="781"/>
      <c r="J42" s="781"/>
      <c r="K42" s="812" t="s">
        <v>297</v>
      </c>
      <c r="M42" s="817" t="s">
        <v>308</v>
      </c>
      <c r="Q42" s="781"/>
      <c r="R42" s="781"/>
      <c r="S42" s="781"/>
      <c r="T42" s="781"/>
      <c r="U42" s="781"/>
      <c r="V42" s="781"/>
      <c r="W42" s="781"/>
      <c r="X42" s="781"/>
      <c r="Y42" s="781"/>
      <c r="Z42" s="781"/>
      <c r="AA42" s="781"/>
    </row>
    <row r="43">
      <c r="A43" s="781"/>
      <c r="B43" s="807"/>
      <c r="C43" s="820"/>
      <c r="D43" s="820"/>
      <c r="E43" s="820"/>
      <c r="F43" s="820"/>
      <c r="G43" s="781"/>
      <c r="H43" s="781"/>
      <c r="I43" s="781"/>
      <c r="J43" s="781"/>
      <c r="K43" s="781"/>
      <c r="L43" s="812" t="s">
        <v>309</v>
      </c>
      <c r="M43" s="814" t="s">
        <v>310</v>
      </c>
      <c r="Q43" s="781"/>
      <c r="R43" s="781"/>
      <c r="S43" s="781"/>
      <c r="T43" s="781"/>
      <c r="U43" s="781"/>
      <c r="V43" s="781"/>
      <c r="W43" s="781"/>
      <c r="X43" s="781"/>
      <c r="Y43" s="781"/>
      <c r="Z43" s="781"/>
      <c r="AA43" s="781"/>
    </row>
    <row r="44">
      <c r="A44" s="781"/>
      <c r="B44" s="807"/>
      <c r="C44" s="820"/>
      <c r="D44" s="820"/>
      <c r="E44" s="820"/>
      <c r="F44" s="820"/>
      <c r="G44" s="781"/>
      <c r="H44" s="781"/>
      <c r="I44" s="781"/>
      <c r="J44" s="781"/>
      <c r="K44" s="781"/>
      <c r="L44" s="812" t="s">
        <v>288</v>
      </c>
      <c r="M44" s="817" t="s">
        <v>311</v>
      </c>
      <c r="Q44" s="781"/>
      <c r="R44" s="781"/>
      <c r="S44" s="781"/>
      <c r="T44" s="781"/>
      <c r="U44" s="781"/>
      <c r="V44" s="781"/>
      <c r="W44" s="781"/>
      <c r="X44" s="781"/>
      <c r="Y44" s="781"/>
      <c r="Z44" s="781"/>
      <c r="AA44" s="781"/>
    </row>
    <row r="45">
      <c r="A45" s="781"/>
      <c r="B45" s="807"/>
      <c r="C45" s="821"/>
      <c r="D45" s="821"/>
      <c r="E45" s="821"/>
      <c r="F45" s="821"/>
      <c r="G45" s="781"/>
      <c r="H45" s="781"/>
      <c r="I45" s="781"/>
      <c r="J45" s="781"/>
      <c r="K45" s="781"/>
      <c r="L45" s="812" t="s">
        <v>289</v>
      </c>
      <c r="M45" s="817" t="s">
        <v>312</v>
      </c>
      <c r="Q45" s="781"/>
      <c r="R45" s="781"/>
      <c r="S45" s="781"/>
      <c r="T45" s="781"/>
      <c r="U45" s="781"/>
      <c r="V45" s="781"/>
      <c r="W45" s="781"/>
      <c r="X45" s="781"/>
      <c r="Y45" s="781"/>
      <c r="Z45" s="781"/>
      <c r="AA45" s="781"/>
    </row>
    <row r="46">
      <c r="A46" s="781"/>
      <c r="B46" s="807"/>
      <c r="C46" s="807"/>
      <c r="D46" s="807"/>
      <c r="E46" s="807"/>
      <c r="F46" s="807"/>
      <c r="G46" s="781"/>
      <c r="H46" s="781"/>
      <c r="I46" s="781"/>
      <c r="J46" s="781"/>
      <c r="K46" s="781"/>
      <c r="L46" s="781"/>
      <c r="M46" s="781"/>
      <c r="N46" s="781"/>
      <c r="O46" s="781"/>
      <c r="P46" s="781"/>
      <c r="Q46" s="781"/>
      <c r="R46" s="781"/>
      <c r="S46" s="781"/>
      <c r="T46" s="781"/>
      <c r="U46" s="781"/>
      <c r="V46" s="781"/>
      <c r="W46" s="781"/>
      <c r="X46" s="781"/>
      <c r="Y46" s="781"/>
      <c r="Z46" s="781"/>
      <c r="AA46" s="781"/>
    </row>
  </sheetData>
  <mergeCells count="58">
    <mergeCell ref="O19:Q22"/>
    <mergeCell ref="O23:Q25"/>
    <mergeCell ref="S27:U30"/>
    <mergeCell ref="L30:P30"/>
    <mergeCell ref="K31:L31"/>
    <mergeCell ref="M31:P31"/>
    <mergeCell ref="S31:U33"/>
    <mergeCell ref="K38:L38"/>
    <mergeCell ref="M38:P38"/>
    <mergeCell ref="K35:L35"/>
    <mergeCell ref="K40:L40"/>
    <mergeCell ref="K42:L42"/>
    <mergeCell ref="M40:P40"/>
    <mergeCell ref="K41:L41"/>
    <mergeCell ref="M41:P41"/>
    <mergeCell ref="M42:P42"/>
    <mergeCell ref="M43:P43"/>
    <mergeCell ref="M44:P44"/>
    <mergeCell ref="M45:P45"/>
    <mergeCell ref="K33:L33"/>
    <mergeCell ref="M33:P33"/>
    <mergeCell ref="K34:L34"/>
    <mergeCell ref="M34:P34"/>
    <mergeCell ref="M35:P35"/>
    <mergeCell ref="S35:U38"/>
    <mergeCell ref="S39:U41"/>
    <mergeCell ref="W10:Y13"/>
    <mergeCell ref="W15:AA20"/>
    <mergeCell ref="W21:AA24"/>
    <mergeCell ref="B4:F9"/>
    <mergeCell ref="H4:M9"/>
    <mergeCell ref="O4:S9"/>
    <mergeCell ref="U4:Z9"/>
    <mergeCell ref="C10:E13"/>
    <mergeCell ref="I10:L13"/>
    <mergeCell ref="P10:R13"/>
    <mergeCell ref="B23:D25"/>
    <mergeCell ref="B27:D30"/>
    <mergeCell ref="F27:H30"/>
    <mergeCell ref="B31:D33"/>
    <mergeCell ref="F31:H33"/>
    <mergeCell ref="C35:H38"/>
    <mergeCell ref="C39:H39"/>
    <mergeCell ref="B19:D22"/>
    <mergeCell ref="F19:H22"/>
    <mergeCell ref="J19:M22"/>
    <mergeCell ref="S19:U22"/>
    <mergeCell ref="F23:H25"/>
    <mergeCell ref="J23:M25"/>
    <mergeCell ref="S23:U25"/>
    <mergeCell ref="K32:L32"/>
    <mergeCell ref="M32:P32"/>
    <mergeCell ref="K36:L36"/>
    <mergeCell ref="M36:P36"/>
    <mergeCell ref="K37:L37"/>
    <mergeCell ref="M37:P37"/>
    <mergeCell ref="K39:L39"/>
    <mergeCell ref="M39:P3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0"/>
    <col customWidth="1" min="2" max="2" width="6.5"/>
    <col customWidth="1" min="3" max="3" width="5.0"/>
    <col customWidth="1" min="4" max="4" width="6.75"/>
    <col customWidth="1" min="5" max="5" width="5.63"/>
    <col customWidth="1" min="6" max="6" width="8.0"/>
    <col customWidth="1" min="7" max="7" width="4.63"/>
    <col customWidth="1" min="8" max="8" width="6.5"/>
    <col customWidth="1" min="9" max="9" width="6.63"/>
    <col customWidth="1" min="10" max="10" width="5.13"/>
    <col customWidth="1" min="11" max="11" width="6.88"/>
    <col customWidth="1" min="12" max="12" width="8.38"/>
    <col customWidth="1" min="13" max="13" width="7.5"/>
    <col customWidth="1" min="14" max="14" width="6.5"/>
    <col customWidth="1" min="15" max="16" width="7.75"/>
    <col customWidth="1" min="17" max="17" width="9.38"/>
    <col customWidth="1" min="18" max="18" width="5.88"/>
    <col customWidth="1" min="19" max="19" width="6.63"/>
    <col customWidth="1" min="20" max="20" width="5.5"/>
    <col customWidth="1" min="21" max="21" width="8.0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7.63"/>
    <col customWidth="1" min="29" max="29" width="8.25"/>
    <col customWidth="1" min="30" max="30" width="5.13"/>
    <col customWidth="1" min="31" max="31" width="7.75"/>
    <col customWidth="1" min="32" max="32" width="8.38"/>
    <col customWidth="1" min="33" max="33" width="6.88"/>
    <col customWidth="1" min="34" max="34" width="8.75"/>
    <col customWidth="1" min="35" max="35" width="6.88"/>
    <col customWidth="1" min="36" max="36" width="5.13"/>
    <col customWidth="1" min="37" max="37" width="6.5"/>
    <col customWidth="1" min="38" max="38" width="6.13"/>
    <col customWidth="1" min="39" max="39" width="5.63"/>
    <col customWidth="1" min="40" max="40" width="7.38"/>
    <col customWidth="1" min="41" max="41" width="6.0"/>
    <col customWidth="1" min="42" max="42" width="6.13"/>
    <col customWidth="1" min="43" max="44" width="6.25"/>
  </cols>
  <sheetData>
    <row r="1">
      <c r="A1" s="822" t="s">
        <v>12</v>
      </c>
      <c r="B1" s="823" t="s">
        <v>117</v>
      </c>
      <c r="C1" s="823" t="s">
        <v>17</v>
      </c>
      <c r="D1" s="823" t="s">
        <v>18</v>
      </c>
      <c r="E1" s="823" t="s">
        <v>20</v>
      </c>
      <c r="F1" s="822" t="s">
        <v>21</v>
      </c>
      <c r="G1" s="823" t="s">
        <v>22</v>
      </c>
      <c r="H1" s="823" t="s">
        <v>23</v>
      </c>
      <c r="I1" s="823" t="s">
        <v>313</v>
      </c>
      <c r="J1" s="824" t="s">
        <v>60</v>
      </c>
      <c r="K1" s="823" t="s">
        <v>25</v>
      </c>
      <c r="L1" s="825" t="s">
        <v>27</v>
      </c>
      <c r="M1" s="823" t="s">
        <v>107</v>
      </c>
      <c r="N1" s="823" t="s">
        <v>230</v>
      </c>
      <c r="O1" s="823" t="s">
        <v>314</v>
      </c>
      <c r="P1" s="823" t="s">
        <v>315</v>
      </c>
      <c r="Q1" s="823" t="s">
        <v>316</v>
      </c>
      <c r="R1" s="822" t="s">
        <v>31</v>
      </c>
      <c r="S1" s="823" t="s">
        <v>32</v>
      </c>
      <c r="T1" s="823" t="s">
        <v>33</v>
      </c>
      <c r="U1" s="823" t="s">
        <v>317</v>
      </c>
      <c r="V1" s="823" t="s">
        <v>318</v>
      </c>
      <c r="W1" s="823" t="s">
        <v>319</v>
      </c>
      <c r="X1" s="823" t="s">
        <v>320</v>
      </c>
      <c r="Y1" s="823" t="s">
        <v>321</v>
      </c>
      <c r="Z1" s="823" t="s">
        <v>322</v>
      </c>
      <c r="AA1" s="823" t="s">
        <v>323</v>
      </c>
      <c r="AB1" s="823" t="s">
        <v>35</v>
      </c>
      <c r="AC1" s="823" t="s">
        <v>231</v>
      </c>
      <c r="AD1" s="822" t="s">
        <v>324</v>
      </c>
      <c r="AE1" s="822" t="s">
        <v>325</v>
      </c>
      <c r="AF1" s="822" t="s">
        <v>326</v>
      </c>
      <c r="AG1" s="822" t="s">
        <v>327</v>
      </c>
      <c r="AH1" s="822" t="s">
        <v>328</v>
      </c>
      <c r="AI1" s="826" t="s">
        <v>50</v>
      </c>
      <c r="AJ1" s="826" t="s">
        <v>329</v>
      </c>
      <c r="AK1" s="826" t="s">
        <v>330</v>
      </c>
      <c r="AL1" s="826" t="s">
        <v>331</v>
      </c>
      <c r="AM1" s="826" t="s">
        <v>332</v>
      </c>
      <c r="AN1" s="826" t="s">
        <v>333</v>
      </c>
      <c r="AO1" s="826" t="s">
        <v>177</v>
      </c>
      <c r="AP1" s="826" t="s">
        <v>334</v>
      </c>
      <c r="AQ1" s="826" t="s">
        <v>335</v>
      </c>
      <c r="AR1" s="827"/>
    </row>
    <row r="2">
      <c r="A2" s="828" t="s">
        <v>206</v>
      </c>
      <c r="B2" s="829">
        <f t="shared" ref="B2:B43" si="1">D2+C2</f>
        <v>22</v>
      </c>
      <c r="C2" s="829">
        <f>IFERROR(VLOOKUP($A2,'Playoff Stats Pivot'!$A:$AE,2,0),0)+VLOOKUP($A2,'Halo Infinite Stats'!$A:$AH,3,0)</f>
        <v>6</v>
      </c>
      <c r="D2" s="829">
        <f>IFERROR(VLOOKUP($A2,'Playoff Stats Pivot'!$A:$AE,3,0),"")+VLOOKUP($A2,'Halo Infinite Stats'!$A:$AH,4,0)</f>
        <v>16</v>
      </c>
      <c r="E2" s="829">
        <f>IFERROR(VLOOKUP($A2,'Playoff Stats Pivot'!$A:$AE,4,0),"")+VLOOKUP($A2,'Halo Infinite Stats'!$A:$AH,5,0)</f>
        <v>17</v>
      </c>
      <c r="F2" s="829">
        <f>IFERROR(VLOOKUP($A2,'Playoff Stats Pivot'!$A:$AE,5,0),"")+VLOOKUP($A2,'Halo Infinite Stats'!$A:$AH,6,0)</f>
        <v>62</v>
      </c>
      <c r="G2" s="829">
        <f>IFERROR(VLOOKUP($A2,'Playoff Stats Pivot'!$A:$AE,6,0),"")+VLOOKUP($A2,'Halo Infinite Stats'!$A:$AH,7,0)</f>
        <v>1225</v>
      </c>
      <c r="H2" s="829">
        <f>IFERROR(VLOOKUP($A2,'Playoff Stats Pivot'!$A:$AE,7,0),"")+VLOOKUP($A2,'Halo Infinite Stats'!$A:$AH,8,0)</f>
        <v>1047</v>
      </c>
      <c r="I2" s="829">
        <f>IFERROR(VLOOKUP($A2,'Playoff Stats Pivot'!$A:$AE,8,0),"")+VLOOKUP($A2,'Halo Infinite Stats'!$A:$AH,9,0)</f>
        <v>178</v>
      </c>
      <c r="J2" s="830">
        <f t="shared" ref="J2:J43" si="2">IFERROR(G2/H2,0)</f>
        <v>1.170009551</v>
      </c>
      <c r="K2" s="829">
        <f>IFERROR(VLOOKUP($A2,'Playoff Stats Pivot'!$A:$AE,9,0),"")+VLOOKUP($A2,'Halo Infinite Stats'!$A:$AH,11,0)</f>
        <v>1</v>
      </c>
      <c r="L2" s="831">
        <f>IFERROR(VLOOKUP($A2,'Playoff Stats Pivot'!$A:$AE,10,0),"")+VLOOKUP($A2,'Halo Infinite Stats'!$A:$AH,12,0)</f>
        <v>17482</v>
      </c>
      <c r="M2" s="832">
        <f t="shared" ref="M2:M43" si="3">(L2-(H2*4))/H2</f>
        <v>12.69723018</v>
      </c>
      <c r="N2" s="829">
        <f>IFERROR(VLOOKUP($A2,'Playoff Stats Pivot'!$A:$AE,11,0),"")+VLOOKUP($A2,'Halo Infinite Stats'!$A:$AH,14,0)</f>
        <v>39</v>
      </c>
      <c r="O2" s="829">
        <f>IFERROR(VLOOKUP($A2,'Playoff Stats Pivot'!$A:$AE,12,0),"")+VLOOKUP($A2,'Halo Infinite Stats'!$A:$AH,15,0)</f>
        <v>0</v>
      </c>
      <c r="P2" s="829">
        <f>IFERROR(VLOOKUP($A2,'Playoff Stats Pivot'!$A:$AE,13,0),"")+VLOOKUP($A2,'Halo Infinite Stats'!$A:$AH,16,0)</f>
        <v>0</v>
      </c>
      <c r="Q2" s="829">
        <f>IFERROR(VLOOKUP($A2,'Playoff Stats Pivot'!$A:$AE,14,0),"")+VLOOKUP($A2,'Halo Infinite Stats'!$A:$AH,17,0)</f>
        <v>0</v>
      </c>
      <c r="R2" s="829">
        <f>IFERROR(VLOOKUP($A2,'Playoff Stats Pivot'!$A:$AE,15,0),"")+VLOOKUP($A2,'Halo Infinite Stats'!$A:$AH,18,0)</f>
        <v>39</v>
      </c>
      <c r="S2" s="829">
        <f>IFERROR(VLOOKUP($A2,'Playoff Stats Pivot'!$A:$AE,16,0),"")+VLOOKUP($A2,'Halo Infinite Stats'!$A:$AH,19,0)</f>
        <v>278</v>
      </c>
      <c r="T2" s="829">
        <f>IFERROR(VLOOKUP($A2,'Playoff Stats Pivot'!$A:$AE,17,0),"")+VLOOKUP($A2,'Halo Infinite Stats'!$A:$AH,20,0)</f>
        <v>84</v>
      </c>
      <c r="U2" s="829">
        <f>IFERROR(VLOOKUP($A2,'Playoff Stats Pivot'!$A:$AE,18,0),"")+VLOOKUP($A2,'Halo Infinite Stats'!$A:$AH,21,0)</f>
        <v>32</v>
      </c>
      <c r="V2" s="829">
        <f>IFERROR(VLOOKUP($A2,'Playoff Stats Pivot'!$A:$AE,19,0),"")+VLOOKUP($A2,'Halo Infinite Stats'!$A:$AH,22,0)</f>
        <v>17</v>
      </c>
      <c r="W2" s="829">
        <f>IFERROR(VLOOKUP($A2,'Playoff Stats Pivot'!$A:$AE,20,0),"")+VLOOKUP($A2,'Halo Infinite Stats'!$A:$AH,23,0)</f>
        <v>8</v>
      </c>
      <c r="X2" s="829">
        <f>IFERROR(VLOOKUP($A2,'Playoff Stats Pivot'!$A:$AE,21,0),"")+VLOOKUP($A2,'Halo Infinite Stats'!$A:$AH,24,0)</f>
        <v>2</v>
      </c>
      <c r="Y2" s="829">
        <f>IFERROR(VLOOKUP($A2,'Playoff Stats Pivot'!$A:$AE,22,0),"")+VLOOKUP($A2,'Halo Infinite Stats'!$A:$AH,25,0)</f>
        <v>0</v>
      </c>
      <c r="Z2" s="829">
        <f>IFERROR(VLOOKUP($A2,'Playoff Stats Pivot'!$A:$AE,23,0),"")+VLOOKUP($A2,'Halo Infinite Stats'!$A:$AH,26,0)</f>
        <v>0</v>
      </c>
      <c r="AA2" s="829">
        <f>IFERROR(VLOOKUP($A2,'Playoff Stats Pivot'!$A:$AE,24,0),"")+VLOOKUP($A2,'Halo Infinite Stats'!$A:$AH,27,0)</f>
        <v>0</v>
      </c>
      <c r="AB2" s="829">
        <f>IFERROR(VLOOKUP($A2,'Playoff Stats Pivot'!$A:$AE,25,0),"")+VLOOKUP($A2,'Halo Infinite Stats'!$A:$AH,28,0)</f>
        <v>1</v>
      </c>
      <c r="AC2" s="829">
        <f>IFERROR(VLOOKUP($A2,'Playoff Stats Pivot'!$A:$AE,26,0),"")+VLOOKUP($A2,'Halo Infinite Stats'!$A:$AH,29,0)</f>
        <v>244</v>
      </c>
      <c r="AD2" s="829">
        <f>IFERROR(VLOOKUP($A2,'Playoff Stats Pivot'!$A:$AE,27,0),"")+VLOOKUP($A2,'Halo Infinite Stats'!$A:$AH,30,0)</f>
        <v>0</v>
      </c>
      <c r="AE2" s="829">
        <f>IFERROR(VLOOKUP($A2,'Playoff Stats Pivot'!$A:$AE,28,0),"")+VLOOKUP($A2,'Halo Infinite Stats'!$A:$AH,31,0)</f>
        <v>0</v>
      </c>
      <c r="AF2" s="829">
        <f>IFERROR(VLOOKUP($A2,'Playoff Stats Pivot'!$A:$AE,29,0),"")+VLOOKUP($A2,'Halo Infinite Stats'!$A:$AH,32,0)</f>
        <v>0</v>
      </c>
      <c r="AG2" s="829">
        <f>IFERROR(VLOOKUP($A2,'Playoff Stats Pivot'!$A:$AE,30,0),"")+VLOOKUP($A2,'Halo Infinite Stats'!$A:$AH,33,0)</f>
        <v>23</v>
      </c>
      <c r="AH2" s="829">
        <f>IFERROR(VLOOKUP($A2,'Playoff Stats Pivot'!$A:$AE,31,0),"")+VLOOKUP($A2,'Halo Infinite Stats'!$A:$AH,34,0)</f>
        <v>2</v>
      </c>
      <c r="AI2" s="833">
        <f t="shared" ref="AI2:AI50" si="4">sum(G2,H2,K2)/(L2/60)</f>
        <v>7.801166915</v>
      </c>
      <c r="AJ2" s="833">
        <f t="shared" ref="AJ2:AJ50" si="5">(((E2*0.8)+(N2*0.08)+(AC2*0.12))/(L2/60))</f>
        <v>0.1578766731</v>
      </c>
      <c r="AK2" s="833">
        <f t="shared" ref="AK2:AK50" si="6">N2/(L2/60)</f>
        <v>0.133851962</v>
      </c>
      <c r="AL2" s="833">
        <f>IFERROR(E2/C2/5,"")+((G2-H2+N2+R2+S2+T2+U2+V2+W2+X2+Y2+Z2+AA2+AB2)/(L2/6))</f>
        <v>0.7993631545</v>
      </c>
      <c r="AM2" s="833">
        <f t="shared" ref="AM2:AM50" si="7">E2/B2</f>
        <v>0.7727272727</v>
      </c>
      <c r="AN2" s="833">
        <f>sum(R2:AA2)/G2</f>
        <v>0.3755102041</v>
      </c>
      <c r="AO2" s="833">
        <f t="shared" ref="AO2:AO43" si="8">F2/L2</f>
        <v>0.003546504977</v>
      </c>
      <c r="AP2" s="833">
        <f t="shared" ref="AP2:AP50" si="9">(G2+K2-H2)/(L2/60)</f>
        <v>0.6143461846</v>
      </c>
      <c r="AQ2" s="833" t="s">
        <v>336</v>
      </c>
      <c r="AR2" s="834" t="s">
        <v>337</v>
      </c>
    </row>
    <row r="3">
      <c r="A3" s="835" t="s">
        <v>220</v>
      </c>
      <c r="B3" s="829">
        <f t="shared" si="1"/>
        <v>17</v>
      </c>
      <c r="C3" s="829">
        <f>IFERROR(VLOOKUP($A3,'Playoff Stats Pivot'!$A:$AE,2,0),0)+VLOOKUP($A3,'Halo Infinite Stats'!$A:$AH,3,0)</f>
        <v>13</v>
      </c>
      <c r="D3" s="829">
        <f>IFERROR(VLOOKUP($A3,'Playoff Stats Pivot'!$A:$AE,3,0),"")+VLOOKUP($A3,'Halo Infinite Stats'!$A:$AH,4,0)</f>
        <v>4</v>
      </c>
      <c r="E3" s="829">
        <f>IFERROR(VLOOKUP($A3,'Playoff Stats Pivot'!$A:$AE,4,0),"")+VLOOKUP($A3,'Halo Infinite Stats'!$A:$AH,5,0)</f>
        <v>11</v>
      </c>
      <c r="F3" s="829">
        <f>IFERROR(VLOOKUP($A3,'Playoff Stats Pivot'!$A:$AE,5,0),"")+VLOOKUP($A3,'Halo Infinite Stats'!$A:$AH,6,0)</f>
        <v>6</v>
      </c>
      <c r="G3" s="829">
        <f>IFERROR(VLOOKUP($A3,'Playoff Stats Pivot'!$A:$AE,6,0),"")+VLOOKUP($A3,'Halo Infinite Stats'!$A:$AH,7,0)</f>
        <v>595</v>
      </c>
      <c r="H3" s="829">
        <f>IFERROR(VLOOKUP($A3,'Playoff Stats Pivot'!$A:$AE,7,0),"")+VLOOKUP($A3,'Halo Infinite Stats'!$A:$AH,8,0)</f>
        <v>753</v>
      </c>
      <c r="I3" s="829">
        <f>IFERROR(VLOOKUP($A3,'Playoff Stats Pivot'!$A:$AE,8,0),"")+VLOOKUP($A3,'Halo Infinite Stats'!$A:$AH,9,0)</f>
        <v>-158</v>
      </c>
      <c r="J3" s="830">
        <f t="shared" si="2"/>
        <v>0.7901726428</v>
      </c>
      <c r="K3" s="829">
        <f>IFERROR(VLOOKUP($A3,'Playoff Stats Pivot'!$A:$AE,9,0),"")+VLOOKUP($A3,'Halo Infinite Stats'!$A:$AH,11,0)</f>
        <v>4</v>
      </c>
      <c r="L3" s="831">
        <f>IFERROR(VLOOKUP($A3,'Playoff Stats Pivot'!$A:$AE,10,0),"")+VLOOKUP($A3,'Halo Infinite Stats'!$A:$AH,12,0)</f>
        <v>14528</v>
      </c>
      <c r="M3" s="832">
        <f t="shared" si="3"/>
        <v>15.2934927</v>
      </c>
      <c r="N3" s="829">
        <f>IFERROR(VLOOKUP($A3,'Playoff Stats Pivot'!$A:$AE,11,0),"")+VLOOKUP($A3,'Halo Infinite Stats'!$A:$AH,14,0)</f>
        <v>7</v>
      </c>
      <c r="O3" s="829">
        <f>IFERROR(VLOOKUP($A3,'Playoff Stats Pivot'!$A:$AE,12,0),"")+VLOOKUP($A3,'Halo Infinite Stats'!$A:$AH,15,0)</f>
        <v>0</v>
      </c>
      <c r="P3" s="829">
        <f>IFERROR(VLOOKUP($A3,'Playoff Stats Pivot'!$A:$AE,13,0),"")+VLOOKUP($A3,'Halo Infinite Stats'!$A:$AH,16,0)</f>
        <v>0</v>
      </c>
      <c r="Q3" s="829">
        <f>IFERROR(VLOOKUP($A3,'Playoff Stats Pivot'!$A:$AE,14,0),"")+VLOOKUP($A3,'Halo Infinite Stats'!$A:$AH,17,0)</f>
        <v>0</v>
      </c>
      <c r="R3" s="829">
        <f>IFERROR(VLOOKUP($A3,'Playoff Stats Pivot'!$A:$AE,15,0),"")+VLOOKUP($A3,'Halo Infinite Stats'!$A:$AH,18,0)</f>
        <v>5</v>
      </c>
      <c r="S3" s="829">
        <f>IFERROR(VLOOKUP($A3,'Playoff Stats Pivot'!$A:$AE,16,0),"")+VLOOKUP($A3,'Halo Infinite Stats'!$A:$AH,19,0)</f>
        <v>93</v>
      </c>
      <c r="T3" s="829">
        <f>IFERROR(VLOOKUP($A3,'Playoff Stats Pivot'!$A:$AE,17,0),"")+VLOOKUP($A3,'Halo Infinite Stats'!$A:$AH,20,0)</f>
        <v>17</v>
      </c>
      <c r="U3" s="829">
        <f>IFERROR(VLOOKUP($A3,'Playoff Stats Pivot'!$A:$AE,18,0),"")+VLOOKUP($A3,'Halo Infinite Stats'!$A:$AH,21,0)</f>
        <v>5</v>
      </c>
      <c r="V3" s="829">
        <f>IFERROR(VLOOKUP($A3,'Playoff Stats Pivot'!$A:$AE,19,0),"")+VLOOKUP($A3,'Halo Infinite Stats'!$A:$AH,22,0)</f>
        <v>3</v>
      </c>
      <c r="W3" s="829">
        <f>IFERROR(VLOOKUP($A3,'Playoff Stats Pivot'!$A:$AE,20,0),"")+VLOOKUP($A3,'Halo Infinite Stats'!$A:$AH,23,0)</f>
        <v>1</v>
      </c>
      <c r="X3" s="829">
        <f>IFERROR(VLOOKUP($A3,'Playoff Stats Pivot'!$A:$AE,21,0),"")+VLOOKUP($A3,'Halo Infinite Stats'!$A:$AH,24,0)</f>
        <v>1</v>
      </c>
      <c r="Y3" s="829">
        <f>IFERROR(VLOOKUP($A3,'Playoff Stats Pivot'!$A:$AE,22,0),"")+VLOOKUP($A3,'Halo Infinite Stats'!$A:$AH,25,0)</f>
        <v>0</v>
      </c>
      <c r="Z3" s="829">
        <f>IFERROR(VLOOKUP($A3,'Playoff Stats Pivot'!$A:$AE,23,0),"")+VLOOKUP($A3,'Halo Infinite Stats'!$A:$AH,26,0)</f>
        <v>0</v>
      </c>
      <c r="AA3" s="829">
        <f>IFERROR(VLOOKUP($A3,'Playoff Stats Pivot'!$A:$AE,24,0),"")+VLOOKUP($A3,'Halo Infinite Stats'!$A:$AH,27,0)</f>
        <v>0</v>
      </c>
      <c r="AB3" s="829">
        <f>IFERROR(VLOOKUP($A3,'Playoff Stats Pivot'!$A:$AE,25,0),"")+VLOOKUP($A3,'Halo Infinite Stats'!$A:$AH,28,0)</f>
        <v>0</v>
      </c>
      <c r="AC3" s="829">
        <f>IFERROR(VLOOKUP($A3,'Playoff Stats Pivot'!$A:$AE,26,0),"")+VLOOKUP($A3,'Halo Infinite Stats'!$A:$AH,29,0)</f>
        <v>79</v>
      </c>
      <c r="AD3" s="829">
        <f>IFERROR(VLOOKUP($A3,'Playoff Stats Pivot'!$A:$AE,27,0),"")+VLOOKUP($A3,'Halo Infinite Stats'!$A:$AH,30,0)</f>
        <v>0</v>
      </c>
      <c r="AE3" s="829">
        <f>IFERROR(VLOOKUP($A3,'Playoff Stats Pivot'!$A:$AE,28,0),"")+VLOOKUP($A3,'Halo Infinite Stats'!$A:$AH,31,0)</f>
        <v>0</v>
      </c>
      <c r="AF3" s="829">
        <f>IFERROR(VLOOKUP($A3,'Playoff Stats Pivot'!$A:$AE,29,0),"")+VLOOKUP($A3,'Halo Infinite Stats'!$A:$AH,32,0)</f>
        <v>0</v>
      </c>
      <c r="AG3" s="829">
        <f>IFERROR(VLOOKUP($A3,'Playoff Stats Pivot'!$A:$AE,30,0),"")+VLOOKUP($A3,'Halo Infinite Stats'!$A:$AH,33,0)</f>
        <v>3</v>
      </c>
      <c r="AH3" s="829">
        <f>IFERROR(VLOOKUP($A3,'Playoff Stats Pivot'!$A:$AE,31,0),"")+VLOOKUP($A3,'Halo Infinite Stats'!$A:$AH,34,0)</f>
        <v>2</v>
      </c>
      <c r="AI3" s="836">
        <f t="shared" si="4"/>
        <v>5.583700441</v>
      </c>
      <c r="AJ3" s="836">
        <f t="shared" si="5"/>
        <v>0.07780837004</v>
      </c>
      <c r="AK3" s="836">
        <f t="shared" si="6"/>
        <v>0.02890969163</v>
      </c>
      <c r="AL3" s="833">
        <f t="shared" ref="AL3:AL50" si="10">IFERROR(E3/C3/5,"")+((G3-H3+N3+R3+S3+T3+U3+V3+W3+X3+Y3+Z3+AA3+AB3)/(L3/60))</f>
        <v>0.06185191461</v>
      </c>
      <c r="AM3" s="836">
        <f t="shared" si="7"/>
        <v>0.6470588235</v>
      </c>
      <c r="AN3" s="836">
        <f t="shared" ref="AN3:AN50" si="11">sum(S3:AA3)/G3</f>
        <v>0.2016806723</v>
      </c>
      <c r="AO3" s="833">
        <f t="shared" si="8"/>
        <v>0.0004129955947</v>
      </c>
      <c r="AP3" s="833">
        <f t="shared" si="9"/>
        <v>-0.6360132159</v>
      </c>
      <c r="AQ3" s="833" t="s">
        <v>338</v>
      </c>
      <c r="AR3" s="834" t="s">
        <v>339</v>
      </c>
    </row>
    <row r="4">
      <c r="A4" s="828" t="s">
        <v>249</v>
      </c>
      <c r="B4" s="829">
        <f t="shared" si="1"/>
        <v>20</v>
      </c>
      <c r="C4" s="829">
        <f>IFERROR(VLOOKUP($A4,'Playoff Stats Pivot'!$A:$AE,2,0),0)+VLOOKUP($A4,'Halo Infinite Stats'!$A:$AH,3,0)</f>
        <v>6</v>
      </c>
      <c r="D4" s="829">
        <f>IFERROR(VLOOKUP($A4,'Playoff Stats Pivot'!$A:$AE,3,0),"")+VLOOKUP($A4,'Halo Infinite Stats'!$A:$AH,4,0)</f>
        <v>14</v>
      </c>
      <c r="E4" s="829">
        <f>IFERROR(VLOOKUP($A4,'Playoff Stats Pivot'!$A:$AE,4,0),"")+VLOOKUP($A4,'Halo Infinite Stats'!$A:$AH,5,0)</f>
        <v>13</v>
      </c>
      <c r="F4" s="829">
        <f>IFERROR(VLOOKUP($A4,'Playoff Stats Pivot'!$A:$AE,5,0),"")+VLOOKUP($A4,'Halo Infinite Stats'!$A:$AH,6,0)</f>
        <v>39</v>
      </c>
      <c r="G4" s="829">
        <f>IFERROR(VLOOKUP($A4,'Playoff Stats Pivot'!$A:$AE,6,0),"")+VLOOKUP($A4,'Halo Infinite Stats'!$A:$AH,7,0)</f>
        <v>449</v>
      </c>
      <c r="H4" s="829">
        <f>IFERROR(VLOOKUP($A4,'Playoff Stats Pivot'!$A:$AE,7,0),"")+VLOOKUP($A4,'Halo Infinite Stats'!$A:$AH,8,0)</f>
        <v>963</v>
      </c>
      <c r="I4" s="829">
        <f>IFERROR(VLOOKUP($A4,'Playoff Stats Pivot'!$A:$AE,8,0),"")+VLOOKUP($A4,'Halo Infinite Stats'!$A:$AH,9,0)</f>
        <v>-514</v>
      </c>
      <c r="J4" s="830">
        <f t="shared" si="2"/>
        <v>0.466251298</v>
      </c>
      <c r="K4" s="829">
        <f>IFERROR(VLOOKUP($A4,'Playoff Stats Pivot'!$A:$AE,9,0),"")+VLOOKUP($A4,'Halo Infinite Stats'!$A:$AH,11,0)</f>
        <v>0</v>
      </c>
      <c r="L4" s="831">
        <f>IFERROR(VLOOKUP($A4,'Playoff Stats Pivot'!$A:$AE,10,0),"")+VLOOKUP($A4,'Halo Infinite Stats'!$A:$AH,12,0)</f>
        <v>16775</v>
      </c>
      <c r="M4" s="832">
        <f t="shared" si="3"/>
        <v>13.41952233</v>
      </c>
      <c r="N4" s="829">
        <f>IFERROR(VLOOKUP($A4,'Playoff Stats Pivot'!$A:$AE,11,0),"")+VLOOKUP($A4,'Halo Infinite Stats'!$A:$AH,14,0)</f>
        <v>3</v>
      </c>
      <c r="O4" s="829">
        <f>IFERROR(VLOOKUP($A4,'Playoff Stats Pivot'!$A:$AE,12,0),"")+VLOOKUP($A4,'Halo Infinite Stats'!$A:$AH,15,0)</f>
        <v>0</v>
      </c>
      <c r="P4" s="829">
        <f>IFERROR(VLOOKUP($A4,'Playoff Stats Pivot'!$A:$AE,13,0),"")+VLOOKUP($A4,'Halo Infinite Stats'!$A:$AH,16,0)</f>
        <v>0</v>
      </c>
      <c r="Q4" s="829">
        <f>IFERROR(VLOOKUP($A4,'Playoff Stats Pivot'!$A:$AE,14,0),"")+VLOOKUP($A4,'Halo Infinite Stats'!$A:$AH,17,0)</f>
        <v>0</v>
      </c>
      <c r="R4" s="829">
        <f>IFERROR(VLOOKUP($A4,'Playoff Stats Pivot'!$A:$AE,15,0),"")+VLOOKUP($A4,'Halo Infinite Stats'!$A:$AH,18,0)</f>
        <v>9</v>
      </c>
      <c r="S4" s="829">
        <f>IFERROR(VLOOKUP($A4,'Playoff Stats Pivot'!$A:$AE,16,0),"")+VLOOKUP($A4,'Halo Infinite Stats'!$A:$AH,19,0)</f>
        <v>56</v>
      </c>
      <c r="T4" s="829">
        <f>IFERROR(VLOOKUP($A4,'Playoff Stats Pivot'!$A:$AE,17,0),"")+VLOOKUP($A4,'Halo Infinite Stats'!$A:$AH,20,0)</f>
        <v>9</v>
      </c>
      <c r="U4" s="829">
        <f>IFERROR(VLOOKUP($A4,'Playoff Stats Pivot'!$A:$AE,18,0),"")+VLOOKUP($A4,'Halo Infinite Stats'!$A:$AH,21,0)</f>
        <v>2</v>
      </c>
      <c r="V4" s="829">
        <f>IFERROR(VLOOKUP($A4,'Playoff Stats Pivot'!$A:$AE,19,0),"")+VLOOKUP($A4,'Halo Infinite Stats'!$A:$AH,22,0)</f>
        <v>0</v>
      </c>
      <c r="W4" s="829">
        <f>IFERROR(VLOOKUP($A4,'Playoff Stats Pivot'!$A:$AE,20,0),"")+VLOOKUP($A4,'Halo Infinite Stats'!$A:$AH,23,0)</f>
        <v>0</v>
      </c>
      <c r="X4" s="829">
        <f>IFERROR(VLOOKUP($A4,'Playoff Stats Pivot'!$A:$AE,21,0),"")+VLOOKUP($A4,'Halo Infinite Stats'!$A:$AH,24,0)</f>
        <v>0</v>
      </c>
      <c r="Y4" s="829">
        <f>IFERROR(VLOOKUP($A4,'Playoff Stats Pivot'!$A:$AE,22,0),"")+VLOOKUP($A4,'Halo Infinite Stats'!$A:$AH,25,0)</f>
        <v>0</v>
      </c>
      <c r="Z4" s="829">
        <f>IFERROR(VLOOKUP($A4,'Playoff Stats Pivot'!$A:$AE,23,0),"")+VLOOKUP($A4,'Halo Infinite Stats'!$A:$AH,26,0)</f>
        <v>0</v>
      </c>
      <c r="AA4" s="829">
        <f>IFERROR(VLOOKUP($A4,'Playoff Stats Pivot'!$A:$AE,24,0),"")+VLOOKUP($A4,'Halo Infinite Stats'!$A:$AH,27,0)</f>
        <v>0</v>
      </c>
      <c r="AB4" s="829">
        <f>IFERROR(VLOOKUP($A4,'Playoff Stats Pivot'!$A:$AE,25,0),"")+VLOOKUP($A4,'Halo Infinite Stats'!$A:$AH,28,0)</f>
        <v>0</v>
      </c>
      <c r="AC4" s="829">
        <f>IFERROR(VLOOKUP($A4,'Playoff Stats Pivot'!$A:$AE,26,0),"")+VLOOKUP($A4,'Halo Infinite Stats'!$A:$AH,29,0)</f>
        <v>59</v>
      </c>
      <c r="AD4" s="829">
        <f>IFERROR(VLOOKUP($A4,'Playoff Stats Pivot'!$A:$AE,27,0),"")+VLOOKUP($A4,'Halo Infinite Stats'!$A:$AH,30,0)</f>
        <v>0</v>
      </c>
      <c r="AE4" s="829">
        <f>IFERROR(VLOOKUP($A4,'Playoff Stats Pivot'!$A:$AE,28,0),"")+VLOOKUP($A4,'Halo Infinite Stats'!$A:$AH,31,0)</f>
        <v>0</v>
      </c>
      <c r="AF4" s="829">
        <f>IFERROR(VLOOKUP($A4,'Playoff Stats Pivot'!$A:$AE,29,0),"")+VLOOKUP($A4,'Halo Infinite Stats'!$A:$AH,32,0)</f>
        <v>0</v>
      </c>
      <c r="AG4" s="829">
        <f>IFERROR(VLOOKUP($A4,'Playoff Stats Pivot'!$A:$AE,30,0),"")+VLOOKUP($A4,'Halo Infinite Stats'!$A:$AH,33,0)</f>
        <v>9</v>
      </c>
      <c r="AH4" s="829">
        <f>IFERROR(VLOOKUP($A4,'Playoff Stats Pivot'!$A:$AE,31,0),"")+VLOOKUP($A4,'Halo Infinite Stats'!$A:$AH,34,0)</f>
        <v>2</v>
      </c>
      <c r="AI4" s="833">
        <f t="shared" si="4"/>
        <v>5.050372578</v>
      </c>
      <c r="AJ4" s="833">
        <f t="shared" si="5"/>
        <v>0.06338002981</v>
      </c>
      <c r="AK4" s="833">
        <f t="shared" si="6"/>
        <v>0.01073025335</v>
      </c>
      <c r="AL4" s="833">
        <f t="shared" si="10"/>
        <v>-1.122553403</v>
      </c>
      <c r="AM4" s="833">
        <f t="shared" si="7"/>
        <v>0.65</v>
      </c>
      <c r="AN4" s="833">
        <f t="shared" si="11"/>
        <v>0.14922049</v>
      </c>
      <c r="AO4" s="833">
        <f t="shared" si="8"/>
        <v>0.002324888227</v>
      </c>
      <c r="AP4" s="833">
        <f t="shared" si="9"/>
        <v>-1.838450075</v>
      </c>
      <c r="AQ4" s="833" t="s">
        <v>171</v>
      </c>
      <c r="AR4" s="834" t="s">
        <v>340</v>
      </c>
    </row>
    <row r="5">
      <c r="A5" s="837" t="s">
        <v>52</v>
      </c>
      <c r="B5" s="829">
        <f t="shared" si="1"/>
        <v>25</v>
      </c>
      <c r="C5" s="829">
        <f>IFERROR(VLOOKUP($A5,'Playoff Stats Pivot'!$A:$AE,2,0),0)+VLOOKUP($A5,'Halo Infinite Stats'!$A:$AH,3,0)</f>
        <v>17</v>
      </c>
      <c r="D5" s="829">
        <f>IFERROR(VLOOKUP($A5,'Playoff Stats Pivot'!$A:$AE,3,0),"")+VLOOKUP($A5,'Halo Infinite Stats'!$A:$AH,4,0)</f>
        <v>8</v>
      </c>
      <c r="E5" s="829">
        <f>IFERROR(VLOOKUP($A5,'Playoff Stats Pivot'!$A:$AE,4,0),"")+VLOOKUP($A5,'Halo Infinite Stats'!$A:$AH,5,0)</f>
        <v>52</v>
      </c>
      <c r="F5" s="829">
        <f>IFERROR(VLOOKUP($A5,'Playoff Stats Pivot'!$A:$AE,5,0),"")+VLOOKUP($A5,'Halo Infinite Stats'!$A:$AH,6,0)</f>
        <v>255</v>
      </c>
      <c r="G5" s="829">
        <f>IFERROR(VLOOKUP($A5,'Playoff Stats Pivot'!$A:$AE,6,0),"")+VLOOKUP($A5,'Halo Infinite Stats'!$A:$AH,7,0)</f>
        <v>1286</v>
      </c>
      <c r="H5" s="829">
        <f>IFERROR(VLOOKUP($A5,'Playoff Stats Pivot'!$A:$AE,7,0),"")+VLOOKUP($A5,'Halo Infinite Stats'!$A:$AH,8,0)</f>
        <v>1212</v>
      </c>
      <c r="I5" s="829">
        <f>IFERROR(VLOOKUP($A5,'Playoff Stats Pivot'!$A:$AE,8,0),"")+VLOOKUP($A5,'Halo Infinite Stats'!$A:$AH,9,0)</f>
        <v>74</v>
      </c>
      <c r="J5" s="830">
        <f t="shared" si="2"/>
        <v>1.061056106</v>
      </c>
      <c r="K5" s="829">
        <f>IFERROR(VLOOKUP($A5,'Playoff Stats Pivot'!$A:$AE,9,0),"")+VLOOKUP($A5,'Halo Infinite Stats'!$A:$AH,11,0)</f>
        <v>1</v>
      </c>
      <c r="L5" s="831">
        <f>IFERROR(VLOOKUP($A5,'Playoff Stats Pivot'!$A:$AE,10,0),"")+VLOOKUP($A5,'Halo Infinite Stats'!$A:$AH,12,0)</f>
        <v>23695</v>
      </c>
      <c r="M5" s="832">
        <f t="shared" si="3"/>
        <v>15.55033003</v>
      </c>
      <c r="N5" s="829">
        <f>IFERROR(VLOOKUP($A5,'Playoff Stats Pivot'!$A:$AE,11,0),"")+VLOOKUP($A5,'Halo Infinite Stats'!$A:$AH,14,0)</f>
        <v>25</v>
      </c>
      <c r="O5" s="829">
        <f>IFERROR(VLOOKUP($A5,'Playoff Stats Pivot'!$A:$AE,12,0),"")+VLOOKUP($A5,'Halo Infinite Stats'!$A:$AH,15,0)</f>
        <v>0</v>
      </c>
      <c r="P5" s="829">
        <f>IFERROR(VLOOKUP($A5,'Playoff Stats Pivot'!$A:$AE,13,0),"")+VLOOKUP($A5,'Halo Infinite Stats'!$A:$AH,16,0)</f>
        <v>0</v>
      </c>
      <c r="Q5" s="829">
        <f>IFERROR(VLOOKUP($A5,'Playoff Stats Pivot'!$A:$AE,14,0),"")+VLOOKUP($A5,'Halo Infinite Stats'!$A:$AH,17,0)</f>
        <v>0</v>
      </c>
      <c r="R5" s="829">
        <f>IFERROR(VLOOKUP($A5,'Playoff Stats Pivot'!$A:$AE,15,0),"")+VLOOKUP($A5,'Halo Infinite Stats'!$A:$AH,18,0)</f>
        <v>10</v>
      </c>
      <c r="S5" s="829">
        <f>IFERROR(VLOOKUP($A5,'Playoff Stats Pivot'!$A:$AE,16,0),"")+VLOOKUP($A5,'Halo Infinite Stats'!$A:$AH,19,0)</f>
        <v>205</v>
      </c>
      <c r="T5" s="829">
        <f>IFERROR(VLOOKUP($A5,'Playoff Stats Pivot'!$A:$AE,17,0),"")+VLOOKUP($A5,'Halo Infinite Stats'!$A:$AH,20,0)</f>
        <v>67</v>
      </c>
      <c r="U5" s="829">
        <f>IFERROR(VLOOKUP($A5,'Playoff Stats Pivot'!$A:$AE,18,0),"")+VLOOKUP($A5,'Halo Infinite Stats'!$A:$AH,21,0)</f>
        <v>27</v>
      </c>
      <c r="V5" s="829">
        <f>IFERROR(VLOOKUP($A5,'Playoff Stats Pivot'!$A:$AE,19,0),"")+VLOOKUP($A5,'Halo Infinite Stats'!$A:$AH,22,0)</f>
        <v>5</v>
      </c>
      <c r="W5" s="829">
        <f>IFERROR(VLOOKUP($A5,'Playoff Stats Pivot'!$A:$AE,20,0),"")+VLOOKUP($A5,'Halo Infinite Stats'!$A:$AH,23,0)</f>
        <v>3</v>
      </c>
      <c r="X5" s="829">
        <f>IFERROR(VLOOKUP($A5,'Playoff Stats Pivot'!$A:$AE,21,0),"")+VLOOKUP($A5,'Halo Infinite Stats'!$A:$AH,24,0)</f>
        <v>0</v>
      </c>
      <c r="Y5" s="829">
        <f>IFERROR(VLOOKUP($A5,'Playoff Stats Pivot'!$A:$AE,22,0),"")+VLOOKUP($A5,'Halo Infinite Stats'!$A:$AH,25,0)</f>
        <v>0</v>
      </c>
      <c r="Z5" s="829">
        <f>IFERROR(VLOOKUP($A5,'Playoff Stats Pivot'!$A:$AE,23,0),"")+VLOOKUP($A5,'Halo Infinite Stats'!$A:$AH,26,0)</f>
        <v>0</v>
      </c>
      <c r="AA5" s="829">
        <f>IFERROR(VLOOKUP($A5,'Playoff Stats Pivot'!$A:$AE,24,0),"")+VLOOKUP($A5,'Halo Infinite Stats'!$A:$AH,27,0)</f>
        <v>0</v>
      </c>
      <c r="AB5" s="829">
        <f>IFERROR(VLOOKUP($A5,'Playoff Stats Pivot'!$A:$AE,25,0),"")+VLOOKUP($A5,'Halo Infinite Stats'!$A:$AH,28,0)</f>
        <v>1</v>
      </c>
      <c r="AC5" s="829">
        <f>IFERROR(VLOOKUP($A5,'Playoff Stats Pivot'!$A:$AE,26,0),"")+VLOOKUP($A5,'Halo Infinite Stats'!$A:$AH,29,0)</f>
        <v>225</v>
      </c>
      <c r="AD5" s="829">
        <f>IFERROR(VLOOKUP($A5,'Playoff Stats Pivot'!$A:$AE,27,0),"")+VLOOKUP($A5,'Halo Infinite Stats'!$A:$AH,30,0)</f>
        <v>0</v>
      </c>
      <c r="AE5" s="829">
        <f>IFERROR(VLOOKUP($A5,'Playoff Stats Pivot'!$A:$AE,28,0),"")+VLOOKUP($A5,'Halo Infinite Stats'!$A:$AH,31,0)</f>
        <v>6</v>
      </c>
      <c r="AF5" s="829">
        <f>IFERROR(VLOOKUP($A5,'Playoff Stats Pivot'!$A:$AE,29,0),"")+VLOOKUP($A5,'Halo Infinite Stats'!$A:$AH,32,0)</f>
        <v>0</v>
      </c>
      <c r="AG5" s="829">
        <f>IFERROR(VLOOKUP($A5,'Playoff Stats Pivot'!$A:$AE,30,0),"")+VLOOKUP($A5,'Halo Infinite Stats'!$A:$AH,33,0)</f>
        <v>25</v>
      </c>
      <c r="AH5" s="829">
        <f>IFERROR(VLOOKUP($A5,'Playoff Stats Pivot'!$A:$AE,31,0),"")+VLOOKUP($A5,'Halo Infinite Stats'!$A:$AH,34,0)</f>
        <v>10</v>
      </c>
      <c r="AI5" s="836">
        <f t="shared" si="4"/>
        <v>6.327917282</v>
      </c>
      <c r="AJ5" s="836">
        <f t="shared" si="5"/>
        <v>0.1787718928</v>
      </c>
      <c r="AK5" s="836">
        <f t="shared" si="6"/>
        <v>0.06330449462</v>
      </c>
      <c r="AL5" s="833">
        <f t="shared" si="10"/>
        <v>1.667683676</v>
      </c>
      <c r="AM5" s="836">
        <f t="shared" si="7"/>
        <v>2.08</v>
      </c>
      <c r="AN5" s="836">
        <f t="shared" si="11"/>
        <v>0.2387247278</v>
      </c>
      <c r="AO5" s="833">
        <f t="shared" si="8"/>
        <v>0.01076176409</v>
      </c>
      <c r="AP5" s="833">
        <f t="shared" si="9"/>
        <v>0.1899134839</v>
      </c>
      <c r="AQ5" s="833" t="s">
        <v>171</v>
      </c>
      <c r="AR5" s="834" t="s">
        <v>341</v>
      </c>
    </row>
    <row r="6">
      <c r="A6" s="838" t="s">
        <v>174</v>
      </c>
      <c r="B6" s="829">
        <f t="shared" si="1"/>
        <v>32</v>
      </c>
      <c r="C6" s="829">
        <f>IFERROR(VLOOKUP($A6,'Playoff Stats Pivot'!$A:$AE,2,0),0)+VLOOKUP($A6,'Halo Infinite Stats'!$A:$AH,3,0)</f>
        <v>15</v>
      </c>
      <c r="D6" s="829">
        <f>IFERROR(VLOOKUP($A6,'Playoff Stats Pivot'!$A:$AE,3,0),"")+VLOOKUP($A6,'Halo Infinite Stats'!$A:$AH,4,0)</f>
        <v>17</v>
      </c>
      <c r="E6" s="829">
        <f>IFERROR(VLOOKUP($A6,'Playoff Stats Pivot'!$A:$AE,4,0),"")+VLOOKUP($A6,'Halo Infinite Stats'!$A:$AH,5,0)</f>
        <v>34</v>
      </c>
      <c r="F6" s="829">
        <f>IFERROR(VLOOKUP($A6,'Playoff Stats Pivot'!$A:$AE,5,0),"")+VLOOKUP($A6,'Halo Infinite Stats'!$A:$AH,6,0)</f>
        <v>187</v>
      </c>
      <c r="G6" s="829">
        <f>IFERROR(VLOOKUP($A6,'Playoff Stats Pivot'!$A:$AE,6,0),"")+VLOOKUP($A6,'Halo Infinite Stats'!$A:$AH,7,0)</f>
        <v>1241</v>
      </c>
      <c r="H6" s="829">
        <f>IFERROR(VLOOKUP($A6,'Playoff Stats Pivot'!$A:$AE,7,0),"")+VLOOKUP($A6,'Halo Infinite Stats'!$A:$AH,8,0)</f>
        <v>1646</v>
      </c>
      <c r="I6" s="829">
        <f>IFERROR(VLOOKUP($A6,'Playoff Stats Pivot'!$A:$AE,8,0),"")+VLOOKUP($A6,'Halo Infinite Stats'!$A:$AH,9,0)</f>
        <v>-405</v>
      </c>
      <c r="J6" s="830">
        <f t="shared" si="2"/>
        <v>0.7539489672</v>
      </c>
      <c r="K6" s="829">
        <f>IFERROR(VLOOKUP($A6,'Playoff Stats Pivot'!$A:$AE,9,0),"")+VLOOKUP($A6,'Halo Infinite Stats'!$A:$AH,11,0)</f>
        <v>5</v>
      </c>
      <c r="L6" s="831">
        <f>IFERROR(VLOOKUP($A6,'Playoff Stats Pivot'!$A:$AE,10,0),"")+VLOOKUP($A6,'Halo Infinite Stats'!$A:$AH,12,0)</f>
        <v>30633</v>
      </c>
      <c r="M6" s="832">
        <f t="shared" si="3"/>
        <v>14.61057108</v>
      </c>
      <c r="N6" s="829">
        <f>IFERROR(VLOOKUP($A6,'Playoff Stats Pivot'!$A:$AE,11,0),"")+VLOOKUP($A6,'Halo Infinite Stats'!$A:$AH,14,0)</f>
        <v>16</v>
      </c>
      <c r="O6" s="829">
        <f>IFERROR(VLOOKUP($A6,'Playoff Stats Pivot'!$A:$AE,12,0),"")+VLOOKUP($A6,'Halo Infinite Stats'!$A:$AH,15,0)</f>
        <v>0</v>
      </c>
      <c r="P6" s="829">
        <f>IFERROR(VLOOKUP($A6,'Playoff Stats Pivot'!$A:$AE,13,0),"")+VLOOKUP($A6,'Halo Infinite Stats'!$A:$AH,16,0)</f>
        <v>0</v>
      </c>
      <c r="Q6" s="829">
        <f>IFERROR(VLOOKUP($A6,'Playoff Stats Pivot'!$A:$AE,14,0),"")+VLOOKUP($A6,'Halo Infinite Stats'!$A:$AH,17,0)</f>
        <v>0</v>
      </c>
      <c r="R6" s="829">
        <f>IFERROR(VLOOKUP($A6,'Playoff Stats Pivot'!$A:$AE,15,0),"")+VLOOKUP($A6,'Halo Infinite Stats'!$A:$AH,18,0)</f>
        <v>13</v>
      </c>
      <c r="S6" s="829">
        <f>IFERROR(VLOOKUP($A6,'Playoff Stats Pivot'!$A:$AE,16,0),"")+VLOOKUP($A6,'Halo Infinite Stats'!$A:$AH,19,0)</f>
        <v>161</v>
      </c>
      <c r="T6" s="829">
        <f>IFERROR(VLOOKUP($A6,'Playoff Stats Pivot'!$A:$AE,17,0),"")+VLOOKUP($A6,'Halo Infinite Stats'!$A:$AH,20,0)</f>
        <v>30</v>
      </c>
      <c r="U6" s="829">
        <f>IFERROR(VLOOKUP($A6,'Playoff Stats Pivot'!$A:$AE,18,0),"")+VLOOKUP($A6,'Halo Infinite Stats'!$A:$AH,21,0)</f>
        <v>7</v>
      </c>
      <c r="V6" s="829">
        <f>IFERROR(VLOOKUP($A6,'Playoff Stats Pivot'!$A:$AE,19,0),"")+VLOOKUP($A6,'Halo Infinite Stats'!$A:$AH,22,0)</f>
        <v>1</v>
      </c>
      <c r="W6" s="829">
        <f>IFERROR(VLOOKUP($A6,'Playoff Stats Pivot'!$A:$AE,20,0),"")+VLOOKUP($A6,'Halo Infinite Stats'!$A:$AH,23,0)</f>
        <v>0</v>
      </c>
      <c r="X6" s="829">
        <f>IFERROR(VLOOKUP($A6,'Playoff Stats Pivot'!$A:$AE,21,0),"")+VLOOKUP($A6,'Halo Infinite Stats'!$A:$AH,24,0)</f>
        <v>0</v>
      </c>
      <c r="Y6" s="829">
        <f>IFERROR(VLOOKUP($A6,'Playoff Stats Pivot'!$A:$AE,22,0),"")+VLOOKUP($A6,'Halo Infinite Stats'!$A:$AH,25,0)</f>
        <v>0</v>
      </c>
      <c r="Z6" s="829">
        <f>IFERROR(VLOOKUP($A6,'Playoff Stats Pivot'!$A:$AE,23,0),"")+VLOOKUP($A6,'Halo Infinite Stats'!$A:$AH,26,0)</f>
        <v>0</v>
      </c>
      <c r="AA6" s="829">
        <f>IFERROR(VLOOKUP($A6,'Playoff Stats Pivot'!$A:$AE,24,0),"")+VLOOKUP($A6,'Halo Infinite Stats'!$A:$AH,27,0)</f>
        <v>0</v>
      </c>
      <c r="AB6" s="829">
        <f>IFERROR(VLOOKUP($A6,'Playoff Stats Pivot'!$A:$AE,25,0),"")+VLOOKUP($A6,'Halo Infinite Stats'!$A:$AH,28,0)</f>
        <v>0</v>
      </c>
      <c r="AC6" s="829">
        <f>IFERROR(VLOOKUP($A6,'Playoff Stats Pivot'!$A:$AE,26,0),"")+VLOOKUP($A6,'Halo Infinite Stats'!$A:$AH,29,0)</f>
        <v>239</v>
      </c>
      <c r="AD6" s="829">
        <f>IFERROR(VLOOKUP($A6,'Playoff Stats Pivot'!$A:$AE,27,0),"")+VLOOKUP($A6,'Halo Infinite Stats'!$A:$AH,30,0)</f>
        <v>0</v>
      </c>
      <c r="AE6" s="829">
        <f>IFERROR(VLOOKUP($A6,'Playoff Stats Pivot'!$A:$AE,28,0),"")+VLOOKUP($A6,'Halo Infinite Stats'!$A:$AH,31,0)</f>
        <v>0</v>
      </c>
      <c r="AF6" s="829">
        <f>IFERROR(VLOOKUP($A6,'Playoff Stats Pivot'!$A:$AE,29,0),"")+VLOOKUP($A6,'Halo Infinite Stats'!$A:$AH,32,0)</f>
        <v>0</v>
      </c>
      <c r="AG6" s="829">
        <f>IFERROR(VLOOKUP($A6,'Playoff Stats Pivot'!$A:$AE,30,0),"")+VLOOKUP($A6,'Halo Infinite Stats'!$A:$AH,33,0)</f>
        <v>11</v>
      </c>
      <c r="AH6" s="829">
        <f>IFERROR(VLOOKUP($A6,'Playoff Stats Pivot'!$A:$AE,31,0),"")+VLOOKUP($A6,'Halo Infinite Stats'!$A:$AH,34,0)</f>
        <v>8</v>
      </c>
      <c r="AI6" s="833">
        <f t="shared" si="4"/>
        <v>5.664479483</v>
      </c>
      <c r="AJ6" s="833">
        <f t="shared" si="5"/>
        <v>0.1119576927</v>
      </c>
      <c r="AK6" s="833">
        <f t="shared" si="6"/>
        <v>0.03133875233</v>
      </c>
      <c r="AL6" s="833">
        <f t="shared" si="10"/>
        <v>0.1066483857</v>
      </c>
      <c r="AM6" s="833">
        <f t="shared" si="7"/>
        <v>1.0625</v>
      </c>
      <c r="AN6" s="833">
        <f t="shared" si="11"/>
        <v>0.1603545528</v>
      </c>
      <c r="AO6" s="833">
        <f t="shared" si="8"/>
        <v>0.006104527797</v>
      </c>
      <c r="AP6" s="833">
        <f t="shared" si="9"/>
        <v>-0.7834688081</v>
      </c>
      <c r="AQ6" s="833" t="s">
        <v>338</v>
      </c>
      <c r="AR6" s="834" t="s">
        <v>342</v>
      </c>
    </row>
    <row r="7">
      <c r="A7" s="837" t="s">
        <v>83</v>
      </c>
      <c r="B7" s="829">
        <f t="shared" si="1"/>
        <v>10</v>
      </c>
      <c r="C7" s="829">
        <f>IFERROR(VLOOKUP($A7,'Playoff Stats Pivot'!$A:$AE,2,0),0)+VLOOKUP($A7,'Halo Infinite Stats'!$A:$AH,3,0)</f>
        <v>2</v>
      </c>
      <c r="D7" s="829">
        <f>IFERROR(VLOOKUP($A7,'Playoff Stats Pivot'!$A:$AE,3,0),"")+VLOOKUP($A7,'Halo Infinite Stats'!$A:$AH,4,0)</f>
        <v>8</v>
      </c>
      <c r="E7" s="829">
        <f>IFERROR(VLOOKUP($A7,'Playoff Stats Pivot'!$A:$AE,4,0),"")+VLOOKUP($A7,'Halo Infinite Stats'!$A:$AH,5,0)</f>
        <v>3</v>
      </c>
      <c r="F7" s="829">
        <f>IFERROR(VLOOKUP($A7,'Playoff Stats Pivot'!$A:$AE,5,0),"")+VLOOKUP($A7,'Halo Infinite Stats'!$A:$AH,6,0)</f>
        <v>8</v>
      </c>
      <c r="G7" s="829">
        <f>IFERROR(VLOOKUP($A7,'Playoff Stats Pivot'!$A:$AE,6,0),"")+VLOOKUP($A7,'Halo Infinite Stats'!$A:$AH,7,0)</f>
        <v>228</v>
      </c>
      <c r="H7" s="829">
        <f>IFERROR(VLOOKUP($A7,'Playoff Stats Pivot'!$A:$AE,7,0),"")+VLOOKUP($A7,'Halo Infinite Stats'!$A:$AH,8,0)</f>
        <v>396</v>
      </c>
      <c r="I7" s="829">
        <f>IFERROR(VLOOKUP($A7,'Playoff Stats Pivot'!$A:$AE,8,0),"")+VLOOKUP($A7,'Halo Infinite Stats'!$A:$AH,9,0)</f>
        <v>-168</v>
      </c>
      <c r="J7" s="830">
        <f t="shared" si="2"/>
        <v>0.5757575758</v>
      </c>
      <c r="K7" s="829">
        <f>IFERROR(VLOOKUP($A7,'Playoff Stats Pivot'!$A:$AE,9,0),"")+VLOOKUP($A7,'Halo Infinite Stats'!$A:$AH,11,0)</f>
        <v>0</v>
      </c>
      <c r="L7" s="831">
        <f>IFERROR(VLOOKUP($A7,'Playoff Stats Pivot'!$A:$AE,10,0),"")+VLOOKUP($A7,'Halo Infinite Stats'!$A:$AH,12,0)</f>
        <v>5799</v>
      </c>
      <c r="M7" s="832">
        <f t="shared" si="3"/>
        <v>10.64393939</v>
      </c>
      <c r="N7" s="829">
        <f>IFERROR(VLOOKUP($A7,'Playoff Stats Pivot'!$A:$AE,11,0),"")+VLOOKUP($A7,'Halo Infinite Stats'!$A:$AH,14,0)</f>
        <v>3</v>
      </c>
      <c r="O7" s="829">
        <f>IFERROR(VLOOKUP($A7,'Playoff Stats Pivot'!$A:$AE,12,0),"")+VLOOKUP($A7,'Halo Infinite Stats'!$A:$AH,15,0)</f>
        <v>0</v>
      </c>
      <c r="P7" s="829">
        <f>IFERROR(VLOOKUP($A7,'Playoff Stats Pivot'!$A:$AE,13,0),"")+VLOOKUP($A7,'Halo Infinite Stats'!$A:$AH,16,0)</f>
        <v>0</v>
      </c>
      <c r="Q7" s="829">
        <f>IFERROR(VLOOKUP($A7,'Playoff Stats Pivot'!$A:$AE,14,0),"")+VLOOKUP($A7,'Halo Infinite Stats'!$A:$AH,17,0)</f>
        <v>0</v>
      </c>
      <c r="R7" s="829">
        <f>IFERROR(VLOOKUP($A7,'Playoff Stats Pivot'!$A:$AE,15,0),"")+VLOOKUP($A7,'Halo Infinite Stats'!$A:$AH,18,0)</f>
        <v>7</v>
      </c>
      <c r="S7" s="829">
        <f>IFERROR(VLOOKUP($A7,'Playoff Stats Pivot'!$A:$AE,16,0),"")+VLOOKUP($A7,'Halo Infinite Stats'!$A:$AH,19,0)</f>
        <v>35</v>
      </c>
      <c r="T7" s="829">
        <f>IFERROR(VLOOKUP($A7,'Playoff Stats Pivot'!$A:$AE,17,0),"")+VLOOKUP($A7,'Halo Infinite Stats'!$A:$AH,20,0)</f>
        <v>9</v>
      </c>
      <c r="U7" s="829">
        <f>IFERROR(VLOOKUP($A7,'Playoff Stats Pivot'!$A:$AE,18,0),"")+VLOOKUP($A7,'Halo Infinite Stats'!$A:$AH,21,0)</f>
        <v>1</v>
      </c>
      <c r="V7" s="829">
        <f>IFERROR(VLOOKUP($A7,'Playoff Stats Pivot'!$A:$AE,19,0),"")+VLOOKUP($A7,'Halo Infinite Stats'!$A:$AH,22,0)</f>
        <v>0</v>
      </c>
      <c r="W7" s="829">
        <f>IFERROR(VLOOKUP($A7,'Playoff Stats Pivot'!$A:$AE,20,0),"")+VLOOKUP($A7,'Halo Infinite Stats'!$A:$AH,23,0)</f>
        <v>0</v>
      </c>
      <c r="X7" s="829">
        <f>IFERROR(VLOOKUP($A7,'Playoff Stats Pivot'!$A:$AE,21,0),"")+VLOOKUP($A7,'Halo Infinite Stats'!$A:$AH,24,0)</f>
        <v>0</v>
      </c>
      <c r="Y7" s="829">
        <f>IFERROR(VLOOKUP($A7,'Playoff Stats Pivot'!$A:$AE,22,0),"")+VLOOKUP($A7,'Halo Infinite Stats'!$A:$AH,25,0)</f>
        <v>0</v>
      </c>
      <c r="Z7" s="829">
        <f>IFERROR(VLOOKUP($A7,'Playoff Stats Pivot'!$A:$AE,23,0),"")+VLOOKUP($A7,'Halo Infinite Stats'!$A:$AH,26,0)</f>
        <v>0</v>
      </c>
      <c r="AA7" s="829">
        <f>IFERROR(VLOOKUP($A7,'Playoff Stats Pivot'!$A:$AE,24,0),"")+VLOOKUP($A7,'Halo Infinite Stats'!$A:$AH,27,0)</f>
        <v>0</v>
      </c>
      <c r="AB7" s="829">
        <f>IFERROR(VLOOKUP($A7,'Playoff Stats Pivot'!$A:$AE,25,0),"")+VLOOKUP($A7,'Halo Infinite Stats'!$A:$AH,28,0)</f>
        <v>0</v>
      </c>
      <c r="AC7" s="829">
        <f>IFERROR(VLOOKUP($A7,'Playoff Stats Pivot'!$A:$AE,26,0),"")+VLOOKUP($A7,'Halo Infinite Stats'!$A:$AH,29,0)</f>
        <v>40</v>
      </c>
      <c r="AD7" s="829">
        <f>IFERROR(VLOOKUP($A7,'Playoff Stats Pivot'!$A:$AE,27,0),"")+VLOOKUP($A7,'Halo Infinite Stats'!$A:$AH,30,0)</f>
        <v>0</v>
      </c>
      <c r="AE7" s="829">
        <f>IFERROR(VLOOKUP($A7,'Playoff Stats Pivot'!$A:$AE,28,0),"")+VLOOKUP($A7,'Halo Infinite Stats'!$A:$AH,31,0)</f>
        <v>0</v>
      </c>
      <c r="AF7" s="829">
        <f>IFERROR(VLOOKUP($A7,'Playoff Stats Pivot'!$A:$AE,29,0),"")+VLOOKUP($A7,'Halo Infinite Stats'!$A:$AH,32,0)</f>
        <v>0</v>
      </c>
      <c r="AG7" s="829">
        <f>IFERROR(VLOOKUP($A7,'Playoff Stats Pivot'!$A:$AE,30,0),"")+VLOOKUP($A7,'Halo Infinite Stats'!$A:$AH,33,0)</f>
        <v>7</v>
      </c>
      <c r="AH7" s="829">
        <f>IFERROR(VLOOKUP($A7,'Playoff Stats Pivot'!$A:$AE,31,0),"")+VLOOKUP($A7,'Halo Infinite Stats'!$A:$AH,34,0)</f>
        <v>0</v>
      </c>
      <c r="AI7" s="836">
        <f t="shared" si="4"/>
        <v>6.456285566</v>
      </c>
      <c r="AJ7" s="836">
        <f t="shared" si="5"/>
        <v>0.07697878945</v>
      </c>
      <c r="AK7" s="836">
        <f t="shared" si="6"/>
        <v>0.03103983445</v>
      </c>
      <c r="AL7" s="833">
        <f t="shared" si="10"/>
        <v>-0.8691670978</v>
      </c>
      <c r="AM7" s="836">
        <f t="shared" si="7"/>
        <v>0.3</v>
      </c>
      <c r="AN7" s="836">
        <f t="shared" si="11"/>
        <v>0.1973684211</v>
      </c>
      <c r="AO7" s="833">
        <f t="shared" si="8"/>
        <v>0.001379548198</v>
      </c>
      <c r="AP7" s="833">
        <f t="shared" si="9"/>
        <v>-1.738230729</v>
      </c>
      <c r="AQ7" s="833" t="s">
        <v>338</v>
      </c>
      <c r="AR7" s="834" t="s">
        <v>343</v>
      </c>
    </row>
    <row r="8">
      <c r="A8" s="838" t="s">
        <v>79</v>
      </c>
      <c r="B8" s="829">
        <f t="shared" si="1"/>
        <v>19</v>
      </c>
      <c r="C8" s="829">
        <f>IFERROR(VLOOKUP($A8,'Playoff Stats Pivot'!$A:$AE,2,0),0)+VLOOKUP($A8,'Halo Infinite Stats'!$A:$AH,3,0)</f>
        <v>13</v>
      </c>
      <c r="D8" s="829">
        <f>IFERROR(VLOOKUP($A8,'Playoff Stats Pivot'!$A:$AE,3,0),"")+VLOOKUP($A8,'Halo Infinite Stats'!$A:$AH,4,0)</f>
        <v>6</v>
      </c>
      <c r="E8" s="829">
        <f>IFERROR(VLOOKUP($A8,'Playoff Stats Pivot'!$A:$AE,4,0),"")+VLOOKUP($A8,'Halo Infinite Stats'!$A:$AH,5,0)</f>
        <v>22</v>
      </c>
      <c r="F8" s="829">
        <f>IFERROR(VLOOKUP($A8,'Playoff Stats Pivot'!$A:$AE,5,0),"")+VLOOKUP($A8,'Halo Infinite Stats'!$A:$AH,6,0)</f>
        <v>85</v>
      </c>
      <c r="G8" s="829">
        <f>IFERROR(VLOOKUP($A8,'Playoff Stats Pivot'!$A:$AE,6,0),"")+VLOOKUP($A8,'Halo Infinite Stats'!$A:$AH,7,0)</f>
        <v>656</v>
      </c>
      <c r="H8" s="829">
        <f>IFERROR(VLOOKUP($A8,'Playoff Stats Pivot'!$A:$AE,7,0),"")+VLOOKUP($A8,'Halo Infinite Stats'!$A:$AH,8,0)</f>
        <v>865</v>
      </c>
      <c r="I8" s="829">
        <f>IFERROR(VLOOKUP($A8,'Playoff Stats Pivot'!$A:$AE,8,0),"")+VLOOKUP($A8,'Halo Infinite Stats'!$A:$AH,9,0)</f>
        <v>-209</v>
      </c>
      <c r="J8" s="830">
        <f t="shared" si="2"/>
        <v>0.7583815029</v>
      </c>
      <c r="K8" s="829">
        <f>IFERROR(VLOOKUP($A8,'Playoff Stats Pivot'!$A:$AE,9,0),"")+VLOOKUP($A8,'Halo Infinite Stats'!$A:$AH,11,0)</f>
        <v>1</v>
      </c>
      <c r="L8" s="831">
        <f>IFERROR(VLOOKUP($A8,'Playoff Stats Pivot'!$A:$AE,10,0),"")+VLOOKUP($A8,'Halo Infinite Stats'!$A:$AH,12,0)</f>
        <v>16836</v>
      </c>
      <c r="M8" s="832">
        <f t="shared" si="3"/>
        <v>15.46358382</v>
      </c>
      <c r="N8" s="829">
        <f>IFERROR(VLOOKUP($A8,'Playoff Stats Pivot'!$A:$AE,11,0),"")+VLOOKUP($A8,'Halo Infinite Stats'!$A:$AH,14,0)</f>
        <v>6</v>
      </c>
      <c r="O8" s="829">
        <f>IFERROR(VLOOKUP($A8,'Playoff Stats Pivot'!$A:$AE,12,0),"")+VLOOKUP($A8,'Halo Infinite Stats'!$A:$AH,15,0)</f>
        <v>0</v>
      </c>
      <c r="P8" s="829">
        <f>IFERROR(VLOOKUP($A8,'Playoff Stats Pivot'!$A:$AE,13,0),"")+VLOOKUP($A8,'Halo Infinite Stats'!$A:$AH,16,0)</f>
        <v>0</v>
      </c>
      <c r="Q8" s="829">
        <f>IFERROR(VLOOKUP($A8,'Playoff Stats Pivot'!$A:$AE,14,0),"")+VLOOKUP($A8,'Halo Infinite Stats'!$A:$AH,17,0)</f>
        <v>0</v>
      </c>
      <c r="R8" s="829">
        <f>IFERROR(VLOOKUP($A8,'Playoff Stats Pivot'!$A:$AE,15,0),"")+VLOOKUP($A8,'Halo Infinite Stats'!$A:$AH,18,0)</f>
        <v>8</v>
      </c>
      <c r="S8" s="829">
        <f>IFERROR(VLOOKUP($A8,'Playoff Stats Pivot'!$A:$AE,16,0),"")+VLOOKUP($A8,'Halo Infinite Stats'!$A:$AH,19,0)</f>
        <v>96</v>
      </c>
      <c r="T8" s="829">
        <f>IFERROR(VLOOKUP($A8,'Playoff Stats Pivot'!$A:$AE,17,0),"")+VLOOKUP($A8,'Halo Infinite Stats'!$A:$AH,20,0)</f>
        <v>31</v>
      </c>
      <c r="U8" s="829">
        <f>IFERROR(VLOOKUP($A8,'Playoff Stats Pivot'!$A:$AE,18,0),"")+VLOOKUP($A8,'Halo Infinite Stats'!$A:$AH,21,0)</f>
        <v>8</v>
      </c>
      <c r="V8" s="829">
        <f>IFERROR(VLOOKUP($A8,'Playoff Stats Pivot'!$A:$AE,19,0),"")+VLOOKUP($A8,'Halo Infinite Stats'!$A:$AH,22,0)</f>
        <v>3</v>
      </c>
      <c r="W8" s="829">
        <f>IFERROR(VLOOKUP($A8,'Playoff Stats Pivot'!$A:$AE,20,0),"")+VLOOKUP($A8,'Halo Infinite Stats'!$A:$AH,23,0)</f>
        <v>1</v>
      </c>
      <c r="X8" s="829">
        <f>IFERROR(VLOOKUP($A8,'Playoff Stats Pivot'!$A:$AE,21,0),"")+VLOOKUP($A8,'Halo Infinite Stats'!$A:$AH,24,0)</f>
        <v>0</v>
      </c>
      <c r="Y8" s="829">
        <f>IFERROR(VLOOKUP($A8,'Playoff Stats Pivot'!$A:$AE,22,0),"")+VLOOKUP($A8,'Halo Infinite Stats'!$A:$AH,25,0)</f>
        <v>0</v>
      </c>
      <c r="Z8" s="829">
        <f>IFERROR(VLOOKUP($A8,'Playoff Stats Pivot'!$A:$AE,23,0),"")+VLOOKUP($A8,'Halo Infinite Stats'!$A:$AH,26,0)</f>
        <v>0</v>
      </c>
      <c r="AA8" s="829">
        <f>IFERROR(VLOOKUP($A8,'Playoff Stats Pivot'!$A:$AE,24,0),"")+VLOOKUP($A8,'Halo Infinite Stats'!$A:$AH,27,0)</f>
        <v>0</v>
      </c>
      <c r="AB8" s="829">
        <f>IFERROR(VLOOKUP($A8,'Playoff Stats Pivot'!$A:$AE,25,0),"")+VLOOKUP($A8,'Halo Infinite Stats'!$A:$AH,28,0)</f>
        <v>0</v>
      </c>
      <c r="AC8" s="829">
        <f>IFERROR(VLOOKUP($A8,'Playoff Stats Pivot'!$A:$AE,26,0),"")+VLOOKUP($A8,'Halo Infinite Stats'!$A:$AH,29,0)</f>
        <v>114</v>
      </c>
      <c r="AD8" s="829">
        <f>IFERROR(VLOOKUP($A8,'Playoff Stats Pivot'!$A:$AE,27,0),"")+VLOOKUP($A8,'Halo Infinite Stats'!$A:$AH,30,0)</f>
        <v>0</v>
      </c>
      <c r="AE8" s="829">
        <f>IFERROR(VLOOKUP($A8,'Playoff Stats Pivot'!$A:$AE,28,0),"")+VLOOKUP($A8,'Halo Infinite Stats'!$A:$AH,31,0)</f>
        <v>0</v>
      </c>
      <c r="AF8" s="829">
        <f>IFERROR(VLOOKUP($A8,'Playoff Stats Pivot'!$A:$AE,29,0),"")+VLOOKUP($A8,'Halo Infinite Stats'!$A:$AH,32,0)</f>
        <v>0</v>
      </c>
      <c r="AG8" s="829">
        <f>IFERROR(VLOOKUP($A8,'Playoff Stats Pivot'!$A:$AE,30,0),"")+VLOOKUP($A8,'Halo Infinite Stats'!$A:$AH,33,0)</f>
        <v>14</v>
      </c>
      <c r="AH8" s="829">
        <f>IFERROR(VLOOKUP($A8,'Playoff Stats Pivot'!$A:$AE,31,0),"")+VLOOKUP($A8,'Halo Infinite Stats'!$A:$AH,34,0)</f>
        <v>10</v>
      </c>
      <c r="AI8" s="833">
        <f t="shared" si="4"/>
        <v>5.424091233</v>
      </c>
      <c r="AJ8" s="833">
        <f t="shared" si="5"/>
        <v>0.1131860299</v>
      </c>
      <c r="AK8" s="833">
        <f t="shared" si="6"/>
        <v>0.02138275125</v>
      </c>
      <c r="AL8" s="833">
        <f t="shared" si="10"/>
        <v>0.1388891935</v>
      </c>
      <c r="AM8" s="833">
        <f t="shared" si="7"/>
        <v>1.157894737</v>
      </c>
      <c r="AN8" s="833">
        <f t="shared" si="11"/>
        <v>0.2118902439</v>
      </c>
      <c r="AO8" s="833">
        <f t="shared" si="8"/>
        <v>0.005048705156</v>
      </c>
      <c r="AP8" s="833">
        <f t="shared" si="9"/>
        <v>-0.7412687099</v>
      </c>
      <c r="AQ8" s="833" t="s">
        <v>338</v>
      </c>
      <c r="AR8" s="834" t="s">
        <v>344</v>
      </c>
    </row>
    <row r="9">
      <c r="A9" s="837" t="s">
        <v>57</v>
      </c>
      <c r="B9" s="829">
        <f t="shared" si="1"/>
        <v>5</v>
      </c>
      <c r="C9" s="829">
        <f>IFERROR(VLOOKUP($A9,'Playoff Stats Pivot'!$A:$AE,2,0),0)+VLOOKUP($A9,'Halo Infinite Stats'!$A:$AH,3,0)</f>
        <v>0</v>
      </c>
      <c r="D9" s="829">
        <f>IFERROR(VLOOKUP($A9,'Playoff Stats Pivot'!$A:$AE,3,0),"")+VLOOKUP($A9,'Halo Infinite Stats'!$A:$AH,4,0)</f>
        <v>5</v>
      </c>
      <c r="E9" s="829">
        <f>IFERROR(VLOOKUP($A9,'Playoff Stats Pivot'!$A:$AE,4,0),"")+VLOOKUP($A9,'Halo Infinite Stats'!$A:$AH,5,0)</f>
        <v>3</v>
      </c>
      <c r="F9" s="829">
        <f>IFERROR(VLOOKUP($A9,'Playoff Stats Pivot'!$A:$AE,5,0),"")+VLOOKUP($A9,'Halo Infinite Stats'!$A:$AH,6,0)</f>
        <v>22</v>
      </c>
      <c r="G9" s="829">
        <f>IFERROR(VLOOKUP($A9,'Playoff Stats Pivot'!$A:$AE,6,0),"")+VLOOKUP($A9,'Halo Infinite Stats'!$A:$AH,7,0)</f>
        <v>174</v>
      </c>
      <c r="H9" s="829">
        <f>IFERROR(VLOOKUP($A9,'Playoff Stats Pivot'!$A:$AE,7,0),"")+VLOOKUP($A9,'Halo Infinite Stats'!$A:$AH,8,0)</f>
        <v>219</v>
      </c>
      <c r="I9" s="829">
        <f>IFERROR(VLOOKUP($A9,'Playoff Stats Pivot'!$A:$AE,8,0),"")+VLOOKUP($A9,'Halo Infinite Stats'!$A:$AH,9,0)</f>
        <v>-45</v>
      </c>
      <c r="J9" s="830">
        <f t="shared" si="2"/>
        <v>0.7945205479</v>
      </c>
      <c r="K9" s="829">
        <f>IFERROR(VLOOKUP($A9,'Playoff Stats Pivot'!$A:$AE,9,0),"")+VLOOKUP($A9,'Halo Infinite Stats'!$A:$AH,11,0)</f>
        <v>0</v>
      </c>
      <c r="L9" s="831">
        <f>IFERROR(VLOOKUP($A9,'Playoff Stats Pivot'!$A:$AE,10,0),"")+VLOOKUP($A9,'Halo Infinite Stats'!$A:$AH,12,0)</f>
        <v>3731</v>
      </c>
      <c r="M9" s="832">
        <f t="shared" si="3"/>
        <v>13.03652968</v>
      </c>
      <c r="N9" s="829">
        <f>IFERROR(VLOOKUP($A9,'Playoff Stats Pivot'!$A:$AE,11,0),"")+VLOOKUP($A9,'Halo Infinite Stats'!$A:$AH,14,0)</f>
        <v>3</v>
      </c>
      <c r="O9" s="829">
        <f>IFERROR(VLOOKUP($A9,'Playoff Stats Pivot'!$A:$AE,12,0),"")+VLOOKUP($A9,'Halo Infinite Stats'!$A:$AH,15,0)</f>
        <v>0</v>
      </c>
      <c r="P9" s="829">
        <f>IFERROR(VLOOKUP($A9,'Playoff Stats Pivot'!$A:$AE,13,0),"")+VLOOKUP($A9,'Halo Infinite Stats'!$A:$AH,16,0)</f>
        <v>0</v>
      </c>
      <c r="Q9" s="829">
        <f>IFERROR(VLOOKUP($A9,'Playoff Stats Pivot'!$A:$AE,14,0),"")+VLOOKUP($A9,'Halo Infinite Stats'!$A:$AH,17,0)</f>
        <v>0</v>
      </c>
      <c r="R9" s="829">
        <f>IFERROR(VLOOKUP($A9,'Playoff Stats Pivot'!$A:$AE,15,0),"")+VLOOKUP($A9,'Halo Infinite Stats'!$A:$AH,18,0)</f>
        <v>1</v>
      </c>
      <c r="S9" s="829">
        <f>IFERROR(VLOOKUP($A9,'Playoff Stats Pivot'!$A:$AE,16,0),"")+VLOOKUP($A9,'Halo Infinite Stats'!$A:$AH,19,0)</f>
        <v>26</v>
      </c>
      <c r="T9" s="829">
        <f>IFERROR(VLOOKUP($A9,'Playoff Stats Pivot'!$A:$AE,17,0),"")+VLOOKUP($A9,'Halo Infinite Stats'!$A:$AH,20,0)</f>
        <v>4</v>
      </c>
      <c r="U9" s="829">
        <f>IFERROR(VLOOKUP($A9,'Playoff Stats Pivot'!$A:$AE,18,0),"")+VLOOKUP($A9,'Halo Infinite Stats'!$A:$AH,21,0)</f>
        <v>2</v>
      </c>
      <c r="V9" s="829">
        <f>IFERROR(VLOOKUP($A9,'Playoff Stats Pivot'!$A:$AE,19,0),"")+VLOOKUP($A9,'Halo Infinite Stats'!$A:$AH,22,0)</f>
        <v>0</v>
      </c>
      <c r="W9" s="829">
        <f>IFERROR(VLOOKUP($A9,'Playoff Stats Pivot'!$A:$AE,20,0),"")+VLOOKUP($A9,'Halo Infinite Stats'!$A:$AH,23,0)</f>
        <v>0</v>
      </c>
      <c r="X9" s="829">
        <f>IFERROR(VLOOKUP($A9,'Playoff Stats Pivot'!$A:$AE,21,0),"")+VLOOKUP($A9,'Halo Infinite Stats'!$A:$AH,24,0)</f>
        <v>0</v>
      </c>
      <c r="Y9" s="829">
        <f>IFERROR(VLOOKUP($A9,'Playoff Stats Pivot'!$A:$AE,22,0),"")+VLOOKUP($A9,'Halo Infinite Stats'!$A:$AH,25,0)</f>
        <v>0</v>
      </c>
      <c r="Z9" s="829">
        <f>IFERROR(VLOOKUP($A9,'Playoff Stats Pivot'!$A:$AE,23,0),"")+VLOOKUP($A9,'Halo Infinite Stats'!$A:$AH,26,0)</f>
        <v>0</v>
      </c>
      <c r="AA9" s="829">
        <f>IFERROR(VLOOKUP($A9,'Playoff Stats Pivot'!$A:$AE,24,0),"")+VLOOKUP($A9,'Halo Infinite Stats'!$A:$AH,27,0)</f>
        <v>0</v>
      </c>
      <c r="AB9" s="829">
        <f>IFERROR(VLOOKUP($A9,'Playoff Stats Pivot'!$A:$AE,25,0),"")+VLOOKUP($A9,'Halo Infinite Stats'!$A:$AH,28,0)</f>
        <v>0</v>
      </c>
      <c r="AC9" s="829">
        <f>IFERROR(VLOOKUP($A9,'Playoff Stats Pivot'!$A:$AE,26,0),"")+VLOOKUP($A9,'Halo Infinite Stats'!$A:$AH,29,0)</f>
        <v>31</v>
      </c>
      <c r="AD9" s="829">
        <f>IFERROR(VLOOKUP($A9,'Playoff Stats Pivot'!$A:$AE,27,0),"")+VLOOKUP($A9,'Halo Infinite Stats'!$A:$AH,30,0)</f>
        <v>0</v>
      </c>
      <c r="AE9" s="829">
        <f>IFERROR(VLOOKUP($A9,'Playoff Stats Pivot'!$A:$AE,28,0),"")+VLOOKUP($A9,'Halo Infinite Stats'!$A:$AH,31,0)</f>
        <v>0</v>
      </c>
      <c r="AF9" s="829">
        <f>IFERROR(VLOOKUP($A9,'Playoff Stats Pivot'!$A:$AE,29,0),"")+VLOOKUP($A9,'Halo Infinite Stats'!$A:$AH,32,0)</f>
        <v>0</v>
      </c>
      <c r="AG9" s="829">
        <f>IFERROR(VLOOKUP($A9,'Playoff Stats Pivot'!$A:$AE,30,0),"")+VLOOKUP($A9,'Halo Infinite Stats'!$A:$AH,33,0)</f>
        <v>3</v>
      </c>
      <c r="AH9" s="829">
        <f>IFERROR(VLOOKUP($A9,'Playoff Stats Pivot'!$A:$AE,31,0),"")+VLOOKUP($A9,'Halo Infinite Stats'!$A:$AH,34,0)</f>
        <v>2</v>
      </c>
      <c r="AI9" s="836">
        <f t="shared" si="4"/>
        <v>6.320021442</v>
      </c>
      <c r="AJ9" s="836">
        <f t="shared" si="5"/>
        <v>0.1022782096</v>
      </c>
      <c r="AK9" s="836">
        <f t="shared" si="6"/>
        <v>0.04824443849</v>
      </c>
      <c r="AL9" s="833">
        <f t="shared" si="10"/>
        <v>-0.1447333155</v>
      </c>
      <c r="AM9" s="836">
        <f t="shared" si="7"/>
        <v>0.6</v>
      </c>
      <c r="AN9" s="836">
        <f t="shared" si="11"/>
        <v>0.183908046</v>
      </c>
      <c r="AO9" s="833">
        <f t="shared" si="8"/>
        <v>0.005896542482</v>
      </c>
      <c r="AP9" s="833">
        <f t="shared" si="9"/>
        <v>-0.7236665773</v>
      </c>
      <c r="AQ9" s="833" t="s">
        <v>336</v>
      </c>
      <c r="AR9" s="834" t="s">
        <v>345</v>
      </c>
    </row>
    <row r="10">
      <c r="A10" s="838" t="s">
        <v>69</v>
      </c>
      <c r="B10" s="829">
        <f t="shared" si="1"/>
        <v>10</v>
      </c>
      <c r="C10" s="829">
        <f>IFERROR(VLOOKUP($A10,'Playoff Stats Pivot'!$A:$AE,2,0),0)+VLOOKUP($A10,'Halo Infinite Stats'!$A:$AH,3,0)</f>
        <v>2</v>
      </c>
      <c r="D10" s="829">
        <f>IFERROR(VLOOKUP($A10,'Playoff Stats Pivot'!$A:$AE,3,0),"")+VLOOKUP($A10,'Halo Infinite Stats'!$A:$AH,4,0)</f>
        <v>8</v>
      </c>
      <c r="E10" s="829">
        <f>IFERROR(VLOOKUP($A10,'Playoff Stats Pivot'!$A:$AE,4,0),"")+VLOOKUP($A10,'Halo Infinite Stats'!$A:$AH,5,0)</f>
        <v>4</v>
      </c>
      <c r="F10" s="829">
        <f>IFERROR(VLOOKUP($A10,'Playoff Stats Pivot'!$A:$AE,5,0),"")+VLOOKUP($A10,'Halo Infinite Stats'!$A:$AH,6,0)</f>
        <v>29</v>
      </c>
      <c r="G10" s="829">
        <f>IFERROR(VLOOKUP($A10,'Playoff Stats Pivot'!$A:$AE,6,0),"")+VLOOKUP($A10,'Halo Infinite Stats'!$A:$AH,7,0)</f>
        <v>289</v>
      </c>
      <c r="H10" s="829">
        <f>IFERROR(VLOOKUP($A10,'Playoff Stats Pivot'!$A:$AE,7,0),"")+VLOOKUP($A10,'Halo Infinite Stats'!$A:$AH,8,0)</f>
        <v>492</v>
      </c>
      <c r="I10" s="829">
        <f>IFERROR(VLOOKUP($A10,'Playoff Stats Pivot'!$A:$AE,8,0),"")+VLOOKUP($A10,'Halo Infinite Stats'!$A:$AH,9,0)</f>
        <v>-203</v>
      </c>
      <c r="J10" s="830">
        <f t="shared" si="2"/>
        <v>0.587398374</v>
      </c>
      <c r="K10" s="829">
        <f>IFERROR(VLOOKUP($A10,'Playoff Stats Pivot'!$A:$AE,9,0),"")+VLOOKUP($A10,'Halo Infinite Stats'!$A:$AH,11,0)</f>
        <v>2</v>
      </c>
      <c r="L10" s="831">
        <f>IFERROR(VLOOKUP($A10,'Playoff Stats Pivot'!$A:$AE,10,0),"")+VLOOKUP($A10,'Halo Infinite Stats'!$A:$AH,12,0)</f>
        <v>6629</v>
      </c>
      <c r="M10" s="832">
        <f t="shared" si="3"/>
        <v>9.473577236</v>
      </c>
      <c r="N10" s="829">
        <f>IFERROR(VLOOKUP($A10,'Playoff Stats Pivot'!$A:$AE,11,0),"")+VLOOKUP($A10,'Halo Infinite Stats'!$A:$AH,14,0)</f>
        <v>4</v>
      </c>
      <c r="O10" s="829">
        <f>IFERROR(VLOOKUP($A10,'Playoff Stats Pivot'!$A:$AE,12,0),"")+VLOOKUP($A10,'Halo Infinite Stats'!$A:$AH,15,0)</f>
        <v>0</v>
      </c>
      <c r="P10" s="829">
        <f>IFERROR(VLOOKUP($A10,'Playoff Stats Pivot'!$A:$AE,13,0),"")+VLOOKUP($A10,'Halo Infinite Stats'!$A:$AH,16,0)</f>
        <v>0</v>
      </c>
      <c r="Q10" s="829">
        <f>IFERROR(VLOOKUP($A10,'Playoff Stats Pivot'!$A:$AE,14,0),"")+VLOOKUP($A10,'Halo Infinite Stats'!$A:$AH,17,0)</f>
        <v>0</v>
      </c>
      <c r="R10" s="829">
        <f>IFERROR(VLOOKUP($A10,'Playoff Stats Pivot'!$A:$AE,15,0),"")+VLOOKUP($A10,'Halo Infinite Stats'!$A:$AH,18,0)</f>
        <v>3</v>
      </c>
      <c r="S10" s="829">
        <f>IFERROR(VLOOKUP($A10,'Playoff Stats Pivot'!$A:$AE,16,0),"")+VLOOKUP($A10,'Halo Infinite Stats'!$A:$AH,19,0)</f>
        <v>47</v>
      </c>
      <c r="T10" s="829">
        <f>IFERROR(VLOOKUP($A10,'Playoff Stats Pivot'!$A:$AE,17,0),"")+VLOOKUP($A10,'Halo Infinite Stats'!$A:$AH,20,0)</f>
        <v>11</v>
      </c>
      <c r="U10" s="829">
        <f>IFERROR(VLOOKUP($A10,'Playoff Stats Pivot'!$A:$AE,18,0),"")+VLOOKUP($A10,'Halo Infinite Stats'!$A:$AH,21,0)</f>
        <v>2</v>
      </c>
      <c r="V10" s="829">
        <f>IFERROR(VLOOKUP($A10,'Playoff Stats Pivot'!$A:$AE,19,0),"")+VLOOKUP($A10,'Halo Infinite Stats'!$A:$AH,22,0)</f>
        <v>0</v>
      </c>
      <c r="W10" s="829">
        <f>IFERROR(VLOOKUP($A10,'Playoff Stats Pivot'!$A:$AE,20,0),"")+VLOOKUP($A10,'Halo Infinite Stats'!$A:$AH,23,0)</f>
        <v>0</v>
      </c>
      <c r="X10" s="829">
        <f>IFERROR(VLOOKUP($A10,'Playoff Stats Pivot'!$A:$AE,21,0),"")+VLOOKUP($A10,'Halo Infinite Stats'!$A:$AH,24,0)</f>
        <v>0</v>
      </c>
      <c r="Y10" s="829">
        <f>IFERROR(VLOOKUP($A10,'Playoff Stats Pivot'!$A:$AE,22,0),"")+VLOOKUP($A10,'Halo Infinite Stats'!$A:$AH,25,0)</f>
        <v>0</v>
      </c>
      <c r="Z10" s="829">
        <f>IFERROR(VLOOKUP($A10,'Playoff Stats Pivot'!$A:$AE,23,0),"")+VLOOKUP($A10,'Halo Infinite Stats'!$A:$AH,26,0)</f>
        <v>0</v>
      </c>
      <c r="AA10" s="829">
        <f>IFERROR(VLOOKUP($A10,'Playoff Stats Pivot'!$A:$AE,24,0),"")+VLOOKUP($A10,'Halo Infinite Stats'!$A:$AH,27,0)</f>
        <v>0</v>
      </c>
      <c r="AB10" s="829">
        <f>IFERROR(VLOOKUP($A10,'Playoff Stats Pivot'!$A:$AE,25,0),"")+VLOOKUP($A10,'Halo Infinite Stats'!$A:$AH,28,0)</f>
        <v>0</v>
      </c>
      <c r="AC10" s="829">
        <f>IFERROR(VLOOKUP($A10,'Playoff Stats Pivot'!$A:$AE,26,0),"")+VLOOKUP($A10,'Halo Infinite Stats'!$A:$AH,29,0)</f>
        <v>77</v>
      </c>
      <c r="AD10" s="829">
        <f>IFERROR(VLOOKUP($A10,'Playoff Stats Pivot'!$A:$AE,27,0),"")+VLOOKUP($A10,'Halo Infinite Stats'!$A:$AH,30,0)</f>
        <v>0</v>
      </c>
      <c r="AE10" s="829">
        <f>IFERROR(VLOOKUP($A10,'Playoff Stats Pivot'!$A:$AE,28,0),"")+VLOOKUP($A10,'Halo Infinite Stats'!$A:$AH,31,0)</f>
        <v>0</v>
      </c>
      <c r="AF10" s="829">
        <f>IFERROR(VLOOKUP($A10,'Playoff Stats Pivot'!$A:$AE,29,0),"")+VLOOKUP($A10,'Halo Infinite Stats'!$A:$AH,32,0)</f>
        <v>0</v>
      </c>
      <c r="AG10" s="829">
        <f>IFERROR(VLOOKUP($A10,'Playoff Stats Pivot'!$A:$AE,30,0),"")+VLOOKUP($A10,'Halo Infinite Stats'!$A:$AH,33,0)</f>
        <v>6</v>
      </c>
      <c r="AH10" s="829">
        <f>IFERROR(VLOOKUP($A10,'Playoff Stats Pivot'!$A:$AE,31,0),"")+VLOOKUP($A10,'Halo Infinite Stats'!$A:$AH,34,0)</f>
        <v>1</v>
      </c>
      <c r="AI10" s="833">
        <f t="shared" si="4"/>
        <v>7.087041786</v>
      </c>
      <c r="AJ10" s="833">
        <f t="shared" si="5"/>
        <v>0.1154925328</v>
      </c>
      <c r="AK10" s="833">
        <f t="shared" si="6"/>
        <v>0.03620455574</v>
      </c>
      <c r="AL10" s="833">
        <f t="shared" si="10"/>
        <v>-0.8309548952</v>
      </c>
      <c r="AM10" s="833">
        <f t="shared" si="7"/>
        <v>0.4</v>
      </c>
      <c r="AN10" s="833">
        <f t="shared" si="11"/>
        <v>0.2076124567</v>
      </c>
      <c r="AO10" s="833">
        <f t="shared" si="8"/>
        <v>0.004374717152</v>
      </c>
      <c r="AP10" s="833">
        <f t="shared" si="9"/>
        <v>-1.819278926</v>
      </c>
      <c r="AQ10" s="833" t="s">
        <v>336</v>
      </c>
      <c r="AR10" s="834" t="s">
        <v>346</v>
      </c>
    </row>
    <row r="11">
      <c r="A11" s="837" t="s">
        <v>41</v>
      </c>
      <c r="B11" s="829">
        <f t="shared" si="1"/>
        <v>29</v>
      </c>
      <c r="C11" s="829">
        <f>IFERROR(VLOOKUP($A11,'Playoff Stats Pivot'!$A:$AE,2,0),0)+VLOOKUP($A11,'Halo Infinite Stats'!$A:$AH,3,0)</f>
        <v>19</v>
      </c>
      <c r="D11" s="829">
        <f>IFERROR(VLOOKUP($A11,'Playoff Stats Pivot'!$A:$AE,3,0),"")+VLOOKUP($A11,'Halo Infinite Stats'!$A:$AH,4,0)</f>
        <v>10</v>
      </c>
      <c r="E11" s="829">
        <f>IFERROR(VLOOKUP($A11,'Playoff Stats Pivot'!$A:$AE,4,0),"")+VLOOKUP($A11,'Halo Infinite Stats'!$A:$AH,5,0)</f>
        <v>8</v>
      </c>
      <c r="F11" s="829">
        <f>IFERROR(VLOOKUP($A11,'Playoff Stats Pivot'!$A:$AE,5,0),"")+VLOOKUP($A11,'Halo Infinite Stats'!$A:$AH,6,0)</f>
        <v>24</v>
      </c>
      <c r="G11" s="829">
        <f>IFERROR(VLOOKUP($A11,'Playoff Stats Pivot'!$A:$AE,6,0),"")+VLOOKUP($A11,'Halo Infinite Stats'!$A:$AH,7,0)</f>
        <v>1052</v>
      </c>
      <c r="H11" s="829">
        <f>IFERROR(VLOOKUP($A11,'Playoff Stats Pivot'!$A:$AE,7,0),"")+VLOOKUP($A11,'Halo Infinite Stats'!$A:$AH,8,0)</f>
        <v>1328</v>
      </c>
      <c r="I11" s="829">
        <f>IFERROR(VLOOKUP($A11,'Playoff Stats Pivot'!$A:$AE,8,0),"")+VLOOKUP($A11,'Halo Infinite Stats'!$A:$AH,9,0)</f>
        <v>-276</v>
      </c>
      <c r="J11" s="830">
        <f t="shared" si="2"/>
        <v>0.7921686747</v>
      </c>
      <c r="K11" s="829">
        <f>IFERROR(VLOOKUP($A11,'Playoff Stats Pivot'!$A:$AE,9,0),"")+VLOOKUP($A11,'Halo Infinite Stats'!$A:$AH,11,0)</f>
        <v>4</v>
      </c>
      <c r="L11" s="831">
        <f>IFERROR(VLOOKUP($A11,'Playoff Stats Pivot'!$A:$AE,10,0),"")+VLOOKUP($A11,'Halo Infinite Stats'!$A:$AH,12,0)</f>
        <v>25898</v>
      </c>
      <c r="M11" s="832">
        <f t="shared" si="3"/>
        <v>15.50150602</v>
      </c>
      <c r="N11" s="829">
        <f>IFERROR(VLOOKUP($A11,'Playoff Stats Pivot'!$A:$AE,11,0),"")+VLOOKUP($A11,'Halo Infinite Stats'!$A:$AH,14,0)</f>
        <v>9</v>
      </c>
      <c r="O11" s="829">
        <f>IFERROR(VLOOKUP($A11,'Playoff Stats Pivot'!$A:$AE,12,0),"")+VLOOKUP($A11,'Halo Infinite Stats'!$A:$AH,15,0)</f>
        <v>0</v>
      </c>
      <c r="P11" s="829">
        <f>IFERROR(VLOOKUP($A11,'Playoff Stats Pivot'!$A:$AE,13,0),"")+VLOOKUP($A11,'Halo Infinite Stats'!$A:$AH,16,0)</f>
        <v>0</v>
      </c>
      <c r="Q11" s="829">
        <f>IFERROR(VLOOKUP($A11,'Playoff Stats Pivot'!$A:$AE,14,0),"")+VLOOKUP($A11,'Halo Infinite Stats'!$A:$AH,17,0)</f>
        <v>0</v>
      </c>
      <c r="R11" s="829">
        <f>IFERROR(VLOOKUP($A11,'Playoff Stats Pivot'!$A:$AE,15,0),"")+VLOOKUP($A11,'Halo Infinite Stats'!$A:$AH,18,0)</f>
        <v>16</v>
      </c>
      <c r="S11" s="829">
        <f>IFERROR(VLOOKUP($A11,'Playoff Stats Pivot'!$A:$AE,16,0),"")+VLOOKUP($A11,'Halo Infinite Stats'!$A:$AH,19,0)</f>
        <v>152</v>
      </c>
      <c r="T11" s="829">
        <f>IFERROR(VLOOKUP($A11,'Playoff Stats Pivot'!$A:$AE,17,0),"")+VLOOKUP($A11,'Halo Infinite Stats'!$A:$AH,20,0)</f>
        <v>30</v>
      </c>
      <c r="U11" s="829">
        <f>IFERROR(VLOOKUP($A11,'Playoff Stats Pivot'!$A:$AE,18,0),"")+VLOOKUP($A11,'Halo Infinite Stats'!$A:$AH,21,0)</f>
        <v>3</v>
      </c>
      <c r="V11" s="829">
        <f>IFERROR(VLOOKUP($A11,'Playoff Stats Pivot'!$A:$AE,19,0),"")+VLOOKUP($A11,'Halo Infinite Stats'!$A:$AH,22,0)</f>
        <v>2</v>
      </c>
      <c r="W11" s="829">
        <f>IFERROR(VLOOKUP($A11,'Playoff Stats Pivot'!$A:$AE,20,0),"")+VLOOKUP($A11,'Halo Infinite Stats'!$A:$AH,23,0)</f>
        <v>0</v>
      </c>
      <c r="X11" s="829">
        <f>IFERROR(VLOOKUP($A11,'Playoff Stats Pivot'!$A:$AE,21,0),"")+VLOOKUP($A11,'Halo Infinite Stats'!$A:$AH,24,0)</f>
        <v>0</v>
      </c>
      <c r="Y11" s="829">
        <f>IFERROR(VLOOKUP($A11,'Playoff Stats Pivot'!$A:$AE,22,0),"")+VLOOKUP($A11,'Halo Infinite Stats'!$A:$AH,25,0)</f>
        <v>0</v>
      </c>
      <c r="Z11" s="829">
        <f>IFERROR(VLOOKUP($A11,'Playoff Stats Pivot'!$A:$AE,23,0),"")+VLOOKUP($A11,'Halo Infinite Stats'!$A:$AH,26,0)</f>
        <v>0</v>
      </c>
      <c r="AA11" s="829">
        <f>IFERROR(VLOOKUP($A11,'Playoff Stats Pivot'!$A:$AE,24,0),"")+VLOOKUP($A11,'Halo Infinite Stats'!$A:$AH,27,0)</f>
        <v>0</v>
      </c>
      <c r="AB11" s="829">
        <f>IFERROR(VLOOKUP($A11,'Playoff Stats Pivot'!$A:$AE,25,0),"")+VLOOKUP($A11,'Halo Infinite Stats'!$A:$AH,28,0)</f>
        <v>0</v>
      </c>
      <c r="AC11" s="829">
        <f>IFERROR(VLOOKUP($A11,'Playoff Stats Pivot'!$A:$AE,26,0),"")+VLOOKUP($A11,'Halo Infinite Stats'!$A:$AH,29,0)</f>
        <v>138</v>
      </c>
      <c r="AD11" s="829">
        <f>IFERROR(VLOOKUP($A11,'Playoff Stats Pivot'!$A:$AE,27,0),"")+VLOOKUP($A11,'Halo Infinite Stats'!$A:$AH,30,0)</f>
        <v>0</v>
      </c>
      <c r="AE11" s="829">
        <f>IFERROR(VLOOKUP($A11,'Playoff Stats Pivot'!$A:$AE,28,0),"")+VLOOKUP($A11,'Halo Infinite Stats'!$A:$AH,31,0)</f>
        <v>1</v>
      </c>
      <c r="AF11" s="829">
        <f>IFERROR(VLOOKUP($A11,'Playoff Stats Pivot'!$A:$AE,29,0),"")+VLOOKUP($A11,'Halo Infinite Stats'!$A:$AH,32,0)</f>
        <v>0</v>
      </c>
      <c r="AG11" s="829">
        <f>IFERROR(VLOOKUP($A11,'Playoff Stats Pivot'!$A:$AE,30,0),"")+VLOOKUP($A11,'Halo Infinite Stats'!$A:$AH,33,0)</f>
        <v>14</v>
      </c>
      <c r="AH11" s="829">
        <f>IFERROR(VLOOKUP($A11,'Playoff Stats Pivot'!$A:$AE,31,0),"")+VLOOKUP($A11,'Halo Infinite Stats'!$A:$AH,34,0)</f>
        <v>4</v>
      </c>
      <c r="AI11" s="836">
        <f t="shared" si="4"/>
        <v>5.523206425</v>
      </c>
      <c r="AJ11" s="836">
        <f t="shared" si="5"/>
        <v>0.05486137926</v>
      </c>
      <c r="AK11" s="836">
        <f t="shared" si="6"/>
        <v>0.02085103097</v>
      </c>
      <c r="AL11" s="833">
        <f t="shared" si="10"/>
        <v>-0.06406347168</v>
      </c>
      <c r="AM11" s="836">
        <f t="shared" si="7"/>
        <v>0.275862069</v>
      </c>
      <c r="AN11" s="836">
        <f t="shared" si="11"/>
        <v>0.177756654</v>
      </c>
      <c r="AO11" s="833">
        <f t="shared" si="8"/>
        <v>0.0009267124875</v>
      </c>
      <c r="AP11" s="833">
        <f t="shared" si="9"/>
        <v>-0.6301644915</v>
      </c>
      <c r="AQ11" s="833" t="s">
        <v>171</v>
      </c>
      <c r="AR11" s="834" t="s">
        <v>347</v>
      </c>
    </row>
    <row r="12">
      <c r="A12" s="838" t="s">
        <v>46</v>
      </c>
      <c r="B12" s="829">
        <f t="shared" si="1"/>
        <v>25</v>
      </c>
      <c r="C12" s="829">
        <f>IFERROR(VLOOKUP($A12,'Playoff Stats Pivot'!$A:$AE,2,0),0)+VLOOKUP($A12,'Halo Infinite Stats'!$A:$AH,3,0)</f>
        <v>8</v>
      </c>
      <c r="D12" s="829">
        <f>IFERROR(VLOOKUP($A12,'Playoff Stats Pivot'!$A:$AE,3,0),"")+VLOOKUP($A12,'Halo Infinite Stats'!$A:$AH,4,0)</f>
        <v>17</v>
      </c>
      <c r="E12" s="829">
        <f>IFERROR(VLOOKUP($A12,'Playoff Stats Pivot'!$A:$AE,4,0),"")+VLOOKUP($A12,'Halo Infinite Stats'!$A:$AH,5,0)</f>
        <v>20</v>
      </c>
      <c r="F12" s="829">
        <f>IFERROR(VLOOKUP($A12,'Playoff Stats Pivot'!$A:$AE,5,0),"")+VLOOKUP($A12,'Halo Infinite Stats'!$A:$AH,6,0)</f>
        <v>70</v>
      </c>
      <c r="G12" s="829">
        <f>IFERROR(VLOOKUP($A12,'Playoff Stats Pivot'!$A:$AE,6,0),"")+VLOOKUP($A12,'Halo Infinite Stats'!$A:$AH,7,0)</f>
        <v>748</v>
      </c>
      <c r="H12" s="829">
        <f>IFERROR(VLOOKUP($A12,'Playoff Stats Pivot'!$A:$AE,7,0),"")+VLOOKUP($A12,'Halo Infinite Stats'!$A:$AH,8,0)</f>
        <v>1367</v>
      </c>
      <c r="I12" s="829">
        <f>IFERROR(VLOOKUP($A12,'Playoff Stats Pivot'!$A:$AE,8,0),"")+VLOOKUP($A12,'Halo Infinite Stats'!$A:$AH,9,0)</f>
        <v>-619</v>
      </c>
      <c r="J12" s="830">
        <f t="shared" si="2"/>
        <v>0.5471836138</v>
      </c>
      <c r="K12" s="829">
        <f>IFERROR(VLOOKUP($A12,'Playoff Stats Pivot'!$A:$AE,9,0),"")+VLOOKUP($A12,'Halo Infinite Stats'!$A:$AH,11,0)</f>
        <v>3</v>
      </c>
      <c r="L12" s="831">
        <f>IFERROR(VLOOKUP($A12,'Playoff Stats Pivot'!$A:$AE,10,0),"")+VLOOKUP($A12,'Halo Infinite Stats'!$A:$AH,12,0)</f>
        <v>19308</v>
      </c>
      <c r="M12" s="832">
        <f t="shared" si="3"/>
        <v>10.12435991</v>
      </c>
      <c r="N12" s="829">
        <f>IFERROR(VLOOKUP($A12,'Playoff Stats Pivot'!$A:$AE,11,0),"")+VLOOKUP($A12,'Halo Infinite Stats'!$A:$AH,14,0)</f>
        <v>3</v>
      </c>
      <c r="O12" s="829">
        <f>IFERROR(VLOOKUP($A12,'Playoff Stats Pivot'!$A:$AE,12,0),"")+VLOOKUP($A12,'Halo Infinite Stats'!$A:$AH,15,0)</f>
        <v>1</v>
      </c>
      <c r="P12" s="829">
        <f>IFERROR(VLOOKUP($A12,'Playoff Stats Pivot'!$A:$AE,13,0),"")+VLOOKUP($A12,'Halo Infinite Stats'!$A:$AH,16,0)</f>
        <v>0</v>
      </c>
      <c r="Q12" s="829">
        <f>IFERROR(VLOOKUP($A12,'Playoff Stats Pivot'!$A:$AE,14,0),"")+VLOOKUP($A12,'Halo Infinite Stats'!$A:$AH,17,0)</f>
        <v>0</v>
      </c>
      <c r="R12" s="829">
        <f>IFERROR(VLOOKUP($A12,'Playoff Stats Pivot'!$A:$AE,15,0),"")+VLOOKUP($A12,'Halo Infinite Stats'!$A:$AH,18,0)</f>
        <v>16</v>
      </c>
      <c r="S12" s="829">
        <f>IFERROR(VLOOKUP($A12,'Playoff Stats Pivot'!$A:$AE,16,0),"")+VLOOKUP($A12,'Halo Infinite Stats'!$A:$AH,19,0)</f>
        <v>106</v>
      </c>
      <c r="T12" s="829">
        <f>IFERROR(VLOOKUP($A12,'Playoff Stats Pivot'!$A:$AE,17,0),"")+VLOOKUP($A12,'Halo Infinite Stats'!$A:$AH,20,0)</f>
        <v>25</v>
      </c>
      <c r="U12" s="829">
        <f>IFERROR(VLOOKUP($A12,'Playoff Stats Pivot'!$A:$AE,18,0),"")+VLOOKUP($A12,'Halo Infinite Stats'!$A:$AH,21,0)</f>
        <v>8</v>
      </c>
      <c r="V12" s="829">
        <f>IFERROR(VLOOKUP($A12,'Playoff Stats Pivot'!$A:$AE,19,0),"")+VLOOKUP($A12,'Halo Infinite Stats'!$A:$AH,22,0)</f>
        <v>1</v>
      </c>
      <c r="W12" s="829">
        <f>IFERROR(VLOOKUP($A12,'Playoff Stats Pivot'!$A:$AE,20,0),"")+VLOOKUP($A12,'Halo Infinite Stats'!$A:$AH,23,0)</f>
        <v>1</v>
      </c>
      <c r="X12" s="829">
        <f>IFERROR(VLOOKUP($A12,'Playoff Stats Pivot'!$A:$AE,21,0),"")+VLOOKUP($A12,'Halo Infinite Stats'!$A:$AH,24,0)</f>
        <v>1</v>
      </c>
      <c r="Y12" s="829">
        <f>IFERROR(VLOOKUP($A12,'Playoff Stats Pivot'!$A:$AE,22,0),"")+VLOOKUP($A12,'Halo Infinite Stats'!$A:$AH,25,0)</f>
        <v>1</v>
      </c>
      <c r="Z12" s="829">
        <f>IFERROR(VLOOKUP($A12,'Playoff Stats Pivot'!$A:$AE,23,0),"")+VLOOKUP($A12,'Halo Infinite Stats'!$A:$AH,26,0)</f>
        <v>0</v>
      </c>
      <c r="AA12" s="829">
        <f>IFERROR(VLOOKUP($A12,'Playoff Stats Pivot'!$A:$AE,24,0),"")+VLOOKUP($A12,'Halo Infinite Stats'!$A:$AH,27,0)</f>
        <v>0</v>
      </c>
      <c r="AB12" s="829">
        <f>IFERROR(VLOOKUP($A12,'Playoff Stats Pivot'!$A:$AE,25,0),"")+VLOOKUP($A12,'Halo Infinite Stats'!$A:$AH,28,0)</f>
        <v>0</v>
      </c>
      <c r="AC12" s="829">
        <f>IFERROR(VLOOKUP($A12,'Playoff Stats Pivot'!$A:$AE,26,0),"")+VLOOKUP($A12,'Halo Infinite Stats'!$A:$AH,29,0)</f>
        <v>102</v>
      </c>
      <c r="AD12" s="829">
        <f>IFERROR(VLOOKUP($A12,'Playoff Stats Pivot'!$A:$AE,27,0),"")+VLOOKUP($A12,'Halo Infinite Stats'!$A:$AH,30,0)</f>
        <v>0</v>
      </c>
      <c r="AE12" s="829">
        <f>IFERROR(VLOOKUP($A12,'Playoff Stats Pivot'!$A:$AE,28,0),"")+VLOOKUP($A12,'Halo Infinite Stats'!$A:$AH,31,0)</f>
        <v>0</v>
      </c>
      <c r="AF12" s="829">
        <f>IFERROR(VLOOKUP($A12,'Playoff Stats Pivot'!$A:$AE,29,0),"")+VLOOKUP($A12,'Halo Infinite Stats'!$A:$AH,32,0)</f>
        <v>0</v>
      </c>
      <c r="AG12" s="829">
        <f>IFERROR(VLOOKUP($A12,'Playoff Stats Pivot'!$A:$AE,30,0),"")+VLOOKUP($A12,'Halo Infinite Stats'!$A:$AH,33,0)</f>
        <v>11</v>
      </c>
      <c r="AH12" s="829">
        <f>IFERROR(VLOOKUP($A12,'Playoff Stats Pivot'!$A:$AE,31,0),"")+VLOOKUP($A12,'Halo Infinite Stats'!$A:$AH,34,0)</f>
        <v>0</v>
      </c>
      <c r="AI12" s="833">
        <f t="shared" si="4"/>
        <v>6.581727781</v>
      </c>
      <c r="AJ12" s="833">
        <f t="shared" si="5"/>
        <v>0.08850217526</v>
      </c>
      <c r="AK12" s="833">
        <f t="shared" si="6"/>
        <v>0.009322560597</v>
      </c>
      <c r="AL12" s="833">
        <f t="shared" si="10"/>
        <v>-0.9201367309</v>
      </c>
      <c r="AM12" s="833">
        <f t="shared" si="7"/>
        <v>0.8</v>
      </c>
      <c r="AN12" s="833">
        <f t="shared" si="11"/>
        <v>0.1911764706</v>
      </c>
      <c r="AO12" s="833">
        <f t="shared" si="8"/>
        <v>0.003625440232</v>
      </c>
      <c r="AP12" s="833">
        <f t="shared" si="9"/>
        <v>-1.914232443</v>
      </c>
      <c r="AQ12" s="833" t="s">
        <v>171</v>
      </c>
      <c r="AR12" s="834" t="s">
        <v>348</v>
      </c>
    </row>
    <row r="13">
      <c r="A13" s="837" t="s">
        <v>197</v>
      </c>
      <c r="B13" s="829">
        <f t="shared" si="1"/>
        <v>25</v>
      </c>
      <c r="C13" s="829">
        <f>IFERROR(VLOOKUP($A13,'Playoff Stats Pivot'!$A:$AE,2,0),0)+VLOOKUP($A13,'Halo Infinite Stats'!$A:$AH,3,0)</f>
        <v>15</v>
      </c>
      <c r="D13" s="829">
        <f>IFERROR(VLOOKUP($A13,'Playoff Stats Pivot'!$A:$AE,3,0),"")+VLOOKUP($A13,'Halo Infinite Stats'!$A:$AH,4,0)</f>
        <v>10</v>
      </c>
      <c r="E13" s="829">
        <f>IFERROR(VLOOKUP($A13,'Playoff Stats Pivot'!$A:$AE,4,0),"")+VLOOKUP($A13,'Halo Infinite Stats'!$A:$AH,5,0)</f>
        <v>11</v>
      </c>
      <c r="F13" s="829">
        <f>IFERROR(VLOOKUP($A13,'Playoff Stats Pivot'!$A:$AE,5,0),"")+VLOOKUP($A13,'Halo Infinite Stats'!$A:$AH,6,0)</f>
        <v>19</v>
      </c>
      <c r="G13" s="829">
        <f>IFERROR(VLOOKUP($A13,'Playoff Stats Pivot'!$A:$AE,6,0),"")+VLOOKUP($A13,'Halo Infinite Stats'!$A:$AH,7,0)</f>
        <v>1500</v>
      </c>
      <c r="H13" s="829">
        <f>IFERROR(VLOOKUP($A13,'Playoff Stats Pivot'!$A:$AE,7,0),"")+VLOOKUP($A13,'Halo Infinite Stats'!$A:$AH,8,0)</f>
        <v>1331</v>
      </c>
      <c r="I13" s="829">
        <f>IFERROR(VLOOKUP($A13,'Playoff Stats Pivot'!$A:$AE,8,0),"")+VLOOKUP($A13,'Halo Infinite Stats'!$A:$AH,9,0)</f>
        <v>169</v>
      </c>
      <c r="J13" s="830">
        <f t="shared" si="2"/>
        <v>1.126972201</v>
      </c>
      <c r="K13" s="829">
        <f>IFERROR(VLOOKUP($A13,'Playoff Stats Pivot'!$A:$AE,9,0),"")+VLOOKUP($A13,'Halo Infinite Stats'!$A:$AH,11,0)</f>
        <v>1</v>
      </c>
      <c r="L13" s="831">
        <f>IFERROR(VLOOKUP($A13,'Playoff Stats Pivot'!$A:$AE,10,0),"")+VLOOKUP($A13,'Halo Infinite Stats'!$A:$AH,12,0)</f>
        <v>21966</v>
      </c>
      <c r="M13" s="832">
        <f t="shared" si="3"/>
        <v>12.50338092</v>
      </c>
      <c r="N13" s="829">
        <f>IFERROR(VLOOKUP($A13,'Playoff Stats Pivot'!$A:$AE,11,0),"")+VLOOKUP($A13,'Halo Infinite Stats'!$A:$AH,14,0)</f>
        <v>40</v>
      </c>
      <c r="O13" s="829">
        <f>IFERROR(VLOOKUP($A13,'Playoff Stats Pivot'!$A:$AE,12,0),"")+VLOOKUP($A13,'Halo Infinite Stats'!$A:$AH,15,0)</f>
        <v>1</v>
      </c>
      <c r="P13" s="829">
        <f>IFERROR(VLOOKUP($A13,'Playoff Stats Pivot'!$A:$AE,13,0),"")+VLOOKUP($A13,'Halo Infinite Stats'!$A:$AH,16,0)</f>
        <v>0</v>
      </c>
      <c r="Q13" s="829">
        <f>IFERROR(VLOOKUP($A13,'Playoff Stats Pivot'!$A:$AE,14,0),"")+VLOOKUP($A13,'Halo Infinite Stats'!$A:$AH,17,0)</f>
        <v>0</v>
      </c>
      <c r="R13" s="829">
        <f>IFERROR(VLOOKUP($A13,'Playoff Stats Pivot'!$A:$AE,15,0),"")+VLOOKUP($A13,'Halo Infinite Stats'!$A:$AH,18,0)</f>
        <v>24</v>
      </c>
      <c r="S13" s="829">
        <f>IFERROR(VLOOKUP($A13,'Playoff Stats Pivot'!$A:$AE,16,0),"")+VLOOKUP($A13,'Halo Infinite Stats'!$A:$AH,19,0)</f>
        <v>302</v>
      </c>
      <c r="T13" s="829">
        <f>IFERROR(VLOOKUP($A13,'Playoff Stats Pivot'!$A:$AE,17,0),"")+VLOOKUP($A13,'Halo Infinite Stats'!$A:$AH,20,0)</f>
        <v>114</v>
      </c>
      <c r="U13" s="829">
        <f>IFERROR(VLOOKUP($A13,'Playoff Stats Pivot'!$A:$AE,18,0),"")+VLOOKUP($A13,'Halo Infinite Stats'!$A:$AH,21,0)</f>
        <v>45</v>
      </c>
      <c r="V13" s="829">
        <f>IFERROR(VLOOKUP($A13,'Playoff Stats Pivot'!$A:$AE,19,0),"")+VLOOKUP($A13,'Halo Infinite Stats'!$A:$AH,22,0)</f>
        <v>22</v>
      </c>
      <c r="W13" s="829">
        <f>IFERROR(VLOOKUP($A13,'Playoff Stats Pivot'!$A:$AE,20,0),"")+VLOOKUP($A13,'Halo Infinite Stats'!$A:$AH,23,0)</f>
        <v>9</v>
      </c>
      <c r="X13" s="829">
        <f>IFERROR(VLOOKUP($A13,'Playoff Stats Pivot'!$A:$AE,21,0),"")+VLOOKUP($A13,'Halo Infinite Stats'!$A:$AH,24,0)</f>
        <v>1</v>
      </c>
      <c r="Y13" s="829">
        <f>IFERROR(VLOOKUP($A13,'Playoff Stats Pivot'!$A:$AE,22,0),"")+VLOOKUP($A13,'Halo Infinite Stats'!$A:$AH,25,0)</f>
        <v>1</v>
      </c>
      <c r="Z13" s="829">
        <f>IFERROR(VLOOKUP($A13,'Playoff Stats Pivot'!$A:$AE,23,0),"")+VLOOKUP($A13,'Halo Infinite Stats'!$A:$AH,26,0)</f>
        <v>0</v>
      </c>
      <c r="AA13" s="829">
        <f>IFERROR(VLOOKUP($A13,'Playoff Stats Pivot'!$A:$AE,24,0),"")+VLOOKUP($A13,'Halo Infinite Stats'!$A:$AH,27,0)</f>
        <v>0</v>
      </c>
      <c r="AB13" s="829">
        <f>IFERROR(VLOOKUP($A13,'Playoff Stats Pivot'!$A:$AE,25,0),"")+VLOOKUP($A13,'Halo Infinite Stats'!$A:$AH,28,0)</f>
        <v>1</v>
      </c>
      <c r="AC13" s="829">
        <f>IFERROR(VLOOKUP($A13,'Playoff Stats Pivot'!$A:$AE,26,0),"")+VLOOKUP($A13,'Halo Infinite Stats'!$A:$AH,29,0)</f>
        <v>225</v>
      </c>
      <c r="AD13" s="829">
        <f>IFERROR(VLOOKUP($A13,'Playoff Stats Pivot'!$A:$AE,27,0),"")+VLOOKUP($A13,'Halo Infinite Stats'!$A:$AH,30,0)</f>
        <v>0</v>
      </c>
      <c r="AE13" s="829">
        <f>IFERROR(VLOOKUP($A13,'Playoff Stats Pivot'!$A:$AE,28,0),"")+VLOOKUP($A13,'Halo Infinite Stats'!$A:$AH,31,0)</f>
        <v>2</v>
      </c>
      <c r="AF13" s="829">
        <f>IFERROR(VLOOKUP($A13,'Playoff Stats Pivot'!$A:$AE,29,0),"")+VLOOKUP($A13,'Halo Infinite Stats'!$A:$AH,32,0)</f>
        <v>0</v>
      </c>
      <c r="AG13" s="829">
        <f>IFERROR(VLOOKUP($A13,'Playoff Stats Pivot'!$A:$AE,30,0),"")+VLOOKUP($A13,'Halo Infinite Stats'!$A:$AH,33,0)</f>
        <v>18</v>
      </c>
      <c r="AH13" s="829">
        <f>IFERROR(VLOOKUP($A13,'Playoff Stats Pivot'!$A:$AE,31,0),"")+VLOOKUP($A13,'Halo Infinite Stats'!$A:$AH,34,0)</f>
        <v>1</v>
      </c>
      <c r="AI13" s="836">
        <f t="shared" si="4"/>
        <v>7.735591368</v>
      </c>
      <c r="AJ13" s="836">
        <f t="shared" si="5"/>
        <v>0.106528271</v>
      </c>
      <c r="AK13" s="836">
        <f t="shared" si="6"/>
        <v>0.1092597651</v>
      </c>
      <c r="AL13" s="833">
        <f t="shared" si="10"/>
        <v>2.135194391</v>
      </c>
      <c r="AM13" s="836">
        <f t="shared" si="7"/>
        <v>0.44</v>
      </c>
      <c r="AN13" s="836">
        <f t="shared" si="11"/>
        <v>0.3293333333</v>
      </c>
      <c r="AO13" s="833">
        <f t="shared" si="8"/>
        <v>0.0008649731403</v>
      </c>
      <c r="AP13" s="833">
        <f t="shared" si="9"/>
        <v>0.4643540016</v>
      </c>
      <c r="AQ13" s="833" t="s">
        <v>336</v>
      </c>
      <c r="AR13" s="834" t="s">
        <v>349</v>
      </c>
    </row>
    <row r="14">
      <c r="A14" s="838" t="s">
        <v>195</v>
      </c>
      <c r="B14" s="829">
        <f t="shared" si="1"/>
        <v>14</v>
      </c>
      <c r="C14" s="829">
        <f>IFERROR(VLOOKUP($A14,'Playoff Stats Pivot'!$A:$AE,2,0),0)+VLOOKUP($A14,'Halo Infinite Stats'!$A:$AH,3,0)</f>
        <v>1</v>
      </c>
      <c r="D14" s="829">
        <f>IFERROR(VLOOKUP($A14,'Playoff Stats Pivot'!$A:$AE,3,0),"")+VLOOKUP($A14,'Halo Infinite Stats'!$A:$AH,4,0)</f>
        <v>13</v>
      </c>
      <c r="E14" s="829">
        <f>IFERROR(VLOOKUP($A14,'Playoff Stats Pivot'!$A:$AE,4,0),"")+VLOOKUP($A14,'Halo Infinite Stats'!$A:$AH,5,0)</f>
        <v>5</v>
      </c>
      <c r="F14" s="829">
        <f>IFERROR(VLOOKUP($A14,'Playoff Stats Pivot'!$A:$AE,5,0),"")+VLOOKUP($A14,'Halo Infinite Stats'!$A:$AH,6,0)</f>
        <v>24</v>
      </c>
      <c r="G14" s="829">
        <f>IFERROR(VLOOKUP($A14,'Playoff Stats Pivot'!$A:$AE,6,0),"")+VLOOKUP($A14,'Halo Infinite Stats'!$A:$AH,7,0)</f>
        <v>596</v>
      </c>
      <c r="H14" s="829">
        <f>IFERROR(VLOOKUP($A14,'Playoff Stats Pivot'!$A:$AE,7,0),"")+VLOOKUP($A14,'Halo Infinite Stats'!$A:$AH,8,0)</f>
        <v>833</v>
      </c>
      <c r="I14" s="829">
        <f>IFERROR(VLOOKUP($A14,'Playoff Stats Pivot'!$A:$AE,8,0),"")+VLOOKUP($A14,'Halo Infinite Stats'!$A:$AH,9,0)</f>
        <v>-237</v>
      </c>
      <c r="J14" s="830">
        <f t="shared" si="2"/>
        <v>0.7154861945</v>
      </c>
      <c r="K14" s="829">
        <f>IFERROR(VLOOKUP($A14,'Playoff Stats Pivot'!$A:$AE,9,0),"")+VLOOKUP($A14,'Halo Infinite Stats'!$A:$AH,11,0)</f>
        <v>0</v>
      </c>
      <c r="L14" s="831">
        <f>IFERROR(VLOOKUP($A14,'Playoff Stats Pivot'!$A:$AE,10,0),"")+VLOOKUP($A14,'Halo Infinite Stats'!$A:$AH,12,0)</f>
        <v>12482</v>
      </c>
      <c r="M14" s="832">
        <f t="shared" si="3"/>
        <v>10.98439376</v>
      </c>
      <c r="N14" s="829">
        <f>IFERROR(VLOOKUP($A14,'Playoff Stats Pivot'!$A:$AE,11,0),"")+VLOOKUP($A14,'Halo Infinite Stats'!$A:$AH,14,0)</f>
        <v>5</v>
      </c>
      <c r="O14" s="829">
        <f>IFERROR(VLOOKUP($A14,'Playoff Stats Pivot'!$A:$AE,12,0),"")+VLOOKUP($A14,'Halo Infinite Stats'!$A:$AH,15,0)</f>
        <v>0</v>
      </c>
      <c r="P14" s="829">
        <f>IFERROR(VLOOKUP($A14,'Playoff Stats Pivot'!$A:$AE,13,0),"")+VLOOKUP($A14,'Halo Infinite Stats'!$A:$AH,16,0)</f>
        <v>0</v>
      </c>
      <c r="Q14" s="829">
        <f>IFERROR(VLOOKUP($A14,'Playoff Stats Pivot'!$A:$AE,14,0),"")+VLOOKUP($A14,'Halo Infinite Stats'!$A:$AH,17,0)</f>
        <v>0</v>
      </c>
      <c r="R14" s="829">
        <f>IFERROR(VLOOKUP($A14,'Playoff Stats Pivot'!$A:$AE,15,0),"")+VLOOKUP($A14,'Halo Infinite Stats'!$A:$AH,18,0)</f>
        <v>8</v>
      </c>
      <c r="S14" s="829">
        <f>IFERROR(VLOOKUP($A14,'Playoff Stats Pivot'!$A:$AE,16,0),"")+VLOOKUP($A14,'Halo Infinite Stats'!$A:$AH,19,0)</f>
        <v>85</v>
      </c>
      <c r="T14" s="829">
        <f>IFERROR(VLOOKUP($A14,'Playoff Stats Pivot'!$A:$AE,17,0),"")+VLOOKUP($A14,'Halo Infinite Stats'!$A:$AH,20,0)</f>
        <v>18</v>
      </c>
      <c r="U14" s="829">
        <f>IFERROR(VLOOKUP($A14,'Playoff Stats Pivot'!$A:$AE,18,0),"")+VLOOKUP($A14,'Halo Infinite Stats'!$A:$AH,21,0)</f>
        <v>7</v>
      </c>
      <c r="V14" s="829">
        <f>IFERROR(VLOOKUP($A14,'Playoff Stats Pivot'!$A:$AE,19,0),"")+VLOOKUP($A14,'Halo Infinite Stats'!$A:$AH,22,0)</f>
        <v>3</v>
      </c>
      <c r="W14" s="829">
        <f>IFERROR(VLOOKUP($A14,'Playoff Stats Pivot'!$A:$AE,20,0),"")+VLOOKUP($A14,'Halo Infinite Stats'!$A:$AH,23,0)</f>
        <v>0</v>
      </c>
      <c r="X14" s="829">
        <f>IFERROR(VLOOKUP($A14,'Playoff Stats Pivot'!$A:$AE,21,0),"")+VLOOKUP($A14,'Halo Infinite Stats'!$A:$AH,24,0)</f>
        <v>0</v>
      </c>
      <c r="Y14" s="829">
        <f>IFERROR(VLOOKUP($A14,'Playoff Stats Pivot'!$A:$AE,22,0),"")+VLOOKUP($A14,'Halo Infinite Stats'!$A:$AH,25,0)</f>
        <v>0</v>
      </c>
      <c r="Z14" s="829">
        <f>IFERROR(VLOOKUP($A14,'Playoff Stats Pivot'!$A:$AE,23,0),"")+VLOOKUP($A14,'Halo Infinite Stats'!$A:$AH,26,0)</f>
        <v>0</v>
      </c>
      <c r="AA14" s="829">
        <f>IFERROR(VLOOKUP($A14,'Playoff Stats Pivot'!$A:$AE,24,0),"")+VLOOKUP($A14,'Halo Infinite Stats'!$A:$AH,27,0)</f>
        <v>0</v>
      </c>
      <c r="AB14" s="829">
        <f>IFERROR(VLOOKUP($A14,'Playoff Stats Pivot'!$A:$AE,25,0),"")+VLOOKUP($A14,'Halo Infinite Stats'!$A:$AH,28,0)</f>
        <v>0</v>
      </c>
      <c r="AC14" s="829">
        <f>IFERROR(VLOOKUP($A14,'Playoff Stats Pivot'!$A:$AE,26,0),"")+VLOOKUP($A14,'Halo Infinite Stats'!$A:$AH,29,0)</f>
        <v>73</v>
      </c>
      <c r="AD14" s="829">
        <f>IFERROR(VLOOKUP($A14,'Playoff Stats Pivot'!$A:$AE,27,0),"")+VLOOKUP($A14,'Halo Infinite Stats'!$A:$AH,30,0)</f>
        <v>0</v>
      </c>
      <c r="AE14" s="829">
        <f>IFERROR(VLOOKUP($A14,'Playoff Stats Pivot'!$A:$AE,28,0),"")+VLOOKUP($A14,'Halo Infinite Stats'!$A:$AH,31,0)</f>
        <v>0</v>
      </c>
      <c r="AF14" s="829">
        <f>IFERROR(VLOOKUP($A14,'Playoff Stats Pivot'!$A:$AE,29,0),"")+VLOOKUP($A14,'Halo Infinite Stats'!$A:$AH,32,0)</f>
        <v>0</v>
      </c>
      <c r="AG14" s="829">
        <f>IFERROR(VLOOKUP($A14,'Playoff Stats Pivot'!$A:$AE,30,0),"")+VLOOKUP($A14,'Halo Infinite Stats'!$A:$AH,33,0)</f>
        <v>19</v>
      </c>
      <c r="AH14" s="829">
        <f>IFERROR(VLOOKUP($A14,'Playoff Stats Pivot'!$A:$AE,31,0),"")+VLOOKUP($A14,'Halo Infinite Stats'!$A:$AH,34,0)</f>
        <v>3</v>
      </c>
      <c r="AI14" s="833">
        <f t="shared" si="4"/>
        <v>6.869091492</v>
      </c>
      <c r="AJ14" s="833">
        <f t="shared" si="5"/>
        <v>0.06325909309</v>
      </c>
      <c r="AK14" s="833">
        <f t="shared" si="6"/>
        <v>0.02403460984</v>
      </c>
      <c r="AL14" s="833">
        <f t="shared" si="10"/>
        <v>0.4664316616</v>
      </c>
      <c r="AM14" s="833">
        <f t="shared" si="7"/>
        <v>0.3571428571</v>
      </c>
      <c r="AN14" s="833">
        <f t="shared" si="11"/>
        <v>0.1895973154</v>
      </c>
      <c r="AO14" s="833">
        <f t="shared" si="8"/>
        <v>0.001922768787</v>
      </c>
      <c r="AP14" s="833">
        <f t="shared" si="9"/>
        <v>-1.139240506</v>
      </c>
      <c r="AQ14" s="833" t="s">
        <v>350</v>
      </c>
      <c r="AR14" s="834" t="s">
        <v>351</v>
      </c>
    </row>
    <row r="15">
      <c r="A15" s="837" t="s">
        <v>80</v>
      </c>
      <c r="B15" s="829">
        <f t="shared" si="1"/>
        <v>26</v>
      </c>
      <c r="C15" s="829">
        <f>IFERROR(VLOOKUP($A15,'Playoff Stats Pivot'!$A:$AE,2,0),0)+VLOOKUP($A15,'Halo Infinite Stats'!$A:$AH,3,0)</f>
        <v>9</v>
      </c>
      <c r="D15" s="829">
        <f>IFERROR(VLOOKUP($A15,'Playoff Stats Pivot'!$A:$AE,3,0),"")+VLOOKUP($A15,'Halo Infinite Stats'!$A:$AH,4,0)</f>
        <v>17</v>
      </c>
      <c r="E15" s="829">
        <f>IFERROR(VLOOKUP($A15,'Playoff Stats Pivot'!$A:$AE,4,0),"")+VLOOKUP($A15,'Halo Infinite Stats'!$A:$AH,5,0)</f>
        <v>5</v>
      </c>
      <c r="F15" s="829">
        <f>IFERROR(VLOOKUP($A15,'Playoff Stats Pivot'!$A:$AE,5,0),"")+VLOOKUP($A15,'Halo Infinite Stats'!$A:$AH,6,0)</f>
        <v>47</v>
      </c>
      <c r="G15" s="829">
        <f>IFERROR(VLOOKUP($A15,'Playoff Stats Pivot'!$A:$AE,6,0),"")+VLOOKUP($A15,'Halo Infinite Stats'!$A:$AH,7,0)</f>
        <v>1174</v>
      </c>
      <c r="H15" s="829">
        <f>IFERROR(VLOOKUP($A15,'Playoff Stats Pivot'!$A:$AE,7,0),"")+VLOOKUP($A15,'Halo Infinite Stats'!$A:$AH,8,0)</f>
        <v>1582</v>
      </c>
      <c r="I15" s="829">
        <f>IFERROR(VLOOKUP($A15,'Playoff Stats Pivot'!$A:$AE,8,0),"")+VLOOKUP($A15,'Halo Infinite Stats'!$A:$AH,9,0)</f>
        <v>-408</v>
      </c>
      <c r="J15" s="830">
        <f t="shared" si="2"/>
        <v>0.7420986094</v>
      </c>
      <c r="K15" s="829">
        <f>IFERROR(VLOOKUP($A15,'Playoff Stats Pivot'!$A:$AE,9,0),"")+VLOOKUP($A15,'Halo Infinite Stats'!$A:$AH,11,0)</f>
        <v>0</v>
      </c>
      <c r="L15" s="831">
        <f>IFERROR(VLOOKUP($A15,'Playoff Stats Pivot'!$A:$AE,10,0),"")+VLOOKUP($A15,'Halo Infinite Stats'!$A:$AH,12,0)</f>
        <v>22751</v>
      </c>
      <c r="M15" s="832">
        <f t="shared" si="3"/>
        <v>10.38116308</v>
      </c>
      <c r="N15" s="829">
        <f>IFERROR(VLOOKUP($A15,'Playoff Stats Pivot'!$A:$AE,11,0),"")+VLOOKUP($A15,'Halo Infinite Stats'!$A:$AH,14,0)</f>
        <v>12</v>
      </c>
      <c r="O15" s="829">
        <f>IFERROR(VLOOKUP($A15,'Playoff Stats Pivot'!$A:$AE,12,0),"")+VLOOKUP($A15,'Halo Infinite Stats'!$A:$AH,15,0)</f>
        <v>0</v>
      </c>
      <c r="P15" s="829">
        <f>IFERROR(VLOOKUP($A15,'Playoff Stats Pivot'!$A:$AE,13,0),"")+VLOOKUP($A15,'Halo Infinite Stats'!$A:$AH,16,0)</f>
        <v>0</v>
      </c>
      <c r="Q15" s="829">
        <f>IFERROR(VLOOKUP($A15,'Playoff Stats Pivot'!$A:$AE,14,0),"")+VLOOKUP($A15,'Halo Infinite Stats'!$A:$AH,17,0)</f>
        <v>0</v>
      </c>
      <c r="R15" s="829">
        <f>IFERROR(VLOOKUP($A15,'Playoff Stats Pivot'!$A:$AE,15,0),"")+VLOOKUP($A15,'Halo Infinite Stats'!$A:$AH,18,0)</f>
        <v>18</v>
      </c>
      <c r="S15" s="829">
        <f>IFERROR(VLOOKUP($A15,'Playoff Stats Pivot'!$A:$AE,16,0),"")+VLOOKUP($A15,'Halo Infinite Stats'!$A:$AH,19,0)</f>
        <v>193</v>
      </c>
      <c r="T15" s="829">
        <f>IFERROR(VLOOKUP($A15,'Playoff Stats Pivot'!$A:$AE,17,0),"")+VLOOKUP($A15,'Halo Infinite Stats'!$A:$AH,20,0)</f>
        <v>50</v>
      </c>
      <c r="U15" s="829">
        <f>IFERROR(VLOOKUP($A15,'Playoff Stats Pivot'!$A:$AE,18,0),"")+VLOOKUP($A15,'Halo Infinite Stats'!$A:$AH,21,0)</f>
        <v>14</v>
      </c>
      <c r="V15" s="829">
        <f>IFERROR(VLOOKUP($A15,'Playoff Stats Pivot'!$A:$AE,19,0),"")+VLOOKUP($A15,'Halo Infinite Stats'!$A:$AH,22,0)</f>
        <v>2</v>
      </c>
      <c r="W15" s="829">
        <f>IFERROR(VLOOKUP($A15,'Playoff Stats Pivot'!$A:$AE,20,0),"")+VLOOKUP($A15,'Halo Infinite Stats'!$A:$AH,23,0)</f>
        <v>1</v>
      </c>
      <c r="X15" s="829">
        <f>IFERROR(VLOOKUP($A15,'Playoff Stats Pivot'!$A:$AE,21,0),"")+VLOOKUP($A15,'Halo Infinite Stats'!$A:$AH,24,0)</f>
        <v>1</v>
      </c>
      <c r="Y15" s="829">
        <f>IFERROR(VLOOKUP($A15,'Playoff Stats Pivot'!$A:$AE,22,0),"")+VLOOKUP($A15,'Halo Infinite Stats'!$A:$AH,25,0)</f>
        <v>0</v>
      </c>
      <c r="Z15" s="829">
        <f>IFERROR(VLOOKUP($A15,'Playoff Stats Pivot'!$A:$AE,23,0),"")+VLOOKUP($A15,'Halo Infinite Stats'!$A:$AH,26,0)</f>
        <v>0</v>
      </c>
      <c r="AA15" s="829">
        <f>IFERROR(VLOOKUP($A15,'Playoff Stats Pivot'!$A:$AE,24,0),"")+VLOOKUP($A15,'Halo Infinite Stats'!$A:$AH,27,0)</f>
        <v>0</v>
      </c>
      <c r="AB15" s="829">
        <f>IFERROR(VLOOKUP($A15,'Playoff Stats Pivot'!$A:$AE,25,0),"")+VLOOKUP($A15,'Halo Infinite Stats'!$A:$AH,28,0)</f>
        <v>1</v>
      </c>
      <c r="AC15" s="829">
        <f>IFERROR(VLOOKUP($A15,'Playoff Stats Pivot'!$A:$AE,26,0),"")+VLOOKUP($A15,'Halo Infinite Stats'!$A:$AH,29,0)</f>
        <v>182</v>
      </c>
      <c r="AD15" s="829">
        <f>IFERROR(VLOOKUP($A15,'Playoff Stats Pivot'!$A:$AE,27,0),"")+VLOOKUP($A15,'Halo Infinite Stats'!$A:$AH,30,0)</f>
        <v>0</v>
      </c>
      <c r="AE15" s="829">
        <f>IFERROR(VLOOKUP($A15,'Playoff Stats Pivot'!$A:$AE,28,0),"")+VLOOKUP($A15,'Halo Infinite Stats'!$A:$AH,31,0)</f>
        <v>0</v>
      </c>
      <c r="AF15" s="829">
        <f>IFERROR(VLOOKUP($A15,'Playoff Stats Pivot'!$A:$AE,29,0),"")+VLOOKUP($A15,'Halo Infinite Stats'!$A:$AH,32,0)</f>
        <v>0</v>
      </c>
      <c r="AG15" s="829">
        <f>IFERROR(VLOOKUP($A15,'Playoff Stats Pivot'!$A:$AE,30,0),"")+VLOOKUP($A15,'Halo Infinite Stats'!$A:$AH,33,0)</f>
        <v>21</v>
      </c>
      <c r="AH15" s="829">
        <f>IFERROR(VLOOKUP($A15,'Playoff Stats Pivot'!$A:$AE,31,0),"")+VLOOKUP($A15,'Halo Infinite Stats'!$A:$AH,34,0)</f>
        <v>1</v>
      </c>
      <c r="AI15" s="836">
        <f t="shared" si="4"/>
        <v>7.268251945</v>
      </c>
      <c r="AJ15" s="836">
        <f t="shared" si="5"/>
        <v>0.07067821195</v>
      </c>
      <c r="AK15" s="836">
        <f t="shared" si="6"/>
        <v>0.03164696057</v>
      </c>
      <c r="AL15" s="833">
        <f t="shared" si="10"/>
        <v>-0.1948095078</v>
      </c>
      <c r="AM15" s="836">
        <f t="shared" si="7"/>
        <v>0.1923076923</v>
      </c>
      <c r="AN15" s="836">
        <f t="shared" si="11"/>
        <v>0.2223168654</v>
      </c>
      <c r="AO15" s="833">
        <f t="shared" si="8"/>
        <v>0.00206584326</v>
      </c>
      <c r="AP15" s="833">
        <f t="shared" si="9"/>
        <v>-1.075996659</v>
      </c>
      <c r="AQ15" s="833" t="s">
        <v>338</v>
      </c>
      <c r="AR15" s="834" t="s">
        <v>352</v>
      </c>
    </row>
    <row r="16">
      <c r="A16" s="838" t="s">
        <v>44</v>
      </c>
      <c r="B16" s="829">
        <f t="shared" si="1"/>
        <v>22</v>
      </c>
      <c r="C16" s="829">
        <f>IFERROR(VLOOKUP($A16,'Playoff Stats Pivot'!$A:$AE,2,0),0)+VLOOKUP($A16,'Halo Infinite Stats'!$A:$AH,3,0)</f>
        <v>16</v>
      </c>
      <c r="D16" s="829">
        <f>IFERROR(VLOOKUP($A16,'Playoff Stats Pivot'!$A:$AE,3,0),"")+VLOOKUP($A16,'Halo Infinite Stats'!$A:$AH,4,0)</f>
        <v>6</v>
      </c>
      <c r="E16" s="829">
        <f>IFERROR(VLOOKUP($A16,'Playoff Stats Pivot'!$A:$AE,4,0),"")+VLOOKUP($A16,'Halo Infinite Stats'!$A:$AH,5,0)</f>
        <v>71</v>
      </c>
      <c r="F16" s="829">
        <f>IFERROR(VLOOKUP($A16,'Playoff Stats Pivot'!$A:$AE,5,0),"")+VLOOKUP($A16,'Halo Infinite Stats'!$A:$AH,6,0)</f>
        <v>311</v>
      </c>
      <c r="G16" s="829">
        <f>IFERROR(VLOOKUP($A16,'Playoff Stats Pivot'!$A:$AE,6,0),"")+VLOOKUP($A16,'Halo Infinite Stats'!$A:$AH,7,0)</f>
        <v>833</v>
      </c>
      <c r="H16" s="829">
        <f>IFERROR(VLOOKUP($A16,'Playoff Stats Pivot'!$A:$AE,7,0),"")+VLOOKUP($A16,'Halo Infinite Stats'!$A:$AH,8,0)</f>
        <v>875</v>
      </c>
      <c r="I16" s="829">
        <f>IFERROR(VLOOKUP($A16,'Playoff Stats Pivot'!$A:$AE,8,0),"")+VLOOKUP($A16,'Halo Infinite Stats'!$A:$AH,9,0)</f>
        <v>-42</v>
      </c>
      <c r="J16" s="830">
        <f t="shared" si="2"/>
        <v>0.952</v>
      </c>
      <c r="K16" s="829">
        <f>IFERROR(VLOOKUP($A16,'Playoff Stats Pivot'!$A:$AE,9,0),"")+VLOOKUP($A16,'Halo Infinite Stats'!$A:$AH,11,0)</f>
        <v>1</v>
      </c>
      <c r="L16" s="831">
        <f>IFERROR(VLOOKUP($A16,'Playoff Stats Pivot'!$A:$AE,10,0),"")+VLOOKUP($A16,'Halo Infinite Stats'!$A:$AH,12,0)</f>
        <v>19098</v>
      </c>
      <c r="M16" s="832">
        <f t="shared" si="3"/>
        <v>17.82628571</v>
      </c>
      <c r="N16" s="829">
        <f>IFERROR(VLOOKUP($A16,'Playoff Stats Pivot'!$A:$AE,11,0),"")+VLOOKUP($A16,'Halo Infinite Stats'!$A:$AH,14,0)</f>
        <v>19</v>
      </c>
      <c r="O16" s="829">
        <f>IFERROR(VLOOKUP($A16,'Playoff Stats Pivot'!$A:$AE,12,0),"")+VLOOKUP($A16,'Halo Infinite Stats'!$A:$AH,15,0)</f>
        <v>0</v>
      </c>
      <c r="P16" s="829">
        <f>IFERROR(VLOOKUP($A16,'Playoff Stats Pivot'!$A:$AE,13,0),"")+VLOOKUP($A16,'Halo Infinite Stats'!$A:$AH,16,0)</f>
        <v>0</v>
      </c>
      <c r="Q16" s="829">
        <f>IFERROR(VLOOKUP($A16,'Playoff Stats Pivot'!$A:$AE,14,0),"")+VLOOKUP($A16,'Halo Infinite Stats'!$A:$AH,17,0)</f>
        <v>0</v>
      </c>
      <c r="R16" s="829">
        <f>IFERROR(VLOOKUP($A16,'Playoff Stats Pivot'!$A:$AE,15,0),"")+VLOOKUP($A16,'Halo Infinite Stats'!$A:$AH,18,0)</f>
        <v>6</v>
      </c>
      <c r="S16" s="829">
        <f>IFERROR(VLOOKUP($A16,'Playoff Stats Pivot'!$A:$AE,16,0),"")+VLOOKUP($A16,'Halo Infinite Stats'!$A:$AH,19,0)</f>
        <v>134</v>
      </c>
      <c r="T16" s="829">
        <f>IFERROR(VLOOKUP($A16,'Playoff Stats Pivot'!$A:$AE,17,0),"")+VLOOKUP($A16,'Halo Infinite Stats'!$A:$AH,20,0)</f>
        <v>38</v>
      </c>
      <c r="U16" s="829">
        <f>IFERROR(VLOOKUP($A16,'Playoff Stats Pivot'!$A:$AE,18,0),"")+VLOOKUP($A16,'Halo Infinite Stats'!$A:$AH,21,0)</f>
        <v>8</v>
      </c>
      <c r="V16" s="829">
        <f>IFERROR(VLOOKUP($A16,'Playoff Stats Pivot'!$A:$AE,19,0),"")+VLOOKUP($A16,'Halo Infinite Stats'!$A:$AH,22,0)</f>
        <v>1</v>
      </c>
      <c r="W16" s="829">
        <f>IFERROR(VLOOKUP($A16,'Playoff Stats Pivot'!$A:$AE,20,0),"")+VLOOKUP($A16,'Halo Infinite Stats'!$A:$AH,23,0)</f>
        <v>0</v>
      </c>
      <c r="X16" s="829">
        <f>IFERROR(VLOOKUP($A16,'Playoff Stats Pivot'!$A:$AE,21,0),"")+VLOOKUP($A16,'Halo Infinite Stats'!$A:$AH,24,0)</f>
        <v>0</v>
      </c>
      <c r="Y16" s="829">
        <f>IFERROR(VLOOKUP($A16,'Playoff Stats Pivot'!$A:$AE,22,0),"")+VLOOKUP($A16,'Halo Infinite Stats'!$A:$AH,25,0)</f>
        <v>0</v>
      </c>
      <c r="Z16" s="829">
        <f>IFERROR(VLOOKUP($A16,'Playoff Stats Pivot'!$A:$AE,23,0),"")+VLOOKUP($A16,'Halo Infinite Stats'!$A:$AH,26,0)</f>
        <v>0</v>
      </c>
      <c r="AA16" s="829">
        <f>IFERROR(VLOOKUP($A16,'Playoff Stats Pivot'!$A:$AE,24,0),"")+VLOOKUP($A16,'Halo Infinite Stats'!$A:$AH,27,0)</f>
        <v>0</v>
      </c>
      <c r="AB16" s="829">
        <f>IFERROR(VLOOKUP($A16,'Playoff Stats Pivot'!$A:$AE,25,0),"")+VLOOKUP($A16,'Halo Infinite Stats'!$A:$AH,28,0)</f>
        <v>0</v>
      </c>
      <c r="AC16" s="829">
        <f>IFERROR(VLOOKUP($A16,'Playoff Stats Pivot'!$A:$AE,26,0),"")+VLOOKUP($A16,'Halo Infinite Stats'!$A:$AH,29,0)</f>
        <v>160</v>
      </c>
      <c r="AD16" s="829">
        <f>IFERROR(VLOOKUP($A16,'Playoff Stats Pivot'!$A:$AE,27,0),"")+VLOOKUP($A16,'Halo Infinite Stats'!$A:$AH,30,0)</f>
        <v>0</v>
      </c>
      <c r="AE16" s="829">
        <f>IFERROR(VLOOKUP($A16,'Playoff Stats Pivot'!$A:$AE,28,0),"")+VLOOKUP($A16,'Halo Infinite Stats'!$A:$AH,31,0)</f>
        <v>2</v>
      </c>
      <c r="AF16" s="829">
        <f>IFERROR(VLOOKUP($A16,'Playoff Stats Pivot'!$A:$AE,29,0),"")+VLOOKUP($A16,'Halo Infinite Stats'!$A:$AH,32,0)</f>
        <v>1</v>
      </c>
      <c r="AG16" s="829">
        <f>IFERROR(VLOOKUP($A16,'Playoff Stats Pivot'!$A:$AE,30,0),"")+VLOOKUP($A16,'Halo Infinite Stats'!$A:$AH,33,0)</f>
        <v>10</v>
      </c>
      <c r="AH16" s="829">
        <f>IFERROR(VLOOKUP($A16,'Playoff Stats Pivot'!$A:$AE,31,0),"")+VLOOKUP($A16,'Halo Infinite Stats'!$A:$AH,34,0)</f>
        <v>2</v>
      </c>
      <c r="AI16" s="833">
        <f t="shared" si="4"/>
        <v>5.369148602</v>
      </c>
      <c r="AJ16" s="833">
        <f t="shared" si="5"/>
        <v>0.2435438266</v>
      </c>
      <c r="AK16" s="833">
        <f t="shared" si="6"/>
        <v>0.05969211436</v>
      </c>
      <c r="AL16" s="833">
        <f t="shared" si="10"/>
        <v>1.402737198</v>
      </c>
      <c r="AM16" s="833">
        <f t="shared" si="7"/>
        <v>3.227272727</v>
      </c>
      <c r="AN16" s="833">
        <f t="shared" si="11"/>
        <v>0.2172869148</v>
      </c>
      <c r="AO16" s="833">
        <f t="shared" si="8"/>
        <v>0.01628442769</v>
      </c>
      <c r="AP16" s="833">
        <f t="shared" si="9"/>
        <v>-0.1288092994</v>
      </c>
      <c r="AQ16" s="833" t="s">
        <v>171</v>
      </c>
      <c r="AR16" s="834" t="s">
        <v>353</v>
      </c>
    </row>
    <row r="17">
      <c r="A17" s="850" t="s">
        <v>176</v>
      </c>
      <c r="B17" s="829">
        <f t="shared" si="1"/>
        <v>21</v>
      </c>
      <c r="C17" s="829">
        <f>IFERROR(VLOOKUP($A17,'Playoff Stats Pivot'!$A:$AE,2,0),0)+VLOOKUP($A17,'Halo Infinite Stats'!$A:$AH,3,0)</f>
        <v>12</v>
      </c>
      <c r="D17" s="829">
        <f>IFERROR(VLOOKUP($A17,'Playoff Stats Pivot'!$A:$AE,3,0),"")+VLOOKUP($A17,'Halo Infinite Stats'!$A:$AH,4,0)</f>
        <v>9</v>
      </c>
      <c r="E17" s="829">
        <f>IFERROR(VLOOKUP($A17,'Playoff Stats Pivot'!$A:$AE,4,0),"")+VLOOKUP($A17,'Halo Infinite Stats'!$A:$AH,5,0)</f>
        <v>19</v>
      </c>
      <c r="F17" s="829">
        <f>IFERROR(VLOOKUP($A17,'Playoff Stats Pivot'!$A:$AE,5,0),"")+VLOOKUP($A17,'Halo Infinite Stats'!$A:$AH,6,0)</f>
        <v>43</v>
      </c>
      <c r="G17" s="829">
        <f>IFERROR(VLOOKUP($A17,'Playoff Stats Pivot'!$A:$AE,6,0),"")+VLOOKUP($A17,'Halo Infinite Stats'!$A:$AH,7,0)</f>
        <v>966</v>
      </c>
      <c r="H17" s="829">
        <f>IFERROR(VLOOKUP($A17,'Playoff Stats Pivot'!$A:$AE,7,0),"")+VLOOKUP($A17,'Halo Infinite Stats'!$A:$AH,8,0)</f>
        <v>1005</v>
      </c>
      <c r="I17" s="829">
        <f>IFERROR(VLOOKUP($A17,'Playoff Stats Pivot'!$A:$AE,8,0),"")+VLOOKUP($A17,'Halo Infinite Stats'!$A:$AH,9,0)</f>
        <v>-39</v>
      </c>
      <c r="J17" s="830">
        <f t="shared" si="2"/>
        <v>0.9611940299</v>
      </c>
      <c r="K17" s="829">
        <f>IFERROR(VLOOKUP($A17,'Playoff Stats Pivot'!$A:$AE,9,0),"")+VLOOKUP($A17,'Halo Infinite Stats'!$A:$AH,11,0)</f>
        <v>0</v>
      </c>
      <c r="L17" s="831">
        <f>IFERROR(VLOOKUP($A17,'Playoff Stats Pivot'!$A:$AE,10,0),"")+VLOOKUP($A17,'Halo Infinite Stats'!$A:$AH,12,0)</f>
        <v>21258</v>
      </c>
      <c r="M17" s="832">
        <f t="shared" si="3"/>
        <v>17.15223881</v>
      </c>
      <c r="N17" s="829">
        <f>IFERROR(VLOOKUP($A17,'Playoff Stats Pivot'!$A:$AE,11,0),"")+VLOOKUP($A17,'Halo Infinite Stats'!$A:$AH,14,0)</f>
        <v>20</v>
      </c>
      <c r="O17" s="829">
        <f>IFERROR(VLOOKUP($A17,'Playoff Stats Pivot'!$A:$AE,12,0),"")+VLOOKUP($A17,'Halo Infinite Stats'!$A:$AH,15,0)</f>
        <v>0</v>
      </c>
      <c r="P17" s="829">
        <f>IFERROR(VLOOKUP($A17,'Playoff Stats Pivot'!$A:$AE,13,0),"")+VLOOKUP($A17,'Halo Infinite Stats'!$A:$AH,16,0)</f>
        <v>0</v>
      </c>
      <c r="Q17" s="829">
        <f>IFERROR(VLOOKUP($A17,'Playoff Stats Pivot'!$A:$AE,14,0),"")+VLOOKUP($A17,'Halo Infinite Stats'!$A:$AH,17,0)</f>
        <v>0</v>
      </c>
      <c r="R17" s="829">
        <f>IFERROR(VLOOKUP($A17,'Playoff Stats Pivot'!$A:$AE,15,0),"")+VLOOKUP($A17,'Halo Infinite Stats'!$A:$AH,18,0)</f>
        <v>11</v>
      </c>
      <c r="S17" s="829">
        <f>IFERROR(VLOOKUP($A17,'Playoff Stats Pivot'!$A:$AE,16,0),"")+VLOOKUP($A17,'Halo Infinite Stats'!$A:$AH,19,0)</f>
        <v>152</v>
      </c>
      <c r="T17" s="829">
        <f>IFERROR(VLOOKUP($A17,'Playoff Stats Pivot'!$A:$AE,17,0),"")+VLOOKUP($A17,'Halo Infinite Stats'!$A:$AH,20,0)</f>
        <v>35</v>
      </c>
      <c r="U17" s="829">
        <f>IFERROR(VLOOKUP($A17,'Playoff Stats Pivot'!$A:$AE,18,0),"")+VLOOKUP($A17,'Halo Infinite Stats'!$A:$AH,21,0)</f>
        <v>6</v>
      </c>
      <c r="V17" s="829">
        <f>IFERROR(VLOOKUP($A17,'Playoff Stats Pivot'!$A:$AE,19,0),"")+VLOOKUP($A17,'Halo Infinite Stats'!$A:$AH,22,0)</f>
        <v>1</v>
      </c>
      <c r="W17" s="829">
        <f>IFERROR(VLOOKUP($A17,'Playoff Stats Pivot'!$A:$AE,20,0),"")+VLOOKUP($A17,'Halo Infinite Stats'!$A:$AH,23,0)</f>
        <v>1</v>
      </c>
      <c r="X17" s="829">
        <f>IFERROR(VLOOKUP($A17,'Playoff Stats Pivot'!$A:$AE,21,0),"")+VLOOKUP($A17,'Halo Infinite Stats'!$A:$AH,24,0)</f>
        <v>0</v>
      </c>
      <c r="Y17" s="829">
        <f>IFERROR(VLOOKUP($A17,'Playoff Stats Pivot'!$A:$AE,22,0),"")+VLOOKUP($A17,'Halo Infinite Stats'!$A:$AH,25,0)</f>
        <v>0</v>
      </c>
      <c r="Z17" s="829">
        <f>IFERROR(VLOOKUP($A17,'Playoff Stats Pivot'!$A:$AE,23,0),"")+VLOOKUP($A17,'Halo Infinite Stats'!$A:$AH,26,0)</f>
        <v>0</v>
      </c>
      <c r="AA17" s="829">
        <f>IFERROR(VLOOKUP($A17,'Playoff Stats Pivot'!$A:$AE,24,0),"")+VLOOKUP($A17,'Halo Infinite Stats'!$A:$AH,27,0)</f>
        <v>0</v>
      </c>
      <c r="AB17" s="829">
        <f>IFERROR(VLOOKUP($A17,'Playoff Stats Pivot'!$A:$AE,25,0),"")+VLOOKUP($A17,'Halo Infinite Stats'!$A:$AH,28,0)</f>
        <v>0</v>
      </c>
      <c r="AC17" s="829">
        <f>IFERROR(VLOOKUP($A17,'Playoff Stats Pivot'!$A:$AE,26,0),"")+VLOOKUP($A17,'Halo Infinite Stats'!$A:$AH,29,0)</f>
        <v>180</v>
      </c>
      <c r="AD17" s="829">
        <f>IFERROR(VLOOKUP($A17,'Playoff Stats Pivot'!$A:$AE,27,0),"")+VLOOKUP($A17,'Halo Infinite Stats'!$A:$AH,30,0)</f>
        <v>0</v>
      </c>
      <c r="AE17" s="829">
        <f>IFERROR(VLOOKUP($A17,'Playoff Stats Pivot'!$A:$AE,28,0),"")+VLOOKUP($A17,'Halo Infinite Stats'!$A:$AH,31,0)</f>
        <v>4</v>
      </c>
      <c r="AF17" s="829">
        <f>IFERROR(VLOOKUP($A17,'Playoff Stats Pivot'!$A:$AE,29,0),"")+VLOOKUP($A17,'Halo Infinite Stats'!$A:$AH,32,0)</f>
        <v>0</v>
      </c>
      <c r="AG17" s="829">
        <f>IFERROR(VLOOKUP($A17,'Playoff Stats Pivot'!$A:$AE,30,0),"")+VLOOKUP($A17,'Halo Infinite Stats'!$A:$AH,33,0)</f>
        <v>8</v>
      </c>
      <c r="AH17" s="829">
        <f>IFERROR(VLOOKUP($A17,'Playoff Stats Pivot'!$A:$AE,31,0),"")+VLOOKUP($A17,'Halo Infinite Stats'!$A:$AH,34,0)</f>
        <v>1</v>
      </c>
      <c r="AI17" s="836">
        <f t="shared" si="4"/>
        <v>5.563082134</v>
      </c>
      <c r="AJ17" s="836">
        <f t="shared" si="5"/>
        <v>0.1083827265</v>
      </c>
      <c r="AK17" s="836">
        <f t="shared" si="6"/>
        <v>0.05644933672</v>
      </c>
      <c r="AL17" s="833">
        <f t="shared" si="10"/>
        <v>0.844467965</v>
      </c>
      <c r="AM17" s="836">
        <f t="shared" si="7"/>
        <v>0.9047619048</v>
      </c>
      <c r="AN17" s="836">
        <f t="shared" si="11"/>
        <v>0.201863354</v>
      </c>
      <c r="AO17" s="833">
        <f t="shared" si="8"/>
        <v>0.002022767899</v>
      </c>
      <c r="AP17" s="833">
        <f t="shared" si="9"/>
        <v>-0.1100762066</v>
      </c>
      <c r="AQ17" s="833" t="s">
        <v>350</v>
      </c>
      <c r="AR17" s="834" t="s">
        <v>354</v>
      </c>
    </row>
    <row r="18">
      <c r="A18" s="838" t="s">
        <v>185</v>
      </c>
      <c r="B18" s="829">
        <f t="shared" si="1"/>
        <v>25</v>
      </c>
      <c r="C18" s="829">
        <f>IFERROR(VLOOKUP($A18,'Playoff Stats Pivot'!$A:$AE,2,0),0)+VLOOKUP($A18,'Halo Infinite Stats'!$A:$AH,3,0)</f>
        <v>12</v>
      </c>
      <c r="D18" s="829">
        <f>IFERROR(VLOOKUP($A18,'Playoff Stats Pivot'!$A:$AE,3,0),"")+VLOOKUP($A18,'Halo Infinite Stats'!$A:$AH,4,0)</f>
        <v>13</v>
      </c>
      <c r="E18" s="829">
        <f>IFERROR(VLOOKUP($A18,'Playoff Stats Pivot'!$A:$AE,4,0),"")+VLOOKUP($A18,'Halo Infinite Stats'!$A:$AH,5,0)</f>
        <v>4</v>
      </c>
      <c r="F18" s="829">
        <f>IFERROR(VLOOKUP($A18,'Playoff Stats Pivot'!$A:$AE,5,0),"")+VLOOKUP($A18,'Halo Infinite Stats'!$A:$AH,6,0)</f>
        <v>25</v>
      </c>
      <c r="G18" s="829">
        <f>IFERROR(VLOOKUP($A18,'Playoff Stats Pivot'!$A:$AE,6,0),"")+VLOOKUP($A18,'Halo Infinite Stats'!$A:$AH,7,0)</f>
        <v>939</v>
      </c>
      <c r="H18" s="829">
        <f>IFERROR(VLOOKUP($A18,'Playoff Stats Pivot'!$A:$AE,7,0),"")+VLOOKUP($A18,'Halo Infinite Stats'!$A:$AH,8,0)</f>
        <v>1282</v>
      </c>
      <c r="I18" s="829">
        <f>IFERROR(VLOOKUP($A18,'Playoff Stats Pivot'!$A:$AE,8,0),"")+VLOOKUP($A18,'Halo Infinite Stats'!$A:$AH,9,0)</f>
        <v>-343</v>
      </c>
      <c r="J18" s="830">
        <f t="shared" si="2"/>
        <v>0.732449298</v>
      </c>
      <c r="K18" s="829">
        <f>IFERROR(VLOOKUP($A18,'Playoff Stats Pivot'!$A:$AE,9,0),"")+VLOOKUP($A18,'Halo Infinite Stats'!$A:$AH,11,0)</f>
        <v>2</v>
      </c>
      <c r="L18" s="831">
        <f>IFERROR(VLOOKUP($A18,'Playoff Stats Pivot'!$A:$AE,10,0),"")+VLOOKUP($A18,'Halo Infinite Stats'!$A:$AH,12,0)</f>
        <v>21759</v>
      </c>
      <c r="M18" s="832">
        <f t="shared" si="3"/>
        <v>12.97269891</v>
      </c>
      <c r="N18" s="829">
        <f>IFERROR(VLOOKUP($A18,'Playoff Stats Pivot'!$A:$AE,11,0),"")+VLOOKUP($A18,'Halo Infinite Stats'!$A:$AH,14,0)</f>
        <v>16</v>
      </c>
      <c r="O18" s="829">
        <f>IFERROR(VLOOKUP($A18,'Playoff Stats Pivot'!$A:$AE,12,0),"")+VLOOKUP($A18,'Halo Infinite Stats'!$A:$AH,15,0)</f>
        <v>0</v>
      </c>
      <c r="P18" s="829">
        <f>IFERROR(VLOOKUP($A18,'Playoff Stats Pivot'!$A:$AE,13,0),"")+VLOOKUP($A18,'Halo Infinite Stats'!$A:$AH,16,0)</f>
        <v>0</v>
      </c>
      <c r="Q18" s="829">
        <f>IFERROR(VLOOKUP($A18,'Playoff Stats Pivot'!$A:$AE,14,0),"")+VLOOKUP($A18,'Halo Infinite Stats'!$A:$AH,17,0)</f>
        <v>0</v>
      </c>
      <c r="R18" s="829">
        <f>IFERROR(VLOOKUP($A18,'Playoff Stats Pivot'!$A:$AE,15,0),"")+VLOOKUP($A18,'Halo Infinite Stats'!$A:$AH,18,0)</f>
        <v>10</v>
      </c>
      <c r="S18" s="829">
        <f>IFERROR(VLOOKUP($A18,'Playoff Stats Pivot'!$A:$AE,16,0),"")+VLOOKUP($A18,'Halo Infinite Stats'!$A:$AH,19,0)</f>
        <v>140</v>
      </c>
      <c r="T18" s="829">
        <f>IFERROR(VLOOKUP($A18,'Playoff Stats Pivot'!$A:$AE,17,0),"")+VLOOKUP($A18,'Halo Infinite Stats'!$A:$AH,20,0)</f>
        <v>36</v>
      </c>
      <c r="U18" s="829">
        <f>IFERROR(VLOOKUP($A18,'Playoff Stats Pivot'!$A:$AE,18,0),"")+VLOOKUP($A18,'Halo Infinite Stats'!$A:$AH,21,0)</f>
        <v>12</v>
      </c>
      <c r="V18" s="829">
        <f>IFERROR(VLOOKUP($A18,'Playoff Stats Pivot'!$A:$AE,19,0),"")+VLOOKUP($A18,'Halo Infinite Stats'!$A:$AH,22,0)</f>
        <v>5</v>
      </c>
      <c r="W18" s="829">
        <f>IFERROR(VLOOKUP($A18,'Playoff Stats Pivot'!$A:$AE,20,0),"")+VLOOKUP($A18,'Halo Infinite Stats'!$A:$AH,23,0)</f>
        <v>1</v>
      </c>
      <c r="X18" s="829">
        <f>IFERROR(VLOOKUP($A18,'Playoff Stats Pivot'!$A:$AE,21,0),"")+VLOOKUP($A18,'Halo Infinite Stats'!$A:$AH,24,0)</f>
        <v>1</v>
      </c>
      <c r="Y18" s="829">
        <f>IFERROR(VLOOKUP($A18,'Playoff Stats Pivot'!$A:$AE,22,0),"")+VLOOKUP($A18,'Halo Infinite Stats'!$A:$AH,25,0)</f>
        <v>0</v>
      </c>
      <c r="Z18" s="829">
        <f>IFERROR(VLOOKUP($A18,'Playoff Stats Pivot'!$A:$AE,23,0),"")+VLOOKUP($A18,'Halo Infinite Stats'!$A:$AH,26,0)</f>
        <v>0</v>
      </c>
      <c r="AA18" s="829">
        <f>IFERROR(VLOOKUP($A18,'Playoff Stats Pivot'!$A:$AE,24,0),"")+VLOOKUP($A18,'Halo Infinite Stats'!$A:$AH,27,0)</f>
        <v>0</v>
      </c>
      <c r="AB18" s="829">
        <f>IFERROR(VLOOKUP($A18,'Playoff Stats Pivot'!$A:$AE,25,0),"")+VLOOKUP($A18,'Halo Infinite Stats'!$A:$AH,28,0)</f>
        <v>1</v>
      </c>
      <c r="AC18" s="829">
        <f>IFERROR(VLOOKUP($A18,'Playoff Stats Pivot'!$A:$AE,26,0),"")+VLOOKUP($A18,'Halo Infinite Stats'!$A:$AH,29,0)</f>
        <v>169</v>
      </c>
      <c r="AD18" s="829">
        <f>IFERROR(VLOOKUP($A18,'Playoff Stats Pivot'!$A:$AE,27,0),"")+VLOOKUP($A18,'Halo Infinite Stats'!$A:$AH,30,0)</f>
        <v>0</v>
      </c>
      <c r="AE18" s="829">
        <f>IFERROR(VLOOKUP($A18,'Playoff Stats Pivot'!$A:$AE,28,0),"")+VLOOKUP($A18,'Halo Infinite Stats'!$A:$AH,31,0)</f>
        <v>0</v>
      </c>
      <c r="AF18" s="829">
        <f>IFERROR(VLOOKUP($A18,'Playoff Stats Pivot'!$A:$AE,29,0),"")+VLOOKUP($A18,'Halo Infinite Stats'!$A:$AH,32,0)</f>
        <v>0</v>
      </c>
      <c r="AG18" s="829">
        <f>IFERROR(VLOOKUP($A18,'Playoff Stats Pivot'!$A:$AE,30,0),"")+VLOOKUP($A18,'Halo Infinite Stats'!$A:$AH,33,0)</f>
        <v>15</v>
      </c>
      <c r="AH18" s="829">
        <f>IFERROR(VLOOKUP($A18,'Playoff Stats Pivot'!$A:$AE,31,0),"")+VLOOKUP($A18,'Halo Infinite Stats'!$A:$AH,34,0)</f>
        <v>5</v>
      </c>
      <c r="AI18" s="833">
        <f t="shared" si="4"/>
        <v>6.129877292</v>
      </c>
      <c r="AJ18" s="833">
        <f t="shared" si="5"/>
        <v>0.06827519647</v>
      </c>
      <c r="AK18" s="833">
        <f t="shared" si="6"/>
        <v>0.04411967462</v>
      </c>
      <c r="AL18" s="833">
        <f t="shared" si="10"/>
        <v>-0.2669883726</v>
      </c>
      <c r="AM18" s="833">
        <f t="shared" si="7"/>
        <v>0.16</v>
      </c>
      <c r="AN18" s="833">
        <f t="shared" si="11"/>
        <v>0.2076677316</v>
      </c>
      <c r="AO18" s="833">
        <f t="shared" si="8"/>
        <v>0.00114894986</v>
      </c>
      <c r="AP18" s="833">
        <f t="shared" si="9"/>
        <v>-0.9403005653</v>
      </c>
      <c r="AQ18" s="833" t="s">
        <v>338</v>
      </c>
      <c r="AR18" s="834" t="s">
        <v>355</v>
      </c>
    </row>
    <row r="19">
      <c r="A19" s="837" t="s">
        <v>68</v>
      </c>
      <c r="B19" s="829">
        <f t="shared" si="1"/>
        <v>19</v>
      </c>
      <c r="C19" s="829">
        <f>IFERROR(VLOOKUP($A19,'Playoff Stats Pivot'!$A:$AE,2,0),0)+VLOOKUP($A19,'Halo Infinite Stats'!$A:$AH,3,0)</f>
        <v>1</v>
      </c>
      <c r="D19" s="829">
        <f>IFERROR(VLOOKUP($A19,'Playoff Stats Pivot'!$A:$AE,3,0),"")+VLOOKUP($A19,'Halo Infinite Stats'!$A:$AH,4,0)</f>
        <v>18</v>
      </c>
      <c r="E19" s="829">
        <f>IFERROR(VLOOKUP($A19,'Playoff Stats Pivot'!$A:$AE,4,0),"")+VLOOKUP($A19,'Halo Infinite Stats'!$A:$AH,5,0)</f>
        <v>19</v>
      </c>
      <c r="F19" s="829">
        <f>IFERROR(VLOOKUP($A19,'Playoff Stats Pivot'!$A:$AE,5,0),"")+VLOOKUP($A19,'Halo Infinite Stats'!$A:$AH,6,0)</f>
        <v>86</v>
      </c>
      <c r="G19" s="829">
        <f>IFERROR(VLOOKUP($A19,'Playoff Stats Pivot'!$A:$AE,6,0),"")+VLOOKUP($A19,'Halo Infinite Stats'!$A:$AH,7,0)</f>
        <v>725</v>
      </c>
      <c r="H19" s="829">
        <f>IFERROR(VLOOKUP($A19,'Playoff Stats Pivot'!$A:$AE,7,0),"")+VLOOKUP($A19,'Halo Infinite Stats'!$A:$AH,8,0)</f>
        <v>820</v>
      </c>
      <c r="I19" s="829">
        <f>IFERROR(VLOOKUP($A19,'Playoff Stats Pivot'!$A:$AE,8,0),"")+VLOOKUP($A19,'Halo Infinite Stats'!$A:$AH,9,0)</f>
        <v>-95</v>
      </c>
      <c r="J19" s="830">
        <f t="shared" si="2"/>
        <v>0.8841463415</v>
      </c>
      <c r="K19" s="829">
        <f>IFERROR(VLOOKUP($A19,'Playoff Stats Pivot'!$A:$AE,9,0),"")+VLOOKUP($A19,'Halo Infinite Stats'!$A:$AH,11,0)</f>
        <v>1</v>
      </c>
      <c r="L19" s="831">
        <f>IFERROR(VLOOKUP($A19,'Playoff Stats Pivot'!$A:$AE,10,0),"")+VLOOKUP($A19,'Halo Infinite Stats'!$A:$AH,12,0)</f>
        <v>15476</v>
      </c>
      <c r="M19" s="832">
        <f t="shared" si="3"/>
        <v>14.87317073</v>
      </c>
      <c r="N19" s="829">
        <f>IFERROR(VLOOKUP($A19,'Playoff Stats Pivot'!$A:$AE,11,0),"")+VLOOKUP($A19,'Halo Infinite Stats'!$A:$AH,14,0)</f>
        <v>20</v>
      </c>
      <c r="O19" s="829">
        <f>IFERROR(VLOOKUP($A19,'Playoff Stats Pivot'!$A:$AE,12,0),"")+VLOOKUP($A19,'Halo Infinite Stats'!$A:$AH,15,0)</f>
        <v>0</v>
      </c>
      <c r="P19" s="829">
        <f>IFERROR(VLOOKUP($A19,'Playoff Stats Pivot'!$A:$AE,13,0),"")+VLOOKUP($A19,'Halo Infinite Stats'!$A:$AH,16,0)</f>
        <v>0</v>
      </c>
      <c r="Q19" s="829">
        <f>IFERROR(VLOOKUP($A19,'Playoff Stats Pivot'!$A:$AE,14,0),"")+VLOOKUP($A19,'Halo Infinite Stats'!$A:$AH,17,0)</f>
        <v>0</v>
      </c>
      <c r="R19" s="829">
        <f>IFERROR(VLOOKUP($A19,'Playoff Stats Pivot'!$A:$AE,15,0),"")+VLOOKUP($A19,'Halo Infinite Stats'!$A:$AH,18,0)</f>
        <v>12</v>
      </c>
      <c r="S19" s="829">
        <f>IFERROR(VLOOKUP($A19,'Playoff Stats Pivot'!$A:$AE,16,0),"")+VLOOKUP($A19,'Halo Infinite Stats'!$A:$AH,19,0)</f>
        <v>105</v>
      </c>
      <c r="T19" s="829">
        <f>IFERROR(VLOOKUP($A19,'Playoff Stats Pivot'!$A:$AE,17,0),"")+VLOOKUP($A19,'Halo Infinite Stats'!$A:$AH,20,0)</f>
        <v>34</v>
      </c>
      <c r="U19" s="829">
        <f>IFERROR(VLOOKUP($A19,'Playoff Stats Pivot'!$A:$AE,18,0),"")+VLOOKUP($A19,'Halo Infinite Stats'!$A:$AH,21,0)</f>
        <v>8</v>
      </c>
      <c r="V19" s="829">
        <f>IFERROR(VLOOKUP($A19,'Playoff Stats Pivot'!$A:$AE,19,0),"")+VLOOKUP($A19,'Halo Infinite Stats'!$A:$AH,22,0)</f>
        <v>4</v>
      </c>
      <c r="W19" s="829">
        <f>IFERROR(VLOOKUP($A19,'Playoff Stats Pivot'!$A:$AE,20,0),"")+VLOOKUP($A19,'Halo Infinite Stats'!$A:$AH,23,0)</f>
        <v>1</v>
      </c>
      <c r="X19" s="829">
        <f>IFERROR(VLOOKUP($A19,'Playoff Stats Pivot'!$A:$AE,21,0),"")+VLOOKUP($A19,'Halo Infinite Stats'!$A:$AH,24,0)</f>
        <v>0</v>
      </c>
      <c r="Y19" s="829">
        <f>IFERROR(VLOOKUP($A19,'Playoff Stats Pivot'!$A:$AE,22,0),"")+VLOOKUP($A19,'Halo Infinite Stats'!$A:$AH,25,0)</f>
        <v>0</v>
      </c>
      <c r="Z19" s="829">
        <f>IFERROR(VLOOKUP($A19,'Playoff Stats Pivot'!$A:$AE,23,0),"")+VLOOKUP($A19,'Halo Infinite Stats'!$A:$AH,26,0)</f>
        <v>0</v>
      </c>
      <c r="AA19" s="829">
        <f>IFERROR(VLOOKUP($A19,'Playoff Stats Pivot'!$A:$AE,24,0),"")+VLOOKUP($A19,'Halo Infinite Stats'!$A:$AH,27,0)</f>
        <v>0</v>
      </c>
      <c r="AB19" s="829">
        <f>IFERROR(VLOOKUP($A19,'Playoff Stats Pivot'!$A:$AE,25,0),"")+VLOOKUP($A19,'Halo Infinite Stats'!$A:$AH,28,0)</f>
        <v>0</v>
      </c>
      <c r="AC19" s="829">
        <f>IFERROR(VLOOKUP($A19,'Playoff Stats Pivot'!$A:$AE,26,0),"")+VLOOKUP($A19,'Halo Infinite Stats'!$A:$AH,29,0)</f>
        <v>122</v>
      </c>
      <c r="AD19" s="829">
        <f>IFERROR(VLOOKUP($A19,'Playoff Stats Pivot'!$A:$AE,27,0),"")+VLOOKUP($A19,'Halo Infinite Stats'!$A:$AH,30,0)</f>
        <v>0</v>
      </c>
      <c r="AE19" s="829">
        <f>IFERROR(VLOOKUP($A19,'Playoff Stats Pivot'!$A:$AE,28,0),"")+VLOOKUP($A19,'Halo Infinite Stats'!$A:$AH,31,0)</f>
        <v>0</v>
      </c>
      <c r="AF19" s="829">
        <f>IFERROR(VLOOKUP($A19,'Playoff Stats Pivot'!$A:$AE,29,0),"")+VLOOKUP($A19,'Halo Infinite Stats'!$A:$AH,32,0)</f>
        <v>0</v>
      </c>
      <c r="AG19" s="829">
        <f>IFERROR(VLOOKUP($A19,'Playoff Stats Pivot'!$A:$AE,30,0),"")+VLOOKUP($A19,'Halo Infinite Stats'!$A:$AH,33,0)</f>
        <v>20</v>
      </c>
      <c r="AH19" s="829">
        <f>IFERROR(VLOOKUP($A19,'Playoff Stats Pivot'!$A:$AE,31,0),"")+VLOOKUP($A19,'Halo Infinite Stats'!$A:$AH,34,0)</f>
        <v>0</v>
      </c>
      <c r="AI19" s="836">
        <f t="shared" si="4"/>
        <v>5.993796847</v>
      </c>
      <c r="AJ19" s="836">
        <f t="shared" si="5"/>
        <v>0.1218919617</v>
      </c>
      <c r="AK19" s="836">
        <f t="shared" si="6"/>
        <v>0.07753941587</v>
      </c>
      <c r="AL19" s="833">
        <f t="shared" si="10"/>
        <v>4.145050401</v>
      </c>
      <c r="AM19" s="836">
        <f t="shared" si="7"/>
        <v>1</v>
      </c>
      <c r="AN19" s="836">
        <f t="shared" si="11"/>
        <v>0.2096551724</v>
      </c>
      <c r="AO19" s="833">
        <f t="shared" si="8"/>
        <v>0.005556991471</v>
      </c>
      <c r="AP19" s="833">
        <f t="shared" si="9"/>
        <v>-0.3644352546</v>
      </c>
      <c r="AQ19" s="833" t="s">
        <v>336</v>
      </c>
      <c r="AR19" s="834" t="s">
        <v>356</v>
      </c>
    </row>
    <row r="20">
      <c r="A20" s="838" t="s">
        <v>172</v>
      </c>
      <c r="B20" s="829">
        <f t="shared" si="1"/>
        <v>42</v>
      </c>
      <c r="C20" s="829">
        <f>IFERROR(VLOOKUP($A20,'Playoff Stats Pivot'!$A:$AE,2,0),0)+VLOOKUP($A20,'Halo Infinite Stats'!$A:$AH,3,0)</f>
        <v>20</v>
      </c>
      <c r="D20" s="829">
        <f>IFERROR(VLOOKUP($A20,'Playoff Stats Pivot'!$A:$AE,3,0),"")+VLOOKUP($A20,'Halo Infinite Stats'!$A:$AH,4,0)</f>
        <v>22</v>
      </c>
      <c r="E20" s="829">
        <f>IFERROR(VLOOKUP($A20,'Playoff Stats Pivot'!$A:$AE,4,0),"")+VLOOKUP($A20,'Halo Infinite Stats'!$A:$AH,5,0)</f>
        <v>31</v>
      </c>
      <c r="F20" s="829">
        <f>IFERROR(VLOOKUP($A20,'Playoff Stats Pivot'!$A:$AE,5,0),"")+VLOOKUP($A20,'Halo Infinite Stats'!$A:$AH,6,0)</f>
        <v>203</v>
      </c>
      <c r="G20" s="829">
        <f>IFERROR(VLOOKUP($A20,'Playoff Stats Pivot'!$A:$AE,6,0),"")+VLOOKUP($A20,'Halo Infinite Stats'!$A:$AH,7,0)</f>
        <v>2540</v>
      </c>
      <c r="H20" s="829">
        <f>IFERROR(VLOOKUP($A20,'Playoff Stats Pivot'!$A:$AE,7,0),"")+VLOOKUP($A20,'Halo Infinite Stats'!$A:$AH,8,0)</f>
        <v>1807</v>
      </c>
      <c r="I20" s="829">
        <f>IFERROR(VLOOKUP($A20,'Playoff Stats Pivot'!$A:$AE,8,0),"")+VLOOKUP($A20,'Halo Infinite Stats'!$A:$AH,9,0)</f>
        <v>733</v>
      </c>
      <c r="J20" s="830">
        <f t="shared" si="2"/>
        <v>1.405644715</v>
      </c>
      <c r="K20" s="829">
        <f>IFERROR(VLOOKUP($A20,'Playoff Stats Pivot'!$A:$AE,9,0),"")+VLOOKUP($A20,'Halo Infinite Stats'!$A:$AH,11,0)</f>
        <v>8</v>
      </c>
      <c r="L20" s="831">
        <f>IFERROR(VLOOKUP($A20,'Playoff Stats Pivot'!$A:$AE,10,0),"")+VLOOKUP($A20,'Halo Infinite Stats'!$A:$AH,12,0)</f>
        <v>39519</v>
      </c>
      <c r="M20" s="832">
        <f t="shared" si="3"/>
        <v>17.86995019</v>
      </c>
      <c r="N20" s="829">
        <f>IFERROR(VLOOKUP($A20,'Playoff Stats Pivot'!$A:$AE,11,0),"")+VLOOKUP($A20,'Halo Infinite Stats'!$A:$AH,14,0)</f>
        <v>100</v>
      </c>
      <c r="O20" s="829">
        <f>IFERROR(VLOOKUP($A20,'Playoff Stats Pivot'!$A:$AE,12,0),"")+VLOOKUP($A20,'Halo Infinite Stats'!$A:$AH,15,0)</f>
        <v>8</v>
      </c>
      <c r="P20" s="829">
        <f>IFERROR(VLOOKUP($A20,'Playoff Stats Pivot'!$A:$AE,13,0),"")+VLOOKUP($A20,'Halo Infinite Stats'!$A:$AH,16,0)</f>
        <v>0</v>
      </c>
      <c r="Q20" s="829">
        <f>IFERROR(VLOOKUP($A20,'Playoff Stats Pivot'!$A:$AE,14,0),"")+VLOOKUP($A20,'Halo Infinite Stats'!$A:$AH,17,0)</f>
        <v>0</v>
      </c>
      <c r="R20" s="829">
        <f>IFERROR(VLOOKUP($A20,'Playoff Stats Pivot'!$A:$AE,15,0),"")+VLOOKUP($A20,'Halo Infinite Stats'!$A:$AH,18,0)</f>
        <v>31</v>
      </c>
      <c r="S20" s="829">
        <f>IFERROR(VLOOKUP($A20,'Playoff Stats Pivot'!$A:$AE,16,0),"")+VLOOKUP($A20,'Halo Infinite Stats'!$A:$AH,19,0)</f>
        <v>521</v>
      </c>
      <c r="T20" s="829">
        <f>IFERROR(VLOOKUP($A20,'Playoff Stats Pivot'!$A:$AE,17,0),"")+VLOOKUP($A20,'Halo Infinite Stats'!$A:$AH,20,0)</f>
        <v>162</v>
      </c>
      <c r="U20" s="829">
        <f>IFERROR(VLOOKUP($A20,'Playoff Stats Pivot'!$A:$AE,18,0),"")+VLOOKUP($A20,'Halo Infinite Stats'!$A:$AH,21,0)</f>
        <v>52</v>
      </c>
      <c r="V20" s="829">
        <f>IFERROR(VLOOKUP($A20,'Playoff Stats Pivot'!$A:$AE,19,0),"")+VLOOKUP($A20,'Halo Infinite Stats'!$A:$AH,22,0)</f>
        <v>17</v>
      </c>
      <c r="W20" s="829">
        <f>IFERROR(VLOOKUP($A20,'Playoff Stats Pivot'!$A:$AE,20,0),"")+VLOOKUP($A20,'Halo Infinite Stats'!$A:$AH,23,0)</f>
        <v>7</v>
      </c>
      <c r="X20" s="829">
        <f>IFERROR(VLOOKUP($A20,'Playoff Stats Pivot'!$A:$AE,21,0),"")+VLOOKUP($A20,'Halo Infinite Stats'!$A:$AH,24,0)</f>
        <v>3</v>
      </c>
      <c r="Y20" s="829">
        <f>IFERROR(VLOOKUP($A20,'Playoff Stats Pivot'!$A:$AE,22,0),"")+VLOOKUP($A20,'Halo Infinite Stats'!$A:$AH,25,0)</f>
        <v>1</v>
      </c>
      <c r="Z20" s="829">
        <f>IFERROR(VLOOKUP($A20,'Playoff Stats Pivot'!$A:$AE,23,0),"")+VLOOKUP($A20,'Halo Infinite Stats'!$A:$AH,26,0)</f>
        <v>1</v>
      </c>
      <c r="AA20" s="829">
        <f>IFERROR(VLOOKUP($A20,'Playoff Stats Pivot'!$A:$AE,24,0),"")+VLOOKUP($A20,'Halo Infinite Stats'!$A:$AH,27,0)</f>
        <v>0</v>
      </c>
      <c r="AB20" s="829">
        <f>IFERROR(VLOOKUP($A20,'Playoff Stats Pivot'!$A:$AE,25,0),"")+VLOOKUP($A20,'Halo Infinite Stats'!$A:$AH,28,0)</f>
        <v>0</v>
      </c>
      <c r="AC20" s="829">
        <f>IFERROR(VLOOKUP($A20,'Playoff Stats Pivot'!$A:$AE,26,0),"")+VLOOKUP($A20,'Halo Infinite Stats'!$A:$AH,29,0)</f>
        <v>630</v>
      </c>
      <c r="AD20" s="829">
        <f>IFERROR(VLOOKUP($A20,'Playoff Stats Pivot'!$A:$AE,27,0),"")+VLOOKUP($A20,'Halo Infinite Stats'!$A:$AH,30,0)</f>
        <v>3</v>
      </c>
      <c r="AE20" s="829">
        <f>IFERROR(VLOOKUP($A20,'Playoff Stats Pivot'!$A:$AE,28,0),"")+VLOOKUP($A20,'Halo Infinite Stats'!$A:$AH,31,0)</f>
        <v>8</v>
      </c>
      <c r="AF20" s="829">
        <f>IFERROR(VLOOKUP($A20,'Playoff Stats Pivot'!$A:$AE,29,0),"")+VLOOKUP($A20,'Halo Infinite Stats'!$A:$AH,32,0)</f>
        <v>1</v>
      </c>
      <c r="AG20" s="829">
        <f>IFERROR(VLOOKUP($A20,'Playoff Stats Pivot'!$A:$AE,30,0),"")+VLOOKUP($A20,'Halo Infinite Stats'!$A:$AH,33,0)</f>
        <v>19</v>
      </c>
      <c r="AH20" s="829">
        <f>IFERROR(VLOOKUP($A20,'Playoff Stats Pivot'!$A:$AE,31,0),"")+VLOOKUP($A20,'Halo Infinite Stats'!$A:$AH,34,0)</f>
        <v>45</v>
      </c>
      <c r="AI20" s="833">
        <f t="shared" si="4"/>
        <v>6.612009413</v>
      </c>
      <c r="AJ20" s="833">
        <f t="shared" si="5"/>
        <v>0.1645790632</v>
      </c>
      <c r="AK20" s="833">
        <f t="shared" si="6"/>
        <v>0.1518257041</v>
      </c>
      <c r="AL20" s="833">
        <f t="shared" si="10"/>
        <v>2.781722463</v>
      </c>
      <c r="AM20" s="833">
        <f t="shared" si="7"/>
        <v>0.7380952381</v>
      </c>
      <c r="AN20" s="833">
        <f t="shared" si="11"/>
        <v>0.3007874016</v>
      </c>
      <c r="AO20" s="833">
        <f t="shared" si="8"/>
        <v>0.005136769655</v>
      </c>
      <c r="AP20" s="833">
        <f t="shared" si="9"/>
        <v>1.125028467</v>
      </c>
      <c r="AQ20" s="833" t="s">
        <v>336</v>
      </c>
      <c r="AR20" s="834" t="s">
        <v>357</v>
      </c>
    </row>
    <row r="21">
      <c r="A21" s="851" t="s">
        <v>96</v>
      </c>
      <c r="B21" s="829">
        <f t="shared" si="1"/>
        <v>14</v>
      </c>
      <c r="C21" s="829">
        <f>IFERROR(VLOOKUP($A21,'Playoff Stats Pivot'!$A:$AE,2,0),0)+VLOOKUP($A21,'Halo Infinite Stats'!$A:$AH,3,0)</f>
        <v>13</v>
      </c>
      <c r="D21" s="829">
        <f>IFERROR(VLOOKUP($A21,'Playoff Stats Pivot'!$A:$AE,3,0),"")+VLOOKUP($A21,'Halo Infinite Stats'!$A:$AH,4,0)</f>
        <v>1</v>
      </c>
      <c r="E21" s="829">
        <f>IFERROR(VLOOKUP($A21,'Playoff Stats Pivot'!$A:$AE,4,0),"")+VLOOKUP($A21,'Halo Infinite Stats'!$A:$AH,5,0)</f>
        <v>25</v>
      </c>
      <c r="F21" s="829">
        <f>IFERROR(VLOOKUP($A21,'Playoff Stats Pivot'!$A:$AE,5,0),"")+VLOOKUP($A21,'Halo Infinite Stats'!$A:$AH,6,0)</f>
        <v>81</v>
      </c>
      <c r="G21" s="829">
        <f>IFERROR(VLOOKUP($A21,'Playoff Stats Pivot'!$A:$AE,6,0),"")+VLOOKUP($A21,'Halo Infinite Stats'!$A:$AH,7,0)</f>
        <v>509</v>
      </c>
      <c r="H21" s="829">
        <f>IFERROR(VLOOKUP($A21,'Playoff Stats Pivot'!$A:$AE,7,0),"")+VLOOKUP($A21,'Halo Infinite Stats'!$A:$AH,8,0)</f>
        <v>572</v>
      </c>
      <c r="I21" s="829">
        <f>IFERROR(VLOOKUP($A21,'Playoff Stats Pivot'!$A:$AE,8,0),"")+VLOOKUP($A21,'Halo Infinite Stats'!$A:$AH,9,0)</f>
        <v>-63</v>
      </c>
      <c r="J21" s="830">
        <f t="shared" si="2"/>
        <v>0.8898601399</v>
      </c>
      <c r="K21" s="829">
        <f>IFERROR(VLOOKUP($A21,'Playoff Stats Pivot'!$A:$AE,9,0),"")+VLOOKUP($A21,'Halo Infinite Stats'!$A:$AH,11,0)</f>
        <v>2</v>
      </c>
      <c r="L21" s="831">
        <f>IFERROR(VLOOKUP($A21,'Playoff Stats Pivot'!$A:$AE,10,0),"")+VLOOKUP($A21,'Halo Infinite Stats'!$A:$AH,12,0)</f>
        <v>11940</v>
      </c>
      <c r="M21" s="832">
        <f t="shared" si="3"/>
        <v>16.87412587</v>
      </c>
      <c r="N21" s="829">
        <f>IFERROR(VLOOKUP($A21,'Playoff Stats Pivot'!$A:$AE,11,0),"")+VLOOKUP($A21,'Halo Infinite Stats'!$A:$AH,14,0)</f>
        <v>4</v>
      </c>
      <c r="O21" s="829">
        <f>IFERROR(VLOOKUP($A21,'Playoff Stats Pivot'!$A:$AE,12,0),"")+VLOOKUP($A21,'Halo Infinite Stats'!$A:$AH,15,0)</f>
        <v>0</v>
      </c>
      <c r="P21" s="829">
        <f>IFERROR(VLOOKUP($A21,'Playoff Stats Pivot'!$A:$AE,13,0),"")+VLOOKUP($A21,'Halo Infinite Stats'!$A:$AH,16,0)</f>
        <v>0</v>
      </c>
      <c r="Q21" s="829">
        <f>IFERROR(VLOOKUP($A21,'Playoff Stats Pivot'!$A:$AE,14,0),"")+VLOOKUP($A21,'Halo Infinite Stats'!$A:$AH,17,0)</f>
        <v>0</v>
      </c>
      <c r="R21" s="829">
        <f>IFERROR(VLOOKUP($A21,'Playoff Stats Pivot'!$A:$AE,15,0),"")+VLOOKUP($A21,'Halo Infinite Stats'!$A:$AH,18,0)</f>
        <v>1</v>
      </c>
      <c r="S21" s="829">
        <f>IFERROR(VLOOKUP($A21,'Playoff Stats Pivot'!$A:$AE,16,0),"")+VLOOKUP($A21,'Halo Infinite Stats'!$A:$AH,19,0)</f>
        <v>78</v>
      </c>
      <c r="T21" s="829">
        <f>IFERROR(VLOOKUP($A21,'Playoff Stats Pivot'!$A:$AE,17,0),"")+VLOOKUP($A21,'Halo Infinite Stats'!$A:$AH,20,0)</f>
        <v>14</v>
      </c>
      <c r="U21" s="829">
        <f>IFERROR(VLOOKUP($A21,'Playoff Stats Pivot'!$A:$AE,18,0),"")+VLOOKUP($A21,'Halo Infinite Stats'!$A:$AH,21,0)</f>
        <v>4</v>
      </c>
      <c r="V21" s="829">
        <f>IFERROR(VLOOKUP($A21,'Playoff Stats Pivot'!$A:$AE,19,0),"")+VLOOKUP($A21,'Halo Infinite Stats'!$A:$AH,22,0)</f>
        <v>0</v>
      </c>
      <c r="W21" s="829">
        <f>IFERROR(VLOOKUP($A21,'Playoff Stats Pivot'!$A:$AE,20,0),"")+VLOOKUP($A21,'Halo Infinite Stats'!$A:$AH,23,0)</f>
        <v>0</v>
      </c>
      <c r="X21" s="829">
        <f>IFERROR(VLOOKUP($A21,'Playoff Stats Pivot'!$A:$AE,21,0),"")+VLOOKUP($A21,'Halo Infinite Stats'!$A:$AH,24,0)</f>
        <v>0</v>
      </c>
      <c r="Y21" s="829">
        <f>IFERROR(VLOOKUP($A21,'Playoff Stats Pivot'!$A:$AE,22,0),"")+VLOOKUP($A21,'Halo Infinite Stats'!$A:$AH,25,0)</f>
        <v>0</v>
      </c>
      <c r="Z21" s="829">
        <f>IFERROR(VLOOKUP($A21,'Playoff Stats Pivot'!$A:$AE,23,0),"")+VLOOKUP($A21,'Halo Infinite Stats'!$A:$AH,26,0)</f>
        <v>0</v>
      </c>
      <c r="AA21" s="829">
        <f>IFERROR(VLOOKUP($A21,'Playoff Stats Pivot'!$A:$AE,24,0),"")+VLOOKUP($A21,'Halo Infinite Stats'!$A:$AH,27,0)</f>
        <v>0</v>
      </c>
      <c r="AB21" s="829">
        <f>IFERROR(VLOOKUP($A21,'Playoff Stats Pivot'!$A:$AE,25,0),"")+VLOOKUP($A21,'Halo Infinite Stats'!$A:$AH,28,0)</f>
        <v>0</v>
      </c>
      <c r="AC21" s="829">
        <f>IFERROR(VLOOKUP($A21,'Playoff Stats Pivot'!$A:$AE,26,0),"")+VLOOKUP($A21,'Halo Infinite Stats'!$A:$AH,29,0)</f>
        <v>92</v>
      </c>
      <c r="AD21" s="829">
        <f>IFERROR(VLOOKUP($A21,'Playoff Stats Pivot'!$A:$AE,27,0),"")+VLOOKUP($A21,'Halo Infinite Stats'!$A:$AH,30,0)</f>
        <v>0</v>
      </c>
      <c r="AE21" s="829">
        <f>IFERROR(VLOOKUP($A21,'Playoff Stats Pivot'!$A:$AE,28,0),"")+VLOOKUP($A21,'Halo Infinite Stats'!$A:$AH,31,0)</f>
        <v>1</v>
      </c>
      <c r="AF21" s="829">
        <f>IFERROR(VLOOKUP($A21,'Playoff Stats Pivot'!$A:$AE,29,0),"")+VLOOKUP($A21,'Halo Infinite Stats'!$A:$AH,32,0)</f>
        <v>0</v>
      </c>
      <c r="AG21" s="829">
        <f>IFERROR(VLOOKUP($A21,'Playoff Stats Pivot'!$A:$AE,30,0),"")+VLOOKUP($A21,'Halo Infinite Stats'!$A:$AH,33,0)</f>
        <v>7</v>
      </c>
      <c r="AH21" s="829">
        <f>IFERROR(VLOOKUP($A21,'Playoff Stats Pivot'!$A:$AE,31,0),"")+VLOOKUP($A21,'Halo Infinite Stats'!$A:$AH,34,0)</f>
        <v>0</v>
      </c>
      <c r="AI21" s="833">
        <f t="shared" si="4"/>
        <v>5.442211055</v>
      </c>
      <c r="AJ21" s="833">
        <f t="shared" si="5"/>
        <v>0.1575879397</v>
      </c>
      <c r="AK21" s="833">
        <f t="shared" si="6"/>
        <v>0.02010050251</v>
      </c>
      <c r="AL21" s="833">
        <f t="shared" si="10"/>
        <v>0.5755701585</v>
      </c>
      <c r="AM21" s="833">
        <f t="shared" si="7"/>
        <v>1.785714286</v>
      </c>
      <c r="AN21" s="833">
        <f t="shared" si="11"/>
        <v>0.1886051081</v>
      </c>
      <c r="AO21" s="833">
        <f t="shared" si="8"/>
        <v>0.006783919598</v>
      </c>
      <c r="AP21" s="833">
        <f t="shared" si="9"/>
        <v>-0.3065326633</v>
      </c>
      <c r="AQ21" s="833" t="s">
        <v>350</v>
      </c>
      <c r="AR21" s="834" t="s">
        <v>354</v>
      </c>
    </row>
    <row r="22">
      <c r="A22" s="837" t="s">
        <v>162</v>
      </c>
      <c r="B22" s="829">
        <f t="shared" si="1"/>
        <v>27</v>
      </c>
      <c r="C22" s="829">
        <f>IFERROR(VLOOKUP($A22,'Playoff Stats Pivot'!$A:$AE,2,0),0)+VLOOKUP($A22,'Halo Infinite Stats'!$A:$AH,3,0)</f>
        <v>17</v>
      </c>
      <c r="D22" s="829">
        <f>IFERROR(VLOOKUP($A22,'Playoff Stats Pivot'!$A:$AE,3,0),"")+VLOOKUP($A22,'Halo Infinite Stats'!$A:$AH,4,0)</f>
        <v>10</v>
      </c>
      <c r="E22" s="829">
        <f>IFERROR(VLOOKUP($A22,'Playoff Stats Pivot'!$A:$AE,4,0),"")+VLOOKUP($A22,'Halo Infinite Stats'!$A:$AH,5,0)</f>
        <v>7</v>
      </c>
      <c r="F22" s="829">
        <f>IFERROR(VLOOKUP($A22,'Playoff Stats Pivot'!$A:$AE,5,0),"")+VLOOKUP($A22,'Halo Infinite Stats'!$A:$AH,6,0)</f>
        <v>18</v>
      </c>
      <c r="G22" s="829">
        <f>IFERROR(VLOOKUP($A22,'Playoff Stats Pivot'!$A:$AE,6,0),"")+VLOOKUP($A22,'Halo Infinite Stats'!$A:$AH,7,0)</f>
        <v>1276</v>
      </c>
      <c r="H22" s="829">
        <f>IFERROR(VLOOKUP($A22,'Playoff Stats Pivot'!$A:$AE,7,0),"")+VLOOKUP($A22,'Halo Infinite Stats'!$A:$AH,8,0)</f>
        <v>1816</v>
      </c>
      <c r="I22" s="829">
        <f>IFERROR(VLOOKUP($A22,'Playoff Stats Pivot'!$A:$AE,8,0),"")+VLOOKUP($A22,'Halo Infinite Stats'!$A:$AH,9,0)</f>
        <v>-540</v>
      </c>
      <c r="J22" s="830">
        <f t="shared" si="2"/>
        <v>0.7026431718</v>
      </c>
      <c r="K22" s="829">
        <f>IFERROR(VLOOKUP($A22,'Playoff Stats Pivot'!$A:$AE,9,0),"")+VLOOKUP($A22,'Halo Infinite Stats'!$A:$AH,11,0)</f>
        <v>2</v>
      </c>
      <c r="L22" s="831">
        <f>IFERROR(VLOOKUP($A22,'Playoff Stats Pivot'!$A:$AE,10,0),"")+VLOOKUP($A22,'Halo Infinite Stats'!$A:$AH,12,0)</f>
        <v>26628</v>
      </c>
      <c r="M22" s="832">
        <f t="shared" si="3"/>
        <v>10.66299559</v>
      </c>
      <c r="N22" s="829">
        <f>IFERROR(VLOOKUP($A22,'Playoff Stats Pivot'!$A:$AE,11,0),"")+VLOOKUP($A22,'Halo Infinite Stats'!$A:$AH,14,0)</f>
        <v>8</v>
      </c>
      <c r="O22" s="829">
        <f>IFERROR(VLOOKUP($A22,'Playoff Stats Pivot'!$A:$AE,12,0),"")+VLOOKUP($A22,'Halo Infinite Stats'!$A:$AH,15,0)</f>
        <v>0</v>
      </c>
      <c r="P22" s="829">
        <f>IFERROR(VLOOKUP($A22,'Playoff Stats Pivot'!$A:$AE,13,0),"")+VLOOKUP($A22,'Halo Infinite Stats'!$A:$AH,16,0)</f>
        <v>0</v>
      </c>
      <c r="Q22" s="829">
        <f>IFERROR(VLOOKUP($A22,'Playoff Stats Pivot'!$A:$AE,14,0),"")+VLOOKUP($A22,'Halo Infinite Stats'!$A:$AH,17,0)</f>
        <v>0</v>
      </c>
      <c r="R22" s="829">
        <f>IFERROR(VLOOKUP($A22,'Playoff Stats Pivot'!$A:$AE,15,0),"")+VLOOKUP($A22,'Halo Infinite Stats'!$A:$AH,18,0)</f>
        <v>11</v>
      </c>
      <c r="S22" s="829">
        <f>IFERROR(VLOOKUP($A22,'Playoff Stats Pivot'!$A:$AE,16,0),"")+VLOOKUP($A22,'Halo Infinite Stats'!$A:$AH,19,0)</f>
        <v>187</v>
      </c>
      <c r="T22" s="829">
        <f>IFERROR(VLOOKUP($A22,'Playoff Stats Pivot'!$A:$AE,17,0),"")+VLOOKUP($A22,'Halo Infinite Stats'!$A:$AH,20,0)</f>
        <v>48</v>
      </c>
      <c r="U22" s="829">
        <f>IFERROR(VLOOKUP($A22,'Playoff Stats Pivot'!$A:$AE,18,0),"")+VLOOKUP($A22,'Halo Infinite Stats'!$A:$AH,21,0)</f>
        <v>8</v>
      </c>
      <c r="V22" s="829">
        <f>IFERROR(VLOOKUP($A22,'Playoff Stats Pivot'!$A:$AE,19,0),"")+VLOOKUP($A22,'Halo Infinite Stats'!$A:$AH,22,0)</f>
        <v>3</v>
      </c>
      <c r="W22" s="829">
        <f>IFERROR(VLOOKUP($A22,'Playoff Stats Pivot'!$A:$AE,20,0),"")+VLOOKUP($A22,'Halo Infinite Stats'!$A:$AH,23,0)</f>
        <v>1</v>
      </c>
      <c r="X22" s="829">
        <f>IFERROR(VLOOKUP($A22,'Playoff Stats Pivot'!$A:$AE,21,0),"")+VLOOKUP($A22,'Halo Infinite Stats'!$A:$AH,24,0)</f>
        <v>0</v>
      </c>
      <c r="Y22" s="829">
        <f>IFERROR(VLOOKUP($A22,'Playoff Stats Pivot'!$A:$AE,22,0),"")+VLOOKUP($A22,'Halo Infinite Stats'!$A:$AH,25,0)</f>
        <v>0</v>
      </c>
      <c r="Z22" s="829">
        <f>IFERROR(VLOOKUP($A22,'Playoff Stats Pivot'!$A:$AE,23,0),"")+VLOOKUP($A22,'Halo Infinite Stats'!$A:$AH,26,0)</f>
        <v>0</v>
      </c>
      <c r="AA22" s="829">
        <f>IFERROR(VLOOKUP($A22,'Playoff Stats Pivot'!$A:$AE,24,0),"")+VLOOKUP($A22,'Halo Infinite Stats'!$A:$AH,27,0)</f>
        <v>0</v>
      </c>
      <c r="AB22" s="829">
        <f>IFERROR(VLOOKUP($A22,'Playoff Stats Pivot'!$A:$AE,25,0),"")+VLOOKUP($A22,'Halo Infinite Stats'!$A:$AH,28,0)</f>
        <v>0</v>
      </c>
      <c r="AC22" s="829">
        <f>IFERROR(VLOOKUP($A22,'Playoff Stats Pivot'!$A:$AE,26,0),"")+VLOOKUP($A22,'Halo Infinite Stats'!$A:$AH,29,0)</f>
        <v>88</v>
      </c>
      <c r="AD22" s="829">
        <f>IFERROR(VLOOKUP($A22,'Playoff Stats Pivot'!$A:$AE,27,0),"")+VLOOKUP($A22,'Halo Infinite Stats'!$A:$AH,30,0)</f>
        <v>1</v>
      </c>
      <c r="AE22" s="829">
        <f>IFERROR(VLOOKUP($A22,'Playoff Stats Pivot'!$A:$AE,28,0),"")+VLOOKUP($A22,'Halo Infinite Stats'!$A:$AH,31,0)</f>
        <v>0</v>
      </c>
      <c r="AF22" s="829">
        <f>IFERROR(VLOOKUP($A22,'Playoff Stats Pivot'!$A:$AE,29,0),"")+VLOOKUP($A22,'Halo Infinite Stats'!$A:$AH,32,0)</f>
        <v>0</v>
      </c>
      <c r="AG22" s="829">
        <f>IFERROR(VLOOKUP($A22,'Playoff Stats Pivot'!$A:$AE,30,0),"")+VLOOKUP($A22,'Halo Infinite Stats'!$A:$AH,33,0)</f>
        <v>25</v>
      </c>
      <c r="AH22" s="829">
        <f>IFERROR(VLOOKUP($A22,'Playoff Stats Pivot'!$A:$AE,31,0),"")+VLOOKUP($A22,'Halo Infinite Stats'!$A:$AH,34,0)</f>
        <v>10</v>
      </c>
      <c r="AI22" s="836">
        <f t="shared" si="4"/>
        <v>6.971608833</v>
      </c>
      <c r="AJ22" s="836">
        <f t="shared" si="5"/>
        <v>0.03785488959</v>
      </c>
      <c r="AK22" s="836">
        <f t="shared" si="6"/>
        <v>0.0180261379</v>
      </c>
      <c r="AL22" s="833">
        <f t="shared" si="10"/>
        <v>-0.5350422819</v>
      </c>
      <c r="AM22" s="836">
        <f t="shared" si="7"/>
        <v>0.2592592593</v>
      </c>
      <c r="AN22" s="836">
        <f t="shared" si="11"/>
        <v>0.1935736677</v>
      </c>
      <c r="AO22" s="833">
        <f t="shared" si="8"/>
        <v>0.0006759801712</v>
      </c>
      <c r="AP22" s="833">
        <f t="shared" si="9"/>
        <v>-1.212257774</v>
      </c>
      <c r="AQ22" s="833" t="s">
        <v>350</v>
      </c>
      <c r="AR22" s="834" t="s">
        <v>358</v>
      </c>
    </row>
    <row r="23">
      <c r="A23" s="838" t="s">
        <v>75</v>
      </c>
      <c r="B23" s="829">
        <f t="shared" si="1"/>
        <v>34</v>
      </c>
      <c r="C23" s="829">
        <f>IFERROR(VLOOKUP($A23,'Playoff Stats Pivot'!$A:$AE,2,0),0)+VLOOKUP($A23,'Halo Infinite Stats'!$A:$AH,3,0)</f>
        <v>25</v>
      </c>
      <c r="D23" s="829">
        <f>IFERROR(VLOOKUP($A23,'Playoff Stats Pivot'!$A:$AE,3,0),"")+VLOOKUP($A23,'Halo Infinite Stats'!$A:$AH,4,0)</f>
        <v>9</v>
      </c>
      <c r="E23" s="829">
        <f>IFERROR(VLOOKUP($A23,'Playoff Stats Pivot'!$A:$AE,4,0),"")+VLOOKUP($A23,'Halo Infinite Stats'!$A:$AH,5,0)</f>
        <v>73</v>
      </c>
      <c r="F23" s="829">
        <f>IFERROR(VLOOKUP($A23,'Playoff Stats Pivot'!$A:$AE,5,0),"")+VLOOKUP($A23,'Halo Infinite Stats'!$A:$AH,6,0)</f>
        <v>415</v>
      </c>
      <c r="G23" s="829">
        <f>IFERROR(VLOOKUP($A23,'Playoff Stats Pivot'!$A:$AE,6,0),"")+VLOOKUP($A23,'Halo Infinite Stats'!$A:$AH,7,0)</f>
        <v>1370</v>
      </c>
      <c r="H23" s="829">
        <f>IFERROR(VLOOKUP($A23,'Playoff Stats Pivot'!$A:$AE,7,0),"")+VLOOKUP($A23,'Halo Infinite Stats'!$A:$AH,8,0)</f>
        <v>1143</v>
      </c>
      <c r="I23" s="829">
        <f>IFERROR(VLOOKUP($A23,'Playoff Stats Pivot'!$A:$AE,8,0),"")+VLOOKUP($A23,'Halo Infinite Stats'!$A:$AH,9,0)</f>
        <v>227</v>
      </c>
      <c r="J23" s="830">
        <f t="shared" si="2"/>
        <v>1.198600175</v>
      </c>
      <c r="K23" s="829">
        <f>IFERROR(VLOOKUP($A23,'Playoff Stats Pivot'!$A:$AE,9,0),"")+VLOOKUP($A23,'Halo Infinite Stats'!$A:$AH,11,0)</f>
        <v>3</v>
      </c>
      <c r="L23" s="831">
        <f>IFERROR(VLOOKUP($A23,'Playoff Stats Pivot'!$A:$AE,10,0),"")+VLOOKUP($A23,'Halo Infinite Stats'!$A:$AH,12,0)</f>
        <v>28208</v>
      </c>
      <c r="M23" s="832">
        <f t="shared" si="3"/>
        <v>20.67891514</v>
      </c>
      <c r="N23" s="829">
        <f>IFERROR(VLOOKUP($A23,'Playoff Stats Pivot'!$A:$AE,11,0),"")+VLOOKUP($A23,'Halo Infinite Stats'!$A:$AH,14,0)</f>
        <v>45</v>
      </c>
      <c r="O23" s="829">
        <f>IFERROR(VLOOKUP($A23,'Playoff Stats Pivot'!$A:$AE,12,0),"")+VLOOKUP($A23,'Halo Infinite Stats'!$A:$AH,15,0)</f>
        <v>4</v>
      </c>
      <c r="P23" s="829">
        <f>IFERROR(VLOOKUP($A23,'Playoff Stats Pivot'!$A:$AE,13,0),"")+VLOOKUP($A23,'Halo Infinite Stats'!$A:$AH,16,0)</f>
        <v>0</v>
      </c>
      <c r="Q23" s="829">
        <f>IFERROR(VLOOKUP($A23,'Playoff Stats Pivot'!$A:$AE,14,0),"")+VLOOKUP($A23,'Halo Infinite Stats'!$A:$AH,17,0)</f>
        <v>0</v>
      </c>
      <c r="R23" s="829">
        <f>IFERROR(VLOOKUP($A23,'Playoff Stats Pivot'!$A:$AE,15,0),"")+VLOOKUP($A23,'Halo Infinite Stats'!$A:$AH,18,0)</f>
        <v>13</v>
      </c>
      <c r="S23" s="829">
        <f>IFERROR(VLOOKUP($A23,'Playoff Stats Pivot'!$A:$AE,16,0),"")+VLOOKUP($A23,'Halo Infinite Stats'!$A:$AH,19,0)</f>
        <v>226</v>
      </c>
      <c r="T23" s="829">
        <f>IFERROR(VLOOKUP($A23,'Playoff Stats Pivot'!$A:$AE,17,0),"")+VLOOKUP($A23,'Halo Infinite Stats'!$A:$AH,20,0)</f>
        <v>57</v>
      </c>
      <c r="U23" s="829">
        <f>IFERROR(VLOOKUP($A23,'Playoff Stats Pivot'!$A:$AE,18,0),"")+VLOOKUP($A23,'Halo Infinite Stats'!$A:$AH,21,0)</f>
        <v>14</v>
      </c>
      <c r="V23" s="829">
        <f>IFERROR(VLOOKUP($A23,'Playoff Stats Pivot'!$A:$AE,19,0),"")+VLOOKUP($A23,'Halo Infinite Stats'!$A:$AH,22,0)</f>
        <v>5</v>
      </c>
      <c r="W23" s="829">
        <f>IFERROR(VLOOKUP($A23,'Playoff Stats Pivot'!$A:$AE,20,0),"")+VLOOKUP($A23,'Halo Infinite Stats'!$A:$AH,23,0)</f>
        <v>2</v>
      </c>
      <c r="X23" s="829">
        <f>IFERROR(VLOOKUP($A23,'Playoff Stats Pivot'!$A:$AE,21,0),"")+VLOOKUP($A23,'Halo Infinite Stats'!$A:$AH,24,0)</f>
        <v>1</v>
      </c>
      <c r="Y23" s="829">
        <f>IFERROR(VLOOKUP($A23,'Playoff Stats Pivot'!$A:$AE,22,0),"")+VLOOKUP($A23,'Halo Infinite Stats'!$A:$AH,25,0)</f>
        <v>0</v>
      </c>
      <c r="Z23" s="829">
        <f>IFERROR(VLOOKUP($A23,'Playoff Stats Pivot'!$A:$AE,23,0),"")+VLOOKUP($A23,'Halo Infinite Stats'!$A:$AH,26,0)</f>
        <v>0</v>
      </c>
      <c r="AA23" s="829">
        <f>IFERROR(VLOOKUP($A23,'Playoff Stats Pivot'!$A:$AE,24,0),"")+VLOOKUP($A23,'Halo Infinite Stats'!$A:$AH,27,0)</f>
        <v>0</v>
      </c>
      <c r="AB23" s="829">
        <f>IFERROR(VLOOKUP($A23,'Playoff Stats Pivot'!$A:$AE,25,0),"")+VLOOKUP($A23,'Halo Infinite Stats'!$A:$AH,28,0)</f>
        <v>0</v>
      </c>
      <c r="AC23" s="829">
        <f>IFERROR(VLOOKUP($A23,'Playoff Stats Pivot'!$A:$AE,26,0),"")+VLOOKUP($A23,'Halo Infinite Stats'!$A:$AH,29,0)</f>
        <v>299</v>
      </c>
      <c r="AD23" s="829">
        <f>IFERROR(VLOOKUP($A23,'Playoff Stats Pivot'!$A:$AE,27,0),"")+VLOOKUP($A23,'Halo Infinite Stats'!$A:$AH,30,0)</f>
        <v>0</v>
      </c>
      <c r="AE23" s="829">
        <f>IFERROR(VLOOKUP($A23,'Playoff Stats Pivot'!$A:$AE,28,0),"")+VLOOKUP($A23,'Halo Infinite Stats'!$A:$AH,31,0)</f>
        <v>0</v>
      </c>
      <c r="AF23" s="829">
        <f>IFERROR(VLOOKUP($A23,'Playoff Stats Pivot'!$A:$AE,29,0),"")+VLOOKUP($A23,'Halo Infinite Stats'!$A:$AH,32,0)</f>
        <v>2</v>
      </c>
      <c r="AG23" s="829">
        <f>IFERROR(VLOOKUP($A23,'Playoff Stats Pivot'!$A:$AE,30,0),"")+VLOOKUP($A23,'Halo Infinite Stats'!$A:$AH,33,0)</f>
        <v>16</v>
      </c>
      <c r="AH23" s="829">
        <f>IFERROR(VLOOKUP($A23,'Playoff Stats Pivot'!$A:$AE,31,0),"")+VLOOKUP($A23,'Halo Infinite Stats'!$A:$AH,34,0)</f>
        <v>10</v>
      </c>
      <c r="AI23" s="833">
        <f t="shared" si="4"/>
        <v>5.351673284</v>
      </c>
      <c r="AJ23" s="833">
        <f t="shared" si="5"/>
        <v>0.2081962564</v>
      </c>
      <c r="AK23" s="833">
        <f t="shared" si="6"/>
        <v>0.09571752694</v>
      </c>
      <c r="AL23" s="833">
        <f t="shared" si="10"/>
        <v>1.838963131</v>
      </c>
      <c r="AM23" s="833">
        <f t="shared" si="7"/>
        <v>2.147058824</v>
      </c>
      <c r="AN23" s="833">
        <f t="shared" si="11"/>
        <v>0.2226277372</v>
      </c>
      <c r="AO23" s="833">
        <f t="shared" si="8"/>
        <v>0.0147121384</v>
      </c>
      <c r="AP23" s="833">
        <f t="shared" si="9"/>
        <v>0.4892229155</v>
      </c>
      <c r="AQ23" s="833" t="s">
        <v>336</v>
      </c>
      <c r="AR23" s="834" t="s">
        <v>359</v>
      </c>
    </row>
    <row r="24">
      <c r="A24" s="837" t="s">
        <v>66</v>
      </c>
      <c r="B24" s="829">
        <f t="shared" si="1"/>
        <v>22</v>
      </c>
      <c r="C24" s="829">
        <f>IFERROR(VLOOKUP($A24,'Playoff Stats Pivot'!$A:$AE,2,0),0)+VLOOKUP($A24,'Halo Infinite Stats'!$A:$AH,3,0)</f>
        <v>16</v>
      </c>
      <c r="D24" s="829">
        <f>IFERROR(VLOOKUP($A24,'Playoff Stats Pivot'!$A:$AE,3,0),"")+VLOOKUP($A24,'Halo Infinite Stats'!$A:$AH,4,0)</f>
        <v>6</v>
      </c>
      <c r="E24" s="829">
        <f>IFERROR(VLOOKUP($A24,'Playoff Stats Pivot'!$A:$AE,4,0),"")+VLOOKUP($A24,'Halo Infinite Stats'!$A:$AH,5,0)</f>
        <v>3</v>
      </c>
      <c r="F24" s="829">
        <f>IFERROR(VLOOKUP($A24,'Playoff Stats Pivot'!$A:$AE,5,0),"")+VLOOKUP($A24,'Halo Infinite Stats'!$A:$AH,6,0)</f>
        <v>24</v>
      </c>
      <c r="G24" s="829">
        <f>IFERROR(VLOOKUP($A24,'Playoff Stats Pivot'!$A:$AE,6,0),"")+VLOOKUP($A24,'Halo Infinite Stats'!$A:$AH,7,0)</f>
        <v>1154</v>
      </c>
      <c r="H24" s="829">
        <f>IFERROR(VLOOKUP($A24,'Playoff Stats Pivot'!$A:$AE,7,0),"")+VLOOKUP($A24,'Halo Infinite Stats'!$A:$AH,8,0)</f>
        <v>1205</v>
      </c>
      <c r="I24" s="829">
        <f>IFERROR(VLOOKUP($A24,'Playoff Stats Pivot'!$A:$AE,8,0),"")+VLOOKUP($A24,'Halo Infinite Stats'!$A:$AH,9,0)</f>
        <v>-51</v>
      </c>
      <c r="J24" s="830">
        <f t="shared" si="2"/>
        <v>0.9576763485</v>
      </c>
      <c r="K24" s="829">
        <f>IFERROR(VLOOKUP($A24,'Playoff Stats Pivot'!$A:$AE,9,0),"")+VLOOKUP($A24,'Halo Infinite Stats'!$A:$AH,11,0)</f>
        <v>4</v>
      </c>
      <c r="L24" s="831">
        <f>IFERROR(VLOOKUP($A24,'Playoff Stats Pivot'!$A:$AE,10,0),"")+VLOOKUP($A24,'Halo Infinite Stats'!$A:$AH,12,0)</f>
        <v>19098</v>
      </c>
      <c r="M24" s="832">
        <f t="shared" si="3"/>
        <v>11.84896266</v>
      </c>
      <c r="N24" s="829">
        <f>IFERROR(VLOOKUP($A24,'Playoff Stats Pivot'!$A:$AE,11,0),"")+VLOOKUP($A24,'Halo Infinite Stats'!$A:$AH,14,0)</f>
        <v>10</v>
      </c>
      <c r="O24" s="829">
        <f>IFERROR(VLOOKUP($A24,'Playoff Stats Pivot'!$A:$AE,12,0),"")+VLOOKUP($A24,'Halo Infinite Stats'!$A:$AH,15,0)</f>
        <v>0</v>
      </c>
      <c r="P24" s="829">
        <f>IFERROR(VLOOKUP($A24,'Playoff Stats Pivot'!$A:$AE,13,0),"")+VLOOKUP($A24,'Halo Infinite Stats'!$A:$AH,16,0)</f>
        <v>0</v>
      </c>
      <c r="Q24" s="829">
        <f>IFERROR(VLOOKUP($A24,'Playoff Stats Pivot'!$A:$AE,14,0),"")+VLOOKUP($A24,'Halo Infinite Stats'!$A:$AH,17,0)</f>
        <v>0</v>
      </c>
      <c r="R24" s="829">
        <f>IFERROR(VLOOKUP($A24,'Playoff Stats Pivot'!$A:$AE,15,0),"")+VLOOKUP($A24,'Halo Infinite Stats'!$A:$AH,18,0)</f>
        <v>3</v>
      </c>
      <c r="S24" s="829">
        <f>IFERROR(VLOOKUP($A24,'Playoff Stats Pivot'!$A:$AE,16,0),"")+VLOOKUP($A24,'Halo Infinite Stats'!$A:$AH,19,0)</f>
        <v>192</v>
      </c>
      <c r="T24" s="829">
        <f>IFERROR(VLOOKUP($A24,'Playoff Stats Pivot'!$A:$AE,17,0),"")+VLOOKUP($A24,'Halo Infinite Stats'!$A:$AH,20,0)</f>
        <v>45</v>
      </c>
      <c r="U24" s="829">
        <f>IFERROR(VLOOKUP($A24,'Playoff Stats Pivot'!$A:$AE,18,0),"")+VLOOKUP($A24,'Halo Infinite Stats'!$A:$AH,21,0)</f>
        <v>9</v>
      </c>
      <c r="V24" s="829">
        <f>IFERROR(VLOOKUP($A24,'Playoff Stats Pivot'!$A:$AE,19,0),"")+VLOOKUP($A24,'Halo Infinite Stats'!$A:$AH,22,0)</f>
        <v>3</v>
      </c>
      <c r="W24" s="829">
        <f>IFERROR(VLOOKUP($A24,'Playoff Stats Pivot'!$A:$AE,20,0),"")+VLOOKUP($A24,'Halo Infinite Stats'!$A:$AH,23,0)</f>
        <v>1</v>
      </c>
      <c r="X24" s="829">
        <f>IFERROR(VLOOKUP($A24,'Playoff Stats Pivot'!$A:$AE,21,0),"")+VLOOKUP($A24,'Halo Infinite Stats'!$A:$AH,24,0)</f>
        <v>0</v>
      </c>
      <c r="Y24" s="829">
        <f>IFERROR(VLOOKUP($A24,'Playoff Stats Pivot'!$A:$AE,22,0),"")+VLOOKUP($A24,'Halo Infinite Stats'!$A:$AH,25,0)</f>
        <v>0</v>
      </c>
      <c r="Z24" s="829">
        <f>IFERROR(VLOOKUP($A24,'Playoff Stats Pivot'!$A:$AE,23,0),"")+VLOOKUP($A24,'Halo Infinite Stats'!$A:$AH,26,0)</f>
        <v>0</v>
      </c>
      <c r="AA24" s="829">
        <f>IFERROR(VLOOKUP($A24,'Playoff Stats Pivot'!$A:$AE,24,0),"")+VLOOKUP($A24,'Halo Infinite Stats'!$A:$AH,27,0)</f>
        <v>0</v>
      </c>
      <c r="AB24" s="829">
        <f>IFERROR(VLOOKUP($A24,'Playoff Stats Pivot'!$A:$AE,25,0),"")+VLOOKUP($A24,'Halo Infinite Stats'!$A:$AH,28,0)</f>
        <v>0</v>
      </c>
      <c r="AC24" s="829">
        <f>IFERROR(VLOOKUP($A24,'Playoff Stats Pivot'!$A:$AE,26,0),"")+VLOOKUP($A24,'Halo Infinite Stats'!$A:$AH,29,0)</f>
        <v>140</v>
      </c>
      <c r="AD24" s="829">
        <f>IFERROR(VLOOKUP($A24,'Playoff Stats Pivot'!$A:$AE,27,0),"")+VLOOKUP($A24,'Halo Infinite Stats'!$A:$AH,30,0)</f>
        <v>0</v>
      </c>
      <c r="AE24" s="829">
        <f>IFERROR(VLOOKUP($A24,'Playoff Stats Pivot'!$A:$AE,28,0),"")+VLOOKUP($A24,'Halo Infinite Stats'!$A:$AH,31,0)</f>
        <v>0</v>
      </c>
      <c r="AF24" s="829">
        <f>IFERROR(VLOOKUP($A24,'Playoff Stats Pivot'!$A:$AE,29,0),"")+VLOOKUP($A24,'Halo Infinite Stats'!$A:$AH,32,0)</f>
        <v>0</v>
      </c>
      <c r="AG24" s="829">
        <f>IFERROR(VLOOKUP($A24,'Playoff Stats Pivot'!$A:$AE,30,0),"")+VLOOKUP($A24,'Halo Infinite Stats'!$A:$AH,33,0)</f>
        <v>16</v>
      </c>
      <c r="AH24" s="829">
        <f>IFERROR(VLOOKUP($A24,'Playoff Stats Pivot'!$A:$AE,31,0),"")+VLOOKUP($A24,'Halo Infinite Stats'!$A:$AH,34,0)</f>
        <v>2</v>
      </c>
      <c r="AI24" s="836">
        <f t="shared" si="4"/>
        <v>7.423814012</v>
      </c>
      <c r="AJ24" s="836">
        <f t="shared" si="5"/>
        <v>0.06283380459</v>
      </c>
      <c r="AK24" s="836">
        <f t="shared" si="6"/>
        <v>0.03141690229</v>
      </c>
      <c r="AL24" s="833">
        <f t="shared" si="10"/>
        <v>0.7035383286</v>
      </c>
      <c r="AM24" s="836">
        <f t="shared" si="7"/>
        <v>0.1363636364</v>
      </c>
      <c r="AN24" s="836">
        <f t="shared" si="11"/>
        <v>0.2166377816</v>
      </c>
      <c r="AO24" s="833">
        <f t="shared" si="8"/>
        <v>0.001256676092</v>
      </c>
      <c r="AP24" s="833">
        <f t="shared" si="9"/>
        <v>-0.1476594408</v>
      </c>
      <c r="AQ24" s="833" t="s">
        <v>336</v>
      </c>
      <c r="AR24" s="834" t="s">
        <v>360</v>
      </c>
    </row>
    <row r="25">
      <c r="A25" s="838" t="s">
        <v>82</v>
      </c>
      <c r="B25" s="829">
        <f t="shared" si="1"/>
        <v>18</v>
      </c>
      <c r="C25" s="829">
        <f>IFERROR(VLOOKUP($A25,'Playoff Stats Pivot'!$A:$AE,2,0),0)+VLOOKUP($A25,'Halo Infinite Stats'!$A:$AH,3,0)</f>
        <v>1</v>
      </c>
      <c r="D25" s="829">
        <f>IFERROR(VLOOKUP($A25,'Playoff Stats Pivot'!$A:$AE,3,0),"")+VLOOKUP($A25,'Halo Infinite Stats'!$A:$AH,4,0)</f>
        <v>17</v>
      </c>
      <c r="E25" s="829">
        <f>IFERROR(VLOOKUP($A25,'Playoff Stats Pivot'!$A:$AE,4,0),"")+VLOOKUP($A25,'Halo Infinite Stats'!$A:$AH,5,0)</f>
        <v>9</v>
      </c>
      <c r="F25" s="829">
        <f>IFERROR(VLOOKUP($A25,'Playoff Stats Pivot'!$A:$AE,5,0),"")+VLOOKUP($A25,'Halo Infinite Stats'!$A:$AH,6,0)</f>
        <v>95</v>
      </c>
      <c r="G25" s="829">
        <f>IFERROR(VLOOKUP($A25,'Playoff Stats Pivot'!$A:$AE,6,0),"")+VLOOKUP($A25,'Halo Infinite Stats'!$A:$AH,7,0)</f>
        <v>739</v>
      </c>
      <c r="H25" s="829">
        <f>IFERROR(VLOOKUP($A25,'Playoff Stats Pivot'!$A:$AE,7,0),"")+VLOOKUP($A25,'Halo Infinite Stats'!$A:$AH,8,0)</f>
        <v>956</v>
      </c>
      <c r="I25" s="829">
        <f>IFERROR(VLOOKUP($A25,'Playoff Stats Pivot'!$A:$AE,8,0),"")+VLOOKUP($A25,'Halo Infinite Stats'!$A:$AH,9,0)</f>
        <v>-217</v>
      </c>
      <c r="J25" s="830">
        <f t="shared" si="2"/>
        <v>0.7730125523</v>
      </c>
      <c r="K25" s="829">
        <f>IFERROR(VLOOKUP($A25,'Playoff Stats Pivot'!$A:$AE,9,0),"")+VLOOKUP($A25,'Halo Infinite Stats'!$A:$AH,11,0)</f>
        <v>1</v>
      </c>
      <c r="L25" s="831">
        <f>IFERROR(VLOOKUP($A25,'Playoff Stats Pivot'!$A:$AE,10,0),"")+VLOOKUP($A25,'Halo Infinite Stats'!$A:$AH,12,0)</f>
        <v>14768</v>
      </c>
      <c r="M25" s="832">
        <f t="shared" si="3"/>
        <v>11.44769874</v>
      </c>
      <c r="N25" s="829">
        <f>IFERROR(VLOOKUP($A25,'Playoff Stats Pivot'!$A:$AE,11,0),"")+VLOOKUP($A25,'Halo Infinite Stats'!$A:$AH,14,0)</f>
        <v>14</v>
      </c>
      <c r="O25" s="829">
        <f>IFERROR(VLOOKUP($A25,'Playoff Stats Pivot'!$A:$AE,12,0),"")+VLOOKUP($A25,'Halo Infinite Stats'!$A:$AH,15,0)</f>
        <v>0</v>
      </c>
      <c r="P25" s="829">
        <f>IFERROR(VLOOKUP($A25,'Playoff Stats Pivot'!$A:$AE,13,0),"")+VLOOKUP($A25,'Halo Infinite Stats'!$A:$AH,16,0)</f>
        <v>0</v>
      </c>
      <c r="Q25" s="829">
        <f>IFERROR(VLOOKUP($A25,'Playoff Stats Pivot'!$A:$AE,14,0),"")+VLOOKUP($A25,'Halo Infinite Stats'!$A:$AH,17,0)</f>
        <v>0</v>
      </c>
      <c r="R25" s="829">
        <f>IFERROR(VLOOKUP($A25,'Playoff Stats Pivot'!$A:$AE,15,0),"")+VLOOKUP($A25,'Halo Infinite Stats'!$A:$AH,18,0)</f>
        <v>4</v>
      </c>
      <c r="S25" s="829">
        <f>IFERROR(VLOOKUP($A25,'Playoff Stats Pivot'!$A:$AE,16,0),"")+VLOOKUP($A25,'Halo Infinite Stats'!$A:$AH,19,0)</f>
        <v>107</v>
      </c>
      <c r="T25" s="829">
        <f>IFERROR(VLOOKUP($A25,'Playoff Stats Pivot'!$A:$AE,17,0),"")+VLOOKUP($A25,'Halo Infinite Stats'!$A:$AH,20,0)</f>
        <v>32</v>
      </c>
      <c r="U25" s="829">
        <f>IFERROR(VLOOKUP($A25,'Playoff Stats Pivot'!$A:$AE,18,0),"")+VLOOKUP($A25,'Halo Infinite Stats'!$A:$AH,21,0)</f>
        <v>7</v>
      </c>
      <c r="V25" s="829">
        <f>IFERROR(VLOOKUP($A25,'Playoff Stats Pivot'!$A:$AE,19,0),"")+VLOOKUP($A25,'Halo Infinite Stats'!$A:$AH,22,0)</f>
        <v>0</v>
      </c>
      <c r="W25" s="829">
        <f>IFERROR(VLOOKUP($A25,'Playoff Stats Pivot'!$A:$AE,20,0),"")+VLOOKUP($A25,'Halo Infinite Stats'!$A:$AH,23,0)</f>
        <v>0</v>
      </c>
      <c r="X25" s="829">
        <f>IFERROR(VLOOKUP($A25,'Playoff Stats Pivot'!$A:$AE,21,0),"")+VLOOKUP($A25,'Halo Infinite Stats'!$A:$AH,24,0)</f>
        <v>0</v>
      </c>
      <c r="Y25" s="829">
        <f>IFERROR(VLOOKUP($A25,'Playoff Stats Pivot'!$A:$AE,22,0),"")+VLOOKUP($A25,'Halo Infinite Stats'!$A:$AH,25,0)</f>
        <v>0</v>
      </c>
      <c r="Z25" s="829">
        <f>IFERROR(VLOOKUP($A25,'Playoff Stats Pivot'!$A:$AE,23,0),"")+VLOOKUP($A25,'Halo Infinite Stats'!$A:$AH,26,0)</f>
        <v>0</v>
      </c>
      <c r="AA25" s="829">
        <f>IFERROR(VLOOKUP($A25,'Playoff Stats Pivot'!$A:$AE,24,0),"")+VLOOKUP($A25,'Halo Infinite Stats'!$A:$AH,27,0)</f>
        <v>0</v>
      </c>
      <c r="AB25" s="829">
        <f>IFERROR(VLOOKUP($A25,'Playoff Stats Pivot'!$A:$AE,25,0),"")+VLOOKUP($A25,'Halo Infinite Stats'!$A:$AH,28,0)</f>
        <v>0</v>
      </c>
      <c r="AC25" s="829">
        <f>IFERROR(VLOOKUP($A25,'Playoff Stats Pivot'!$A:$AE,26,0),"")+VLOOKUP($A25,'Halo Infinite Stats'!$A:$AH,29,0)</f>
        <v>111</v>
      </c>
      <c r="AD25" s="829">
        <f>IFERROR(VLOOKUP($A25,'Playoff Stats Pivot'!$A:$AE,27,0),"")+VLOOKUP($A25,'Halo Infinite Stats'!$A:$AH,30,0)</f>
        <v>0</v>
      </c>
      <c r="AE25" s="829">
        <f>IFERROR(VLOOKUP($A25,'Playoff Stats Pivot'!$A:$AE,28,0),"")+VLOOKUP($A25,'Halo Infinite Stats'!$A:$AH,31,0)</f>
        <v>1</v>
      </c>
      <c r="AF25" s="829">
        <f>IFERROR(VLOOKUP($A25,'Playoff Stats Pivot'!$A:$AE,29,0),"")+VLOOKUP($A25,'Halo Infinite Stats'!$A:$AH,32,0)</f>
        <v>0</v>
      </c>
      <c r="AG25" s="829">
        <f>IFERROR(VLOOKUP($A25,'Playoff Stats Pivot'!$A:$AE,30,0),"")+VLOOKUP($A25,'Halo Infinite Stats'!$A:$AH,33,0)</f>
        <v>14</v>
      </c>
      <c r="AH25" s="829">
        <f>IFERROR(VLOOKUP($A25,'Playoff Stats Pivot'!$A:$AE,31,0),"")+VLOOKUP($A25,'Halo Infinite Stats'!$A:$AH,34,0)</f>
        <v>1</v>
      </c>
      <c r="AI25" s="833">
        <f t="shared" si="4"/>
        <v>6.890574215</v>
      </c>
      <c r="AJ25" s="833">
        <f t="shared" si="5"/>
        <v>0.08791982665</v>
      </c>
      <c r="AK25" s="833">
        <f t="shared" si="6"/>
        <v>0.05687973998</v>
      </c>
      <c r="AL25" s="833">
        <f t="shared" si="10"/>
        <v>1.584669556</v>
      </c>
      <c r="AM25" s="833">
        <f t="shared" si="7"/>
        <v>0.5</v>
      </c>
      <c r="AN25" s="833">
        <f t="shared" si="11"/>
        <v>0.197564276</v>
      </c>
      <c r="AO25" s="833">
        <f t="shared" si="8"/>
        <v>0.006432827736</v>
      </c>
      <c r="AP25" s="833">
        <f t="shared" si="9"/>
        <v>-0.8775731311</v>
      </c>
      <c r="AQ25" s="833" t="s">
        <v>338</v>
      </c>
      <c r="AR25" s="834" t="s">
        <v>361</v>
      </c>
    </row>
    <row r="26">
      <c r="A26" s="837" t="s">
        <v>48</v>
      </c>
      <c r="B26" s="829">
        <f t="shared" si="1"/>
        <v>28</v>
      </c>
      <c r="C26" s="829">
        <f>IFERROR(VLOOKUP($A26,'Playoff Stats Pivot'!$A:$AE,2,0),0)+VLOOKUP($A26,'Halo Infinite Stats'!$A:$AH,3,0)</f>
        <v>17</v>
      </c>
      <c r="D26" s="829">
        <f>IFERROR(VLOOKUP($A26,'Playoff Stats Pivot'!$A:$AE,3,0),"")+VLOOKUP($A26,'Halo Infinite Stats'!$A:$AH,4,0)</f>
        <v>11</v>
      </c>
      <c r="E26" s="829">
        <f>IFERROR(VLOOKUP($A26,'Playoff Stats Pivot'!$A:$AE,4,0),"")+VLOOKUP($A26,'Halo Infinite Stats'!$A:$AH,5,0)</f>
        <v>40</v>
      </c>
      <c r="F26" s="829">
        <f>IFERROR(VLOOKUP($A26,'Playoff Stats Pivot'!$A:$AE,5,0),"")+VLOOKUP($A26,'Halo Infinite Stats'!$A:$AH,6,0)</f>
        <v>152</v>
      </c>
      <c r="G26" s="829">
        <f>IFERROR(VLOOKUP($A26,'Playoff Stats Pivot'!$A:$AE,6,0),"")+VLOOKUP($A26,'Halo Infinite Stats'!$A:$AH,7,0)</f>
        <v>896</v>
      </c>
      <c r="H26" s="829">
        <f>IFERROR(VLOOKUP($A26,'Playoff Stats Pivot'!$A:$AE,7,0),"")+VLOOKUP($A26,'Halo Infinite Stats'!$A:$AH,8,0)</f>
        <v>1238</v>
      </c>
      <c r="I26" s="829">
        <f>IFERROR(VLOOKUP($A26,'Playoff Stats Pivot'!$A:$AE,8,0),"")+VLOOKUP($A26,'Halo Infinite Stats'!$A:$AH,9,0)</f>
        <v>-342</v>
      </c>
      <c r="J26" s="830">
        <f t="shared" si="2"/>
        <v>0.7237479806</v>
      </c>
      <c r="K26" s="829">
        <f>IFERROR(VLOOKUP($A26,'Playoff Stats Pivot'!$A:$AE,9,0),"")+VLOOKUP($A26,'Halo Infinite Stats'!$A:$AH,11,0)</f>
        <v>0</v>
      </c>
      <c r="L26" s="831">
        <f>IFERROR(VLOOKUP($A26,'Playoff Stats Pivot'!$A:$AE,10,0),"")+VLOOKUP($A26,'Halo Infinite Stats'!$A:$AH,12,0)</f>
        <v>23369</v>
      </c>
      <c r="M26" s="832">
        <f t="shared" si="3"/>
        <v>14.87641357</v>
      </c>
      <c r="N26" s="829">
        <f>IFERROR(VLOOKUP($A26,'Playoff Stats Pivot'!$A:$AE,11,0),"")+VLOOKUP($A26,'Halo Infinite Stats'!$A:$AH,14,0)</f>
        <v>16</v>
      </c>
      <c r="O26" s="829">
        <f>IFERROR(VLOOKUP($A26,'Playoff Stats Pivot'!$A:$AE,12,0),"")+VLOOKUP($A26,'Halo Infinite Stats'!$A:$AH,15,0)</f>
        <v>0</v>
      </c>
      <c r="P26" s="829">
        <f>IFERROR(VLOOKUP($A26,'Playoff Stats Pivot'!$A:$AE,13,0),"")+VLOOKUP($A26,'Halo Infinite Stats'!$A:$AH,16,0)</f>
        <v>0</v>
      </c>
      <c r="Q26" s="829">
        <f>IFERROR(VLOOKUP($A26,'Playoff Stats Pivot'!$A:$AE,14,0),"")+VLOOKUP($A26,'Halo Infinite Stats'!$A:$AH,17,0)</f>
        <v>0</v>
      </c>
      <c r="R26" s="829">
        <f>IFERROR(VLOOKUP($A26,'Playoff Stats Pivot'!$A:$AE,15,0),"")+VLOOKUP($A26,'Halo Infinite Stats'!$A:$AH,18,0)</f>
        <v>10</v>
      </c>
      <c r="S26" s="829">
        <f>IFERROR(VLOOKUP($A26,'Playoff Stats Pivot'!$A:$AE,16,0),"")+VLOOKUP($A26,'Halo Infinite Stats'!$A:$AH,19,0)</f>
        <v>131</v>
      </c>
      <c r="T26" s="829">
        <f>IFERROR(VLOOKUP($A26,'Playoff Stats Pivot'!$A:$AE,17,0),"")+VLOOKUP($A26,'Halo Infinite Stats'!$A:$AH,20,0)</f>
        <v>31</v>
      </c>
      <c r="U26" s="829">
        <f>IFERROR(VLOOKUP($A26,'Playoff Stats Pivot'!$A:$AE,18,0),"")+VLOOKUP($A26,'Halo Infinite Stats'!$A:$AH,21,0)</f>
        <v>6</v>
      </c>
      <c r="V26" s="829">
        <f>IFERROR(VLOOKUP($A26,'Playoff Stats Pivot'!$A:$AE,19,0),"")+VLOOKUP($A26,'Halo Infinite Stats'!$A:$AH,22,0)</f>
        <v>1</v>
      </c>
      <c r="W26" s="829">
        <f>IFERROR(VLOOKUP($A26,'Playoff Stats Pivot'!$A:$AE,20,0),"")+VLOOKUP($A26,'Halo Infinite Stats'!$A:$AH,23,0)</f>
        <v>0</v>
      </c>
      <c r="X26" s="829">
        <f>IFERROR(VLOOKUP($A26,'Playoff Stats Pivot'!$A:$AE,21,0),"")+VLOOKUP($A26,'Halo Infinite Stats'!$A:$AH,24,0)</f>
        <v>0</v>
      </c>
      <c r="Y26" s="829">
        <f>IFERROR(VLOOKUP($A26,'Playoff Stats Pivot'!$A:$AE,22,0),"")+VLOOKUP($A26,'Halo Infinite Stats'!$A:$AH,25,0)</f>
        <v>0</v>
      </c>
      <c r="Z26" s="829">
        <f>IFERROR(VLOOKUP($A26,'Playoff Stats Pivot'!$A:$AE,23,0),"")+VLOOKUP($A26,'Halo Infinite Stats'!$A:$AH,26,0)</f>
        <v>0</v>
      </c>
      <c r="AA26" s="829">
        <f>IFERROR(VLOOKUP($A26,'Playoff Stats Pivot'!$A:$AE,24,0),"")+VLOOKUP($A26,'Halo Infinite Stats'!$A:$AH,27,0)</f>
        <v>0</v>
      </c>
      <c r="AB26" s="829">
        <f>IFERROR(VLOOKUP($A26,'Playoff Stats Pivot'!$A:$AE,25,0),"")+VLOOKUP($A26,'Halo Infinite Stats'!$A:$AH,28,0)</f>
        <v>1</v>
      </c>
      <c r="AC26" s="829">
        <f>IFERROR(VLOOKUP($A26,'Playoff Stats Pivot'!$A:$AE,26,0),"")+VLOOKUP($A26,'Halo Infinite Stats'!$A:$AH,29,0)</f>
        <v>193</v>
      </c>
      <c r="AD26" s="829">
        <f>IFERROR(VLOOKUP($A26,'Playoff Stats Pivot'!$A:$AE,27,0),"")+VLOOKUP($A26,'Halo Infinite Stats'!$A:$AH,30,0)</f>
        <v>0</v>
      </c>
      <c r="AE26" s="829">
        <f>IFERROR(VLOOKUP($A26,'Playoff Stats Pivot'!$A:$AE,28,0),"")+VLOOKUP($A26,'Halo Infinite Stats'!$A:$AH,31,0)</f>
        <v>0</v>
      </c>
      <c r="AF26" s="829">
        <f>IFERROR(VLOOKUP($A26,'Playoff Stats Pivot'!$A:$AE,29,0),"")+VLOOKUP($A26,'Halo Infinite Stats'!$A:$AH,32,0)</f>
        <v>0</v>
      </c>
      <c r="AG26" s="829">
        <f>IFERROR(VLOOKUP($A26,'Playoff Stats Pivot'!$A:$AE,30,0),"")+VLOOKUP($A26,'Halo Infinite Stats'!$A:$AH,33,0)</f>
        <v>14</v>
      </c>
      <c r="AH26" s="829">
        <f>IFERROR(VLOOKUP($A26,'Playoff Stats Pivot'!$A:$AE,31,0),"")+VLOOKUP($A26,'Halo Infinite Stats'!$A:$AH,34,0)</f>
        <v>0</v>
      </c>
      <c r="AI26" s="836">
        <f t="shared" si="4"/>
        <v>5.479053447</v>
      </c>
      <c r="AJ26" s="836">
        <f t="shared" si="5"/>
        <v>0.1449099234</v>
      </c>
      <c r="AK26" s="836">
        <f t="shared" si="6"/>
        <v>0.04108006333</v>
      </c>
      <c r="AL26" s="833">
        <f t="shared" si="10"/>
        <v>0.09573265739</v>
      </c>
      <c r="AM26" s="836">
        <f t="shared" si="7"/>
        <v>1.428571429</v>
      </c>
      <c r="AN26" s="836">
        <f t="shared" si="11"/>
        <v>0.1886160714</v>
      </c>
      <c r="AO26" s="833">
        <f t="shared" si="8"/>
        <v>0.006504343361</v>
      </c>
      <c r="AP26" s="833">
        <f t="shared" si="9"/>
        <v>-0.8780863537</v>
      </c>
      <c r="AQ26" s="833" t="s">
        <v>171</v>
      </c>
      <c r="AR26" s="834" t="s">
        <v>362</v>
      </c>
    </row>
    <row r="27">
      <c r="A27" s="838" t="s">
        <v>54</v>
      </c>
      <c r="B27" s="829">
        <f t="shared" si="1"/>
        <v>21</v>
      </c>
      <c r="C27" s="829">
        <f>IFERROR(VLOOKUP($A27,'Playoff Stats Pivot'!$A:$AE,2,0),0)+VLOOKUP($A27,'Halo Infinite Stats'!$A:$AH,3,0)</f>
        <v>17</v>
      </c>
      <c r="D27" s="829">
        <f>IFERROR(VLOOKUP($A27,'Playoff Stats Pivot'!$A:$AE,3,0),"")+VLOOKUP($A27,'Halo Infinite Stats'!$A:$AH,4,0)</f>
        <v>4</v>
      </c>
      <c r="E27" s="829">
        <f>IFERROR(VLOOKUP($A27,'Playoff Stats Pivot'!$A:$AE,4,0),"")+VLOOKUP($A27,'Halo Infinite Stats'!$A:$AH,5,0)</f>
        <v>34</v>
      </c>
      <c r="F27" s="829">
        <f>IFERROR(VLOOKUP($A27,'Playoff Stats Pivot'!$A:$AE,5,0),"")+VLOOKUP($A27,'Halo Infinite Stats'!$A:$AH,6,0)</f>
        <v>87</v>
      </c>
      <c r="G27" s="829">
        <f>IFERROR(VLOOKUP($A27,'Playoff Stats Pivot'!$A:$AE,6,0),"")+VLOOKUP($A27,'Halo Infinite Stats'!$A:$AH,7,0)</f>
        <v>1160</v>
      </c>
      <c r="H27" s="829">
        <f>IFERROR(VLOOKUP($A27,'Playoff Stats Pivot'!$A:$AE,7,0),"")+VLOOKUP($A27,'Halo Infinite Stats'!$A:$AH,8,0)</f>
        <v>942</v>
      </c>
      <c r="I27" s="829">
        <f>IFERROR(VLOOKUP($A27,'Playoff Stats Pivot'!$A:$AE,8,0),"")+VLOOKUP($A27,'Halo Infinite Stats'!$A:$AH,9,0)</f>
        <v>218</v>
      </c>
      <c r="J27" s="830">
        <f t="shared" si="2"/>
        <v>1.231422505</v>
      </c>
      <c r="K27" s="829">
        <f>IFERROR(VLOOKUP($A27,'Playoff Stats Pivot'!$A:$AE,9,0),"")+VLOOKUP($A27,'Halo Infinite Stats'!$A:$AH,11,0)</f>
        <v>1</v>
      </c>
      <c r="L27" s="831">
        <f>IFERROR(VLOOKUP($A27,'Playoff Stats Pivot'!$A:$AE,10,0),"")+VLOOKUP($A27,'Halo Infinite Stats'!$A:$AH,12,0)</f>
        <v>17403</v>
      </c>
      <c r="M27" s="832">
        <f t="shared" si="3"/>
        <v>14.47452229</v>
      </c>
      <c r="N27" s="829">
        <f>IFERROR(VLOOKUP($A27,'Playoff Stats Pivot'!$A:$AE,11,0),"")+VLOOKUP($A27,'Halo Infinite Stats'!$A:$AH,14,0)</f>
        <v>36</v>
      </c>
      <c r="O27" s="829">
        <f>IFERROR(VLOOKUP($A27,'Playoff Stats Pivot'!$A:$AE,12,0),"")+VLOOKUP($A27,'Halo Infinite Stats'!$A:$AH,15,0)</f>
        <v>0</v>
      </c>
      <c r="P27" s="829">
        <f>IFERROR(VLOOKUP($A27,'Playoff Stats Pivot'!$A:$AE,13,0),"")+VLOOKUP($A27,'Halo Infinite Stats'!$A:$AH,16,0)</f>
        <v>0</v>
      </c>
      <c r="Q27" s="829">
        <f>IFERROR(VLOOKUP($A27,'Playoff Stats Pivot'!$A:$AE,14,0),"")+VLOOKUP($A27,'Halo Infinite Stats'!$A:$AH,17,0)</f>
        <v>0</v>
      </c>
      <c r="R27" s="829">
        <f>IFERROR(VLOOKUP($A27,'Playoff Stats Pivot'!$A:$AE,15,0),"")+VLOOKUP($A27,'Halo Infinite Stats'!$A:$AH,18,0)</f>
        <v>20</v>
      </c>
      <c r="S27" s="829">
        <f>IFERROR(VLOOKUP($A27,'Playoff Stats Pivot'!$A:$AE,16,0),"")+VLOOKUP($A27,'Halo Infinite Stats'!$A:$AH,19,0)</f>
        <v>252</v>
      </c>
      <c r="T27" s="829">
        <f>IFERROR(VLOOKUP($A27,'Playoff Stats Pivot'!$A:$AE,17,0),"")+VLOOKUP($A27,'Halo Infinite Stats'!$A:$AH,20,0)</f>
        <v>89</v>
      </c>
      <c r="U27" s="829">
        <f>IFERROR(VLOOKUP($A27,'Playoff Stats Pivot'!$A:$AE,18,0),"")+VLOOKUP($A27,'Halo Infinite Stats'!$A:$AH,21,0)</f>
        <v>33</v>
      </c>
      <c r="V27" s="829">
        <f>IFERROR(VLOOKUP($A27,'Playoff Stats Pivot'!$A:$AE,19,0),"")+VLOOKUP($A27,'Halo Infinite Stats'!$A:$AH,22,0)</f>
        <v>6</v>
      </c>
      <c r="W27" s="829">
        <f>IFERROR(VLOOKUP($A27,'Playoff Stats Pivot'!$A:$AE,20,0),"")+VLOOKUP($A27,'Halo Infinite Stats'!$A:$AH,23,0)</f>
        <v>3</v>
      </c>
      <c r="X27" s="829">
        <f>IFERROR(VLOOKUP($A27,'Playoff Stats Pivot'!$A:$AE,21,0),"")+VLOOKUP($A27,'Halo Infinite Stats'!$A:$AH,24,0)</f>
        <v>0</v>
      </c>
      <c r="Y27" s="829">
        <f>IFERROR(VLOOKUP($A27,'Playoff Stats Pivot'!$A:$AE,22,0),"")+VLOOKUP($A27,'Halo Infinite Stats'!$A:$AH,25,0)</f>
        <v>0</v>
      </c>
      <c r="Z27" s="829">
        <f>IFERROR(VLOOKUP($A27,'Playoff Stats Pivot'!$A:$AE,23,0),"")+VLOOKUP($A27,'Halo Infinite Stats'!$A:$AH,26,0)</f>
        <v>0</v>
      </c>
      <c r="AA27" s="829">
        <f>IFERROR(VLOOKUP($A27,'Playoff Stats Pivot'!$A:$AE,24,0),"")+VLOOKUP($A27,'Halo Infinite Stats'!$A:$AH,27,0)</f>
        <v>0</v>
      </c>
      <c r="AB27" s="829">
        <f>IFERROR(VLOOKUP($A27,'Playoff Stats Pivot'!$A:$AE,25,0),"")+VLOOKUP($A27,'Halo Infinite Stats'!$A:$AH,28,0)</f>
        <v>3</v>
      </c>
      <c r="AC27" s="829">
        <f>IFERROR(VLOOKUP($A27,'Playoff Stats Pivot'!$A:$AE,26,0),"")+VLOOKUP($A27,'Halo Infinite Stats'!$A:$AH,29,0)</f>
        <v>224</v>
      </c>
      <c r="AD27" s="829">
        <f>IFERROR(VLOOKUP($A27,'Playoff Stats Pivot'!$A:$AE,27,0),"")+VLOOKUP($A27,'Halo Infinite Stats'!$A:$AH,30,0)</f>
        <v>0</v>
      </c>
      <c r="AE27" s="829">
        <f>IFERROR(VLOOKUP($A27,'Playoff Stats Pivot'!$A:$AE,28,0),"")+VLOOKUP($A27,'Halo Infinite Stats'!$A:$AH,31,0)</f>
        <v>0</v>
      </c>
      <c r="AF27" s="829">
        <f>IFERROR(VLOOKUP($A27,'Playoff Stats Pivot'!$A:$AE,29,0),"")+VLOOKUP($A27,'Halo Infinite Stats'!$A:$AH,32,0)</f>
        <v>0</v>
      </c>
      <c r="AG27" s="829">
        <f>IFERROR(VLOOKUP($A27,'Playoff Stats Pivot'!$A:$AE,30,0),"")+VLOOKUP($A27,'Halo Infinite Stats'!$A:$AH,33,0)</f>
        <v>10</v>
      </c>
      <c r="AH27" s="829">
        <f>IFERROR(VLOOKUP($A27,'Playoff Stats Pivot'!$A:$AE,31,0),"")+VLOOKUP($A27,'Halo Infinite Stats'!$A:$AH,34,0)</f>
        <v>3</v>
      </c>
      <c r="AI27" s="833">
        <f t="shared" si="4"/>
        <v>7.250474056</v>
      </c>
      <c r="AJ27" s="833">
        <f t="shared" si="5"/>
        <v>0.1963799345</v>
      </c>
      <c r="AK27" s="833">
        <f t="shared" si="6"/>
        <v>0.1241165316</v>
      </c>
      <c r="AL27" s="833">
        <f t="shared" si="10"/>
        <v>2.675469747</v>
      </c>
      <c r="AM27" s="833">
        <f t="shared" si="7"/>
        <v>1.619047619</v>
      </c>
      <c r="AN27" s="833">
        <f t="shared" si="11"/>
        <v>0.3301724138</v>
      </c>
      <c r="AO27" s="833">
        <f t="shared" si="8"/>
        <v>0.00499913808</v>
      </c>
      <c r="AP27" s="833">
        <f t="shared" si="9"/>
        <v>0.7550422341</v>
      </c>
      <c r="AQ27" s="833" t="s">
        <v>171</v>
      </c>
      <c r="AR27" s="834" t="s">
        <v>363</v>
      </c>
    </row>
    <row r="28">
      <c r="A28" s="837" t="s">
        <v>160</v>
      </c>
      <c r="B28" s="829">
        <f t="shared" si="1"/>
        <v>24</v>
      </c>
      <c r="C28" s="829">
        <f>IFERROR(VLOOKUP($A28,'Playoff Stats Pivot'!$A:$AE,2,0),0)+VLOOKUP($A28,'Halo Infinite Stats'!$A:$AH,3,0)</f>
        <v>17</v>
      </c>
      <c r="D28" s="829">
        <f>IFERROR(VLOOKUP($A28,'Playoff Stats Pivot'!$A:$AE,3,0),"")+VLOOKUP($A28,'Halo Infinite Stats'!$A:$AH,4,0)</f>
        <v>7</v>
      </c>
      <c r="E28" s="829">
        <f>IFERROR(VLOOKUP($A28,'Playoff Stats Pivot'!$A:$AE,4,0),"")+VLOOKUP($A28,'Halo Infinite Stats'!$A:$AH,5,0)</f>
        <v>14</v>
      </c>
      <c r="F28" s="829">
        <f>IFERROR(VLOOKUP($A28,'Playoff Stats Pivot'!$A:$AE,5,0),"")+VLOOKUP($A28,'Halo Infinite Stats'!$A:$AH,6,0)</f>
        <v>27</v>
      </c>
      <c r="G28" s="829">
        <f>IFERROR(VLOOKUP($A28,'Playoff Stats Pivot'!$A:$AE,6,0),"")+VLOOKUP($A28,'Halo Infinite Stats'!$A:$AH,7,0)</f>
        <v>1095</v>
      </c>
      <c r="H28" s="829">
        <f>IFERROR(VLOOKUP($A28,'Playoff Stats Pivot'!$A:$AE,7,0),"")+VLOOKUP($A28,'Halo Infinite Stats'!$A:$AH,8,0)</f>
        <v>1335</v>
      </c>
      <c r="I28" s="829">
        <f>IFERROR(VLOOKUP($A28,'Playoff Stats Pivot'!$A:$AE,8,0),"")+VLOOKUP($A28,'Halo Infinite Stats'!$A:$AH,9,0)</f>
        <v>-240</v>
      </c>
      <c r="J28" s="830">
        <f t="shared" si="2"/>
        <v>0.8202247191</v>
      </c>
      <c r="K28" s="829">
        <f>IFERROR(VLOOKUP($A28,'Playoff Stats Pivot'!$A:$AE,9,0),"")+VLOOKUP($A28,'Halo Infinite Stats'!$A:$AH,11,0)</f>
        <v>1</v>
      </c>
      <c r="L28" s="831">
        <f>IFERROR(VLOOKUP($A28,'Playoff Stats Pivot'!$A:$AE,10,0),"")+VLOOKUP($A28,'Halo Infinite Stats'!$A:$AH,12,0)</f>
        <v>22829</v>
      </c>
      <c r="M28" s="832">
        <f t="shared" si="3"/>
        <v>13.10037453</v>
      </c>
      <c r="N28" s="829">
        <f>IFERROR(VLOOKUP($A28,'Playoff Stats Pivot'!$A:$AE,11,0),"")+VLOOKUP($A28,'Halo Infinite Stats'!$A:$AH,14,0)</f>
        <v>10</v>
      </c>
      <c r="O28" s="829">
        <f>IFERROR(VLOOKUP($A28,'Playoff Stats Pivot'!$A:$AE,12,0),"")+VLOOKUP($A28,'Halo Infinite Stats'!$A:$AH,15,0)</f>
        <v>0</v>
      </c>
      <c r="P28" s="829">
        <f>IFERROR(VLOOKUP($A28,'Playoff Stats Pivot'!$A:$AE,13,0),"")+VLOOKUP($A28,'Halo Infinite Stats'!$A:$AH,16,0)</f>
        <v>0</v>
      </c>
      <c r="Q28" s="829">
        <f>IFERROR(VLOOKUP($A28,'Playoff Stats Pivot'!$A:$AE,14,0),"")+VLOOKUP($A28,'Halo Infinite Stats'!$A:$AH,17,0)</f>
        <v>0</v>
      </c>
      <c r="R28" s="829">
        <f>IFERROR(VLOOKUP($A28,'Playoff Stats Pivot'!$A:$AE,15,0),"")+VLOOKUP($A28,'Halo Infinite Stats'!$A:$AH,18,0)</f>
        <v>13</v>
      </c>
      <c r="S28" s="829">
        <f>IFERROR(VLOOKUP($A28,'Playoff Stats Pivot'!$A:$AE,16,0),"")+VLOOKUP($A28,'Halo Infinite Stats'!$A:$AH,19,0)</f>
        <v>165</v>
      </c>
      <c r="T28" s="829">
        <f>IFERROR(VLOOKUP($A28,'Playoff Stats Pivot'!$A:$AE,17,0),"")+VLOOKUP($A28,'Halo Infinite Stats'!$A:$AH,20,0)</f>
        <v>33</v>
      </c>
      <c r="U28" s="829">
        <f>IFERROR(VLOOKUP($A28,'Playoff Stats Pivot'!$A:$AE,18,0),"")+VLOOKUP($A28,'Halo Infinite Stats'!$A:$AH,21,0)</f>
        <v>9</v>
      </c>
      <c r="V28" s="829">
        <f>IFERROR(VLOOKUP($A28,'Playoff Stats Pivot'!$A:$AE,19,0),"")+VLOOKUP($A28,'Halo Infinite Stats'!$A:$AH,22,0)</f>
        <v>3</v>
      </c>
      <c r="W28" s="829">
        <f>IFERROR(VLOOKUP($A28,'Playoff Stats Pivot'!$A:$AE,20,0),"")+VLOOKUP($A28,'Halo Infinite Stats'!$A:$AH,23,0)</f>
        <v>1</v>
      </c>
      <c r="X28" s="829">
        <f>IFERROR(VLOOKUP($A28,'Playoff Stats Pivot'!$A:$AE,21,0),"")+VLOOKUP($A28,'Halo Infinite Stats'!$A:$AH,24,0)</f>
        <v>0</v>
      </c>
      <c r="Y28" s="829">
        <f>IFERROR(VLOOKUP($A28,'Playoff Stats Pivot'!$A:$AE,22,0),"")+VLOOKUP($A28,'Halo Infinite Stats'!$A:$AH,25,0)</f>
        <v>0</v>
      </c>
      <c r="Z28" s="829">
        <f>IFERROR(VLOOKUP($A28,'Playoff Stats Pivot'!$A:$AE,23,0),"")+VLOOKUP($A28,'Halo Infinite Stats'!$A:$AH,26,0)</f>
        <v>0</v>
      </c>
      <c r="AA28" s="829">
        <f>IFERROR(VLOOKUP($A28,'Playoff Stats Pivot'!$A:$AE,24,0),"")+VLOOKUP($A28,'Halo Infinite Stats'!$A:$AH,27,0)</f>
        <v>0</v>
      </c>
      <c r="AB28" s="829">
        <f>IFERROR(VLOOKUP($A28,'Playoff Stats Pivot'!$A:$AE,25,0),"")+VLOOKUP($A28,'Halo Infinite Stats'!$A:$AH,28,0)</f>
        <v>0</v>
      </c>
      <c r="AC28" s="829">
        <f>IFERROR(VLOOKUP($A28,'Playoff Stats Pivot'!$A:$AE,26,0),"")+VLOOKUP($A28,'Halo Infinite Stats'!$A:$AH,29,0)</f>
        <v>120</v>
      </c>
      <c r="AD28" s="829">
        <f>IFERROR(VLOOKUP($A28,'Playoff Stats Pivot'!$A:$AE,27,0),"")+VLOOKUP($A28,'Halo Infinite Stats'!$A:$AH,30,0)</f>
        <v>0</v>
      </c>
      <c r="AE28" s="829">
        <f>IFERROR(VLOOKUP($A28,'Playoff Stats Pivot'!$A:$AE,28,0),"")+VLOOKUP($A28,'Halo Infinite Stats'!$A:$AH,31,0)</f>
        <v>0</v>
      </c>
      <c r="AF28" s="829">
        <f>IFERROR(VLOOKUP($A28,'Playoff Stats Pivot'!$A:$AE,29,0),"")+VLOOKUP($A28,'Halo Infinite Stats'!$A:$AH,32,0)</f>
        <v>2</v>
      </c>
      <c r="AG28" s="829">
        <f>IFERROR(VLOOKUP($A28,'Playoff Stats Pivot'!$A:$AE,30,0),"")+VLOOKUP($A28,'Halo Infinite Stats'!$A:$AH,33,0)</f>
        <v>8</v>
      </c>
      <c r="AH28" s="829">
        <f>IFERROR(VLOOKUP($A28,'Playoff Stats Pivot'!$A:$AE,31,0),"")+VLOOKUP($A28,'Halo Infinite Stats'!$A:$AH,34,0)</f>
        <v>0</v>
      </c>
      <c r="AI28" s="836">
        <f t="shared" si="4"/>
        <v>6.389241754</v>
      </c>
      <c r="AJ28" s="836">
        <f t="shared" si="5"/>
        <v>0.06938543081</v>
      </c>
      <c r="AK28" s="836">
        <f t="shared" si="6"/>
        <v>0.02628236016</v>
      </c>
      <c r="AL28" s="833">
        <f t="shared" si="10"/>
        <v>0.1489364663</v>
      </c>
      <c r="AM28" s="836">
        <f t="shared" si="7"/>
        <v>0.5833333333</v>
      </c>
      <c r="AN28" s="836">
        <f t="shared" si="11"/>
        <v>0.1926940639</v>
      </c>
      <c r="AO28" s="833">
        <f t="shared" si="8"/>
        <v>0.001182706207</v>
      </c>
      <c r="AP28" s="833">
        <f t="shared" si="9"/>
        <v>-0.6281484077</v>
      </c>
      <c r="AQ28" s="833" t="s">
        <v>338</v>
      </c>
      <c r="AR28" s="834" t="s">
        <v>364</v>
      </c>
    </row>
    <row r="29">
      <c r="A29" s="838" t="s">
        <v>74</v>
      </c>
      <c r="B29" s="829">
        <f t="shared" si="1"/>
        <v>18</v>
      </c>
      <c r="C29" s="829">
        <f>IFERROR(VLOOKUP($A29,'Playoff Stats Pivot'!$A:$AE,2,0),0)+VLOOKUP($A29,'Halo Infinite Stats'!$A:$AH,3,0)</f>
        <v>11</v>
      </c>
      <c r="D29" s="829">
        <f>IFERROR(VLOOKUP($A29,'Playoff Stats Pivot'!$A:$AE,3,0),"")+VLOOKUP($A29,'Halo Infinite Stats'!$A:$AH,4,0)</f>
        <v>7</v>
      </c>
      <c r="E29" s="829">
        <f>IFERROR(VLOOKUP($A29,'Playoff Stats Pivot'!$A:$AE,4,0),"")+VLOOKUP($A29,'Halo Infinite Stats'!$A:$AH,5,0)</f>
        <v>15</v>
      </c>
      <c r="F29" s="829">
        <f>IFERROR(VLOOKUP($A29,'Playoff Stats Pivot'!$A:$AE,5,0),"")+VLOOKUP($A29,'Halo Infinite Stats'!$A:$AH,6,0)</f>
        <v>27</v>
      </c>
      <c r="G29" s="829">
        <f>IFERROR(VLOOKUP($A29,'Playoff Stats Pivot'!$A:$AE,6,0),"")+VLOOKUP($A29,'Halo Infinite Stats'!$A:$AH,7,0)</f>
        <v>947</v>
      </c>
      <c r="H29" s="829">
        <f>IFERROR(VLOOKUP($A29,'Playoff Stats Pivot'!$A:$AE,7,0),"")+VLOOKUP($A29,'Halo Infinite Stats'!$A:$AH,8,0)</f>
        <v>1155</v>
      </c>
      <c r="I29" s="829">
        <f>IFERROR(VLOOKUP($A29,'Playoff Stats Pivot'!$A:$AE,8,0),"")+VLOOKUP($A29,'Halo Infinite Stats'!$A:$AH,9,0)</f>
        <v>-208</v>
      </c>
      <c r="J29" s="830">
        <f t="shared" si="2"/>
        <v>0.8199134199</v>
      </c>
      <c r="K29" s="829">
        <f>IFERROR(VLOOKUP($A29,'Playoff Stats Pivot'!$A:$AE,9,0),"")+VLOOKUP($A29,'Halo Infinite Stats'!$A:$AH,11,0)</f>
        <v>1</v>
      </c>
      <c r="L29" s="831">
        <f>IFERROR(VLOOKUP($A29,'Playoff Stats Pivot'!$A:$AE,10,0),"")+VLOOKUP($A29,'Halo Infinite Stats'!$A:$AH,12,0)</f>
        <v>18029</v>
      </c>
      <c r="M29" s="832">
        <f t="shared" si="3"/>
        <v>11.60952381</v>
      </c>
      <c r="N29" s="829">
        <f>IFERROR(VLOOKUP($A29,'Playoff Stats Pivot'!$A:$AE,11,0),"")+VLOOKUP($A29,'Halo Infinite Stats'!$A:$AH,14,0)</f>
        <v>18</v>
      </c>
      <c r="O29" s="829">
        <f>IFERROR(VLOOKUP($A29,'Playoff Stats Pivot'!$A:$AE,12,0),"")+VLOOKUP($A29,'Halo Infinite Stats'!$A:$AH,15,0)</f>
        <v>0</v>
      </c>
      <c r="P29" s="829">
        <f>IFERROR(VLOOKUP($A29,'Playoff Stats Pivot'!$A:$AE,13,0),"")+VLOOKUP($A29,'Halo Infinite Stats'!$A:$AH,16,0)</f>
        <v>0</v>
      </c>
      <c r="Q29" s="829">
        <f>IFERROR(VLOOKUP($A29,'Playoff Stats Pivot'!$A:$AE,14,0),"")+VLOOKUP($A29,'Halo Infinite Stats'!$A:$AH,17,0)</f>
        <v>0</v>
      </c>
      <c r="R29" s="829">
        <f>IFERROR(VLOOKUP($A29,'Playoff Stats Pivot'!$A:$AE,15,0),"")+VLOOKUP($A29,'Halo Infinite Stats'!$A:$AH,18,0)</f>
        <v>25</v>
      </c>
      <c r="S29" s="829">
        <f>IFERROR(VLOOKUP($A29,'Playoff Stats Pivot'!$A:$AE,16,0),"")+VLOOKUP($A29,'Halo Infinite Stats'!$A:$AH,19,0)</f>
        <v>168</v>
      </c>
      <c r="T29" s="829">
        <f>IFERROR(VLOOKUP($A29,'Playoff Stats Pivot'!$A:$AE,17,0),"")+VLOOKUP($A29,'Halo Infinite Stats'!$A:$AH,20,0)</f>
        <v>48</v>
      </c>
      <c r="U29" s="829">
        <f>IFERROR(VLOOKUP($A29,'Playoff Stats Pivot'!$A:$AE,18,0),"")+VLOOKUP($A29,'Halo Infinite Stats'!$A:$AH,21,0)</f>
        <v>12</v>
      </c>
      <c r="V29" s="829">
        <f>IFERROR(VLOOKUP($A29,'Playoff Stats Pivot'!$A:$AE,19,0),"")+VLOOKUP($A29,'Halo Infinite Stats'!$A:$AH,22,0)</f>
        <v>4</v>
      </c>
      <c r="W29" s="829">
        <f>IFERROR(VLOOKUP($A29,'Playoff Stats Pivot'!$A:$AE,20,0),"")+VLOOKUP($A29,'Halo Infinite Stats'!$A:$AH,23,0)</f>
        <v>1</v>
      </c>
      <c r="X29" s="829">
        <f>IFERROR(VLOOKUP($A29,'Playoff Stats Pivot'!$A:$AE,21,0),"")+VLOOKUP($A29,'Halo Infinite Stats'!$A:$AH,24,0)</f>
        <v>0</v>
      </c>
      <c r="Y29" s="829">
        <f>IFERROR(VLOOKUP($A29,'Playoff Stats Pivot'!$A:$AE,22,0),"")+VLOOKUP($A29,'Halo Infinite Stats'!$A:$AH,25,0)</f>
        <v>0</v>
      </c>
      <c r="Z29" s="829">
        <f>IFERROR(VLOOKUP($A29,'Playoff Stats Pivot'!$A:$AE,23,0),"")+VLOOKUP($A29,'Halo Infinite Stats'!$A:$AH,26,0)</f>
        <v>0</v>
      </c>
      <c r="AA29" s="829">
        <f>IFERROR(VLOOKUP($A29,'Playoff Stats Pivot'!$A:$AE,24,0),"")+VLOOKUP($A29,'Halo Infinite Stats'!$A:$AH,27,0)</f>
        <v>0</v>
      </c>
      <c r="AB29" s="829">
        <f>IFERROR(VLOOKUP($A29,'Playoff Stats Pivot'!$A:$AE,25,0),"")+VLOOKUP($A29,'Halo Infinite Stats'!$A:$AH,28,0)</f>
        <v>0</v>
      </c>
      <c r="AC29" s="829">
        <f>IFERROR(VLOOKUP($A29,'Playoff Stats Pivot'!$A:$AE,26,0),"")+VLOOKUP($A29,'Halo Infinite Stats'!$A:$AH,29,0)</f>
        <v>136</v>
      </c>
      <c r="AD29" s="829">
        <f>IFERROR(VLOOKUP($A29,'Playoff Stats Pivot'!$A:$AE,27,0),"")+VLOOKUP($A29,'Halo Infinite Stats'!$A:$AH,30,0)</f>
        <v>0</v>
      </c>
      <c r="AE29" s="829">
        <f>IFERROR(VLOOKUP($A29,'Playoff Stats Pivot'!$A:$AE,28,0),"")+VLOOKUP($A29,'Halo Infinite Stats'!$A:$AH,31,0)</f>
        <v>0</v>
      </c>
      <c r="AF29" s="829">
        <f>IFERROR(VLOOKUP($A29,'Playoff Stats Pivot'!$A:$AE,29,0),"")+VLOOKUP($A29,'Halo Infinite Stats'!$A:$AH,32,0)</f>
        <v>0</v>
      </c>
      <c r="AG29" s="829">
        <f>IFERROR(VLOOKUP($A29,'Playoff Stats Pivot'!$A:$AE,30,0),"")+VLOOKUP($A29,'Halo Infinite Stats'!$A:$AH,33,0)</f>
        <v>16</v>
      </c>
      <c r="AH29" s="829">
        <f>IFERROR(VLOOKUP($A29,'Playoff Stats Pivot'!$A:$AE,31,0),"")+VLOOKUP($A29,'Halo Infinite Stats'!$A:$AH,34,0)</f>
        <v>1</v>
      </c>
      <c r="AI29" s="833">
        <f t="shared" si="4"/>
        <v>6.998724278</v>
      </c>
      <c r="AJ29" s="833">
        <f t="shared" si="5"/>
        <v>0.09904043485</v>
      </c>
      <c r="AK29" s="833">
        <f t="shared" si="6"/>
        <v>0.05990348882</v>
      </c>
      <c r="AL29" s="833">
        <f t="shared" si="10"/>
        <v>0.4990293416</v>
      </c>
      <c r="AM29" s="833">
        <f t="shared" si="7"/>
        <v>0.8333333333</v>
      </c>
      <c r="AN29" s="833">
        <f t="shared" si="11"/>
        <v>0.2460401267</v>
      </c>
      <c r="AO29" s="833">
        <f t="shared" si="8"/>
        <v>0.001497587221</v>
      </c>
      <c r="AP29" s="833">
        <f t="shared" si="9"/>
        <v>-0.6888901215</v>
      </c>
      <c r="AQ29" s="833" t="s">
        <v>336</v>
      </c>
      <c r="AR29" s="834" t="s">
        <v>365</v>
      </c>
    </row>
    <row r="30">
      <c r="A30" s="837" t="s">
        <v>40</v>
      </c>
      <c r="B30" s="829">
        <f t="shared" si="1"/>
        <v>16</v>
      </c>
      <c r="C30" s="829">
        <f>IFERROR(VLOOKUP($A30,'Playoff Stats Pivot'!$A:$AE,2,0),0)+VLOOKUP($A30,'Halo Infinite Stats'!$A:$AH,3,0)</f>
        <v>2</v>
      </c>
      <c r="D30" s="829">
        <f>IFERROR(VLOOKUP($A30,'Playoff Stats Pivot'!$A:$AE,3,0),"")+VLOOKUP($A30,'Halo Infinite Stats'!$A:$AH,4,0)</f>
        <v>14</v>
      </c>
      <c r="E30" s="829">
        <f>IFERROR(VLOOKUP($A30,'Playoff Stats Pivot'!$A:$AE,4,0),"")+VLOOKUP($A30,'Halo Infinite Stats'!$A:$AH,5,0)</f>
        <v>4</v>
      </c>
      <c r="F30" s="829">
        <f>IFERROR(VLOOKUP($A30,'Playoff Stats Pivot'!$A:$AE,5,0),"")+VLOOKUP($A30,'Halo Infinite Stats'!$A:$AH,6,0)</f>
        <v>16</v>
      </c>
      <c r="G30" s="829">
        <f>IFERROR(VLOOKUP($A30,'Playoff Stats Pivot'!$A:$AE,6,0),"")+VLOOKUP($A30,'Halo Infinite Stats'!$A:$AH,7,0)</f>
        <v>371</v>
      </c>
      <c r="H30" s="829">
        <f>IFERROR(VLOOKUP($A30,'Playoff Stats Pivot'!$A:$AE,7,0),"")+VLOOKUP($A30,'Halo Infinite Stats'!$A:$AH,8,0)</f>
        <v>721</v>
      </c>
      <c r="I30" s="829">
        <f>IFERROR(VLOOKUP($A30,'Playoff Stats Pivot'!$A:$AE,8,0),"")+VLOOKUP($A30,'Halo Infinite Stats'!$A:$AH,9,0)</f>
        <v>-350</v>
      </c>
      <c r="J30" s="830">
        <f t="shared" si="2"/>
        <v>0.5145631068</v>
      </c>
      <c r="K30" s="829">
        <f>IFERROR(VLOOKUP($A30,'Playoff Stats Pivot'!$A:$AE,9,0),"")+VLOOKUP($A30,'Halo Infinite Stats'!$A:$AH,11,0)</f>
        <v>2</v>
      </c>
      <c r="L30" s="831">
        <f>IFERROR(VLOOKUP($A30,'Playoff Stats Pivot'!$A:$AE,10,0),"")+VLOOKUP($A30,'Halo Infinite Stats'!$A:$AH,12,0)</f>
        <v>11954</v>
      </c>
      <c r="M30" s="832">
        <f t="shared" si="3"/>
        <v>12.57975035</v>
      </c>
      <c r="N30" s="829">
        <f>IFERROR(VLOOKUP($A30,'Playoff Stats Pivot'!$A:$AE,11,0),"")+VLOOKUP($A30,'Halo Infinite Stats'!$A:$AH,14,0)</f>
        <v>1</v>
      </c>
      <c r="O30" s="829">
        <f>IFERROR(VLOOKUP($A30,'Playoff Stats Pivot'!$A:$AE,12,0),"")+VLOOKUP($A30,'Halo Infinite Stats'!$A:$AH,15,0)</f>
        <v>0</v>
      </c>
      <c r="P30" s="829">
        <f>IFERROR(VLOOKUP($A30,'Playoff Stats Pivot'!$A:$AE,13,0),"")+VLOOKUP($A30,'Halo Infinite Stats'!$A:$AH,16,0)</f>
        <v>0</v>
      </c>
      <c r="Q30" s="829">
        <f>IFERROR(VLOOKUP($A30,'Playoff Stats Pivot'!$A:$AE,14,0),"")+VLOOKUP($A30,'Halo Infinite Stats'!$A:$AH,17,0)</f>
        <v>0</v>
      </c>
      <c r="R30" s="829">
        <f>IFERROR(VLOOKUP($A30,'Playoff Stats Pivot'!$A:$AE,15,0),"")+VLOOKUP($A30,'Halo Infinite Stats'!$A:$AH,18,0)</f>
        <v>1</v>
      </c>
      <c r="S30" s="829">
        <f>IFERROR(VLOOKUP($A30,'Playoff Stats Pivot'!$A:$AE,16,0),"")+VLOOKUP($A30,'Halo Infinite Stats'!$A:$AH,19,0)</f>
        <v>24</v>
      </c>
      <c r="T30" s="829">
        <f>IFERROR(VLOOKUP($A30,'Playoff Stats Pivot'!$A:$AE,17,0),"")+VLOOKUP($A30,'Halo Infinite Stats'!$A:$AH,20,0)</f>
        <v>6</v>
      </c>
      <c r="U30" s="829">
        <f>IFERROR(VLOOKUP($A30,'Playoff Stats Pivot'!$A:$AE,18,0),"")+VLOOKUP($A30,'Halo Infinite Stats'!$A:$AH,21,0)</f>
        <v>1</v>
      </c>
      <c r="V30" s="829">
        <f>IFERROR(VLOOKUP($A30,'Playoff Stats Pivot'!$A:$AE,19,0),"")+VLOOKUP($A30,'Halo Infinite Stats'!$A:$AH,22,0)</f>
        <v>0</v>
      </c>
      <c r="W30" s="829">
        <f>IFERROR(VLOOKUP($A30,'Playoff Stats Pivot'!$A:$AE,20,0),"")+VLOOKUP($A30,'Halo Infinite Stats'!$A:$AH,23,0)</f>
        <v>0</v>
      </c>
      <c r="X30" s="829">
        <f>IFERROR(VLOOKUP($A30,'Playoff Stats Pivot'!$A:$AE,21,0),"")+VLOOKUP($A30,'Halo Infinite Stats'!$A:$AH,24,0)</f>
        <v>0</v>
      </c>
      <c r="Y30" s="829">
        <f>IFERROR(VLOOKUP($A30,'Playoff Stats Pivot'!$A:$AE,22,0),"")+VLOOKUP($A30,'Halo Infinite Stats'!$A:$AH,25,0)</f>
        <v>0</v>
      </c>
      <c r="Z30" s="829">
        <f>IFERROR(VLOOKUP($A30,'Playoff Stats Pivot'!$A:$AE,23,0),"")+VLOOKUP($A30,'Halo Infinite Stats'!$A:$AH,26,0)</f>
        <v>0</v>
      </c>
      <c r="AA30" s="829">
        <f>IFERROR(VLOOKUP($A30,'Playoff Stats Pivot'!$A:$AE,24,0),"")+VLOOKUP($A30,'Halo Infinite Stats'!$A:$AH,27,0)</f>
        <v>0</v>
      </c>
      <c r="AB30" s="829">
        <f>IFERROR(VLOOKUP($A30,'Playoff Stats Pivot'!$A:$AE,25,0),"")+VLOOKUP($A30,'Halo Infinite Stats'!$A:$AH,28,0)</f>
        <v>0</v>
      </c>
      <c r="AC30" s="829">
        <f>IFERROR(VLOOKUP($A30,'Playoff Stats Pivot'!$A:$AE,26,0),"")+VLOOKUP($A30,'Halo Infinite Stats'!$A:$AH,29,0)</f>
        <v>27</v>
      </c>
      <c r="AD30" s="829">
        <f>IFERROR(VLOOKUP($A30,'Playoff Stats Pivot'!$A:$AE,27,0),"")+VLOOKUP($A30,'Halo Infinite Stats'!$A:$AH,30,0)</f>
        <v>0</v>
      </c>
      <c r="AE30" s="829">
        <f>IFERROR(VLOOKUP($A30,'Playoff Stats Pivot'!$A:$AE,28,0),"")+VLOOKUP($A30,'Halo Infinite Stats'!$A:$AH,31,0)</f>
        <v>0</v>
      </c>
      <c r="AF30" s="829">
        <f>IFERROR(VLOOKUP($A30,'Playoff Stats Pivot'!$A:$AE,29,0),"")+VLOOKUP($A30,'Halo Infinite Stats'!$A:$AH,32,0)</f>
        <v>0</v>
      </c>
      <c r="AG30" s="829">
        <f>IFERROR(VLOOKUP($A30,'Playoff Stats Pivot'!$A:$AE,30,0),"")+VLOOKUP($A30,'Halo Infinite Stats'!$A:$AH,33,0)</f>
        <v>9</v>
      </c>
      <c r="AH30" s="829">
        <f>IFERROR(VLOOKUP($A30,'Playoff Stats Pivot'!$A:$AE,31,0),"")+VLOOKUP($A30,'Halo Infinite Stats'!$A:$AH,34,0)</f>
        <v>0</v>
      </c>
      <c r="AI30" s="836">
        <f t="shared" si="4"/>
        <v>5.491049021</v>
      </c>
      <c r="AJ30" s="836">
        <f t="shared" si="5"/>
        <v>0.03272544755</v>
      </c>
      <c r="AK30" s="836">
        <f t="shared" si="6"/>
        <v>0.005019240422</v>
      </c>
      <c r="AL30" s="833">
        <f t="shared" si="10"/>
        <v>-1.191099214</v>
      </c>
      <c r="AM30" s="836">
        <f t="shared" si="7"/>
        <v>0.25</v>
      </c>
      <c r="AN30" s="836">
        <f t="shared" si="11"/>
        <v>0.08355795148</v>
      </c>
      <c r="AO30" s="833">
        <f t="shared" si="8"/>
        <v>0.001338464112</v>
      </c>
      <c r="AP30" s="833">
        <f t="shared" si="9"/>
        <v>-1.746695667</v>
      </c>
      <c r="AQ30" s="833" t="s">
        <v>171</v>
      </c>
      <c r="AR30" s="834" t="s">
        <v>366</v>
      </c>
    </row>
    <row r="31">
      <c r="A31" s="838" t="s">
        <v>78</v>
      </c>
      <c r="B31" s="829">
        <f t="shared" si="1"/>
        <v>5</v>
      </c>
      <c r="C31" s="829">
        <f>IFERROR(VLOOKUP($A31,'Playoff Stats Pivot'!$A:$AE,2,0),0)+VLOOKUP($A31,'Halo Infinite Stats'!$A:$AH,3,0)</f>
        <v>0</v>
      </c>
      <c r="D31" s="829">
        <f>IFERROR(VLOOKUP($A31,'Playoff Stats Pivot'!$A:$AE,3,0),"")+VLOOKUP($A31,'Halo Infinite Stats'!$A:$AH,4,0)</f>
        <v>5</v>
      </c>
      <c r="E31" s="829">
        <f>IFERROR(VLOOKUP($A31,'Playoff Stats Pivot'!$A:$AE,4,0),"")+VLOOKUP($A31,'Halo Infinite Stats'!$A:$AH,5,0)</f>
        <v>1</v>
      </c>
      <c r="F31" s="829">
        <f>IFERROR(VLOOKUP($A31,'Playoff Stats Pivot'!$A:$AE,5,0),"")+VLOOKUP($A31,'Halo Infinite Stats'!$A:$AH,6,0)</f>
        <v>2</v>
      </c>
      <c r="G31" s="829">
        <f>IFERROR(VLOOKUP($A31,'Playoff Stats Pivot'!$A:$AE,6,0),"")+VLOOKUP($A31,'Halo Infinite Stats'!$A:$AH,7,0)</f>
        <v>145</v>
      </c>
      <c r="H31" s="829">
        <f>IFERROR(VLOOKUP($A31,'Playoff Stats Pivot'!$A:$AE,7,0),"")+VLOOKUP($A31,'Halo Infinite Stats'!$A:$AH,8,0)</f>
        <v>188</v>
      </c>
      <c r="I31" s="829">
        <f>IFERROR(VLOOKUP($A31,'Playoff Stats Pivot'!$A:$AE,8,0),"")+VLOOKUP($A31,'Halo Infinite Stats'!$A:$AH,9,0)</f>
        <v>-43</v>
      </c>
      <c r="J31" s="830">
        <f t="shared" si="2"/>
        <v>0.7712765957</v>
      </c>
      <c r="K31" s="829">
        <f>IFERROR(VLOOKUP($A31,'Playoff Stats Pivot'!$A:$AE,9,0),"")+VLOOKUP($A31,'Halo Infinite Stats'!$A:$AH,11,0)</f>
        <v>1</v>
      </c>
      <c r="L31" s="831">
        <f>IFERROR(VLOOKUP($A31,'Playoff Stats Pivot'!$A:$AE,10,0),"")+VLOOKUP($A31,'Halo Infinite Stats'!$A:$AH,12,0)</f>
        <v>3189</v>
      </c>
      <c r="M31" s="832">
        <f t="shared" si="3"/>
        <v>12.96276596</v>
      </c>
      <c r="N31" s="829">
        <f>IFERROR(VLOOKUP($A31,'Playoff Stats Pivot'!$A:$AE,11,0),"")+VLOOKUP($A31,'Halo Infinite Stats'!$A:$AH,14,0)</f>
        <v>3</v>
      </c>
      <c r="O31" s="829">
        <f>IFERROR(VLOOKUP($A31,'Playoff Stats Pivot'!$A:$AE,12,0),"")+VLOOKUP($A31,'Halo Infinite Stats'!$A:$AH,15,0)</f>
        <v>0</v>
      </c>
      <c r="P31" s="829">
        <f>IFERROR(VLOOKUP($A31,'Playoff Stats Pivot'!$A:$AE,13,0),"")+VLOOKUP($A31,'Halo Infinite Stats'!$A:$AH,16,0)</f>
        <v>0</v>
      </c>
      <c r="Q31" s="829">
        <f>IFERROR(VLOOKUP($A31,'Playoff Stats Pivot'!$A:$AE,14,0),"")+VLOOKUP($A31,'Halo Infinite Stats'!$A:$AH,17,0)</f>
        <v>0</v>
      </c>
      <c r="R31" s="829">
        <f>IFERROR(VLOOKUP($A31,'Playoff Stats Pivot'!$A:$AE,15,0),"")+VLOOKUP($A31,'Halo Infinite Stats'!$A:$AH,18,0)</f>
        <v>0</v>
      </c>
      <c r="S31" s="829">
        <f>IFERROR(VLOOKUP($A31,'Playoff Stats Pivot'!$A:$AE,16,0),"")+VLOOKUP($A31,'Halo Infinite Stats'!$A:$AH,19,0)</f>
        <v>18</v>
      </c>
      <c r="T31" s="829">
        <f>IFERROR(VLOOKUP($A31,'Playoff Stats Pivot'!$A:$AE,17,0),"")+VLOOKUP($A31,'Halo Infinite Stats'!$A:$AH,20,0)</f>
        <v>8</v>
      </c>
      <c r="U31" s="829">
        <f>IFERROR(VLOOKUP($A31,'Playoff Stats Pivot'!$A:$AE,18,0),"")+VLOOKUP($A31,'Halo Infinite Stats'!$A:$AH,21,0)</f>
        <v>3</v>
      </c>
      <c r="V31" s="829">
        <f>IFERROR(VLOOKUP($A31,'Playoff Stats Pivot'!$A:$AE,19,0),"")+VLOOKUP($A31,'Halo Infinite Stats'!$A:$AH,22,0)</f>
        <v>1</v>
      </c>
      <c r="W31" s="829">
        <f>IFERROR(VLOOKUP($A31,'Playoff Stats Pivot'!$A:$AE,20,0),"")+VLOOKUP($A31,'Halo Infinite Stats'!$A:$AH,23,0)</f>
        <v>1</v>
      </c>
      <c r="X31" s="829">
        <f>IFERROR(VLOOKUP($A31,'Playoff Stats Pivot'!$A:$AE,21,0),"")+VLOOKUP($A31,'Halo Infinite Stats'!$A:$AH,24,0)</f>
        <v>1</v>
      </c>
      <c r="Y31" s="829">
        <f>IFERROR(VLOOKUP($A31,'Playoff Stats Pivot'!$A:$AE,22,0),"")+VLOOKUP($A31,'Halo Infinite Stats'!$A:$AH,25,0)</f>
        <v>0</v>
      </c>
      <c r="Z31" s="829">
        <f>IFERROR(VLOOKUP($A31,'Playoff Stats Pivot'!$A:$AE,23,0),"")+VLOOKUP($A31,'Halo Infinite Stats'!$A:$AH,26,0)</f>
        <v>0</v>
      </c>
      <c r="AA31" s="829">
        <f>IFERROR(VLOOKUP($A31,'Playoff Stats Pivot'!$A:$AE,24,0),"")+VLOOKUP($A31,'Halo Infinite Stats'!$A:$AH,27,0)</f>
        <v>0</v>
      </c>
      <c r="AB31" s="829">
        <f>IFERROR(VLOOKUP($A31,'Playoff Stats Pivot'!$A:$AE,25,0),"")+VLOOKUP($A31,'Halo Infinite Stats'!$A:$AH,28,0)</f>
        <v>0</v>
      </c>
      <c r="AC31" s="829">
        <f>IFERROR(VLOOKUP($A31,'Playoff Stats Pivot'!$A:$AE,26,0),"")+VLOOKUP($A31,'Halo Infinite Stats'!$A:$AH,29,0)</f>
        <v>7</v>
      </c>
      <c r="AD31" s="829">
        <f>IFERROR(VLOOKUP($A31,'Playoff Stats Pivot'!$A:$AE,27,0),"")+VLOOKUP($A31,'Halo Infinite Stats'!$A:$AH,30,0)</f>
        <v>0</v>
      </c>
      <c r="AE31" s="829">
        <f>IFERROR(VLOOKUP($A31,'Playoff Stats Pivot'!$A:$AE,28,0),"")+VLOOKUP($A31,'Halo Infinite Stats'!$A:$AH,31,0)</f>
        <v>0</v>
      </c>
      <c r="AF31" s="829">
        <f>IFERROR(VLOOKUP($A31,'Playoff Stats Pivot'!$A:$AE,29,0),"")+VLOOKUP($A31,'Halo Infinite Stats'!$A:$AH,32,0)</f>
        <v>0</v>
      </c>
      <c r="AG31" s="829">
        <f>IFERROR(VLOOKUP($A31,'Playoff Stats Pivot'!$A:$AE,30,0),"")+VLOOKUP($A31,'Halo Infinite Stats'!$A:$AH,33,0)</f>
        <v>1</v>
      </c>
      <c r="AH31" s="829">
        <f>IFERROR(VLOOKUP($A31,'Playoff Stats Pivot'!$A:$AE,31,0),"")+VLOOKUP($A31,'Halo Infinite Stats'!$A:$AH,34,0)</f>
        <v>2</v>
      </c>
      <c r="AI31" s="833">
        <f t="shared" si="4"/>
        <v>6.284101599</v>
      </c>
      <c r="AJ31" s="833">
        <f t="shared" si="5"/>
        <v>0.03537158984</v>
      </c>
      <c r="AK31" s="833">
        <f t="shared" si="6"/>
        <v>0.05644402634</v>
      </c>
      <c r="AL31" s="833">
        <f t="shared" si="10"/>
        <v>-0.1505174036</v>
      </c>
      <c r="AM31" s="833">
        <f t="shared" si="7"/>
        <v>0.2</v>
      </c>
      <c r="AN31" s="833">
        <f t="shared" si="11"/>
        <v>0.2206896552</v>
      </c>
      <c r="AO31" s="833">
        <f t="shared" si="8"/>
        <v>0.0006271558482</v>
      </c>
      <c r="AP31" s="833">
        <f t="shared" si="9"/>
        <v>-0.7902163688</v>
      </c>
      <c r="AQ31" s="833" t="s">
        <v>338</v>
      </c>
      <c r="AR31" s="834" t="s">
        <v>367</v>
      </c>
    </row>
    <row r="32">
      <c r="A32" s="850" t="s">
        <v>93</v>
      </c>
      <c r="B32" s="829">
        <f t="shared" si="1"/>
        <v>26</v>
      </c>
      <c r="C32" s="829">
        <f>IFERROR(VLOOKUP($A32,'Playoff Stats Pivot'!$A:$AE,2,0),0)+VLOOKUP($A32,'Halo Infinite Stats'!$A:$AH,3,0)</f>
        <v>15</v>
      </c>
      <c r="D32" s="829">
        <f>IFERROR(VLOOKUP($A32,'Playoff Stats Pivot'!$A:$AE,3,0),"")+VLOOKUP($A32,'Halo Infinite Stats'!$A:$AH,4,0)</f>
        <v>11</v>
      </c>
      <c r="E32" s="829">
        <f>IFERROR(VLOOKUP($A32,'Playoff Stats Pivot'!$A:$AE,4,0),"")+VLOOKUP($A32,'Halo Infinite Stats'!$A:$AH,5,0)</f>
        <v>7</v>
      </c>
      <c r="F32" s="829">
        <f>IFERROR(VLOOKUP($A32,'Playoff Stats Pivot'!$A:$AE,5,0),"")+VLOOKUP($A32,'Halo Infinite Stats'!$A:$AH,6,0)</f>
        <v>17</v>
      </c>
      <c r="G32" s="829">
        <f>IFERROR(VLOOKUP($A32,'Playoff Stats Pivot'!$A:$AE,6,0),"")+VLOOKUP($A32,'Halo Infinite Stats'!$A:$AH,7,0)</f>
        <v>1098</v>
      </c>
      <c r="H32" s="829">
        <f>IFERROR(VLOOKUP($A32,'Playoff Stats Pivot'!$A:$AE,7,0),"")+VLOOKUP($A32,'Halo Infinite Stats'!$A:$AH,8,0)</f>
        <v>1366</v>
      </c>
      <c r="I32" s="829">
        <f>IFERROR(VLOOKUP($A32,'Playoff Stats Pivot'!$A:$AE,8,0),"")+VLOOKUP($A32,'Halo Infinite Stats'!$A:$AH,9,0)</f>
        <v>-268</v>
      </c>
      <c r="J32" s="830">
        <f t="shared" si="2"/>
        <v>0.803806735</v>
      </c>
      <c r="K32" s="829">
        <f>IFERROR(VLOOKUP($A32,'Playoff Stats Pivot'!$A:$AE,9,0),"")+VLOOKUP($A32,'Halo Infinite Stats'!$A:$AH,11,0)</f>
        <v>2</v>
      </c>
      <c r="L32" s="831">
        <f>IFERROR(VLOOKUP($A32,'Playoff Stats Pivot'!$A:$AE,10,0),"")+VLOOKUP($A32,'Halo Infinite Stats'!$A:$AH,12,0)</f>
        <v>22541</v>
      </c>
      <c r="M32" s="832">
        <f t="shared" si="3"/>
        <v>12.50146413</v>
      </c>
      <c r="N32" s="829">
        <f>IFERROR(VLOOKUP($A32,'Playoff Stats Pivot'!$A:$AE,11,0),"")+VLOOKUP($A32,'Halo Infinite Stats'!$A:$AH,14,0)</f>
        <v>10</v>
      </c>
      <c r="O32" s="829">
        <f>IFERROR(VLOOKUP($A32,'Playoff Stats Pivot'!$A:$AE,12,0),"")+VLOOKUP($A32,'Halo Infinite Stats'!$A:$AH,15,0)</f>
        <v>0</v>
      </c>
      <c r="P32" s="829">
        <f>IFERROR(VLOOKUP($A32,'Playoff Stats Pivot'!$A:$AE,13,0),"")+VLOOKUP($A32,'Halo Infinite Stats'!$A:$AH,16,0)</f>
        <v>0</v>
      </c>
      <c r="Q32" s="829">
        <f>IFERROR(VLOOKUP($A32,'Playoff Stats Pivot'!$A:$AE,14,0),"")+VLOOKUP($A32,'Halo Infinite Stats'!$A:$AH,17,0)</f>
        <v>0</v>
      </c>
      <c r="R32" s="829">
        <f>IFERROR(VLOOKUP($A32,'Playoff Stats Pivot'!$A:$AE,15,0),"")+VLOOKUP($A32,'Halo Infinite Stats'!$A:$AH,18,0)</f>
        <v>15</v>
      </c>
      <c r="S32" s="829">
        <f>IFERROR(VLOOKUP($A32,'Playoff Stats Pivot'!$A:$AE,16,0),"")+VLOOKUP($A32,'Halo Infinite Stats'!$A:$AH,19,0)</f>
        <v>168</v>
      </c>
      <c r="T32" s="829">
        <f>IFERROR(VLOOKUP($A32,'Playoff Stats Pivot'!$A:$AE,17,0),"")+VLOOKUP($A32,'Halo Infinite Stats'!$A:$AH,20,0)</f>
        <v>46</v>
      </c>
      <c r="U32" s="829">
        <f>IFERROR(VLOOKUP($A32,'Playoff Stats Pivot'!$A:$AE,18,0),"")+VLOOKUP($A32,'Halo Infinite Stats'!$A:$AH,21,0)</f>
        <v>10</v>
      </c>
      <c r="V32" s="829">
        <f>IFERROR(VLOOKUP($A32,'Playoff Stats Pivot'!$A:$AE,19,0),"")+VLOOKUP($A32,'Halo Infinite Stats'!$A:$AH,22,0)</f>
        <v>3</v>
      </c>
      <c r="W32" s="829">
        <f>IFERROR(VLOOKUP($A32,'Playoff Stats Pivot'!$A:$AE,20,0),"")+VLOOKUP($A32,'Halo Infinite Stats'!$A:$AH,23,0)</f>
        <v>1</v>
      </c>
      <c r="X32" s="829">
        <f>IFERROR(VLOOKUP($A32,'Playoff Stats Pivot'!$A:$AE,21,0),"")+VLOOKUP($A32,'Halo Infinite Stats'!$A:$AH,24,0)</f>
        <v>1</v>
      </c>
      <c r="Y32" s="829">
        <f>IFERROR(VLOOKUP($A32,'Playoff Stats Pivot'!$A:$AE,22,0),"")+VLOOKUP($A32,'Halo Infinite Stats'!$A:$AH,25,0)</f>
        <v>0</v>
      </c>
      <c r="Z32" s="829">
        <f>IFERROR(VLOOKUP($A32,'Playoff Stats Pivot'!$A:$AE,23,0),"")+VLOOKUP($A32,'Halo Infinite Stats'!$A:$AH,26,0)</f>
        <v>0</v>
      </c>
      <c r="AA32" s="829">
        <f>IFERROR(VLOOKUP($A32,'Playoff Stats Pivot'!$A:$AE,24,0),"")+VLOOKUP($A32,'Halo Infinite Stats'!$A:$AH,27,0)</f>
        <v>0</v>
      </c>
      <c r="AB32" s="829">
        <f>IFERROR(VLOOKUP($A32,'Playoff Stats Pivot'!$A:$AE,25,0),"")+VLOOKUP($A32,'Halo Infinite Stats'!$A:$AH,28,0)</f>
        <v>0</v>
      </c>
      <c r="AC32" s="829">
        <f>IFERROR(VLOOKUP($A32,'Playoff Stats Pivot'!$A:$AE,26,0),"")+VLOOKUP($A32,'Halo Infinite Stats'!$A:$AH,29,0)</f>
        <v>150</v>
      </c>
      <c r="AD32" s="829">
        <f>IFERROR(VLOOKUP($A32,'Playoff Stats Pivot'!$A:$AE,27,0),"")+VLOOKUP($A32,'Halo Infinite Stats'!$A:$AH,30,0)</f>
        <v>0</v>
      </c>
      <c r="AE32" s="829">
        <f>IFERROR(VLOOKUP($A32,'Playoff Stats Pivot'!$A:$AE,28,0),"")+VLOOKUP($A32,'Halo Infinite Stats'!$A:$AH,31,0)</f>
        <v>0</v>
      </c>
      <c r="AF32" s="829">
        <f>IFERROR(VLOOKUP($A32,'Playoff Stats Pivot'!$A:$AE,29,0),"")+VLOOKUP($A32,'Halo Infinite Stats'!$A:$AH,32,0)</f>
        <v>0</v>
      </c>
      <c r="AG32" s="829">
        <f>IFERROR(VLOOKUP($A32,'Playoff Stats Pivot'!$A:$AE,30,0),"")+VLOOKUP($A32,'Halo Infinite Stats'!$A:$AH,33,0)</f>
        <v>15</v>
      </c>
      <c r="AH32" s="829">
        <f>IFERROR(VLOOKUP($A32,'Playoff Stats Pivot'!$A:$AE,31,0),"")+VLOOKUP($A32,'Halo Infinite Stats'!$A:$AH,34,0)</f>
        <v>1</v>
      </c>
      <c r="AI32" s="836">
        <f t="shared" si="4"/>
        <v>6.564038863</v>
      </c>
      <c r="AJ32" s="836">
        <f t="shared" si="5"/>
        <v>0.0649483164</v>
      </c>
      <c r="AK32" s="836">
        <f t="shared" si="6"/>
        <v>0.02661816246</v>
      </c>
      <c r="AL32" s="833">
        <f t="shared" si="10"/>
        <v>0.05606790589</v>
      </c>
      <c r="AM32" s="836">
        <f t="shared" si="7"/>
        <v>0.2692307692</v>
      </c>
      <c r="AN32" s="836">
        <f t="shared" si="11"/>
        <v>0.20856102</v>
      </c>
      <c r="AO32" s="833">
        <f t="shared" si="8"/>
        <v>0.0007541812697</v>
      </c>
      <c r="AP32" s="833">
        <f t="shared" si="9"/>
        <v>-0.7080431214</v>
      </c>
      <c r="AQ32" s="833" t="s">
        <v>350</v>
      </c>
      <c r="AR32" s="834" t="s">
        <v>354</v>
      </c>
    </row>
    <row r="33">
      <c r="A33" s="838" t="s">
        <v>187</v>
      </c>
      <c r="B33" s="829">
        <f t="shared" si="1"/>
        <v>17</v>
      </c>
      <c r="C33" s="829">
        <f>IFERROR(VLOOKUP($A33,'Playoff Stats Pivot'!$A:$AE,2,0),0)+VLOOKUP($A33,'Halo Infinite Stats'!$A:$AH,3,0)</f>
        <v>6</v>
      </c>
      <c r="D33" s="829">
        <f>IFERROR(VLOOKUP($A33,'Playoff Stats Pivot'!$A:$AE,3,0),"")+VLOOKUP($A33,'Halo Infinite Stats'!$A:$AH,4,0)</f>
        <v>11</v>
      </c>
      <c r="E33" s="829">
        <f>IFERROR(VLOOKUP($A33,'Playoff Stats Pivot'!$A:$AE,4,0),"")+VLOOKUP($A33,'Halo Infinite Stats'!$A:$AH,5,0)</f>
        <v>8</v>
      </c>
      <c r="F33" s="829">
        <f>IFERROR(VLOOKUP($A33,'Playoff Stats Pivot'!$A:$AE,5,0),"")+VLOOKUP($A33,'Halo Infinite Stats'!$A:$AH,6,0)</f>
        <v>16</v>
      </c>
      <c r="G33" s="829">
        <f>IFERROR(VLOOKUP($A33,'Playoff Stats Pivot'!$A:$AE,6,0),"")+VLOOKUP($A33,'Halo Infinite Stats'!$A:$AH,7,0)</f>
        <v>530</v>
      </c>
      <c r="H33" s="829">
        <f>IFERROR(VLOOKUP($A33,'Playoff Stats Pivot'!$A:$AE,7,0),"")+VLOOKUP($A33,'Halo Infinite Stats'!$A:$AH,8,0)</f>
        <v>898</v>
      </c>
      <c r="I33" s="829">
        <f>IFERROR(VLOOKUP($A33,'Playoff Stats Pivot'!$A:$AE,8,0),"")+VLOOKUP($A33,'Halo Infinite Stats'!$A:$AH,9,0)</f>
        <v>-368</v>
      </c>
      <c r="J33" s="830">
        <f t="shared" si="2"/>
        <v>0.5902004454</v>
      </c>
      <c r="K33" s="829">
        <f>IFERROR(VLOOKUP($A33,'Playoff Stats Pivot'!$A:$AE,9,0),"")+VLOOKUP($A33,'Halo Infinite Stats'!$A:$AH,11,0)</f>
        <v>0</v>
      </c>
      <c r="L33" s="831">
        <f>IFERROR(VLOOKUP($A33,'Playoff Stats Pivot'!$A:$AE,10,0),"")+VLOOKUP($A33,'Halo Infinite Stats'!$A:$AH,12,0)</f>
        <v>14095</v>
      </c>
      <c r="M33" s="832">
        <f t="shared" si="3"/>
        <v>11.69599109</v>
      </c>
      <c r="N33" s="829">
        <f>IFERROR(VLOOKUP($A33,'Playoff Stats Pivot'!$A:$AE,11,0),"")+VLOOKUP($A33,'Halo Infinite Stats'!$A:$AH,14,0)</f>
        <v>0</v>
      </c>
      <c r="O33" s="829">
        <f>IFERROR(VLOOKUP($A33,'Playoff Stats Pivot'!$A:$AE,12,0),"")+VLOOKUP($A33,'Halo Infinite Stats'!$A:$AH,15,0)</f>
        <v>0</v>
      </c>
      <c r="P33" s="829">
        <f>IFERROR(VLOOKUP($A33,'Playoff Stats Pivot'!$A:$AE,13,0),"")+VLOOKUP($A33,'Halo Infinite Stats'!$A:$AH,16,0)</f>
        <v>0</v>
      </c>
      <c r="Q33" s="829">
        <f>IFERROR(VLOOKUP($A33,'Playoff Stats Pivot'!$A:$AE,14,0),"")+VLOOKUP($A33,'Halo Infinite Stats'!$A:$AH,17,0)</f>
        <v>0</v>
      </c>
      <c r="R33" s="829">
        <f>IFERROR(VLOOKUP($A33,'Playoff Stats Pivot'!$A:$AE,15,0),"")+VLOOKUP($A33,'Halo Infinite Stats'!$A:$AH,18,0)</f>
        <v>2</v>
      </c>
      <c r="S33" s="829">
        <f>IFERROR(VLOOKUP($A33,'Playoff Stats Pivot'!$A:$AE,16,0),"")+VLOOKUP($A33,'Halo Infinite Stats'!$A:$AH,19,0)</f>
        <v>50</v>
      </c>
      <c r="T33" s="829">
        <f>IFERROR(VLOOKUP($A33,'Playoff Stats Pivot'!$A:$AE,17,0),"")+VLOOKUP($A33,'Halo Infinite Stats'!$A:$AH,20,0)</f>
        <v>7</v>
      </c>
      <c r="U33" s="829">
        <f>IFERROR(VLOOKUP($A33,'Playoff Stats Pivot'!$A:$AE,18,0),"")+VLOOKUP($A33,'Halo Infinite Stats'!$A:$AH,21,0)</f>
        <v>1</v>
      </c>
      <c r="V33" s="829">
        <f>IFERROR(VLOOKUP($A33,'Playoff Stats Pivot'!$A:$AE,19,0),"")+VLOOKUP($A33,'Halo Infinite Stats'!$A:$AH,22,0)</f>
        <v>0</v>
      </c>
      <c r="W33" s="829">
        <f>IFERROR(VLOOKUP($A33,'Playoff Stats Pivot'!$A:$AE,20,0),"")+VLOOKUP($A33,'Halo Infinite Stats'!$A:$AH,23,0)</f>
        <v>0</v>
      </c>
      <c r="X33" s="829">
        <f>IFERROR(VLOOKUP($A33,'Playoff Stats Pivot'!$A:$AE,21,0),"")+VLOOKUP($A33,'Halo Infinite Stats'!$A:$AH,24,0)</f>
        <v>0</v>
      </c>
      <c r="Y33" s="829">
        <f>IFERROR(VLOOKUP($A33,'Playoff Stats Pivot'!$A:$AE,22,0),"")+VLOOKUP($A33,'Halo Infinite Stats'!$A:$AH,25,0)</f>
        <v>0</v>
      </c>
      <c r="Z33" s="829">
        <f>IFERROR(VLOOKUP($A33,'Playoff Stats Pivot'!$A:$AE,23,0),"")+VLOOKUP($A33,'Halo Infinite Stats'!$A:$AH,26,0)</f>
        <v>0</v>
      </c>
      <c r="AA33" s="829">
        <f>IFERROR(VLOOKUP($A33,'Playoff Stats Pivot'!$A:$AE,24,0),"")+VLOOKUP($A33,'Halo Infinite Stats'!$A:$AH,27,0)</f>
        <v>0</v>
      </c>
      <c r="AB33" s="829">
        <f>IFERROR(VLOOKUP($A33,'Playoff Stats Pivot'!$A:$AE,25,0),"")+VLOOKUP($A33,'Halo Infinite Stats'!$A:$AH,28,0)</f>
        <v>0</v>
      </c>
      <c r="AC33" s="829">
        <f>IFERROR(VLOOKUP($A33,'Playoff Stats Pivot'!$A:$AE,26,0),"")+VLOOKUP($A33,'Halo Infinite Stats'!$A:$AH,29,0)</f>
        <v>76</v>
      </c>
      <c r="AD33" s="829">
        <f>IFERROR(VLOOKUP($A33,'Playoff Stats Pivot'!$A:$AE,27,0),"")+VLOOKUP($A33,'Halo Infinite Stats'!$A:$AH,30,0)</f>
        <v>0</v>
      </c>
      <c r="AE33" s="829">
        <f>IFERROR(VLOOKUP($A33,'Playoff Stats Pivot'!$A:$AE,28,0),"")+VLOOKUP($A33,'Halo Infinite Stats'!$A:$AH,31,0)</f>
        <v>0</v>
      </c>
      <c r="AF33" s="829">
        <f>IFERROR(VLOOKUP($A33,'Playoff Stats Pivot'!$A:$AE,29,0),"")+VLOOKUP($A33,'Halo Infinite Stats'!$A:$AH,32,0)</f>
        <v>1</v>
      </c>
      <c r="AG33" s="829">
        <f>IFERROR(VLOOKUP($A33,'Playoff Stats Pivot'!$A:$AE,30,0),"")+VLOOKUP($A33,'Halo Infinite Stats'!$A:$AH,33,0)</f>
        <v>9</v>
      </c>
      <c r="AH33" s="829">
        <f>IFERROR(VLOOKUP($A33,'Playoff Stats Pivot'!$A:$AE,31,0),"")+VLOOKUP($A33,'Halo Infinite Stats'!$A:$AH,34,0)</f>
        <v>18</v>
      </c>
      <c r="AI33" s="833">
        <f t="shared" si="4"/>
        <v>6.07875133</v>
      </c>
      <c r="AJ33" s="833">
        <f t="shared" si="5"/>
        <v>0.06606598084</v>
      </c>
      <c r="AK33" s="833">
        <f t="shared" si="6"/>
        <v>0</v>
      </c>
      <c r="AL33" s="833">
        <f t="shared" si="10"/>
        <v>-1.044436561</v>
      </c>
      <c r="AM33" s="833">
        <f t="shared" si="7"/>
        <v>0.4705882353</v>
      </c>
      <c r="AN33" s="833">
        <f t="shared" si="11"/>
        <v>0.1094339623</v>
      </c>
      <c r="AO33" s="833">
        <f t="shared" si="8"/>
        <v>0.00113515431</v>
      </c>
      <c r="AP33" s="833">
        <f t="shared" si="9"/>
        <v>-1.566512948</v>
      </c>
      <c r="AQ33" s="833" t="s">
        <v>350</v>
      </c>
      <c r="AR33" s="834" t="s">
        <v>368</v>
      </c>
    </row>
    <row r="34">
      <c r="A34" s="837" t="s">
        <v>49</v>
      </c>
      <c r="B34" s="829">
        <f t="shared" si="1"/>
        <v>23</v>
      </c>
      <c r="C34" s="829">
        <f>IFERROR(VLOOKUP($A34,'Playoff Stats Pivot'!$A:$AE,2,0),0)+VLOOKUP($A34,'Halo Infinite Stats'!$A:$AH,3,0)</f>
        <v>10</v>
      </c>
      <c r="D34" s="829">
        <f>IFERROR(VLOOKUP($A34,'Playoff Stats Pivot'!$A:$AE,3,0),"")+VLOOKUP($A34,'Halo Infinite Stats'!$A:$AH,4,0)</f>
        <v>13</v>
      </c>
      <c r="E34" s="829">
        <f>IFERROR(VLOOKUP($A34,'Playoff Stats Pivot'!$A:$AE,4,0),"")+VLOOKUP($A34,'Halo Infinite Stats'!$A:$AH,5,0)</f>
        <v>39</v>
      </c>
      <c r="F34" s="829">
        <f>IFERROR(VLOOKUP($A34,'Playoff Stats Pivot'!$A:$AE,5,0),"")+VLOOKUP($A34,'Halo Infinite Stats'!$A:$AH,6,0)</f>
        <v>272</v>
      </c>
      <c r="G34" s="829">
        <f>IFERROR(VLOOKUP($A34,'Playoff Stats Pivot'!$A:$AE,6,0),"")+VLOOKUP($A34,'Halo Infinite Stats'!$A:$AH,7,0)</f>
        <v>1073</v>
      </c>
      <c r="H34" s="829">
        <f>IFERROR(VLOOKUP($A34,'Playoff Stats Pivot'!$A:$AE,7,0),"")+VLOOKUP($A34,'Halo Infinite Stats'!$A:$AH,8,0)</f>
        <v>1156</v>
      </c>
      <c r="I34" s="829">
        <f>IFERROR(VLOOKUP($A34,'Playoff Stats Pivot'!$A:$AE,8,0),"")+VLOOKUP($A34,'Halo Infinite Stats'!$A:$AH,9,0)</f>
        <v>-83</v>
      </c>
      <c r="J34" s="830">
        <f t="shared" si="2"/>
        <v>0.928200692</v>
      </c>
      <c r="K34" s="829">
        <f>IFERROR(VLOOKUP($A34,'Playoff Stats Pivot'!$A:$AE,9,0),"")+VLOOKUP($A34,'Halo Infinite Stats'!$A:$AH,11,0)</f>
        <v>3</v>
      </c>
      <c r="L34" s="831">
        <f>IFERROR(VLOOKUP($A34,'Playoff Stats Pivot'!$A:$AE,10,0),"")+VLOOKUP($A34,'Halo Infinite Stats'!$A:$AH,12,0)</f>
        <v>19735</v>
      </c>
      <c r="M34" s="832">
        <f t="shared" si="3"/>
        <v>13.07179931</v>
      </c>
      <c r="N34" s="829">
        <f>IFERROR(VLOOKUP($A34,'Playoff Stats Pivot'!$A:$AE,11,0),"")+VLOOKUP($A34,'Halo Infinite Stats'!$A:$AH,14,0)</f>
        <v>29</v>
      </c>
      <c r="O34" s="829">
        <f>IFERROR(VLOOKUP($A34,'Playoff Stats Pivot'!$A:$AE,12,0),"")+VLOOKUP($A34,'Halo Infinite Stats'!$A:$AH,15,0)</f>
        <v>2</v>
      </c>
      <c r="P34" s="829">
        <f>IFERROR(VLOOKUP($A34,'Playoff Stats Pivot'!$A:$AE,13,0),"")+VLOOKUP($A34,'Halo Infinite Stats'!$A:$AH,16,0)</f>
        <v>0</v>
      </c>
      <c r="Q34" s="829">
        <f>IFERROR(VLOOKUP($A34,'Playoff Stats Pivot'!$A:$AE,14,0),"")+VLOOKUP($A34,'Halo Infinite Stats'!$A:$AH,17,0)</f>
        <v>0</v>
      </c>
      <c r="R34" s="829">
        <f>IFERROR(VLOOKUP($A34,'Playoff Stats Pivot'!$A:$AE,15,0),"")+VLOOKUP($A34,'Halo Infinite Stats'!$A:$AH,18,0)</f>
        <v>13</v>
      </c>
      <c r="S34" s="829">
        <f>IFERROR(VLOOKUP($A34,'Playoff Stats Pivot'!$A:$AE,16,0),"")+VLOOKUP($A34,'Halo Infinite Stats'!$A:$AH,19,0)</f>
        <v>192</v>
      </c>
      <c r="T34" s="829">
        <f>IFERROR(VLOOKUP($A34,'Playoff Stats Pivot'!$A:$AE,17,0),"")+VLOOKUP($A34,'Halo Infinite Stats'!$A:$AH,20,0)</f>
        <v>56</v>
      </c>
      <c r="U34" s="829">
        <f>IFERROR(VLOOKUP($A34,'Playoff Stats Pivot'!$A:$AE,18,0),"")+VLOOKUP($A34,'Halo Infinite Stats'!$A:$AH,21,0)</f>
        <v>12</v>
      </c>
      <c r="V34" s="829">
        <f>IFERROR(VLOOKUP($A34,'Playoff Stats Pivot'!$A:$AE,19,0),"")+VLOOKUP($A34,'Halo Infinite Stats'!$A:$AH,22,0)</f>
        <v>6</v>
      </c>
      <c r="W34" s="829">
        <f>IFERROR(VLOOKUP($A34,'Playoff Stats Pivot'!$A:$AE,20,0),"")+VLOOKUP($A34,'Halo Infinite Stats'!$A:$AH,23,0)</f>
        <v>3</v>
      </c>
      <c r="X34" s="829">
        <f>IFERROR(VLOOKUP($A34,'Playoff Stats Pivot'!$A:$AE,21,0),"")+VLOOKUP($A34,'Halo Infinite Stats'!$A:$AH,24,0)</f>
        <v>1</v>
      </c>
      <c r="Y34" s="829">
        <f>IFERROR(VLOOKUP($A34,'Playoff Stats Pivot'!$A:$AE,22,0),"")+VLOOKUP($A34,'Halo Infinite Stats'!$A:$AH,25,0)</f>
        <v>1</v>
      </c>
      <c r="Z34" s="829">
        <f>IFERROR(VLOOKUP($A34,'Playoff Stats Pivot'!$A:$AE,23,0),"")+VLOOKUP($A34,'Halo Infinite Stats'!$A:$AH,26,0)</f>
        <v>1</v>
      </c>
      <c r="AA34" s="829">
        <f>IFERROR(VLOOKUP($A34,'Playoff Stats Pivot'!$A:$AE,24,0),"")+VLOOKUP($A34,'Halo Infinite Stats'!$A:$AH,27,0)</f>
        <v>1</v>
      </c>
      <c r="AB34" s="829">
        <f>IFERROR(VLOOKUP($A34,'Playoff Stats Pivot'!$A:$AE,25,0),"")+VLOOKUP($A34,'Halo Infinite Stats'!$A:$AH,28,0)</f>
        <v>1</v>
      </c>
      <c r="AC34" s="829">
        <f>IFERROR(VLOOKUP($A34,'Playoff Stats Pivot'!$A:$AE,26,0),"")+VLOOKUP($A34,'Halo Infinite Stats'!$A:$AH,29,0)</f>
        <v>238</v>
      </c>
      <c r="AD34" s="829">
        <f>IFERROR(VLOOKUP($A34,'Playoff Stats Pivot'!$A:$AE,27,0),"")+VLOOKUP($A34,'Halo Infinite Stats'!$A:$AH,30,0)</f>
        <v>0</v>
      </c>
      <c r="AE34" s="829">
        <f>IFERROR(VLOOKUP($A34,'Playoff Stats Pivot'!$A:$AE,28,0),"")+VLOOKUP($A34,'Halo Infinite Stats'!$A:$AH,31,0)</f>
        <v>4</v>
      </c>
      <c r="AF34" s="829">
        <f>IFERROR(VLOOKUP($A34,'Playoff Stats Pivot'!$A:$AE,29,0),"")+VLOOKUP($A34,'Halo Infinite Stats'!$A:$AH,32,0)</f>
        <v>0</v>
      </c>
      <c r="AG34" s="829">
        <f>IFERROR(VLOOKUP($A34,'Playoff Stats Pivot'!$A:$AE,30,0),"")+VLOOKUP($A34,'Halo Infinite Stats'!$A:$AH,33,0)</f>
        <v>14</v>
      </c>
      <c r="AH34" s="829">
        <f>IFERROR(VLOOKUP($A34,'Playoff Stats Pivot'!$A:$AE,31,0),"")+VLOOKUP($A34,'Halo Infinite Stats'!$A:$AH,34,0)</f>
        <v>1</v>
      </c>
      <c r="AI34" s="836">
        <f t="shared" si="4"/>
        <v>6.785913352</v>
      </c>
      <c r="AJ34" s="836">
        <f t="shared" si="5"/>
        <v>0.1887408158</v>
      </c>
      <c r="AK34" s="836">
        <f t="shared" si="6"/>
        <v>0.08816822903</v>
      </c>
      <c r="AL34" s="833">
        <f t="shared" si="10"/>
        <v>1.488386116</v>
      </c>
      <c r="AM34" s="836">
        <f t="shared" si="7"/>
        <v>1.695652174</v>
      </c>
      <c r="AN34" s="836">
        <f t="shared" si="11"/>
        <v>0.2544268406</v>
      </c>
      <c r="AO34" s="833">
        <f t="shared" si="8"/>
        <v>0.01378261971</v>
      </c>
      <c r="AP34" s="833">
        <f t="shared" si="9"/>
        <v>-0.2432227008</v>
      </c>
      <c r="AQ34" s="833" t="s">
        <v>171</v>
      </c>
      <c r="AR34" s="834" t="s">
        <v>369</v>
      </c>
    </row>
    <row r="35">
      <c r="A35" s="853" t="s">
        <v>250</v>
      </c>
      <c r="B35" s="829">
        <f t="shared" si="1"/>
        <v>24</v>
      </c>
      <c r="C35" s="829">
        <f>IFERROR(VLOOKUP($A35,'Playoff Stats Pivot'!$A:$AE,2,0),0)+VLOOKUP($A35,'Halo Infinite Stats'!$A:$AH,3,0)</f>
        <v>9</v>
      </c>
      <c r="D35" s="829">
        <f>IFERROR(VLOOKUP($A35,'Playoff Stats Pivot'!$A:$AE,3,0),"")+VLOOKUP($A35,'Halo Infinite Stats'!$A:$AH,4,0)</f>
        <v>15</v>
      </c>
      <c r="E35" s="829">
        <f>IFERROR(VLOOKUP($A35,'Playoff Stats Pivot'!$A:$AE,4,0),"")+VLOOKUP($A35,'Halo Infinite Stats'!$A:$AH,5,0)</f>
        <v>8</v>
      </c>
      <c r="F35" s="829">
        <f>IFERROR(VLOOKUP($A35,'Playoff Stats Pivot'!$A:$AE,5,0),"")+VLOOKUP($A35,'Halo Infinite Stats'!$A:$AH,6,0)</f>
        <v>51</v>
      </c>
      <c r="G35" s="829">
        <f>IFERROR(VLOOKUP($A35,'Playoff Stats Pivot'!$A:$AE,6,0),"")+VLOOKUP($A35,'Halo Infinite Stats'!$A:$AH,7,0)</f>
        <v>1516</v>
      </c>
      <c r="H35" s="829">
        <f>IFERROR(VLOOKUP($A35,'Playoff Stats Pivot'!$A:$AE,7,0),"")+VLOOKUP($A35,'Halo Infinite Stats'!$A:$AH,8,0)</f>
        <v>1621</v>
      </c>
      <c r="I35" s="829">
        <f>IFERROR(VLOOKUP($A35,'Playoff Stats Pivot'!$A:$AE,8,0),"")+VLOOKUP($A35,'Halo Infinite Stats'!$A:$AH,9,0)</f>
        <v>-105</v>
      </c>
      <c r="J35" s="830">
        <f t="shared" si="2"/>
        <v>0.9352251696</v>
      </c>
      <c r="K35" s="829">
        <f>IFERROR(VLOOKUP($A35,'Playoff Stats Pivot'!$A:$AE,9,0),"")+VLOOKUP($A35,'Halo Infinite Stats'!$A:$AH,11,0)</f>
        <v>3</v>
      </c>
      <c r="L35" s="831">
        <f>IFERROR(VLOOKUP($A35,'Playoff Stats Pivot'!$A:$AE,10,0),"")+VLOOKUP($A35,'Halo Infinite Stats'!$A:$AH,12,0)</f>
        <v>25290</v>
      </c>
      <c r="M35" s="832">
        <f t="shared" si="3"/>
        <v>11.60148057</v>
      </c>
      <c r="N35" s="829">
        <f>IFERROR(VLOOKUP($A35,'Playoff Stats Pivot'!$A:$AE,11,0),"")+VLOOKUP($A35,'Halo Infinite Stats'!$A:$AH,14,0)</f>
        <v>35</v>
      </c>
      <c r="O35" s="829">
        <f>IFERROR(VLOOKUP($A35,'Playoff Stats Pivot'!$A:$AE,12,0),"")+VLOOKUP($A35,'Halo Infinite Stats'!$A:$AH,15,0)</f>
        <v>0</v>
      </c>
      <c r="P35" s="829">
        <f>IFERROR(VLOOKUP($A35,'Playoff Stats Pivot'!$A:$AE,13,0),"")+VLOOKUP($A35,'Halo Infinite Stats'!$A:$AH,16,0)</f>
        <v>0</v>
      </c>
      <c r="Q35" s="829">
        <f>IFERROR(VLOOKUP($A35,'Playoff Stats Pivot'!$A:$AE,14,0),"")+VLOOKUP($A35,'Halo Infinite Stats'!$A:$AH,17,0)</f>
        <v>0</v>
      </c>
      <c r="R35" s="829">
        <f>IFERROR(VLOOKUP($A35,'Playoff Stats Pivot'!$A:$AE,15,0),"")+VLOOKUP($A35,'Halo Infinite Stats'!$A:$AH,18,0)</f>
        <v>33</v>
      </c>
      <c r="S35" s="829">
        <f>IFERROR(VLOOKUP($A35,'Playoff Stats Pivot'!$A:$AE,16,0),"")+VLOOKUP($A35,'Halo Infinite Stats'!$A:$AH,19,0)</f>
        <v>293</v>
      </c>
      <c r="T35" s="829">
        <f>IFERROR(VLOOKUP($A35,'Playoff Stats Pivot'!$A:$AE,17,0),"")+VLOOKUP($A35,'Halo Infinite Stats'!$A:$AH,20,0)</f>
        <v>83</v>
      </c>
      <c r="U35" s="829">
        <f>IFERROR(VLOOKUP($A35,'Playoff Stats Pivot'!$A:$AE,18,0),"")+VLOOKUP($A35,'Halo Infinite Stats'!$A:$AH,21,0)</f>
        <v>25</v>
      </c>
      <c r="V35" s="829">
        <f>IFERROR(VLOOKUP($A35,'Playoff Stats Pivot'!$A:$AE,19,0),"")+VLOOKUP($A35,'Halo Infinite Stats'!$A:$AH,22,0)</f>
        <v>11</v>
      </c>
      <c r="W35" s="829">
        <f>IFERROR(VLOOKUP($A35,'Playoff Stats Pivot'!$A:$AE,20,0),"")+VLOOKUP($A35,'Halo Infinite Stats'!$A:$AH,23,0)</f>
        <v>5</v>
      </c>
      <c r="X35" s="829">
        <f>IFERROR(VLOOKUP($A35,'Playoff Stats Pivot'!$A:$AE,21,0),"")+VLOOKUP($A35,'Halo Infinite Stats'!$A:$AH,24,0)</f>
        <v>2</v>
      </c>
      <c r="Y35" s="829">
        <f>IFERROR(VLOOKUP($A35,'Playoff Stats Pivot'!$A:$AE,22,0),"")+VLOOKUP($A35,'Halo Infinite Stats'!$A:$AH,25,0)</f>
        <v>0</v>
      </c>
      <c r="Z35" s="829">
        <f>IFERROR(VLOOKUP($A35,'Playoff Stats Pivot'!$A:$AE,23,0),"")+VLOOKUP($A35,'Halo Infinite Stats'!$A:$AH,26,0)</f>
        <v>0</v>
      </c>
      <c r="AA35" s="829">
        <f>IFERROR(VLOOKUP($A35,'Playoff Stats Pivot'!$A:$AE,24,0),"")+VLOOKUP($A35,'Halo Infinite Stats'!$A:$AH,27,0)</f>
        <v>0</v>
      </c>
      <c r="AB35" s="829">
        <f>IFERROR(VLOOKUP($A35,'Playoff Stats Pivot'!$A:$AE,25,0),"")+VLOOKUP($A35,'Halo Infinite Stats'!$A:$AH,28,0)</f>
        <v>1</v>
      </c>
      <c r="AC35" s="829">
        <f>IFERROR(VLOOKUP($A35,'Playoff Stats Pivot'!$A:$AE,26,0),"")+VLOOKUP($A35,'Halo Infinite Stats'!$A:$AH,29,0)</f>
        <v>203</v>
      </c>
      <c r="AD35" s="829">
        <f>IFERROR(VLOOKUP($A35,'Playoff Stats Pivot'!$A:$AE,27,0),"")+VLOOKUP($A35,'Halo Infinite Stats'!$A:$AH,30,0)</f>
        <v>0</v>
      </c>
      <c r="AE35" s="829">
        <f>IFERROR(VLOOKUP($A35,'Playoff Stats Pivot'!$A:$AE,28,0),"")+VLOOKUP($A35,'Halo Infinite Stats'!$A:$AH,31,0)</f>
        <v>0</v>
      </c>
      <c r="AF35" s="829">
        <f>IFERROR(VLOOKUP($A35,'Playoff Stats Pivot'!$A:$AE,29,0),"")+VLOOKUP($A35,'Halo Infinite Stats'!$A:$AH,32,0)</f>
        <v>1</v>
      </c>
      <c r="AG35" s="829">
        <f>IFERROR(VLOOKUP($A35,'Playoff Stats Pivot'!$A:$AE,30,0),"")+VLOOKUP($A35,'Halo Infinite Stats'!$A:$AH,33,0)</f>
        <v>19</v>
      </c>
      <c r="AH35" s="829">
        <f>IFERROR(VLOOKUP($A35,'Playoff Stats Pivot'!$A:$AE,31,0),"")+VLOOKUP($A35,'Halo Infinite Stats'!$A:$AH,34,0)</f>
        <v>2</v>
      </c>
      <c r="AI35" s="833">
        <f t="shared" si="4"/>
        <v>7.449584816</v>
      </c>
      <c r="AJ35" s="833">
        <f t="shared" si="5"/>
        <v>0.07962040332</v>
      </c>
      <c r="AK35" s="833">
        <f t="shared" si="6"/>
        <v>0.08303677343</v>
      </c>
      <c r="AL35" s="833">
        <f t="shared" si="10"/>
        <v>1.086437327</v>
      </c>
      <c r="AM35" s="833">
        <f t="shared" si="7"/>
        <v>0.3333333333</v>
      </c>
      <c r="AN35" s="833">
        <f t="shared" si="11"/>
        <v>0.2763852243</v>
      </c>
      <c r="AO35" s="833">
        <f t="shared" si="8"/>
        <v>0.002016607355</v>
      </c>
      <c r="AP35" s="833">
        <f t="shared" si="9"/>
        <v>-0.2419928826</v>
      </c>
      <c r="AQ35" s="833" t="s">
        <v>171</v>
      </c>
      <c r="AR35" s="834" t="s">
        <v>370</v>
      </c>
    </row>
    <row r="36">
      <c r="A36" s="837" t="s">
        <v>251</v>
      </c>
      <c r="B36" s="829">
        <f t="shared" si="1"/>
        <v>4</v>
      </c>
      <c r="C36" s="829">
        <f>IFERROR(VLOOKUP($A36,'Playoff Stats Pivot'!$A:$AE,2,0),0)+VLOOKUP($A36,'Halo Infinite Stats'!$A:$AH,3,0)</f>
        <v>0</v>
      </c>
      <c r="D36" s="829">
        <f>IFERROR(VLOOKUP($A36,'Playoff Stats Pivot'!$A:$AE,3,0),"")+VLOOKUP($A36,'Halo Infinite Stats'!$A:$AH,4,0)</f>
        <v>4</v>
      </c>
      <c r="E36" s="829">
        <f>IFERROR(VLOOKUP($A36,'Playoff Stats Pivot'!$A:$AE,4,0),"")+VLOOKUP($A36,'Halo Infinite Stats'!$A:$AH,5,0)</f>
        <v>1</v>
      </c>
      <c r="F36" s="829">
        <f>IFERROR(VLOOKUP($A36,'Playoff Stats Pivot'!$A:$AE,5,0),"")+VLOOKUP($A36,'Halo Infinite Stats'!$A:$AH,6,0)</f>
        <v>7</v>
      </c>
      <c r="G36" s="829">
        <f>IFERROR(VLOOKUP($A36,'Playoff Stats Pivot'!$A:$AE,6,0),"")+VLOOKUP($A36,'Halo Infinite Stats'!$A:$AH,7,0)</f>
        <v>112</v>
      </c>
      <c r="H36" s="829">
        <f>IFERROR(VLOOKUP($A36,'Playoff Stats Pivot'!$A:$AE,7,0),"")+VLOOKUP($A36,'Halo Infinite Stats'!$A:$AH,8,0)</f>
        <v>202</v>
      </c>
      <c r="I36" s="829">
        <f>IFERROR(VLOOKUP($A36,'Playoff Stats Pivot'!$A:$AE,8,0),"")+VLOOKUP($A36,'Halo Infinite Stats'!$A:$AH,9,0)</f>
        <v>-90</v>
      </c>
      <c r="J36" s="830">
        <f t="shared" si="2"/>
        <v>0.5544554455</v>
      </c>
      <c r="K36" s="829">
        <f>IFERROR(VLOOKUP($A36,'Playoff Stats Pivot'!$A:$AE,9,0),"")+VLOOKUP($A36,'Halo Infinite Stats'!$A:$AH,11,0)</f>
        <v>1</v>
      </c>
      <c r="L36" s="831">
        <f>IFERROR(VLOOKUP($A36,'Playoff Stats Pivot'!$A:$AE,10,0),"")+VLOOKUP($A36,'Halo Infinite Stats'!$A:$AH,12,0)</f>
        <v>2981</v>
      </c>
      <c r="M36" s="832">
        <f t="shared" si="3"/>
        <v>10.75742574</v>
      </c>
      <c r="N36" s="829">
        <f>IFERROR(VLOOKUP($A36,'Playoff Stats Pivot'!$A:$AE,11,0),"")+VLOOKUP($A36,'Halo Infinite Stats'!$A:$AH,14,0)</f>
        <v>0</v>
      </c>
      <c r="O36" s="829">
        <f>IFERROR(VLOOKUP($A36,'Playoff Stats Pivot'!$A:$AE,12,0),"")+VLOOKUP($A36,'Halo Infinite Stats'!$A:$AH,15,0)</f>
        <v>0</v>
      </c>
      <c r="P36" s="829">
        <f>IFERROR(VLOOKUP($A36,'Playoff Stats Pivot'!$A:$AE,13,0),"")+VLOOKUP($A36,'Halo Infinite Stats'!$A:$AH,16,0)</f>
        <v>0</v>
      </c>
      <c r="Q36" s="829">
        <f>IFERROR(VLOOKUP($A36,'Playoff Stats Pivot'!$A:$AE,14,0),"")+VLOOKUP($A36,'Halo Infinite Stats'!$A:$AH,17,0)</f>
        <v>0</v>
      </c>
      <c r="R36" s="829">
        <f>IFERROR(VLOOKUP($A36,'Playoff Stats Pivot'!$A:$AE,15,0),"")+VLOOKUP($A36,'Halo Infinite Stats'!$A:$AH,18,0)</f>
        <v>0</v>
      </c>
      <c r="S36" s="829">
        <f>IFERROR(VLOOKUP($A36,'Playoff Stats Pivot'!$A:$AE,16,0),"")+VLOOKUP($A36,'Halo Infinite Stats'!$A:$AH,19,0)</f>
        <v>13</v>
      </c>
      <c r="T36" s="829">
        <f>IFERROR(VLOOKUP($A36,'Playoff Stats Pivot'!$A:$AE,17,0),"")+VLOOKUP($A36,'Halo Infinite Stats'!$A:$AH,20,0)</f>
        <v>3</v>
      </c>
      <c r="U36" s="829">
        <f>IFERROR(VLOOKUP($A36,'Playoff Stats Pivot'!$A:$AE,18,0),"")+VLOOKUP($A36,'Halo Infinite Stats'!$A:$AH,21,0)</f>
        <v>0</v>
      </c>
      <c r="V36" s="829">
        <f>IFERROR(VLOOKUP($A36,'Playoff Stats Pivot'!$A:$AE,19,0),"")+VLOOKUP($A36,'Halo Infinite Stats'!$A:$AH,22,0)</f>
        <v>0</v>
      </c>
      <c r="W36" s="829">
        <f>IFERROR(VLOOKUP($A36,'Playoff Stats Pivot'!$A:$AE,20,0),"")+VLOOKUP($A36,'Halo Infinite Stats'!$A:$AH,23,0)</f>
        <v>0</v>
      </c>
      <c r="X36" s="829">
        <f>IFERROR(VLOOKUP($A36,'Playoff Stats Pivot'!$A:$AE,21,0),"")+VLOOKUP($A36,'Halo Infinite Stats'!$A:$AH,24,0)</f>
        <v>0</v>
      </c>
      <c r="Y36" s="829">
        <f>IFERROR(VLOOKUP($A36,'Playoff Stats Pivot'!$A:$AE,22,0),"")+VLOOKUP($A36,'Halo Infinite Stats'!$A:$AH,25,0)</f>
        <v>0</v>
      </c>
      <c r="Z36" s="829">
        <f>IFERROR(VLOOKUP($A36,'Playoff Stats Pivot'!$A:$AE,23,0),"")+VLOOKUP($A36,'Halo Infinite Stats'!$A:$AH,26,0)</f>
        <v>0</v>
      </c>
      <c r="AA36" s="829">
        <f>IFERROR(VLOOKUP($A36,'Playoff Stats Pivot'!$A:$AE,24,0),"")+VLOOKUP($A36,'Halo Infinite Stats'!$A:$AH,27,0)</f>
        <v>0</v>
      </c>
      <c r="AB36" s="829">
        <f>IFERROR(VLOOKUP($A36,'Playoff Stats Pivot'!$A:$AE,25,0),"")+VLOOKUP($A36,'Halo Infinite Stats'!$A:$AH,28,0)</f>
        <v>0</v>
      </c>
      <c r="AC36" s="829">
        <f>IFERROR(VLOOKUP($A36,'Playoff Stats Pivot'!$A:$AE,26,0),"")+VLOOKUP($A36,'Halo Infinite Stats'!$A:$AH,29,0)</f>
        <v>25</v>
      </c>
      <c r="AD36" s="829">
        <f>IFERROR(VLOOKUP($A36,'Playoff Stats Pivot'!$A:$AE,27,0),"")+VLOOKUP($A36,'Halo Infinite Stats'!$A:$AH,30,0)</f>
        <v>0</v>
      </c>
      <c r="AE36" s="829">
        <f>IFERROR(VLOOKUP($A36,'Playoff Stats Pivot'!$A:$AE,28,0),"")+VLOOKUP($A36,'Halo Infinite Stats'!$A:$AH,31,0)</f>
        <v>0</v>
      </c>
      <c r="AF36" s="829">
        <f>IFERROR(VLOOKUP($A36,'Playoff Stats Pivot'!$A:$AE,29,0),"")+VLOOKUP($A36,'Halo Infinite Stats'!$A:$AH,32,0)</f>
        <v>0</v>
      </c>
      <c r="AG36" s="829">
        <f>IFERROR(VLOOKUP($A36,'Playoff Stats Pivot'!$A:$AE,30,0),"")+VLOOKUP($A36,'Halo Infinite Stats'!$A:$AH,33,0)</f>
        <v>3</v>
      </c>
      <c r="AH36" s="829">
        <f>IFERROR(VLOOKUP($A36,'Playoff Stats Pivot'!$A:$AE,31,0),"")+VLOOKUP($A36,'Halo Infinite Stats'!$A:$AH,34,0)</f>
        <v>0</v>
      </c>
      <c r="AI36" s="836">
        <f t="shared" si="4"/>
        <v>6.340154311</v>
      </c>
      <c r="AJ36" s="836">
        <f t="shared" si="5"/>
        <v>0.07648440121</v>
      </c>
      <c r="AK36" s="836">
        <f t="shared" si="6"/>
        <v>0</v>
      </c>
      <c r="AL36" s="833">
        <f t="shared" si="10"/>
        <v>-1.489433076</v>
      </c>
      <c r="AM36" s="836">
        <f t="shared" si="7"/>
        <v>0.25</v>
      </c>
      <c r="AN36" s="836">
        <f t="shared" si="11"/>
        <v>0.1428571429</v>
      </c>
      <c r="AO36" s="833">
        <f t="shared" si="8"/>
        <v>0.0023482053</v>
      </c>
      <c r="AP36" s="833">
        <f t="shared" si="9"/>
        <v>-1.791345186</v>
      </c>
      <c r="AQ36" s="833" t="s">
        <v>350</v>
      </c>
      <c r="AR36" s="834" t="s">
        <v>371</v>
      </c>
    </row>
    <row r="37">
      <c r="A37" s="853" t="s">
        <v>221</v>
      </c>
      <c r="B37" s="829">
        <f t="shared" si="1"/>
        <v>24</v>
      </c>
      <c r="C37" s="829">
        <f>IFERROR(VLOOKUP($A37,'Playoff Stats Pivot'!$A:$AE,2,0),0)+VLOOKUP($A37,'Halo Infinite Stats'!$A:$AH,3,0)</f>
        <v>18</v>
      </c>
      <c r="D37" s="829">
        <f>IFERROR(VLOOKUP($A37,'Playoff Stats Pivot'!$A:$AE,3,0),"")+VLOOKUP($A37,'Halo Infinite Stats'!$A:$AH,4,0)</f>
        <v>6</v>
      </c>
      <c r="E37" s="829">
        <f>IFERROR(VLOOKUP($A37,'Playoff Stats Pivot'!$A:$AE,4,0),"")+VLOOKUP($A37,'Halo Infinite Stats'!$A:$AH,5,0)</f>
        <v>3</v>
      </c>
      <c r="F37" s="829">
        <f>IFERROR(VLOOKUP($A37,'Playoff Stats Pivot'!$A:$AE,5,0),"")+VLOOKUP($A37,'Halo Infinite Stats'!$A:$AH,6,0)</f>
        <v>8</v>
      </c>
      <c r="G37" s="829">
        <f>IFERROR(VLOOKUP($A37,'Playoff Stats Pivot'!$A:$AE,6,0),"")+VLOOKUP($A37,'Halo Infinite Stats'!$A:$AH,7,0)</f>
        <v>880</v>
      </c>
      <c r="H37" s="829">
        <f>IFERROR(VLOOKUP($A37,'Playoff Stats Pivot'!$A:$AE,7,0),"")+VLOOKUP($A37,'Halo Infinite Stats'!$A:$AH,8,0)</f>
        <v>1261</v>
      </c>
      <c r="I37" s="829">
        <f>IFERROR(VLOOKUP($A37,'Playoff Stats Pivot'!$A:$AE,8,0),"")+VLOOKUP($A37,'Halo Infinite Stats'!$A:$AH,9,0)</f>
        <v>-381</v>
      </c>
      <c r="J37" s="830">
        <f t="shared" si="2"/>
        <v>0.6978588422</v>
      </c>
      <c r="K37" s="829">
        <f>IFERROR(VLOOKUP($A37,'Playoff Stats Pivot'!$A:$AE,9,0),"")+VLOOKUP($A37,'Halo Infinite Stats'!$A:$AH,11,0)</f>
        <v>2</v>
      </c>
      <c r="L37" s="831">
        <f>IFERROR(VLOOKUP($A37,'Playoff Stats Pivot'!$A:$AE,10,0),"")+VLOOKUP($A37,'Halo Infinite Stats'!$A:$AH,12,0)</f>
        <v>19439</v>
      </c>
      <c r="M37" s="832">
        <f t="shared" si="3"/>
        <v>11.41554322</v>
      </c>
      <c r="N37" s="829">
        <f>IFERROR(VLOOKUP($A37,'Playoff Stats Pivot'!$A:$AE,11,0),"")+VLOOKUP($A37,'Halo Infinite Stats'!$A:$AH,14,0)</f>
        <v>5</v>
      </c>
      <c r="O37" s="829">
        <f>IFERROR(VLOOKUP($A37,'Playoff Stats Pivot'!$A:$AE,12,0),"")+VLOOKUP($A37,'Halo Infinite Stats'!$A:$AH,15,0)</f>
        <v>0</v>
      </c>
      <c r="P37" s="829">
        <f>IFERROR(VLOOKUP($A37,'Playoff Stats Pivot'!$A:$AE,13,0),"")+VLOOKUP($A37,'Halo Infinite Stats'!$A:$AH,16,0)</f>
        <v>0</v>
      </c>
      <c r="Q37" s="829">
        <f>IFERROR(VLOOKUP($A37,'Playoff Stats Pivot'!$A:$AE,14,0),"")+VLOOKUP($A37,'Halo Infinite Stats'!$A:$AH,17,0)</f>
        <v>0</v>
      </c>
      <c r="R37" s="829">
        <f>IFERROR(VLOOKUP($A37,'Playoff Stats Pivot'!$A:$AE,15,0),"")+VLOOKUP($A37,'Halo Infinite Stats'!$A:$AH,18,0)</f>
        <v>1</v>
      </c>
      <c r="S37" s="829">
        <f>IFERROR(VLOOKUP($A37,'Playoff Stats Pivot'!$A:$AE,16,0),"")+VLOOKUP($A37,'Halo Infinite Stats'!$A:$AH,19,0)</f>
        <v>122</v>
      </c>
      <c r="T37" s="829">
        <f>IFERROR(VLOOKUP($A37,'Playoff Stats Pivot'!$A:$AE,17,0),"")+VLOOKUP($A37,'Halo Infinite Stats'!$A:$AH,20,0)</f>
        <v>17</v>
      </c>
      <c r="U37" s="829">
        <f>IFERROR(VLOOKUP($A37,'Playoff Stats Pivot'!$A:$AE,18,0),"")+VLOOKUP($A37,'Halo Infinite Stats'!$A:$AH,21,0)</f>
        <v>3</v>
      </c>
      <c r="V37" s="829">
        <f>IFERROR(VLOOKUP($A37,'Playoff Stats Pivot'!$A:$AE,19,0),"")+VLOOKUP($A37,'Halo Infinite Stats'!$A:$AH,22,0)</f>
        <v>0</v>
      </c>
      <c r="W37" s="829">
        <f>IFERROR(VLOOKUP($A37,'Playoff Stats Pivot'!$A:$AE,20,0),"")+VLOOKUP($A37,'Halo Infinite Stats'!$A:$AH,23,0)</f>
        <v>0</v>
      </c>
      <c r="X37" s="829">
        <f>IFERROR(VLOOKUP($A37,'Playoff Stats Pivot'!$A:$AE,21,0),"")+VLOOKUP($A37,'Halo Infinite Stats'!$A:$AH,24,0)</f>
        <v>0</v>
      </c>
      <c r="Y37" s="829">
        <f>IFERROR(VLOOKUP($A37,'Playoff Stats Pivot'!$A:$AE,22,0),"")+VLOOKUP($A37,'Halo Infinite Stats'!$A:$AH,25,0)</f>
        <v>0</v>
      </c>
      <c r="Z37" s="829">
        <f>IFERROR(VLOOKUP($A37,'Playoff Stats Pivot'!$A:$AE,23,0),"")+VLOOKUP($A37,'Halo Infinite Stats'!$A:$AH,26,0)</f>
        <v>0</v>
      </c>
      <c r="AA37" s="829">
        <f>IFERROR(VLOOKUP($A37,'Playoff Stats Pivot'!$A:$AE,24,0),"")+VLOOKUP($A37,'Halo Infinite Stats'!$A:$AH,27,0)</f>
        <v>0</v>
      </c>
      <c r="AB37" s="829">
        <f>IFERROR(VLOOKUP($A37,'Playoff Stats Pivot'!$A:$AE,25,0),"")+VLOOKUP($A37,'Halo Infinite Stats'!$A:$AH,28,0)</f>
        <v>0</v>
      </c>
      <c r="AC37" s="829">
        <f>IFERROR(VLOOKUP($A37,'Playoff Stats Pivot'!$A:$AE,26,0),"")+VLOOKUP($A37,'Halo Infinite Stats'!$A:$AH,29,0)</f>
        <v>104</v>
      </c>
      <c r="AD37" s="829">
        <f>IFERROR(VLOOKUP($A37,'Playoff Stats Pivot'!$A:$AE,27,0),"")+VLOOKUP($A37,'Halo Infinite Stats'!$A:$AH,30,0)</f>
        <v>0</v>
      </c>
      <c r="AE37" s="829">
        <f>IFERROR(VLOOKUP($A37,'Playoff Stats Pivot'!$A:$AE,28,0),"")+VLOOKUP($A37,'Halo Infinite Stats'!$A:$AH,31,0)</f>
        <v>0</v>
      </c>
      <c r="AF37" s="829">
        <f>IFERROR(VLOOKUP($A37,'Playoff Stats Pivot'!$A:$AE,29,0),"")+VLOOKUP($A37,'Halo Infinite Stats'!$A:$AH,32,0)</f>
        <v>0</v>
      </c>
      <c r="AG37" s="829">
        <f>IFERROR(VLOOKUP($A37,'Playoff Stats Pivot'!$A:$AE,30,0),"")+VLOOKUP($A37,'Halo Infinite Stats'!$A:$AH,33,0)</f>
        <v>7</v>
      </c>
      <c r="AH37" s="829">
        <f>IFERROR(VLOOKUP($A37,'Playoff Stats Pivot'!$A:$AE,31,0),"")+VLOOKUP($A37,'Halo Infinite Stats'!$A:$AH,34,0)</f>
        <v>0</v>
      </c>
      <c r="AI37" s="833">
        <f t="shared" si="4"/>
        <v>6.614537785</v>
      </c>
      <c r="AJ37" s="833">
        <f t="shared" si="5"/>
        <v>0.0471629199</v>
      </c>
      <c r="AK37" s="833">
        <f t="shared" si="6"/>
        <v>0.01543289264</v>
      </c>
      <c r="AL37" s="833">
        <f t="shared" si="10"/>
        <v>-0.6858394636</v>
      </c>
      <c r="AM37" s="833">
        <f t="shared" si="7"/>
        <v>0.125</v>
      </c>
      <c r="AN37" s="833">
        <f t="shared" si="11"/>
        <v>0.1613636364</v>
      </c>
      <c r="AO37" s="833">
        <f t="shared" si="8"/>
        <v>0.0004115438037</v>
      </c>
      <c r="AP37" s="833">
        <f t="shared" si="9"/>
        <v>-1.169813262</v>
      </c>
      <c r="AQ37" s="833" t="s">
        <v>350</v>
      </c>
      <c r="AR37" s="834" t="s">
        <v>372</v>
      </c>
    </row>
    <row r="38">
      <c r="A38" s="837" t="s">
        <v>200</v>
      </c>
      <c r="B38" s="829">
        <f t="shared" si="1"/>
        <v>3</v>
      </c>
      <c r="C38" s="829">
        <f>IFERROR(VLOOKUP($A38,'Playoff Stats Pivot'!$A:$AE,2,0),0)+VLOOKUP($A38,'Halo Infinite Stats'!$A:$AH,3,0)</f>
        <v>0</v>
      </c>
      <c r="D38" s="829">
        <f>IFERROR(VLOOKUP($A38,'Playoff Stats Pivot'!$A:$AE,3,0),"")+VLOOKUP($A38,'Halo Infinite Stats'!$A:$AH,4,0)</f>
        <v>3</v>
      </c>
      <c r="E38" s="829">
        <f>IFERROR(VLOOKUP($A38,'Playoff Stats Pivot'!$A:$AE,4,0),"")+VLOOKUP($A38,'Halo Infinite Stats'!$A:$AH,5,0)</f>
        <v>0</v>
      </c>
      <c r="F38" s="829">
        <f>IFERROR(VLOOKUP($A38,'Playoff Stats Pivot'!$A:$AE,5,0),"")+VLOOKUP($A38,'Halo Infinite Stats'!$A:$AH,6,0)</f>
        <v>1</v>
      </c>
      <c r="G38" s="829">
        <f>IFERROR(VLOOKUP($A38,'Playoff Stats Pivot'!$A:$AE,6,0),"")+VLOOKUP($A38,'Halo Infinite Stats'!$A:$AH,7,0)</f>
        <v>54</v>
      </c>
      <c r="H38" s="829">
        <f>IFERROR(VLOOKUP($A38,'Playoff Stats Pivot'!$A:$AE,7,0),"")+VLOOKUP($A38,'Halo Infinite Stats'!$A:$AH,8,0)</f>
        <v>85</v>
      </c>
      <c r="I38" s="829">
        <f>IFERROR(VLOOKUP($A38,'Playoff Stats Pivot'!$A:$AE,8,0),"")+VLOOKUP($A38,'Halo Infinite Stats'!$A:$AH,9,0)</f>
        <v>-31</v>
      </c>
      <c r="J38" s="830">
        <f t="shared" si="2"/>
        <v>0.6352941176</v>
      </c>
      <c r="K38" s="829">
        <f>IFERROR(VLOOKUP($A38,'Playoff Stats Pivot'!$A:$AE,9,0),"")+VLOOKUP($A38,'Halo Infinite Stats'!$A:$AH,11,0)</f>
        <v>0</v>
      </c>
      <c r="L38" s="831">
        <f>IFERROR(VLOOKUP($A38,'Playoff Stats Pivot'!$A:$AE,10,0),"")+VLOOKUP($A38,'Halo Infinite Stats'!$A:$AH,12,0)</f>
        <v>1415</v>
      </c>
      <c r="M38" s="832">
        <f t="shared" si="3"/>
        <v>12.64705882</v>
      </c>
      <c r="N38" s="829">
        <f>IFERROR(VLOOKUP($A38,'Playoff Stats Pivot'!$A:$AE,11,0),"")+VLOOKUP($A38,'Halo Infinite Stats'!$A:$AH,14,0)</f>
        <v>1</v>
      </c>
      <c r="O38" s="829">
        <f>IFERROR(VLOOKUP($A38,'Playoff Stats Pivot'!$A:$AE,12,0),"")+VLOOKUP($A38,'Halo Infinite Stats'!$A:$AH,15,0)</f>
        <v>0</v>
      </c>
      <c r="P38" s="829">
        <f>IFERROR(VLOOKUP($A38,'Playoff Stats Pivot'!$A:$AE,13,0),"")+VLOOKUP($A38,'Halo Infinite Stats'!$A:$AH,16,0)</f>
        <v>0</v>
      </c>
      <c r="Q38" s="829">
        <f>IFERROR(VLOOKUP($A38,'Playoff Stats Pivot'!$A:$AE,14,0),"")+VLOOKUP($A38,'Halo Infinite Stats'!$A:$AH,17,0)</f>
        <v>0</v>
      </c>
      <c r="R38" s="829">
        <f>IFERROR(VLOOKUP($A38,'Playoff Stats Pivot'!$A:$AE,15,0),"")+VLOOKUP($A38,'Halo Infinite Stats'!$A:$AH,18,0)</f>
        <v>0</v>
      </c>
      <c r="S38" s="829">
        <f>IFERROR(VLOOKUP($A38,'Playoff Stats Pivot'!$A:$AE,16,0),"")+VLOOKUP($A38,'Halo Infinite Stats'!$A:$AH,19,0)</f>
        <v>9</v>
      </c>
      <c r="T38" s="829">
        <f>IFERROR(VLOOKUP($A38,'Playoff Stats Pivot'!$A:$AE,17,0),"")+VLOOKUP($A38,'Halo Infinite Stats'!$A:$AH,20,0)</f>
        <v>2</v>
      </c>
      <c r="U38" s="829">
        <f>IFERROR(VLOOKUP($A38,'Playoff Stats Pivot'!$A:$AE,18,0),"")+VLOOKUP($A38,'Halo Infinite Stats'!$A:$AH,21,0)</f>
        <v>0</v>
      </c>
      <c r="V38" s="829">
        <f>IFERROR(VLOOKUP($A38,'Playoff Stats Pivot'!$A:$AE,19,0),"")+VLOOKUP($A38,'Halo Infinite Stats'!$A:$AH,22,0)</f>
        <v>0</v>
      </c>
      <c r="W38" s="829">
        <f>IFERROR(VLOOKUP($A38,'Playoff Stats Pivot'!$A:$AE,20,0),"")+VLOOKUP($A38,'Halo Infinite Stats'!$A:$AH,23,0)</f>
        <v>0</v>
      </c>
      <c r="X38" s="829">
        <f>IFERROR(VLOOKUP($A38,'Playoff Stats Pivot'!$A:$AE,21,0),"")+VLOOKUP($A38,'Halo Infinite Stats'!$A:$AH,24,0)</f>
        <v>0</v>
      </c>
      <c r="Y38" s="829">
        <f>IFERROR(VLOOKUP($A38,'Playoff Stats Pivot'!$A:$AE,22,0),"")+VLOOKUP($A38,'Halo Infinite Stats'!$A:$AH,25,0)</f>
        <v>0</v>
      </c>
      <c r="Z38" s="829">
        <f>IFERROR(VLOOKUP($A38,'Playoff Stats Pivot'!$A:$AE,23,0),"")+VLOOKUP($A38,'Halo Infinite Stats'!$A:$AH,26,0)</f>
        <v>0</v>
      </c>
      <c r="AA38" s="829">
        <f>IFERROR(VLOOKUP($A38,'Playoff Stats Pivot'!$A:$AE,24,0),"")+VLOOKUP($A38,'Halo Infinite Stats'!$A:$AH,27,0)</f>
        <v>0</v>
      </c>
      <c r="AB38" s="829">
        <f>IFERROR(VLOOKUP($A38,'Playoff Stats Pivot'!$A:$AE,25,0),"")+VLOOKUP($A38,'Halo Infinite Stats'!$A:$AH,28,0)</f>
        <v>0</v>
      </c>
      <c r="AC38" s="829">
        <f>IFERROR(VLOOKUP($A38,'Playoff Stats Pivot'!$A:$AE,26,0),"")+VLOOKUP($A38,'Halo Infinite Stats'!$A:$AH,29,0)</f>
        <v>4</v>
      </c>
      <c r="AD38" s="829">
        <f>IFERROR(VLOOKUP($A38,'Playoff Stats Pivot'!$A:$AE,27,0),"")+VLOOKUP($A38,'Halo Infinite Stats'!$A:$AH,30,0)</f>
        <v>0</v>
      </c>
      <c r="AE38" s="829">
        <f>IFERROR(VLOOKUP($A38,'Playoff Stats Pivot'!$A:$AE,28,0),"")+VLOOKUP($A38,'Halo Infinite Stats'!$A:$AH,31,0)</f>
        <v>0</v>
      </c>
      <c r="AF38" s="829">
        <f>IFERROR(VLOOKUP($A38,'Playoff Stats Pivot'!$A:$AE,29,0),"")+VLOOKUP($A38,'Halo Infinite Stats'!$A:$AH,32,0)</f>
        <v>0</v>
      </c>
      <c r="AG38" s="829">
        <f>IFERROR(VLOOKUP($A38,'Playoff Stats Pivot'!$A:$AE,30,0),"")+VLOOKUP($A38,'Halo Infinite Stats'!$A:$AH,33,0)</f>
        <v>0</v>
      </c>
      <c r="AH38" s="829">
        <f>IFERROR(VLOOKUP($A38,'Playoff Stats Pivot'!$A:$AE,31,0),"")+VLOOKUP($A38,'Halo Infinite Stats'!$A:$AH,34,0)</f>
        <v>0</v>
      </c>
      <c r="AI38" s="836">
        <f t="shared" si="4"/>
        <v>5.893992933</v>
      </c>
      <c r="AJ38" s="836">
        <f t="shared" si="5"/>
        <v>0.02374558304</v>
      </c>
      <c r="AK38" s="836">
        <f t="shared" si="6"/>
        <v>0.04240282686</v>
      </c>
      <c r="AL38" s="833">
        <f t="shared" si="10"/>
        <v>-0.8056537102</v>
      </c>
      <c r="AM38" s="836">
        <f t="shared" si="7"/>
        <v>0</v>
      </c>
      <c r="AN38" s="836">
        <f t="shared" si="11"/>
        <v>0.2037037037</v>
      </c>
      <c r="AO38" s="833">
        <f t="shared" si="8"/>
        <v>0.0007067137809</v>
      </c>
      <c r="AP38" s="833">
        <f t="shared" si="9"/>
        <v>-1.314487633</v>
      </c>
      <c r="AQ38" s="833" t="s">
        <v>350</v>
      </c>
      <c r="AR38" s="834" t="s">
        <v>373</v>
      </c>
    </row>
    <row r="39">
      <c r="A39" s="838" t="s">
        <v>106</v>
      </c>
      <c r="B39" s="829">
        <f t="shared" si="1"/>
        <v>29</v>
      </c>
      <c r="C39" s="829">
        <f>IFERROR(VLOOKUP($A39,'Playoff Stats Pivot'!$A:$AE,2,0),0)+VLOOKUP($A39,'Halo Infinite Stats'!$A:$AH,3,0)</f>
        <v>17</v>
      </c>
      <c r="D39" s="829">
        <f>IFERROR(VLOOKUP($A39,'Playoff Stats Pivot'!$A:$AE,3,0),"")+VLOOKUP($A39,'Halo Infinite Stats'!$A:$AH,4,0)</f>
        <v>12</v>
      </c>
      <c r="E39" s="829">
        <f>IFERROR(VLOOKUP($A39,'Playoff Stats Pivot'!$A:$AE,4,0),"")+VLOOKUP($A39,'Halo Infinite Stats'!$A:$AH,5,0)</f>
        <v>21</v>
      </c>
      <c r="F39" s="829">
        <f>IFERROR(VLOOKUP($A39,'Playoff Stats Pivot'!$A:$AE,5,0),"")+VLOOKUP($A39,'Halo Infinite Stats'!$A:$AH,6,0)</f>
        <v>79</v>
      </c>
      <c r="G39" s="829">
        <f>IFERROR(VLOOKUP($A39,'Playoff Stats Pivot'!$A:$AE,6,0),"")+VLOOKUP($A39,'Halo Infinite Stats'!$A:$AH,7,0)</f>
        <v>1362</v>
      </c>
      <c r="H39" s="829">
        <f>IFERROR(VLOOKUP($A39,'Playoff Stats Pivot'!$A:$AE,7,0),"")+VLOOKUP($A39,'Halo Infinite Stats'!$A:$AH,8,0)</f>
        <v>1511</v>
      </c>
      <c r="I39" s="829">
        <f>IFERROR(VLOOKUP($A39,'Playoff Stats Pivot'!$A:$AE,8,0),"")+VLOOKUP($A39,'Halo Infinite Stats'!$A:$AH,9,0)</f>
        <v>-149</v>
      </c>
      <c r="J39" s="830">
        <f t="shared" si="2"/>
        <v>0.9013898081</v>
      </c>
      <c r="K39" s="829">
        <f>IFERROR(VLOOKUP($A39,'Playoff Stats Pivot'!$A:$AE,9,0),"")+VLOOKUP($A39,'Halo Infinite Stats'!$A:$AH,11,0)</f>
        <v>3</v>
      </c>
      <c r="L39" s="831">
        <f>IFERROR(VLOOKUP($A39,'Playoff Stats Pivot'!$A:$AE,10,0),"")+VLOOKUP($A39,'Halo Infinite Stats'!$A:$AH,12,0)</f>
        <v>27549</v>
      </c>
      <c r="M39" s="832">
        <f t="shared" si="3"/>
        <v>14.23229649</v>
      </c>
      <c r="N39" s="829">
        <f>IFERROR(VLOOKUP($A39,'Playoff Stats Pivot'!$A:$AE,11,0),"")+VLOOKUP($A39,'Halo Infinite Stats'!$A:$AH,14,0)</f>
        <v>20</v>
      </c>
      <c r="O39" s="829">
        <f>IFERROR(VLOOKUP($A39,'Playoff Stats Pivot'!$A:$AE,12,0),"")+VLOOKUP($A39,'Halo Infinite Stats'!$A:$AH,15,0)</f>
        <v>1</v>
      </c>
      <c r="P39" s="829">
        <f>IFERROR(VLOOKUP($A39,'Playoff Stats Pivot'!$A:$AE,13,0),"")+VLOOKUP($A39,'Halo Infinite Stats'!$A:$AH,16,0)</f>
        <v>0</v>
      </c>
      <c r="Q39" s="829">
        <f>IFERROR(VLOOKUP($A39,'Playoff Stats Pivot'!$A:$AE,14,0),"")+VLOOKUP($A39,'Halo Infinite Stats'!$A:$AH,17,0)</f>
        <v>0</v>
      </c>
      <c r="R39" s="829">
        <f>IFERROR(VLOOKUP($A39,'Playoff Stats Pivot'!$A:$AE,15,0),"")+VLOOKUP($A39,'Halo Infinite Stats'!$A:$AH,18,0)</f>
        <v>21</v>
      </c>
      <c r="S39" s="829">
        <f>IFERROR(VLOOKUP($A39,'Playoff Stats Pivot'!$A:$AE,16,0),"")+VLOOKUP($A39,'Halo Infinite Stats'!$A:$AH,19,0)</f>
        <v>208</v>
      </c>
      <c r="T39" s="829">
        <f>IFERROR(VLOOKUP($A39,'Playoff Stats Pivot'!$A:$AE,17,0),"")+VLOOKUP($A39,'Halo Infinite Stats'!$A:$AH,20,0)</f>
        <v>58</v>
      </c>
      <c r="U39" s="829">
        <f>IFERROR(VLOOKUP($A39,'Playoff Stats Pivot'!$A:$AE,18,0),"")+VLOOKUP($A39,'Halo Infinite Stats'!$A:$AH,21,0)</f>
        <v>13</v>
      </c>
      <c r="V39" s="829">
        <f>IFERROR(VLOOKUP($A39,'Playoff Stats Pivot'!$A:$AE,19,0),"")+VLOOKUP($A39,'Halo Infinite Stats'!$A:$AH,22,0)</f>
        <v>2</v>
      </c>
      <c r="W39" s="829">
        <f>IFERROR(VLOOKUP($A39,'Playoff Stats Pivot'!$A:$AE,20,0),"")+VLOOKUP($A39,'Halo Infinite Stats'!$A:$AH,23,0)</f>
        <v>0</v>
      </c>
      <c r="X39" s="829">
        <f>IFERROR(VLOOKUP($A39,'Playoff Stats Pivot'!$A:$AE,21,0),"")+VLOOKUP($A39,'Halo Infinite Stats'!$A:$AH,24,0)</f>
        <v>0</v>
      </c>
      <c r="Y39" s="829">
        <f>IFERROR(VLOOKUP($A39,'Playoff Stats Pivot'!$A:$AE,22,0),"")+VLOOKUP($A39,'Halo Infinite Stats'!$A:$AH,25,0)</f>
        <v>0</v>
      </c>
      <c r="Z39" s="829">
        <f>IFERROR(VLOOKUP($A39,'Playoff Stats Pivot'!$A:$AE,23,0),"")+VLOOKUP($A39,'Halo Infinite Stats'!$A:$AH,26,0)</f>
        <v>0</v>
      </c>
      <c r="AA39" s="829">
        <f>IFERROR(VLOOKUP($A39,'Playoff Stats Pivot'!$A:$AE,24,0),"")+VLOOKUP($A39,'Halo Infinite Stats'!$A:$AH,27,0)</f>
        <v>0</v>
      </c>
      <c r="AB39" s="829">
        <f>IFERROR(VLOOKUP($A39,'Playoff Stats Pivot'!$A:$AE,25,0),"")+VLOOKUP($A39,'Halo Infinite Stats'!$A:$AH,28,0)</f>
        <v>1</v>
      </c>
      <c r="AC39" s="829">
        <f>IFERROR(VLOOKUP($A39,'Playoff Stats Pivot'!$A:$AE,26,0),"")+VLOOKUP($A39,'Halo Infinite Stats'!$A:$AH,29,0)</f>
        <v>241</v>
      </c>
      <c r="AD39" s="829">
        <f>IFERROR(VLOOKUP($A39,'Playoff Stats Pivot'!$A:$AE,27,0),"")+VLOOKUP($A39,'Halo Infinite Stats'!$A:$AH,30,0)</f>
        <v>1</v>
      </c>
      <c r="AE39" s="829">
        <f>IFERROR(VLOOKUP($A39,'Playoff Stats Pivot'!$A:$AE,28,0),"")+VLOOKUP($A39,'Halo Infinite Stats'!$A:$AH,31,0)</f>
        <v>5</v>
      </c>
      <c r="AF39" s="829">
        <f>IFERROR(VLOOKUP($A39,'Playoff Stats Pivot'!$A:$AE,29,0),"")+VLOOKUP($A39,'Halo Infinite Stats'!$A:$AH,32,0)</f>
        <v>1</v>
      </c>
      <c r="AG39" s="829">
        <f>IFERROR(VLOOKUP($A39,'Playoff Stats Pivot'!$A:$AE,30,0),"")+VLOOKUP($A39,'Halo Infinite Stats'!$A:$AH,33,0)</f>
        <v>16</v>
      </c>
      <c r="AH39" s="829">
        <f>IFERROR(VLOOKUP($A39,'Playoff Stats Pivot'!$A:$AE,31,0),"")+VLOOKUP($A39,'Halo Infinite Stats'!$A:$AH,34,0)</f>
        <v>13</v>
      </c>
      <c r="AI39" s="833">
        <f t="shared" si="4"/>
        <v>6.26374823</v>
      </c>
      <c r="AJ39" s="833">
        <f t="shared" si="5"/>
        <v>0.1030600022</v>
      </c>
      <c r="AK39" s="833">
        <f t="shared" si="6"/>
        <v>0.04355874986</v>
      </c>
      <c r="AL39" s="833">
        <f t="shared" si="10"/>
        <v>0.6260199473</v>
      </c>
      <c r="AM39" s="833">
        <f t="shared" si="7"/>
        <v>0.724137931</v>
      </c>
      <c r="AN39" s="833">
        <f t="shared" si="11"/>
        <v>0.2063142438</v>
      </c>
      <c r="AO39" s="833">
        <f t="shared" si="8"/>
        <v>0.002867617699</v>
      </c>
      <c r="AP39" s="833">
        <f t="shared" si="9"/>
        <v>-0.317978874</v>
      </c>
      <c r="AQ39" s="833" t="s">
        <v>350</v>
      </c>
      <c r="AR39" s="834" t="s">
        <v>374</v>
      </c>
    </row>
    <row r="40">
      <c r="A40" s="850" t="s">
        <v>149</v>
      </c>
      <c r="B40" s="829">
        <f t="shared" si="1"/>
        <v>44</v>
      </c>
      <c r="C40" s="829">
        <f>IFERROR(VLOOKUP($A40,'Playoff Stats Pivot'!$A:$AE,2,0),0)+VLOOKUP($A40,'Halo Infinite Stats'!$A:$AH,3,0)</f>
        <v>29</v>
      </c>
      <c r="D40" s="829">
        <f>IFERROR(VLOOKUP($A40,'Playoff Stats Pivot'!$A:$AE,3,0),"")+VLOOKUP($A40,'Halo Infinite Stats'!$A:$AH,4,0)</f>
        <v>15</v>
      </c>
      <c r="E40" s="829">
        <f>IFERROR(VLOOKUP($A40,'Playoff Stats Pivot'!$A:$AE,4,0),"")+VLOOKUP($A40,'Halo Infinite Stats'!$A:$AH,5,0)</f>
        <v>27</v>
      </c>
      <c r="F40" s="829">
        <f>IFERROR(VLOOKUP($A40,'Playoff Stats Pivot'!$A:$AE,5,0),"")+VLOOKUP($A40,'Halo Infinite Stats'!$A:$AH,6,0)</f>
        <v>69</v>
      </c>
      <c r="G40" s="829">
        <f>IFERROR(VLOOKUP($A40,'Playoff Stats Pivot'!$A:$AE,6,0),"")+VLOOKUP($A40,'Halo Infinite Stats'!$A:$AH,7,0)</f>
        <v>1966</v>
      </c>
      <c r="H40" s="829">
        <f>IFERROR(VLOOKUP($A40,'Playoff Stats Pivot'!$A:$AE,7,0),"")+VLOOKUP($A40,'Halo Infinite Stats'!$A:$AH,8,0)</f>
        <v>2073</v>
      </c>
      <c r="I40" s="829">
        <f>IFERROR(VLOOKUP($A40,'Playoff Stats Pivot'!$A:$AE,8,0),"")+VLOOKUP($A40,'Halo Infinite Stats'!$A:$AH,9,0)</f>
        <v>-107</v>
      </c>
      <c r="J40" s="830">
        <f t="shared" si="2"/>
        <v>0.9483839846</v>
      </c>
      <c r="K40" s="829">
        <f>IFERROR(VLOOKUP($A40,'Playoff Stats Pivot'!$A:$AE,9,0),"")+VLOOKUP($A40,'Halo Infinite Stats'!$A:$AH,11,0)</f>
        <v>11</v>
      </c>
      <c r="L40" s="831">
        <f>IFERROR(VLOOKUP($A40,'Playoff Stats Pivot'!$A:$AE,10,0),"")+VLOOKUP($A40,'Halo Infinite Stats'!$A:$AH,12,0)</f>
        <v>37033</v>
      </c>
      <c r="M40" s="832">
        <f t="shared" si="3"/>
        <v>13.86444766</v>
      </c>
      <c r="N40" s="829">
        <f>IFERROR(VLOOKUP($A40,'Playoff Stats Pivot'!$A:$AE,11,0),"")+VLOOKUP($A40,'Halo Infinite Stats'!$A:$AH,14,0)</f>
        <v>37</v>
      </c>
      <c r="O40" s="829">
        <f>IFERROR(VLOOKUP($A40,'Playoff Stats Pivot'!$A:$AE,12,0),"")+VLOOKUP($A40,'Halo Infinite Stats'!$A:$AH,15,0)</f>
        <v>0</v>
      </c>
      <c r="P40" s="829">
        <f>IFERROR(VLOOKUP($A40,'Playoff Stats Pivot'!$A:$AE,13,0),"")+VLOOKUP($A40,'Halo Infinite Stats'!$A:$AH,16,0)</f>
        <v>0</v>
      </c>
      <c r="Q40" s="829">
        <f>IFERROR(VLOOKUP($A40,'Playoff Stats Pivot'!$A:$AE,14,0),"")+VLOOKUP($A40,'Halo Infinite Stats'!$A:$AH,17,0)</f>
        <v>0</v>
      </c>
      <c r="R40" s="829">
        <f>IFERROR(VLOOKUP($A40,'Playoff Stats Pivot'!$A:$AE,15,0),"")+VLOOKUP($A40,'Halo Infinite Stats'!$A:$AH,18,0)</f>
        <v>24</v>
      </c>
      <c r="S40" s="829">
        <f>IFERROR(VLOOKUP($A40,'Playoff Stats Pivot'!$A:$AE,16,0),"")+VLOOKUP($A40,'Halo Infinite Stats'!$A:$AH,19,0)</f>
        <v>331</v>
      </c>
      <c r="T40" s="829">
        <f>IFERROR(VLOOKUP($A40,'Playoff Stats Pivot'!$A:$AE,17,0),"")+VLOOKUP($A40,'Halo Infinite Stats'!$A:$AH,20,0)</f>
        <v>98</v>
      </c>
      <c r="U40" s="829">
        <f>IFERROR(VLOOKUP($A40,'Playoff Stats Pivot'!$A:$AE,18,0),"")+VLOOKUP($A40,'Halo Infinite Stats'!$A:$AH,21,0)</f>
        <v>28</v>
      </c>
      <c r="V40" s="829">
        <f>IFERROR(VLOOKUP($A40,'Playoff Stats Pivot'!$A:$AE,19,0),"")+VLOOKUP($A40,'Halo Infinite Stats'!$A:$AH,22,0)</f>
        <v>9</v>
      </c>
      <c r="W40" s="829">
        <f>IFERROR(VLOOKUP($A40,'Playoff Stats Pivot'!$A:$AE,20,0),"")+VLOOKUP($A40,'Halo Infinite Stats'!$A:$AH,23,0)</f>
        <v>2</v>
      </c>
      <c r="X40" s="829">
        <f>IFERROR(VLOOKUP($A40,'Playoff Stats Pivot'!$A:$AE,21,0),"")+VLOOKUP($A40,'Halo Infinite Stats'!$A:$AH,24,0)</f>
        <v>0</v>
      </c>
      <c r="Y40" s="829">
        <f>IFERROR(VLOOKUP($A40,'Playoff Stats Pivot'!$A:$AE,22,0),"")+VLOOKUP($A40,'Halo Infinite Stats'!$A:$AH,25,0)</f>
        <v>0</v>
      </c>
      <c r="Z40" s="829">
        <f>IFERROR(VLOOKUP($A40,'Playoff Stats Pivot'!$A:$AE,23,0),"")+VLOOKUP($A40,'Halo Infinite Stats'!$A:$AH,26,0)</f>
        <v>0</v>
      </c>
      <c r="AA40" s="829">
        <f>IFERROR(VLOOKUP($A40,'Playoff Stats Pivot'!$A:$AE,24,0),"")+VLOOKUP($A40,'Halo Infinite Stats'!$A:$AH,27,0)</f>
        <v>0</v>
      </c>
      <c r="AB40" s="829">
        <f>IFERROR(VLOOKUP($A40,'Playoff Stats Pivot'!$A:$AE,25,0),"")+VLOOKUP($A40,'Halo Infinite Stats'!$A:$AH,28,0)</f>
        <v>0</v>
      </c>
      <c r="AC40" s="829">
        <f>IFERROR(VLOOKUP($A40,'Playoff Stats Pivot'!$A:$AE,26,0),"")+VLOOKUP($A40,'Halo Infinite Stats'!$A:$AH,29,0)</f>
        <v>378</v>
      </c>
      <c r="AD40" s="829">
        <f>IFERROR(VLOOKUP($A40,'Playoff Stats Pivot'!$A:$AE,27,0),"")+VLOOKUP($A40,'Halo Infinite Stats'!$A:$AH,30,0)</f>
        <v>0</v>
      </c>
      <c r="AE40" s="829">
        <f>IFERROR(VLOOKUP($A40,'Playoff Stats Pivot'!$A:$AE,28,0),"")+VLOOKUP($A40,'Halo Infinite Stats'!$A:$AH,31,0)</f>
        <v>1</v>
      </c>
      <c r="AF40" s="829">
        <f>IFERROR(VLOOKUP($A40,'Playoff Stats Pivot'!$A:$AE,29,0),"")+VLOOKUP($A40,'Halo Infinite Stats'!$A:$AH,32,0)</f>
        <v>2</v>
      </c>
      <c r="AG40" s="829">
        <f>IFERROR(VLOOKUP($A40,'Playoff Stats Pivot'!$A:$AE,30,0),"")+VLOOKUP($A40,'Halo Infinite Stats'!$A:$AH,33,0)</f>
        <v>25</v>
      </c>
      <c r="AH40" s="829">
        <f>IFERROR(VLOOKUP($A40,'Playoff Stats Pivot'!$A:$AE,31,0),"")+VLOOKUP($A40,'Halo Infinite Stats'!$A:$AH,34,0)</f>
        <v>20</v>
      </c>
      <c r="AI40" s="836">
        <f t="shared" si="4"/>
        <v>6.561715227</v>
      </c>
      <c r="AJ40" s="836">
        <f t="shared" si="5"/>
        <v>0.1132827478</v>
      </c>
      <c r="AK40" s="836">
        <f t="shared" si="6"/>
        <v>0.05994653417</v>
      </c>
      <c r="AL40" s="833">
        <f t="shared" si="10"/>
        <v>0.8699214214</v>
      </c>
      <c r="AM40" s="836">
        <f t="shared" si="7"/>
        <v>0.6136363636</v>
      </c>
      <c r="AN40" s="836">
        <f t="shared" si="11"/>
        <v>0.2380467955</v>
      </c>
      <c r="AO40" s="833">
        <f t="shared" si="8"/>
        <v>0.001863203089</v>
      </c>
      <c r="AP40" s="833">
        <f t="shared" si="9"/>
        <v>-0.1555369535</v>
      </c>
      <c r="AQ40" s="833" t="s">
        <v>338</v>
      </c>
      <c r="AR40" s="834" t="s">
        <v>375</v>
      </c>
    </row>
    <row r="41">
      <c r="A41" s="853" t="s">
        <v>9</v>
      </c>
      <c r="B41" s="829">
        <f t="shared" si="1"/>
        <v>18</v>
      </c>
      <c r="C41" s="829">
        <f>IFERROR(VLOOKUP($A41,'Playoff Stats Pivot'!$A:$AE,2,0),0)+VLOOKUP($A41,'Halo Infinite Stats'!$A:$AH,3,0)</f>
        <v>1</v>
      </c>
      <c r="D41" s="829">
        <f>IFERROR(VLOOKUP($A41,'Playoff Stats Pivot'!$A:$AE,3,0),"")+VLOOKUP($A41,'Halo Infinite Stats'!$A:$AH,4,0)</f>
        <v>17</v>
      </c>
      <c r="E41" s="829">
        <f>IFERROR(VLOOKUP($A41,'Playoff Stats Pivot'!$A:$AE,4,0),"")+VLOOKUP($A41,'Halo Infinite Stats'!$A:$AH,5,0)</f>
        <v>0</v>
      </c>
      <c r="F41" s="829">
        <f>IFERROR(VLOOKUP($A41,'Playoff Stats Pivot'!$A:$AE,5,0),"")+VLOOKUP($A41,'Halo Infinite Stats'!$A:$AH,6,0)</f>
        <v>17</v>
      </c>
      <c r="G41" s="829">
        <f>IFERROR(VLOOKUP($A41,'Playoff Stats Pivot'!$A:$AE,6,0),"")+VLOOKUP($A41,'Halo Infinite Stats'!$A:$AH,7,0)</f>
        <v>545</v>
      </c>
      <c r="H41" s="829">
        <f>IFERROR(VLOOKUP($A41,'Playoff Stats Pivot'!$A:$AE,7,0),"")+VLOOKUP($A41,'Halo Infinite Stats'!$A:$AH,8,0)</f>
        <v>902</v>
      </c>
      <c r="I41" s="829">
        <f>IFERROR(VLOOKUP($A41,'Playoff Stats Pivot'!$A:$AE,8,0),"")+VLOOKUP($A41,'Halo Infinite Stats'!$A:$AH,9,0)</f>
        <v>-357</v>
      </c>
      <c r="J41" s="830">
        <f t="shared" si="2"/>
        <v>0.6042128603</v>
      </c>
      <c r="K41" s="829">
        <f>IFERROR(VLOOKUP($A41,'Playoff Stats Pivot'!$A:$AE,9,0),"")+VLOOKUP($A41,'Halo Infinite Stats'!$A:$AH,11,0)</f>
        <v>0</v>
      </c>
      <c r="L41" s="831">
        <f>IFERROR(VLOOKUP($A41,'Playoff Stats Pivot'!$A:$AE,10,0),"")+VLOOKUP($A41,'Halo Infinite Stats'!$A:$AH,12,0)</f>
        <v>14768</v>
      </c>
      <c r="M41" s="832">
        <f t="shared" si="3"/>
        <v>12.37250554</v>
      </c>
      <c r="N41" s="829">
        <f>IFERROR(VLOOKUP($A41,'Playoff Stats Pivot'!$A:$AE,11,0),"")+VLOOKUP($A41,'Halo Infinite Stats'!$A:$AH,14,0)</f>
        <v>5</v>
      </c>
      <c r="O41" s="829">
        <f>IFERROR(VLOOKUP($A41,'Playoff Stats Pivot'!$A:$AE,12,0),"")+VLOOKUP($A41,'Halo Infinite Stats'!$A:$AH,15,0)</f>
        <v>0</v>
      </c>
      <c r="P41" s="829">
        <f>IFERROR(VLOOKUP($A41,'Playoff Stats Pivot'!$A:$AE,13,0),"")+VLOOKUP($A41,'Halo Infinite Stats'!$A:$AH,16,0)</f>
        <v>0</v>
      </c>
      <c r="Q41" s="829">
        <f>IFERROR(VLOOKUP($A41,'Playoff Stats Pivot'!$A:$AE,14,0),"")+VLOOKUP($A41,'Halo Infinite Stats'!$A:$AH,17,0)</f>
        <v>0</v>
      </c>
      <c r="R41" s="829">
        <f>IFERROR(VLOOKUP($A41,'Playoff Stats Pivot'!$A:$AE,15,0),"")+VLOOKUP($A41,'Halo Infinite Stats'!$A:$AH,18,0)</f>
        <v>9</v>
      </c>
      <c r="S41" s="829">
        <f>IFERROR(VLOOKUP($A41,'Playoff Stats Pivot'!$A:$AE,16,0),"")+VLOOKUP($A41,'Halo Infinite Stats'!$A:$AH,19,0)</f>
        <v>75</v>
      </c>
      <c r="T41" s="829">
        <f>IFERROR(VLOOKUP($A41,'Playoff Stats Pivot'!$A:$AE,17,0),"")+VLOOKUP($A41,'Halo Infinite Stats'!$A:$AH,20,0)</f>
        <v>12</v>
      </c>
      <c r="U41" s="829">
        <f>IFERROR(VLOOKUP($A41,'Playoff Stats Pivot'!$A:$AE,18,0),"")+VLOOKUP($A41,'Halo Infinite Stats'!$A:$AH,21,0)</f>
        <v>2</v>
      </c>
      <c r="V41" s="829">
        <f>IFERROR(VLOOKUP($A41,'Playoff Stats Pivot'!$A:$AE,19,0),"")+VLOOKUP($A41,'Halo Infinite Stats'!$A:$AH,22,0)</f>
        <v>0</v>
      </c>
      <c r="W41" s="829">
        <f>IFERROR(VLOOKUP($A41,'Playoff Stats Pivot'!$A:$AE,20,0),"")+VLOOKUP($A41,'Halo Infinite Stats'!$A:$AH,23,0)</f>
        <v>0</v>
      </c>
      <c r="X41" s="829">
        <f>IFERROR(VLOOKUP($A41,'Playoff Stats Pivot'!$A:$AE,21,0),"")+VLOOKUP($A41,'Halo Infinite Stats'!$A:$AH,24,0)</f>
        <v>0</v>
      </c>
      <c r="Y41" s="829">
        <f>IFERROR(VLOOKUP($A41,'Playoff Stats Pivot'!$A:$AE,22,0),"")+VLOOKUP($A41,'Halo Infinite Stats'!$A:$AH,25,0)</f>
        <v>0</v>
      </c>
      <c r="Z41" s="829">
        <f>IFERROR(VLOOKUP($A41,'Playoff Stats Pivot'!$A:$AE,23,0),"")+VLOOKUP($A41,'Halo Infinite Stats'!$A:$AH,26,0)</f>
        <v>0</v>
      </c>
      <c r="AA41" s="829">
        <f>IFERROR(VLOOKUP($A41,'Playoff Stats Pivot'!$A:$AE,24,0),"")+VLOOKUP($A41,'Halo Infinite Stats'!$A:$AH,27,0)</f>
        <v>0</v>
      </c>
      <c r="AB41" s="829">
        <f>IFERROR(VLOOKUP($A41,'Playoff Stats Pivot'!$A:$AE,25,0),"")+VLOOKUP($A41,'Halo Infinite Stats'!$A:$AH,28,0)</f>
        <v>0</v>
      </c>
      <c r="AC41" s="829">
        <f>IFERROR(VLOOKUP($A41,'Playoff Stats Pivot'!$A:$AE,26,0),"")+VLOOKUP($A41,'Halo Infinite Stats'!$A:$AH,29,0)</f>
        <v>71</v>
      </c>
      <c r="AD41" s="829">
        <f>IFERROR(VLOOKUP($A41,'Playoff Stats Pivot'!$A:$AE,27,0),"")+VLOOKUP($A41,'Halo Infinite Stats'!$A:$AH,30,0)</f>
        <v>0</v>
      </c>
      <c r="AE41" s="829">
        <f>IFERROR(VLOOKUP($A41,'Playoff Stats Pivot'!$A:$AE,28,0),"")+VLOOKUP($A41,'Halo Infinite Stats'!$A:$AH,31,0)</f>
        <v>0</v>
      </c>
      <c r="AF41" s="829">
        <f>IFERROR(VLOOKUP($A41,'Playoff Stats Pivot'!$A:$AE,29,0),"")+VLOOKUP($A41,'Halo Infinite Stats'!$A:$AH,32,0)</f>
        <v>0</v>
      </c>
      <c r="AG41" s="829">
        <f>IFERROR(VLOOKUP($A41,'Playoff Stats Pivot'!$A:$AE,30,0),"")+VLOOKUP($A41,'Halo Infinite Stats'!$A:$AH,33,0)</f>
        <v>9</v>
      </c>
      <c r="AH41" s="829">
        <f>IFERROR(VLOOKUP($A41,'Playoff Stats Pivot'!$A:$AE,31,0),"")+VLOOKUP($A41,'Halo Infinite Stats'!$A:$AH,34,0)</f>
        <v>4</v>
      </c>
      <c r="AI41" s="833">
        <f t="shared" si="4"/>
        <v>5.878927411</v>
      </c>
      <c r="AJ41" s="833">
        <f t="shared" si="5"/>
        <v>0.03624052004</v>
      </c>
      <c r="AK41" s="833">
        <f t="shared" si="6"/>
        <v>0.02031419285</v>
      </c>
      <c r="AL41" s="833">
        <f t="shared" si="10"/>
        <v>-1.031960997</v>
      </c>
      <c r="AM41" s="833">
        <f t="shared" si="7"/>
        <v>0</v>
      </c>
      <c r="AN41" s="833">
        <f t="shared" si="11"/>
        <v>0.1633027523</v>
      </c>
      <c r="AO41" s="833">
        <f t="shared" si="8"/>
        <v>0.001151137595</v>
      </c>
      <c r="AP41" s="833">
        <f t="shared" si="9"/>
        <v>-1.450433369</v>
      </c>
      <c r="AQ41" s="833" t="s">
        <v>171</v>
      </c>
      <c r="AR41" s="834" t="s">
        <v>376</v>
      </c>
    </row>
    <row r="42">
      <c r="A42" s="837" t="s">
        <v>222</v>
      </c>
      <c r="B42" s="829">
        <f t="shared" si="1"/>
        <v>18</v>
      </c>
      <c r="C42" s="829">
        <f>IFERROR(VLOOKUP($A42,'Playoff Stats Pivot'!$A:$AE,2,0),0)+VLOOKUP($A42,'Halo Infinite Stats'!$A:$AH,3,0)</f>
        <v>3</v>
      </c>
      <c r="D42" s="829">
        <f>IFERROR(VLOOKUP($A42,'Playoff Stats Pivot'!$A:$AE,3,0),"")+VLOOKUP($A42,'Halo Infinite Stats'!$A:$AH,4,0)</f>
        <v>15</v>
      </c>
      <c r="E42" s="829">
        <f>IFERROR(VLOOKUP($A42,'Playoff Stats Pivot'!$A:$AE,4,0),"")+VLOOKUP($A42,'Halo Infinite Stats'!$A:$AH,5,0)</f>
        <v>9</v>
      </c>
      <c r="F42" s="829">
        <f>IFERROR(VLOOKUP($A42,'Playoff Stats Pivot'!$A:$AE,5,0),"")+VLOOKUP($A42,'Halo Infinite Stats'!$A:$AH,6,0)</f>
        <v>12</v>
      </c>
      <c r="G42" s="829">
        <f>IFERROR(VLOOKUP($A42,'Playoff Stats Pivot'!$A:$AE,6,0),"")+VLOOKUP($A42,'Halo Infinite Stats'!$A:$AH,7,0)</f>
        <v>464</v>
      </c>
      <c r="H42" s="829">
        <f>IFERROR(VLOOKUP($A42,'Playoff Stats Pivot'!$A:$AE,7,0),"")+VLOOKUP($A42,'Halo Infinite Stats'!$A:$AH,8,0)</f>
        <v>981</v>
      </c>
      <c r="I42" s="829">
        <f>IFERROR(VLOOKUP($A42,'Playoff Stats Pivot'!$A:$AE,8,0),"")+VLOOKUP($A42,'Halo Infinite Stats'!$A:$AH,9,0)</f>
        <v>-517</v>
      </c>
      <c r="J42" s="830">
        <f t="shared" si="2"/>
        <v>0.4729867482</v>
      </c>
      <c r="K42" s="829">
        <f>IFERROR(VLOOKUP($A42,'Playoff Stats Pivot'!$A:$AE,9,0),"")+VLOOKUP($A42,'Halo Infinite Stats'!$A:$AH,11,0)</f>
        <v>0</v>
      </c>
      <c r="L42" s="831">
        <f>IFERROR(VLOOKUP($A42,'Playoff Stats Pivot'!$A:$AE,10,0),"")+VLOOKUP($A42,'Halo Infinite Stats'!$A:$AH,12,0)</f>
        <v>12317</v>
      </c>
      <c r="M42" s="832">
        <f t="shared" si="3"/>
        <v>8.555555556</v>
      </c>
      <c r="N42" s="829">
        <f>IFERROR(VLOOKUP($A42,'Playoff Stats Pivot'!$A:$AE,11,0),"")+VLOOKUP($A42,'Halo Infinite Stats'!$A:$AH,14,0)</f>
        <v>3</v>
      </c>
      <c r="O42" s="829">
        <f>IFERROR(VLOOKUP($A42,'Playoff Stats Pivot'!$A:$AE,12,0),"")+VLOOKUP($A42,'Halo Infinite Stats'!$A:$AH,15,0)</f>
        <v>0</v>
      </c>
      <c r="P42" s="829">
        <f>IFERROR(VLOOKUP($A42,'Playoff Stats Pivot'!$A:$AE,13,0),"")+VLOOKUP($A42,'Halo Infinite Stats'!$A:$AH,16,0)</f>
        <v>0</v>
      </c>
      <c r="Q42" s="829">
        <f>IFERROR(VLOOKUP($A42,'Playoff Stats Pivot'!$A:$AE,14,0),"")+VLOOKUP($A42,'Halo Infinite Stats'!$A:$AH,17,0)</f>
        <v>0</v>
      </c>
      <c r="R42" s="829">
        <f>IFERROR(VLOOKUP($A42,'Playoff Stats Pivot'!$A:$AE,15,0),"")+VLOOKUP($A42,'Halo Infinite Stats'!$A:$AH,18,0)</f>
        <v>9</v>
      </c>
      <c r="S42" s="829">
        <f>IFERROR(VLOOKUP($A42,'Playoff Stats Pivot'!$A:$AE,16,0),"")+VLOOKUP($A42,'Halo Infinite Stats'!$A:$AH,19,0)</f>
        <v>55</v>
      </c>
      <c r="T42" s="829">
        <f>IFERROR(VLOOKUP($A42,'Playoff Stats Pivot'!$A:$AE,17,0),"")+VLOOKUP($A42,'Halo Infinite Stats'!$A:$AH,20,0)</f>
        <v>10</v>
      </c>
      <c r="U42" s="829">
        <f>IFERROR(VLOOKUP($A42,'Playoff Stats Pivot'!$A:$AE,18,0),"")+VLOOKUP($A42,'Halo Infinite Stats'!$A:$AH,21,0)</f>
        <v>4</v>
      </c>
      <c r="V42" s="829">
        <f>IFERROR(VLOOKUP($A42,'Playoff Stats Pivot'!$A:$AE,19,0),"")+VLOOKUP($A42,'Halo Infinite Stats'!$A:$AH,22,0)</f>
        <v>2</v>
      </c>
      <c r="W42" s="829">
        <f>IFERROR(VLOOKUP($A42,'Playoff Stats Pivot'!$A:$AE,20,0),"")+VLOOKUP($A42,'Halo Infinite Stats'!$A:$AH,23,0)</f>
        <v>0</v>
      </c>
      <c r="X42" s="829">
        <f>IFERROR(VLOOKUP($A42,'Playoff Stats Pivot'!$A:$AE,21,0),"")+VLOOKUP($A42,'Halo Infinite Stats'!$A:$AH,24,0)</f>
        <v>0</v>
      </c>
      <c r="Y42" s="829">
        <f>IFERROR(VLOOKUP($A42,'Playoff Stats Pivot'!$A:$AE,22,0),"")+VLOOKUP($A42,'Halo Infinite Stats'!$A:$AH,25,0)</f>
        <v>0</v>
      </c>
      <c r="Z42" s="829">
        <f>IFERROR(VLOOKUP($A42,'Playoff Stats Pivot'!$A:$AE,23,0),"")+VLOOKUP($A42,'Halo Infinite Stats'!$A:$AH,26,0)</f>
        <v>0</v>
      </c>
      <c r="AA42" s="829">
        <f>IFERROR(VLOOKUP($A42,'Playoff Stats Pivot'!$A:$AE,24,0),"")+VLOOKUP($A42,'Halo Infinite Stats'!$A:$AH,27,0)</f>
        <v>0</v>
      </c>
      <c r="AB42" s="829">
        <f>IFERROR(VLOOKUP($A42,'Playoff Stats Pivot'!$A:$AE,25,0),"")+VLOOKUP($A42,'Halo Infinite Stats'!$A:$AH,28,0)</f>
        <v>0</v>
      </c>
      <c r="AC42" s="829">
        <f>IFERROR(VLOOKUP($A42,'Playoff Stats Pivot'!$A:$AE,26,0),"")+VLOOKUP($A42,'Halo Infinite Stats'!$A:$AH,29,0)</f>
        <v>71</v>
      </c>
      <c r="AD42" s="829">
        <f>IFERROR(VLOOKUP($A42,'Playoff Stats Pivot'!$A:$AE,27,0),"")+VLOOKUP($A42,'Halo Infinite Stats'!$A:$AH,30,0)</f>
        <v>0</v>
      </c>
      <c r="AE42" s="829">
        <f>IFERROR(VLOOKUP($A42,'Playoff Stats Pivot'!$A:$AE,28,0),"")+VLOOKUP($A42,'Halo Infinite Stats'!$A:$AH,31,0)</f>
        <v>0</v>
      </c>
      <c r="AF42" s="829">
        <f>IFERROR(VLOOKUP($A42,'Playoff Stats Pivot'!$A:$AE,29,0),"")+VLOOKUP($A42,'Halo Infinite Stats'!$A:$AH,32,0)</f>
        <v>0</v>
      </c>
      <c r="AG42" s="829">
        <f>IFERROR(VLOOKUP($A42,'Playoff Stats Pivot'!$A:$AE,30,0),"")+VLOOKUP($A42,'Halo Infinite Stats'!$A:$AH,33,0)</f>
        <v>16</v>
      </c>
      <c r="AH42" s="829">
        <f>IFERROR(VLOOKUP($A42,'Playoff Stats Pivot'!$A:$AE,31,0),"")+VLOOKUP($A42,'Halo Infinite Stats'!$A:$AH,34,0)</f>
        <v>1</v>
      </c>
      <c r="AI42" s="836">
        <f t="shared" si="4"/>
        <v>7.039051717</v>
      </c>
      <c r="AJ42" s="836">
        <f t="shared" si="5"/>
        <v>0.07774620443</v>
      </c>
      <c r="AK42" s="836">
        <f t="shared" si="6"/>
        <v>0.0146139482</v>
      </c>
      <c r="AL42" s="833">
        <f t="shared" si="10"/>
        <v>-1.514151173</v>
      </c>
      <c r="AM42" s="836">
        <f t="shared" si="7"/>
        <v>0.5</v>
      </c>
      <c r="AN42" s="836">
        <f t="shared" si="11"/>
        <v>0.1530172414</v>
      </c>
      <c r="AO42" s="833">
        <f t="shared" si="8"/>
        <v>0.0009742632134</v>
      </c>
      <c r="AP42" s="833">
        <f t="shared" si="9"/>
        <v>-2.518470407</v>
      </c>
      <c r="AQ42" s="833" t="s">
        <v>350</v>
      </c>
      <c r="AR42" s="834" t="s">
        <v>377</v>
      </c>
    </row>
    <row r="43">
      <c r="A43" s="854" t="s">
        <v>62</v>
      </c>
      <c r="B43" s="829">
        <f t="shared" si="1"/>
        <v>27</v>
      </c>
      <c r="C43" s="829">
        <f>IFERROR(VLOOKUP($A43,'Playoff Stats Pivot'!$A:$AE,2,0),0)+VLOOKUP($A43,'Halo Infinite Stats'!$A:$AH,3,0)</f>
        <v>17</v>
      </c>
      <c r="D43" s="829">
        <f>IFERROR(VLOOKUP($A43,'Playoff Stats Pivot'!$A:$AE,3,0),"")+VLOOKUP($A43,'Halo Infinite Stats'!$A:$AH,4,0)</f>
        <v>10</v>
      </c>
      <c r="E43" s="829">
        <f>IFERROR(VLOOKUP($A43,'Playoff Stats Pivot'!$A:$AE,4,0),"")+VLOOKUP($A43,'Halo Infinite Stats'!$A:$AH,5,0)</f>
        <v>41</v>
      </c>
      <c r="F43" s="829">
        <f>IFERROR(VLOOKUP($A43,'Playoff Stats Pivot'!$A:$AE,5,0),"")+VLOOKUP($A43,'Halo Infinite Stats'!$A:$AH,6,0)</f>
        <v>129</v>
      </c>
      <c r="G43" s="829">
        <f>IFERROR(VLOOKUP($A43,'Playoff Stats Pivot'!$A:$AE,6,0),"")+VLOOKUP($A43,'Halo Infinite Stats'!$A:$AH,7,0)</f>
        <v>1408</v>
      </c>
      <c r="H43" s="829">
        <f>IFERROR(VLOOKUP($A43,'Playoff Stats Pivot'!$A:$AE,7,0),"")+VLOOKUP($A43,'Halo Infinite Stats'!$A:$AH,8,0)</f>
        <v>1267</v>
      </c>
      <c r="I43" s="829">
        <f>IFERROR(VLOOKUP($A43,'Playoff Stats Pivot'!$A:$AE,8,0),"")+VLOOKUP($A43,'Halo Infinite Stats'!$A:$AH,9,0)</f>
        <v>141</v>
      </c>
      <c r="J43" s="830">
        <f t="shared" si="2"/>
        <v>1.111286504</v>
      </c>
      <c r="K43" s="829">
        <f>IFERROR(VLOOKUP($A43,'Playoff Stats Pivot'!$A:$AE,9,0),"")+VLOOKUP($A43,'Halo Infinite Stats'!$A:$AH,11,0)</f>
        <v>1</v>
      </c>
      <c r="L43" s="831">
        <f>IFERROR(VLOOKUP($A43,'Playoff Stats Pivot'!$A:$AE,10,0),"")+VLOOKUP($A43,'Halo Infinite Stats'!$A:$AH,12,0)</f>
        <v>24965</v>
      </c>
      <c r="M43" s="832">
        <f t="shared" si="3"/>
        <v>15.70402526</v>
      </c>
      <c r="N43" s="829">
        <f>IFERROR(VLOOKUP($A43,'Playoff Stats Pivot'!$A:$AE,11,0),"")+VLOOKUP($A43,'Halo Infinite Stats'!$A:$AH,14,0)</f>
        <v>34</v>
      </c>
      <c r="O43" s="829">
        <f>IFERROR(VLOOKUP($A43,'Playoff Stats Pivot'!$A:$AE,12,0),"")+VLOOKUP($A43,'Halo Infinite Stats'!$A:$AH,15,0)</f>
        <v>2</v>
      </c>
      <c r="P43" s="829">
        <f>IFERROR(VLOOKUP($A43,'Playoff Stats Pivot'!$A:$AE,13,0),"")+VLOOKUP($A43,'Halo Infinite Stats'!$A:$AH,16,0)</f>
        <v>0</v>
      </c>
      <c r="Q43" s="829">
        <f>IFERROR(VLOOKUP($A43,'Playoff Stats Pivot'!$A:$AE,14,0),"")+VLOOKUP($A43,'Halo Infinite Stats'!$A:$AH,17,0)</f>
        <v>0</v>
      </c>
      <c r="R43" s="829">
        <f>IFERROR(VLOOKUP($A43,'Playoff Stats Pivot'!$A:$AE,15,0),"")+VLOOKUP($A43,'Halo Infinite Stats'!$A:$AH,18,0)</f>
        <v>16</v>
      </c>
      <c r="S43" s="829">
        <f>IFERROR(VLOOKUP($A43,'Playoff Stats Pivot'!$A:$AE,16,0),"")+VLOOKUP($A43,'Halo Infinite Stats'!$A:$AH,19,0)</f>
        <v>242</v>
      </c>
      <c r="T43" s="829">
        <f>IFERROR(VLOOKUP($A43,'Playoff Stats Pivot'!$A:$AE,17,0),"")+VLOOKUP($A43,'Halo Infinite Stats'!$A:$AH,20,0)</f>
        <v>78</v>
      </c>
      <c r="U43" s="829">
        <f>IFERROR(VLOOKUP($A43,'Playoff Stats Pivot'!$A:$AE,18,0),"")+VLOOKUP($A43,'Halo Infinite Stats'!$A:$AH,21,0)</f>
        <v>28</v>
      </c>
      <c r="V43" s="829">
        <f>IFERROR(VLOOKUP($A43,'Playoff Stats Pivot'!$A:$AE,19,0),"")+VLOOKUP($A43,'Halo Infinite Stats'!$A:$AH,22,0)</f>
        <v>3</v>
      </c>
      <c r="W43" s="829">
        <f>IFERROR(VLOOKUP($A43,'Playoff Stats Pivot'!$A:$AE,20,0),"")+VLOOKUP($A43,'Halo Infinite Stats'!$A:$AH,23,0)</f>
        <v>2</v>
      </c>
      <c r="X43" s="829">
        <f>IFERROR(VLOOKUP($A43,'Playoff Stats Pivot'!$A:$AE,21,0),"")+VLOOKUP($A43,'Halo Infinite Stats'!$A:$AH,24,0)</f>
        <v>1</v>
      </c>
      <c r="Y43" s="829">
        <f>IFERROR(VLOOKUP($A43,'Playoff Stats Pivot'!$A:$AE,22,0),"")+VLOOKUP($A43,'Halo Infinite Stats'!$A:$AH,25,0)</f>
        <v>1</v>
      </c>
      <c r="Z43" s="829">
        <f>IFERROR(VLOOKUP($A43,'Playoff Stats Pivot'!$A:$AE,23,0),"")+VLOOKUP($A43,'Halo Infinite Stats'!$A:$AH,26,0)</f>
        <v>1</v>
      </c>
      <c r="AA43" s="829">
        <f>IFERROR(VLOOKUP($A43,'Playoff Stats Pivot'!$A:$AE,24,0),"")+VLOOKUP($A43,'Halo Infinite Stats'!$A:$AH,27,0)</f>
        <v>1</v>
      </c>
      <c r="AB43" s="829">
        <f>IFERROR(VLOOKUP($A43,'Playoff Stats Pivot'!$A:$AE,25,0),"")+VLOOKUP($A43,'Halo Infinite Stats'!$A:$AH,28,0)</f>
        <v>2</v>
      </c>
      <c r="AC43" s="829">
        <f>IFERROR(VLOOKUP($A43,'Playoff Stats Pivot'!$A:$AE,26,0),"")+VLOOKUP($A43,'Halo Infinite Stats'!$A:$AH,29,0)</f>
        <v>287</v>
      </c>
      <c r="AD43" s="829">
        <f>IFERROR(VLOOKUP($A43,'Playoff Stats Pivot'!$A:$AE,27,0),"")+VLOOKUP($A43,'Halo Infinite Stats'!$A:$AH,30,0)</f>
        <v>0</v>
      </c>
      <c r="AE43" s="829">
        <f>IFERROR(VLOOKUP($A43,'Playoff Stats Pivot'!$A:$AE,28,0),"")+VLOOKUP($A43,'Halo Infinite Stats'!$A:$AH,31,0)</f>
        <v>3</v>
      </c>
      <c r="AF43" s="829">
        <f>IFERROR(VLOOKUP($A43,'Playoff Stats Pivot'!$A:$AE,29,0),"")+VLOOKUP($A43,'Halo Infinite Stats'!$A:$AH,32,0)</f>
        <v>0</v>
      </c>
      <c r="AG43" s="829">
        <f>IFERROR(VLOOKUP($A43,'Playoff Stats Pivot'!$A:$AE,30,0),"")+VLOOKUP($A43,'Halo Infinite Stats'!$A:$AH,33,0)</f>
        <v>26</v>
      </c>
      <c r="AH43" s="829">
        <f>IFERROR(VLOOKUP($A43,'Playoff Stats Pivot'!$A:$AE,31,0),"")+VLOOKUP($A43,'Halo Infinite Stats'!$A:$AH,34,0)</f>
        <v>1</v>
      </c>
      <c r="AI43" s="833">
        <f t="shared" si="4"/>
        <v>6.431403966</v>
      </c>
      <c r="AJ43" s="833">
        <f t="shared" si="5"/>
        <v>0.1681393952</v>
      </c>
      <c r="AK43" s="833">
        <f t="shared" si="6"/>
        <v>0.08171440016</v>
      </c>
      <c r="AL43" s="833">
        <f t="shared" si="10"/>
        <v>1.804203532</v>
      </c>
      <c r="AM43" s="833">
        <f t="shared" si="7"/>
        <v>1.518518519</v>
      </c>
      <c r="AN43" s="833">
        <f t="shared" si="11"/>
        <v>0.2535511364</v>
      </c>
      <c r="AO43" s="833">
        <f t="shared" si="8"/>
        <v>0.005167234128</v>
      </c>
      <c r="AP43" s="833">
        <f t="shared" si="9"/>
        <v>0.3412777889</v>
      </c>
      <c r="AQ43" s="833" t="s">
        <v>336</v>
      </c>
      <c r="AR43" s="834" t="s">
        <v>378</v>
      </c>
    </row>
    <row r="44" hidden="1">
      <c r="A44" s="855"/>
      <c r="B44" s="566"/>
      <c r="C44" s="566"/>
      <c r="D44" s="566"/>
      <c r="E44" s="566"/>
      <c r="F44" s="566"/>
      <c r="G44" s="566"/>
      <c r="H44" s="566"/>
      <c r="I44" s="856"/>
      <c r="J44" s="566"/>
      <c r="K44" s="856"/>
      <c r="L44" s="857"/>
      <c r="M44" s="566"/>
      <c r="N44" s="566"/>
      <c r="O44" s="566"/>
      <c r="P44" s="566"/>
      <c r="Q44" s="566"/>
      <c r="R44" s="566"/>
      <c r="S44" s="566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858"/>
      <c r="AI44" s="833" t="str">
        <f t="shared" si="4"/>
        <v>#DIV/0!</v>
      </c>
      <c r="AJ44" s="833" t="str">
        <f t="shared" si="5"/>
        <v>#DIV/0!</v>
      </c>
      <c r="AK44" s="833" t="str">
        <f t="shared" si="6"/>
        <v>#DIV/0!</v>
      </c>
      <c r="AL44" s="833" t="str">
        <f t="shared" si="10"/>
        <v>#DIV/0!</v>
      </c>
      <c r="AM44" s="833" t="str">
        <f t="shared" si="7"/>
        <v>#DIV/0!</v>
      </c>
      <c r="AN44" s="833" t="str">
        <f t="shared" si="11"/>
        <v>#DIV/0!</v>
      </c>
      <c r="AO44" s="833" t="str">
        <f t="shared" ref="AO44:AO50" si="12">F44/B44</f>
        <v>#DIV/0!</v>
      </c>
      <c r="AP44" s="833" t="str">
        <f t="shared" si="9"/>
        <v>#DIV/0!</v>
      </c>
      <c r="AQ44" s="858"/>
      <c r="AR44" s="859"/>
    </row>
    <row r="45" hidden="1">
      <c r="A45" s="175"/>
      <c r="B45" s="11"/>
      <c r="C45" s="11"/>
      <c r="D45" s="11"/>
      <c r="E45" s="11"/>
      <c r="F45" s="173"/>
      <c r="G45" s="11"/>
      <c r="H45" s="11"/>
      <c r="I45" s="860"/>
      <c r="J45" s="11"/>
      <c r="K45" s="86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861"/>
      <c r="AI45" s="833" t="str">
        <f t="shared" si="4"/>
        <v>#DIV/0!</v>
      </c>
      <c r="AJ45" s="833" t="str">
        <f t="shared" si="5"/>
        <v>#DIV/0!</v>
      </c>
      <c r="AK45" s="833" t="str">
        <f t="shared" si="6"/>
        <v>#DIV/0!</v>
      </c>
      <c r="AL45" s="833" t="str">
        <f t="shared" si="10"/>
        <v>#DIV/0!</v>
      </c>
      <c r="AM45" s="833" t="str">
        <f t="shared" si="7"/>
        <v>#DIV/0!</v>
      </c>
      <c r="AN45" s="833" t="str">
        <f t="shared" si="11"/>
        <v>#DIV/0!</v>
      </c>
      <c r="AO45" s="833" t="str">
        <f t="shared" si="12"/>
        <v>#DIV/0!</v>
      </c>
      <c r="AP45" s="833" t="str">
        <f t="shared" si="9"/>
        <v>#DIV/0!</v>
      </c>
      <c r="AQ45" s="861"/>
      <c r="AR45" s="862"/>
    </row>
    <row r="46" hidden="1">
      <c r="A46" s="175"/>
      <c r="B46" s="11"/>
      <c r="C46" s="11"/>
      <c r="D46" s="11"/>
      <c r="E46" s="11"/>
      <c r="F46" s="173"/>
      <c r="G46" s="11"/>
      <c r="H46" s="11"/>
      <c r="I46" s="860"/>
      <c r="J46" s="11"/>
      <c r="K46" s="86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861"/>
      <c r="AI46" s="833" t="str">
        <f t="shared" si="4"/>
        <v>#DIV/0!</v>
      </c>
      <c r="AJ46" s="833" t="str">
        <f t="shared" si="5"/>
        <v>#DIV/0!</v>
      </c>
      <c r="AK46" s="833" t="str">
        <f t="shared" si="6"/>
        <v>#DIV/0!</v>
      </c>
      <c r="AL46" s="833" t="str">
        <f t="shared" si="10"/>
        <v>#DIV/0!</v>
      </c>
      <c r="AM46" s="833" t="str">
        <f t="shared" si="7"/>
        <v>#DIV/0!</v>
      </c>
      <c r="AN46" s="833" t="str">
        <f t="shared" si="11"/>
        <v>#DIV/0!</v>
      </c>
      <c r="AO46" s="833" t="str">
        <f t="shared" si="12"/>
        <v>#DIV/0!</v>
      </c>
      <c r="AP46" s="833" t="str">
        <f t="shared" si="9"/>
        <v>#DIV/0!</v>
      </c>
      <c r="AQ46" s="861"/>
      <c r="AR46" s="862"/>
    </row>
    <row r="47" hidden="1">
      <c r="A47" s="175"/>
      <c r="B47" s="11"/>
      <c r="C47" s="11"/>
      <c r="D47" s="11"/>
      <c r="E47" s="11"/>
      <c r="F47" s="173"/>
      <c r="G47" s="11"/>
      <c r="H47" s="11"/>
      <c r="I47" s="860"/>
      <c r="J47" s="11"/>
      <c r="K47" s="86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861"/>
      <c r="AI47" s="833" t="str">
        <f t="shared" si="4"/>
        <v>#DIV/0!</v>
      </c>
      <c r="AJ47" s="833" t="str">
        <f t="shared" si="5"/>
        <v>#DIV/0!</v>
      </c>
      <c r="AK47" s="833" t="str">
        <f t="shared" si="6"/>
        <v>#DIV/0!</v>
      </c>
      <c r="AL47" s="833" t="str">
        <f t="shared" si="10"/>
        <v>#DIV/0!</v>
      </c>
      <c r="AM47" s="833" t="str">
        <f t="shared" si="7"/>
        <v>#DIV/0!</v>
      </c>
      <c r="AN47" s="833" t="str">
        <f t="shared" si="11"/>
        <v>#DIV/0!</v>
      </c>
      <c r="AO47" s="833" t="str">
        <f t="shared" si="12"/>
        <v>#DIV/0!</v>
      </c>
      <c r="AP47" s="833" t="str">
        <f t="shared" si="9"/>
        <v>#DIV/0!</v>
      </c>
      <c r="AQ47" s="861"/>
      <c r="AR47" s="862"/>
    </row>
    <row r="48" hidden="1">
      <c r="A48" s="175"/>
      <c r="B48" s="11"/>
      <c r="C48" s="11"/>
      <c r="D48" s="11"/>
      <c r="E48" s="11"/>
      <c r="F48" s="173"/>
      <c r="G48" s="11"/>
      <c r="H48" s="11"/>
      <c r="I48" s="860"/>
      <c r="J48" s="11"/>
      <c r="K48" s="86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861"/>
      <c r="AI48" s="833" t="str">
        <f t="shared" si="4"/>
        <v>#DIV/0!</v>
      </c>
      <c r="AJ48" s="833" t="str">
        <f t="shared" si="5"/>
        <v>#DIV/0!</v>
      </c>
      <c r="AK48" s="833" t="str">
        <f t="shared" si="6"/>
        <v>#DIV/0!</v>
      </c>
      <c r="AL48" s="833" t="str">
        <f t="shared" si="10"/>
        <v>#DIV/0!</v>
      </c>
      <c r="AM48" s="833" t="str">
        <f t="shared" si="7"/>
        <v>#DIV/0!</v>
      </c>
      <c r="AN48" s="833" t="str">
        <f t="shared" si="11"/>
        <v>#DIV/0!</v>
      </c>
      <c r="AO48" s="833" t="str">
        <f t="shared" si="12"/>
        <v>#DIV/0!</v>
      </c>
      <c r="AP48" s="833" t="str">
        <f t="shared" si="9"/>
        <v>#DIV/0!</v>
      </c>
      <c r="AQ48" s="861"/>
      <c r="AR48" s="862"/>
    </row>
    <row r="49" hidden="1">
      <c r="A49" s="175"/>
      <c r="B49" s="11"/>
      <c r="C49" s="11"/>
      <c r="D49" s="11"/>
      <c r="E49" s="11"/>
      <c r="F49" s="173"/>
      <c r="G49" s="11"/>
      <c r="H49" s="11"/>
      <c r="I49" s="860"/>
      <c r="J49" s="11"/>
      <c r="K49" s="86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861"/>
      <c r="AI49" s="833" t="str">
        <f t="shared" si="4"/>
        <v>#DIV/0!</v>
      </c>
      <c r="AJ49" s="833" t="str">
        <f t="shared" si="5"/>
        <v>#DIV/0!</v>
      </c>
      <c r="AK49" s="833" t="str">
        <f t="shared" si="6"/>
        <v>#DIV/0!</v>
      </c>
      <c r="AL49" s="833" t="str">
        <f t="shared" si="10"/>
        <v>#DIV/0!</v>
      </c>
      <c r="AM49" s="833" t="str">
        <f t="shared" si="7"/>
        <v>#DIV/0!</v>
      </c>
      <c r="AN49" s="833" t="str">
        <f t="shared" si="11"/>
        <v>#DIV/0!</v>
      </c>
      <c r="AO49" s="833" t="str">
        <f t="shared" si="12"/>
        <v>#DIV/0!</v>
      </c>
      <c r="AP49" s="833" t="str">
        <f t="shared" si="9"/>
        <v>#DIV/0!</v>
      </c>
      <c r="AQ49" s="861"/>
      <c r="AR49" s="862"/>
    </row>
    <row r="50" hidden="1">
      <c r="A50" s="175"/>
      <c r="B50" s="11"/>
      <c r="C50" s="11"/>
      <c r="D50" s="11"/>
      <c r="E50" s="11"/>
      <c r="F50" s="173"/>
      <c r="G50" s="11"/>
      <c r="H50" s="11"/>
      <c r="I50" s="860"/>
      <c r="J50" s="11"/>
      <c r="K50" s="86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861"/>
      <c r="AI50" s="833" t="str">
        <f t="shared" si="4"/>
        <v>#DIV/0!</v>
      </c>
      <c r="AJ50" s="833" t="str">
        <f t="shared" si="5"/>
        <v>#DIV/0!</v>
      </c>
      <c r="AK50" s="833" t="str">
        <f t="shared" si="6"/>
        <v>#DIV/0!</v>
      </c>
      <c r="AL50" s="833" t="str">
        <f t="shared" si="10"/>
        <v>#DIV/0!</v>
      </c>
      <c r="AM50" s="833" t="str">
        <f t="shared" si="7"/>
        <v>#DIV/0!</v>
      </c>
      <c r="AN50" s="833" t="str">
        <f t="shared" si="11"/>
        <v>#DIV/0!</v>
      </c>
      <c r="AO50" s="833" t="str">
        <f t="shared" si="12"/>
        <v>#DIV/0!</v>
      </c>
      <c r="AP50" s="833" t="str">
        <f t="shared" si="9"/>
        <v>#DIV/0!</v>
      </c>
      <c r="AQ50" s="861"/>
      <c r="AR50" s="862"/>
    </row>
    <row r="51" hidden="1">
      <c r="AR51" s="86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0"/>
    <col customWidth="1" min="2" max="2" width="6.5"/>
    <col customWidth="1" min="3" max="3" width="5.0"/>
    <col customWidth="1" min="4" max="4" width="6.75"/>
    <col customWidth="1" min="5" max="5" width="5.63"/>
    <col customWidth="1" min="6" max="6" width="8.0"/>
    <col customWidth="1" min="7" max="7" width="4.63"/>
    <col customWidth="1" min="8" max="8" width="6.5"/>
    <col customWidth="1" min="9" max="9" width="6.63"/>
    <col customWidth="1" min="10" max="10" width="5.13"/>
    <col customWidth="1" min="11" max="11" width="6.88"/>
    <col customWidth="1" min="12" max="12" width="8.38"/>
    <col customWidth="1" min="13" max="13" width="7.5"/>
    <col customWidth="1" min="14" max="14" width="6.5"/>
    <col customWidth="1" min="15" max="16" width="7.75"/>
    <col customWidth="1" min="17" max="17" width="9.38"/>
    <col customWidth="1" min="18" max="18" width="5.88"/>
    <col customWidth="1" min="19" max="19" width="6.63"/>
    <col customWidth="1" min="20" max="20" width="5.5"/>
    <col customWidth="1" min="21" max="21" width="8.0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7.63"/>
    <col customWidth="1" min="29" max="29" width="8.25"/>
    <col customWidth="1" min="30" max="30" width="5.13"/>
    <col customWidth="1" min="31" max="31" width="7.75"/>
    <col customWidth="1" min="32" max="32" width="8.38"/>
    <col customWidth="1" min="33" max="33" width="6.88"/>
    <col customWidth="1" min="34" max="34" width="8.75"/>
    <col customWidth="1" min="35" max="35" width="6.88"/>
    <col customWidth="1" min="36" max="36" width="5.13"/>
    <col customWidth="1" min="37" max="37" width="6.5"/>
    <col customWidth="1" min="38" max="38" width="6.13"/>
    <col customWidth="1" min="39" max="39" width="5.63"/>
    <col customWidth="1" min="40" max="40" width="7.38"/>
    <col customWidth="1" min="41" max="41" width="6.0"/>
    <col customWidth="1" min="42" max="42" width="6.13"/>
    <col customWidth="1" min="43" max="44" width="6.25"/>
  </cols>
  <sheetData>
    <row r="1">
      <c r="A1" s="822" t="s">
        <v>12</v>
      </c>
      <c r="B1" s="823" t="s">
        <v>117</v>
      </c>
      <c r="C1" s="823" t="s">
        <v>17</v>
      </c>
      <c r="D1" s="823" t="s">
        <v>18</v>
      </c>
      <c r="E1" s="823" t="s">
        <v>20</v>
      </c>
      <c r="F1" s="822" t="s">
        <v>21</v>
      </c>
      <c r="G1" s="823" t="s">
        <v>22</v>
      </c>
      <c r="H1" s="823" t="s">
        <v>23</v>
      </c>
      <c r="I1" s="823" t="s">
        <v>313</v>
      </c>
      <c r="J1" s="824" t="s">
        <v>60</v>
      </c>
      <c r="K1" s="823" t="s">
        <v>25</v>
      </c>
      <c r="L1" s="825" t="s">
        <v>27</v>
      </c>
      <c r="M1" s="823" t="s">
        <v>107</v>
      </c>
      <c r="N1" s="823" t="s">
        <v>230</v>
      </c>
      <c r="O1" s="823" t="s">
        <v>314</v>
      </c>
      <c r="P1" s="823" t="s">
        <v>315</v>
      </c>
      <c r="Q1" s="823" t="s">
        <v>316</v>
      </c>
      <c r="R1" s="822" t="s">
        <v>31</v>
      </c>
      <c r="S1" s="823" t="s">
        <v>32</v>
      </c>
      <c r="T1" s="823" t="s">
        <v>33</v>
      </c>
      <c r="U1" s="823" t="s">
        <v>317</v>
      </c>
      <c r="V1" s="823" t="s">
        <v>318</v>
      </c>
      <c r="W1" s="823" t="s">
        <v>319</v>
      </c>
      <c r="X1" s="823" t="s">
        <v>320</v>
      </c>
      <c r="Y1" s="823" t="s">
        <v>321</v>
      </c>
      <c r="Z1" s="823" t="s">
        <v>322</v>
      </c>
      <c r="AA1" s="823" t="s">
        <v>323</v>
      </c>
      <c r="AB1" s="823" t="s">
        <v>35</v>
      </c>
      <c r="AC1" s="823" t="s">
        <v>231</v>
      </c>
      <c r="AD1" s="822" t="s">
        <v>324</v>
      </c>
      <c r="AE1" s="822" t="s">
        <v>325</v>
      </c>
      <c r="AF1" s="822" t="s">
        <v>326</v>
      </c>
      <c r="AG1" s="822" t="s">
        <v>327</v>
      </c>
      <c r="AH1" s="822" t="s">
        <v>328</v>
      </c>
      <c r="AI1" s="826" t="s">
        <v>50</v>
      </c>
      <c r="AJ1" s="826" t="s">
        <v>329</v>
      </c>
      <c r="AK1" s="826" t="s">
        <v>330</v>
      </c>
      <c r="AL1" s="826" t="s">
        <v>331</v>
      </c>
      <c r="AM1" s="826" t="s">
        <v>332</v>
      </c>
      <c r="AN1" s="826" t="s">
        <v>333</v>
      </c>
      <c r="AO1" s="826" t="s">
        <v>177</v>
      </c>
      <c r="AP1" s="826" t="s">
        <v>334</v>
      </c>
      <c r="AQ1" s="826" t="s">
        <v>335</v>
      </c>
      <c r="AR1" s="827"/>
    </row>
    <row r="2">
      <c r="A2" s="828" t="s">
        <v>206</v>
      </c>
      <c r="B2" s="829">
        <v>20.0</v>
      </c>
      <c r="C2" s="829">
        <v>6.0</v>
      </c>
      <c r="D2" s="829">
        <v>14.0</v>
      </c>
      <c r="E2" s="829">
        <v>16.0</v>
      </c>
      <c r="F2" s="829">
        <v>60.0</v>
      </c>
      <c r="G2" s="829">
        <v>1110.0</v>
      </c>
      <c r="H2" s="829">
        <v>951.0</v>
      </c>
      <c r="I2" s="829">
        <f t="shared" ref="I2:I43" si="1">G2-H2</f>
        <v>159</v>
      </c>
      <c r="J2" s="831">
        <f t="shared" ref="J2:J3" si="2">IFERROR(G2/H2,0)</f>
        <v>1.167192429</v>
      </c>
      <c r="K2" s="829">
        <v>1.0</v>
      </c>
      <c r="L2" s="842">
        <v>15871.0</v>
      </c>
      <c r="M2" s="843">
        <f t="shared" ref="M2:M43" si="3">(L2-(H2*4))/H2</f>
        <v>12.68874869</v>
      </c>
      <c r="N2" s="829">
        <v>37.0</v>
      </c>
      <c r="O2" s="829">
        <v>0.0</v>
      </c>
      <c r="P2" s="829">
        <v>0.0</v>
      </c>
      <c r="Q2" s="829">
        <v>0.0</v>
      </c>
      <c r="R2" s="829">
        <v>35.0</v>
      </c>
      <c r="S2" s="829">
        <v>252.0</v>
      </c>
      <c r="T2" s="829">
        <v>76.0</v>
      </c>
      <c r="U2" s="829">
        <v>29.0</v>
      </c>
      <c r="V2" s="829">
        <v>17.0</v>
      </c>
      <c r="W2" s="829">
        <v>8.0</v>
      </c>
      <c r="X2" s="829">
        <v>2.0</v>
      </c>
      <c r="Y2" s="829">
        <v>0.0</v>
      </c>
      <c r="Z2" s="829">
        <v>0.0</v>
      </c>
      <c r="AA2" s="829">
        <v>0.0</v>
      </c>
      <c r="AB2" s="829">
        <v>1.0</v>
      </c>
      <c r="AC2" s="829">
        <v>224.0</v>
      </c>
      <c r="AD2" s="829">
        <v>0.0</v>
      </c>
      <c r="AE2" s="829">
        <v>0.0</v>
      </c>
      <c r="AF2" s="829">
        <v>0.0</v>
      </c>
      <c r="AG2" s="829">
        <v>20.0</v>
      </c>
      <c r="AH2" s="829">
        <v>1.0</v>
      </c>
      <c r="AI2" s="833">
        <f t="shared" ref="AI2:AI50" si="4">sum(G2,H2,K2)/(L2/60)</f>
        <v>7.795350009</v>
      </c>
      <c r="AJ2" s="833">
        <f t="shared" ref="AJ2:AJ50" si="5">(((E2*0.8)+(N2*0.08)+(AC2*0.12))/(L2/60))</f>
        <v>0.1611996724</v>
      </c>
      <c r="AK2" s="833">
        <f t="shared" ref="AK2:AK50" si="6">N2/(L2/60)</f>
        <v>0.1398777645</v>
      </c>
      <c r="AL2" s="833">
        <f t="shared" ref="AL2:AL7" si="7">IFERROR(E2/C2/5,"")+((G2-H2+N2+R2+S2+T2+U2+V2+W2+X2+Y2+Z2+AA2+AB2)/(L2/60))</f>
        <v>2.862109088</v>
      </c>
      <c r="AM2" s="833">
        <f t="shared" ref="AM2:AM50" si="8">E2/B2</f>
        <v>0.8</v>
      </c>
      <c r="AN2" s="833">
        <f>sum(R2:AA2)/G2</f>
        <v>0.3774774775</v>
      </c>
      <c r="AO2" s="833">
        <f t="shared" ref="AO2:AO43" si="9">F2/L2</f>
        <v>0.003780480121</v>
      </c>
      <c r="AP2" s="833">
        <f t="shared" ref="AP2:AP50" si="10">(G2+K2-H2)/(L2/60)</f>
        <v>0.6048768194</v>
      </c>
      <c r="AQ2" s="833" t="s">
        <v>336</v>
      </c>
      <c r="AR2" s="834" t="s">
        <v>337</v>
      </c>
    </row>
    <row r="3">
      <c r="A3" s="835" t="s">
        <v>220</v>
      </c>
      <c r="B3" s="844">
        <v>13.0</v>
      </c>
      <c r="C3" s="844">
        <v>11.0</v>
      </c>
      <c r="D3" s="844">
        <v>2.0</v>
      </c>
      <c r="E3" s="844">
        <v>10.0</v>
      </c>
      <c r="F3" s="844">
        <v>6.0</v>
      </c>
      <c r="G3" s="844">
        <v>462.0</v>
      </c>
      <c r="H3" s="844">
        <v>584.0</v>
      </c>
      <c r="I3" s="829">
        <f t="shared" si="1"/>
        <v>-122</v>
      </c>
      <c r="J3" s="845">
        <f t="shared" si="2"/>
        <v>0.7910958904</v>
      </c>
      <c r="K3" s="844">
        <v>3.0</v>
      </c>
      <c r="L3" s="846">
        <v>10940.0</v>
      </c>
      <c r="M3" s="832">
        <f t="shared" si="3"/>
        <v>14.73287671</v>
      </c>
      <c r="N3" s="844">
        <v>6.0</v>
      </c>
      <c r="O3" s="844">
        <v>0.0</v>
      </c>
      <c r="P3" s="844">
        <v>0.0</v>
      </c>
      <c r="Q3" s="844">
        <v>0.0</v>
      </c>
      <c r="R3" s="844">
        <v>1.0</v>
      </c>
      <c r="S3" s="844">
        <v>69.0</v>
      </c>
      <c r="T3" s="844">
        <v>13.0</v>
      </c>
      <c r="U3" s="844">
        <v>5.0</v>
      </c>
      <c r="V3" s="844">
        <v>3.0</v>
      </c>
      <c r="W3" s="844">
        <v>1.0</v>
      </c>
      <c r="X3" s="844">
        <v>1.0</v>
      </c>
      <c r="Y3" s="844">
        <v>0.0</v>
      </c>
      <c r="Z3" s="844">
        <v>0.0</v>
      </c>
      <c r="AA3" s="844">
        <v>0.0</v>
      </c>
      <c r="AB3" s="844">
        <v>0.0</v>
      </c>
      <c r="AC3" s="844">
        <v>68.0</v>
      </c>
      <c r="AD3" s="844">
        <v>0.0</v>
      </c>
      <c r="AE3" s="844">
        <v>0.0</v>
      </c>
      <c r="AF3" s="844">
        <v>0.0</v>
      </c>
      <c r="AG3" s="844">
        <v>2.0</v>
      </c>
      <c r="AH3" s="844">
        <v>1.0</v>
      </c>
      <c r="AI3" s="836">
        <f t="shared" si="4"/>
        <v>5.753199269</v>
      </c>
      <c r="AJ3" s="836">
        <f t="shared" si="5"/>
        <v>0.09126142596</v>
      </c>
      <c r="AK3" s="836">
        <f t="shared" si="6"/>
        <v>0.03290676417</v>
      </c>
      <c r="AL3" s="833">
        <f t="shared" si="7"/>
        <v>0.05567558584</v>
      </c>
      <c r="AM3" s="836">
        <f t="shared" si="8"/>
        <v>0.7692307692</v>
      </c>
      <c r="AN3" s="836">
        <f t="shared" ref="AN3:AN50" si="11">sum(S3:AA3)/G3</f>
        <v>0.1991341991</v>
      </c>
      <c r="AO3" s="833">
        <f t="shared" si="9"/>
        <v>0.0005484460695</v>
      </c>
      <c r="AP3" s="833">
        <f t="shared" si="10"/>
        <v>-0.6526508227</v>
      </c>
      <c r="AQ3" s="833" t="s">
        <v>338</v>
      </c>
      <c r="AR3" s="834" t="s">
        <v>339</v>
      </c>
    </row>
    <row r="4">
      <c r="A4" s="828" t="s">
        <v>249</v>
      </c>
      <c r="B4" s="829">
        <v>18.0</v>
      </c>
      <c r="C4" s="829">
        <v>6.0</v>
      </c>
      <c r="D4" s="829">
        <v>12.0</v>
      </c>
      <c r="E4" s="829">
        <v>12.0</v>
      </c>
      <c r="F4" s="829">
        <v>33.0</v>
      </c>
      <c r="G4" s="829">
        <v>401.0</v>
      </c>
      <c r="H4" s="829">
        <v>872.0</v>
      </c>
      <c r="I4" s="829">
        <f t="shared" si="1"/>
        <v>-471</v>
      </c>
      <c r="J4" s="831">
        <f>G4/H4</f>
        <v>0.4598623853</v>
      </c>
      <c r="K4" s="829">
        <v>0.0</v>
      </c>
      <c r="L4" s="847">
        <v>15164.0</v>
      </c>
      <c r="M4" s="843">
        <f t="shared" si="3"/>
        <v>13.38990826</v>
      </c>
      <c r="N4" s="829">
        <v>3.0</v>
      </c>
      <c r="O4" s="829">
        <v>0.0</v>
      </c>
      <c r="P4" s="829">
        <v>0.0</v>
      </c>
      <c r="Q4" s="829">
        <v>0.0</v>
      </c>
      <c r="R4" s="829">
        <v>8.0</v>
      </c>
      <c r="S4" s="829">
        <v>47.0</v>
      </c>
      <c r="T4" s="829">
        <v>9.0</v>
      </c>
      <c r="U4" s="829">
        <v>2.0</v>
      </c>
      <c r="V4" s="829">
        <v>0.0</v>
      </c>
      <c r="W4" s="829">
        <v>0.0</v>
      </c>
      <c r="X4" s="829">
        <v>0.0</v>
      </c>
      <c r="Y4" s="829">
        <v>0.0</v>
      </c>
      <c r="Z4" s="829">
        <v>0.0</v>
      </c>
      <c r="AA4" s="829">
        <v>0.0</v>
      </c>
      <c r="AB4" s="829">
        <v>0.0</v>
      </c>
      <c r="AC4" s="829">
        <v>56.0</v>
      </c>
      <c r="AD4" s="829">
        <v>0.0</v>
      </c>
      <c r="AE4" s="829">
        <v>0.0</v>
      </c>
      <c r="AF4" s="829">
        <v>0.0</v>
      </c>
      <c r="AG4" s="829">
        <v>7.0</v>
      </c>
      <c r="AH4" s="829">
        <v>2.0</v>
      </c>
      <c r="AI4" s="833">
        <f t="shared" si="4"/>
        <v>5.03692957</v>
      </c>
      <c r="AJ4" s="833">
        <f t="shared" si="5"/>
        <v>0.06552360855</v>
      </c>
      <c r="AK4" s="833">
        <f t="shared" si="6"/>
        <v>0.01187021894</v>
      </c>
      <c r="AL4" s="833">
        <f t="shared" si="7"/>
        <v>-1.190609338</v>
      </c>
      <c r="AM4" s="833">
        <f t="shared" si="8"/>
        <v>0.6666666667</v>
      </c>
      <c r="AN4" s="833">
        <f t="shared" si="11"/>
        <v>0.144638404</v>
      </c>
      <c r="AO4" s="833">
        <f t="shared" si="9"/>
        <v>0.002176206806</v>
      </c>
      <c r="AP4" s="833">
        <f t="shared" si="10"/>
        <v>-1.863624374</v>
      </c>
      <c r="AQ4" s="833" t="s">
        <v>171</v>
      </c>
      <c r="AR4" s="834" t="s">
        <v>340</v>
      </c>
    </row>
    <row r="5">
      <c r="A5" s="837" t="s">
        <v>52</v>
      </c>
      <c r="B5" s="844">
        <v>23.0</v>
      </c>
      <c r="C5" s="844">
        <v>17.0</v>
      </c>
      <c r="D5" s="844">
        <v>6.0</v>
      </c>
      <c r="E5" s="844">
        <v>48.0</v>
      </c>
      <c r="F5" s="844">
        <v>222.0</v>
      </c>
      <c r="G5" s="844">
        <v>1135.0</v>
      </c>
      <c r="H5" s="844">
        <v>1058.0</v>
      </c>
      <c r="I5" s="829">
        <f t="shared" si="1"/>
        <v>77</v>
      </c>
      <c r="J5" s="845">
        <f t="shared" ref="J5:J23" si="12">IFERROR(G5/H5,0)</f>
        <v>1.072778828</v>
      </c>
      <c r="K5" s="844">
        <v>1.0</v>
      </c>
      <c r="L5" s="848">
        <v>20466.0</v>
      </c>
      <c r="M5" s="832">
        <f t="shared" si="3"/>
        <v>15.34404537</v>
      </c>
      <c r="N5" s="844">
        <v>22.0</v>
      </c>
      <c r="O5" s="844">
        <v>0.0</v>
      </c>
      <c r="P5" s="844">
        <v>0.0</v>
      </c>
      <c r="Q5" s="844">
        <v>0.0</v>
      </c>
      <c r="R5" s="844">
        <v>10.0</v>
      </c>
      <c r="S5" s="844">
        <v>184.0</v>
      </c>
      <c r="T5" s="844">
        <v>58.0</v>
      </c>
      <c r="U5" s="844">
        <v>21.0</v>
      </c>
      <c r="V5" s="844">
        <v>4.0</v>
      </c>
      <c r="W5" s="844">
        <v>3.0</v>
      </c>
      <c r="X5" s="844">
        <v>0.0</v>
      </c>
      <c r="Y5" s="844">
        <v>0.0</v>
      </c>
      <c r="Z5" s="844">
        <v>0.0</v>
      </c>
      <c r="AA5" s="844">
        <v>0.0</v>
      </c>
      <c r="AB5" s="844">
        <v>0.0</v>
      </c>
      <c r="AC5" s="844">
        <v>210.0</v>
      </c>
      <c r="AD5" s="844">
        <v>0.0</v>
      </c>
      <c r="AE5" s="844">
        <v>6.0</v>
      </c>
      <c r="AF5" s="844">
        <v>0.0</v>
      </c>
      <c r="AG5" s="844">
        <v>21.0</v>
      </c>
      <c r="AH5" s="844">
        <v>9.0</v>
      </c>
      <c r="AI5" s="836">
        <f t="shared" si="4"/>
        <v>6.43213134</v>
      </c>
      <c r="AJ5" s="836">
        <f t="shared" si="5"/>
        <v>0.1916153621</v>
      </c>
      <c r="AK5" s="836">
        <f t="shared" si="6"/>
        <v>0.06449721489</v>
      </c>
      <c r="AL5" s="833">
        <f t="shared" si="7"/>
        <v>1.675816993</v>
      </c>
      <c r="AM5" s="836">
        <f t="shared" si="8"/>
        <v>2.086956522</v>
      </c>
      <c r="AN5" s="836">
        <f t="shared" si="11"/>
        <v>0.2378854626</v>
      </c>
      <c r="AO5" s="833">
        <f t="shared" si="9"/>
        <v>0.01084725887</v>
      </c>
      <c r="AP5" s="833">
        <f t="shared" si="10"/>
        <v>0.2286719437</v>
      </c>
      <c r="AQ5" s="833" t="s">
        <v>171</v>
      </c>
      <c r="AR5" s="834" t="s">
        <v>341</v>
      </c>
    </row>
    <row r="6">
      <c r="A6" s="838" t="s">
        <v>174</v>
      </c>
      <c r="B6" s="829">
        <v>28.0</v>
      </c>
      <c r="C6" s="829">
        <v>13.0</v>
      </c>
      <c r="D6" s="829">
        <v>15.0</v>
      </c>
      <c r="E6" s="829">
        <v>28.0</v>
      </c>
      <c r="F6" s="829">
        <v>154.0</v>
      </c>
      <c r="G6" s="829">
        <v>1016.0</v>
      </c>
      <c r="H6" s="829">
        <v>1384.0</v>
      </c>
      <c r="I6" s="829">
        <f t="shared" si="1"/>
        <v>-368</v>
      </c>
      <c r="J6" s="831">
        <f t="shared" si="12"/>
        <v>0.7341040462</v>
      </c>
      <c r="K6" s="829">
        <v>4.0</v>
      </c>
      <c r="L6" s="831">
        <v>25336.0</v>
      </c>
      <c r="M6" s="843">
        <f t="shared" si="3"/>
        <v>14.30635838</v>
      </c>
      <c r="N6" s="829">
        <v>10.0</v>
      </c>
      <c r="O6" s="829">
        <v>0.0</v>
      </c>
      <c r="P6" s="829">
        <v>0.0</v>
      </c>
      <c r="Q6" s="829">
        <v>0.0</v>
      </c>
      <c r="R6" s="829">
        <v>12.0</v>
      </c>
      <c r="S6" s="829">
        <v>135.0</v>
      </c>
      <c r="T6" s="829">
        <v>24.0</v>
      </c>
      <c r="U6" s="829">
        <v>3.0</v>
      </c>
      <c r="V6" s="829">
        <v>0.0</v>
      </c>
      <c r="W6" s="829">
        <v>0.0</v>
      </c>
      <c r="X6" s="829">
        <v>0.0</v>
      </c>
      <c r="Y6" s="829">
        <v>0.0</v>
      </c>
      <c r="Z6" s="829">
        <v>0.0</v>
      </c>
      <c r="AA6" s="829">
        <v>0.0</v>
      </c>
      <c r="AB6" s="829">
        <v>0.0</v>
      </c>
      <c r="AC6" s="829">
        <v>201.0</v>
      </c>
      <c r="AD6" s="829">
        <v>0.0</v>
      </c>
      <c r="AE6" s="829">
        <v>0.0</v>
      </c>
      <c r="AF6" s="829">
        <v>0.0</v>
      </c>
      <c r="AG6" s="829">
        <v>8.0</v>
      </c>
      <c r="AH6" s="829">
        <v>4.0</v>
      </c>
      <c r="AI6" s="833">
        <f t="shared" si="4"/>
        <v>5.693084938</v>
      </c>
      <c r="AJ6" s="833">
        <f t="shared" si="5"/>
        <v>0.1120618882</v>
      </c>
      <c r="AK6" s="833">
        <f t="shared" si="6"/>
        <v>0.02368171771</v>
      </c>
      <c r="AL6" s="833">
        <f t="shared" si="7"/>
        <v>-0.004974375167</v>
      </c>
      <c r="AM6" s="833">
        <f t="shared" si="8"/>
        <v>1</v>
      </c>
      <c r="AN6" s="833">
        <f t="shared" si="11"/>
        <v>0.1594488189</v>
      </c>
      <c r="AO6" s="833">
        <f t="shared" si="9"/>
        <v>0.006078307547</v>
      </c>
      <c r="AP6" s="833">
        <f t="shared" si="10"/>
        <v>-0.8620145248</v>
      </c>
      <c r="AQ6" s="833" t="s">
        <v>338</v>
      </c>
      <c r="AR6" s="834" t="s">
        <v>342</v>
      </c>
    </row>
    <row r="7">
      <c r="A7" s="837" t="s">
        <v>83</v>
      </c>
      <c r="B7" s="844">
        <v>10.0</v>
      </c>
      <c r="C7" s="844">
        <v>2.0</v>
      </c>
      <c r="D7" s="844">
        <v>8.0</v>
      </c>
      <c r="E7" s="844">
        <v>3.0</v>
      </c>
      <c r="F7" s="844">
        <v>8.0</v>
      </c>
      <c r="G7" s="844">
        <v>228.0</v>
      </c>
      <c r="H7" s="844">
        <v>396.0</v>
      </c>
      <c r="I7" s="829">
        <f t="shared" si="1"/>
        <v>-168</v>
      </c>
      <c r="J7" s="845">
        <f t="shared" si="12"/>
        <v>0.5757575758</v>
      </c>
      <c r="K7" s="844">
        <v>0.0</v>
      </c>
      <c r="L7" s="846">
        <v>5799.0</v>
      </c>
      <c r="M7" s="832">
        <f t="shared" si="3"/>
        <v>10.64393939</v>
      </c>
      <c r="N7" s="844">
        <v>3.0</v>
      </c>
      <c r="O7" s="844">
        <v>0.0</v>
      </c>
      <c r="P7" s="844">
        <v>0.0</v>
      </c>
      <c r="Q7" s="844">
        <v>0.0</v>
      </c>
      <c r="R7" s="844">
        <v>7.0</v>
      </c>
      <c r="S7" s="844">
        <v>35.0</v>
      </c>
      <c r="T7" s="844">
        <v>9.0</v>
      </c>
      <c r="U7" s="844">
        <v>1.0</v>
      </c>
      <c r="V7" s="844">
        <v>0.0</v>
      </c>
      <c r="W7" s="844">
        <v>0.0</v>
      </c>
      <c r="X7" s="844">
        <v>0.0</v>
      </c>
      <c r="Y7" s="844">
        <v>0.0</v>
      </c>
      <c r="Z7" s="844">
        <v>0.0</v>
      </c>
      <c r="AA7" s="844">
        <v>0.0</v>
      </c>
      <c r="AB7" s="844">
        <v>0.0</v>
      </c>
      <c r="AC7" s="844">
        <v>40.0</v>
      </c>
      <c r="AD7" s="844">
        <v>0.0</v>
      </c>
      <c r="AE7" s="844">
        <v>0.0</v>
      </c>
      <c r="AF7" s="844">
        <v>0.0</v>
      </c>
      <c r="AG7" s="844">
        <v>7.0</v>
      </c>
      <c r="AH7" s="844">
        <v>0.0</v>
      </c>
      <c r="AI7" s="836">
        <f t="shared" si="4"/>
        <v>6.456285566</v>
      </c>
      <c r="AJ7" s="836">
        <f t="shared" si="5"/>
        <v>0.07697878945</v>
      </c>
      <c r="AK7" s="836">
        <f t="shared" si="6"/>
        <v>0.03103983445</v>
      </c>
      <c r="AL7" s="833">
        <f t="shared" si="7"/>
        <v>-0.8691670978</v>
      </c>
      <c r="AM7" s="836">
        <f t="shared" si="8"/>
        <v>0.3</v>
      </c>
      <c r="AN7" s="836">
        <f t="shared" si="11"/>
        <v>0.1973684211</v>
      </c>
      <c r="AO7" s="833">
        <f t="shared" si="9"/>
        <v>0.001379548198</v>
      </c>
      <c r="AP7" s="833">
        <f t="shared" si="10"/>
        <v>-1.738230729</v>
      </c>
      <c r="AQ7" s="833" t="s">
        <v>338</v>
      </c>
      <c r="AR7" s="834" t="s">
        <v>343</v>
      </c>
    </row>
    <row r="8">
      <c r="A8" s="838" t="s">
        <v>79</v>
      </c>
      <c r="B8" s="829">
        <v>19.0</v>
      </c>
      <c r="C8" s="829">
        <v>13.0</v>
      </c>
      <c r="D8" s="829">
        <v>6.0</v>
      </c>
      <c r="E8" s="829">
        <v>22.0</v>
      </c>
      <c r="F8" s="829">
        <v>85.0</v>
      </c>
      <c r="G8" s="829">
        <v>656.0</v>
      </c>
      <c r="H8" s="829">
        <v>865.0</v>
      </c>
      <c r="I8" s="829">
        <f t="shared" si="1"/>
        <v>-209</v>
      </c>
      <c r="J8" s="831">
        <f t="shared" si="12"/>
        <v>0.7583815029</v>
      </c>
      <c r="K8" s="829">
        <v>1.0</v>
      </c>
      <c r="L8" s="831">
        <v>16836.0</v>
      </c>
      <c r="M8" s="843">
        <f t="shared" si="3"/>
        <v>15.46358382</v>
      </c>
      <c r="N8" s="829">
        <v>6.0</v>
      </c>
      <c r="O8" s="829">
        <v>0.0</v>
      </c>
      <c r="P8" s="829">
        <v>0.0</v>
      </c>
      <c r="Q8" s="829">
        <v>0.0</v>
      </c>
      <c r="R8" s="829">
        <v>8.0</v>
      </c>
      <c r="S8" s="849">
        <v>96.0</v>
      </c>
      <c r="T8" s="829">
        <v>31.0</v>
      </c>
      <c r="U8" s="829">
        <v>8.0</v>
      </c>
      <c r="V8" s="829">
        <v>3.0</v>
      </c>
      <c r="W8" s="829">
        <v>1.0</v>
      </c>
      <c r="X8" s="829">
        <v>0.0</v>
      </c>
      <c r="Y8" s="829">
        <v>0.0</v>
      </c>
      <c r="Z8" s="829">
        <v>0.0</v>
      </c>
      <c r="AA8" s="829">
        <v>0.0</v>
      </c>
      <c r="AB8" s="829">
        <v>0.0</v>
      </c>
      <c r="AC8" s="829">
        <v>114.0</v>
      </c>
      <c r="AD8" s="829">
        <v>0.0</v>
      </c>
      <c r="AE8" s="829">
        <v>0.0</v>
      </c>
      <c r="AF8" s="829">
        <v>0.0</v>
      </c>
      <c r="AG8" s="829">
        <v>14.0</v>
      </c>
      <c r="AH8" s="829">
        <v>10.0</v>
      </c>
      <c r="AI8" s="833">
        <f t="shared" si="4"/>
        <v>5.424091233</v>
      </c>
      <c r="AJ8" s="833">
        <f t="shared" si="5"/>
        <v>0.1131860299</v>
      </c>
      <c r="AK8" s="836">
        <f t="shared" si="6"/>
        <v>0.02138275125</v>
      </c>
      <c r="AL8" s="833">
        <f>N8/(L8/60)</f>
        <v>0.02138275125</v>
      </c>
      <c r="AM8" s="833">
        <f t="shared" si="8"/>
        <v>1.157894737</v>
      </c>
      <c r="AN8" s="833">
        <f t="shared" si="11"/>
        <v>0.2118902439</v>
      </c>
      <c r="AO8" s="833">
        <f t="shared" si="9"/>
        <v>0.005048705156</v>
      </c>
      <c r="AP8" s="833">
        <f t="shared" si="10"/>
        <v>-0.7412687099</v>
      </c>
      <c r="AQ8" s="833" t="s">
        <v>338</v>
      </c>
      <c r="AR8" s="834" t="s">
        <v>344</v>
      </c>
    </row>
    <row r="9">
      <c r="A9" s="837" t="s">
        <v>57</v>
      </c>
      <c r="B9" s="844">
        <v>5.0</v>
      </c>
      <c r="C9" s="844">
        <v>0.0</v>
      </c>
      <c r="D9" s="844">
        <v>5.0</v>
      </c>
      <c r="E9" s="844">
        <v>3.0</v>
      </c>
      <c r="F9" s="844">
        <v>22.0</v>
      </c>
      <c r="G9" s="844">
        <v>174.0</v>
      </c>
      <c r="H9" s="844">
        <v>219.0</v>
      </c>
      <c r="I9" s="829">
        <f t="shared" si="1"/>
        <v>-45</v>
      </c>
      <c r="J9" s="845">
        <f t="shared" si="12"/>
        <v>0.7945205479</v>
      </c>
      <c r="K9" s="844">
        <v>0.0</v>
      </c>
      <c r="L9" s="845">
        <v>3731.0</v>
      </c>
      <c r="M9" s="832">
        <f t="shared" si="3"/>
        <v>13.03652968</v>
      </c>
      <c r="N9" s="844">
        <v>3.0</v>
      </c>
      <c r="O9" s="844">
        <v>0.0</v>
      </c>
      <c r="P9" s="844">
        <v>0.0</v>
      </c>
      <c r="Q9" s="844">
        <v>0.0</v>
      </c>
      <c r="R9" s="844">
        <v>1.0</v>
      </c>
      <c r="S9" s="844">
        <v>26.0</v>
      </c>
      <c r="T9" s="844">
        <v>4.0</v>
      </c>
      <c r="U9" s="844">
        <v>2.0</v>
      </c>
      <c r="V9" s="844">
        <v>0.0</v>
      </c>
      <c r="W9" s="844">
        <v>0.0</v>
      </c>
      <c r="X9" s="844">
        <v>0.0</v>
      </c>
      <c r="Y9" s="844">
        <v>0.0</v>
      </c>
      <c r="Z9" s="844">
        <v>0.0</v>
      </c>
      <c r="AA9" s="844">
        <v>0.0</v>
      </c>
      <c r="AB9" s="844">
        <v>0.0</v>
      </c>
      <c r="AC9" s="844">
        <v>31.0</v>
      </c>
      <c r="AD9" s="844">
        <v>0.0</v>
      </c>
      <c r="AE9" s="844">
        <v>0.0</v>
      </c>
      <c r="AF9" s="844">
        <v>0.0</v>
      </c>
      <c r="AG9" s="844">
        <v>3.0</v>
      </c>
      <c r="AH9" s="844">
        <v>2.0</v>
      </c>
      <c r="AI9" s="836">
        <f t="shared" si="4"/>
        <v>6.320021442</v>
      </c>
      <c r="AJ9" s="836">
        <f t="shared" si="5"/>
        <v>0.1022782096</v>
      </c>
      <c r="AK9" s="836">
        <f t="shared" si="6"/>
        <v>0.04824443849</v>
      </c>
      <c r="AL9" s="833">
        <f t="shared" ref="AL9:AL50" si="13">IFERROR(E9/C9/5,"")+((G9-H9+N9+R9+S9+T9+U9+V9+W9+X9+Y9+Z9+AA9+AB9)/(L9/60))</f>
        <v>-0.1447333155</v>
      </c>
      <c r="AM9" s="836">
        <f t="shared" si="8"/>
        <v>0.6</v>
      </c>
      <c r="AN9" s="836">
        <f t="shared" si="11"/>
        <v>0.183908046</v>
      </c>
      <c r="AO9" s="833">
        <f t="shared" si="9"/>
        <v>0.005896542482</v>
      </c>
      <c r="AP9" s="833">
        <f t="shared" si="10"/>
        <v>-0.7236665773</v>
      </c>
      <c r="AQ9" s="833" t="s">
        <v>336</v>
      </c>
      <c r="AR9" s="834" t="s">
        <v>345</v>
      </c>
    </row>
    <row r="10">
      <c r="A10" s="838" t="s">
        <v>69</v>
      </c>
      <c r="B10" s="829">
        <v>10.0</v>
      </c>
      <c r="C10" s="829">
        <v>2.0</v>
      </c>
      <c r="D10" s="829">
        <v>8.0</v>
      </c>
      <c r="E10" s="829">
        <v>4.0</v>
      </c>
      <c r="F10" s="829">
        <v>29.0</v>
      </c>
      <c r="G10" s="829">
        <v>289.0</v>
      </c>
      <c r="H10" s="829">
        <v>492.0</v>
      </c>
      <c r="I10" s="829">
        <f t="shared" si="1"/>
        <v>-203</v>
      </c>
      <c r="J10" s="831">
        <f t="shared" si="12"/>
        <v>0.587398374</v>
      </c>
      <c r="K10" s="829">
        <v>2.0</v>
      </c>
      <c r="L10" s="847">
        <v>6629.0</v>
      </c>
      <c r="M10" s="843">
        <f t="shared" si="3"/>
        <v>9.473577236</v>
      </c>
      <c r="N10" s="829">
        <v>4.0</v>
      </c>
      <c r="O10" s="829">
        <v>0.0</v>
      </c>
      <c r="P10" s="829">
        <v>0.0</v>
      </c>
      <c r="Q10" s="829">
        <v>0.0</v>
      </c>
      <c r="R10" s="829">
        <v>3.0</v>
      </c>
      <c r="S10" s="829">
        <v>47.0</v>
      </c>
      <c r="T10" s="829">
        <v>11.0</v>
      </c>
      <c r="U10" s="829">
        <v>2.0</v>
      </c>
      <c r="V10" s="829">
        <v>0.0</v>
      </c>
      <c r="W10" s="829">
        <v>0.0</v>
      </c>
      <c r="X10" s="829">
        <v>0.0</v>
      </c>
      <c r="Y10" s="829">
        <v>0.0</v>
      </c>
      <c r="Z10" s="829">
        <v>0.0</v>
      </c>
      <c r="AA10" s="829">
        <v>0.0</v>
      </c>
      <c r="AB10" s="829">
        <v>0.0</v>
      </c>
      <c r="AC10" s="829">
        <v>77.0</v>
      </c>
      <c r="AD10" s="829">
        <v>0.0</v>
      </c>
      <c r="AE10" s="829">
        <v>0.0</v>
      </c>
      <c r="AF10" s="829">
        <v>0.0</v>
      </c>
      <c r="AG10" s="829">
        <v>6.0</v>
      </c>
      <c r="AH10" s="829">
        <v>1.0</v>
      </c>
      <c r="AI10" s="833">
        <f t="shared" si="4"/>
        <v>7.087041786</v>
      </c>
      <c r="AJ10" s="833">
        <f t="shared" si="5"/>
        <v>0.1154925328</v>
      </c>
      <c r="AK10" s="833">
        <f t="shared" si="6"/>
        <v>0.03620455574</v>
      </c>
      <c r="AL10" s="833">
        <f t="shared" si="13"/>
        <v>-0.8309548952</v>
      </c>
      <c r="AM10" s="833">
        <f t="shared" si="8"/>
        <v>0.4</v>
      </c>
      <c r="AN10" s="833">
        <f t="shared" si="11"/>
        <v>0.2076124567</v>
      </c>
      <c r="AO10" s="833">
        <f t="shared" si="9"/>
        <v>0.004374717152</v>
      </c>
      <c r="AP10" s="833">
        <f t="shared" si="10"/>
        <v>-1.819278926</v>
      </c>
      <c r="AQ10" s="833" t="s">
        <v>336</v>
      </c>
      <c r="AR10" s="834" t="s">
        <v>346</v>
      </c>
    </row>
    <row r="11">
      <c r="A11" s="837" t="s">
        <v>41</v>
      </c>
      <c r="B11" s="844">
        <v>22.0</v>
      </c>
      <c r="C11" s="844">
        <v>15.0</v>
      </c>
      <c r="D11" s="844">
        <v>7.0</v>
      </c>
      <c r="E11" s="844">
        <v>7.0</v>
      </c>
      <c r="F11" s="844">
        <v>22.0</v>
      </c>
      <c r="G11" s="844">
        <v>766.0</v>
      </c>
      <c r="H11" s="844">
        <v>996.0</v>
      </c>
      <c r="I11" s="829">
        <f t="shared" si="1"/>
        <v>-230</v>
      </c>
      <c r="J11" s="845">
        <f t="shared" si="12"/>
        <v>0.7690763052</v>
      </c>
      <c r="K11" s="844">
        <v>4.0</v>
      </c>
      <c r="L11" s="845">
        <v>18895.0</v>
      </c>
      <c r="M11" s="832">
        <f t="shared" si="3"/>
        <v>14.97088353</v>
      </c>
      <c r="N11" s="844">
        <v>5.0</v>
      </c>
      <c r="O11" s="844">
        <v>0.0</v>
      </c>
      <c r="P11" s="844">
        <v>0.0</v>
      </c>
      <c r="Q11" s="844">
        <v>0.0</v>
      </c>
      <c r="R11" s="844">
        <v>10.0</v>
      </c>
      <c r="S11" s="844">
        <v>110.0</v>
      </c>
      <c r="T11" s="844">
        <v>22.0</v>
      </c>
      <c r="U11" s="844">
        <v>1.0</v>
      </c>
      <c r="V11" s="844">
        <v>1.0</v>
      </c>
      <c r="W11" s="844">
        <v>0.0</v>
      </c>
      <c r="X11" s="844">
        <v>0.0</v>
      </c>
      <c r="Y11" s="844">
        <v>0.0</v>
      </c>
      <c r="Z11" s="844">
        <v>0.0</v>
      </c>
      <c r="AA11" s="844">
        <v>0.0</v>
      </c>
      <c r="AB11" s="844">
        <v>0.0</v>
      </c>
      <c r="AC11" s="844">
        <v>97.0</v>
      </c>
      <c r="AD11" s="844">
        <v>0.0</v>
      </c>
      <c r="AE11" s="844">
        <v>1.0</v>
      </c>
      <c r="AF11" s="844">
        <v>0.0</v>
      </c>
      <c r="AG11" s="844">
        <v>12.0</v>
      </c>
      <c r="AH11" s="844">
        <v>1.0</v>
      </c>
      <c r="AI11" s="836">
        <f t="shared" si="4"/>
        <v>5.60783276</v>
      </c>
      <c r="AJ11" s="836">
        <f t="shared" si="5"/>
        <v>0.05601481874</v>
      </c>
      <c r="AK11" s="836">
        <f t="shared" si="6"/>
        <v>0.01587721619</v>
      </c>
      <c r="AL11" s="833">
        <f t="shared" si="13"/>
        <v>-0.163877569</v>
      </c>
      <c r="AM11" s="836">
        <f t="shared" si="8"/>
        <v>0.3181818182</v>
      </c>
      <c r="AN11" s="836">
        <f t="shared" si="11"/>
        <v>0.1749347258</v>
      </c>
      <c r="AO11" s="833">
        <f t="shared" si="9"/>
        <v>0.001164329188</v>
      </c>
      <c r="AP11" s="833">
        <f t="shared" si="10"/>
        <v>-0.717650172</v>
      </c>
      <c r="AQ11" s="833" t="s">
        <v>171</v>
      </c>
      <c r="AR11" s="834" t="s">
        <v>347</v>
      </c>
    </row>
    <row r="12">
      <c r="A12" s="838" t="s">
        <v>46</v>
      </c>
      <c r="B12" s="829">
        <v>23.0</v>
      </c>
      <c r="C12" s="829">
        <v>8.0</v>
      </c>
      <c r="D12" s="829">
        <v>15.0</v>
      </c>
      <c r="E12" s="829">
        <v>20.0</v>
      </c>
      <c r="F12" s="829">
        <v>65.0</v>
      </c>
      <c r="G12" s="829">
        <v>680.0</v>
      </c>
      <c r="H12" s="829">
        <v>1250.0</v>
      </c>
      <c r="I12" s="829">
        <f t="shared" si="1"/>
        <v>-570</v>
      </c>
      <c r="J12" s="831">
        <f t="shared" si="12"/>
        <v>0.544</v>
      </c>
      <c r="K12" s="829">
        <v>3.0</v>
      </c>
      <c r="L12" s="847">
        <v>17697.0</v>
      </c>
      <c r="M12" s="843">
        <f t="shared" si="3"/>
        <v>10.1576</v>
      </c>
      <c r="N12" s="829">
        <v>2.0</v>
      </c>
      <c r="O12" s="829">
        <v>1.0</v>
      </c>
      <c r="P12" s="829">
        <v>0.0</v>
      </c>
      <c r="Q12" s="829">
        <v>0.0</v>
      </c>
      <c r="R12" s="829">
        <v>16.0</v>
      </c>
      <c r="S12" s="829">
        <v>95.0</v>
      </c>
      <c r="T12" s="829">
        <v>23.0</v>
      </c>
      <c r="U12" s="829">
        <v>8.0</v>
      </c>
      <c r="V12" s="829">
        <v>1.0</v>
      </c>
      <c r="W12" s="829">
        <v>1.0</v>
      </c>
      <c r="X12" s="829">
        <v>1.0</v>
      </c>
      <c r="Y12" s="829">
        <v>1.0</v>
      </c>
      <c r="Z12" s="829">
        <v>0.0</v>
      </c>
      <c r="AA12" s="829">
        <v>0.0</v>
      </c>
      <c r="AB12" s="829">
        <v>0.0</v>
      </c>
      <c r="AC12" s="829">
        <v>90.0</v>
      </c>
      <c r="AD12" s="829">
        <v>0.0</v>
      </c>
      <c r="AE12" s="829">
        <v>0.0</v>
      </c>
      <c r="AF12" s="829">
        <v>0.0</v>
      </c>
      <c r="AG12" s="829">
        <v>9.0</v>
      </c>
      <c r="AH12" s="829">
        <v>0.0</v>
      </c>
      <c r="AI12" s="833">
        <f t="shared" si="4"/>
        <v>6.553653162</v>
      </c>
      <c r="AJ12" s="833">
        <f t="shared" si="5"/>
        <v>0.09140532294</v>
      </c>
      <c r="AK12" s="833">
        <f t="shared" si="6"/>
        <v>0.006780810307</v>
      </c>
      <c r="AL12" s="833">
        <f t="shared" si="13"/>
        <v>-0.9307509747</v>
      </c>
      <c r="AM12" s="833">
        <f t="shared" si="8"/>
        <v>0.8695652174</v>
      </c>
      <c r="AN12" s="833">
        <f t="shared" si="11"/>
        <v>0.1911764706</v>
      </c>
      <c r="AO12" s="833">
        <f t="shared" si="9"/>
        <v>0.003672938916</v>
      </c>
      <c r="AP12" s="833">
        <f t="shared" si="10"/>
        <v>-1.922359722</v>
      </c>
      <c r="AQ12" s="833" t="s">
        <v>171</v>
      </c>
      <c r="AR12" s="834" t="s">
        <v>348</v>
      </c>
    </row>
    <row r="13">
      <c r="A13" s="837" t="s">
        <v>197</v>
      </c>
      <c r="B13" s="844">
        <v>18.0</v>
      </c>
      <c r="C13" s="844">
        <v>8.0</v>
      </c>
      <c r="D13" s="844">
        <v>10.0</v>
      </c>
      <c r="E13" s="844">
        <v>8.0</v>
      </c>
      <c r="F13" s="844">
        <v>13.0</v>
      </c>
      <c r="G13" s="844">
        <v>1079.0</v>
      </c>
      <c r="H13" s="844">
        <v>955.0</v>
      </c>
      <c r="I13" s="829">
        <f t="shared" si="1"/>
        <v>124</v>
      </c>
      <c r="J13" s="845">
        <f t="shared" si="12"/>
        <v>1.129842932</v>
      </c>
      <c r="K13" s="844">
        <v>1.0</v>
      </c>
      <c r="L13" s="845">
        <v>15281.0</v>
      </c>
      <c r="M13" s="832">
        <f t="shared" si="3"/>
        <v>12.00104712</v>
      </c>
      <c r="N13" s="844">
        <v>33.0</v>
      </c>
      <c r="O13" s="844">
        <v>1.0</v>
      </c>
      <c r="P13" s="844">
        <v>0.0</v>
      </c>
      <c r="Q13" s="844">
        <v>0.0</v>
      </c>
      <c r="R13" s="844">
        <v>17.0</v>
      </c>
      <c r="S13" s="844">
        <v>231.0</v>
      </c>
      <c r="T13" s="844">
        <v>89.0</v>
      </c>
      <c r="U13" s="844">
        <v>37.0</v>
      </c>
      <c r="V13" s="844">
        <v>18.0</v>
      </c>
      <c r="W13" s="844">
        <v>7.0</v>
      </c>
      <c r="X13" s="844">
        <v>0.0</v>
      </c>
      <c r="Y13" s="844">
        <v>0.0</v>
      </c>
      <c r="Z13" s="844">
        <v>0.0</v>
      </c>
      <c r="AA13" s="844">
        <v>0.0</v>
      </c>
      <c r="AB13" s="844">
        <v>1.0</v>
      </c>
      <c r="AC13" s="844">
        <v>174.0</v>
      </c>
      <c r="AD13" s="844">
        <v>0.0</v>
      </c>
      <c r="AE13" s="844">
        <v>1.0</v>
      </c>
      <c r="AF13" s="844">
        <v>0.0</v>
      </c>
      <c r="AG13" s="844">
        <v>11.0</v>
      </c>
      <c r="AH13" s="844">
        <v>0.0</v>
      </c>
      <c r="AI13" s="836">
        <f t="shared" si="4"/>
        <v>7.99031477</v>
      </c>
      <c r="AJ13" s="836">
        <f t="shared" si="5"/>
        <v>0.1174792226</v>
      </c>
      <c r="AK13" s="836">
        <f t="shared" si="6"/>
        <v>0.1295726719</v>
      </c>
      <c r="AL13" s="833">
        <f t="shared" si="13"/>
        <v>2.387029645</v>
      </c>
      <c r="AM13" s="836">
        <f t="shared" si="8"/>
        <v>0.4444444444</v>
      </c>
      <c r="AN13" s="836">
        <f t="shared" si="11"/>
        <v>0.3540315107</v>
      </c>
      <c r="AO13" s="833">
        <f t="shared" si="9"/>
        <v>0.0008507296643</v>
      </c>
      <c r="AP13" s="833">
        <f t="shared" si="10"/>
        <v>0.4908055756</v>
      </c>
      <c r="AQ13" s="833" t="s">
        <v>336</v>
      </c>
      <c r="AR13" s="834" t="s">
        <v>349</v>
      </c>
    </row>
    <row r="14">
      <c r="A14" s="838" t="s">
        <v>195</v>
      </c>
      <c r="B14" s="829">
        <v>14.0</v>
      </c>
      <c r="C14" s="829">
        <v>1.0</v>
      </c>
      <c r="D14" s="829">
        <v>13.0</v>
      </c>
      <c r="E14" s="829">
        <v>5.0</v>
      </c>
      <c r="F14" s="829">
        <v>24.0</v>
      </c>
      <c r="G14" s="829">
        <v>596.0</v>
      </c>
      <c r="H14" s="829">
        <v>833.0</v>
      </c>
      <c r="I14" s="829">
        <f t="shared" si="1"/>
        <v>-237</v>
      </c>
      <c r="J14" s="831">
        <f t="shared" si="12"/>
        <v>0.7154861945</v>
      </c>
      <c r="K14" s="829">
        <v>0.0</v>
      </c>
      <c r="L14" s="831">
        <v>12482.0</v>
      </c>
      <c r="M14" s="843">
        <f t="shared" si="3"/>
        <v>10.98439376</v>
      </c>
      <c r="N14" s="829">
        <v>5.0</v>
      </c>
      <c r="O14" s="829">
        <v>0.0</v>
      </c>
      <c r="P14" s="829">
        <v>0.0</v>
      </c>
      <c r="Q14" s="829">
        <v>0.0</v>
      </c>
      <c r="R14" s="829">
        <v>8.0</v>
      </c>
      <c r="S14" s="829">
        <v>85.0</v>
      </c>
      <c r="T14" s="829">
        <v>18.0</v>
      </c>
      <c r="U14" s="829">
        <v>7.0</v>
      </c>
      <c r="V14" s="829">
        <v>3.0</v>
      </c>
      <c r="W14" s="829">
        <v>0.0</v>
      </c>
      <c r="X14" s="829">
        <v>0.0</v>
      </c>
      <c r="Y14" s="829">
        <v>0.0</v>
      </c>
      <c r="Z14" s="829">
        <v>0.0</v>
      </c>
      <c r="AA14" s="829">
        <v>0.0</v>
      </c>
      <c r="AB14" s="829">
        <v>0.0</v>
      </c>
      <c r="AC14" s="829">
        <v>73.0</v>
      </c>
      <c r="AD14" s="829">
        <v>0.0</v>
      </c>
      <c r="AE14" s="829">
        <v>0.0</v>
      </c>
      <c r="AF14" s="829">
        <v>0.0</v>
      </c>
      <c r="AG14" s="829">
        <v>19.0</v>
      </c>
      <c r="AH14" s="829">
        <v>3.0</v>
      </c>
      <c r="AI14" s="833">
        <f t="shared" si="4"/>
        <v>6.869091492</v>
      </c>
      <c r="AJ14" s="833">
        <f t="shared" si="5"/>
        <v>0.06325909309</v>
      </c>
      <c r="AK14" s="833">
        <f t="shared" si="6"/>
        <v>0.02403460984</v>
      </c>
      <c r="AL14" s="833">
        <f t="shared" si="13"/>
        <v>0.4664316616</v>
      </c>
      <c r="AM14" s="833">
        <f t="shared" si="8"/>
        <v>0.3571428571</v>
      </c>
      <c r="AN14" s="833">
        <f t="shared" si="11"/>
        <v>0.1895973154</v>
      </c>
      <c r="AO14" s="833">
        <f t="shared" si="9"/>
        <v>0.001922768787</v>
      </c>
      <c r="AP14" s="833">
        <f t="shared" si="10"/>
        <v>-1.139240506</v>
      </c>
      <c r="AQ14" s="833" t="s">
        <v>350</v>
      </c>
      <c r="AR14" s="834" t="s">
        <v>351</v>
      </c>
    </row>
    <row r="15">
      <c r="A15" s="837" t="s">
        <v>80</v>
      </c>
      <c r="B15" s="844">
        <v>22.0</v>
      </c>
      <c r="C15" s="844">
        <v>9.0</v>
      </c>
      <c r="D15" s="844">
        <v>13.0</v>
      </c>
      <c r="E15" s="844">
        <v>5.0</v>
      </c>
      <c r="F15" s="844">
        <v>46.0</v>
      </c>
      <c r="G15" s="844">
        <v>999.0</v>
      </c>
      <c r="H15" s="844">
        <v>1317.0</v>
      </c>
      <c r="I15" s="829">
        <f t="shared" si="1"/>
        <v>-318</v>
      </c>
      <c r="J15" s="845">
        <f t="shared" si="12"/>
        <v>0.7585421412</v>
      </c>
      <c r="K15" s="844">
        <v>0.0</v>
      </c>
      <c r="L15" s="848">
        <v>19214.0</v>
      </c>
      <c r="M15" s="832">
        <f t="shared" si="3"/>
        <v>10.58921792</v>
      </c>
      <c r="N15" s="844">
        <v>11.0</v>
      </c>
      <c r="O15" s="844">
        <v>0.0</v>
      </c>
      <c r="P15" s="844">
        <v>0.0</v>
      </c>
      <c r="Q15" s="844">
        <v>0.0</v>
      </c>
      <c r="R15" s="844">
        <v>15.0</v>
      </c>
      <c r="S15" s="844">
        <v>165.0</v>
      </c>
      <c r="T15" s="844">
        <v>44.0</v>
      </c>
      <c r="U15" s="844">
        <v>12.0</v>
      </c>
      <c r="V15" s="844">
        <v>2.0</v>
      </c>
      <c r="W15" s="844">
        <v>1.0</v>
      </c>
      <c r="X15" s="844">
        <v>1.0</v>
      </c>
      <c r="Y15" s="844">
        <v>0.0</v>
      </c>
      <c r="Z15" s="844">
        <v>0.0</v>
      </c>
      <c r="AA15" s="844">
        <v>0.0</v>
      </c>
      <c r="AB15" s="844">
        <v>1.0</v>
      </c>
      <c r="AC15" s="844">
        <v>151.0</v>
      </c>
      <c r="AD15" s="844">
        <v>0.0</v>
      </c>
      <c r="AE15" s="844">
        <v>0.0</v>
      </c>
      <c r="AF15" s="844">
        <v>0.0</v>
      </c>
      <c r="AG15" s="844">
        <v>17.0</v>
      </c>
      <c r="AH15" s="844">
        <v>1.0</v>
      </c>
      <c r="AI15" s="836">
        <f t="shared" si="4"/>
        <v>7.232226502</v>
      </c>
      <c r="AJ15" s="836">
        <f t="shared" si="5"/>
        <v>0.07182262933</v>
      </c>
      <c r="AK15" s="836">
        <f t="shared" si="6"/>
        <v>0.03434995316</v>
      </c>
      <c r="AL15" s="833">
        <f t="shared" si="13"/>
        <v>-0.09498860784</v>
      </c>
      <c r="AM15" s="836">
        <f t="shared" si="8"/>
        <v>0.2272727273</v>
      </c>
      <c r="AN15" s="836">
        <f t="shared" si="11"/>
        <v>0.2252252252</v>
      </c>
      <c r="AO15" s="833">
        <f t="shared" si="9"/>
        <v>0.002394087644</v>
      </c>
      <c r="AP15" s="833">
        <f t="shared" si="10"/>
        <v>-0.9930259186</v>
      </c>
      <c r="AQ15" s="833" t="s">
        <v>338</v>
      </c>
      <c r="AR15" s="834" t="s">
        <v>352</v>
      </c>
    </row>
    <row r="16">
      <c r="A16" s="838" t="s">
        <v>44</v>
      </c>
      <c r="B16" s="829">
        <v>20.0</v>
      </c>
      <c r="C16" s="829">
        <v>16.0</v>
      </c>
      <c r="D16" s="829">
        <v>4.0</v>
      </c>
      <c r="E16" s="829">
        <v>69.0</v>
      </c>
      <c r="F16" s="829">
        <v>268.0</v>
      </c>
      <c r="G16" s="829">
        <v>748.0</v>
      </c>
      <c r="H16" s="829">
        <v>785.0</v>
      </c>
      <c r="I16" s="829">
        <f t="shared" si="1"/>
        <v>-37</v>
      </c>
      <c r="J16" s="831">
        <f t="shared" si="12"/>
        <v>0.952866242</v>
      </c>
      <c r="K16" s="829">
        <v>1.0</v>
      </c>
      <c r="L16" s="847">
        <v>17172.0</v>
      </c>
      <c r="M16" s="843">
        <f t="shared" si="3"/>
        <v>17.87515924</v>
      </c>
      <c r="N16" s="829">
        <v>16.0</v>
      </c>
      <c r="O16" s="829">
        <v>0.0</v>
      </c>
      <c r="P16" s="829">
        <v>0.0</v>
      </c>
      <c r="Q16" s="829">
        <v>0.0</v>
      </c>
      <c r="R16" s="829">
        <v>5.0</v>
      </c>
      <c r="S16" s="829">
        <v>119.0</v>
      </c>
      <c r="T16" s="829">
        <v>37.0</v>
      </c>
      <c r="U16" s="829">
        <v>8.0</v>
      </c>
      <c r="V16" s="829">
        <v>1.0</v>
      </c>
      <c r="W16" s="829">
        <v>0.0</v>
      </c>
      <c r="X16" s="829">
        <v>0.0</v>
      </c>
      <c r="Y16" s="829">
        <v>0.0</v>
      </c>
      <c r="Z16" s="829">
        <v>0.0</v>
      </c>
      <c r="AA16" s="829">
        <v>0.0</v>
      </c>
      <c r="AB16" s="829">
        <v>0.0</v>
      </c>
      <c r="AC16" s="829">
        <v>140.0</v>
      </c>
      <c r="AD16" s="829">
        <v>0.0</v>
      </c>
      <c r="AE16" s="829">
        <v>2.0</v>
      </c>
      <c r="AF16" s="829">
        <v>1.0</v>
      </c>
      <c r="AG16" s="829">
        <v>6.0</v>
      </c>
      <c r="AH16" s="829">
        <v>2.0</v>
      </c>
      <c r="AI16" s="833">
        <f t="shared" si="4"/>
        <v>5.35988819</v>
      </c>
      <c r="AJ16" s="833">
        <f t="shared" si="5"/>
        <v>0.256044724</v>
      </c>
      <c r="AK16" s="833">
        <f t="shared" si="6"/>
        <v>0.05590496157</v>
      </c>
      <c r="AL16" s="833">
        <f t="shared" si="13"/>
        <v>1.383114955</v>
      </c>
      <c r="AM16" s="833">
        <f t="shared" si="8"/>
        <v>3.45</v>
      </c>
      <c r="AN16" s="833">
        <f t="shared" si="11"/>
        <v>0.2205882353</v>
      </c>
      <c r="AO16" s="833">
        <f t="shared" si="9"/>
        <v>0.01560680177</v>
      </c>
      <c r="AP16" s="833">
        <f t="shared" si="10"/>
        <v>-0.1257861635</v>
      </c>
      <c r="AQ16" s="833" t="s">
        <v>171</v>
      </c>
      <c r="AR16" s="834" t="s">
        <v>353</v>
      </c>
    </row>
    <row r="17">
      <c r="A17" s="850" t="s">
        <v>176</v>
      </c>
      <c r="B17" s="844">
        <v>17.0</v>
      </c>
      <c r="C17" s="844">
        <v>10.0</v>
      </c>
      <c r="D17" s="844">
        <v>7.0</v>
      </c>
      <c r="E17" s="844">
        <v>13.0</v>
      </c>
      <c r="F17" s="844">
        <v>32.0</v>
      </c>
      <c r="G17" s="844">
        <v>719.0</v>
      </c>
      <c r="H17" s="844">
        <v>771.0</v>
      </c>
      <c r="I17" s="829">
        <f t="shared" si="1"/>
        <v>-52</v>
      </c>
      <c r="J17" s="845">
        <f t="shared" si="12"/>
        <v>0.9325551232</v>
      </c>
      <c r="K17" s="844">
        <v>0.0</v>
      </c>
      <c r="L17" s="845">
        <v>15961.0</v>
      </c>
      <c r="M17" s="832">
        <f t="shared" si="3"/>
        <v>16.70168612</v>
      </c>
      <c r="N17" s="844">
        <v>15.0</v>
      </c>
      <c r="O17" s="844">
        <v>0.0</v>
      </c>
      <c r="P17" s="844">
        <v>0.0</v>
      </c>
      <c r="Q17" s="844">
        <v>0.0</v>
      </c>
      <c r="R17" s="844">
        <v>9.0</v>
      </c>
      <c r="S17" s="844">
        <v>110.0</v>
      </c>
      <c r="T17" s="844">
        <v>29.0</v>
      </c>
      <c r="U17" s="844">
        <v>5.0</v>
      </c>
      <c r="V17" s="844">
        <v>1.0</v>
      </c>
      <c r="W17" s="844">
        <v>1.0</v>
      </c>
      <c r="X17" s="844">
        <v>0.0</v>
      </c>
      <c r="Y17" s="844">
        <v>0.0</v>
      </c>
      <c r="Z17" s="844">
        <v>0.0</v>
      </c>
      <c r="AA17" s="844">
        <v>0.0</v>
      </c>
      <c r="AB17" s="844">
        <v>0.0</v>
      </c>
      <c r="AC17" s="844">
        <v>135.0</v>
      </c>
      <c r="AD17" s="844">
        <v>0.0</v>
      </c>
      <c r="AE17" s="844">
        <v>3.0</v>
      </c>
      <c r="AF17" s="844">
        <v>0.0</v>
      </c>
      <c r="AG17" s="844">
        <v>8.0</v>
      </c>
      <c r="AH17" s="844">
        <v>0.0</v>
      </c>
      <c r="AI17" s="836">
        <f t="shared" si="4"/>
        <v>5.60115281</v>
      </c>
      <c r="AJ17" s="836">
        <f t="shared" si="5"/>
        <v>0.1045047303</v>
      </c>
      <c r="AK17" s="836">
        <f t="shared" si="6"/>
        <v>0.0563874444</v>
      </c>
      <c r="AL17" s="833">
        <f t="shared" si="13"/>
        <v>0.7035812292</v>
      </c>
      <c r="AM17" s="836">
        <f t="shared" si="8"/>
        <v>0.7647058824</v>
      </c>
      <c r="AN17" s="836">
        <f t="shared" si="11"/>
        <v>0.2030598053</v>
      </c>
      <c r="AO17" s="833">
        <f t="shared" si="9"/>
        <v>0.002004886912</v>
      </c>
      <c r="AP17" s="833">
        <f t="shared" si="10"/>
        <v>-0.1954764739</v>
      </c>
      <c r="AQ17" s="833" t="s">
        <v>350</v>
      </c>
      <c r="AR17" s="834" t="s">
        <v>354</v>
      </c>
    </row>
    <row r="18">
      <c r="A18" s="838" t="s">
        <v>185</v>
      </c>
      <c r="B18" s="829">
        <v>23.0</v>
      </c>
      <c r="C18" s="829">
        <v>12.0</v>
      </c>
      <c r="D18" s="829">
        <v>11.0</v>
      </c>
      <c r="E18" s="829">
        <v>4.0</v>
      </c>
      <c r="F18" s="829">
        <v>25.0</v>
      </c>
      <c r="G18" s="829">
        <v>831.0</v>
      </c>
      <c r="H18" s="829">
        <v>1144.0</v>
      </c>
      <c r="I18" s="829">
        <f t="shared" si="1"/>
        <v>-313</v>
      </c>
      <c r="J18" s="831">
        <f t="shared" si="12"/>
        <v>0.7263986014</v>
      </c>
      <c r="K18" s="829">
        <v>2.0</v>
      </c>
      <c r="L18" s="831">
        <v>19424.0</v>
      </c>
      <c r="M18" s="843">
        <f t="shared" si="3"/>
        <v>12.97902098</v>
      </c>
      <c r="N18" s="829">
        <v>13.0</v>
      </c>
      <c r="O18" s="829">
        <v>0.0</v>
      </c>
      <c r="P18" s="829">
        <v>0.0</v>
      </c>
      <c r="Q18" s="829">
        <v>0.0</v>
      </c>
      <c r="R18" s="829">
        <v>6.0</v>
      </c>
      <c r="S18" s="829">
        <v>124.0</v>
      </c>
      <c r="T18" s="829">
        <v>31.0</v>
      </c>
      <c r="U18" s="829">
        <v>10.0</v>
      </c>
      <c r="V18" s="829">
        <v>5.0</v>
      </c>
      <c r="W18" s="829">
        <v>1.0</v>
      </c>
      <c r="X18" s="829">
        <v>1.0</v>
      </c>
      <c r="Y18" s="829">
        <v>0.0</v>
      </c>
      <c r="Z18" s="829">
        <v>0.0</v>
      </c>
      <c r="AA18" s="829">
        <v>0.0</v>
      </c>
      <c r="AB18" s="829">
        <v>1.0</v>
      </c>
      <c r="AC18" s="829">
        <v>154.0</v>
      </c>
      <c r="AD18" s="829">
        <v>0.0</v>
      </c>
      <c r="AE18" s="829">
        <v>0.0</v>
      </c>
      <c r="AF18" s="829">
        <v>0.0</v>
      </c>
      <c r="AG18" s="829">
        <v>14.0</v>
      </c>
      <c r="AH18" s="829">
        <v>5.0</v>
      </c>
      <c r="AI18" s="833">
        <f t="shared" si="4"/>
        <v>6.106878089</v>
      </c>
      <c r="AJ18" s="833">
        <f t="shared" si="5"/>
        <v>0.07018121911</v>
      </c>
      <c r="AK18" s="833">
        <f t="shared" si="6"/>
        <v>0.04015650741</v>
      </c>
      <c r="AL18" s="833">
        <f t="shared" si="13"/>
        <v>-0.3070977485</v>
      </c>
      <c r="AM18" s="833">
        <f t="shared" si="8"/>
        <v>0.1739130435</v>
      </c>
      <c r="AN18" s="833">
        <f t="shared" si="11"/>
        <v>0.2069795427</v>
      </c>
      <c r="AO18" s="833">
        <f t="shared" si="9"/>
        <v>0.001287067545</v>
      </c>
      <c r="AP18" s="833">
        <f t="shared" si="10"/>
        <v>-0.9606672158</v>
      </c>
      <c r="AQ18" s="833" t="s">
        <v>338</v>
      </c>
      <c r="AR18" s="834" t="s">
        <v>355</v>
      </c>
    </row>
    <row r="19">
      <c r="A19" s="837" t="s">
        <v>68</v>
      </c>
      <c r="B19" s="844">
        <v>19.0</v>
      </c>
      <c r="C19" s="844">
        <v>1.0</v>
      </c>
      <c r="D19" s="844">
        <v>18.0</v>
      </c>
      <c r="E19" s="844">
        <v>19.0</v>
      </c>
      <c r="F19" s="844">
        <v>86.0</v>
      </c>
      <c r="G19" s="844">
        <v>725.0</v>
      </c>
      <c r="H19" s="844">
        <v>820.0</v>
      </c>
      <c r="I19" s="829">
        <f t="shared" si="1"/>
        <v>-95</v>
      </c>
      <c r="J19" s="845">
        <f t="shared" si="12"/>
        <v>0.8841463415</v>
      </c>
      <c r="K19" s="844">
        <v>1.0</v>
      </c>
      <c r="L19" s="845">
        <v>15476.0</v>
      </c>
      <c r="M19" s="832">
        <f t="shared" si="3"/>
        <v>14.87317073</v>
      </c>
      <c r="N19" s="844">
        <v>20.0</v>
      </c>
      <c r="O19" s="844">
        <v>0.0</v>
      </c>
      <c r="P19" s="844">
        <v>0.0</v>
      </c>
      <c r="Q19" s="844">
        <v>0.0</v>
      </c>
      <c r="R19" s="844">
        <v>12.0</v>
      </c>
      <c r="S19" s="844">
        <v>105.0</v>
      </c>
      <c r="T19" s="844">
        <v>34.0</v>
      </c>
      <c r="U19" s="844">
        <v>8.0</v>
      </c>
      <c r="V19" s="844">
        <v>4.0</v>
      </c>
      <c r="W19" s="844">
        <v>1.0</v>
      </c>
      <c r="X19" s="844">
        <v>0.0</v>
      </c>
      <c r="Y19" s="844">
        <v>0.0</v>
      </c>
      <c r="Z19" s="844">
        <v>0.0</v>
      </c>
      <c r="AA19" s="844">
        <v>0.0</v>
      </c>
      <c r="AB19" s="844">
        <v>0.0</v>
      </c>
      <c r="AC19" s="844">
        <v>122.0</v>
      </c>
      <c r="AD19" s="844">
        <v>0.0</v>
      </c>
      <c r="AE19" s="844">
        <v>0.0</v>
      </c>
      <c r="AF19" s="844">
        <v>0.0</v>
      </c>
      <c r="AG19" s="844">
        <v>20.0</v>
      </c>
      <c r="AH19" s="844">
        <v>0.0</v>
      </c>
      <c r="AI19" s="836">
        <f t="shared" si="4"/>
        <v>5.993796847</v>
      </c>
      <c r="AJ19" s="836">
        <f t="shared" si="5"/>
        <v>0.1218919617</v>
      </c>
      <c r="AK19" s="836">
        <f t="shared" si="6"/>
        <v>0.07753941587</v>
      </c>
      <c r="AL19" s="833">
        <f t="shared" si="13"/>
        <v>4.145050401</v>
      </c>
      <c r="AM19" s="836">
        <f t="shared" si="8"/>
        <v>1</v>
      </c>
      <c r="AN19" s="836">
        <f t="shared" si="11"/>
        <v>0.2096551724</v>
      </c>
      <c r="AO19" s="833">
        <f t="shared" si="9"/>
        <v>0.005556991471</v>
      </c>
      <c r="AP19" s="833">
        <f t="shared" si="10"/>
        <v>-0.3644352546</v>
      </c>
      <c r="AQ19" s="833" t="s">
        <v>336</v>
      </c>
      <c r="AR19" s="834" t="s">
        <v>356</v>
      </c>
    </row>
    <row r="20">
      <c r="A20" s="838" t="s">
        <v>172</v>
      </c>
      <c r="B20" s="829">
        <v>36.0</v>
      </c>
      <c r="C20" s="829">
        <v>18.0</v>
      </c>
      <c r="D20" s="829">
        <v>18.0</v>
      </c>
      <c r="E20" s="829">
        <v>30.0</v>
      </c>
      <c r="F20" s="829">
        <v>177.0</v>
      </c>
      <c r="G20" s="829">
        <v>2042.0</v>
      </c>
      <c r="H20" s="829">
        <v>1484.0</v>
      </c>
      <c r="I20" s="829">
        <f t="shared" si="1"/>
        <v>558</v>
      </c>
      <c r="J20" s="831">
        <f t="shared" si="12"/>
        <v>1.376010782</v>
      </c>
      <c r="K20" s="829">
        <v>7.0</v>
      </c>
      <c r="L20" s="831">
        <v>31887.0</v>
      </c>
      <c r="M20" s="843">
        <f t="shared" si="3"/>
        <v>17.48719677</v>
      </c>
      <c r="N20" s="829">
        <v>81.0</v>
      </c>
      <c r="O20" s="829">
        <v>5.0</v>
      </c>
      <c r="P20" s="829">
        <v>0.0</v>
      </c>
      <c r="Q20" s="829">
        <v>0.0</v>
      </c>
      <c r="R20" s="829">
        <v>27.0</v>
      </c>
      <c r="S20" s="829">
        <v>423.0</v>
      </c>
      <c r="T20" s="829">
        <v>128.0</v>
      </c>
      <c r="U20" s="829">
        <v>44.0</v>
      </c>
      <c r="V20" s="829">
        <v>12.0</v>
      </c>
      <c r="W20" s="829">
        <v>6.0</v>
      </c>
      <c r="X20" s="829">
        <v>3.0</v>
      </c>
      <c r="Y20" s="829">
        <v>1.0</v>
      </c>
      <c r="Z20" s="829">
        <v>1.0</v>
      </c>
      <c r="AA20" s="829">
        <v>0.0</v>
      </c>
      <c r="AB20" s="829">
        <v>0.0</v>
      </c>
      <c r="AC20" s="829">
        <v>501.0</v>
      </c>
      <c r="AD20" s="829">
        <v>3.0</v>
      </c>
      <c r="AE20" s="829">
        <v>6.0</v>
      </c>
      <c r="AF20" s="829">
        <v>1.0</v>
      </c>
      <c r="AG20" s="829">
        <v>17.0</v>
      </c>
      <c r="AH20" s="829">
        <v>45.0</v>
      </c>
      <c r="AI20" s="833">
        <f t="shared" si="4"/>
        <v>6.647850221</v>
      </c>
      <c r="AJ20" s="833">
        <f t="shared" si="5"/>
        <v>0.1704769969</v>
      </c>
      <c r="AK20" s="833">
        <f t="shared" si="6"/>
        <v>0.1524132091</v>
      </c>
      <c r="AL20" s="833">
        <f t="shared" si="13"/>
        <v>2.749364945</v>
      </c>
      <c r="AM20" s="833">
        <f t="shared" si="8"/>
        <v>0.8333333333</v>
      </c>
      <c r="AN20" s="833">
        <f t="shared" si="11"/>
        <v>0.3026444662</v>
      </c>
      <c r="AO20" s="833">
        <f t="shared" si="9"/>
        <v>0.005550851444</v>
      </c>
      <c r="AP20" s="833">
        <f t="shared" si="10"/>
        <v>1.063129175</v>
      </c>
      <c r="AQ20" s="833" t="s">
        <v>336</v>
      </c>
      <c r="AR20" s="834" t="s">
        <v>357</v>
      </c>
    </row>
    <row r="21">
      <c r="A21" s="851" t="s">
        <v>96</v>
      </c>
      <c r="B21" s="852">
        <v>7.0</v>
      </c>
      <c r="C21" s="852">
        <v>6.0</v>
      </c>
      <c r="D21" s="852">
        <v>1.0</v>
      </c>
      <c r="E21" s="852">
        <v>7.0</v>
      </c>
      <c r="F21" s="852">
        <v>24.0</v>
      </c>
      <c r="G21" s="852">
        <v>248.0</v>
      </c>
      <c r="H21" s="852">
        <v>296.0</v>
      </c>
      <c r="I21" s="829">
        <f t="shared" si="1"/>
        <v>-48</v>
      </c>
      <c r="J21" s="831">
        <f t="shared" si="12"/>
        <v>0.8378378378</v>
      </c>
      <c r="K21" s="852">
        <v>2.0</v>
      </c>
      <c r="L21" s="831">
        <v>5255.0</v>
      </c>
      <c r="M21" s="843">
        <f t="shared" si="3"/>
        <v>13.75337838</v>
      </c>
      <c r="N21" s="852">
        <v>0.0</v>
      </c>
      <c r="O21" s="852">
        <v>0.0</v>
      </c>
      <c r="P21" s="852">
        <v>0.0</v>
      </c>
      <c r="Q21" s="852">
        <v>0.0</v>
      </c>
      <c r="R21" s="852">
        <v>0.0</v>
      </c>
      <c r="S21" s="852">
        <v>38.0</v>
      </c>
      <c r="T21" s="852">
        <v>9.0</v>
      </c>
      <c r="U21" s="852">
        <v>3.0</v>
      </c>
      <c r="V21" s="852">
        <v>0.0</v>
      </c>
      <c r="W21" s="852">
        <v>0.0</v>
      </c>
      <c r="X21" s="852">
        <v>0.0</v>
      </c>
      <c r="Y21" s="852">
        <v>0.0</v>
      </c>
      <c r="Z21" s="852">
        <v>0.0</v>
      </c>
      <c r="AA21" s="852">
        <v>0.0</v>
      </c>
      <c r="AB21" s="852">
        <v>0.0</v>
      </c>
      <c r="AC21" s="852">
        <v>32.0</v>
      </c>
      <c r="AD21" s="852">
        <v>0.0</v>
      </c>
      <c r="AE21" s="852">
        <v>0.0</v>
      </c>
      <c r="AF21" s="852">
        <v>0.0</v>
      </c>
      <c r="AG21" s="852">
        <v>4.0</v>
      </c>
      <c r="AH21" s="852">
        <v>0.0</v>
      </c>
      <c r="AI21" s="833">
        <f t="shared" si="4"/>
        <v>6.234062797</v>
      </c>
      <c r="AJ21" s="833">
        <f t="shared" si="5"/>
        <v>0.1077830637</v>
      </c>
      <c r="AK21" s="833">
        <f t="shared" si="6"/>
        <v>0</v>
      </c>
      <c r="AL21" s="833">
        <f t="shared" si="13"/>
        <v>0.2561687282</v>
      </c>
      <c r="AM21" s="833">
        <f t="shared" si="8"/>
        <v>1</v>
      </c>
      <c r="AN21" s="833">
        <f t="shared" si="11"/>
        <v>0.2016129032</v>
      </c>
      <c r="AO21" s="833">
        <f t="shared" si="9"/>
        <v>0.004567078972</v>
      </c>
      <c r="AP21" s="833">
        <f t="shared" si="10"/>
        <v>-0.5252140818</v>
      </c>
      <c r="AQ21" s="833" t="s">
        <v>350</v>
      </c>
      <c r="AR21" s="834" t="s">
        <v>354</v>
      </c>
    </row>
    <row r="22">
      <c r="A22" s="837" t="s">
        <v>162</v>
      </c>
      <c r="B22" s="844">
        <v>26.0</v>
      </c>
      <c r="C22" s="844">
        <v>17.0</v>
      </c>
      <c r="D22" s="844">
        <v>8.0</v>
      </c>
      <c r="E22" s="844">
        <v>7.0</v>
      </c>
      <c r="F22" s="844">
        <v>17.0</v>
      </c>
      <c r="G22" s="844">
        <v>1145.0</v>
      </c>
      <c r="H22" s="844">
        <v>1557.0</v>
      </c>
      <c r="I22" s="829">
        <f t="shared" si="1"/>
        <v>-412</v>
      </c>
      <c r="J22" s="845">
        <f t="shared" si="12"/>
        <v>0.7353885678</v>
      </c>
      <c r="K22" s="844">
        <v>2.0</v>
      </c>
      <c r="L22" s="846">
        <v>23399.0</v>
      </c>
      <c r="M22" s="832">
        <f t="shared" si="3"/>
        <v>11.02825947</v>
      </c>
      <c r="N22" s="844">
        <v>7.0</v>
      </c>
      <c r="O22" s="844">
        <v>0.0</v>
      </c>
      <c r="P22" s="844">
        <v>0.0</v>
      </c>
      <c r="Q22" s="844">
        <v>0.0</v>
      </c>
      <c r="R22" s="844">
        <v>10.0</v>
      </c>
      <c r="S22" s="844">
        <v>173.0</v>
      </c>
      <c r="T22" s="844">
        <v>46.0</v>
      </c>
      <c r="U22" s="844">
        <v>7.0</v>
      </c>
      <c r="V22" s="844">
        <v>3.0</v>
      </c>
      <c r="W22" s="844">
        <v>1.0</v>
      </c>
      <c r="X22" s="844">
        <v>0.0</v>
      </c>
      <c r="Y22" s="844">
        <v>0.0</v>
      </c>
      <c r="Z22" s="844">
        <v>0.0</v>
      </c>
      <c r="AA22" s="844">
        <v>0.0</v>
      </c>
      <c r="AB22" s="844">
        <v>0.0</v>
      </c>
      <c r="AC22" s="844">
        <v>76.0</v>
      </c>
      <c r="AD22" s="844">
        <v>1.0</v>
      </c>
      <c r="AE22" s="844">
        <v>0.0</v>
      </c>
      <c r="AF22" s="844">
        <v>0.0</v>
      </c>
      <c r="AG22" s="844">
        <v>19.0</v>
      </c>
      <c r="AH22" s="844">
        <v>10.0</v>
      </c>
      <c r="AI22" s="836">
        <f t="shared" si="4"/>
        <v>6.933629642</v>
      </c>
      <c r="AJ22" s="836">
        <f t="shared" si="5"/>
        <v>0.03918116159</v>
      </c>
      <c r="AK22" s="836">
        <f t="shared" si="6"/>
        <v>0.01794948502</v>
      </c>
      <c r="AL22" s="833">
        <f t="shared" si="13"/>
        <v>-0.3407420629</v>
      </c>
      <c r="AM22" s="836">
        <f t="shared" si="8"/>
        <v>0.2692307692</v>
      </c>
      <c r="AN22" s="836">
        <f t="shared" si="11"/>
        <v>0.2008733624</v>
      </c>
      <c r="AO22" s="833">
        <f t="shared" si="9"/>
        <v>0.0007265267746</v>
      </c>
      <c r="AP22" s="833">
        <f t="shared" si="10"/>
        <v>-1.05132698</v>
      </c>
      <c r="AQ22" s="833" t="s">
        <v>350</v>
      </c>
      <c r="AR22" s="834" t="s">
        <v>358</v>
      </c>
    </row>
    <row r="23">
      <c r="A23" s="838" t="s">
        <v>75</v>
      </c>
      <c r="B23" s="829">
        <v>30.0</v>
      </c>
      <c r="C23" s="829">
        <v>23.0</v>
      </c>
      <c r="D23" s="829">
        <v>7.0</v>
      </c>
      <c r="E23" s="829">
        <v>62.0</v>
      </c>
      <c r="F23" s="829">
        <v>355.0</v>
      </c>
      <c r="G23" s="829">
        <v>1227.0</v>
      </c>
      <c r="H23" s="829">
        <v>1013.0</v>
      </c>
      <c r="I23" s="829">
        <f t="shared" si="1"/>
        <v>214</v>
      </c>
      <c r="J23" s="831">
        <f t="shared" si="12"/>
        <v>1.211253702</v>
      </c>
      <c r="K23" s="829">
        <v>1.0</v>
      </c>
      <c r="L23" s="842">
        <v>24620.0</v>
      </c>
      <c r="M23" s="843">
        <f t="shared" si="3"/>
        <v>20.30404738</v>
      </c>
      <c r="N23" s="829">
        <v>40.0</v>
      </c>
      <c r="O23" s="829">
        <v>3.0</v>
      </c>
      <c r="P23" s="829">
        <v>0.0</v>
      </c>
      <c r="Q23" s="829">
        <v>0.0</v>
      </c>
      <c r="R23" s="829">
        <v>12.0</v>
      </c>
      <c r="S23" s="829">
        <v>215.0</v>
      </c>
      <c r="T23" s="829">
        <v>54.0</v>
      </c>
      <c r="U23" s="829">
        <v>14.0</v>
      </c>
      <c r="V23" s="829">
        <v>5.0</v>
      </c>
      <c r="W23" s="829">
        <v>2.0</v>
      </c>
      <c r="X23" s="829">
        <v>1.0</v>
      </c>
      <c r="Y23" s="829">
        <v>0.0</v>
      </c>
      <c r="Z23" s="829">
        <v>0.0</v>
      </c>
      <c r="AA23" s="829">
        <v>0.0</v>
      </c>
      <c r="AB23" s="829">
        <v>0.0</v>
      </c>
      <c r="AC23" s="829">
        <v>270.0</v>
      </c>
      <c r="AD23" s="829">
        <v>0.0</v>
      </c>
      <c r="AE23" s="829">
        <v>0.0</v>
      </c>
      <c r="AF23" s="829">
        <v>2.0</v>
      </c>
      <c r="AG23" s="829">
        <v>13.0</v>
      </c>
      <c r="AH23" s="829">
        <v>9.0</v>
      </c>
      <c r="AI23" s="833">
        <f t="shared" si="4"/>
        <v>5.461413485</v>
      </c>
      <c r="AJ23" s="833">
        <f t="shared" si="5"/>
        <v>0.2076360682</v>
      </c>
      <c r="AK23" s="833">
        <f t="shared" si="6"/>
        <v>0.09748172218</v>
      </c>
      <c r="AL23" s="833">
        <f t="shared" si="13"/>
        <v>1.896563416</v>
      </c>
      <c r="AM23" s="833">
        <f t="shared" si="8"/>
        <v>2.066666667</v>
      </c>
      <c r="AN23" s="833">
        <f t="shared" si="11"/>
        <v>0.2371638142</v>
      </c>
      <c r="AO23" s="833">
        <f t="shared" si="9"/>
        <v>0.01441917141</v>
      </c>
      <c r="AP23" s="833">
        <f t="shared" si="10"/>
        <v>0.5239642567</v>
      </c>
      <c r="AQ23" s="833" t="s">
        <v>336</v>
      </c>
      <c r="AR23" s="834" t="s">
        <v>359</v>
      </c>
    </row>
    <row r="24">
      <c r="A24" s="837" t="s">
        <v>66</v>
      </c>
      <c r="B24" s="844">
        <v>20.0</v>
      </c>
      <c r="C24" s="844">
        <v>16.0</v>
      </c>
      <c r="D24" s="844">
        <v>4.0</v>
      </c>
      <c r="E24" s="844">
        <v>2.0</v>
      </c>
      <c r="F24" s="844">
        <v>8.0</v>
      </c>
      <c r="G24" s="844">
        <v>1053.0</v>
      </c>
      <c r="H24" s="844">
        <v>1071.0</v>
      </c>
      <c r="I24" s="829">
        <f t="shared" si="1"/>
        <v>-18</v>
      </c>
      <c r="J24" s="845">
        <v>0.99</v>
      </c>
      <c r="K24" s="844">
        <v>4.0</v>
      </c>
      <c r="L24" s="846">
        <v>17172.0</v>
      </c>
      <c r="M24" s="832">
        <f t="shared" si="3"/>
        <v>12.03361345</v>
      </c>
      <c r="N24" s="844">
        <v>10.0</v>
      </c>
      <c r="O24" s="844">
        <v>0.0</v>
      </c>
      <c r="P24" s="844">
        <v>0.0</v>
      </c>
      <c r="Q24" s="844">
        <v>0.0</v>
      </c>
      <c r="R24" s="844">
        <v>3.0</v>
      </c>
      <c r="S24" s="844">
        <v>180.0</v>
      </c>
      <c r="T24" s="844">
        <v>42.0</v>
      </c>
      <c r="U24" s="844">
        <v>9.0</v>
      </c>
      <c r="V24" s="844">
        <v>3.0</v>
      </c>
      <c r="W24" s="844">
        <v>1.0</v>
      </c>
      <c r="X24" s="844">
        <v>0.0</v>
      </c>
      <c r="Y24" s="844">
        <v>0.0</v>
      </c>
      <c r="Z24" s="844">
        <v>0.0</v>
      </c>
      <c r="AA24" s="844">
        <v>0.0</v>
      </c>
      <c r="AB24" s="844">
        <v>0.0</v>
      </c>
      <c r="AC24" s="844">
        <v>126.0</v>
      </c>
      <c r="AD24" s="844">
        <v>0.0</v>
      </c>
      <c r="AE24" s="844">
        <v>0.0</v>
      </c>
      <c r="AF24" s="844">
        <v>0.0</v>
      </c>
      <c r="AG24" s="844">
        <v>14.0</v>
      </c>
      <c r="AH24" s="844">
        <v>2.0</v>
      </c>
      <c r="AI24" s="836">
        <f t="shared" si="4"/>
        <v>7.435359888</v>
      </c>
      <c r="AJ24" s="836">
        <f t="shared" si="5"/>
        <v>0.06121593291</v>
      </c>
      <c r="AK24" s="836">
        <f t="shared" si="6"/>
        <v>0.03494060098</v>
      </c>
      <c r="AL24" s="833">
        <f t="shared" si="13"/>
        <v>0.8286338225</v>
      </c>
      <c r="AM24" s="836">
        <f t="shared" si="8"/>
        <v>0.1</v>
      </c>
      <c r="AN24" s="836">
        <f t="shared" si="11"/>
        <v>0.2231718898</v>
      </c>
      <c r="AO24" s="833">
        <f t="shared" si="9"/>
        <v>0.0004658746797</v>
      </c>
      <c r="AP24" s="833">
        <f t="shared" si="10"/>
        <v>-0.04891684137</v>
      </c>
      <c r="AQ24" s="833" t="s">
        <v>336</v>
      </c>
      <c r="AR24" s="834" t="s">
        <v>360</v>
      </c>
    </row>
    <row r="25">
      <c r="A25" s="838" t="s">
        <v>82</v>
      </c>
      <c r="B25" s="829">
        <v>18.0</v>
      </c>
      <c r="C25" s="829">
        <v>1.0</v>
      </c>
      <c r="D25" s="829">
        <v>17.0</v>
      </c>
      <c r="E25" s="829">
        <v>9.0</v>
      </c>
      <c r="F25" s="829">
        <v>95.0</v>
      </c>
      <c r="G25" s="829">
        <v>739.0</v>
      </c>
      <c r="H25" s="829">
        <v>956.0</v>
      </c>
      <c r="I25" s="829">
        <f t="shared" si="1"/>
        <v>-217</v>
      </c>
      <c r="J25" s="831">
        <f t="shared" ref="J25:J43" si="14">IFERROR(G25/H25,0)</f>
        <v>0.7730125523</v>
      </c>
      <c r="K25" s="829">
        <v>1.0</v>
      </c>
      <c r="L25" s="831">
        <v>14768.0</v>
      </c>
      <c r="M25" s="843">
        <f t="shared" si="3"/>
        <v>11.44769874</v>
      </c>
      <c r="N25" s="829">
        <v>14.0</v>
      </c>
      <c r="O25" s="829">
        <v>0.0</v>
      </c>
      <c r="P25" s="829">
        <v>0.0</v>
      </c>
      <c r="Q25" s="829">
        <v>0.0</v>
      </c>
      <c r="R25" s="829">
        <v>4.0</v>
      </c>
      <c r="S25" s="829">
        <v>107.0</v>
      </c>
      <c r="T25" s="829">
        <v>32.0</v>
      </c>
      <c r="U25" s="829">
        <v>7.0</v>
      </c>
      <c r="V25" s="829">
        <v>0.0</v>
      </c>
      <c r="W25" s="829">
        <v>0.0</v>
      </c>
      <c r="X25" s="829">
        <v>0.0</v>
      </c>
      <c r="Y25" s="829">
        <v>0.0</v>
      </c>
      <c r="Z25" s="829">
        <v>0.0</v>
      </c>
      <c r="AA25" s="829">
        <v>0.0</v>
      </c>
      <c r="AB25" s="829">
        <v>0.0</v>
      </c>
      <c r="AC25" s="829">
        <v>111.0</v>
      </c>
      <c r="AD25" s="829">
        <v>0.0</v>
      </c>
      <c r="AE25" s="829">
        <v>1.0</v>
      </c>
      <c r="AF25" s="829">
        <v>0.0</v>
      </c>
      <c r="AG25" s="829">
        <v>14.0</v>
      </c>
      <c r="AH25" s="829">
        <v>1.0</v>
      </c>
      <c r="AI25" s="833">
        <f t="shared" si="4"/>
        <v>6.890574215</v>
      </c>
      <c r="AJ25" s="833">
        <f t="shared" si="5"/>
        <v>0.08791982665</v>
      </c>
      <c r="AK25" s="833">
        <f t="shared" si="6"/>
        <v>0.05687973998</v>
      </c>
      <c r="AL25" s="833">
        <f t="shared" si="13"/>
        <v>1.584669556</v>
      </c>
      <c r="AM25" s="833">
        <f t="shared" si="8"/>
        <v>0.5</v>
      </c>
      <c r="AN25" s="833">
        <f t="shared" si="11"/>
        <v>0.197564276</v>
      </c>
      <c r="AO25" s="833">
        <f t="shared" si="9"/>
        <v>0.006432827736</v>
      </c>
      <c r="AP25" s="833">
        <f t="shared" si="10"/>
        <v>-0.8775731311</v>
      </c>
      <c r="AQ25" s="833" t="s">
        <v>338</v>
      </c>
      <c r="AR25" s="834" t="s">
        <v>361</v>
      </c>
    </row>
    <row r="26">
      <c r="A26" s="837" t="s">
        <v>48</v>
      </c>
      <c r="B26" s="844">
        <v>21.0</v>
      </c>
      <c r="C26" s="844">
        <v>10.0</v>
      </c>
      <c r="D26" s="844">
        <v>11.0</v>
      </c>
      <c r="E26" s="844">
        <v>31.0</v>
      </c>
      <c r="F26" s="844">
        <v>135.0</v>
      </c>
      <c r="G26" s="844">
        <v>599.0</v>
      </c>
      <c r="H26" s="844">
        <v>866.0</v>
      </c>
      <c r="I26" s="829">
        <f t="shared" si="1"/>
        <v>-267</v>
      </c>
      <c r="J26" s="845">
        <f t="shared" si="14"/>
        <v>0.6916859122</v>
      </c>
      <c r="K26" s="844">
        <v>0.0</v>
      </c>
      <c r="L26" s="848">
        <v>16684.0</v>
      </c>
      <c r="M26" s="832">
        <f t="shared" si="3"/>
        <v>15.26558891</v>
      </c>
      <c r="N26" s="844">
        <v>11.0</v>
      </c>
      <c r="O26" s="844">
        <v>0.0</v>
      </c>
      <c r="P26" s="844">
        <v>0.0</v>
      </c>
      <c r="Q26" s="844">
        <v>0.0</v>
      </c>
      <c r="R26" s="844">
        <v>7.0</v>
      </c>
      <c r="S26" s="844">
        <v>86.0</v>
      </c>
      <c r="T26" s="844">
        <v>18.0</v>
      </c>
      <c r="U26" s="844">
        <v>4.0</v>
      </c>
      <c r="V26" s="844">
        <v>1.0</v>
      </c>
      <c r="W26" s="844">
        <v>0.0</v>
      </c>
      <c r="X26" s="844">
        <v>0.0</v>
      </c>
      <c r="Y26" s="844">
        <v>0.0</v>
      </c>
      <c r="Z26" s="844">
        <v>0.0</v>
      </c>
      <c r="AA26" s="844">
        <v>0.0</v>
      </c>
      <c r="AB26" s="844">
        <v>0.0</v>
      </c>
      <c r="AC26" s="844">
        <v>154.0</v>
      </c>
      <c r="AD26" s="844">
        <v>0.0</v>
      </c>
      <c r="AE26" s="844">
        <v>0.0</v>
      </c>
      <c r="AF26" s="844">
        <v>0.0</v>
      </c>
      <c r="AG26" s="844">
        <v>11.0</v>
      </c>
      <c r="AH26" s="844">
        <v>0.0</v>
      </c>
      <c r="AI26" s="836">
        <f t="shared" si="4"/>
        <v>5.268520738</v>
      </c>
      <c r="AJ26" s="836">
        <f t="shared" si="5"/>
        <v>0.1588108367</v>
      </c>
      <c r="AK26" s="836">
        <f t="shared" si="6"/>
        <v>0.03955885879</v>
      </c>
      <c r="AL26" s="833">
        <f t="shared" si="13"/>
        <v>0.1165236154</v>
      </c>
      <c r="AM26" s="836">
        <f t="shared" si="8"/>
        <v>1.476190476</v>
      </c>
      <c r="AN26" s="836">
        <f t="shared" si="11"/>
        <v>0.1819699499</v>
      </c>
      <c r="AO26" s="833">
        <f t="shared" si="9"/>
        <v>0.008091584752</v>
      </c>
      <c r="AP26" s="833">
        <f t="shared" si="10"/>
        <v>-0.9602013906</v>
      </c>
      <c r="AQ26" s="833" t="s">
        <v>171</v>
      </c>
      <c r="AR26" s="834" t="s">
        <v>362</v>
      </c>
    </row>
    <row r="27">
      <c r="A27" s="838" t="s">
        <v>54</v>
      </c>
      <c r="B27" s="829">
        <v>17.0</v>
      </c>
      <c r="C27" s="829">
        <v>15.0</v>
      </c>
      <c r="D27" s="829">
        <v>2.0</v>
      </c>
      <c r="E27" s="829">
        <v>31.0</v>
      </c>
      <c r="F27" s="829">
        <v>82.0</v>
      </c>
      <c r="G27" s="829">
        <v>906.0</v>
      </c>
      <c r="H27" s="829">
        <v>734.0</v>
      </c>
      <c r="I27" s="829">
        <f t="shared" si="1"/>
        <v>172</v>
      </c>
      <c r="J27" s="831">
        <f t="shared" si="14"/>
        <v>1.234332425</v>
      </c>
      <c r="K27" s="829">
        <v>1.0</v>
      </c>
      <c r="L27" s="831">
        <v>13815.0</v>
      </c>
      <c r="M27" s="843">
        <f t="shared" si="3"/>
        <v>14.82152589</v>
      </c>
      <c r="N27" s="829">
        <v>24.0</v>
      </c>
      <c r="O27" s="829">
        <v>0.0</v>
      </c>
      <c r="P27" s="829">
        <v>0.0</v>
      </c>
      <c r="Q27" s="829">
        <v>0.0</v>
      </c>
      <c r="R27" s="829">
        <v>14.0</v>
      </c>
      <c r="S27" s="829">
        <v>188.0</v>
      </c>
      <c r="T27" s="829">
        <v>67.0</v>
      </c>
      <c r="U27" s="829">
        <v>24.0</v>
      </c>
      <c r="V27" s="829">
        <v>4.0</v>
      </c>
      <c r="W27" s="829">
        <v>2.0</v>
      </c>
      <c r="X27" s="829">
        <v>0.0</v>
      </c>
      <c r="Y27" s="829">
        <v>0.0</v>
      </c>
      <c r="Z27" s="829">
        <v>0.0</v>
      </c>
      <c r="AA27" s="829">
        <v>0.0</v>
      </c>
      <c r="AB27" s="829">
        <v>3.0</v>
      </c>
      <c r="AC27" s="829">
        <v>186.0</v>
      </c>
      <c r="AD27" s="829">
        <v>0.0</v>
      </c>
      <c r="AE27" s="829">
        <v>0.0</v>
      </c>
      <c r="AF27" s="829">
        <v>0.0</v>
      </c>
      <c r="AG27" s="829">
        <v>8.0</v>
      </c>
      <c r="AH27" s="829">
        <v>2.0</v>
      </c>
      <c r="AI27" s="833">
        <f t="shared" si="4"/>
        <v>7.127035831</v>
      </c>
      <c r="AJ27" s="833">
        <f t="shared" si="5"/>
        <v>0.2129858849</v>
      </c>
      <c r="AK27" s="833">
        <f t="shared" si="6"/>
        <v>0.1042345277</v>
      </c>
      <c r="AL27" s="833">
        <f t="shared" si="13"/>
        <v>2.576199783</v>
      </c>
      <c r="AM27" s="833">
        <f t="shared" si="8"/>
        <v>1.823529412</v>
      </c>
      <c r="AN27" s="833">
        <f t="shared" si="11"/>
        <v>0.3145695364</v>
      </c>
      <c r="AO27" s="833">
        <f t="shared" si="9"/>
        <v>0.005935577271</v>
      </c>
      <c r="AP27" s="833">
        <f t="shared" si="10"/>
        <v>0.7513572204</v>
      </c>
      <c r="AQ27" s="833" t="s">
        <v>171</v>
      </c>
      <c r="AR27" s="834" t="s">
        <v>363</v>
      </c>
    </row>
    <row r="28">
      <c r="A28" s="837" t="s">
        <v>160</v>
      </c>
      <c r="B28" s="844">
        <v>22.0</v>
      </c>
      <c r="C28" s="844">
        <v>17.0</v>
      </c>
      <c r="D28" s="844">
        <v>5.0</v>
      </c>
      <c r="E28" s="844">
        <v>13.0</v>
      </c>
      <c r="F28" s="844">
        <v>23.0</v>
      </c>
      <c r="G28" s="844">
        <v>946.0</v>
      </c>
      <c r="H28" s="844">
        <v>1122.0</v>
      </c>
      <c r="I28" s="829">
        <f t="shared" si="1"/>
        <v>-176</v>
      </c>
      <c r="J28" s="845">
        <f t="shared" si="14"/>
        <v>0.8431372549</v>
      </c>
      <c r="K28" s="844">
        <v>1.0</v>
      </c>
      <c r="L28" s="845">
        <v>19600.0</v>
      </c>
      <c r="M28" s="832">
        <f t="shared" si="3"/>
        <v>13.4688057</v>
      </c>
      <c r="N28" s="844">
        <v>9.0</v>
      </c>
      <c r="O28" s="844">
        <v>0.0</v>
      </c>
      <c r="P28" s="844">
        <v>0.0</v>
      </c>
      <c r="Q28" s="844">
        <v>0.0</v>
      </c>
      <c r="R28" s="844">
        <v>11.0</v>
      </c>
      <c r="S28" s="844">
        <v>137.0</v>
      </c>
      <c r="T28" s="844">
        <v>30.0</v>
      </c>
      <c r="U28" s="844">
        <v>8.0</v>
      </c>
      <c r="V28" s="844">
        <v>3.0</v>
      </c>
      <c r="W28" s="844">
        <v>1.0</v>
      </c>
      <c r="X28" s="844">
        <v>0.0</v>
      </c>
      <c r="Y28" s="844">
        <v>0.0</v>
      </c>
      <c r="Z28" s="844">
        <v>0.0</v>
      </c>
      <c r="AA28" s="844">
        <v>0.0</v>
      </c>
      <c r="AB28" s="844">
        <v>0.0</v>
      </c>
      <c r="AC28" s="844">
        <v>99.0</v>
      </c>
      <c r="AD28" s="844">
        <v>0.0</v>
      </c>
      <c r="AE28" s="844">
        <v>0.0</v>
      </c>
      <c r="AF28" s="844">
        <v>1.0</v>
      </c>
      <c r="AG28" s="844">
        <v>4.0</v>
      </c>
      <c r="AH28" s="844">
        <v>0.0</v>
      </c>
      <c r="AI28" s="836">
        <f t="shared" si="4"/>
        <v>6.333673469</v>
      </c>
      <c r="AJ28" s="836">
        <f t="shared" si="5"/>
        <v>0.07040816327</v>
      </c>
      <c r="AK28" s="836">
        <f t="shared" si="6"/>
        <v>0.02755102041</v>
      </c>
      <c r="AL28" s="833">
        <f t="shared" si="13"/>
        <v>0.2233493397</v>
      </c>
      <c r="AM28" s="836">
        <f t="shared" si="8"/>
        <v>0.5909090909</v>
      </c>
      <c r="AN28" s="836">
        <f t="shared" si="11"/>
        <v>0.189217759</v>
      </c>
      <c r="AO28" s="833">
        <f t="shared" si="9"/>
        <v>0.001173469388</v>
      </c>
      <c r="AP28" s="833">
        <f t="shared" si="10"/>
        <v>-0.5357142857</v>
      </c>
      <c r="AQ28" s="833" t="s">
        <v>338</v>
      </c>
      <c r="AR28" s="834" t="s">
        <v>364</v>
      </c>
    </row>
    <row r="29">
      <c r="A29" s="838" t="s">
        <v>74</v>
      </c>
      <c r="B29" s="829">
        <v>16.0</v>
      </c>
      <c r="C29" s="829">
        <v>11.0</v>
      </c>
      <c r="D29" s="829">
        <v>5.0</v>
      </c>
      <c r="E29" s="829">
        <v>13.0</v>
      </c>
      <c r="F29" s="829">
        <v>25.0</v>
      </c>
      <c r="G29" s="829">
        <v>818.0</v>
      </c>
      <c r="H29" s="829">
        <v>939.0</v>
      </c>
      <c r="I29" s="829">
        <f t="shared" si="1"/>
        <v>-121</v>
      </c>
      <c r="J29" s="831">
        <f t="shared" si="14"/>
        <v>0.8711395101</v>
      </c>
      <c r="K29" s="829">
        <v>1.0</v>
      </c>
      <c r="L29" s="831">
        <v>14800.0</v>
      </c>
      <c r="M29" s="843">
        <f t="shared" si="3"/>
        <v>11.76144835</v>
      </c>
      <c r="N29" s="829">
        <v>17.0</v>
      </c>
      <c r="O29" s="829">
        <v>0.0</v>
      </c>
      <c r="P29" s="829">
        <v>0.0</v>
      </c>
      <c r="Q29" s="829">
        <v>0.0</v>
      </c>
      <c r="R29" s="829">
        <v>24.0</v>
      </c>
      <c r="S29" s="829">
        <v>151.0</v>
      </c>
      <c r="T29" s="829">
        <v>46.0</v>
      </c>
      <c r="U29" s="829">
        <v>12.0</v>
      </c>
      <c r="V29" s="829">
        <v>4.0</v>
      </c>
      <c r="W29" s="829">
        <v>1.0</v>
      </c>
      <c r="X29" s="829">
        <v>0.0</v>
      </c>
      <c r="Y29" s="829">
        <v>0.0</v>
      </c>
      <c r="Z29" s="829">
        <v>0.0</v>
      </c>
      <c r="AA29" s="829">
        <v>0.0</v>
      </c>
      <c r="AB29" s="829">
        <v>0.0</v>
      </c>
      <c r="AC29" s="829">
        <v>124.0</v>
      </c>
      <c r="AD29" s="829">
        <v>0.0</v>
      </c>
      <c r="AE29" s="829">
        <v>0.0</v>
      </c>
      <c r="AF29" s="829">
        <v>0.0</v>
      </c>
      <c r="AG29" s="829">
        <v>9.0</v>
      </c>
      <c r="AH29" s="829">
        <v>1.0</v>
      </c>
      <c r="AI29" s="833">
        <f t="shared" si="4"/>
        <v>7.127027027</v>
      </c>
      <c r="AJ29" s="833">
        <f t="shared" si="5"/>
        <v>0.108</v>
      </c>
      <c r="AK29" s="833">
        <f t="shared" si="6"/>
        <v>0.06891891892</v>
      </c>
      <c r="AL29" s="833">
        <f t="shared" si="13"/>
        <v>0.7796068796</v>
      </c>
      <c r="AM29" s="833">
        <f t="shared" si="8"/>
        <v>0.8125</v>
      </c>
      <c r="AN29" s="833">
        <f t="shared" si="11"/>
        <v>0.2616136919</v>
      </c>
      <c r="AO29" s="833">
        <f t="shared" si="9"/>
        <v>0.001689189189</v>
      </c>
      <c r="AP29" s="833">
        <f t="shared" si="10"/>
        <v>-0.4864864865</v>
      </c>
      <c r="AQ29" s="833" t="s">
        <v>336</v>
      </c>
      <c r="AR29" s="834" t="s">
        <v>365</v>
      </c>
    </row>
    <row r="30">
      <c r="A30" s="837" t="s">
        <v>40</v>
      </c>
      <c r="B30" s="844">
        <v>16.0</v>
      </c>
      <c r="C30" s="844">
        <v>2.0</v>
      </c>
      <c r="D30" s="844">
        <v>14.0</v>
      </c>
      <c r="E30" s="844">
        <v>4.0</v>
      </c>
      <c r="F30" s="844">
        <v>16.0</v>
      </c>
      <c r="G30" s="844">
        <v>371.0</v>
      </c>
      <c r="H30" s="844">
        <v>721.0</v>
      </c>
      <c r="I30" s="829">
        <f t="shared" si="1"/>
        <v>-350</v>
      </c>
      <c r="J30" s="845">
        <f t="shared" si="14"/>
        <v>0.5145631068</v>
      </c>
      <c r="K30" s="844">
        <v>2.0</v>
      </c>
      <c r="L30" s="845">
        <v>11954.0</v>
      </c>
      <c r="M30" s="832">
        <f t="shared" si="3"/>
        <v>12.57975035</v>
      </c>
      <c r="N30" s="844">
        <v>1.0</v>
      </c>
      <c r="O30" s="844">
        <v>0.0</v>
      </c>
      <c r="P30" s="844">
        <v>0.0</v>
      </c>
      <c r="Q30" s="844">
        <v>0.0</v>
      </c>
      <c r="R30" s="844">
        <v>1.0</v>
      </c>
      <c r="S30" s="844">
        <v>24.0</v>
      </c>
      <c r="T30" s="844">
        <v>6.0</v>
      </c>
      <c r="U30" s="844">
        <v>1.0</v>
      </c>
      <c r="V30" s="844">
        <v>0.0</v>
      </c>
      <c r="W30" s="844">
        <v>0.0</v>
      </c>
      <c r="X30" s="844">
        <v>0.0</v>
      </c>
      <c r="Y30" s="844">
        <v>0.0</v>
      </c>
      <c r="Z30" s="844">
        <v>0.0</v>
      </c>
      <c r="AA30" s="844">
        <v>0.0</v>
      </c>
      <c r="AB30" s="844">
        <v>0.0</v>
      </c>
      <c r="AC30" s="844">
        <v>27.0</v>
      </c>
      <c r="AD30" s="844">
        <v>0.0</v>
      </c>
      <c r="AE30" s="844">
        <v>0.0</v>
      </c>
      <c r="AF30" s="844">
        <v>0.0</v>
      </c>
      <c r="AG30" s="844">
        <v>9.0</v>
      </c>
      <c r="AH30" s="844">
        <v>0.0</v>
      </c>
      <c r="AI30" s="836">
        <f t="shared" si="4"/>
        <v>5.491049021</v>
      </c>
      <c r="AJ30" s="836">
        <f t="shared" si="5"/>
        <v>0.03272544755</v>
      </c>
      <c r="AK30" s="836">
        <f t="shared" si="6"/>
        <v>0.005019240422</v>
      </c>
      <c r="AL30" s="833">
        <f t="shared" si="13"/>
        <v>-1.191099214</v>
      </c>
      <c r="AM30" s="836">
        <f t="shared" si="8"/>
        <v>0.25</v>
      </c>
      <c r="AN30" s="836">
        <f t="shared" si="11"/>
        <v>0.08355795148</v>
      </c>
      <c r="AO30" s="833">
        <f t="shared" si="9"/>
        <v>0.001338464112</v>
      </c>
      <c r="AP30" s="833">
        <f t="shared" si="10"/>
        <v>-1.746695667</v>
      </c>
      <c r="AQ30" s="833" t="s">
        <v>171</v>
      </c>
      <c r="AR30" s="834" t="s">
        <v>366</v>
      </c>
    </row>
    <row r="31">
      <c r="A31" s="838" t="s">
        <v>78</v>
      </c>
      <c r="B31" s="829">
        <v>5.0</v>
      </c>
      <c r="C31" s="829">
        <v>0.0</v>
      </c>
      <c r="D31" s="829">
        <v>5.0</v>
      </c>
      <c r="E31" s="829">
        <v>1.0</v>
      </c>
      <c r="F31" s="829">
        <v>2.0</v>
      </c>
      <c r="G31" s="829">
        <v>145.0</v>
      </c>
      <c r="H31" s="829">
        <v>188.0</v>
      </c>
      <c r="I31" s="829">
        <f t="shared" si="1"/>
        <v>-43</v>
      </c>
      <c r="J31" s="831">
        <f t="shared" si="14"/>
        <v>0.7712765957</v>
      </c>
      <c r="K31" s="829">
        <v>1.0</v>
      </c>
      <c r="L31" s="831">
        <v>3189.0</v>
      </c>
      <c r="M31" s="843">
        <f t="shared" si="3"/>
        <v>12.96276596</v>
      </c>
      <c r="N31" s="829">
        <v>3.0</v>
      </c>
      <c r="O31" s="829">
        <v>0.0</v>
      </c>
      <c r="P31" s="829">
        <v>0.0</v>
      </c>
      <c r="Q31" s="829">
        <v>0.0</v>
      </c>
      <c r="R31" s="829">
        <v>0.0</v>
      </c>
      <c r="S31" s="829">
        <v>18.0</v>
      </c>
      <c r="T31" s="829">
        <v>8.0</v>
      </c>
      <c r="U31" s="829">
        <v>3.0</v>
      </c>
      <c r="V31" s="829">
        <v>1.0</v>
      </c>
      <c r="W31" s="829">
        <v>1.0</v>
      </c>
      <c r="X31" s="829">
        <v>1.0</v>
      </c>
      <c r="Y31" s="829">
        <v>0.0</v>
      </c>
      <c r="Z31" s="829">
        <v>0.0</v>
      </c>
      <c r="AA31" s="829">
        <v>0.0</v>
      </c>
      <c r="AB31" s="829">
        <v>0.0</v>
      </c>
      <c r="AC31" s="829">
        <v>7.0</v>
      </c>
      <c r="AD31" s="829">
        <v>0.0</v>
      </c>
      <c r="AE31" s="829">
        <v>0.0</v>
      </c>
      <c r="AF31" s="829">
        <v>0.0</v>
      </c>
      <c r="AG31" s="829">
        <v>1.0</v>
      </c>
      <c r="AH31" s="829">
        <v>2.0</v>
      </c>
      <c r="AI31" s="833">
        <f t="shared" si="4"/>
        <v>6.284101599</v>
      </c>
      <c r="AJ31" s="833">
        <f t="shared" si="5"/>
        <v>0.03537158984</v>
      </c>
      <c r="AK31" s="833">
        <f t="shared" si="6"/>
        <v>0.05644402634</v>
      </c>
      <c r="AL31" s="833">
        <f t="shared" si="13"/>
        <v>-0.1505174036</v>
      </c>
      <c r="AM31" s="833">
        <f t="shared" si="8"/>
        <v>0.2</v>
      </c>
      <c r="AN31" s="833">
        <f t="shared" si="11"/>
        <v>0.2206896552</v>
      </c>
      <c r="AO31" s="833">
        <f t="shared" si="9"/>
        <v>0.0006271558482</v>
      </c>
      <c r="AP31" s="833">
        <f t="shared" si="10"/>
        <v>-0.7902163688</v>
      </c>
      <c r="AQ31" s="833" t="s">
        <v>338</v>
      </c>
      <c r="AR31" s="834" t="s">
        <v>367</v>
      </c>
    </row>
    <row r="32">
      <c r="A32" s="850" t="s">
        <v>93</v>
      </c>
      <c r="B32" s="844">
        <v>24.0</v>
      </c>
      <c r="C32" s="844">
        <v>15.0</v>
      </c>
      <c r="D32" s="844">
        <v>9.0</v>
      </c>
      <c r="E32" s="844">
        <v>7.0</v>
      </c>
      <c r="F32" s="844">
        <v>15.0</v>
      </c>
      <c r="G32" s="844">
        <v>1008.0</v>
      </c>
      <c r="H32" s="844">
        <v>1243.0</v>
      </c>
      <c r="I32" s="829">
        <f t="shared" si="1"/>
        <v>-235</v>
      </c>
      <c r="J32" s="845">
        <f t="shared" si="14"/>
        <v>0.8109412711</v>
      </c>
      <c r="K32" s="844">
        <v>1.0</v>
      </c>
      <c r="L32" s="845">
        <v>20615.0</v>
      </c>
      <c r="M32" s="832">
        <f t="shared" si="3"/>
        <v>12.5848753</v>
      </c>
      <c r="N32" s="844">
        <v>9.0</v>
      </c>
      <c r="O32" s="844">
        <v>0.0</v>
      </c>
      <c r="P32" s="844">
        <v>0.0</v>
      </c>
      <c r="Q32" s="844">
        <v>0.0</v>
      </c>
      <c r="R32" s="844">
        <v>15.0</v>
      </c>
      <c r="S32" s="844">
        <v>159.0</v>
      </c>
      <c r="T32" s="844">
        <v>43.0</v>
      </c>
      <c r="U32" s="844">
        <v>9.0</v>
      </c>
      <c r="V32" s="844">
        <v>3.0</v>
      </c>
      <c r="W32" s="844">
        <v>1.0</v>
      </c>
      <c r="X32" s="844">
        <v>1.0</v>
      </c>
      <c r="Y32" s="844">
        <v>0.0</v>
      </c>
      <c r="Z32" s="844">
        <v>0.0</v>
      </c>
      <c r="AA32" s="844">
        <v>0.0</v>
      </c>
      <c r="AB32" s="844">
        <v>0.0</v>
      </c>
      <c r="AC32" s="844">
        <v>136.0</v>
      </c>
      <c r="AD32" s="844">
        <v>0.0</v>
      </c>
      <c r="AE32" s="844">
        <v>0.0</v>
      </c>
      <c r="AF32" s="844">
        <v>0.0</v>
      </c>
      <c r="AG32" s="844">
        <v>15.0</v>
      </c>
      <c r="AH32" s="844">
        <v>0.0</v>
      </c>
      <c r="AI32" s="836">
        <f t="shared" si="4"/>
        <v>6.554450643</v>
      </c>
      <c r="AJ32" s="836">
        <f t="shared" si="5"/>
        <v>0.06589376667</v>
      </c>
      <c r="AK32" s="836">
        <f t="shared" si="6"/>
        <v>0.02619451855</v>
      </c>
      <c r="AL32" s="833">
        <f t="shared" si="13"/>
        <v>0.1078858436</v>
      </c>
      <c r="AM32" s="836">
        <f t="shared" si="8"/>
        <v>0.2916666667</v>
      </c>
      <c r="AN32" s="836">
        <f t="shared" si="11"/>
        <v>0.2142857143</v>
      </c>
      <c r="AO32" s="833">
        <f t="shared" si="9"/>
        <v>0.0007276255154</v>
      </c>
      <c r="AP32" s="833">
        <f t="shared" si="10"/>
        <v>-0.6810574824</v>
      </c>
      <c r="AQ32" s="833" t="s">
        <v>350</v>
      </c>
      <c r="AR32" s="834" t="s">
        <v>354</v>
      </c>
    </row>
    <row r="33">
      <c r="A33" s="838" t="s">
        <v>187</v>
      </c>
      <c r="B33" s="829">
        <v>15.0</v>
      </c>
      <c r="C33" s="829">
        <v>6.0</v>
      </c>
      <c r="D33" s="829">
        <v>9.0</v>
      </c>
      <c r="E33" s="829">
        <v>6.0</v>
      </c>
      <c r="F33" s="829">
        <v>15.0</v>
      </c>
      <c r="G33" s="829">
        <v>467.0</v>
      </c>
      <c r="H33" s="829">
        <v>780.0</v>
      </c>
      <c r="I33" s="829">
        <f t="shared" si="1"/>
        <v>-313</v>
      </c>
      <c r="J33" s="831">
        <f t="shared" si="14"/>
        <v>0.5987179487</v>
      </c>
      <c r="K33" s="829">
        <v>0.0</v>
      </c>
      <c r="L33" s="831">
        <v>11760.0</v>
      </c>
      <c r="M33" s="843">
        <f t="shared" si="3"/>
        <v>11.07692308</v>
      </c>
      <c r="N33" s="829">
        <v>0.0</v>
      </c>
      <c r="O33" s="829">
        <v>0.0</v>
      </c>
      <c r="P33" s="829">
        <v>0.0</v>
      </c>
      <c r="Q33" s="829">
        <v>0.0</v>
      </c>
      <c r="R33" s="829">
        <v>1.0</v>
      </c>
      <c r="S33" s="829">
        <v>43.0</v>
      </c>
      <c r="T33" s="829">
        <v>7.0</v>
      </c>
      <c r="U33" s="829">
        <v>1.0</v>
      </c>
      <c r="V33" s="829">
        <v>0.0</v>
      </c>
      <c r="W33" s="829">
        <v>0.0</v>
      </c>
      <c r="X33" s="829">
        <v>0.0</v>
      </c>
      <c r="Y33" s="829">
        <v>0.0</v>
      </c>
      <c r="Z33" s="829">
        <v>0.0</v>
      </c>
      <c r="AA33" s="829">
        <v>0.0</v>
      </c>
      <c r="AB33" s="829">
        <v>0.0</v>
      </c>
      <c r="AC33" s="829">
        <v>65.0</v>
      </c>
      <c r="AD33" s="829">
        <v>0.0</v>
      </c>
      <c r="AE33" s="829">
        <v>0.0</v>
      </c>
      <c r="AF33" s="829">
        <v>1.0</v>
      </c>
      <c r="AG33" s="829">
        <v>8.0</v>
      </c>
      <c r="AH33" s="829">
        <v>17.0</v>
      </c>
      <c r="AI33" s="833">
        <f t="shared" si="4"/>
        <v>6.362244898</v>
      </c>
      <c r="AJ33" s="833">
        <f t="shared" si="5"/>
        <v>0.06428571429</v>
      </c>
      <c r="AK33" s="833">
        <f t="shared" si="6"/>
        <v>0</v>
      </c>
      <c r="AL33" s="833">
        <f t="shared" si="13"/>
        <v>-1.131632653</v>
      </c>
      <c r="AM33" s="833">
        <f t="shared" si="8"/>
        <v>0.4</v>
      </c>
      <c r="AN33" s="833">
        <f t="shared" si="11"/>
        <v>0.1092077088</v>
      </c>
      <c r="AO33" s="833">
        <f t="shared" si="9"/>
        <v>0.001275510204</v>
      </c>
      <c r="AP33" s="833">
        <f t="shared" si="10"/>
        <v>-1.596938776</v>
      </c>
      <c r="AQ33" s="833" t="s">
        <v>350</v>
      </c>
      <c r="AR33" s="834" t="s">
        <v>368</v>
      </c>
    </row>
    <row r="34">
      <c r="A34" s="837" t="s">
        <v>49</v>
      </c>
      <c r="B34" s="844">
        <v>21.0</v>
      </c>
      <c r="C34" s="844">
        <v>10.0</v>
      </c>
      <c r="D34" s="844">
        <v>11.0</v>
      </c>
      <c r="E34" s="844">
        <v>36.0</v>
      </c>
      <c r="F34" s="844">
        <v>249.0</v>
      </c>
      <c r="G34" s="844">
        <v>963.0</v>
      </c>
      <c r="H34" s="844">
        <v>1023.0</v>
      </c>
      <c r="I34" s="829">
        <f t="shared" si="1"/>
        <v>-60</v>
      </c>
      <c r="J34" s="845">
        <f t="shared" si="14"/>
        <v>0.9413489736</v>
      </c>
      <c r="K34" s="844">
        <v>3.0</v>
      </c>
      <c r="L34" s="845">
        <v>17400.0</v>
      </c>
      <c r="M34" s="832">
        <f t="shared" si="3"/>
        <v>13.00879765</v>
      </c>
      <c r="N34" s="844">
        <v>27.0</v>
      </c>
      <c r="O34" s="844">
        <v>2.0</v>
      </c>
      <c r="P34" s="844">
        <v>0.0</v>
      </c>
      <c r="Q34" s="844">
        <v>0.0</v>
      </c>
      <c r="R34" s="844">
        <v>10.0</v>
      </c>
      <c r="S34" s="844">
        <v>179.0</v>
      </c>
      <c r="T34" s="844">
        <v>50.0</v>
      </c>
      <c r="U34" s="844">
        <v>10.0</v>
      </c>
      <c r="V34" s="844">
        <v>5.0</v>
      </c>
      <c r="W34" s="844">
        <v>2.0</v>
      </c>
      <c r="X34" s="844">
        <v>1.0</v>
      </c>
      <c r="Y34" s="844">
        <v>1.0</v>
      </c>
      <c r="Z34" s="844">
        <v>1.0</v>
      </c>
      <c r="AA34" s="844">
        <v>1.0</v>
      </c>
      <c r="AB34" s="844">
        <v>1.0</v>
      </c>
      <c r="AC34" s="844">
        <v>220.0</v>
      </c>
      <c r="AD34" s="844">
        <v>0.0</v>
      </c>
      <c r="AE34" s="844">
        <v>2.0</v>
      </c>
      <c r="AF34" s="844">
        <v>0.0</v>
      </c>
      <c r="AG34" s="844">
        <v>14.0</v>
      </c>
      <c r="AH34" s="844">
        <v>1.0</v>
      </c>
      <c r="AI34" s="836">
        <f t="shared" si="4"/>
        <v>6.85862069</v>
      </c>
      <c r="AJ34" s="836">
        <f t="shared" si="5"/>
        <v>0.1977931034</v>
      </c>
      <c r="AK34" s="836">
        <f t="shared" si="6"/>
        <v>0.09310344828</v>
      </c>
      <c r="AL34" s="833">
        <f t="shared" si="13"/>
        <v>1.506206897</v>
      </c>
      <c r="AM34" s="836">
        <f t="shared" si="8"/>
        <v>1.714285714</v>
      </c>
      <c r="AN34" s="836">
        <f t="shared" si="11"/>
        <v>0.2596053998</v>
      </c>
      <c r="AO34" s="833">
        <f t="shared" si="9"/>
        <v>0.01431034483</v>
      </c>
      <c r="AP34" s="833">
        <f t="shared" si="10"/>
        <v>-0.1965517241</v>
      </c>
      <c r="AQ34" s="833" t="s">
        <v>171</v>
      </c>
      <c r="AR34" s="834" t="s">
        <v>369</v>
      </c>
    </row>
    <row r="35">
      <c r="A35" s="853" t="s">
        <v>250</v>
      </c>
      <c r="B35" s="829">
        <v>20.0</v>
      </c>
      <c r="C35" s="829">
        <v>7.0</v>
      </c>
      <c r="D35" s="829">
        <v>13.0</v>
      </c>
      <c r="E35" s="829">
        <v>7.0</v>
      </c>
      <c r="F35" s="829">
        <v>51.0</v>
      </c>
      <c r="G35" s="829">
        <v>1160.0</v>
      </c>
      <c r="H35" s="829">
        <v>1267.0</v>
      </c>
      <c r="I35" s="829">
        <f t="shared" si="1"/>
        <v>-107</v>
      </c>
      <c r="J35" s="831">
        <f t="shared" si="14"/>
        <v>0.9155485399</v>
      </c>
      <c r="K35" s="829">
        <v>3.0</v>
      </c>
      <c r="L35" s="831">
        <v>19993.0</v>
      </c>
      <c r="M35" s="843">
        <f t="shared" si="3"/>
        <v>11.77979479</v>
      </c>
      <c r="N35" s="829">
        <v>28.0</v>
      </c>
      <c r="O35" s="829">
        <v>0.0</v>
      </c>
      <c r="P35" s="829">
        <v>0.0</v>
      </c>
      <c r="Q35" s="829">
        <v>0.0</v>
      </c>
      <c r="R35" s="829">
        <v>27.0</v>
      </c>
      <c r="S35" s="829">
        <v>232.0</v>
      </c>
      <c r="T35" s="829">
        <v>62.0</v>
      </c>
      <c r="U35" s="829">
        <v>19.0</v>
      </c>
      <c r="V35" s="829">
        <v>8.0</v>
      </c>
      <c r="W35" s="829">
        <v>4.0</v>
      </c>
      <c r="X35" s="829">
        <v>1.0</v>
      </c>
      <c r="Y35" s="829">
        <v>0.0</v>
      </c>
      <c r="Z35" s="829">
        <v>0.0</v>
      </c>
      <c r="AA35" s="829">
        <v>0.0</v>
      </c>
      <c r="AB35" s="829">
        <v>1.0</v>
      </c>
      <c r="AC35" s="829">
        <v>143.0</v>
      </c>
      <c r="AD35" s="829">
        <v>0.0</v>
      </c>
      <c r="AE35" s="829">
        <v>0.0</v>
      </c>
      <c r="AF35" s="829">
        <v>1.0</v>
      </c>
      <c r="AG35" s="829">
        <v>16.0</v>
      </c>
      <c r="AH35" s="829">
        <v>2.0</v>
      </c>
      <c r="AI35" s="833">
        <f t="shared" si="4"/>
        <v>7.292552393</v>
      </c>
      <c r="AJ35" s="833">
        <f t="shared" si="5"/>
        <v>0.07502625919</v>
      </c>
      <c r="AK35" s="833">
        <f t="shared" si="6"/>
        <v>0.08402941029</v>
      </c>
      <c r="AL35" s="833">
        <f t="shared" si="13"/>
        <v>1.025288851</v>
      </c>
      <c r="AM35" s="833">
        <f t="shared" si="8"/>
        <v>0.35</v>
      </c>
      <c r="AN35" s="833">
        <f t="shared" si="11"/>
        <v>0.2810344828</v>
      </c>
      <c r="AO35" s="833">
        <f t="shared" si="9"/>
        <v>0.002550892812</v>
      </c>
      <c r="AP35" s="833">
        <f t="shared" si="10"/>
        <v>-0.3121092382</v>
      </c>
      <c r="AQ35" s="833" t="s">
        <v>171</v>
      </c>
      <c r="AR35" s="834" t="s">
        <v>370</v>
      </c>
    </row>
    <row r="36">
      <c r="A36" s="837" t="s">
        <v>251</v>
      </c>
      <c r="B36" s="844">
        <v>4.0</v>
      </c>
      <c r="C36" s="844">
        <v>0.0</v>
      </c>
      <c r="D36" s="844">
        <v>4.0</v>
      </c>
      <c r="E36" s="844">
        <v>1.0</v>
      </c>
      <c r="F36" s="844">
        <v>7.0</v>
      </c>
      <c r="G36" s="844">
        <v>112.0</v>
      </c>
      <c r="H36" s="844">
        <v>202.0</v>
      </c>
      <c r="I36" s="829">
        <f t="shared" si="1"/>
        <v>-90</v>
      </c>
      <c r="J36" s="845">
        <f t="shared" si="14"/>
        <v>0.5544554455</v>
      </c>
      <c r="K36" s="844">
        <v>1.0</v>
      </c>
      <c r="L36" s="845">
        <v>2981.0</v>
      </c>
      <c r="M36" s="832">
        <f t="shared" si="3"/>
        <v>10.75742574</v>
      </c>
      <c r="N36" s="844">
        <v>0.0</v>
      </c>
      <c r="O36" s="844">
        <v>0.0</v>
      </c>
      <c r="P36" s="844">
        <v>0.0</v>
      </c>
      <c r="Q36" s="844">
        <v>0.0</v>
      </c>
      <c r="R36" s="844">
        <v>0.0</v>
      </c>
      <c r="S36" s="844">
        <v>13.0</v>
      </c>
      <c r="T36" s="844">
        <v>3.0</v>
      </c>
      <c r="U36" s="844">
        <v>0.0</v>
      </c>
      <c r="V36" s="844">
        <v>0.0</v>
      </c>
      <c r="W36" s="844">
        <v>0.0</v>
      </c>
      <c r="X36" s="844">
        <v>0.0</v>
      </c>
      <c r="Y36" s="844">
        <v>0.0</v>
      </c>
      <c r="Z36" s="844">
        <v>0.0</v>
      </c>
      <c r="AA36" s="844">
        <v>0.0</v>
      </c>
      <c r="AB36" s="844">
        <v>0.0</v>
      </c>
      <c r="AC36" s="844">
        <v>25.0</v>
      </c>
      <c r="AD36" s="844">
        <v>0.0</v>
      </c>
      <c r="AE36" s="844">
        <v>0.0</v>
      </c>
      <c r="AF36" s="844">
        <v>0.0</v>
      </c>
      <c r="AG36" s="844">
        <v>3.0</v>
      </c>
      <c r="AH36" s="844">
        <v>0.0</v>
      </c>
      <c r="AI36" s="836">
        <f t="shared" si="4"/>
        <v>6.340154311</v>
      </c>
      <c r="AJ36" s="836">
        <f t="shared" si="5"/>
        <v>0.07648440121</v>
      </c>
      <c r="AK36" s="836">
        <f t="shared" si="6"/>
        <v>0</v>
      </c>
      <c r="AL36" s="833">
        <f t="shared" si="13"/>
        <v>-1.489433076</v>
      </c>
      <c r="AM36" s="836">
        <f t="shared" si="8"/>
        <v>0.25</v>
      </c>
      <c r="AN36" s="836">
        <f t="shared" si="11"/>
        <v>0.1428571429</v>
      </c>
      <c r="AO36" s="833">
        <f t="shared" si="9"/>
        <v>0.0023482053</v>
      </c>
      <c r="AP36" s="833">
        <f t="shared" si="10"/>
        <v>-1.791345186</v>
      </c>
      <c r="AQ36" s="833" t="s">
        <v>350</v>
      </c>
      <c r="AR36" s="834" t="s">
        <v>371</v>
      </c>
    </row>
    <row r="37">
      <c r="A37" s="853" t="s">
        <v>221</v>
      </c>
      <c r="B37" s="829">
        <v>20.0</v>
      </c>
      <c r="C37" s="829">
        <v>16.0</v>
      </c>
      <c r="D37" s="829">
        <v>4.0</v>
      </c>
      <c r="E37" s="829">
        <v>3.0</v>
      </c>
      <c r="F37" s="829">
        <v>7.0</v>
      </c>
      <c r="G37" s="829">
        <v>716.0</v>
      </c>
      <c r="H37" s="829">
        <v>1011.0</v>
      </c>
      <c r="I37" s="829">
        <f t="shared" si="1"/>
        <v>-295</v>
      </c>
      <c r="J37" s="831">
        <f t="shared" si="14"/>
        <v>0.7082096934</v>
      </c>
      <c r="K37" s="829">
        <v>2.0</v>
      </c>
      <c r="L37" s="831">
        <v>15851.0</v>
      </c>
      <c r="M37" s="843">
        <f t="shared" si="3"/>
        <v>11.6785361</v>
      </c>
      <c r="N37" s="829">
        <v>4.0</v>
      </c>
      <c r="O37" s="829">
        <v>0.0</v>
      </c>
      <c r="P37" s="829">
        <v>0.0</v>
      </c>
      <c r="Q37" s="829">
        <v>0.0</v>
      </c>
      <c r="R37" s="829">
        <v>1.0</v>
      </c>
      <c r="S37" s="829">
        <v>99.0</v>
      </c>
      <c r="T37" s="829">
        <v>12.0</v>
      </c>
      <c r="U37" s="829">
        <v>1.0</v>
      </c>
      <c r="V37" s="829">
        <v>0.0</v>
      </c>
      <c r="W37" s="829">
        <v>0.0</v>
      </c>
      <c r="X37" s="829">
        <v>0.0</v>
      </c>
      <c r="Y37" s="829">
        <v>0.0</v>
      </c>
      <c r="Z37" s="829">
        <v>0.0</v>
      </c>
      <c r="AA37" s="829">
        <v>0.0</v>
      </c>
      <c r="AB37" s="829">
        <v>0.0</v>
      </c>
      <c r="AC37" s="829">
        <v>79.0</v>
      </c>
      <c r="AD37" s="829">
        <v>0.0</v>
      </c>
      <c r="AE37" s="829">
        <v>0.0</v>
      </c>
      <c r="AF37" s="829">
        <v>0.0</v>
      </c>
      <c r="AG37" s="829">
        <v>4.0</v>
      </c>
      <c r="AH37" s="829">
        <v>0.0</v>
      </c>
      <c r="AI37" s="833">
        <f t="shared" si="4"/>
        <v>6.544697495</v>
      </c>
      <c r="AJ37" s="833">
        <f t="shared" si="5"/>
        <v>0.04618005173</v>
      </c>
      <c r="AK37" s="833">
        <f t="shared" si="6"/>
        <v>0.01514100057</v>
      </c>
      <c r="AL37" s="833">
        <f t="shared" si="13"/>
        <v>-0.6362745253</v>
      </c>
      <c r="AM37" s="833">
        <f t="shared" si="8"/>
        <v>0.15</v>
      </c>
      <c r="AN37" s="833">
        <f t="shared" si="11"/>
        <v>0.156424581</v>
      </c>
      <c r="AO37" s="833">
        <f t="shared" si="9"/>
        <v>0.0004416125166</v>
      </c>
      <c r="AP37" s="833">
        <f t="shared" si="10"/>
        <v>-1.109078292</v>
      </c>
      <c r="AQ37" s="833" t="s">
        <v>350</v>
      </c>
      <c r="AR37" s="834" t="s">
        <v>372</v>
      </c>
    </row>
    <row r="38">
      <c r="A38" s="837" t="s">
        <v>200</v>
      </c>
      <c r="B38" s="844">
        <v>3.0</v>
      </c>
      <c r="C38" s="844">
        <v>0.0</v>
      </c>
      <c r="D38" s="844">
        <v>3.0</v>
      </c>
      <c r="E38" s="844">
        <v>0.0</v>
      </c>
      <c r="F38" s="844">
        <v>1.0</v>
      </c>
      <c r="G38" s="844">
        <v>54.0</v>
      </c>
      <c r="H38" s="844">
        <v>85.0</v>
      </c>
      <c r="I38" s="829">
        <f t="shared" si="1"/>
        <v>-31</v>
      </c>
      <c r="J38" s="845">
        <f t="shared" si="14"/>
        <v>0.6352941176</v>
      </c>
      <c r="K38" s="844">
        <v>0.0</v>
      </c>
      <c r="L38" s="845">
        <v>1415.0</v>
      </c>
      <c r="M38" s="832">
        <f t="shared" si="3"/>
        <v>12.64705882</v>
      </c>
      <c r="N38" s="844">
        <v>1.0</v>
      </c>
      <c r="O38" s="844">
        <v>0.0</v>
      </c>
      <c r="P38" s="844">
        <v>0.0</v>
      </c>
      <c r="Q38" s="844">
        <v>0.0</v>
      </c>
      <c r="R38" s="844">
        <v>0.0</v>
      </c>
      <c r="S38" s="844">
        <v>9.0</v>
      </c>
      <c r="T38" s="844">
        <v>2.0</v>
      </c>
      <c r="U38" s="844">
        <v>0.0</v>
      </c>
      <c r="V38" s="844">
        <v>0.0</v>
      </c>
      <c r="W38" s="844">
        <v>0.0</v>
      </c>
      <c r="X38" s="844">
        <v>0.0</v>
      </c>
      <c r="Y38" s="844">
        <v>0.0</v>
      </c>
      <c r="Z38" s="844">
        <v>0.0</v>
      </c>
      <c r="AA38" s="844">
        <v>0.0</v>
      </c>
      <c r="AB38" s="844">
        <v>0.0</v>
      </c>
      <c r="AC38" s="844">
        <v>4.0</v>
      </c>
      <c r="AD38" s="844">
        <v>0.0</v>
      </c>
      <c r="AE38" s="844">
        <v>0.0</v>
      </c>
      <c r="AF38" s="844">
        <v>0.0</v>
      </c>
      <c r="AG38" s="844">
        <v>0.0</v>
      </c>
      <c r="AH38" s="844">
        <v>0.0</v>
      </c>
      <c r="AI38" s="836">
        <f t="shared" si="4"/>
        <v>5.893992933</v>
      </c>
      <c r="AJ38" s="836">
        <f t="shared" si="5"/>
        <v>0.02374558304</v>
      </c>
      <c r="AK38" s="836">
        <f t="shared" si="6"/>
        <v>0.04240282686</v>
      </c>
      <c r="AL38" s="833">
        <f t="shared" si="13"/>
        <v>-0.8056537102</v>
      </c>
      <c r="AM38" s="836">
        <f t="shared" si="8"/>
        <v>0</v>
      </c>
      <c r="AN38" s="836">
        <f t="shared" si="11"/>
        <v>0.2037037037</v>
      </c>
      <c r="AO38" s="833">
        <f t="shared" si="9"/>
        <v>0.0007067137809</v>
      </c>
      <c r="AP38" s="833">
        <f t="shared" si="10"/>
        <v>-1.314487633</v>
      </c>
      <c r="AQ38" s="833" t="s">
        <v>350</v>
      </c>
      <c r="AR38" s="834" t="s">
        <v>373</v>
      </c>
    </row>
    <row r="39">
      <c r="A39" s="838" t="s">
        <v>106</v>
      </c>
      <c r="B39" s="829">
        <v>22.0</v>
      </c>
      <c r="C39" s="829">
        <v>13.0</v>
      </c>
      <c r="D39" s="829">
        <v>9.0</v>
      </c>
      <c r="E39" s="829">
        <v>18.0</v>
      </c>
      <c r="F39" s="829">
        <v>72.0</v>
      </c>
      <c r="G39" s="829">
        <v>1031.0</v>
      </c>
      <c r="H39" s="829">
        <v>1116.0</v>
      </c>
      <c r="I39" s="829">
        <f t="shared" si="1"/>
        <v>-85</v>
      </c>
      <c r="J39" s="831">
        <f t="shared" si="14"/>
        <v>0.9238351254</v>
      </c>
      <c r="K39" s="829">
        <v>3.0</v>
      </c>
      <c r="L39" s="847">
        <v>20546.0</v>
      </c>
      <c r="M39" s="843">
        <f t="shared" si="3"/>
        <v>14.41039427</v>
      </c>
      <c r="N39" s="829">
        <v>18.0</v>
      </c>
      <c r="O39" s="829">
        <v>1.0</v>
      </c>
      <c r="P39" s="829">
        <v>0.0</v>
      </c>
      <c r="Q39" s="829">
        <v>0.0</v>
      </c>
      <c r="R39" s="829">
        <v>16.0</v>
      </c>
      <c r="S39" s="829">
        <v>165.0</v>
      </c>
      <c r="T39" s="829">
        <v>51.0</v>
      </c>
      <c r="U39" s="829">
        <v>12.0</v>
      </c>
      <c r="V39" s="829">
        <v>2.0</v>
      </c>
      <c r="W39" s="829">
        <v>0.0</v>
      </c>
      <c r="X39" s="829">
        <v>0.0</v>
      </c>
      <c r="Y39" s="829">
        <v>0.0</v>
      </c>
      <c r="Z39" s="829">
        <v>0.0</v>
      </c>
      <c r="AA39" s="829">
        <v>0.0</v>
      </c>
      <c r="AB39" s="829">
        <v>1.0</v>
      </c>
      <c r="AC39" s="829">
        <v>184.0</v>
      </c>
      <c r="AD39" s="829">
        <v>1.0</v>
      </c>
      <c r="AE39" s="829">
        <v>4.0</v>
      </c>
      <c r="AF39" s="829">
        <v>1.0</v>
      </c>
      <c r="AG39" s="829">
        <v>10.0</v>
      </c>
      <c r="AH39" s="829">
        <v>12.0</v>
      </c>
      <c r="AI39" s="833">
        <f t="shared" si="4"/>
        <v>6.278594374</v>
      </c>
      <c r="AJ39" s="833">
        <f t="shared" si="5"/>
        <v>0.1107368831</v>
      </c>
      <c r="AK39" s="833">
        <f t="shared" si="6"/>
        <v>0.05256497615</v>
      </c>
      <c r="AL39" s="833">
        <f t="shared" si="13"/>
        <v>0.8025728384</v>
      </c>
      <c r="AM39" s="833">
        <f t="shared" si="8"/>
        <v>0.8181818182</v>
      </c>
      <c r="AN39" s="833">
        <f t="shared" si="11"/>
        <v>0.2230843841</v>
      </c>
      <c r="AO39" s="833">
        <f t="shared" si="9"/>
        <v>0.003504331743</v>
      </c>
      <c r="AP39" s="833">
        <f t="shared" si="10"/>
        <v>-0.2394626691</v>
      </c>
      <c r="AQ39" s="833" t="s">
        <v>350</v>
      </c>
      <c r="AR39" s="834" t="s">
        <v>374</v>
      </c>
    </row>
    <row r="40">
      <c r="A40" s="850" t="s">
        <v>149</v>
      </c>
      <c r="B40" s="844">
        <v>37.0</v>
      </c>
      <c r="C40" s="844">
        <v>22.0</v>
      </c>
      <c r="D40" s="844">
        <v>15.0</v>
      </c>
      <c r="E40" s="844">
        <v>22.0</v>
      </c>
      <c r="F40" s="844">
        <v>62.0</v>
      </c>
      <c r="G40" s="844">
        <v>1603.0</v>
      </c>
      <c r="H40" s="844">
        <v>1709.0</v>
      </c>
      <c r="I40" s="829">
        <f t="shared" si="1"/>
        <v>-106</v>
      </c>
      <c r="J40" s="845">
        <f t="shared" si="14"/>
        <v>0.9379754242</v>
      </c>
      <c r="K40" s="844">
        <v>9.0</v>
      </c>
      <c r="L40" s="845">
        <v>30348.0</v>
      </c>
      <c r="M40" s="832">
        <f t="shared" si="3"/>
        <v>13.75775307</v>
      </c>
      <c r="N40" s="844">
        <v>31.0</v>
      </c>
      <c r="O40" s="844">
        <v>0.0</v>
      </c>
      <c r="P40" s="844">
        <v>0.0</v>
      </c>
      <c r="Q40" s="844">
        <v>0.0</v>
      </c>
      <c r="R40" s="844">
        <v>22.0</v>
      </c>
      <c r="S40" s="844">
        <v>272.0</v>
      </c>
      <c r="T40" s="844">
        <v>80.0</v>
      </c>
      <c r="U40" s="844">
        <v>26.0</v>
      </c>
      <c r="V40" s="844">
        <v>9.0</v>
      </c>
      <c r="W40" s="844">
        <v>2.0</v>
      </c>
      <c r="X40" s="844">
        <v>0.0</v>
      </c>
      <c r="Y40" s="844">
        <v>0.0</v>
      </c>
      <c r="Z40" s="844">
        <v>0.0</v>
      </c>
      <c r="AA40" s="844">
        <v>0.0</v>
      </c>
      <c r="AB40" s="844">
        <v>0.0</v>
      </c>
      <c r="AC40" s="844">
        <v>316.0</v>
      </c>
      <c r="AD40" s="844">
        <v>0.0</v>
      </c>
      <c r="AE40" s="844">
        <v>0.0</v>
      </c>
      <c r="AF40" s="844">
        <v>2.0</v>
      </c>
      <c r="AG40" s="844">
        <v>20.0</v>
      </c>
      <c r="AH40" s="844">
        <v>19.0</v>
      </c>
      <c r="AI40" s="836">
        <f t="shared" si="4"/>
        <v>6.565836299</v>
      </c>
      <c r="AJ40" s="836">
        <f t="shared" si="5"/>
        <v>0.11466983</v>
      </c>
      <c r="AK40" s="836">
        <f t="shared" si="6"/>
        <v>0.06128904705</v>
      </c>
      <c r="AL40" s="833">
        <f t="shared" si="13"/>
        <v>0.8642941874</v>
      </c>
      <c r="AM40" s="836">
        <f t="shared" si="8"/>
        <v>0.5945945946</v>
      </c>
      <c r="AN40" s="836">
        <f t="shared" si="11"/>
        <v>0.2426699938</v>
      </c>
      <c r="AO40" s="833">
        <f t="shared" si="9"/>
        <v>0.002042968235</v>
      </c>
      <c r="AP40" s="833">
        <f t="shared" si="10"/>
        <v>-0.1917754053</v>
      </c>
      <c r="AQ40" s="833" t="s">
        <v>338</v>
      </c>
      <c r="AR40" s="834" t="s">
        <v>375</v>
      </c>
    </row>
    <row r="41">
      <c r="A41" s="853" t="s">
        <v>9</v>
      </c>
      <c r="B41" s="829">
        <v>18.0</v>
      </c>
      <c r="C41" s="829">
        <v>1.0</v>
      </c>
      <c r="D41" s="829">
        <v>17.0</v>
      </c>
      <c r="E41" s="829">
        <v>0.0</v>
      </c>
      <c r="F41" s="829">
        <v>17.0</v>
      </c>
      <c r="G41" s="829">
        <v>545.0</v>
      </c>
      <c r="H41" s="829">
        <v>902.0</v>
      </c>
      <c r="I41" s="829">
        <f t="shared" si="1"/>
        <v>-357</v>
      </c>
      <c r="J41" s="831">
        <f t="shared" si="14"/>
        <v>0.6042128603</v>
      </c>
      <c r="K41" s="829">
        <v>0.0</v>
      </c>
      <c r="L41" s="831">
        <v>14768.0</v>
      </c>
      <c r="M41" s="843">
        <f t="shared" si="3"/>
        <v>12.37250554</v>
      </c>
      <c r="N41" s="829">
        <v>5.0</v>
      </c>
      <c r="O41" s="829">
        <v>0.0</v>
      </c>
      <c r="P41" s="829">
        <v>0.0</v>
      </c>
      <c r="Q41" s="829">
        <v>0.0</v>
      </c>
      <c r="R41" s="829">
        <v>9.0</v>
      </c>
      <c r="S41" s="829">
        <v>75.0</v>
      </c>
      <c r="T41" s="829">
        <v>12.0</v>
      </c>
      <c r="U41" s="829">
        <v>2.0</v>
      </c>
      <c r="V41" s="829">
        <v>0.0</v>
      </c>
      <c r="W41" s="829">
        <v>0.0</v>
      </c>
      <c r="X41" s="829">
        <v>0.0</v>
      </c>
      <c r="Y41" s="829">
        <v>0.0</v>
      </c>
      <c r="Z41" s="829">
        <v>0.0</v>
      </c>
      <c r="AA41" s="829">
        <v>0.0</v>
      </c>
      <c r="AB41" s="829">
        <v>0.0</v>
      </c>
      <c r="AC41" s="829">
        <v>71.0</v>
      </c>
      <c r="AD41" s="829">
        <v>0.0</v>
      </c>
      <c r="AE41" s="829">
        <v>0.0</v>
      </c>
      <c r="AF41" s="829">
        <v>0.0</v>
      </c>
      <c r="AG41" s="829">
        <v>9.0</v>
      </c>
      <c r="AH41" s="829">
        <v>4.0</v>
      </c>
      <c r="AI41" s="833">
        <f t="shared" si="4"/>
        <v>5.878927411</v>
      </c>
      <c r="AJ41" s="833">
        <f t="shared" si="5"/>
        <v>0.03624052004</v>
      </c>
      <c r="AK41" s="833">
        <f t="shared" si="6"/>
        <v>0.02031419285</v>
      </c>
      <c r="AL41" s="833">
        <f t="shared" si="13"/>
        <v>-1.031960997</v>
      </c>
      <c r="AM41" s="833">
        <f t="shared" si="8"/>
        <v>0</v>
      </c>
      <c r="AN41" s="833">
        <f t="shared" si="11"/>
        <v>0.1633027523</v>
      </c>
      <c r="AO41" s="833">
        <f t="shared" si="9"/>
        <v>0.001151137595</v>
      </c>
      <c r="AP41" s="833">
        <f t="shared" si="10"/>
        <v>-1.450433369</v>
      </c>
      <c r="AQ41" s="833" t="s">
        <v>171</v>
      </c>
      <c r="AR41" s="834" t="s">
        <v>376</v>
      </c>
    </row>
    <row r="42">
      <c r="A42" s="837" t="s">
        <v>222</v>
      </c>
      <c r="B42" s="844">
        <v>18.0</v>
      </c>
      <c r="C42" s="844">
        <v>3.0</v>
      </c>
      <c r="D42" s="844">
        <v>15.0</v>
      </c>
      <c r="E42" s="844">
        <v>9.0</v>
      </c>
      <c r="F42" s="844">
        <v>12.0</v>
      </c>
      <c r="G42" s="844">
        <v>464.0</v>
      </c>
      <c r="H42" s="844">
        <v>981.0</v>
      </c>
      <c r="I42" s="829">
        <f t="shared" si="1"/>
        <v>-517</v>
      </c>
      <c r="J42" s="845">
        <f t="shared" si="14"/>
        <v>0.4729867482</v>
      </c>
      <c r="K42" s="844">
        <v>0.0</v>
      </c>
      <c r="L42" s="845">
        <v>12317.0</v>
      </c>
      <c r="M42" s="832">
        <f t="shared" si="3"/>
        <v>8.555555556</v>
      </c>
      <c r="N42" s="844">
        <v>3.0</v>
      </c>
      <c r="O42" s="844">
        <v>0.0</v>
      </c>
      <c r="P42" s="844">
        <v>0.0</v>
      </c>
      <c r="Q42" s="844">
        <v>0.0</v>
      </c>
      <c r="R42" s="844">
        <v>9.0</v>
      </c>
      <c r="S42" s="844">
        <v>55.0</v>
      </c>
      <c r="T42" s="844">
        <v>10.0</v>
      </c>
      <c r="U42" s="844">
        <v>4.0</v>
      </c>
      <c r="V42" s="844">
        <v>2.0</v>
      </c>
      <c r="W42" s="844">
        <v>0.0</v>
      </c>
      <c r="X42" s="844">
        <v>0.0</v>
      </c>
      <c r="Y42" s="844">
        <v>0.0</v>
      </c>
      <c r="Z42" s="844">
        <v>0.0</v>
      </c>
      <c r="AA42" s="844">
        <v>0.0</v>
      </c>
      <c r="AB42" s="844">
        <v>0.0</v>
      </c>
      <c r="AC42" s="844">
        <v>71.0</v>
      </c>
      <c r="AD42" s="844">
        <v>0.0</v>
      </c>
      <c r="AE42" s="844">
        <v>0.0</v>
      </c>
      <c r="AF42" s="844">
        <v>0.0</v>
      </c>
      <c r="AG42" s="844">
        <v>16.0</v>
      </c>
      <c r="AH42" s="844">
        <v>1.0</v>
      </c>
      <c r="AI42" s="836">
        <f t="shared" si="4"/>
        <v>7.039051717</v>
      </c>
      <c r="AJ42" s="836">
        <f t="shared" si="5"/>
        <v>0.07774620443</v>
      </c>
      <c r="AK42" s="836">
        <f t="shared" si="6"/>
        <v>0.0146139482</v>
      </c>
      <c r="AL42" s="833">
        <f t="shared" si="13"/>
        <v>-1.514151173</v>
      </c>
      <c r="AM42" s="836">
        <f t="shared" si="8"/>
        <v>0.5</v>
      </c>
      <c r="AN42" s="836">
        <f t="shared" si="11"/>
        <v>0.1530172414</v>
      </c>
      <c r="AO42" s="833">
        <f t="shared" si="9"/>
        <v>0.0009742632134</v>
      </c>
      <c r="AP42" s="833">
        <f t="shared" si="10"/>
        <v>-2.518470407</v>
      </c>
      <c r="AQ42" s="833" t="s">
        <v>350</v>
      </c>
      <c r="AR42" s="834" t="s">
        <v>377</v>
      </c>
    </row>
    <row r="43">
      <c r="A43" s="854" t="s">
        <v>62</v>
      </c>
      <c r="B43" s="829">
        <v>20.0</v>
      </c>
      <c r="C43" s="829">
        <v>13.0</v>
      </c>
      <c r="D43" s="829">
        <v>7.0</v>
      </c>
      <c r="E43" s="829">
        <v>33.0</v>
      </c>
      <c r="F43" s="829">
        <v>88.0</v>
      </c>
      <c r="G43" s="829">
        <v>985.0</v>
      </c>
      <c r="H43" s="829">
        <v>943.0</v>
      </c>
      <c r="I43" s="829">
        <f t="shared" si="1"/>
        <v>42</v>
      </c>
      <c r="J43" s="831">
        <f t="shared" si="14"/>
        <v>1.044538706</v>
      </c>
      <c r="K43" s="829">
        <v>1.0</v>
      </c>
      <c r="L43" s="831">
        <v>17962.0</v>
      </c>
      <c r="M43" s="843">
        <f t="shared" si="3"/>
        <v>15.04772004</v>
      </c>
      <c r="N43" s="829">
        <v>22.0</v>
      </c>
      <c r="O43" s="829">
        <v>2.0</v>
      </c>
      <c r="P43" s="829">
        <v>0.0</v>
      </c>
      <c r="Q43" s="829">
        <v>0.0</v>
      </c>
      <c r="R43" s="829">
        <v>12.0</v>
      </c>
      <c r="S43" s="829">
        <v>174.0</v>
      </c>
      <c r="T43" s="829">
        <v>55.0</v>
      </c>
      <c r="U43" s="829">
        <v>21.0</v>
      </c>
      <c r="V43" s="829">
        <v>2.0</v>
      </c>
      <c r="W43" s="829">
        <v>1.0</v>
      </c>
      <c r="X43" s="829">
        <v>1.0</v>
      </c>
      <c r="Y43" s="829">
        <v>1.0</v>
      </c>
      <c r="Z43" s="829">
        <v>1.0</v>
      </c>
      <c r="AA43" s="829">
        <v>1.0</v>
      </c>
      <c r="AB43" s="829">
        <v>1.0</v>
      </c>
      <c r="AC43" s="829">
        <v>215.0</v>
      </c>
      <c r="AD43" s="829">
        <v>0.0</v>
      </c>
      <c r="AE43" s="829">
        <v>1.0</v>
      </c>
      <c r="AF43" s="829">
        <v>0.0</v>
      </c>
      <c r="AG43" s="829">
        <v>20.0</v>
      </c>
      <c r="AH43" s="829">
        <v>1.0</v>
      </c>
      <c r="AI43" s="833">
        <f t="shared" si="4"/>
        <v>6.443603162</v>
      </c>
      <c r="AJ43" s="833">
        <f t="shared" si="5"/>
        <v>0.1802471885</v>
      </c>
      <c r="AK43" s="833">
        <f t="shared" si="6"/>
        <v>0.07348847567</v>
      </c>
      <c r="AL43" s="833">
        <f t="shared" si="13"/>
        <v>1.623380984</v>
      </c>
      <c r="AM43" s="833">
        <f t="shared" si="8"/>
        <v>1.65</v>
      </c>
      <c r="AN43" s="833">
        <f t="shared" si="11"/>
        <v>0.2609137056</v>
      </c>
      <c r="AO43" s="833">
        <f t="shared" si="9"/>
        <v>0.004899231711</v>
      </c>
      <c r="AP43" s="833">
        <f t="shared" si="10"/>
        <v>0.1436365661</v>
      </c>
      <c r="AQ43" s="833" t="s">
        <v>336</v>
      </c>
      <c r="AR43" s="834" t="s">
        <v>378</v>
      </c>
    </row>
    <row r="44" hidden="1">
      <c r="A44" s="855"/>
      <c r="B44" s="566"/>
      <c r="C44" s="566"/>
      <c r="D44" s="566"/>
      <c r="E44" s="566"/>
      <c r="F44" s="566"/>
      <c r="G44" s="566"/>
      <c r="H44" s="566"/>
      <c r="I44" s="856"/>
      <c r="J44" s="566"/>
      <c r="K44" s="856"/>
      <c r="L44" s="857"/>
      <c r="M44" s="566"/>
      <c r="N44" s="566"/>
      <c r="O44" s="566"/>
      <c r="P44" s="566"/>
      <c r="Q44" s="566"/>
      <c r="R44" s="566"/>
      <c r="S44" s="566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858"/>
      <c r="AI44" s="833" t="str">
        <f t="shared" si="4"/>
        <v>#DIV/0!</v>
      </c>
      <c r="AJ44" s="833" t="str">
        <f t="shared" si="5"/>
        <v>#DIV/0!</v>
      </c>
      <c r="AK44" s="833" t="str">
        <f t="shared" si="6"/>
        <v>#DIV/0!</v>
      </c>
      <c r="AL44" s="833" t="str">
        <f t="shared" si="13"/>
        <v>#DIV/0!</v>
      </c>
      <c r="AM44" s="833" t="str">
        <f t="shared" si="8"/>
        <v>#DIV/0!</v>
      </c>
      <c r="AN44" s="833" t="str">
        <f t="shared" si="11"/>
        <v>#DIV/0!</v>
      </c>
      <c r="AO44" s="833" t="str">
        <f t="shared" ref="AO44:AO50" si="15">F44/B44</f>
        <v>#DIV/0!</v>
      </c>
      <c r="AP44" s="833" t="str">
        <f t="shared" si="10"/>
        <v>#DIV/0!</v>
      </c>
      <c r="AQ44" s="858"/>
      <c r="AR44" s="859"/>
    </row>
    <row r="45" hidden="1">
      <c r="A45" s="175"/>
      <c r="B45" s="11"/>
      <c r="C45" s="11"/>
      <c r="D45" s="11"/>
      <c r="E45" s="11"/>
      <c r="F45" s="173"/>
      <c r="G45" s="11"/>
      <c r="H45" s="11"/>
      <c r="I45" s="860"/>
      <c r="J45" s="11"/>
      <c r="K45" s="86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861"/>
      <c r="AI45" s="833" t="str">
        <f t="shared" si="4"/>
        <v>#DIV/0!</v>
      </c>
      <c r="AJ45" s="833" t="str">
        <f t="shared" si="5"/>
        <v>#DIV/0!</v>
      </c>
      <c r="AK45" s="833" t="str">
        <f t="shared" si="6"/>
        <v>#DIV/0!</v>
      </c>
      <c r="AL45" s="833" t="str">
        <f t="shared" si="13"/>
        <v>#DIV/0!</v>
      </c>
      <c r="AM45" s="833" t="str">
        <f t="shared" si="8"/>
        <v>#DIV/0!</v>
      </c>
      <c r="AN45" s="833" t="str">
        <f t="shared" si="11"/>
        <v>#DIV/0!</v>
      </c>
      <c r="AO45" s="833" t="str">
        <f t="shared" si="15"/>
        <v>#DIV/0!</v>
      </c>
      <c r="AP45" s="833" t="str">
        <f t="shared" si="10"/>
        <v>#DIV/0!</v>
      </c>
      <c r="AQ45" s="861"/>
      <c r="AR45" s="862"/>
    </row>
    <row r="46" hidden="1">
      <c r="A46" s="175"/>
      <c r="B46" s="11"/>
      <c r="C46" s="11"/>
      <c r="D46" s="11"/>
      <c r="E46" s="11"/>
      <c r="F46" s="173"/>
      <c r="G46" s="11"/>
      <c r="H46" s="11"/>
      <c r="I46" s="860"/>
      <c r="J46" s="11"/>
      <c r="K46" s="86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861"/>
      <c r="AI46" s="833" t="str">
        <f t="shared" si="4"/>
        <v>#DIV/0!</v>
      </c>
      <c r="AJ46" s="833" t="str">
        <f t="shared" si="5"/>
        <v>#DIV/0!</v>
      </c>
      <c r="AK46" s="833" t="str">
        <f t="shared" si="6"/>
        <v>#DIV/0!</v>
      </c>
      <c r="AL46" s="833" t="str">
        <f t="shared" si="13"/>
        <v>#DIV/0!</v>
      </c>
      <c r="AM46" s="833" t="str">
        <f t="shared" si="8"/>
        <v>#DIV/0!</v>
      </c>
      <c r="AN46" s="833" t="str">
        <f t="shared" si="11"/>
        <v>#DIV/0!</v>
      </c>
      <c r="AO46" s="833" t="str">
        <f t="shared" si="15"/>
        <v>#DIV/0!</v>
      </c>
      <c r="AP46" s="833" t="str">
        <f t="shared" si="10"/>
        <v>#DIV/0!</v>
      </c>
      <c r="AQ46" s="861"/>
      <c r="AR46" s="862"/>
    </row>
    <row r="47" hidden="1">
      <c r="A47" s="175"/>
      <c r="B47" s="11"/>
      <c r="C47" s="11"/>
      <c r="D47" s="11"/>
      <c r="E47" s="11"/>
      <c r="F47" s="173"/>
      <c r="G47" s="11"/>
      <c r="H47" s="11"/>
      <c r="I47" s="860"/>
      <c r="J47" s="11"/>
      <c r="K47" s="86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861"/>
      <c r="AI47" s="833" t="str">
        <f t="shared" si="4"/>
        <v>#DIV/0!</v>
      </c>
      <c r="AJ47" s="833" t="str">
        <f t="shared" si="5"/>
        <v>#DIV/0!</v>
      </c>
      <c r="AK47" s="833" t="str">
        <f t="shared" si="6"/>
        <v>#DIV/0!</v>
      </c>
      <c r="AL47" s="833" t="str">
        <f t="shared" si="13"/>
        <v>#DIV/0!</v>
      </c>
      <c r="AM47" s="833" t="str">
        <f t="shared" si="8"/>
        <v>#DIV/0!</v>
      </c>
      <c r="AN47" s="833" t="str">
        <f t="shared" si="11"/>
        <v>#DIV/0!</v>
      </c>
      <c r="AO47" s="833" t="str">
        <f t="shared" si="15"/>
        <v>#DIV/0!</v>
      </c>
      <c r="AP47" s="833" t="str">
        <f t="shared" si="10"/>
        <v>#DIV/0!</v>
      </c>
      <c r="AQ47" s="861"/>
      <c r="AR47" s="862"/>
    </row>
    <row r="48" hidden="1">
      <c r="A48" s="175"/>
      <c r="B48" s="11"/>
      <c r="C48" s="11"/>
      <c r="D48" s="11"/>
      <c r="E48" s="11"/>
      <c r="F48" s="173"/>
      <c r="G48" s="11"/>
      <c r="H48" s="11"/>
      <c r="I48" s="860"/>
      <c r="J48" s="11"/>
      <c r="K48" s="86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861"/>
      <c r="AI48" s="833" t="str">
        <f t="shared" si="4"/>
        <v>#DIV/0!</v>
      </c>
      <c r="AJ48" s="833" t="str">
        <f t="shared" si="5"/>
        <v>#DIV/0!</v>
      </c>
      <c r="AK48" s="833" t="str">
        <f t="shared" si="6"/>
        <v>#DIV/0!</v>
      </c>
      <c r="AL48" s="833" t="str">
        <f t="shared" si="13"/>
        <v>#DIV/0!</v>
      </c>
      <c r="AM48" s="833" t="str">
        <f t="shared" si="8"/>
        <v>#DIV/0!</v>
      </c>
      <c r="AN48" s="833" t="str">
        <f t="shared" si="11"/>
        <v>#DIV/0!</v>
      </c>
      <c r="AO48" s="833" t="str">
        <f t="shared" si="15"/>
        <v>#DIV/0!</v>
      </c>
      <c r="AP48" s="833" t="str">
        <f t="shared" si="10"/>
        <v>#DIV/0!</v>
      </c>
      <c r="AQ48" s="861"/>
      <c r="AR48" s="862"/>
    </row>
    <row r="49" hidden="1">
      <c r="A49" s="175"/>
      <c r="B49" s="11"/>
      <c r="C49" s="11"/>
      <c r="D49" s="11"/>
      <c r="E49" s="11"/>
      <c r="F49" s="173"/>
      <c r="G49" s="11"/>
      <c r="H49" s="11"/>
      <c r="I49" s="860"/>
      <c r="J49" s="11"/>
      <c r="K49" s="86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861"/>
      <c r="AI49" s="833" t="str">
        <f t="shared" si="4"/>
        <v>#DIV/0!</v>
      </c>
      <c r="AJ49" s="833" t="str">
        <f t="shared" si="5"/>
        <v>#DIV/0!</v>
      </c>
      <c r="AK49" s="833" t="str">
        <f t="shared" si="6"/>
        <v>#DIV/0!</v>
      </c>
      <c r="AL49" s="833" t="str">
        <f t="shared" si="13"/>
        <v>#DIV/0!</v>
      </c>
      <c r="AM49" s="833" t="str">
        <f t="shared" si="8"/>
        <v>#DIV/0!</v>
      </c>
      <c r="AN49" s="833" t="str">
        <f t="shared" si="11"/>
        <v>#DIV/0!</v>
      </c>
      <c r="AO49" s="833" t="str">
        <f t="shared" si="15"/>
        <v>#DIV/0!</v>
      </c>
      <c r="AP49" s="833" t="str">
        <f t="shared" si="10"/>
        <v>#DIV/0!</v>
      </c>
      <c r="AQ49" s="861"/>
      <c r="AR49" s="862"/>
    </row>
    <row r="50" hidden="1">
      <c r="A50" s="175"/>
      <c r="B50" s="11"/>
      <c r="C50" s="11"/>
      <c r="D50" s="11"/>
      <c r="E50" s="11"/>
      <c r="F50" s="173"/>
      <c r="G50" s="11"/>
      <c r="H50" s="11"/>
      <c r="I50" s="860"/>
      <c r="J50" s="11"/>
      <c r="K50" s="86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861"/>
      <c r="AI50" s="833" t="str">
        <f t="shared" si="4"/>
        <v>#DIV/0!</v>
      </c>
      <c r="AJ50" s="833" t="str">
        <f t="shared" si="5"/>
        <v>#DIV/0!</v>
      </c>
      <c r="AK50" s="833" t="str">
        <f t="shared" si="6"/>
        <v>#DIV/0!</v>
      </c>
      <c r="AL50" s="833" t="str">
        <f t="shared" si="13"/>
        <v>#DIV/0!</v>
      </c>
      <c r="AM50" s="833" t="str">
        <f t="shared" si="8"/>
        <v>#DIV/0!</v>
      </c>
      <c r="AN50" s="833" t="str">
        <f t="shared" si="11"/>
        <v>#DIV/0!</v>
      </c>
      <c r="AO50" s="833" t="str">
        <f t="shared" si="15"/>
        <v>#DIV/0!</v>
      </c>
      <c r="AP50" s="833" t="str">
        <f t="shared" si="10"/>
        <v>#DIV/0!</v>
      </c>
      <c r="AQ50" s="861"/>
      <c r="AR50" s="862"/>
    </row>
    <row r="51" hidden="1">
      <c r="AR51" s="86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B9" s="614" t="str">
        <f>IFERROR(__xludf.DUMMYFUNCTION("QUERY('PlayerGrades+'!A:U, ""SELECT A,J where not A contains 'Average Efficiency' ORDER BY J DESC LIMIT 10 LABEL J 'KPM'"", 1)"),"Players")</f>
        <v>Players</v>
      </c>
      <c r="C9" s="614" t="str">
        <f>IFERROR(__xludf.DUMMYFUNCTION("""COMPUTED_VALUE"""),"KPM")</f>
        <v>KPM</v>
      </c>
    </row>
    <row r="10">
      <c r="B10" s="614" t="str">
        <f>IFERROR(__xludf.DUMMYFUNCTION("""COMPUTED_VALUE"""),"Fanciest Pants")</f>
        <v>Fanciest Pants</v>
      </c>
      <c r="C10" s="864">
        <f>IFERROR(__xludf.DUMMYFUNCTION("""COMPUTED_VALUE"""),4.236633728159152)</f>
        <v>4.236633728</v>
      </c>
    </row>
    <row r="11">
      <c r="B11" s="614" t="str">
        <f>IFERROR(__xludf.DUMMYFUNCTION("""COMPUTED_VALUE"""),"Ace B S1lentND1")</f>
        <v>Ace B S1lentND1</v>
      </c>
      <c r="C11" s="864">
        <f>IFERROR(__xludf.DUMMYFUNCTION("""COMPUTED_VALUE"""),4.196332934282654)</f>
        <v>4.196332934</v>
      </c>
    </row>
    <row r="12">
      <c r="B12" s="614" t="str">
        <f>IFERROR(__xludf.DUMMYFUNCTION("""COMPUTED_VALUE"""),"MysticalNovice")</f>
        <v>MysticalNovice</v>
      </c>
      <c r="C12" s="864">
        <f>IFERROR(__xludf.DUMMYFUNCTION("""COMPUTED_VALUE"""),3.9348534201954397)</f>
        <v>3.93485342</v>
      </c>
    </row>
    <row r="13">
      <c r="B13" s="614" t="str">
        <f>IFERROR(__xludf.DUMMYFUNCTION("""COMPUTED_VALUE"""),"Jussshhhyyy")</f>
        <v>Jussshhhyyy</v>
      </c>
      <c r="C13" s="864">
        <f>IFERROR(__xludf.DUMMYFUNCTION("""COMPUTED_VALUE"""),3.8423181860946465)</f>
        <v>3.842318186</v>
      </c>
    </row>
    <row r="14">
      <c r="B14" s="614" t="str">
        <f>IFERROR(__xludf.DUMMYFUNCTION("""COMPUTED_VALUE"""),"Memorized")</f>
        <v>Memorized</v>
      </c>
      <c r="C14" s="864">
        <f>IFERROR(__xludf.DUMMYFUNCTION("""COMPUTED_VALUE"""),3.679245283018868)</f>
        <v>3.679245283</v>
      </c>
    </row>
    <row r="15">
      <c r="B15" s="614" t="str">
        <f>IFERROR(__xludf.DUMMYFUNCTION("""COMPUTED_VALUE"""),"SPANKTR0N")</f>
        <v>SPANKTR0N</v>
      </c>
      <c r="C15" s="864">
        <f>IFERROR(__xludf.DUMMYFUNCTION("""COMPUTED_VALUE"""),3.4812184264492574)</f>
        <v>3.481218426</v>
      </c>
    </row>
    <row r="16">
      <c r="B16" s="614" t="str">
        <f>IFERROR(__xludf.DUMMYFUNCTION("""COMPUTED_VALUE"""),"ASpence501")</f>
        <v>ASpence501</v>
      </c>
      <c r="C16" s="864">
        <f>IFERROR(__xludf.DUMMYFUNCTION("""COMPUTED_VALUE"""),3.327469950161243)</f>
        <v>3.32746995</v>
      </c>
    </row>
    <row r="17">
      <c r="B17" s="614" t="str">
        <f>IFERROR(__xludf.DUMMYFUNCTION("""COMPUTED_VALUE"""),"Scullen cx")</f>
        <v>Scullen cx</v>
      </c>
      <c r="C17" s="864">
        <f>IFERROR(__xludf.DUMMYFUNCTION("""COMPUTED_VALUE"""),3.320689655172414)</f>
        <v>3.320689655</v>
      </c>
    </row>
    <row r="18">
      <c r="B18" s="614" t="str">
        <f>IFERROR(__xludf.DUMMYFUNCTION("""COMPUTED_VALUE"""),"oh zilly")</f>
        <v>oh zilly</v>
      </c>
      <c r="C18" s="864">
        <f>IFERROR(__xludf.DUMMYFUNCTION("""COMPUTED_VALUE"""),3.3162162162162163)</f>
        <v>3.316216216</v>
      </c>
    </row>
    <row r="19">
      <c r="B19" s="614" t="str">
        <f>IFERROR(__xludf.DUMMYFUNCTION("""COMPUTED_VALUE"""),"yLuxe")</f>
        <v>yLuxe</v>
      </c>
      <c r="C19" s="864">
        <f>IFERROR(__xludf.DUMMYFUNCTION("""COMPUTED_VALUE"""),3.2902794788998997)</f>
        <v>3.290279479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2" max="2" width="6.5"/>
    <col customWidth="1" min="3" max="3" width="5.0"/>
    <col customWidth="1" min="4" max="4" width="6.75"/>
    <col customWidth="1" min="5" max="5" width="5.63"/>
    <col customWidth="1" min="6" max="6" width="8.0"/>
    <col customWidth="1" min="7" max="7" width="4.63"/>
    <col customWidth="1" min="8" max="8" width="6.5"/>
    <col customWidth="1" min="9" max="9" width="6.63"/>
    <col customWidth="1" min="10" max="10" width="5.13"/>
    <col customWidth="1" min="11" max="11" width="6.88"/>
    <col customWidth="1" min="12" max="12" width="8.38"/>
    <col customWidth="1" min="13" max="13" width="7.5"/>
    <col customWidth="1" min="14" max="14" width="6.5"/>
    <col customWidth="1" min="15" max="16" width="7.75"/>
    <col customWidth="1" min="17" max="17" width="9.38"/>
    <col customWidth="1" min="18" max="18" width="5.88"/>
    <col customWidth="1" min="19" max="19" width="6.63"/>
    <col customWidth="1" min="20" max="20" width="5.5"/>
    <col customWidth="1" min="21" max="21" width="8.0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7.63"/>
    <col customWidth="1" min="29" max="29" width="8.25"/>
    <col customWidth="1" min="30" max="30" width="5.13"/>
    <col customWidth="1" min="31" max="31" width="7.75"/>
    <col customWidth="1" min="32" max="32" width="8.38"/>
    <col customWidth="1" min="33" max="33" width="6.88"/>
    <col customWidth="1" min="34" max="34" width="8.75"/>
    <col customWidth="1" min="35" max="35" width="6.88"/>
    <col customWidth="1" min="36" max="36" width="5.13"/>
    <col customWidth="1" min="37" max="37" width="6.5"/>
    <col customWidth="1" min="38" max="38" width="6.13"/>
    <col customWidth="1" min="39" max="39" width="5.63"/>
    <col customWidth="1" min="40" max="40" width="7.38"/>
    <col customWidth="1" min="41" max="41" width="6.0"/>
    <col customWidth="1" min="42" max="42" width="6.13"/>
    <col customWidth="1" min="43" max="44" width="6.25"/>
  </cols>
  <sheetData>
    <row r="1">
      <c r="A1" s="822" t="s">
        <v>138</v>
      </c>
      <c r="B1" s="823" t="s">
        <v>117</v>
      </c>
      <c r="C1" s="823" t="s">
        <v>17</v>
      </c>
      <c r="D1" s="823" t="s">
        <v>18</v>
      </c>
      <c r="E1" s="823" t="s">
        <v>20</v>
      </c>
      <c r="F1" s="822" t="s">
        <v>21</v>
      </c>
      <c r="G1" s="823" t="s">
        <v>22</v>
      </c>
      <c r="H1" s="823" t="s">
        <v>23</v>
      </c>
      <c r="I1" s="823" t="s">
        <v>313</v>
      </c>
      <c r="J1" s="824" t="s">
        <v>60</v>
      </c>
      <c r="K1" s="823" t="s">
        <v>25</v>
      </c>
      <c r="L1" s="825" t="s">
        <v>27</v>
      </c>
      <c r="M1" s="823" t="s">
        <v>107</v>
      </c>
      <c r="N1" s="823" t="s">
        <v>230</v>
      </c>
      <c r="O1" s="823" t="s">
        <v>314</v>
      </c>
      <c r="P1" s="823" t="s">
        <v>315</v>
      </c>
      <c r="Q1" s="823" t="s">
        <v>316</v>
      </c>
      <c r="R1" s="822" t="s">
        <v>31</v>
      </c>
      <c r="S1" s="823" t="s">
        <v>32</v>
      </c>
      <c r="T1" s="823" t="s">
        <v>33</v>
      </c>
      <c r="U1" s="823" t="s">
        <v>317</v>
      </c>
      <c r="V1" s="823" t="s">
        <v>318</v>
      </c>
      <c r="W1" s="823" t="s">
        <v>319</v>
      </c>
      <c r="X1" s="823" t="s">
        <v>320</v>
      </c>
      <c r="Y1" s="823" t="s">
        <v>321</v>
      </c>
      <c r="Z1" s="823" t="s">
        <v>322</v>
      </c>
      <c r="AA1" s="823" t="s">
        <v>323</v>
      </c>
      <c r="AB1" s="823" t="s">
        <v>35</v>
      </c>
      <c r="AC1" s="823" t="s">
        <v>231</v>
      </c>
      <c r="AD1" s="822" t="s">
        <v>324</v>
      </c>
      <c r="AE1" s="822" t="s">
        <v>325</v>
      </c>
      <c r="AF1" s="822" t="s">
        <v>326</v>
      </c>
      <c r="AG1" s="822" t="s">
        <v>327</v>
      </c>
      <c r="AH1" s="822" t="s">
        <v>328</v>
      </c>
      <c r="AI1" s="826" t="s">
        <v>50</v>
      </c>
      <c r="AJ1" s="826" t="s">
        <v>329</v>
      </c>
      <c r="AK1" s="826" t="s">
        <v>330</v>
      </c>
      <c r="AL1" s="826" t="s">
        <v>331</v>
      </c>
      <c r="AM1" s="826" t="s">
        <v>332</v>
      </c>
      <c r="AN1" s="826" t="s">
        <v>333</v>
      </c>
      <c r="AO1" s="826" t="s">
        <v>177</v>
      </c>
      <c r="AP1" s="826" t="s">
        <v>334</v>
      </c>
      <c r="AQ1" s="826" t="s">
        <v>335</v>
      </c>
      <c r="AR1" s="827" t="s">
        <v>379</v>
      </c>
    </row>
    <row r="2">
      <c r="A2" s="828" t="s">
        <v>206</v>
      </c>
      <c r="B2" s="829">
        <f t="shared" ref="B2:B32" si="1">D2+C2</f>
        <v>2</v>
      </c>
      <c r="C2" s="829">
        <f>IFERROR(VLOOKUP($A2,'Playoff Stats Pivot'!$A:$AE,2,0),"")</f>
        <v>0</v>
      </c>
      <c r="D2" s="829">
        <f>IFERROR(VLOOKUP($A2,'Playoff Stats Pivot'!$A:$AE,3,0),"")</f>
        <v>2</v>
      </c>
      <c r="E2" s="829">
        <f>IFERROR(VLOOKUP($A2,'Playoff Stats Pivot'!$A:$AE,4,0),"")</f>
        <v>1</v>
      </c>
      <c r="F2" s="829">
        <f>IFERROR(VLOOKUP($A2,'Playoff Stats Pivot'!$A:$AE,5,0),"")</f>
        <v>2</v>
      </c>
      <c r="G2" s="829">
        <f>IFERROR(VLOOKUP($A2,'Playoff Stats Pivot'!$A:$AE,6,0),"")</f>
        <v>115</v>
      </c>
      <c r="H2" s="829">
        <f>IFERROR(VLOOKUP($A2,'Playoff Stats Pivot'!$A:$AE,7,0),"")</f>
        <v>96</v>
      </c>
      <c r="I2" s="829">
        <f>IFERROR(VLOOKUP($A2,'Playoff Stats Pivot'!$A:$AE,8,0),"")</f>
        <v>19</v>
      </c>
      <c r="J2" s="830">
        <f t="shared" ref="J2:J32" si="2">IFERROR(G2/H2,0)</f>
        <v>1.197916667</v>
      </c>
      <c r="K2" s="829">
        <f>IFERROR(VLOOKUP($A2,'Playoff Stats Pivot'!$A:$AE,9,0),"")</f>
        <v>0</v>
      </c>
      <c r="L2" s="829">
        <f>IFERROR(VLOOKUP($A2,'Playoff Stats Pivot'!$A:$AE,10,0),"")</f>
        <v>1611</v>
      </c>
      <c r="M2" s="830">
        <f t="shared" ref="M2:M32" si="3">(L2-(H2*4))/H2</f>
        <v>12.78125</v>
      </c>
      <c r="N2" s="829">
        <f>IFERROR(VLOOKUP($A2,'Playoff Stats Pivot'!$A:$AE,11,0),"")</f>
        <v>2</v>
      </c>
      <c r="O2" s="829">
        <f>IFERROR(VLOOKUP($A2,'Playoff Stats Pivot'!$A:$AE,12,0),"")</f>
        <v>0</v>
      </c>
      <c r="P2" s="829">
        <f>IFERROR(VLOOKUP($A2,'Playoff Stats Pivot'!$A:$AE,13,0),"")</f>
        <v>0</v>
      </c>
      <c r="Q2" s="829">
        <f>IFERROR(VLOOKUP($A2,'Playoff Stats Pivot'!$A:$AE,14,0),"")</f>
        <v>0</v>
      </c>
      <c r="R2" s="829">
        <f>IFERROR(VLOOKUP($A2,'Playoff Stats Pivot'!$A:$AE,15,0),"")</f>
        <v>4</v>
      </c>
      <c r="S2" s="829">
        <f>IFERROR(VLOOKUP($A2,'Playoff Stats Pivot'!$A:$AE,16,0),"")</f>
        <v>26</v>
      </c>
      <c r="T2" s="829">
        <f>IFERROR(VLOOKUP($A2,'Playoff Stats Pivot'!$A:$AE,17,0),"")</f>
        <v>8</v>
      </c>
      <c r="U2" s="829">
        <f>IFERROR(VLOOKUP($A2,'Playoff Stats Pivot'!$A:$AE,18,0),"")</f>
        <v>3</v>
      </c>
      <c r="V2" s="829">
        <f>IFERROR(VLOOKUP($A2,'Playoff Stats Pivot'!$A:$AE,19,0),"")</f>
        <v>0</v>
      </c>
      <c r="W2" s="829">
        <f>IFERROR(VLOOKUP($A2,'Playoff Stats Pivot'!$A:$AE,20,0),"")</f>
        <v>0</v>
      </c>
      <c r="X2" s="829">
        <f>IFERROR(VLOOKUP($A2,'Playoff Stats Pivot'!$A:$AE,21,0),"")</f>
        <v>0</v>
      </c>
      <c r="Y2" s="829">
        <f>IFERROR(VLOOKUP($A2,'Playoff Stats Pivot'!$A:$AE,22,0),"")</f>
        <v>0</v>
      </c>
      <c r="Z2" s="829">
        <f>IFERROR(VLOOKUP($A2,'Playoff Stats Pivot'!$A:$AE,23,0),"")</f>
        <v>0</v>
      </c>
      <c r="AA2" s="829">
        <f>IFERROR(VLOOKUP($A2,'Playoff Stats Pivot'!$A:$AE,24,0),"")</f>
        <v>0</v>
      </c>
      <c r="AB2" s="829">
        <f>IFERROR(VLOOKUP($A2,'Playoff Stats Pivot'!$A:$AE,25,0),"")</f>
        <v>0</v>
      </c>
      <c r="AC2" s="829">
        <f>IFERROR(VLOOKUP($A2,'Playoff Stats Pivot'!$A:$AE,26,0),"")</f>
        <v>20</v>
      </c>
      <c r="AD2" s="829">
        <f>IFERROR(VLOOKUP($A2,'Playoff Stats Pivot'!$A:$AE,27,0),"")</f>
        <v>0</v>
      </c>
      <c r="AE2" s="829">
        <f>IFERROR(VLOOKUP($A2,'Playoff Stats Pivot'!$A:$AE,28,0),"")</f>
        <v>0</v>
      </c>
      <c r="AF2" s="829">
        <f>IFERROR(VLOOKUP($A2,'Playoff Stats Pivot'!$A:$AE,29,0),"")</f>
        <v>0</v>
      </c>
      <c r="AG2" s="829">
        <f>IFERROR(VLOOKUP($A2,'Playoff Stats Pivot'!$A:$AE,30,0),"")</f>
        <v>3</v>
      </c>
      <c r="AH2" s="829">
        <f>IFERROR(VLOOKUP($A2,'Playoff Stats Pivot'!$A:$AE,31,0),"")</f>
        <v>1</v>
      </c>
      <c r="AI2" s="833">
        <f t="shared" ref="AI2:AI32" si="4">Iferror(sum(G2,H2,K2)/(L2/60),"")</f>
        <v>7.858472998</v>
      </c>
      <c r="AJ2" s="833">
        <f t="shared" ref="AJ2:AJ32" si="5">Iferror(((E2*0.8)+(N2*0.08)+(AC2*0.12))/(L2/60),"")</f>
        <v>0.1251396648</v>
      </c>
      <c r="AK2" s="833">
        <f t="shared" ref="AK2:AK32" si="6">Iferror(N2/(L2/60),"")</f>
        <v>0.07448789572</v>
      </c>
      <c r="AL2" s="833" t="str">
        <f t="shared" ref="AL2:AL32" si="7">IFERROR((E2/C2/5)+((G2-H2+N2+R2+S2+T2+U2+V2+W2+X2+Y2+Z2+AA2+AB2)/(L2/60)),"")</f>
        <v/>
      </c>
      <c r="AM2" s="833">
        <f t="shared" ref="AM2:AM32" si="8">Iferror(E2/B2,"")</f>
        <v>0.5</v>
      </c>
      <c r="AN2" s="833">
        <f t="shared" ref="AN2:AN32" si="9">Iferror(sum(S2:AA2)/G2,"")</f>
        <v>0.3217391304</v>
      </c>
      <c r="AO2" s="833">
        <f t="shared" ref="AO2:AO32" si="10">Iferror(F2/L2,"")</f>
        <v>0.001241464929</v>
      </c>
      <c r="AP2" s="833">
        <f t="shared" ref="AP2:AP32" si="11">Iferror((G2+K2-H2)/(L2/60),"")</f>
        <v>0.7076350093</v>
      </c>
      <c r="AQ2" s="833" t="s">
        <v>336</v>
      </c>
      <c r="AR2" s="834" t="s">
        <v>337</v>
      </c>
    </row>
    <row r="3">
      <c r="A3" s="835" t="s">
        <v>220</v>
      </c>
      <c r="B3" s="829">
        <f t="shared" si="1"/>
        <v>4</v>
      </c>
      <c r="C3" s="829">
        <f>IFERROR(VLOOKUP($A3,'Playoff Stats Pivot'!$A:$AE,2,0),"")</f>
        <v>2</v>
      </c>
      <c r="D3" s="829">
        <f>IFERROR(VLOOKUP($A3,'Playoff Stats Pivot'!$A:$AE,3,0),"")</f>
        <v>2</v>
      </c>
      <c r="E3" s="829">
        <f>IFERROR(VLOOKUP($A3,'Playoff Stats Pivot'!$A:$AE,4,0),"")</f>
        <v>1</v>
      </c>
      <c r="F3" s="829">
        <f>IFERROR(VLOOKUP($A3,'Playoff Stats Pivot'!$A:$AE,5,0),"")</f>
        <v>0</v>
      </c>
      <c r="G3" s="829">
        <f>IFERROR(VLOOKUP($A3,'Playoff Stats Pivot'!$A:$AE,6,0),"")</f>
        <v>133</v>
      </c>
      <c r="H3" s="829">
        <f>IFERROR(VLOOKUP($A3,'Playoff Stats Pivot'!$A:$AE,7,0),"")</f>
        <v>169</v>
      </c>
      <c r="I3" s="829">
        <f>IFERROR(VLOOKUP($A3,'Playoff Stats Pivot'!$A:$AE,8,0),"")</f>
        <v>-36</v>
      </c>
      <c r="J3" s="830">
        <f t="shared" si="2"/>
        <v>0.7869822485</v>
      </c>
      <c r="K3" s="829">
        <f>IFERROR(VLOOKUP($A3,'Playoff Stats Pivot'!$A:$AE,9,0),"")</f>
        <v>1</v>
      </c>
      <c r="L3" s="829">
        <f>IFERROR(VLOOKUP($A3,'Playoff Stats Pivot'!$A:$AE,10,0),"")</f>
        <v>3588</v>
      </c>
      <c r="M3" s="830">
        <f t="shared" si="3"/>
        <v>17.23076923</v>
      </c>
      <c r="N3" s="829">
        <f>IFERROR(VLOOKUP($A3,'Playoff Stats Pivot'!$A:$AE,11,0),"")</f>
        <v>1</v>
      </c>
      <c r="O3" s="829">
        <f>IFERROR(VLOOKUP($A3,'Playoff Stats Pivot'!$A:$AE,12,0),"")</f>
        <v>0</v>
      </c>
      <c r="P3" s="829">
        <f>IFERROR(VLOOKUP($A3,'Playoff Stats Pivot'!$A:$AE,13,0),"")</f>
        <v>0</v>
      </c>
      <c r="Q3" s="829">
        <f>IFERROR(VLOOKUP($A3,'Playoff Stats Pivot'!$A:$AE,14,0),"")</f>
        <v>0</v>
      </c>
      <c r="R3" s="829">
        <f>IFERROR(VLOOKUP($A3,'Playoff Stats Pivot'!$A:$AE,15,0),"")</f>
        <v>4</v>
      </c>
      <c r="S3" s="829">
        <f>IFERROR(VLOOKUP($A3,'Playoff Stats Pivot'!$A:$AE,16,0),"")</f>
        <v>24</v>
      </c>
      <c r="T3" s="829">
        <f>IFERROR(VLOOKUP($A3,'Playoff Stats Pivot'!$A:$AE,17,0),"")</f>
        <v>4</v>
      </c>
      <c r="U3" s="829">
        <f>IFERROR(VLOOKUP($A3,'Playoff Stats Pivot'!$A:$AE,18,0),"")</f>
        <v>0</v>
      </c>
      <c r="V3" s="829">
        <f>IFERROR(VLOOKUP($A3,'Playoff Stats Pivot'!$A:$AE,19,0),"")</f>
        <v>0</v>
      </c>
      <c r="W3" s="829">
        <f>IFERROR(VLOOKUP($A3,'Playoff Stats Pivot'!$A:$AE,20,0),"")</f>
        <v>0</v>
      </c>
      <c r="X3" s="829">
        <f>IFERROR(VLOOKUP($A3,'Playoff Stats Pivot'!$A:$AE,21,0),"")</f>
        <v>0</v>
      </c>
      <c r="Y3" s="829">
        <f>IFERROR(VLOOKUP($A3,'Playoff Stats Pivot'!$A:$AE,22,0),"")</f>
        <v>0</v>
      </c>
      <c r="Z3" s="829">
        <f>IFERROR(VLOOKUP($A3,'Playoff Stats Pivot'!$A:$AE,23,0),"")</f>
        <v>0</v>
      </c>
      <c r="AA3" s="829">
        <f>IFERROR(VLOOKUP($A3,'Playoff Stats Pivot'!$A:$AE,24,0),"")</f>
        <v>0</v>
      </c>
      <c r="AB3" s="829">
        <f>IFERROR(VLOOKUP($A3,'Playoff Stats Pivot'!$A:$AE,25,0),"")</f>
        <v>0</v>
      </c>
      <c r="AC3" s="829">
        <f>IFERROR(VLOOKUP($A3,'Playoff Stats Pivot'!$A:$AE,26,0),"")</f>
        <v>11</v>
      </c>
      <c r="AD3" s="829">
        <f>IFERROR(VLOOKUP($A3,'Playoff Stats Pivot'!$A:$AE,27,0),"")</f>
        <v>0</v>
      </c>
      <c r="AE3" s="829">
        <f>IFERROR(VLOOKUP($A3,'Playoff Stats Pivot'!$A:$AE,28,0),"")</f>
        <v>0</v>
      </c>
      <c r="AF3" s="829">
        <f>IFERROR(VLOOKUP($A3,'Playoff Stats Pivot'!$A:$AE,29,0),"")</f>
        <v>0</v>
      </c>
      <c r="AG3" s="829">
        <f>IFERROR(VLOOKUP($A3,'Playoff Stats Pivot'!$A:$AE,30,0),"")</f>
        <v>1</v>
      </c>
      <c r="AH3" s="829">
        <f>IFERROR(VLOOKUP($A3,'Playoff Stats Pivot'!$A:$AE,31,0),"")</f>
        <v>1</v>
      </c>
      <c r="AI3" s="833">
        <f t="shared" si="4"/>
        <v>5.066889632</v>
      </c>
      <c r="AJ3" s="833">
        <f t="shared" si="5"/>
        <v>0.03678929766</v>
      </c>
      <c r="AK3" s="833">
        <f t="shared" si="6"/>
        <v>0.01672240803</v>
      </c>
      <c r="AL3" s="833">
        <f t="shared" si="7"/>
        <v>0.04983277592</v>
      </c>
      <c r="AM3" s="833">
        <f t="shared" si="8"/>
        <v>0.25</v>
      </c>
      <c r="AN3" s="833">
        <f t="shared" si="9"/>
        <v>0.2105263158</v>
      </c>
      <c r="AO3" s="833">
        <f t="shared" si="10"/>
        <v>0</v>
      </c>
      <c r="AP3" s="833">
        <f t="shared" si="11"/>
        <v>-0.5852842809</v>
      </c>
      <c r="AQ3" s="833" t="s">
        <v>338</v>
      </c>
      <c r="AR3" s="834" t="s">
        <v>339</v>
      </c>
    </row>
    <row r="4">
      <c r="A4" s="828" t="s">
        <v>249</v>
      </c>
      <c r="B4" s="829">
        <f t="shared" si="1"/>
        <v>2</v>
      </c>
      <c r="C4" s="829">
        <f>IFERROR(VLOOKUP($A4,'Playoff Stats Pivot'!$A:$AE,2,0),"")</f>
        <v>0</v>
      </c>
      <c r="D4" s="829">
        <f>IFERROR(VLOOKUP($A4,'Playoff Stats Pivot'!$A:$AE,3,0),"")</f>
        <v>2</v>
      </c>
      <c r="E4" s="829">
        <f>IFERROR(VLOOKUP($A4,'Playoff Stats Pivot'!$A:$AE,4,0),"")</f>
        <v>1</v>
      </c>
      <c r="F4" s="829">
        <f>IFERROR(VLOOKUP($A4,'Playoff Stats Pivot'!$A:$AE,5,0),"")</f>
        <v>6</v>
      </c>
      <c r="G4" s="829">
        <f>IFERROR(VLOOKUP($A4,'Playoff Stats Pivot'!$A:$AE,6,0),"")</f>
        <v>48</v>
      </c>
      <c r="H4" s="829">
        <f>IFERROR(VLOOKUP($A4,'Playoff Stats Pivot'!$A:$AE,7,0),"")</f>
        <v>91</v>
      </c>
      <c r="I4" s="829">
        <f>IFERROR(VLOOKUP($A4,'Playoff Stats Pivot'!$A:$AE,8,0),"")</f>
        <v>-43</v>
      </c>
      <c r="J4" s="830">
        <f t="shared" si="2"/>
        <v>0.5274725275</v>
      </c>
      <c r="K4" s="829">
        <f>IFERROR(VLOOKUP($A4,'Playoff Stats Pivot'!$A:$AE,9,0),"")</f>
        <v>0</v>
      </c>
      <c r="L4" s="829">
        <f>IFERROR(VLOOKUP($A4,'Playoff Stats Pivot'!$A:$AE,10,0),"")</f>
        <v>1611</v>
      </c>
      <c r="M4" s="830">
        <f t="shared" si="3"/>
        <v>13.7032967</v>
      </c>
      <c r="N4" s="829">
        <f>IFERROR(VLOOKUP($A4,'Playoff Stats Pivot'!$A:$AE,11,0),"")</f>
        <v>0</v>
      </c>
      <c r="O4" s="829">
        <f>IFERROR(VLOOKUP($A4,'Playoff Stats Pivot'!$A:$AE,12,0),"")</f>
        <v>0</v>
      </c>
      <c r="P4" s="829">
        <f>IFERROR(VLOOKUP($A4,'Playoff Stats Pivot'!$A:$AE,13,0),"")</f>
        <v>0</v>
      </c>
      <c r="Q4" s="829">
        <f>IFERROR(VLOOKUP($A4,'Playoff Stats Pivot'!$A:$AE,14,0),"")</f>
        <v>0</v>
      </c>
      <c r="R4" s="829">
        <f>IFERROR(VLOOKUP($A4,'Playoff Stats Pivot'!$A:$AE,15,0),"")</f>
        <v>1</v>
      </c>
      <c r="S4" s="829">
        <f>IFERROR(VLOOKUP($A4,'Playoff Stats Pivot'!$A:$AE,16,0),"")</f>
        <v>9</v>
      </c>
      <c r="T4" s="829">
        <f>IFERROR(VLOOKUP($A4,'Playoff Stats Pivot'!$A:$AE,17,0),"")</f>
        <v>0</v>
      </c>
      <c r="U4" s="829">
        <f>IFERROR(VLOOKUP($A4,'Playoff Stats Pivot'!$A:$AE,18,0),"")</f>
        <v>0</v>
      </c>
      <c r="V4" s="829">
        <f>IFERROR(VLOOKUP($A4,'Playoff Stats Pivot'!$A:$AE,19,0),"")</f>
        <v>0</v>
      </c>
      <c r="W4" s="829">
        <f>IFERROR(VLOOKUP($A4,'Playoff Stats Pivot'!$A:$AE,20,0),"")</f>
        <v>0</v>
      </c>
      <c r="X4" s="829">
        <f>IFERROR(VLOOKUP($A4,'Playoff Stats Pivot'!$A:$AE,21,0),"")</f>
        <v>0</v>
      </c>
      <c r="Y4" s="829">
        <f>IFERROR(VLOOKUP($A4,'Playoff Stats Pivot'!$A:$AE,22,0),"")</f>
        <v>0</v>
      </c>
      <c r="Z4" s="829">
        <f>IFERROR(VLOOKUP($A4,'Playoff Stats Pivot'!$A:$AE,23,0),"")</f>
        <v>0</v>
      </c>
      <c r="AA4" s="829">
        <f>IFERROR(VLOOKUP($A4,'Playoff Stats Pivot'!$A:$AE,24,0),"")</f>
        <v>0</v>
      </c>
      <c r="AB4" s="829">
        <f>IFERROR(VLOOKUP($A4,'Playoff Stats Pivot'!$A:$AE,25,0),"")</f>
        <v>0</v>
      </c>
      <c r="AC4" s="829">
        <f>IFERROR(VLOOKUP($A4,'Playoff Stats Pivot'!$A:$AE,26,0),"")</f>
        <v>3</v>
      </c>
      <c r="AD4" s="829">
        <f>IFERROR(VLOOKUP($A4,'Playoff Stats Pivot'!$A:$AE,27,0),"")</f>
        <v>0</v>
      </c>
      <c r="AE4" s="829">
        <f>IFERROR(VLOOKUP($A4,'Playoff Stats Pivot'!$A:$AE,28,0),"")</f>
        <v>0</v>
      </c>
      <c r="AF4" s="829">
        <f>IFERROR(VLOOKUP($A4,'Playoff Stats Pivot'!$A:$AE,29,0),"")</f>
        <v>0</v>
      </c>
      <c r="AG4" s="829">
        <f>IFERROR(VLOOKUP($A4,'Playoff Stats Pivot'!$A:$AE,30,0),"")</f>
        <v>2</v>
      </c>
      <c r="AH4" s="829">
        <f>IFERROR(VLOOKUP($A4,'Playoff Stats Pivot'!$A:$AE,31,0),"")</f>
        <v>0</v>
      </c>
      <c r="AI4" s="833">
        <f t="shared" si="4"/>
        <v>5.176908752</v>
      </c>
      <c r="AJ4" s="833">
        <f t="shared" si="5"/>
        <v>0.04320297952</v>
      </c>
      <c r="AK4" s="833">
        <f t="shared" si="6"/>
        <v>0</v>
      </c>
      <c r="AL4" s="833" t="str">
        <f t="shared" si="7"/>
        <v/>
      </c>
      <c r="AM4" s="833">
        <f t="shared" si="8"/>
        <v>0.5</v>
      </c>
      <c r="AN4" s="833">
        <f t="shared" si="9"/>
        <v>0.1875</v>
      </c>
      <c r="AO4" s="833">
        <f t="shared" si="10"/>
        <v>0.003724394786</v>
      </c>
      <c r="AP4" s="833">
        <f t="shared" si="11"/>
        <v>-1.601489758</v>
      </c>
      <c r="AQ4" s="833" t="s">
        <v>171</v>
      </c>
      <c r="AR4" s="834" t="s">
        <v>340</v>
      </c>
    </row>
    <row r="5">
      <c r="A5" s="837" t="s">
        <v>52</v>
      </c>
      <c r="B5" s="829">
        <f t="shared" si="1"/>
        <v>2</v>
      </c>
      <c r="C5" s="829">
        <f>IFERROR(VLOOKUP($A5,'Playoff Stats Pivot'!$A:$AE,2,0),"")</f>
        <v>0</v>
      </c>
      <c r="D5" s="829">
        <f>IFERROR(VLOOKUP($A5,'Playoff Stats Pivot'!$A:$AE,3,0),"")</f>
        <v>2</v>
      </c>
      <c r="E5" s="829">
        <f>IFERROR(VLOOKUP($A5,'Playoff Stats Pivot'!$A:$AE,4,0),"")</f>
        <v>4</v>
      </c>
      <c r="F5" s="829">
        <f>IFERROR(VLOOKUP($A5,'Playoff Stats Pivot'!$A:$AE,5,0),"")</f>
        <v>33</v>
      </c>
      <c r="G5" s="829">
        <f>IFERROR(VLOOKUP($A5,'Playoff Stats Pivot'!$A:$AE,6,0),"")</f>
        <v>151</v>
      </c>
      <c r="H5" s="829">
        <f>IFERROR(VLOOKUP($A5,'Playoff Stats Pivot'!$A:$AE,7,0),"")</f>
        <v>154</v>
      </c>
      <c r="I5" s="829">
        <f>IFERROR(VLOOKUP($A5,'Playoff Stats Pivot'!$A:$AE,8,0),"")</f>
        <v>-3</v>
      </c>
      <c r="J5" s="830">
        <f t="shared" si="2"/>
        <v>0.9805194805</v>
      </c>
      <c r="K5" s="829">
        <f>IFERROR(VLOOKUP($A5,'Playoff Stats Pivot'!$A:$AE,9,0),"")</f>
        <v>0</v>
      </c>
      <c r="L5" s="829">
        <f>IFERROR(VLOOKUP($A5,'Playoff Stats Pivot'!$A:$AE,10,0),"")</f>
        <v>3229</v>
      </c>
      <c r="M5" s="830">
        <f t="shared" si="3"/>
        <v>16.96753247</v>
      </c>
      <c r="N5" s="829">
        <f>IFERROR(VLOOKUP($A5,'Playoff Stats Pivot'!$A:$AE,11,0),"")</f>
        <v>3</v>
      </c>
      <c r="O5" s="829">
        <f>IFERROR(VLOOKUP($A5,'Playoff Stats Pivot'!$A:$AE,12,0),"")</f>
        <v>0</v>
      </c>
      <c r="P5" s="829">
        <f>IFERROR(VLOOKUP($A5,'Playoff Stats Pivot'!$A:$AE,13,0),"")</f>
        <v>0</v>
      </c>
      <c r="Q5" s="829">
        <f>IFERROR(VLOOKUP($A5,'Playoff Stats Pivot'!$A:$AE,14,0),"")</f>
        <v>0</v>
      </c>
      <c r="R5" s="829">
        <f>IFERROR(VLOOKUP($A5,'Playoff Stats Pivot'!$A:$AE,15,0),"")</f>
        <v>0</v>
      </c>
      <c r="S5" s="829">
        <f>IFERROR(VLOOKUP($A5,'Playoff Stats Pivot'!$A:$AE,16,0),"")</f>
        <v>21</v>
      </c>
      <c r="T5" s="829">
        <f>IFERROR(VLOOKUP($A5,'Playoff Stats Pivot'!$A:$AE,17,0),"")</f>
        <v>9</v>
      </c>
      <c r="U5" s="829">
        <f>IFERROR(VLOOKUP($A5,'Playoff Stats Pivot'!$A:$AE,18,0),"")</f>
        <v>6</v>
      </c>
      <c r="V5" s="829">
        <f>IFERROR(VLOOKUP($A5,'Playoff Stats Pivot'!$A:$AE,19,0),"")</f>
        <v>1</v>
      </c>
      <c r="W5" s="829">
        <f>IFERROR(VLOOKUP($A5,'Playoff Stats Pivot'!$A:$AE,20,0),"")</f>
        <v>0</v>
      </c>
      <c r="X5" s="829">
        <f>IFERROR(VLOOKUP($A5,'Playoff Stats Pivot'!$A:$AE,21,0),"")</f>
        <v>0</v>
      </c>
      <c r="Y5" s="829">
        <f>IFERROR(VLOOKUP($A5,'Playoff Stats Pivot'!$A:$AE,22,0),"")</f>
        <v>0</v>
      </c>
      <c r="Z5" s="829">
        <f>IFERROR(VLOOKUP($A5,'Playoff Stats Pivot'!$A:$AE,23,0),"")</f>
        <v>0</v>
      </c>
      <c r="AA5" s="829">
        <f>IFERROR(VLOOKUP($A5,'Playoff Stats Pivot'!$A:$AE,24,0),"")</f>
        <v>0</v>
      </c>
      <c r="AB5" s="829">
        <f>IFERROR(VLOOKUP($A5,'Playoff Stats Pivot'!$A:$AE,25,0),"")</f>
        <v>1</v>
      </c>
      <c r="AC5" s="829">
        <f>IFERROR(VLOOKUP($A5,'Playoff Stats Pivot'!$A:$AE,26,0),"")</f>
        <v>15</v>
      </c>
      <c r="AD5" s="829">
        <f>IFERROR(VLOOKUP($A5,'Playoff Stats Pivot'!$A:$AE,27,0),"")</f>
        <v>0</v>
      </c>
      <c r="AE5" s="829">
        <f>IFERROR(VLOOKUP($A5,'Playoff Stats Pivot'!$A:$AE,28,0),"")</f>
        <v>0</v>
      </c>
      <c r="AF5" s="829">
        <f>IFERROR(VLOOKUP($A5,'Playoff Stats Pivot'!$A:$AE,29,0),"")</f>
        <v>0</v>
      </c>
      <c r="AG5" s="829">
        <f>IFERROR(VLOOKUP($A5,'Playoff Stats Pivot'!$A:$AE,30,0),"")</f>
        <v>4</v>
      </c>
      <c r="AH5" s="829">
        <f>IFERROR(VLOOKUP($A5,'Playoff Stats Pivot'!$A:$AE,31,0),"")</f>
        <v>1</v>
      </c>
      <c r="AI5" s="833">
        <f t="shared" si="4"/>
        <v>5.667389285</v>
      </c>
      <c r="AJ5" s="833">
        <f t="shared" si="5"/>
        <v>0.09736760607</v>
      </c>
      <c r="AK5" s="833">
        <f t="shared" si="6"/>
        <v>0.05574481264</v>
      </c>
      <c r="AL5" s="833" t="str">
        <f t="shared" si="7"/>
        <v/>
      </c>
      <c r="AM5" s="833">
        <f t="shared" si="8"/>
        <v>2</v>
      </c>
      <c r="AN5" s="833">
        <f t="shared" si="9"/>
        <v>0.2450331126</v>
      </c>
      <c r="AO5" s="833">
        <f t="shared" si="10"/>
        <v>0.01021988232</v>
      </c>
      <c r="AP5" s="833">
        <f t="shared" si="11"/>
        <v>-0.05574481264</v>
      </c>
      <c r="AQ5" s="833" t="s">
        <v>171</v>
      </c>
      <c r="AR5" s="834" t="s">
        <v>341</v>
      </c>
    </row>
    <row r="6">
      <c r="A6" s="838" t="s">
        <v>174</v>
      </c>
      <c r="B6" s="829">
        <f t="shared" si="1"/>
        <v>4</v>
      </c>
      <c r="C6" s="829">
        <f>IFERROR(VLOOKUP($A6,'Playoff Stats Pivot'!$A:$AE,2,0),"")</f>
        <v>2</v>
      </c>
      <c r="D6" s="829">
        <f>IFERROR(VLOOKUP($A6,'Playoff Stats Pivot'!$A:$AE,3,0),"")</f>
        <v>2</v>
      </c>
      <c r="E6" s="829">
        <f>IFERROR(VLOOKUP($A6,'Playoff Stats Pivot'!$A:$AE,4,0),"")</f>
        <v>6</v>
      </c>
      <c r="F6" s="829">
        <f>IFERROR(VLOOKUP($A6,'Playoff Stats Pivot'!$A:$AE,5,0),"")</f>
        <v>33</v>
      </c>
      <c r="G6" s="829">
        <f>IFERROR(VLOOKUP($A6,'Playoff Stats Pivot'!$A:$AE,6,0),"")</f>
        <v>225</v>
      </c>
      <c r="H6" s="829">
        <f>IFERROR(VLOOKUP($A6,'Playoff Stats Pivot'!$A:$AE,7,0),"")</f>
        <v>262</v>
      </c>
      <c r="I6" s="829">
        <f>IFERROR(VLOOKUP($A6,'Playoff Stats Pivot'!$A:$AE,8,0),"")</f>
        <v>-37</v>
      </c>
      <c r="J6" s="830">
        <f t="shared" si="2"/>
        <v>0.858778626</v>
      </c>
      <c r="K6" s="829">
        <f>IFERROR(VLOOKUP($A6,'Playoff Stats Pivot'!$A:$AE,9,0),"")</f>
        <v>1</v>
      </c>
      <c r="L6" s="829">
        <f>IFERROR(VLOOKUP($A6,'Playoff Stats Pivot'!$A:$AE,10,0),"")</f>
        <v>5297</v>
      </c>
      <c r="M6" s="830">
        <f t="shared" si="3"/>
        <v>16.21755725</v>
      </c>
      <c r="N6" s="829">
        <f>IFERROR(VLOOKUP($A6,'Playoff Stats Pivot'!$A:$AE,11,0),"")</f>
        <v>6</v>
      </c>
      <c r="O6" s="829">
        <f>IFERROR(VLOOKUP($A6,'Playoff Stats Pivot'!$A:$AE,12,0),"")</f>
        <v>0</v>
      </c>
      <c r="P6" s="829">
        <f>IFERROR(VLOOKUP($A6,'Playoff Stats Pivot'!$A:$AE,13,0),"")</f>
        <v>0</v>
      </c>
      <c r="Q6" s="829">
        <f>IFERROR(VLOOKUP($A6,'Playoff Stats Pivot'!$A:$AE,14,0),"")</f>
        <v>0</v>
      </c>
      <c r="R6" s="829">
        <f>IFERROR(VLOOKUP($A6,'Playoff Stats Pivot'!$A:$AE,15,0),"")</f>
        <v>1</v>
      </c>
      <c r="S6" s="829">
        <f>IFERROR(VLOOKUP($A6,'Playoff Stats Pivot'!$A:$AE,16,0),"")</f>
        <v>26</v>
      </c>
      <c r="T6" s="829">
        <f>IFERROR(VLOOKUP($A6,'Playoff Stats Pivot'!$A:$AE,17,0),"")</f>
        <v>6</v>
      </c>
      <c r="U6" s="829">
        <f>IFERROR(VLOOKUP($A6,'Playoff Stats Pivot'!$A:$AE,18,0),"")</f>
        <v>4</v>
      </c>
      <c r="V6" s="829">
        <f>IFERROR(VLOOKUP($A6,'Playoff Stats Pivot'!$A:$AE,19,0),"")</f>
        <v>1</v>
      </c>
      <c r="W6" s="829">
        <f>IFERROR(VLOOKUP($A6,'Playoff Stats Pivot'!$A:$AE,20,0),"")</f>
        <v>0</v>
      </c>
      <c r="X6" s="829">
        <f>IFERROR(VLOOKUP($A6,'Playoff Stats Pivot'!$A:$AE,21,0),"")</f>
        <v>0</v>
      </c>
      <c r="Y6" s="829">
        <f>IFERROR(VLOOKUP($A6,'Playoff Stats Pivot'!$A:$AE,22,0),"")</f>
        <v>0</v>
      </c>
      <c r="Z6" s="829">
        <f>IFERROR(VLOOKUP($A6,'Playoff Stats Pivot'!$A:$AE,23,0),"")</f>
        <v>0</v>
      </c>
      <c r="AA6" s="829">
        <f>IFERROR(VLOOKUP($A6,'Playoff Stats Pivot'!$A:$AE,24,0),"")</f>
        <v>0</v>
      </c>
      <c r="AB6" s="829">
        <f>IFERROR(VLOOKUP($A6,'Playoff Stats Pivot'!$A:$AE,25,0),"")</f>
        <v>0</v>
      </c>
      <c r="AC6" s="829">
        <f>IFERROR(VLOOKUP($A6,'Playoff Stats Pivot'!$A:$AE,26,0),"")</f>
        <v>38</v>
      </c>
      <c r="AD6" s="829">
        <f>IFERROR(VLOOKUP($A6,'Playoff Stats Pivot'!$A:$AE,27,0),"")</f>
        <v>0</v>
      </c>
      <c r="AE6" s="829">
        <f>IFERROR(VLOOKUP($A6,'Playoff Stats Pivot'!$A:$AE,28,0),"")</f>
        <v>0</v>
      </c>
      <c r="AF6" s="829">
        <f>IFERROR(VLOOKUP($A6,'Playoff Stats Pivot'!$A:$AE,29,0),"")</f>
        <v>0</v>
      </c>
      <c r="AG6" s="829">
        <f>IFERROR(VLOOKUP($A6,'Playoff Stats Pivot'!$A:$AE,30,0),"")</f>
        <v>3</v>
      </c>
      <c r="AH6" s="829">
        <f>IFERROR(VLOOKUP($A6,'Playoff Stats Pivot'!$A:$AE,31,0),"")</f>
        <v>4</v>
      </c>
      <c r="AI6" s="833">
        <f t="shared" si="4"/>
        <v>5.527657164</v>
      </c>
      <c r="AJ6" s="833">
        <f t="shared" si="5"/>
        <v>0.1114593166</v>
      </c>
      <c r="AK6" s="833">
        <f t="shared" si="6"/>
        <v>0.06796299792</v>
      </c>
      <c r="AL6" s="833">
        <f t="shared" si="7"/>
        <v>0.6792901642</v>
      </c>
      <c r="AM6" s="833">
        <f t="shared" si="8"/>
        <v>1.5</v>
      </c>
      <c r="AN6" s="833">
        <f t="shared" si="9"/>
        <v>0.1644444444</v>
      </c>
      <c r="AO6" s="833">
        <f t="shared" si="10"/>
        <v>0.006229941476</v>
      </c>
      <c r="AP6" s="833">
        <f t="shared" si="11"/>
        <v>-0.4077779875</v>
      </c>
      <c r="AQ6" s="833" t="s">
        <v>338</v>
      </c>
      <c r="AR6" s="834" t="s">
        <v>342</v>
      </c>
    </row>
    <row r="7">
      <c r="A7" s="853" t="s">
        <v>380</v>
      </c>
      <c r="B7" s="829">
        <f t="shared" si="1"/>
        <v>7</v>
      </c>
      <c r="C7" s="829">
        <f>IFERROR(VLOOKUP($A7,'Playoff Stats Pivot'!$A:$AE,2,0),"")</f>
        <v>4</v>
      </c>
      <c r="D7" s="829">
        <f>IFERROR(VLOOKUP($A7,'Playoff Stats Pivot'!$A:$AE,3,0),"")</f>
        <v>3</v>
      </c>
      <c r="E7" s="829">
        <f>IFERROR(VLOOKUP($A7,'Playoff Stats Pivot'!$A:$AE,4,0),"")</f>
        <v>10</v>
      </c>
      <c r="F7" s="829">
        <f>IFERROR(VLOOKUP($A7,'Playoff Stats Pivot'!$A:$AE,5,0),"")</f>
        <v>36</v>
      </c>
      <c r="G7" s="829">
        <f>IFERROR(VLOOKUP($A7,'Playoff Stats Pivot'!$A:$AE,6,0),"")</f>
        <v>218</v>
      </c>
      <c r="H7" s="829">
        <f>IFERROR(VLOOKUP($A7,'Playoff Stats Pivot'!$A:$AE,7,0),"")</f>
        <v>311</v>
      </c>
      <c r="I7" s="829">
        <f>IFERROR(VLOOKUP($A7,'Playoff Stats Pivot'!$A:$AE,8,0),"")</f>
        <v>-93</v>
      </c>
      <c r="J7" s="830">
        <f t="shared" si="2"/>
        <v>0.7009646302</v>
      </c>
      <c r="K7" s="829">
        <f>IFERROR(VLOOKUP($A7,'Playoff Stats Pivot'!$A:$AE,9,0),"")</f>
        <v>6</v>
      </c>
      <c r="L7" s="829">
        <f>IFERROR(VLOOKUP($A7,'Playoff Stats Pivot'!$A:$AE,10,0),"")</f>
        <v>7003</v>
      </c>
      <c r="M7" s="830">
        <f t="shared" si="3"/>
        <v>18.51768489</v>
      </c>
      <c r="N7" s="829">
        <f>IFERROR(VLOOKUP($A7,'Playoff Stats Pivot'!$A:$AE,11,0),"")</f>
        <v>1</v>
      </c>
      <c r="O7" s="829">
        <f>IFERROR(VLOOKUP($A7,'Playoff Stats Pivot'!$A:$AE,12,0),"")</f>
        <v>0</v>
      </c>
      <c r="P7" s="829">
        <f>IFERROR(VLOOKUP($A7,'Playoff Stats Pivot'!$A:$AE,13,0),"")</f>
        <v>0</v>
      </c>
      <c r="Q7" s="829">
        <f>IFERROR(VLOOKUP($A7,'Playoff Stats Pivot'!$A:$AE,14,0),"")</f>
        <v>0</v>
      </c>
      <c r="R7" s="829">
        <f>IFERROR(VLOOKUP($A7,'Playoff Stats Pivot'!$A:$AE,15,0),"")</f>
        <v>1</v>
      </c>
      <c r="S7" s="829">
        <f>IFERROR(VLOOKUP($A7,'Playoff Stats Pivot'!$A:$AE,16,0),"")</f>
        <v>25</v>
      </c>
      <c r="T7" s="829">
        <f>IFERROR(VLOOKUP($A7,'Playoff Stats Pivot'!$A:$AE,17,0),"")</f>
        <v>5</v>
      </c>
      <c r="U7" s="829">
        <f>IFERROR(VLOOKUP($A7,'Playoff Stats Pivot'!$A:$AE,18,0),"")</f>
        <v>0</v>
      </c>
      <c r="V7" s="829">
        <f>IFERROR(VLOOKUP($A7,'Playoff Stats Pivot'!$A:$AE,19,0),"")</f>
        <v>0</v>
      </c>
      <c r="W7" s="829">
        <f>IFERROR(VLOOKUP($A7,'Playoff Stats Pivot'!$A:$AE,20,0),"")</f>
        <v>0</v>
      </c>
      <c r="X7" s="829">
        <f>IFERROR(VLOOKUP($A7,'Playoff Stats Pivot'!$A:$AE,21,0),"")</f>
        <v>0</v>
      </c>
      <c r="Y7" s="829">
        <f>IFERROR(VLOOKUP($A7,'Playoff Stats Pivot'!$A:$AE,22,0),"")</f>
        <v>0</v>
      </c>
      <c r="Z7" s="829">
        <f>IFERROR(VLOOKUP($A7,'Playoff Stats Pivot'!$A:$AE,23,0),"")</f>
        <v>0</v>
      </c>
      <c r="AA7" s="829">
        <f>IFERROR(VLOOKUP($A7,'Playoff Stats Pivot'!$A:$AE,24,0),"")</f>
        <v>0</v>
      </c>
      <c r="AB7" s="829">
        <f>IFERROR(VLOOKUP($A7,'Playoff Stats Pivot'!$A:$AE,25,0),"")</f>
        <v>0</v>
      </c>
      <c r="AC7" s="829">
        <f>IFERROR(VLOOKUP($A7,'Playoff Stats Pivot'!$A:$AE,26,0),"")</f>
        <v>34</v>
      </c>
      <c r="AD7" s="829">
        <f>IFERROR(VLOOKUP($A7,'Playoff Stats Pivot'!$A:$AE,27,0),"")</f>
        <v>0</v>
      </c>
      <c r="AE7" s="829">
        <f>IFERROR(VLOOKUP($A7,'Playoff Stats Pivot'!$A:$AE,28,0),"")</f>
        <v>1</v>
      </c>
      <c r="AF7" s="829">
        <f>IFERROR(VLOOKUP($A7,'Playoff Stats Pivot'!$A:$AE,29,0),"")</f>
        <v>0</v>
      </c>
      <c r="AG7" s="829">
        <f>IFERROR(VLOOKUP($A7,'Playoff Stats Pivot'!$A:$AE,30,0),"")</f>
        <v>4</v>
      </c>
      <c r="AH7" s="829">
        <f>IFERROR(VLOOKUP($A7,'Playoff Stats Pivot'!$A:$AE,31,0),"")</f>
        <v>0</v>
      </c>
      <c r="AI7" s="833">
        <f t="shared" si="4"/>
        <v>4.583749822</v>
      </c>
      <c r="AJ7" s="833">
        <f t="shared" si="5"/>
        <v>0.1041839212</v>
      </c>
      <c r="AK7" s="833">
        <f t="shared" si="6"/>
        <v>0.008567756676</v>
      </c>
      <c r="AL7" s="833">
        <f t="shared" si="7"/>
        <v>-0.02263315722</v>
      </c>
      <c r="AM7" s="833">
        <f t="shared" si="8"/>
        <v>1.428571429</v>
      </c>
      <c r="AN7" s="833">
        <f t="shared" si="9"/>
        <v>0.1376146789</v>
      </c>
      <c r="AO7" s="833">
        <f t="shared" si="10"/>
        <v>0.005140654005</v>
      </c>
      <c r="AP7" s="833">
        <f t="shared" si="11"/>
        <v>-0.7453948308</v>
      </c>
      <c r="AQ7" s="833" t="s">
        <v>338</v>
      </c>
      <c r="AR7" s="834" t="s">
        <v>344</v>
      </c>
    </row>
    <row r="8">
      <c r="A8" s="837" t="s">
        <v>41</v>
      </c>
      <c r="B8" s="829">
        <f t="shared" si="1"/>
        <v>7</v>
      </c>
      <c r="C8" s="829">
        <f>IFERROR(VLOOKUP($A8,'Playoff Stats Pivot'!$A:$AE,2,0),"")</f>
        <v>4</v>
      </c>
      <c r="D8" s="829">
        <f>IFERROR(VLOOKUP($A8,'Playoff Stats Pivot'!$A:$AE,3,0),"")</f>
        <v>3</v>
      </c>
      <c r="E8" s="829">
        <f>IFERROR(VLOOKUP($A8,'Playoff Stats Pivot'!$A:$AE,4,0),"")</f>
        <v>1</v>
      </c>
      <c r="F8" s="829">
        <f>IFERROR(VLOOKUP($A8,'Playoff Stats Pivot'!$A:$AE,5,0),"")</f>
        <v>2</v>
      </c>
      <c r="G8" s="829">
        <f>IFERROR(VLOOKUP($A8,'Playoff Stats Pivot'!$A:$AE,6,0),"")</f>
        <v>286</v>
      </c>
      <c r="H8" s="829">
        <f>IFERROR(VLOOKUP($A8,'Playoff Stats Pivot'!$A:$AE,7,0),"")</f>
        <v>332</v>
      </c>
      <c r="I8" s="829">
        <f>IFERROR(VLOOKUP($A8,'Playoff Stats Pivot'!$A:$AE,8,0),"")</f>
        <v>-46</v>
      </c>
      <c r="J8" s="830">
        <f t="shared" si="2"/>
        <v>0.8614457831</v>
      </c>
      <c r="K8" s="829">
        <f>IFERROR(VLOOKUP($A8,'Playoff Stats Pivot'!$A:$AE,9,0),"")</f>
        <v>0</v>
      </c>
      <c r="L8" s="829">
        <f>IFERROR(VLOOKUP($A8,'Playoff Stats Pivot'!$A:$AE,10,0),"")</f>
        <v>7003</v>
      </c>
      <c r="M8" s="830">
        <f t="shared" si="3"/>
        <v>17.09337349</v>
      </c>
      <c r="N8" s="829">
        <f>IFERROR(VLOOKUP($A8,'Playoff Stats Pivot'!$A:$AE,11,0),"")</f>
        <v>4</v>
      </c>
      <c r="O8" s="829">
        <f>IFERROR(VLOOKUP($A8,'Playoff Stats Pivot'!$A:$AE,12,0),"")</f>
        <v>0</v>
      </c>
      <c r="P8" s="829">
        <f>IFERROR(VLOOKUP($A8,'Playoff Stats Pivot'!$A:$AE,13,0),"")</f>
        <v>0</v>
      </c>
      <c r="Q8" s="829">
        <f>IFERROR(VLOOKUP($A8,'Playoff Stats Pivot'!$A:$AE,14,0),"")</f>
        <v>0</v>
      </c>
      <c r="R8" s="829">
        <f>IFERROR(VLOOKUP($A8,'Playoff Stats Pivot'!$A:$AE,15,0),"")</f>
        <v>6</v>
      </c>
      <c r="S8" s="829">
        <f>IFERROR(VLOOKUP($A8,'Playoff Stats Pivot'!$A:$AE,16,0),"")</f>
        <v>42</v>
      </c>
      <c r="T8" s="829">
        <f>IFERROR(VLOOKUP($A8,'Playoff Stats Pivot'!$A:$AE,17,0),"")</f>
        <v>8</v>
      </c>
      <c r="U8" s="829">
        <f>IFERROR(VLOOKUP($A8,'Playoff Stats Pivot'!$A:$AE,18,0),"")</f>
        <v>2</v>
      </c>
      <c r="V8" s="829">
        <f>IFERROR(VLOOKUP($A8,'Playoff Stats Pivot'!$A:$AE,19,0),"")</f>
        <v>1</v>
      </c>
      <c r="W8" s="829">
        <f>IFERROR(VLOOKUP($A8,'Playoff Stats Pivot'!$A:$AE,20,0),"")</f>
        <v>0</v>
      </c>
      <c r="X8" s="829">
        <f>IFERROR(VLOOKUP($A8,'Playoff Stats Pivot'!$A:$AE,21,0),"")</f>
        <v>0</v>
      </c>
      <c r="Y8" s="829">
        <f>IFERROR(VLOOKUP($A8,'Playoff Stats Pivot'!$A:$AE,22,0),"")</f>
        <v>0</v>
      </c>
      <c r="Z8" s="829">
        <f>IFERROR(VLOOKUP($A8,'Playoff Stats Pivot'!$A:$AE,23,0),"")</f>
        <v>0</v>
      </c>
      <c r="AA8" s="829">
        <f>IFERROR(VLOOKUP($A8,'Playoff Stats Pivot'!$A:$AE,24,0),"")</f>
        <v>0</v>
      </c>
      <c r="AB8" s="829">
        <f>IFERROR(VLOOKUP($A8,'Playoff Stats Pivot'!$A:$AE,25,0),"")</f>
        <v>0</v>
      </c>
      <c r="AC8" s="829">
        <f>IFERROR(VLOOKUP($A8,'Playoff Stats Pivot'!$A:$AE,26,0),"")</f>
        <v>41</v>
      </c>
      <c r="AD8" s="829">
        <f>IFERROR(VLOOKUP($A8,'Playoff Stats Pivot'!$A:$AE,27,0),"")</f>
        <v>0</v>
      </c>
      <c r="AE8" s="829">
        <f>IFERROR(VLOOKUP($A8,'Playoff Stats Pivot'!$A:$AE,28,0),"")</f>
        <v>0</v>
      </c>
      <c r="AF8" s="829">
        <f>IFERROR(VLOOKUP($A8,'Playoff Stats Pivot'!$A:$AE,29,0),"")</f>
        <v>0</v>
      </c>
      <c r="AG8" s="829">
        <f>IFERROR(VLOOKUP($A8,'Playoff Stats Pivot'!$A:$AE,30,0),"")</f>
        <v>2</v>
      </c>
      <c r="AH8" s="829">
        <f>IFERROR(VLOOKUP($A8,'Playoff Stats Pivot'!$A:$AE,31,0),"")</f>
        <v>3</v>
      </c>
      <c r="AI8" s="833">
        <f t="shared" si="4"/>
        <v>5.294873626</v>
      </c>
      <c r="AJ8" s="833">
        <f t="shared" si="5"/>
        <v>0.05174925032</v>
      </c>
      <c r="AK8" s="833">
        <f t="shared" si="6"/>
        <v>0.0342710267</v>
      </c>
      <c r="AL8" s="833">
        <f t="shared" si="7"/>
        <v>0.1956518635</v>
      </c>
      <c r="AM8" s="833">
        <f t="shared" si="8"/>
        <v>0.1428571429</v>
      </c>
      <c r="AN8" s="833">
        <f t="shared" si="9"/>
        <v>0.1853146853</v>
      </c>
      <c r="AO8" s="833">
        <f t="shared" si="10"/>
        <v>0.0002855918892</v>
      </c>
      <c r="AP8" s="833">
        <f t="shared" si="11"/>
        <v>-0.3941168071</v>
      </c>
      <c r="AQ8" s="833" t="s">
        <v>171</v>
      </c>
      <c r="AR8" s="834" t="s">
        <v>347</v>
      </c>
    </row>
    <row r="9">
      <c r="A9" s="838" t="s">
        <v>46</v>
      </c>
      <c r="B9" s="829">
        <f t="shared" si="1"/>
        <v>2</v>
      </c>
      <c r="C9" s="829">
        <f>IFERROR(VLOOKUP($A9,'Playoff Stats Pivot'!$A:$AE,2,0),"")</f>
        <v>0</v>
      </c>
      <c r="D9" s="829">
        <f>IFERROR(VLOOKUP($A9,'Playoff Stats Pivot'!$A:$AE,3,0),"")</f>
        <v>2</v>
      </c>
      <c r="E9" s="829">
        <f>IFERROR(VLOOKUP($A9,'Playoff Stats Pivot'!$A:$AE,4,0),"")</f>
        <v>0</v>
      </c>
      <c r="F9" s="829">
        <f>IFERROR(VLOOKUP($A9,'Playoff Stats Pivot'!$A:$AE,5,0),"")</f>
        <v>5</v>
      </c>
      <c r="G9" s="829">
        <f>IFERROR(VLOOKUP($A9,'Playoff Stats Pivot'!$A:$AE,6,0),"")</f>
        <v>68</v>
      </c>
      <c r="H9" s="829">
        <f>IFERROR(VLOOKUP($A9,'Playoff Stats Pivot'!$A:$AE,7,0),"")</f>
        <v>117</v>
      </c>
      <c r="I9" s="829">
        <f>IFERROR(VLOOKUP($A9,'Playoff Stats Pivot'!$A:$AE,8,0),"")</f>
        <v>-49</v>
      </c>
      <c r="J9" s="830">
        <f t="shared" si="2"/>
        <v>0.5811965812</v>
      </c>
      <c r="K9" s="829">
        <f>IFERROR(VLOOKUP($A9,'Playoff Stats Pivot'!$A:$AE,9,0),"")</f>
        <v>0</v>
      </c>
      <c r="L9" s="829">
        <f>IFERROR(VLOOKUP($A9,'Playoff Stats Pivot'!$A:$AE,10,0),"")</f>
        <v>1611</v>
      </c>
      <c r="M9" s="830">
        <f t="shared" si="3"/>
        <v>9.769230769</v>
      </c>
      <c r="N9" s="829">
        <f>IFERROR(VLOOKUP($A9,'Playoff Stats Pivot'!$A:$AE,11,0),"")</f>
        <v>1</v>
      </c>
      <c r="O9" s="829">
        <f>IFERROR(VLOOKUP($A9,'Playoff Stats Pivot'!$A:$AE,12,0),"")</f>
        <v>0</v>
      </c>
      <c r="P9" s="829">
        <f>IFERROR(VLOOKUP($A9,'Playoff Stats Pivot'!$A:$AE,13,0),"")</f>
        <v>0</v>
      </c>
      <c r="Q9" s="829">
        <f>IFERROR(VLOOKUP($A9,'Playoff Stats Pivot'!$A:$AE,14,0),"")</f>
        <v>0</v>
      </c>
      <c r="R9" s="829">
        <f>IFERROR(VLOOKUP($A9,'Playoff Stats Pivot'!$A:$AE,15,0),"")</f>
        <v>0</v>
      </c>
      <c r="S9" s="829">
        <f>IFERROR(VLOOKUP($A9,'Playoff Stats Pivot'!$A:$AE,16,0),"")</f>
        <v>11</v>
      </c>
      <c r="T9" s="829">
        <f>IFERROR(VLOOKUP($A9,'Playoff Stats Pivot'!$A:$AE,17,0),"")</f>
        <v>2</v>
      </c>
      <c r="U9" s="829">
        <f>IFERROR(VLOOKUP($A9,'Playoff Stats Pivot'!$A:$AE,18,0),"")</f>
        <v>0</v>
      </c>
      <c r="V9" s="829">
        <f>IFERROR(VLOOKUP($A9,'Playoff Stats Pivot'!$A:$AE,19,0),"")</f>
        <v>0</v>
      </c>
      <c r="W9" s="829">
        <f>IFERROR(VLOOKUP($A9,'Playoff Stats Pivot'!$A:$AE,20,0),"")</f>
        <v>0</v>
      </c>
      <c r="X9" s="829">
        <f>IFERROR(VLOOKUP($A9,'Playoff Stats Pivot'!$A:$AE,21,0),"")</f>
        <v>0</v>
      </c>
      <c r="Y9" s="829">
        <f>IFERROR(VLOOKUP($A9,'Playoff Stats Pivot'!$A:$AE,22,0),"")</f>
        <v>0</v>
      </c>
      <c r="Z9" s="829">
        <f>IFERROR(VLOOKUP($A9,'Playoff Stats Pivot'!$A:$AE,23,0),"")</f>
        <v>0</v>
      </c>
      <c r="AA9" s="829">
        <f>IFERROR(VLOOKUP($A9,'Playoff Stats Pivot'!$A:$AE,24,0),"")</f>
        <v>0</v>
      </c>
      <c r="AB9" s="829">
        <f>IFERROR(VLOOKUP($A9,'Playoff Stats Pivot'!$A:$AE,25,0),"")</f>
        <v>0</v>
      </c>
      <c r="AC9" s="829">
        <f>IFERROR(VLOOKUP($A9,'Playoff Stats Pivot'!$A:$AE,26,0),"")</f>
        <v>12</v>
      </c>
      <c r="AD9" s="829">
        <f>IFERROR(VLOOKUP($A9,'Playoff Stats Pivot'!$A:$AE,27,0),"")</f>
        <v>0</v>
      </c>
      <c r="AE9" s="829">
        <f>IFERROR(VLOOKUP($A9,'Playoff Stats Pivot'!$A:$AE,28,0),"")</f>
        <v>0</v>
      </c>
      <c r="AF9" s="829">
        <f>IFERROR(VLOOKUP($A9,'Playoff Stats Pivot'!$A:$AE,29,0),"")</f>
        <v>0</v>
      </c>
      <c r="AG9" s="829">
        <f>IFERROR(VLOOKUP($A9,'Playoff Stats Pivot'!$A:$AE,30,0),"")</f>
        <v>2</v>
      </c>
      <c r="AH9" s="829">
        <f>IFERROR(VLOOKUP($A9,'Playoff Stats Pivot'!$A:$AE,31,0),"")</f>
        <v>0</v>
      </c>
      <c r="AI9" s="833">
        <f t="shared" si="4"/>
        <v>6.890130354</v>
      </c>
      <c r="AJ9" s="833">
        <f t="shared" si="5"/>
        <v>0.05661080074</v>
      </c>
      <c r="AK9" s="833">
        <f t="shared" si="6"/>
        <v>0.03724394786</v>
      </c>
      <c r="AL9" s="833" t="str">
        <f t="shared" si="7"/>
        <v/>
      </c>
      <c r="AM9" s="833">
        <f t="shared" si="8"/>
        <v>0</v>
      </c>
      <c r="AN9" s="833">
        <f t="shared" si="9"/>
        <v>0.1911764706</v>
      </c>
      <c r="AO9" s="833">
        <f t="shared" si="10"/>
        <v>0.003103662322</v>
      </c>
      <c r="AP9" s="833">
        <f t="shared" si="11"/>
        <v>-1.824953445</v>
      </c>
      <c r="AQ9" s="833" t="s">
        <v>171</v>
      </c>
      <c r="AR9" s="834" t="s">
        <v>348</v>
      </c>
    </row>
    <row r="10">
      <c r="A10" s="837" t="s">
        <v>197</v>
      </c>
      <c r="B10" s="829">
        <f t="shared" si="1"/>
        <v>7</v>
      </c>
      <c r="C10" s="829">
        <f>IFERROR(VLOOKUP($A10,'Playoff Stats Pivot'!$A:$AE,2,0),"")</f>
        <v>7</v>
      </c>
      <c r="D10" s="829">
        <f>IFERROR(VLOOKUP($A10,'Playoff Stats Pivot'!$A:$AE,3,0),"")</f>
        <v>0</v>
      </c>
      <c r="E10" s="829">
        <f>IFERROR(VLOOKUP($A10,'Playoff Stats Pivot'!$A:$AE,4,0),"")</f>
        <v>3</v>
      </c>
      <c r="F10" s="829">
        <f>IFERROR(VLOOKUP($A10,'Playoff Stats Pivot'!$A:$AE,5,0),"")</f>
        <v>6</v>
      </c>
      <c r="G10" s="829">
        <f>IFERROR(VLOOKUP($A10,'Playoff Stats Pivot'!$A:$AE,6,0),"")</f>
        <v>421</v>
      </c>
      <c r="H10" s="829">
        <f>IFERROR(VLOOKUP($A10,'Playoff Stats Pivot'!$A:$AE,7,0),"")</f>
        <v>376</v>
      </c>
      <c r="I10" s="829">
        <f>IFERROR(VLOOKUP($A10,'Playoff Stats Pivot'!$A:$AE,8,0),"")</f>
        <v>45</v>
      </c>
      <c r="J10" s="830">
        <f t="shared" si="2"/>
        <v>1.119680851</v>
      </c>
      <c r="K10" s="829">
        <f>IFERROR(VLOOKUP($A10,'Playoff Stats Pivot'!$A:$AE,9,0),"")</f>
        <v>0</v>
      </c>
      <c r="L10" s="829">
        <f>IFERROR(VLOOKUP($A10,'Playoff Stats Pivot'!$A:$AE,10,0),"")</f>
        <v>6685</v>
      </c>
      <c r="M10" s="830">
        <f t="shared" si="3"/>
        <v>13.77925532</v>
      </c>
      <c r="N10" s="829">
        <f>IFERROR(VLOOKUP($A10,'Playoff Stats Pivot'!$A:$AE,11,0),"")</f>
        <v>7</v>
      </c>
      <c r="O10" s="829">
        <f>IFERROR(VLOOKUP($A10,'Playoff Stats Pivot'!$A:$AE,12,0),"")</f>
        <v>0</v>
      </c>
      <c r="P10" s="829">
        <f>IFERROR(VLOOKUP($A10,'Playoff Stats Pivot'!$A:$AE,13,0),"")</f>
        <v>0</v>
      </c>
      <c r="Q10" s="829">
        <f>IFERROR(VLOOKUP($A10,'Playoff Stats Pivot'!$A:$AE,14,0),"")</f>
        <v>0</v>
      </c>
      <c r="R10" s="829">
        <f>IFERROR(VLOOKUP($A10,'Playoff Stats Pivot'!$A:$AE,15,0),"")</f>
        <v>7</v>
      </c>
      <c r="S10" s="829">
        <f>IFERROR(VLOOKUP($A10,'Playoff Stats Pivot'!$A:$AE,16,0),"")</f>
        <v>71</v>
      </c>
      <c r="T10" s="829">
        <f>IFERROR(VLOOKUP($A10,'Playoff Stats Pivot'!$A:$AE,17,0),"")</f>
        <v>25</v>
      </c>
      <c r="U10" s="829">
        <f>IFERROR(VLOOKUP($A10,'Playoff Stats Pivot'!$A:$AE,18,0),"")</f>
        <v>8</v>
      </c>
      <c r="V10" s="829">
        <f>IFERROR(VLOOKUP($A10,'Playoff Stats Pivot'!$A:$AE,19,0),"")</f>
        <v>4</v>
      </c>
      <c r="W10" s="829">
        <f>IFERROR(VLOOKUP($A10,'Playoff Stats Pivot'!$A:$AE,20,0),"")</f>
        <v>2</v>
      </c>
      <c r="X10" s="829">
        <f>IFERROR(VLOOKUP($A10,'Playoff Stats Pivot'!$A:$AE,21,0),"")</f>
        <v>1</v>
      </c>
      <c r="Y10" s="829">
        <f>IFERROR(VLOOKUP($A10,'Playoff Stats Pivot'!$A:$AE,22,0),"")</f>
        <v>1</v>
      </c>
      <c r="Z10" s="829">
        <f>IFERROR(VLOOKUP($A10,'Playoff Stats Pivot'!$A:$AE,23,0),"")</f>
        <v>0</v>
      </c>
      <c r="AA10" s="829">
        <f>IFERROR(VLOOKUP($A10,'Playoff Stats Pivot'!$A:$AE,24,0),"")</f>
        <v>0</v>
      </c>
      <c r="AB10" s="829">
        <f>IFERROR(VLOOKUP($A10,'Playoff Stats Pivot'!$A:$AE,25,0),"")</f>
        <v>0</v>
      </c>
      <c r="AC10" s="829">
        <f>IFERROR(VLOOKUP($A10,'Playoff Stats Pivot'!$A:$AE,26,0),"")</f>
        <v>51</v>
      </c>
      <c r="AD10" s="829">
        <f>IFERROR(VLOOKUP($A10,'Playoff Stats Pivot'!$A:$AE,27,0),"")</f>
        <v>0</v>
      </c>
      <c r="AE10" s="829">
        <f>IFERROR(VLOOKUP($A10,'Playoff Stats Pivot'!$A:$AE,28,0),"")</f>
        <v>1</v>
      </c>
      <c r="AF10" s="829">
        <f>IFERROR(VLOOKUP($A10,'Playoff Stats Pivot'!$A:$AE,29,0),"")</f>
        <v>0</v>
      </c>
      <c r="AG10" s="829">
        <f>IFERROR(VLOOKUP($A10,'Playoff Stats Pivot'!$A:$AE,30,0),"")</f>
        <v>7</v>
      </c>
      <c r="AH10" s="829">
        <f>IFERROR(VLOOKUP($A10,'Playoff Stats Pivot'!$A:$AE,31,0),"")</f>
        <v>1</v>
      </c>
      <c r="AI10" s="833">
        <f t="shared" si="4"/>
        <v>7.153328347</v>
      </c>
      <c r="AJ10" s="833">
        <f t="shared" si="5"/>
        <v>0.08149588631</v>
      </c>
      <c r="AK10" s="833">
        <f t="shared" si="6"/>
        <v>0.06282722513</v>
      </c>
      <c r="AL10" s="833">
        <f t="shared" si="7"/>
        <v>1.620493642</v>
      </c>
      <c r="AM10" s="833">
        <f t="shared" si="8"/>
        <v>0.4285714286</v>
      </c>
      <c r="AN10" s="833">
        <f t="shared" si="9"/>
        <v>0.2660332542</v>
      </c>
      <c r="AO10" s="833">
        <f t="shared" si="10"/>
        <v>0.0008975317876</v>
      </c>
      <c r="AP10" s="833">
        <f t="shared" si="11"/>
        <v>0.4038893044</v>
      </c>
      <c r="AQ10" s="833" t="s">
        <v>336</v>
      </c>
      <c r="AR10" s="834" t="s">
        <v>349</v>
      </c>
    </row>
    <row r="11">
      <c r="A11" s="837" t="s">
        <v>80</v>
      </c>
      <c r="B11" s="829">
        <f t="shared" si="1"/>
        <v>4</v>
      </c>
      <c r="C11" s="829">
        <f>IFERROR(VLOOKUP($A11,'Playoff Stats Pivot'!$A:$AE,2,0),"")</f>
        <v>0</v>
      </c>
      <c r="D11" s="829">
        <f>IFERROR(VLOOKUP($A11,'Playoff Stats Pivot'!$A:$AE,3,0),"")</f>
        <v>4</v>
      </c>
      <c r="E11" s="829">
        <f>IFERROR(VLOOKUP($A11,'Playoff Stats Pivot'!$A:$AE,4,0),"")</f>
        <v>0</v>
      </c>
      <c r="F11" s="829">
        <f>IFERROR(VLOOKUP($A11,'Playoff Stats Pivot'!$A:$AE,5,0),"")</f>
        <v>1</v>
      </c>
      <c r="G11" s="829">
        <f>IFERROR(VLOOKUP($A11,'Playoff Stats Pivot'!$A:$AE,6,0),"")</f>
        <v>175</v>
      </c>
      <c r="H11" s="829">
        <f>IFERROR(VLOOKUP($A11,'Playoff Stats Pivot'!$A:$AE,7,0),"")</f>
        <v>265</v>
      </c>
      <c r="I11" s="829">
        <f>IFERROR(VLOOKUP($A11,'Playoff Stats Pivot'!$A:$AE,8,0),"")</f>
        <v>-90</v>
      </c>
      <c r="J11" s="830">
        <f t="shared" si="2"/>
        <v>0.6603773585</v>
      </c>
      <c r="K11" s="829">
        <f>IFERROR(VLOOKUP($A11,'Playoff Stats Pivot'!$A:$AE,9,0),"")</f>
        <v>0</v>
      </c>
      <c r="L11" s="829">
        <f>IFERROR(VLOOKUP($A11,'Playoff Stats Pivot'!$A:$AE,10,0),"")</f>
        <v>3537</v>
      </c>
      <c r="M11" s="830">
        <f t="shared" si="3"/>
        <v>9.347169811</v>
      </c>
      <c r="N11" s="829">
        <f>IFERROR(VLOOKUP($A11,'Playoff Stats Pivot'!$A:$AE,11,0),"")</f>
        <v>1</v>
      </c>
      <c r="O11" s="829">
        <f>IFERROR(VLOOKUP($A11,'Playoff Stats Pivot'!$A:$AE,12,0),"")</f>
        <v>0</v>
      </c>
      <c r="P11" s="829">
        <f>IFERROR(VLOOKUP($A11,'Playoff Stats Pivot'!$A:$AE,13,0),"")</f>
        <v>0</v>
      </c>
      <c r="Q11" s="829">
        <f>IFERROR(VLOOKUP($A11,'Playoff Stats Pivot'!$A:$AE,14,0),"")</f>
        <v>0</v>
      </c>
      <c r="R11" s="829">
        <f>IFERROR(VLOOKUP($A11,'Playoff Stats Pivot'!$A:$AE,15,0),"")</f>
        <v>3</v>
      </c>
      <c r="S11" s="829">
        <f>IFERROR(VLOOKUP($A11,'Playoff Stats Pivot'!$A:$AE,16,0),"")</f>
        <v>28</v>
      </c>
      <c r="T11" s="829">
        <f>IFERROR(VLOOKUP($A11,'Playoff Stats Pivot'!$A:$AE,17,0),"")</f>
        <v>6</v>
      </c>
      <c r="U11" s="829">
        <f>IFERROR(VLOOKUP($A11,'Playoff Stats Pivot'!$A:$AE,18,0),"")</f>
        <v>2</v>
      </c>
      <c r="V11" s="829">
        <f>IFERROR(VLOOKUP($A11,'Playoff Stats Pivot'!$A:$AE,19,0),"")</f>
        <v>0</v>
      </c>
      <c r="W11" s="829">
        <f>IFERROR(VLOOKUP($A11,'Playoff Stats Pivot'!$A:$AE,20,0),"")</f>
        <v>0</v>
      </c>
      <c r="X11" s="829">
        <f>IFERROR(VLOOKUP($A11,'Playoff Stats Pivot'!$A:$AE,21,0),"")</f>
        <v>0</v>
      </c>
      <c r="Y11" s="829">
        <f>IFERROR(VLOOKUP($A11,'Playoff Stats Pivot'!$A:$AE,22,0),"")</f>
        <v>0</v>
      </c>
      <c r="Z11" s="829">
        <f>IFERROR(VLOOKUP($A11,'Playoff Stats Pivot'!$A:$AE,23,0),"")</f>
        <v>0</v>
      </c>
      <c r="AA11" s="829">
        <f>IFERROR(VLOOKUP($A11,'Playoff Stats Pivot'!$A:$AE,24,0),"")</f>
        <v>0</v>
      </c>
      <c r="AB11" s="829">
        <f>IFERROR(VLOOKUP($A11,'Playoff Stats Pivot'!$A:$AE,25,0),"")</f>
        <v>0</v>
      </c>
      <c r="AC11" s="829">
        <f>IFERROR(VLOOKUP($A11,'Playoff Stats Pivot'!$A:$AE,26,0),"")</f>
        <v>31</v>
      </c>
      <c r="AD11" s="829">
        <f>IFERROR(VLOOKUP($A11,'Playoff Stats Pivot'!$A:$AE,27,0),"")</f>
        <v>0</v>
      </c>
      <c r="AE11" s="829">
        <f>IFERROR(VLOOKUP($A11,'Playoff Stats Pivot'!$A:$AE,28,0),"")</f>
        <v>0</v>
      </c>
      <c r="AF11" s="829">
        <f>IFERROR(VLOOKUP($A11,'Playoff Stats Pivot'!$A:$AE,29,0),"")</f>
        <v>0</v>
      </c>
      <c r="AG11" s="829">
        <f>IFERROR(VLOOKUP($A11,'Playoff Stats Pivot'!$A:$AE,30,0),"")</f>
        <v>4</v>
      </c>
      <c r="AH11" s="829">
        <f>IFERROR(VLOOKUP($A11,'Playoff Stats Pivot'!$A:$AE,31,0),"")</f>
        <v>0</v>
      </c>
      <c r="AI11" s="833">
        <f t="shared" si="4"/>
        <v>7.463952502</v>
      </c>
      <c r="AJ11" s="833">
        <f t="shared" si="5"/>
        <v>0.06446140797</v>
      </c>
      <c r="AK11" s="833">
        <f t="shared" si="6"/>
        <v>0.01696352841</v>
      </c>
      <c r="AL11" s="833" t="str">
        <f t="shared" si="7"/>
        <v/>
      </c>
      <c r="AM11" s="833">
        <f t="shared" si="8"/>
        <v>0</v>
      </c>
      <c r="AN11" s="833">
        <f t="shared" si="9"/>
        <v>0.2057142857</v>
      </c>
      <c r="AO11" s="833">
        <f t="shared" si="10"/>
        <v>0.0002827254736</v>
      </c>
      <c r="AP11" s="833">
        <f t="shared" si="11"/>
        <v>-1.526717557</v>
      </c>
      <c r="AQ11" s="833" t="s">
        <v>338</v>
      </c>
      <c r="AR11" s="834" t="s">
        <v>352</v>
      </c>
    </row>
    <row r="12">
      <c r="A12" s="838" t="s">
        <v>44</v>
      </c>
      <c r="B12" s="829">
        <f t="shared" si="1"/>
        <v>2</v>
      </c>
      <c r="C12" s="829">
        <f>IFERROR(VLOOKUP($A12,'Playoff Stats Pivot'!$A:$AE,2,0),"")</f>
        <v>0</v>
      </c>
      <c r="D12" s="829">
        <f>IFERROR(VLOOKUP($A12,'Playoff Stats Pivot'!$A:$AE,3,0),"")</f>
        <v>2</v>
      </c>
      <c r="E12" s="829">
        <f>IFERROR(VLOOKUP($A12,'Playoff Stats Pivot'!$A:$AE,4,0),"")</f>
        <v>2</v>
      </c>
      <c r="F12" s="829">
        <f>IFERROR(VLOOKUP($A12,'Playoff Stats Pivot'!$A:$AE,5,0),"")</f>
        <v>43</v>
      </c>
      <c r="G12" s="829">
        <f>IFERROR(VLOOKUP($A12,'Playoff Stats Pivot'!$A:$AE,6,0),"")</f>
        <v>85</v>
      </c>
      <c r="H12" s="829">
        <f>IFERROR(VLOOKUP($A12,'Playoff Stats Pivot'!$A:$AE,7,0),"")</f>
        <v>90</v>
      </c>
      <c r="I12" s="829">
        <f>IFERROR(VLOOKUP($A12,'Playoff Stats Pivot'!$A:$AE,8,0),"")</f>
        <v>-5</v>
      </c>
      <c r="J12" s="830">
        <f t="shared" si="2"/>
        <v>0.9444444444</v>
      </c>
      <c r="K12" s="829">
        <f>IFERROR(VLOOKUP($A12,'Playoff Stats Pivot'!$A:$AE,9,0),"")</f>
        <v>0</v>
      </c>
      <c r="L12" s="829">
        <f>IFERROR(VLOOKUP($A12,'Playoff Stats Pivot'!$A:$AE,10,0),"")</f>
        <v>1926</v>
      </c>
      <c r="M12" s="830">
        <f t="shared" si="3"/>
        <v>17.4</v>
      </c>
      <c r="N12" s="829">
        <f>IFERROR(VLOOKUP($A12,'Playoff Stats Pivot'!$A:$AE,11,0),"")</f>
        <v>3</v>
      </c>
      <c r="O12" s="829">
        <f>IFERROR(VLOOKUP($A12,'Playoff Stats Pivot'!$A:$AE,12,0),"")</f>
        <v>0</v>
      </c>
      <c r="P12" s="829">
        <f>IFERROR(VLOOKUP($A12,'Playoff Stats Pivot'!$A:$AE,13,0),"")</f>
        <v>0</v>
      </c>
      <c r="Q12" s="829">
        <f>IFERROR(VLOOKUP($A12,'Playoff Stats Pivot'!$A:$AE,14,0),"")</f>
        <v>0</v>
      </c>
      <c r="R12" s="829">
        <f>IFERROR(VLOOKUP($A12,'Playoff Stats Pivot'!$A:$AE,15,0),"")</f>
        <v>1</v>
      </c>
      <c r="S12" s="829">
        <f>IFERROR(VLOOKUP($A12,'Playoff Stats Pivot'!$A:$AE,16,0),"")</f>
        <v>15</v>
      </c>
      <c r="T12" s="829">
        <f>IFERROR(VLOOKUP($A12,'Playoff Stats Pivot'!$A:$AE,17,0),"")</f>
        <v>1</v>
      </c>
      <c r="U12" s="829">
        <f>IFERROR(VLOOKUP($A12,'Playoff Stats Pivot'!$A:$AE,18,0),"")</f>
        <v>0</v>
      </c>
      <c r="V12" s="829">
        <f>IFERROR(VLOOKUP($A12,'Playoff Stats Pivot'!$A:$AE,19,0),"")</f>
        <v>0</v>
      </c>
      <c r="W12" s="829">
        <f>IFERROR(VLOOKUP($A12,'Playoff Stats Pivot'!$A:$AE,20,0),"")</f>
        <v>0</v>
      </c>
      <c r="X12" s="829">
        <f>IFERROR(VLOOKUP($A12,'Playoff Stats Pivot'!$A:$AE,21,0),"")</f>
        <v>0</v>
      </c>
      <c r="Y12" s="829">
        <f>IFERROR(VLOOKUP($A12,'Playoff Stats Pivot'!$A:$AE,22,0),"")</f>
        <v>0</v>
      </c>
      <c r="Z12" s="829">
        <f>IFERROR(VLOOKUP($A12,'Playoff Stats Pivot'!$A:$AE,23,0),"")</f>
        <v>0</v>
      </c>
      <c r="AA12" s="829">
        <f>IFERROR(VLOOKUP($A12,'Playoff Stats Pivot'!$A:$AE,24,0),"")</f>
        <v>0</v>
      </c>
      <c r="AB12" s="829">
        <f>IFERROR(VLOOKUP($A12,'Playoff Stats Pivot'!$A:$AE,25,0),"")</f>
        <v>0</v>
      </c>
      <c r="AC12" s="829">
        <f>IFERROR(VLOOKUP($A12,'Playoff Stats Pivot'!$A:$AE,26,0),"")</f>
        <v>20</v>
      </c>
      <c r="AD12" s="829">
        <f>IFERROR(VLOOKUP($A12,'Playoff Stats Pivot'!$A:$AE,27,0),"")</f>
        <v>0</v>
      </c>
      <c r="AE12" s="829">
        <f>IFERROR(VLOOKUP($A12,'Playoff Stats Pivot'!$A:$AE,28,0),"")</f>
        <v>0</v>
      </c>
      <c r="AF12" s="829">
        <f>IFERROR(VLOOKUP($A12,'Playoff Stats Pivot'!$A:$AE,29,0),"")</f>
        <v>0</v>
      </c>
      <c r="AG12" s="829">
        <f>IFERROR(VLOOKUP($A12,'Playoff Stats Pivot'!$A:$AE,30,0),"")</f>
        <v>4</v>
      </c>
      <c r="AH12" s="829">
        <f>IFERROR(VLOOKUP($A12,'Playoff Stats Pivot'!$A:$AE,31,0),"")</f>
        <v>0</v>
      </c>
      <c r="AI12" s="833">
        <f t="shared" si="4"/>
        <v>5.451713396</v>
      </c>
      <c r="AJ12" s="833">
        <f t="shared" si="5"/>
        <v>0.1320872274</v>
      </c>
      <c r="AK12" s="833">
        <f t="shared" si="6"/>
        <v>0.09345794393</v>
      </c>
      <c r="AL12" s="833" t="str">
        <f t="shared" si="7"/>
        <v/>
      </c>
      <c r="AM12" s="833">
        <f t="shared" si="8"/>
        <v>1</v>
      </c>
      <c r="AN12" s="833">
        <f t="shared" si="9"/>
        <v>0.1882352941</v>
      </c>
      <c r="AO12" s="833">
        <f t="shared" si="10"/>
        <v>0.02232606438</v>
      </c>
      <c r="AP12" s="833">
        <f t="shared" si="11"/>
        <v>-0.1557632399</v>
      </c>
      <c r="AQ12" s="833" t="s">
        <v>171</v>
      </c>
      <c r="AR12" s="834" t="s">
        <v>353</v>
      </c>
    </row>
    <row r="13">
      <c r="A13" s="850" t="s">
        <v>176</v>
      </c>
      <c r="B13" s="829">
        <f t="shared" si="1"/>
        <v>4</v>
      </c>
      <c r="C13" s="829">
        <f>IFERROR(VLOOKUP($A13,'Playoff Stats Pivot'!$A:$AE,2,0),"")</f>
        <v>2</v>
      </c>
      <c r="D13" s="829">
        <f>IFERROR(VLOOKUP($A13,'Playoff Stats Pivot'!$A:$AE,3,0),"")</f>
        <v>2</v>
      </c>
      <c r="E13" s="829">
        <f>IFERROR(VLOOKUP($A13,'Playoff Stats Pivot'!$A:$AE,4,0),"")</f>
        <v>6</v>
      </c>
      <c r="F13" s="829">
        <f>IFERROR(VLOOKUP($A13,'Playoff Stats Pivot'!$A:$AE,5,0),"")</f>
        <v>11</v>
      </c>
      <c r="G13" s="829">
        <f>IFERROR(VLOOKUP($A13,'Playoff Stats Pivot'!$A:$AE,6,0),"")</f>
        <v>247</v>
      </c>
      <c r="H13" s="829">
        <f>IFERROR(VLOOKUP($A13,'Playoff Stats Pivot'!$A:$AE,7,0),"")</f>
        <v>234</v>
      </c>
      <c r="I13" s="829">
        <f>IFERROR(VLOOKUP($A13,'Playoff Stats Pivot'!$A:$AE,8,0),"")</f>
        <v>13</v>
      </c>
      <c r="J13" s="830">
        <f t="shared" si="2"/>
        <v>1.055555556</v>
      </c>
      <c r="K13" s="829">
        <f>IFERROR(VLOOKUP($A13,'Playoff Stats Pivot'!$A:$AE,9,0),"")</f>
        <v>0</v>
      </c>
      <c r="L13" s="829">
        <f>IFERROR(VLOOKUP($A13,'Playoff Stats Pivot'!$A:$AE,10,0),"")</f>
        <v>5297</v>
      </c>
      <c r="M13" s="830">
        <f t="shared" si="3"/>
        <v>18.63675214</v>
      </c>
      <c r="N13" s="829">
        <f>IFERROR(VLOOKUP($A13,'Playoff Stats Pivot'!$A:$AE,11,0),"")</f>
        <v>5</v>
      </c>
      <c r="O13" s="829">
        <f>IFERROR(VLOOKUP($A13,'Playoff Stats Pivot'!$A:$AE,12,0),"")</f>
        <v>0</v>
      </c>
      <c r="P13" s="829">
        <f>IFERROR(VLOOKUP($A13,'Playoff Stats Pivot'!$A:$AE,13,0),"")</f>
        <v>0</v>
      </c>
      <c r="Q13" s="829">
        <f>IFERROR(VLOOKUP($A13,'Playoff Stats Pivot'!$A:$AE,14,0),"")</f>
        <v>0</v>
      </c>
      <c r="R13" s="829">
        <f>IFERROR(VLOOKUP($A13,'Playoff Stats Pivot'!$A:$AE,15,0),"")</f>
        <v>2</v>
      </c>
      <c r="S13" s="829">
        <f>IFERROR(VLOOKUP($A13,'Playoff Stats Pivot'!$A:$AE,16,0),"")</f>
        <v>42</v>
      </c>
      <c r="T13" s="829">
        <f>IFERROR(VLOOKUP($A13,'Playoff Stats Pivot'!$A:$AE,17,0),"")</f>
        <v>6</v>
      </c>
      <c r="U13" s="829">
        <f>IFERROR(VLOOKUP($A13,'Playoff Stats Pivot'!$A:$AE,18,0),"")</f>
        <v>1</v>
      </c>
      <c r="V13" s="829">
        <f>IFERROR(VLOOKUP($A13,'Playoff Stats Pivot'!$A:$AE,19,0),"")</f>
        <v>0</v>
      </c>
      <c r="W13" s="829">
        <f>IFERROR(VLOOKUP($A13,'Playoff Stats Pivot'!$A:$AE,20,0),"")</f>
        <v>0</v>
      </c>
      <c r="X13" s="829">
        <f>IFERROR(VLOOKUP($A13,'Playoff Stats Pivot'!$A:$AE,21,0),"")</f>
        <v>0</v>
      </c>
      <c r="Y13" s="829">
        <f>IFERROR(VLOOKUP($A13,'Playoff Stats Pivot'!$A:$AE,22,0),"")</f>
        <v>0</v>
      </c>
      <c r="Z13" s="829">
        <f>IFERROR(VLOOKUP($A13,'Playoff Stats Pivot'!$A:$AE,23,0),"")</f>
        <v>0</v>
      </c>
      <c r="AA13" s="829">
        <f>IFERROR(VLOOKUP($A13,'Playoff Stats Pivot'!$A:$AE,24,0),"")</f>
        <v>0</v>
      </c>
      <c r="AB13" s="829">
        <f>IFERROR(VLOOKUP($A13,'Playoff Stats Pivot'!$A:$AE,25,0),"")</f>
        <v>0</v>
      </c>
      <c r="AC13" s="829">
        <f>IFERROR(VLOOKUP($A13,'Playoff Stats Pivot'!$A:$AE,26,0),"")</f>
        <v>45</v>
      </c>
      <c r="AD13" s="829">
        <f>IFERROR(VLOOKUP($A13,'Playoff Stats Pivot'!$A:$AE,27,0),"")</f>
        <v>0</v>
      </c>
      <c r="AE13" s="829">
        <f>IFERROR(VLOOKUP($A13,'Playoff Stats Pivot'!$A:$AE,28,0),"")</f>
        <v>1</v>
      </c>
      <c r="AF13" s="829">
        <f>IFERROR(VLOOKUP($A13,'Playoff Stats Pivot'!$A:$AE,29,0),"")</f>
        <v>0</v>
      </c>
      <c r="AG13" s="829">
        <f>IFERROR(VLOOKUP($A13,'Playoff Stats Pivot'!$A:$AE,30,0),"")</f>
        <v>0</v>
      </c>
      <c r="AH13" s="829">
        <f>IFERROR(VLOOKUP($A13,'Playoff Stats Pivot'!$A:$AE,31,0),"")</f>
        <v>1</v>
      </c>
      <c r="AI13" s="833">
        <f t="shared" si="4"/>
        <v>5.448367</v>
      </c>
      <c r="AJ13" s="833">
        <f t="shared" si="5"/>
        <v>0.120067963</v>
      </c>
      <c r="AK13" s="833">
        <f t="shared" si="6"/>
        <v>0.0566358316</v>
      </c>
      <c r="AL13" s="833">
        <f t="shared" si="7"/>
        <v>1.381574476</v>
      </c>
      <c r="AM13" s="833">
        <f t="shared" si="8"/>
        <v>1.5</v>
      </c>
      <c r="AN13" s="833">
        <f t="shared" si="9"/>
        <v>0.1983805668</v>
      </c>
      <c r="AO13" s="833">
        <f t="shared" si="10"/>
        <v>0.002076647159</v>
      </c>
      <c r="AP13" s="833">
        <f t="shared" si="11"/>
        <v>0.1472531622</v>
      </c>
      <c r="AQ13" s="833" t="s">
        <v>350</v>
      </c>
      <c r="AR13" s="834" t="s">
        <v>354</v>
      </c>
    </row>
    <row r="14">
      <c r="A14" s="838" t="s">
        <v>185</v>
      </c>
      <c r="B14" s="829">
        <f t="shared" si="1"/>
        <v>2</v>
      </c>
      <c r="C14" s="829">
        <f>IFERROR(VLOOKUP($A14,'Playoff Stats Pivot'!$A:$AE,2,0),"")</f>
        <v>0</v>
      </c>
      <c r="D14" s="829">
        <f>IFERROR(VLOOKUP($A14,'Playoff Stats Pivot'!$A:$AE,3,0),"")</f>
        <v>2</v>
      </c>
      <c r="E14" s="829">
        <f>IFERROR(VLOOKUP($A14,'Playoff Stats Pivot'!$A:$AE,4,0),"")</f>
        <v>0</v>
      </c>
      <c r="F14" s="829">
        <f>IFERROR(VLOOKUP($A14,'Playoff Stats Pivot'!$A:$AE,5,0),"")</f>
        <v>0</v>
      </c>
      <c r="G14" s="829">
        <f>IFERROR(VLOOKUP($A14,'Playoff Stats Pivot'!$A:$AE,6,0),"")</f>
        <v>108</v>
      </c>
      <c r="H14" s="829">
        <f>IFERROR(VLOOKUP($A14,'Playoff Stats Pivot'!$A:$AE,7,0),"")</f>
        <v>138</v>
      </c>
      <c r="I14" s="829">
        <f>IFERROR(VLOOKUP($A14,'Playoff Stats Pivot'!$A:$AE,8,0),"")</f>
        <v>-30</v>
      </c>
      <c r="J14" s="830">
        <f t="shared" si="2"/>
        <v>0.7826086957</v>
      </c>
      <c r="K14" s="829">
        <f>IFERROR(VLOOKUP($A14,'Playoff Stats Pivot'!$A:$AE,9,0),"")</f>
        <v>0</v>
      </c>
      <c r="L14" s="829">
        <f>IFERROR(VLOOKUP($A14,'Playoff Stats Pivot'!$A:$AE,10,0),"")</f>
        <v>2335</v>
      </c>
      <c r="M14" s="830">
        <f t="shared" si="3"/>
        <v>12.92028986</v>
      </c>
      <c r="N14" s="829">
        <f>IFERROR(VLOOKUP($A14,'Playoff Stats Pivot'!$A:$AE,11,0),"")</f>
        <v>3</v>
      </c>
      <c r="O14" s="829">
        <f>IFERROR(VLOOKUP($A14,'Playoff Stats Pivot'!$A:$AE,12,0),"")</f>
        <v>0</v>
      </c>
      <c r="P14" s="829">
        <f>IFERROR(VLOOKUP($A14,'Playoff Stats Pivot'!$A:$AE,13,0),"")</f>
        <v>0</v>
      </c>
      <c r="Q14" s="829">
        <f>IFERROR(VLOOKUP($A14,'Playoff Stats Pivot'!$A:$AE,14,0),"")</f>
        <v>0</v>
      </c>
      <c r="R14" s="829">
        <f>IFERROR(VLOOKUP($A14,'Playoff Stats Pivot'!$A:$AE,15,0),"")</f>
        <v>4</v>
      </c>
      <c r="S14" s="829">
        <f>IFERROR(VLOOKUP($A14,'Playoff Stats Pivot'!$A:$AE,16,0),"")</f>
        <v>16</v>
      </c>
      <c r="T14" s="829">
        <f>IFERROR(VLOOKUP($A14,'Playoff Stats Pivot'!$A:$AE,17,0),"")</f>
        <v>5</v>
      </c>
      <c r="U14" s="829">
        <f>IFERROR(VLOOKUP($A14,'Playoff Stats Pivot'!$A:$AE,18,0),"")</f>
        <v>2</v>
      </c>
      <c r="V14" s="829">
        <f>IFERROR(VLOOKUP($A14,'Playoff Stats Pivot'!$A:$AE,19,0),"")</f>
        <v>0</v>
      </c>
      <c r="W14" s="829">
        <f>IFERROR(VLOOKUP($A14,'Playoff Stats Pivot'!$A:$AE,20,0),"")</f>
        <v>0</v>
      </c>
      <c r="X14" s="829">
        <f>IFERROR(VLOOKUP($A14,'Playoff Stats Pivot'!$A:$AE,21,0),"")</f>
        <v>0</v>
      </c>
      <c r="Y14" s="829">
        <f>IFERROR(VLOOKUP($A14,'Playoff Stats Pivot'!$A:$AE,22,0),"")</f>
        <v>0</v>
      </c>
      <c r="Z14" s="829">
        <f>IFERROR(VLOOKUP($A14,'Playoff Stats Pivot'!$A:$AE,23,0),"")</f>
        <v>0</v>
      </c>
      <c r="AA14" s="829">
        <f>IFERROR(VLOOKUP($A14,'Playoff Stats Pivot'!$A:$AE,24,0),"")</f>
        <v>0</v>
      </c>
      <c r="AB14" s="829">
        <f>IFERROR(VLOOKUP($A14,'Playoff Stats Pivot'!$A:$AE,25,0),"")</f>
        <v>0</v>
      </c>
      <c r="AC14" s="829">
        <f>IFERROR(VLOOKUP($A14,'Playoff Stats Pivot'!$A:$AE,26,0),"")</f>
        <v>15</v>
      </c>
      <c r="AD14" s="829">
        <f>IFERROR(VLOOKUP($A14,'Playoff Stats Pivot'!$A:$AE,27,0),"")</f>
        <v>0</v>
      </c>
      <c r="AE14" s="829">
        <f>IFERROR(VLOOKUP($A14,'Playoff Stats Pivot'!$A:$AE,28,0),"")</f>
        <v>0</v>
      </c>
      <c r="AF14" s="829">
        <f>IFERROR(VLOOKUP($A14,'Playoff Stats Pivot'!$A:$AE,29,0),"")</f>
        <v>0</v>
      </c>
      <c r="AG14" s="829">
        <f>IFERROR(VLOOKUP($A14,'Playoff Stats Pivot'!$A:$AE,30,0),"")</f>
        <v>1</v>
      </c>
      <c r="AH14" s="829">
        <f>IFERROR(VLOOKUP($A14,'Playoff Stats Pivot'!$A:$AE,31,0),"")</f>
        <v>0</v>
      </c>
      <c r="AI14" s="833">
        <f t="shared" si="4"/>
        <v>6.321199143</v>
      </c>
      <c r="AJ14" s="833">
        <f t="shared" si="5"/>
        <v>0.05241970021</v>
      </c>
      <c r="AK14" s="833">
        <f t="shared" si="6"/>
        <v>0.07708779443</v>
      </c>
      <c r="AL14" s="833" t="str">
        <f t="shared" si="7"/>
        <v/>
      </c>
      <c r="AM14" s="833">
        <f t="shared" si="8"/>
        <v>0</v>
      </c>
      <c r="AN14" s="833">
        <f t="shared" si="9"/>
        <v>0.212962963</v>
      </c>
      <c r="AO14" s="833">
        <f t="shared" si="10"/>
        <v>0</v>
      </c>
      <c r="AP14" s="833">
        <f t="shared" si="11"/>
        <v>-0.7708779443</v>
      </c>
      <c r="AQ14" s="833" t="s">
        <v>338</v>
      </c>
      <c r="AR14" s="834" t="s">
        <v>355</v>
      </c>
    </row>
    <row r="15">
      <c r="A15" s="838" t="s">
        <v>172</v>
      </c>
      <c r="B15" s="829">
        <f t="shared" si="1"/>
        <v>6</v>
      </c>
      <c r="C15" s="829">
        <f>IFERROR(VLOOKUP($A15,'Playoff Stats Pivot'!$A:$AE,2,0),"")</f>
        <v>2</v>
      </c>
      <c r="D15" s="829">
        <f>IFERROR(VLOOKUP($A15,'Playoff Stats Pivot'!$A:$AE,3,0),"")</f>
        <v>4</v>
      </c>
      <c r="E15" s="829">
        <f>IFERROR(VLOOKUP($A15,'Playoff Stats Pivot'!$A:$AE,4,0),"")</f>
        <v>1</v>
      </c>
      <c r="F15" s="829">
        <f>IFERROR(VLOOKUP($A15,'Playoff Stats Pivot'!$A:$AE,5,0),"")</f>
        <v>26</v>
      </c>
      <c r="G15" s="829">
        <f>IFERROR(VLOOKUP($A15,'Playoff Stats Pivot'!$A:$AE,6,0),"")</f>
        <v>498</v>
      </c>
      <c r="H15" s="829">
        <f>IFERROR(VLOOKUP($A15,'Playoff Stats Pivot'!$A:$AE,7,0),"")</f>
        <v>323</v>
      </c>
      <c r="I15" s="829">
        <f>IFERROR(VLOOKUP($A15,'Playoff Stats Pivot'!$A:$AE,8,0),"")</f>
        <v>175</v>
      </c>
      <c r="J15" s="830">
        <f t="shared" si="2"/>
        <v>1.541795666</v>
      </c>
      <c r="K15" s="829">
        <f>IFERROR(VLOOKUP($A15,'Playoff Stats Pivot'!$A:$AE,9,0),"")</f>
        <v>1</v>
      </c>
      <c r="L15" s="829">
        <f>IFERROR(VLOOKUP($A15,'Playoff Stats Pivot'!$A:$AE,10,0),"")</f>
        <v>7632</v>
      </c>
      <c r="M15" s="830">
        <f t="shared" si="3"/>
        <v>19.62848297</v>
      </c>
      <c r="N15" s="829">
        <f>IFERROR(VLOOKUP($A15,'Playoff Stats Pivot'!$A:$AE,11,0),"")</f>
        <v>19</v>
      </c>
      <c r="O15" s="829">
        <f>IFERROR(VLOOKUP($A15,'Playoff Stats Pivot'!$A:$AE,12,0),"")</f>
        <v>3</v>
      </c>
      <c r="P15" s="829">
        <f>IFERROR(VLOOKUP($A15,'Playoff Stats Pivot'!$A:$AE,13,0),"")</f>
        <v>0</v>
      </c>
      <c r="Q15" s="829">
        <f>IFERROR(VLOOKUP($A15,'Playoff Stats Pivot'!$A:$AE,14,0),"")</f>
        <v>0</v>
      </c>
      <c r="R15" s="829">
        <f>IFERROR(VLOOKUP($A15,'Playoff Stats Pivot'!$A:$AE,15,0),"")</f>
        <v>4</v>
      </c>
      <c r="S15" s="829">
        <f>IFERROR(VLOOKUP($A15,'Playoff Stats Pivot'!$A:$AE,16,0),"")</f>
        <v>98</v>
      </c>
      <c r="T15" s="829">
        <f>IFERROR(VLOOKUP($A15,'Playoff Stats Pivot'!$A:$AE,17,0),"")</f>
        <v>34</v>
      </c>
      <c r="U15" s="829">
        <f>IFERROR(VLOOKUP($A15,'Playoff Stats Pivot'!$A:$AE,18,0),"")</f>
        <v>8</v>
      </c>
      <c r="V15" s="829">
        <f>IFERROR(VLOOKUP($A15,'Playoff Stats Pivot'!$A:$AE,19,0),"")</f>
        <v>5</v>
      </c>
      <c r="W15" s="829">
        <f>IFERROR(VLOOKUP($A15,'Playoff Stats Pivot'!$A:$AE,20,0),"")</f>
        <v>1</v>
      </c>
      <c r="X15" s="829">
        <f>IFERROR(VLOOKUP($A15,'Playoff Stats Pivot'!$A:$AE,21,0),"")</f>
        <v>0</v>
      </c>
      <c r="Y15" s="829">
        <f>IFERROR(VLOOKUP($A15,'Playoff Stats Pivot'!$A:$AE,22,0),"")</f>
        <v>0</v>
      </c>
      <c r="Z15" s="829">
        <f>IFERROR(VLOOKUP($A15,'Playoff Stats Pivot'!$A:$AE,23,0),"")</f>
        <v>0</v>
      </c>
      <c r="AA15" s="829">
        <f>IFERROR(VLOOKUP($A15,'Playoff Stats Pivot'!$A:$AE,24,0),"")</f>
        <v>0</v>
      </c>
      <c r="AB15" s="829">
        <f>IFERROR(VLOOKUP($A15,'Playoff Stats Pivot'!$A:$AE,25,0),"")</f>
        <v>0</v>
      </c>
      <c r="AC15" s="829">
        <f>IFERROR(VLOOKUP($A15,'Playoff Stats Pivot'!$A:$AE,26,0),"")</f>
        <v>129</v>
      </c>
      <c r="AD15" s="829">
        <f>IFERROR(VLOOKUP($A15,'Playoff Stats Pivot'!$A:$AE,27,0),"")</f>
        <v>0</v>
      </c>
      <c r="AE15" s="829">
        <f>IFERROR(VLOOKUP($A15,'Playoff Stats Pivot'!$A:$AE,28,0),"")</f>
        <v>2</v>
      </c>
      <c r="AF15" s="829">
        <f>IFERROR(VLOOKUP($A15,'Playoff Stats Pivot'!$A:$AE,29,0),"")</f>
        <v>0</v>
      </c>
      <c r="AG15" s="829">
        <f>IFERROR(VLOOKUP($A15,'Playoff Stats Pivot'!$A:$AE,30,0),"")</f>
        <v>2</v>
      </c>
      <c r="AH15" s="829">
        <f>IFERROR(VLOOKUP($A15,'Playoff Stats Pivot'!$A:$AE,31,0),"")</f>
        <v>0</v>
      </c>
      <c r="AI15" s="833">
        <f t="shared" si="4"/>
        <v>6.462264151</v>
      </c>
      <c r="AJ15" s="833">
        <f t="shared" si="5"/>
        <v>0.1399371069</v>
      </c>
      <c r="AK15" s="833">
        <f t="shared" si="6"/>
        <v>0.1493710692</v>
      </c>
      <c r="AL15" s="833">
        <f t="shared" si="7"/>
        <v>2.804402516</v>
      </c>
      <c r="AM15" s="833">
        <f t="shared" si="8"/>
        <v>0.1666666667</v>
      </c>
      <c r="AN15" s="833">
        <f t="shared" si="9"/>
        <v>0.2931726908</v>
      </c>
      <c r="AO15" s="833">
        <f t="shared" si="10"/>
        <v>0.003406708595</v>
      </c>
      <c r="AP15" s="833">
        <f t="shared" si="11"/>
        <v>1.383647799</v>
      </c>
      <c r="AQ15" s="833" t="s">
        <v>336</v>
      </c>
      <c r="AR15" s="834" t="s">
        <v>357</v>
      </c>
    </row>
    <row r="16">
      <c r="A16" s="851" t="s">
        <v>96</v>
      </c>
      <c r="B16" s="829">
        <f t="shared" si="1"/>
        <v>7</v>
      </c>
      <c r="C16" s="829">
        <f>IFERROR(VLOOKUP($A16,'Playoff Stats Pivot'!$A:$AE,2,0),"")</f>
        <v>7</v>
      </c>
      <c r="D16" s="829">
        <f>IFERROR(VLOOKUP($A16,'Playoff Stats Pivot'!$A:$AE,3,0),"")</f>
        <v>0</v>
      </c>
      <c r="E16" s="829">
        <f>IFERROR(VLOOKUP($A16,'Playoff Stats Pivot'!$A:$AE,4,0),"")</f>
        <v>18</v>
      </c>
      <c r="F16" s="829">
        <f>IFERROR(VLOOKUP($A16,'Playoff Stats Pivot'!$A:$AE,5,0),"")</f>
        <v>57</v>
      </c>
      <c r="G16" s="829">
        <f>IFERROR(VLOOKUP($A16,'Playoff Stats Pivot'!$A:$AE,6,0),"")</f>
        <v>261</v>
      </c>
      <c r="H16" s="829">
        <f>IFERROR(VLOOKUP($A16,'Playoff Stats Pivot'!$A:$AE,7,0),"")</f>
        <v>276</v>
      </c>
      <c r="I16" s="829">
        <f>IFERROR(VLOOKUP($A16,'Playoff Stats Pivot'!$A:$AE,8,0),"")</f>
        <v>-15</v>
      </c>
      <c r="J16" s="830">
        <f t="shared" si="2"/>
        <v>0.9456521739</v>
      </c>
      <c r="K16" s="829">
        <f>IFERROR(VLOOKUP($A16,'Playoff Stats Pivot'!$A:$AE,9,0),"")</f>
        <v>0</v>
      </c>
      <c r="L16" s="829">
        <f>IFERROR(VLOOKUP($A16,'Playoff Stats Pivot'!$A:$AE,10,0),"")</f>
        <v>6685</v>
      </c>
      <c r="M16" s="830">
        <f t="shared" si="3"/>
        <v>20.22101449</v>
      </c>
      <c r="N16" s="829">
        <f>IFERROR(VLOOKUP($A16,'Playoff Stats Pivot'!$A:$AE,11,0),"")</f>
        <v>4</v>
      </c>
      <c r="O16" s="829">
        <f>IFERROR(VLOOKUP($A16,'Playoff Stats Pivot'!$A:$AE,12,0),"")</f>
        <v>0</v>
      </c>
      <c r="P16" s="829">
        <f>IFERROR(VLOOKUP($A16,'Playoff Stats Pivot'!$A:$AE,13,0),"")</f>
        <v>0</v>
      </c>
      <c r="Q16" s="829">
        <f>IFERROR(VLOOKUP($A16,'Playoff Stats Pivot'!$A:$AE,14,0),"")</f>
        <v>0</v>
      </c>
      <c r="R16" s="829">
        <f>IFERROR(VLOOKUP($A16,'Playoff Stats Pivot'!$A:$AE,15,0),"")</f>
        <v>1</v>
      </c>
      <c r="S16" s="829">
        <f>IFERROR(VLOOKUP($A16,'Playoff Stats Pivot'!$A:$AE,16,0),"")</f>
        <v>40</v>
      </c>
      <c r="T16" s="829">
        <f>IFERROR(VLOOKUP($A16,'Playoff Stats Pivot'!$A:$AE,17,0),"")</f>
        <v>5</v>
      </c>
      <c r="U16" s="829">
        <f>IFERROR(VLOOKUP($A16,'Playoff Stats Pivot'!$A:$AE,18,0),"")</f>
        <v>1</v>
      </c>
      <c r="V16" s="829">
        <f>IFERROR(VLOOKUP($A16,'Playoff Stats Pivot'!$A:$AE,19,0),"")</f>
        <v>0</v>
      </c>
      <c r="W16" s="829">
        <f>IFERROR(VLOOKUP($A16,'Playoff Stats Pivot'!$A:$AE,20,0),"")</f>
        <v>0</v>
      </c>
      <c r="X16" s="829">
        <f>IFERROR(VLOOKUP($A16,'Playoff Stats Pivot'!$A:$AE,21,0),"")</f>
        <v>0</v>
      </c>
      <c r="Y16" s="829">
        <f>IFERROR(VLOOKUP($A16,'Playoff Stats Pivot'!$A:$AE,22,0),"")</f>
        <v>0</v>
      </c>
      <c r="Z16" s="829">
        <f>IFERROR(VLOOKUP($A16,'Playoff Stats Pivot'!$A:$AE,23,0),"")</f>
        <v>0</v>
      </c>
      <c r="AA16" s="829">
        <f>IFERROR(VLOOKUP($A16,'Playoff Stats Pivot'!$A:$AE,24,0),"")</f>
        <v>0</v>
      </c>
      <c r="AB16" s="829">
        <f>IFERROR(VLOOKUP($A16,'Playoff Stats Pivot'!$A:$AE,25,0),"")</f>
        <v>0</v>
      </c>
      <c r="AC16" s="829">
        <f>IFERROR(VLOOKUP($A16,'Playoff Stats Pivot'!$A:$AE,26,0),"")</f>
        <v>60</v>
      </c>
      <c r="AD16" s="829">
        <f>IFERROR(VLOOKUP($A16,'Playoff Stats Pivot'!$A:$AE,27,0),"")</f>
        <v>0</v>
      </c>
      <c r="AE16" s="829">
        <f>IFERROR(VLOOKUP($A16,'Playoff Stats Pivot'!$A:$AE,28,0),"")</f>
        <v>1</v>
      </c>
      <c r="AF16" s="829">
        <f>IFERROR(VLOOKUP($A16,'Playoff Stats Pivot'!$A:$AE,29,0),"")</f>
        <v>0</v>
      </c>
      <c r="AG16" s="829">
        <f>IFERROR(VLOOKUP($A16,'Playoff Stats Pivot'!$A:$AE,30,0),"")</f>
        <v>3</v>
      </c>
      <c r="AH16" s="829">
        <f>IFERROR(VLOOKUP($A16,'Playoff Stats Pivot'!$A:$AE,31,0),"")</f>
        <v>0</v>
      </c>
      <c r="AI16" s="833">
        <f t="shared" si="4"/>
        <v>4.819745699</v>
      </c>
      <c r="AJ16" s="833">
        <f t="shared" si="5"/>
        <v>0.1967389678</v>
      </c>
      <c r="AK16" s="833">
        <f t="shared" si="6"/>
        <v>0.0359012715</v>
      </c>
      <c r="AL16" s="833">
        <f t="shared" si="7"/>
        <v>0.8373971578</v>
      </c>
      <c r="AM16" s="833">
        <f t="shared" si="8"/>
        <v>2.571428571</v>
      </c>
      <c r="AN16" s="833">
        <f t="shared" si="9"/>
        <v>0.1762452107</v>
      </c>
      <c r="AO16" s="833">
        <f t="shared" si="10"/>
        <v>0.008526551982</v>
      </c>
      <c r="AP16" s="833">
        <f t="shared" si="11"/>
        <v>-0.1346297681</v>
      </c>
      <c r="AQ16" s="833" t="s">
        <v>350</v>
      </c>
      <c r="AR16" s="834" t="s">
        <v>354</v>
      </c>
    </row>
    <row r="17">
      <c r="A17" s="837" t="s">
        <v>162</v>
      </c>
      <c r="B17" s="829">
        <f t="shared" si="1"/>
        <v>2</v>
      </c>
      <c r="C17" s="829">
        <f>IFERROR(VLOOKUP($A17,'Playoff Stats Pivot'!$A:$AE,2,0),"")</f>
        <v>0</v>
      </c>
      <c r="D17" s="829">
        <f>IFERROR(VLOOKUP($A17,'Playoff Stats Pivot'!$A:$AE,3,0),"")</f>
        <v>2</v>
      </c>
      <c r="E17" s="829">
        <f>IFERROR(VLOOKUP($A17,'Playoff Stats Pivot'!$A:$AE,4,0),"")</f>
        <v>0</v>
      </c>
      <c r="F17" s="829">
        <f>IFERROR(VLOOKUP($A17,'Playoff Stats Pivot'!$A:$AE,5,0),"")</f>
        <v>1</v>
      </c>
      <c r="G17" s="829">
        <f>IFERROR(VLOOKUP($A17,'Playoff Stats Pivot'!$A:$AE,6,0),"")</f>
        <v>131</v>
      </c>
      <c r="H17" s="829">
        <f>IFERROR(VLOOKUP($A17,'Playoff Stats Pivot'!$A:$AE,7,0),"")</f>
        <v>259</v>
      </c>
      <c r="I17" s="829">
        <f>IFERROR(VLOOKUP($A17,'Playoff Stats Pivot'!$A:$AE,8,0),"")</f>
        <v>-128</v>
      </c>
      <c r="J17" s="830">
        <f t="shared" si="2"/>
        <v>0.5057915058</v>
      </c>
      <c r="K17" s="829">
        <f>IFERROR(VLOOKUP($A17,'Playoff Stats Pivot'!$A:$AE,9,0),"")</f>
        <v>0</v>
      </c>
      <c r="L17" s="829">
        <f>IFERROR(VLOOKUP($A17,'Playoff Stats Pivot'!$A:$AE,10,0),"")</f>
        <v>3229</v>
      </c>
      <c r="M17" s="830">
        <f t="shared" si="3"/>
        <v>8.467181467</v>
      </c>
      <c r="N17" s="829">
        <f>IFERROR(VLOOKUP($A17,'Playoff Stats Pivot'!$A:$AE,11,0),"")</f>
        <v>1</v>
      </c>
      <c r="O17" s="829">
        <f>IFERROR(VLOOKUP($A17,'Playoff Stats Pivot'!$A:$AE,12,0),"")</f>
        <v>0</v>
      </c>
      <c r="P17" s="829">
        <f>IFERROR(VLOOKUP($A17,'Playoff Stats Pivot'!$A:$AE,13,0),"")</f>
        <v>0</v>
      </c>
      <c r="Q17" s="829">
        <f>IFERROR(VLOOKUP($A17,'Playoff Stats Pivot'!$A:$AE,14,0),"")</f>
        <v>0</v>
      </c>
      <c r="R17" s="829">
        <f>IFERROR(VLOOKUP($A17,'Playoff Stats Pivot'!$A:$AE,15,0),"")</f>
        <v>1</v>
      </c>
      <c r="S17" s="829">
        <f>IFERROR(VLOOKUP($A17,'Playoff Stats Pivot'!$A:$AE,16,0),"")</f>
        <v>14</v>
      </c>
      <c r="T17" s="829">
        <f>IFERROR(VLOOKUP($A17,'Playoff Stats Pivot'!$A:$AE,17,0),"")</f>
        <v>2</v>
      </c>
      <c r="U17" s="829">
        <f>IFERROR(VLOOKUP($A17,'Playoff Stats Pivot'!$A:$AE,18,0),"")</f>
        <v>1</v>
      </c>
      <c r="V17" s="829">
        <f>IFERROR(VLOOKUP($A17,'Playoff Stats Pivot'!$A:$AE,19,0),"")</f>
        <v>0</v>
      </c>
      <c r="W17" s="829">
        <f>IFERROR(VLOOKUP($A17,'Playoff Stats Pivot'!$A:$AE,20,0),"")</f>
        <v>0</v>
      </c>
      <c r="X17" s="829">
        <f>IFERROR(VLOOKUP($A17,'Playoff Stats Pivot'!$A:$AE,21,0),"")</f>
        <v>0</v>
      </c>
      <c r="Y17" s="829">
        <f>IFERROR(VLOOKUP($A17,'Playoff Stats Pivot'!$A:$AE,22,0),"")</f>
        <v>0</v>
      </c>
      <c r="Z17" s="829">
        <f>IFERROR(VLOOKUP($A17,'Playoff Stats Pivot'!$A:$AE,23,0),"")</f>
        <v>0</v>
      </c>
      <c r="AA17" s="829">
        <f>IFERROR(VLOOKUP($A17,'Playoff Stats Pivot'!$A:$AE,24,0),"")</f>
        <v>0</v>
      </c>
      <c r="AB17" s="829">
        <f>IFERROR(VLOOKUP($A17,'Playoff Stats Pivot'!$A:$AE,25,0),"")</f>
        <v>0</v>
      </c>
      <c r="AC17" s="829">
        <f>IFERROR(VLOOKUP($A17,'Playoff Stats Pivot'!$A:$AE,26,0),"")</f>
        <v>12</v>
      </c>
      <c r="AD17" s="829">
        <f>IFERROR(VLOOKUP($A17,'Playoff Stats Pivot'!$A:$AE,27,0),"")</f>
        <v>0</v>
      </c>
      <c r="AE17" s="829">
        <f>IFERROR(VLOOKUP($A17,'Playoff Stats Pivot'!$A:$AE,28,0),"")</f>
        <v>0</v>
      </c>
      <c r="AF17" s="829">
        <f>IFERROR(VLOOKUP($A17,'Playoff Stats Pivot'!$A:$AE,29,0),"")</f>
        <v>0</v>
      </c>
      <c r="AG17" s="829">
        <f>IFERROR(VLOOKUP($A17,'Playoff Stats Pivot'!$A:$AE,30,0),"")</f>
        <v>6</v>
      </c>
      <c r="AH17" s="829">
        <f>IFERROR(VLOOKUP($A17,'Playoff Stats Pivot'!$A:$AE,31,0),"")</f>
        <v>0</v>
      </c>
      <c r="AI17" s="833">
        <f t="shared" si="4"/>
        <v>7.246825643</v>
      </c>
      <c r="AJ17" s="833">
        <f t="shared" si="5"/>
        <v>0.0282440384</v>
      </c>
      <c r="AK17" s="833">
        <f t="shared" si="6"/>
        <v>0.01858160421</v>
      </c>
      <c r="AL17" s="833" t="str">
        <f t="shared" si="7"/>
        <v/>
      </c>
      <c r="AM17" s="833">
        <f t="shared" si="8"/>
        <v>0</v>
      </c>
      <c r="AN17" s="833">
        <f t="shared" si="9"/>
        <v>0.1297709924</v>
      </c>
      <c r="AO17" s="833">
        <f t="shared" si="10"/>
        <v>0.0003096934035</v>
      </c>
      <c r="AP17" s="833">
        <f t="shared" si="11"/>
        <v>-2.378445339</v>
      </c>
      <c r="AQ17" s="833" t="s">
        <v>350</v>
      </c>
      <c r="AR17" s="834" t="s">
        <v>358</v>
      </c>
    </row>
    <row r="18">
      <c r="A18" s="838" t="s">
        <v>75</v>
      </c>
      <c r="B18" s="829">
        <f t="shared" si="1"/>
        <v>4</v>
      </c>
      <c r="C18" s="829">
        <f>IFERROR(VLOOKUP($A18,'Playoff Stats Pivot'!$A:$AE,2,0),"")</f>
        <v>2</v>
      </c>
      <c r="D18" s="829">
        <f>IFERROR(VLOOKUP($A18,'Playoff Stats Pivot'!$A:$AE,3,0),"")</f>
        <v>2</v>
      </c>
      <c r="E18" s="829">
        <f>IFERROR(VLOOKUP($A18,'Playoff Stats Pivot'!$A:$AE,4,0),"")</f>
        <v>11</v>
      </c>
      <c r="F18" s="829">
        <f>IFERROR(VLOOKUP($A18,'Playoff Stats Pivot'!$A:$AE,5,0),"")</f>
        <v>60</v>
      </c>
      <c r="G18" s="829">
        <f>IFERROR(VLOOKUP($A18,'Playoff Stats Pivot'!$A:$AE,6,0),"")</f>
        <v>143</v>
      </c>
      <c r="H18" s="829">
        <f>IFERROR(VLOOKUP($A18,'Playoff Stats Pivot'!$A:$AE,7,0),"")</f>
        <v>130</v>
      </c>
      <c r="I18" s="829">
        <f>IFERROR(VLOOKUP($A18,'Playoff Stats Pivot'!$A:$AE,8,0),"")</f>
        <v>13</v>
      </c>
      <c r="J18" s="830">
        <f t="shared" si="2"/>
        <v>1.1</v>
      </c>
      <c r="K18" s="829">
        <f>IFERROR(VLOOKUP($A18,'Playoff Stats Pivot'!$A:$AE,9,0),"")</f>
        <v>2</v>
      </c>
      <c r="L18" s="829">
        <f>IFERROR(VLOOKUP($A18,'Playoff Stats Pivot'!$A:$AE,10,0),"")</f>
        <v>3588</v>
      </c>
      <c r="M18" s="830">
        <f t="shared" si="3"/>
        <v>23.6</v>
      </c>
      <c r="N18" s="829">
        <f>IFERROR(VLOOKUP($A18,'Playoff Stats Pivot'!$A:$AE,11,0),"")</f>
        <v>5</v>
      </c>
      <c r="O18" s="829">
        <f>IFERROR(VLOOKUP($A18,'Playoff Stats Pivot'!$A:$AE,12,0),"")</f>
        <v>1</v>
      </c>
      <c r="P18" s="829">
        <f>IFERROR(VLOOKUP($A18,'Playoff Stats Pivot'!$A:$AE,13,0),"")</f>
        <v>0</v>
      </c>
      <c r="Q18" s="829">
        <f>IFERROR(VLOOKUP($A18,'Playoff Stats Pivot'!$A:$AE,14,0),"")</f>
        <v>0</v>
      </c>
      <c r="R18" s="829">
        <f>IFERROR(VLOOKUP($A18,'Playoff Stats Pivot'!$A:$AE,15,0),"")</f>
        <v>1</v>
      </c>
      <c r="S18" s="829">
        <f>IFERROR(VLOOKUP($A18,'Playoff Stats Pivot'!$A:$AE,16,0),"")</f>
        <v>11</v>
      </c>
      <c r="T18" s="829">
        <f>IFERROR(VLOOKUP($A18,'Playoff Stats Pivot'!$A:$AE,17,0),"")</f>
        <v>3</v>
      </c>
      <c r="U18" s="829">
        <f>IFERROR(VLOOKUP($A18,'Playoff Stats Pivot'!$A:$AE,18,0),"")</f>
        <v>0</v>
      </c>
      <c r="V18" s="829">
        <f>IFERROR(VLOOKUP($A18,'Playoff Stats Pivot'!$A:$AE,19,0),"")</f>
        <v>0</v>
      </c>
      <c r="W18" s="829">
        <f>IFERROR(VLOOKUP($A18,'Playoff Stats Pivot'!$A:$AE,20,0),"")</f>
        <v>0</v>
      </c>
      <c r="X18" s="829">
        <f>IFERROR(VLOOKUP($A18,'Playoff Stats Pivot'!$A:$AE,21,0),"")</f>
        <v>0</v>
      </c>
      <c r="Y18" s="829">
        <f>IFERROR(VLOOKUP($A18,'Playoff Stats Pivot'!$A:$AE,22,0),"")</f>
        <v>0</v>
      </c>
      <c r="Z18" s="829">
        <f>IFERROR(VLOOKUP($A18,'Playoff Stats Pivot'!$A:$AE,23,0),"")</f>
        <v>0</v>
      </c>
      <c r="AA18" s="829">
        <f>IFERROR(VLOOKUP($A18,'Playoff Stats Pivot'!$A:$AE,24,0),"")</f>
        <v>0</v>
      </c>
      <c r="AB18" s="829">
        <f>IFERROR(VLOOKUP($A18,'Playoff Stats Pivot'!$A:$AE,25,0),"")</f>
        <v>0</v>
      </c>
      <c r="AC18" s="829">
        <f>IFERROR(VLOOKUP($A18,'Playoff Stats Pivot'!$A:$AE,26,0),"")</f>
        <v>29</v>
      </c>
      <c r="AD18" s="829">
        <f>IFERROR(VLOOKUP($A18,'Playoff Stats Pivot'!$A:$AE,27,0),"")</f>
        <v>0</v>
      </c>
      <c r="AE18" s="829">
        <f>IFERROR(VLOOKUP($A18,'Playoff Stats Pivot'!$A:$AE,28,0),"")</f>
        <v>0</v>
      </c>
      <c r="AF18" s="829">
        <f>IFERROR(VLOOKUP($A18,'Playoff Stats Pivot'!$A:$AE,29,0),"")</f>
        <v>0</v>
      </c>
      <c r="AG18" s="829">
        <f>IFERROR(VLOOKUP($A18,'Playoff Stats Pivot'!$A:$AE,30,0),"")</f>
        <v>3</v>
      </c>
      <c r="AH18" s="829">
        <f>IFERROR(VLOOKUP($A18,'Playoff Stats Pivot'!$A:$AE,31,0),"")</f>
        <v>1</v>
      </c>
      <c r="AI18" s="833">
        <f t="shared" si="4"/>
        <v>4.598662207</v>
      </c>
      <c r="AJ18" s="833">
        <f t="shared" si="5"/>
        <v>0.2120401338</v>
      </c>
      <c r="AK18" s="833">
        <f t="shared" si="6"/>
        <v>0.08361204013</v>
      </c>
      <c r="AL18" s="833">
        <f t="shared" si="7"/>
        <v>1.651839465</v>
      </c>
      <c r="AM18" s="833">
        <f t="shared" si="8"/>
        <v>2.75</v>
      </c>
      <c r="AN18" s="833">
        <f t="shared" si="9"/>
        <v>0.0979020979</v>
      </c>
      <c r="AO18" s="833">
        <f t="shared" si="10"/>
        <v>0.01672240803</v>
      </c>
      <c r="AP18" s="833">
        <f t="shared" si="11"/>
        <v>0.2508361204</v>
      </c>
      <c r="AQ18" s="833" t="s">
        <v>336</v>
      </c>
      <c r="AR18" s="834" t="s">
        <v>359</v>
      </c>
    </row>
    <row r="19">
      <c r="A19" s="837" t="s">
        <v>66</v>
      </c>
      <c r="B19" s="829">
        <f t="shared" si="1"/>
        <v>2</v>
      </c>
      <c r="C19" s="829">
        <f>IFERROR(VLOOKUP($A19,'Playoff Stats Pivot'!$A:$AE,2,0),"")</f>
        <v>0</v>
      </c>
      <c r="D19" s="829">
        <f>IFERROR(VLOOKUP($A19,'Playoff Stats Pivot'!$A:$AE,3,0),"")</f>
        <v>2</v>
      </c>
      <c r="E19" s="829">
        <f>IFERROR(VLOOKUP($A19,'Playoff Stats Pivot'!$A:$AE,4,0),"")</f>
        <v>1</v>
      </c>
      <c r="F19" s="829">
        <f>IFERROR(VLOOKUP($A19,'Playoff Stats Pivot'!$A:$AE,5,0),"")</f>
        <v>16</v>
      </c>
      <c r="G19" s="829">
        <f>IFERROR(VLOOKUP($A19,'Playoff Stats Pivot'!$A:$AE,6,0),"")</f>
        <v>101</v>
      </c>
      <c r="H19" s="829">
        <f>IFERROR(VLOOKUP($A19,'Playoff Stats Pivot'!$A:$AE,7,0),"")</f>
        <v>134</v>
      </c>
      <c r="I19" s="829">
        <f>IFERROR(VLOOKUP($A19,'Playoff Stats Pivot'!$A:$AE,8,0),"")</f>
        <v>-33</v>
      </c>
      <c r="J19" s="830">
        <f t="shared" si="2"/>
        <v>0.7537313433</v>
      </c>
      <c r="K19" s="829">
        <f>IFERROR(VLOOKUP($A19,'Playoff Stats Pivot'!$A:$AE,9,0),"")</f>
        <v>0</v>
      </c>
      <c r="L19" s="829">
        <f>IFERROR(VLOOKUP($A19,'Playoff Stats Pivot'!$A:$AE,10,0),"")</f>
        <v>1926</v>
      </c>
      <c r="M19" s="830">
        <f t="shared" si="3"/>
        <v>10.37313433</v>
      </c>
      <c r="N19" s="829">
        <f>IFERROR(VLOOKUP($A19,'Playoff Stats Pivot'!$A:$AE,11,0),"")</f>
        <v>0</v>
      </c>
      <c r="O19" s="829">
        <f>IFERROR(VLOOKUP($A19,'Playoff Stats Pivot'!$A:$AE,12,0),"")</f>
        <v>0</v>
      </c>
      <c r="P19" s="829">
        <f>IFERROR(VLOOKUP($A19,'Playoff Stats Pivot'!$A:$AE,13,0),"")</f>
        <v>0</v>
      </c>
      <c r="Q19" s="829">
        <f>IFERROR(VLOOKUP($A19,'Playoff Stats Pivot'!$A:$AE,14,0),"")</f>
        <v>0</v>
      </c>
      <c r="R19" s="829">
        <f>IFERROR(VLOOKUP($A19,'Playoff Stats Pivot'!$A:$AE,15,0),"")</f>
        <v>0</v>
      </c>
      <c r="S19" s="829">
        <f>IFERROR(VLOOKUP($A19,'Playoff Stats Pivot'!$A:$AE,16,0),"")</f>
        <v>12</v>
      </c>
      <c r="T19" s="829">
        <f>IFERROR(VLOOKUP($A19,'Playoff Stats Pivot'!$A:$AE,17,0),"")</f>
        <v>3</v>
      </c>
      <c r="U19" s="829">
        <f>IFERROR(VLOOKUP($A19,'Playoff Stats Pivot'!$A:$AE,18,0),"")</f>
        <v>0</v>
      </c>
      <c r="V19" s="829">
        <f>IFERROR(VLOOKUP($A19,'Playoff Stats Pivot'!$A:$AE,19,0),"")</f>
        <v>0</v>
      </c>
      <c r="W19" s="829">
        <f>IFERROR(VLOOKUP($A19,'Playoff Stats Pivot'!$A:$AE,20,0),"")</f>
        <v>0</v>
      </c>
      <c r="X19" s="829">
        <f>IFERROR(VLOOKUP($A19,'Playoff Stats Pivot'!$A:$AE,21,0),"")</f>
        <v>0</v>
      </c>
      <c r="Y19" s="829">
        <f>IFERROR(VLOOKUP($A19,'Playoff Stats Pivot'!$A:$AE,22,0),"")</f>
        <v>0</v>
      </c>
      <c r="Z19" s="829">
        <f>IFERROR(VLOOKUP($A19,'Playoff Stats Pivot'!$A:$AE,23,0),"")</f>
        <v>0</v>
      </c>
      <c r="AA19" s="829">
        <f>IFERROR(VLOOKUP($A19,'Playoff Stats Pivot'!$A:$AE,24,0),"")</f>
        <v>0</v>
      </c>
      <c r="AB19" s="829">
        <f>IFERROR(VLOOKUP($A19,'Playoff Stats Pivot'!$A:$AE,25,0),"")</f>
        <v>0</v>
      </c>
      <c r="AC19" s="829">
        <f>IFERROR(VLOOKUP($A19,'Playoff Stats Pivot'!$A:$AE,26,0),"")</f>
        <v>14</v>
      </c>
      <c r="AD19" s="829">
        <f>IFERROR(VLOOKUP($A19,'Playoff Stats Pivot'!$A:$AE,27,0),"")</f>
        <v>0</v>
      </c>
      <c r="AE19" s="829">
        <f>IFERROR(VLOOKUP($A19,'Playoff Stats Pivot'!$A:$AE,28,0),"")</f>
        <v>0</v>
      </c>
      <c r="AF19" s="829">
        <f>IFERROR(VLOOKUP($A19,'Playoff Stats Pivot'!$A:$AE,29,0),"")</f>
        <v>0</v>
      </c>
      <c r="AG19" s="829">
        <f>IFERROR(VLOOKUP($A19,'Playoff Stats Pivot'!$A:$AE,30,0),"")</f>
        <v>2</v>
      </c>
      <c r="AH19" s="829">
        <f>IFERROR(VLOOKUP($A19,'Playoff Stats Pivot'!$A:$AE,31,0),"")</f>
        <v>0</v>
      </c>
      <c r="AI19" s="833">
        <f t="shared" si="4"/>
        <v>7.320872274</v>
      </c>
      <c r="AJ19" s="833">
        <f t="shared" si="5"/>
        <v>0.07725856698</v>
      </c>
      <c r="AK19" s="833">
        <f t="shared" si="6"/>
        <v>0</v>
      </c>
      <c r="AL19" s="833" t="str">
        <f t="shared" si="7"/>
        <v/>
      </c>
      <c r="AM19" s="833">
        <f t="shared" si="8"/>
        <v>0.5</v>
      </c>
      <c r="AN19" s="833">
        <f t="shared" si="9"/>
        <v>0.1485148515</v>
      </c>
      <c r="AO19" s="833">
        <f t="shared" si="10"/>
        <v>0.008307372793</v>
      </c>
      <c r="AP19" s="833">
        <f t="shared" si="11"/>
        <v>-1.028037383</v>
      </c>
      <c r="AQ19" s="833" t="s">
        <v>336</v>
      </c>
      <c r="AR19" s="834" t="s">
        <v>360</v>
      </c>
    </row>
    <row r="20">
      <c r="A20" s="837" t="s">
        <v>48</v>
      </c>
      <c r="B20" s="829">
        <f t="shared" si="1"/>
        <v>7</v>
      </c>
      <c r="C20" s="829">
        <f>IFERROR(VLOOKUP($A20,'Playoff Stats Pivot'!$A:$AE,2,0),"")</f>
        <v>7</v>
      </c>
      <c r="D20" s="829">
        <f>IFERROR(VLOOKUP($A20,'Playoff Stats Pivot'!$A:$AE,3,0),"")</f>
        <v>0</v>
      </c>
      <c r="E20" s="829">
        <f>IFERROR(VLOOKUP($A20,'Playoff Stats Pivot'!$A:$AE,4,0),"")</f>
        <v>9</v>
      </c>
      <c r="F20" s="829">
        <f>IFERROR(VLOOKUP($A20,'Playoff Stats Pivot'!$A:$AE,5,0),"")</f>
        <v>17</v>
      </c>
      <c r="G20" s="829">
        <f>IFERROR(VLOOKUP($A20,'Playoff Stats Pivot'!$A:$AE,6,0),"")</f>
        <v>297</v>
      </c>
      <c r="H20" s="829">
        <f>IFERROR(VLOOKUP($A20,'Playoff Stats Pivot'!$A:$AE,7,0),"")</f>
        <v>372</v>
      </c>
      <c r="I20" s="829">
        <f>IFERROR(VLOOKUP($A20,'Playoff Stats Pivot'!$A:$AE,8,0),"")</f>
        <v>-75</v>
      </c>
      <c r="J20" s="830">
        <f t="shared" si="2"/>
        <v>0.7983870968</v>
      </c>
      <c r="K20" s="829">
        <f>IFERROR(VLOOKUP($A20,'Playoff Stats Pivot'!$A:$AE,9,0),"")</f>
        <v>0</v>
      </c>
      <c r="L20" s="829">
        <f>IFERROR(VLOOKUP($A20,'Playoff Stats Pivot'!$A:$AE,10,0),"")</f>
        <v>6685</v>
      </c>
      <c r="M20" s="830">
        <f t="shared" si="3"/>
        <v>13.97043011</v>
      </c>
      <c r="N20" s="829">
        <f>IFERROR(VLOOKUP($A20,'Playoff Stats Pivot'!$A:$AE,11,0),"")</f>
        <v>5</v>
      </c>
      <c r="O20" s="829">
        <f>IFERROR(VLOOKUP($A20,'Playoff Stats Pivot'!$A:$AE,12,0),"")</f>
        <v>0</v>
      </c>
      <c r="P20" s="829">
        <f>IFERROR(VLOOKUP($A20,'Playoff Stats Pivot'!$A:$AE,13,0),"")</f>
        <v>0</v>
      </c>
      <c r="Q20" s="829">
        <f>IFERROR(VLOOKUP($A20,'Playoff Stats Pivot'!$A:$AE,14,0),"")</f>
        <v>0</v>
      </c>
      <c r="R20" s="829">
        <f>IFERROR(VLOOKUP($A20,'Playoff Stats Pivot'!$A:$AE,15,0),"")</f>
        <v>3</v>
      </c>
      <c r="S20" s="829">
        <f>IFERROR(VLOOKUP($A20,'Playoff Stats Pivot'!$A:$AE,16,0),"")</f>
        <v>45</v>
      </c>
      <c r="T20" s="829">
        <f>IFERROR(VLOOKUP($A20,'Playoff Stats Pivot'!$A:$AE,17,0),"")</f>
        <v>13</v>
      </c>
      <c r="U20" s="829">
        <f>IFERROR(VLOOKUP($A20,'Playoff Stats Pivot'!$A:$AE,18,0),"")</f>
        <v>2</v>
      </c>
      <c r="V20" s="829">
        <f>IFERROR(VLOOKUP($A20,'Playoff Stats Pivot'!$A:$AE,19,0),"")</f>
        <v>0</v>
      </c>
      <c r="W20" s="829">
        <f>IFERROR(VLOOKUP($A20,'Playoff Stats Pivot'!$A:$AE,20,0),"")</f>
        <v>0</v>
      </c>
      <c r="X20" s="829">
        <f>IFERROR(VLOOKUP($A20,'Playoff Stats Pivot'!$A:$AE,21,0),"")</f>
        <v>0</v>
      </c>
      <c r="Y20" s="829">
        <f>IFERROR(VLOOKUP($A20,'Playoff Stats Pivot'!$A:$AE,22,0),"")</f>
        <v>0</v>
      </c>
      <c r="Z20" s="829">
        <f>IFERROR(VLOOKUP($A20,'Playoff Stats Pivot'!$A:$AE,23,0),"")</f>
        <v>0</v>
      </c>
      <c r="AA20" s="829">
        <f>IFERROR(VLOOKUP($A20,'Playoff Stats Pivot'!$A:$AE,24,0),"")</f>
        <v>0</v>
      </c>
      <c r="AB20" s="829">
        <f>IFERROR(VLOOKUP($A20,'Playoff Stats Pivot'!$A:$AE,25,0),"")</f>
        <v>1</v>
      </c>
      <c r="AC20" s="829">
        <f>IFERROR(VLOOKUP($A20,'Playoff Stats Pivot'!$A:$AE,26,0),"")</f>
        <v>39</v>
      </c>
      <c r="AD20" s="829">
        <f>IFERROR(VLOOKUP($A20,'Playoff Stats Pivot'!$A:$AE,27,0),"")</f>
        <v>0</v>
      </c>
      <c r="AE20" s="829">
        <f>IFERROR(VLOOKUP($A20,'Playoff Stats Pivot'!$A:$AE,28,0),"")</f>
        <v>0</v>
      </c>
      <c r="AF20" s="829">
        <f>IFERROR(VLOOKUP($A20,'Playoff Stats Pivot'!$A:$AE,29,0),"")</f>
        <v>0</v>
      </c>
      <c r="AG20" s="829">
        <f>IFERROR(VLOOKUP($A20,'Playoff Stats Pivot'!$A:$AE,30,0),"")</f>
        <v>3</v>
      </c>
      <c r="AH20" s="829">
        <f>IFERROR(VLOOKUP($A20,'Playoff Stats Pivot'!$A:$AE,31,0),"")</f>
        <v>0</v>
      </c>
      <c r="AI20" s="833">
        <f t="shared" si="4"/>
        <v>6.004487659</v>
      </c>
      <c r="AJ20" s="833">
        <f t="shared" si="5"/>
        <v>0.1102169035</v>
      </c>
      <c r="AK20" s="833">
        <f t="shared" si="6"/>
        <v>0.04487658938</v>
      </c>
      <c r="AL20" s="833">
        <f t="shared" si="7"/>
        <v>0.2032909499</v>
      </c>
      <c r="AM20" s="833">
        <f t="shared" si="8"/>
        <v>1.285714286</v>
      </c>
      <c r="AN20" s="833">
        <f t="shared" si="9"/>
        <v>0.202020202</v>
      </c>
      <c r="AO20" s="833">
        <f t="shared" si="10"/>
        <v>0.002543006731</v>
      </c>
      <c r="AP20" s="833">
        <f t="shared" si="11"/>
        <v>-0.6731488407</v>
      </c>
      <c r="AQ20" s="833" t="s">
        <v>171</v>
      </c>
      <c r="AR20" s="834" t="s">
        <v>362</v>
      </c>
    </row>
    <row r="21">
      <c r="A21" s="838" t="s">
        <v>54</v>
      </c>
      <c r="B21" s="829">
        <f t="shared" si="1"/>
        <v>4</v>
      </c>
      <c r="C21" s="829">
        <f>IFERROR(VLOOKUP($A21,'Playoff Stats Pivot'!$A:$AE,2,0),"")</f>
        <v>2</v>
      </c>
      <c r="D21" s="829">
        <f>IFERROR(VLOOKUP($A21,'Playoff Stats Pivot'!$A:$AE,3,0),"")</f>
        <v>2</v>
      </c>
      <c r="E21" s="829">
        <f>IFERROR(VLOOKUP($A21,'Playoff Stats Pivot'!$A:$AE,4,0),"")</f>
        <v>3</v>
      </c>
      <c r="F21" s="829">
        <f>IFERROR(VLOOKUP($A21,'Playoff Stats Pivot'!$A:$AE,5,0),"")</f>
        <v>5</v>
      </c>
      <c r="G21" s="829">
        <f>IFERROR(VLOOKUP($A21,'Playoff Stats Pivot'!$A:$AE,6,0),"")</f>
        <v>254</v>
      </c>
      <c r="H21" s="829">
        <f>IFERROR(VLOOKUP($A21,'Playoff Stats Pivot'!$A:$AE,7,0),"")</f>
        <v>208</v>
      </c>
      <c r="I21" s="829">
        <f>IFERROR(VLOOKUP($A21,'Playoff Stats Pivot'!$A:$AE,8,0),"")</f>
        <v>46</v>
      </c>
      <c r="J21" s="830">
        <f t="shared" si="2"/>
        <v>1.221153846</v>
      </c>
      <c r="K21" s="829">
        <f>IFERROR(VLOOKUP($A21,'Playoff Stats Pivot'!$A:$AE,9,0),"")</f>
        <v>0</v>
      </c>
      <c r="L21" s="829">
        <f>IFERROR(VLOOKUP($A21,'Playoff Stats Pivot'!$A:$AE,10,0),"")</f>
        <v>3588</v>
      </c>
      <c r="M21" s="830">
        <f t="shared" si="3"/>
        <v>13.25</v>
      </c>
      <c r="N21" s="829">
        <f>IFERROR(VLOOKUP($A21,'Playoff Stats Pivot'!$A:$AE,11,0),"")</f>
        <v>12</v>
      </c>
      <c r="O21" s="829">
        <f>IFERROR(VLOOKUP($A21,'Playoff Stats Pivot'!$A:$AE,12,0),"")</f>
        <v>0</v>
      </c>
      <c r="P21" s="829">
        <f>IFERROR(VLOOKUP($A21,'Playoff Stats Pivot'!$A:$AE,13,0),"")</f>
        <v>0</v>
      </c>
      <c r="Q21" s="829">
        <f>IFERROR(VLOOKUP($A21,'Playoff Stats Pivot'!$A:$AE,14,0),"")</f>
        <v>0</v>
      </c>
      <c r="R21" s="829">
        <f>IFERROR(VLOOKUP($A21,'Playoff Stats Pivot'!$A:$AE,15,0),"")</f>
        <v>6</v>
      </c>
      <c r="S21" s="829">
        <f>IFERROR(VLOOKUP($A21,'Playoff Stats Pivot'!$A:$AE,16,0),"")</f>
        <v>64</v>
      </c>
      <c r="T21" s="829">
        <f>IFERROR(VLOOKUP($A21,'Playoff Stats Pivot'!$A:$AE,17,0),"")</f>
        <v>22</v>
      </c>
      <c r="U21" s="829">
        <f>IFERROR(VLOOKUP($A21,'Playoff Stats Pivot'!$A:$AE,18,0),"")</f>
        <v>9</v>
      </c>
      <c r="V21" s="829">
        <f>IFERROR(VLOOKUP($A21,'Playoff Stats Pivot'!$A:$AE,19,0),"")</f>
        <v>2</v>
      </c>
      <c r="W21" s="829">
        <f>IFERROR(VLOOKUP($A21,'Playoff Stats Pivot'!$A:$AE,20,0),"")</f>
        <v>1</v>
      </c>
      <c r="X21" s="829">
        <f>IFERROR(VLOOKUP($A21,'Playoff Stats Pivot'!$A:$AE,21,0),"")</f>
        <v>0</v>
      </c>
      <c r="Y21" s="829">
        <f>IFERROR(VLOOKUP($A21,'Playoff Stats Pivot'!$A:$AE,22,0),"")</f>
        <v>0</v>
      </c>
      <c r="Z21" s="829">
        <f>IFERROR(VLOOKUP($A21,'Playoff Stats Pivot'!$A:$AE,23,0),"")</f>
        <v>0</v>
      </c>
      <c r="AA21" s="829">
        <f>IFERROR(VLOOKUP($A21,'Playoff Stats Pivot'!$A:$AE,24,0),"")</f>
        <v>0</v>
      </c>
      <c r="AB21" s="829">
        <f>IFERROR(VLOOKUP($A21,'Playoff Stats Pivot'!$A:$AE,25,0),"")</f>
        <v>0</v>
      </c>
      <c r="AC21" s="829">
        <f>IFERROR(VLOOKUP($A21,'Playoff Stats Pivot'!$A:$AE,26,0),"")</f>
        <v>38</v>
      </c>
      <c r="AD21" s="829">
        <f>IFERROR(VLOOKUP($A21,'Playoff Stats Pivot'!$A:$AE,27,0),"")</f>
        <v>0</v>
      </c>
      <c r="AE21" s="829">
        <f>IFERROR(VLOOKUP($A21,'Playoff Stats Pivot'!$A:$AE,28,0),"")</f>
        <v>0</v>
      </c>
      <c r="AF21" s="829">
        <f>IFERROR(VLOOKUP($A21,'Playoff Stats Pivot'!$A:$AE,29,0),"")</f>
        <v>0</v>
      </c>
      <c r="AG21" s="829">
        <f>IFERROR(VLOOKUP($A21,'Playoff Stats Pivot'!$A:$AE,30,0),"")</f>
        <v>2</v>
      </c>
      <c r="AH21" s="829">
        <f>IFERROR(VLOOKUP($A21,'Playoff Stats Pivot'!$A:$AE,31,0),"")</f>
        <v>1</v>
      </c>
      <c r="AI21" s="833">
        <f t="shared" si="4"/>
        <v>7.725752508</v>
      </c>
      <c r="AJ21" s="833">
        <f t="shared" si="5"/>
        <v>0.1324414716</v>
      </c>
      <c r="AK21" s="833">
        <f t="shared" si="6"/>
        <v>0.2006688963</v>
      </c>
      <c r="AL21" s="833">
        <f t="shared" si="7"/>
        <v>3.0090301</v>
      </c>
      <c r="AM21" s="833">
        <f t="shared" si="8"/>
        <v>0.75</v>
      </c>
      <c r="AN21" s="833">
        <f t="shared" si="9"/>
        <v>0.3858267717</v>
      </c>
      <c r="AO21" s="833">
        <f t="shared" si="10"/>
        <v>0.001393534002</v>
      </c>
      <c r="AP21" s="833">
        <f t="shared" si="11"/>
        <v>0.7692307692</v>
      </c>
      <c r="AQ21" s="833" t="s">
        <v>171</v>
      </c>
      <c r="AR21" s="834" t="s">
        <v>363</v>
      </c>
    </row>
    <row r="22">
      <c r="A22" s="837" t="s">
        <v>160</v>
      </c>
      <c r="B22" s="829">
        <f t="shared" si="1"/>
        <v>2</v>
      </c>
      <c r="C22" s="829">
        <f>IFERROR(VLOOKUP($A22,'Playoff Stats Pivot'!$A:$AE,2,0),"")</f>
        <v>0</v>
      </c>
      <c r="D22" s="829">
        <f>IFERROR(VLOOKUP($A22,'Playoff Stats Pivot'!$A:$AE,3,0),"")</f>
        <v>2</v>
      </c>
      <c r="E22" s="829">
        <f>IFERROR(VLOOKUP($A22,'Playoff Stats Pivot'!$A:$AE,4,0),"")</f>
        <v>1</v>
      </c>
      <c r="F22" s="829">
        <f>IFERROR(VLOOKUP($A22,'Playoff Stats Pivot'!$A:$AE,5,0),"")</f>
        <v>4</v>
      </c>
      <c r="G22" s="829">
        <f>IFERROR(VLOOKUP($A22,'Playoff Stats Pivot'!$A:$AE,6,0),"")</f>
        <v>149</v>
      </c>
      <c r="H22" s="829">
        <f>IFERROR(VLOOKUP($A22,'Playoff Stats Pivot'!$A:$AE,7,0),"")</f>
        <v>213</v>
      </c>
      <c r="I22" s="829">
        <f>IFERROR(VLOOKUP($A22,'Playoff Stats Pivot'!$A:$AE,8,0),"")</f>
        <v>-64</v>
      </c>
      <c r="J22" s="830">
        <f t="shared" si="2"/>
        <v>0.6995305164</v>
      </c>
      <c r="K22" s="829">
        <f>IFERROR(VLOOKUP($A22,'Playoff Stats Pivot'!$A:$AE,9,0),"")</f>
        <v>0</v>
      </c>
      <c r="L22" s="829">
        <f>IFERROR(VLOOKUP($A22,'Playoff Stats Pivot'!$A:$AE,10,0),"")</f>
        <v>3229</v>
      </c>
      <c r="M22" s="830">
        <f t="shared" si="3"/>
        <v>11.15962441</v>
      </c>
      <c r="N22" s="829">
        <f>IFERROR(VLOOKUP($A22,'Playoff Stats Pivot'!$A:$AE,11,0),"")</f>
        <v>1</v>
      </c>
      <c r="O22" s="829">
        <f>IFERROR(VLOOKUP($A22,'Playoff Stats Pivot'!$A:$AE,12,0),"")</f>
        <v>0</v>
      </c>
      <c r="P22" s="829">
        <f>IFERROR(VLOOKUP($A22,'Playoff Stats Pivot'!$A:$AE,13,0),"")</f>
        <v>0</v>
      </c>
      <c r="Q22" s="829">
        <f>IFERROR(VLOOKUP($A22,'Playoff Stats Pivot'!$A:$AE,14,0),"")</f>
        <v>0</v>
      </c>
      <c r="R22" s="829">
        <f>IFERROR(VLOOKUP($A22,'Playoff Stats Pivot'!$A:$AE,15,0),"")</f>
        <v>2</v>
      </c>
      <c r="S22" s="829">
        <f>IFERROR(VLOOKUP($A22,'Playoff Stats Pivot'!$A:$AE,16,0),"")</f>
        <v>28</v>
      </c>
      <c r="T22" s="829">
        <f>IFERROR(VLOOKUP($A22,'Playoff Stats Pivot'!$A:$AE,17,0),"")</f>
        <v>3</v>
      </c>
      <c r="U22" s="829">
        <f>IFERROR(VLOOKUP($A22,'Playoff Stats Pivot'!$A:$AE,18,0),"")</f>
        <v>1</v>
      </c>
      <c r="V22" s="829">
        <f>IFERROR(VLOOKUP($A22,'Playoff Stats Pivot'!$A:$AE,19,0),"")</f>
        <v>0</v>
      </c>
      <c r="W22" s="829">
        <f>IFERROR(VLOOKUP($A22,'Playoff Stats Pivot'!$A:$AE,20,0),"")</f>
        <v>0</v>
      </c>
      <c r="X22" s="829">
        <f>IFERROR(VLOOKUP($A22,'Playoff Stats Pivot'!$A:$AE,21,0),"")</f>
        <v>0</v>
      </c>
      <c r="Y22" s="829">
        <f>IFERROR(VLOOKUP($A22,'Playoff Stats Pivot'!$A:$AE,22,0),"")</f>
        <v>0</v>
      </c>
      <c r="Z22" s="829">
        <f>IFERROR(VLOOKUP($A22,'Playoff Stats Pivot'!$A:$AE,23,0),"")</f>
        <v>0</v>
      </c>
      <c r="AA22" s="829">
        <f>IFERROR(VLOOKUP($A22,'Playoff Stats Pivot'!$A:$AE,24,0),"")</f>
        <v>0</v>
      </c>
      <c r="AB22" s="829">
        <f>IFERROR(VLOOKUP($A22,'Playoff Stats Pivot'!$A:$AE,25,0),"")</f>
        <v>0</v>
      </c>
      <c r="AC22" s="829">
        <f>IFERROR(VLOOKUP($A22,'Playoff Stats Pivot'!$A:$AE,26,0),"")</f>
        <v>21</v>
      </c>
      <c r="AD22" s="829">
        <f>IFERROR(VLOOKUP($A22,'Playoff Stats Pivot'!$A:$AE,27,0),"")</f>
        <v>0</v>
      </c>
      <c r="AE22" s="829">
        <f>IFERROR(VLOOKUP($A22,'Playoff Stats Pivot'!$A:$AE,28,0),"")</f>
        <v>0</v>
      </c>
      <c r="AF22" s="829">
        <f>IFERROR(VLOOKUP($A22,'Playoff Stats Pivot'!$A:$AE,29,0),"")</f>
        <v>1</v>
      </c>
      <c r="AG22" s="829">
        <f>IFERROR(VLOOKUP($A22,'Playoff Stats Pivot'!$A:$AE,30,0),"")</f>
        <v>4</v>
      </c>
      <c r="AH22" s="829">
        <f>IFERROR(VLOOKUP($A22,'Playoff Stats Pivot'!$A:$AE,31,0),"")</f>
        <v>0</v>
      </c>
      <c r="AI22" s="833">
        <f t="shared" si="4"/>
        <v>6.726540725</v>
      </c>
      <c r="AJ22" s="833">
        <f t="shared" si="5"/>
        <v>0.06317745432</v>
      </c>
      <c r="AK22" s="833">
        <f t="shared" si="6"/>
        <v>0.01858160421</v>
      </c>
      <c r="AL22" s="833" t="str">
        <f t="shared" si="7"/>
        <v/>
      </c>
      <c r="AM22" s="833">
        <f t="shared" si="8"/>
        <v>0.5</v>
      </c>
      <c r="AN22" s="833">
        <f t="shared" si="9"/>
        <v>0.2147651007</v>
      </c>
      <c r="AO22" s="833">
        <f t="shared" si="10"/>
        <v>0.001238773614</v>
      </c>
      <c r="AP22" s="833">
        <f t="shared" si="11"/>
        <v>-1.18922267</v>
      </c>
      <c r="AQ22" s="833" t="s">
        <v>338</v>
      </c>
      <c r="AR22" s="834" t="s">
        <v>364</v>
      </c>
    </row>
    <row r="23">
      <c r="A23" s="838" t="s">
        <v>74</v>
      </c>
      <c r="B23" s="829">
        <f t="shared" si="1"/>
        <v>2</v>
      </c>
      <c r="C23" s="829">
        <f>IFERROR(VLOOKUP($A23,'Playoff Stats Pivot'!$A:$AE,2,0),"")</f>
        <v>0</v>
      </c>
      <c r="D23" s="829">
        <f>IFERROR(VLOOKUP($A23,'Playoff Stats Pivot'!$A:$AE,3,0),"")</f>
        <v>2</v>
      </c>
      <c r="E23" s="829">
        <f>IFERROR(VLOOKUP($A23,'Playoff Stats Pivot'!$A:$AE,4,0),"")</f>
        <v>2</v>
      </c>
      <c r="F23" s="829">
        <f>IFERROR(VLOOKUP($A23,'Playoff Stats Pivot'!$A:$AE,5,0),"")</f>
        <v>2</v>
      </c>
      <c r="G23" s="829">
        <f>IFERROR(VLOOKUP($A23,'Playoff Stats Pivot'!$A:$AE,6,0),"")</f>
        <v>129</v>
      </c>
      <c r="H23" s="829">
        <f>IFERROR(VLOOKUP($A23,'Playoff Stats Pivot'!$A:$AE,7,0),"")</f>
        <v>216</v>
      </c>
      <c r="I23" s="829">
        <f>IFERROR(VLOOKUP($A23,'Playoff Stats Pivot'!$A:$AE,8,0),"")</f>
        <v>-87</v>
      </c>
      <c r="J23" s="830">
        <f t="shared" si="2"/>
        <v>0.5972222222</v>
      </c>
      <c r="K23" s="829">
        <f>IFERROR(VLOOKUP($A23,'Playoff Stats Pivot'!$A:$AE,9,0),"")</f>
        <v>0</v>
      </c>
      <c r="L23" s="829">
        <f>IFERROR(VLOOKUP($A23,'Playoff Stats Pivot'!$A:$AE,10,0),"")</f>
        <v>3229</v>
      </c>
      <c r="M23" s="830">
        <f t="shared" si="3"/>
        <v>10.94907407</v>
      </c>
      <c r="N23" s="829">
        <f>IFERROR(VLOOKUP($A23,'Playoff Stats Pivot'!$A:$AE,11,0),"")</f>
        <v>1</v>
      </c>
      <c r="O23" s="829">
        <f>IFERROR(VLOOKUP($A23,'Playoff Stats Pivot'!$A:$AE,12,0),"")</f>
        <v>0</v>
      </c>
      <c r="P23" s="829">
        <f>IFERROR(VLOOKUP($A23,'Playoff Stats Pivot'!$A:$AE,13,0),"")</f>
        <v>0</v>
      </c>
      <c r="Q23" s="829">
        <f>IFERROR(VLOOKUP($A23,'Playoff Stats Pivot'!$A:$AE,14,0),"")</f>
        <v>0</v>
      </c>
      <c r="R23" s="829">
        <f>IFERROR(VLOOKUP($A23,'Playoff Stats Pivot'!$A:$AE,15,0),"")</f>
        <v>1</v>
      </c>
      <c r="S23" s="829">
        <f>IFERROR(VLOOKUP($A23,'Playoff Stats Pivot'!$A:$AE,16,0),"")</f>
        <v>17</v>
      </c>
      <c r="T23" s="829">
        <f>IFERROR(VLOOKUP($A23,'Playoff Stats Pivot'!$A:$AE,17,0),"")</f>
        <v>2</v>
      </c>
      <c r="U23" s="829">
        <f>IFERROR(VLOOKUP($A23,'Playoff Stats Pivot'!$A:$AE,18,0),"")</f>
        <v>0</v>
      </c>
      <c r="V23" s="829">
        <f>IFERROR(VLOOKUP($A23,'Playoff Stats Pivot'!$A:$AE,19,0),"")</f>
        <v>0</v>
      </c>
      <c r="W23" s="829">
        <f>IFERROR(VLOOKUP($A23,'Playoff Stats Pivot'!$A:$AE,20,0),"")</f>
        <v>0</v>
      </c>
      <c r="X23" s="829">
        <f>IFERROR(VLOOKUP($A23,'Playoff Stats Pivot'!$A:$AE,21,0),"")</f>
        <v>0</v>
      </c>
      <c r="Y23" s="829">
        <f>IFERROR(VLOOKUP($A23,'Playoff Stats Pivot'!$A:$AE,22,0),"")</f>
        <v>0</v>
      </c>
      <c r="Z23" s="829">
        <f>IFERROR(VLOOKUP($A23,'Playoff Stats Pivot'!$A:$AE,23,0),"")</f>
        <v>0</v>
      </c>
      <c r="AA23" s="829">
        <f>IFERROR(VLOOKUP($A23,'Playoff Stats Pivot'!$A:$AE,24,0),"")</f>
        <v>0</v>
      </c>
      <c r="AB23" s="829">
        <f>IFERROR(VLOOKUP($A23,'Playoff Stats Pivot'!$A:$AE,25,0),"")</f>
        <v>0</v>
      </c>
      <c r="AC23" s="829">
        <f>IFERROR(VLOOKUP($A23,'Playoff Stats Pivot'!$A:$AE,26,0),"")</f>
        <v>12</v>
      </c>
      <c r="AD23" s="829">
        <f>IFERROR(VLOOKUP($A23,'Playoff Stats Pivot'!$A:$AE,27,0),"")</f>
        <v>0</v>
      </c>
      <c r="AE23" s="829">
        <f>IFERROR(VLOOKUP($A23,'Playoff Stats Pivot'!$A:$AE,28,0),"")</f>
        <v>0</v>
      </c>
      <c r="AF23" s="829">
        <f>IFERROR(VLOOKUP($A23,'Playoff Stats Pivot'!$A:$AE,29,0),"")</f>
        <v>0</v>
      </c>
      <c r="AG23" s="829">
        <f>IFERROR(VLOOKUP($A23,'Playoff Stats Pivot'!$A:$AE,30,0),"")</f>
        <v>7</v>
      </c>
      <c r="AH23" s="829">
        <f>IFERROR(VLOOKUP($A23,'Playoff Stats Pivot'!$A:$AE,31,0),"")</f>
        <v>0</v>
      </c>
      <c r="AI23" s="833">
        <f t="shared" si="4"/>
        <v>6.410653453</v>
      </c>
      <c r="AJ23" s="833">
        <f t="shared" si="5"/>
        <v>0.05797460514</v>
      </c>
      <c r="AK23" s="833">
        <f t="shared" si="6"/>
        <v>0.01858160421</v>
      </c>
      <c r="AL23" s="833" t="str">
        <f t="shared" si="7"/>
        <v/>
      </c>
      <c r="AM23" s="833">
        <f t="shared" si="8"/>
        <v>1</v>
      </c>
      <c r="AN23" s="833">
        <f t="shared" si="9"/>
        <v>0.1472868217</v>
      </c>
      <c r="AO23" s="833">
        <f t="shared" si="10"/>
        <v>0.0006193868071</v>
      </c>
      <c r="AP23" s="833">
        <f t="shared" si="11"/>
        <v>-1.616599566</v>
      </c>
      <c r="AQ23" s="833" t="s">
        <v>336</v>
      </c>
      <c r="AR23" s="834" t="s">
        <v>365</v>
      </c>
    </row>
    <row r="24">
      <c r="A24" s="850" t="s">
        <v>93</v>
      </c>
      <c r="B24" s="829">
        <f t="shared" si="1"/>
        <v>2</v>
      </c>
      <c r="C24" s="829">
        <f>IFERROR(VLOOKUP($A24,'Playoff Stats Pivot'!$A:$AE,2,0),"")</f>
        <v>0</v>
      </c>
      <c r="D24" s="829">
        <f>IFERROR(VLOOKUP($A24,'Playoff Stats Pivot'!$A:$AE,3,0),"")</f>
        <v>2</v>
      </c>
      <c r="E24" s="829">
        <f>IFERROR(VLOOKUP($A24,'Playoff Stats Pivot'!$A:$AE,4,0),"")</f>
        <v>0</v>
      </c>
      <c r="F24" s="829">
        <f>IFERROR(VLOOKUP($A24,'Playoff Stats Pivot'!$A:$AE,5,0),"")</f>
        <v>2</v>
      </c>
      <c r="G24" s="829">
        <f>IFERROR(VLOOKUP($A24,'Playoff Stats Pivot'!$A:$AE,6,0),"")</f>
        <v>90</v>
      </c>
      <c r="H24" s="829">
        <f>IFERROR(VLOOKUP($A24,'Playoff Stats Pivot'!$A:$AE,7,0),"")</f>
        <v>123</v>
      </c>
      <c r="I24" s="829">
        <f>IFERROR(VLOOKUP($A24,'Playoff Stats Pivot'!$A:$AE,8,0),"")</f>
        <v>-33</v>
      </c>
      <c r="J24" s="830">
        <f t="shared" si="2"/>
        <v>0.7317073171</v>
      </c>
      <c r="K24" s="829">
        <f>IFERROR(VLOOKUP($A24,'Playoff Stats Pivot'!$A:$AE,9,0),"")</f>
        <v>1</v>
      </c>
      <c r="L24" s="829">
        <f>IFERROR(VLOOKUP($A24,'Playoff Stats Pivot'!$A:$AE,10,0),"")</f>
        <v>1926</v>
      </c>
      <c r="M24" s="830">
        <f t="shared" si="3"/>
        <v>11.65853659</v>
      </c>
      <c r="N24" s="829">
        <f>IFERROR(VLOOKUP($A24,'Playoff Stats Pivot'!$A:$AE,11,0),"")</f>
        <v>1</v>
      </c>
      <c r="O24" s="829">
        <f>IFERROR(VLOOKUP($A24,'Playoff Stats Pivot'!$A:$AE,12,0),"")</f>
        <v>0</v>
      </c>
      <c r="P24" s="829">
        <f>IFERROR(VLOOKUP($A24,'Playoff Stats Pivot'!$A:$AE,13,0),"")</f>
        <v>0</v>
      </c>
      <c r="Q24" s="829">
        <f>IFERROR(VLOOKUP($A24,'Playoff Stats Pivot'!$A:$AE,14,0),"")</f>
        <v>0</v>
      </c>
      <c r="R24" s="829">
        <f>IFERROR(VLOOKUP($A24,'Playoff Stats Pivot'!$A:$AE,15,0),"")</f>
        <v>0</v>
      </c>
      <c r="S24" s="829">
        <f>IFERROR(VLOOKUP($A24,'Playoff Stats Pivot'!$A:$AE,16,0),"")</f>
        <v>9</v>
      </c>
      <c r="T24" s="829">
        <f>IFERROR(VLOOKUP($A24,'Playoff Stats Pivot'!$A:$AE,17,0),"")</f>
        <v>3</v>
      </c>
      <c r="U24" s="829">
        <f>IFERROR(VLOOKUP($A24,'Playoff Stats Pivot'!$A:$AE,18,0),"")</f>
        <v>1</v>
      </c>
      <c r="V24" s="829">
        <f>IFERROR(VLOOKUP($A24,'Playoff Stats Pivot'!$A:$AE,19,0),"")</f>
        <v>0</v>
      </c>
      <c r="W24" s="829">
        <f>IFERROR(VLOOKUP($A24,'Playoff Stats Pivot'!$A:$AE,20,0),"")</f>
        <v>0</v>
      </c>
      <c r="X24" s="829">
        <f>IFERROR(VLOOKUP($A24,'Playoff Stats Pivot'!$A:$AE,21,0),"")</f>
        <v>0</v>
      </c>
      <c r="Y24" s="829">
        <f>IFERROR(VLOOKUP($A24,'Playoff Stats Pivot'!$A:$AE,22,0),"")</f>
        <v>0</v>
      </c>
      <c r="Z24" s="829">
        <f>IFERROR(VLOOKUP($A24,'Playoff Stats Pivot'!$A:$AE,23,0),"")</f>
        <v>0</v>
      </c>
      <c r="AA24" s="829">
        <f>IFERROR(VLOOKUP($A24,'Playoff Stats Pivot'!$A:$AE,24,0),"")</f>
        <v>0</v>
      </c>
      <c r="AB24" s="829">
        <f>IFERROR(VLOOKUP($A24,'Playoff Stats Pivot'!$A:$AE,25,0),"")</f>
        <v>0</v>
      </c>
      <c r="AC24" s="829">
        <f>IFERROR(VLOOKUP($A24,'Playoff Stats Pivot'!$A:$AE,26,0),"")</f>
        <v>14</v>
      </c>
      <c r="AD24" s="829">
        <f>IFERROR(VLOOKUP($A24,'Playoff Stats Pivot'!$A:$AE,27,0),"")</f>
        <v>0</v>
      </c>
      <c r="AE24" s="829">
        <f>IFERROR(VLOOKUP($A24,'Playoff Stats Pivot'!$A:$AE,28,0),"")</f>
        <v>0</v>
      </c>
      <c r="AF24" s="829">
        <f>IFERROR(VLOOKUP($A24,'Playoff Stats Pivot'!$A:$AE,29,0),"")</f>
        <v>0</v>
      </c>
      <c r="AG24" s="829">
        <f>IFERROR(VLOOKUP($A24,'Playoff Stats Pivot'!$A:$AE,30,0),"")</f>
        <v>0</v>
      </c>
      <c r="AH24" s="829">
        <f>IFERROR(VLOOKUP($A24,'Playoff Stats Pivot'!$A:$AE,31,0),"")</f>
        <v>1</v>
      </c>
      <c r="AI24" s="833">
        <f t="shared" si="4"/>
        <v>6.666666667</v>
      </c>
      <c r="AJ24" s="833">
        <f t="shared" si="5"/>
        <v>0.05482866044</v>
      </c>
      <c r="AK24" s="833">
        <f t="shared" si="6"/>
        <v>0.03115264798</v>
      </c>
      <c r="AL24" s="833" t="str">
        <f t="shared" si="7"/>
        <v/>
      </c>
      <c r="AM24" s="833">
        <f t="shared" si="8"/>
        <v>0</v>
      </c>
      <c r="AN24" s="833">
        <f t="shared" si="9"/>
        <v>0.1444444444</v>
      </c>
      <c r="AO24" s="833">
        <f t="shared" si="10"/>
        <v>0.001038421599</v>
      </c>
      <c r="AP24" s="833">
        <f t="shared" si="11"/>
        <v>-0.9968847352</v>
      </c>
      <c r="AQ24" s="833" t="s">
        <v>350</v>
      </c>
      <c r="AR24" s="834" t="s">
        <v>354</v>
      </c>
    </row>
    <row r="25">
      <c r="A25" s="838" t="s">
        <v>187</v>
      </c>
      <c r="B25" s="829">
        <f t="shared" si="1"/>
        <v>2</v>
      </c>
      <c r="C25" s="829">
        <f>IFERROR(VLOOKUP($A25,'Playoff Stats Pivot'!$A:$AE,2,0),"")</f>
        <v>0</v>
      </c>
      <c r="D25" s="829">
        <f>IFERROR(VLOOKUP($A25,'Playoff Stats Pivot'!$A:$AE,3,0),"")</f>
        <v>2</v>
      </c>
      <c r="E25" s="829">
        <f>IFERROR(VLOOKUP($A25,'Playoff Stats Pivot'!$A:$AE,4,0),"")</f>
        <v>2</v>
      </c>
      <c r="F25" s="829">
        <f>IFERROR(VLOOKUP($A25,'Playoff Stats Pivot'!$A:$AE,5,0),"")</f>
        <v>1</v>
      </c>
      <c r="G25" s="829">
        <f>IFERROR(VLOOKUP($A25,'Playoff Stats Pivot'!$A:$AE,6,0),"")</f>
        <v>63</v>
      </c>
      <c r="H25" s="829">
        <f>IFERROR(VLOOKUP($A25,'Playoff Stats Pivot'!$A:$AE,7,0),"")</f>
        <v>118</v>
      </c>
      <c r="I25" s="829">
        <f>IFERROR(VLOOKUP($A25,'Playoff Stats Pivot'!$A:$AE,8,0),"")</f>
        <v>-55</v>
      </c>
      <c r="J25" s="830">
        <f t="shared" si="2"/>
        <v>0.5338983051</v>
      </c>
      <c r="K25" s="829">
        <f>IFERROR(VLOOKUP($A25,'Playoff Stats Pivot'!$A:$AE,9,0),"")</f>
        <v>0</v>
      </c>
      <c r="L25" s="829">
        <f>IFERROR(VLOOKUP($A25,'Playoff Stats Pivot'!$A:$AE,10,0),"")</f>
        <v>2335</v>
      </c>
      <c r="M25" s="830">
        <f t="shared" si="3"/>
        <v>15.78813559</v>
      </c>
      <c r="N25" s="829">
        <f>IFERROR(VLOOKUP($A25,'Playoff Stats Pivot'!$A:$AE,11,0),"")</f>
        <v>0</v>
      </c>
      <c r="O25" s="829">
        <f>IFERROR(VLOOKUP($A25,'Playoff Stats Pivot'!$A:$AE,12,0),"")</f>
        <v>0</v>
      </c>
      <c r="P25" s="829">
        <f>IFERROR(VLOOKUP($A25,'Playoff Stats Pivot'!$A:$AE,13,0),"")</f>
        <v>0</v>
      </c>
      <c r="Q25" s="829">
        <f>IFERROR(VLOOKUP($A25,'Playoff Stats Pivot'!$A:$AE,14,0),"")</f>
        <v>0</v>
      </c>
      <c r="R25" s="829">
        <f>IFERROR(VLOOKUP($A25,'Playoff Stats Pivot'!$A:$AE,15,0),"")</f>
        <v>1</v>
      </c>
      <c r="S25" s="829">
        <f>IFERROR(VLOOKUP($A25,'Playoff Stats Pivot'!$A:$AE,16,0),"")</f>
        <v>7</v>
      </c>
      <c r="T25" s="829">
        <f>IFERROR(VLOOKUP($A25,'Playoff Stats Pivot'!$A:$AE,17,0),"")</f>
        <v>0</v>
      </c>
      <c r="U25" s="829">
        <f>IFERROR(VLOOKUP($A25,'Playoff Stats Pivot'!$A:$AE,18,0),"")</f>
        <v>0</v>
      </c>
      <c r="V25" s="829">
        <f>IFERROR(VLOOKUP($A25,'Playoff Stats Pivot'!$A:$AE,19,0),"")</f>
        <v>0</v>
      </c>
      <c r="W25" s="829">
        <f>IFERROR(VLOOKUP($A25,'Playoff Stats Pivot'!$A:$AE,20,0),"")</f>
        <v>0</v>
      </c>
      <c r="X25" s="829">
        <f>IFERROR(VLOOKUP($A25,'Playoff Stats Pivot'!$A:$AE,21,0),"")</f>
        <v>0</v>
      </c>
      <c r="Y25" s="829">
        <f>IFERROR(VLOOKUP($A25,'Playoff Stats Pivot'!$A:$AE,22,0),"")</f>
        <v>0</v>
      </c>
      <c r="Z25" s="829">
        <f>IFERROR(VLOOKUP($A25,'Playoff Stats Pivot'!$A:$AE,23,0),"")</f>
        <v>0</v>
      </c>
      <c r="AA25" s="829">
        <f>IFERROR(VLOOKUP($A25,'Playoff Stats Pivot'!$A:$AE,24,0),"")</f>
        <v>0</v>
      </c>
      <c r="AB25" s="829">
        <f>IFERROR(VLOOKUP($A25,'Playoff Stats Pivot'!$A:$AE,25,0),"")</f>
        <v>0</v>
      </c>
      <c r="AC25" s="829">
        <f>IFERROR(VLOOKUP($A25,'Playoff Stats Pivot'!$A:$AE,26,0),"")</f>
        <v>11</v>
      </c>
      <c r="AD25" s="829">
        <f>IFERROR(VLOOKUP($A25,'Playoff Stats Pivot'!$A:$AE,27,0),"")</f>
        <v>0</v>
      </c>
      <c r="AE25" s="829">
        <f>IFERROR(VLOOKUP($A25,'Playoff Stats Pivot'!$A:$AE,28,0),"")</f>
        <v>0</v>
      </c>
      <c r="AF25" s="829">
        <f>IFERROR(VLOOKUP($A25,'Playoff Stats Pivot'!$A:$AE,29,0),"")</f>
        <v>0</v>
      </c>
      <c r="AG25" s="829">
        <f>IFERROR(VLOOKUP($A25,'Playoff Stats Pivot'!$A:$AE,30,0),"")</f>
        <v>1</v>
      </c>
      <c r="AH25" s="829">
        <f>IFERROR(VLOOKUP($A25,'Playoff Stats Pivot'!$A:$AE,31,0),"")</f>
        <v>1</v>
      </c>
      <c r="AI25" s="833">
        <f t="shared" si="4"/>
        <v>4.650963597</v>
      </c>
      <c r="AJ25" s="833">
        <f t="shared" si="5"/>
        <v>0.07503211991</v>
      </c>
      <c r="AK25" s="833">
        <f t="shared" si="6"/>
        <v>0</v>
      </c>
      <c r="AL25" s="833" t="str">
        <f t="shared" si="7"/>
        <v/>
      </c>
      <c r="AM25" s="833">
        <f t="shared" si="8"/>
        <v>1</v>
      </c>
      <c r="AN25" s="833">
        <f t="shared" si="9"/>
        <v>0.1111111111</v>
      </c>
      <c r="AO25" s="833">
        <f t="shared" si="10"/>
        <v>0.0004282655246</v>
      </c>
      <c r="AP25" s="833">
        <f t="shared" si="11"/>
        <v>-1.413276231</v>
      </c>
      <c r="AQ25" s="833" t="s">
        <v>350</v>
      </c>
      <c r="AR25" s="834" t="s">
        <v>368</v>
      </c>
    </row>
    <row r="26">
      <c r="A26" s="837" t="s">
        <v>49</v>
      </c>
      <c r="B26" s="829">
        <f t="shared" si="1"/>
        <v>2</v>
      </c>
      <c r="C26" s="829">
        <f>IFERROR(VLOOKUP($A26,'Playoff Stats Pivot'!$A:$AE,2,0),"")</f>
        <v>0</v>
      </c>
      <c r="D26" s="829">
        <f>IFERROR(VLOOKUP($A26,'Playoff Stats Pivot'!$A:$AE,3,0),"")</f>
        <v>2</v>
      </c>
      <c r="E26" s="829">
        <f>IFERROR(VLOOKUP($A26,'Playoff Stats Pivot'!$A:$AE,4,0),"")</f>
        <v>3</v>
      </c>
      <c r="F26" s="829">
        <f>IFERROR(VLOOKUP($A26,'Playoff Stats Pivot'!$A:$AE,5,0),"")</f>
        <v>23</v>
      </c>
      <c r="G26" s="829">
        <f>IFERROR(VLOOKUP($A26,'Playoff Stats Pivot'!$A:$AE,6,0),"")</f>
        <v>110</v>
      </c>
      <c r="H26" s="829">
        <f>IFERROR(VLOOKUP($A26,'Playoff Stats Pivot'!$A:$AE,7,0),"")</f>
        <v>133</v>
      </c>
      <c r="I26" s="829">
        <f>IFERROR(VLOOKUP($A26,'Playoff Stats Pivot'!$A:$AE,8,0),"")</f>
        <v>-23</v>
      </c>
      <c r="J26" s="830">
        <f t="shared" si="2"/>
        <v>0.8270676692</v>
      </c>
      <c r="K26" s="829">
        <f>IFERROR(VLOOKUP($A26,'Playoff Stats Pivot'!$A:$AE,9,0),"")</f>
        <v>0</v>
      </c>
      <c r="L26" s="829">
        <f>IFERROR(VLOOKUP($A26,'Playoff Stats Pivot'!$A:$AE,10,0),"")</f>
        <v>2335</v>
      </c>
      <c r="M26" s="830">
        <f t="shared" si="3"/>
        <v>13.55639098</v>
      </c>
      <c r="N26" s="829">
        <f>IFERROR(VLOOKUP($A26,'Playoff Stats Pivot'!$A:$AE,11,0),"")</f>
        <v>2</v>
      </c>
      <c r="O26" s="829">
        <f>IFERROR(VLOOKUP($A26,'Playoff Stats Pivot'!$A:$AE,12,0),"")</f>
        <v>0</v>
      </c>
      <c r="P26" s="829">
        <f>IFERROR(VLOOKUP($A26,'Playoff Stats Pivot'!$A:$AE,13,0),"")</f>
        <v>0</v>
      </c>
      <c r="Q26" s="829">
        <f>IFERROR(VLOOKUP($A26,'Playoff Stats Pivot'!$A:$AE,14,0),"")</f>
        <v>0</v>
      </c>
      <c r="R26" s="829">
        <f>IFERROR(VLOOKUP($A26,'Playoff Stats Pivot'!$A:$AE,15,0),"")</f>
        <v>3</v>
      </c>
      <c r="S26" s="829">
        <f>IFERROR(VLOOKUP($A26,'Playoff Stats Pivot'!$A:$AE,16,0),"")</f>
        <v>13</v>
      </c>
      <c r="T26" s="829">
        <f>IFERROR(VLOOKUP($A26,'Playoff Stats Pivot'!$A:$AE,17,0),"")</f>
        <v>6</v>
      </c>
      <c r="U26" s="829">
        <f>IFERROR(VLOOKUP($A26,'Playoff Stats Pivot'!$A:$AE,18,0),"")</f>
        <v>2</v>
      </c>
      <c r="V26" s="829">
        <f>IFERROR(VLOOKUP($A26,'Playoff Stats Pivot'!$A:$AE,19,0),"")</f>
        <v>1</v>
      </c>
      <c r="W26" s="829">
        <f>IFERROR(VLOOKUP($A26,'Playoff Stats Pivot'!$A:$AE,20,0),"")</f>
        <v>1</v>
      </c>
      <c r="X26" s="829">
        <f>IFERROR(VLOOKUP($A26,'Playoff Stats Pivot'!$A:$AE,21,0),"")</f>
        <v>0</v>
      </c>
      <c r="Y26" s="829">
        <f>IFERROR(VLOOKUP($A26,'Playoff Stats Pivot'!$A:$AE,22,0),"")</f>
        <v>0</v>
      </c>
      <c r="Z26" s="829">
        <f>IFERROR(VLOOKUP($A26,'Playoff Stats Pivot'!$A:$AE,23,0),"")</f>
        <v>0</v>
      </c>
      <c r="AA26" s="829">
        <f>IFERROR(VLOOKUP($A26,'Playoff Stats Pivot'!$A:$AE,24,0),"")</f>
        <v>0</v>
      </c>
      <c r="AB26" s="829">
        <f>IFERROR(VLOOKUP($A26,'Playoff Stats Pivot'!$A:$AE,25,0),"")</f>
        <v>0</v>
      </c>
      <c r="AC26" s="829">
        <f>IFERROR(VLOOKUP($A26,'Playoff Stats Pivot'!$A:$AE,26,0),"")</f>
        <v>18</v>
      </c>
      <c r="AD26" s="829">
        <f>IFERROR(VLOOKUP($A26,'Playoff Stats Pivot'!$A:$AE,27,0),"")</f>
        <v>0</v>
      </c>
      <c r="AE26" s="829">
        <f>IFERROR(VLOOKUP($A26,'Playoff Stats Pivot'!$A:$AE,28,0),"")</f>
        <v>2</v>
      </c>
      <c r="AF26" s="829">
        <f>IFERROR(VLOOKUP($A26,'Playoff Stats Pivot'!$A:$AE,29,0),"")</f>
        <v>0</v>
      </c>
      <c r="AG26" s="829">
        <f>IFERROR(VLOOKUP($A26,'Playoff Stats Pivot'!$A:$AE,30,0),"")</f>
        <v>0</v>
      </c>
      <c r="AH26" s="829">
        <f>IFERROR(VLOOKUP($A26,'Playoff Stats Pivot'!$A:$AE,31,0),"")</f>
        <v>0</v>
      </c>
      <c r="AI26" s="833">
        <f t="shared" si="4"/>
        <v>6.244111349</v>
      </c>
      <c r="AJ26" s="833">
        <f t="shared" si="5"/>
        <v>0.1212847966</v>
      </c>
      <c r="AK26" s="833">
        <f t="shared" si="6"/>
        <v>0.05139186296</v>
      </c>
      <c r="AL26" s="833" t="str">
        <f t="shared" si="7"/>
        <v/>
      </c>
      <c r="AM26" s="833">
        <f t="shared" si="8"/>
        <v>1.5</v>
      </c>
      <c r="AN26" s="833">
        <f t="shared" si="9"/>
        <v>0.2090909091</v>
      </c>
      <c r="AO26" s="833">
        <f t="shared" si="10"/>
        <v>0.009850107066</v>
      </c>
      <c r="AP26" s="833">
        <f t="shared" si="11"/>
        <v>-0.591006424</v>
      </c>
      <c r="AQ26" s="833" t="s">
        <v>171</v>
      </c>
      <c r="AR26" s="834" t="s">
        <v>369</v>
      </c>
    </row>
    <row r="27">
      <c r="A27" s="853" t="s">
        <v>250</v>
      </c>
      <c r="B27" s="829">
        <f t="shared" si="1"/>
        <v>4</v>
      </c>
      <c r="C27" s="829">
        <f>IFERROR(VLOOKUP($A27,'Playoff Stats Pivot'!$A:$AE,2,0),"")</f>
        <v>2</v>
      </c>
      <c r="D27" s="829">
        <f>IFERROR(VLOOKUP($A27,'Playoff Stats Pivot'!$A:$AE,3,0),"")</f>
        <v>2</v>
      </c>
      <c r="E27" s="829">
        <f>IFERROR(VLOOKUP($A27,'Playoff Stats Pivot'!$A:$AE,4,0),"")</f>
        <v>1</v>
      </c>
      <c r="F27" s="829">
        <f>IFERROR(VLOOKUP($A27,'Playoff Stats Pivot'!$A:$AE,5,0),"")</f>
        <v>0</v>
      </c>
      <c r="G27" s="829">
        <f>IFERROR(VLOOKUP($A27,'Playoff Stats Pivot'!$A:$AE,6,0),"")</f>
        <v>356</v>
      </c>
      <c r="H27" s="829">
        <f>IFERROR(VLOOKUP($A27,'Playoff Stats Pivot'!$A:$AE,7,0),"")</f>
        <v>354</v>
      </c>
      <c r="I27" s="829">
        <f>IFERROR(VLOOKUP($A27,'Playoff Stats Pivot'!$A:$AE,8,0),"")</f>
        <v>2</v>
      </c>
      <c r="J27" s="830">
        <f t="shared" si="2"/>
        <v>1.005649718</v>
      </c>
      <c r="K27" s="829">
        <f>IFERROR(VLOOKUP($A27,'Playoff Stats Pivot'!$A:$AE,9,0),"")</f>
        <v>0</v>
      </c>
      <c r="L27" s="829">
        <f>IFERROR(VLOOKUP($A27,'Playoff Stats Pivot'!$A:$AE,10,0),"")</f>
        <v>5297</v>
      </c>
      <c r="M27" s="830">
        <f t="shared" si="3"/>
        <v>10.96327684</v>
      </c>
      <c r="N27" s="829">
        <f>IFERROR(VLOOKUP($A27,'Playoff Stats Pivot'!$A:$AE,11,0),"")</f>
        <v>7</v>
      </c>
      <c r="O27" s="829">
        <f>IFERROR(VLOOKUP($A27,'Playoff Stats Pivot'!$A:$AE,12,0),"")</f>
        <v>0</v>
      </c>
      <c r="P27" s="829">
        <f>IFERROR(VLOOKUP($A27,'Playoff Stats Pivot'!$A:$AE,13,0),"")</f>
        <v>0</v>
      </c>
      <c r="Q27" s="829">
        <f>IFERROR(VLOOKUP($A27,'Playoff Stats Pivot'!$A:$AE,14,0),"")</f>
        <v>0</v>
      </c>
      <c r="R27" s="829">
        <f>IFERROR(VLOOKUP($A27,'Playoff Stats Pivot'!$A:$AE,15,0),"")</f>
        <v>6</v>
      </c>
      <c r="S27" s="829">
        <f>IFERROR(VLOOKUP($A27,'Playoff Stats Pivot'!$A:$AE,16,0),"")</f>
        <v>61</v>
      </c>
      <c r="T27" s="829">
        <f>IFERROR(VLOOKUP($A27,'Playoff Stats Pivot'!$A:$AE,17,0),"")</f>
        <v>21</v>
      </c>
      <c r="U27" s="829">
        <f>IFERROR(VLOOKUP($A27,'Playoff Stats Pivot'!$A:$AE,18,0),"")</f>
        <v>6</v>
      </c>
      <c r="V27" s="829">
        <f>IFERROR(VLOOKUP($A27,'Playoff Stats Pivot'!$A:$AE,19,0),"")</f>
        <v>3</v>
      </c>
      <c r="W27" s="829">
        <f>IFERROR(VLOOKUP($A27,'Playoff Stats Pivot'!$A:$AE,20,0),"")</f>
        <v>1</v>
      </c>
      <c r="X27" s="829">
        <f>IFERROR(VLOOKUP($A27,'Playoff Stats Pivot'!$A:$AE,21,0),"")</f>
        <v>1</v>
      </c>
      <c r="Y27" s="829">
        <f>IFERROR(VLOOKUP($A27,'Playoff Stats Pivot'!$A:$AE,22,0),"")</f>
        <v>0</v>
      </c>
      <c r="Z27" s="829">
        <f>IFERROR(VLOOKUP($A27,'Playoff Stats Pivot'!$A:$AE,23,0),"")</f>
        <v>0</v>
      </c>
      <c r="AA27" s="829">
        <f>IFERROR(VLOOKUP($A27,'Playoff Stats Pivot'!$A:$AE,24,0),"")</f>
        <v>0</v>
      </c>
      <c r="AB27" s="829">
        <f>IFERROR(VLOOKUP($A27,'Playoff Stats Pivot'!$A:$AE,25,0),"")</f>
        <v>0</v>
      </c>
      <c r="AC27" s="829">
        <f>IFERROR(VLOOKUP($A27,'Playoff Stats Pivot'!$A:$AE,26,0),"")</f>
        <v>60</v>
      </c>
      <c r="AD27" s="829">
        <f>IFERROR(VLOOKUP($A27,'Playoff Stats Pivot'!$A:$AE,27,0),"")</f>
        <v>0</v>
      </c>
      <c r="AE27" s="829">
        <f>IFERROR(VLOOKUP($A27,'Playoff Stats Pivot'!$A:$AE,28,0),"")</f>
        <v>0</v>
      </c>
      <c r="AF27" s="829">
        <f>IFERROR(VLOOKUP($A27,'Playoff Stats Pivot'!$A:$AE,29,0),"")</f>
        <v>0</v>
      </c>
      <c r="AG27" s="829">
        <f>IFERROR(VLOOKUP($A27,'Playoff Stats Pivot'!$A:$AE,30,0),"")</f>
        <v>3</v>
      </c>
      <c r="AH27" s="829">
        <f>IFERROR(VLOOKUP($A27,'Playoff Stats Pivot'!$A:$AE,31,0),"")</f>
        <v>0</v>
      </c>
      <c r="AI27" s="833">
        <f t="shared" si="4"/>
        <v>8.042288088</v>
      </c>
      <c r="AJ27" s="833">
        <f t="shared" si="5"/>
        <v>0.0969605437</v>
      </c>
      <c r="AK27" s="833">
        <f t="shared" si="6"/>
        <v>0.07929016424</v>
      </c>
      <c r="AL27" s="833">
        <f t="shared" si="7"/>
        <v>1.323333963</v>
      </c>
      <c r="AM27" s="833">
        <f t="shared" si="8"/>
        <v>0.25</v>
      </c>
      <c r="AN27" s="833">
        <f t="shared" si="9"/>
        <v>0.2612359551</v>
      </c>
      <c r="AO27" s="833">
        <f t="shared" si="10"/>
        <v>0</v>
      </c>
      <c r="AP27" s="833">
        <f t="shared" si="11"/>
        <v>0.02265433264</v>
      </c>
      <c r="AQ27" s="833" t="s">
        <v>171</v>
      </c>
      <c r="AR27" s="834" t="s">
        <v>370</v>
      </c>
    </row>
    <row r="28">
      <c r="A28" s="853" t="s">
        <v>221</v>
      </c>
      <c r="B28" s="829">
        <f t="shared" si="1"/>
        <v>4</v>
      </c>
      <c r="C28" s="829">
        <f>IFERROR(VLOOKUP($A28,'Playoff Stats Pivot'!$A:$AE,2,0),"")</f>
        <v>2</v>
      </c>
      <c r="D28" s="829">
        <f>IFERROR(VLOOKUP($A28,'Playoff Stats Pivot'!$A:$AE,3,0),"")</f>
        <v>2</v>
      </c>
      <c r="E28" s="829">
        <f>IFERROR(VLOOKUP($A28,'Playoff Stats Pivot'!$A:$AE,4,0),"")</f>
        <v>0</v>
      </c>
      <c r="F28" s="829">
        <f>IFERROR(VLOOKUP($A28,'Playoff Stats Pivot'!$A:$AE,5,0),"")</f>
        <v>1</v>
      </c>
      <c r="G28" s="829">
        <f>IFERROR(VLOOKUP($A28,'Playoff Stats Pivot'!$A:$AE,6,0),"")</f>
        <v>164</v>
      </c>
      <c r="H28" s="829">
        <f>IFERROR(VLOOKUP($A28,'Playoff Stats Pivot'!$A:$AE,7,0),"")</f>
        <v>250</v>
      </c>
      <c r="I28" s="829">
        <f>IFERROR(VLOOKUP($A28,'Playoff Stats Pivot'!$A:$AE,8,0),"")</f>
        <v>-86</v>
      </c>
      <c r="J28" s="830">
        <f t="shared" si="2"/>
        <v>0.656</v>
      </c>
      <c r="K28" s="829">
        <f>IFERROR(VLOOKUP($A28,'Playoff Stats Pivot'!$A:$AE,9,0),"")</f>
        <v>0</v>
      </c>
      <c r="L28" s="829">
        <f>IFERROR(VLOOKUP($A28,'Playoff Stats Pivot'!$A:$AE,10,0),"")</f>
        <v>3588</v>
      </c>
      <c r="M28" s="830">
        <f t="shared" si="3"/>
        <v>10.352</v>
      </c>
      <c r="N28" s="829">
        <f>IFERROR(VLOOKUP($A28,'Playoff Stats Pivot'!$A:$AE,11,0),"")</f>
        <v>1</v>
      </c>
      <c r="O28" s="829">
        <f>IFERROR(VLOOKUP($A28,'Playoff Stats Pivot'!$A:$AE,12,0),"")</f>
        <v>0</v>
      </c>
      <c r="P28" s="829">
        <f>IFERROR(VLOOKUP($A28,'Playoff Stats Pivot'!$A:$AE,13,0),"")</f>
        <v>0</v>
      </c>
      <c r="Q28" s="829">
        <f>IFERROR(VLOOKUP($A28,'Playoff Stats Pivot'!$A:$AE,14,0),"")</f>
        <v>0</v>
      </c>
      <c r="R28" s="829">
        <f>IFERROR(VLOOKUP($A28,'Playoff Stats Pivot'!$A:$AE,15,0),"")</f>
        <v>0</v>
      </c>
      <c r="S28" s="829">
        <f>IFERROR(VLOOKUP($A28,'Playoff Stats Pivot'!$A:$AE,16,0),"")</f>
        <v>23</v>
      </c>
      <c r="T28" s="829">
        <f>IFERROR(VLOOKUP($A28,'Playoff Stats Pivot'!$A:$AE,17,0),"")</f>
        <v>5</v>
      </c>
      <c r="U28" s="829">
        <f>IFERROR(VLOOKUP($A28,'Playoff Stats Pivot'!$A:$AE,18,0),"")</f>
        <v>2</v>
      </c>
      <c r="V28" s="829">
        <f>IFERROR(VLOOKUP($A28,'Playoff Stats Pivot'!$A:$AE,19,0),"")</f>
        <v>0</v>
      </c>
      <c r="W28" s="829">
        <f>IFERROR(VLOOKUP($A28,'Playoff Stats Pivot'!$A:$AE,20,0),"")</f>
        <v>0</v>
      </c>
      <c r="X28" s="829">
        <f>IFERROR(VLOOKUP($A28,'Playoff Stats Pivot'!$A:$AE,21,0),"")</f>
        <v>0</v>
      </c>
      <c r="Y28" s="829">
        <f>IFERROR(VLOOKUP($A28,'Playoff Stats Pivot'!$A:$AE,22,0),"")</f>
        <v>0</v>
      </c>
      <c r="Z28" s="829">
        <f>IFERROR(VLOOKUP($A28,'Playoff Stats Pivot'!$A:$AE,23,0),"")</f>
        <v>0</v>
      </c>
      <c r="AA28" s="829">
        <f>IFERROR(VLOOKUP($A28,'Playoff Stats Pivot'!$A:$AE,24,0),"")</f>
        <v>0</v>
      </c>
      <c r="AB28" s="829">
        <f>IFERROR(VLOOKUP($A28,'Playoff Stats Pivot'!$A:$AE,25,0),"")</f>
        <v>0</v>
      </c>
      <c r="AC28" s="829">
        <f>IFERROR(VLOOKUP($A28,'Playoff Stats Pivot'!$A:$AE,26,0),"")</f>
        <v>25</v>
      </c>
      <c r="AD28" s="829">
        <f>IFERROR(VLOOKUP($A28,'Playoff Stats Pivot'!$A:$AE,27,0),"")</f>
        <v>0</v>
      </c>
      <c r="AE28" s="829">
        <f>IFERROR(VLOOKUP($A28,'Playoff Stats Pivot'!$A:$AE,28,0),"")</f>
        <v>0</v>
      </c>
      <c r="AF28" s="829">
        <f>IFERROR(VLOOKUP($A28,'Playoff Stats Pivot'!$A:$AE,29,0),"")</f>
        <v>0</v>
      </c>
      <c r="AG28" s="829">
        <f>IFERROR(VLOOKUP($A28,'Playoff Stats Pivot'!$A:$AE,30,0),"")</f>
        <v>3</v>
      </c>
      <c r="AH28" s="829">
        <f>IFERROR(VLOOKUP($A28,'Playoff Stats Pivot'!$A:$AE,31,0),"")</f>
        <v>0</v>
      </c>
      <c r="AI28" s="833">
        <f t="shared" si="4"/>
        <v>6.923076923</v>
      </c>
      <c r="AJ28" s="833">
        <f t="shared" si="5"/>
        <v>0.05150501672</v>
      </c>
      <c r="AK28" s="833">
        <f t="shared" si="6"/>
        <v>0.01672240803</v>
      </c>
      <c r="AL28" s="833">
        <f t="shared" si="7"/>
        <v>-0.9197324415</v>
      </c>
      <c r="AM28" s="833">
        <f t="shared" si="8"/>
        <v>0</v>
      </c>
      <c r="AN28" s="833">
        <f t="shared" si="9"/>
        <v>0.1829268293</v>
      </c>
      <c r="AO28" s="833">
        <f t="shared" si="10"/>
        <v>0.0002787068004</v>
      </c>
      <c r="AP28" s="833">
        <f t="shared" si="11"/>
        <v>-1.43812709</v>
      </c>
      <c r="AQ28" s="833" t="s">
        <v>350</v>
      </c>
      <c r="AR28" s="834" t="s">
        <v>372</v>
      </c>
    </row>
    <row r="29">
      <c r="A29" s="838" t="s">
        <v>106</v>
      </c>
      <c r="B29" s="829">
        <f t="shared" si="1"/>
        <v>7</v>
      </c>
      <c r="C29" s="829">
        <f>IFERROR(VLOOKUP($A29,'Playoff Stats Pivot'!$A:$AE,2,0),"")</f>
        <v>4</v>
      </c>
      <c r="D29" s="829">
        <f>IFERROR(VLOOKUP($A29,'Playoff Stats Pivot'!$A:$AE,3,0),"")</f>
        <v>3</v>
      </c>
      <c r="E29" s="829">
        <f>IFERROR(VLOOKUP($A29,'Playoff Stats Pivot'!$A:$AE,4,0),"")</f>
        <v>3</v>
      </c>
      <c r="F29" s="829">
        <f>IFERROR(VLOOKUP($A29,'Playoff Stats Pivot'!$A:$AE,5,0),"")</f>
        <v>7</v>
      </c>
      <c r="G29" s="829">
        <f>IFERROR(VLOOKUP($A29,'Playoff Stats Pivot'!$A:$AE,6,0),"")</f>
        <v>331</v>
      </c>
      <c r="H29" s="829">
        <f>IFERROR(VLOOKUP($A29,'Playoff Stats Pivot'!$A:$AE,7,0),"")</f>
        <v>395</v>
      </c>
      <c r="I29" s="829">
        <f>IFERROR(VLOOKUP($A29,'Playoff Stats Pivot'!$A:$AE,8,0),"")</f>
        <v>-64</v>
      </c>
      <c r="J29" s="830">
        <f t="shared" si="2"/>
        <v>0.8379746835</v>
      </c>
      <c r="K29" s="829">
        <f>IFERROR(VLOOKUP($A29,'Playoff Stats Pivot'!$A:$AE,9,0),"")</f>
        <v>0</v>
      </c>
      <c r="L29" s="829">
        <f>IFERROR(VLOOKUP($A29,'Playoff Stats Pivot'!$A:$AE,10,0),"")</f>
        <v>7003</v>
      </c>
      <c r="M29" s="830">
        <f t="shared" si="3"/>
        <v>13.72911392</v>
      </c>
      <c r="N29" s="829">
        <f>IFERROR(VLOOKUP($A29,'Playoff Stats Pivot'!$A:$AE,11,0),"")</f>
        <v>2</v>
      </c>
      <c r="O29" s="829">
        <f>IFERROR(VLOOKUP($A29,'Playoff Stats Pivot'!$A:$AE,12,0),"")</f>
        <v>0</v>
      </c>
      <c r="P29" s="829">
        <f>IFERROR(VLOOKUP($A29,'Playoff Stats Pivot'!$A:$AE,13,0),"")</f>
        <v>0</v>
      </c>
      <c r="Q29" s="829">
        <f>IFERROR(VLOOKUP($A29,'Playoff Stats Pivot'!$A:$AE,14,0),"")</f>
        <v>0</v>
      </c>
      <c r="R29" s="829">
        <f>IFERROR(VLOOKUP($A29,'Playoff Stats Pivot'!$A:$AE,15,0),"")</f>
        <v>5</v>
      </c>
      <c r="S29" s="829">
        <f>IFERROR(VLOOKUP($A29,'Playoff Stats Pivot'!$A:$AE,16,0),"")</f>
        <v>43</v>
      </c>
      <c r="T29" s="829">
        <f>IFERROR(VLOOKUP($A29,'Playoff Stats Pivot'!$A:$AE,17,0),"")</f>
        <v>7</v>
      </c>
      <c r="U29" s="829">
        <f>IFERROR(VLOOKUP($A29,'Playoff Stats Pivot'!$A:$AE,18,0),"")</f>
        <v>1</v>
      </c>
      <c r="V29" s="829">
        <f>IFERROR(VLOOKUP($A29,'Playoff Stats Pivot'!$A:$AE,19,0),"")</f>
        <v>0</v>
      </c>
      <c r="W29" s="829">
        <f>IFERROR(VLOOKUP($A29,'Playoff Stats Pivot'!$A:$AE,20,0),"")</f>
        <v>0</v>
      </c>
      <c r="X29" s="829">
        <f>IFERROR(VLOOKUP($A29,'Playoff Stats Pivot'!$A:$AE,21,0),"")</f>
        <v>0</v>
      </c>
      <c r="Y29" s="829">
        <f>IFERROR(VLOOKUP($A29,'Playoff Stats Pivot'!$A:$AE,22,0),"")</f>
        <v>0</v>
      </c>
      <c r="Z29" s="829">
        <f>IFERROR(VLOOKUP($A29,'Playoff Stats Pivot'!$A:$AE,23,0),"")</f>
        <v>0</v>
      </c>
      <c r="AA29" s="829">
        <f>IFERROR(VLOOKUP($A29,'Playoff Stats Pivot'!$A:$AE,24,0),"")</f>
        <v>0</v>
      </c>
      <c r="AB29" s="829">
        <f>IFERROR(VLOOKUP($A29,'Playoff Stats Pivot'!$A:$AE,25,0),"")</f>
        <v>0</v>
      </c>
      <c r="AC29" s="829">
        <f>IFERROR(VLOOKUP($A29,'Playoff Stats Pivot'!$A:$AE,26,0),"")</f>
        <v>57</v>
      </c>
      <c r="AD29" s="829">
        <f>IFERROR(VLOOKUP($A29,'Playoff Stats Pivot'!$A:$AE,27,0),"")</f>
        <v>0</v>
      </c>
      <c r="AE29" s="829">
        <f>IFERROR(VLOOKUP($A29,'Playoff Stats Pivot'!$A:$AE,28,0),"")</f>
        <v>1</v>
      </c>
      <c r="AF29" s="829">
        <f>IFERROR(VLOOKUP($A29,'Playoff Stats Pivot'!$A:$AE,29,0),"")</f>
        <v>0</v>
      </c>
      <c r="AG29" s="829">
        <f>IFERROR(VLOOKUP($A29,'Playoff Stats Pivot'!$A:$AE,30,0),"")</f>
        <v>6</v>
      </c>
      <c r="AH29" s="829">
        <f>IFERROR(VLOOKUP($A29,'Playoff Stats Pivot'!$A:$AE,31,0),"")</f>
        <v>1</v>
      </c>
      <c r="AI29" s="833">
        <f t="shared" si="4"/>
        <v>6.220191347</v>
      </c>
      <c r="AJ29" s="833">
        <f t="shared" si="5"/>
        <v>0.08053691275</v>
      </c>
      <c r="AK29" s="833">
        <f t="shared" si="6"/>
        <v>0.01713551335</v>
      </c>
      <c r="AL29" s="833">
        <f t="shared" si="7"/>
        <v>0.09859345995</v>
      </c>
      <c r="AM29" s="833">
        <f t="shared" si="8"/>
        <v>0.4285714286</v>
      </c>
      <c r="AN29" s="833">
        <f t="shared" si="9"/>
        <v>0.1540785498</v>
      </c>
      <c r="AO29" s="833">
        <f t="shared" si="10"/>
        <v>0.0009995716122</v>
      </c>
      <c r="AP29" s="833">
        <f t="shared" si="11"/>
        <v>-0.5483364272</v>
      </c>
      <c r="AQ29" s="833" t="s">
        <v>350</v>
      </c>
      <c r="AR29" s="834" t="s">
        <v>374</v>
      </c>
    </row>
    <row r="30">
      <c r="A30" s="850" t="s">
        <v>149</v>
      </c>
      <c r="B30" s="829">
        <f t="shared" si="1"/>
        <v>7</v>
      </c>
      <c r="C30" s="829">
        <f>IFERROR(VLOOKUP($A30,'Playoff Stats Pivot'!$A:$AE,2,0),"")</f>
        <v>7</v>
      </c>
      <c r="D30" s="829">
        <f>IFERROR(VLOOKUP($A30,'Playoff Stats Pivot'!$A:$AE,3,0),"")</f>
        <v>0</v>
      </c>
      <c r="E30" s="829">
        <f>IFERROR(VLOOKUP($A30,'Playoff Stats Pivot'!$A:$AE,4,0),"")</f>
        <v>5</v>
      </c>
      <c r="F30" s="829">
        <f>IFERROR(VLOOKUP($A30,'Playoff Stats Pivot'!$A:$AE,5,0),"")</f>
        <v>7</v>
      </c>
      <c r="G30" s="829">
        <f>IFERROR(VLOOKUP($A30,'Playoff Stats Pivot'!$A:$AE,6,0),"")</f>
        <v>363</v>
      </c>
      <c r="H30" s="829">
        <f>IFERROR(VLOOKUP($A30,'Playoff Stats Pivot'!$A:$AE,7,0),"")</f>
        <v>364</v>
      </c>
      <c r="I30" s="829">
        <f>IFERROR(VLOOKUP($A30,'Playoff Stats Pivot'!$A:$AE,8,0),"")</f>
        <v>-1</v>
      </c>
      <c r="J30" s="830">
        <f t="shared" si="2"/>
        <v>0.9972527473</v>
      </c>
      <c r="K30" s="829">
        <f>IFERROR(VLOOKUP($A30,'Playoff Stats Pivot'!$A:$AE,9,0),"")</f>
        <v>2</v>
      </c>
      <c r="L30" s="829">
        <f>IFERROR(VLOOKUP($A30,'Playoff Stats Pivot'!$A:$AE,10,0),"")</f>
        <v>6685</v>
      </c>
      <c r="M30" s="830">
        <f t="shared" si="3"/>
        <v>14.36538462</v>
      </c>
      <c r="N30" s="829">
        <f>IFERROR(VLOOKUP($A30,'Playoff Stats Pivot'!$A:$AE,11,0),"")</f>
        <v>6</v>
      </c>
      <c r="O30" s="829">
        <f>IFERROR(VLOOKUP($A30,'Playoff Stats Pivot'!$A:$AE,12,0),"")</f>
        <v>0</v>
      </c>
      <c r="P30" s="829">
        <f>IFERROR(VLOOKUP($A30,'Playoff Stats Pivot'!$A:$AE,13,0),"")</f>
        <v>0</v>
      </c>
      <c r="Q30" s="829">
        <f>IFERROR(VLOOKUP($A30,'Playoff Stats Pivot'!$A:$AE,14,0),"")</f>
        <v>0</v>
      </c>
      <c r="R30" s="829">
        <f>IFERROR(VLOOKUP($A30,'Playoff Stats Pivot'!$A:$AE,15,0),"")</f>
        <v>2</v>
      </c>
      <c r="S30" s="829">
        <f>IFERROR(VLOOKUP($A30,'Playoff Stats Pivot'!$A:$AE,16,0),"")</f>
        <v>59</v>
      </c>
      <c r="T30" s="829">
        <f>IFERROR(VLOOKUP($A30,'Playoff Stats Pivot'!$A:$AE,17,0),"")</f>
        <v>18</v>
      </c>
      <c r="U30" s="829">
        <f>IFERROR(VLOOKUP($A30,'Playoff Stats Pivot'!$A:$AE,18,0),"")</f>
        <v>2</v>
      </c>
      <c r="V30" s="829">
        <f>IFERROR(VLOOKUP($A30,'Playoff Stats Pivot'!$A:$AE,19,0),"")</f>
        <v>0</v>
      </c>
      <c r="W30" s="829">
        <f>IFERROR(VLOOKUP($A30,'Playoff Stats Pivot'!$A:$AE,20,0),"")</f>
        <v>0</v>
      </c>
      <c r="X30" s="829">
        <f>IFERROR(VLOOKUP($A30,'Playoff Stats Pivot'!$A:$AE,21,0),"")</f>
        <v>0</v>
      </c>
      <c r="Y30" s="829">
        <f>IFERROR(VLOOKUP($A30,'Playoff Stats Pivot'!$A:$AE,22,0),"")</f>
        <v>0</v>
      </c>
      <c r="Z30" s="829">
        <f>IFERROR(VLOOKUP($A30,'Playoff Stats Pivot'!$A:$AE,23,0),"")</f>
        <v>0</v>
      </c>
      <c r="AA30" s="829">
        <f>IFERROR(VLOOKUP($A30,'Playoff Stats Pivot'!$A:$AE,24,0),"")</f>
        <v>0</v>
      </c>
      <c r="AB30" s="829">
        <f>IFERROR(VLOOKUP($A30,'Playoff Stats Pivot'!$A:$AE,25,0),"")</f>
        <v>0</v>
      </c>
      <c r="AC30" s="829">
        <f>IFERROR(VLOOKUP($A30,'Playoff Stats Pivot'!$A:$AE,26,0),"")</f>
        <v>62</v>
      </c>
      <c r="AD30" s="829">
        <f>IFERROR(VLOOKUP($A30,'Playoff Stats Pivot'!$A:$AE,27,0),"")</f>
        <v>0</v>
      </c>
      <c r="AE30" s="829">
        <f>IFERROR(VLOOKUP($A30,'Playoff Stats Pivot'!$A:$AE,28,0),"")</f>
        <v>1</v>
      </c>
      <c r="AF30" s="829">
        <f>IFERROR(VLOOKUP($A30,'Playoff Stats Pivot'!$A:$AE,29,0),"")</f>
        <v>0</v>
      </c>
      <c r="AG30" s="829">
        <f>IFERROR(VLOOKUP($A30,'Playoff Stats Pivot'!$A:$AE,30,0),"")</f>
        <v>5</v>
      </c>
      <c r="AH30" s="829">
        <f>IFERROR(VLOOKUP($A30,'Playoff Stats Pivot'!$A:$AE,31,0),"")</f>
        <v>1</v>
      </c>
      <c r="AI30" s="833">
        <f t="shared" si="4"/>
        <v>6.543006731</v>
      </c>
      <c r="AJ30" s="833">
        <f t="shared" si="5"/>
        <v>0.1069857891</v>
      </c>
      <c r="AK30" s="833">
        <f t="shared" si="6"/>
        <v>0.05385190726</v>
      </c>
      <c r="AL30" s="833">
        <f t="shared" si="7"/>
        <v>0.9147344802</v>
      </c>
      <c r="AM30" s="833">
        <f t="shared" si="8"/>
        <v>0.7142857143</v>
      </c>
      <c r="AN30" s="833">
        <f t="shared" si="9"/>
        <v>0.217630854</v>
      </c>
      <c r="AO30" s="833">
        <f t="shared" si="10"/>
        <v>0.001047120419</v>
      </c>
      <c r="AP30" s="833">
        <f t="shared" si="11"/>
        <v>0.008975317876</v>
      </c>
      <c r="AQ30" s="833" t="s">
        <v>338</v>
      </c>
      <c r="AR30" s="834" t="s">
        <v>375</v>
      </c>
    </row>
    <row r="31">
      <c r="A31" s="837" t="s">
        <v>222</v>
      </c>
      <c r="B31" s="829">
        <f t="shared" si="1"/>
        <v>0</v>
      </c>
      <c r="C31" s="829" t="str">
        <f>IFERROR(VLOOKUP($A31,'Playoff Stats Pivot'!$A:$AE,2,0),"")</f>
        <v/>
      </c>
      <c r="D31" s="829" t="str">
        <f>IFERROR(VLOOKUP($A31,'Playoff Stats Pivot'!$A:$AE,3,0),"")</f>
        <v/>
      </c>
      <c r="E31" s="829" t="str">
        <f>IFERROR(VLOOKUP($A31,'Playoff Stats Pivot'!$A:$AE,4,0),"")</f>
        <v/>
      </c>
      <c r="F31" s="829" t="str">
        <f>IFERROR(VLOOKUP($A31,'Playoff Stats Pivot'!$A:$AE,5,0),"")</f>
        <v/>
      </c>
      <c r="G31" s="829" t="str">
        <f>IFERROR(VLOOKUP($A31,'Playoff Stats Pivot'!$A:$AE,6,0),"")</f>
        <v/>
      </c>
      <c r="H31" s="829" t="str">
        <f>IFERROR(VLOOKUP($A31,'Playoff Stats Pivot'!$A:$AE,7,0),"")</f>
        <v/>
      </c>
      <c r="I31" s="829" t="str">
        <f>IFERROR(VLOOKUP($A31,'Playoff Stats Pivot'!$A:$AE,8,0),"")</f>
        <v/>
      </c>
      <c r="J31" s="830">
        <f t="shared" si="2"/>
        <v>0</v>
      </c>
      <c r="K31" s="829" t="str">
        <f>IFERROR(VLOOKUP($A31,'Playoff Stats Pivot'!$A:$AE,9,0),"")</f>
        <v/>
      </c>
      <c r="L31" s="829" t="str">
        <f>IFERROR(VLOOKUP($A31,'Playoff Stats Pivot'!$A:$AE,10,0),"")</f>
        <v/>
      </c>
      <c r="M31" s="830" t="str">
        <f t="shared" si="3"/>
        <v>#DIV/0!</v>
      </c>
      <c r="N31" s="829" t="str">
        <f>IFERROR(VLOOKUP($A31,'Playoff Stats Pivot'!$A:$AE,11,0),"")</f>
        <v/>
      </c>
      <c r="O31" s="829" t="str">
        <f>IFERROR(VLOOKUP($A31,'Playoff Stats Pivot'!$A:$AE,12,0),"")</f>
        <v/>
      </c>
      <c r="P31" s="829" t="str">
        <f>IFERROR(VLOOKUP($A31,'Playoff Stats Pivot'!$A:$AE,13,0),"")</f>
        <v/>
      </c>
      <c r="Q31" s="829" t="str">
        <f>IFERROR(VLOOKUP($A31,'Playoff Stats Pivot'!$A:$AE,14,0),"")</f>
        <v/>
      </c>
      <c r="R31" s="829" t="str">
        <f>IFERROR(VLOOKUP($A31,'Playoff Stats Pivot'!$A:$AE,15,0),"")</f>
        <v/>
      </c>
      <c r="S31" s="829" t="str">
        <f>IFERROR(VLOOKUP($A31,'Playoff Stats Pivot'!$A:$AE,16,0),"")</f>
        <v/>
      </c>
      <c r="T31" s="829" t="str">
        <f>IFERROR(VLOOKUP($A31,'Playoff Stats Pivot'!$A:$AE,17,0),"")</f>
        <v/>
      </c>
      <c r="U31" s="829" t="str">
        <f>IFERROR(VLOOKUP($A31,'Playoff Stats Pivot'!$A:$AE,18,0),"")</f>
        <v/>
      </c>
      <c r="V31" s="829" t="str">
        <f>IFERROR(VLOOKUP($A31,'Playoff Stats Pivot'!$A:$AE,19,0),"")</f>
        <v/>
      </c>
      <c r="W31" s="829" t="str">
        <f>IFERROR(VLOOKUP($A31,'Playoff Stats Pivot'!$A:$AE,20,0),"")</f>
        <v/>
      </c>
      <c r="X31" s="829" t="str">
        <f>IFERROR(VLOOKUP($A31,'Playoff Stats Pivot'!$A:$AE,21,0),"")</f>
        <v/>
      </c>
      <c r="Y31" s="829" t="str">
        <f>IFERROR(VLOOKUP($A31,'Playoff Stats Pivot'!$A:$AE,22,0),"")</f>
        <v/>
      </c>
      <c r="Z31" s="829" t="str">
        <f>IFERROR(VLOOKUP($A31,'Playoff Stats Pivot'!$A:$AE,23,0),"")</f>
        <v/>
      </c>
      <c r="AA31" s="829" t="str">
        <f>IFERROR(VLOOKUP($A31,'Playoff Stats Pivot'!$A:$AE,24,0),"")</f>
        <v/>
      </c>
      <c r="AB31" s="829" t="str">
        <f>IFERROR(VLOOKUP($A31,'Playoff Stats Pivot'!$A:$AE,25,0),"")</f>
        <v/>
      </c>
      <c r="AC31" s="829" t="str">
        <f>IFERROR(VLOOKUP($A31,'Playoff Stats Pivot'!$A:$AE,26,0),"")</f>
        <v/>
      </c>
      <c r="AD31" s="829" t="str">
        <f>IFERROR(VLOOKUP($A31,'Playoff Stats Pivot'!$A:$AE,27,0),"")</f>
        <v/>
      </c>
      <c r="AE31" s="829" t="str">
        <f>IFERROR(VLOOKUP($A31,'Playoff Stats Pivot'!$A:$AE,28,0),"")</f>
        <v/>
      </c>
      <c r="AF31" s="829" t="str">
        <f>IFERROR(VLOOKUP($A31,'Playoff Stats Pivot'!$A:$AE,29,0),"")</f>
        <v/>
      </c>
      <c r="AG31" s="829" t="str">
        <f>IFERROR(VLOOKUP($A31,'Playoff Stats Pivot'!$A:$AE,30,0),"")</f>
        <v/>
      </c>
      <c r="AH31" s="829" t="str">
        <f>IFERROR(VLOOKUP($A31,'Playoff Stats Pivot'!$A:$AE,31,0),"")</f>
        <v/>
      </c>
      <c r="AI31" s="833" t="str">
        <f t="shared" si="4"/>
        <v/>
      </c>
      <c r="AJ31" s="833" t="str">
        <f t="shared" si="5"/>
        <v/>
      </c>
      <c r="AK31" s="833" t="str">
        <f t="shared" si="6"/>
        <v/>
      </c>
      <c r="AL31" s="833" t="str">
        <f t="shared" si="7"/>
        <v/>
      </c>
      <c r="AM31" s="833" t="str">
        <f t="shared" si="8"/>
        <v/>
      </c>
      <c r="AN31" s="833" t="str">
        <f t="shared" si="9"/>
        <v/>
      </c>
      <c r="AO31" s="833" t="str">
        <f t="shared" si="10"/>
        <v/>
      </c>
      <c r="AP31" s="833" t="str">
        <f t="shared" si="11"/>
        <v/>
      </c>
      <c r="AQ31" s="833" t="s">
        <v>350</v>
      </c>
      <c r="AR31" s="834" t="s">
        <v>377</v>
      </c>
    </row>
    <row r="32">
      <c r="A32" s="902" t="s">
        <v>62</v>
      </c>
      <c r="B32" s="829">
        <f t="shared" si="1"/>
        <v>7</v>
      </c>
      <c r="C32" s="829">
        <f>IFERROR(VLOOKUP($A32,'Playoff Stats Pivot'!$A:$AE,2,0),"")</f>
        <v>4</v>
      </c>
      <c r="D32" s="829">
        <f>IFERROR(VLOOKUP($A32,'Playoff Stats Pivot'!$A:$AE,3,0),"")</f>
        <v>3</v>
      </c>
      <c r="E32" s="829">
        <f>IFERROR(VLOOKUP($A32,'Playoff Stats Pivot'!$A:$AE,4,0),"")</f>
        <v>8</v>
      </c>
      <c r="F32" s="829">
        <f>IFERROR(VLOOKUP($A32,'Playoff Stats Pivot'!$A:$AE,5,0),"")</f>
        <v>41</v>
      </c>
      <c r="G32" s="829">
        <f>IFERROR(VLOOKUP($A32,'Playoff Stats Pivot'!$A:$AE,6,0),"")</f>
        <v>423</v>
      </c>
      <c r="H32" s="829">
        <f>IFERROR(VLOOKUP($A32,'Playoff Stats Pivot'!$A:$AE,7,0),"")</f>
        <v>324</v>
      </c>
      <c r="I32" s="829">
        <f>IFERROR(VLOOKUP($A32,'Playoff Stats Pivot'!$A:$AE,8,0),"")</f>
        <v>99</v>
      </c>
      <c r="J32" s="830">
        <f t="shared" si="2"/>
        <v>1.305555556</v>
      </c>
      <c r="K32" s="829">
        <f>IFERROR(VLOOKUP($A32,'Playoff Stats Pivot'!$A:$AE,9,0),"")</f>
        <v>0</v>
      </c>
      <c r="L32" s="829">
        <f>IFERROR(VLOOKUP($A32,'Playoff Stats Pivot'!$A:$AE,10,0),"")</f>
        <v>7003</v>
      </c>
      <c r="M32" s="830">
        <f t="shared" si="3"/>
        <v>17.61419753</v>
      </c>
      <c r="N32" s="829">
        <f>IFERROR(VLOOKUP($A32,'Playoff Stats Pivot'!$A:$AE,11,0),"")</f>
        <v>12</v>
      </c>
      <c r="O32" s="829">
        <f>IFERROR(VLOOKUP($A32,'Playoff Stats Pivot'!$A:$AE,12,0),"")</f>
        <v>0</v>
      </c>
      <c r="P32" s="829">
        <f>IFERROR(VLOOKUP($A32,'Playoff Stats Pivot'!$A:$AE,13,0),"")</f>
        <v>0</v>
      </c>
      <c r="Q32" s="829">
        <f>IFERROR(VLOOKUP($A32,'Playoff Stats Pivot'!$A:$AE,14,0),"")</f>
        <v>0</v>
      </c>
      <c r="R32" s="829">
        <f>IFERROR(VLOOKUP($A32,'Playoff Stats Pivot'!$A:$AE,15,0),"")</f>
        <v>4</v>
      </c>
      <c r="S32" s="829">
        <f>IFERROR(VLOOKUP($A32,'Playoff Stats Pivot'!$A:$AE,16,0),"")</f>
        <v>68</v>
      </c>
      <c r="T32" s="829">
        <f>IFERROR(VLOOKUP($A32,'Playoff Stats Pivot'!$A:$AE,17,0),"")</f>
        <v>23</v>
      </c>
      <c r="U32" s="829">
        <f>IFERROR(VLOOKUP($A32,'Playoff Stats Pivot'!$A:$AE,18,0),"")</f>
        <v>7</v>
      </c>
      <c r="V32" s="829">
        <f>IFERROR(VLOOKUP($A32,'Playoff Stats Pivot'!$A:$AE,19,0),"")</f>
        <v>1</v>
      </c>
      <c r="W32" s="829">
        <f>IFERROR(VLOOKUP($A32,'Playoff Stats Pivot'!$A:$AE,20,0),"")</f>
        <v>1</v>
      </c>
      <c r="X32" s="829">
        <f>IFERROR(VLOOKUP($A32,'Playoff Stats Pivot'!$A:$AE,21,0),"")</f>
        <v>0</v>
      </c>
      <c r="Y32" s="829">
        <f>IFERROR(VLOOKUP($A32,'Playoff Stats Pivot'!$A:$AE,22,0),"")</f>
        <v>0</v>
      </c>
      <c r="Z32" s="829">
        <f>IFERROR(VLOOKUP($A32,'Playoff Stats Pivot'!$A:$AE,23,0),"")</f>
        <v>0</v>
      </c>
      <c r="AA32" s="829">
        <f>IFERROR(VLOOKUP($A32,'Playoff Stats Pivot'!$A:$AE,24,0),"")</f>
        <v>0</v>
      </c>
      <c r="AB32" s="829">
        <f>IFERROR(VLOOKUP($A32,'Playoff Stats Pivot'!$A:$AE,25,0),"")</f>
        <v>1</v>
      </c>
      <c r="AC32" s="829">
        <f>IFERROR(VLOOKUP($A32,'Playoff Stats Pivot'!$A:$AE,26,0),"")</f>
        <v>72</v>
      </c>
      <c r="AD32" s="829">
        <f>IFERROR(VLOOKUP($A32,'Playoff Stats Pivot'!$A:$AE,27,0),"")</f>
        <v>0</v>
      </c>
      <c r="AE32" s="829">
        <f>IFERROR(VLOOKUP($A32,'Playoff Stats Pivot'!$A:$AE,28,0),"")</f>
        <v>2</v>
      </c>
      <c r="AF32" s="829">
        <f>IFERROR(VLOOKUP($A32,'Playoff Stats Pivot'!$A:$AE,29,0),"")</f>
        <v>0</v>
      </c>
      <c r="AG32" s="829">
        <f>IFERROR(VLOOKUP($A32,'Playoff Stats Pivot'!$A:$AE,30,0),"")</f>
        <v>6</v>
      </c>
      <c r="AH32" s="829">
        <f>IFERROR(VLOOKUP($A32,'Playoff Stats Pivot'!$A:$AE,31,0),"")</f>
        <v>0</v>
      </c>
      <c r="AI32" s="833">
        <f t="shared" si="4"/>
        <v>6.400114237</v>
      </c>
      <c r="AJ32" s="833">
        <f t="shared" si="5"/>
        <v>0.1370841068</v>
      </c>
      <c r="AK32" s="833">
        <f t="shared" si="6"/>
        <v>0.1028130801</v>
      </c>
      <c r="AL32" s="833">
        <f t="shared" si="7"/>
        <v>2.250635442</v>
      </c>
      <c r="AM32" s="833">
        <f t="shared" si="8"/>
        <v>1.142857143</v>
      </c>
      <c r="AN32" s="833">
        <f t="shared" si="9"/>
        <v>0.2364066194</v>
      </c>
      <c r="AO32" s="833">
        <f t="shared" si="10"/>
        <v>0.005854633728</v>
      </c>
      <c r="AP32" s="833">
        <f t="shared" si="11"/>
        <v>0.8482079109</v>
      </c>
      <c r="AQ32" s="833" t="s">
        <v>336</v>
      </c>
      <c r="AR32" s="834" t="s">
        <v>378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66" t="s">
        <v>12</v>
      </c>
      <c r="B1" s="867" t="s">
        <v>147</v>
      </c>
      <c r="C1" s="867" t="s">
        <v>213</v>
      </c>
      <c r="D1" s="868" t="s">
        <v>139</v>
      </c>
      <c r="E1" s="869"/>
      <c r="F1" s="868" t="s">
        <v>140</v>
      </c>
      <c r="G1" s="869"/>
      <c r="H1" s="868" t="s">
        <v>227</v>
      </c>
      <c r="I1" s="869"/>
      <c r="J1" s="868" t="s">
        <v>228</v>
      </c>
      <c r="K1" s="869"/>
      <c r="L1" s="868" t="s">
        <v>141</v>
      </c>
      <c r="M1" s="869"/>
      <c r="N1" s="868" t="s">
        <v>142</v>
      </c>
      <c r="O1" s="869"/>
      <c r="P1" s="868" t="s">
        <v>143</v>
      </c>
      <c r="Q1" s="869"/>
      <c r="R1" s="868" t="s">
        <v>144</v>
      </c>
      <c r="S1" s="869"/>
      <c r="T1" s="868" t="s">
        <v>145</v>
      </c>
      <c r="U1" s="869"/>
      <c r="V1" s="867" t="s">
        <v>17</v>
      </c>
      <c r="W1" s="867" t="s">
        <v>18</v>
      </c>
      <c r="X1" s="867" t="s">
        <v>20</v>
      </c>
      <c r="Y1" s="867" t="s">
        <v>21</v>
      </c>
      <c r="Z1" s="867" t="s">
        <v>22</v>
      </c>
      <c r="AA1" s="867" t="s">
        <v>23</v>
      </c>
      <c r="AB1" s="867" t="s">
        <v>313</v>
      </c>
      <c r="AC1" s="870" t="s">
        <v>60</v>
      </c>
      <c r="AD1" s="867" t="s">
        <v>25</v>
      </c>
      <c r="AE1" s="871" t="s">
        <v>27</v>
      </c>
      <c r="AF1" s="867" t="s">
        <v>230</v>
      </c>
      <c r="AG1" s="867" t="s">
        <v>314</v>
      </c>
      <c r="AH1" s="867" t="s">
        <v>315</v>
      </c>
      <c r="AI1" s="867" t="s">
        <v>316</v>
      </c>
      <c r="AJ1" s="867" t="s">
        <v>31</v>
      </c>
      <c r="AK1" s="867" t="s">
        <v>32</v>
      </c>
      <c r="AL1" s="867" t="s">
        <v>33</v>
      </c>
      <c r="AM1" s="867" t="s">
        <v>317</v>
      </c>
      <c r="AN1" s="867" t="s">
        <v>318</v>
      </c>
      <c r="AO1" s="867" t="s">
        <v>319</v>
      </c>
      <c r="AP1" s="867" t="s">
        <v>320</v>
      </c>
      <c r="AQ1" s="867" t="s">
        <v>321</v>
      </c>
      <c r="AR1" s="867" t="s">
        <v>322</v>
      </c>
      <c r="AS1" s="867" t="s">
        <v>323</v>
      </c>
      <c r="AT1" s="867" t="s">
        <v>35</v>
      </c>
      <c r="AU1" s="867" t="s">
        <v>231</v>
      </c>
      <c r="AV1" s="867" t="s">
        <v>324</v>
      </c>
      <c r="AW1" s="867" t="s">
        <v>325</v>
      </c>
      <c r="AX1" s="867" t="s">
        <v>326</v>
      </c>
      <c r="AY1" s="867" t="s">
        <v>327</v>
      </c>
      <c r="AZ1" s="872" t="s">
        <v>328</v>
      </c>
    </row>
    <row r="2">
      <c r="A2" s="873" t="s">
        <v>106</v>
      </c>
      <c r="B2" s="874" t="s">
        <v>166</v>
      </c>
      <c r="C2" s="874">
        <v>16.8</v>
      </c>
      <c r="D2" s="875">
        <v>0.07100591715976332</v>
      </c>
      <c r="E2" s="875" t="s">
        <v>159</v>
      </c>
      <c r="F2" s="875">
        <v>0.056268840013397346</v>
      </c>
      <c r="G2" s="875" t="s">
        <v>158</v>
      </c>
      <c r="H2" s="875">
        <v>0.35502958579881655</v>
      </c>
      <c r="I2" s="875" t="s">
        <v>181</v>
      </c>
      <c r="J2" s="875">
        <v>0.0</v>
      </c>
      <c r="K2" s="875" t="s">
        <v>190</v>
      </c>
      <c r="L2" s="875">
        <v>0.4970414201183432</v>
      </c>
      <c r="M2" s="875" t="s">
        <v>164</v>
      </c>
      <c r="N2" s="875">
        <v>0.07100591715976332</v>
      </c>
      <c r="O2" s="875" t="s">
        <v>184</v>
      </c>
      <c r="P2" s="875">
        <v>0.6390532544378698</v>
      </c>
      <c r="Q2" s="875" t="s">
        <v>166</v>
      </c>
      <c r="R2" s="875">
        <v>0.0</v>
      </c>
      <c r="S2" s="875" t="s">
        <v>191</v>
      </c>
      <c r="T2" s="875">
        <v>2.982248520710059</v>
      </c>
      <c r="U2" s="875" t="s">
        <v>166</v>
      </c>
      <c r="V2" s="874">
        <v>1.0</v>
      </c>
      <c r="W2" s="874">
        <v>0.0</v>
      </c>
      <c r="X2" s="874">
        <v>1.0</v>
      </c>
      <c r="Y2" s="874">
        <v>0.0</v>
      </c>
      <c r="Z2" s="874">
        <v>42.0</v>
      </c>
      <c r="AA2" s="874">
        <v>53.0</v>
      </c>
      <c r="AB2" s="874">
        <v>-11.0</v>
      </c>
      <c r="AC2" s="876">
        <v>0.7924528301886793</v>
      </c>
      <c r="AD2" s="874">
        <v>0.0</v>
      </c>
      <c r="AE2" s="877" t="s">
        <v>397</v>
      </c>
      <c r="AF2" s="874">
        <v>0.0</v>
      </c>
      <c r="AG2" s="874">
        <v>0.0</v>
      </c>
      <c r="AH2" s="874">
        <v>0.0</v>
      </c>
      <c r="AI2" s="874">
        <v>0.0</v>
      </c>
      <c r="AJ2" s="874">
        <v>1.0</v>
      </c>
      <c r="AK2" s="874">
        <v>7.0</v>
      </c>
      <c r="AL2" s="874">
        <v>1.0</v>
      </c>
      <c r="AM2" s="874">
        <v>0.0</v>
      </c>
      <c r="AN2" s="874">
        <v>0.0</v>
      </c>
      <c r="AO2" s="874">
        <v>0.0</v>
      </c>
      <c r="AP2" s="874">
        <v>0.0</v>
      </c>
      <c r="AQ2" s="874">
        <v>0.0</v>
      </c>
      <c r="AR2" s="874">
        <v>0.0</v>
      </c>
      <c r="AS2" s="874">
        <v>0.0</v>
      </c>
      <c r="AT2" s="874">
        <v>0.0</v>
      </c>
      <c r="AU2" s="874">
        <v>5.0</v>
      </c>
      <c r="AV2" s="874">
        <v>0.0</v>
      </c>
      <c r="AW2" s="874">
        <v>0.0</v>
      </c>
      <c r="AX2" s="874">
        <v>0.0</v>
      </c>
      <c r="AY2" s="874">
        <v>0.0</v>
      </c>
      <c r="AZ2" s="878">
        <v>0.0</v>
      </c>
    </row>
    <row r="3">
      <c r="A3" s="873" t="s">
        <v>106</v>
      </c>
      <c r="B3" s="874" t="s">
        <v>164</v>
      </c>
      <c r="C3" s="874">
        <v>18.950000000000003</v>
      </c>
      <c r="D3" s="875">
        <v>0.0</v>
      </c>
      <c r="E3" s="875" t="s">
        <v>191</v>
      </c>
      <c r="F3" s="875">
        <v>0.03425133071048368</v>
      </c>
      <c r="G3" s="875" t="s">
        <v>158</v>
      </c>
      <c r="H3" s="875">
        <v>0.6845637583892618</v>
      </c>
      <c r="I3" s="875" t="s">
        <v>156</v>
      </c>
      <c r="J3" s="875">
        <v>0.04026845637583893</v>
      </c>
      <c r="K3" s="875" t="s">
        <v>168</v>
      </c>
      <c r="L3" s="875">
        <v>0.5234899328859061</v>
      </c>
      <c r="M3" s="875" t="s">
        <v>161</v>
      </c>
      <c r="N3" s="875">
        <v>0.16107382550335572</v>
      </c>
      <c r="O3" s="875" t="s">
        <v>159</v>
      </c>
      <c r="P3" s="875">
        <v>0.7651006711409396</v>
      </c>
      <c r="Q3" s="875" t="s">
        <v>161</v>
      </c>
      <c r="R3" s="875">
        <v>0.08053691275167786</v>
      </c>
      <c r="S3" s="875" t="s">
        <v>158</v>
      </c>
      <c r="T3" s="875">
        <v>2.9798657718120807</v>
      </c>
      <c r="U3" s="875" t="s">
        <v>166</v>
      </c>
      <c r="V3" s="874">
        <v>1.0</v>
      </c>
      <c r="W3" s="874">
        <v>0.0</v>
      </c>
      <c r="X3" s="874">
        <v>0.0</v>
      </c>
      <c r="Y3" s="874">
        <v>2.0</v>
      </c>
      <c r="Z3" s="874">
        <v>74.0</v>
      </c>
      <c r="AA3" s="874">
        <v>87.0</v>
      </c>
      <c r="AB3" s="874">
        <v>-13.0</v>
      </c>
      <c r="AC3" s="876">
        <v>0.8505747126436781</v>
      </c>
      <c r="AD3" s="874">
        <v>0.0</v>
      </c>
      <c r="AE3" s="877" t="s">
        <v>398</v>
      </c>
      <c r="AF3" s="874">
        <v>1.0</v>
      </c>
      <c r="AG3" s="874">
        <v>0.0</v>
      </c>
      <c r="AH3" s="874">
        <v>0.0</v>
      </c>
      <c r="AI3" s="874">
        <v>0.0</v>
      </c>
      <c r="AJ3" s="874">
        <v>1.0</v>
      </c>
      <c r="AK3" s="874">
        <v>13.0</v>
      </c>
      <c r="AL3" s="874">
        <v>4.0</v>
      </c>
      <c r="AM3" s="874">
        <v>1.0</v>
      </c>
      <c r="AN3" s="874">
        <v>0.0</v>
      </c>
      <c r="AO3" s="874">
        <v>0.0</v>
      </c>
      <c r="AP3" s="874">
        <v>0.0</v>
      </c>
      <c r="AQ3" s="874">
        <v>0.0</v>
      </c>
      <c r="AR3" s="874">
        <v>0.0</v>
      </c>
      <c r="AS3" s="874">
        <v>0.0</v>
      </c>
      <c r="AT3" s="874">
        <v>0.0</v>
      </c>
      <c r="AU3" s="874">
        <v>17.0</v>
      </c>
      <c r="AV3" s="874">
        <v>0.0</v>
      </c>
      <c r="AW3" s="874">
        <v>0.0</v>
      </c>
      <c r="AX3" s="874">
        <v>0.0</v>
      </c>
      <c r="AY3" s="874">
        <v>2.0</v>
      </c>
      <c r="AZ3" s="878">
        <v>0.0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5"/>
    <col customWidth="1" min="2" max="2" width="5.88"/>
    <col customWidth="1" min="3" max="3" width="6.63"/>
    <col customWidth="1" hidden="1" min="4" max="4" width="7.25"/>
    <col customWidth="1" hidden="1" min="5" max="5" width="5.38"/>
    <col customWidth="1" hidden="1" min="6" max="7" width="6.38"/>
    <col customWidth="1" hidden="1" min="8" max="11" width="5.13"/>
    <col customWidth="1" hidden="1" min="12" max="13" width="5.5"/>
    <col customWidth="1" hidden="1" min="14" max="15" width="5.13"/>
    <col customWidth="1" hidden="1" min="16" max="17" width="6.25"/>
    <col customWidth="1" hidden="1" min="18" max="19" width="5.88"/>
    <col customWidth="1" hidden="1" min="20" max="21" width="6.5"/>
    <col customWidth="1" min="22" max="22" width="5.0"/>
    <col customWidth="1" min="23" max="23" width="6.75"/>
    <col customWidth="1" min="24" max="24" width="5.63"/>
    <col customWidth="1" min="25" max="25" width="8.25"/>
    <col customWidth="1" min="26" max="26" width="4.5"/>
    <col customWidth="1" min="27" max="27" width="6.5"/>
    <col customWidth="1" min="28" max="28" width="6.63"/>
    <col customWidth="1" min="29" max="29" width="5.13"/>
    <col customWidth="1" min="30" max="30" width="6.88"/>
    <col customWidth="1" min="31" max="31" width="5.63"/>
    <col customWidth="1" min="32" max="32" width="6.5"/>
    <col customWidth="1" min="33" max="34" width="7.75"/>
    <col customWidth="1" min="35" max="35" width="9.38"/>
    <col customWidth="1" min="36" max="36" width="5.88"/>
    <col customWidth="1" min="37" max="37" width="6.63"/>
    <col customWidth="1" min="38" max="38" width="6.25"/>
    <col customWidth="1" min="39" max="39" width="5.0"/>
    <col customWidth="1" min="40" max="40" width="10.0"/>
    <col customWidth="1" min="41" max="41" width="10.13"/>
    <col customWidth="1" min="42" max="42" width="11.88"/>
    <col customWidth="1" min="43" max="43" width="11.13"/>
    <col customWidth="1" min="44" max="44" width="12.63"/>
    <col customWidth="1" min="45" max="45" width="9.0"/>
    <col customWidth="1" min="46" max="46" width="7.63"/>
    <col customWidth="1" min="47" max="47" width="8.25"/>
    <col customWidth="1" min="48" max="48" width="5.13"/>
    <col customWidth="1" min="49" max="49" width="7.75"/>
    <col customWidth="1" min="50" max="50" width="8.38"/>
    <col customWidth="1" min="51" max="51" width="6.88"/>
    <col customWidth="1" min="52" max="52" width="8.75"/>
  </cols>
  <sheetData>
    <row r="1">
      <c r="A1" s="879" t="s">
        <v>12</v>
      </c>
      <c r="B1" s="879" t="s">
        <v>147</v>
      </c>
      <c r="C1" s="880" t="s">
        <v>213</v>
      </c>
      <c r="D1" s="881" t="s">
        <v>139</v>
      </c>
      <c r="E1" s="881" t="s">
        <v>399</v>
      </c>
      <c r="F1" s="881" t="s">
        <v>140</v>
      </c>
      <c r="G1" s="881" t="s">
        <v>399</v>
      </c>
      <c r="H1" s="881" t="s">
        <v>227</v>
      </c>
      <c r="I1" s="881" t="s">
        <v>399</v>
      </c>
      <c r="J1" s="881" t="s">
        <v>228</v>
      </c>
      <c r="K1" s="881" t="s">
        <v>399</v>
      </c>
      <c r="L1" s="881" t="s">
        <v>141</v>
      </c>
      <c r="M1" s="881" t="s">
        <v>399</v>
      </c>
      <c r="N1" s="881" t="s">
        <v>142</v>
      </c>
      <c r="O1" s="881" t="s">
        <v>399</v>
      </c>
      <c r="P1" s="881" t="s">
        <v>143</v>
      </c>
      <c r="Q1" s="882" t="s">
        <v>399</v>
      </c>
      <c r="R1" s="882" t="s">
        <v>144</v>
      </c>
      <c r="S1" s="882" t="s">
        <v>399</v>
      </c>
      <c r="T1" s="882" t="s">
        <v>145</v>
      </c>
      <c r="U1" s="882" t="s">
        <v>399</v>
      </c>
      <c r="V1" s="883" t="s">
        <v>17</v>
      </c>
      <c r="W1" s="883" t="s">
        <v>18</v>
      </c>
      <c r="X1" s="883" t="s">
        <v>20</v>
      </c>
      <c r="Y1" s="884" t="s">
        <v>21</v>
      </c>
      <c r="Z1" s="883" t="s">
        <v>22</v>
      </c>
      <c r="AA1" s="883" t="s">
        <v>23</v>
      </c>
      <c r="AB1" s="883" t="s">
        <v>313</v>
      </c>
      <c r="AC1" s="885" t="s">
        <v>60</v>
      </c>
      <c r="AD1" s="883" t="s">
        <v>25</v>
      </c>
      <c r="AE1" s="886" t="s">
        <v>27</v>
      </c>
      <c r="AF1" s="883" t="s">
        <v>230</v>
      </c>
      <c r="AG1" s="883" t="s">
        <v>314</v>
      </c>
      <c r="AH1" s="883" t="s">
        <v>315</v>
      </c>
      <c r="AI1" s="883" t="s">
        <v>316</v>
      </c>
      <c r="AJ1" s="884" t="s">
        <v>31</v>
      </c>
      <c r="AK1" s="883" t="s">
        <v>32</v>
      </c>
      <c r="AL1" s="883" t="s">
        <v>33</v>
      </c>
      <c r="AM1" s="883" t="s">
        <v>317</v>
      </c>
      <c r="AN1" s="883" t="s">
        <v>318</v>
      </c>
      <c r="AO1" s="883" t="s">
        <v>319</v>
      </c>
      <c r="AP1" s="883" t="s">
        <v>320</v>
      </c>
      <c r="AQ1" s="883" t="s">
        <v>321</v>
      </c>
      <c r="AR1" s="883" t="s">
        <v>322</v>
      </c>
      <c r="AS1" s="883" t="s">
        <v>323</v>
      </c>
      <c r="AT1" s="883" t="s">
        <v>35</v>
      </c>
      <c r="AU1" s="883" t="s">
        <v>231</v>
      </c>
      <c r="AV1" s="884" t="s">
        <v>324</v>
      </c>
      <c r="AW1" s="884" t="s">
        <v>325</v>
      </c>
      <c r="AX1" s="884" t="s">
        <v>326</v>
      </c>
      <c r="AY1" s="884" t="s">
        <v>327</v>
      </c>
      <c r="AZ1" s="884" t="s">
        <v>328</v>
      </c>
    </row>
    <row r="2">
      <c r="A2" s="887" t="s">
        <v>62</v>
      </c>
      <c r="B2" s="888" t="str">
        <f>IF(C2&lt;'PlayerGrades+'!$Y$44,"F-",IF(C2&lt;'PlayerGrades+'!$Y$43,"F",IF(C2&lt;'PlayerGrades+'!$Y$42,"F+",IF(C2&lt;'PlayerGrades+'!$Y$41,"E-",IF(C2&lt;'PlayerGrades+'!$Y$40,"E",IF(C2&lt;'PlayerGrades+'!$Y$39,"E+",IF(C2&lt;'PlayerGrades+'!$Y$38,"D-",IF(C2&lt;'PlayerGrades+'!$Y$37,"D",IF(C2&lt;'PlayerGrades+'!$Y$36,"D+",IF(C2&lt;'PlayerGrades+'!$Y$35,"C-",IF(C2&lt;'PlayerGrades+'!$Y$34,"C",IF(C2&lt;'PlayerGrades+'!$Y$33,"C+",IF(C2&lt;'PlayerGrades+'!$Y$32,"B-",IF(C2&lt;'PlayerGrades+'!$Y$31,"B",IF(C2&lt;'PlayerGrades+'!$Y$30,"B+",IF(C2&lt;'PlayerGrades+'!$Y$29,"A-",IF(C2&lt;'PlayerGrades+'!$Y$28,"A",IF(C2&lt;'PlayerGrades+'!$Y$27,"A+",IF(C2&lt;'PlayerGrades+'!$Y$26,"S-",IF(C2&lt;'PlayerGrades+'!$Y$25,"S","S+"))))))))))))))))))))</f>
        <v>A</v>
      </c>
      <c r="C2" s="889">
        <f>('PlayerGrades+'!$Y$47*(VLOOKUP(E2, 'PlayerGrades+'!$X$3:$Y$23, 2, FALSE)))+('PlayerGrades+'!$Y$48*(VLOOKUP(G2, 'PlayerGrades+'!$X$3:$Y$23, 2, FALSE)))+('PlayerGrades+'!$Y$49*(VLOOKUP(I2, 'PlayerGrades+'!$X$3:$Y$23, 2, FALSE)))+('PlayerGrades+'!$Y$50*(VLOOKUP(K2, 'PlayerGrades+'!$X$3:$Y$23, 2, FALSE)))+('PlayerGrades+'!$Y$51*(VLOOKUP(M2, 'PlayerGrades+'!$X$3:$Y$23, 2, FALSE)))+('PlayerGrades+'!$Y$52*(VLOOKUP(O2, 'PlayerGrades+'!$X$3:$Y$23, 2, FALSE)))+('PlayerGrades+'!$Y$53*(VLOOKUP(Q2, 'PlayerGrades+'!$X$3:$Y$23, 2, FALSE)))+('PlayerGrades+'!$Y$54*(VLOOKUP(S2, 'PlayerGrades+'!$X$3:$Y$23, 2, FALSE)))+('PlayerGrades+'!$Y$55*(VLOOKUP(U2, 'PlayerGrades+'!$X$3:$Y$23, 2, FALSE)))</f>
        <v>23.2625</v>
      </c>
      <c r="D2" s="890">
        <f t="shared" ref="D2:D121" si="1">X2/((AE2)/60)</f>
        <v>0.1420118343</v>
      </c>
      <c r="E2" s="890" t="str">
        <f>IF(D2&lt;'PlayerGrades+'!$AA$21,"F-",IF(D2&lt;'PlayerGrades+'!$AA$20,"F",IF(D2&lt;'PlayerGrades+'!$AA$19,"F+",IF(D2&lt;'PlayerGrades+'!$AA$18,"E-",IF(D2&lt;'PlayerGrades+'!$AA$17,"E",IF(D2&lt;'PlayerGrades+'!$AA$16,"E+",IF(D2&lt;'PlayerGrades+'!$AA$15,"D-",IF(D2&lt;'PlayerGrades+'!$AA$14,"D",IF(D2&lt;'PlayerGrades+'!$AA$13,"D+",IF(D2&lt;'PlayerGrades+'!$AA$12,"C-",IF(D2&lt;'PlayerGrades+'!$AA$11,"C",IF(D2&lt;'PlayerGrades+'!$AA$10,"C+",IF(D2&lt;'PlayerGrades+'!$AA$9,"B-",IF(D2&lt;'PlayerGrades+'!$AA$8,"B",IF(D2&lt;'PlayerGrades+'!$AA$7,"B+",IF(D2&lt;'PlayerGrades+'!$AA$6,"A-",IF(D2&lt;'PlayerGrades+'!$AA$5,"A",IF(D2&lt;'PlayerGrades+'!$AA$4,"A+",IF(D2&lt;'PlayerGrades+'!$AA$3,"S-",IF(D2&lt;'PlayerGrades+'!$AA$2,"S","S+"))))))))))))))))))))</f>
        <v>S</v>
      </c>
      <c r="F2" s="890">
        <f t="shared" ref="F2:F121" si="2">(Z2/AA2)/((AE2)/60)</f>
        <v>0.1175270353</v>
      </c>
      <c r="G2" s="890" t="str">
        <f>IF(F2&lt;'PlayerGrades+'!$AB$21,"F-",IF(F2&lt;'PlayerGrades+'!$AB$20,"F",IF(F2&lt;'PlayerGrades+'!$AB$19,"F+",IF(F2&lt;'PlayerGrades+'!$AB$18,"E-",IF(F2&lt;'PlayerGrades+'!$AB$17,"E",IF(F2&lt;'PlayerGrades+'!$AB$16,"E+",IF(F2&lt;'PlayerGrades+'!$AB$15,"D-",IF(F2&lt;'PlayerGrades+'!$AB$14,"D",IF(F2&lt;'PlayerGrades+'!$AB$13,"D+",IF(F2&lt;'PlayerGrades+'!$AB$12,"C-",IF(F2&lt;'PlayerGrades+'!$AB$11,"C",IF(F2&lt;'PlayerGrades+'!$AB$10,"C+",IF(F2&lt;'PlayerGrades+'!$AB$9,"B-",IF(F2&lt;'PlayerGrades+'!$AB$8,"B",IF(F2&lt;'PlayerGrades+'!$AB$7,"B+",IF(F2&lt;'PlayerGrades+'!$AB$6,"A-",IF(F2&lt;'PlayerGrades+'!$AB$5,"A",IF(F2&lt;'PlayerGrades+'!$AB$4,"A+",IF(F2&lt;'PlayerGrades+'!$AB$3,"S-",IF(F2&lt;'PlayerGrades+'!$AB$2,"S","S+"))))))))))))))))))))</f>
        <v>A+</v>
      </c>
      <c r="H2" s="890">
        <f t="shared" ref="H2:H121" si="3">(AU2)/((AE2)/60)</f>
        <v>0.4970414201</v>
      </c>
      <c r="I2" s="890" t="str">
        <f>IF(H2&lt;'PlayerGrades+'!$AC$21,"F-",IF(H2&lt;'PlayerGrades+'!$AC$20,"F",IF(H2&lt;'PlayerGrades+'!$AC$19,"F+",IF(H2&lt;'PlayerGrades+'!$AC$18,"E-",IF(H2&lt;'PlayerGrades+'!$AC$17,"E",IF(H2&lt;'PlayerGrades+'!$AC$16,"E+",IF(H2&lt;'PlayerGrades+'!$AC$15,"D-",IF(H2&lt;'PlayerGrades+'!$AC$14,"D",IF(H2&lt;'PlayerGrades+'!$AC$13,"D+",IF(H2&lt;'PlayerGrades+'!$AC$12,"C-",IF(H2&lt;'PlayerGrades+'!$AC$11,"C",IF(H2&lt;'PlayerGrades+'!$AC$10,"C+",IF(H2&lt;'PlayerGrades+'!$AC$9,"B-",IF(H2&lt;'PlayerGrades+'!$AC$8,"B",IF(H2&lt;'PlayerGrades+'!$AC$7,"B+",IF(H2&lt;'PlayerGrades+'!$AC$6,"A-",IF(H2&lt;'PlayerGrades+'!$AC$5,"A",IF(H2&lt;'PlayerGrades+'!$AC$4,"A+",IF(H2&lt;'PlayerGrades+'!$AC$3,"S-",IF(H2&lt;'PlayerGrades+'!$AC$2,"S","S+"))))))))))))))))))))</f>
        <v>B-</v>
      </c>
      <c r="J2" s="890">
        <f t="shared" ref="J2:J121" si="4">(AF2)/((AE2)/60)</f>
        <v>0.07100591716</v>
      </c>
      <c r="K2" s="890" t="str">
        <f>IF(J2&lt;'PlayerGrades+'!$AD$21,"F-",IF(J2&lt;'PlayerGrades+'!$AD$20,"F",IF(J2&lt;'PlayerGrades+'!$AD$19,"F+",IF(J2&lt;'PlayerGrades+'!$AD$18,"E-",IF(J2&lt;'PlayerGrades+'!$AD$17,"E",IF(J2&lt;'PlayerGrades+'!$AD$16,"E+",IF(J2&lt;'PlayerGrades+'!$AD$15,"D-",IF(J2&lt;'PlayerGrades+'!$AD$14,"D",IF(J2&lt;'PlayerGrades+'!$AD$13,"D+",IF(J2&lt;'PlayerGrades+'!$AD$12,"C-",IF(J2&lt;'PlayerGrades+'!$AD$11,"C",IF(J2&lt;'PlayerGrades+'!$AD$10,"C+",IF(J2&lt;'PlayerGrades+'!$AD$9,"B-",IF(J2&lt;'PlayerGrades+'!$AD$8,"B",IF(J2&lt;'PlayerGrades+'!$AD$7,"B+",IF(J2&lt;'PlayerGrades+'!$AD$6,"A-",IF(J2&lt;'PlayerGrades+'!$AD$5,"A",IF(J2&lt;'PlayerGrades+'!$AD$4,"A+",IF(J2&lt;'PlayerGrades+'!$AD$3,"S-",IF(J2&lt;'PlayerGrades+'!$AD$2,"S","S+"))))))))))))))))))))</f>
        <v>A-</v>
      </c>
      <c r="L2" s="899">
        <f t="shared" ref="L2:L121" si="5">(AK2)/((AE2)/60)</f>
        <v>0.426035503</v>
      </c>
      <c r="M2" s="899" t="str">
        <f>IF(L2&lt;'PlayerGrades+'!$AE$21,"F-",IF(L2&lt;'PlayerGrades+'!$AE$20,"F",IF(L2&lt;'PlayerGrades+'!$AE$19,"F+",IF(L2&lt;'PlayerGrades+'!$AE$18,"E-",IF(L2&lt;'PlayerGrades+'!$AE$17,"E",IF(L2&lt;'PlayerGrades+'!$AE$16,"E+",IF(L2&lt;'PlayerGrades+'!$AE$15,"D-",IF(L2&lt;'PlayerGrades+'!$AE$14,"D",IF(L2&lt;'PlayerGrades+'!$AE$13,"D+",IF(L2&lt;'PlayerGrades+'!$AE$12,"C-",IF(L2&lt;'PlayerGrades+'!$AE$11,"C",IF(L2&lt;'PlayerGrades+'!$AE$10,"C+",IF(L2&lt;'PlayerGrades+'!$AE$9,"B-",IF(L2&lt;'PlayerGrades+'!$AE$8,"B",IF(L2&lt;'PlayerGrades+'!$AE$7,"B+",IF(L2&lt;'PlayerGrades+'!$AE$6,"A-",IF(L2&lt;'PlayerGrades+'!$AE$5,"A",IF(L2&lt;'PlayerGrades+'!$AE$4,"A+",IF(L2&lt;'PlayerGrades+'!$AE$3,"S-",IF(L2&lt;'PlayerGrades+'!$AE$2,"S","S+"))))))))))))))))))))</f>
        <v>C+</v>
      </c>
      <c r="N2" s="890">
        <f t="shared" ref="N2:N121" si="6">(AL2)/((AE2)/60)</f>
        <v>0.1420118343</v>
      </c>
      <c r="O2" s="890" t="str">
        <f>IF(N2&lt;'PlayerGrades+'!$AF$21,"F-",IF(N2&lt;'PlayerGrades+'!$AF$20,"F",IF(N2&lt;'PlayerGrades+'!$AF$19,"F+",IF(N2&lt;'PlayerGrades+'!$AF$18,"E-",IF(N2&lt;'PlayerGrades+'!$AF$17,"E",IF(N2&lt;'PlayerGrades+'!$AF$16,"E+",IF(N2&lt;'PlayerGrades+'!$AF$15,"D-",IF(N2&lt;'PlayerGrades+'!$AF$14,"D",IF(N2&lt;'PlayerGrades+'!$AF$13,"D+",IF(N2&lt;'PlayerGrades+'!$AF$12,"C-",IF(N2&lt;'PlayerGrades+'!$AF$11,"C",IF(N2&lt;'PlayerGrades+'!$AF$10,"C+",IF(N2&lt;'PlayerGrades+'!$AF$9,"B-",IF(N2&lt;'PlayerGrades+'!$AF$8,"B",IF(N2&lt;'PlayerGrades+'!$AF$7,"B+",IF(N2&lt;'PlayerGrades+'!$AF$6,"A-",IF(N2&lt;'PlayerGrades+'!$AF$5,"A",IF(N2&lt;'PlayerGrades+'!$AF$4,"A+",IF(N2&lt;'PlayerGrades+'!$AF$3,"S-",IF(N2&lt;'PlayerGrades+'!$AF$2,"S","S+"))))))))))))))))))))</f>
        <v>B</v>
      </c>
      <c r="P2" s="890">
        <f t="shared" ref="P2:P121" si="7">SUM(AJ2:AS2)/((AE2)/60)</f>
        <v>0.6390532544</v>
      </c>
      <c r="Q2" s="890" t="str">
        <f>IF(P2&lt;'PlayerGrades+'!$AG$21,"F-",IF(P2&lt;'PlayerGrades+'!$AG$20,"F",IF(P2&lt;'PlayerGrades+'!$AG$19,"F+",IF(P2&lt;'PlayerGrades+'!$AG$18,"E-",IF(P2&lt;'PlayerGrades+'!$AG$17,"E",IF(P2&lt;'PlayerGrades+'!$AG$16,"E+",IF(P2&lt;'PlayerGrades+'!$AG$15,"D-",IF(P2&lt;'PlayerGrades+'!$AG$14,"D",IF(P2&lt;'PlayerGrades+'!$AG$13,"D+",IF(P2&lt;'PlayerGrades+'!$AG$12,"C-",IF(P2&lt;'PlayerGrades+'!$AG$11,"C",IF(P2&lt;'PlayerGrades+'!$AG$10,"C+",IF(P2&lt;'PlayerGrades+'!$AG$9,"B-",IF(P2&lt;'PlayerGrades+'!$AG$8,"B",IF(P2&lt;'PlayerGrades+'!$AG$7,"B+",IF(P2&lt;'PlayerGrades+'!$AG$6,"A-",IF(P2&lt;'PlayerGrades+'!$AG$5,"A",IF(P2&lt;'PlayerGrades+'!$AG$4,"A+",IF(P2&lt;'PlayerGrades+'!$AG$3,"S-",IF(P2&lt;'PlayerGrades+'!$AG$2,"S","S+"))))))))))))))))))))</f>
        <v>B-</v>
      </c>
      <c r="R2" s="890">
        <f t="shared" ref="R2:R121" si="8">sum(AW2:AZ2)/((AE2)/60)</f>
        <v>0.07100591716</v>
      </c>
      <c r="S2" s="890" t="str">
        <f>IF(R2&lt;'PlayerGrades+'!$AH$21,"F-",IF(R2&lt;'PlayerGrades+'!$AH$20,"F",IF(R2&lt;'PlayerGrades+'!$AH$19,"F+",IF(R2&lt;'PlayerGrades+'!$AH$18,"E-",IF(R2&lt;'PlayerGrades+'!$AH$17,"E",IF(R2&lt;'PlayerGrades+'!$AH$16,"E+",IF(R2&lt;'PlayerGrades+'!$AH$15,"D-",IF(R2&lt;'PlayerGrades+'!$AH$14,"D",IF(R2&lt;'PlayerGrades+'!$AH$13,"D+",IF(R2&lt;'PlayerGrades+'!$AH$12,"C-",IF(R2&lt;'PlayerGrades+'!$AH$11,"C",IF(R2&lt;'PlayerGrades+'!$AH$10,"C+",IF(R2&lt;'PlayerGrades+'!$AH$9,"B-",IF(R2&lt;'PlayerGrades+'!$AH$8,"B",IF(R2&lt;'PlayerGrades+'!$AH$7,"B+",IF(R2&lt;'PlayerGrades+'!$AH$6,"A-",IF(R2&lt;'PlayerGrades+'!$AH$5,"A",IF(R2&lt;'PlayerGrades+'!$AH$4,"A+",IF(R2&lt;'PlayerGrades+'!$AH$3,"S-",IF(R2&lt;'PlayerGrades+'!$AH$2,"S","S+"))))))))))))))))))))</f>
        <v>B</v>
      </c>
      <c r="T2" s="890">
        <f t="shared" ref="T2:T121" si="9">(Z2)/((AE2)/60)</f>
        <v>3.408284024</v>
      </c>
      <c r="U2" s="890" t="str">
        <f>IF(T2&lt;'PlayerGrades+'!$AI$21,"F-",IF(T2&lt;'PlayerGrades+'!$AI$20,"F",IF(T2&lt;'PlayerGrades+'!$AI$19,"F+",IF(T2&lt;'PlayerGrades+'!$AI$18,"E-",IF(T2&lt;'PlayerGrades+'!$AI$17,"E",IF(T2&lt;'PlayerGrades+'!$AI$16,"E+",IF(T2&lt;'PlayerGrades+'!$AI$15,"D-",IF(T2&lt;'PlayerGrades+'!$AI$14,"D",IF(T2&lt;'PlayerGrades+'!$AI$13,"D+",IF(T2&lt;'PlayerGrades+'!$AI$12,"C-",IF(T2&lt;'PlayerGrades+'!$AI$11,"C",IF(T2&lt;'PlayerGrades+'!$AI$10,"C+",IF(T2&lt;'PlayerGrades+'!$AI$9,"B-",IF(T2&lt;'PlayerGrades+'!$AI$8,"B",IF(T2&lt;'PlayerGrades+'!$AI$7,"B+",IF(T2&lt;'PlayerGrades+'!$AI$6,"A-",IF(T2&lt;'PlayerGrades+'!$AI$5,"A",IF(T2&lt;'PlayerGrades+'!$AI$4,"A+",IF(T2&lt;'PlayerGrades+'!$AI$3,"S-",IF(T2&lt;'PlayerGrades+'!$AI$2,"S","S+"))))))))))))))))))))</f>
        <v>A+</v>
      </c>
      <c r="V2" s="925">
        <v>1.0</v>
      </c>
      <c r="W2" s="925">
        <v>0.0</v>
      </c>
      <c r="X2" s="925">
        <v>2.0</v>
      </c>
      <c r="Y2" s="925">
        <v>9.0</v>
      </c>
      <c r="Z2" s="925">
        <v>48.0</v>
      </c>
      <c r="AA2" s="925">
        <v>29.0</v>
      </c>
      <c r="AB2" s="925">
        <f t="shared" ref="AB2:AB121" si="10">Z2-AA2</f>
        <v>19</v>
      </c>
      <c r="AC2" s="930">
        <f t="shared" ref="AC2:AC121" si="11">IFERROR(Z2/AA2,0)</f>
        <v>1.655172414</v>
      </c>
      <c r="AD2" s="931">
        <v>0.0</v>
      </c>
      <c r="AE2" s="932">
        <v>845.0</v>
      </c>
      <c r="AF2" s="931">
        <v>1.0</v>
      </c>
      <c r="AG2" s="931">
        <v>0.0</v>
      </c>
      <c r="AH2" s="931">
        <v>0.0</v>
      </c>
      <c r="AI2" s="931">
        <v>0.0</v>
      </c>
      <c r="AJ2" s="931">
        <v>0.0</v>
      </c>
      <c r="AK2" s="931">
        <v>6.0</v>
      </c>
      <c r="AL2" s="931">
        <v>2.0</v>
      </c>
      <c r="AM2" s="931">
        <v>1.0</v>
      </c>
      <c r="AN2" s="931">
        <v>0.0</v>
      </c>
      <c r="AO2" s="931">
        <v>0.0</v>
      </c>
      <c r="AP2" s="931">
        <v>0.0</v>
      </c>
      <c r="AQ2" s="931">
        <v>0.0</v>
      </c>
      <c r="AR2" s="931">
        <v>0.0</v>
      </c>
      <c r="AS2" s="931">
        <v>0.0</v>
      </c>
      <c r="AT2" s="931">
        <v>0.0</v>
      </c>
      <c r="AU2" s="931">
        <v>7.0</v>
      </c>
      <c r="AV2" s="931">
        <v>0.0</v>
      </c>
      <c r="AW2" s="931">
        <v>0.0</v>
      </c>
      <c r="AX2" s="931">
        <v>0.0</v>
      </c>
      <c r="AY2" s="931">
        <v>1.0</v>
      </c>
      <c r="AZ2" s="936">
        <v>0.0</v>
      </c>
    </row>
    <row r="3">
      <c r="A3" s="938" t="s">
        <v>106</v>
      </c>
      <c r="B3" s="946" t="str">
        <f>IF(C3&lt;'PlayerGrades+'!$Y$44,"F-",IF(C3&lt;'PlayerGrades+'!$Y$43,"F",IF(C3&lt;'PlayerGrades+'!$Y$42,"F+",IF(C3&lt;'PlayerGrades+'!$Y$41,"E-",IF(C3&lt;'PlayerGrades+'!$Y$40,"E",IF(C3&lt;'PlayerGrades+'!$Y$39,"E+",IF(C3&lt;'PlayerGrades+'!$Y$38,"D-",IF(C3&lt;'PlayerGrades+'!$Y$37,"D",IF(C3&lt;'PlayerGrades+'!$Y$36,"D+",IF(C3&lt;'PlayerGrades+'!$Y$35,"C-",IF(C3&lt;'PlayerGrades+'!$Y$34,"C",IF(C3&lt;'PlayerGrades+'!$Y$33,"C+",IF(C3&lt;'PlayerGrades+'!$Y$32,"B-",IF(C3&lt;'PlayerGrades+'!$Y$31,"B",IF(C3&lt;'PlayerGrades+'!$Y$30,"B+",IF(C3&lt;'PlayerGrades+'!$Y$29,"A-",IF(C3&lt;'PlayerGrades+'!$Y$28,"A",IF(C3&lt;'PlayerGrades+'!$Y$27,"A+",IF(C3&lt;'PlayerGrades+'!$Y$26,"S-",IF(C3&lt;'PlayerGrades+'!$Y$25,"S","S+"))))))))))))))))))))</f>
        <v>B-</v>
      </c>
      <c r="C3" s="956">
        <f>('PlayerGrades+'!$Y$47*(VLOOKUP(E3, 'PlayerGrades+'!$X$3:$Y$23, 2, FALSE)))+('PlayerGrades+'!$Y$48*(VLOOKUP(G3, 'PlayerGrades+'!$X$3:$Y$23, 2, FALSE)))+('PlayerGrades+'!$Y$49*(VLOOKUP(I3, 'PlayerGrades+'!$X$3:$Y$23, 2, FALSE)))+('PlayerGrades+'!$Y$50*(VLOOKUP(K3, 'PlayerGrades+'!$X$3:$Y$23, 2, FALSE)))+('PlayerGrades+'!$Y$51*(VLOOKUP(M3, 'PlayerGrades+'!$X$3:$Y$23, 2, FALSE)))+('PlayerGrades+'!$Y$52*(VLOOKUP(O3, 'PlayerGrades+'!$X$3:$Y$23, 2, FALSE)))+('PlayerGrades+'!$Y$53*(VLOOKUP(Q3, 'PlayerGrades+'!$X$3:$Y$23, 2, FALSE)))+('PlayerGrades+'!$Y$54*(VLOOKUP(S3, 'PlayerGrades+'!$X$3:$Y$23, 2, FALSE)))+('PlayerGrades+'!$Y$55*(VLOOKUP(U3, 'PlayerGrades+'!$X$3:$Y$23, 2, FALSE)))</f>
        <v>16.725</v>
      </c>
      <c r="D3" s="961">
        <f t="shared" si="1"/>
        <v>0.07100591716</v>
      </c>
      <c r="E3" s="961" t="str">
        <f>IF(D3&lt;'PlayerGrades+'!$AA$21,"F-",IF(D3&lt;'PlayerGrades+'!$AA$20,"F",IF(D3&lt;'PlayerGrades+'!$AA$19,"F+",IF(D3&lt;'PlayerGrades+'!$AA$18,"E-",IF(D3&lt;'PlayerGrades+'!$AA$17,"E",IF(D3&lt;'PlayerGrades+'!$AA$16,"E+",IF(D3&lt;'PlayerGrades+'!$AA$15,"D-",IF(D3&lt;'PlayerGrades+'!$AA$14,"D",IF(D3&lt;'PlayerGrades+'!$AA$13,"D+",IF(D3&lt;'PlayerGrades+'!$AA$12,"C-",IF(D3&lt;'PlayerGrades+'!$AA$11,"C",IF(D3&lt;'PlayerGrades+'!$AA$10,"C+",IF(D3&lt;'PlayerGrades+'!$AA$9,"B-",IF(D3&lt;'PlayerGrades+'!$AA$8,"B",IF(D3&lt;'PlayerGrades+'!$AA$7,"B+",IF(D3&lt;'PlayerGrades+'!$AA$6,"A-",IF(D3&lt;'PlayerGrades+'!$AA$5,"A",IF(D3&lt;'PlayerGrades+'!$AA$4,"A+",IF(D3&lt;'PlayerGrades+'!$AA$3,"S-",IF(D3&lt;'PlayerGrades+'!$AA$2,"S","S+"))))))))))))))))))))</f>
        <v>A-</v>
      </c>
      <c r="F3" s="961">
        <f t="shared" si="2"/>
        <v>0.05626884001</v>
      </c>
      <c r="G3" s="961" t="str">
        <f>IF(F3&lt;'PlayerGrades+'!$AB$21,"F-",IF(F3&lt;'PlayerGrades+'!$AB$20,"F",IF(F3&lt;'PlayerGrades+'!$AB$19,"F+",IF(F3&lt;'PlayerGrades+'!$AB$18,"E-",IF(F3&lt;'PlayerGrades+'!$AB$17,"E",IF(F3&lt;'PlayerGrades+'!$AB$16,"E+",IF(F3&lt;'PlayerGrades+'!$AB$15,"D-",IF(F3&lt;'PlayerGrades+'!$AB$14,"D",IF(F3&lt;'PlayerGrades+'!$AB$13,"D+",IF(F3&lt;'PlayerGrades+'!$AB$12,"C-",IF(F3&lt;'PlayerGrades+'!$AB$11,"C",IF(F3&lt;'PlayerGrades+'!$AB$10,"C+",IF(F3&lt;'PlayerGrades+'!$AB$9,"B-",IF(F3&lt;'PlayerGrades+'!$AB$8,"B",IF(F3&lt;'PlayerGrades+'!$AB$7,"B+",IF(F3&lt;'PlayerGrades+'!$AB$6,"A-",IF(F3&lt;'PlayerGrades+'!$AB$5,"A",IF(F3&lt;'PlayerGrades+'!$AB$4,"A+",IF(F3&lt;'PlayerGrades+'!$AB$3,"S-",IF(F3&lt;'PlayerGrades+'!$AB$2,"S","S+"))))))))))))))))))))</f>
        <v>A</v>
      </c>
      <c r="H3" s="961">
        <f t="shared" si="3"/>
        <v>0.3550295858</v>
      </c>
      <c r="I3" s="961" t="str">
        <f>IF(H3&lt;'PlayerGrades+'!$AC$21,"F-",IF(H3&lt;'PlayerGrades+'!$AC$20,"F",IF(H3&lt;'PlayerGrades+'!$AC$19,"F+",IF(H3&lt;'PlayerGrades+'!$AC$18,"E-",IF(H3&lt;'PlayerGrades+'!$AC$17,"E",IF(H3&lt;'PlayerGrades+'!$AC$16,"E+",IF(H3&lt;'PlayerGrades+'!$AC$15,"D-",IF(H3&lt;'PlayerGrades+'!$AC$14,"D",IF(H3&lt;'PlayerGrades+'!$AC$13,"D+",IF(H3&lt;'PlayerGrades+'!$AC$12,"C-",IF(H3&lt;'PlayerGrades+'!$AC$11,"C",IF(H3&lt;'PlayerGrades+'!$AC$10,"C+",IF(H3&lt;'PlayerGrades+'!$AC$9,"B-",IF(H3&lt;'PlayerGrades+'!$AC$8,"B",IF(H3&lt;'PlayerGrades+'!$AC$7,"B+",IF(H3&lt;'PlayerGrades+'!$AC$6,"A-",IF(H3&lt;'PlayerGrades+'!$AC$5,"A",IF(H3&lt;'PlayerGrades+'!$AC$4,"A+",IF(H3&lt;'PlayerGrades+'!$AC$3,"S-",IF(H3&lt;'PlayerGrades+'!$AC$2,"S","S+"))))))))))))))))))))</f>
        <v>E+</v>
      </c>
      <c r="J3" s="961">
        <f t="shared" si="4"/>
        <v>0</v>
      </c>
      <c r="K3" s="961" t="str">
        <f>IF(J3&lt;'PlayerGrades+'!$AD$21,"F-",IF(J3&lt;'PlayerGrades+'!$AD$20,"F",IF(J3&lt;'PlayerGrades+'!$AD$19,"F+",IF(J3&lt;'PlayerGrades+'!$AD$18,"E-",IF(J3&lt;'PlayerGrades+'!$AD$17,"E",IF(J3&lt;'PlayerGrades+'!$AD$16,"E+",IF(J3&lt;'PlayerGrades+'!$AD$15,"D-",IF(J3&lt;'PlayerGrades+'!$AD$14,"D",IF(J3&lt;'PlayerGrades+'!$AD$13,"D+",IF(J3&lt;'PlayerGrades+'!$AD$12,"C-",IF(J3&lt;'PlayerGrades+'!$AD$11,"C",IF(J3&lt;'PlayerGrades+'!$AD$10,"C+",IF(J3&lt;'PlayerGrades+'!$AD$9,"B-",IF(J3&lt;'PlayerGrades+'!$AD$8,"B",IF(J3&lt;'PlayerGrades+'!$AD$7,"B+",IF(J3&lt;'PlayerGrades+'!$AD$6,"A-",IF(J3&lt;'PlayerGrades+'!$AD$5,"A",IF(J3&lt;'PlayerGrades+'!$AD$4,"A+",IF(J3&lt;'PlayerGrades+'!$AD$3,"S-",IF(J3&lt;'PlayerGrades+'!$AD$2,"S","S+"))))))))))))))))))))</f>
        <v>F-</v>
      </c>
      <c r="L3" s="992">
        <f t="shared" si="5"/>
        <v>0.4970414201</v>
      </c>
      <c r="M3" s="992" t="str">
        <f>IF(L3&lt;'PlayerGrades+'!$AE$21,"F-",IF(L3&lt;'PlayerGrades+'!$AE$20,"F",IF(L3&lt;'PlayerGrades+'!$AE$19,"F+",IF(L3&lt;'PlayerGrades+'!$AE$18,"E-",IF(L3&lt;'PlayerGrades+'!$AE$17,"E",IF(L3&lt;'PlayerGrades+'!$AE$16,"E+",IF(L3&lt;'PlayerGrades+'!$AE$15,"D-",IF(L3&lt;'PlayerGrades+'!$AE$14,"D",IF(L3&lt;'PlayerGrades+'!$AE$13,"D+",IF(L3&lt;'PlayerGrades+'!$AE$12,"C-",IF(L3&lt;'PlayerGrades+'!$AE$11,"C",IF(L3&lt;'PlayerGrades+'!$AE$10,"C+",IF(L3&lt;'PlayerGrades+'!$AE$9,"B-",IF(L3&lt;'PlayerGrades+'!$AE$8,"B",IF(L3&lt;'PlayerGrades+'!$AE$7,"B+",IF(L3&lt;'PlayerGrades+'!$AE$6,"A-",IF(L3&lt;'PlayerGrades+'!$AE$5,"A",IF(L3&lt;'PlayerGrades+'!$AE$4,"A+",IF(L3&lt;'PlayerGrades+'!$AE$3,"S-",IF(L3&lt;'PlayerGrades+'!$AE$2,"S","S+"))))))))))))))))))))</f>
        <v>B</v>
      </c>
      <c r="N3" s="961">
        <f t="shared" si="6"/>
        <v>0.07100591716</v>
      </c>
      <c r="O3" s="961" t="str">
        <f>IF(N3&lt;'PlayerGrades+'!$AF$21,"F-",IF(N3&lt;'PlayerGrades+'!$AF$20,"F",IF(N3&lt;'PlayerGrades+'!$AF$19,"F+",IF(N3&lt;'PlayerGrades+'!$AF$18,"E-",IF(N3&lt;'PlayerGrades+'!$AF$17,"E",IF(N3&lt;'PlayerGrades+'!$AF$16,"E+",IF(N3&lt;'PlayerGrades+'!$AF$15,"D-",IF(N3&lt;'PlayerGrades+'!$AF$14,"D",IF(N3&lt;'PlayerGrades+'!$AF$13,"D+",IF(N3&lt;'PlayerGrades+'!$AF$12,"C-",IF(N3&lt;'PlayerGrades+'!$AF$11,"C",IF(N3&lt;'PlayerGrades+'!$AF$10,"C+",IF(N3&lt;'PlayerGrades+'!$AF$9,"B-",IF(N3&lt;'PlayerGrades+'!$AF$8,"B",IF(N3&lt;'PlayerGrades+'!$AF$7,"B+",IF(N3&lt;'PlayerGrades+'!$AF$6,"A-",IF(N3&lt;'PlayerGrades+'!$AF$5,"A",IF(N3&lt;'PlayerGrades+'!$AF$4,"A+",IF(N3&lt;'PlayerGrades+'!$AF$3,"S-",IF(N3&lt;'PlayerGrades+'!$AF$2,"S","S+"))))))))))))))))))))</f>
        <v>E+</v>
      </c>
      <c r="P3" s="961">
        <f t="shared" si="7"/>
        <v>0.6390532544</v>
      </c>
      <c r="Q3" s="961" t="str">
        <f>IF(P3&lt;'PlayerGrades+'!$AG$21,"F-",IF(P3&lt;'PlayerGrades+'!$AG$20,"F",IF(P3&lt;'PlayerGrades+'!$AG$19,"F+",IF(P3&lt;'PlayerGrades+'!$AG$18,"E-",IF(P3&lt;'PlayerGrades+'!$AG$17,"E",IF(P3&lt;'PlayerGrades+'!$AG$16,"E+",IF(P3&lt;'PlayerGrades+'!$AG$15,"D-",IF(P3&lt;'PlayerGrades+'!$AG$14,"D",IF(P3&lt;'PlayerGrades+'!$AG$13,"D+",IF(P3&lt;'PlayerGrades+'!$AG$12,"C-",IF(P3&lt;'PlayerGrades+'!$AG$11,"C",IF(P3&lt;'PlayerGrades+'!$AG$10,"C+",IF(P3&lt;'PlayerGrades+'!$AG$9,"B-",IF(P3&lt;'PlayerGrades+'!$AG$8,"B",IF(P3&lt;'PlayerGrades+'!$AG$7,"B+",IF(P3&lt;'PlayerGrades+'!$AG$6,"A-",IF(P3&lt;'PlayerGrades+'!$AG$5,"A",IF(P3&lt;'PlayerGrades+'!$AG$4,"A+",IF(P3&lt;'PlayerGrades+'!$AG$3,"S-",IF(P3&lt;'PlayerGrades+'!$AG$2,"S","S+"))))))))))))))))))))</f>
        <v>B-</v>
      </c>
      <c r="R3" s="961">
        <f t="shared" si="8"/>
        <v>0</v>
      </c>
      <c r="S3" s="961" t="str">
        <f>IF(R3&lt;'PlayerGrades+'!$AH$21,"F-",IF(R3&lt;'PlayerGrades+'!$AH$20,"F",IF(R3&lt;'PlayerGrades+'!$AH$19,"F+",IF(R3&lt;'PlayerGrades+'!$AH$18,"E-",IF(R3&lt;'PlayerGrades+'!$AH$17,"E",IF(R3&lt;'PlayerGrades+'!$AH$16,"E+",IF(R3&lt;'PlayerGrades+'!$AH$15,"D-",IF(R3&lt;'PlayerGrades+'!$AH$14,"D",IF(R3&lt;'PlayerGrades+'!$AH$13,"D+",IF(R3&lt;'PlayerGrades+'!$AH$12,"C-",IF(R3&lt;'PlayerGrades+'!$AH$11,"C",IF(R3&lt;'PlayerGrades+'!$AH$10,"C+",IF(R3&lt;'PlayerGrades+'!$AH$9,"B-",IF(R3&lt;'PlayerGrades+'!$AH$8,"B",IF(R3&lt;'PlayerGrades+'!$AH$7,"B+",IF(R3&lt;'PlayerGrades+'!$AH$6,"A-",IF(R3&lt;'PlayerGrades+'!$AH$5,"A",IF(R3&lt;'PlayerGrades+'!$AH$4,"A+",IF(R3&lt;'PlayerGrades+'!$AH$3,"S-",IF(R3&lt;'PlayerGrades+'!$AH$2,"S","S+"))))))))))))))))))))</f>
        <v>F-</v>
      </c>
      <c r="T3" s="961">
        <f t="shared" si="9"/>
        <v>2.982248521</v>
      </c>
      <c r="U3" s="961" t="str">
        <f>IF(T3&lt;'PlayerGrades+'!$AI$21,"F-",IF(T3&lt;'PlayerGrades+'!$AI$20,"F",IF(T3&lt;'PlayerGrades+'!$AI$19,"F+",IF(T3&lt;'PlayerGrades+'!$AI$18,"E-",IF(T3&lt;'PlayerGrades+'!$AI$17,"E",IF(T3&lt;'PlayerGrades+'!$AI$16,"E+",IF(T3&lt;'PlayerGrades+'!$AI$15,"D-",IF(T3&lt;'PlayerGrades+'!$AI$14,"D",IF(T3&lt;'PlayerGrades+'!$AI$13,"D+",IF(T3&lt;'PlayerGrades+'!$AI$12,"C-",IF(T3&lt;'PlayerGrades+'!$AI$11,"C",IF(T3&lt;'PlayerGrades+'!$AI$10,"C+",IF(T3&lt;'PlayerGrades+'!$AI$9,"B-",IF(T3&lt;'PlayerGrades+'!$AI$8,"B",IF(T3&lt;'PlayerGrades+'!$AI$7,"B+",IF(T3&lt;'PlayerGrades+'!$AI$6,"A-",IF(T3&lt;'PlayerGrades+'!$AI$5,"A",IF(T3&lt;'PlayerGrades+'!$AI$4,"A+",IF(T3&lt;'PlayerGrades+'!$AI$3,"S-",IF(T3&lt;'PlayerGrades+'!$AI$2,"S","S+"))))))))))))))))))))</f>
        <v>B</v>
      </c>
      <c r="V3" s="1017">
        <v>1.0</v>
      </c>
      <c r="W3" s="1017">
        <v>0.0</v>
      </c>
      <c r="X3" s="1017">
        <v>1.0</v>
      </c>
      <c r="Y3" s="1017">
        <v>0.0</v>
      </c>
      <c r="Z3" s="1017">
        <v>42.0</v>
      </c>
      <c r="AA3" s="1017">
        <v>53.0</v>
      </c>
      <c r="AB3" s="1017">
        <f t="shared" si="10"/>
        <v>-11</v>
      </c>
      <c r="AC3" s="1020">
        <f t="shared" si="11"/>
        <v>0.7924528302</v>
      </c>
      <c r="AD3" s="1022">
        <v>0.0</v>
      </c>
      <c r="AE3" s="1023">
        <v>845.0</v>
      </c>
      <c r="AF3" s="1022">
        <v>0.0</v>
      </c>
      <c r="AG3" s="1022">
        <v>0.0</v>
      </c>
      <c r="AH3" s="1022">
        <v>0.0</v>
      </c>
      <c r="AI3" s="1022">
        <v>0.0</v>
      </c>
      <c r="AJ3" s="1022">
        <v>1.0</v>
      </c>
      <c r="AK3" s="1022">
        <v>7.0</v>
      </c>
      <c r="AL3" s="1022">
        <v>1.0</v>
      </c>
      <c r="AM3" s="1022">
        <v>0.0</v>
      </c>
      <c r="AN3" s="1022">
        <v>0.0</v>
      </c>
      <c r="AO3" s="1022">
        <v>0.0</v>
      </c>
      <c r="AP3" s="1022">
        <v>0.0</v>
      </c>
      <c r="AQ3" s="1022">
        <v>0.0</v>
      </c>
      <c r="AR3" s="1022">
        <v>0.0</v>
      </c>
      <c r="AS3" s="1022">
        <v>0.0</v>
      </c>
      <c r="AT3" s="1022">
        <v>0.0</v>
      </c>
      <c r="AU3" s="1022">
        <v>5.0</v>
      </c>
      <c r="AV3" s="1022">
        <v>0.0</v>
      </c>
      <c r="AW3" s="1022">
        <v>0.0</v>
      </c>
      <c r="AX3" s="1022">
        <v>0.0</v>
      </c>
      <c r="AY3" s="1022">
        <v>0.0</v>
      </c>
      <c r="AZ3" s="1027">
        <v>0.0</v>
      </c>
    </row>
    <row r="4">
      <c r="A4" s="938" t="s">
        <v>41</v>
      </c>
      <c r="B4" s="946" t="str">
        <f>IF(C4&lt;'PlayerGrades+'!$Y$44,"F-",IF(C4&lt;'PlayerGrades+'!$Y$43,"F",IF(C4&lt;'PlayerGrades+'!$Y$42,"F+",IF(C4&lt;'PlayerGrades+'!$Y$41,"E-",IF(C4&lt;'PlayerGrades+'!$Y$40,"E",IF(C4&lt;'PlayerGrades+'!$Y$39,"E+",IF(C4&lt;'PlayerGrades+'!$Y$38,"D-",IF(C4&lt;'PlayerGrades+'!$Y$37,"D",IF(C4&lt;'PlayerGrades+'!$Y$36,"D+",IF(C4&lt;'PlayerGrades+'!$Y$35,"C-",IF(C4&lt;'PlayerGrades+'!$Y$34,"C",IF(C4&lt;'PlayerGrades+'!$Y$33,"C+",IF(C4&lt;'PlayerGrades+'!$Y$32,"B-",IF(C4&lt;'PlayerGrades+'!$Y$31,"B",IF(C4&lt;'PlayerGrades+'!$Y$30,"B+",IF(C4&lt;'PlayerGrades+'!$Y$29,"A-",IF(C4&lt;'PlayerGrades+'!$Y$28,"A",IF(C4&lt;'PlayerGrades+'!$Y$27,"A+",IF(C4&lt;'PlayerGrades+'!$Y$26,"S-",IF(C4&lt;'PlayerGrades+'!$Y$25,"S","S+"))))))))))))))))))))</f>
        <v>E-</v>
      </c>
      <c r="C4" s="956">
        <f>('PlayerGrades+'!$Y$47*(VLOOKUP(E4, 'PlayerGrades+'!$X$3:$Y$23, 2, FALSE)))+('PlayerGrades+'!$Y$48*(VLOOKUP(G4, 'PlayerGrades+'!$X$3:$Y$23, 2, FALSE)))+('PlayerGrades+'!$Y$49*(VLOOKUP(I4, 'PlayerGrades+'!$X$3:$Y$23, 2, FALSE)))+('PlayerGrades+'!$Y$50*(VLOOKUP(K4, 'PlayerGrades+'!$X$3:$Y$23, 2, FALSE)))+('PlayerGrades+'!$Y$51*(VLOOKUP(M4, 'PlayerGrades+'!$X$3:$Y$23, 2, FALSE)))+('PlayerGrades+'!$Y$52*(VLOOKUP(O4, 'PlayerGrades+'!$X$3:$Y$23, 2, FALSE)))+('PlayerGrades+'!$Y$53*(VLOOKUP(Q4, 'PlayerGrades+'!$X$3:$Y$23, 2, FALSE)))+('PlayerGrades+'!$Y$54*(VLOOKUP(S4, 'PlayerGrades+'!$X$3:$Y$23, 2, FALSE)))+('PlayerGrades+'!$Y$55*(VLOOKUP(U4, 'PlayerGrades+'!$X$3:$Y$23, 2, FALSE)))</f>
        <v>9.325</v>
      </c>
      <c r="D4" s="961">
        <f t="shared" si="1"/>
        <v>0</v>
      </c>
      <c r="E4" s="961" t="str">
        <f>IF(D4&lt;'PlayerGrades+'!$AA$21,"F-",IF(D4&lt;'PlayerGrades+'!$AA$20,"F",IF(D4&lt;'PlayerGrades+'!$AA$19,"F+",IF(D4&lt;'PlayerGrades+'!$AA$18,"E-",IF(D4&lt;'PlayerGrades+'!$AA$17,"E",IF(D4&lt;'PlayerGrades+'!$AA$16,"E+",IF(D4&lt;'PlayerGrades+'!$AA$15,"D-",IF(D4&lt;'PlayerGrades+'!$AA$14,"D",IF(D4&lt;'PlayerGrades+'!$AA$13,"D+",IF(D4&lt;'PlayerGrades+'!$AA$12,"C-",IF(D4&lt;'PlayerGrades+'!$AA$11,"C",IF(D4&lt;'PlayerGrades+'!$AA$10,"C+",IF(D4&lt;'PlayerGrades+'!$AA$9,"B-",IF(D4&lt;'PlayerGrades+'!$AA$8,"B",IF(D4&lt;'PlayerGrades+'!$AA$7,"B+",IF(D4&lt;'PlayerGrades+'!$AA$6,"A-",IF(D4&lt;'PlayerGrades+'!$AA$5,"A",IF(D4&lt;'PlayerGrades+'!$AA$4,"A+",IF(D4&lt;'PlayerGrades+'!$AA$3,"S-",IF(D4&lt;'PlayerGrades+'!$AA$2,"S","S+"))))))))))))))))))))</f>
        <v>F-</v>
      </c>
      <c r="F4" s="961">
        <f t="shared" si="2"/>
        <v>0.05071851226</v>
      </c>
      <c r="G4" s="961" t="str">
        <f>IF(F4&lt;'PlayerGrades+'!$AB$21,"F-",IF(F4&lt;'PlayerGrades+'!$AB$20,"F",IF(F4&lt;'PlayerGrades+'!$AB$19,"F+",IF(F4&lt;'PlayerGrades+'!$AB$18,"E-",IF(F4&lt;'PlayerGrades+'!$AB$17,"E",IF(F4&lt;'PlayerGrades+'!$AB$16,"E+",IF(F4&lt;'PlayerGrades+'!$AB$15,"D-",IF(F4&lt;'PlayerGrades+'!$AB$14,"D",IF(F4&lt;'PlayerGrades+'!$AB$13,"D+",IF(F4&lt;'PlayerGrades+'!$AB$12,"C-",IF(F4&lt;'PlayerGrades+'!$AB$11,"C",IF(F4&lt;'PlayerGrades+'!$AB$10,"C+",IF(F4&lt;'PlayerGrades+'!$AB$9,"B-",IF(F4&lt;'PlayerGrades+'!$AB$8,"B",IF(F4&lt;'PlayerGrades+'!$AB$7,"B+",IF(F4&lt;'PlayerGrades+'!$AB$6,"A-",IF(F4&lt;'PlayerGrades+'!$AB$5,"A",IF(F4&lt;'PlayerGrades+'!$AB$4,"A+",IF(F4&lt;'PlayerGrades+'!$AB$3,"S-",IF(F4&lt;'PlayerGrades+'!$AB$2,"S","S+"))))))))))))))))))))</f>
        <v>A</v>
      </c>
      <c r="H4" s="961">
        <f t="shared" si="3"/>
        <v>0.1420118343</v>
      </c>
      <c r="I4" s="961" t="str">
        <f>IF(H4&lt;'PlayerGrades+'!$AC$21,"F-",IF(H4&lt;'PlayerGrades+'!$AC$20,"F",IF(H4&lt;'PlayerGrades+'!$AC$19,"F+",IF(H4&lt;'PlayerGrades+'!$AC$18,"E-",IF(H4&lt;'PlayerGrades+'!$AC$17,"E",IF(H4&lt;'PlayerGrades+'!$AC$16,"E+",IF(H4&lt;'PlayerGrades+'!$AC$15,"D-",IF(H4&lt;'PlayerGrades+'!$AC$14,"D",IF(H4&lt;'PlayerGrades+'!$AC$13,"D+",IF(H4&lt;'PlayerGrades+'!$AC$12,"C-",IF(H4&lt;'PlayerGrades+'!$AC$11,"C",IF(H4&lt;'PlayerGrades+'!$AC$10,"C+",IF(H4&lt;'PlayerGrades+'!$AC$9,"B-",IF(H4&lt;'PlayerGrades+'!$AC$8,"B",IF(H4&lt;'PlayerGrades+'!$AC$7,"B+",IF(H4&lt;'PlayerGrades+'!$AC$6,"A-",IF(H4&lt;'PlayerGrades+'!$AC$5,"A",IF(H4&lt;'PlayerGrades+'!$AC$4,"A+",IF(H4&lt;'PlayerGrades+'!$AC$3,"S-",IF(H4&lt;'PlayerGrades+'!$AC$2,"S","S+"))))))))))))))))))))</f>
        <v>F-</v>
      </c>
      <c r="J4" s="961">
        <f t="shared" si="4"/>
        <v>0</v>
      </c>
      <c r="K4" s="961" t="str">
        <f>IF(J4&lt;'PlayerGrades+'!$AD$21,"F-",IF(J4&lt;'PlayerGrades+'!$AD$20,"F",IF(J4&lt;'PlayerGrades+'!$AD$19,"F+",IF(J4&lt;'PlayerGrades+'!$AD$18,"E-",IF(J4&lt;'PlayerGrades+'!$AD$17,"E",IF(J4&lt;'PlayerGrades+'!$AD$16,"E+",IF(J4&lt;'PlayerGrades+'!$AD$15,"D-",IF(J4&lt;'PlayerGrades+'!$AD$14,"D",IF(J4&lt;'PlayerGrades+'!$AD$13,"D+",IF(J4&lt;'PlayerGrades+'!$AD$12,"C-",IF(J4&lt;'PlayerGrades+'!$AD$11,"C",IF(J4&lt;'PlayerGrades+'!$AD$10,"C+",IF(J4&lt;'PlayerGrades+'!$AD$9,"B-",IF(J4&lt;'PlayerGrades+'!$AD$8,"B",IF(J4&lt;'PlayerGrades+'!$AD$7,"B+",IF(J4&lt;'PlayerGrades+'!$AD$6,"A-",IF(J4&lt;'PlayerGrades+'!$AD$5,"A",IF(J4&lt;'PlayerGrades+'!$AD$4,"A+",IF(J4&lt;'PlayerGrades+'!$AD$3,"S-",IF(J4&lt;'PlayerGrades+'!$AD$2,"S","S+"))))))))))))))))))))</f>
        <v>F-</v>
      </c>
      <c r="L4" s="992">
        <f t="shared" si="5"/>
        <v>0.426035503</v>
      </c>
      <c r="M4" s="992" t="str">
        <f>IF(L4&lt;'PlayerGrades+'!$AE$21,"F-",IF(L4&lt;'PlayerGrades+'!$AE$20,"F",IF(L4&lt;'PlayerGrades+'!$AE$19,"F+",IF(L4&lt;'PlayerGrades+'!$AE$18,"E-",IF(L4&lt;'PlayerGrades+'!$AE$17,"E",IF(L4&lt;'PlayerGrades+'!$AE$16,"E+",IF(L4&lt;'PlayerGrades+'!$AE$15,"D-",IF(L4&lt;'PlayerGrades+'!$AE$14,"D",IF(L4&lt;'PlayerGrades+'!$AE$13,"D+",IF(L4&lt;'PlayerGrades+'!$AE$12,"C-",IF(L4&lt;'PlayerGrades+'!$AE$11,"C",IF(L4&lt;'PlayerGrades+'!$AE$10,"C+",IF(L4&lt;'PlayerGrades+'!$AE$9,"B-",IF(L4&lt;'PlayerGrades+'!$AE$8,"B",IF(L4&lt;'PlayerGrades+'!$AE$7,"B+",IF(L4&lt;'PlayerGrades+'!$AE$6,"A-",IF(L4&lt;'PlayerGrades+'!$AE$5,"A",IF(L4&lt;'PlayerGrades+'!$AE$4,"A+",IF(L4&lt;'PlayerGrades+'!$AE$3,"S-",IF(L4&lt;'PlayerGrades+'!$AE$2,"S","S+"))))))))))))))))))))</f>
        <v>C+</v>
      </c>
      <c r="N4" s="961">
        <f t="shared" si="6"/>
        <v>0.07100591716</v>
      </c>
      <c r="O4" s="961" t="str">
        <f>IF(N4&lt;'PlayerGrades+'!$AF$21,"F-",IF(N4&lt;'PlayerGrades+'!$AF$20,"F",IF(N4&lt;'PlayerGrades+'!$AF$19,"F+",IF(N4&lt;'PlayerGrades+'!$AF$18,"E-",IF(N4&lt;'PlayerGrades+'!$AF$17,"E",IF(N4&lt;'PlayerGrades+'!$AF$16,"E+",IF(N4&lt;'PlayerGrades+'!$AF$15,"D-",IF(N4&lt;'PlayerGrades+'!$AF$14,"D",IF(N4&lt;'PlayerGrades+'!$AF$13,"D+",IF(N4&lt;'PlayerGrades+'!$AF$12,"C-",IF(N4&lt;'PlayerGrades+'!$AF$11,"C",IF(N4&lt;'PlayerGrades+'!$AF$10,"C+",IF(N4&lt;'PlayerGrades+'!$AF$9,"B-",IF(N4&lt;'PlayerGrades+'!$AF$8,"B",IF(N4&lt;'PlayerGrades+'!$AF$7,"B+",IF(N4&lt;'PlayerGrades+'!$AF$6,"A-",IF(N4&lt;'PlayerGrades+'!$AF$5,"A",IF(N4&lt;'PlayerGrades+'!$AF$4,"A+",IF(N4&lt;'PlayerGrades+'!$AF$3,"S-",IF(N4&lt;'PlayerGrades+'!$AF$2,"S","S+"))))))))))))))))))))</f>
        <v>E+</v>
      </c>
      <c r="P4" s="961">
        <f t="shared" si="7"/>
        <v>0.5680473373</v>
      </c>
      <c r="Q4" s="961" t="str">
        <f>IF(P4&lt;'PlayerGrades+'!$AG$21,"F-",IF(P4&lt;'PlayerGrades+'!$AG$20,"F",IF(P4&lt;'PlayerGrades+'!$AG$19,"F+",IF(P4&lt;'PlayerGrades+'!$AG$18,"E-",IF(P4&lt;'PlayerGrades+'!$AG$17,"E",IF(P4&lt;'PlayerGrades+'!$AG$16,"E+",IF(P4&lt;'PlayerGrades+'!$AG$15,"D-",IF(P4&lt;'PlayerGrades+'!$AG$14,"D",IF(P4&lt;'PlayerGrades+'!$AG$13,"D+",IF(P4&lt;'PlayerGrades+'!$AG$12,"C-",IF(P4&lt;'PlayerGrades+'!$AG$11,"C",IF(P4&lt;'PlayerGrades+'!$AG$10,"C+",IF(P4&lt;'PlayerGrades+'!$AG$9,"B-",IF(P4&lt;'PlayerGrades+'!$AG$8,"B",IF(P4&lt;'PlayerGrades+'!$AG$7,"B+",IF(P4&lt;'PlayerGrades+'!$AG$6,"A-",IF(P4&lt;'PlayerGrades+'!$AG$5,"A",IF(P4&lt;'PlayerGrades+'!$AG$4,"A+",IF(P4&lt;'PlayerGrades+'!$AG$3,"S-",IF(P4&lt;'PlayerGrades+'!$AG$2,"S","S+"))))))))))))))))))))</f>
        <v>D+</v>
      </c>
      <c r="R4" s="961">
        <f t="shared" si="8"/>
        <v>0</v>
      </c>
      <c r="S4" s="961" t="str">
        <f>IF(R4&lt;'PlayerGrades+'!$AH$21,"F-",IF(R4&lt;'PlayerGrades+'!$AH$20,"F",IF(R4&lt;'PlayerGrades+'!$AH$19,"F+",IF(R4&lt;'PlayerGrades+'!$AH$18,"E-",IF(R4&lt;'PlayerGrades+'!$AH$17,"E",IF(R4&lt;'PlayerGrades+'!$AH$16,"E+",IF(R4&lt;'PlayerGrades+'!$AH$15,"D-",IF(R4&lt;'PlayerGrades+'!$AH$14,"D",IF(R4&lt;'PlayerGrades+'!$AH$13,"D+",IF(R4&lt;'PlayerGrades+'!$AH$12,"C-",IF(R4&lt;'PlayerGrades+'!$AH$11,"C",IF(R4&lt;'PlayerGrades+'!$AH$10,"C+",IF(R4&lt;'PlayerGrades+'!$AH$9,"B-",IF(R4&lt;'PlayerGrades+'!$AH$8,"B",IF(R4&lt;'PlayerGrades+'!$AH$7,"B+",IF(R4&lt;'PlayerGrades+'!$AH$6,"A-",IF(R4&lt;'PlayerGrades+'!$AH$5,"A",IF(R4&lt;'PlayerGrades+'!$AH$4,"A+",IF(R4&lt;'PlayerGrades+'!$AH$3,"S-",IF(R4&lt;'PlayerGrades+'!$AH$2,"S","S+"))))))))))))))))))))</f>
        <v>F-</v>
      </c>
      <c r="T4" s="961">
        <f t="shared" si="9"/>
        <v>2.130177515</v>
      </c>
      <c r="U4" s="961" t="str">
        <f>IF(T4&lt;'PlayerGrades+'!$AI$21,"F-",IF(T4&lt;'PlayerGrades+'!$AI$20,"F",IF(T4&lt;'PlayerGrades+'!$AI$19,"F+",IF(T4&lt;'PlayerGrades+'!$AI$18,"E-",IF(T4&lt;'PlayerGrades+'!$AI$17,"E",IF(T4&lt;'PlayerGrades+'!$AI$16,"E+",IF(T4&lt;'PlayerGrades+'!$AI$15,"D-",IF(T4&lt;'PlayerGrades+'!$AI$14,"D",IF(T4&lt;'PlayerGrades+'!$AI$13,"D+",IF(T4&lt;'PlayerGrades+'!$AI$12,"C-",IF(T4&lt;'PlayerGrades+'!$AI$11,"C",IF(T4&lt;'PlayerGrades+'!$AI$10,"C+",IF(T4&lt;'PlayerGrades+'!$AI$9,"B-",IF(T4&lt;'PlayerGrades+'!$AI$8,"B",IF(T4&lt;'PlayerGrades+'!$AI$7,"B+",IF(T4&lt;'PlayerGrades+'!$AI$6,"A-",IF(T4&lt;'PlayerGrades+'!$AI$5,"A",IF(T4&lt;'PlayerGrades+'!$AI$4,"A+",IF(T4&lt;'PlayerGrades+'!$AI$3,"S-",IF(T4&lt;'PlayerGrades+'!$AI$2,"S","S+"))))))))))))))))))))</f>
        <v>F-</v>
      </c>
      <c r="V4" s="1017">
        <v>1.0</v>
      </c>
      <c r="W4" s="1017">
        <v>0.0</v>
      </c>
      <c r="X4" s="1017">
        <v>0.0</v>
      </c>
      <c r="Y4" s="1017">
        <v>0.0</v>
      </c>
      <c r="Z4" s="1017">
        <v>30.0</v>
      </c>
      <c r="AA4" s="1017">
        <v>42.0</v>
      </c>
      <c r="AB4" s="1017">
        <f t="shared" si="10"/>
        <v>-12</v>
      </c>
      <c r="AC4" s="1020">
        <f t="shared" si="11"/>
        <v>0.7142857143</v>
      </c>
      <c r="AD4" s="1022">
        <v>0.0</v>
      </c>
      <c r="AE4" s="1023">
        <v>845.0</v>
      </c>
      <c r="AF4" s="1022">
        <v>0.0</v>
      </c>
      <c r="AG4" s="1022">
        <v>0.0</v>
      </c>
      <c r="AH4" s="1022">
        <v>0.0</v>
      </c>
      <c r="AI4" s="1022">
        <v>0.0</v>
      </c>
      <c r="AJ4" s="1022">
        <v>1.0</v>
      </c>
      <c r="AK4" s="1022">
        <v>6.0</v>
      </c>
      <c r="AL4" s="1022">
        <v>1.0</v>
      </c>
      <c r="AM4" s="1022">
        <v>0.0</v>
      </c>
      <c r="AN4" s="1022">
        <v>0.0</v>
      </c>
      <c r="AO4" s="1022">
        <v>0.0</v>
      </c>
      <c r="AP4" s="1022">
        <v>0.0</v>
      </c>
      <c r="AQ4" s="1022">
        <v>0.0</v>
      </c>
      <c r="AR4" s="1022">
        <v>0.0</v>
      </c>
      <c r="AS4" s="1022">
        <v>0.0</v>
      </c>
      <c r="AT4" s="1022">
        <v>0.0</v>
      </c>
      <c r="AU4" s="1022">
        <v>2.0</v>
      </c>
      <c r="AV4" s="1022">
        <v>0.0</v>
      </c>
      <c r="AW4" s="1022">
        <v>0.0</v>
      </c>
      <c r="AX4" s="1022">
        <v>0.0</v>
      </c>
      <c r="AY4" s="1022">
        <v>0.0</v>
      </c>
      <c r="AZ4" s="1027">
        <v>0.0</v>
      </c>
    </row>
    <row r="5">
      <c r="A5" s="938" t="s">
        <v>380</v>
      </c>
      <c r="B5" s="946" t="str">
        <f>IF(C5&lt;'PlayerGrades+'!$Y$44,"F-",IF(C5&lt;'PlayerGrades+'!$Y$43,"F",IF(C5&lt;'PlayerGrades+'!$Y$42,"F+",IF(C5&lt;'PlayerGrades+'!$Y$41,"E-",IF(C5&lt;'PlayerGrades+'!$Y$40,"E",IF(C5&lt;'PlayerGrades+'!$Y$39,"E+",IF(C5&lt;'PlayerGrades+'!$Y$38,"D-",IF(C5&lt;'PlayerGrades+'!$Y$37,"D",IF(C5&lt;'PlayerGrades+'!$Y$36,"D+",IF(C5&lt;'PlayerGrades+'!$Y$35,"C-",IF(C5&lt;'PlayerGrades+'!$Y$34,"C",IF(C5&lt;'PlayerGrades+'!$Y$33,"C+",IF(C5&lt;'PlayerGrades+'!$Y$32,"B-",IF(C5&lt;'PlayerGrades+'!$Y$31,"B",IF(C5&lt;'PlayerGrades+'!$Y$30,"B+",IF(C5&lt;'PlayerGrades+'!$Y$29,"A-",IF(C5&lt;'PlayerGrades+'!$Y$28,"A",IF(C5&lt;'PlayerGrades+'!$Y$27,"A+",IF(C5&lt;'PlayerGrades+'!$Y$26,"S-",IF(C5&lt;'PlayerGrades+'!$Y$25,"S","S+"))))))))))))))))))))</f>
        <v>D</v>
      </c>
      <c r="C5" s="956">
        <f>('PlayerGrades+'!$Y$47*(VLOOKUP(E5, 'PlayerGrades+'!$X$3:$Y$23, 2, FALSE)))+('PlayerGrades+'!$Y$48*(VLOOKUP(G5, 'PlayerGrades+'!$X$3:$Y$23, 2, FALSE)))+('PlayerGrades+'!$Y$49*(VLOOKUP(I5, 'PlayerGrades+'!$X$3:$Y$23, 2, FALSE)))+('PlayerGrades+'!$Y$50*(VLOOKUP(K5, 'PlayerGrades+'!$X$3:$Y$23, 2, FALSE)))+('PlayerGrades+'!$Y$51*(VLOOKUP(M5, 'PlayerGrades+'!$X$3:$Y$23, 2, FALSE)))+('PlayerGrades+'!$Y$52*(VLOOKUP(O5, 'PlayerGrades+'!$X$3:$Y$23, 2, FALSE)))+('PlayerGrades+'!$Y$53*(VLOOKUP(Q5, 'PlayerGrades+'!$X$3:$Y$23, 2, FALSE)))+('PlayerGrades+'!$Y$54*(VLOOKUP(S5, 'PlayerGrades+'!$X$3:$Y$23, 2, FALSE)))+('PlayerGrades+'!$Y$55*(VLOOKUP(U5, 'PlayerGrades+'!$X$3:$Y$23, 2, FALSE)))</f>
        <v>13.075</v>
      </c>
      <c r="D5" s="961">
        <f t="shared" si="1"/>
        <v>0.1420118343</v>
      </c>
      <c r="E5" s="961" t="str">
        <f>IF(D5&lt;'PlayerGrades+'!$AA$21,"F-",IF(D5&lt;'PlayerGrades+'!$AA$20,"F",IF(D5&lt;'PlayerGrades+'!$AA$19,"F+",IF(D5&lt;'PlayerGrades+'!$AA$18,"E-",IF(D5&lt;'PlayerGrades+'!$AA$17,"E",IF(D5&lt;'PlayerGrades+'!$AA$16,"E+",IF(D5&lt;'PlayerGrades+'!$AA$15,"D-",IF(D5&lt;'PlayerGrades+'!$AA$14,"D",IF(D5&lt;'PlayerGrades+'!$AA$13,"D+",IF(D5&lt;'PlayerGrades+'!$AA$12,"C-",IF(D5&lt;'PlayerGrades+'!$AA$11,"C",IF(D5&lt;'PlayerGrades+'!$AA$10,"C+",IF(D5&lt;'PlayerGrades+'!$AA$9,"B-",IF(D5&lt;'PlayerGrades+'!$AA$8,"B",IF(D5&lt;'PlayerGrades+'!$AA$7,"B+",IF(D5&lt;'PlayerGrades+'!$AA$6,"A-",IF(D5&lt;'PlayerGrades+'!$AA$5,"A",IF(D5&lt;'PlayerGrades+'!$AA$4,"A+",IF(D5&lt;'PlayerGrades+'!$AA$3,"S-",IF(D5&lt;'PlayerGrades+'!$AA$2,"S","S+"))))))))))))))))))))</f>
        <v>S</v>
      </c>
      <c r="F5" s="961">
        <f t="shared" si="2"/>
        <v>0.05039129605</v>
      </c>
      <c r="G5" s="961" t="str">
        <f>IF(F5&lt;'PlayerGrades+'!$AB$21,"F-",IF(F5&lt;'PlayerGrades+'!$AB$20,"F",IF(F5&lt;'PlayerGrades+'!$AB$19,"F+",IF(F5&lt;'PlayerGrades+'!$AB$18,"E-",IF(F5&lt;'PlayerGrades+'!$AB$17,"E",IF(F5&lt;'PlayerGrades+'!$AB$16,"E+",IF(F5&lt;'PlayerGrades+'!$AB$15,"D-",IF(F5&lt;'PlayerGrades+'!$AB$14,"D",IF(F5&lt;'PlayerGrades+'!$AB$13,"D+",IF(F5&lt;'PlayerGrades+'!$AB$12,"C-",IF(F5&lt;'PlayerGrades+'!$AB$11,"C",IF(F5&lt;'PlayerGrades+'!$AB$10,"C+",IF(F5&lt;'PlayerGrades+'!$AB$9,"B-",IF(F5&lt;'PlayerGrades+'!$AB$8,"B",IF(F5&lt;'PlayerGrades+'!$AB$7,"B+",IF(F5&lt;'PlayerGrades+'!$AB$6,"A-",IF(F5&lt;'PlayerGrades+'!$AB$5,"A",IF(F5&lt;'PlayerGrades+'!$AB$4,"A+",IF(F5&lt;'PlayerGrades+'!$AB$3,"S-",IF(F5&lt;'PlayerGrades+'!$AB$2,"S","S+"))))))))))))))))))))</f>
        <v>A</v>
      </c>
      <c r="H5" s="961">
        <f t="shared" si="3"/>
        <v>0.426035503</v>
      </c>
      <c r="I5" s="961" t="str">
        <f>IF(H5&lt;'PlayerGrades+'!$AC$21,"F-",IF(H5&lt;'PlayerGrades+'!$AC$20,"F",IF(H5&lt;'PlayerGrades+'!$AC$19,"F+",IF(H5&lt;'PlayerGrades+'!$AC$18,"E-",IF(H5&lt;'PlayerGrades+'!$AC$17,"E",IF(H5&lt;'PlayerGrades+'!$AC$16,"E+",IF(H5&lt;'PlayerGrades+'!$AC$15,"D-",IF(H5&lt;'PlayerGrades+'!$AC$14,"D",IF(H5&lt;'PlayerGrades+'!$AC$13,"D+",IF(H5&lt;'PlayerGrades+'!$AC$12,"C-",IF(H5&lt;'PlayerGrades+'!$AC$11,"C",IF(H5&lt;'PlayerGrades+'!$AC$10,"C+",IF(H5&lt;'PlayerGrades+'!$AC$9,"B-",IF(H5&lt;'PlayerGrades+'!$AC$8,"B",IF(H5&lt;'PlayerGrades+'!$AC$7,"B+",IF(H5&lt;'PlayerGrades+'!$AC$6,"A-",IF(H5&lt;'PlayerGrades+'!$AC$5,"A",IF(H5&lt;'PlayerGrades+'!$AC$4,"A+",IF(H5&lt;'PlayerGrades+'!$AC$3,"S-",IF(H5&lt;'PlayerGrades+'!$AC$2,"S","S+"))))))))))))))))))))</f>
        <v>D+</v>
      </c>
      <c r="J5" s="961">
        <f t="shared" si="4"/>
        <v>0</v>
      </c>
      <c r="K5" s="961" t="str">
        <f>IF(J5&lt;'PlayerGrades+'!$AD$21,"F-",IF(J5&lt;'PlayerGrades+'!$AD$20,"F",IF(J5&lt;'PlayerGrades+'!$AD$19,"F+",IF(J5&lt;'PlayerGrades+'!$AD$18,"E-",IF(J5&lt;'PlayerGrades+'!$AD$17,"E",IF(J5&lt;'PlayerGrades+'!$AD$16,"E+",IF(J5&lt;'PlayerGrades+'!$AD$15,"D-",IF(J5&lt;'PlayerGrades+'!$AD$14,"D",IF(J5&lt;'PlayerGrades+'!$AD$13,"D+",IF(J5&lt;'PlayerGrades+'!$AD$12,"C-",IF(J5&lt;'PlayerGrades+'!$AD$11,"C",IF(J5&lt;'PlayerGrades+'!$AD$10,"C+",IF(J5&lt;'PlayerGrades+'!$AD$9,"B-",IF(J5&lt;'PlayerGrades+'!$AD$8,"B",IF(J5&lt;'PlayerGrades+'!$AD$7,"B+",IF(J5&lt;'PlayerGrades+'!$AD$6,"A-",IF(J5&lt;'PlayerGrades+'!$AD$5,"A",IF(J5&lt;'PlayerGrades+'!$AD$4,"A+",IF(J5&lt;'PlayerGrades+'!$AD$3,"S-",IF(J5&lt;'PlayerGrades+'!$AD$2,"S","S+"))))))))))))))))))))</f>
        <v>F-</v>
      </c>
      <c r="L5" s="992">
        <f t="shared" si="5"/>
        <v>0.1420118343</v>
      </c>
      <c r="M5" s="992" t="str">
        <f>IF(L5&lt;'PlayerGrades+'!$AE$21,"F-",IF(L5&lt;'PlayerGrades+'!$AE$20,"F",IF(L5&lt;'PlayerGrades+'!$AE$19,"F+",IF(L5&lt;'PlayerGrades+'!$AE$18,"E-",IF(L5&lt;'PlayerGrades+'!$AE$17,"E",IF(L5&lt;'PlayerGrades+'!$AE$16,"E+",IF(L5&lt;'PlayerGrades+'!$AE$15,"D-",IF(L5&lt;'PlayerGrades+'!$AE$14,"D",IF(L5&lt;'PlayerGrades+'!$AE$13,"D+",IF(L5&lt;'PlayerGrades+'!$AE$12,"C-",IF(L5&lt;'PlayerGrades+'!$AE$11,"C",IF(L5&lt;'PlayerGrades+'!$AE$10,"C+",IF(L5&lt;'PlayerGrades+'!$AE$9,"B-",IF(L5&lt;'PlayerGrades+'!$AE$8,"B",IF(L5&lt;'PlayerGrades+'!$AE$7,"B+",IF(L5&lt;'PlayerGrades+'!$AE$6,"A-",IF(L5&lt;'PlayerGrades+'!$AE$5,"A",IF(L5&lt;'PlayerGrades+'!$AE$4,"A+",IF(L5&lt;'PlayerGrades+'!$AE$3,"S-",IF(L5&lt;'PlayerGrades+'!$AE$2,"S","S+"))))))))))))))))))))</f>
        <v>F-</v>
      </c>
      <c r="N5" s="961">
        <f t="shared" si="6"/>
        <v>0</v>
      </c>
      <c r="O5" s="961" t="str">
        <f>IF(N5&lt;'PlayerGrades+'!$AF$21,"F-",IF(N5&lt;'PlayerGrades+'!$AF$20,"F",IF(N5&lt;'PlayerGrades+'!$AF$19,"F+",IF(N5&lt;'PlayerGrades+'!$AF$18,"E-",IF(N5&lt;'PlayerGrades+'!$AF$17,"E",IF(N5&lt;'PlayerGrades+'!$AF$16,"E+",IF(N5&lt;'PlayerGrades+'!$AF$15,"D-",IF(N5&lt;'PlayerGrades+'!$AF$14,"D",IF(N5&lt;'PlayerGrades+'!$AF$13,"D+",IF(N5&lt;'PlayerGrades+'!$AF$12,"C-",IF(N5&lt;'PlayerGrades+'!$AF$11,"C",IF(N5&lt;'PlayerGrades+'!$AF$10,"C+",IF(N5&lt;'PlayerGrades+'!$AF$9,"B-",IF(N5&lt;'PlayerGrades+'!$AF$8,"B",IF(N5&lt;'PlayerGrades+'!$AF$7,"B+",IF(N5&lt;'PlayerGrades+'!$AF$6,"A-",IF(N5&lt;'PlayerGrades+'!$AF$5,"A",IF(N5&lt;'PlayerGrades+'!$AF$4,"A+",IF(N5&lt;'PlayerGrades+'!$AF$3,"S-",IF(N5&lt;'PlayerGrades+'!$AF$2,"S","S+"))))))))))))))))))))</f>
        <v>F-</v>
      </c>
      <c r="P5" s="961">
        <f t="shared" si="7"/>
        <v>0.1420118343</v>
      </c>
      <c r="Q5" s="961" t="str">
        <f>IF(P5&lt;'PlayerGrades+'!$AG$21,"F-",IF(P5&lt;'PlayerGrades+'!$AG$20,"F",IF(P5&lt;'PlayerGrades+'!$AG$19,"F+",IF(P5&lt;'PlayerGrades+'!$AG$18,"E-",IF(P5&lt;'PlayerGrades+'!$AG$17,"E",IF(P5&lt;'PlayerGrades+'!$AG$16,"E+",IF(P5&lt;'PlayerGrades+'!$AG$15,"D-",IF(P5&lt;'PlayerGrades+'!$AG$14,"D",IF(P5&lt;'PlayerGrades+'!$AG$13,"D+",IF(P5&lt;'PlayerGrades+'!$AG$12,"C-",IF(P5&lt;'PlayerGrades+'!$AG$11,"C",IF(P5&lt;'PlayerGrades+'!$AG$10,"C+",IF(P5&lt;'PlayerGrades+'!$AG$9,"B-",IF(P5&lt;'PlayerGrades+'!$AG$8,"B",IF(P5&lt;'PlayerGrades+'!$AG$7,"B+",IF(P5&lt;'PlayerGrades+'!$AG$6,"A-",IF(P5&lt;'PlayerGrades+'!$AG$5,"A",IF(P5&lt;'PlayerGrades+'!$AG$4,"A+",IF(P5&lt;'PlayerGrades+'!$AG$3,"S-",IF(P5&lt;'PlayerGrades+'!$AG$2,"S","S+"))))))))))))))))))))</f>
        <v>F-</v>
      </c>
      <c r="R5" s="961">
        <f t="shared" si="8"/>
        <v>0</v>
      </c>
      <c r="S5" s="961" t="str">
        <f>IF(R5&lt;'PlayerGrades+'!$AH$21,"F-",IF(R5&lt;'PlayerGrades+'!$AH$20,"F",IF(R5&lt;'PlayerGrades+'!$AH$19,"F+",IF(R5&lt;'PlayerGrades+'!$AH$18,"E-",IF(R5&lt;'PlayerGrades+'!$AH$17,"E",IF(R5&lt;'PlayerGrades+'!$AH$16,"E+",IF(R5&lt;'PlayerGrades+'!$AH$15,"D-",IF(R5&lt;'PlayerGrades+'!$AH$14,"D",IF(R5&lt;'PlayerGrades+'!$AH$13,"D+",IF(R5&lt;'PlayerGrades+'!$AH$12,"C-",IF(R5&lt;'PlayerGrades+'!$AH$11,"C",IF(R5&lt;'PlayerGrades+'!$AH$10,"C+",IF(R5&lt;'PlayerGrades+'!$AH$9,"B-",IF(R5&lt;'PlayerGrades+'!$AH$8,"B",IF(R5&lt;'PlayerGrades+'!$AH$7,"B+",IF(R5&lt;'PlayerGrades+'!$AH$6,"A-",IF(R5&lt;'PlayerGrades+'!$AH$5,"A",IF(R5&lt;'PlayerGrades+'!$AH$4,"A+",IF(R5&lt;'PlayerGrades+'!$AH$3,"S-",IF(R5&lt;'PlayerGrades+'!$AH$2,"S","S+"))))))))))))))))))))</f>
        <v>F-</v>
      </c>
      <c r="T5" s="961">
        <f t="shared" si="9"/>
        <v>1.562130178</v>
      </c>
      <c r="U5" s="961" t="str">
        <f>IF(T5&lt;'PlayerGrades+'!$AI$21,"F-",IF(T5&lt;'PlayerGrades+'!$AI$20,"F",IF(T5&lt;'PlayerGrades+'!$AI$19,"F+",IF(T5&lt;'PlayerGrades+'!$AI$18,"E-",IF(T5&lt;'PlayerGrades+'!$AI$17,"E",IF(T5&lt;'PlayerGrades+'!$AI$16,"E+",IF(T5&lt;'PlayerGrades+'!$AI$15,"D-",IF(T5&lt;'PlayerGrades+'!$AI$14,"D",IF(T5&lt;'PlayerGrades+'!$AI$13,"D+",IF(T5&lt;'PlayerGrades+'!$AI$12,"C-",IF(T5&lt;'PlayerGrades+'!$AI$11,"C",IF(T5&lt;'PlayerGrades+'!$AI$10,"C+",IF(T5&lt;'PlayerGrades+'!$AI$9,"B-",IF(T5&lt;'PlayerGrades+'!$AI$8,"B",IF(T5&lt;'PlayerGrades+'!$AI$7,"B+",IF(T5&lt;'PlayerGrades+'!$AI$6,"A-",IF(T5&lt;'PlayerGrades+'!$AI$5,"A",IF(T5&lt;'PlayerGrades+'!$AI$4,"A+",IF(T5&lt;'PlayerGrades+'!$AI$3,"S-",IF(T5&lt;'PlayerGrades+'!$AI$2,"S","S+"))))))))))))))))))))</f>
        <v>F-</v>
      </c>
      <c r="V5" s="1017">
        <v>1.0</v>
      </c>
      <c r="W5" s="1017">
        <v>0.0</v>
      </c>
      <c r="X5" s="1017">
        <v>2.0</v>
      </c>
      <c r="Y5" s="1017">
        <v>5.0</v>
      </c>
      <c r="Z5" s="1017">
        <v>22.0</v>
      </c>
      <c r="AA5" s="1017">
        <v>31.0</v>
      </c>
      <c r="AB5" s="1017">
        <f t="shared" si="10"/>
        <v>-9</v>
      </c>
      <c r="AC5" s="1020">
        <f t="shared" si="11"/>
        <v>0.7096774194</v>
      </c>
      <c r="AD5" s="1022">
        <v>0.0</v>
      </c>
      <c r="AE5" s="1023">
        <v>845.0</v>
      </c>
      <c r="AF5" s="1022">
        <v>0.0</v>
      </c>
      <c r="AG5" s="1022">
        <v>0.0</v>
      </c>
      <c r="AH5" s="1022">
        <v>0.0</v>
      </c>
      <c r="AI5" s="1022">
        <v>0.0</v>
      </c>
      <c r="AJ5" s="1022">
        <v>0.0</v>
      </c>
      <c r="AK5" s="1022">
        <v>2.0</v>
      </c>
      <c r="AL5" s="1022">
        <v>0.0</v>
      </c>
      <c r="AM5" s="1022">
        <v>0.0</v>
      </c>
      <c r="AN5" s="1022">
        <v>0.0</v>
      </c>
      <c r="AO5" s="1022">
        <v>0.0</v>
      </c>
      <c r="AP5" s="1022">
        <v>0.0</v>
      </c>
      <c r="AQ5" s="1022">
        <v>0.0</v>
      </c>
      <c r="AR5" s="1022">
        <v>0.0</v>
      </c>
      <c r="AS5" s="1022">
        <v>0.0</v>
      </c>
      <c r="AT5" s="1022">
        <v>0.0</v>
      </c>
      <c r="AU5" s="1022">
        <v>6.0</v>
      </c>
      <c r="AV5" s="1022">
        <v>0.0</v>
      </c>
      <c r="AW5" s="1022">
        <v>0.0</v>
      </c>
      <c r="AX5" s="1022">
        <v>0.0</v>
      </c>
      <c r="AY5" s="1022">
        <v>0.0</v>
      </c>
      <c r="AZ5" s="1027">
        <v>0.0</v>
      </c>
    </row>
    <row r="6">
      <c r="A6" s="938" t="s">
        <v>172</v>
      </c>
      <c r="B6" s="1100" t="str">
        <f>IF(C6&lt;'PlayerGrades+'!$Y$44,"F-",IF(C6&lt;'PlayerGrades+'!$Y$43,"F",IF(C6&lt;'PlayerGrades+'!$Y$42,"F+",IF(C6&lt;'PlayerGrades+'!$Y$41,"E-",IF(C6&lt;'PlayerGrades+'!$Y$40,"E",IF(C6&lt;'PlayerGrades+'!$Y$39,"E+",IF(C6&lt;'PlayerGrades+'!$Y$38,"D-",IF(C6&lt;'PlayerGrades+'!$Y$37,"D",IF(C6&lt;'PlayerGrades+'!$Y$36,"D+",IF(C6&lt;'PlayerGrades+'!$Y$35,"C-",IF(C6&lt;'PlayerGrades+'!$Y$34,"C",IF(C6&lt;'PlayerGrades+'!$Y$33,"C+",IF(C6&lt;'PlayerGrades+'!$Y$32,"B-",IF(C6&lt;'PlayerGrades+'!$Y$31,"B",IF(C6&lt;'PlayerGrades+'!$Y$30,"B+",IF(C6&lt;'PlayerGrades+'!$Y$29,"A-",IF(C6&lt;'PlayerGrades+'!$Y$28,"A",IF(C6&lt;'PlayerGrades+'!$Y$27,"A+",IF(C6&lt;'PlayerGrades+'!$Y$26,"S-",IF(C6&lt;'PlayerGrades+'!$Y$25,"S","S+"))))))))))))))))))))</f>
        <v>C+</v>
      </c>
      <c r="C6" s="1105">
        <f>('PlayerGrades+'!$Y$47*(VLOOKUP(E6, 'PlayerGrades+'!$X$3:$Y$23, 2, FALSE)))+('PlayerGrades+'!$Y$48*(VLOOKUP(G6, 'PlayerGrades+'!$X$3:$Y$23, 2, FALSE)))+('PlayerGrades+'!$Y$49*(VLOOKUP(I6, 'PlayerGrades+'!$X$3:$Y$23, 2, FALSE)))+('PlayerGrades+'!$Y$50*(VLOOKUP(K6, 'PlayerGrades+'!$X$3:$Y$23, 2, FALSE)))+('PlayerGrades+'!$Y$51*(VLOOKUP(M6, 'PlayerGrades+'!$X$3:$Y$23, 2, FALSE)))+('PlayerGrades+'!$Y$52*(VLOOKUP(O6, 'PlayerGrades+'!$X$3:$Y$23, 2, FALSE)))+('PlayerGrades+'!$Y$53*(VLOOKUP(Q6, 'PlayerGrades+'!$X$3:$Y$23, 2, FALSE)))+('PlayerGrades+'!$Y$54*(VLOOKUP(S6, 'PlayerGrades+'!$X$3:$Y$23, 2, FALSE)))+('PlayerGrades+'!$Y$55*(VLOOKUP(U6, 'PlayerGrades+'!$X$3:$Y$23, 2, FALSE)))</f>
        <v>15.55</v>
      </c>
      <c r="D6" s="961">
        <f t="shared" si="1"/>
        <v>0</v>
      </c>
      <c r="E6" s="961" t="str">
        <f>IF(D6&lt;'PlayerGrades+'!$AA$21,"F-",IF(D6&lt;'PlayerGrades+'!$AA$20,"F",IF(D6&lt;'PlayerGrades+'!$AA$19,"F+",IF(D6&lt;'PlayerGrades+'!$AA$18,"E-",IF(D6&lt;'PlayerGrades+'!$AA$17,"E",IF(D6&lt;'PlayerGrades+'!$AA$16,"E+",IF(D6&lt;'PlayerGrades+'!$AA$15,"D-",IF(D6&lt;'PlayerGrades+'!$AA$14,"D",IF(D6&lt;'PlayerGrades+'!$AA$13,"D+",IF(D6&lt;'PlayerGrades+'!$AA$12,"C-",IF(D6&lt;'PlayerGrades+'!$AA$11,"C",IF(D6&lt;'PlayerGrades+'!$AA$10,"C+",IF(D6&lt;'PlayerGrades+'!$AA$9,"B-",IF(D6&lt;'PlayerGrades+'!$AA$8,"B",IF(D6&lt;'PlayerGrades+'!$AA$7,"B+",IF(D6&lt;'PlayerGrades+'!$AA$6,"A-",IF(D6&lt;'PlayerGrades+'!$AA$5,"A",IF(D6&lt;'PlayerGrades+'!$AA$4,"A+",IF(D6&lt;'PlayerGrades+'!$AA$3,"S-",IF(D6&lt;'PlayerGrades+'!$AA$2,"S","S+"))))))))))))))))))))</f>
        <v>F-</v>
      </c>
      <c r="F6" s="961">
        <f t="shared" si="2"/>
        <v>0.08821947283</v>
      </c>
      <c r="G6" s="961" t="str">
        <f>IF(F6&lt;'PlayerGrades+'!$AB$21,"F-",IF(F6&lt;'PlayerGrades+'!$AB$20,"F",IF(F6&lt;'PlayerGrades+'!$AB$19,"F+",IF(F6&lt;'PlayerGrades+'!$AB$18,"E-",IF(F6&lt;'PlayerGrades+'!$AB$17,"E",IF(F6&lt;'PlayerGrades+'!$AB$16,"E+",IF(F6&lt;'PlayerGrades+'!$AB$15,"D-",IF(F6&lt;'PlayerGrades+'!$AB$14,"D",IF(F6&lt;'PlayerGrades+'!$AB$13,"D+",IF(F6&lt;'PlayerGrades+'!$AB$12,"C-",IF(F6&lt;'PlayerGrades+'!$AB$11,"C",IF(F6&lt;'PlayerGrades+'!$AB$10,"C+",IF(F6&lt;'PlayerGrades+'!$AB$9,"B-",IF(F6&lt;'PlayerGrades+'!$AB$8,"B",IF(F6&lt;'PlayerGrades+'!$AB$7,"B+",IF(F6&lt;'PlayerGrades+'!$AB$6,"A-",IF(F6&lt;'PlayerGrades+'!$AB$5,"A",IF(F6&lt;'PlayerGrades+'!$AB$4,"A+",IF(F6&lt;'PlayerGrades+'!$AB$3,"S-",IF(F6&lt;'PlayerGrades+'!$AB$2,"S","S+"))))))))))))))))))))</f>
        <v>A</v>
      </c>
      <c r="H6" s="961">
        <f t="shared" si="3"/>
        <v>0.3550295858</v>
      </c>
      <c r="I6" s="961" t="str">
        <f>IF(H6&lt;'PlayerGrades+'!$AC$21,"F-",IF(H6&lt;'PlayerGrades+'!$AC$20,"F",IF(H6&lt;'PlayerGrades+'!$AC$19,"F+",IF(H6&lt;'PlayerGrades+'!$AC$18,"E-",IF(H6&lt;'PlayerGrades+'!$AC$17,"E",IF(H6&lt;'PlayerGrades+'!$AC$16,"E+",IF(H6&lt;'PlayerGrades+'!$AC$15,"D-",IF(H6&lt;'PlayerGrades+'!$AC$14,"D",IF(H6&lt;'PlayerGrades+'!$AC$13,"D+",IF(H6&lt;'PlayerGrades+'!$AC$12,"C-",IF(H6&lt;'PlayerGrades+'!$AC$11,"C",IF(H6&lt;'PlayerGrades+'!$AC$10,"C+",IF(H6&lt;'PlayerGrades+'!$AC$9,"B-",IF(H6&lt;'PlayerGrades+'!$AC$8,"B",IF(H6&lt;'PlayerGrades+'!$AC$7,"B+",IF(H6&lt;'PlayerGrades+'!$AC$6,"A-",IF(H6&lt;'PlayerGrades+'!$AC$5,"A",IF(H6&lt;'PlayerGrades+'!$AC$4,"A+",IF(H6&lt;'PlayerGrades+'!$AC$3,"S-",IF(H6&lt;'PlayerGrades+'!$AC$2,"S","S+"))))))))))))))))))))</f>
        <v>E+</v>
      </c>
      <c r="J6" s="961">
        <f t="shared" si="4"/>
        <v>0.07100591716</v>
      </c>
      <c r="K6" s="961" t="str">
        <f>IF(J6&lt;'PlayerGrades+'!$AD$21,"F-",IF(J6&lt;'PlayerGrades+'!$AD$20,"F",IF(J6&lt;'PlayerGrades+'!$AD$19,"F+",IF(J6&lt;'PlayerGrades+'!$AD$18,"E-",IF(J6&lt;'PlayerGrades+'!$AD$17,"E",IF(J6&lt;'PlayerGrades+'!$AD$16,"E+",IF(J6&lt;'PlayerGrades+'!$AD$15,"D-",IF(J6&lt;'PlayerGrades+'!$AD$14,"D",IF(J6&lt;'PlayerGrades+'!$AD$13,"D+",IF(J6&lt;'PlayerGrades+'!$AD$12,"C-",IF(J6&lt;'PlayerGrades+'!$AD$11,"C",IF(J6&lt;'PlayerGrades+'!$AD$10,"C+",IF(J6&lt;'PlayerGrades+'!$AD$9,"B-",IF(J6&lt;'PlayerGrades+'!$AD$8,"B",IF(J6&lt;'PlayerGrades+'!$AD$7,"B+",IF(J6&lt;'PlayerGrades+'!$AD$6,"A-",IF(J6&lt;'PlayerGrades+'!$AD$5,"A",IF(J6&lt;'PlayerGrades+'!$AD$4,"A+",IF(J6&lt;'PlayerGrades+'!$AD$3,"S-",IF(J6&lt;'PlayerGrades+'!$AD$2,"S","S+"))))))))))))))))))))</f>
        <v>A-</v>
      </c>
      <c r="L6" s="992">
        <f t="shared" si="5"/>
        <v>0.3550295858</v>
      </c>
      <c r="M6" s="992" t="str">
        <f>IF(L6&lt;'PlayerGrades+'!$AE$21,"F-",IF(L6&lt;'PlayerGrades+'!$AE$20,"F",IF(L6&lt;'PlayerGrades+'!$AE$19,"F+",IF(L6&lt;'PlayerGrades+'!$AE$18,"E-",IF(L6&lt;'PlayerGrades+'!$AE$17,"E",IF(L6&lt;'PlayerGrades+'!$AE$16,"E+",IF(L6&lt;'PlayerGrades+'!$AE$15,"D-",IF(L6&lt;'PlayerGrades+'!$AE$14,"D",IF(L6&lt;'PlayerGrades+'!$AE$13,"D+",IF(L6&lt;'PlayerGrades+'!$AE$12,"C-",IF(L6&lt;'PlayerGrades+'!$AE$11,"C",IF(L6&lt;'PlayerGrades+'!$AE$10,"C+",IF(L6&lt;'PlayerGrades+'!$AE$9,"B-",IF(L6&lt;'PlayerGrades+'!$AE$8,"B",IF(L6&lt;'PlayerGrades+'!$AE$7,"B+",IF(L6&lt;'PlayerGrades+'!$AE$6,"A-",IF(L6&lt;'PlayerGrades+'!$AE$5,"A",IF(L6&lt;'PlayerGrades+'!$AE$4,"A+",IF(L6&lt;'PlayerGrades+'!$AE$3,"S-",IF(L6&lt;'PlayerGrades+'!$AE$2,"S","S+"))))))))))))))))))))</f>
        <v>E+</v>
      </c>
      <c r="N6" s="961">
        <f t="shared" si="6"/>
        <v>0.2130177515</v>
      </c>
      <c r="O6" s="961" t="str">
        <f>IF(N6&lt;'PlayerGrades+'!$AF$21,"F-",IF(N6&lt;'PlayerGrades+'!$AF$20,"F",IF(N6&lt;'PlayerGrades+'!$AF$19,"F+",IF(N6&lt;'PlayerGrades+'!$AF$18,"E-",IF(N6&lt;'PlayerGrades+'!$AF$17,"E",IF(N6&lt;'PlayerGrades+'!$AF$16,"E+",IF(N6&lt;'PlayerGrades+'!$AF$15,"D-",IF(N6&lt;'PlayerGrades+'!$AF$14,"D",IF(N6&lt;'PlayerGrades+'!$AF$13,"D+",IF(N6&lt;'PlayerGrades+'!$AF$12,"C-",IF(N6&lt;'PlayerGrades+'!$AF$11,"C",IF(N6&lt;'PlayerGrades+'!$AF$10,"C+",IF(N6&lt;'PlayerGrades+'!$AF$9,"B-",IF(N6&lt;'PlayerGrades+'!$AF$8,"B",IF(N6&lt;'PlayerGrades+'!$AF$7,"B+",IF(N6&lt;'PlayerGrades+'!$AF$6,"A-",IF(N6&lt;'PlayerGrades+'!$AF$5,"A",IF(N6&lt;'PlayerGrades+'!$AF$4,"A+",IF(N6&lt;'PlayerGrades+'!$AF$3,"S-",IF(N6&lt;'PlayerGrades+'!$AF$2,"S","S+"))))))))))))))))))))</f>
        <v>S-</v>
      </c>
      <c r="P6" s="961">
        <f t="shared" si="7"/>
        <v>0.8520710059</v>
      </c>
      <c r="Q6" s="961" t="str">
        <f>IF(P6&lt;'PlayerGrades+'!$AG$21,"F-",IF(P6&lt;'PlayerGrades+'!$AG$20,"F",IF(P6&lt;'PlayerGrades+'!$AG$19,"F+",IF(P6&lt;'PlayerGrades+'!$AG$18,"E-",IF(P6&lt;'PlayerGrades+'!$AG$17,"E",IF(P6&lt;'PlayerGrades+'!$AG$16,"E+",IF(P6&lt;'PlayerGrades+'!$AG$15,"D-",IF(P6&lt;'PlayerGrades+'!$AG$14,"D",IF(P6&lt;'PlayerGrades+'!$AG$13,"D+",IF(P6&lt;'PlayerGrades+'!$AG$12,"C-",IF(P6&lt;'PlayerGrades+'!$AG$11,"C",IF(P6&lt;'PlayerGrades+'!$AG$10,"C+",IF(P6&lt;'PlayerGrades+'!$AG$9,"B-",IF(P6&lt;'PlayerGrades+'!$AG$8,"B",IF(P6&lt;'PlayerGrades+'!$AG$7,"B+",IF(P6&lt;'PlayerGrades+'!$AG$6,"A-",IF(P6&lt;'PlayerGrades+'!$AG$5,"A",IF(P6&lt;'PlayerGrades+'!$AG$4,"A+",IF(P6&lt;'PlayerGrades+'!$AG$3,"S-",IF(P6&lt;'PlayerGrades+'!$AG$2,"S","S+"))))))))))))))))))))</f>
        <v>A</v>
      </c>
      <c r="R6" s="961">
        <f t="shared" si="8"/>
        <v>0</v>
      </c>
      <c r="S6" s="961" t="str">
        <f>IF(R6&lt;'PlayerGrades+'!$AH$21,"F-",IF(R6&lt;'PlayerGrades+'!$AH$20,"F",IF(R6&lt;'PlayerGrades+'!$AH$19,"F+",IF(R6&lt;'PlayerGrades+'!$AH$18,"E-",IF(R6&lt;'PlayerGrades+'!$AH$17,"E",IF(R6&lt;'PlayerGrades+'!$AH$16,"E+",IF(R6&lt;'PlayerGrades+'!$AH$15,"D-",IF(R6&lt;'PlayerGrades+'!$AH$14,"D",IF(R6&lt;'PlayerGrades+'!$AH$13,"D+",IF(R6&lt;'PlayerGrades+'!$AH$12,"C-",IF(R6&lt;'PlayerGrades+'!$AH$11,"C",IF(R6&lt;'PlayerGrades+'!$AH$10,"C+",IF(R6&lt;'PlayerGrades+'!$AH$9,"B-",IF(R6&lt;'PlayerGrades+'!$AH$8,"B",IF(R6&lt;'PlayerGrades+'!$AH$7,"B+",IF(R6&lt;'PlayerGrades+'!$AH$6,"A-",IF(R6&lt;'PlayerGrades+'!$AH$5,"A",IF(R6&lt;'PlayerGrades+'!$AH$4,"A+",IF(R6&lt;'PlayerGrades+'!$AH$3,"S-",IF(R6&lt;'PlayerGrades+'!$AH$2,"S","S+"))))))))))))))))))))</f>
        <v>F-</v>
      </c>
      <c r="T6" s="961">
        <f t="shared" si="9"/>
        <v>2.911242604</v>
      </c>
      <c r="U6" s="961" t="str">
        <f>IF(T6&lt;'PlayerGrades+'!$AI$21,"F-",IF(T6&lt;'PlayerGrades+'!$AI$20,"F",IF(T6&lt;'PlayerGrades+'!$AI$19,"F+",IF(T6&lt;'PlayerGrades+'!$AI$18,"E-",IF(T6&lt;'PlayerGrades+'!$AI$17,"E",IF(T6&lt;'PlayerGrades+'!$AI$16,"E+",IF(T6&lt;'PlayerGrades+'!$AI$15,"D-",IF(T6&lt;'PlayerGrades+'!$AI$14,"D",IF(T6&lt;'PlayerGrades+'!$AI$13,"D+",IF(T6&lt;'PlayerGrades+'!$AI$12,"C-",IF(T6&lt;'PlayerGrades+'!$AI$11,"C",IF(T6&lt;'PlayerGrades+'!$AI$10,"C+",IF(T6&lt;'PlayerGrades+'!$AI$9,"B-",IF(T6&lt;'PlayerGrades+'!$AI$8,"B",IF(T6&lt;'PlayerGrades+'!$AI$7,"B+",IF(T6&lt;'PlayerGrades+'!$AI$6,"A-",IF(T6&lt;'PlayerGrades+'!$AI$5,"A",IF(T6&lt;'PlayerGrades+'!$AI$4,"A+",IF(T6&lt;'PlayerGrades+'!$AI$3,"S-",IF(T6&lt;'PlayerGrades+'!$AI$2,"S","S+"))))))))))))))))))))</f>
        <v>C+</v>
      </c>
      <c r="V6" s="1017">
        <v>0.0</v>
      </c>
      <c r="W6" s="1017">
        <v>1.0</v>
      </c>
      <c r="X6" s="1017">
        <v>0.0</v>
      </c>
      <c r="Y6" s="1017">
        <v>2.0</v>
      </c>
      <c r="Z6" s="1017">
        <v>41.0</v>
      </c>
      <c r="AA6" s="1017">
        <v>33.0</v>
      </c>
      <c r="AB6" s="1017">
        <f t="shared" si="10"/>
        <v>8</v>
      </c>
      <c r="AC6" s="1020">
        <f t="shared" si="11"/>
        <v>1.242424242</v>
      </c>
      <c r="AD6" s="1022">
        <v>0.0</v>
      </c>
      <c r="AE6" s="1023">
        <v>845.0</v>
      </c>
      <c r="AF6" s="1022">
        <v>1.0</v>
      </c>
      <c r="AG6" s="1022">
        <v>0.0</v>
      </c>
      <c r="AH6" s="1022">
        <v>0.0</v>
      </c>
      <c r="AI6" s="1022">
        <v>0.0</v>
      </c>
      <c r="AJ6" s="1022">
        <v>2.0</v>
      </c>
      <c r="AK6" s="1022">
        <v>5.0</v>
      </c>
      <c r="AL6" s="1022">
        <v>3.0</v>
      </c>
      <c r="AM6" s="1022">
        <v>1.0</v>
      </c>
      <c r="AN6" s="1022">
        <v>1.0</v>
      </c>
      <c r="AO6" s="1022">
        <v>0.0</v>
      </c>
      <c r="AP6" s="1022">
        <v>0.0</v>
      </c>
      <c r="AQ6" s="1022">
        <v>0.0</v>
      </c>
      <c r="AR6" s="1022">
        <v>0.0</v>
      </c>
      <c r="AS6" s="1022">
        <v>0.0</v>
      </c>
      <c r="AT6" s="1022">
        <v>0.0</v>
      </c>
      <c r="AU6" s="1022">
        <v>5.0</v>
      </c>
      <c r="AV6" s="1022">
        <v>0.0</v>
      </c>
      <c r="AW6" s="1022">
        <v>0.0</v>
      </c>
      <c r="AX6" s="1022">
        <v>0.0</v>
      </c>
      <c r="AY6" s="1022">
        <v>0.0</v>
      </c>
      <c r="AZ6" s="1027">
        <v>0.0</v>
      </c>
    </row>
    <row r="7">
      <c r="A7" s="938" t="s">
        <v>396</v>
      </c>
      <c r="B7" s="1100" t="str">
        <f>IF(C7&lt;'PlayerGrades+'!$Y$44,"F-",IF(C7&lt;'PlayerGrades+'!$Y$43,"F",IF(C7&lt;'PlayerGrades+'!$Y$42,"F+",IF(C7&lt;'PlayerGrades+'!$Y$41,"E-",IF(C7&lt;'PlayerGrades+'!$Y$40,"E",IF(C7&lt;'PlayerGrades+'!$Y$39,"E+",IF(C7&lt;'PlayerGrades+'!$Y$38,"D-",IF(C7&lt;'PlayerGrades+'!$Y$37,"D",IF(C7&lt;'PlayerGrades+'!$Y$36,"D+",IF(C7&lt;'PlayerGrades+'!$Y$35,"C-",IF(C7&lt;'PlayerGrades+'!$Y$34,"C",IF(C7&lt;'PlayerGrades+'!$Y$33,"C+",IF(C7&lt;'PlayerGrades+'!$Y$32,"B-",IF(C7&lt;'PlayerGrades+'!$Y$31,"B",IF(C7&lt;'PlayerGrades+'!$Y$30,"B+",IF(C7&lt;'PlayerGrades+'!$Y$29,"A-",IF(C7&lt;'PlayerGrades+'!$Y$28,"A",IF(C7&lt;'PlayerGrades+'!$Y$27,"A+",IF(C7&lt;'PlayerGrades+'!$Y$26,"S-",IF(C7&lt;'PlayerGrades+'!$Y$25,"S","S+"))))))))))))))))))))</f>
        <v>E</v>
      </c>
      <c r="C7" s="1105">
        <f>('PlayerGrades+'!$Y$47*(VLOOKUP(E7, 'PlayerGrades+'!$X$3:$Y$23, 2, FALSE)))+('PlayerGrades+'!$Y$48*(VLOOKUP(G7, 'PlayerGrades+'!$X$3:$Y$23, 2, FALSE)))+('PlayerGrades+'!$Y$49*(VLOOKUP(I7, 'PlayerGrades+'!$X$3:$Y$23, 2, FALSE)))+('PlayerGrades+'!$Y$50*(VLOOKUP(K7, 'PlayerGrades+'!$X$3:$Y$23, 2, FALSE)))+('PlayerGrades+'!$Y$51*(VLOOKUP(M7, 'PlayerGrades+'!$X$3:$Y$23, 2, FALSE)))+('PlayerGrades+'!$Y$52*(VLOOKUP(O7, 'PlayerGrades+'!$X$3:$Y$23, 2, FALSE)))+('PlayerGrades+'!$Y$53*(VLOOKUP(Q7, 'PlayerGrades+'!$X$3:$Y$23, 2, FALSE)))+('PlayerGrades+'!$Y$54*(VLOOKUP(S7, 'PlayerGrades+'!$X$3:$Y$23, 2, FALSE)))+('PlayerGrades+'!$Y$55*(VLOOKUP(U7, 'PlayerGrades+'!$X$3:$Y$23, 2, FALSE)))</f>
        <v>10.525</v>
      </c>
      <c r="D7" s="961">
        <f t="shared" si="1"/>
        <v>0</v>
      </c>
      <c r="E7" s="961" t="str">
        <f>IF(D7&lt;'PlayerGrades+'!$AA$21,"F-",IF(D7&lt;'PlayerGrades+'!$AA$20,"F",IF(D7&lt;'PlayerGrades+'!$AA$19,"F+",IF(D7&lt;'PlayerGrades+'!$AA$18,"E-",IF(D7&lt;'PlayerGrades+'!$AA$17,"E",IF(D7&lt;'PlayerGrades+'!$AA$16,"E+",IF(D7&lt;'PlayerGrades+'!$AA$15,"D-",IF(D7&lt;'PlayerGrades+'!$AA$14,"D",IF(D7&lt;'PlayerGrades+'!$AA$13,"D+",IF(D7&lt;'PlayerGrades+'!$AA$12,"C-",IF(D7&lt;'PlayerGrades+'!$AA$11,"C",IF(D7&lt;'PlayerGrades+'!$AA$10,"C+",IF(D7&lt;'PlayerGrades+'!$AA$9,"B-",IF(D7&lt;'PlayerGrades+'!$AA$8,"B",IF(D7&lt;'PlayerGrades+'!$AA$7,"B+",IF(D7&lt;'PlayerGrades+'!$AA$6,"A-",IF(D7&lt;'PlayerGrades+'!$AA$5,"A",IF(D7&lt;'PlayerGrades+'!$AA$4,"A+",IF(D7&lt;'PlayerGrades+'!$AA$3,"S-",IF(D7&lt;'PlayerGrades+'!$AA$2,"S","S+"))))))))))))))))))))</f>
        <v>F-</v>
      </c>
      <c r="F7" s="961">
        <f t="shared" si="2"/>
        <v>0.04779244424</v>
      </c>
      <c r="G7" s="961" t="str">
        <f>IF(F7&lt;'PlayerGrades+'!$AB$21,"F-",IF(F7&lt;'PlayerGrades+'!$AB$20,"F",IF(F7&lt;'PlayerGrades+'!$AB$19,"F+",IF(F7&lt;'PlayerGrades+'!$AB$18,"E-",IF(F7&lt;'PlayerGrades+'!$AB$17,"E",IF(F7&lt;'PlayerGrades+'!$AB$16,"E+",IF(F7&lt;'PlayerGrades+'!$AB$15,"D-",IF(F7&lt;'PlayerGrades+'!$AB$14,"D",IF(F7&lt;'PlayerGrades+'!$AB$13,"D+",IF(F7&lt;'PlayerGrades+'!$AB$12,"C-",IF(F7&lt;'PlayerGrades+'!$AB$11,"C",IF(F7&lt;'PlayerGrades+'!$AB$10,"C+",IF(F7&lt;'PlayerGrades+'!$AB$9,"B-",IF(F7&lt;'PlayerGrades+'!$AB$8,"B",IF(F7&lt;'PlayerGrades+'!$AB$7,"B+",IF(F7&lt;'PlayerGrades+'!$AB$6,"A-",IF(F7&lt;'PlayerGrades+'!$AB$5,"A",IF(F7&lt;'PlayerGrades+'!$AB$4,"A+",IF(F7&lt;'PlayerGrades+'!$AB$3,"S-",IF(F7&lt;'PlayerGrades+'!$AB$2,"S","S+"))))))))))))))))))))</f>
        <v>A</v>
      </c>
      <c r="H7" s="961">
        <f t="shared" si="3"/>
        <v>0.2840236686</v>
      </c>
      <c r="I7" s="961" t="str">
        <f>IF(H7&lt;'PlayerGrades+'!$AC$21,"F-",IF(H7&lt;'PlayerGrades+'!$AC$20,"F",IF(H7&lt;'PlayerGrades+'!$AC$19,"F+",IF(H7&lt;'PlayerGrades+'!$AC$18,"E-",IF(H7&lt;'PlayerGrades+'!$AC$17,"E",IF(H7&lt;'PlayerGrades+'!$AC$16,"E+",IF(H7&lt;'PlayerGrades+'!$AC$15,"D-",IF(H7&lt;'PlayerGrades+'!$AC$14,"D",IF(H7&lt;'PlayerGrades+'!$AC$13,"D+",IF(H7&lt;'PlayerGrades+'!$AC$12,"C-",IF(H7&lt;'PlayerGrades+'!$AC$11,"C",IF(H7&lt;'PlayerGrades+'!$AC$10,"C+",IF(H7&lt;'PlayerGrades+'!$AC$9,"B-",IF(H7&lt;'PlayerGrades+'!$AC$8,"B",IF(H7&lt;'PlayerGrades+'!$AC$7,"B+",IF(H7&lt;'PlayerGrades+'!$AC$6,"A-",IF(H7&lt;'PlayerGrades+'!$AC$5,"A",IF(H7&lt;'PlayerGrades+'!$AC$4,"A+",IF(H7&lt;'PlayerGrades+'!$AC$3,"S-",IF(H7&lt;'PlayerGrades+'!$AC$2,"S","S+"))))))))))))))))))))</f>
        <v>F+</v>
      </c>
      <c r="J7" s="961">
        <f t="shared" si="4"/>
        <v>0.07100591716</v>
      </c>
      <c r="K7" s="961" t="str">
        <f>IF(J7&lt;'PlayerGrades+'!$AD$21,"F-",IF(J7&lt;'PlayerGrades+'!$AD$20,"F",IF(J7&lt;'PlayerGrades+'!$AD$19,"F+",IF(J7&lt;'PlayerGrades+'!$AD$18,"E-",IF(J7&lt;'PlayerGrades+'!$AD$17,"E",IF(J7&lt;'PlayerGrades+'!$AD$16,"E+",IF(J7&lt;'PlayerGrades+'!$AD$15,"D-",IF(J7&lt;'PlayerGrades+'!$AD$14,"D",IF(J7&lt;'PlayerGrades+'!$AD$13,"D+",IF(J7&lt;'PlayerGrades+'!$AD$12,"C-",IF(J7&lt;'PlayerGrades+'!$AD$11,"C",IF(J7&lt;'PlayerGrades+'!$AD$10,"C+",IF(J7&lt;'PlayerGrades+'!$AD$9,"B-",IF(J7&lt;'PlayerGrades+'!$AD$8,"B",IF(J7&lt;'PlayerGrades+'!$AD$7,"B+",IF(J7&lt;'PlayerGrades+'!$AD$6,"A-",IF(J7&lt;'PlayerGrades+'!$AD$5,"A",IF(J7&lt;'PlayerGrades+'!$AD$4,"A+",IF(J7&lt;'PlayerGrades+'!$AD$3,"S-",IF(J7&lt;'PlayerGrades+'!$AD$2,"S","S+"))))))))))))))))))))</f>
        <v>A-</v>
      </c>
      <c r="L7" s="992">
        <f t="shared" si="5"/>
        <v>0.2130177515</v>
      </c>
      <c r="M7" s="992" t="str">
        <f>IF(L7&lt;'PlayerGrades+'!$AE$21,"F-",IF(L7&lt;'PlayerGrades+'!$AE$20,"F",IF(L7&lt;'PlayerGrades+'!$AE$19,"F+",IF(L7&lt;'PlayerGrades+'!$AE$18,"E-",IF(L7&lt;'PlayerGrades+'!$AE$17,"E",IF(L7&lt;'PlayerGrades+'!$AE$16,"E+",IF(L7&lt;'PlayerGrades+'!$AE$15,"D-",IF(L7&lt;'PlayerGrades+'!$AE$14,"D",IF(L7&lt;'PlayerGrades+'!$AE$13,"D+",IF(L7&lt;'PlayerGrades+'!$AE$12,"C-",IF(L7&lt;'PlayerGrades+'!$AE$11,"C",IF(L7&lt;'PlayerGrades+'!$AE$10,"C+",IF(L7&lt;'PlayerGrades+'!$AE$9,"B-",IF(L7&lt;'PlayerGrades+'!$AE$8,"B",IF(L7&lt;'PlayerGrades+'!$AE$7,"B+",IF(L7&lt;'PlayerGrades+'!$AE$6,"A-",IF(L7&lt;'PlayerGrades+'!$AE$5,"A",IF(L7&lt;'PlayerGrades+'!$AE$4,"A+",IF(L7&lt;'PlayerGrades+'!$AE$3,"S-",IF(L7&lt;'PlayerGrades+'!$AE$2,"S","S+"))))))))))))))))))))</f>
        <v>F-</v>
      </c>
      <c r="N7" s="961">
        <f t="shared" si="6"/>
        <v>0.07100591716</v>
      </c>
      <c r="O7" s="961" t="str">
        <f>IF(N7&lt;'PlayerGrades+'!$AF$21,"F-",IF(N7&lt;'PlayerGrades+'!$AF$20,"F",IF(N7&lt;'PlayerGrades+'!$AF$19,"F+",IF(N7&lt;'PlayerGrades+'!$AF$18,"E-",IF(N7&lt;'PlayerGrades+'!$AF$17,"E",IF(N7&lt;'PlayerGrades+'!$AF$16,"E+",IF(N7&lt;'PlayerGrades+'!$AF$15,"D-",IF(N7&lt;'PlayerGrades+'!$AF$14,"D",IF(N7&lt;'PlayerGrades+'!$AF$13,"D+",IF(N7&lt;'PlayerGrades+'!$AF$12,"C-",IF(N7&lt;'PlayerGrades+'!$AF$11,"C",IF(N7&lt;'PlayerGrades+'!$AF$10,"C+",IF(N7&lt;'PlayerGrades+'!$AF$9,"B-",IF(N7&lt;'PlayerGrades+'!$AF$8,"B",IF(N7&lt;'PlayerGrades+'!$AF$7,"B+",IF(N7&lt;'PlayerGrades+'!$AF$6,"A-",IF(N7&lt;'PlayerGrades+'!$AF$5,"A",IF(N7&lt;'PlayerGrades+'!$AF$4,"A+",IF(N7&lt;'PlayerGrades+'!$AF$3,"S-",IF(N7&lt;'PlayerGrades+'!$AF$2,"S","S+"))))))))))))))))))))</f>
        <v>E+</v>
      </c>
      <c r="P7" s="961">
        <f t="shared" si="7"/>
        <v>0.3550295858</v>
      </c>
      <c r="Q7" s="961" t="str">
        <f>IF(P7&lt;'PlayerGrades+'!$AG$21,"F-",IF(P7&lt;'PlayerGrades+'!$AG$20,"F",IF(P7&lt;'PlayerGrades+'!$AG$19,"F+",IF(P7&lt;'PlayerGrades+'!$AG$18,"E-",IF(P7&lt;'PlayerGrades+'!$AG$17,"E",IF(P7&lt;'PlayerGrades+'!$AG$16,"E+",IF(P7&lt;'PlayerGrades+'!$AG$15,"D-",IF(P7&lt;'PlayerGrades+'!$AG$14,"D",IF(P7&lt;'PlayerGrades+'!$AG$13,"D+",IF(P7&lt;'PlayerGrades+'!$AG$12,"C-",IF(P7&lt;'PlayerGrades+'!$AG$11,"C",IF(P7&lt;'PlayerGrades+'!$AG$10,"C+",IF(P7&lt;'PlayerGrades+'!$AG$9,"B-",IF(P7&lt;'PlayerGrades+'!$AG$8,"B",IF(P7&lt;'PlayerGrades+'!$AG$7,"B+",IF(P7&lt;'PlayerGrades+'!$AG$6,"A-",IF(P7&lt;'PlayerGrades+'!$AG$5,"A",IF(P7&lt;'PlayerGrades+'!$AG$4,"A+",IF(P7&lt;'PlayerGrades+'!$AG$3,"S-",IF(P7&lt;'PlayerGrades+'!$AG$2,"S","S+"))))))))))))))))))))</f>
        <v>F</v>
      </c>
      <c r="R7" s="961">
        <f t="shared" si="8"/>
        <v>0</v>
      </c>
      <c r="S7" s="961" t="str">
        <f>IF(R7&lt;'PlayerGrades+'!$AH$21,"F-",IF(R7&lt;'PlayerGrades+'!$AH$20,"F",IF(R7&lt;'PlayerGrades+'!$AH$19,"F+",IF(R7&lt;'PlayerGrades+'!$AH$18,"E-",IF(R7&lt;'PlayerGrades+'!$AH$17,"E",IF(R7&lt;'PlayerGrades+'!$AH$16,"E+",IF(R7&lt;'PlayerGrades+'!$AH$15,"D-",IF(R7&lt;'PlayerGrades+'!$AH$14,"D",IF(R7&lt;'PlayerGrades+'!$AH$13,"D+",IF(R7&lt;'PlayerGrades+'!$AH$12,"C-",IF(R7&lt;'PlayerGrades+'!$AH$11,"C",IF(R7&lt;'PlayerGrades+'!$AH$10,"C+",IF(R7&lt;'PlayerGrades+'!$AH$9,"B-",IF(R7&lt;'PlayerGrades+'!$AH$8,"B",IF(R7&lt;'PlayerGrades+'!$AH$7,"B+",IF(R7&lt;'PlayerGrades+'!$AH$6,"A-",IF(R7&lt;'PlayerGrades+'!$AH$5,"A",IF(R7&lt;'PlayerGrades+'!$AH$4,"A+",IF(R7&lt;'PlayerGrades+'!$AH$3,"S-",IF(R7&lt;'PlayerGrades+'!$AH$2,"S","S+"))))))))))))))))))))</f>
        <v>F-</v>
      </c>
      <c r="T7" s="961">
        <f t="shared" si="9"/>
        <v>2.485207101</v>
      </c>
      <c r="U7" s="961" t="str">
        <f>IF(T7&lt;'PlayerGrades+'!$AI$21,"F-",IF(T7&lt;'PlayerGrades+'!$AI$20,"F",IF(T7&lt;'PlayerGrades+'!$AI$19,"F+",IF(T7&lt;'PlayerGrades+'!$AI$18,"E-",IF(T7&lt;'PlayerGrades+'!$AI$17,"E",IF(T7&lt;'PlayerGrades+'!$AI$16,"E+",IF(T7&lt;'PlayerGrades+'!$AI$15,"D-",IF(T7&lt;'PlayerGrades+'!$AI$14,"D",IF(T7&lt;'PlayerGrades+'!$AI$13,"D+",IF(T7&lt;'PlayerGrades+'!$AI$12,"C-",IF(T7&lt;'PlayerGrades+'!$AI$11,"C",IF(T7&lt;'PlayerGrades+'!$AI$10,"C+",IF(T7&lt;'PlayerGrades+'!$AI$9,"B-",IF(T7&lt;'PlayerGrades+'!$AI$8,"B",IF(T7&lt;'PlayerGrades+'!$AI$7,"B+",IF(T7&lt;'PlayerGrades+'!$AI$6,"A-",IF(T7&lt;'PlayerGrades+'!$AI$5,"A",IF(T7&lt;'PlayerGrades+'!$AI$4,"A+",IF(T7&lt;'PlayerGrades+'!$AI$3,"S-",IF(T7&lt;'PlayerGrades+'!$AI$2,"S","S+"))))))))))))))))))))</f>
        <v>D-</v>
      </c>
      <c r="V7" s="1017">
        <v>0.0</v>
      </c>
      <c r="W7" s="1017">
        <v>1.0</v>
      </c>
      <c r="X7" s="1017">
        <v>0.0</v>
      </c>
      <c r="Y7" s="1017">
        <v>0.0</v>
      </c>
      <c r="Z7" s="1017">
        <v>35.0</v>
      </c>
      <c r="AA7" s="1017">
        <v>52.0</v>
      </c>
      <c r="AB7" s="1017">
        <f t="shared" si="10"/>
        <v>-17</v>
      </c>
      <c r="AC7" s="1020">
        <f t="shared" si="11"/>
        <v>0.6730769231</v>
      </c>
      <c r="AD7" s="1022">
        <v>0.0</v>
      </c>
      <c r="AE7" s="1023">
        <v>845.0</v>
      </c>
      <c r="AF7" s="1022">
        <v>1.0</v>
      </c>
      <c r="AG7" s="1022">
        <v>0.0</v>
      </c>
      <c r="AH7" s="1022">
        <v>0.0</v>
      </c>
      <c r="AI7" s="1022">
        <v>0.0</v>
      </c>
      <c r="AJ7" s="1022">
        <v>1.0</v>
      </c>
      <c r="AK7" s="1022">
        <v>3.0</v>
      </c>
      <c r="AL7" s="1022">
        <v>1.0</v>
      </c>
      <c r="AM7" s="1022">
        <v>0.0</v>
      </c>
      <c r="AN7" s="1022">
        <v>0.0</v>
      </c>
      <c r="AO7" s="1022">
        <v>0.0</v>
      </c>
      <c r="AP7" s="1022">
        <v>0.0</v>
      </c>
      <c r="AQ7" s="1022">
        <v>0.0</v>
      </c>
      <c r="AR7" s="1022">
        <v>0.0</v>
      </c>
      <c r="AS7" s="1022">
        <v>0.0</v>
      </c>
      <c r="AT7" s="1022">
        <v>0.0</v>
      </c>
      <c r="AU7" s="1022">
        <v>4.0</v>
      </c>
      <c r="AV7" s="1022">
        <v>0.0</v>
      </c>
      <c r="AW7" s="1022">
        <v>0.0</v>
      </c>
      <c r="AX7" s="1022">
        <v>0.0</v>
      </c>
      <c r="AY7" s="1022">
        <v>0.0</v>
      </c>
      <c r="AZ7" s="1027">
        <v>0.0</v>
      </c>
    </row>
    <row r="8">
      <c r="A8" s="938" t="s">
        <v>49</v>
      </c>
      <c r="B8" s="1100" t="str">
        <f>IF(C8&lt;'PlayerGrades+'!$Y$44,"F-",IF(C8&lt;'PlayerGrades+'!$Y$43,"F",IF(C8&lt;'PlayerGrades+'!$Y$42,"F+",IF(C8&lt;'PlayerGrades+'!$Y$41,"E-",IF(C8&lt;'PlayerGrades+'!$Y$40,"E",IF(C8&lt;'PlayerGrades+'!$Y$39,"E+",IF(C8&lt;'PlayerGrades+'!$Y$38,"D-",IF(C8&lt;'PlayerGrades+'!$Y$37,"D",IF(C8&lt;'PlayerGrades+'!$Y$36,"D+",IF(C8&lt;'PlayerGrades+'!$Y$35,"C-",IF(C8&lt;'PlayerGrades+'!$Y$34,"C",IF(C8&lt;'PlayerGrades+'!$Y$33,"C+",IF(C8&lt;'PlayerGrades+'!$Y$32,"B-",IF(C8&lt;'PlayerGrades+'!$Y$31,"B",IF(C8&lt;'PlayerGrades+'!$Y$30,"B+",IF(C8&lt;'PlayerGrades+'!$Y$29,"A-",IF(C8&lt;'PlayerGrades+'!$Y$28,"A",IF(C8&lt;'PlayerGrades+'!$Y$27,"A+",IF(C8&lt;'PlayerGrades+'!$Y$26,"S-",IF(C8&lt;'PlayerGrades+'!$Y$25,"S","S+"))))))))))))))))))))</f>
        <v>D-</v>
      </c>
      <c r="C8" s="1105">
        <f>('PlayerGrades+'!$Y$47*(VLOOKUP(E8, 'PlayerGrades+'!$X$3:$Y$23, 2, FALSE)))+('PlayerGrades+'!$Y$48*(VLOOKUP(G8, 'PlayerGrades+'!$X$3:$Y$23, 2, FALSE)))+('PlayerGrades+'!$Y$49*(VLOOKUP(I8, 'PlayerGrades+'!$X$3:$Y$23, 2, FALSE)))+('PlayerGrades+'!$Y$50*(VLOOKUP(K8, 'PlayerGrades+'!$X$3:$Y$23, 2, FALSE)))+('PlayerGrades+'!$Y$51*(VLOOKUP(M8, 'PlayerGrades+'!$X$3:$Y$23, 2, FALSE)))+('PlayerGrades+'!$Y$52*(VLOOKUP(O8, 'PlayerGrades+'!$X$3:$Y$23, 2, FALSE)))+('PlayerGrades+'!$Y$53*(VLOOKUP(Q8, 'PlayerGrades+'!$X$3:$Y$23, 2, FALSE)))+('PlayerGrades+'!$Y$54*(VLOOKUP(S8, 'PlayerGrades+'!$X$3:$Y$23, 2, FALSE)))+('PlayerGrades+'!$Y$55*(VLOOKUP(U8, 'PlayerGrades+'!$X$3:$Y$23, 2, FALSE)))</f>
        <v>12.2125</v>
      </c>
      <c r="D8" s="961">
        <f t="shared" si="1"/>
        <v>0</v>
      </c>
      <c r="E8" s="961" t="str">
        <f>IF(D8&lt;'PlayerGrades+'!$AA$21,"F-",IF(D8&lt;'PlayerGrades+'!$AA$20,"F",IF(D8&lt;'PlayerGrades+'!$AA$19,"F+",IF(D8&lt;'PlayerGrades+'!$AA$18,"E-",IF(D8&lt;'PlayerGrades+'!$AA$17,"E",IF(D8&lt;'PlayerGrades+'!$AA$16,"E+",IF(D8&lt;'PlayerGrades+'!$AA$15,"D-",IF(D8&lt;'PlayerGrades+'!$AA$14,"D",IF(D8&lt;'PlayerGrades+'!$AA$13,"D+",IF(D8&lt;'PlayerGrades+'!$AA$12,"C-",IF(D8&lt;'PlayerGrades+'!$AA$11,"C",IF(D8&lt;'PlayerGrades+'!$AA$10,"C+",IF(D8&lt;'PlayerGrades+'!$AA$9,"B-",IF(D8&lt;'PlayerGrades+'!$AA$8,"B",IF(D8&lt;'PlayerGrades+'!$AA$7,"B+",IF(D8&lt;'PlayerGrades+'!$AA$6,"A-",IF(D8&lt;'PlayerGrades+'!$AA$5,"A",IF(D8&lt;'PlayerGrades+'!$AA$4,"A+",IF(D8&lt;'PlayerGrades+'!$AA$3,"S-",IF(D8&lt;'PlayerGrades+'!$AA$2,"S","S+"))))))))))))))))))))</f>
        <v>F-</v>
      </c>
      <c r="F8" s="961">
        <f t="shared" si="2"/>
        <v>0.05012182388</v>
      </c>
      <c r="G8" s="961" t="str">
        <f>IF(F8&lt;'PlayerGrades+'!$AB$21,"F-",IF(F8&lt;'PlayerGrades+'!$AB$20,"F",IF(F8&lt;'PlayerGrades+'!$AB$19,"F+",IF(F8&lt;'PlayerGrades+'!$AB$18,"E-",IF(F8&lt;'PlayerGrades+'!$AB$17,"E",IF(F8&lt;'PlayerGrades+'!$AB$16,"E+",IF(F8&lt;'PlayerGrades+'!$AB$15,"D-",IF(F8&lt;'PlayerGrades+'!$AB$14,"D",IF(F8&lt;'PlayerGrades+'!$AB$13,"D+",IF(F8&lt;'PlayerGrades+'!$AB$12,"C-",IF(F8&lt;'PlayerGrades+'!$AB$11,"C",IF(F8&lt;'PlayerGrades+'!$AB$10,"C+",IF(F8&lt;'PlayerGrades+'!$AB$9,"B-",IF(F8&lt;'PlayerGrades+'!$AB$8,"B",IF(F8&lt;'PlayerGrades+'!$AB$7,"B+",IF(F8&lt;'PlayerGrades+'!$AB$6,"A-",IF(F8&lt;'PlayerGrades+'!$AB$5,"A",IF(F8&lt;'PlayerGrades+'!$AB$4,"A+",IF(F8&lt;'PlayerGrades+'!$AB$3,"S-",IF(F8&lt;'PlayerGrades+'!$AB$2,"S","S+"))))))))))))))))))))</f>
        <v>A</v>
      </c>
      <c r="H8" s="961">
        <f t="shared" si="3"/>
        <v>0.4970414201</v>
      </c>
      <c r="I8" s="961" t="str">
        <f>IF(H8&lt;'PlayerGrades+'!$AC$21,"F-",IF(H8&lt;'PlayerGrades+'!$AC$20,"F",IF(H8&lt;'PlayerGrades+'!$AC$19,"F+",IF(H8&lt;'PlayerGrades+'!$AC$18,"E-",IF(H8&lt;'PlayerGrades+'!$AC$17,"E",IF(H8&lt;'PlayerGrades+'!$AC$16,"E+",IF(H8&lt;'PlayerGrades+'!$AC$15,"D-",IF(H8&lt;'PlayerGrades+'!$AC$14,"D",IF(H8&lt;'PlayerGrades+'!$AC$13,"D+",IF(H8&lt;'PlayerGrades+'!$AC$12,"C-",IF(H8&lt;'PlayerGrades+'!$AC$11,"C",IF(H8&lt;'PlayerGrades+'!$AC$10,"C+",IF(H8&lt;'PlayerGrades+'!$AC$9,"B-",IF(H8&lt;'PlayerGrades+'!$AC$8,"B",IF(H8&lt;'PlayerGrades+'!$AC$7,"B+",IF(H8&lt;'PlayerGrades+'!$AC$6,"A-",IF(H8&lt;'PlayerGrades+'!$AC$5,"A",IF(H8&lt;'PlayerGrades+'!$AC$4,"A+",IF(H8&lt;'PlayerGrades+'!$AC$3,"S-",IF(H8&lt;'PlayerGrades+'!$AC$2,"S","S+"))))))))))))))))))))</f>
        <v>B-</v>
      </c>
      <c r="J8" s="961">
        <f t="shared" si="4"/>
        <v>0</v>
      </c>
      <c r="K8" s="961" t="str">
        <f>IF(J8&lt;'PlayerGrades+'!$AD$21,"F-",IF(J8&lt;'PlayerGrades+'!$AD$20,"F",IF(J8&lt;'PlayerGrades+'!$AD$19,"F+",IF(J8&lt;'PlayerGrades+'!$AD$18,"E-",IF(J8&lt;'PlayerGrades+'!$AD$17,"E",IF(J8&lt;'PlayerGrades+'!$AD$16,"E+",IF(J8&lt;'PlayerGrades+'!$AD$15,"D-",IF(J8&lt;'PlayerGrades+'!$AD$14,"D",IF(J8&lt;'PlayerGrades+'!$AD$13,"D+",IF(J8&lt;'PlayerGrades+'!$AD$12,"C-",IF(J8&lt;'PlayerGrades+'!$AD$11,"C",IF(J8&lt;'PlayerGrades+'!$AD$10,"C+",IF(J8&lt;'PlayerGrades+'!$AD$9,"B-",IF(J8&lt;'PlayerGrades+'!$AD$8,"B",IF(J8&lt;'PlayerGrades+'!$AD$7,"B+",IF(J8&lt;'PlayerGrades+'!$AD$6,"A-",IF(J8&lt;'PlayerGrades+'!$AD$5,"A",IF(J8&lt;'PlayerGrades+'!$AD$4,"A+",IF(J8&lt;'PlayerGrades+'!$AD$3,"S-",IF(J8&lt;'PlayerGrades+'!$AD$2,"S","S+"))))))))))))))))))))</f>
        <v>F-</v>
      </c>
      <c r="L8" s="992">
        <f t="shared" si="5"/>
        <v>0.3550295858</v>
      </c>
      <c r="M8" s="992" t="str">
        <f>IF(L8&lt;'PlayerGrades+'!$AE$21,"F-",IF(L8&lt;'PlayerGrades+'!$AE$20,"F",IF(L8&lt;'PlayerGrades+'!$AE$19,"F+",IF(L8&lt;'PlayerGrades+'!$AE$18,"E-",IF(L8&lt;'PlayerGrades+'!$AE$17,"E",IF(L8&lt;'PlayerGrades+'!$AE$16,"E+",IF(L8&lt;'PlayerGrades+'!$AE$15,"D-",IF(L8&lt;'PlayerGrades+'!$AE$14,"D",IF(L8&lt;'PlayerGrades+'!$AE$13,"D+",IF(L8&lt;'PlayerGrades+'!$AE$12,"C-",IF(L8&lt;'PlayerGrades+'!$AE$11,"C",IF(L8&lt;'PlayerGrades+'!$AE$10,"C+",IF(L8&lt;'PlayerGrades+'!$AE$9,"B-",IF(L8&lt;'PlayerGrades+'!$AE$8,"B",IF(L8&lt;'PlayerGrades+'!$AE$7,"B+",IF(L8&lt;'PlayerGrades+'!$AE$6,"A-",IF(L8&lt;'PlayerGrades+'!$AE$5,"A",IF(L8&lt;'PlayerGrades+'!$AE$4,"A+",IF(L8&lt;'PlayerGrades+'!$AE$3,"S-",IF(L8&lt;'PlayerGrades+'!$AE$2,"S","S+"))))))))))))))))))))</f>
        <v>E+</v>
      </c>
      <c r="N8" s="961">
        <f t="shared" si="6"/>
        <v>0.07100591716</v>
      </c>
      <c r="O8" s="961" t="str">
        <f>IF(N8&lt;'PlayerGrades+'!$AF$21,"F-",IF(N8&lt;'PlayerGrades+'!$AF$20,"F",IF(N8&lt;'PlayerGrades+'!$AF$19,"F+",IF(N8&lt;'PlayerGrades+'!$AF$18,"E-",IF(N8&lt;'PlayerGrades+'!$AF$17,"E",IF(N8&lt;'PlayerGrades+'!$AF$16,"E+",IF(N8&lt;'PlayerGrades+'!$AF$15,"D-",IF(N8&lt;'PlayerGrades+'!$AF$14,"D",IF(N8&lt;'PlayerGrades+'!$AF$13,"D+",IF(N8&lt;'PlayerGrades+'!$AF$12,"C-",IF(N8&lt;'PlayerGrades+'!$AF$11,"C",IF(N8&lt;'PlayerGrades+'!$AF$10,"C+",IF(N8&lt;'PlayerGrades+'!$AF$9,"B-",IF(N8&lt;'PlayerGrades+'!$AF$8,"B",IF(N8&lt;'PlayerGrades+'!$AF$7,"B+",IF(N8&lt;'PlayerGrades+'!$AF$6,"A-",IF(N8&lt;'PlayerGrades+'!$AF$5,"A",IF(N8&lt;'PlayerGrades+'!$AF$4,"A+",IF(N8&lt;'PlayerGrades+'!$AF$3,"S-",IF(N8&lt;'PlayerGrades+'!$AF$2,"S","S+"))))))))))))))))))))</f>
        <v>E+</v>
      </c>
      <c r="P8" s="961">
        <f t="shared" si="7"/>
        <v>0.426035503</v>
      </c>
      <c r="Q8" s="961" t="str">
        <f>IF(P8&lt;'PlayerGrades+'!$AG$21,"F-",IF(P8&lt;'PlayerGrades+'!$AG$20,"F",IF(P8&lt;'PlayerGrades+'!$AG$19,"F+",IF(P8&lt;'PlayerGrades+'!$AG$18,"E-",IF(P8&lt;'PlayerGrades+'!$AG$17,"E",IF(P8&lt;'PlayerGrades+'!$AG$16,"E+",IF(P8&lt;'PlayerGrades+'!$AG$15,"D-",IF(P8&lt;'PlayerGrades+'!$AG$14,"D",IF(P8&lt;'PlayerGrades+'!$AG$13,"D+",IF(P8&lt;'PlayerGrades+'!$AG$12,"C-",IF(P8&lt;'PlayerGrades+'!$AG$11,"C",IF(P8&lt;'PlayerGrades+'!$AG$10,"C+",IF(P8&lt;'PlayerGrades+'!$AG$9,"B-",IF(P8&lt;'PlayerGrades+'!$AG$8,"B",IF(P8&lt;'PlayerGrades+'!$AG$7,"B+",IF(P8&lt;'PlayerGrades+'!$AG$6,"A-",IF(P8&lt;'PlayerGrades+'!$AG$5,"A",IF(P8&lt;'PlayerGrades+'!$AG$4,"A+",IF(P8&lt;'PlayerGrades+'!$AG$3,"S-",IF(P8&lt;'PlayerGrades+'!$AG$2,"S","S+"))))))))))))))))))))</f>
        <v>E-</v>
      </c>
      <c r="R8" s="961">
        <f t="shared" si="8"/>
        <v>0.07100591716</v>
      </c>
      <c r="S8" s="961" t="str">
        <f>IF(R8&lt;'PlayerGrades+'!$AH$21,"F-",IF(R8&lt;'PlayerGrades+'!$AH$20,"F",IF(R8&lt;'PlayerGrades+'!$AH$19,"F+",IF(R8&lt;'PlayerGrades+'!$AH$18,"E-",IF(R8&lt;'PlayerGrades+'!$AH$17,"E",IF(R8&lt;'PlayerGrades+'!$AH$16,"E+",IF(R8&lt;'PlayerGrades+'!$AH$15,"D-",IF(R8&lt;'PlayerGrades+'!$AH$14,"D",IF(R8&lt;'PlayerGrades+'!$AH$13,"D+",IF(R8&lt;'PlayerGrades+'!$AH$12,"C-",IF(R8&lt;'PlayerGrades+'!$AH$11,"C",IF(R8&lt;'PlayerGrades+'!$AH$10,"C+",IF(R8&lt;'PlayerGrades+'!$AH$9,"B-",IF(R8&lt;'PlayerGrades+'!$AH$8,"B",IF(R8&lt;'PlayerGrades+'!$AH$7,"B+",IF(R8&lt;'PlayerGrades+'!$AH$6,"A-",IF(R8&lt;'PlayerGrades+'!$AH$5,"A",IF(R8&lt;'PlayerGrades+'!$AH$4,"A+",IF(R8&lt;'PlayerGrades+'!$AH$3,"S-",IF(R8&lt;'PlayerGrades+'!$AH$2,"S","S+"))))))))))))))))))))</f>
        <v>B</v>
      </c>
      <c r="T8" s="961">
        <f t="shared" si="9"/>
        <v>2.556213018</v>
      </c>
      <c r="U8" s="961" t="str">
        <f>IF(T8&lt;'PlayerGrades+'!$AI$21,"F-",IF(T8&lt;'PlayerGrades+'!$AI$20,"F",IF(T8&lt;'PlayerGrades+'!$AI$19,"F+",IF(T8&lt;'PlayerGrades+'!$AI$18,"E-",IF(T8&lt;'PlayerGrades+'!$AI$17,"E",IF(T8&lt;'PlayerGrades+'!$AI$16,"E+",IF(T8&lt;'PlayerGrades+'!$AI$15,"D-",IF(T8&lt;'PlayerGrades+'!$AI$14,"D",IF(T8&lt;'PlayerGrades+'!$AI$13,"D+",IF(T8&lt;'PlayerGrades+'!$AI$12,"C-",IF(T8&lt;'PlayerGrades+'!$AI$11,"C",IF(T8&lt;'PlayerGrades+'!$AI$10,"C+",IF(T8&lt;'PlayerGrades+'!$AI$9,"B-",IF(T8&lt;'PlayerGrades+'!$AI$8,"B",IF(T8&lt;'PlayerGrades+'!$AI$7,"B+",IF(T8&lt;'PlayerGrades+'!$AI$6,"A-",IF(T8&lt;'PlayerGrades+'!$AI$5,"A",IF(T8&lt;'PlayerGrades+'!$AI$4,"A+",IF(T8&lt;'PlayerGrades+'!$AI$3,"S-",IF(T8&lt;'PlayerGrades+'!$AI$2,"S","S+"))))))))))))))))))))</f>
        <v>D-</v>
      </c>
      <c r="V8" s="1017">
        <v>0.0</v>
      </c>
      <c r="W8" s="1017">
        <v>1.0</v>
      </c>
      <c r="X8" s="1017">
        <v>0.0</v>
      </c>
      <c r="Y8" s="1017">
        <v>5.0</v>
      </c>
      <c r="Z8" s="1017">
        <v>36.0</v>
      </c>
      <c r="AA8" s="1017">
        <v>51.0</v>
      </c>
      <c r="AB8" s="1017">
        <f t="shared" si="10"/>
        <v>-15</v>
      </c>
      <c r="AC8" s="1020">
        <f t="shared" si="11"/>
        <v>0.7058823529</v>
      </c>
      <c r="AD8" s="1022">
        <v>0.0</v>
      </c>
      <c r="AE8" s="1023">
        <v>845.0</v>
      </c>
      <c r="AF8" s="1022">
        <v>0.0</v>
      </c>
      <c r="AG8" s="1022">
        <v>0.0</v>
      </c>
      <c r="AH8" s="1022">
        <v>0.0</v>
      </c>
      <c r="AI8" s="1022">
        <v>0.0</v>
      </c>
      <c r="AJ8" s="1022">
        <v>0.0</v>
      </c>
      <c r="AK8" s="1022">
        <v>5.0</v>
      </c>
      <c r="AL8" s="1022">
        <v>1.0</v>
      </c>
      <c r="AM8" s="1022">
        <v>0.0</v>
      </c>
      <c r="AN8" s="1022">
        <v>0.0</v>
      </c>
      <c r="AO8" s="1022">
        <v>0.0</v>
      </c>
      <c r="AP8" s="1022">
        <v>0.0</v>
      </c>
      <c r="AQ8" s="1022">
        <v>0.0</v>
      </c>
      <c r="AR8" s="1022">
        <v>0.0</v>
      </c>
      <c r="AS8" s="1022">
        <v>0.0</v>
      </c>
      <c r="AT8" s="1022">
        <v>0.0</v>
      </c>
      <c r="AU8" s="1022">
        <v>7.0</v>
      </c>
      <c r="AV8" s="1022">
        <v>0.0</v>
      </c>
      <c r="AW8" s="1022">
        <v>1.0</v>
      </c>
      <c r="AX8" s="1022">
        <v>0.0</v>
      </c>
      <c r="AY8" s="1022">
        <v>0.0</v>
      </c>
      <c r="AZ8" s="1027">
        <v>0.0</v>
      </c>
    </row>
    <row r="9">
      <c r="A9" s="938" t="s">
        <v>187</v>
      </c>
      <c r="B9" s="1100" t="str">
        <f>IF(C9&lt;'PlayerGrades+'!$Y$44,"F-",IF(C9&lt;'PlayerGrades+'!$Y$43,"F",IF(C9&lt;'PlayerGrades+'!$Y$42,"F+",IF(C9&lt;'PlayerGrades+'!$Y$41,"E-",IF(C9&lt;'PlayerGrades+'!$Y$40,"E",IF(C9&lt;'PlayerGrades+'!$Y$39,"E+",IF(C9&lt;'PlayerGrades+'!$Y$38,"D-",IF(C9&lt;'PlayerGrades+'!$Y$37,"D",IF(C9&lt;'PlayerGrades+'!$Y$36,"D+",IF(C9&lt;'PlayerGrades+'!$Y$35,"C-",IF(C9&lt;'PlayerGrades+'!$Y$34,"C",IF(C9&lt;'PlayerGrades+'!$Y$33,"C+",IF(C9&lt;'PlayerGrades+'!$Y$32,"B-",IF(C9&lt;'PlayerGrades+'!$Y$31,"B",IF(C9&lt;'PlayerGrades+'!$Y$30,"B+",IF(C9&lt;'PlayerGrades+'!$Y$29,"A-",IF(C9&lt;'PlayerGrades+'!$Y$28,"A",IF(C9&lt;'PlayerGrades+'!$Y$27,"A+",IF(C9&lt;'PlayerGrades+'!$Y$26,"S-",IF(C9&lt;'PlayerGrades+'!$Y$25,"S","S+"))))))))))))))))))))</f>
        <v>E+</v>
      </c>
      <c r="C9" s="1105">
        <f>('PlayerGrades+'!$Y$47*(VLOOKUP(E9, 'PlayerGrades+'!$X$3:$Y$23, 2, FALSE)))+('PlayerGrades+'!$Y$48*(VLOOKUP(G9, 'PlayerGrades+'!$X$3:$Y$23, 2, FALSE)))+('PlayerGrades+'!$Y$49*(VLOOKUP(I9, 'PlayerGrades+'!$X$3:$Y$23, 2, FALSE)))+('PlayerGrades+'!$Y$50*(VLOOKUP(K9, 'PlayerGrades+'!$X$3:$Y$23, 2, FALSE)))+('PlayerGrades+'!$Y$51*(VLOOKUP(M9, 'PlayerGrades+'!$X$3:$Y$23, 2, FALSE)))+('PlayerGrades+'!$Y$52*(VLOOKUP(O9, 'PlayerGrades+'!$X$3:$Y$23, 2, FALSE)))+('PlayerGrades+'!$Y$53*(VLOOKUP(Q9, 'PlayerGrades+'!$X$3:$Y$23, 2, FALSE)))+('PlayerGrades+'!$Y$54*(VLOOKUP(S9, 'PlayerGrades+'!$X$3:$Y$23, 2, FALSE)))+('PlayerGrades+'!$Y$55*(VLOOKUP(U9, 'PlayerGrades+'!$X$3:$Y$23, 2, FALSE)))</f>
        <v>11.4875</v>
      </c>
      <c r="D9" s="1149">
        <f t="shared" si="1"/>
        <v>0.07100591716</v>
      </c>
      <c r="E9" s="1149" t="str">
        <f>IF(D9&lt;'PlayerGrades+'!$AA$21,"F-",IF(D9&lt;'PlayerGrades+'!$AA$20,"F",IF(D9&lt;'PlayerGrades+'!$AA$19,"F+",IF(D9&lt;'PlayerGrades+'!$AA$18,"E-",IF(D9&lt;'PlayerGrades+'!$AA$17,"E",IF(D9&lt;'PlayerGrades+'!$AA$16,"E+",IF(D9&lt;'PlayerGrades+'!$AA$15,"D-",IF(D9&lt;'PlayerGrades+'!$AA$14,"D",IF(D9&lt;'PlayerGrades+'!$AA$13,"D+",IF(D9&lt;'PlayerGrades+'!$AA$12,"C-",IF(D9&lt;'PlayerGrades+'!$AA$11,"C",IF(D9&lt;'PlayerGrades+'!$AA$10,"C+",IF(D9&lt;'PlayerGrades+'!$AA$9,"B-",IF(D9&lt;'PlayerGrades+'!$AA$8,"B",IF(D9&lt;'PlayerGrades+'!$AA$7,"B+",IF(D9&lt;'PlayerGrades+'!$AA$6,"A-",IF(D9&lt;'PlayerGrades+'!$AA$5,"A",IF(D9&lt;'PlayerGrades+'!$AA$4,"A+",IF(D9&lt;'PlayerGrades+'!$AA$3,"S-",IF(D9&lt;'PlayerGrades+'!$AA$2,"S","S+"))))))))))))))))))))</f>
        <v>A-</v>
      </c>
      <c r="F9" s="1149">
        <f t="shared" si="2"/>
        <v>0.03363438181</v>
      </c>
      <c r="G9" s="1149" t="str">
        <f>IF(F9&lt;'PlayerGrades+'!$AB$21,"F-",IF(F9&lt;'PlayerGrades+'!$AB$20,"F",IF(F9&lt;'PlayerGrades+'!$AB$19,"F+",IF(F9&lt;'PlayerGrades+'!$AB$18,"E-",IF(F9&lt;'PlayerGrades+'!$AB$17,"E",IF(F9&lt;'PlayerGrades+'!$AB$16,"E+",IF(F9&lt;'PlayerGrades+'!$AB$15,"D-",IF(F9&lt;'PlayerGrades+'!$AB$14,"D",IF(F9&lt;'PlayerGrades+'!$AB$13,"D+",IF(F9&lt;'PlayerGrades+'!$AB$12,"C-",IF(F9&lt;'PlayerGrades+'!$AB$11,"C",IF(F9&lt;'PlayerGrades+'!$AB$10,"C+",IF(F9&lt;'PlayerGrades+'!$AB$9,"B-",IF(F9&lt;'PlayerGrades+'!$AB$8,"B",IF(F9&lt;'PlayerGrades+'!$AB$7,"B+",IF(F9&lt;'PlayerGrades+'!$AB$6,"A-",IF(F9&lt;'PlayerGrades+'!$AB$5,"A",IF(F9&lt;'PlayerGrades+'!$AB$4,"A+",IF(F9&lt;'PlayerGrades+'!$AB$3,"S-",IF(F9&lt;'PlayerGrades+'!$AB$2,"S","S+"))))))))))))))))))))</f>
        <v>A</v>
      </c>
      <c r="H9" s="1149">
        <f t="shared" si="3"/>
        <v>0.2130177515</v>
      </c>
      <c r="I9" s="1149" t="str">
        <f>IF(H9&lt;'PlayerGrades+'!$AC$21,"F-",IF(H9&lt;'PlayerGrades+'!$AC$20,"F",IF(H9&lt;'PlayerGrades+'!$AC$19,"F+",IF(H9&lt;'PlayerGrades+'!$AC$18,"E-",IF(H9&lt;'PlayerGrades+'!$AC$17,"E",IF(H9&lt;'PlayerGrades+'!$AC$16,"E+",IF(H9&lt;'PlayerGrades+'!$AC$15,"D-",IF(H9&lt;'PlayerGrades+'!$AC$14,"D",IF(H9&lt;'PlayerGrades+'!$AC$13,"D+",IF(H9&lt;'PlayerGrades+'!$AC$12,"C-",IF(H9&lt;'PlayerGrades+'!$AC$11,"C",IF(H9&lt;'PlayerGrades+'!$AC$10,"C+",IF(H9&lt;'PlayerGrades+'!$AC$9,"B-",IF(H9&lt;'PlayerGrades+'!$AC$8,"B",IF(H9&lt;'PlayerGrades+'!$AC$7,"B+",IF(H9&lt;'PlayerGrades+'!$AC$6,"A-",IF(H9&lt;'PlayerGrades+'!$AC$5,"A",IF(H9&lt;'PlayerGrades+'!$AC$4,"A+",IF(H9&lt;'PlayerGrades+'!$AC$3,"S-",IF(H9&lt;'PlayerGrades+'!$AC$2,"S","S+"))))))))))))))))))))</f>
        <v>F</v>
      </c>
      <c r="J9" s="1149">
        <f t="shared" si="4"/>
        <v>0</v>
      </c>
      <c r="K9" s="1149" t="str">
        <f>IF(J9&lt;'PlayerGrades+'!$AD$21,"F-",IF(J9&lt;'PlayerGrades+'!$AD$20,"F",IF(J9&lt;'PlayerGrades+'!$AD$19,"F+",IF(J9&lt;'PlayerGrades+'!$AD$18,"E-",IF(J9&lt;'PlayerGrades+'!$AD$17,"E",IF(J9&lt;'PlayerGrades+'!$AD$16,"E+",IF(J9&lt;'PlayerGrades+'!$AD$15,"D-",IF(J9&lt;'PlayerGrades+'!$AD$14,"D",IF(J9&lt;'PlayerGrades+'!$AD$13,"D+",IF(J9&lt;'PlayerGrades+'!$AD$12,"C-",IF(J9&lt;'PlayerGrades+'!$AD$11,"C",IF(J9&lt;'PlayerGrades+'!$AD$10,"C+",IF(J9&lt;'PlayerGrades+'!$AD$9,"B-",IF(J9&lt;'PlayerGrades+'!$AD$8,"B",IF(J9&lt;'PlayerGrades+'!$AD$7,"B+",IF(J9&lt;'PlayerGrades+'!$AD$6,"A-",IF(J9&lt;'PlayerGrades+'!$AD$5,"A",IF(J9&lt;'PlayerGrades+'!$AD$4,"A+",IF(J9&lt;'PlayerGrades+'!$AD$3,"S-",IF(J9&lt;'PlayerGrades+'!$AD$2,"S","S+"))))))))))))))))))))</f>
        <v>F-</v>
      </c>
      <c r="L9" s="1156">
        <f t="shared" si="5"/>
        <v>0.1420118343</v>
      </c>
      <c r="M9" s="1156" t="str">
        <f>IF(L9&lt;'PlayerGrades+'!$AE$21,"F-",IF(L9&lt;'PlayerGrades+'!$AE$20,"F",IF(L9&lt;'PlayerGrades+'!$AE$19,"F+",IF(L9&lt;'PlayerGrades+'!$AE$18,"E-",IF(L9&lt;'PlayerGrades+'!$AE$17,"E",IF(L9&lt;'PlayerGrades+'!$AE$16,"E+",IF(L9&lt;'PlayerGrades+'!$AE$15,"D-",IF(L9&lt;'PlayerGrades+'!$AE$14,"D",IF(L9&lt;'PlayerGrades+'!$AE$13,"D+",IF(L9&lt;'PlayerGrades+'!$AE$12,"C-",IF(L9&lt;'PlayerGrades+'!$AE$11,"C",IF(L9&lt;'PlayerGrades+'!$AE$10,"C+",IF(L9&lt;'PlayerGrades+'!$AE$9,"B-",IF(L9&lt;'PlayerGrades+'!$AE$8,"B",IF(L9&lt;'PlayerGrades+'!$AE$7,"B+",IF(L9&lt;'PlayerGrades+'!$AE$6,"A-",IF(L9&lt;'PlayerGrades+'!$AE$5,"A",IF(L9&lt;'PlayerGrades+'!$AE$4,"A+",IF(L9&lt;'PlayerGrades+'!$AE$3,"S-",IF(L9&lt;'PlayerGrades+'!$AE$2,"S","S+"))))))))))))))))))))</f>
        <v>F-</v>
      </c>
      <c r="N9" s="1149">
        <f t="shared" si="6"/>
        <v>0</v>
      </c>
      <c r="O9" s="1149" t="str">
        <f>IF(N9&lt;'PlayerGrades+'!$AF$21,"F-",IF(N9&lt;'PlayerGrades+'!$AF$20,"F",IF(N9&lt;'PlayerGrades+'!$AF$19,"F+",IF(N9&lt;'PlayerGrades+'!$AF$18,"E-",IF(N9&lt;'PlayerGrades+'!$AF$17,"E",IF(N9&lt;'PlayerGrades+'!$AF$16,"E+",IF(N9&lt;'PlayerGrades+'!$AF$15,"D-",IF(N9&lt;'PlayerGrades+'!$AF$14,"D",IF(N9&lt;'PlayerGrades+'!$AF$13,"D+",IF(N9&lt;'PlayerGrades+'!$AF$12,"C-",IF(N9&lt;'PlayerGrades+'!$AF$11,"C",IF(N9&lt;'PlayerGrades+'!$AF$10,"C+",IF(N9&lt;'PlayerGrades+'!$AF$9,"B-",IF(N9&lt;'PlayerGrades+'!$AF$8,"B",IF(N9&lt;'PlayerGrades+'!$AF$7,"B+",IF(N9&lt;'PlayerGrades+'!$AF$6,"A-",IF(N9&lt;'PlayerGrades+'!$AF$5,"A",IF(N9&lt;'PlayerGrades+'!$AF$4,"A+",IF(N9&lt;'PlayerGrades+'!$AF$3,"S-",IF(N9&lt;'PlayerGrades+'!$AF$2,"S","S+"))))))))))))))))))))</f>
        <v>F-</v>
      </c>
      <c r="P9" s="1149">
        <f t="shared" si="7"/>
        <v>0.2130177515</v>
      </c>
      <c r="Q9" s="1149" t="str">
        <f>IF(P9&lt;'PlayerGrades+'!$AG$21,"F-",IF(P9&lt;'PlayerGrades+'!$AG$20,"F",IF(P9&lt;'PlayerGrades+'!$AG$19,"F+",IF(P9&lt;'PlayerGrades+'!$AG$18,"E-",IF(P9&lt;'PlayerGrades+'!$AG$17,"E",IF(P9&lt;'PlayerGrades+'!$AG$16,"E+",IF(P9&lt;'PlayerGrades+'!$AG$15,"D-",IF(P9&lt;'PlayerGrades+'!$AG$14,"D",IF(P9&lt;'PlayerGrades+'!$AG$13,"D+",IF(P9&lt;'PlayerGrades+'!$AG$12,"C-",IF(P9&lt;'PlayerGrades+'!$AG$11,"C",IF(P9&lt;'PlayerGrades+'!$AG$10,"C+",IF(P9&lt;'PlayerGrades+'!$AG$9,"B-",IF(P9&lt;'PlayerGrades+'!$AG$8,"B",IF(P9&lt;'PlayerGrades+'!$AG$7,"B+",IF(P9&lt;'PlayerGrades+'!$AG$6,"A-",IF(P9&lt;'PlayerGrades+'!$AG$5,"A",IF(P9&lt;'PlayerGrades+'!$AG$4,"A+",IF(P9&lt;'PlayerGrades+'!$AG$3,"S-",IF(P9&lt;'PlayerGrades+'!$AG$2,"S","S+"))))))))))))))))))))</f>
        <v>F-</v>
      </c>
      <c r="R9" s="1149">
        <f t="shared" si="8"/>
        <v>0.07100591716</v>
      </c>
      <c r="S9" s="1149" t="str">
        <f>IF(R9&lt;'PlayerGrades+'!$AH$21,"F-",IF(R9&lt;'PlayerGrades+'!$AH$20,"F",IF(R9&lt;'PlayerGrades+'!$AH$19,"F+",IF(R9&lt;'PlayerGrades+'!$AH$18,"E-",IF(R9&lt;'PlayerGrades+'!$AH$17,"E",IF(R9&lt;'PlayerGrades+'!$AH$16,"E+",IF(R9&lt;'PlayerGrades+'!$AH$15,"D-",IF(R9&lt;'PlayerGrades+'!$AH$14,"D",IF(R9&lt;'PlayerGrades+'!$AH$13,"D+",IF(R9&lt;'PlayerGrades+'!$AH$12,"C-",IF(R9&lt;'PlayerGrades+'!$AH$11,"C",IF(R9&lt;'PlayerGrades+'!$AH$10,"C+",IF(R9&lt;'PlayerGrades+'!$AH$9,"B-",IF(R9&lt;'PlayerGrades+'!$AH$8,"B",IF(R9&lt;'PlayerGrades+'!$AH$7,"B+",IF(R9&lt;'PlayerGrades+'!$AH$6,"A-",IF(R9&lt;'PlayerGrades+'!$AH$5,"A",IF(R9&lt;'PlayerGrades+'!$AH$4,"A+",IF(R9&lt;'PlayerGrades+'!$AH$3,"S-",IF(R9&lt;'PlayerGrades+'!$AH$2,"S","S+"))))))))))))))))))))</f>
        <v>B</v>
      </c>
      <c r="T9" s="1149">
        <f t="shared" si="9"/>
        <v>1.278106509</v>
      </c>
      <c r="U9" s="1149" t="str">
        <f>IF(T9&lt;'PlayerGrades+'!$AI$21,"F-",IF(T9&lt;'PlayerGrades+'!$AI$20,"F",IF(T9&lt;'PlayerGrades+'!$AI$19,"F+",IF(T9&lt;'PlayerGrades+'!$AI$18,"E-",IF(T9&lt;'PlayerGrades+'!$AI$17,"E",IF(T9&lt;'PlayerGrades+'!$AI$16,"E+",IF(T9&lt;'PlayerGrades+'!$AI$15,"D-",IF(T9&lt;'PlayerGrades+'!$AI$14,"D",IF(T9&lt;'PlayerGrades+'!$AI$13,"D+",IF(T9&lt;'PlayerGrades+'!$AI$12,"C-",IF(T9&lt;'PlayerGrades+'!$AI$11,"C",IF(T9&lt;'PlayerGrades+'!$AI$10,"C+",IF(T9&lt;'PlayerGrades+'!$AI$9,"B-",IF(T9&lt;'PlayerGrades+'!$AI$8,"B",IF(T9&lt;'PlayerGrades+'!$AI$7,"B+",IF(T9&lt;'PlayerGrades+'!$AI$6,"A-",IF(T9&lt;'PlayerGrades+'!$AI$5,"A",IF(T9&lt;'PlayerGrades+'!$AI$4,"A+",IF(T9&lt;'PlayerGrades+'!$AI$3,"S-",IF(T9&lt;'PlayerGrades+'!$AI$2,"S","S+"))))))))))))))))))))</f>
        <v>F-</v>
      </c>
      <c r="V9" s="1017">
        <v>0.0</v>
      </c>
      <c r="W9" s="1017">
        <v>1.0</v>
      </c>
      <c r="X9" s="1017">
        <v>1.0</v>
      </c>
      <c r="Y9" s="1017">
        <v>0.0</v>
      </c>
      <c r="Z9" s="1017">
        <v>18.0</v>
      </c>
      <c r="AA9" s="1017">
        <v>38.0</v>
      </c>
      <c r="AB9" s="1017">
        <f t="shared" si="10"/>
        <v>-20</v>
      </c>
      <c r="AC9" s="1020">
        <f t="shared" si="11"/>
        <v>0.4736842105</v>
      </c>
      <c r="AD9" s="1022">
        <v>0.0</v>
      </c>
      <c r="AE9" s="1023">
        <v>845.0</v>
      </c>
      <c r="AF9" s="1022">
        <v>0.0</v>
      </c>
      <c r="AG9" s="1022">
        <v>0.0</v>
      </c>
      <c r="AH9" s="1022">
        <v>0.0</v>
      </c>
      <c r="AI9" s="1022">
        <v>0.0</v>
      </c>
      <c r="AJ9" s="1022">
        <v>1.0</v>
      </c>
      <c r="AK9" s="1022">
        <v>2.0</v>
      </c>
      <c r="AL9" s="1022">
        <v>0.0</v>
      </c>
      <c r="AM9" s="1022">
        <v>0.0</v>
      </c>
      <c r="AN9" s="1022">
        <v>0.0</v>
      </c>
      <c r="AO9" s="1022">
        <v>0.0</v>
      </c>
      <c r="AP9" s="1022">
        <v>0.0</v>
      </c>
      <c r="AQ9" s="1022">
        <v>0.0</v>
      </c>
      <c r="AR9" s="1022">
        <v>0.0</v>
      </c>
      <c r="AS9" s="1022">
        <v>0.0</v>
      </c>
      <c r="AT9" s="1022">
        <v>0.0</v>
      </c>
      <c r="AU9" s="1022">
        <v>3.0</v>
      </c>
      <c r="AV9" s="1022">
        <v>0.0</v>
      </c>
      <c r="AW9" s="1022">
        <v>0.0</v>
      </c>
      <c r="AX9" s="1022">
        <v>0.0</v>
      </c>
      <c r="AY9" s="1022">
        <v>0.0</v>
      </c>
      <c r="AZ9" s="1027">
        <v>1.0</v>
      </c>
    </row>
    <row r="10">
      <c r="A10" s="887" t="s">
        <v>62</v>
      </c>
      <c r="B10" s="1169" t="str">
        <f>IF(C10&lt;'PlayerGrades+'!$Y$44,"F-",IF(C10&lt;'PlayerGrades+'!$Y$43,"F",IF(C10&lt;'PlayerGrades+'!$Y$42,"F+",IF(C10&lt;'PlayerGrades+'!$Y$41,"E-",IF(C10&lt;'PlayerGrades+'!$Y$40,"E",IF(C10&lt;'PlayerGrades+'!$Y$39,"E+",IF(C10&lt;'PlayerGrades+'!$Y$38,"D-",IF(C10&lt;'PlayerGrades+'!$Y$37,"D",IF(C10&lt;'PlayerGrades+'!$Y$36,"D+",IF(C10&lt;'PlayerGrades+'!$Y$35,"C-",IF(C10&lt;'PlayerGrades+'!$Y$34,"C",IF(C10&lt;'PlayerGrades+'!$Y$33,"C+",IF(C10&lt;'PlayerGrades+'!$Y$32,"B-",IF(C10&lt;'PlayerGrades+'!$Y$31,"B",IF(C10&lt;'PlayerGrades+'!$Y$30,"B+",IF(C10&lt;'PlayerGrades+'!$Y$29,"A-",IF(C10&lt;'PlayerGrades+'!$Y$28,"A",IF(C10&lt;'PlayerGrades+'!$Y$27,"A+",IF(C10&lt;'PlayerGrades+'!$Y$26,"S-",IF(C10&lt;'PlayerGrades+'!$Y$25,"S","S+"))))))))))))))))))))</f>
        <v>S-</v>
      </c>
      <c r="C10" s="1170">
        <f>('PlayerGrades+'!$Y$47*(VLOOKUP(E10, 'PlayerGrades+'!$X$3:$Y$23, 2, FALSE)))+('PlayerGrades+'!$Y$48*(VLOOKUP(G10, 'PlayerGrades+'!$X$3:$Y$23, 2, FALSE)))+('PlayerGrades+'!$Y$49*(VLOOKUP(I10, 'PlayerGrades+'!$X$3:$Y$23, 2, FALSE)))+('PlayerGrades+'!$Y$50*(VLOOKUP(K10, 'PlayerGrades+'!$X$3:$Y$23, 2, FALSE)))+('PlayerGrades+'!$Y$51*(VLOOKUP(M10, 'PlayerGrades+'!$X$3:$Y$23, 2, FALSE)))+('PlayerGrades+'!$Y$52*(VLOOKUP(O10, 'PlayerGrades+'!$X$3:$Y$23, 2, FALSE)))+('PlayerGrades+'!$Y$53*(VLOOKUP(Q10, 'PlayerGrades+'!$X$3:$Y$23, 2, FALSE)))+('PlayerGrades+'!$Y$54*(VLOOKUP(S10, 'PlayerGrades+'!$X$3:$Y$23, 2, FALSE)))+('PlayerGrades+'!$Y$55*(VLOOKUP(U10, 'PlayerGrades+'!$X$3:$Y$23, 2, FALSE)))</f>
        <v>25.2375</v>
      </c>
      <c r="D10" s="890">
        <f t="shared" si="1"/>
        <v>0.08053691275</v>
      </c>
      <c r="E10" s="890" t="str">
        <f>IF(D10&lt;'PlayerGrades+'!$AA$21,"F-",IF(D10&lt;'PlayerGrades+'!$AA$20,"F",IF(D10&lt;'PlayerGrades+'!$AA$19,"F+",IF(D10&lt;'PlayerGrades+'!$AA$18,"E-",IF(D10&lt;'PlayerGrades+'!$AA$17,"E",IF(D10&lt;'PlayerGrades+'!$AA$16,"E+",IF(D10&lt;'PlayerGrades+'!$AA$15,"D-",IF(D10&lt;'PlayerGrades+'!$AA$14,"D",IF(D10&lt;'PlayerGrades+'!$AA$13,"D+",IF(D10&lt;'PlayerGrades+'!$AA$12,"C-",IF(D10&lt;'PlayerGrades+'!$AA$11,"C",IF(D10&lt;'PlayerGrades+'!$AA$10,"C+",IF(D10&lt;'PlayerGrades+'!$AA$9,"B-",IF(D10&lt;'PlayerGrades+'!$AA$8,"B",IF(D10&lt;'PlayerGrades+'!$AA$7,"B+",IF(D10&lt;'PlayerGrades+'!$AA$6,"A-",IF(D10&lt;'PlayerGrades+'!$AA$5,"A",IF(D10&lt;'PlayerGrades+'!$AA$4,"A+",IF(D10&lt;'PlayerGrades+'!$AA$3,"S-",IF(D10&lt;'PlayerGrades+'!$AA$2,"S","S+"))))))))))))))))))))</f>
        <v>A</v>
      </c>
      <c r="F10" s="890">
        <f t="shared" si="2"/>
        <v>0.04177852349</v>
      </c>
      <c r="G10" s="890" t="str">
        <f>IF(F10&lt;'PlayerGrades+'!$AB$21,"F-",IF(F10&lt;'PlayerGrades+'!$AB$20,"F",IF(F10&lt;'PlayerGrades+'!$AB$19,"F+",IF(F10&lt;'PlayerGrades+'!$AB$18,"E-",IF(F10&lt;'PlayerGrades+'!$AB$17,"E",IF(F10&lt;'PlayerGrades+'!$AB$16,"E+",IF(F10&lt;'PlayerGrades+'!$AB$15,"D-",IF(F10&lt;'PlayerGrades+'!$AB$14,"D",IF(F10&lt;'PlayerGrades+'!$AB$13,"D+",IF(F10&lt;'PlayerGrades+'!$AB$12,"C-",IF(F10&lt;'PlayerGrades+'!$AB$11,"C",IF(F10&lt;'PlayerGrades+'!$AB$10,"C+",IF(F10&lt;'PlayerGrades+'!$AB$9,"B-",IF(F10&lt;'PlayerGrades+'!$AB$8,"B",IF(F10&lt;'PlayerGrades+'!$AB$7,"B+",IF(F10&lt;'PlayerGrades+'!$AB$6,"A-",IF(F10&lt;'PlayerGrades+'!$AB$5,"A",IF(F10&lt;'PlayerGrades+'!$AB$4,"A+",IF(F10&lt;'PlayerGrades+'!$AB$3,"S-",IF(F10&lt;'PlayerGrades+'!$AB$2,"S","S+"))))))))))))))))))))</f>
        <v>A</v>
      </c>
      <c r="H10" s="890">
        <f t="shared" si="3"/>
        <v>0.644295302</v>
      </c>
      <c r="I10" s="890" t="str">
        <f>IF(H10&lt;'PlayerGrades+'!$AC$21,"F-",IF(H10&lt;'PlayerGrades+'!$AC$20,"F",IF(H10&lt;'PlayerGrades+'!$AC$19,"F+",IF(H10&lt;'PlayerGrades+'!$AC$18,"E-",IF(H10&lt;'PlayerGrades+'!$AC$17,"E",IF(H10&lt;'PlayerGrades+'!$AC$16,"E+",IF(H10&lt;'PlayerGrades+'!$AC$15,"D-",IF(H10&lt;'PlayerGrades+'!$AC$14,"D",IF(H10&lt;'PlayerGrades+'!$AC$13,"D+",IF(H10&lt;'PlayerGrades+'!$AC$12,"C-",IF(H10&lt;'PlayerGrades+'!$AC$11,"C",IF(H10&lt;'PlayerGrades+'!$AC$10,"C+",IF(H10&lt;'PlayerGrades+'!$AC$9,"B-",IF(H10&lt;'PlayerGrades+'!$AC$8,"B",IF(H10&lt;'PlayerGrades+'!$AC$7,"B+",IF(H10&lt;'PlayerGrades+'!$AC$6,"A-",IF(H10&lt;'PlayerGrades+'!$AC$5,"A",IF(H10&lt;'PlayerGrades+'!$AC$4,"A+",IF(H10&lt;'PlayerGrades+'!$AC$3,"S-",IF(H10&lt;'PlayerGrades+'!$AC$2,"S","S+"))))))))))))))))))))</f>
        <v>A</v>
      </c>
      <c r="J10" s="890">
        <f t="shared" si="4"/>
        <v>0.1208053691</v>
      </c>
      <c r="K10" s="890" t="str">
        <f>IF(J10&lt;'PlayerGrades+'!$AD$21,"F-",IF(J10&lt;'PlayerGrades+'!$AD$20,"F",IF(J10&lt;'PlayerGrades+'!$AD$19,"F+",IF(J10&lt;'PlayerGrades+'!$AD$18,"E-",IF(J10&lt;'PlayerGrades+'!$AD$17,"E",IF(J10&lt;'PlayerGrades+'!$AD$16,"E+",IF(J10&lt;'PlayerGrades+'!$AD$15,"D-",IF(J10&lt;'PlayerGrades+'!$AD$14,"D",IF(J10&lt;'PlayerGrades+'!$AD$13,"D+",IF(J10&lt;'PlayerGrades+'!$AD$12,"C-",IF(J10&lt;'PlayerGrades+'!$AD$11,"C",IF(J10&lt;'PlayerGrades+'!$AD$10,"C+",IF(J10&lt;'PlayerGrades+'!$AD$9,"B-",IF(J10&lt;'PlayerGrades+'!$AD$8,"B",IF(J10&lt;'PlayerGrades+'!$AD$7,"B+",IF(J10&lt;'PlayerGrades+'!$AD$6,"A-",IF(J10&lt;'PlayerGrades+'!$AD$5,"A",IF(J10&lt;'PlayerGrades+'!$AD$4,"A+",IF(J10&lt;'PlayerGrades+'!$AD$3,"S-",IF(J10&lt;'PlayerGrades+'!$AD$2,"S","S+"))))))))))))))))))))</f>
        <v>S-</v>
      </c>
      <c r="L10" s="899">
        <f t="shared" si="5"/>
        <v>0.5234899329</v>
      </c>
      <c r="M10" s="899" t="str">
        <f>IF(L10&lt;'PlayerGrades+'!$AE$21,"F-",IF(L10&lt;'PlayerGrades+'!$AE$20,"F",IF(L10&lt;'PlayerGrades+'!$AE$19,"F+",IF(L10&lt;'PlayerGrades+'!$AE$18,"E-",IF(L10&lt;'PlayerGrades+'!$AE$17,"E",IF(L10&lt;'PlayerGrades+'!$AE$16,"E+",IF(L10&lt;'PlayerGrades+'!$AE$15,"D-",IF(L10&lt;'PlayerGrades+'!$AE$14,"D",IF(L10&lt;'PlayerGrades+'!$AE$13,"D+",IF(L10&lt;'PlayerGrades+'!$AE$12,"C-",IF(L10&lt;'PlayerGrades+'!$AE$11,"C",IF(L10&lt;'PlayerGrades+'!$AE$10,"C+",IF(L10&lt;'PlayerGrades+'!$AE$9,"B-",IF(L10&lt;'PlayerGrades+'!$AE$8,"B",IF(L10&lt;'PlayerGrades+'!$AE$7,"B+",IF(L10&lt;'PlayerGrades+'!$AE$6,"A-",IF(L10&lt;'PlayerGrades+'!$AE$5,"A",IF(L10&lt;'PlayerGrades+'!$AE$4,"A+",IF(L10&lt;'PlayerGrades+'!$AE$3,"S-",IF(L10&lt;'PlayerGrades+'!$AE$2,"S","S+"))))))))))))))))))))</f>
        <v>B+</v>
      </c>
      <c r="N10" s="890">
        <f t="shared" si="6"/>
        <v>0.2416107383</v>
      </c>
      <c r="O10" s="890" t="str">
        <f>IF(N10&lt;'PlayerGrades+'!$AF$21,"F-",IF(N10&lt;'PlayerGrades+'!$AF$20,"F",IF(N10&lt;'PlayerGrades+'!$AF$19,"F+",IF(N10&lt;'PlayerGrades+'!$AF$18,"E-",IF(N10&lt;'PlayerGrades+'!$AF$17,"E",IF(N10&lt;'PlayerGrades+'!$AF$16,"E+",IF(N10&lt;'PlayerGrades+'!$AF$15,"D-",IF(N10&lt;'PlayerGrades+'!$AF$14,"D",IF(N10&lt;'PlayerGrades+'!$AF$13,"D+",IF(N10&lt;'PlayerGrades+'!$AF$12,"C-",IF(N10&lt;'PlayerGrades+'!$AF$11,"C",IF(N10&lt;'PlayerGrades+'!$AF$10,"C+",IF(N10&lt;'PlayerGrades+'!$AF$9,"B-",IF(N10&lt;'PlayerGrades+'!$AF$8,"B",IF(N10&lt;'PlayerGrades+'!$AF$7,"B+",IF(N10&lt;'PlayerGrades+'!$AF$6,"A-",IF(N10&lt;'PlayerGrades+'!$AF$5,"A",IF(N10&lt;'PlayerGrades+'!$AF$4,"A+",IF(N10&lt;'PlayerGrades+'!$AF$3,"S-",IF(N10&lt;'PlayerGrades+'!$AF$2,"S","S+"))))))))))))))))))))</f>
        <v>S-</v>
      </c>
      <c r="P10" s="890">
        <f t="shared" si="7"/>
        <v>1.006711409</v>
      </c>
      <c r="Q10" s="890" t="str">
        <f>IF(P10&lt;'PlayerGrades+'!$AG$21,"F-",IF(P10&lt;'PlayerGrades+'!$AG$20,"F",IF(P10&lt;'PlayerGrades+'!$AG$19,"F+",IF(P10&lt;'PlayerGrades+'!$AG$18,"E-",IF(P10&lt;'PlayerGrades+'!$AG$17,"E",IF(P10&lt;'PlayerGrades+'!$AG$16,"E+",IF(P10&lt;'PlayerGrades+'!$AG$15,"D-",IF(P10&lt;'PlayerGrades+'!$AG$14,"D",IF(P10&lt;'PlayerGrades+'!$AG$13,"D+",IF(P10&lt;'PlayerGrades+'!$AG$12,"C-",IF(P10&lt;'PlayerGrades+'!$AG$11,"C",IF(P10&lt;'PlayerGrades+'!$AG$10,"C+",IF(P10&lt;'PlayerGrades+'!$AG$9,"B-",IF(P10&lt;'PlayerGrades+'!$AG$8,"B",IF(P10&lt;'PlayerGrades+'!$AG$7,"B+",IF(P10&lt;'PlayerGrades+'!$AG$6,"A-",IF(P10&lt;'PlayerGrades+'!$AG$5,"A",IF(P10&lt;'PlayerGrades+'!$AG$4,"A+",IF(P10&lt;'PlayerGrades+'!$AG$3,"S-",IF(P10&lt;'PlayerGrades+'!$AG$2,"S","S+"))))))))))))))))))))</f>
        <v>A+</v>
      </c>
      <c r="R10" s="890">
        <f t="shared" si="8"/>
        <v>0.1208053691</v>
      </c>
      <c r="S10" s="890" t="str">
        <f>IF(R10&lt;'PlayerGrades+'!$AH$21,"F-",IF(R10&lt;'PlayerGrades+'!$AH$20,"F",IF(R10&lt;'PlayerGrades+'!$AH$19,"F+",IF(R10&lt;'PlayerGrades+'!$AH$18,"E-",IF(R10&lt;'PlayerGrades+'!$AH$17,"E",IF(R10&lt;'PlayerGrades+'!$AH$16,"E+",IF(R10&lt;'PlayerGrades+'!$AH$15,"D-",IF(R10&lt;'PlayerGrades+'!$AH$14,"D",IF(R10&lt;'PlayerGrades+'!$AH$13,"D+",IF(R10&lt;'PlayerGrades+'!$AH$12,"C-",IF(R10&lt;'PlayerGrades+'!$AH$11,"C",IF(R10&lt;'PlayerGrades+'!$AH$10,"C+",IF(R10&lt;'PlayerGrades+'!$AH$9,"B-",IF(R10&lt;'PlayerGrades+'!$AH$8,"B",IF(R10&lt;'PlayerGrades+'!$AH$7,"B+",IF(R10&lt;'PlayerGrades+'!$AH$6,"A-",IF(R10&lt;'PlayerGrades+'!$AH$5,"A",IF(R10&lt;'PlayerGrades+'!$AH$4,"A+",IF(R10&lt;'PlayerGrades+'!$AH$3,"S-",IF(R10&lt;'PlayerGrades+'!$AH$2,"S","S+"))))))))))))))))))))</f>
        <v>S</v>
      </c>
      <c r="T10" s="890">
        <f t="shared" si="9"/>
        <v>3.342281879</v>
      </c>
      <c r="U10" s="890" t="str">
        <f>IF(T10&lt;'PlayerGrades+'!$AI$21,"F-",IF(T10&lt;'PlayerGrades+'!$AI$20,"F",IF(T10&lt;'PlayerGrades+'!$AI$19,"F+",IF(T10&lt;'PlayerGrades+'!$AI$18,"E-",IF(T10&lt;'PlayerGrades+'!$AI$17,"E",IF(T10&lt;'PlayerGrades+'!$AI$16,"E+",IF(T10&lt;'PlayerGrades+'!$AI$15,"D-",IF(T10&lt;'PlayerGrades+'!$AI$14,"D",IF(T10&lt;'PlayerGrades+'!$AI$13,"D+",IF(T10&lt;'PlayerGrades+'!$AI$12,"C-",IF(T10&lt;'PlayerGrades+'!$AI$11,"C",IF(T10&lt;'PlayerGrades+'!$AI$10,"C+",IF(T10&lt;'PlayerGrades+'!$AI$9,"B-",IF(T10&lt;'PlayerGrades+'!$AI$8,"B",IF(T10&lt;'PlayerGrades+'!$AI$7,"B+",IF(T10&lt;'PlayerGrades+'!$AI$6,"A-",IF(T10&lt;'PlayerGrades+'!$AI$5,"A",IF(T10&lt;'PlayerGrades+'!$AI$4,"A+",IF(T10&lt;'PlayerGrades+'!$AI$3,"S-",IF(T10&lt;'PlayerGrades+'!$AI$2,"S","S+"))))))))))))))))))))</f>
        <v>A+</v>
      </c>
      <c r="V10" s="925">
        <v>1.0</v>
      </c>
      <c r="W10" s="925">
        <v>0.0</v>
      </c>
      <c r="X10" s="925">
        <v>2.0</v>
      </c>
      <c r="Y10" s="925">
        <v>6.0</v>
      </c>
      <c r="Z10" s="925">
        <v>83.0</v>
      </c>
      <c r="AA10" s="925">
        <v>80.0</v>
      </c>
      <c r="AB10" s="925">
        <f t="shared" si="10"/>
        <v>3</v>
      </c>
      <c r="AC10" s="930">
        <f t="shared" si="11"/>
        <v>1.0375</v>
      </c>
      <c r="AD10" s="931">
        <v>0.0</v>
      </c>
      <c r="AE10" s="932">
        <v>1490.0</v>
      </c>
      <c r="AF10" s="931">
        <v>3.0</v>
      </c>
      <c r="AG10" s="931">
        <v>0.0</v>
      </c>
      <c r="AH10" s="931">
        <v>0.0</v>
      </c>
      <c r="AI10" s="931">
        <v>0.0</v>
      </c>
      <c r="AJ10" s="931">
        <v>2.0</v>
      </c>
      <c r="AK10" s="931">
        <v>13.0</v>
      </c>
      <c r="AL10" s="931">
        <v>6.0</v>
      </c>
      <c r="AM10" s="931">
        <v>2.0</v>
      </c>
      <c r="AN10" s="931">
        <v>1.0</v>
      </c>
      <c r="AO10" s="931">
        <v>1.0</v>
      </c>
      <c r="AP10" s="931">
        <v>0.0</v>
      </c>
      <c r="AQ10" s="931">
        <v>0.0</v>
      </c>
      <c r="AR10" s="931">
        <v>0.0</v>
      </c>
      <c r="AS10" s="931">
        <v>0.0</v>
      </c>
      <c r="AT10" s="931">
        <v>1.0</v>
      </c>
      <c r="AU10" s="931">
        <v>16.0</v>
      </c>
      <c r="AV10" s="931">
        <v>0.0</v>
      </c>
      <c r="AW10" s="931">
        <v>1.0</v>
      </c>
      <c r="AX10" s="931">
        <v>0.0</v>
      </c>
      <c r="AY10" s="931">
        <v>2.0</v>
      </c>
      <c r="AZ10" s="936">
        <v>0.0</v>
      </c>
    </row>
    <row r="11">
      <c r="A11" s="938" t="s">
        <v>106</v>
      </c>
      <c r="B11" s="1100" t="str">
        <f>IF(C11&lt;'PlayerGrades+'!$Y$44,"F-",IF(C11&lt;'PlayerGrades+'!$Y$43,"F",IF(C11&lt;'PlayerGrades+'!$Y$42,"F+",IF(C11&lt;'PlayerGrades+'!$Y$41,"E-",IF(C11&lt;'PlayerGrades+'!$Y$40,"E",IF(C11&lt;'PlayerGrades+'!$Y$39,"E+",IF(C11&lt;'PlayerGrades+'!$Y$38,"D-",IF(C11&lt;'PlayerGrades+'!$Y$37,"D",IF(C11&lt;'PlayerGrades+'!$Y$36,"D+",IF(C11&lt;'PlayerGrades+'!$Y$35,"C-",IF(C11&lt;'PlayerGrades+'!$Y$34,"C",IF(C11&lt;'PlayerGrades+'!$Y$33,"C+",IF(C11&lt;'PlayerGrades+'!$Y$32,"B-",IF(C11&lt;'PlayerGrades+'!$Y$31,"B",IF(C11&lt;'PlayerGrades+'!$Y$30,"B+",IF(C11&lt;'PlayerGrades+'!$Y$29,"A-",IF(C11&lt;'PlayerGrades+'!$Y$28,"A",IF(C11&lt;'PlayerGrades+'!$Y$27,"A+",IF(C11&lt;'PlayerGrades+'!$Y$26,"S-",IF(C11&lt;'PlayerGrades+'!$Y$25,"S","S+"))))))))))))))))))))</f>
        <v>B</v>
      </c>
      <c r="C11" s="1105">
        <f>('PlayerGrades+'!$Y$47*(VLOOKUP(E11, 'PlayerGrades+'!$X$3:$Y$23, 2, FALSE)))+('PlayerGrades+'!$Y$48*(VLOOKUP(G11, 'PlayerGrades+'!$X$3:$Y$23, 2, FALSE)))+('PlayerGrades+'!$Y$49*(VLOOKUP(I11, 'PlayerGrades+'!$X$3:$Y$23, 2, FALSE)))+('PlayerGrades+'!$Y$50*(VLOOKUP(K11, 'PlayerGrades+'!$X$3:$Y$23, 2, FALSE)))+('PlayerGrades+'!$Y$51*(VLOOKUP(M11, 'PlayerGrades+'!$X$3:$Y$23, 2, FALSE)))+('PlayerGrades+'!$Y$52*(VLOOKUP(O11, 'PlayerGrades+'!$X$3:$Y$23, 2, FALSE)))+('PlayerGrades+'!$Y$53*(VLOOKUP(Q11, 'PlayerGrades+'!$X$3:$Y$23, 2, FALSE)))+('PlayerGrades+'!$Y$54*(VLOOKUP(S11, 'PlayerGrades+'!$X$3:$Y$23, 2, FALSE)))+('PlayerGrades+'!$Y$55*(VLOOKUP(U11, 'PlayerGrades+'!$X$3:$Y$23, 2, FALSE)))</f>
        <v>18.975</v>
      </c>
      <c r="D11" s="961">
        <f t="shared" si="1"/>
        <v>0</v>
      </c>
      <c r="E11" s="961" t="str">
        <f>IF(D11&lt;'PlayerGrades+'!$AA$21,"F-",IF(D11&lt;'PlayerGrades+'!$AA$20,"F",IF(D11&lt;'PlayerGrades+'!$AA$19,"F+",IF(D11&lt;'PlayerGrades+'!$AA$18,"E-",IF(D11&lt;'PlayerGrades+'!$AA$17,"E",IF(D11&lt;'PlayerGrades+'!$AA$16,"E+",IF(D11&lt;'PlayerGrades+'!$AA$15,"D-",IF(D11&lt;'PlayerGrades+'!$AA$14,"D",IF(D11&lt;'PlayerGrades+'!$AA$13,"D+",IF(D11&lt;'PlayerGrades+'!$AA$12,"C-",IF(D11&lt;'PlayerGrades+'!$AA$11,"C",IF(D11&lt;'PlayerGrades+'!$AA$10,"C+",IF(D11&lt;'PlayerGrades+'!$AA$9,"B-",IF(D11&lt;'PlayerGrades+'!$AA$8,"B",IF(D11&lt;'PlayerGrades+'!$AA$7,"B+",IF(D11&lt;'PlayerGrades+'!$AA$6,"A-",IF(D11&lt;'PlayerGrades+'!$AA$5,"A",IF(D11&lt;'PlayerGrades+'!$AA$4,"A+",IF(D11&lt;'PlayerGrades+'!$AA$3,"S-",IF(D11&lt;'PlayerGrades+'!$AA$2,"S","S+"))))))))))))))))))))</f>
        <v>F-</v>
      </c>
      <c r="F11" s="961">
        <f t="shared" si="2"/>
        <v>0.03425133071</v>
      </c>
      <c r="G11" s="961" t="str">
        <f>IF(F11&lt;'PlayerGrades+'!$AB$21,"F-",IF(F11&lt;'PlayerGrades+'!$AB$20,"F",IF(F11&lt;'PlayerGrades+'!$AB$19,"F+",IF(F11&lt;'PlayerGrades+'!$AB$18,"E-",IF(F11&lt;'PlayerGrades+'!$AB$17,"E",IF(F11&lt;'PlayerGrades+'!$AB$16,"E+",IF(F11&lt;'PlayerGrades+'!$AB$15,"D-",IF(F11&lt;'PlayerGrades+'!$AB$14,"D",IF(F11&lt;'PlayerGrades+'!$AB$13,"D+",IF(F11&lt;'PlayerGrades+'!$AB$12,"C-",IF(F11&lt;'PlayerGrades+'!$AB$11,"C",IF(F11&lt;'PlayerGrades+'!$AB$10,"C+",IF(F11&lt;'PlayerGrades+'!$AB$9,"B-",IF(F11&lt;'PlayerGrades+'!$AB$8,"B",IF(F11&lt;'PlayerGrades+'!$AB$7,"B+",IF(F11&lt;'PlayerGrades+'!$AB$6,"A-",IF(F11&lt;'PlayerGrades+'!$AB$5,"A",IF(F11&lt;'PlayerGrades+'!$AB$4,"A+",IF(F11&lt;'PlayerGrades+'!$AB$3,"S-",IF(F11&lt;'PlayerGrades+'!$AB$2,"S","S+"))))))))))))))))))))</f>
        <v>A</v>
      </c>
      <c r="H11" s="961">
        <f t="shared" si="3"/>
        <v>0.6845637584</v>
      </c>
      <c r="I11" s="961" t="str">
        <f>IF(H11&lt;'PlayerGrades+'!$AC$21,"F-",IF(H11&lt;'PlayerGrades+'!$AC$20,"F",IF(H11&lt;'PlayerGrades+'!$AC$19,"F+",IF(H11&lt;'PlayerGrades+'!$AC$18,"E-",IF(H11&lt;'PlayerGrades+'!$AC$17,"E",IF(H11&lt;'PlayerGrades+'!$AC$16,"E+",IF(H11&lt;'PlayerGrades+'!$AC$15,"D-",IF(H11&lt;'PlayerGrades+'!$AC$14,"D",IF(H11&lt;'PlayerGrades+'!$AC$13,"D+",IF(H11&lt;'PlayerGrades+'!$AC$12,"C-",IF(H11&lt;'PlayerGrades+'!$AC$11,"C",IF(H11&lt;'PlayerGrades+'!$AC$10,"C+",IF(H11&lt;'PlayerGrades+'!$AC$9,"B-",IF(H11&lt;'PlayerGrades+'!$AC$8,"B",IF(H11&lt;'PlayerGrades+'!$AC$7,"B+",IF(H11&lt;'PlayerGrades+'!$AC$6,"A-",IF(H11&lt;'PlayerGrades+'!$AC$5,"A",IF(H11&lt;'PlayerGrades+'!$AC$4,"A+",IF(H11&lt;'PlayerGrades+'!$AC$3,"S-",IF(H11&lt;'PlayerGrades+'!$AC$2,"S","S+"))))))))))))))))))))</f>
        <v>A+</v>
      </c>
      <c r="J11" s="961">
        <f t="shared" si="4"/>
        <v>0.04026845638</v>
      </c>
      <c r="K11" s="961" t="str">
        <f>IF(J11&lt;'PlayerGrades+'!$AD$21,"F-",IF(J11&lt;'PlayerGrades+'!$AD$20,"F",IF(J11&lt;'PlayerGrades+'!$AD$19,"F+",IF(J11&lt;'PlayerGrades+'!$AD$18,"E-",IF(J11&lt;'PlayerGrades+'!$AD$17,"E",IF(J11&lt;'PlayerGrades+'!$AD$16,"E+",IF(J11&lt;'PlayerGrades+'!$AD$15,"D-",IF(J11&lt;'PlayerGrades+'!$AD$14,"D",IF(J11&lt;'PlayerGrades+'!$AD$13,"D+",IF(J11&lt;'PlayerGrades+'!$AD$12,"C-",IF(J11&lt;'PlayerGrades+'!$AD$11,"C",IF(J11&lt;'PlayerGrades+'!$AD$10,"C+",IF(J11&lt;'PlayerGrades+'!$AD$9,"B-",IF(J11&lt;'PlayerGrades+'!$AD$8,"B",IF(J11&lt;'PlayerGrades+'!$AD$7,"B+",IF(J11&lt;'PlayerGrades+'!$AD$6,"A-",IF(J11&lt;'PlayerGrades+'!$AD$5,"A",IF(J11&lt;'PlayerGrades+'!$AD$4,"A+",IF(J11&lt;'PlayerGrades+'!$AD$3,"S-",IF(J11&lt;'PlayerGrades+'!$AD$2,"S","S+"))))))))))))))))))))</f>
        <v>C</v>
      </c>
      <c r="L11" s="992">
        <f t="shared" si="5"/>
        <v>0.5234899329</v>
      </c>
      <c r="M11" s="992" t="str">
        <f>IF(L11&lt;'PlayerGrades+'!$AE$21,"F-",IF(L11&lt;'PlayerGrades+'!$AE$20,"F",IF(L11&lt;'PlayerGrades+'!$AE$19,"F+",IF(L11&lt;'PlayerGrades+'!$AE$18,"E-",IF(L11&lt;'PlayerGrades+'!$AE$17,"E",IF(L11&lt;'PlayerGrades+'!$AE$16,"E+",IF(L11&lt;'PlayerGrades+'!$AE$15,"D-",IF(L11&lt;'PlayerGrades+'!$AE$14,"D",IF(L11&lt;'PlayerGrades+'!$AE$13,"D+",IF(L11&lt;'PlayerGrades+'!$AE$12,"C-",IF(L11&lt;'PlayerGrades+'!$AE$11,"C",IF(L11&lt;'PlayerGrades+'!$AE$10,"C+",IF(L11&lt;'PlayerGrades+'!$AE$9,"B-",IF(L11&lt;'PlayerGrades+'!$AE$8,"B",IF(L11&lt;'PlayerGrades+'!$AE$7,"B+",IF(L11&lt;'PlayerGrades+'!$AE$6,"A-",IF(L11&lt;'PlayerGrades+'!$AE$5,"A",IF(L11&lt;'PlayerGrades+'!$AE$4,"A+",IF(L11&lt;'PlayerGrades+'!$AE$3,"S-",IF(L11&lt;'PlayerGrades+'!$AE$2,"S","S+"))))))))))))))))))))</f>
        <v>B+</v>
      </c>
      <c r="N11" s="961">
        <f t="shared" si="6"/>
        <v>0.1610738255</v>
      </c>
      <c r="O11" s="961" t="str">
        <f>IF(N11&lt;'PlayerGrades+'!$AF$21,"F-",IF(N11&lt;'PlayerGrades+'!$AF$20,"F",IF(N11&lt;'PlayerGrades+'!$AF$19,"F+",IF(N11&lt;'PlayerGrades+'!$AF$18,"E-",IF(N11&lt;'PlayerGrades+'!$AF$17,"E",IF(N11&lt;'PlayerGrades+'!$AF$16,"E+",IF(N11&lt;'PlayerGrades+'!$AF$15,"D-",IF(N11&lt;'PlayerGrades+'!$AF$14,"D",IF(N11&lt;'PlayerGrades+'!$AF$13,"D+",IF(N11&lt;'PlayerGrades+'!$AF$12,"C-",IF(N11&lt;'PlayerGrades+'!$AF$11,"C",IF(N11&lt;'PlayerGrades+'!$AF$10,"C+",IF(N11&lt;'PlayerGrades+'!$AF$9,"B-",IF(N11&lt;'PlayerGrades+'!$AF$8,"B",IF(N11&lt;'PlayerGrades+'!$AF$7,"B+",IF(N11&lt;'PlayerGrades+'!$AF$6,"A-",IF(N11&lt;'PlayerGrades+'!$AF$5,"A",IF(N11&lt;'PlayerGrades+'!$AF$4,"A+",IF(N11&lt;'PlayerGrades+'!$AF$3,"S-",IF(N11&lt;'PlayerGrades+'!$AF$2,"S","S+"))))))))))))))))))))</f>
        <v>A-</v>
      </c>
      <c r="P11" s="961">
        <f t="shared" si="7"/>
        <v>0.7651006711</v>
      </c>
      <c r="Q11" s="961" t="str">
        <f>IF(P11&lt;'PlayerGrades+'!$AG$21,"F-",IF(P11&lt;'PlayerGrades+'!$AG$20,"F",IF(P11&lt;'PlayerGrades+'!$AG$19,"F+",IF(P11&lt;'PlayerGrades+'!$AG$18,"E-",IF(P11&lt;'PlayerGrades+'!$AG$17,"E",IF(P11&lt;'PlayerGrades+'!$AG$16,"E+",IF(P11&lt;'PlayerGrades+'!$AG$15,"D-",IF(P11&lt;'PlayerGrades+'!$AG$14,"D",IF(P11&lt;'PlayerGrades+'!$AG$13,"D+",IF(P11&lt;'PlayerGrades+'!$AG$12,"C-",IF(P11&lt;'PlayerGrades+'!$AG$11,"C",IF(P11&lt;'PlayerGrades+'!$AG$10,"C+",IF(P11&lt;'PlayerGrades+'!$AG$9,"B-",IF(P11&lt;'PlayerGrades+'!$AG$8,"B",IF(P11&lt;'PlayerGrades+'!$AG$7,"B+",IF(P11&lt;'PlayerGrades+'!$AG$6,"A-",IF(P11&lt;'PlayerGrades+'!$AG$5,"A",IF(P11&lt;'PlayerGrades+'!$AG$4,"A+",IF(P11&lt;'PlayerGrades+'!$AG$3,"S-",IF(P11&lt;'PlayerGrades+'!$AG$2,"S","S+"))))))))))))))))))))</f>
        <v>B+</v>
      </c>
      <c r="R11" s="961">
        <f t="shared" si="8"/>
        <v>0.08053691275</v>
      </c>
      <c r="S11" s="961" t="str">
        <f>IF(R11&lt;'PlayerGrades+'!$AH$21,"F-",IF(R11&lt;'PlayerGrades+'!$AH$20,"F",IF(R11&lt;'PlayerGrades+'!$AH$19,"F+",IF(R11&lt;'PlayerGrades+'!$AH$18,"E-",IF(R11&lt;'PlayerGrades+'!$AH$17,"E",IF(R11&lt;'PlayerGrades+'!$AH$16,"E+",IF(R11&lt;'PlayerGrades+'!$AH$15,"D-",IF(R11&lt;'PlayerGrades+'!$AH$14,"D",IF(R11&lt;'PlayerGrades+'!$AH$13,"D+",IF(R11&lt;'PlayerGrades+'!$AH$12,"C-",IF(R11&lt;'PlayerGrades+'!$AH$11,"C",IF(R11&lt;'PlayerGrades+'!$AH$10,"C+",IF(R11&lt;'PlayerGrades+'!$AH$9,"B-",IF(R11&lt;'PlayerGrades+'!$AH$8,"B",IF(R11&lt;'PlayerGrades+'!$AH$7,"B+",IF(R11&lt;'PlayerGrades+'!$AH$6,"A-",IF(R11&lt;'PlayerGrades+'!$AH$5,"A",IF(R11&lt;'PlayerGrades+'!$AH$4,"A+",IF(R11&lt;'PlayerGrades+'!$AH$3,"S-",IF(R11&lt;'PlayerGrades+'!$AH$2,"S","S+"))))))))))))))))))))</f>
        <v>A</v>
      </c>
      <c r="T11" s="961">
        <f t="shared" si="9"/>
        <v>2.979865772</v>
      </c>
      <c r="U11" s="961" t="str">
        <f>IF(T11&lt;'PlayerGrades+'!$AI$21,"F-",IF(T11&lt;'PlayerGrades+'!$AI$20,"F",IF(T11&lt;'PlayerGrades+'!$AI$19,"F+",IF(T11&lt;'PlayerGrades+'!$AI$18,"E-",IF(T11&lt;'PlayerGrades+'!$AI$17,"E",IF(T11&lt;'PlayerGrades+'!$AI$16,"E+",IF(T11&lt;'PlayerGrades+'!$AI$15,"D-",IF(T11&lt;'PlayerGrades+'!$AI$14,"D",IF(T11&lt;'PlayerGrades+'!$AI$13,"D+",IF(T11&lt;'PlayerGrades+'!$AI$12,"C-",IF(T11&lt;'PlayerGrades+'!$AI$11,"C",IF(T11&lt;'PlayerGrades+'!$AI$10,"C+",IF(T11&lt;'PlayerGrades+'!$AI$9,"B-",IF(T11&lt;'PlayerGrades+'!$AI$8,"B",IF(T11&lt;'PlayerGrades+'!$AI$7,"B+",IF(T11&lt;'PlayerGrades+'!$AI$6,"A-",IF(T11&lt;'PlayerGrades+'!$AI$5,"A",IF(T11&lt;'PlayerGrades+'!$AI$4,"A+",IF(T11&lt;'PlayerGrades+'!$AI$3,"S-",IF(T11&lt;'PlayerGrades+'!$AI$2,"S","S+"))))))))))))))))))))</f>
        <v>B</v>
      </c>
      <c r="V11" s="1017">
        <v>1.0</v>
      </c>
      <c r="W11" s="1017">
        <v>0.0</v>
      </c>
      <c r="X11" s="1017">
        <v>0.0</v>
      </c>
      <c r="Y11" s="1017">
        <v>2.0</v>
      </c>
      <c r="Z11" s="1017">
        <v>74.0</v>
      </c>
      <c r="AA11" s="1017">
        <v>87.0</v>
      </c>
      <c r="AB11" s="1017">
        <f t="shared" si="10"/>
        <v>-13</v>
      </c>
      <c r="AC11" s="1020">
        <f t="shared" si="11"/>
        <v>0.8505747126</v>
      </c>
      <c r="AD11" s="1022">
        <v>0.0</v>
      </c>
      <c r="AE11" s="1023">
        <v>1490.0</v>
      </c>
      <c r="AF11" s="1022">
        <v>1.0</v>
      </c>
      <c r="AG11" s="1022">
        <v>0.0</v>
      </c>
      <c r="AH11" s="1022">
        <v>0.0</v>
      </c>
      <c r="AI11" s="1022">
        <v>0.0</v>
      </c>
      <c r="AJ11" s="1022">
        <v>1.0</v>
      </c>
      <c r="AK11" s="1022">
        <v>13.0</v>
      </c>
      <c r="AL11" s="1022">
        <v>4.0</v>
      </c>
      <c r="AM11" s="1022">
        <v>1.0</v>
      </c>
      <c r="AN11" s="1022">
        <v>0.0</v>
      </c>
      <c r="AO11" s="1022">
        <v>0.0</v>
      </c>
      <c r="AP11" s="1022">
        <v>0.0</v>
      </c>
      <c r="AQ11" s="1022">
        <v>0.0</v>
      </c>
      <c r="AR11" s="1022">
        <v>0.0</v>
      </c>
      <c r="AS11" s="1022">
        <v>0.0</v>
      </c>
      <c r="AT11" s="1022">
        <v>0.0</v>
      </c>
      <c r="AU11" s="1022">
        <v>17.0</v>
      </c>
      <c r="AV11" s="1022">
        <v>0.0</v>
      </c>
      <c r="AW11" s="1022">
        <v>0.0</v>
      </c>
      <c r="AX11" s="1022">
        <v>0.0</v>
      </c>
      <c r="AY11" s="1022">
        <v>2.0</v>
      </c>
      <c r="AZ11" s="1027">
        <v>0.0</v>
      </c>
    </row>
    <row r="12">
      <c r="A12" s="938" t="s">
        <v>41</v>
      </c>
      <c r="B12" s="1100" t="str">
        <f>IF(C12&lt;'PlayerGrades+'!$Y$44,"F-",IF(C12&lt;'PlayerGrades+'!$Y$43,"F",IF(C12&lt;'PlayerGrades+'!$Y$42,"F+",IF(C12&lt;'PlayerGrades+'!$Y$41,"E-",IF(C12&lt;'PlayerGrades+'!$Y$40,"E",IF(C12&lt;'PlayerGrades+'!$Y$39,"E+",IF(C12&lt;'PlayerGrades+'!$Y$38,"D-",IF(C12&lt;'PlayerGrades+'!$Y$37,"D",IF(C12&lt;'PlayerGrades+'!$Y$36,"D+",IF(C12&lt;'PlayerGrades+'!$Y$35,"C-",IF(C12&lt;'PlayerGrades+'!$Y$34,"C",IF(C12&lt;'PlayerGrades+'!$Y$33,"C+",IF(C12&lt;'PlayerGrades+'!$Y$32,"B-",IF(C12&lt;'PlayerGrades+'!$Y$31,"B",IF(C12&lt;'PlayerGrades+'!$Y$30,"B+",IF(C12&lt;'PlayerGrades+'!$Y$29,"A-",IF(C12&lt;'PlayerGrades+'!$Y$28,"A",IF(C12&lt;'PlayerGrades+'!$Y$27,"A+",IF(C12&lt;'PlayerGrades+'!$Y$26,"S-",IF(C12&lt;'PlayerGrades+'!$Y$25,"S","S+"))))))))))))))))))))</f>
        <v>E</v>
      </c>
      <c r="C12" s="1105">
        <f>('PlayerGrades+'!$Y$47*(VLOOKUP(E12, 'PlayerGrades+'!$X$3:$Y$23, 2, FALSE)))+('PlayerGrades+'!$Y$48*(VLOOKUP(G12, 'PlayerGrades+'!$X$3:$Y$23, 2, FALSE)))+('PlayerGrades+'!$Y$49*(VLOOKUP(I12, 'PlayerGrades+'!$X$3:$Y$23, 2, FALSE)))+('PlayerGrades+'!$Y$50*(VLOOKUP(K12, 'PlayerGrades+'!$X$3:$Y$23, 2, FALSE)))+('PlayerGrades+'!$Y$51*(VLOOKUP(M12, 'PlayerGrades+'!$X$3:$Y$23, 2, FALSE)))+('PlayerGrades+'!$Y$52*(VLOOKUP(O12, 'PlayerGrades+'!$X$3:$Y$23, 2, FALSE)))+('PlayerGrades+'!$Y$53*(VLOOKUP(Q12, 'PlayerGrades+'!$X$3:$Y$23, 2, FALSE)))+('PlayerGrades+'!$Y$54*(VLOOKUP(S12, 'PlayerGrades+'!$X$3:$Y$23, 2, FALSE)))+('PlayerGrades+'!$Y$55*(VLOOKUP(U12, 'PlayerGrades+'!$X$3:$Y$23, 2, FALSE)))</f>
        <v>10.625</v>
      </c>
      <c r="D12" s="961">
        <f t="shared" si="1"/>
        <v>0</v>
      </c>
      <c r="E12" s="961" t="str">
        <f>IF(D12&lt;'PlayerGrades+'!$AA$21,"F-",IF(D12&lt;'PlayerGrades+'!$AA$20,"F",IF(D12&lt;'PlayerGrades+'!$AA$19,"F+",IF(D12&lt;'PlayerGrades+'!$AA$18,"E-",IF(D12&lt;'PlayerGrades+'!$AA$17,"E",IF(D12&lt;'PlayerGrades+'!$AA$16,"E+",IF(D12&lt;'PlayerGrades+'!$AA$15,"D-",IF(D12&lt;'PlayerGrades+'!$AA$14,"D",IF(D12&lt;'PlayerGrades+'!$AA$13,"D+",IF(D12&lt;'PlayerGrades+'!$AA$12,"C-",IF(D12&lt;'PlayerGrades+'!$AA$11,"C",IF(D12&lt;'PlayerGrades+'!$AA$10,"C+",IF(D12&lt;'PlayerGrades+'!$AA$9,"B-",IF(D12&lt;'PlayerGrades+'!$AA$8,"B",IF(D12&lt;'PlayerGrades+'!$AA$7,"B+",IF(D12&lt;'PlayerGrades+'!$AA$6,"A-",IF(D12&lt;'PlayerGrades+'!$AA$5,"A",IF(D12&lt;'PlayerGrades+'!$AA$4,"A+",IF(D12&lt;'PlayerGrades+'!$AA$3,"S-",IF(D12&lt;'PlayerGrades+'!$AA$2,"S","S+"))))))))))))))))))))</f>
        <v>F-</v>
      </c>
      <c r="F12" s="961">
        <f t="shared" si="2"/>
        <v>0.03355704698</v>
      </c>
      <c r="G12" s="961" t="str">
        <f>IF(F12&lt;'PlayerGrades+'!$AB$21,"F-",IF(F12&lt;'PlayerGrades+'!$AB$20,"F",IF(F12&lt;'PlayerGrades+'!$AB$19,"F+",IF(F12&lt;'PlayerGrades+'!$AB$18,"E-",IF(F12&lt;'PlayerGrades+'!$AB$17,"E",IF(F12&lt;'PlayerGrades+'!$AB$16,"E+",IF(F12&lt;'PlayerGrades+'!$AB$15,"D-",IF(F12&lt;'PlayerGrades+'!$AB$14,"D",IF(F12&lt;'PlayerGrades+'!$AB$13,"D+",IF(F12&lt;'PlayerGrades+'!$AB$12,"C-",IF(F12&lt;'PlayerGrades+'!$AB$11,"C",IF(F12&lt;'PlayerGrades+'!$AB$10,"C+",IF(F12&lt;'PlayerGrades+'!$AB$9,"B-",IF(F12&lt;'PlayerGrades+'!$AB$8,"B",IF(F12&lt;'PlayerGrades+'!$AB$7,"B+",IF(F12&lt;'PlayerGrades+'!$AB$6,"A-",IF(F12&lt;'PlayerGrades+'!$AB$5,"A",IF(F12&lt;'PlayerGrades+'!$AB$4,"A+",IF(F12&lt;'PlayerGrades+'!$AB$3,"S-",IF(F12&lt;'PlayerGrades+'!$AB$2,"S","S+"))))))))))))))))))))</f>
        <v>A</v>
      </c>
      <c r="H12" s="961">
        <f t="shared" si="3"/>
        <v>0.2416107383</v>
      </c>
      <c r="I12" s="961" t="str">
        <f>IF(H12&lt;'PlayerGrades+'!$AC$21,"F-",IF(H12&lt;'PlayerGrades+'!$AC$20,"F",IF(H12&lt;'PlayerGrades+'!$AC$19,"F+",IF(H12&lt;'PlayerGrades+'!$AC$18,"E-",IF(H12&lt;'PlayerGrades+'!$AC$17,"E",IF(H12&lt;'PlayerGrades+'!$AC$16,"E+",IF(H12&lt;'PlayerGrades+'!$AC$15,"D-",IF(H12&lt;'PlayerGrades+'!$AC$14,"D",IF(H12&lt;'PlayerGrades+'!$AC$13,"D+",IF(H12&lt;'PlayerGrades+'!$AC$12,"C-",IF(H12&lt;'PlayerGrades+'!$AC$11,"C",IF(H12&lt;'PlayerGrades+'!$AC$10,"C+",IF(H12&lt;'PlayerGrades+'!$AC$9,"B-",IF(H12&lt;'PlayerGrades+'!$AC$8,"B",IF(H12&lt;'PlayerGrades+'!$AC$7,"B+",IF(H12&lt;'PlayerGrades+'!$AC$6,"A-",IF(H12&lt;'PlayerGrades+'!$AC$5,"A",IF(H12&lt;'PlayerGrades+'!$AC$4,"A+",IF(H12&lt;'PlayerGrades+'!$AC$3,"S-",IF(H12&lt;'PlayerGrades+'!$AC$2,"S","S+"))))))))))))))))))))</f>
        <v>F+</v>
      </c>
      <c r="J12" s="961">
        <f t="shared" si="4"/>
        <v>0.04026845638</v>
      </c>
      <c r="K12" s="961" t="str">
        <f>IF(J12&lt;'PlayerGrades+'!$AD$21,"F-",IF(J12&lt;'PlayerGrades+'!$AD$20,"F",IF(J12&lt;'PlayerGrades+'!$AD$19,"F+",IF(J12&lt;'PlayerGrades+'!$AD$18,"E-",IF(J12&lt;'PlayerGrades+'!$AD$17,"E",IF(J12&lt;'PlayerGrades+'!$AD$16,"E+",IF(J12&lt;'PlayerGrades+'!$AD$15,"D-",IF(J12&lt;'PlayerGrades+'!$AD$14,"D",IF(J12&lt;'PlayerGrades+'!$AD$13,"D+",IF(J12&lt;'PlayerGrades+'!$AD$12,"C-",IF(J12&lt;'PlayerGrades+'!$AD$11,"C",IF(J12&lt;'PlayerGrades+'!$AD$10,"C+",IF(J12&lt;'PlayerGrades+'!$AD$9,"B-",IF(J12&lt;'PlayerGrades+'!$AD$8,"B",IF(J12&lt;'PlayerGrades+'!$AD$7,"B+",IF(J12&lt;'PlayerGrades+'!$AD$6,"A-",IF(J12&lt;'PlayerGrades+'!$AD$5,"A",IF(J12&lt;'PlayerGrades+'!$AD$4,"A+",IF(J12&lt;'PlayerGrades+'!$AD$3,"S-",IF(J12&lt;'PlayerGrades+'!$AD$2,"S","S+"))))))))))))))))))))</f>
        <v>C</v>
      </c>
      <c r="L12" s="992">
        <f t="shared" si="5"/>
        <v>0.2416107383</v>
      </c>
      <c r="M12" s="992" t="str">
        <f>IF(L12&lt;'PlayerGrades+'!$AE$21,"F-",IF(L12&lt;'PlayerGrades+'!$AE$20,"F",IF(L12&lt;'PlayerGrades+'!$AE$19,"F+",IF(L12&lt;'PlayerGrades+'!$AE$18,"E-",IF(L12&lt;'PlayerGrades+'!$AE$17,"E",IF(L12&lt;'PlayerGrades+'!$AE$16,"E+",IF(L12&lt;'PlayerGrades+'!$AE$15,"D-",IF(L12&lt;'PlayerGrades+'!$AE$14,"D",IF(L12&lt;'PlayerGrades+'!$AE$13,"D+",IF(L12&lt;'PlayerGrades+'!$AE$12,"C-",IF(L12&lt;'PlayerGrades+'!$AE$11,"C",IF(L12&lt;'PlayerGrades+'!$AE$10,"C+",IF(L12&lt;'PlayerGrades+'!$AE$9,"B-",IF(L12&lt;'PlayerGrades+'!$AE$8,"B",IF(L12&lt;'PlayerGrades+'!$AE$7,"B+",IF(L12&lt;'PlayerGrades+'!$AE$6,"A-",IF(L12&lt;'PlayerGrades+'!$AE$5,"A",IF(L12&lt;'PlayerGrades+'!$AE$4,"A+",IF(L12&lt;'PlayerGrades+'!$AE$3,"S-",IF(L12&lt;'PlayerGrades+'!$AE$2,"S","S+"))))))))))))))))))))</f>
        <v>F</v>
      </c>
      <c r="N12" s="961">
        <f t="shared" si="6"/>
        <v>0.08053691275</v>
      </c>
      <c r="O12" s="961" t="str">
        <f>IF(N12&lt;'PlayerGrades+'!$AF$21,"F-",IF(N12&lt;'PlayerGrades+'!$AF$20,"F",IF(N12&lt;'PlayerGrades+'!$AF$19,"F+",IF(N12&lt;'PlayerGrades+'!$AF$18,"E-",IF(N12&lt;'PlayerGrades+'!$AF$17,"E",IF(N12&lt;'PlayerGrades+'!$AF$16,"E+",IF(N12&lt;'PlayerGrades+'!$AF$15,"D-",IF(N12&lt;'PlayerGrades+'!$AF$14,"D",IF(N12&lt;'PlayerGrades+'!$AF$13,"D+",IF(N12&lt;'PlayerGrades+'!$AF$12,"C-",IF(N12&lt;'PlayerGrades+'!$AF$11,"C",IF(N12&lt;'PlayerGrades+'!$AF$10,"C+",IF(N12&lt;'PlayerGrades+'!$AF$9,"B-",IF(N12&lt;'PlayerGrades+'!$AF$8,"B",IF(N12&lt;'PlayerGrades+'!$AF$7,"B+",IF(N12&lt;'PlayerGrades+'!$AF$6,"A-",IF(N12&lt;'PlayerGrades+'!$AF$5,"A",IF(N12&lt;'PlayerGrades+'!$AF$4,"A+",IF(N12&lt;'PlayerGrades+'!$AF$3,"S-",IF(N12&lt;'PlayerGrades+'!$AF$2,"S","S+"))))))))))))))))))))</f>
        <v>D-</v>
      </c>
      <c r="P12" s="961">
        <f t="shared" si="7"/>
        <v>0.4026845638</v>
      </c>
      <c r="Q12" s="961" t="str">
        <f>IF(P12&lt;'PlayerGrades+'!$AG$21,"F-",IF(P12&lt;'PlayerGrades+'!$AG$20,"F",IF(P12&lt;'PlayerGrades+'!$AG$19,"F+",IF(P12&lt;'PlayerGrades+'!$AG$18,"E-",IF(P12&lt;'PlayerGrades+'!$AG$17,"E",IF(P12&lt;'PlayerGrades+'!$AG$16,"E+",IF(P12&lt;'PlayerGrades+'!$AG$15,"D-",IF(P12&lt;'PlayerGrades+'!$AG$14,"D",IF(P12&lt;'PlayerGrades+'!$AG$13,"D+",IF(P12&lt;'PlayerGrades+'!$AG$12,"C-",IF(P12&lt;'PlayerGrades+'!$AG$11,"C",IF(P12&lt;'PlayerGrades+'!$AG$10,"C+",IF(P12&lt;'PlayerGrades+'!$AG$9,"B-",IF(P12&lt;'PlayerGrades+'!$AG$8,"B",IF(P12&lt;'PlayerGrades+'!$AG$7,"B+",IF(P12&lt;'PlayerGrades+'!$AG$6,"A-",IF(P12&lt;'PlayerGrades+'!$AG$5,"A",IF(P12&lt;'PlayerGrades+'!$AG$4,"A+",IF(P12&lt;'PlayerGrades+'!$AG$3,"S-",IF(P12&lt;'PlayerGrades+'!$AG$2,"S","S+"))))))))))))))))))))</f>
        <v>F+</v>
      </c>
      <c r="R12" s="961">
        <f t="shared" si="8"/>
        <v>0.04026845638</v>
      </c>
      <c r="S12" s="961" t="str">
        <f>IF(R12&lt;'PlayerGrades+'!$AH$21,"F-",IF(R12&lt;'PlayerGrades+'!$AH$20,"F",IF(R12&lt;'PlayerGrades+'!$AH$19,"F+",IF(R12&lt;'PlayerGrades+'!$AH$18,"E-",IF(R12&lt;'PlayerGrades+'!$AH$17,"E",IF(R12&lt;'PlayerGrades+'!$AH$16,"E+",IF(R12&lt;'PlayerGrades+'!$AH$15,"D-",IF(R12&lt;'PlayerGrades+'!$AH$14,"D",IF(R12&lt;'PlayerGrades+'!$AH$13,"D+",IF(R12&lt;'PlayerGrades+'!$AH$12,"C-",IF(R12&lt;'PlayerGrades+'!$AH$11,"C",IF(R12&lt;'PlayerGrades+'!$AH$10,"C+",IF(R12&lt;'PlayerGrades+'!$AH$9,"B-",IF(R12&lt;'PlayerGrades+'!$AH$8,"B",IF(R12&lt;'PlayerGrades+'!$AH$7,"B+",IF(R12&lt;'PlayerGrades+'!$AH$6,"A-",IF(R12&lt;'PlayerGrades+'!$AH$5,"A",IF(R12&lt;'PlayerGrades+'!$AH$4,"A+",IF(R12&lt;'PlayerGrades+'!$AH$3,"S-",IF(R12&lt;'PlayerGrades+'!$AH$2,"S","S+"))))))))))))))))))))</f>
        <v>E</v>
      </c>
      <c r="T12" s="961">
        <f t="shared" si="9"/>
        <v>2.617449664</v>
      </c>
      <c r="U12" s="961" t="str">
        <f>IF(T12&lt;'PlayerGrades+'!$AI$21,"F-",IF(T12&lt;'PlayerGrades+'!$AI$20,"F",IF(T12&lt;'PlayerGrades+'!$AI$19,"F+",IF(T12&lt;'PlayerGrades+'!$AI$18,"E-",IF(T12&lt;'PlayerGrades+'!$AI$17,"E",IF(T12&lt;'PlayerGrades+'!$AI$16,"E+",IF(T12&lt;'PlayerGrades+'!$AI$15,"D-",IF(T12&lt;'PlayerGrades+'!$AI$14,"D",IF(T12&lt;'PlayerGrades+'!$AI$13,"D+",IF(T12&lt;'PlayerGrades+'!$AI$12,"C-",IF(T12&lt;'PlayerGrades+'!$AI$11,"C",IF(T12&lt;'PlayerGrades+'!$AI$10,"C+",IF(T12&lt;'PlayerGrades+'!$AI$9,"B-",IF(T12&lt;'PlayerGrades+'!$AI$8,"B",IF(T12&lt;'PlayerGrades+'!$AI$7,"B+",IF(T12&lt;'PlayerGrades+'!$AI$6,"A-",IF(T12&lt;'PlayerGrades+'!$AI$5,"A",IF(T12&lt;'PlayerGrades+'!$AI$4,"A+",IF(T12&lt;'PlayerGrades+'!$AI$3,"S-",IF(T12&lt;'PlayerGrades+'!$AI$2,"S","S+"))))))))))))))))))))</f>
        <v>D</v>
      </c>
      <c r="V12" s="1017">
        <v>1.0</v>
      </c>
      <c r="W12" s="1017">
        <v>0.0</v>
      </c>
      <c r="X12" s="1017">
        <v>0.0</v>
      </c>
      <c r="Y12" s="1017">
        <v>1.0</v>
      </c>
      <c r="Z12" s="1017">
        <v>65.0</v>
      </c>
      <c r="AA12" s="1017">
        <v>78.0</v>
      </c>
      <c r="AB12" s="1017">
        <f t="shared" si="10"/>
        <v>-13</v>
      </c>
      <c r="AC12" s="1020">
        <f t="shared" si="11"/>
        <v>0.8333333333</v>
      </c>
      <c r="AD12" s="1022">
        <v>0.0</v>
      </c>
      <c r="AE12" s="1023">
        <v>1490.0</v>
      </c>
      <c r="AF12" s="1022">
        <v>1.0</v>
      </c>
      <c r="AG12" s="1022">
        <v>0.0</v>
      </c>
      <c r="AH12" s="1022">
        <v>0.0</v>
      </c>
      <c r="AI12" s="1022">
        <v>0.0</v>
      </c>
      <c r="AJ12" s="1022">
        <v>1.0</v>
      </c>
      <c r="AK12" s="1022">
        <v>6.0</v>
      </c>
      <c r="AL12" s="1022">
        <v>2.0</v>
      </c>
      <c r="AM12" s="1022">
        <v>1.0</v>
      </c>
      <c r="AN12" s="1022">
        <v>0.0</v>
      </c>
      <c r="AO12" s="1022">
        <v>0.0</v>
      </c>
      <c r="AP12" s="1022">
        <v>0.0</v>
      </c>
      <c r="AQ12" s="1022">
        <v>0.0</v>
      </c>
      <c r="AR12" s="1022">
        <v>0.0</v>
      </c>
      <c r="AS12" s="1022">
        <v>0.0</v>
      </c>
      <c r="AT12" s="1022">
        <v>0.0</v>
      </c>
      <c r="AU12" s="1022">
        <v>6.0</v>
      </c>
      <c r="AV12" s="1022">
        <v>0.0</v>
      </c>
      <c r="AW12" s="1022">
        <v>0.0</v>
      </c>
      <c r="AX12" s="1022">
        <v>0.0</v>
      </c>
      <c r="AY12" s="1022">
        <v>1.0</v>
      </c>
      <c r="AZ12" s="1027">
        <v>0.0</v>
      </c>
    </row>
    <row r="13">
      <c r="A13" s="938" t="s">
        <v>380</v>
      </c>
      <c r="B13" s="1100" t="str">
        <f>IF(C13&lt;'PlayerGrades+'!$Y$44,"F-",IF(C13&lt;'PlayerGrades+'!$Y$43,"F",IF(C13&lt;'PlayerGrades+'!$Y$42,"F+",IF(C13&lt;'PlayerGrades+'!$Y$41,"E-",IF(C13&lt;'PlayerGrades+'!$Y$40,"E",IF(C13&lt;'PlayerGrades+'!$Y$39,"E+",IF(C13&lt;'PlayerGrades+'!$Y$38,"D-",IF(C13&lt;'PlayerGrades+'!$Y$37,"D",IF(C13&lt;'PlayerGrades+'!$Y$36,"D+",IF(C13&lt;'PlayerGrades+'!$Y$35,"C-",IF(C13&lt;'PlayerGrades+'!$Y$34,"C",IF(C13&lt;'PlayerGrades+'!$Y$33,"C+",IF(C13&lt;'PlayerGrades+'!$Y$32,"B-",IF(C13&lt;'PlayerGrades+'!$Y$31,"B",IF(C13&lt;'PlayerGrades+'!$Y$30,"B+",IF(C13&lt;'PlayerGrades+'!$Y$29,"A-",IF(C13&lt;'PlayerGrades+'!$Y$28,"A",IF(C13&lt;'PlayerGrades+'!$Y$27,"A+",IF(C13&lt;'PlayerGrades+'!$Y$26,"S-",IF(C13&lt;'PlayerGrades+'!$Y$25,"S","S+"))))))))))))))))))))</f>
        <v>D-</v>
      </c>
      <c r="C13" s="1105">
        <f>('PlayerGrades+'!$Y$47*(VLOOKUP(E13, 'PlayerGrades+'!$X$3:$Y$23, 2, FALSE)))+('PlayerGrades+'!$Y$48*(VLOOKUP(G13, 'PlayerGrades+'!$X$3:$Y$23, 2, FALSE)))+('PlayerGrades+'!$Y$49*(VLOOKUP(I13, 'PlayerGrades+'!$X$3:$Y$23, 2, FALSE)))+('PlayerGrades+'!$Y$50*(VLOOKUP(K13, 'PlayerGrades+'!$X$3:$Y$23, 2, FALSE)))+('PlayerGrades+'!$Y$51*(VLOOKUP(M13, 'PlayerGrades+'!$X$3:$Y$23, 2, FALSE)))+('PlayerGrades+'!$Y$52*(VLOOKUP(O13, 'PlayerGrades+'!$X$3:$Y$23, 2, FALSE)))+('PlayerGrades+'!$Y$53*(VLOOKUP(Q13, 'PlayerGrades+'!$X$3:$Y$23, 2, FALSE)))+('PlayerGrades+'!$Y$54*(VLOOKUP(S13, 'PlayerGrades+'!$X$3:$Y$23, 2, FALSE)))+('PlayerGrades+'!$Y$55*(VLOOKUP(U13, 'PlayerGrades+'!$X$3:$Y$23, 2, FALSE)))</f>
        <v>12.2</v>
      </c>
      <c r="D13" s="961">
        <f t="shared" si="1"/>
        <v>0.1208053691</v>
      </c>
      <c r="E13" s="961" t="str">
        <f>IF(D13&lt;'PlayerGrades+'!$AA$21,"F-",IF(D13&lt;'PlayerGrades+'!$AA$20,"F",IF(D13&lt;'PlayerGrades+'!$AA$19,"F+",IF(D13&lt;'PlayerGrades+'!$AA$18,"E-",IF(D13&lt;'PlayerGrades+'!$AA$17,"E",IF(D13&lt;'PlayerGrades+'!$AA$16,"E+",IF(D13&lt;'PlayerGrades+'!$AA$15,"D-",IF(D13&lt;'PlayerGrades+'!$AA$14,"D",IF(D13&lt;'PlayerGrades+'!$AA$13,"D+",IF(D13&lt;'PlayerGrades+'!$AA$12,"C-",IF(D13&lt;'PlayerGrades+'!$AA$11,"C",IF(D13&lt;'PlayerGrades+'!$AA$10,"C+",IF(D13&lt;'PlayerGrades+'!$AA$9,"B-",IF(D13&lt;'PlayerGrades+'!$AA$8,"B",IF(D13&lt;'PlayerGrades+'!$AA$7,"B+",IF(D13&lt;'PlayerGrades+'!$AA$6,"A-",IF(D13&lt;'PlayerGrades+'!$AA$5,"A",IF(D13&lt;'PlayerGrades+'!$AA$4,"A+",IF(D13&lt;'PlayerGrades+'!$AA$3,"S-",IF(D13&lt;'PlayerGrades+'!$AA$2,"S","S+"))))))))))))))))))))</f>
        <v>A+</v>
      </c>
      <c r="F13" s="961">
        <f t="shared" si="2"/>
        <v>0.02478058854</v>
      </c>
      <c r="G13" s="961" t="str">
        <f>IF(F13&lt;'PlayerGrades+'!$AB$21,"F-",IF(F13&lt;'PlayerGrades+'!$AB$20,"F",IF(F13&lt;'PlayerGrades+'!$AB$19,"F+",IF(F13&lt;'PlayerGrades+'!$AB$18,"E-",IF(F13&lt;'PlayerGrades+'!$AB$17,"E",IF(F13&lt;'PlayerGrades+'!$AB$16,"E+",IF(F13&lt;'PlayerGrades+'!$AB$15,"D-",IF(F13&lt;'PlayerGrades+'!$AB$14,"D",IF(F13&lt;'PlayerGrades+'!$AB$13,"D+",IF(F13&lt;'PlayerGrades+'!$AB$12,"C-",IF(F13&lt;'PlayerGrades+'!$AB$11,"C",IF(F13&lt;'PlayerGrades+'!$AB$10,"C+",IF(F13&lt;'PlayerGrades+'!$AB$9,"B-",IF(F13&lt;'PlayerGrades+'!$AB$8,"B",IF(F13&lt;'PlayerGrades+'!$AB$7,"B+",IF(F13&lt;'PlayerGrades+'!$AB$6,"A-",IF(F13&lt;'PlayerGrades+'!$AB$5,"A",IF(F13&lt;'PlayerGrades+'!$AB$4,"A+",IF(F13&lt;'PlayerGrades+'!$AB$3,"S-",IF(F13&lt;'PlayerGrades+'!$AB$2,"S","S+"))))))))))))))))))))</f>
        <v>A</v>
      </c>
      <c r="H13" s="961">
        <f t="shared" si="3"/>
        <v>0.322147651</v>
      </c>
      <c r="I13" s="961" t="str">
        <f>IF(H13&lt;'PlayerGrades+'!$AC$21,"F-",IF(H13&lt;'PlayerGrades+'!$AC$20,"F",IF(H13&lt;'PlayerGrades+'!$AC$19,"F+",IF(H13&lt;'PlayerGrades+'!$AC$18,"E-",IF(H13&lt;'PlayerGrades+'!$AC$17,"E",IF(H13&lt;'PlayerGrades+'!$AC$16,"E+",IF(H13&lt;'PlayerGrades+'!$AC$15,"D-",IF(H13&lt;'PlayerGrades+'!$AC$14,"D",IF(H13&lt;'PlayerGrades+'!$AC$13,"D+",IF(H13&lt;'PlayerGrades+'!$AC$12,"C-",IF(H13&lt;'PlayerGrades+'!$AC$11,"C",IF(H13&lt;'PlayerGrades+'!$AC$10,"C+",IF(H13&lt;'PlayerGrades+'!$AC$9,"B-",IF(H13&lt;'PlayerGrades+'!$AC$8,"B",IF(H13&lt;'PlayerGrades+'!$AC$7,"B+",IF(H13&lt;'PlayerGrades+'!$AC$6,"A-",IF(H13&lt;'PlayerGrades+'!$AC$5,"A",IF(H13&lt;'PlayerGrades+'!$AC$4,"A+",IF(H13&lt;'PlayerGrades+'!$AC$3,"S-",IF(H13&lt;'PlayerGrades+'!$AC$2,"S","S+"))))))))))))))))))))</f>
        <v>E</v>
      </c>
      <c r="J13" s="961">
        <f t="shared" si="4"/>
        <v>0</v>
      </c>
      <c r="K13" s="961" t="str">
        <f>IF(J13&lt;'PlayerGrades+'!$AD$21,"F-",IF(J13&lt;'PlayerGrades+'!$AD$20,"F",IF(J13&lt;'PlayerGrades+'!$AD$19,"F+",IF(J13&lt;'PlayerGrades+'!$AD$18,"E-",IF(J13&lt;'PlayerGrades+'!$AD$17,"E",IF(J13&lt;'PlayerGrades+'!$AD$16,"E+",IF(J13&lt;'PlayerGrades+'!$AD$15,"D-",IF(J13&lt;'PlayerGrades+'!$AD$14,"D",IF(J13&lt;'PlayerGrades+'!$AD$13,"D+",IF(J13&lt;'PlayerGrades+'!$AD$12,"C-",IF(J13&lt;'PlayerGrades+'!$AD$11,"C",IF(J13&lt;'PlayerGrades+'!$AD$10,"C+",IF(J13&lt;'PlayerGrades+'!$AD$9,"B-",IF(J13&lt;'PlayerGrades+'!$AD$8,"B",IF(J13&lt;'PlayerGrades+'!$AD$7,"B+",IF(J13&lt;'PlayerGrades+'!$AD$6,"A-",IF(J13&lt;'PlayerGrades+'!$AD$5,"A",IF(J13&lt;'PlayerGrades+'!$AD$4,"A+",IF(J13&lt;'PlayerGrades+'!$AD$3,"S-",IF(J13&lt;'PlayerGrades+'!$AD$2,"S","S+"))))))))))))))))))))</f>
        <v>F-</v>
      </c>
      <c r="L13" s="992">
        <f t="shared" si="5"/>
        <v>0.2818791946</v>
      </c>
      <c r="M13" s="992" t="str">
        <f>IF(L13&lt;'PlayerGrades+'!$AE$21,"F-",IF(L13&lt;'PlayerGrades+'!$AE$20,"F",IF(L13&lt;'PlayerGrades+'!$AE$19,"F+",IF(L13&lt;'PlayerGrades+'!$AE$18,"E-",IF(L13&lt;'PlayerGrades+'!$AE$17,"E",IF(L13&lt;'PlayerGrades+'!$AE$16,"E+",IF(L13&lt;'PlayerGrades+'!$AE$15,"D-",IF(L13&lt;'PlayerGrades+'!$AE$14,"D",IF(L13&lt;'PlayerGrades+'!$AE$13,"D+",IF(L13&lt;'PlayerGrades+'!$AE$12,"C-",IF(L13&lt;'PlayerGrades+'!$AE$11,"C",IF(L13&lt;'PlayerGrades+'!$AE$10,"C+",IF(L13&lt;'PlayerGrades+'!$AE$9,"B-",IF(L13&lt;'PlayerGrades+'!$AE$8,"B",IF(L13&lt;'PlayerGrades+'!$AE$7,"B+",IF(L13&lt;'PlayerGrades+'!$AE$6,"A-",IF(L13&lt;'PlayerGrades+'!$AE$5,"A",IF(L13&lt;'PlayerGrades+'!$AE$4,"A+",IF(L13&lt;'PlayerGrades+'!$AE$3,"S-",IF(L13&lt;'PlayerGrades+'!$AE$2,"S","S+"))))))))))))))))))))</f>
        <v>F+</v>
      </c>
      <c r="N13" s="961">
        <f t="shared" si="6"/>
        <v>0.04026845638</v>
      </c>
      <c r="O13" s="961" t="str">
        <f>IF(N13&lt;'PlayerGrades+'!$AF$21,"F-",IF(N13&lt;'PlayerGrades+'!$AF$20,"F",IF(N13&lt;'PlayerGrades+'!$AF$19,"F+",IF(N13&lt;'PlayerGrades+'!$AF$18,"E-",IF(N13&lt;'PlayerGrades+'!$AF$17,"E",IF(N13&lt;'PlayerGrades+'!$AF$16,"E+",IF(N13&lt;'PlayerGrades+'!$AF$15,"D-",IF(N13&lt;'PlayerGrades+'!$AF$14,"D",IF(N13&lt;'PlayerGrades+'!$AF$13,"D+",IF(N13&lt;'PlayerGrades+'!$AF$12,"C-",IF(N13&lt;'PlayerGrades+'!$AF$11,"C",IF(N13&lt;'PlayerGrades+'!$AF$10,"C+",IF(N13&lt;'PlayerGrades+'!$AF$9,"B-",IF(N13&lt;'PlayerGrades+'!$AF$8,"B",IF(N13&lt;'PlayerGrades+'!$AF$7,"B+",IF(N13&lt;'PlayerGrades+'!$AF$6,"A-",IF(N13&lt;'PlayerGrades+'!$AF$5,"A",IF(N13&lt;'PlayerGrades+'!$AF$4,"A+",IF(N13&lt;'PlayerGrades+'!$AF$3,"S-",IF(N13&lt;'PlayerGrades+'!$AF$2,"S","S+"))))))))))))))))))))</f>
        <v>F</v>
      </c>
      <c r="P13" s="961">
        <f t="shared" si="7"/>
        <v>0.322147651</v>
      </c>
      <c r="Q13" s="961" t="str">
        <f>IF(P13&lt;'PlayerGrades+'!$AG$21,"F-",IF(P13&lt;'PlayerGrades+'!$AG$20,"F",IF(P13&lt;'PlayerGrades+'!$AG$19,"F+",IF(P13&lt;'PlayerGrades+'!$AG$18,"E-",IF(P13&lt;'PlayerGrades+'!$AG$17,"E",IF(P13&lt;'PlayerGrades+'!$AG$16,"E+",IF(P13&lt;'PlayerGrades+'!$AG$15,"D-",IF(P13&lt;'PlayerGrades+'!$AG$14,"D",IF(P13&lt;'PlayerGrades+'!$AG$13,"D+",IF(P13&lt;'PlayerGrades+'!$AG$12,"C-",IF(P13&lt;'PlayerGrades+'!$AG$11,"C",IF(P13&lt;'PlayerGrades+'!$AG$10,"C+",IF(P13&lt;'PlayerGrades+'!$AG$9,"B-",IF(P13&lt;'PlayerGrades+'!$AG$8,"B",IF(P13&lt;'PlayerGrades+'!$AG$7,"B+",IF(P13&lt;'PlayerGrades+'!$AG$6,"A-",IF(P13&lt;'PlayerGrades+'!$AG$5,"A",IF(P13&lt;'PlayerGrades+'!$AG$4,"A+",IF(P13&lt;'PlayerGrades+'!$AG$3,"S-",IF(P13&lt;'PlayerGrades+'!$AG$2,"S","S+"))))))))))))))))))))</f>
        <v>F</v>
      </c>
      <c r="R13" s="961">
        <f t="shared" si="8"/>
        <v>0</v>
      </c>
      <c r="S13" s="961" t="str">
        <f>IF(R13&lt;'PlayerGrades+'!$AH$21,"F-",IF(R13&lt;'PlayerGrades+'!$AH$20,"F",IF(R13&lt;'PlayerGrades+'!$AH$19,"F+",IF(R13&lt;'PlayerGrades+'!$AH$18,"E-",IF(R13&lt;'PlayerGrades+'!$AH$17,"E",IF(R13&lt;'PlayerGrades+'!$AH$16,"E+",IF(R13&lt;'PlayerGrades+'!$AH$15,"D-",IF(R13&lt;'PlayerGrades+'!$AH$14,"D",IF(R13&lt;'PlayerGrades+'!$AH$13,"D+",IF(R13&lt;'PlayerGrades+'!$AH$12,"C-",IF(R13&lt;'PlayerGrades+'!$AH$11,"C",IF(R13&lt;'PlayerGrades+'!$AH$10,"C+",IF(R13&lt;'PlayerGrades+'!$AH$9,"B-",IF(R13&lt;'PlayerGrades+'!$AH$8,"B",IF(R13&lt;'PlayerGrades+'!$AH$7,"B+",IF(R13&lt;'PlayerGrades+'!$AH$6,"A-",IF(R13&lt;'PlayerGrades+'!$AH$5,"A",IF(R13&lt;'PlayerGrades+'!$AH$4,"A+",IF(R13&lt;'PlayerGrades+'!$AH$3,"S-",IF(R13&lt;'PlayerGrades+'!$AH$2,"S","S+"))))))))))))))))))))</f>
        <v>F-</v>
      </c>
      <c r="T13" s="961">
        <f t="shared" si="9"/>
        <v>1.932885906</v>
      </c>
      <c r="U13" s="961" t="str">
        <f>IF(T13&lt;'PlayerGrades+'!$AI$21,"F-",IF(T13&lt;'PlayerGrades+'!$AI$20,"F",IF(T13&lt;'PlayerGrades+'!$AI$19,"F+",IF(T13&lt;'PlayerGrades+'!$AI$18,"E-",IF(T13&lt;'PlayerGrades+'!$AI$17,"E",IF(T13&lt;'PlayerGrades+'!$AI$16,"E+",IF(T13&lt;'PlayerGrades+'!$AI$15,"D-",IF(T13&lt;'PlayerGrades+'!$AI$14,"D",IF(T13&lt;'PlayerGrades+'!$AI$13,"D+",IF(T13&lt;'PlayerGrades+'!$AI$12,"C-",IF(T13&lt;'PlayerGrades+'!$AI$11,"C",IF(T13&lt;'PlayerGrades+'!$AI$10,"C+",IF(T13&lt;'PlayerGrades+'!$AI$9,"B-",IF(T13&lt;'PlayerGrades+'!$AI$8,"B",IF(T13&lt;'PlayerGrades+'!$AI$7,"B+",IF(T13&lt;'PlayerGrades+'!$AI$6,"A-",IF(T13&lt;'PlayerGrades+'!$AI$5,"A",IF(T13&lt;'PlayerGrades+'!$AI$4,"A+",IF(T13&lt;'PlayerGrades+'!$AI$3,"S-",IF(T13&lt;'PlayerGrades+'!$AI$2,"S","S+"))))))))))))))))))))</f>
        <v>F-</v>
      </c>
      <c r="V13" s="1017">
        <v>1.0</v>
      </c>
      <c r="W13" s="1017">
        <v>0.0</v>
      </c>
      <c r="X13" s="1017">
        <v>3.0</v>
      </c>
      <c r="Y13" s="1017">
        <v>8.0</v>
      </c>
      <c r="Z13" s="1017">
        <v>48.0</v>
      </c>
      <c r="AA13" s="1017">
        <v>78.0</v>
      </c>
      <c r="AB13" s="1017">
        <f t="shared" si="10"/>
        <v>-30</v>
      </c>
      <c r="AC13" s="1020">
        <f t="shared" si="11"/>
        <v>0.6153846154</v>
      </c>
      <c r="AD13" s="1022">
        <v>2.0</v>
      </c>
      <c r="AE13" s="1023">
        <v>1490.0</v>
      </c>
      <c r="AF13" s="1022">
        <v>0.0</v>
      </c>
      <c r="AG13" s="1022">
        <v>0.0</v>
      </c>
      <c r="AH13" s="1022">
        <v>0.0</v>
      </c>
      <c r="AI13" s="1022">
        <v>0.0</v>
      </c>
      <c r="AJ13" s="1022">
        <v>0.0</v>
      </c>
      <c r="AK13" s="1022">
        <v>7.0</v>
      </c>
      <c r="AL13" s="1022">
        <v>1.0</v>
      </c>
      <c r="AM13" s="1022">
        <v>0.0</v>
      </c>
      <c r="AN13" s="1022">
        <v>0.0</v>
      </c>
      <c r="AO13" s="1022">
        <v>0.0</v>
      </c>
      <c r="AP13" s="1022">
        <v>0.0</v>
      </c>
      <c r="AQ13" s="1022">
        <v>0.0</v>
      </c>
      <c r="AR13" s="1022">
        <v>0.0</v>
      </c>
      <c r="AS13" s="1022">
        <v>0.0</v>
      </c>
      <c r="AT13" s="1022">
        <v>0.0</v>
      </c>
      <c r="AU13" s="1022">
        <v>8.0</v>
      </c>
      <c r="AV13" s="1022">
        <v>0.0</v>
      </c>
      <c r="AW13" s="1022">
        <v>0.0</v>
      </c>
      <c r="AX13" s="1022">
        <v>0.0</v>
      </c>
      <c r="AY13" s="1022">
        <v>0.0</v>
      </c>
      <c r="AZ13" s="1027">
        <v>0.0</v>
      </c>
    </row>
    <row r="14">
      <c r="A14" s="938" t="s">
        <v>172</v>
      </c>
      <c r="B14" s="1100" t="str">
        <f>IF(C14&lt;'PlayerGrades+'!$Y$44,"F-",IF(C14&lt;'PlayerGrades+'!$Y$43,"F",IF(C14&lt;'PlayerGrades+'!$Y$42,"F+",IF(C14&lt;'PlayerGrades+'!$Y$41,"E-",IF(C14&lt;'PlayerGrades+'!$Y$40,"E",IF(C14&lt;'PlayerGrades+'!$Y$39,"E+",IF(C14&lt;'PlayerGrades+'!$Y$38,"D-",IF(C14&lt;'PlayerGrades+'!$Y$37,"D",IF(C14&lt;'PlayerGrades+'!$Y$36,"D+",IF(C14&lt;'PlayerGrades+'!$Y$35,"C-",IF(C14&lt;'PlayerGrades+'!$Y$34,"C",IF(C14&lt;'PlayerGrades+'!$Y$33,"C+",IF(C14&lt;'PlayerGrades+'!$Y$32,"B-",IF(C14&lt;'PlayerGrades+'!$Y$31,"B",IF(C14&lt;'PlayerGrades+'!$Y$30,"B+",IF(C14&lt;'PlayerGrades+'!$Y$29,"A-",IF(C14&lt;'PlayerGrades+'!$Y$28,"A",IF(C14&lt;'PlayerGrades+'!$Y$27,"A+",IF(C14&lt;'PlayerGrades+'!$Y$26,"S-",IF(C14&lt;'PlayerGrades+'!$Y$25,"S","S+"))))))))))))))))))))</f>
        <v>A</v>
      </c>
      <c r="C14" s="1105">
        <f>('PlayerGrades+'!$Y$47*(VLOOKUP(E14, 'PlayerGrades+'!$X$3:$Y$23, 2, FALSE)))+('PlayerGrades+'!$Y$48*(VLOOKUP(G14, 'PlayerGrades+'!$X$3:$Y$23, 2, FALSE)))+('PlayerGrades+'!$Y$49*(VLOOKUP(I14, 'PlayerGrades+'!$X$3:$Y$23, 2, FALSE)))+('PlayerGrades+'!$Y$50*(VLOOKUP(K14, 'PlayerGrades+'!$X$3:$Y$23, 2, FALSE)))+('PlayerGrades+'!$Y$51*(VLOOKUP(M14, 'PlayerGrades+'!$X$3:$Y$23, 2, FALSE)))+('PlayerGrades+'!$Y$52*(VLOOKUP(O14, 'PlayerGrades+'!$X$3:$Y$23, 2, FALSE)))+('PlayerGrades+'!$Y$53*(VLOOKUP(Q14, 'PlayerGrades+'!$X$3:$Y$23, 2, FALSE)))+('PlayerGrades+'!$Y$54*(VLOOKUP(S14, 'PlayerGrades+'!$X$3:$Y$23, 2, FALSE)))+('PlayerGrades+'!$Y$55*(VLOOKUP(U14, 'PlayerGrades+'!$X$3:$Y$23, 2, FALSE)))</f>
        <v>22.7625</v>
      </c>
      <c r="D14" s="961">
        <f t="shared" si="1"/>
        <v>0</v>
      </c>
      <c r="E14" s="961" t="str">
        <f>IF(D14&lt;'PlayerGrades+'!$AA$21,"F-",IF(D14&lt;'PlayerGrades+'!$AA$20,"F",IF(D14&lt;'PlayerGrades+'!$AA$19,"F+",IF(D14&lt;'PlayerGrades+'!$AA$18,"E-",IF(D14&lt;'PlayerGrades+'!$AA$17,"E",IF(D14&lt;'PlayerGrades+'!$AA$16,"E+",IF(D14&lt;'PlayerGrades+'!$AA$15,"D-",IF(D14&lt;'PlayerGrades+'!$AA$14,"D",IF(D14&lt;'PlayerGrades+'!$AA$13,"D+",IF(D14&lt;'PlayerGrades+'!$AA$12,"C-",IF(D14&lt;'PlayerGrades+'!$AA$11,"C",IF(D14&lt;'PlayerGrades+'!$AA$10,"C+",IF(D14&lt;'PlayerGrades+'!$AA$9,"B-",IF(D14&lt;'PlayerGrades+'!$AA$8,"B",IF(D14&lt;'PlayerGrades+'!$AA$7,"B+",IF(D14&lt;'PlayerGrades+'!$AA$6,"A-",IF(D14&lt;'PlayerGrades+'!$AA$5,"A",IF(D14&lt;'PlayerGrades+'!$AA$4,"A+",IF(D14&lt;'PlayerGrades+'!$AA$3,"S-",IF(D14&lt;'PlayerGrades+'!$AA$2,"S","S+"))))))))))))))))))))</f>
        <v>F-</v>
      </c>
      <c r="F14" s="961">
        <f t="shared" si="2"/>
        <v>0.05950115196</v>
      </c>
      <c r="G14" s="961" t="str">
        <f>IF(F14&lt;'PlayerGrades+'!$AB$21,"F-",IF(F14&lt;'PlayerGrades+'!$AB$20,"F",IF(F14&lt;'PlayerGrades+'!$AB$19,"F+",IF(F14&lt;'PlayerGrades+'!$AB$18,"E-",IF(F14&lt;'PlayerGrades+'!$AB$17,"E",IF(F14&lt;'PlayerGrades+'!$AB$16,"E+",IF(F14&lt;'PlayerGrades+'!$AB$15,"D-",IF(F14&lt;'PlayerGrades+'!$AB$14,"D",IF(F14&lt;'PlayerGrades+'!$AB$13,"D+",IF(F14&lt;'PlayerGrades+'!$AB$12,"C-",IF(F14&lt;'PlayerGrades+'!$AB$11,"C",IF(F14&lt;'PlayerGrades+'!$AB$10,"C+",IF(F14&lt;'PlayerGrades+'!$AB$9,"B-",IF(F14&lt;'PlayerGrades+'!$AB$8,"B",IF(F14&lt;'PlayerGrades+'!$AB$7,"B+",IF(F14&lt;'PlayerGrades+'!$AB$6,"A-",IF(F14&lt;'PlayerGrades+'!$AB$5,"A",IF(F14&lt;'PlayerGrades+'!$AB$4,"A+",IF(F14&lt;'PlayerGrades+'!$AB$3,"S-",IF(F14&lt;'PlayerGrades+'!$AB$2,"S","S+"))))))))))))))))))))</f>
        <v>A</v>
      </c>
      <c r="H14" s="961">
        <f t="shared" si="3"/>
        <v>0.8859060403</v>
      </c>
      <c r="I14" s="961" t="str">
        <f>IF(H14&lt;'PlayerGrades+'!$AC$21,"F-",IF(H14&lt;'PlayerGrades+'!$AC$20,"F",IF(H14&lt;'PlayerGrades+'!$AC$19,"F+",IF(H14&lt;'PlayerGrades+'!$AC$18,"E-",IF(H14&lt;'PlayerGrades+'!$AC$17,"E",IF(H14&lt;'PlayerGrades+'!$AC$16,"E+",IF(H14&lt;'PlayerGrades+'!$AC$15,"D-",IF(H14&lt;'PlayerGrades+'!$AC$14,"D",IF(H14&lt;'PlayerGrades+'!$AC$13,"D+",IF(H14&lt;'PlayerGrades+'!$AC$12,"C-",IF(H14&lt;'PlayerGrades+'!$AC$11,"C",IF(H14&lt;'PlayerGrades+'!$AC$10,"C+",IF(H14&lt;'PlayerGrades+'!$AC$9,"B-",IF(H14&lt;'PlayerGrades+'!$AC$8,"B",IF(H14&lt;'PlayerGrades+'!$AC$7,"B+",IF(H14&lt;'PlayerGrades+'!$AC$6,"A-",IF(H14&lt;'PlayerGrades+'!$AC$5,"A",IF(H14&lt;'PlayerGrades+'!$AC$4,"A+",IF(H14&lt;'PlayerGrades+'!$AC$3,"S-",IF(H14&lt;'PlayerGrades+'!$AC$2,"S","S+"))))))))))))))))))))</f>
        <v>S</v>
      </c>
      <c r="J14" s="961">
        <f t="shared" si="4"/>
        <v>0.1208053691</v>
      </c>
      <c r="K14" s="961" t="str">
        <f>IF(J14&lt;'PlayerGrades+'!$AD$21,"F-",IF(J14&lt;'PlayerGrades+'!$AD$20,"F",IF(J14&lt;'PlayerGrades+'!$AD$19,"F+",IF(J14&lt;'PlayerGrades+'!$AD$18,"E-",IF(J14&lt;'PlayerGrades+'!$AD$17,"E",IF(J14&lt;'PlayerGrades+'!$AD$16,"E+",IF(J14&lt;'PlayerGrades+'!$AD$15,"D-",IF(J14&lt;'PlayerGrades+'!$AD$14,"D",IF(J14&lt;'PlayerGrades+'!$AD$13,"D+",IF(J14&lt;'PlayerGrades+'!$AD$12,"C-",IF(J14&lt;'PlayerGrades+'!$AD$11,"C",IF(J14&lt;'PlayerGrades+'!$AD$10,"C+",IF(J14&lt;'PlayerGrades+'!$AD$9,"B-",IF(J14&lt;'PlayerGrades+'!$AD$8,"B",IF(J14&lt;'PlayerGrades+'!$AD$7,"B+",IF(J14&lt;'PlayerGrades+'!$AD$6,"A-",IF(J14&lt;'PlayerGrades+'!$AD$5,"A",IF(J14&lt;'PlayerGrades+'!$AD$4,"A+",IF(J14&lt;'PlayerGrades+'!$AD$3,"S-",IF(J14&lt;'PlayerGrades+'!$AD$2,"S","S+"))))))))))))))))))))</f>
        <v>S-</v>
      </c>
      <c r="L14" s="992">
        <f t="shared" si="5"/>
        <v>0.7651006711</v>
      </c>
      <c r="M14" s="992" t="str">
        <f>IF(L14&lt;'PlayerGrades+'!$AE$21,"F-",IF(L14&lt;'PlayerGrades+'!$AE$20,"F",IF(L14&lt;'PlayerGrades+'!$AE$19,"F+",IF(L14&lt;'PlayerGrades+'!$AE$18,"E-",IF(L14&lt;'PlayerGrades+'!$AE$17,"E",IF(L14&lt;'PlayerGrades+'!$AE$16,"E+",IF(L14&lt;'PlayerGrades+'!$AE$15,"D-",IF(L14&lt;'PlayerGrades+'!$AE$14,"D",IF(L14&lt;'PlayerGrades+'!$AE$13,"D+",IF(L14&lt;'PlayerGrades+'!$AE$12,"C-",IF(L14&lt;'PlayerGrades+'!$AE$11,"C",IF(L14&lt;'PlayerGrades+'!$AE$10,"C+",IF(L14&lt;'PlayerGrades+'!$AE$9,"B-",IF(L14&lt;'PlayerGrades+'!$AE$8,"B",IF(L14&lt;'PlayerGrades+'!$AE$7,"B+",IF(L14&lt;'PlayerGrades+'!$AE$6,"A-",IF(L14&lt;'PlayerGrades+'!$AE$5,"A",IF(L14&lt;'PlayerGrades+'!$AE$4,"A+",IF(L14&lt;'PlayerGrades+'!$AE$3,"S-",IF(L14&lt;'PlayerGrades+'!$AE$2,"S","S+"))))))))))))))))))))</f>
        <v>S-</v>
      </c>
      <c r="N14" s="961">
        <f t="shared" si="6"/>
        <v>0.322147651</v>
      </c>
      <c r="O14" s="961" t="str">
        <f>IF(N14&lt;'PlayerGrades+'!$AF$21,"F-",IF(N14&lt;'PlayerGrades+'!$AF$20,"F",IF(N14&lt;'PlayerGrades+'!$AF$19,"F+",IF(N14&lt;'PlayerGrades+'!$AF$18,"E-",IF(N14&lt;'PlayerGrades+'!$AF$17,"E",IF(N14&lt;'PlayerGrades+'!$AF$16,"E+",IF(N14&lt;'PlayerGrades+'!$AF$15,"D-",IF(N14&lt;'PlayerGrades+'!$AF$14,"D",IF(N14&lt;'PlayerGrades+'!$AF$13,"D+",IF(N14&lt;'PlayerGrades+'!$AF$12,"C-",IF(N14&lt;'PlayerGrades+'!$AF$11,"C",IF(N14&lt;'PlayerGrades+'!$AF$10,"C+",IF(N14&lt;'PlayerGrades+'!$AF$9,"B-",IF(N14&lt;'PlayerGrades+'!$AF$8,"B",IF(N14&lt;'PlayerGrades+'!$AF$7,"B+",IF(N14&lt;'PlayerGrades+'!$AF$6,"A-",IF(N14&lt;'PlayerGrades+'!$AF$5,"A",IF(N14&lt;'PlayerGrades+'!$AF$4,"A+",IF(N14&lt;'PlayerGrades+'!$AF$3,"S-",IF(N14&lt;'PlayerGrades+'!$AF$2,"S","S+"))))))))))))))))))))</f>
        <v>S</v>
      </c>
      <c r="P14" s="961">
        <f t="shared" si="7"/>
        <v>1.127516779</v>
      </c>
      <c r="Q14" s="961" t="str">
        <f>IF(P14&lt;'PlayerGrades+'!$AG$21,"F-",IF(P14&lt;'PlayerGrades+'!$AG$20,"F",IF(P14&lt;'PlayerGrades+'!$AG$19,"F+",IF(P14&lt;'PlayerGrades+'!$AG$18,"E-",IF(P14&lt;'PlayerGrades+'!$AG$17,"E",IF(P14&lt;'PlayerGrades+'!$AG$16,"E+",IF(P14&lt;'PlayerGrades+'!$AG$15,"D-",IF(P14&lt;'PlayerGrades+'!$AG$14,"D",IF(P14&lt;'PlayerGrades+'!$AG$13,"D+",IF(P14&lt;'PlayerGrades+'!$AG$12,"C-",IF(P14&lt;'PlayerGrades+'!$AG$11,"C",IF(P14&lt;'PlayerGrades+'!$AG$10,"C+",IF(P14&lt;'PlayerGrades+'!$AG$9,"B-",IF(P14&lt;'PlayerGrades+'!$AG$8,"B",IF(P14&lt;'PlayerGrades+'!$AG$7,"B+",IF(P14&lt;'PlayerGrades+'!$AG$6,"A-",IF(P14&lt;'PlayerGrades+'!$AG$5,"A",IF(P14&lt;'PlayerGrades+'!$AG$4,"A+",IF(P14&lt;'PlayerGrades+'!$AG$3,"S-",IF(P14&lt;'PlayerGrades+'!$AG$2,"S","S+"))))))))))))))))))))</f>
        <v>S-</v>
      </c>
      <c r="R14" s="961">
        <f t="shared" si="8"/>
        <v>0.1208053691</v>
      </c>
      <c r="S14" s="961" t="str">
        <f>IF(R14&lt;'PlayerGrades+'!$AH$21,"F-",IF(R14&lt;'PlayerGrades+'!$AH$20,"F",IF(R14&lt;'PlayerGrades+'!$AH$19,"F+",IF(R14&lt;'PlayerGrades+'!$AH$18,"E-",IF(R14&lt;'PlayerGrades+'!$AH$17,"E",IF(R14&lt;'PlayerGrades+'!$AH$16,"E+",IF(R14&lt;'PlayerGrades+'!$AH$15,"D-",IF(R14&lt;'PlayerGrades+'!$AH$14,"D",IF(R14&lt;'PlayerGrades+'!$AH$13,"D+",IF(R14&lt;'PlayerGrades+'!$AH$12,"C-",IF(R14&lt;'PlayerGrades+'!$AH$11,"C",IF(R14&lt;'PlayerGrades+'!$AH$10,"C+",IF(R14&lt;'PlayerGrades+'!$AH$9,"B-",IF(R14&lt;'PlayerGrades+'!$AH$8,"B",IF(R14&lt;'PlayerGrades+'!$AH$7,"B+",IF(R14&lt;'PlayerGrades+'!$AH$6,"A-",IF(R14&lt;'PlayerGrades+'!$AH$5,"A",IF(R14&lt;'PlayerGrades+'!$AH$4,"A+",IF(R14&lt;'PlayerGrades+'!$AH$3,"S-",IF(R14&lt;'PlayerGrades+'!$AH$2,"S","S+"))))))))))))))))))))</f>
        <v>S</v>
      </c>
      <c r="T14" s="961">
        <f t="shared" si="9"/>
        <v>3.986577181</v>
      </c>
      <c r="U14" s="961" t="str">
        <f>IF(T14&lt;'PlayerGrades+'!$AI$21,"F-",IF(T14&lt;'PlayerGrades+'!$AI$20,"F",IF(T14&lt;'PlayerGrades+'!$AI$19,"F+",IF(T14&lt;'PlayerGrades+'!$AI$18,"E-",IF(T14&lt;'PlayerGrades+'!$AI$17,"E",IF(T14&lt;'PlayerGrades+'!$AI$16,"E+",IF(T14&lt;'PlayerGrades+'!$AI$15,"D-",IF(T14&lt;'PlayerGrades+'!$AI$14,"D",IF(T14&lt;'PlayerGrades+'!$AI$13,"D+",IF(T14&lt;'PlayerGrades+'!$AI$12,"C-",IF(T14&lt;'PlayerGrades+'!$AI$11,"C",IF(T14&lt;'PlayerGrades+'!$AI$10,"C+",IF(T14&lt;'PlayerGrades+'!$AI$9,"B-",IF(T14&lt;'PlayerGrades+'!$AI$8,"B",IF(T14&lt;'PlayerGrades+'!$AI$7,"B+",IF(T14&lt;'PlayerGrades+'!$AI$6,"A-",IF(T14&lt;'PlayerGrades+'!$AI$5,"A",IF(T14&lt;'PlayerGrades+'!$AI$4,"A+",IF(T14&lt;'PlayerGrades+'!$AI$3,"S-",IF(T14&lt;'PlayerGrades+'!$AI$2,"S","S+"))))))))))))))))))))</f>
        <v>S</v>
      </c>
      <c r="V14" s="1017">
        <v>0.0</v>
      </c>
      <c r="W14" s="1017">
        <v>1.0</v>
      </c>
      <c r="X14" s="1017">
        <v>0.0</v>
      </c>
      <c r="Y14" s="1017">
        <v>4.0</v>
      </c>
      <c r="Z14" s="1017">
        <v>99.0</v>
      </c>
      <c r="AA14" s="1017">
        <v>67.0</v>
      </c>
      <c r="AB14" s="1017">
        <f t="shared" si="10"/>
        <v>32</v>
      </c>
      <c r="AC14" s="1020">
        <f t="shared" si="11"/>
        <v>1.47761194</v>
      </c>
      <c r="AD14" s="1022">
        <v>1.0</v>
      </c>
      <c r="AE14" s="1023">
        <v>1490.0</v>
      </c>
      <c r="AF14" s="1022">
        <v>3.0</v>
      </c>
      <c r="AG14" s="1022">
        <v>0.0</v>
      </c>
      <c r="AH14" s="1022">
        <v>0.0</v>
      </c>
      <c r="AI14" s="1022">
        <v>0.0</v>
      </c>
      <c r="AJ14" s="1022">
        <v>0.0</v>
      </c>
      <c r="AK14" s="1022">
        <v>19.0</v>
      </c>
      <c r="AL14" s="1022">
        <v>8.0</v>
      </c>
      <c r="AM14" s="1022">
        <v>1.0</v>
      </c>
      <c r="AN14" s="1022">
        <v>0.0</v>
      </c>
      <c r="AO14" s="1022">
        <v>0.0</v>
      </c>
      <c r="AP14" s="1022">
        <v>0.0</v>
      </c>
      <c r="AQ14" s="1022">
        <v>0.0</v>
      </c>
      <c r="AR14" s="1022">
        <v>0.0</v>
      </c>
      <c r="AS14" s="1022">
        <v>0.0</v>
      </c>
      <c r="AT14" s="1022">
        <v>0.0</v>
      </c>
      <c r="AU14" s="1022">
        <v>22.0</v>
      </c>
      <c r="AV14" s="1022">
        <v>0.0</v>
      </c>
      <c r="AW14" s="1022">
        <v>2.0</v>
      </c>
      <c r="AX14" s="1022">
        <v>0.0</v>
      </c>
      <c r="AY14" s="1022">
        <v>1.0</v>
      </c>
      <c r="AZ14" s="1027">
        <v>0.0</v>
      </c>
    </row>
    <row r="15">
      <c r="A15" s="938" t="s">
        <v>49</v>
      </c>
      <c r="B15" s="1100" t="str">
        <f>IF(C15&lt;'PlayerGrades+'!$Y$44,"F-",IF(C15&lt;'PlayerGrades+'!$Y$43,"F",IF(C15&lt;'PlayerGrades+'!$Y$42,"F+",IF(C15&lt;'PlayerGrades+'!$Y$41,"E-",IF(C15&lt;'PlayerGrades+'!$Y$40,"E",IF(C15&lt;'PlayerGrades+'!$Y$39,"E+",IF(C15&lt;'PlayerGrades+'!$Y$38,"D-",IF(C15&lt;'PlayerGrades+'!$Y$37,"D",IF(C15&lt;'PlayerGrades+'!$Y$36,"D+",IF(C15&lt;'PlayerGrades+'!$Y$35,"C-",IF(C15&lt;'PlayerGrades+'!$Y$34,"C",IF(C15&lt;'PlayerGrades+'!$Y$33,"C+",IF(C15&lt;'PlayerGrades+'!$Y$32,"B-",IF(C15&lt;'PlayerGrades+'!$Y$31,"B",IF(C15&lt;'PlayerGrades+'!$Y$30,"B+",IF(C15&lt;'PlayerGrades+'!$Y$29,"A-",IF(C15&lt;'PlayerGrades+'!$Y$28,"A",IF(C15&lt;'PlayerGrades+'!$Y$27,"A+",IF(C15&lt;'PlayerGrades+'!$Y$26,"S-",IF(C15&lt;'PlayerGrades+'!$Y$25,"S","S+"))))))))))))))))))))</f>
        <v>A-</v>
      </c>
      <c r="C15" s="1105">
        <f>('PlayerGrades+'!$Y$47*(VLOOKUP(E15, 'PlayerGrades+'!$X$3:$Y$23, 2, FALSE)))+('PlayerGrades+'!$Y$48*(VLOOKUP(G15, 'PlayerGrades+'!$X$3:$Y$23, 2, FALSE)))+('PlayerGrades+'!$Y$49*(VLOOKUP(I15, 'PlayerGrades+'!$X$3:$Y$23, 2, FALSE)))+('PlayerGrades+'!$Y$50*(VLOOKUP(K15, 'PlayerGrades+'!$X$3:$Y$23, 2, FALSE)))+('PlayerGrades+'!$Y$51*(VLOOKUP(M15, 'PlayerGrades+'!$X$3:$Y$23, 2, FALSE)))+('PlayerGrades+'!$Y$52*(VLOOKUP(O15, 'PlayerGrades+'!$X$3:$Y$23, 2, FALSE)))+('PlayerGrades+'!$Y$53*(VLOOKUP(Q15, 'PlayerGrades+'!$X$3:$Y$23, 2, FALSE)))+('PlayerGrades+'!$Y$54*(VLOOKUP(S15, 'PlayerGrades+'!$X$3:$Y$23, 2, FALSE)))+('PlayerGrades+'!$Y$55*(VLOOKUP(U15, 'PlayerGrades+'!$X$3:$Y$23, 2, FALSE)))</f>
        <v>20.95</v>
      </c>
      <c r="D15" s="961">
        <f t="shared" si="1"/>
        <v>0.1208053691</v>
      </c>
      <c r="E15" s="961" t="str">
        <f>IF(D15&lt;'PlayerGrades+'!$AA$21,"F-",IF(D15&lt;'PlayerGrades+'!$AA$20,"F",IF(D15&lt;'PlayerGrades+'!$AA$19,"F+",IF(D15&lt;'PlayerGrades+'!$AA$18,"E-",IF(D15&lt;'PlayerGrades+'!$AA$17,"E",IF(D15&lt;'PlayerGrades+'!$AA$16,"E+",IF(D15&lt;'PlayerGrades+'!$AA$15,"D-",IF(D15&lt;'PlayerGrades+'!$AA$14,"D",IF(D15&lt;'PlayerGrades+'!$AA$13,"D+",IF(D15&lt;'PlayerGrades+'!$AA$12,"C-",IF(D15&lt;'PlayerGrades+'!$AA$11,"C",IF(D15&lt;'PlayerGrades+'!$AA$10,"C+",IF(D15&lt;'PlayerGrades+'!$AA$9,"B-",IF(D15&lt;'PlayerGrades+'!$AA$8,"B",IF(D15&lt;'PlayerGrades+'!$AA$7,"B+",IF(D15&lt;'PlayerGrades+'!$AA$6,"A-",IF(D15&lt;'PlayerGrades+'!$AA$5,"A",IF(D15&lt;'PlayerGrades+'!$AA$4,"A+",IF(D15&lt;'PlayerGrades+'!$AA$3,"S-",IF(D15&lt;'PlayerGrades+'!$AA$2,"S","S+"))))))))))))))))))))</f>
        <v>A+</v>
      </c>
      <c r="F15" s="961">
        <f t="shared" si="2"/>
        <v>0.03633982649</v>
      </c>
      <c r="G15" s="961" t="str">
        <f>IF(F15&lt;'PlayerGrades+'!$AB$21,"F-",IF(F15&lt;'PlayerGrades+'!$AB$20,"F",IF(F15&lt;'PlayerGrades+'!$AB$19,"F+",IF(F15&lt;'PlayerGrades+'!$AB$18,"E-",IF(F15&lt;'PlayerGrades+'!$AB$17,"E",IF(F15&lt;'PlayerGrades+'!$AB$16,"E+",IF(F15&lt;'PlayerGrades+'!$AB$15,"D-",IF(F15&lt;'PlayerGrades+'!$AB$14,"D",IF(F15&lt;'PlayerGrades+'!$AB$13,"D+",IF(F15&lt;'PlayerGrades+'!$AB$12,"C-",IF(F15&lt;'PlayerGrades+'!$AB$11,"C",IF(F15&lt;'PlayerGrades+'!$AB$10,"C+",IF(F15&lt;'PlayerGrades+'!$AB$9,"B-",IF(F15&lt;'PlayerGrades+'!$AB$8,"B",IF(F15&lt;'PlayerGrades+'!$AB$7,"B+",IF(F15&lt;'PlayerGrades+'!$AB$6,"A-",IF(F15&lt;'PlayerGrades+'!$AB$5,"A",IF(F15&lt;'PlayerGrades+'!$AB$4,"A+",IF(F15&lt;'PlayerGrades+'!$AB$3,"S-",IF(F15&lt;'PlayerGrades+'!$AB$2,"S","S+"))))))))))))))))))))</f>
        <v>A</v>
      </c>
      <c r="H15" s="961">
        <f t="shared" si="3"/>
        <v>0.4429530201</v>
      </c>
      <c r="I15" s="961" t="str">
        <f>IF(H15&lt;'PlayerGrades+'!$AC$21,"F-",IF(H15&lt;'PlayerGrades+'!$AC$20,"F",IF(H15&lt;'PlayerGrades+'!$AC$19,"F+",IF(H15&lt;'PlayerGrades+'!$AC$18,"E-",IF(H15&lt;'PlayerGrades+'!$AC$17,"E",IF(H15&lt;'PlayerGrades+'!$AC$16,"E+",IF(H15&lt;'PlayerGrades+'!$AC$15,"D-",IF(H15&lt;'PlayerGrades+'!$AC$14,"D",IF(H15&lt;'PlayerGrades+'!$AC$13,"D+",IF(H15&lt;'PlayerGrades+'!$AC$12,"C-",IF(H15&lt;'PlayerGrades+'!$AC$11,"C",IF(H15&lt;'PlayerGrades+'!$AC$10,"C+",IF(H15&lt;'PlayerGrades+'!$AC$9,"B-",IF(H15&lt;'PlayerGrades+'!$AC$8,"B",IF(H15&lt;'PlayerGrades+'!$AC$7,"B+",IF(H15&lt;'PlayerGrades+'!$AC$6,"A-",IF(H15&lt;'PlayerGrades+'!$AC$5,"A",IF(H15&lt;'PlayerGrades+'!$AC$4,"A+",IF(H15&lt;'PlayerGrades+'!$AC$3,"S-",IF(H15&lt;'PlayerGrades+'!$AC$2,"S","S+"))))))))))))))))))))</f>
        <v>C-</v>
      </c>
      <c r="J15" s="961">
        <f t="shared" si="4"/>
        <v>0.08053691275</v>
      </c>
      <c r="K15" s="961" t="str">
        <f>IF(J15&lt;'PlayerGrades+'!$AD$21,"F-",IF(J15&lt;'PlayerGrades+'!$AD$20,"F",IF(J15&lt;'PlayerGrades+'!$AD$19,"F+",IF(J15&lt;'PlayerGrades+'!$AD$18,"E-",IF(J15&lt;'PlayerGrades+'!$AD$17,"E",IF(J15&lt;'PlayerGrades+'!$AD$16,"E+",IF(J15&lt;'PlayerGrades+'!$AD$15,"D-",IF(J15&lt;'PlayerGrades+'!$AD$14,"D",IF(J15&lt;'PlayerGrades+'!$AD$13,"D+",IF(J15&lt;'PlayerGrades+'!$AD$12,"C-",IF(J15&lt;'PlayerGrades+'!$AD$11,"C",IF(J15&lt;'PlayerGrades+'!$AD$10,"C+",IF(J15&lt;'PlayerGrades+'!$AD$9,"B-",IF(J15&lt;'PlayerGrades+'!$AD$8,"B",IF(J15&lt;'PlayerGrades+'!$AD$7,"B+",IF(J15&lt;'PlayerGrades+'!$AD$6,"A-",IF(J15&lt;'PlayerGrades+'!$AD$5,"A",IF(J15&lt;'PlayerGrades+'!$AD$4,"A+",IF(J15&lt;'PlayerGrades+'!$AD$3,"S-",IF(J15&lt;'PlayerGrades+'!$AD$2,"S","S+"))))))))))))))))))))</f>
        <v>A</v>
      </c>
      <c r="L15" s="992">
        <f t="shared" si="5"/>
        <v>0.322147651</v>
      </c>
      <c r="M15" s="992" t="str">
        <f>IF(L15&lt;'PlayerGrades+'!$AE$21,"F-",IF(L15&lt;'PlayerGrades+'!$AE$20,"F",IF(L15&lt;'PlayerGrades+'!$AE$19,"F+",IF(L15&lt;'PlayerGrades+'!$AE$18,"E-",IF(L15&lt;'PlayerGrades+'!$AE$17,"E",IF(L15&lt;'PlayerGrades+'!$AE$16,"E+",IF(L15&lt;'PlayerGrades+'!$AE$15,"D-",IF(L15&lt;'PlayerGrades+'!$AE$14,"D",IF(L15&lt;'PlayerGrades+'!$AE$13,"D+",IF(L15&lt;'PlayerGrades+'!$AE$12,"C-",IF(L15&lt;'PlayerGrades+'!$AE$11,"C",IF(L15&lt;'PlayerGrades+'!$AE$10,"C+",IF(L15&lt;'PlayerGrades+'!$AE$9,"B-",IF(L15&lt;'PlayerGrades+'!$AE$8,"B",IF(L15&lt;'PlayerGrades+'!$AE$7,"B+",IF(L15&lt;'PlayerGrades+'!$AE$6,"A-",IF(L15&lt;'PlayerGrades+'!$AE$5,"A",IF(L15&lt;'PlayerGrades+'!$AE$4,"A+",IF(L15&lt;'PlayerGrades+'!$AE$3,"S-",IF(L15&lt;'PlayerGrades+'!$AE$2,"S","S+"))))))))))))))))))))</f>
        <v>E-</v>
      </c>
      <c r="N15" s="961">
        <f t="shared" si="6"/>
        <v>0.2013422819</v>
      </c>
      <c r="O15" s="961" t="str">
        <f>IF(N15&lt;'PlayerGrades+'!$AF$21,"F-",IF(N15&lt;'PlayerGrades+'!$AF$20,"F",IF(N15&lt;'PlayerGrades+'!$AF$19,"F+",IF(N15&lt;'PlayerGrades+'!$AF$18,"E-",IF(N15&lt;'PlayerGrades+'!$AF$17,"E",IF(N15&lt;'PlayerGrades+'!$AF$16,"E+",IF(N15&lt;'PlayerGrades+'!$AF$15,"D-",IF(N15&lt;'PlayerGrades+'!$AF$14,"D",IF(N15&lt;'PlayerGrades+'!$AF$13,"D+",IF(N15&lt;'PlayerGrades+'!$AF$12,"C-",IF(N15&lt;'PlayerGrades+'!$AF$11,"C",IF(N15&lt;'PlayerGrades+'!$AF$10,"C+",IF(N15&lt;'PlayerGrades+'!$AF$9,"B-",IF(N15&lt;'PlayerGrades+'!$AF$8,"B",IF(N15&lt;'PlayerGrades+'!$AF$7,"B+",IF(N15&lt;'PlayerGrades+'!$AF$6,"A-",IF(N15&lt;'PlayerGrades+'!$AF$5,"A",IF(N15&lt;'PlayerGrades+'!$AF$4,"A+",IF(N15&lt;'PlayerGrades+'!$AF$3,"S-",IF(N15&lt;'PlayerGrades+'!$AF$2,"S","S+"))))))))))))))))))))</f>
        <v>S-</v>
      </c>
      <c r="P15" s="961">
        <f t="shared" si="7"/>
        <v>0.8053691275</v>
      </c>
      <c r="Q15" s="961" t="str">
        <f>IF(P15&lt;'PlayerGrades+'!$AG$21,"F-",IF(P15&lt;'PlayerGrades+'!$AG$20,"F",IF(P15&lt;'PlayerGrades+'!$AG$19,"F+",IF(P15&lt;'PlayerGrades+'!$AG$18,"E-",IF(P15&lt;'PlayerGrades+'!$AG$17,"E",IF(P15&lt;'PlayerGrades+'!$AG$16,"E+",IF(P15&lt;'PlayerGrades+'!$AG$15,"D-",IF(P15&lt;'PlayerGrades+'!$AG$14,"D",IF(P15&lt;'PlayerGrades+'!$AG$13,"D+",IF(P15&lt;'PlayerGrades+'!$AG$12,"C-",IF(P15&lt;'PlayerGrades+'!$AG$11,"C",IF(P15&lt;'PlayerGrades+'!$AG$10,"C+",IF(P15&lt;'PlayerGrades+'!$AG$9,"B-",IF(P15&lt;'PlayerGrades+'!$AG$8,"B",IF(P15&lt;'PlayerGrades+'!$AG$7,"B+",IF(P15&lt;'PlayerGrades+'!$AG$6,"A-",IF(P15&lt;'PlayerGrades+'!$AG$5,"A",IF(P15&lt;'PlayerGrades+'!$AG$4,"A+",IF(P15&lt;'PlayerGrades+'!$AG$3,"S-",IF(P15&lt;'PlayerGrades+'!$AG$2,"S","S+"))))))))))))))))))))</f>
        <v>A-</v>
      </c>
      <c r="R15" s="961">
        <f t="shared" si="8"/>
        <v>0.04026845638</v>
      </c>
      <c r="S15" s="961" t="str">
        <f>IF(R15&lt;'PlayerGrades+'!$AH$21,"F-",IF(R15&lt;'PlayerGrades+'!$AH$20,"F",IF(R15&lt;'PlayerGrades+'!$AH$19,"F+",IF(R15&lt;'PlayerGrades+'!$AH$18,"E-",IF(R15&lt;'PlayerGrades+'!$AH$17,"E",IF(R15&lt;'PlayerGrades+'!$AH$16,"E+",IF(R15&lt;'PlayerGrades+'!$AH$15,"D-",IF(R15&lt;'PlayerGrades+'!$AH$14,"D",IF(R15&lt;'PlayerGrades+'!$AH$13,"D+",IF(R15&lt;'PlayerGrades+'!$AH$12,"C-",IF(R15&lt;'PlayerGrades+'!$AH$11,"C",IF(R15&lt;'PlayerGrades+'!$AH$10,"C+",IF(R15&lt;'PlayerGrades+'!$AH$9,"B-",IF(R15&lt;'PlayerGrades+'!$AH$8,"B",IF(R15&lt;'PlayerGrades+'!$AH$7,"B+",IF(R15&lt;'PlayerGrades+'!$AH$6,"A-",IF(R15&lt;'PlayerGrades+'!$AH$5,"A",IF(R15&lt;'PlayerGrades+'!$AH$4,"A+",IF(R15&lt;'PlayerGrades+'!$AH$3,"S-",IF(R15&lt;'PlayerGrades+'!$AH$2,"S","S+"))))))))))))))))))))</f>
        <v>E</v>
      </c>
      <c r="T15" s="961">
        <f t="shared" si="9"/>
        <v>2.979865772</v>
      </c>
      <c r="U15" s="961" t="str">
        <f>IF(T15&lt;'PlayerGrades+'!$AI$21,"F-",IF(T15&lt;'PlayerGrades+'!$AI$20,"F",IF(T15&lt;'PlayerGrades+'!$AI$19,"F+",IF(T15&lt;'PlayerGrades+'!$AI$18,"E-",IF(T15&lt;'PlayerGrades+'!$AI$17,"E",IF(T15&lt;'PlayerGrades+'!$AI$16,"E+",IF(T15&lt;'PlayerGrades+'!$AI$15,"D-",IF(T15&lt;'PlayerGrades+'!$AI$14,"D",IF(T15&lt;'PlayerGrades+'!$AI$13,"D+",IF(T15&lt;'PlayerGrades+'!$AI$12,"C-",IF(T15&lt;'PlayerGrades+'!$AI$11,"C",IF(T15&lt;'PlayerGrades+'!$AI$10,"C+",IF(T15&lt;'PlayerGrades+'!$AI$9,"B-",IF(T15&lt;'PlayerGrades+'!$AI$8,"B",IF(T15&lt;'PlayerGrades+'!$AI$7,"B+",IF(T15&lt;'PlayerGrades+'!$AI$6,"A-",IF(T15&lt;'PlayerGrades+'!$AI$5,"A",IF(T15&lt;'PlayerGrades+'!$AI$4,"A+",IF(T15&lt;'PlayerGrades+'!$AI$3,"S-",IF(T15&lt;'PlayerGrades+'!$AI$2,"S","S+"))))))))))))))))))))</f>
        <v>B</v>
      </c>
      <c r="V15" s="1017">
        <v>0.0</v>
      </c>
      <c r="W15" s="1017">
        <v>1.0</v>
      </c>
      <c r="X15" s="1017">
        <v>3.0</v>
      </c>
      <c r="Y15" s="1017">
        <v>18.0</v>
      </c>
      <c r="Z15" s="1017">
        <v>74.0</v>
      </c>
      <c r="AA15" s="1017">
        <v>82.0</v>
      </c>
      <c r="AB15" s="1017">
        <f t="shared" si="10"/>
        <v>-8</v>
      </c>
      <c r="AC15" s="1020">
        <f t="shared" si="11"/>
        <v>0.9024390244</v>
      </c>
      <c r="AD15" s="1022">
        <v>0.0</v>
      </c>
      <c r="AE15" s="1023">
        <v>1490.0</v>
      </c>
      <c r="AF15" s="1022">
        <v>2.0</v>
      </c>
      <c r="AG15" s="1022">
        <v>0.0</v>
      </c>
      <c r="AH15" s="1022">
        <v>0.0</v>
      </c>
      <c r="AI15" s="1022">
        <v>0.0</v>
      </c>
      <c r="AJ15" s="1022">
        <v>3.0</v>
      </c>
      <c r="AK15" s="1022">
        <v>8.0</v>
      </c>
      <c r="AL15" s="1022">
        <v>5.0</v>
      </c>
      <c r="AM15" s="1022">
        <v>2.0</v>
      </c>
      <c r="AN15" s="1022">
        <v>1.0</v>
      </c>
      <c r="AO15" s="1022">
        <v>1.0</v>
      </c>
      <c r="AP15" s="1022">
        <v>0.0</v>
      </c>
      <c r="AQ15" s="1022">
        <v>0.0</v>
      </c>
      <c r="AR15" s="1022">
        <v>0.0</v>
      </c>
      <c r="AS15" s="1022">
        <v>0.0</v>
      </c>
      <c r="AT15" s="1022">
        <v>0.0</v>
      </c>
      <c r="AU15" s="1022">
        <v>11.0</v>
      </c>
      <c r="AV15" s="1022">
        <v>0.0</v>
      </c>
      <c r="AW15" s="1022">
        <v>1.0</v>
      </c>
      <c r="AX15" s="1022">
        <v>0.0</v>
      </c>
      <c r="AY15" s="1022">
        <v>0.0</v>
      </c>
      <c r="AZ15" s="1027">
        <v>0.0</v>
      </c>
    </row>
    <row r="16">
      <c r="A16" s="1223" t="s">
        <v>396</v>
      </c>
      <c r="B16" s="1100" t="str">
        <f>IF(C16&lt;'PlayerGrades+'!$Y$44,"F-",IF(C16&lt;'PlayerGrades+'!$Y$43,"F",IF(C16&lt;'PlayerGrades+'!$Y$42,"F+",IF(C16&lt;'PlayerGrades+'!$Y$41,"E-",IF(C16&lt;'PlayerGrades+'!$Y$40,"E",IF(C16&lt;'PlayerGrades+'!$Y$39,"E+",IF(C16&lt;'PlayerGrades+'!$Y$38,"D-",IF(C16&lt;'PlayerGrades+'!$Y$37,"D",IF(C16&lt;'PlayerGrades+'!$Y$36,"D+",IF(C16&lt;'PlayerGrades+'!$Y$35,"C-",IF(C16&lt;'PlayerGrades+'!$Y$34,"C",IF(C16&lt;'PlayerGrades+'!$Y$33,"C+",IF(C16&lt;'PlayerGrades+'!$Y$32,"B-",IF(C16&lt;'PlayerGrades+'!$Y$31,"B",IF(C16&lt;'PlayerGrades+'!$Y$30,"B+",IF(C16&lt;'PlayerGrades+'!$Y$29,"A-",IF(C16&lt;'PlayerGrades+'!$Y$28,"A",IF(C16&lt;'PlayerGrades+'!$Y$27,"A+",IF(C16&lt;'PlayerGrades+'!$Y$26,"S-",IF(C16&lt;'PlayerGrades+'!$Y$25,"S","S+"))))))))))))))))))))</f>
        <v>B-</v>
      </c>
      <c r="C16" s="1105">
        <f>('PlayerGrades+'!$Y$47*(VLOOKUP(E16, 'PlayerGrades+'!$X$3:$Y$23, 2, FALSE)))+('PlayerGrades+'!$Y$48*(VLOOKUP(G16, 'PlayerGrades+'!$X$3:$Y$23, 2, FALSE)))+('PlayerGrades+'!$Y$49*(VLOOKUP(I16, 'PlayerGrades+'!$X$3:$Y$23, 2, FALSE)))+('PlayerGrades+'!$Y$50*(VLOOKUP(K16, 'PlayerGrades+'!$X$3:$Y$23, 2, FALSE)))+('PlayerGrades+'!$Y$51*(VLOOKUP(M16, 'PlayerGrades+'!$X$3:$Y$23, 2, FALSE)))+('PlayerGrades+'!$Y$52*(VLOOKUP(O16, 'PlayerGrades+'!$X$3:$Y$23, 2, FALSE)))+('PlayerGrades+'!$Y$53*(VLOOKUP(Q16, 'PlayerGrades+'!$X$3:$Y$23, 2, FALSE)))+('PlayerGrades+'!$Y$54*(VLOOKUP(S16, 'PlayerGrades+'!$X$3:$Y$23, 2, FALSE)))+('PlayerGrades+'!$Y$55*(VLOOKUP(U16, 'PlayerGrades+'!$X$3:$Y$23, 2, FALSE)))</f>
        <v>17.475</v>
      </c>
      <c r="D16" s="961">
        <f t="shared" si="1"/>
        <v>0</v>
      </c>
      <c r="E16" s="961" t="str">
        <f>IF(D16&lt;'PlayerGrades+'!$AA$21,"F-",IF(D16&lt;'PlayerGrades+'!$AA$20,"F",IF(D16&lt;'PlayerGrades+'!$AA$19,"F+",IF(D16&lt;'PlayerGrades+'!$AA$18,"E-",IF(D16&lt;'PlayerGrades+'!$AA$17,"E",IF(D16&lt;'PlayerGrades+'!$AA$16,"E+",IF(D16&lt;'PlayerGrades+'!$AA$15,"D-",IF(D16&lt;'PlayerGrades+'!$AA$14,"D",IF(D16&lt;'PlayerGrades+'!$AA$13,"D+",IF(D16&lt;'PlayerGrades+'!$AA$12,"C-",IF(D16&lt;'PlayerGrades+'!$AA$11,"C",IF(D16&lt;'PlayerGrades+'!$AA$10,"C+",IF(D16&lt;'PlayerGrades+'!$AA$9,"B-",IF(D16&lt;'PlayerGrades+'!$AA$8,"B",IF(D16&lt;'PlayerGrades+'!$AA$7,"B+",IF(D16&lt;'PlayerGrades+'!$AA$6,"A-",IF(D16&lt;'PlayerGrades+'!$AA$5,"A",IF(D16&lt;'PlayerGrades+'!$AA$4,"A+",IF(D16&lt;'PlayerGrades+'!$AA$3,"S-",IF(D16&lt;'PlayerGrades+'!$AA$2,"S","S+"))))))))))))))))))))</f>
        <v>F-</v>
      </c>
      <c r="F16" s="961">
        <f t="shared" si="2"/>
        <v>0.03418136413</v>
      </c>
      <c r="G16" s="961" t="str">
        <f>IF(F16&lt;'PlayerGrades+'!$AB$21,"F-",IF(F16&lt;'PlayerGrades+'!$AB$20,"F",IF(F16&lt;'PlayerGrades+'!$AB$19,"F+",IF(F16&lt;'PlayerGrades+'!$AB$18,"E-",IF(F16&lt;'PlayerGrades+'!$AB$17,"E",IF(F16&lt;'PlayerGrades+'!$AB$16,"E+",IF(F16&lt;'PlayerGrades+'!$AB$15,"D-",IF(F16&lt;'PlayerGrades+'!$AB$14,"D",IF(F16&lt;'PlayerGrades+'!$AB$13,"D+",IF(F16&lt;'PlayerGrades+'!$AB$12,"C-",IF(F16&lt;'PlayerGrades+'!$AB$11,"C",IF(F16&lt;'PlayerGrades+'!$AB$10,"C+",IF(F16&lt;'PlayerGrades+'!$AB$9,"B-",IF(F16&lt;'PlayerGrades+'!$AB$8,"B",IF(F16&lt;'PlayerGrades+'!$AB$7,"B+",IF(F16&lt;'PlayerGrades+'!$AB$6,"A-",IF(F16&lt;'PlayerGrades+'!$AB$5,"A",IF(F16&lt;'PlayerGrades+'!$AB$4,"A+",IF(F16&lt;'PlayerGrades+'!$AB$3,"S-",IF(F16&lt;'PlayerGrades+'!$AB$2,"S","S+"))))))))))))))))))))</f>
        <v>A</v>
      </c>
      <c r="H16" s="961">
        <f t="shared" si="3"/>
        <v>0.4429530201</v>
      </c>
      <c r="I16" s="961" t="str">
        <f>IF(H16&lt;'PlayerGrades+'!$AC$21,"F-",IF(H16&lt;'PlayerGrades+'!$AC$20,"F",IF(H16&lt;'PlayerGrades+'!$AC$19,"F+",IF(H16&lt;'PlayerGrades+'!$AC$18,"E-",IF(H16&lt;'PlayerGrades+'!$AC$17,"E",IF(H16&lt;'PlayerGrades+'!$AC$16,"E+",IF(H16&lt;'PlayerGrades+'!$AC$15,"D-",IF(H16&lt;'PlayerGrades+'!$AC$14,"D",IF(H16&lt;'PlayerGrades+'!$AC$13,"D+",IF(H16&lt;'PlayerGrades+'!$AC$12,"C-",IF(H16&lt;'PlayerGrades+'!$AC$11,"C",IF(H16&lt;'PlayerGrades+'!$AC$10,"C+",IF(H16&lt;'PlayerGrades+'!$AC$9,"B-",IF(H16&lt;'PlayerGrades+'!$AC$8,"B",IF(H16&lt;'PlayerGrades+'!$AC$7,"B+",IF(H16&lt;'PlayerGrades+'!$AC$6,"A-",IF(H16&lt;'PlayerGrades+'!$AC$5,"A",IF(H16&lt;'PlayerGrades+'!$AC$4,"A+",IF(H16&lt;'PlayerGrades+'!$AC$3,"S-",IF(H16&lt;'PlayerGrades+'!$AC$2,"S","S+"))))))))))))))))))))</f>
        <v>C-</v>
      </c>
      <c r="J16" s="961">
        <f t="shared" si="4"/>
        <v>0.08053691275</v>
      </c>
      <c r="K16" s="961" t="str">
        <f>IF(J16&lt;'PlayerGrades+'!$AD$21,"F-",IF(J16&lt;'PlayerGrades+'!$AD$20,"F",IF(J16&lt;'PlayerGrades+'!$AD$19,"F+",IF(J16&lt;'PlayerGrades+'!$AD$18,"E-",IF(J16&lt;'PlayerGrades+'!$AD$17,"E",IF(J16&lt;'PlayerGrades+'!$AD$16,"E+",IF(J16&lt;'PlayerGrades+'!$AD$15,"D-",IF(J16&lt;'PlayerGrades+'!$AD$14,"D",IF(J16&lt;'PlayerGrades+'!$AD$13,"D+",IF(J16&lt;'PlayerGrades+'!$AD$12,"C-",IF(J16&lt;'PlayerGrades+'!$AD$11,"C",IF(J16&lt;'PlayerGrades+'!$AD$10,"C+",IF(J16&lt;'PlayerGrades+'!$AD$9,"B-",IF(J16&lt;'PlayerGrades+'!$AD$8,"B",IF(J16&lt;'PlayerGrades+'!$AD$7,"B+",IF(J16&lt;'PlayerGrades+'!$AD$6,"A-",IF(J16&lt;'PlayerGrades+'!$AD$5,"A",IF(J16&lt;'PlayerGrades+'!$AD$4,"A+",IF(J16&lt;'PlayerGrades+'!$AD$3,"S-",IF(J16&lt;'PlayerGrades+'!$AD$2,"S","S+"))))))))))))))))))))</f>
        <v>A</v>
      </c>
      <c r="L16" s="992">
        <f t="shared" si="5"/>
        <v>0.5234899329</v>
      </c>
      <c r="M16" s="992" t="str">
        <f>IF(L16&lt;'PlayerGrades+'!$AE$21,"F-",IF(L16&lt;'PlayerGrades+'!$AE$20,"F",IF(L16&lt;'PlayerGrades+'!$AE$19,"F+",IF(L16&lt;'PlayerGrades+'!$AE$18,"E-",IF(L16&lt;'PlayerGrades+'!$AE$17,"E",IF(L16&lt;'PlayerGrades+'!$AE$16,"E+",IF(L16&lt;'PlayerGrades+'!$AE$15,"D-",IF(L16&lt;'PlayerGrades+'!$AE$14,"D",IF(L16&lt;'PlayerGrades+'!$AE$13,"D+",IF(L16&lt;'PlayerGrades+'!$AE$12,"C-",IF(L16&lt;'PlayerGrades+'!$AE$11,"C",IF(L16&lt;'PlayerGrades+'!$AE$10,"C+",IF(L16&lt;'PlayerGrades+'!$AE$9,"B-",IF(L16&lt;'PlayerGrades+'!$AE$8,"B",IF(L16&lt;'PlayerGrades+'!$AE$7,"B+",IF(L16&lt;'PlayerGrades+'!$AE$6,"A-",IF(L16&lt;'PlayerGrades+'!$AE$5,"A",IF(L16&lt;'PlayerGrades+'!$AE$4,"A+",IF(L16&lt;'PlayerGrades+'!$AE$3,"S-",IF(L16&lt;'PlayerGrades+'!$AE$2,"S","S+"))))))))))))))))))))</f>
        <v>B+</v>
      </c>
      <c r="N16" s="961">
        <f t="shared" si="6"/>
        <v>0.1610738255</v>
      </c>
      <c r="O16" s="961" t="str">
        <f>IF(N16&lt;'PlayerGrades+'!$AF$21,"F-",IF(N16&lt;'PlayerGrades+'!$AF$20,"F",IF(N16&lt;'PlayerGrades+'!$AF$19,"F+",IF(N16&lt;'PlayerGrades+'!$AF$18,"E-",IF(N16&lt;'PlayerGrades+'!$AF$17,"E",IF(N16&lt;'PlayerGrades+'!$AF$16,"E+",IF(N16&lt;'PlayerGrades+'!$AF$15,"D-",IF(N16&lt;'PlayerGrades+'!$AF$14,"D",IF(N16&lt;'PlayerGrades+'!$AF$13,"D+",IF(N16&lt;'PlayerGrades+'!$AF$12,"C-",IF(N16&lt;'PlayerGrades+'!$AF$11,"C",IF(N16&lt;'PlayerGrades+'!$AF$10,"C+",IF(N16&lt;'PlayerGrades+'!$AF$9,"B-",IF(N16&lt;'PlayerGrades+'!$AF$8,"B",IF(N16&lt;'PlayerGrades+'!$AF$7,"B+",IF(N16&lt;'PlayerGrades+'!$AF$6,"A-",IF(N16&lt;'PlayerGrades+'!$AF$5,"A",IF(N16&lt;'PlayerGrades+'!$AF$4,"A+",IF(N16&lt;'PlayerGrades+'!$AF$3,"S-",IF(N16&lt;'PlayerGrades+'!$AF$2,"S","S+"))))))))))))))))))))</f>
        <v>A-</v>
      </c>
      <c r="P16" s="961">
        <f t="shared" si="7"/>
        <v>0.8859060403</v>
      </c>
      <c r="Q16" s="961" t="str">
        <f>IF(P16&lt;'PlayerGrades+'!$AG$21,"F-",IF(P16&lt;'PlayerGrades+'!$AG$20,"F",IF(P16&lt;'PlayerGrades+'!$AG$19,"F+",IF(P16&lt;'PlayerGrades+'!$AG$18,"E-",IF(P16&lt;'PlayerGrades+'!$AG$17,"E",IF(P16&lt;'PlayerGrades+'!$AG$16,"E+",IF(P16&lt;'PlayerGrades+'!$AG$15,"D-",IF(P16&lt;'PlayerGrades+'!$AG$14,"D",IF(P16&lt;'PlayerGrades+'!$AG$13,"D+",IF(P16&lt;'PlayerGrades+'!$AG$12,"C-",IF(P16&lt;'PlayerGrades+'!$AG$11,"C",IF(P16&lt;'PlayerGrades+'!$AG$10,"C+",IF(P16&lt;'PlayerGrades+'!$AG$9,"B-",IF(P16&lt;'PlayerGrades+'!$AG$8,"B",IF(P16&lt;'PlayerGrades+'!$AG$7,"B+",IF(P16&lt;'PlayerGrades+'!$AG$6,"A-",IF(P16&lt;'PlayerGrades+'!$AG$5,"A",IF(P16&lt;'PlayerGrades+'!$AG$4,"A+",IF(P16&lt;'PlayerGrades+'!$AG$3,"S-",IF(P16&lt;'PlayerGrades+'!$AG$2,"S","S+"))))))))))))))))))))</f>
        <v>A</v>
      </c>
      <c r="R16" s="961">
        <f t="shared" si="8"/>
        <v>0.04026845638</v>
      </c>
      <c r="S16" s="961" t="str">
        <f>IF(R16&lt;'PlayerGrades+'!$AH$21,"F-",IF(R16&lt;'PlayerGrades+'!$AH$20,"F",IF(R16&lt;'PlayerGrades+'!$AH$19,"F+",IF(R16&lt;'PlayerGrades+'!$AH$18,"E-",IF(R16&lt;'PlayerGrades+'!$AH$17,"E",IF(R16&lt;'PlayerGrades+'!$AH$16,"E+",IF(R16&lt;'PlayerGrades+'!$AH$15,"D-",IF(R16&lt;'PlayerGrades+'!$AH$14,"D",IF(R16&lt;'PlayerGrades+'!$AH$13,"D+",IF(R16&lt;'PlayerGrades+'!$AH$12,"C-",IF(R16&lt;'PlayerGrades+'!$AH$11,"C",IF(R16&lt;'PlayerGrades+'!$AH$10,"C+",IF(R16&lt;'PlayerGrades+'!$AH$9,"B-",IF(R16&lt;'PlayerGrades+'!$AH$8,"B",IF(R16&lt;'PlayerGrades+'!$AH$7,"B+",IF(R16&lt;'PlayerGrades+'!$AH$6,"A-",IF(R16&lt;'PlayerGrades+'!$AH$5,"A",IF(R16&lt;'PlayerGrades+'!$AH$4,"A+",IF(R16&lt;'PlayerGrades+'!$AH$3,"S-",IF(R16&lt;'PlayerGrades+'!$AH$2,"S","S+"))))))))))))))))))))</f>
        <v>E</v>
      </c>
      <c r="T16" s="961">
        <f t="shared" si="9"/>
        <v>2.939597315</v>
      </c>
      <c r="U16" s="961" t="str">
        <f>IF(T16&lt;'PlayerGrades+'!$AI$21,"F-",IF(T16&lt;'PlayerGrades+'!$AI$20,"F",IF(T16&lt;'PlayerGrades+'!$AI$19,"F+",IF(T16&lt;'PlayerGrades+'!$AI$18,"E-",IF(T16&lt;'PlayerGrades+'!$AI$17,"E",IF(T16&lt;'PlayerGrades+'!$AI$16,"E+",IF(T16&lt;'PlayerGrades+'!$AI$15,"D-",IF(T16&lt;'PlayerGrades+'!$AI$14,"D",IF(T16&lt;'PlayerGrades+'!$AI$13,"D+",IF(T16&lt;'PlayerGrades+'!$AI$12,"C-",IF(T16&lt;'PlayerGrades+'!$AI$11,"C",IF(T16&lt;'PlayerGrades+'!$AI$10,"C+",IF(T16&lt;'PlayerGrades+'!$AI$9,"B-",IF(T16&lt;'PlayerGrades+'!$AI$8,"B",IF(T16&lt;'PlayerGrades+'!$AI$7,"B+",IF(T16&lt;'PlayerGrades+'!$AI$6,"A-",IF(T16&lt;'PlayerGrades+'!$AI$5,"A",IF(T16&lt;'PlayerGrades+'!$AI$4,"A+",IF(T16&lt;'PlayerGrades+'!$AI$3,"S-",IF(T16&lt;'PlayerGrades+'!$AI$2,"S","S+"))))))))))))))))))))</f>
        <v>B-</v>
      </c>
      <c r="V16" s="1017">
        <v>0.0</v>
      </c>
      <c r="W16" s="1017">
        <v>1.0</v>
      </c>
      <c r="X16" s="1017">
        <v>0.0</v>
      </c>
      <c r="Y16" s="1017">
        <v>0.0</v>
      </c>
      <c r="Z16" s="1017">
        <v>73.0</v>
      </c>
      <c r="AA16" s="1017">
        <v>86.0</v>
      </c>
      <c r="AB16" s="1017">
        <f t="shared" si="10"/>
        <v>-13</v>
      </c>
      <c r="AC16" s="1020">
        <f t="shared" si="11"/>
        <v>0.8488372093</v>
      </c>
      <c r="AD16" s="1022">
        <v>0.0</v>
      </c>
      <c r="AE16" s="1023">
        <v>1490.0</v>
      </c>
      <c r="AF16" s="1017">
        <v>2.0</v>
      </c>
      <c r="AG16" s="1022">
        <v>0.0</v>
      </c>
      <c r="AH16" s="1022">
        <v>0.0</v>
      </c>
      <c r="AI16" s="1022">
        <v>0.0</v>
      </c>
      <c r="AJ16" s="1022">
        <v>3.0</v>
      </c>
      <c r="AK16" s="1022">
        <v>13.0</v>
      </c>
      <c r="AL16" s="1022">
        <v>4.0</v>
      </c>
      <c r="AM16" s="1022">
        <v>2.0</v>
      </c>
      <c r="AN16" s="1022">
        <v>0.0</v>
      </c>
      <c r="AO16" s="1022">
        <v>0.0</v>
      </c>
      <c r="AP16" s="1022">
        <v>0.0</v>
      </c>
      <c r="AQ16" s="1022">
        <v>0.0</v>
      </c>
      <c r="AR16" s="1022">
        <v>0.0</v>
      </c>
      <c r="AS16" s="1022">
        <v>0.0</v>
      </c>
      <c r="AT16" s="1022">
        <v>0.0</v>
      </c>
      <c r="AU16" s="1022">
        <v>11.0</v>
      </c>
      <c r="AV16" s="1022">
        <v>0.0</v>
      </c>
      <c r="AW16" s="1022">
        <v>0.0</v>
      </c>
      <c r="AX16" s="1022">
        <v>0.0</v>
      </c>
      <c r="AY16" s="1022">
        <v>1.0</v>
      </c>
      <c r="AZ16" s="1027">
        <v>0.0</v>
      </c>
    </row>
    <row r="17">
      <c r="A17" s="1226" t="s">
        <v>187</v>
      </c>
      <c r="B17" s="1227" t="str">
        <f>IF(C17&lt;'PlayerGrades+'!$Y$44,"F-",IF(C17&lt;'PlayerGrades+'!$Y$43,"F",IF(C17&lt;'PlayerGrades+'!$Y$42,"F+",IF(C17&lt;'PlayerGrades+'!$Y$41,"E-",IF(C17&lt;'PlayerGrades+'!$Y$40,"E",IF(C17&lt;'PlayerGrades+'!$Y$39,"E+",IF(C17&lt;'PlayerGrades+'!$Y$38,"D-",IF(C17&lt;'PlayerGrades+'!$Y$37,"D",IF(C17&lt;'PlayerGrades+'!$Y$36,"D+",IF(C17&lt;'PlayerGrades+'!$Y$35,"C-",IF(C17&lt;'PlayerGrades+'!$Y$34,"C",IF(C17&lt;'PlayerGrades+'!$Y$33,"C+",IF(C17&lt;'PlayerGrades+'!$Y$32,"B-",IF(C17&lt;'PlayerGrades+'!$Y$31,"B",IF(C17&lt;'PlayerGrades+'!$Y$30,"B+",IF(C17&lt;'PlayerGrades+'!$Y$29,"A-",IF(C17&lt;'PlayerGrades+'!$Y$28,"A",IF(C17&lt;'PlayerGrades+'!$Y$27,"A+",IF(C17&lt;'PlayerGrades+'!$Y$26,"S-",IF(C17&lt;'PlayerGrades+'!$Y$25,"S","S+"))))))))))))))))))))</f>
        <v>E</v>
      </c>
      <c r="C17" s="1229">
        <f>('PlayerGrades+'!$Y$47*(VLOOKUP(E17, 'PlayerGrades+'!$X$3:$Y$23, 2, FALSE)))+('PlayerGrades+'!$Y$48*(VLOOKUP(G17, 'PlayerGrades+'!$X$3:$Y$23, 2, FALSE)))+('PlayerGrades+'!$Y$49*(VLOOKUP(I17, 'PlayerGrades+'!$X$3:$Y$23, 2, FALSE)))+('PlayerGrades+'!$Y$50*(VLOOKUP(K17, 'PlayerGrades+'!$X$3:$Y$23, 2, FALSE)))+('PlayerGrades+'!$Y$51*(VLOOKUP(M17, 'PlayerGrades+'!$X$3:$Y$23, 2, FALSE)))+('PlayerGrades+'!$Y$52*(VLOOKUP(O17, 'PlayerGrades+'!$X$3:$Y$23, 2, FALSE)))+('PlayerGrades+'!$Y$53*(VLOOKUP(Q17, 'PlayerGrades+'!$X$3:$Y$23, 2, FALSE)))+('PlayerGrades+'!$Y$54*(VLOOKUP(S17, 'PlayerGrades+'!$X$3:$Y$23, 2, FALSE)))+('PlayerGrades+'!$Y$55*(VLOOKUP(U17, 'PlayerGrades+'!$X$3:$Y$23, 2, FALSE)))</f>
        <v>10.025</v>
      </c>
      <c r="D17" s="1230">
        <f t="shared" si="1"/>
        <v>0.04026845638</v>
      </c>
      <c r="E17" s="1230" t="str">
        <f>IF(D17&lt;'PlayerGrades+'!$AA$21,"F-",IF(D17&lt;'PlayerGrades+'!$AA$20,"F",IF(D17&lt;'PlayerGrades+'!$AA$19,"F+",IF(D17&lt;'PlayerGrades+'!$AA$18,"E-",IF(D17&lt;'PlayerGrades+'!$AA$17,"E",IF(D17&lt;'PlayerGrades+'!$AA$16,"E+",IF(D17&lt;'PlayerGrades+'!$AA$15,"D-",IF(D17&lt;'PlayerGrades+'!$AA$14,"D",IF(D17&lt;'PlayerGrades+'!$AA$13,"D+",IF(D17&lt;'PlayerGrades+'!$AA$12,"C-",IF(D17&lt;'PlayerGrades+'!$AA$11,"C",IF(D17&lt;'PlayerGrades+'!$AA$10,"C+",IF(D17&lt;'PlayerGrades+'!$AA$9,"B-",IF(D17&lt;'PlayerGrades+'!$AA$8,"B",IF(D17&lt;'PlayerGrades+'!$AA$7,"B+",IF(D17&lt;'PlayerGrades+'!$AA$6,"A-",IF(D17&lt;'PlayerGrades+'!$AA$5,"A",IF(D17&lt;'PlayerGrades+'!$AA$4,"A+",IF(D17&lt;'PlayerGrades+'!$AA$3,"S-",IF(D17&lt;'PlayerGrades+'!$AA$2,"S","S+"))))))))))))))))))))</f>
        <v>C-</v>
      </c>
      <c r="F17" s="1230">
        <f t="shared" si="2"/>
        <v>0.02265100671</v>
      </c>
      <c r="G17" s="1230" t="str">
        <f>IF(F17&lt;'PlayerGrades+'!$AB$21,"F-",IF(F17&lt;'PlayerGrades+'!$AB$20,"F",IF(F17&lt;'PlayerGrades+'!$AB$19,"F+",IF(F17&lt;'PlayerGrades+'!$AB$18,"E-",IF(F17&lt;'PlayerGrades+'!$AB$17,"E",IF(F17&lt;'PlayerGrades+'!$AB$16,"E+",IF(F17&lt;'PlayerGrades+'!$AB$15,"D-",IF(F17&lt;'PlayerGrades+'!$AB$14,"D",IF(F17&lt;'PlayerGrades+'!$AB$13,"D+",IF(F17&lt;'PlayerGrades+'!$AB$12,"C-",IF(F17&lt;'PlayerGrades+'!$AB$11,"C",IF(F17&lt;'PlayerGrades+'!$AB$10,"C+",IF(F17&lt;'PlayerGrades+'!$AB$9,"B-",IF(F17&lt;'PlayerGrades+'!$AB$8,"B",IF(F17&lt;'PlayerGrades+'!$AB$7,"B+",IF(F17&lt;'PlayerGrades+'!$AB$6,"A-",IF(F17&lt;'PlayerGrades+'!$AB$5,"A",IF(F17&lt;'PlayerGrades+'!$AB$4,"A+",IF(F17&lt;'PlayerGrades+'!$AB$3,"S-",IF(F17&lt;'PlayerGrades+'!$AB$2,"S","S+"))))))))))))))))))))</f>
        <v>A</v>
      </c>
      <c r="H17" s="1230">
        <f t="shared" si="3"/>
        <v>0.322147651</v>
      </c>
      <c r="I17" s="1230" t="str">
        <f>IF(H17&lt;'PlayerGrades+'!$AC$21,"F-",IF(H17&lt;'PlayerGrades+'!$AC$20,"F",IF(H17&lt;'PlayerGrades+'!$AC$19,"F+",IF(H17&lt;'PlayerGrades+'!$AC$18,"E-",IF(H17&lt;'PlayerGrades+'!$AC$17,"E",IF(H17&lt;'PlayerGrades+'!$AC$16,"E+",IF(H17&lt;'PlayerGrades+'!$AC$15,"D-",IF(H17&lt;'PlayerGrades+'!$AC$14,"D",IF(H17&lt;'PlayerGrades+'!$AC$13,"D+",IF(H17&lt;'PlayerGrades+'!$AC$12,"C-",IF(H17&lt;'PlayerGrades+'!$AC$11,"C",IF(H17&lt;'PlayerGrades+'!$AC$10,"C+",IF(H17&lt;'PlayerGrades+'!$AC$9,"B-",IF(H17&lt;'PlayerGrades+'!$AC$8,"B",IF(H17&lt;'PlayerGrades+'!$AC$7,"B+",IF(H17&lt;'PlayerGrades+'!$AC$6,"A-",IF(H17&lt;'PlayerGrades+'!$AC$5,"A",IF(H17&lt;'PlayerGrades+'!$AC$4,"A+",IF(H17&lt;'PlayerGrades+'!$AC$3,"S-",IF(H17&lt;'PlayerGrades+'!$AC$2,"S","S+"))))))))))))))))))))</f>
        <v>E</v>
      </c>
      <c r="J17" s="1230">
        <f t="shared" si="4"/>
        <v>0</v>
      </c>
      <c r="K17" s="1230" t="str">
        <f>IF(J17&lt;'PlayerGrades+'!$AD$21,"F-",IF(J17&lt;'PlayerGrades+'!$AD$20,"F",IF(J17&lt;'PlayerGrades+'!$AD$19,"F+",IF(J17&lt;'PlayerGrades+'!$AD$18,"E-",IF(J17&lt;'PlayerGrades+'!$AD$17,"E",IF(J17&lt;'PlayerGrades+'!$AD$16,"E+",IF(J17&lt;'PlayerGrades+'!$AD$15,"D-",IF(J17&lt;'PlayerGrades+'!$AD$14,"D",IF(J17&lt;'PlayerGrades+'!$AD$13,"D+",IF(J17&lt;'PlayerGrades+'!$AD$12,"C-",IF(J17&lt;'PlayerGrades+'!$AD$11,"C",IF(J17&lt;'PlayerGrades+'!$AD$10,"C+",IF(J17&lt;'PlayerGrades+'!$AD$9,"B-",IF(J17&lt;'PlayerGrades+'!$AD$8,"B",IF(J17&lt;'PlayerGrades+'!$AD$7,"B+",IF(J17&lt;'PlayerGrades+'!$AD$6,"A-",IF(J17&lt;'PlayerGrades+'!$AD$5,"A",IF(J17&lt;'PlayerGrades+'!$AD$4,"A+",IF(J17&lt;'PlayerGrades+'!$AD$3,"S-",IF(J17&lt;'PlayerGrades+'!$AD$2,"S","S+"))))))))))))))))))))</f>
        <v>F-</v>
      </c>
      <c r="L17" s="1231">
        <f t="shared" si="5"/>
        <v>0.2013422819</v>
      </c>
      <c r="M17" s="1231" t="str">
        <f>IF(L17&lt;'PlayerGrades+'!$AE$21,"F-",IF(L17&lt;'PlayerGrades+'!$AE$20,"F",IF(L17&lt;'PlayerGrades+'!$AE$19,"F+",IF(L17&lt;'PlayerGrades+'!$AE$18,"E-",IF(L17&lt;'PlayerGrades+'!$AE$17,"E",IF(L17&lt;'PlayerGrades+'!$AE$16,"E+",IF(L17&lt;'PlayerGrades+'!$AE$15,"D-",IF(L17&lt;'PlayerGrades+'!$AE$14,"D",IF(L17&lt;'PlayerGrades+'!$AE$13,"D+",IF(L17&lt;'PlayerGrades+'!$AE$12,"C-",IF(L17&lt;'PlayerGrades+'!$AE$11,"C",IF(L17&lt;'PlayerGrades+'!$AE$10,"C+",IF(L17&lt;'PlayerGrades+'!$AE$9,"B-",IF(L17&lt;'PlayerGrades+'!$AE$8,"B",IF(L17&lt;'PlayerGrades+'!$AE$7,"B+",IF(L17&lt;'PlayerGrades+'!$AE$6,"A-",IF(L17&lt;'PlayerGrades+'!$AE$5,"A",IF(L17&lt;'PlayerGrades+'!$AE$4,"A+",IF(L17&lt;'PlayerGrades+'!$AE$3,"S-",IF(L17&lt;'PlayerGrades+'!$AE$2,"S","S+"))))))))))))))))))))</f>
        <v>F-</v>
      </c>
      <c r="N17" s="1230">
        <f t="shared" si="6"/>
        <v>0</v>
      </c>
      <c r="O17" s="1230" t="str">
        <f>IF(N17&lt;'PlayerGrades+'!$AF$21,"F-",IF(N17&lt;'PlayerGrades+'!$AF$20,"F",IF(N17&lt;'PlayerGrades+'!$AF$19,"F+",IF(N17&lt;'PlayerGrades+'!$AF$18,"E-",IF(N17&lt;'PlayerGrades+'!$AF$17,"E",IF(N17&lt;'PlayerGrades+'!$AF$16,"E+",IF(N17&lt;'PlayerGrades+'!$AF$15,"D-",IF(N17&lt;'PlayerGrades+'!$AF$14,"D",IF(N17&lt;'PlayerGrades+'!$AF$13,"D+",IF(N17&lt;'PlayerGrades+'!$AF$12,"C-",IF(N17&lt;'PlayerGrades+'!$AF$11,"C",IF(N17&lt;'PlayerGrades+'!$AF$10,"C+",IF(N17&lt;'PlayerGrades+'!$AF$9,"B-",IF(N17&lt;'PlayerGrades+'!$AF$8,"B",IF(N17&lt;'PlayerGrades+'!$AF$7,"B+",IF(N17&lt;'PlayerGrades+'!$AF$6,"A-",IF(N17&lt;'PlayerGrades+'!$AF$5,"A",IF(N17&lt;'PlayerGrades+'!$AF$4,"A+",IF(N17&lt;'PlayerGrades+'!$AF$3,"S-",IF(N17&lt;'PlayerGrades+'!$AF$2,"S","S+"))))))))))))))))))))</f>
        <v>F-</v>
      </c>
      <c r="P17" s="1230">
        <f t="shared" si="7"/>
        <v>0.2013422819</v>
      </c>
      <c r="Q17" s="1230" t="str">
        <f>IF(P17&lt;'PlayerGrades+'!$AG$21,"F-",IF(P17&lt;'PlayerGrades+'!$AG$20,"F",IF(P17&lt;'PlayerGrades+'!$AG$19,"F+",IF(P17&lt;'PlayerGrades+'!$AG$18,"E-",IF(P17&lt;'PlayerGrades+'!$AG$17,"E",IF(P17&lt;'PlayerGrades+'!$AG$16,"E+",IF(P17&lt;'PlayerGrades+'!$AG$15,"D-",IF(P17&lt;'PlayerGrades+'!$AG$14,"D",IF(P17&lt;'PlayerGrades+'!$AG$13,"D+",IF(P17&lt;'PlayerGrades+'!$AG$12,"C-",IF(P17&lt;'PlayerGrades+'!$AG$11,"C",IF(P17&lt;'PlayerGrades+'!$AG$10,"C+",IF(P17&lt;'PlayerGrades+'!$AG$9,"B-",IF(P17&lt;'PlayerGrades+'!$AG$8,"B",IF(P17&lt;'PlayerGrades+'!$AG$7,"B+",IF(P17&lt;'PlayerGrades+'!$AG$6,"A-",IF(P17&lt;'PlayerGrades+'!$AG$5,"A",IF(P17&lt;'PlayerGrades+'!$AG$4,"A+",IF(P17&lt;'PlayerGrades+'!$AG$3,"S-",IF(P17&lt;'PlayerGrades+'!$AG$2,"S","S+"))))))))))))))))))))</f>
        <v>F-</v>
      </c>
      <c r="R17" s="1230">
        <f t="shared" si="8"/>
        <v>0.04026845638</v>
      </c>
      <c r="S17" s="1230" t="str">
        <f>IF(R17&lt;'PlayerGrades+'!$AH$21,"F-",IF(R17&lt;'PlayerGrades+'!$AH$20,"F",IF(R17&lt;'PlayerGrades+'!$AH$19,"F+",IF(R17&lt;'PlayerGrades+'!$AH$18,"E-",IF(R17&lt;'PlayerGrades+'!$AH$17,"E",IF(R17&lt;'PlayerGrades+'!$AH$16,"E+",IF(R17&lt;'PlayerGrades+'!$AH$15,"D-",IF(R17&lt;'PlayerGrades+'!$AH$14,"D",IF(R17&lt;'PlayerGrades+'!$AH$13,"D+",IF(R17&lt;'PlayerGrades+'!$AH$12,"C-",IF(R17&lt;'PlayerGrades+'!$AH$11,"C",IF(R17&lt;'PlayerGrades+'!$AH$10,"C+",IF(R17&lt;'PlayerGrades+'!$AH$9,"B-",IF(R17&lt;'PlayerGrades+'!$AH$8,"B",IF(R17&lt;'PlayerGrades+'!$AH$7,"B+",IF(R17&lt;'PlayerGrades+'!$AH$6,"A-",IF(R17&lt;'PlayerGrades+'!$AH$5,"A",IF(R17&lt;'PlayerGrades+'!$AH$4,"A+",IF(R17&lt;'PlayerGrades+'!$AH$3,"S-",IF(R17&lt;'PlayerGrades+'!$AH$2,"S","S+"))))))))))))))))))))</f>
        <v>E</v>
      </c>
      <c r="T17" s="1230">
        <f t="shared" si="9"/>
        <v>1.812080537</v>
      </c>
      <c r="U17" s="1230" t="str">
        <f>IF(T17&lt;'PlayerGrades+'!$AI$21,"F-",IF(T17&lt;'PlayerGrades+'!$AI$20,"F",IF(T17&lt;'PlayerGrades+'!$AI$19,"F+",IF(T17&lt;'PlayerGrades+'!$AI$18,"E-",IF(T17&lt;'PlayerGrades+'!$AI$17,"E",IF(T17&lt;'PlayerGrades+'!$AI$16,"E+",IF(T17&lt;'PlayerGrades+'!$AI$15,"D-",IF(T17&lt;'PlayerGrades+'!$AI$14,"D",IF(T17&lt;'PlayerGrades+'!$AI$13,"D+",IF(T17&lt;'PlayerGrades+'!$AI$12,"C-",IF(T17&lt;'PlayerGrades+'!$AI$11,"C",IF(T17&lt;'PlayerGrades+'!$AI$10,"C+",IF(T17&lt;'PlayerGrades+'!$AI$9,"B-",IF(T17&lt;'PlayerGrades+'!$AI$8,"B",IF(T17&lt;'PlayerGrades+'!$AI$7,"B+",IF(T17&lt;'PlayerGrades+'!$AI$6,"A-",IF(T17&lt;'PlayerGrades+'!$AI$5,"A",IF(T17&lt;'PlayerGrades+'!$AI$4,"A+",IF(T17&lt;'PlayerGrades+'!$AI$3,"S-",IF(T17&lt;'PlayerGrades+'!$AI$2,"S","S+"))))))))))))))))))))</f>
        <v>F-</v>
      </c>
      <c r="V17" s="1232">
        <v>0.0</v>
      </c>
      <c r="W17" s="1232">
        <v>1.0</v>
      </c>
      <c r="X17" s="1232">
        <v>1.0</v>
      </c>
      <c r="Y17" s="1232">
        <v>1.0</v>
      </c>
      <c r="Z17" s="1232">
        <v>45.0</v>
      </c>
      <c r="AA17" s="1232">
        <v>80.0</v>
      </c>
      <c r="AB17" s="1232">
        <f t="shared" si="10"/>
        <v>-35</v>
      </c>
      <c r="AC17" s="1234">
        <f t="shared" si="11"/>
        <v>0.5625</v>
      </c>
      <c r="AD17" s="1235">
        <v>0.0</v>
      </c>
      <c r="AE17" s="1236">
        <v>1490.0</v>
      </c>
      <c r="AF17" s="1232">
        <v>0.0</v>
      </c>
      <c r="AG17" s="1235">
        <v>0.0</v>
      </c>
      <c r="AH17" s="1235">
        <v>0.0</v>
      </c>
      <c r="AI17" s="1235">
        <v>0.0</v>
      </c>
      <c r="AJ17" s="1235">
        <v>0.0</v>
      </c>
      <c r="AK17" s="1235">
        <v>5.0</v>
      </c>
      <c r="AL17" s="1235">
        <v>0.0</v>
      </c>
      <c r="AM17" s="1235">
        <v>0.0</v>
      </c>
      <c r="AN17" s="1235">
        <v>0.0</v>
      </c>
      <c r="AO17" s="1235">
        <v>0.0</v>
      </c>
      <c r="AP17" s="1235">
        <v>0.0</v>
      </c>
      <c r="AQ17" s="1235">
        <v>0.0</v>
      </c>
      <c r="AR17" s="1235">
        <v>0.0</v>
      </c>
      <c r="AS17" s="1235">
        <v>0.0</v>
      </c>
      <c r="AT17" s="1235">
        <v>0.0</v>
      </c>
      <c r="AU17" s="1235">
        <v>8.0</v>
      </c>
      <c r="AV17" s="1235">
        <v>0.0</v>
      </c>
      <c r="AW17" s="1235">
        <v>0.0</v>
      </c>
      <c r="AX17" s="1235">
        <v>0.0</v>
      </c>
      <c r="AY17" s="1235">
        <v>1.0</v>
      </c>
      <c r="AZ17" s="1237">
        <v>0.0</v>
      </c>
    </row>
    <row r="18">
      <c r="A18" s="887" t="s">
        <v>54</v>
      </c>
      <c r="B18" s="1169" t="str">
        <f>IF(C18&lt;'PlayerGrades+'!$Y$44,"F-",IF(C18&lt;'PlayerGrades+'!$Y$43,"F",IF(C18&lt;'PlayerGrades+'!$Y$42,"F+",IF(C18&lt;'PlayerGrades+'!$Y$41,"E-",IF(C18&lt;'PlayerGrades+'!$Y$40,"E",IF(C18&lt;'PlayerGrades+'!$Y$39,"E+",IF(C18&lt;'PlayerGrades+'!$Y$38,"D-",IF(C18&lt;'PlayerGrades+'!$Y$37,"D",IF(C18&lt;'PlayerGrades+'!$Y$36,"D+",IF(C18&lt;'PlayerGrades+'!$Y$35,"C-",IF(C18&lt;'PlayerGrades+'!$Y$34,"C",IF(C18&lt;'PlayerGrades+'!$Y$33,"C+",IF(C18&lt;'PlayerGrades+'!$Y$32,"B-",IF(C18&lt;'PlayerGrades+'!$Y$31,"B",IF(C18&lt;'PlayerGrades+'!$Y$30,"B+",IF(C18&lt;'PlayerGrades+'!$Y$29,"A-",IF(C18&lt;'PlayerGrades+'!$Y$28,"A",IF(C18&lt;'PlayerGrades+'!$Y$27,"A+",IF(C18&lt;'PlayerGrades+'!$Y$26,"S-",IF(C18&lt;'PlayerGrades+'!$Y$25,"S","S+"))))))))))))))))))))</f>
        <v>S</v>
      </c>
      <c r="C18" s="1170">
        <f>('PlayerGrades+'!$Y$47*(VLOOKUP(E18, 'PlayerGrades+'!$X$3:$Y$23, 2, FALSE)))+('PlayerGrades+'!$Y$48*(VLOOKUP(G18, 'PlayerGrades+'!$X$3:$Y$23, 2, FALSE)))+('PlayerGrades+'!$Y$49*(VLOOKUP(I18, 'PlayerGrades+'!$X$3:$Y$23, 2, FALSE)))+('PlayerGrades+'!$Y$50*(VLOOKUP(K18, 'PlayerGrades+'!$X$3:$Y$23, 2, FALSE)))+('PlayerGrades+'!$Y$51*(VLOOKUP(M18, 'PlayerGrades+'!$X$3:$Y$23, 2, FALSE)))+('PlayerGrades+'!$Y$52*(VLOOKUP(O18, 'PlayerGrades+'!$X$3:$Y$23, 2, FALSE)))+('PlayerGrades+'!$Y$53*(VLOOKUP(Q18, 'PlayerGrades+'!$X$3:$Y$23, 2, FALSE)))+('PlayerGrades+'!$Y$54*(VLOOKUP(S18, 'PlayerGrades+'!$X$3:$Y$23, 2, FALSE)))+('PlayerGrades+'!$Y$55*(VLOOKUP(U18, 'PlayerGrades+'!$X$3:$Y$23, 2, FALSE)))</f>
        <v>27.35</v>
      </c>
      <c r="D18" s="890">
        <f t="shared" si="1"/>
        <v>0.1447527141</v>
      </c>
      <c r="E18" s="890" t="str">
        <f>IF(D18&lt;'PlayerGrades+'!$AA$21,"F-",IF(D18&lt;'PlayerGrades+'!$AA$20,"F",IF(D18&lt;'PlayerGrades+'!$AA$19,"F+",IF(D18&lt;'PlayerGrades+'!$AA$18,"E-",IF(D18&lt;'PlayerGrades+'!$AA$17,"E",IF(D18&lt;'PlayerGrades+'!$AA$16,"E+",IF(D18&lt;'PlayerGrades+'!$AA$15,"D-",IF(D18&lt;'PlayerGrades+'!$AA$14,"D",IF(D18&lt;'PlayerGrades+'!$AA$13,"D+",IF(D18&lt;'PlayerGrades+'!$AA$12,"C-",IF(D18&lt;'PlayerGrades+'!$AA$11,"C",IF(D18&lt;'PlayerGrades+'!$AA$10,"C+",IF(D18&lt;'PlayerGrades+'!$AA$9,"B-",IF(D18&lt;'PlayerGrades+'!$AA$8,"B",IF(D18&lt;'PlayerGrades+'!$AA$7,"B+",IF(D18&lt;'PlayerGrades+'!$AA$6,"A-",IF(D18&lt;'PlayerGrades+'!$AA$5,"A",IF(D18&lt;'PlayerGrades+'!$AA$4,"A+",IF(D18&lt;'PlayerGrades+'!$AA$3,"S-",IF(D18&lt;'PlayerGrades+'!$AA$2,"S","S+"))))))))))))))))))))</f>
        <v>S</v>
      </c>
      <c r="F18" s="890">
        <f t="shared" si="2"/>
        <v>0.09695700662</v>
      </c>
      <c r="G18" s="890" t="str">
        <f>IF(F18&lt;'PlayerGrades+'!$AB$21,"F-",IF(F18&lt;'PlayerGrades+'!$AB$20,"F",IF(F18&lt;'PlayerGrades+'!$AB$19,"F+",IF(F18&lt;'PlayerGrades+'!$AB$18,"E-",IF(F18&lt;'PlayerGrades+'!$AB$17,"E",IF(F18&lt;'PlayerGrades+'!$AB$16,"E+",IF(F18&lt;'PlayerGrades+'!$AB$15,"D-",IF(F18&lt;'PlayerGrades+'!$AB$14,"D",IF(F18&lt;'PlayerGrades+'!$AB$13,"D+",IF(F18&lt;'PlayerGrades+'!$AB$12,"C-",IF(F18&lt;'PlayerGrades+'!$AB$11,"C",IF(F18&lt;'PlayerGrades+'!$AB$10,"C+",IF(F18&lt;'PlayerGrades+'!$AB$9,"B-",IF(F18&lt;'PlayerGrades+'!$AB$8,"B",IF(F18&lt;'PlayerGrades+'!$AB$7,"B+",IF(F18&lt;'PlayerGrades+'!$AB$6,"A-",IF(F18&lt;'PlayerGrades+'!$AB$5,"A",IF(F18&lt;'PlayerGrades+'!$AB$4,"A+",IF(F18&lt;'PlayerGrades+'!$AB$3,"S-",IF(F18&lt;'PlayerGrades+'!$AB$2,"S","S+"))))))))))))))))))))</f>
        <v>A</v>
      </c>
      <c r="H18" s="890">
        <f t="shared" si="3"/>
        <v>1.013268999</v>
      </c>
      <c r="I18" s="890" t="str">
        <f>IF(H18&lt;'PlayerGrades+'!$AC$21,"F-",IF(H18&lt;'PlayerGrades+'!$AC$20,"F",IF(H18&lt;'PlayerGrades+'!$AC$19,"F+",IF(H18&lt;'PlayerGrades+'!$AC$18,"E-",IF(H18&lt;'PlayerGrades+'!$AC$17,"E",IF(H18&lt;'PlayerGrades+'!$AC$16,"E+",IF(H18&lt;'PlayerGrades+'!$AC$15,"D-",IF(H18&lt;'PlayerGrades+'!$AC$14,"D",IF(H18&lt;'PlayerGrades+'!$AC$13,"D+",IF(H18&lt;'PlayerGrades+'!$AC$12,"C-",IF(H18&lt;'PlayerGrades+'!$AC$11,"C",IF(H18&lt;'PlayerGrades+'!$AC$10,"C+",IF(H18&lt;'PlayerGrades+'!$AC$9,"B-",IF(H18&lt;'PlayerGrades+'!$AC$8,"B",IF(H18&lt;'PlayerGrades+'!$AC$7,"B+",IF(H18&lt;'PlayerGrades+'!$AC$6,"A-",IF(H18&lt;'PlayerGrades+'!$AC$5,"A",IF(H18&lt;'PlayerGrades+'!$AC$4,"A+",IF(H18&lt;'PlayerGrades+'!$AC$3,"S-",IF(H18&lt;'PlayerGrades+'!$AC$2,"S","S+"))))))))))))))))))))</f>
        <v>S+</v>
      </c>
      <c r="J18" s="890">
        <f t="shared" si="4"/>
        <v>0.1447527141</v>
      </c>
      <c r="K18" s="890" t="str">
        <f>IF(J18&lt;'PlayerGrades+'!$AD$21,"F-",IF(J18&lt;'PlayerGrades+'!$AD$20,"F",IF(J18&lt;'PlayerGrades+'!$AD$19,"F+",IF(J18&lt;'PlayerGrades+'!$AD$18,"E-",IF(J18&lt;'PlayerGrades+'!$AD$17,"E",IF(J18&lt;'PlayerGrades+'!$AD$16,"E+",IF(J18&lt;'PlayerGrades+'!$AD$15,"D-",IF(J18&lt;'PlayerGrades+'!$AD$14,"D",IF(J18&lt;'PlayerGrades+'!$AD$13,"D+",IF(J18&lt;'PlayerGrades+'!$AD$12,"C-",IF(J18&lt;'PlayerGrades+'!$AD$11,"C",IF(J18&lt;'PlayerGrades+'!$AD$10,"C+",IF(J18&lt;'PlayerGrades+'!$AD$9,"B-",IF(J18&lt;'PlayerGrades+'!$AD$8,"B",IF(J18&lt;'PlayerGrades+'!$AD$7,"B+",IF(J18&lt;'PlayerGrades+'!$AD$6,"A-",IF(J18&lt;'PlayerGrades+'!$AD$5,"A",IF(J18&lt;'PlayerGrades+'!$AD$4,"A+",IF(J18&lt;'PlayerGrades+'!$AD$3,"S-",IF(J18&lt;'PlayerGrades+'!$AD$2,"S","S+"))))))))))))))))))))</f>
        <v>S</v>
      </c>
      <c r="L18" s="899">
        <f t="shared" si="5"/>
        <v>1.375150784</v>
      </c>
      <c r="M18" s="899" t="str">
        <f>IF(L18&lt;'PlayerGrades+'!$AE$21,"F-",IF(L18&lt;'PlayerGrades+'!$AE$20,"F",IF(L18&lt;'PlayerGrades+'!$AE$19,"F+",IF(L18&lt;'PlayerGrades+'!$AE$18,"E-",IF(L18&lt;'PlayerGrades+'!$AE$17,"E",IF(L18&lt;'PlayerGrades+'!$AE$16,"E+",IF(L18&lt;'PlayerGrades+'!$AE$15,"D-",IF(L18&lt;'PlayerGrades+'!$AE$14,"D",IF(L18&lt;'PlayerGrades+'!$AE$13,"D+",IF(L18&lt;'PlayerGrades+'!$AE$12,"C-",IF(L18&lt;'PlayerGrades+'!$AE$11,"C",IF(L18&lt;'PlayerGrades+'!$AE$10,"C+",IF(L18&lt;'PlayerGrades+'!$AE$9,"B-",IF(L18&lt;'PlayerGrades+'!$AE$8,"B",IF(L18&lt;'PlayerGrades+'!$AE$7,"B+",IF(L18&lt;'PlayerGrades+'!$AE$6,"A-",IF(L18&lt;'PlayerGrades+'!$AE$5,"A",IF(L18&lt;'PlayerGrades+'!$AE$4,"A+",IF(L18&lt;'PlayerGrades+'!$AE$3,"S-",IF(L18&lt;'PlayerGrades+'!$AE$2,"S","S+"))))))))))))))))))))</f>
        <v>S+</v>
      </c>
      <c r="N18" s="890">
        <f t="shared" si="6"/>
        <v>0.4342581423</v>
      </c>
      <c r="O18" s="890" t="str">
        <f>IF(N18&lt;'PlayerGrades+'!$AF$21,"F-",IF(N18&lt;'PlayerGrades+'!$AF$20,"F",IF(N18&lt;'PlayerGrades+'!$AF$19,"F+",IF(N18&lt;'PlayerGrades+'!$AF$18,"E-",IF(N18&lt;'PlayerGrades+'!$AF$17,"E",IF(N18&lt;'PlayerGrades+'!$AF$16,"E+",IF(N18&lt;'PlayerGrades+'!$AF$15,"D-",IF(N18&lt;'PlayerGrades+'!$AF$14,"D",IF(N18&lt;'PlayerGrades+'!$AF$13,"D+",IF(N18&lt;'PlayerGrades+'!$AF$12,"C-",IF(N18&lt;'PlayerGrades+'!$AF$11,"C",IF(N18&lt;'PlayerGrades+'!$AF$10,"C+",IF(N18&lt;'PlayerGrades+'!$AF$9,"B-",IF(N18&lt;'PlayerGrades+'!$AF$8,"B",IF(N18&lt;'PlayerGrades+'!$AF$7,"B+",IF(N18&lt;'PlayerGrades+'!$AF$6,"A-",IF(N18&lt;'PlayerGrades+'!$AF$5,"A",IF(N18&lt;'PlayerGrades+'!$AF$4,"A+",IF(N18&lt;'PlayerGrades+'!$AF$3,"S-",IF(N18&lt;'PlayerGrades+'!$AF$2,"S","S+"))))))))))))))))))))</f>
        <v>S+</v>
      </c>
      <c r="P18" s="890">
        <f t="shared" si="7"/>
        <v>2.243667069</v>
      </c>
      <c r="Q18" s="890" t="str">
        <f>IF(P18&lt;'PlayerGrades+'!$AG$21,"F-",IF(P18&lt;'PlayerGrades+'!$AG$20,"F",IF(P18&lt;'PlayerGrades+'!$AG$19,"F+",IF(P18&lt;'PlayerGrades+'!$AG$18,"E-",IF(P18&lt;'PlayerGrades+'!$AG$17,"E",IF(P18&lt;'PlayerGrades+'!$AG$16,"E+",IF(P18&lt;'PlayerGrades+'!$AG$15,"D-",IF(P18&lt;'PlayerGrades+'!$AG$14,"D",IF(P18&lt;'PlayerGrades+'!$AG$13,"D+",IF(P18&lt;'PlayerGrades+'!$AG$12,"C-",IF(P18&lt;'PlayerGrades+'!$AG$11,"C",IF(P18&lt;'PlayerGrades+'!$AG$10,"C+",IF(P18&lt;'PlayerGrades+'!$AG$9,"B-",IF(P18&lt;'PlayerGrades+'!$AG$8,"B",IF(P18&lt;'PlayerGrades+'!$AG$7,"B+",IF(P18&lt;'PlayerGrades+'!$AG$6,"A-",IF(P18&lt;'PlayerGrades+'!$AG$5,"A",IF(P18&lt;'PlayerGrades+'!$AG$4,"A+",IF(P18&lt;'PlayerGrades+'!$AG$3,"S-",IF(P18&lt;'PlayerGrades+'!$AG$2,"S","S+"))))))))))))))))))))</f>
        <v>S+</v>
      </c>
      <c r="R18" s="890">
        <f t="shared" si="8"/>
        <v>0</v>
      </c>
      <c r="S18" s="890" t="str">
        <f>IF(R18&lt;'PlayerGrades+'!$AH$21,"F-",IF(R18&lt;'PlayerGrades+'!$AH$20,"F",IF(R18&lt;'PlayerGrades+'!$AH$19,"F+",IF(R18&lt;'PlayerGrades+'!$AH$18,"E-",IF(R18&lt;'PlayerGrades+'!$AH$17,"E",IF(R18&lt;'PlayerGrades+'!$AH$16,"E+",IF(R18&lt;'PlayerGrades+'!$AH$15,"D-",IF(R18&lt;'PlayerGrades+'!$AH$14,"D",IF(R18&lt;'PlayerGrades+'!$AH$13,"D+",IF(R18&lt;'PlayerGrades+'!$AH$12,"C-",IF(R18&lt;'PlayerGrades+'!$AH$11,"C",IF(R18&lt;'PlayerGrades+'!$AH$10,"C+",IF(R18&lt;'PlayerGrades+'!$AH$9,"B-",IF(R18&lt;'PlayerGrades+'!$AH$8,"B",IF(R18&lt;'PlayerGrades+'!$AH$7,"B+",IF(R18&lt;'PlayerGrades+'!$AH$6,"A-",IF(R18&lt;'PlayerGrades+'!$AH$5,"A",IF(R18&lt;'PlayerGrades+'!$AH$4,"A+",IF(R18&lt;'PlayerGrades+'!$AH$3,"S-",IF(R18&lt;'PlayerGrades+'!$AH$2,"S","S+"))))))))))))))))))))</f>
        <v>F-</v>
      </c>
      <c r="T18" s="890">
        <f t="shared" si="9"/>
        <v>5.138721351</v>
      </c>
      <c r="U18" s="890" t="str">
        <f>IF(T18&lt;'PlayerGrades+'!$AI$21,"F-",IF(T18&lt;'PlayerGrades+'!$AI$20,"F",IF(T18&lt;'PlayerGrades+'!$AI$19,"F+",IF(T18&lt;'PlayerGrades+'!$AI$18,"E-",IF(T18&lt;'PlayerGrades+'!$AI$17,"E",IF(T18&lt;'PlayerGrades+'!$AI$16,"E+",IF(T18&lt;'PlayerGrades+'!$AI$15,"D-",IF(T18&lt;'PlayerGrades+'!$AI$14,"D",IF(T18&lt;'PlayerGrades+'!$AI$13,"D+",IF(T18&lt;'PlayerGrades+'!$AI$12,"C-",IF(T18&lt;'PlayerGrades+'!$AI$11,"C",IF(T18&lt;'PlayerGrades+'!$AI$10,"C+",IF(T18&lt;'PlayerGrades+'!$AI$9,"B-",IF(T18&lt;'PlayerGrades+'!$AI$8,"B",IF(T18&lt;'PlayerGrades+'!$AI$7,"B+",IF(T18&lt;'PlayerGrades+'!$AI$6,"A-",IF(T18&lt;'PlayerGrades+'!$AI$5,"A",IF(T18&lt;'PlayerGrades+'!$AI$4,"A+",IF(T18&lt;'PlayerGrades+'!$AI$3,"S-",IF(T18&lt;'PlayerGrades+'!$AI$2,"S","S+"))))))))))))))))))))</f>
        <v>S+</v>
      </c>
      <c r="V18" s="925">
        <v>1.0</v>
      </c>
      <c r="W18" s="925">
        <v>0.0</v>
      </c>
      <c r="X18" s="925">
        <v>2.0</v>
      </c>
      <c r="Y18" s="925">
        <v>1.0</v>
      </c>
      <c r="Z18" s="925">
        <v>71.0</v>
      </c>
      <c r="AA18" s="925">
        <v>53.0</v>
      </c>
      <c r="AB18" s="925">
        <f t="shared" si="10"/>
        <v>18</v>
      </c>
      <c r="AC18" s="930">
        <f t="shared" si="11"/>
        <v>1.339622642</v>
      </c>
      <c r="AD18" s="925">
        <v>0.0</v>
      </c>
      <c r="AE18" s="1241">
        <v>829.0</v>
      </c>
      <c r="AF18" s="925">
        <v>2.0</v>
      </c>
      <c r="AG18" s="931">
        <v>0.0</v>
      </c>
      <c r="AH18" s="931">
        <v>0.0</v>
      </c>
      <c r="AI18" s="931">
        <v>0.0</v>
      </c>
      <c r="AJ18" s="931">
        <v>1.0</v>
      </c>
      <c r="AK18" s="931">
        <v>19.0</v>
      </c>
      <c r="AL18" s="931">
        <v>6.0</v>
      </c>
      <c r="AM18" s="931">
        <v>3.0</v>
      </c>
      <c r="AN18" s="931">
        <v>1.0</v>
      </c>
      <c r="AO18" s="931">
        <v>1.0</v>
      </c>
      <c r="AP18" s="931">
        <v>0.0</v>
      </c>
      <c r="AQ18" s="931">
        <v>0.0</v>
      </c>
      <c r="AR18" s="931">
        <v>0.0</v>
      </c>
      <c r="AS18" s="931">
        <v>0.0</v>
      </c>
      <c r="AT18" s="931">
        <v>0.0</v>
      </c>
      <c r="AU18" s="931">
        <v>14.0</v>
      </c>
      <c r="AV18" s="931">
        <v>0.0</v>
      </c>
      <c r="AW18" s="931">
        <v>0.0</v>
      </c>
      <c r="AX18" s="931">
        <v>0.0</v>
      </c>
      <c r="AY18" s="931">
        <v>0.0</v>
      </c>
      <c r="AZ18" s="936">
        <v>0.0</v>
      </c>
    </row>
    <row r="19">
      <c r="A19" s="1223" t="s">
        <v>221</v>
      </c>
      <c r="B19" s="1100" t="str">
        <f>IF(C19&lt;'PlayerGrades+'!$Y$44,"F-",IF(C19&lt;'PlayerGrades+'!$Y$43,"F",IF(C19&lt;'PlayerGrades+'!$Y$42,"F+",IF(C19&lt;'PlayerGrades+'!$Y$41,"E-",IF(C19&lt;'PlayerGrades+'!$Y$40,"E",IF(C19&lt;'PlayerGrades+'!$Y$39,"E+",IF(C19&lt;'PlayerGrades+'!$Y$38,"D-",IF(C19&lt;'PlayerGrades+'!$Y$37,"D",IF(C19&lt;'PlayerGrades+'!$Y$36,"D+",IF(C19&lt;'PlayerGrades+'!$Y$35,"C-",IF(C19&lt;'PlayerGrades+'!$Y$34,"C",IF(C19&lt;'PlayerGrades+'!$Y$33,"C+",IF(C19&lt;'PlayerGrades+'!$Y$32,"B-",IF(C19&lt;'PlayerGrades+'!$Y$31,"B",IF(C19&lt;'PlayerGrades+'!$Y$30,"B+",IF(C19&lt;'PlayerGrades+'!$Y$29,"A-",IF(C19&lt;'PlayerGrades+'!$Y$28,"A",IF(C19&lt;'PlayerGrades+'!$Y$27,"A+",IF(C19&lt;'PlayerGrades+'!$Y$26,"S-",IF(C19&lt;'PlayerGrades+'!$Y$25,"S","S+"))))))))))))))))))))</f>
        <v>C+</v>
      </c>
      <c r="C19" s="1105">
        <f>('PlayerGrades+'!$Y$47*(VLOOKUP(E19, 'PlayerGrades+'!$X$3:$Y$23, 2, FALSE)))+('PlayerGrades+'!$Y$48*(VLOOKUP(G19, 'PlayerGrades+'!$X$3:$Y$23, 2, FALSE)))+('PlayerGrades+'!$Y$49*(VLOOKUP(I19, 'PlayerGrades+'!$X$3:$Y$23, 2, FALSE)))+('PlayerGrades+'!$Y$50*(VLOOKUP(K19, 'PlayerGrades+'!$X$3:$Y$23, 2, FALSE)))+('PlayerGrades+'!$Y$51*(VLOOKUP(M19, 'PlayerGrades+'!$X$3:$Y$23, 2, FALSE)))+('PlayerGrades+'!$Y$52*(VLOOKUP(O19, 'PlayerGrades+'!$X$3:$Y$23, 2, FALSE)))+('PlayerGrades+'!$Y$53*(VLOOKUP(Q19, 'PlayerGrades+'!$X$3:$Y$23, 2, FALSE)))+('PlayerGrades+'!$Y$54*(VLOOKUP(S19, 'PlayerGrades+'!$X$3:$Y$23, 2, FALSE)))+('PlayerGrades+'!$Y$55*(VLOOKUP(U19, 'PlayerGrades+'!$X$3:$Y$23, 2, FALSE)))</f>
        <v>15.475</v>
      </c>
      <c r="D19" s="961">
        <f t="shared" si="1"/>
        <v>0</v>
      </c>
      <c r="E19" s="961" t="str">
        <f>IF(D19&lt;'PlayerGrades+'!$AA$21,"F-",IF(D19&lt;'PlayerGrades+'!$AA$20,"F",IF(D19&lt;'PlayerGrades+'!$AA$19,"F+",IF(D19&lt;'PlayerGrades+'!$AA$18,"E-",IF(D19&lt;'PlayerGrades+'!$AA$17,"E",IF(D19&lt;'PlayerGrades+'!$AA$16,"E+",IF(D19&lt;'PlayerGrades+'!$AA$15,"D-",IF(D19&lt;'PlayerGrades+'!$AA$14,"D",IF(D19&lt;'PlayerGrades+'!$AA$13,"D+",IF(D19&lt;'PlayerGrades+'!$AA$12,"C-",IF(D19&lt;'PlayerGrades+'!$AA$11,"C",IF(D19&lt;'PlayerGrades+'!$AA$10,"C+",IF(D19&lt;'PlayerGrades+'!$AA$9,"B-",IF(D19&lt;'PlayerGrades+'!$AA$8,"B",IF(D19&lt;'PlayerGrades+'!$AA$7,"B+",IF(D19&lt;'PlayerGrades+'!$AA$6,"A-",IF(D19&lt;'PlayerGrades+'!$AA$5,"A",IF(D19&lt;'PlayerGrades+'!$AA$4,"A+",IF(D19&lt;'PlayerGrades+'!$AA$3,"S-",IF(D19&lt;'PlayerGrades+'!$AA$2,"S","S+"))))))))))))))))))))</f>
        <v>F-</v>
      </c>
      <c r="F19" s="961">
        <f t="shared" si="2"/>
        <v>0.04386445882</v>
      </c>
      <c r="G19" s="961" t="str">
        <f>IF(F19&lt;'PlayerGrades+'!$AB$21,"F-",IF(F19&lt;'PlayerGrades+'!$AB$20,"F",IF(F19&lt;'PlayerGrades+'!$AB$19,"F+",IF(F19&lt;'PlayerGrades+'!$AB$18,"E-",IF(F19&lt;'PlayerGrades+'!$AB$17,"E",IF(F19&lt;'PlayerGrades+'!$AB$16,"E+",IF(F19&lt;'PlayerGrades+'!$AB$15,"D-",IF(F19&lt;'PlayerGrades+'!$AB$14,"D",IF(F19&lt;'PlayerGrades+'!$AB$13,"D+",IF(F19&lt;'PlayerGrades+'!$AB$12,"C-",IF(F19&lt;'PlayerGrades+'!$AB$11,"C",IF(F19&lt;'PlayerGrades+'!$AB$10,"C+",IF(F19&lt;'PlayerGrades+'!$AB$9,"B-",IF(F19&lt;'PlayerGrades+'!$AB$8,"B",IF(F19&lt;'PlayerGrades+'!$AB$7,"B+",IF(F19&lt;'PlayerGrades+'!$AB$6,"A-",IF(F19&lt;'PlayerGrades+'!$AB$5,"A",IF(F19&lt;'PlayerGrades+'!$AB$4,"A+",IF(F19&lt;'PlayerGrades+'!$AB$3,"S-",IF(F19&lt;'PlayerGrades+'!$AB$2,"S","S+"))))))))))))))))))))</f>
        <v>A</v>
      </c>
      <c r="H19" s="961">
        <f t="shared" si="3"/>
        <v>0.5790108565</v>
      </c>
      <c r="I19" s="961" t="str">
        <f>IF(H19&lt;'PlayerGrades+'!$AC$21,"F-",IF(H19&lt;'PlayerGrades+'!$AC$20,"F",IF(H19&lt;'PlayerGrades+'!$AC$19,"F+",IF(H19&lt;'PlayerGrades+'!$AC$18,"E-",IF(H19&lt;'PlayerGrades+'!$AC$17,"E",IF(H19&lt;'PlayerGrades+'!$AC$16,"E+",IF(H19&lt;'PlayerGrades+'!$AC$15,"D-",IF(H19&lt;'PlayerGrades+'!$AC$14,"D",IF(H19&lt;'PlayerGrades+'!$AC$13,"D+",IF(H19&lt;'PlayerGrades+'!$AC$12,"C-",IF(H19&lt;'PlayerGrades+'!$AC$11,"C",IF(H19&lt;'PlayerGrades+'!$AC$10,"C+",IF(H19&lt;'PlayerGrades+'!$AC$9,"B-",IF(H19&lt;'PlayerGrades+'!$AC$8,"B",IF(H19&lt;'PlayerGrades+'!$AC$7,"B+",IF(H19&lt;'PlayerGrades+'!$AC$6,"A-",IF(H19&lt;'PlayerGrades+'!$AC$5,"A",IF(H19&lt;'PlayerGrades+'!$AC$4,"A+",IF(H19&lt;'PlayerGrades+'!$AC$3,"S-",IF(H19&lt;'PlayerGrades+'!$AC$2,"S","S+"))))))))))))))))))))</f>
        <v>A-</v>
      </c>
      <c r="J19" s="961">
        <f t="shared" si="4"/>
        <v>0.07237635706</v>
      </c>
      <c r="K19" s="961" t="str">
        <f>IF(J19&lt;'PlayerGrades+'!$AD$21,"F-",IF(J19&lt;'PlayerGrades+'!$AD$20,"F",IF(J19&lt;'PlayerGrades+'!$AD$19,"F+",IF(J19&lt;'PlayerGrades+'!$AD$18,"E-",IF(J19&lt;'PlayerGrades+'!$AD$17,"E",IF(J19&lt;'PlayerGrades+'!$AD$16,"E+",IF(J19&lt;'PlayerGrades+'!$AD$15,"D-",IF(J19&lt;'PlayerGrades+'!$AD$14,"D",IF(J19&lt;'PlayerGrades+'!$AD$13,"D+",IF(J19&lt;'PlayerGrades+'!$AD$12,"C-",IF(J19&lt;'PlayerGrades+'!$AD$11,"C",IF(J19&lt;'PlayerGrades+'!$AD$10,"C+",IF(J19&lt;'PlayerGrades+'!$AD$9,"B-",IF(J19&lt;'PlayerGrades+'!$AD$8,"B",IF(J19&lt;'PlayerGrades+'!$AD$7,"B+",IF(J19&lt;'PlayerGrades+'!$AD$6,"A-",IF(J19&lt;'PlayerGrades+'!$AD$5,"A",IF(J19&lt;'PlayerGrades+'!$AD$4,"A+",IF(J19&lt;'PlayerGrades+'!$AD$3,"S-",IF(J19&lt;'PlayerGrades+'!$AD$2,"S","S+"))))))))))))))))))))</f>
        <v>A-</v>
      </c>
      <c r="L19" s="992">
        <f t="shared" si="5"/>
        <v>0.2895054282</v>
      </c>
      <c r="M19" s="992" t="str">
        <f>IF(L19&lt;'PlayerGrades+'!$AE$21,"F-",IF(L19&lt;'PlayerGrades+'!$AE$20,"F",IF(L19&lt;'PlayerGrades+'!$AE$19,"F+",IF(L19&lt;'PlayerGrades+'!$AE$18,"E-",IF(L19&lt;'PlayerGrades+'!$AE$17,"E",IF(L19&lt;'PlayerGrades+'!$AE$16,"E+",IF(L19&lt;'PlayerGrades+'!$AE$15,"D-",IF(L19&lt;'PlayerGrades+'!$AE$14,"D",IF(L19&lt;'PlayerGrades+'!$AE$13,"D+",IF(L19&lt;'PlayerGrades+'!$AE$12,"C-",IF(L19&lt;'PlayerGrades+'!$AE$11,"C",IF(L19&lt;'PlayerGrades+'!$AE$10,"C+",IF(L19&lt;'PlayerGrades+'!$AE$9,"B-",IF(L19&lt;'PlayerGrades+'!$AE$8,"B",IF(L19&lt;'PlayerGrades+'!$AE$7,"B+",IF(L19&lt;'PlayerGrades+'!$AE$6,"A-",IF(L19&lt;'PlayerGrades+'!$AE$5,"A",IF(L19&lt;'PlayerGrades+'!$AE$4,"A+",IF(L19&lt;'PlayerGrades+'!$AE$3,"S-",IF(L19&lt;'PlayerGrades+'!$AE$2,"S","S+"))))))))))))))))))))</f>
        <v>F+</v>
      </c>
      <c r="N19" s="961">
        <f t="shared" si="6"/>
        <v>0.1447527141</v>
      </c>
      <c r="O19" s="961" t="str">
        <f>IF(N19&lt;'PlayerGrades+'!$AF$21,"F-",IF(N19&lt;'PlayerGrades+'!$AF$20,"F",IF(N19&lt;'PlayerGrades+'!$AF$19,"F+",IF(N19&lt;'PlayerGrades+'!$AF$18,"E-",IF(N19&lt;'PlayerGrades+'!$AF$17,"E",IF(N19&lt;'PlayerGrades+'!$AF$16,"E+",IF(N19&lt;'PlayerGrades+'!$AF$15,"D-",IF(N19&lt;'PlayerGrades+'!$AF$14,"D",IF(N19&lt;'PlayerGrades+'!$AF$13,"D+",IF(N19&lt;'PlayerGrades+'!$AF$12,"C-",IF(N19&lt;'PlayerGrades+'!$AF$11,"C",IF(N19&lt;'PlayerGrades+'!$AF$10,"C+",IF(N19&lt;'PlayerGrades+'!$AF$9,"B-",IF(N19&lt;'PlayerGrades+'!$AF$8,"B",IF(N19&lt;'PlayerGrades+'!$AF$7,"B+",IF(N19&lt;'PlayerGrades+'!$AF$6,"A-",IF(N19&lt;'PlayerGrades+'!$AF$5,"A",IF(N19&lt;'PlayerGrades+'!$AF$4,"A+",IF(N19&lt;'PlayerGrades+'!$AF$3,"S-",IF(N19&lt;'PlayerGrades+'!$AF$2,"S","S+"))))))))))))))))))))</f>
        <v>B+</v>
      </c>
      <c r="P19" s="961">
        <f t="shared" si="7"/>
        <v>0.5066344994</v>
      </c>
      <c r="Q19" s="961" t="str">
        <f>IF(P19&lt;'PlayerGrades+'!$AG$21,"F-",IF(P19&lt;'PlayerGrades+'!$AG$20,"F",IF(P19&lt;'PlayerGrades+'!$AG$19,"F+",IF(P19&lt;'PlayerGrades+'!$AG$18,"E-",IF(P19&lt;'PlayerGrades+'!$AG$17,"E",IF(P19&lt;'PlayerGrades+'!$AG$16,"E+",IF(P19&lt;'PlayerGrades+'!$AG$15,"D-",IF(P19&lt;'PlayerGrades+'!$AG$14,"D",IF(P19&lt;'PlayerGrades+'!$AG$13,"D+",IF(P19&lt;'PlayerGrades+'!$AG$12,"C-",IF(P19&lt;'PlayerGrades+'!$AG$11,"C",IF(P19&lt;'PlayerGrades+'!$AG$10,"C+",IF(P19&lt;'PlayerGrades+'!$AG$9,"B-",IF(P19&lt;'PlayerGrades+'!$AG$8,"B",IF(P19&lt;'PlayerGrades+'!$AG$7,"B+",IF(P19&lt;'PlayerGrades+'!$AG$6,"A-",IF(P19&lt;'PlayerGrades+'!$AG$5,"A",IF(P19&lt;'PlayerGrades+'!$AG$4,"A+",IF(P19&lt;'PlayerGrades+'!$AG$3,"S-",IF(P19&lt;'PlayerGrades+'!$AG$2,"S","S+"))))))))))))))))))))</f>
        <v>E+</v>
      </c>
      <c r="R19" s="961">
        <f t="shared" si="8"/>
        <v>0</v>
      </c>
      <c r="S19" s="961" t="str">
        <f>IF(R19&lt;'PlayerGrades+'!$AH$21,"F-",IF(R19&lt;'PlayerGrades+'!$AH$20,"F",IF(R19&lt;'PlayerGrades+'!$AH$19,"F+",IF(R19&lt;'PlayerGrades+'!$AH$18,"E-",IF(R19&lt;'PlayerGrades+'!$AH$17,"E",IF(R19&lt;'PlayerGrades+'!$AH$16,"E+",IF(R19&lt;'PlayerGrades+'!$AH$15,"D-",IF(R19&lt;'PlayerGrades+'!$AH$14,"D",IF(R19&lt;'PlayerGrades+'!$AH$13,"D+",IF(R19&lt;'PlayerGrades+'!$AH$12,"C-",IF(R19&lt;'PlayerGrades+'!$AH$11,"C",IF(R19&lt;'PlayerGrades+'!$AH$10,"C+",IF(R19&lt;'PlayerGrades+'!$AH$9,"B-",IF(R19&lt;'PlayerGrades+'!$AH$8,"B",IF(R19&lt;'PlayerGrades+'!$AH$7,"B+",IF(R19&lt;'PlayerGrades+'!$AH$6,"A-",IF(R19&lt;'PlayerGrades+'!$AH$5,"A",IF(R19&lt;'PlayerGrades+'!$AH$4,"A+",IF(R19&lt;'PlayerGrades+'!$AH$3,"S-",IF(R19&lt;'PlayerGrades+'!$AH$2,"S","S+"))))))))))))))))))))</f>
        <v>F-</v>
      </c>
      <c r="T19" s="961">
        <f t="shared" si="9"/>
        <v>2.895054282</v>
      </c>
      <c r="U19" s="961" t="str">
        <f>IF(T19&lt;'PlayerGrades+'!$AI$21,"F-",IF(T19&lt;'PlayerGrades+'!$AI$20,"F",IF(T19&lt;'PlayerGrades+'!$AI$19,"F+",IF(T19&lt;'PlayerGrades+'!$AI$18,"E-",IF(T19&lt;'PlayerGrades+'!$AI$17,"E",IF(T19&lt;'PlayerGrades+'!$AI$16,"E+",IF(T19&lt;'PlayerGrades+'!$AI$15,"D-",IF(T19&lt;'PlayerGrades+'!$AI$14,"D",IF(T19&lt;'PlayerGrades+'!$AI$13,"D+",IF(T19&lt;'PlayerGrades+'!$AI$12,"C-",IF(T19&lt;'PlayerGrades+'!$AI$11,"C",IF(T19&lt;'PlayerGrades+'!$AI$10,"C+",IF(T19&lt;'PlayerGrades+'!$AI$9,"B-",IF(T19&lt;'PlayerGrades+'!$AI$8,"B",IF(T19&lt;'PlayerGrades+'!$AI$7,"B+",IF(T19&lt;'PlayerGrades+'!$AI$6,"A-",IF(T19&lt;'PlayerGrades+'!$AI$5,"A",IF(T19&lt;'PlayerGrades+'!$AI$4,"A+",IF(T19&lt;'PlayerGrades+'!$AI$3,"S-",IF(T19&lt;'PlayerGrades+'!$AI$2,"S","S+"))))))))))))))))))))</f>
        <v>C+</v>
      </c>
      <c r="V19" s="1017">
        <v>1.0</v>
      </c>
      <c r="W19" s="1017">
        <v>0.0</v>
      </c>
      <c r="X19" s="1017">
        <v>0.0</v>
      </c>
      <c r="Y19" s="1017">
        <v>0.0</v>
      </c>
      <c r="Z19" s="1017">
        <v>40.0</v>
      </c>
      <c r="AA19" s="1017">
        <v>66.0</v>
      </c>
      <c r="AB19" s="1017">
        <f t="shared" si="10"/>
        <v>-26</v>
      </c>
      <c r="AC19" s="1020">
        <f t="shared" si="11"/>
        <v>0.6060606061</v>
      </c>
      <c r="AD19" s="1017">
        <v>0.0</v>
      </c>
      <c r="AE19" s="1242">
        <v>829.0</v>
      </c>
      <c r="AF19" s="1017">
        <v>1.0</v>
      </c>
      <c r="AG19" s="1022">
        <v>0.0</v>
      </c>
      <c r="AH19" s="1022">
        <v>0.0</v>
      </c>
      <c r="AI19" s="1022">
        <v>0.0</v>
      </c>
      <c r="AJ19" s="1022">
        <v>0.0</v>
      </c>
      <c r="AK19" s="1022">
        <v>4.0</v>
      </c>
      <c r="AL19" s="1022">
        <v>2.0</v>
      </c>
      <c r="AM19" s="1022">
        <v>1.0</v>
      </c>
      <c r="AN19" s="1022">
        <v>0.0</v>
      </c>
      <c r="AO19" s="1022">
        <v>0.0</v>
      </c>
      <c r="AP19" s="1022">
        <v>0.0</v>
      </c>
      <c r="AQ19" s="1022">
        <v>0.0</v>
      </c>
      <c r="AR19" s="1022">
        <v>0.0</v>
      </c>
      <c r="AS19" s="1022">
        <v>0.0</v>
      </c>
      <c r="AT19" s="1022">
        <v>0.0</v>
      </c>
      <c r="AU19" s="1022">
        <v>8.0</v>
      </c>
      <c r="AV19" s="1022">
        <v>0.0</v>
      </c>
      <c r="AW19" s="1022">
        <v>0.0</v>
      </c>
      <c r="AX19" s="1022">
        <v>0.0</v>
      </c>
      <c r="AY19" s="1022">
        <v>0.0</v>
      </c>
      <c r="AZ19" s="1027">
        <v>0.0</v>
      </c>
    </row>
    <row r="20">
      <c r="A20" s="938" t="s">
        <v>75</v>
      </c>
      <c r="B20" s="1100" t="str">
        <f>IF(C20&lt;'PlayerGrades+'!$Y$44,"F-",IF(C20&lt;'PlayerGrades+'!$Y$43,"F",IF(C20&lt;'PlayerGrades+'!$Y$42,"F+",IF(C20&lt;'PlayerGrades+'!$Y$41,"E-",IF(C20&lt;'PlayerGrades+'!$Y$40,"E",IF(C20&lt;'PlayerGrades+'!$Y$39,"E+",IF(C20&lt;'PlayerGrades+'!$Y$38,"D-",IF(C20&lt;'PlayerGrades+'!$Y$37,"D",IF(C20&lt;'PlayerGrades+'!$Y$36,"D+",IF(C20&lt;'PlayerGrades+'!$Y$35,"C-",IF(C20&lt;'PlayerGrades+'!$Y$34,"C",IF(C20&lt;'PlayerGrades+'!$Y$33,"C+",IF(C20&lt;'PlayerGrades+'!$Y$32,"B-",IF(C20&lt;'PlayerGrades+'!$Y$31,"B",IF(C20&lt;'PlayerGrades+'!$Y$30,"B+",IF(C20&lt;'PlayerGrades+'!$Y$29,"A-",IF(C20&lt;'PlayerGrades+'!$Y$28,"A",IF(C20&lt;'PlayerGrades+'!$Y$27,"A+",IF(C20&lt;'PlayerGrades+'!$Y$26,"S-",IF(C20&lt;'PlayerGrades+'!$Y$25,"S","S+"))))))))))))))))))))</f>
        <v>B</v>
      </c>
      <c r="C20" s="1105">
        <f>('PlayerGrades+'!$Y$47*(VLOOKUP(E20, 'PlayerGrades+'!$X$3:$Y$23, 2, FALSE)))+('PlayerGrades+'!$Y$48*(VLOOKUP(G20, 'PlayerGrades+'!$X$3:$Y$23, 2, FALSE)))+('PlayerGrades+'!$Y$49*(VLOOKUP(I20, 'PlayerGrades+'!$X$3:$Y$23, 2, FALSE)))+('PlayerGrades+'!$Y$50*(VLOOKUP(K20, 'PlayerGrades+'!$X$3:$Y$23, 2, FALSE)))+('PlayerGrades+'!$Y$51*(VLOOKUP(M20, 'PlayerGrades+'!$X$3:$Y$23, 2, FALSE)))+('PlayerGrades+'!$Y$52*(VLOOKUP(O20, 'PlayerGrades+'!$X$3:$Y$23, 2, FALSE)))+('PlayerGrades+'!$Y$53*(VLOOKUP(Q20, 'PlayerGrades+'!$X$3:$Y$23, 2, FALSE)))+('PlayerGrades+'!$Y$54*(VLOOKUP(S20, 'PlayerGrades+'!$X$3:$Y$23, 2, FALSE)))+('PlayerGrades+'!$Y$55*(VLOOKUP(U20, 'PlayerGrades+'!$X$3:$Y$23, 2, FALSE)))</f>
        <v>18.3625</v>
      </c>
      <c r="D20" s="961">
        <f t="shared" si="1"/>
        <v>0.2171290712</v>
      </c>
      <c r="E20" s="961" t="str">
        <f>IF(D20&lt;'PlayerGrades+'!$AA$21,"F-",IF(D20&lt;'PlayerGrades+'!$AA$20,"F",IF(D20&lt;'PlayerGrades+'!$AA$19,"F+",IF(D20&lt;'PlayerGrades+'!$AA$18,"E-",IF(D20&lt;'PlayerGrades+'!$AA$17,"E",IF(D20&lt;'PlayerGrades+'!$AA$16,"E+",IF(D20&lt;'PlayerGrades+'!$AA$15,"D-",IF(D20&lt;'PlayerGrades+'!$AA$14,"D",IF(D20&lt;'PlayerGrades+'!$AA$13,"D+",IF(D20&lt;'PlayerGrades+'!$AA$12,"C-",IF(D20&lt;'PlayerGrades+'!$AA$11,"C",IF(D20&lt;'PlayerGrades+'!$AA$10,"C+",IF(D20&lt;'PlayerGrades+'!$AA$9,"B-",IF(D20&lt;'PlayerGrades+'!$AA$8,"B",IF(D20&lt;'PlayerGrades+'!$AA$7,"B+",IF(D20&lt;'PlayerGrades+'!$AA$6,"A-",IF(D20&lt;'PlayerGrades+'!$AA$5,"A",IF(D20&lt;'PlayerGrades+'!$AA$4,"A+",IF(D20&lt;'PlayerGrades+'!$AA$3,"S-",IF(D20&lt;'PlayerGrades+'!$AA$2,"S","S+"))))))))))))))))))))</f>
        <v>S</v>
      </c>
      <c r="F20" s="961">
        <f t="shared" si="2"/>
        <v>0.09553679131</v>
      </c>
      <c r="G20" s="961" t="str">
        <f>IF(F20&lt;'PlayerGrades+'!$AB$21,"F-",IF(F20&lt;'PlayerGrades+'!$AB$20,"F",IF(F20&lt;'PlayerGrades+'!$AB$19,"F+",IF(F20&lt;'PlayerGrades+'!$AB$18,"E-",IF(F20&lt;'PlayerGrades+'!$AB$17,"E",IF(F20&lt;'PlayerGrades+'!$AB$16,"E+",IF(F20&lt;'PlayerGrades+'!$AB$15,"D-",IF(F20&lt;'PlayerGrades+'!$AB$14,"D",IF(F20&lt;'PlayerGrades+'!$AB$13,"D+",IF(F20&lt;'PlayerGrades+'!$AB$12,"C-",IF(F20&lt;'PlayerGrades+'!$AB$11,"C",IF(F20&lt;'PlayerGrades+'!$AB$10,"C+",IF(F20&lt;'PlayerGrades+'!$AB$9,"B-",IF(F20&lt;'PlayerGrades+'!$AB$8,"B",IF(F20&lt;'PlayerGrades+'!$AB$7,"B+",IF(F20&lt;'PlayerGrades+'!$AB$6,"A-",IF(F20&lt;'PlayerGrades+'!$AB$5,"A",IF(F20&lt;'PlayerGrades+'!$AB$4,"A+",IF(F20&lt;'PlayerGrades+'!$AB$3,"S-",IF(F20&lt;'PlayerGrades+'!$AB$2,"S","S+"))))))))))))))))))))</f>
        <v>A</v>
      </c>
      <c r="H20" s="961">
        <f t="shared" si="3"/>
        <v>0.7961399276</v>
      </c>
      <c r="I20" s="961" t="str">
        <f>IF(H20&lt;'PlayerGrades+'!$AC$21,"F-",IF(H20&lt;'PlayerGrades+'!$AC$20,"F",IF(H20&lt;'PlayerGrades+'!$AC$19,"F+",IF(H20&lt;'PlayerGrades+'!$AC$18,"E-",IF(H20&lt;'PlayerGrades+'!$AC$17,"E",IF(H20&lt;'PlayerGrades+'!$AC$16,"E+",IF(H20&lt;'PlayerGrades+'!$AC$15,"D-",IF(H20&lt;'PlayerGrades+'!$AC$14,"D",IF(H20&lt;'PlayerGrades+'!$AC$13,"D+",IF(H20&lt;'PlayerGrades+'!$AC$12,"C-",IF(H20&lt;'PlayerGrades+'!$AC$11,"C",IF(H20&lt;'PlayerGrades+'!$AC$10,"C+",IF(H20&lt;'PlayerGrades+'!$AC$9,"B-",IF(H20&lt;'PlayerGrades+'!$AC$8,"B",IF(H20&lt;'PlayerGrades+'!$AC$7,"B+",IF(H20&lt;'PlayerGrades+'!$AC$6,"A-",IF(H20&lt;'PlayerGrades+'!$AC$5,"A",IF(H20&lt;'PlayerGrades+'!$AC$4,"A+",IF(H20&lt;'PlayerGrades+'!$AC$3,"S-",IF(H20&lt;'PlayerGrades+'!$AC$2,"S","S+"))))))))))))))))))))</f>
        <v>S-</v>
      </c>
      <c r="J20" s="961">
        <f t="shared" si="4"/>
        <v>0.07237635706</v>
      </c>
      <c r="K20" s="961" t="str">
        <f>IF(J20&lt;'PlayerGrades+'!$AD$21,"F-",IF(J20&lt;'PlayerGrades+'!$AD$20,"F",IF(J20&lt;'PlayerGrades+'!$AD$19,"F+",IF(J20&lt;'PlayerGrades+'!$AD$18,"E-",IF(J20&lt;'PlayerGrades+'!$AD$17,"E",IF(J20&lt;'PlayerGrades+'!$AD$16,"E+",IF(J20&lt;'PlayerGrades+'!$AD$15,"D-",IF(J20&lt;'PlayerGrades+'!$AD$14,"D",IF(J20&lt;'PlayerGrades+'!$AD$13,"D+",IF(J20&lt;'PlayerGrades+'!$AD$12,"C-",IF(J20&lt;'PlayerGrades+'!$AD$11,"C",IF(J20&lt;'PlayerGrades+'!$AD$10,"C+",IF(J20&lt;'PlayerGrades+'!$AD$9,"B-",IF(J20&lt;'PlayerGrades+'!$AD$8,"B",IF(J20&lt;'PlayerGrades+'!$AD$7,"B+",IF(J20&lt;'PlayerGrades+'!$AD$6,"A-",IF(J20&lt;'PlayerGrades+'!$AD$5,"A",IF(J20&lt;'PlayerGrades+'!$AD$4,"A+",IF(J20&lt;'PlayerGrades+'!$AD$3,"S-",IF(J20&lt;'PlayerGrades+'!$AD$2,"S","S+"))))))))))))))))))))</f>
        <v>A-</v>
      </c>
      <c r="L20" s="992">
        <f t="shared" si="5"/>
        <v>0.1447527141</v>
      </c>
      <c r="M20" s="992" t="str">
        <f>IF(L20&lt;'PlayerGrades+'!$AE$21,"F-",IF(L20&lt;'PlayerGrades+'!$AE$20,"F",IF(L20&lt;'PlayerGrades+'!$AE$19,"F+",IF(L20&lt;'PlayerGrades+'!$AE$18,"E-",IF(L20&lt;'PlayerGrades+'!$AE$17,"E",IF(L20&lt;'PlayerGrades+'!$AE$16,"E+",IF(L20&lt;'PlayerGrades+'!$AE$15,"D-",IF(L20&lt;'PlayerGrades+'!$AE$14,"D",IF(L20&lt;'PlayerGrades+'!$AE$13,"D+",IF(L20&lt;'PlayerGrades+'!$AE$12,"C-",IF(L20&lt;'PlayerGrades+'!$AE$11,"C",IF(L20&lt;'PlayerGrades+'!$AE$10,"C+",IF(L20&lt;'PlayerGrades+'!$AE$9,"B-",IF(L20&lt;'PlayerGrades+'!$AE$8,"B",IF(L20&lt;'PlayerGrades+'!$AE$7,"B+",IF(L20&lt;'PlayerGrades+'!$AE$6,"A-",IF(L20&lt;'PlayerGrades+'!$AE$5,"A",IF(L20&lt;'PlayerGrades+'!$AE$4,"A+",IF(L20&lt;'PlayerGrades+'!$AE$3,"S-",IF(L20&lt;'PlayerGrades+'!$AE$2,"S","S+"))))))))))))))))))))</f>
        <v>F-</v>
      </c>
      <c r="N20" s="961">
        <f t="shared" si="6"/>
        <v>0</v>
      </c>
      <c r="O20" s="961" t="str">
        <f>IF(N20&lt;'PlayerGrades+'!$AF$21,"F-",IF(N20&lt;'PlayerGrades+'!$AF$20,"F",IF(N20&lt;'PlayerGrades+'!$AF$19,"F+",IF(N20&lt;'PlayerGrades+'!$AF$18,"E-",IF(N20&lt;'PlayerGrades+'!$AF$17,"E",IF(N20&lt;'PlayerGrades+'!$AF$16,"E+",IF(N20&lt;'PlayerGrades+'!$AF$15,"D-",IF(N20&lt;'PlayerGrades+'!$AF$14,"D",IF(N20&lt;'PlayerGrades+'!$AF$13,"D+",IF(N20&lt;'PlayerGrades+'!$AF$12,"C-",IF(N20&lt;'PlayerGrades+'!$AF$11,"C",IF(N20&lt;'PlayerGrades+'!$AF$10,"C+",IF(N20&lt;'PlayerGrades+'!$AF$9,"B-",IF(N20&lt;'PlayerGrades+'!$AF$8,"B",IF(N20&lt;'PlayerGrades+'!$AF$7,"B+",IF(N20&lt;'PlayerGrades+'!$AF$6,"A-",IF(N20&lt;'PlayerGrades+'!$AF$5,"A",IF(N20&lt;'PlayerGrades+'!$AF$4,"A+",IF(N20&lt;'PlayerGrades+'!$AF$3,"S-",IF(N20&lt;'PlayerGrades+'!$AF$2,"S","S+"))))))))))))))))))))</f>
        <v>F-</v>
      </c>
      <c r="P20" s="961">
        <f t="shared" si="7"/>
        <v>0.1447527141</v>
      </c>
      <c r="Q20" s="961" t="str">
        <f>IF(P20&lt;'PlayerGrades+'!$AG$21,"F-",IF(P20&lt;'PlayerGrades+'!$AG$20,"F",IF(P20&lt;'PlayerGrades+'!$AG$19,"F+",IF(P20&lt;'PlayerGrades+'!$AG$18,"E-",IF(P20&lt;'PlayerGrades+'!$AG$17,"E",IF(P20&lt;'PlayerGrades+'!$AG$16,"E+",IF(P20&lt;'PlayerGrades+'!$AG$15,"D-",IF(P20&lt;'PlayerGrades+'!$AG$14,"D",IF(P20&lt;'PlayerGrades+'!$AG$13,"D+",IF(P20&lt;'PlayerGrades+'!$AG$12,"C-",IF(P20&lt;'PlayerGrades+'!$AG$11,"C",IF(P20&lt;'PlayerGrades+'!$AG$10,"C+",IF(P20&lt;'PlayerGrades+'!$AG$9,"B-",IF(P20&lt;'PlayerGrades+'!$AG$8,"B",IF(P20&lt;'PlayerGrades+'!$AG$7,"B+",IF(P20&lt;'PlayerGrades+'!$AG$6,"A-",IF(P20&lt;'PlayerGrades+'!$AG$5,"A",IF(P20&lt;'PlayerGrades+'!$AG$4,"A+",IF(P20&lt;'PlayerGrades+'!$AG$3,"S-",IF(P20&lt;'PlayerGrades+'!$AG$2,"S","S+"))))))))))))))))))))</f>
        <v>F-</v>
      </c>
      <c r="R20" s="961">
        <f t="shared" si="8"/>
        <v>0.07237635706</v>
      </c>
      <c r="S20" s="961" t="str">
        <f>IF(R20&lt;'PlayerGrades+'!$AH$21,"F-",IF(R20&lt;'PlayerGrades+'!$AH$20,"F",IF(R20&lt;'PlayerGrades+'!$AH$19,"F+",IF(R20&lt;'PlayerGrades+'!$AH$18,"E-",IF(R20&lt;'PlayerGrades+'!$AH$17,"E",IF(R20&lt;'PlayerGrades+'!$AH$16,"E+",IF(R20&lt;'PlayerGrades+'!$AH$15,"D-",IF(R20&lt;'PlayerGrades+'!$AH$14,"D",IF(R20&lt;'PlayerGrades+'!$AH$13,"D+",IF(R20&lt;'PlayerGrades+'!$AH$12,"C-",IF(R20&lt;'PlayerGrades+'!$AH$11,"C",IF(R20&lt;'PlayerGrades+'!$AH$10,"C+",IF(R20&lt;'PlayerGrades+'!$AH$9,"B-",IF(R20&lt;'PlayerGrades+'!$AH$8,"B",IF(R20&lt;'PlayerGrades+'!$AH$7,"B+",IF(R20&lt;'PlayerGrades+'!$AH$6,"A-",IF(R20&lt;'PlayerGrades+'!$AH$5,"A",IF(R20&lt;'PlayerGrades+'!$AH$4,"A+",IF(R20&lt;'PlayerGrades+'!$AH$3,"S-",IF(R20&lt;'PlayerGrades+'!$AH$2,"S","S+"))))))))))))))))))))</f>
        <v>B</v>
      </c>
      <c r="T20" s="961">
        <f t="shared" si="9"/>
        <v>2.388419783</v>
      </c>
      <c r="U20" s="961" t="str">
        <f>IF(T20&lt;'PlayerGrades+'!$AI$21,"F-",IF(T20&lt;'PlayerGrades+'!$AI$20,"F",IF(T20&lt;'PlayerGrades+'!$AI$19,"F+",IF(T20&lt;'PlayerGrades+'!$AI$18,"E-",IF(T20&lt;'PlayerGrades+'!$AI$17,"E",IF(T20&lt;'PlayerGrades+'!$AI$16,"E+",IF(T20&lt;'PlayerGrades+'!$AI$15,"D-",IF(T20&lt;'PlayerGrades+'!$AI$14,"D",IF(T20&lt;'PlayerGrades+'!$AI$13,"D+",IF(T20&lt;'PlayerGrades+'!$AI$12,"C-",IF(T20&lt;'PlayerGrades+'!$AI$11,"C",IF(T20&lt;'PlayerGrades+'!$AI$10,"C+",IF(T20&lt;'PlayerGrades+'!$AI$9,"B-",IF(T20&lt;'PlayerGrades+'!$AI$8,"B",IF(T20&lt;'PlayerGrades+'!$AI$7,"B+",IF(T20&lt;'PlayerGrades+'!$AI$6,"A-",IF(T20&lt;'PlayerGrades+'!$AI$5,"A",IF(T20&lt;'PlayerGrades+'!$AI$4,"A+",IF(T20&lt;'PlayerGrades+'!$AI$3,"S-",IF(T20&lt;'PlayerGrades+'!$AI$2,"S","S+"))))))))))))))))))))</f>
        <v>E</v>
      </c>
      <c r="V20" s="1017">
        <v>1.0</v>
      </c>
      <c r="W20" s="1017">
        <v>0.0</v>
      </c>
      <c r="X20" s="1017">
        <v>3.0</v>
      </c>
      <c r="Y20" s="1017">
        <v>24.0</v>
      </c>
      <c r="Z20" s="1017">
        <v>33.0</v>
      </c>
      <c r="AA20" s="1017">
        <v>25.0</v>
      </c>
      <c r="AB20" s="1017">
        <f t="shared" si="10"/>
        <v>8</v>
      </c>
      <c r="AC20" s="1020">
        <f t="shared" si="11"/>
        <v>1.32</v>
      </c>
      <c r="AD20" s="1017">
        <v>1.0</v>
      </c>
      <c r="AE20" s="1242">
        <v>829.0</v>
      </c>
      <c r="AF20" s="1017">
        <v>1.0</v>
      </c>
      <c r="AG20" s="1022">
        <v>1.0</v>
      </c>
      <c r="AH20" s="1022">
        <v>0.0</v>
      </c>
      <c r="AI20" s="1022">
        <v>0.0</v>
      </c>
      <c r="AJ20" s="1022">
        <v>0.0</v>
      </c>
      <c r="AK20" s="1022">
        <v>2.0</v>
      </c>
      <c r="AL20" s="1022">
        <v>0.0</v>
      </c>
      <c r="AM20" s="1022">
        <v>0.0</v>
      </c>
      <c r="AN20" s="1022">
        <v>0.0</v>
      </c>
      <c r="AO20" s="1022">
        <v>0.0</v>
      </c>
      <c r="AP20" s="1022">
        <v>0.0</v>
      </c>
      <c r="AQ20" s="1022">
        <v>0.0</v>
      </c>
      <c r="AR20" s="1022">
        <v>0.0</v>
      </c>
      <c r="AS20" s="1022">
        <v>0.0</v>
      </c>
      <c r="AT20" s="1022">
        <v>0.0</v>
      </c>
      <c r="AU20" s="1022">
        <v>11.0</v>
      </c>
      <c r="AV20" s="1022">
        <v>0.0</v>
      </c>
      <c r="AW20" s="1022">
        <v>0.0</v>
      </c>
      <c r="AX20" s="1022">
        <v>0.0</v>
      </c>
      <c r="AY20" s="1022">
        <v>1.0</v>
      </c>
      <c r="AZ20" s="1027">
        <v>0.0</v>
      </c>
    </row>
    <row r="21">
      <c r="A21" s="938" t="s">
        <v>220</v>
      </c>
      <c r="B21" s="1100" t="str">
        <f>IF(C21&lt;'PlayerGrades+'!$Y$44,"F-",IF(C21&lt;'PlayerGrades+'!$Y$43,"F",IF(C21&lt;'PlayerGrades+'!$Y$42,"F+",IF(C21&lt;'PlayerGrades+'!$Y$41,"E-",IF(C21&lt;'PlayerGrades+'!$Y$40,"E",IF(C21&lt;'PlayerGrades+'!$Y$39,"E+",IF(C21&lt;'PlayerGrades+'!$Y$38,"D-",IF(C21&lt;'PlayerGrades+'!$Y$37,"D",IF(C21&lt;'PlayerGrades+'!$Y$36,"D+",IF(C21&lt;'PlayerGrades+'!$Y$35,"C-",IF(C21&lt;'PlayerGrades+'!$Y$34,"C",IF(C21&lt;'PlayerGrades+'!$Y$33,"C+",IF(C21&lt;'PlayerGrades+'!$Y$32,"B-",IF(C21&lt;'PlayerGrades+'!$Y$31,"B",IF(C21&lt;'PlayerGrades+'!$Y$30,"B+",IF(C21&lt;'PlayerGrades+'!$Y$29,"A-",IF(C21&lt;'PlayerGrades+'!$Y$28,"A",IF(C21&lt;'PlayerGrades+'!$Y$27,"A+",IF(C21&lt;'PlayerGrades+'!$Y$26,"S-",IF(C21&lt;'PlayerGrades+'!$Y$25,"S","S+"))))))))))))))))))))</f>
        <v>D</v>
      </c>
      <c r="C21" s="1105">
        <f>('PlayerGrades+'!$Y$47*(VLOOKUP(E21, 'PlayerGrades+'!$X$3:$Y$23, 2, FALSE)))+('PlayerGrades+'!$Y$48*(VLOOKUP(G21, 'PlayerGrades+'!$X$3:$Y$23, 2, FALSE)))+('PlayerGrades+'!$Y$49*(VLOOKUP(I21, 'PlayerGrades+'!$X$3:$Y$23, 2, FALSE)))+('PlayerGrades+'!$Y$50*(VLOOKUP(K21, 'PlayerGrades+'!$X$3:$Y$23, 2, FALSE)))+('PlayerGrades+'!$Y$51*(VLOOKUP(M21, 'PlayerGrades+'!$X$3:$Y$23, 2, FALSE)))+('PlayerGrades+'!$Y$52*(VLOOKUP(O21, 'PlayerGrades+'!$X$3:$Y$23, 2, FALSE)))+('PlayerGrades+'!$Y$53*(VLOOKUP(Q21, 'PlayerGrades+'!$X$3:$Y$23, 2, FALSE)))+('PlayerGrades+'!$Y$54*(VLOOKUP(S21, 'PlayerGrades+'!$X$3:$Y$23, 2, FALSE)))+('PlayerGrades+'!$Y$55*(VLOOKUP(U21, 'PlayerGrades+'!$X$3:$Y$23, 2, FALSE)))</f>
        <v>12.625</v>
      </c>
      <c r="D21" s="961">
        <f t="shared" si="1"/>
        <v>0</v>
      </c>
      <c r="E21" s="961" t="str">
        <f>IF(D21&lt;'PlayerGrades+'!$AA$21,"F-",IF(D21&lt;'PlayerGrades+'!$AA$20,"F",IF(D21&lt;'PlayerGrades+'!$AA$19,"F+",IF(D21&lt;'PlayerGrades+'!$AA$18,"E-",IF(D21&lt;'PlayerGrades+'!$AA$17,"E",IF(D21&lt;'PlayerGrades+'!$AA$16,"E+",IF(D21&lt;'PlayerGrades+'!$AA$15,"D-",IF(D21&lt;'PlayerGrades+'!$AA$14,"D",IF(D21&lt;'PlayerGrades+'!$AA$13,"D+",IF(D21&lt;'PlayerGrades+'!$AA$12,"C-",IF(D21&lt;'PlayerGrades+'!$AA$11,"C",IF(D21&lt;'PlayerGrades+'!$AA$10,"C+",IF(D21&lt;'PlayerGrades+'!$AA$9,"B-",IF(D21&lt;'PlayerGrades+'!$AA$8,"B",IF(D21&lt;'PlayerGrades+'!$AA$7,"B+",IF(D21&lt;'PlayerGrades+'!$AA$6,"A-",IF(D21&lt;'PlayerGrades+'!$AA$5,"A",IF(D21&lt;'PlayerGrades+'!$AA$4,"A+",IF(D21&lt;'PlayerGrades+'!$AA$3,"S-",IF(D21&lt;'PlayerGrades+'!$AA$2,"S","S+"))))))))))))))))))))</f>
        <v>F-</v>
      </c>
      <c r="F21" s="961">
        <f t="shared" si="2"/>
        <v>0.05307599517</v>
      </c>
      <c r="G21" s="961" t="str">
        <f>IF(F21&lt;'PlayerGrades+'!$AB$21,"F-",IF(F21&lt;'PlayerGrades+'!$AB$20,"F",IF(F21&lt;'PlayerGrades+'!$AB$19,"F+",IF(F21&lt;'PlayerGrades+'!$AB$18,"E-",IF(F21&lt;'PlayerGrades+'!$AB$17,"E",IF(F21&lt;'PlayerGrades+'!$AB$16,"E+",IF(F21&lt;'PlayerGrades+'!$AB$15,"D-",IF(F21&lt;'PlayerGrades+'!$AB$14,"D",IF(F21&lt;'PlayerGrades+'!$AB$13,"D+",IF(F21&lt;'PlayerGrades+'!$AB$12,"C-",IF(F21&lt;'PlayerGrades+'!$AB$11,"C",IF(F21&lt;'PlayerGrades+'!$AB$10,"C+",IF(F21&lt;'PlayerGrades+'!$AB$9,"B-",IF(F21&lt;'PlayerGrades+'!$AB$8,"B",IF(F21&lt;'PlayerGrades+'!$AB$7,"B+",IF(F21&lt;'PlayerGrades+'!$AB$6,"A-",IF(F21&lt;'PlayerGrades+'!$AB$5,"A",IF(F21&lt;'PlayerGrades+'!$AB$4,"A+",IF(F21&lt;'PlayerGrades+'!$AB$3,"S-",IF(F21&lt;'PlayerGrades+'!$AB$2,"S","S+"))))))))))))))))))))</f>
        <v>A</v>
      </c>
      <c r="H21" s="961">
        <f t="shared" si="3"/>
        <v>0.2895054282</v>
      </c>
      <c r="I21" s="961" t="str">
        <f>IF(H21&lt;'PlayerGrades+'!$AC$21,"F-",IF(H21&lt;'PlayerGrades+'!$AC$20,"F",IF(H21&lt;'PlayerGrades+'!$AC$19,"F+",IF(H21&lt;'PlayerGrades+'!$AC$18,"E-",IF(H21&lt;'PlayerGrades+'!$AC$17,"E",IF(H21&lt;'PlayerGrades+'!$AC$16,"E+",IF(H21&lt;'PlayerGrades+'!$AC$15,"D-",IF(H21&lt;'PlayerGrades+'!$AC$14,"D",IF(H21&lt;'PlayerGrades+'!$AC$13,"D+",IF(H21&lt;'PlayerGrades+'!$AC$12,"C-",IF(H21&lt;'PlayerGrades+'!$AC$11,"C",IF(H21&lt;'PlayerGrades+'!$AC$10,"C+",IF(H21&lt;'PlayerGrades+'!$AC$9,"B-",IF(H21&lt;'PlayerGrades+'!$AC$8,"B",IF(H21&lt;'PlayerGrades+'!$AC$7,"B+",IF(H21&lt;'PlayerGrades+'!$AC$6,"A-",IF(H21&lt;'PlayerGrades+'!$AC$5,"A",IF(H21&lt;'PlayerGrades+'!$AC$4,"A+",IF(H21&lt;'PlayerGrades+'!$AC$3,"S-",IF(H21&lt;'PlayerGrades+'!$AC$2,"S","S+"))))))))))))))))))))</f>
        <v>F+</v>
      </c>
      <c r="J21" s="961">
        <f t="shared" si="4"/>
        <v>0.07237635706</v>
      </c>
      <c r="K21" s="961" t="str">
        <f>IF(J21&lt;'PlayerGrades+'!$AD$21,"F-",IF(J21&lt;'PlayerGrades+'!$AD$20,"F",IF(J21&lt;'PlayerGrades+'!$AD$19,"F+",IF(J21&lt;'PlayerGrades+'!$AD$18,"E-",IF(J21&lt;'PlayerGrades+'!$AD$17,"E",IF(J21&lt;'PlayerGrades+'!$AD$16,"E+",IF(J21&lt;'PlayerGrades+'!$AD$15,"D-",IF(J21&lt;'PlayerGrades+'!$AD$14,"D",IF(J21&lt;'PlayerGrades+'!$AD$13,"D+",IF(J21&lt;'PlayerGrades+'!$AD$12,"C-",IF(J21&lt;'PlayerGrades+'!$AD$11,"C",IF(J21&lt;'PlayerGrades+'!$AD$10,"C+",IF(J21&lt;'PlayerGrades+'!$AD$9,"B-",IF(J21&lt;'PlayerGrades+'!$AD$8,"B",IF(J21&lt;'PlayerGrades+'!$AD$7,"B+",IF(J21&lt;'PlayerGrades+'!$AD$6,"A-",IF(J21&lt;'PlayerGrades+'!$AD$5,"A",IF(J21&lt;'PlayerGrades+'!$AD$4,"A+",IF(J21&lt;'PlayerGrades+'!$AD$3,"S-",IF(J21&lt;'PlayerGrades+'!$AD$2,"S","S+"))))))))))))))))))))</f>
        <v>A-</v>
      </c>
      <c r="L21" s="992">
        <f t="shared" si="5"/>
        <v>0.5066344994</v>
      </c>
      <c r="M21" s="992" t="str">
        <f>IF(L21&lt;'PlayerGrades+'!$AE$21,"F-",IF(L21&lt;'PlayerGrades+'!$AE$20,"F",IF(L21&lt;'PlayerGrades+'!$AE$19,"F+",IF(L21&lt;'PlayerGrades+'!$AE$18,"E-",IF(L21&lt;'PlayerGrades+'!$AE$17,"E",IF(L21&lt;'PlayerGrades+'!$AE$16,"E+",IF(L21&lt;'PlayerGrades+'!$AE$15,"D-",IF(L21&lt;'PlayerGrades+'!$AE$14,"D",IF(L21&lt;'PlayerGrades+'!$AE$13,"D+",IF(L21&lt;'PlayerGrades+'!$AE$12,"C-",IF(L21&lt;'PlayerGrades+'!$AE$11,"C",IF(L21&lt;'PlayerGrades+'!$AE$10,"C+",IF(L21&lt;'PlayerGrades+'!$AE$9,"B-",IF(L21&lt;'PlayerGrades+'!$AE$8,"B",IF(L21&lt;'PlayerGrades+'!$AE$7,"B+",IF(L21&lt;'PlayerGrades+'!$AE$6,"A-",IF(L21&lt;'PlayerGrades+'!$AE$5,"A",IF(L21&lt;'PlayerGrades+'!$AE$4,"A+",IF(L21&lt;'PlayerGrades+'!$AE$3,"S-",IF(L21&lt;'PlayerGrades+'!$AE$2,"S","S+"))))))))))))))))))))</f>
        <v>B+</v>
      </c>
      <c r="N21" s="961">
        <f t="shared" si="6"/>
        <v>0</v>
      </c>
      <c r="O21" s="961" t="str">
        <f>IF(N21&lt;'PlayerGrades+'!$AF$21,"F-",IF(N21&lt;'PlayerGrades+'!$AF$20,"F",IF(N21&lt;'PlayerGrades+'!$AF$19,"F+",IF(N21&lt;'PlayerGrades+'!$AF$18,"E-",IF(N21&lt;'PlayerGrades+'!$AF$17,"E",IF(N21&lt;'PlayerGrades+'!$AF$16,"E+",IF(N21&lt;'PlayerGrades+'!$AF$15,"D-",IF(N21&lt;'PlayerGrades+'!$AF$14,"D",IF(N21&lt;'PlayerGrades+'!$AF$13,"D+",IF(N21&lt;'PlayerGrades+'!$AF$12,"C-",IF(N21&lt;'PlayerGrades+'!$AF$11,"C",IF(N21&lt;'PlayerGrades+'!$AF$10,"C+",IF(N21&lt;'PlayerGrades+'!$AF$9,"B-",IF(N21&lt;'PlayerGrades+'!$AF$8,"B",IF(N21&lt;'PlayerGrades+'!$AF$7,"B+",IF(N21&lt;'PlayerGrades+'!$AF$6,"A-",IF(N21&lt;'PlayerGrades+'!$AF$5,"A",IF(N21&lt;'PlayerGrades+'!$AF$4,"A+",IF(N21&lt;'PlayerGrades+'!$AF$3,"S-",IF(N21&lt;'PlayerGrades+'!$AF$2,"S","S+"))))))))))))))))))))</f>
        <v>F-</v>
      </c>
      <c r="P21" s="961">
        <f t="shared" si="7"/>
        <v>0.7237635706</v>
      </c>
      <c r="Q21" s="961" t="str">
        <f>IF(P21&lt;'PlayerGrades+'!$AG$21,"F-",IF(P21&lt;'PlayerGrades+'!$AG$20,"F",IF(P21&lt;'PlayerGrades+'!$AG$19,"F+",IF(P21&lt;'PlayerGrades+'!$AG$18,"E-",IF(P21&lt;'PlayerGrades+'!$AG$17,"E",IF(P21&lt;'PlayerGrades+'!$AG$16,"E+",IF(P21&lt;'PlayerGrades+'!$AG$15,"D-",IF(P21&lt;'PlayerGrades+'!$AG$14,"D",IF(P21&lt;'PlayerGrades+'!$AG$13,"D+",IF(P21&lt;'PlayerGrades+'!$AG$12,"C-",IF(P21&lt;'PlayerGrades+'!$AG$11,"C",IF(P21&lt;'PlayerGrades+'!$AG$10,"C+",IF(P21&lt;'PlayerGrades+'!$AG$9,"B-",IF(P21&lt;'PlayerGrades+'!$AG$8,"B",IF(P21&lt;'PlayerGrades+'!$AG$7,"B+",IF(P21&lt;'PlayerGrades+'!$AG$6,"A-",IF(P21&lt;'PlayerGrades+'!$AG$5,"A",IF(P21&lt;'PlayerGrades+'!$AG$4,"A+",IF(P21&lt;'PlayerGrades+'!$AG$3,"S-",IF(P21&lt;'PlayerGrades+'!$AG$2,"S","S+"))))))))))))))))))))</f>
        <v>B</v>
      </c>
      <c r="R21" s="961">
        <f t="shared" si="8"/>
        <v>0</v>
      </c>
      <c r="S21" s="961" t="str">
        <f>IF(R21&lt;'PlayerGrades+'!$AH$21,"F-",IF(R21&lt;'PlayerGrades+'!$AH$20,"F",IF(R21&lt;'PlayerGrades+'!$AH$19,"F+",IF(R21&lt;'PlayerGrades+'!$AH$18,"E-",IF(R21&lt;'PlayerGrades+'!$AH$17,"E",IF(R21&lt;'PlayerGrades+'!$AH$16,"E+",IF(R21&lt;'PlayerGrades+'!$AH$15,"D-",IF(R21&lt;'PlayerGrades+'!$AH$14,"D",IF(R21&lt;'PlayerGrades+'!$AH$13,"D+",IF(R21&lt;'PlayerGrades+'!$AH$12,"C-",IF(R21&lt;'PlayerGrades+'!$AH$11,"C",IF(R21&lt;'PlayerGrades+'!$AH$10,"C+",IF(R21&lt;'PlayerGrades+'!$AH$9,"B-",IF(R21&lt;'PlayerGrades+'!$AH$8,"B",IF(R21&lt;'PlayerGrades+'!$AH$7,"B+",IF(R21&lt;'PlayerGrades+'!$AH$6,"A-",IF(R21&lt;'PlayerGrades+'!$AH$5,"A",IF(R21&lt;'PlayerGrades+'!$AH$4,"A+",IF(R21&lt;'PlayerGrades+'!$AH$3,"S-",IF(R21&lt;'PlayerGrades+'!$AH$2,"S","S+"))))))))))))))))))))</f>
        <v>F-</v>
      </c>
      <c r="T21" s="961">
        <f t="shared" si="9"/>
        <v>2.388419783</v>
      </c>
      <c r="U21" s="961" t="str">
        <f>IF(T21&lt;'PlayerGrades+'!$AI$21,"F-",IF(T21&lt;'PlayerGrades+'!$AI$20,"F",IF(T21&lt;'PlayerGrades+'!$AI$19,"F+",IF(T21&lt;'PlayerGrades+'!$AI$18,"E-",IF(T21&lt;'PlayerGrades+'!$AI$17,"E",IF(T21&lt;'PlayerGrades+'!$AI$16,"E+",IF(T21&lt;'PlayerGrades+'!$AI$15,"D-",IF(T21&lt;'PlayerGrades+'!$AI$14,"D",IF(T21&lt;'PlayerGrades+'!$AI$13,"D+",IF(T21&lt;'PlayerGrades+'!$AI$12,"C-",IF(T21&lt;'PlayerGrades+'!$AI$11,"C",IF(T21&lt;'PlayerGrades+'!$AI$10,"C+",IF(T21&lt;'PlayerGrades+'!$AI$9,"B-",IF(T21&lt;'PlayerGrades+'!$AI$8,"B",IF(T21&lt;'PlayerGrades+'!$AI$7,"B+",IF(T21&lt;'PlayerGrades+'!$AI$6,"A-",IF(T21&lt;'PlayerGrades+'!$AI$5,"A",IF(T21&lt;'PlayerGrades+'!$AI$4,"A+",IF(T21&lt;'PlayerGrades+'!$AI$3,"S-",IF(T21&lt;'PlayerGrades+'!$AI$2,"S","S+"))))))))))))))))))))</f>
        <v>E</v>
      </c>
      <c r="V21" s="1017">
        <v>1.0</v>
      </c>
      <c r="W21" s="1017">
        <v>0.0</v>
      </c>
      <c r="X21" s="1017">
        <v>0.0</v>
      </c>
      <c r="Y21" s="1017">
        <v>0.0</v>
      </c>
      <c r="Z21" s="1017">
        <v>33.0</v>
      </c>
      <c r="AA21" s="1017">
        <v>45.0</v>
      </c>
      <c r="AB21" s="1017">
        <f t="shared" si="10"/>
        <v>-12</v>
      </c>
      <c r="AC21" s="1020">
        <f t="shared" si="11"/>
        <v>0.7333333333</v>
      </c>
      <c r="AD21" s="1017">
        <v>1.0</v>
      </c>
      <c r="AE21" s="1242">
        <v>829.0</v>
      </c>
      <c r="AF21" s="1017">
        <v>1.0</v>
      </c>
      <c r="AG21" s="1022">
        <v>0.0</v>
      </c>
      <c r="AH21" s="1022">
        <v>0.0</v>
      </c>
      <c r="AI21" s="1022">
        <v>0.0</v>
      </c>
      <c r="AJ21" s="1022">
        <v>3.0</v>
      </c>
      <c r="AK21" s="1022">
        <v>7.0</v>
      </c>
      <c r="AL21" s="1022">
        <v>0.0</v>
      </c>
      <c r="AM21" s="1022">
        <v>0.0</v>
      </c>
      <c r="AN21" s="1022">
        <v>0.0</v>
      </c>
      <c r="AO21" s="1022">
        <v>0.0</v>
      </c>
      <c r="AP21" s="1022">
        <v>0.0</v>
      </c>
      <c r="AQ21" s="1022">
        <v>0.0</v>
      </c>
      <c r="AR21" s="1022">
        <v>0.0</v>
      </c>
      <c r="AS21" s="1022">
        <v>0.0</v>
      </c>
      <c r="AT21" s="1022">
        <v>0.0</v>
      </c>
      <c r="AU21" s="1022">
        <v>4.0</v>
      </c>
      <c r="AV21" s="1022">
        <v>0.0</v>
      </c>
      <c r="AW21" s="1022">
        <v>0.0</v>
      </c>
      <c r="AX21" s="1022">
        <v>0.0</v>
      </c>
      <c r="AY21" s="1022">
        <v>0.0</v>
      </c>
      <c r="AZ21" s="1027">
        <v>0.0</v>
      </c>
    </row>
    <row r="22">
      <c r="A22" s="938" t="s">
        <v>394</v>
      </c>
      <c r="B22" s="1100" t="str">
        <f>IF(C22&lt;'PlayerGrades+'!$Y$44,"F-",IF(C22&lt;'PlayerGrades+'!$Y$43,"F",IF(C22&lt;'PlayerGrades+'!$Y$42,"F+",IF(C22&lt;'PlayerGrades+'!$Y$41,"E-",IF(C22&lt;'PlayerGrades+'!$Y$40,"E",IF(C22&lt;'PlayerGrades+'!$Y$39,"E+",IF(C22&lt;'PlayerGrades+'!$Y$38,"D-",IF(C22&lt;'PlayerGrades+'!$Y$37,"D",IF(C22&lt;'PlayerGrades+'!$Y$36,"D+",IF(C22&lt;'PlayerGrades+'!$Y$35,"C-",IF(C22&lt;'PlayerGrades+'!$Y$34,"C",IF(C22&lt;'PlayerGrades+'!$Y$33,"C+",IF(C22&lt;'PlayerGrades+'!$Y$32,"B-",IF(C22&lt;'PlayerGrades+'!$Y$31,"B",IF(C22&lt;'PlayerGrades+'!$Y$30,"B+",IF(C22&lt;'PlayerGrades+'!$Y$29,"A-",IF(C22&lt;'PlayerGrades+'!$Y$28,"A",IF(C22&lt;'PlayerGrades+'!$Y$27,"A+",IF(C22&lt;'PlayerGrades+'!$Y$26,"S-",IF(C22&lt;'PlayerGrades+'!$Y$25,"S","S+"))))))))))))))))))))</f>
        <v>S-</v>
      </c>
      <c r="C22" s="1105">
        <f>('PlayerGrades+'!$Y$47*(VLOOKUP(E22, 'PlayerGrades+'!$X$3:$Y$23, 2, FALSE)))+('PlayerGrades+'!$Y$48*(VLOOKUP(G22, 'PlayerGrades+'!$X$3:$Y$23, 2, FALSE)))+('PlayerGrades+'!$Y$49*(VLOOKUP(I22, 'PlayerGrades+'!$X$3:$Y$23, 2, FALSE)))+('PlayerGrades+'!$Y$50*(VLOOKUP(K22, 'PlayerGrades+'!$X$3:$Y$23, 2, FALSE)))+('PlayerGrades+'!$Y$51*(VLOOKUP(M22, 'PlayerGrades+'!$X$3:$Y$23, 2, FALSE)))+('PlayerGrades+'!$Y$52*(VLOOKUP(O22, 'PlayerGrades+'!$X$3:$Y$23, 2, FALSE)))+('PlayerGrades+'!$Y$53*(VLOOKUP(Q22, 'PlayerGrades+'!$X$3:$Y$23, 2, FALSE)))+('PlayerGrades+'!$Y$54*(VLOOKUP(S22, 'PlayerGrades+'!$X$3:$Y$23, 2, FALSE)))+('PlayerGrades+'!$Y$55*(VLOOKUP(U22, 'PlayerGrades+'!$X$3:$Y$23, 2, FALSE)))</f>
        <v>25.8</v>
      </c>
      <c r="D22" s="961">
        <f t="shared" si="1"/>
        <v>0.07237635706</v>
      </c>
      <c r="E22" s="961" t="str">
        <f>IF(D22&lt;'PlayerGrades+'!$AA$21,"F-",IF(D22&lt;'PlayerGrades+'!$AA$20,"F",IF(D22&lt;'PlayerGrades+'!$AA$19,"F+",IF(D22&lt;'PlayerGrades+'!$AA$18,"E-",IF(D22&lt;'PlayerGrades+'!$AA$17,"E",IF(D22&lt;'PlayerGrades+'!$AA$16,"E+",IF(D22&lt;'PlayerGrades+'!$AA$15,"D-",IF(D22&lt;'PlayerGrades+'!$AA$14,"D",IF(D22&lt;'PlayerGrades+'!$AA$13,"D+",IF(D22&lt;'PlayerGrades+'!$AA$12,"C-",IF(D22&lt;'PlayerGrades+'!$AA$11,"C",IF(D22&lt;'PlayerGrades+'!$AA$10,"C+",IF(D22&lt;'PlayerGrades+'!$AA$9,"B-",IF(D22&lt;'PlayerGrades+'!$AA$8,"B",IF(D22&lt;'PlayerGrades+'!$AA$7,"B+",IF(D22&lt;'PlayerGrades+'!$AA$6,"A-",IF(D22&lt;'PlayerGrades+'!$AA$5,"A",IF(D22&lt;'PlayerGrades+'!$AA$4,"A+",IF(D22&lt;'PlayerGrades+'!$AA$3,"S-",IF(D22&lt;'PlayerGrades+'!$AA$2,"S","S+"))))))))))))))))))))</f>
        <v>A-</v>
      </c>
      <c r="F22" s="961">
        <f t="shared" si="2"/>
        <v>0.1045436269</v>
      </c>
      <c r="G22" s="961" t="str">
        <f>IF(F22&lt;'PlayerGrades+'!$AB$21,"F-",IF(F22&lt;'PlayerGrades+'!$AB$20,"F",IF(F22&lt;'PlayerGrades+'!$AB$19,"F+",IF(F22&lt;'PlayerGrades+'!$AB$18,"E-",IF(F22&lt;'PlayerGrades+'!$AB$17,"E",IF(F22&lt;'PlayerGrades+'!$AB$16,"E+",IF(F22&lt;'PlayerGrades+'!$AB$15,"D-",IF(F22&lt;'PlayerGrades+'!$AB$14,"D",IF(F22&lt;'PlayerGrades+'!$AB$13,"D+",IF(F22&lt;'PlayerGrades+'!$AB$12,"C-",IF(F22&lt;'PlayerGrades+'!$AB$11,"C",IF(F22&lt;'PlayerGrades+'!$AB$10,"C+",IF(F22&lt;'PlayerGrades+'!$AB$9,"B-",IF(F22&lt;'PlayerGrades+'!$AB$8,"B",IF(F22&lt;'PlayerGrades+'!$AB$7,"B+",IF(F22&lt;'PlayerGrades+'!$AB$6,"A-",IF(F22&lt;'PlayerGrades+'!$AB$5,"A",IF(F22&lt;'PlayerGrades+'!$AB$4,"A+",IF(F22&lt;'PlayerGrades+'!$AB$3,"S-",IF(F22&lt;'PlayerGrades+'!$AB$2,"S","S+"))))))))))))))))))))</f>
        <v>A</v>
      </c>
      <c r="H22" s="961">
        <f t="shared" si="3"/>
        <v>0.5066344994</v>
      </c>
      <c r="I22" s="961" t="str">
        <f>IF(H22&lt;'PlayerGrades+'!$AC$21,"F-",IF(H22&lt;'PlayerGrades+'!$AC$20,"F",IF(H22&lt;'PlayerGrades+'!$AC$19,"F+",IF(H22&lt;'PlayerGrades+'!$AC$18,"E-",IF(H22&lt;'PlayerGrades+'!$AC$17,"E",IF(H22&lt;'PlayerGrades+'!$AC$16,"E+",IF(H22&lt;'PlayerGrades+'!$AC$15,"D-",IF(H22&lt;'PlayerGrades+'!$AC$14,"D",IF(H22&lt;'PlayerGrades+'!$AC$13,"D+",IF(H22&lt;'PlayerGrades+'!$AC$12,"C-",IF(H22&lt;'PlayerGrades+'!$AC$11,"C",IF(H22&lt;'PlayerGrades+'!$AC$10,"C+",IF(H22&lt;'PlayerGrades+'!$AC$9,"B-",IF(H22&lt;'PlayerGrades+'!$AC$8,"B",IF(H22&lt;'PlayerGrades+'!$AC$7,"B+",IF(H22&lt;'PlayerGrades+'!$AC$6,"A-",IF(H22&lt;'PlayerGrades+'!$AC$5,"A",IF(H22&lt;'PlayerGrades+'!$AC$4,"A+",IF(H22&lt;'PlayerGrades+'!$AC$3,"S-",IF(H22&lt;'PlayerGrades+'!$AC$2,"S","S+"))))))))))))))))))))</f>
        <v>B+</v>
      </c>
      <c r="J22" s="961">
        <f t="shared" si="4"/>
        <v>0.07237635706</v>
      </c>
      <c r="K22" s="961" t="str">
        <f>IF(J22&lt;'PlayerGrades+'!$AD$21,"F-",IF(J22&lt;'PlayerGrades+'!$AD$20,"F",IF(J22&lt;'PlayerGrades+'!$AD$19,"F+",IF(J22&lt;'PlayerGrades+'!$AD$18,"E-",IF(J22&lt;'PlayerGrades+'!$AD$17,"E",IF(J22&lt;'PlayerGrades+'!$AD$16,"E+",IF(J22&lt;'PlayerGrades+'!$AD$15,"D-",IF(J22&lt;'PlayerGrades+'!$AD$14,"D",IF(J22&lt;'PlayerGrades+'!$AD$13,"D+",IF(J22&lt;'PlayerGrades+'!$AD$12,"C-",IF(J22&lt;'PlayerGrades+'!$AD$11,"C",IF(J22&lt;'PlayerGrades+'!$AD$10,"C+",IF(J22&lt;'PlayerGrades+'!$AD$9,"B-",IF(J22&lt;'PlayerGrades+'!$AD$8,"B",IF(J22&lt;'PlayerGrades+'!$AD$7,"B+",IF(J22&lt;'PlayerGrades+'!$AD$6,"A-",IF(J22&lt;'PlayerGrades+'!$AD$5,"A",IF(J22&lt;'PlayerGrades+'!$AD$4,"A+",IF(J22&lt;'PlayerGrades+'!$AD$3,"S-",IF(J22&lt;'PlayerGrades+'!$AD$2,"S","S+"))))))))))))))))))))</f>
        <v>A-</v>
      </c>
      <c r="L22" s="992">
        <f t="shared" si="5"/>
        <v>1.158021713</v>
      </c>
      <c r="M22" s="992" t="str">
        <f>IF(L22&lt;'PlayerGrades+'!$AE$21,"F-",IF(L22&lt;'PlayerGrades+'!$AE$20,"F",IF(L22&lt;'PlayerGrades+'!$AE$19,"F+",IF(L22&lt;'PlayerGrades+'!$AE$18,"E-",IF(L22&lt;'PlayerGrades+'!$AE$17,"E",IF(L22&lt;'PlayerGrades+'!$AE$16,"E+",IF(L22&lt;'PlayerGrades+'!$AE$15,"D-",IF(L22&lt;'PlayerGrades+'!$AE$14,"D",IF(L22&lt;'PlayerGrades+'!$AE$13,"D+",IF(L22&lt;'PlayerGrades+'!$AE$12,"C-",IF(L22&lt;'PlayerGrades+'!$AE$11,"C",IF(L22&lt;'PlayerGrades+'!$AE$10,"C+",IF(L22&lt;'PlayerGrades+'!$AE$9,"B-",IF(L22&lt;'PlayerGrades+'!$AE$8,"B",IF(L22&lt;'PlayerGrades+'!$AE$7,"B+",IF(L22&lt;'PlayerGrades+'!$AE$6,"A-",IF(L22&lt;'PlayerGrades+'!$AE$5,"A",IF(L22&lt;'PlayerGrades+'!$AE$4,"A+",IF(L22&lt;'PlayerGrades+'!$AE$3,"S-",IF(L22&lt;'PlayerGrades+'!$AE$2,"S","S+"))))))))))))))))))))</f>
        <v>S+</v>
      </c>
      <c r="N22" s="961">
        <f t="shared" si="6"/>
        <v>0.2895054282</v>
      </c>
      <c r="O22" s="961" t="str">
        <f>IF(N22&lt;'PlayerGrades+'!$AF$21,"F-",IF(N22&lt;'PlayerGrades+'!$AF$20,"F",IF(N22&lt;'PlayerGrades+'!$AF$19,"F+",IF(N22&lt;'PlayerGrades+'!$AF$18,"E-",IF(N22&lt;'PlayerGrades+'!$AF$17,"E",IF(N22&lt;'PlayerGrades+'!$AF$16,"E+",IF(N22&lt;'PlayerGrades+'!$AF$15,"D-",IF(N22&lt;'PlayerGrades+'!$AF$14,"D",IF(N22&lt;'PlayerGrades+'!$AF$13,"D+",IF(N22&lt;'PlayerGrades+'!$AF$12,"C-",IF(N22&lt;'PlayerGrades+'!$AF$11,"C",IF(N22&lt;'PlayerGrades+'!$AF$10,"C+",IF(N22&lt;'PlayerGrades+'!$AF$9,"B-",IF(N22&lt;'PlayerGrades+'!$AF$8,"B",IF(N22&lt;'PlayerGrades+'!$AF$7,"B+",IF(N22&lt;'PlayerGrades+'!$AF$6,"A-",IF(N22&lt;'PlayerGrades+'!$AF$5,"A",IF(N22&lt;'PlayerGrades+'!$AF$4,"A+",IF(N22&lt;'PlayerGrades+'!$AF$3,"S-",IF(N22&lt;'PlayerGrades+'!$AF$2,"S","S+"))))))))))))))))))))</f>
        <v>S</v>
      </c>
      <c r="P22" s="961">
        <f t="shared" si="7"/>
        <v>1.809408926</v>
      </c>
      <c r="Q22" s="961" t="str">
        <f>IF(P22&lt;'PlayerGrades+'!$AG$21,"F-",IF(P22&lt;'PlayerGrades+'!$AG$20,"F",IF(P22&lt;'PlayerGrades+'!$AG$19,"F+",IF(P22&lt;'PlayerGrades+'!$AG$18,"E-",IF(P22&lt;'PlayerGrades+'!$AG$17,"E",IF(P22&lt;'PlayerGrades+'!$AG$16,"E+",IF(P22&lt;'PlayerGrades+'!$AG$15,"D-",IF(P22&lt;'PlayerGrades+'!$AG$14,"D",IF(P22&lt;'PlayerGrades+'!$AG$13,"D+",IF(P22&lt;'PlayerGrades+'!$AG$12,"C-",IF(P22&lt;'PlayerGrades+'!$AG$11,"C",IF(P22&lt;'PlayerGrades+'!$AG$10,"C+",IF(P22&lt;'PlayerGrades+'!$AG$9,"B-",IF(P22&lt;'PlayerGrades+'!$AG$8,"B",IF(P22&lt;'PlayerGrades+'!$AG$7,"B+",IF(P22&lt;'PlayerGrades+'!$AG$6,"A-",IF(P22&lt;'PlayerGrades+'!$AG$5,"A",IF(P22&lt;'PlayerGrades+'!$AG$4,"A+",IF(P22&lt;'PlayerGrades+'!$AG$3,"S-",IF(P22&lt;'PlayerGrades+'!$AG$2,"S","S+"))))))))))))))))))))</f>
        <v>S+</v>
      </c>
      <c r="R22" s="961">
        <f t="shared" si="8"/>
        <v>0.2171290712</v>
      </c>
      <c r="S22" s="961" t="str">
        <f>IF(R22&lt;'PlayerGrades+'!$AH$21,"F-",IF(R22&lt;'PlayerGrades+'!$AH$20,"F",IF(R22&lt;'PlayerGrades+'!$AH$19,"F+",IF(R22&lt;'PlayerGrades+'!$AH$18,"E-",IF(R22&lt;'PlayerGrades+'!$AH$17,"E",IF(R22&lt;'PlayerGrades+'!$AH$16,"E+",IF(R22&lt;'PlayerGrades+'!$AH$15,"D-",IF(R22&lt;'PlayerGrades+'!$AH$14,"D",IF(R22&lt;'PlayerGrades+'!$AH$13,"D+",IF(R22&lt;'PlayerGrades+'!$AH$12,"C-",IF(R22&lt;'PlayerGrades+'!$AH$11,"C",IF(R22&lt;'PlayerGrades+'!$AH$10,"C+",IF(R22&lt;'PlayerGrades+'!$AH$9,"B-",IF(R22&lt;'PlayerGrades+'!$AH$8,"B",IF(R22&lt;'PlayerGrades+'!$AH$7,"B+",IF(R22&lt;'PlayerGrades+'!$AH$6,"A-",IF(R22&lt;'PlayerGrades+'!$AH$5,"A",IF(R22&lt;'PlayerGrades+'!$AH$4,"A+",IF(R22&lt;'PlayerGrades+'!$AH$3,"S-",IF(R22&lt;'PlayerGrades+'!$AH$2,"S","S+"))))))))))))))))))))</f>
        <v>S+</v>
      </c>
      <c r="T22" s="961">
        <f t="shared" si="9"/>
        <v>4.704463209</v>
      </c>
      <c r="U22" s="961" t="str">
        <f>IF(T22&lt;'PlayerGrades+'!$AI$21,"F-",IF(T22&lt;'PlayerGrades+'!$AI$20,"F",IF(T22&lt;'PlayerGrades+'!$AI$19,"F+",IF(T22&lt;'PlayerGrades+'!$AI$18,"E-",IF(T22&lt;'PlayerGrades+'!$AI$17,"E",IF(T22&lt;'PlayerGrades+'!$AI$16,"E+",IF(T22&lt;'PlayerGrades+'!$AI$15,"D-",IF(T22&lt;'PlayerGrades+'!$AI$14,"D",IF(T22&lt;'PlayerGrades+'!$AI$13,"D+",IF(T22&lt;'PlayerGrades+'!$AI$12,"C-",IF(T22&lt;'PlayerGrades+'!$AI$11,"C",IF(T22&lt;'PlayerGrades+'!$AI$10,"C+",IF(T22&lt;'PlayerGrades+'!$AI$9,"B-",IF(T22&lt;'PlayerGrades+'!$AI$8,"B",IF(T22&lt;'PlayerGrades+'!$AI$7,"B+",IF(T22&lt;'PlayerGrades+'!$AI$6,"A-",IF(T22&lt;'PlayerGrades+'!$AI$5,"A",IF(T22&lt;'PlayerGrades+'!$AI$4,"A+",IF(T22&lt;'PlayerGrades+'!$AI$3,"S-",IF(T22&lt;'PlayerGrades+'!$AI$2,"S","S+"))))))))))))))))))))</f>
        <v>S+</v>
      </c>
      <c r="V22" s="1017">
        <v>0.0</v>
      </c>
      <c r="W22" s="1017">
        <v>1.0</v>
      </c>
      <c r="X22" s="1017">
        <v>1.0</v>
      </c>
      <c r="Y22" s="1017">
        <v>0.0</v>
      </c>
      <c r="Z22" s="1017">
        <v>65.0</v>
      </c>
      <c r="AA22" s="1017">
        <v>45.0</v>
      </c>
      <c r="AB22" s="1017">
        <f t="shared" si="10"/>
        <v>20</v>
      </c>
      <c r="AC22" s="1020">
        <f t="shared" si="11"/>
        <v>1.444444444</v>
      </c>
      <c r="AD22" s="1017">
        <v>0.0</v>
      </c>
      <c r="AE22" s="1242">
        <v>829.0</v>
      </c>
      <c r="AF22" s="1017">
        <v>1.0</v>
      </c>
      <c r="AG22" s="1022">
        <v>0.0</v>
      </c>
      <c r="AH22" s="1022">
        <v>0.0</v>
      </c>
      <c r="AI22" s="1022">
        <v>0.0</v>
      </c>
      <c r="AJ22" s="1022">
        <v>3.0</v>
      </c>
      <c r="AK22" s="1022">
        <v>16.0</v>
      </c>
      <c r="AL22" s="1022">
        <v>4.0</v>
      </c>
      <c r="AM22" s="1022">
        <v>2.0</v>
      </c>
      <c r="AN22" s="1022">
        <v>0.0</v>
      </c>
      <c r="AO22" s="1022">
        <v>0.0</v>
      </c>
      <c r="AP22" s="1022">
        <v>0.0</v>
      </c>
      <c r="AQ22" s="1022">
        <v>0.0</v>
      </c>
      <c r="AR22" s="1022">
        <v>0.0</v>
      </c>
      <c r="AS22" s="1022">
        <v>0.0</v>
      </c>
      <c r="AT22" s="1022">
        <v>0.0</v>
      </c>
      <c r="AU22" s="1022">
        <v>7.0</v>
      </c>
      <c r="AV22" s="1022">
        <v>0.0</v>
      </c>
      <c r="AW22" s="1022">
        <v>0.0</v>
      </c>
      <c r="AX22" s="1022">
        <v>0.0</v>
      </c>
      <c r="AY22" s="1022">
        <v>2.0</v>
      </c>
      <c r="AZ22" s="1027">
        <v>1.0</v>
      </c>
    </row>
    <row r="23">
      <c r="A23" s="938" t="s">
        <v>80</v>
      </c>
      <c r="B23" s="1100" t="str">
        <f>IF(C23&lt;'PlayerGrades+'!$Y$44,"F-",IF(C23&lt;'PlayerGrades+'!$Y$43,"F",IF(C23&lt;'PlayerGrades+'!$Y$42,"F+",IF(C23&lt;'PlayerGrades+'!$Y$41,"E-",IF(C23&lt;'PlayerGrades+'!$Y$40,"E",IF(C23&lt;'PlayerGrades+'!$Y$39,"E+",IF(C23&lt;'PlayerGrades+'!$Y$38,"D-",IF(C23&lt;'PlayerGrades+'!$Y$37,"D",IF(C23&lt;'PlayerGrades+'!$Y$36,"D+",IF(C23&lt;'PlayerGrades+'!$Y$35,"C-",IF(C23&lt;'PlayerGrades+'!$Y$34,"C",IF(C23&lt;'PlayerGrades+'!$Y$33,"C+",IF(C23&lt;'PlayerGrades+'!$Y$32,"B-",IF(C23&lt;'PlayerGrades+'!$Y$31,"B",IF(C23&lt;'PlayerGrades+'!$Y$30,"B+",IF(C23&lt;'PlayerGrades+'!$Y$29,"A-",IF(C23&lt;'PlayerGrades+'!$Y$28,"A",IF(C23&lt;'PlayerGrades+'!$Y$27,"A+",IF(C23&lt;'PlayerGrades+'!$Y$26,"S-",IF(C23&lt;'PlayerGrades+'!$Y$25,"S","S+"))))))))))))))))))))</f>
        <v>C+</v>
      </c>
      <c r="C23" s="1105">
        <f>('PlayerGrades+'!$Y$47*(VLOOKUP(E23, 'PlayerGrades+'!$X$3:$Y$23, 2, FALSE)))+('PlayerGrades+'!$Y$48*(VLOOKUP(G23, 'PlayerGrades+'!$X$3:$Y$23, 2, FALSE)))+('PlayerGrades+'!$Y$49*(VLOOKUP(I23, 'PlayerGrades+'!$X$3:$Y$23, 2, FALSE)))+('PlayerGrades+'!$Y$50*(VLOOKUP(K23, 'PlayerGrades+'!$X$3:$Y$23, 2, FALSE)))+('PlayerGrades+'!$Y$51*(VLOOKUP(M23, 'PlayerGrades+'!$X$3:$Y$23, 2, FALSE)))+('PlayerGrades+'!$Y$52*(VLOOKUP(O23, 'PlayerGrades+'!$X$3:$Y$23, 2, FALSE)))+('PlayerGrades+'!$Y$53*(VLOOKUP(Q23, 'PlayerGrades+'!$X$3:$Y$23, 2, FALSE)))+('PlayerGrades+'!$Y$54*(VLOOKUP(S23, 'PlayerGrades+'!$X$3:$Y$23, 2, FALSE)))+('PlayerGrades+'!$Y$55*(VLOOKUP(U23, 'PlayerGrades+'!$X$3:$Y$23, 2, FALSE)))</f>
        <v>15.6</v>
      </c>
      <c r="D23" s="961">
        <f t="shared" si="1"/>
        <v>0</v>
      </c>
      <c r="E23" s="961" t="str">
        <f>IF(D23&lt;'PlayerGrades+'!$AA$21,"F-",IF(D23&lt;'PlayerGrades+'!$AA$20,"F",IF(D23&lt;'PlayerGrades+'!$AA$19,"F+",IF(D23&lt;'PlayerGrades+'!$AA$18,"E-",IF(D23&lt;'PlayerGrades+'!$AA$17,"E",IF(D23&lt;'PlayerGrades+'!$AA$16,"E+",IF(D23&lt;'PlayerGrades+'!$AA$15,"D-",IF(D23&lt;'PlayerGrades+'!$AA$14,"D",IF(D23&lt;'PlayerGrades+'!$AA$13,"D+",IF(D23&lt;'PlayerGrades+'!$AA$12,"C-",IF(D23&lt;'PlayerGrades+'!$AA$11,"C",IF(D23&lt;'PlayerGrades+'!$AA$10,"C+",IF(D23&lt;'PlayerGrades+'!$AA$9,"B-",IF(D23&lt;'PlayerGrades+'!$AA$8,"B",IF(D23&lt;'PlayerGrades+'!$AA$7,"B+",IF(D23&lt;'PlayerGrades+'!$AA$6,"A-",IF(D23&lt;'PlayerGrades+'!$AA$5,"A",IF(D23&lt;'PlayerGrades+'!$AA$4,"A+",IF(D23&lt;'PlayerGrades+'!$AA$3,"S-",IF(D23&lt;'PlayerGrades+'!$AA$2,"S","S+"))))))))))))))))))))</f>
        <v>F-</v>
      </c>
      <c r="F23" s="961">
        <f t="shared" si="2"/>
        <v>0.0533299473</v>
      </c>
      <c r="G23" s="961" t="str">
        <f>IF(F23&lt;'PlayerGrades+'!$AB$21,"F-",IF(F23&lt;'PlayerGrades+'!$AB$20,"F",IF(F23&lt;'PlayerGrades+'!$AB$19,"F+",IF(F23&lt;'PlayerGrades+'!$AB$18,"E-",IF(F23&lt;'PlayerGrades+'!$AB$17,"E",IF(F23&lt;'PlayerGrades+'!$AB$16,"E+",IF(F23&lt;'PlayerGrades+'!$AB$15,"D-",IF(F23&lt;'PlayerGrades+'!$AB$14,"D",IF(F23&lt;'PlayerGrades+'!$AB$13,"D+",IF(F23&lt;'PlayerGrades+'!$AB$12,"C-",IF(F23&lt;'PlayerGrades+'!$AB$11,"C",IF(F23&lt;'PlayerGrades+'!$AB$10,"C+",IF(F23&lt;'PlayerGrades+'!$AB$9,"B-",IF(F23&lt;'PlayerGrades+'!$AB$8,"B",IF(F23&lt;'PlayerGrades+'!$AB$7,"B+",IF(F23&lt;'PlayerGrades+'!$AB$6,"A-",IF(F23&lt;'PlayerGrades+'!$AB$5,"A",IF(F23&lt;'PlayerGrades+'!$AB$4,"A+",IF(F23&lt;'PlayerGrades+'!$AB$3,"S-",IF(F23&lt;'PlayerGrades+'!$AB$2,"S","S+"))))))))))))))))))))</f>
        <v>A</v>
      </c>
      <c r="H23" s="961">
        <f t="shared" si="3"/>
        <v>0.4342581423</v>
      </c>
      <c r="I23" s="961" t="str">
        <f>IF(H23&lt;'PlayerGrades+'!$AC$21,"F-",IF(H23&lt;'PlayerGrades+'!$AC$20,"F",IF(H23&lt;'PlayerGrades+'!$AC$19,"F+",IF(H23&lt;'PlayerGrades+'!$AC$18,"E-",IF(H23&lt;'PlayerGrades+'!$AC$17,"E",IF(H23&lt;'PlayerGrades+'!$AC$16,"E+",IF(H23&lt;'PlayerGrades+'!$AC$15,"D-",IF(H23&lt;'PlayerGrades+'!$AC$14,"D",IF(H23&lt;'PlayerGrades+'!$AC$13,"D+",IF(H23&lt;'PlayerGrades+'!$AC$12,"C-",IF(H23&lt;'PlayerGrades+'!$AC$11,"C",IF(H23&lt;'PlayerGrades+'!$AC$10,"C+",IF(H23&lt;'PlayerGrades+'!$AC$9,"B-",IF(H23&lt;'PlayerGrades+'!$AC$8,"B",IF(H23&lt;'PlayerGrades+'!$AC$7,"B+",IF(H23&lt;'PlayerGrades+'!$AC$6,"A-",IF(H23&lt;'PlayerGrades+'!$AC$5,"A",IF(H23&lt;'PlayerGrades+'!$AC$4,"A+",IF(H23&lt;'PlayerGrades+'!$AC$3,"S-",IF(H23&lt;'PlayerGrades+'!$AC$2,"S","S+"))))))))))))))))))))</f>
        <v>C-</v>
      </c>
      <c r="J23" s="961">
        <f t="shared" si="4"/>
        <v>0</v>
      </c>
      <c r="K23" s="961" t="str">
        <f>IF(J23&lt;'PlayerGrades+'!$AD$21,"F-",IF(J23&lt;'PlayerGrades+'!$AD$20,"F",IF(J23&lt;'PlayerGrades+'!$AD$19,"F+",IF(J23&lt;'PlayerGrades+'!$AD$18,"E-",IF(J23&lt;'PlayerGrades+'!$AD$17,"E",IF(J23&lt;'PlayerGrades+'!$AD$16,"E+",IF(J23&lt;'PlayerGrades+'!$AD$15,"D-",IF(J23&lt;'PlayerGrades+'!$AD$14,"D",IF(J23&lt;'PlayerGrades+'!$AD$13,"D+",IF(J23&lt;'PlayerGrades+'!$AD$12,"C-",IF(J23&lt;'PlayerGrades+'!$AD$11,"C",IF(J23&lt;'PlayerGrades+'!$AD$10,"C+",IF(J23&lt;'PlayerGrades+'!$AD$9,"B-",IF(J23&lt;'PlayerGrades+'!$AD$8,"B",IF(J23&lt;'PlayerGrades+'!$AD$7,"B+",IF(J23&lt;'PlayerGrades+'!$AD$6,"A-",IF(J23&lt;'PlayerGrades+'!$AD$5,"A",IF(J23&lt;'PlayerGrades+'!$AD$4,"A+",IF(J23&lt;'PlayerGrades+'!$AD$3,"S-",IF(J23&lt;'PlayerGrades+'!$AD$2,"S","S+"))))))))))))))))))))</f>
        <v>F-</v>
      </c>
      <c r="L23" s="992">
        <f t="shared" si="5"/>
        <v>0.5790108565</v>
      </c>
      <c r="M23" s="992" t="str">
        <f>IF(L23&lt;'PlayerGrades+'!$AE$21,"F-",IF(L23&lt;'PlayerGrades+'!$AE$20,"F",IF(L23&lt;'PlayerGrades+'!$AE$19,"F+",IF(L23&lt;'PlayerGrades+'!$AE$18,"E-",IF(L23&lt;'PlayerGrades+'!$AE$17,"E",IF(L23&lt;'PlayerGrades+'!$AE$16,"E+",IF(L23&lt;'PlayerGrades+'!$AE$15,"D-",IF(L23&lt;'PlayerGrades+'!$AE$14,"D",IF(L23&lt;'PlayerGrades+'!$AE$13,"D+",IF(L23&lt;'PlayerGrades+'!$AE$12,"C-",IF(L23&lt;'PlayerGrades+'!$AE$11,"C",IF(L23&lt;'PlayerGrades+'!$AE$10,"C+",IF(L23&lt;'PlayerGrades+'!$AE$9,"B-",IF(L23&lt;'PlayerGrades+'!$AE$8,"B",IF(L23&lt;'PlayerGrades+'!$AE$7,"B+",IF(L23&lt;'PlayerGrades+'!$AE$6,"A-",IF(L23&lt;'PlayerGrades+'!$AE$5,"A",IF(L23&lt;'PlayerGrades+'!$AE$4,"A+",IF(L23&lt;'PlayerGrades+'!$AE$3,"S-",IF(L23&lt;'PlayerGrades+'!$AE$2,"S","S+"))))))))))))))))))))</f>
        <v>A</v>
      </c>
      <c r="N23" s="961">
        <f t="shared" si="6"/>
        <v>0.07237635706</v>
      </c>
      <c r="O23" s="961" t="str">
        <f>IF(N23&lt;'PlayerGrades+'!$AF$21,"F-",IF(N23&lt;'PlayerGrades+'!$AF$20,"F",IF(N23&lt;'PlayerGrades+'!$AF$19,"F+",IF(N23&lt;'PlayerGrades+'!$AF$18,"E-",IF(N23&lt;'PlayerGrades+'!$AF$17,"E",IF(N23&lt;'PlayerGrades+'!$AF$16,"E+",IF(N23&lt;'PlayerGrades+'!$AF$15,"D-",IF(N23&lt;'PlayerGrades+'!$AF$14,"D",IF(N23&lt;'PlayerGrades+'!$AF$13,"D+",IF(N23&lt;'PlayerGrades+'!$AF$12,"C-",IF(N23&lt;'PlayerGrades+'!$AF$11,"C",IF(N23&lt;'PlayerGrades+'!$AF$10,"C+",IF(N23&lt;'PlayerGrades+'!$AF$9,"B-",IF(N23&lt;'PlayerGrades+'!$AF$8,"B",IF(N23&lt;'PlayerGrades+'!$AF$7,"B+",IF(N23&lt;'PlayerGrades+'!$AF$6,"A-",IF(N23&lt;'PlayerGrades+'!$AF$5,"A",IF(N23&lt;'PlayerGrades+'!$AF$4,"A+",IF(N23&lt;'PlayerGrades+'!$AF$3,"S-",IF(N23&lt;'PlayerGrades+'!$AF$2,"S","S+"))))))))))))))))))))</f>
        <v>E+</v>
      </c>
      <c r="P23" s="961">
        <f t="shared" si="7"/>
        <v>0.7237635706</v>
      </c>
      <c r="Q23" s="961" t="str">
        <f>IF(P23&lt;'PlayerGrades+'!$AG$21,"F-",IF(P23&lt;'PlayerGrades+'!$AG$20,"F",IF(P23&lt;'PlayerGrades+'!$AG$19,"F+",IF(P23&lt;'PlayerGrades+'!$AG$18,"E-",IF(P23&lt;'PlayerGrades+'!$AG$17,"E",IF(P23&lt;'PlayerGrades+'!$AG$16,"E+",IF(P23&lt;'PlayerGrades+'!$AG$15,"D-",IF(P23&lt;'PlayerGrades+'!$AG$14,"D",IF(P23&lt;'PlayerGrades+'!$AG$13,"D+",IF(P23&lt;'PlayerGrades+'!$AG$12,"C-",IF(P23&lt;'PlayerGrades+'!$AG$11,"C",IF(P23&lt;'PlayerGrades+'!$AG$10,"C+",IF(P23&lt;'PlayerGrades+'!$AG$9,"B-",IF(P23&lt;'PlayerGrades+'!$AG$8,"B",IF(P23&lt;'PlayerGrades+'!$AG$7,"B+",IF(P23&lt;'PlayerGrades+'!$AG$6,"A-",IF(P23&lt;'PlayerGrades+'!$AG$5,"A",IF(P23&lt;'PlayerGrades+'!$AG$4,"A+",IF(P23&lt;'PlayerGrades+'!$AG$3,"S-",IF(P23&lt;'PlayerGrades+'!$AG$2,"S","S+"))))))))))))))))))))</f>
        <v>B</v>
      </c>
      <c r="R23" s="961">
        <f t="shared" si="8"/>
        <v>0.2171290712</v>
      </c>
      <c r="S23" s="961" t="str">
        <f>IF(R23&lt;'PlayerGrades+'!$AH$21,"F-",IF(R23&lt;'PlayerGrades+'!$AH$20,"F",IF(R23&lt;'PlayerGrades+'!$AH$19,"F+",IF(R23&lt;'PlayerGrades+'!$AH$18,"E-",IF(R23&lt;'PlayerGrades+'!$AH$17,"E",IF(R23&lt;'PlayerGrades+'!$AH$16,"E+",IF(R23&lt;'PlayerGrades+'!$AH$15,"D-",IF(R23&lt;'PlayerGrades+'!$AH$14,"D",IF(R23&lt;'PlayerGrades+'!$AH$13,"D+",IF(R23&lt;'PlayerGrades+'!$AH$12,"C-",IF(R23&lt;'PlayerGrades+'!$AH$11,"C",IF(R23&lt;'PlayerGrades+'!$AH$10,"C+",IF(R23&lt;'PlayerGrades+'!$AH$9,"B-",IF(R23&lt;'PlayerGrades+'!$AH$8,"B",IF(R23&lt;'PlayerGrades+'!$AH$7,"B+",IF(R23&lt;'PlayerGrades+'!$AH$6,"A-",IF(R23&lt;'PlayerGrades+'!$AH$5,"A",IF(R23&lt;'PlayerGrades+'!$AH$4,"A+",IF(R23&lt;'PlayerGrades+'!$AH$3,"S-",IF(R23&lt;'PlayerGrades+'!$AH$2,"S","S+"))))))))))))))))))))</f>
        <v>S+</v>
      </c>
      <c r="T23" s="961">
        <f t="shared" si="9"/>
        <v>3.039806996</v>
      </c>
      <c r="U23" s="961" t="str">
        <f>IF(T23&lt;'PlayerGrades+'!$AI$21,"F-",IF(T23&lt;'PlayerGrades+'!$AI$20,"F",IF(T23&lt;'PlayerGrades+'!$AI$19,"F+",IF(T23&lt;'PlayerGrades+'!$AI$18,"E-",IF(T23&lt;'PlayerGrades+'!$AI$17,"E",IF(T23&lt;'PlayerGrades+'!$AI$16,"E+",IF(T23&lt;'PlayerGrades+'!$AI$15,"D-",IF(T23&lt;'PlayerGrades+'!$AI$14,"D",IF(T23&lt;'PlayerGrades+'!$AI$13,"D+",IF(T23&lt;'PlayerGrades+'!$AI$12,"C-",IF(T23&lt;'PlayerGrades+'!$AI$11,"C",IF(T23&lt;'PlayerGrades+'!$AI$10,"C+",IF(T23&lt;'PlayerGrades+'!$AI$9,"B-",IF(T23&lt;'PlayerGrades+'!$AI$8,"B",IF(T23&lt;'PlayerGrades+'!$AI$7,"B+",IF(T23&lt;'PlayerGrades+'!$AI$6,"A-",IF(T23&lt;'PlayerGrades+'!$AI$5,"A",IF(T23&lt;'PlayerGrades+'!$AI$4,"A+",IF(T23&lt;'PlayerGrades+'!$AI$3,"S-",IF(T23&lt;'PlayerGrades+'!$AI$2,"S","S+"))))))))))))))))))))</f>
        <v>B+</v>
      </c>
      <c r="V23" s="1017">
        <v>0.0</v>
      </c>
      <c r="W23" s="1017">
        <v>1.0</v>
      </c>
      <c r="X23" s="1017">
        <v>0.0</v>
      </c>
      <c r="Y23" s="1017">
        <v>0.0</v>
      </c>
      <c r="Z23" s="1017">
        <v>42.0</v>
      </c>
      <c r="AA23" s="1017">
        <v>57.0</v>
      </c>
      <c r="AB23" s="1017">
        <f t="shared" si="10"/>
        <v>-15</v>
      </c>
      <c r="AC23" s="1020">
        <f t="shared" si="11"/>
        <v>0.7368421053</v>
      </c>
      <c r="AD23" s="1017">
        <v>0.0</v>
      </c>
      <c r="AE23" s="1242">
        <v>829.0</v>
      </c>
      <c r="AF23" s="1017">
        <v>0.0</v>
      </c>
      <c r="AG23" s="1022">
        <v>0.0</v>
      </c>
      <c r="AH23" s="1022">
        <v>0.0</v>
      </c>
      <c r="AI23" s="1022">
        <v>0.0</v>
      </c>
      <c r="AJ23" s="1022">
        <v>1.0</v>
      </c>
      <c r="AK23" s="1022">
        <v>8.0</v>
      </c>
      <c r="AL23" s="1022">
        <v>1.0</v>
      </c>
      <c r="AM23" s="1022">
        <v>0.0</v>
      </c>
      <c r="AN23" s="1022">
        <v>0.0</v>
      </c>
      <c r="AO23" s="1022">
        <v>0.0</v>
      </c>
      <c r="AP23" s="1022">
        <v>0.0</v>
      </c>
      <c r="AQ23" s="1022">
        <v>0.0</v>
      </c>
      <c r="AR23" s="1022">
        <v>0.0</v>
      </c>
      <c r="AS23" s="1022">
        <v>0.0</v>
      </c>
      <c r="AT23" s="1022">
        <v>0.0</v>
      </c>
      <c r="AU23" s="1022">
        <v>6.0</v>
      </c>
      <c r="AV23" s="1022">
        <v>0.0</v>
      </c>
      <c r="AW23" s="1022">
        <v>0.0</v>
      </c>
      <c r="AX23" s="1022">
        <v>0.0</v>
      </c>
      <c r="AY23" s="1022">
        <v>3.0</v>
      </c>
      <c r="AZ23" s="1027">
        <v>0.0</v>
      </c>
    </row>
    <row r="24">
      <c r="A24" s="938" t="s">
        <v>46</v>
      </c>
      <c r="B24" s="1100" t="str">
        <f>IF(C24&lt;'PlayerGrades+'!$Y$44,"F-",IF(C24&lt;'PlayerGrades+'!$Y$43,"F",IF(C24&lt;'PlayerGrades+'!$Y$42,"F+",IF(C24&lt;'PlayerGrades+'!$Y$41,"E-",IF(C24&lt;'PlayerGrades+'!$Y$40,"E",IF(C24&lt;'PlayerGrades+'!$Y$39,"E+",IF(C24&lt;'PlayerGrades+'!$Y$38,"D-",IF(C24&lt;'PlayerGrades+'!$Y$37,"D",IF(C24&lt;'PlayerGrades+'!$Y$36,"D+",IF(C24&lt;'PlayerGrades+'!$Y$35,"C-",IF(C24&lt;'PlayerGrades+'!$Y$34,"C",IF(C24&lt;'PlayerGrades+'!$Y$33,"C+",IF(C24&lt;'PlayerGrades+'!$Y$32,"B-",IF(C24&lt;'PlayerGrades+'!$Y$31,"B",IF(C24&lt;'PlayerGrades+'!$Y$30,"B+",IF(C24&lt;'PlayerGrades+'!$Y$29,"A-",IF(C24&lt;'PlayerGrades+'!$Y$28,"A",IF(C24&lt;'PlayerGrades+'!$Y$27,"A+",IF(C24&lt;'PlayerGrades+'!$Y$26,"S-",IF(C24&lt;'PlayerGrades+'!$Y$25,"S","S+"))))))))))))))))))))</f>
        <v>E-</v>
      </c>
      <c r="C24" s="1105">
        <f>('PlayerGrades+'!$Y$47*(VLOOKUP(E24, 'PlayerGrades+'!$X$3:$Y$23, 2, FALSE)))+('PlayerGrades+'!$Y$48*(VLOOKUP(G24, 'PlayerGrades+'!$X$3:$Y$23, 2, FALSE)))+('PlayerGrades+'!$Y$49*(VLOOKUP(I24, 'PlayerGrades+'!$X$3:$Y$23, 2, FALSE)))+('PlayerGrades+'!$Y$50*(VLOOKUP(K24, 'PlayerGrades+'!$X$3:$Y$23, 2, FALSE)))+('PlayerGrades+'!$Y$51*(VLOOKUP(M24, 'PlayerGrades+'!$X$3:$Y$23, 2, FALSE)))+('PlayerGrades+'!$Y$52*(VLOOKUP(O24, 'PlayerGrades+'!$X$3:$Y$23, 2, FALSE)))+('PlayerGrades+'!$Y$53*(VLOOKUP(Q24, 'PlayerGrades+'!$X$3:$Y$23, 2, FALSE)))+('PlayerGrades+'!$Y$54*(VLOOKUP(S24, 'PlayerGrades+'!$X$3:$Y$23, 2, FALSE)))+('PlayerGrades+'!$Y$55*(VLOOKUP(U24, 'PlayerGrades+'!$X$3:$Y$23, 2, FALSE)))</f>
        <v>8.75</v>
      </c>
      <c r="D24" s="961">
        <f t="shared" si="1"/>
        <v>0</v>
      </c>
      <c r="E24" s="961" t="str">
        <f>IF(D24&lt;'PlayerGrades+'!$AA$21,"F-",IF(D24&lt;'PlayerGrades+'!$AA$20,"F",IF(D24&lt;'PlayerGrades+'!$AA$19,"F+",IF(D24&lt;'PlayerGrades+'!$AA$18,"E-",IF(D24&lt;'PlayerGrades+'!$AA$17,"E",IF(D24&lt;'PlayerGrades+'!$AA$16,"E+",IF(D24&lt;'PlayerGrades+'!$AA$15,"D-",IF(D24&lt;'PlayerGrades+'!$AA$14,"D",IF(D24&lt;'PlayerGrades+'!$AA$13,"D+",IF(D24&lt;'PlayerGrades+'!$AA$12,"C-",IF(D24&lt;'PlayerGrades+'!$AA$11,"C",IF(D24&lt;'PlayerGrades+'!$AA$10,"C+",IF(D24&lt;'PlayerGrades+'!$AA$9,"B-",IF(D24&lt;'PlayerGrades+'!$AA$8,"B",IF(D24&lt;'PlayerGrades+'!$AA$7,"B+",IF(D24&lt;'PlayerGrades+'!$AA$6,"A-",IF(D24&lt;'PlayerGrades+'!$AA$5,"A",IF(D24&lt;'PlayerGrades+'!$AA$4,"A+",IF(D24&lt;'PlayerGrades+'!$AA$3,"S-",IF(D24&lt;'PlayerGrades+'!$AA$2,"S","S+"))))))))))))))))))))</f>
        <v>F-</v>
      </c>
      <c r="F24" s="961">
        <f t="shared" si="2"/>
        <v>0.03618817853</v>
      </c>
      <c r="G24" s="961" t="str">
        <f>IF(F24&lt;'PlayerGrades+'!$AB$21,"F-",IF(F24&lt;'PlayerGrades+'!$AB$20,"F",IF(F24&lt;'PlayerGrades+'!$AB$19,"F+",IF(F24&lt;'PlayerGrades+'!$AB$18,"E-",IF(F24&lt;'PlayerGrades+'!$AB$17,"E",IF(F24&lt;'PlayerGrades+'!$AB$16,"E+",IF(F24&lt;'PlayerGrades+'!$AB$15,"D-",IF(F24&lt;'PlayerGrades+'!$AB$14,"D",IF(F24&lt;'PlayerGrades+'!$AB$13,"D+",IF(F24&lt;'PlayerGrades+'!$AB$12,"C-",IF(F24&lt;'PlayerGrades+'!$AB$11,"C",IF(F24&lt;'PlayerGrades+'!$AB$10,"C+",IF(F24&lt;'PlayerGrades+'!$AB$9,"B-",IF(F24&lt;'PlayerGrades+'!$AB$8,"B",IF(F24&lt;'PlayerGrades+'!$AB$7,"B+",IF(F24&lt;'PlayerGrades+'!$AB$6,"A-",IF(F24&lt;'PlayerGrades+'!$AB$5,"A",IF(F24&lt;'PlayerGrades+'!$AB$4,"A+",IF(F24&lt;'PlayerGrades+'!$AB$3,"S-",IF(F24&lt;'PlayerGrades+'!$AB$2,"S","S+"))))))))))))))))))))</f>
        <v>A</v>
      </c>
      <c r="H24" s="961">
        <f t="shared" si="3"/>
        <v>0.3618817853</v>
      </c>
      <c r="I24" s="961" t="str">
        <f>IF(H24&lt;'PlayerGrades+'!$AC$21,"F-",IF(H24&lt;'PlayerGrades+'!$AC$20,"F",IF(H24&lt;'PlayerGrades+'!$AC$19,"F+",IF(H24&lt;'PlayerGrades+'!$AC$18,"E-",IF(H24&lt;'PlayerGrades+'!$AC$17,"E",IF(H24&lt;'PlayerGrades+'!$AC$16,"E+",IF(H24&lt;'PlayerGrades+'!$AC$15,"D-",IF(H24&lt;'PlayerGrades+'!$AC$14,"D",IF(H24&lt;'PlayerGrades+'!$AC$13,"D+",IF(H24&lt;'PlayerGrades+'!$AC$12,"C-",IF(H24&lt;'PlayerGrades+'!$AC$11,"C",IF(H24&lt;'PlayerGrades+'!$AC$10,"C+",IF(H24&lt;'PlayerGrades+'!$AC$9,"B-",IF(H24&lt;'PlayerGrades+'!$AC$8,"B",IF(H24&lt;'PlayerGrades+'!$AC$7,"B+",IF(H24&lt;'PlayerGrades+'!$AC$6,"A-",IF(H24&lt;'PlayerGrades+'!$AC$5,"A",IF(H24&lt;'PlayerGrades+'!$AC$4,"A+",IF(H24&lt;'PlayerGrades+'!$AC$3,"S-",IF(H24&lt;'PlayerGrades+'!$AC$2,"S","S+"))))))))))))))))))))</f>
        <v>D-</v>
      </c>
      <c r="J24" s="961">
        <f t="shared" si="4"/>
        <v>0</v>
      </c>
      <c r="K24" s="961" t="str">
        <f>IF(J24&lt;'PlayerGrades+'!$AD$21,"F-",IF(J24&lt;'PlayerGrades+'!$AD$20,"F",IF(J24&lt;'PlayerGrades+'!$AD$19,"F+",IF(J24&lt;'PlayerGrades+'!$AD$18,"E-",IF(J24&lt;'PlayerGrades+'!$AD$17,"E",IF(J24&lt;'PlayerGrades+'!$AD$16,"E+",IF(J24&lt;'PlayerGrades+'!$AD$15,"D-",IF(J24&lt;'PlayerGrades+'!$AD$14,"D",IF(J24&lt;'PlayerGrades+'!$AD$13,"D+",IF(J24&lt;'PlayerGrades+'!$AD$12,"C-",IF(J24&lt;'PlayerGrades+'!$AD$11,"C",IF(J24&lt;'PlayerGrades+'!$AD$10,"C+",IF(J24&lt;'PlayerGrades+'!$AD$9,"B-",IF(J24&lt;'PlayerGrades+'!$AD$8,"B",IF(J24&lt;'PlayerGrades+'!$AD$7,"B+",IF(J24&lt;'PlayerGrades+'!$AD$6,"A-",IF(J24&lt;'PlayerGrades+'!$AD$5,"A",IF(J24&lt;'PlayerGrades+'!$AD$4,"A+",IF(J24&lt;'PlayerGrades+'!$AD$3,"S-",IF(J24&lt;'PlayerGrades+'!$AD$2,"S","S+"))))))))))))))))))))</f>
        <v>F-</v>
      </c>
      <c r="L24" s="992">
        <f t="shared" si="5"/>
        <v>0.2895054282</v>
      </c>
      <c r="M24" s="992" t="str">
        <f>IF(L24&lt;'PlayerGrades+'!$AE$21,"F-",IF(L24&lt;'PlayerGrades+'!$AE$20,"F",IF(L24&lt;'PlayerGrades+'!$AE$19,"F+",IF(L24&lt;'PlayerGrades+'!$AE$18,"E-",IF(L24&lt;'PlayerGrades+'!$AE$17,"E",IF(L24&lt;'PlayerGrades+'!$AE$16,"E+",IF(L24&lt;'PlayerGrades+'!$AE$15,"D-",IF(L24&lt;'PlayerGrades+'!$AE$14,"D",IF(L24&lt;'PlayerGrades+'!$AE$13,"D+",IF(L24&lt;'PlayerGrades+'!$AE$12,"C-",IF(L24&lt;'PlayerGrades+'!$AE$11,"C",IF(L24&lt;'PlayerGrades+'!$AE$10,"C+",IF(L24&lt;'PlayerGrades+'!$AE$9,"B-",IF(L24&lt;'PlayerGrades+'!$AE$8,"B",IF(L24&lt;'PlayerGrades+'!$AE$7,"B+",IF(L24&lt;'PlayerGrades+'!$AE$6,"A-",IF(L24&lt;'PlayerGrades+'!$AE$5,"A",IF(L24&lt;'PlayerGrades+'!$AE$4,"A+",IF(L24&lt;'PlayerGrades+'!$AE$3,"S-",IF(L24&lt;'PlayerGrades+'!$AE$2,"S","S+"))))))))))))))))))))</f>
        <v>F+</v>
      </c>
      <c r="N24" s="961">
        <f t="shared" si="6"/>
        <v>0.07237635706</v>
      </c>
      <c r="O24" s="961" t="str">
        <f>IF(N24&lt;'PlayerGrades+'!$AF$21,"F-",IF(N24&lt;'PlayerGrades+'!$AF$20,"F",IF(N24&lt;'PlayerGrades+'!$AF$19,"F+",IF(N24&lt;'PlayerGrades+'!$AF$18,"E-",IF(N24&lt;'PlayerGrades+'!$AF$17,"E",IF(N24&lt;'PlayerGrades+'!$AF$16,"E+",IF(N24&lt;'PlayerGrades+'!$AF$15,"D-",IF(N24&lt;'PlayerGrades+'!$AF$14,"D",IF(N24&lt;'PlayerGrades+'!$AF$13,"D+",IF(N24&lt;'PlayerGrades+'!$AF$12,"C-",IF(N24&lt;'PlayerGrades+'!$AF$11,"C",IF(N24&lt;'PlayerGrades+'!$AF$10,"C+",IF(N24&lt;'PlayerGrades+'!$AF$9,"B-",IF(N24&lt;'PlayerGrades+'!$AF$8,"B",IF(N24&lt;'PlayerGrades+'!$AF$7,"B+",IF(N24&lt;'PlayerGrades+'!$AF$6,"A-",IF(N24&lt;'PlayerGrades+'!$AF$5,"A",IF(N24&lt;'PlayerGrades+'!$AF$4,"A+",IF(N24&lt;'PlayerGrades+'!$AF$3,"S-",IF(N24&lt;'PlayerGrades+'!$AF$2,"S","S+"))))))))))))))))))))</f>
        <v>E+</v>
      </c>
      <c r="P24" s="961">
        <f t="shared" si="7"/>
        <v>0.3618817853</v>
      </c>
      <c r="Q24" s="961" t="str">
        <f>IF(P24&lt;'PlayerGrades+'!$AG$21,"F-",IF(P24&lt;'PlayerGrades+'!$AG$20,"F",IF(P24&lt;'PlayerGrades+'!$AG$19,"F+",IF(P24&lt;'PlayerGrades+'!$AG$18,"E-",IF(P24&lt;'PlayerGrades+'!$AG$17,"E",IF(P24&lt;'PlayerGrades+'!$AG$16,"E+",IF(P24&lt;'PlayerGrades+'!$AG$15,"D-",IF(P24&lt;'PlayerGrades+'!$AG$14,"D",IF(P24&lt;'PlayerGrades+'!$AG$13,"D+",IF(P24&lt;'PlayerGrades+'!$AG$12,"C-",IF(P24&lt;'PlayerGrades+'!$AG$11,"C",IF(P24&lt;'PlayerGrades+'!$AG$10,"C+",IF(P24&lt;'PlayerGrades+'!$AG$9,"B-",IF(P24&lt;'PlayerGrades+'!$AG$8,"B",IF(P24&lt;'PlayerGrades+'!$AG$7,"B+",IF(P24&lt;'PlayerGrades+'!$AG$6,"A-",IF(P24&lt;'PlayerGrades+'!$AG$5,"A",IF(P24&lt;'PlayerGrades+'!$AG$4,"A+",IF(P24&lt;'PlayerGrades+'!$AG$3,"S-",IF(P24&lt;'PlayerGrades+'!$AG$2,"S","S+"))))))))))))))))))))</f>
        <v>F</v>
      </c>
      <c r="R24" s="961">
        <f t="shared" si="8"/>
        <v>0</v>
      </c>
      <c r="S24" s="961" t="str">
        <f>IF(R24&lt;'PlayerGrades+'!$AH$21,"F-",IF(R24&lt;'PlayerGrades+'!$AH$20,"F",IF(R24&lt;'PlayerGrades+'!$AH$19,"F+",IF(R24&lt;'PlayerGrades+'!$AH$18,"E-",IF(R24&lt;'PlayerGrades+'!$AH$17,"E",IF(R24&lt;'PlayerGrades+'!$AH$16,"E+",IF(R24&lt;'PlayerGrades+'!$AH$15,"D-",IF(R24&lt;'PlayerGrades+'!$AH$14,"D",IF(R24&lt;'PlayerGrades+'!$AH$13,"D+",IF(R24&lt;'PlayerGrades+'!$AH$12,"C-",IF(R24&lt;'PlayerGrades+'!$AH$11,"C",IF(R24&lt;'PlayerGrades+'!$AH$10,"C+",IF(R24&lt;'PlayerGrades+'!$AH$9,"B-",IF(R24&lt;'PlayerGrades+'!$AH$8,"B",IF(R24&lt;'PlayerGrades+'!$AH$7,"B+",IF(R24&lt;'PlayerGrades+'!$AH$6,"A-",IF(R24&lt;'PlayerGrades+'!$AH$5,"A",IF(R24&lt;'PlayerGrades+'!$AH$4,"A+",IF(R24&lt;'PlayerGrades+'!$AH$3,"S-",IF(R24&lt;'PlayerGrades+'!$AH$2,"S","S+"))))))))))))))))))))</f>
        <v>F-</v>
      </c>
      <c r="T24" s="961">
        <f t="shared" si="9"/>
        <v>2.098914355</v>
      </c>
      <c r="U24" s="961" t="str">
        <f>IF(T24&lt;'PlayerGrades+'!$AI$21,"F-",IF(T24&lt;'PlayerGrades+'!$AI$20,"F",IF(T24&lt;'PlayerGrades+'!$AI$19,"F+",IF(T24&lt;'PlayerGrades+'!$AI$18,"E-",IF(T24&lt;'PlayerGrades+'!$AI$17,"E",IF(T24&lt;'PlayerGrades+'!$AI$16,"E+",IF(T24&lt;'PlayerGrades+'!$AI$15,"D-",IF(T24&lt;'PlayerGrades+'!$AI$14,"D",IF(T24&lt;'PlayerGrades+'!$AI$13,"D+",IF(T24&lt;'PlayerGrades+'!$AI$12,"C-",IF(T24&lt;'PlayerGrades+'!$AI$11,"C",IF(T24&lt;'PlayerGrades+'!$AI$10,"C+",IF(T24&lt;'PlayerGrades+'!$AI$9,"B-",IF(T24&lt;'PlayerGrades+'!$AI$8,"B",IF(T24&lt;'PlayerGrades+'!$AI$7,"B+",IF(T24&lt;'PlayerGrades+'!$AI$6,"A-",IF(T24&lt;'PlayerGrades+'!$AI$5,"A",IF(T24&lt;'PlayerGrades+'!$AI$4,"A+",IF(T24&lt;'PlayerGrades+'!$AI$3,"S-",IF(T24&lt;'PlayerGrades+'!$AI$2,"S","S+"))))))))))))))))))))</f>
        <v>F-</v>
      </c>
      <c r="V24" s="1017">
        <v>0.0</v>
      </c>
      <c r="W24" s="1017">
        <v>1.0</v>
      </c>
      <c r="X24" s="1017">
        <v>0.0</v>
      </c>
      <c r="Y24" s="1017">
        <v>0.0</v>
      </c>
      <c r="Z24" s="1017">
        <v>29.0</v>
      </c>
      <c r="AA24" s="1017">
        <v>58.0</v>
      </c>
      <c r="AB24" s="1017">
        <f t="shared" si="10"/>
        <v>-29</v>
      </c>
      <c r="AC24" s="1020">
        <f t="shared" si="11"/>
        <v>0.5</v>
      </c>
      <c r="AD24" s="1017">
        <v>0.0</v>
      </c>
      <c r="AE24" s="1242">
        <v>829.0</v>
      </c>
      <c r="AF24" s="1017">
        <v>0.0</v>
      </c>
      <c r="AG24" s="1022">
        <v>0.0</v>
      </c>
      <c r="AH24" s="1022">
        <v>0.0</v>
      </c>
      <c r="AI24" s="1022">
        <v>0.0</v>
      </c>
      <c r="AJ24" s="1022">
        <v>0.0</v>
      </c>
      <c r="AK24" s="1022">
        <v>4.0</v>
      </c>
      <c r="AL24" s="1022">
        <v>1.0</v>
      </c>
      <c r="AM24" s="1022">
        <v>0.0</v>
      </c>
      <c r="AN24" s="1022">
        <v>0.0</v>
      </c>
      <c r="AO24" s="1022">
        <v>0.0</v>
      </c>
      <c r="AP24" s="1022">
        <v>0.0</v>
      </c>
      <c r="AQ24" s="1022">
        <v>0.0</v>
      </c>
      <c r="AR24" s="1022">
        <v>0.0</v>
      </c>
      <c r="AS24" s="1022">
        <v>0.0</v>
      </c>
      <c r="AT24" s="1022">
        <v>0.0</v>
      </c>
      <c r="AU24" s="1022">
        <v>5.0</v>
      </c>
      <c r="AV24" s="1022">
        <v>0.0</v>
      </c>
      <c r="AW24" s="1022">
        <v>0.0</v>
      </c>
      <c r="AX24" s="1022">
        <v>0.0</v>
      </c>
      <c r="AY24" s="1022">
        <v>0.0</v>
      </c>
      <c r="AZ24" s="1027">
        <v>0.0</v>
      </c>
    </row>
    <row r="25">
      <c r="A25" s="938" t="s">
        <v>42</v>
      </c>
      <c r="B25" s="1100" t="str">
        <f>IF(C25&lt;'PlayerGrades+'!$Y$44,"F-",IF(C25&lt;'PlayerGrades+'!$Y$43,"F",IF(C25&lt;'PlayerGrades+'!$Y$42,"F+",IF(C25&lt;'PlayerGrades+'!$Y$41,"E-",IF(C25&lt;'PlayerGrades+'!$Y$40,"E",IF(C25&lt;'PlayerGrades+'!$Y$39,"E+",IF(C25&lt;'PlayerGrades+'!$Y$38,"D-",IF(C25&lt;'PlayerGrades+'!$Y$37,"D",IF(C25&lt;'PlayerGrades+'!$Y$36,"D+",IF(C25&lt;'PlayerGrades+'!$Y$35,"C-",IF(C25&lt;'PlayerGrades+'!$Y$34,"C",IF(C25&lt;'PlayerGrades+'!$Y$33,"C+",IF(C25&lt;'PlayerGrades+'!$Y$32,"B-",IF(C25&lt;'PlayerGrades+'!$Y$31,"B",IF(C25&lt;'PlayerGrades+'!$Y$30,"B+",IF(C25&lt;'PlayerGrades+'!$Y$29,"A-",IF(C25&lt;'PlayerGrades+'!$Y$28,"A",IF(C25&lt;'PlayerGrades+'!$Y$27,"A+",IF(C25&lt;'PlayerGrades+'!$Y$26,"S-",IF(C25&lt;'PlayerGrades+'!$Y$25,"S","S+"))))))))))))))))))))</f>
        <v>F</v>
      </c>
      <c r="C25" s="1105">
        <f>('PlayerGrades+'!$Y$47*(VLOOKUP(E25, 'PlayerGrades+'!$X$3:$Y$23, 2, FALSE)))+('PlayerGrades+'!$Y$48*(VLOOKUP(G25, 'PlayerGrades+'!$X$3:$Y$23, 2, FALSE)))+('PlayerGrades+'!$Y$49*(VLOOKUP(I25, 'PlayerGrades+'!$X$3:$Y$23, 2, FALSE)))+('PlayerGrades+'!$Y$50*(VLOOKUP(K25, 'PlayerGrades+'!$X$3:$Y$23, 2, FALSE)))+('PlayerGrades+'!$Y$51*(VLOOKUP(M25, 'PlayerGrades+'!$X$3:$Y$23, 2, FALSE)))+('PlayerGrades+'!$Y$52*(VLOOKUP(O25, 'PlayerGrades+'!$X$3:$Y$23, 2, FALSE)))+('PlayerGrades+'!$Y$53*(VLOOKUP(Q25, 'PlayerGrades+'!$X$3:$Y$23, 2, FALSE)))+('PlayerGrades+'!$Y$54*(VLOOKUP(S25, 'PlayerGrades+'!$X$3:$Y$23, 2, FALSE)))+('PlayerGrades+'!$Y$55*(VLOOKUP(U25, 'PlayerGrades+'!$X$3:$Y$23, 2, FALSE)))</f>
        <v>7.25</v>
      </c>
      <c r="D25" s="1149">
        <f t="shared" si="1"/>
        <v>0</v>
      </c>
      <c r="E25" s="1149" t="str">
        <f>IF(D25&lt;'PlayerGrades+'!$AA$21,"F-",IF(D25&lt;'PlayerGrades+'!$AA$20,"F",IF(D25&lt;'PlayerGrades+'!$AA$19,"F+",IF(D25&lt;'PlayerGrades+'!$AA$18,"E-",IF(D25&lt;'PlayerGrades+'!$AA$17,"E",IF(D25&lt;'PlayerGrades+'!$AA$16,"E+",IF(D25&lt;'PlayerGrades+'!$AA$15,"D-",IF(D25&lt;'PlayerGrades+'!$AA$14,"D",IF(D25&lt;'PlayerGrades+'!$AA$13,"D+",IF(D25&lt;'PlayerGrades+'!$AA$12,"C-",IF(D25&lt;'PlayerGrades+'!$AA$11,"C",IF(D25&lt;'PlayerGrades+'!$AA$10,"C+",IF(D25&lt;'PlayerGrades+'!$AA$9,"B-",IF(D25&lt;'PlayerGrades+'!$AA$8,"B",IF(D25&lt;'PlayerGrades+'!$AA$7,"B+",IF(D25&lt;'PlayerGrades+'!$AA$6,"A-",IF(D25&lt;'PlayerGrades+'!$AA$5,"A",IF(D25&lt;'PlayerGrades+'!$AA$4,"A+",IF(D25&lt;'PlayerGrades+'!$AA$3,"S-",IF(D25&lt;'PlayerGrades+'!$AA$2,"S","S+"))))))))))))))))))))</f>
        <v>F-</v>
      </c>
      <c r="F25" s="1149">
        <f t="shared" si="2"/>
        <v>0.04236664803</v>
      </c>
      <c r="G25" s="1149" t="str">
        <f>IF(F25&lt;'PlayerGrades+'!$AB$21,"F-",IF(F25&lt;'PlayerGrades+'!$AB$20,"F",IF(F25&lt;'PlayerGrades+'!$AB$19,"F+",IF(F25&lt;'PlayerGrades+'!$AB$18,"E-",IF(F25&lt;'PlayerGrades+'!$AB$17,"E",IF(F25&lt;'PlayerGrades+'!$AB$16,"E+",IF(F25&lt;'PlayerGrades+'!$AB$15,"D-",IF(F25&lt;'PlayerGrades+'!$AB$14,"D",IF(F25&lt;'PlayerGrades+'!$AB$13,"D+",IF(F25&lt;'PlayerGrades+'!$AB$12,"C-",IF(F25&lt;'PlayerGrades+'!$AB$11,"C",IF(F25&lt;'PlayerGrades+'!$AB$10,"C+",IF(F25&lt;'PlayerGrades+'!$AB$9,"B-",IF(F25&lt;'PlayerGrades+'!$AB$8,"B",IF(F25&lt;'PlayerGrades+'!$AB$7,"B+",IF(F25&lt;'PlayerGrades+'!$AB$6,"A-",IF(F25&lt;'PlayerGrades+'!$AB$5,"A",IF(F25&lt;'PlayerGrades+'!$AB$4,"A+",IF(F25&lt;'PlayerGrades+'!$AB$3,"S-",IF(F25&lt;'PlayerGrades+'!$AB$2,"S","S+"))))))))))))))))))))</f>
        <v>A</v>
      </c>
      <c r="H25" s="1149">
        <f t="shared" si="3"/>
        <v>0.2171290712</v>
      </c>
      <c r="I25" s="1149" t="str">
        <f>IF(H25&lt;'PlayerGrades+'!$AC$21,"F-",IF(H25&lt;'PlayerGrades+'!$AC$20,"F",IF(H25&lt;'PlayerGrades+'!$AC$19,"F+",IF(H25&lt;'PlayerGrades+'!$AC$18,"E-",IF(H25&lt;'PlayerGrades+'!$AC$17,"E",IF(H25&lt;'PlayerGrades+'!$AC$16,"E+",IF(H25&lt;'PlayerGrades+'!$AC$15,"D-",IF(H25&lt;'PlayerGrades+'!$AC$14,"D",IF(H25&lt;'PlayerGrades+'!$AC$13,"D+",IF(H25&lt;'PlayerGrades+'!$AC$12,"C-",IF(H25&lt;'PlayerGrades+'!$AC$11,"C",IF(H25&lt;'PlayerGrades+'!$AC$10,"C+",IF(H25&lt;'PlayerGrades+'!$AC$9,"B-",IF(H25&lt;'PlayerGrades+'!$AC$8,"B",IF(H25&lt;'PlayerGrades+'!$AC$7,"B+",IF(H25&lt;'PlayerGrades+'!$AC$6,"A-",IF(H25&lt;'PlayerGrades+'!$AC$5,"A",IF(H25&lt;'PlayerGrades+'!$AC$4,"A+",IF(H25&lt;'PlayerGrades+'!$AC$3,"S-",IF(H25&lt;'PlayerGrades+'!$AC$2,"S","S+"))))))))))))))))))))</f>
        <v>F</v>
      </c>
      <c r="J25" s="1149">
        <f t="shared" si="4"/>
        <v>0</v>
      </c>
      <c r="K25" s="1149" t="str">
        <f>IF(J25&lt;'PlayerGrades+'!$AD$21,"F-",IF(J25&lt;'PlayerGrades+'!$AD$20,"F",IF(J25&lt;'PlayerGrades+'!$AD$19,"F+",IF(J25&lt;'PlayerGrades+'!$AD$18,"E-",IF(J25&lt;'PlayerGrades+'!$AD$17,"E",IF(J25&lt;'PlayerGrades+'!$AD$16,"E+",IF(J25&lt;'PlayerGrades+'!$AD$15,"D-",IF(J25&lt;'PlayerGrades+'!$AD$14,"D",IF(J25&lt;'PlayerGrades+'!$AD$13,"D+",IF(J25&lt;'PlayerGrades+'!$AD$12,"C-",IF(J25&lt;'PlayerGrades+'!$AD$11,"C",IF(J25&lt;'PlayerGrades+'!$AD$10,"C+",IF(J25&lt;'PlayerGrades+'!$AD$9,"B-",IF(J25&lt;'PlayerGrades+'!$AD$8,"B",IF(J25&lt;'PlayerGrades+'!$AD$7,"B+",IF(J25&lt;'PlayerGrades+'!$AD$6,"A-",IF(J25&lt;'PlayerGrades+'!$AD$5,"A",IF(J25&lt;'PlayerGrades+'!$AD$4,"A+",IF(J25&lt;'PlayerGrades+'!$AD$3,"S-",IF(J25&lt;'PlayerGrades+'!$AD$2,"S","S+"))))))))))))))))))))</f>
        <v>F-</v>
      </c>
      <c r="L25" s="1156">
        <f t="shared" si="5"/>
        <v>0.2895054282</v>
      </c>
      <c r="M25" s="1156" t="str">
        <f>IF(L25&lt;'PlayerGrades+'!$AE$21,"F-",IF(L25&lt;'PlayerGrades+'!$AE$20,"F",IF(L25&lt;'PlayerGrades+'!$AE$19,"F+",IF(L25&lt;'PlayerGrades+'!$AE$18,"E-",IF(L25&lt;'PlayerGrades+'!$AE$17,"E",IF(L25&lt;'PlayerGrades+'!$AE$16,"E+",IF(L25&lt;'PlayerGrades+'!$AE$15,"D-",IF(L25&lt;'PlayerGrades+'!$AE$14,"D",IF(L25&lt;'PlayerGrades+'!$AE$13,"D+",IF(L25&lt;'PlayerGrades+'!$AE$12,"C-",IF(L25&lt;'PlayerGrades+'!$AE$11,"C",IF(L25&lt;'PlayerGrades+'!$AE$10,"C+",IF(L25&lt;'PlayerGrades+'!$AE$9,"B-",IF(L25&lt;'PlayerGrades+'!$AE$8,"B",IF(L25&lt;'PlayerGrades+'!$AE$7,"B+",IF(L25&lt;'PlayerGrades+'!$AE$6,"A-",IF(L25&lt;'PlayerGrades+'!$AE$5,"A",IF(L25&lt;'PlayerGrades+'!$AE$4,"A+",IF(L25&lt;'PlayerGrades+'!$AE$3,"S-",IF(L25&lt;'PlayerGrades+'!$AE$2,"S","S+"))))))))))))))))))))</f>
        <v>F+</v>
      </c>
      <c r="N25" s="1149">
        <f t="shared" si="6"/>
        <v>0</v>
      </c>
      <c r="O25" s="1149" t="str">
        <f>IF(N25&lt;'PlayerGrades+'!$AF$21,"F-",IF(N25&lt;'PlayerGrades+'!$AF$20,"F",IF(N25&lt;'PlayerGrades+'!$AF$19,"F+",IF(N25&lt;'PlayerGrades+'!$AF$18,"E-",IF(N25&lt;'PlayerGrades+'!$AF$17,"E",IF(N25&lt;'PlayerGrades+'!$AF$16,"E+",IF(N25&lt;'PlayerGrades+'!$AF$15,"D-",IF(N25&lt;'PlayerGrades+'!$AF$14,"D",IF(N25&lt;'PlayerGrades+'!$AF$13,"D+",IF(N25&lt;'PlayerGrades+'!$AF$12,"C-",IF(N25&lt;'PlayerGrades+'!$AF$11,"C",IF(N25&lt;'PlayerGrades+'!$AF$10,"C+",IF(N25&lt;'PlayerGrades+'!$AF$9,"B-",IF(N25&lt;'PlayerGrades+'!$AF$8,"B",IF(N25&lt;'PlayerGrades+'!$AF$7,"B+",IF(N25&lt;'PlayerGrades+'!$AF$6,"A-",IF(N25&lt;'PlayerGrades+'!$AF$5,"A",IF(N25&lt;'PlayerGrades+'!$AF$4,"A+",IF(N25&lt;'PlayerGrades+'!$AF$3,"S-",IF(N25&lt;'PlayerGrades+'!$AF$2,"S","S+"))))))))))))))))))))</f>
        <v>F-</v>
      </c>
      <c r="P25" s="1149">
        <f t="shared" si="7"/>
        <v>0.2895054282</v>
      </c>
      <c r="Q25" s="1149" t="str">
        <f>IF(P25&lt;'PlayerGrades+'!$AG$21,"F-",IF(P25&lt;'PlayerGrades+'!$AG$20,"F",IF(P25&lt;'PlayerGrades+'!$AG$19,"F+",IF(P25&lt;'PlayerGrades+'!$AG$18,"E-",IF(P25&lt;'PlayerGrades+'!$AG$17,"E",IF(P25&lt;'PlayerGrades+'!$AG$16,"E+",IF(P25&lt;'PlayerGrades+'!$AG$15,"D-",IF(P25&lt;'PlayerGrades+'!$AG$14,"D",IF(P25&lt;'PlayerGrades+'!$AG$13,"D+",IF(P25&lt;'PlayerGrades+'!$AG$12,"C-",IF(P25&lt;'PlayerGrades+'!$AG$11,"C",IF(P25&lt;'PlayerGrades+'!$AG$10,"C+",IF(P25&lt;'PlayerGrades+'!$AG$9,"B-",IF(P25&lt;'PlayerGrades+'!$AG$8,"B",IF(P25&lt;'PlayerGrades+'!$AG$7,"B+",IF(P25&lt;'PlayerGrades+'!$AG$6,"A-",IF(P25&lt;'PlayerGrades+'!$AG$5,"A",IF(P25&lt;'PlayerGrades+'!$AG$4,"A+",IF(P25&lt;'PlayerGrades+'!$AG$3,"S-",IF(P25&lt;'PlayerGrades+'!$AG$2,"S","S+"))))))))))))))))))))</f>
        <v>F</v>
      </c>
      <c r="R25" s="1149">
        <f t="shared" si="8"/>
        <v>0</v>
      </c>
      <c r="S25" s="1149" t="str">
        <f>IF(R25&lt;'PlayerGrades+'!$AH$21,"F-",IF(R25&lt;'PlayerGrades+'!$AH$20,"F",IF(R25&lt;'PlayerGrades+'!$AH$19,"F+",IF(R25&lt;'PlayerGrades+'!$AH$18,"E-",IF(R25&lt;'PlayerGrades+'!$AH$17,"E",IF(R25&lt;'PlayerGrades+'!$AH$16,"E+",IF(R25&lt;'PlayerGrades+'!$AH$15,"D-",IF(R25&lt;'PlayerGrades+'!$AH$14,"D",IF(R25&lt;'PlayerGrades+'!$AH$13,"D+",IF(R25&lt;'PlayerGrades+'!$AH$12,"C-",IF(R25&lt;'PlayerGrades+'!$AH$11,"C",IF(R25&lt;'PlayerGrades+'!$AH$10,"C+",IF(R25&lt;'PlayerGrades+'!$AH$9,"B-",IF(R25&lt;'PlayerGrades+'!$AH$8,"B",IF(R25&lt;'PlayerGrades+'!$AH$7,"B+",IF(R25&lt;'PlayerGrades+'!$AH$6,"A-",IF(R25&lt;'PlayerGrades+'!$AH$5,"A",IF(R25&lt;'PlayerGrades+'!$AH$4,"A+",IF(R25&lt;'PlayerGrades+'!$AH$3,"S-",IF(R25&lt;'PlayerGrades+'!$AH$2,"S","S+"))))))))))))))))))))</f>
        <v>F-</v>
      </c>
      <c r="T25" s="1149">
        <f t="shared" si="9"/>
        <v>1.737032569</v>
      </c>
      <c r="U25" s="1149" t="str">
        <f>IF(T25&lt;'PlayerGrades+'!$AI$21,"F-",IF(T25&lt;'PlayerGrades+'!$AI$20,"F",IF(T25&lt;'PlayerGrades+'!$AI$19,"F+",IF(T25&lt;'PlayerGrades+'!$AI$18,"E-",IF(T25&lt;'PlayerGrades+'!$AI$17,"E",IF(T25&lt;'PlayerGrades+'!$AI$16,"E+",IF(T25&lt;'PlayerGrades+'!$AI$15,"D-",IF(T25&lt;'PlayerGrades+'!$AI$14,"D",IF(T25&lt;'PlayerGrades+'!$AI$13,"D+",IF(T25&lt;'PlayerGrades+'!$AI$12,"C-",IF(T25&lt;'PlayerGrades+'!$AI$11,"C",IF(T25&lt;'PlayerGrades+'!$AI$10,"C+",IF(T25&lt;'PlayerGrades+'!$AI$9,"B-",IF(T25&lt;'PlayerGrades+'!$AI$8,"B",IF(T25&lt;'PlayerGrades+'!$AI$7,"B+",IF(T25&lt;'PlayerGrades+'!$AI$6,"A-",IF(T25&lt;'PlayerGrades+'!$AI$5,"A",IF(T25&lt;'PlayerGrades+'!$AI$4,"A+",IF(T25&lt;'PlayerGrades+'!$AI$3,"S-",IF(T25&lt;'PlayerGrades+'!$AI$2,"S","S+"))))))))))))))))))))</f>
        <v>F-</v>
      </c>
      <c r="V25" s="1017">
        <v>0.0</v>
      </c>
      <c r="W25" s="1017">
        <v>1.0</v>
      </c>
      <c r="X25" s="1017">
        <v>0.0</v>
      </c>
      <c r="Y25" s="1017">
        <v>4.0</v>
      </c>
      <c r="Z25" s="1017">
        <v>24.0</v>
      </c>
      <c r="AA25" s="1017">
        <v>41.0</v>
      </c>
      <c r="AB25" s="1017">
        <f t="shared" si="10"/>
        <v>-17</v>
      </c>
      <c r="AC25" s="1020">
        <f t="shared" si="11"/>
        <v>0.5853658537</v>
      </c>
      <c r="AD25" s="1017">
        <v>0.0</v>
      </c>
      <c r="AE25" s="1242" t="s">
        <v>915</v>
      </c>
      <c r="AF25" s="1017" t="s">
        <v>916</v>
      </c>
      <c r="AG25" s="1022">
        <v>0.0</v>
      </c>
      <c r="AH25" s="1022">
        <v>0.0</v>
      </c>
      <c r="AI25" s="1022">
        <v>0.0</v>
      </c>
      <c r="AJ25" s="1022">
        <v>0.0</v>
      </c>
      <c r="AK25" s="1022">
        <v>4.0</v>
      </c>
      <c r="AL25" s="1022">
        <v>0.0</v>
      </c>
      <c r="AM25" s="1022">
        <v>0.0</v>
      </c>
      <c r="AN25" s="1022">
        <v>0.0</v>
      </c>
      <c r="AO25" s="1022">
        <v>0.0</v>
      </c>
      <c r="AP25" s="1022">
        <v>0.0</v>
      </c>
      <c r="AQ25" s="1022">
        <v>0.0</v>
      </c>
      <c r="AR25" s="1022">
        <v>0.0</v>
      </c>
      <c r="AS25" s="1022">
        <v>0.0</v>
      </c>
      <c r="AT25" s="1022">
        <v>0.0</v>
      </c>
      <c r="AU25" s="1022">
        <v>3.0</v>
      </c>
      <c r="AV25" s="1022">
        <v>0.0</v>
      </c>
      <c r="AW25" s="1022">
        <v>0.0</v>
      </c>
      <c r="AX25" s="1022">
        <v>0.0</v>
      </c>
      <c r="AY25" s="1022">
        <v>0.0</v>
      </c>
      <c r="AZ25" s="1027">
        <v>0.0</v>
      </c>
    </row>
    <row r="26">
      <c r="A26" s="887" t="s">
        <v>54</v>
      </c>
      <c r="B26" s="1169" t="str">
        <f>IF(C26&lt;'PlayerGrades+'!$Y$44,"F-",IF(C26&lt;'PlayerGrades+'!$Y$43,"F",IF(C26&lt;'PlayerGrades+'!$Y$42,"F+",IF(C26&lt;'PlayerGrades+'!$Y$41,"E-",IF(C26&lt;'PlayerGrades+'!$Y$40,"E",IF(C26&lt;'PlayerGrades+'!$Y$39,"E+",IF(C26&lt;'PlayerGrades+'!$Y$38,"D-",IF(C26&lt;'PlayerGrades+'!$Y$37,"D",IF(C26&lt;'PlayerGrades+'!$Y$36,"D+",IF(C26&lt;'PlayerGrades+'!$Y$35,"C-",IF(C26&lt;'PlayerGrades+'!$Y$34,"C",IF(C26&lt;'PlayerGrades+'!$Y$33,"C+",IF(C26&lt;'PlayerGrades+'!$Y$32,"B-",IF(C26&lt;'PlayerGrades+'!$Y$31,"B",IF(C26&lt;'PlayerGrades+'!$Y$30,"B+",IF(C26&lt;'PlayerGrades+'!$Y$29,"A-",IF(C26&lt;'PlayerGrades+'!$Y$28,"A",IF(C26&lt;'PlayerGrades+'!$Y$27,"A+",IF(C26&lt;'PlayerGrades+'!$Y$26,"S-",IF(C26&lt;'PlayerGrades+'!$Y$25,"S","S+"))))))))))))))))))))</f>
        <v>S-</v>
      </c>
      <c r="C26" s="1170">
        <f>('PlayerGrades+'!$Y$47*(VLOOKUP(E26, 'PlayerGrades+'!$X$3:$Y$23, 2, FALSE)))+('PlayerGrades+'!$Y$48*(VLOOKUP(G26, 'PlayerGrades+'!$X$3:$Y$23, 2, FALSE)))+('PlayerGrades+'!$Y$49*(VLOOKUP(I26, 'PlayerGrades+'!$X$3:$Y$23, 2, FALSE)))+('PlayerGrades+'!$Y$50*(VLOOKUP(K26, 'PlayerGrades+'!$X$3:$Y$23, 2, FALSE)))+('PlayerGrades+'!$Y$51*(VLOOKUP(M26, 'PlayerGrades+'!$X$3:$Y$23, 2, FALSE)))+('PlayerGrades+'!$Y$52*(VLOOKUP(O26, 'PlayerGrades+'!$X$3:$Y$23, 2, FALSE)))+('PlayerGrades+'!$Y$53*(VLOOKUP(Q26, 'PlayerGrades+'!$X$3:$Y$23, 2, FALSE)))+('PlayerGrades+'!$Y$54*(VLOOKUP(S26, 'PlayerGrades+'!$X$3:$Y$23, 2, FALSE)))+('PlayerGrades+'!$Y$55*(VLOOKUP(U26, 'PlayerGrades+'!$X$3:$Y$23, 2, FALSE)))</f>
        <v>27</v>
      </c>
      <c r="D26" s="890">
        <f t="shared" si="1"/>
        <v>0.07672634271</v>
      </c>
      <c r="E26" s="890" t="str">
        <f>IF(D26&lt;'PlayerGrades+'!$AA$21,"F-",IF(D26&lt;'PlayerGrades+'!$AA$20,"F",IF(D26&lt;'PlayerGrades+'!$AA$19,"F+",IF(D26&lt;'PlayerGrades+'!$AA$18,"E-",IF(D26&lt;'PlayerGrades+'!$AA$17,"E",IF(D26&lt;'PlayerGrades+'!$AA$16,"E+",IF(D26&lt;'PlayerGrades+'!$AA$15,"D-",IF(D26&lt;'PlayerGrades+'!$AA$14,"D",IF(D26&lt;'PlayerGrades+'!$AA$13,"D+",IF(D26&lt;'PlayerGrades+'!$AA$12,"C-",IF(D26&lt;'PlayerGrades+'!$AA$11,"C",IF(D26&lt;'PlayerGrades+'!$AA$10,"C+",IF(D26&lt;'PlayerGrades+'!$AA$9,"B-",IF(D26&lt;'PlayerGrades+'!$AA$8,"B",IF(D26&lt;'PlayerGrades+'!$AA$7,"B+",IF(D26&lt;'PlayerGrades+'!$AA$6,"A-",IF(D26&lt;'PlayerGrades+'!$AA$5,"A",IF(D26&lt;'PlayerGrades+'!$AA$4,"A+",IF(D26&lt;'PlayerGrades+'!$AA$3,"S-",IF(D26&lt;'PlayerGrades+'!$AA$2,"S","S+"))))))))))))))))))))</f>
        <v>A-</v>
      </c>
      <c r="F26" s="890">
        <f t="shared" si="2"/>
        <v>0.08791560102</v>
      </c>
      <c r="G26" s="890" t="str">
        <f>IF(F26&lt;'PlayerGrades+'!$AB$21,"F-",IF(F26&lt;'PlayerGrades+'!$AB$20,"F",IF(F26&lt;'PlayerGrades+'!$AB$19,"F+",IF(F26&lt;'PlayerGrades+'!$AB$18,"E-",IF(F26&lt;'PlayerGrades+'!$AB$17,"E",IF(F26&lt;'PlayerGrades+'!$AB$16,"E+",IF(F26&lt;'PlayerGrades+'!$AB$15,"D-",IF(F26&lt;'PlayerGrades+'!$AB$14,"D",IF(F26&lt;'PlayerGrades+'!$AB$13,"D+",IF(F26&lt;'PlayerGrades+'!$AB$12,"C-",IF(F26&lt;'PlayerGrades+'!$AB$11,"C",IF(F26&lt;'PlayerGrades+'!$AB$10,"C+",IF(F26&lt;'PlayerGrades+'!$AB$9,"B-",IF(F26&lt;'PlayerGrades+'!$AB$8,"B",IF(F26&lt;'PlayerGrades+'!$AB$7,"B+",IF(F26&lt;'PlayerGrades+'!$AB$6,"A-",IF(F26&lt;'PlayerGrades+'!$AB$5,"A",IF(F26&lt;'PlayerGrades+'!$AB$4,"A+",IF(F26&lt;'PlayerGrades+'!$AB$3,"S-",IF(F26&lt;'PlayerGrades+'!$AB$2,"S","S+"))))))))))))))))))))</f>
        <v>A</v>
      </c>
      <c r="H26" s="890">
        <f t="shared" si="3"/>
        <v>0.9207161125</v>
      </c>
      <c r="I26" s="890" t="str">
        <f>IF(H26&lt;'PlayerGrades+'!$AC$21,"F-",IF(H26&lt;'PlayerGrades+'!$AC$20,"F",IF(H26&lt;'PlayerGrades+'!$AC$19,"F+",IF(H26&lt;'PlayerGrades+'!$AC$18,"E-",IF(H26&lt;'PlayerGrades+'!$AC$17,"E",IF(H26&lt;'PlayerGrades+'!$AC$16,"E+",IF(H26&lt;'PlayerGrades+'!$AC$15,"D-",IF(H26&lt;'PlayerGrades+'!$AC$14,"D",IF(H26&lt;'PlayerGrades+'!$AC$13,"D+",IF(H26&lt;'PlayerGrades+'!$AC$12,"C-",IF(H26&lt;'PlayerGrades+'!$AC$11,"C",IF(H26&lt;'PlayerGrades+'!$AC$10,"C+",IF(H26&lt;'PlayerGrades+'!$AC$9,"B-",IF(H26&lt;'PlayerGrades+'!$AC$8,"B",IF(H26&lt;'PlayerGrades+'!$AC$7,"B+",IF(H26&lt;'PlayerGrades+'!$AC$6,"A-",IF(H26&lt;'PlayerGrades+'!$AC$5,"A",IF(H26&lt;'PlayerGrades+'!$AC$4,"A+",IF(H26&lt;'PlayerGrades+'!$AC$3,"S-",IF(H26&lt;'PlayerGrades+'!$AC$2,"S","S+"))))))))))))))))))))</f>
        <v>S</v>
      </c>
      <c r="J26" s="890">
        <f t="shared" si="4"/>
        <v>0.3069053708</v>
      </c>
      <c r="K26" s="890" t="str">
        <f>IF(J26&lt;'PlayerGrades+'!$AD$21,"F-",IF(J26&lt;'PlayerGrades+'!$AD$20,"F",IF(J26&lt;'PlayerGrades+'!$AD$19,"F+",IF(J26&lt;'PlayerGrades+'!$AD$18,"E-",IF(J26&lt;'PlayerGrades+'!$AD$17,"E",IF(J26&lt;'PlayerGrades+'!$AD$16,"E+",IF(J26&lt;'PlayerGrades+'!$AD$15,"D-",IF(J26&lt;'PlayerGrades+'!$AD$14,"D",IF(J26&lt;'PlayerGrades+'!$AD$13,"D+",IF(J26&lt;'PlayerGrades+'!$AD$12,"C-",IF(J26&lt;'PlayerGrades+'!$AD$11,"C",IF(J26&lt;'PlayerGrades+'!$AD$10,"C+",IF(J26&lt;'PlayerGrades+'!$AD$9,"B-",IF(J26&lt;'PlayerGrades+'!$AD$8,"B",IF(J26&lt;'PlayerGrades+'!$AD$7,"B+",IF(J26&lt;'PlayerGrades+'!$AD$6,"A-",IF(J26&lt;'PlayerGrades+'!$AD$5,"A",IF(J26&lt;'PlayerGrades+'!$AD$4,"A+",IF(J26&lt;'PlayerGrades+'!$AD$3,"S-",IF(J26&lt;'PlayerGrades+'!$AD$2,"S","S+"))))))))))))))))))))</f>
        <v>S+</v>
      </c>
      <c r="L26" s="899">
        <f t="shared" si="5"/>
        <v>0.9974424552</v>
      </c>
      <c r="M26" s="899" t="str">
        <f>IF(L26&lt;'PlayerGrades+'!$AE$21,"F-",IF(L26&lt;'PlayerGrades+'!$AE$20,"F",IF(L26&lt;'PlayerGrades+'!$AE$19,"F+",IF(L26&lt;'PlayerGrades+'!$AE$18,"E-",IF(L26&lt;'PlayerGrades+'!$AE$17,"E",IF(L26&lt;'PlayerGrades+'!$AE$16,"E+",IF(L26&lt;'PlayerGrades+'!$AE$15,"D-",IF(L26&lt;'PlayerGrades+'!$AE$14,"D",IF(L26&lt;'PlayerGrades+'!$AE$13,"D+",IF(L26&lt;'PlayerGrades+'!$AE$12,"C-",IF(L26&lt;'PlayerGrades+'!$AE$11,"C",IF(L26&lt;'PlayerGrades+'!$AE$10,"C+",IF(L26&lt;'PlayerGrades+'!$AE$9,"B-",IF(L26&lt;'PlayerGrades+'!$AE$8,"B",IF(L26&lt;'PlayerGrades+'!$AE$7,"B+",IF(L26&lt;'PlayerGrades+'!$AE$6,"A-",IF(L26&lt;'PlayerGrades+'!$AE$5,"A",IF(L26&lt;'PlayerGrades+'!$AE$4,"A+",IF(L26&lt;'PlayerGrades+'!$AE$3,"S-",IF(L26&lt;'PlayerGrades+'!$AE$2,"S","S+"))))))))))))))))))))</f>
        <v>S+</v>
      </c>
      <c r="N26" s="890">
        <f t="shared" si="6"/>
        <v>0.537084399</v>
      </c>
      <c r="O26" s="890" t="str">
        <f>IF(N26&lt;'PlayerGrades+'!$AF$21,"F-",IF(N26&lt;'PlayerGrades+'!$AF$20,"F",IF(N26&lt;'PlayerGrades+'!$AF$19,"F+",IF(N26&lt;'PlayerGrades+'!$AF$18,"E-",IF(N26&lt;'PlayerGrades+'!$AF$17,"E",IF(N26&lt;'PlayerGrades+'!$AF$16,"E+",IF(N26&lt;'PlayerGrades+'!$AF$15,"D-",IF(N26&lt;'PlayerGrades+'!$AF$14,"D",IF(N26&lt;'PlayerGrades+'!$AF$13,"D+",IF(N26&lt;'PlayerGrades+'!$AF$12,"C-",IF(N26&lt;'PlayerGrades+'!$AF$11,"C",IF(N26&lt;'PlayerGrades+'!$AF$10,"C+",IF(N26&lt;'PlayerGrades+'!$AF$9,"B-",IF(N26&lt;'PlayerGrades+'!$AF$8,"B",IF(N26&lt;'PlayerGrades+'!$AF$7,"B+",IF(N26&lt;'PlayerGrades+'!$AF$6,"A-",IF(N26&lt;'PlayerGrades+'!$AF$5,"A",IF(N26&lt;'PlayerGrades+'!$AF$4,"A+",IF(N26&lt;'PlayerGrades+'!$AF$3,"S-",IF(N26&lt;'PlayerGrades+'!$AF$2,"S","S+"))))))))))))))))))))</f>
        <v>S+</v>
      </c>
      <c r="P26" s="890">
        <f t="shared" si="7"/>
        <v>1.918158568</v>
      </c>
      <c r="Q26" s="890" t="str">
        <f>IF(P26&lt;'PlayerGrades+'!$AG$21,"F-",IF(P26&lt;'PlayerGrades+'!$AG$20,"F",IF(P26&lt;'PlayerGrades+'!$AG$19,"F+",IF(P26&lt;'PlayerGrades+'!$AG$18,"E-",IF(P26&lt;'PlayerGrades+'!$AG$17,"E",IF(P26&lt;'PlayerGrades+'!$AG$16,"E+",IF(P26&lt;'PlayerGrades+'!$AG$15,"D-",IF(P26&lt;'PlayerGrades+'!$AG$14,"D",IF(P26&lt;'PlayerGrades+'!$AG$13,"D+",IF(P26&lt;'PlayerGrades+'!$AG$12,"C-",IF(P26&lt;'PlayerGrades+'!$AG$11,"C",IF(P26&lt;'PlayerGrades+'!$AG$10,"C+",IF(P26&lt;'PlayerGrades+'!$AG$9,"B-",IF(P26&lt;'PlayerGrades+'!$AG$8,"B",IF(P26&lt;'PlayerGrades+'!$AG$7,"B+",IF(P26&lt;'PlayerGrades+'!$AG$6,"A-",IF(P26&lt;'PlayerGrades+'!$AG$5,"A",IF(P26&lt;'PlayerGrades+'!$AG$4,"A+",IF(P26&lt;'PlayerGrades+'!$AG$3,"S-",IF(P26&lt;'PlayerGrades+'!$AG$2,"S","S+"))))))))))))))))))))</f>
        <v>S+</v>
      </c>
      <c r="R26" s="890">
        <f t="shared" si="8"/>
        <v>0.07672634271</v>
      </c>
      <c r="S26" s="890" t="str">
        <f>IF(R26&lt;'PlayerGrades+'!$AH$21,"F-",IF(R26&lt;'PlayerGrades+'!$AH$20,"F",IF(R26&lt;'PlayerGrades+'!$AH$19,"F+",IF(R26&lt;'PlayerGrades+'!$AH$18,"E-",IF(R26&lt;'PlayerGrades+'!$AH$17,"E",IF(R26&lt;'PlayerGrades+'!$AH$16,"E+",IF(R26&lt;'PlayerGrades+'!$AH$15,"D-",IF(R26&lt;'PlayerGrades+'!$AH$14,"D",IF(R26&lt;'PlayerGrades+'!$AH$13,"D+",IF(R26&lt;'PlayerGrades+'!$AH$12,"C-",IF(R26&lt;'PlayerGrades+'!$AH$11,"C",IF(R26&lt;'PlayerGrades+'!$AH$10,"C+",IF(R26&lt;'PlayerGrades+'!$AH$9,"B-",IF(R26&lt;'PlayerGrades+'!$AH$8,"B",IF(R26&lt;'PlayerGrades+'!$AH$7,"B+",IF(R26&lt;'PlayerGrades+'!$AH$6,"A-",IF(R26&lt;'PlayerGrades+'!$AH$5,"A",IF(R26&lt;'PlayerGrades+'!$AH$4,"A+",IF(R26&lt;'PlayerGrades+'!$AH$3,"S-",IF(R26&lt;'PlayerGrades+'!$AH$2,"S","S+"))))))))))))))))))))</f>
        <v>B+</v>
      </c>
      <c r="T26" s="890">
        <f t="shared" si="9"/>
        <v>4.219948849</v>
      </c>
      <c r="U26" s="890" t="str">
        <f>IF(T26&lt;'PlayerGrades+'!$AI$21,"F-",IF(T26&lt;'PlayerGrades+'!$AI$20,"F",IF(T26&lt;'PlayerGrades+'!$AI$19,"F+",IF(T26&lt;'PlayerGrades+'!$AI$18,"E-",IF(T26&lt;'PlayerGrades+'!$AI$17,"E",IF(T26&lt;'PlayerGrades+'!$AI$16,"E+",IF(T26&lt;'PlayerGrades+'!$AI$15,"D-",IF(T26&lt;'PlayerGrades+'!$AI$14,"D",IF(T26&lt;'PlayerGrades+'!$AI$13,"D+",IF(T26&lt;'PlayerGrades+'!$AI$12,"C-",IF(T26&lt;'PlayerGrades+'!$AI$11,"C",IF(T26&lt;'PlayerGrades+'!$AI$10,"C+",IF(T26&lt;'PlayerGrades+'!$AI$9,"B-",IF(T26&lt;'PlayerGrades+'!$AI$8,"B",IF(T26&lt;'PlayerGrades+'!$AI$7,"B+",IF(T26&lt;'PlayerGrades+'!$AI$6,"A-",IF(T26&lt;'PlayerGrades+'!$AI$5,"A",IF(T26&lt;'PlayerGrades+'!$AI$4,"A+",IF(T26&lt;'PlayerGrades+'!$AI$3,"S-",IF(T26&lt;'PlayerGrades+'!$AI$2,"S","S+"))))))))))))))))))))</f>
        <v>S</v>
      </c>
      <c r="V26" s="925">
        <v>1.0</v>
      </c>
      <c r="W26" s="925">
        <v>0.0</v>
      </c>
      <c r="X26" s="925">
        <v>1.0</v>
      </c>
      <c r="Y26" s="925">
        <v>4.0</v>
      </c>
      <c r="Z26" s="925">
        <v>55.0</v>
      </c>
      <c r="AA26" s="925">
        <v>48.0</v>
      </c>
      <c r="AB26" s="925">
        <f t="shared" si="10"/>
        <v>7</v>
      </c>
      <c r="AC26" s="930">
        <f t="shared" si="11"/>
        <v>1.145833333</v>
      </c>
      <c r="AD26" s="931">
        <v>0.0</v>
      </c>
      <c r="AE26" s="932">
        <v>782.0</v>
      </c>
      <c r="AF26" s="931">
        <v>4.0</v>
      </c>
      <c r="AG26" s="931">
        <v>0.0</v>
      </c>
      <c r="AH26" s="931">
        <v>0.0</v>
      </c>
      <c r="AI26" s="931">
        <v>0.0</v>
      </c>
      <c r="AJ26" s="931">
        <v>2.0</v>
      </c>
      <c r="AK26" s="931">
        <v>13.0</v>
      </c>
      <c r="AL26" s="931">
        <v>7.0</v>
      </c>
      <c r="AM26" s="931">
        <v>3.0</v>
      </c>
      <c r="AN26" s="931">
        <v>0.0</v>
      </c>
      <c r="AO26" s="931">
        <v>0.0</v>
      </c>
      <c r="AP26" s="931">
        <v>0.0</v>
      </c>
      <c r="AQ26" s="931">
        <v>0.0</v>
      </c>
      <c r="AR26" s="931">
        <v>0.0</v>
      </c>
      <c r="AS26" s="931">
        <v>0.0</v>
      </c>
      <c r="AT26" s="931">
        <v>0.0</v>
      </c>
      <c r="AU26" s="931">
        <v>12.0</v>
      </c>
      <c r="AV26" s="931">
        <v>0.0</v>
      </c>
      <c r="AW26" s="931">
        <v>0.0</v>
      </c>
      <c r="AX26" s="931">
        <v>0.0</v>
      </c>
      <c r="AY26" s="931">
        <v>1.0</v>
      </c>
      <c r="AZ26" s="936">
        <v>0.0</v>
      </c>
    </row>
    <row r="27">
      <c r="A27" s="1223" t="s">
        <v>221</v>
      </c>
      <c r="B27" s="1100" t="str">
        <f>IF(C27&lt;'PlayerGrades+'!$Y$44,"F-",IF(C27&lt;'PlayerGrades+'!$Y$43,"F",IF(C27&lt;'PlayerGrades+'!$Y$42,"F+",IF(C27&lt;'PlayerGrades+'!$Y$41,"E-",IF(C27&lt;'PlayerGrades+'!$Y$40,"E",IF(C27&lt;'PlayerGrades+'!$Y$39,"E+",IF(C27&lt;'PlayerGrades+'!$Y$38,"D-",IF(C27&lt;'PlayerGrades+'!$Y$37,"D",IF(C27&lt;'PlayerGrades+'!$Y$36,"D+",IF(C27&lt;'PlayerGrades+'!$Y$35,"C-",IF(C27&lt;'PlayerGrades+'!$Y$34,"C",IF(C27&lt;'PlayerGrades+'!$Y$33,"C+",IF(C27&lt;'PlayerGrades+'!$Y$32,"B-",IF(C27&lt;'PlayerGrades+'!$Y$31,"B",IF(C27&lt;'PlayerGrades+'!$Y$30,"B+",IF(C27&lt;'PlayerGrades+'!$Y$29,"A-",IF(C27&lt;'PlayerGrades+'!$Y$28,"A",IF(C27&lt;'PlayerGrades+'!$Y$27,"A+",IF(C27&lt;'PlayerGrades+'!$Y$26,"S-",IF(C27&lt;'PlayerGrades+'!$Y$25,"S","S+"))))))))))))))))))))</f>
        <v>B</v>
      </c>
      <c r="C27" s="1105">
        <f>('PlayerGrades+'!$Y$47*(VLOOKUP(E27, 'PlayerGrades+'!$X$3:$Y$23, 2, FALSE)))+('PlayerGrades+'!$Y$48*(VLOOKUP(G27, 'PlayerGrades+'!$X$3:$Y$23, 2, FALSE)))+('PlayerGrades+'!$Y$49*(VLOOKUP(I27, 'PlayerGrades+'!$X$3:$Y$23, 2, FALSE)))+('PlayerGrades+'!$Y$50*(VLOOKUP(K27, 'PlayerGrades+'!$X$3:$Y$23, 2, FALSE)))+('PlayerGrades+'!$Y$51*(VLOOKUP(M27, 'PlayerGrades+'!$X$3:$Y$23, 2, FALSE)))+('PlayerGrades+'!$Y$52*(VLOOKUP(O27, 'PlayerGrades+'!$X$3:$Y$23, 2, FALSE)))+('PlayerGrades+'!$Y$53*(VLOOKUP(Q27, 'PlayerGrades+'!$X$3:$Y$23, 2, FALSE)))+('PlayerGrades+'!$Y$54*(VLOOKUP(S27, 'PlayerGrades+'!$X$3:$Y$23, 2, FALSE)))+('PlayerGrades+'!$Y$55*(VLOOKUP(U27, 'PlayerGrades+'!$X$3:$Y$23, 2, FALSE)))</f>
        <v>18.35</v>
      </c>
      <c r="D27" s="961">
        <f t="shared" si="1"/>
        <v>0</v>
      </c>
      <c r="E27" s="961" t="str">
        <f>IF(D27&lt;'PlayerGrades+'!$AA$21,"F-",IF(D27&lt;'PlayerGrades+'!$AA$20,"F",IF(D27&lt;'PlayerGrades+'!$AA$19,"F+",IF(D27&lt;'PlayerGrades+'!$AA$18,"E-",IF(D27&lt;'PlayerGrades+'!$AA$17,"E",IF(D27&lt;'PlayerGrades+'!$AA$16,"E+",IF(D27&lt;'PlayerGrades+'!$AA$15,"D-",IF(D27&lt;'PlayerGrades+'!$AA$14,"D",IF(D27&lt;'PlayerGrades+'!$AA$13,"D+",IF(D27&lt;'PlayerGrades+'!$AA$12,"C-",IF(D27&lt;'PlayerGrades+'!$AA$11,"C",IF(D27&lt;'PlayerGrades+'!$AA$10,"C+",IF(D27&lt;'PlayerGrades+'!$AA$9,"B-",IF(D27&lt;'PlayerGrades+'!$AA$8,"B",IF(D27&lt;'PlayerGrades+'!$AA$7,"B+",IF(D27&lt;'PlayerGrades+'!$AA$6,"A-",IF(D27&lt;'PlayerGrades+'!$AA$5,"A",IF(D27&lt;'PlayerGrades+'!$AA$4,"A+",IF(D27&lt;'PlayerGrades+'!$AA$3,"S-",IF(D27&lt;'PlayerGrades+'!$AA$2,"S","S+"))))))))))))))))))))</f>
        <v>F-</v>
      </c>
      <c r="F27" s="961">
        <f t="shared" si="2"/>
        <v>0.06649616368</v>
      </c>
      <c r="G27" s="961" t="str">
        <f>IF(F27&lt;'PlayerGrades+'!$AB$21,"F-",IF(F27&lt;'PlayerGrades+'!$AB$20,"F",IF(F27&lt;'PlayerGrades+'!$AB$19,"F+",IF(F27&lt;'PlayerGrades+'!$AB$18,"E-",IF(F27&lt;'PlayerGrades+'!$AB$17,"E",IF(F27&lt;'PlayerGrades+'!$AB$16,"E+",IF(F27&lt;'PlayerGrades+'!$AB$15,"D-",IF(F27&lt;'PlayerGrades+'!$AB$14,"D",IF(F27&lt;'PlayerGrades+'!$AB$13,"D+",IF(F27&lt;'PlayerGrades+'!$AB$12,"C-",IF(F27&lt;'PlayerGrades+'!$AB$11,"C",IF(F27&lt;'PlayerGrades+'!$AB$10,"C+",IF(F27&lt;'PlayerGrades+'!$AB$9,"B-",IF(F27&lt;'PlayerGrades+'!$AB$8,"B",IF(F27&lt;'PlayerGrades+'!$AB$7,"B+",IF(F27&lt;'PlayerGrades+'!$AB$6,"A-",IF(F27&lt;'PlayerGrades+'!$AB$5,"A",IF(F27&lt;'PlayerGrades+'!$AB$4,"A+",IF(F27&lt;'PlayerGrades+'!$AB$3,"S-",IF(F27&lt;'PlayerGrades+'!$AB$2,"S","S+"))))))))))))))))))))</f>
        <v>A</v>
      </c>
      <c r="H27" s="961">
        <f t="shared" si="3"/>
        <v>0.4603580563</v>
      </c>
      <c r="I27" s="961" t="str">
        <f>IF(H27&lt;'PlayerGrades+'!$AC$21,"F-",IF(H27&lt;'PlayerGrades+'!$AC$20,"F",IF(H27&lt;'PlayerGrades+'!$AC$19,"F+",IF(H27&lt;'PlayerGrades+'!$AC$18,"E-",IF(H27&lt;'PlayerGrades+'!$AC$17,"E",IF(H27&lt;'PlayerGrades+'!$AC$16,"E+",IF(H27&lt;'PlayerGrades+'!$AC$15,"D-",IF(H27&lt;'PlayerGrades+'!$AC$14,"D",IF(H27&lt;'PlayerGrades+'!$AC$13,"D+",IF(H27&lt;'PlayerGrades+'!$AC$12,"C-",IF(H27&lt;'PlayerGrades+'!$AC$11,"C",IF(H27&lt;'PlayerGrades+'!$AC$10,"C+",IF(H27&lt;'PlayerGrades+'!$AC$9,"B-",IF(H27&lt;'PlayerGrades+'!$AC$8,"B",IF(H27&lt;'PlayerGrades+'!$AC$7,"B+",IF(H27&lt;'PlayerGrades+'!$AC$6,"A-",IF(H27&lt;'PlayerGrades+'!$AC$5,"A",IF(H27&lt;'PlayerGrades+'!$AC$4,"A+",IF(H27&lt;'PlayerGrades+'!$AC$3,"S-",IF(H27&lt;'PlayerGrades+'!$AC$2,"S","S+"))))))))))))))))))))</f>
        <v>C-</v>
      </c>
      <c r="J27" s="961">
        <f t="shared" si="4"/>
        <v>0</v>
      </c>
      <c r="K27" s="961" t="str">
        <f>IF(J27&lt;'PlayerGrades+'!$AD$21,"F-",IF(J27&lt;'PlayerGrades+'!$AD$20,"F",IF(J27&lt;'PlayerGrades+'!$AD$19,"F+",IF(J27&lt;'PlayerGrades+'!$AD$18,"E-",IF(J27&lt;'PlayerGrades+'!$AD$17,"E",IF(J27&lt;'PlayerGrades+'!$AD$16,"E+",IF(J27&lt;'PlayerGrades+'!$AD$15,"D-",IF(J27&lt;'PlayerGrades+'!$AD$14,"D",IF(J27&lt;'PlayerGrades+'!$AD$13,"D+",IF(J27&lt;'PlayerGrades+'!$AD$12,"C-",IF(J27&lt;'PlayerGrades+'!$AD$11,"C",IF(J27&lt;'PlayerGrades+'!$AD$10,"C+",IF(J27&lt;'PlayerGrades+'!$AD$9,"B-",IF(J27&lt;'PlayerGrades+'!$AD$8,"B",IF(J27&lt;'PlayerGrades+'!$AD$7,"B+",IF(J27&lt;'PlayerGrades+'!$AD$6,"A-",IF(J27&lt;'PlayerGrades+'!$AD$5,"A",IF(J27&lt;'PlayerGrades+'!$AD$4,"A+",IF(J27&lt;'PlayerGrades+'!$AD$3,"S-",IF(J27&lt;'PlayerGrades+'!$AD$2,"S","S+"))))))))))))))))))))</f>
        <v>F-</v>
      </c>
      <c r="L27" s="992">
        <f t="shared" si="5"/>
        <v>0.6905370844</v>
      </c>
      <c r="M27" s="992" t="str">
        <f>IF(L27&lt;'PlayerGrades+'!$AE$21,"F-",IF(L27&lt;'PlayerGrades+'!$AE$20,"F",IF(L27&lt;'PlayerGrades+'!$AE$19,"F+",IF(L27&lt;'PlayerGrades+'!$AE$18,"E-",IF(L27&lt;'PlayerGrades+'!$AE$17,"E",IF(L27&lt;'PlayerGrades+'!$AE$16,"E+",IF(L27&lt;'PlayerGrades+'!$AE$15,"D-",IF(L27&lt;'PlayerGrades+'!$AE$14,"D",IF(L27&lt;'PlayerGrades+'!$AE$13,"D+",IF(L27&lt;'PlayerGrades+'!$AE$12,"C-",IF(L27&lt;'PlayerGrades+'!$AE$11,"C",IF(L27&lt;'PlayerGrades+'!$AE$10,"C+",IF(L27&lt;'PlayerGrades+'!$AE$9,"B-",IF(L27&lt;'PlayerGrades+'!$AE$8,"B",IF(L27&lt;'PlayerGrades+'!$AE$7,"B+",IF(L27&lt;'PlayerGrades+'!$AE$6,"A-",IF(L27&lt;'PlayerGrades+'!$AE$5,"A",IF(L27&lt;'PlayerGrades+'!$AE$4,"A+",IF(L27&lt;'PlayerGrades+'!$AE$3,"S-",IF(L27&lt;'PlayerGrades+'!$AE$2,"S","S+"))))))))))))))))))))</f>
        <v>S-</v>
      </c>
      <c r="N27" s="961">
        <f t="shared" si="6"/>
        <v>0.2301790281</v>
      </c>
      <c r="O27" s="961" t="str">
        <f>IF(N27&lt;'PlayerGrades+'!$AF$21,"F-",IF(N27&lt;'PlayerGrades+'!$AF$20,"F",IF(N27&lt;'PlayerGrades+'!$AF$19,"F+",IF(N27&lt;'PlayerGrades+'!$AF$18,"E-",IF(N27&lt;'PlayerGrades+'!$AF$17,"E",IF(N27&lt;'PlayerGrades+'!$AF$16,"E+",IF(N27&lt;'PlayerGrades+'!$AF$15,"D-",IF(N27&lt;'PlayerGrades+'!$AF$14,"D",IF(N27&lt;'PlayerGrades+'!$AF$13,"D+",IF(N27&lt;'PlayerGrades+'!$AF$12,"C-",IF(N27&lt;'PlayerGrades+'!$AF$11,"C",IF(N27&lt;'PlayerGrades+'!$AF$10,"C+",IF(N27&lt;'PlayerGrades+'!$AF$9,"B-",IF(N27&lt;'PlayerGrades+'!$AF$8,"B",IF(N27&lt;'PlayerGrades+'!$AF$7,"B+",IF(N27&lt;'PlayerGrades+'!$AF$6,"A-",IF(N27&lt;'PlayerGrades+'!$AF$5,"A",IF(N27&lt;'PlayerGrades+'!$AF$4,"A+",IF(N27&lt;'PlayerGrades+'!$AF$3,"S-",IF(N27&lt;'PlayerGrades+'!$AF$2,"S","S+"))))))))))))))))))))</f>
        <v>S-</v>
      </c>
      <c r="P27" s="961">
        <f t="shared" si="7"/>
        <v>0.9974424552</v>
      </c>
      <c r="Q27" s="961" t="str">
        <f>IF(P27&lt;'PlayerGrades+'!$AG$21,"F-",IF(P27&lt;'PlayerGrades+'!$AG$20,"F",IF(P27&lt;'PlayerGrades+'!$AG$19,"F+",IF(P27&lt;'PlayerGrades+'!$AG$18,"E-",IF(P27&lt;'PlayerGrades+'!$AG$17,"E",IF(P27&lt;'PlayerGrades+'!$AG$16,"E+",IF(P27&lt;'PlayerGrades+'!$AG$15,"D-",IF(P27&lt;'PlayerGrades+'!$AG$14,"D",IF(P27&lt;'PlayerGrades+'!$AG$13,"D+",IF(P27&lt;'PlayerGrades+'!$AG$12,"C-",IF(P27&lt;'PlayerGrades+'!$AG$11,"C",IF(P27&lt;'PlayerGrades+'!$AG$10,"C+",IF(P27&lt;'PlayerGrades+'!$AG$9,"B-",IF(P27&lt;'PlayerGrades+'!$AG$8,"B",IF(P27&lt;'PlayerGrades+'!$AG$7,"B+",IF(P27&lt;'PlayerGrades+'!$AG$6,"A-",IF(P27&lt;'PlayerGrades+'!$AG$5,"A",IF(P27&lt;'PlayerGrades+'!$AG$4,"A+",IF(P27&lt;'PlayerGrades+'!$AG$3,"S-",IF(P27&lt;'PlayerGrades+'!$AG$2,"S","S+"))))))))))))))))))))</f>
        <v>A+</v>
      </c>
      <c r="R27" s="961">
        <f t="shared" si="8"/>
        <v>0.1534526854</v>
      </c>
      <c r="S27" s="961" t="str">
        <f>IF(R27&lt;'PlayerGrades+'!$AH$21,"F-",IF(R27&lt;'PlayerGrades+'!$AH$20,"F",IF(R27&lt;'PlayerGrades+'!$AH$19,"F+",IF(R27&lt;'PlayerGrades+'!$AH$18,"E-",IF(R27&lt;'PlayerGrades+'!$AH$17,"E",IF(R27&lt;'PlayerGrades+'!$AH$16,"E+",IF(R27&lt;'PlayerGrades+'!$AH$15,"D-",IF(R27&lt;'PlayerGrades+'!$AH$14,"D",IF(R27&lt;'PlayerGrades+'!$AH$13,"D+",IF(R27&lt;'PlayerGrades+'!$AH$12,"C-",IF(R27&lt;'PlayerGrades+'!$AH$11,"C",IF(R27&lt;'PlayerGrades+'!$AH$10,"C+",IF(R27&lt;'PlayerGrades+'!$AH$9,"B-",IF(R27&lt;'PlayerGrades+'!$AH$8,"B",IF(R27&lt;'PlayerGrades+'!$AH$7,"B+",IF(R27&lt;'PlayerGrades+'!$AH$6,"A-",IF(R27&lt;'PlayerGrades+'!$AH$5,"A",IF(R27&lt;'PlayerGrades+'!$AH$4,"A+",IF(R27&lt;'PlayerGrades+'!$AH$3,"S-",IF(R27&lt;'PlayerGrades+'!$AH$2,"S","S+"))))))))))))))))))))</f>
        <v>S+</v>
      </c>
      <c r="T27" s="961">
        <f t="shared" si="9"/>
        <v>3.989769821</v>
      </c>
      <c r="U27" s="961" t="str">
        <f>IF(T27&lt;'PlayerGrades+'!$AI$21,"F-",IF(T27&lt;'PlayerGrades+'!$AI$20,"F",IF(T27&lt;'PlayerGrades+'!$AI$19,"F+",IF(T27&lt;'PlayerGrades+'!$AI$18,"E-",IF(T27&lt;'PlayerGrades+'!$AI$17,"E",IF(T27&lt;'PlayerGrades+'!$AI$16,"E+",IF(T27&lt;'PlayerGrades+'!$AI$15,"D-",IF(T27&lt;'PlayerGrades+'!$AI$14,"D",IF(T27&lt;'PlayerGrades+'!$AI$13,"D+",IF(T27&lt;'PlayerGrades+'!$AI$12,"C-",IF(T27&lt;'PlayerGrades+'!$AI$11,"C",IF(T27&lt;'PlayerGrades+'!$AI$10,"C+",IF(T27&lt;'PlayerGrades+'!$AI$9,"B-",IF(T27&lt;'PlayerGrades+'!$AI$8,"B",IF(T27&lt;'PlayerGrades+'!$AI$7,"B+",IF(T27&lt;'PlayerGrades+'!$AI$6,"A-",IF(T27&lt;'PlayerGrades+'!$AI$5,"A",IF(T27&lt;'PlayerGrades+'!$AI$4,"A+",IF(T27&lt;'PlayerGrades+'!$AI$3,"S-",IF(T27&lt;'PlayerGrades+'!$AI$2,"S","S+"))))))))))))))))))))</f>
        <v>S</v>
      </c>
      <c r="V27" s="1017">
        <v>1.0</v>
      </c>
      <c r="W27" s="1017">
        <v>0.0</v>
      </c>
      <c r="X27" s="1017">
        <v>0.0</v>
      </c>
      <c r="Y27" s="1017">
        <v>1.0</v>
      </c>
      <c r="Z27" s="1017">
        <v>52.0</v>
      </c>
      <c r="AA27" s="1017">
        <v>60.0</v>
      </c>
      <c r="AB27" s="1017">
        <f t="shared" si="10"/>
        <v>-8</v>
      </c>
      <c r="AC27" s="1020">
        <f t="shared" si="11"/>
        <v>0.8666666667</v>
      </c>
      <c r="AD27" s="1022">
        <v>0.0</v>
      </c>
      <c r="AE27" s="1023">
        <v>782.0</v>
      </c>
      <c r="AF27" s="1022">
        <v>0.0</v>
      </c>
      <c r="AG27" s="1022">
        <v>0.0</v>
      </c>
      <c r="AH27" s="1022">
        <v>0.0</v>
      </c>
      <c r="AI27" s="1022">
        <v>0.0</v>
      </c>
      <c r="AJ27" s="1022">
        <v>0.0</v>
      </c>
      <c r="AK27" s="1022">
        <v>9.0</v>
      </c>
      <c r="AL27" s="1022">
        <v>3.0</v>
      </c>
      <c r="AM27" s="1022">
        <v>1.0</v>
      </c>
      <c r="AN27" s="1022">
        <v>0.0</v>
      </c>
      <c r="AO27" s="1022">
        <v>0.0</v>
      </c>
      <c r="AP27" s="1022">
        <v>0.0</v>
      </c>
      <c r="AQ27" s="1022">
        <v>0.0</v>
      </c>
      <c r="AR27" s="1022">
        <v>0.0</v>
      </c>
      <c r="AS27" s="1022">
        <v>0.0</v>
      </c>
      <c r="AT27" s="1022">
        <v>0.0</v>
      </c>
      <c r="AU27" s="1022">
        <v>6.0</v>
      </c>
      <c r="AV27" s="1022">
        <v>0.0</v>
      </c>
      <c r="AW27" s="1022">
        <v>0.0</v>
      </c>
      <c r="AX27" s="1022">
        <v>0.0</v>
      </c>
      <c r="AY27" s="1022">
        <v>2.0</v>
      </c>
      <c r="AZ27" s="1027">
        <v>0.0</v>
      </c>
    </row>
    <row r="28">
      <c r="A28" s="938" t="s">
        <v>75</v>
      </c>
      <c r="B28" s="1100" t="str">
        <f>IF(C28&lt;'PlayerGrades+'!$Y$44,"F-",IF(C28&lt;'PlayerGrades+'!$Y$43,"F",IF(C28&lt;'PlayerGrades+'!$Y$42,"F+",IF(C28&lt;'PlayerGrades+'!$Y$41,"E-",IF(C28&lt;'PlayerGrades+'!$Y$40,"E",IF(C28&lt;'PlayerGrades+'!$Y$39,"E+",IF(C28&lt;'PlayerGrades+'!$Y$38,"D-",IF(C28&lt;'PlayerGrades+'!$Y$37,"D",IF(C28&lt;'PlayerGrades+'!$Y$36,"D+",IF(C28&lt;'PlayerGrades+'!$Y$35,"C-",IF(C28&lt;'PlayerGrades+'!$Y$34,"C",IF(C28&lt;'PlayerGrades+'!$Y$33,"C+",IF(C28&lt;'PlayerGrades+'!$Y$32,"B-",IF(C28&lt;'PlayerGrades+'!$Y$31,"B",IF(C28&lt;'PlayerGrades+'!$Y$30,"B+",IF(C28&lt;'PlayerGrades+'!$Y$29,"A-",IF(C28&lt;'PlayerGrades+'!$Y$28,"A",IF(C28&lt;'PlayerGrades+'!$Y$27,"A+",IF(C28&lt;'PlayerGrades+'!$Y$26,"S-",IF(C28&lt;'PlayerGrades+'!$Y$25,"S","S+"))))))))))))))))))))</f>
        <v>A</v>
      </c>
      <c r="C28" s="1105">
        <f>('PlayerGrades+'!$Y$47*(VLOOKUP(E28, 'PlayerGrades+'!$X$3:$Y$23, 2, FALSE)))+('PlayerGrades+'!$Y$48*(VLOOKUP(G28, 'PlayerGrades+'!$X$3:$Y$23, 2, FALSE)))+('PlayerGrades+'!$Y$49*(VLOOKUP(I28, 'PlayerGrades+'!$X$3:$Y$23, 2, FALSE)))+('PlayerGrades+'!$Y$50*(VLOOKUP(K28, 'PlayerGrades+'!$X$3:$Y$23, 2, FALSE)))+('PlayerGrades+'!$Y$51*(VLOOKUP(M28, 'PlayerGrades+'!$X$3:$Y$23, 2, FALSE)))+('PlayerGrades+'!$Y$52*(VLOOKUP(O28, 'PlayerGrades+'!$X$3:$Y$23, 2, FALSE)))+('PlayerGrades+'!$Y$53*(VLOOKUP(Q28, 'PlayerGrades+'!$X$3:$Y$23, 2, FALSE)))+('PlayerGrades+'!$Y$54*(VLOOKUP(S28, 'PlayerGrades+'!$X$3:$Y$23, 2, FALSE)))+('PlayerGrades+'!$Y$55*(VLOOKUP(U28, 'PlayerGrades+'!$X$3:$Y$23, 2, FALSE)))</f>
        <v>23.95</v>
      </c>
      <c r="D28" s="961">
        <f t="shared" si="1"/>
        <v>0.3069053708</v>
      </c>
      <c r="E28" s="961" t="str">
        <f>IF(D28&lt;'PlayerGrades+'!$AA$21,"F-",IF(D28&lt;'PlayerGrades+'!$AA$20,"F",IF(D28&lt;'PlayerGrades+'!$AA$19,"F+",IF(D28&lt;'PlayerGrades+'!$AA$18,"E-",IF(D28&lt;'PlayerGrades+'!$AA$17,"E",IF(D28&lt;'PlayerGrades+'!$AA$16,"E+",IF(D28&lt;'PlayerGrades+'!$AA$15,"D-",IF(D28&lt;'PlayerGrades+'!$AA$14,"D",IF(D28&lt;'PlayerGrades+'!$AA$13,"D+",IF(D28&lt;'PlayerGrades+'!$AA$12,"C-",IF(D28&lt;'PlayerGrades+'!$AA$11,"C",IF(D28&lt;'PlayerGrades+'!$AA$10,"C+",IF(D28&lt;'PlayerGrades+'!$AA$9,"B-",IF(D28&lt;'PlayerGrades+'!$AA$8,"B",IF(D28&lt;'PlayerGrades+'!$AA$7,"B+",IF(D28&lt;'PlayerGrades+'!$AA$6,"A-",IF(D28&lt;'PlayerGrades+'!$AA$5,"A",IF(D28&lt;'PlayerGrades+'!$AA$4,"A+",IF(D28&lt;'PlayerGrades+'!$AA$3,"S-",IF(D28&lt;'PlayerGrades+'!$AA$2,"S","S+"))))))))))))))))))))</f>
        <v>S+</v>
      </c>
      <c r="F28" s="961">
        <f t="shared" si="2"/>
        <v>0.1268935668</v>
      </c>
      <c r="G28" s="961" t="str">
        <f>IF(F28&lt;'PlayerGrades+'!$AB$21,"F-",IF(F28&lt;'PlayerGrades+'!$AB$20,"F",IF(F28&lt;'PlayerGrades+'!$AB$19,"F+",IF(F28&lt;'PlayerGrades+'!$AB$18,"E-",IF(F28&lt;'PlayerGrades+'!$AB$17,"E",IF(F28&lt;'PlayerGrades+'!$AB$16,"E+",IF(F28&lt;'PlayerGrades+'!$AB$15,"D-",IF(F28&lt;'PlayerGrades+'!$AB$14,"D",IF(F28&lt;'PlayerGrades+'!$AB$13,"D+",IF(F28&lt;'PlayerGrades+'!$AB$12,"C-",IF(F28&lt;'PlayerGrades+'!$AB$11,"C",IF(F28&lt;'PlayerGrades+'!$AB$10,"C+",IF(F28&lt;'PlayerGrades+'!$AB$9,"B-",IF(F28&lt;'PlayerGrades+'!$AB$8,"B",IF(F28&lt;'PlayerGrades+'!$AB$7,"B+",IF(F28&lt;'PlayerGrades+'!$AB$6,"A-",IF(F28&lt;'PlayerGrades+'!$AB$5,"A",IF(F28&lt;'PlayerGrades+'!$AB$4,"A+",IF(F28&lt;'PlayerGrades+'!$AB$3,"S-",IF(F28&lt;'PlayerGrades+'!$AB$2,"S","S+"))))))))))))))))))))</f>
        <v>A+</v>
      </c>
      <c r="H28" s="961">
        <f t="shared" si="3"/>
        <v>0.537084399</v>
      </c>
      <c r="I28" s="961" t="str">
        <f>IF(H28&lt;'PlayerGrades+'!$AC$21,"F-",IF(H28&lt;'PlayerGrades+'!$AC$20,"F",IF(H28&lt;'PlayerGrades+'!$AC$19,"F+",IF(H28&lt;'PlayerGrades+'!$AC$18,"E-",IF(H28&lt;'PlayerGrades+'!$AC$17,"E",IF(H28&lt;'PlayerGrades+'!$AC$16,"E+",IF(H28&lt;'PlayerGrades+'!$AC$15,"D-",IF(H28&lt;'PlayerGrades+'!$AC$14,"D",IF(H28&lt;'PlayerGrades+'!$AC$13,"D+",IF(H28&lt;'PlayerGrades+'!$AC$12,"C-",IF(H28&lt;'PlayerGrades+'!$AC$11,"C",IF(H28&lt;'PlayerGrades+'!$AC$10,"C+",IF(H28&lt;'PlayerGrades+'!$AC$9,"B-",IF(H28&lt;'PlayerGrades+'!$AC$8,"B",IF(H28&lt;'PlayerGrades+'!$AC$7,"B+",IF(H28&lt;'PlayerGrades+'!$AC$6,"A-",IF(H28&lt;'PlayerGrades+'!$AC$5,"A",IF(H28&lt;'PlayerGrades+'!$AC$4,"A+",IF(H28&lt;'PlayerGrades+'!$AC$3,"S-",IF(H28&lt;'PlayerGrades+'!$AC$2,"S","S+"))))))))))))))))))))</f>
        <v>B+</v>
      </c>
      <c r="J28" s="961">
        <f t="shared" si="4"/>
        <v>0.1534526854</v>
      </c>
      <c r="K28" s="961" t="str">
        <f>IF(J28&lt;'PlayerGrades+'!$AD$21,"F-",IF(J28&lt;'PlayerGrades+'!$AD$20,"F",IF(J28&lt;'PlayerGrades+'!$AD$19,"F+",IF(J28&lt;'PlayerGrades+'!$AD$18,"E-",IF(J28&lt;'PlayerGrades+'!$AD$17,"E",IF(J28&lt;'PlayerGrades+'!$AD$16,"E+",IF(J28&lt;'PlayerGrades+'!$AD$15,"D-",IF(J28&lt;'PlayerGrades+'!$AD$14,"D",IF(J28&lt;'PlayerGrades+'!$AD$13,"D+",IF(J28&lt;'PlayerGrades+'!$AD$12,"C-",IF(J28&lt;'PlayerGrades+'!$AD$11,"C",IF(J28&lt;'PlayerGrades+'!$AD$10,"C+",IF(J28&lt;'PlayerGrades+'!$AD$9,"B-",IF(J28&lt;'PlayerGrades+'!$AD$8,"B",IF(J28&lt;'PlayerGrades+'!$AD$7,"B+",IF(J28&lt;'PlayerGrades+'!$AD$6,"A-",IF(J28&lt;'PlayerGrades+'!$AD$5,"A",IF(J28&lt;'PlayerGrades+'!$AD$4,"A+",IF(J28&lt;'PlayerGrades+'!$AD$3,"S-",IF(J28&lt;'PlayerGrades+'!$AD$2,"S","S+"))))))))))))))))))))</f>
        <v>S+</v>
      </c>
      <c r="L28" s="992">
        <f t="shared" si="5"/>
        <v>0.4603580563</v>
      </c>
      <c r="M28" s="992" t="str">
        <f>IF(L28&lt;'PlayerGrades+'!$AE$21,"F-",IF(L28&lt;'PlayerGrades+'!$AE$20,"F",IF(L28&lt;'PlayerGrades+'!$AE$19,"F+",IF(L28&lt;'PlayerGrades+'!$AE$18,"E-",IF(L28&lt;'PlayerGrades+'!$AE$17,"E",IF(L28&lt;'PlayerGrades+'!$AE$16,"E+",IF(L28&lt;'PlayerGrades+'!$AE$15,"D-",IF(L28&lt;'PlayerGrades+'!$AE$14,"D",IF(L28&lt;'PlayerGrades+'!$AE$13,"D+",IF(L28&lt;'PlayerGrades+'!$AE$12,"C-",IF(L28&lt;'PlayerGrades+'!$AE$11,"C",IF(L28&lt;'PlayerGrades+'!$AE$10,"C+",IF(L28&lt;'PlayerGrades+'!$AE$9,"B-",IF(L28&lt;'PlayerGrades+'!$AE$8,"B",IF(L28&lt;'PlayerGrades+'!$AE$7,"B+",IF(L28&lt;'PlayerGrades+'!$AE$6,"A-",IF(L28&lt;'PlayerGrades+'!$AE$5,"A",IF(L28&lt;'PlayerGrades+'!$AE$4,"A+",IF(L28&lt;'PlayerGrades+'!$AE$3,"S-",IF(L28&lt;'PlayerGrades+'!$AE$2,"S","S+"))))))))))))))))))))</f>
        <v>B</v>
      </c>
      <c r="N28" s="961">
        <f t="shared" si="6"/>
        <v>0.1534526854</v>
      </c>
      <c r="O28" s="961" t="str">
        <f>IF(N28&lt;'PlayerGrades+'!$AF$21,"F-",IF(N28&lt;'PlayerGrades+'!$AF$20,"F",IF(N28&lt;'PlayerGrades+'!$AF$19,"F+",IF(N28&lt;'PlayerGrades+'!$AF$18,"E-",IF(N28&lt;'PlayerGrades+'!$AF$17,"E",IF(N28&lt;'PlayerGrades+'!$AF$16,"E+",IF(N28&lt;'PlayerGrades+'!$AF$15,"D-",IF(N28&lt;'PlayerGrades+'!$AF$14,"D",IF(N28&lt;'PlayerGrades+'!$AF$13,"D+",IF(N28&lt;'PlayerGrades+'!$AF$12,"C-",IF(N28&lt;'PlayerGrades+'!$AF$11,"C",IF(N28&lt;'PlayerGrades+'!$AF$10,"C+",IF(N28&lt;'PlayerGrades+'!$AF$9,"B-",IF(N28&lt;'PlayerGrades+'!$AF$8,"B",IF(N28&lt;'PlayerGrades+'!$AF$7,"B+",IF(N28&lt;'PlayerGrades+'!$AF$6,"A-",IF(N28&lt;'PlayerGrades+'!$AF$5,"A",IF(N28&lt;'PlayerGrades+'!$AF$4,"A+",IF(N28&lt;'PlayerGrades+'!$AF$3,"S-",IF(N28&lt;'PlayerGrades+'!$AF$2,"S","S+"))))))))))))))))))))</f>
        <v>A-</v>
      </c>
      <c r="P28" s="961">
        <f t="shared" si="7"/>
        <v>0.6905370844</v>
      </c>
      <c r="Q28" s="961" t="str">
        <f>IF(P28&lt;'PlayerGrades+'!$AG$21,"F-",IF(P28&lt;'PlayerGrades+'!$AG$20,"F",IF(P28&lt;'PlayerGrades+'!$AG$19,"F+",IF(P28&lt;'PlayerGrades+'!$AG$18,"E-",IF(P28&lt;'PlayerGrades+'!$AG$17,"E",IF(P28&lt;'PlayerGrades+'!$AG$16,"E+",IF(P28&lt;'PlayerGrades+'!$AG$15,"D-",IF(P28&lt;'PlayerGrades+'!$AG$14,"D",IF(P28&lt;'PlayerGrades+'!$AG$13,"D+",IF(P28&lt;'PlayerGrades+'!$AG$12,"C-",IF(P28&lt;'PlayerGrades+'!$AG$11,"C",IF(P28&lt;'PlayerGrades+'!$AG$10,"C+",IF(P28&lt;'PlayerGrades+'!$AG$9,"B-",IF(P28&lt;'PlayerGrades+'!$AG$8,"B",IF(P28&lt;'PlayerGrades+'!$AG$7,"B+",IF(P28&lt;'PlayerGrades+'!$AG$6,"A-",IF(P28&lt;'PlayerGrades+'!$AG$5,"A",IF(P28&lt;'PlayerGrades+'!$AG$4,"A+",IF(P28&lt;'PlayerGrades+'!$AG$3,"S-",IF(P28&lt;'PlayerGrades+'!$AG$2,"S","S+"))))))))))))))))))))</f>
        <v>B</v>
      </c>
      <c r="R28" s="961">
        <f t="shared" si="8"/>
        <v>0</v>
      </c>
      <c r="S28" s="961" t="str">
        <f>IF(R28&lt;'PlayerGrades+'!$AH$21,"F-",IF(R28&lt;'PlayerGrades+'!$AH$20,"F",IF(R28&lt;'PlayerGrades+'!$AH$19,"F+",IF(R28&lt;'PlayerGrades+'!$AH$18,"E-",IF(R28&lt;'PlayerGrades+'!$AH$17,"E",IF(R28&lt;'PlayerGrades+'!$AH$16,"E+",IF(R28&lt;'PlayerGrades+'!$AH$15,"D-",IF(R28&lt;'PlayerGrades+'!$AH$14,"D",IF(R28&lt;'PlayerGrades+'!$AH$13,"D+",IF(R28&lt;'PlayerGrades+'!$AH$12,"C-",IF(R28&lt;'PlayerGrades+'!$AH$11,"C",IF(R28&lt;'PlayerGrades+'!$AH$10,"C+",IF(R28&lt;'PlayerGrades+'!$AH$9,"B-",IF(R28&lt;'PlayerGrades+'!$AH$8,"B",IF(R28&lt;'PlayerGrades+'!$AH$7,"B+",IF(R28&lt;'PlayerGrades+'!$AH$6,"A-",IF(R28&lt;'PlayerGrades+'!$AH$5,"A",IF(R28&lt;'PlayerGrades+'!$AH$4,"A+",IF(R28&lt;'PlayerGrades+'!$AH$3,"S-",IF(R28&lt;'PlayerGrades+'!$AH$2,"S","S+"))))))))))))))))))))</f>
        <v>F-</v>
      </c>
      <c r="T28" s="961">
        <f t="shared" si="9"/>
        <v>3.299232737</v>
      </c>
      <c r="U28" s="961" t="str">
        <f>IF(T28&lt;'PlayerGrades+'!$AI$21,"F-",IF(T28&lt;'PlayerGrades+'!$AI$20,"F",IF(T28&lt;'PlayerGrades+'!$AI$19,"F+",IF(T28&lt;'PlayerGrades+'!$AI$18,"E-",IF(T28&lt;'PlayerGrades+'!$AI$17,"E",IF(T28&lt;'PlayerGrades+'!$AI$16,"E+",IF(T28&lt;'PlayerGrades+'!$AI$15,"D-",IF(T28&lt;'PlayerGrades+'!$AI$14,"D",IF(T28&lt;'PlayerGrades+'!$AI$13,"D+",IF(T28&lt;'PlayerGrades+'!$AI$12,"C-",IF(T28&lt;'PlayerGrades+'!$AI$11,"C",IF(T28&lt;'PlayerGrades+'!$AI$10,"C+",IF(T28&lt;'PlayerGrades+'!$AI$9,"B-",IF(T28&lt;'PlayerGrades+'!$AI$8,"B",IF(T28&lt;'PlayerGrades+'!$AI$7,"B+",IF(T28&lt;'PlayerGrades+'!$AI$6,"A-",IF(T28&lt;'PlayerGrades+'!$AI$5,"A",IF(T28&lt;'PlayerGrades+'!$AI$4,"A+",IF(T28&lt;'PlayerGrades+'!$AI$3,"S-",IF(T28&lt;'PlayerGrades+'!$AI$2,"S","S+"))))))))))))))))))))</f>
        <v>A-</v>
      </c>
      <c r="V28" s="1017">
        <v>1.0</v>
      </c>
      <c r="W28" s="1017">
        <v>0.0</v>
      </c>
      <c r="X28" s="1017">
        <v>4.0</v>
      </c>
      <c r="Y28" s="1017">
        <v>21.0</v>
      </c>
      <c r="Z28" s="1017">
        <v>43.0</v>
      </c>
      <c r="AA28" s="1017">
        <v>26.0</v>
      </c>
      <c r="AB28" s="1017">
        <f t="shared" si="10"/>
        <v>17</v>
      </c>
      <c r="AC28" s="1020">
        <f t="shared" si="11"/>
        <v>1.653846154</v>
      </c>
      <c r="AD28" s="1022">
        <v>0.0</v>
      </c>
      <c r="AE28" s="1023">
        <v>782.0</v>
      </c>
      <c r="AF28" s="1100">
        <v>2.0</v>
      </c>
      <c r="AG28" s="1022">
        <v>0.0</v>
      </c>
      <c r="AH28" s="1022">
        <v>0.0</v>
      </c>
      <c r="AI28" s="1022">
        <v>0.0</v>
      </c>
      <c r="AJ28" s="1022">
        <v>1.0</v>
      </c>
      <c r="AK28" s="1100">
        <v>6.0</v>
      </c>
      <c r="AL28" s="1100">
        <v>2.0</v>
      </c>
      <c r="AM28" s="1022">
        <v>0.0</v>
      </c>
      <c r="AN28" s="1022">
        <v>0.0</v>
      </c>
      <c r="AO28" s="1022">
        <v>0.0</v>
      </c>
      <c r="AP28" s="1022">
        <v>0.0</v>
      </c>
      <c r="AQ28" s="1022">
        <v>0.0</v>
      </c>
      <c r="AR28" s="1022">
        <v>0.0</v>
      </c>
      <c r="AS28" s="1022">
        <v>0.0</v>
      </c>
      <c r="AT28" s="1022">
        <v>0.0</v>
      </c>
      <c r="AU28" s="1100">
        <v>7.0</v>
      </c>
      <c r="AV28" s="1022">
        <v>0.0</v>
      </c>
      <c r="AW28" s="1022">
        <v>0.0</v>
      </c>
      <c r="AX28" s="1022">
        <v>0.0</v>
      </c>
      <c r="AY28" s="1100">
        <v>0.0</v>
      </c>
      <c r="AZ28" s="1027">
        <v>0.0</v>
      </c>
    </row>
    <row r="29">
      <c r="A29" s="938" t="s">
        <v>220</v>
      </c>
      <c r="B29" s="1100" t="str">
        <f>IF(C29&lt;'PlayerGrades+'!$Y$44,"F-",IF(C29&lt;'PlayerGrades+'!$Y$43,"F",IF(C29&lt;'PlayerGrades+'!$Y$42,"F+",IF(C29&lt;'PlayerGrades+'!$Y$41,"E-",IF(C29&lt;'PlayerGrades+'!$Y$40,"E",IF(C29&lt;'PlayerGrades+'!$Y$39,"E+",IF(C29&lt;'PlayerGrades+'!$Y$38,"D-",IF(C29&lt;'PlayerGrades+'!$Y$37,"D",IF(C29&lt;'PlayerGrades+'!$Y$36,"D+",IF(C29&lt;'PlayerGrades+'!$Y$35,"C-",IF(C29&lt;'PlayerGrades+'!$Y$34,"C",IF(C29&lt;'PlayerGrades+'!$Y$33,"C+",IF(C29&lt;'PlayerGrades+'!$Y$32,"B-",IF(C29&lt;'PlayerGrades+'!$Y$31,"B",IF(C29&lt;'PlayerGrades+'!$Y$30,"B+",IF(C29&lt;'PlayerGrades+'!$Y$29,"A-",IF(C29&lt;'PlayerGrades+'!$Y$28,"A",IF(C29&lt;'PlayerGrades+'!$Y$27,"A+",IF(C29&lt;'PlayerGrades+'!$Y$26,"S-",IF(C29&lt;'PlayerGrades+'!$Y$25,"S","S+"))))))))))))))))))))</f>
        <v>D</v>
      </c>
      <c r="C29" s="1105">
        <f>('PlayerGrades+'!$Y$47*(VLOOKUP(E29, 'PlayerGrades+'!$X$3:$Y$23, 2, FALSE)))+('PlayerGrades+'!$Y$48*(VLOOKUP(G29, 'PlayerGrades+'!$X$3:$Y$23, 2, FALSE)))+('PlayerGrades+'!$Y$49*(VLOOKUP(I29, 'PlayerGrades+'!$X$3:$Y$23, 2, FALSE)))+('PlayerGrades+'!$Y$50*(VLOOKUP(K29, 'PlayerGrades+'!$X$3:$Y$23, 2, FALSE)))+('PlayerGrades+'!$Y$51*(VLOOKUP(M29, 'PlayerGrades+'!$X$3:$Y$23, 2, FALSE)))+('PlayerGrades+'!$Y$52*(VLOOKUP(O29, 'PlayerGrades+'!$X$3:$Y$23, 2, FALSE)))+('PlayerGrades+'!$Y$53*(VLOOKUP(Q29, 'PlayerGrades+'!$X$3:$Y$23, 2, FALSE)))+('PlayerGrades+'!$Y$54*(VLOOKUP(S29, 'PlayerGrades+'!$X$3:$Y$23, 2, FALSE)))+('PlayerGrades+'!$Y$55*(VLOOKUP(U29, 'PlayerGrades+'!$X$3:$Y$23, 2, FALSE)))</f>
        <v>12.95</v>
      </c>
      <c r="D29" s="961">
        <f t="shared" si="1"/>
        <v>0</v>
      </c>
      <c r="E29" s="961" t="str">
        <f>IF(D29&lt;'PlayerGrades+'!$AA$21,"F-",IF(D29&lt;'PlayerGrades+'!$AA$20,"F",IF(D29&lt;'PlayerGrades+'!$AA$19,"F+",IF(D29&lt;'PlayerGrades+'!$AA$18,"E-",IF(D29&lt;'PlayerGrades+'!$AA$17,"E",IF(D29&lt;'PlayerGrades+'!$AA$16,"E+",IF(D29&lt;'PlayerGrades+'!$AA$15,"D-",IF(D29&lt;'PlayerGrades+'!$AA$14,"D",IF(D29&lt;'PlayerGrades+'!$AA$13,"D+",IF(D29&lt;'PlayerGrades+'!$AA$12,"C-",IF(D29&lt;'PlayerGrades+'!$AA$11,"C",IF(D29&lt;'PlayerGrades+'!$AA$10,"C+",IF(D29&lt;'PlayerGrades+'!$AA$9,"B-",IF(D29&lt;'PlayerGrades+'!$AA$8,"B",IF(D29&lt;'PlayerGrades+'!$AA$7,"B+",IF(D29&lt;'PlayerGrades+'!$AA$6,"A-",IF(D29&lt;'PlayerGrades+'!$AA$5,"A",IF(D29&lt;'PlayerGrades+'!$AA$4,"A+",IF(D29&lt;'PlayerGrades+'!$AA$3,"S-",IF(D29&lt;'PlayerGrades+'!$AA$2,"S","S+"))))))))))))))))))))</f>
        <v>F-</v>
      </c>
      <c r="F29" s="961">
        <f t="shared" si="2"/>
        <v>0.08294739753</v>
      </c>
      <c r="G29" s="961" t="str">
        <f>IF(F29&lt;'PlayerGrades+'!$AB$21,"F-",IF(F29&lt;'PlayerGrades+'!$AB$20,"F",IF(F29&lt;'PlayerGrades+'!$AB$19,"F+",IF(F29&lt;'PlayerGrades+'!$AB$18,"E-",IF(F29&lt;'PlayerGrades+'!$AB$17,"E",IF(F29&lt;'PlayerGrades+'!$AB$16,"E+",IF(F29&lt;'PlayerGrades+'!$AB$15,"D-",IF(F29&lt;'PlayerGrades+'!$AB$14,"D",IF(F29&lt;'PlayerGrades+'!$AB$13,"D+",IF(F29&lt;'PlayerGrades+'!$AB$12,"C-",IF(F29&lt;'PlayerGrades+'!$AB$11,"C",IF(F29&lt;'PlayerGrades+'!$AB$10,"C+",IF(F29&lt;'PlayerGrades+'!$AB$9,"B-",IF(F29&lt;'PlayerGrades+'!$AB$8,"B",IF(F29&lt;'PlayerGrades+'!$AB$7,"B+",IF(F29&lt;'PlayerGrades+'!$AB$6,"A-",IF(F29&lt;'PlayerGrades+'!$AB$5,"A",IF(F29&lt;'PlayerGrades+'!$AB$4,"A+",IF(F29&lt;'PlayerGrades+'!$AB$3,"S-",IF(F29&lt;'PlayerGrades+'!$AB$2,"S","S+"))))))))))))))))))))</f>
        <v>A</v>
      </c>
      <c r="H29" s="961">
        <f t="shared" si="3"/>
        <v>0.2301790281</v>
      </c>
      <c r="I29" s="961" t="str">
        <f>IF(H29&lt;'PlayerGrades+'!$AC$21,"F-",IF(H29&lt;'PlayerGrades+'!$AC$20,"F",IF(H29&lt;'PlayerGrades+'!$AC$19,"F+",IF(H29&lt;'PlayerGrades+'!$AC$18,"E-",IF(H29&lt;'PlayerGrades+'!$AC$17,"E",IF(H29&lt;'PlayerGrades+'!$AC$16,"E+",IF(H29&lt;'PlayerGrades+'!$AC$15,"D-",IF(H29&lt;'PlayerGrades+'!$AC$14,"D",IF(H29&lt;'PlayerGrades+'!$AC$13,"D+",IF(H29&lt;'PlayerGrades+'!$AC$12,"C-",IF(H29&lt;'PlayerGrades+'!$AC$11,"C",IF(H29&lt;'PlayerGrades+'!$AC$10,"C+",IF(H29&lt;'PlayerGrades+'!$AC$9,"B-",IF(H29&lt;'PlayerGrades+'!$AC$8,"B",IF(H29&lt;'PlayerGrades+'!$AC$7,"B+",IF(H29&lt;'PlayerGrades+'!$AC$6,"A-",IF(H29&lt;'PlayerGrades+'!$AC$5,"A",IF(H29&lt;'PlayerGrades+'!$AC$4,"A+",IF(H29&lt;'PlayerGrades+'!$AC$3,"S-",IF(H29&lt;'PlayerGrades+'!$AC$2,"S","S+"))))))))))))))))))))</f>
        <v>F+</v>
      </c>
      <c r="J29" s="961">
        <f t="shared" si="4"/>
        <v>0</v>
      </c>
      <c r="K29" s="961" t="str">
        <f>IF(J29&lt;'PlayerGrades+'!$AD$21,"F-",IF(J29&lt;'PlayerGrades+'!$AD$20,"F",IF(J29&lt;'PlayerGrades+'!$AD$19,"F+",IF(J29&lt;'PlayerGrades+'!$AD$18,"E-",IF(J29&lt;'PlayerGrades+'!$AD$17,"E",IF(J29&lt;'PlayerGrades+'!$AD$16,"E+",IF(J29&lt;'PlayerGrades+'!$AD$15,"D-",IF(J29&lt;'PlayerGrades+'!$AD$14,"D",IF(J29&lt;'PlayerGrades+'!$AD$13,"D+",IF(J29&lt;'PlayerGrades+'!$AD$12,"C-",IF(J29&lt;'PlayerGrades+'!$AD$11,"C",IF(J29&lt;'PlayerGrades+'!$AD$10,"C+",IF(J29&lt;'PlayerGrades+'!$AD$9,"B-",IF(J29&lt;'PlayerGrades+'!$AD$8,"B",IF(J29&lt;'PlayerGrades+'!$AD$7,"B+",IF(J29&lt;'PlayerGrades+'!$AD$6,"A-",IF(J29&lt;'PlayerGrades+'!$AD$5,"A",IF(J29&lt;'PlayerGrades+'!$AD$4,"A+",IF(J29&lt;'PlayerGrades+'!$AD$3,"S-",IF(J29&lt;'PlayerGrades+'!$AD$2,"S","S+"))))))))))))))))))))</f>
        <v>F-</v>
      </c>
      <c r="L29" s="992">
        <f t="shared" si="5"/>
        <v>0.6138107417</v>
      </c>
      <c r="M29" s="992" t="str">
        <f>IF(L29&lt;'PlayerGrades+'!$AE$21,"F-",IF(L29&lt;'PlayerGrades+'!$AE$20,"F",IF(L29&lt;'PlayerGrades+'!$AE$19,"F+",IF(L29&lt;'PlayerGrades+'!$AE$18,"E-",IF(L29&lt;'PlayerGrades+'!$AE$17,"E",IF(L29&lt;'PlayerGrades+'!$AE$16,"E+",IF(L29&lt;'PlayerGrades+'!$AE$15,"D-",IF(L29&lt;'PlayerGrades+'!$AE$14,"D",IF(L29&lt;'PlayerGrades+'!$AE$13,"D+",IF(L29&lt;'PlayerGrades+'!$AE$12,"C-",IF(L29&lt;'PlayerGrades+'!$AE$11,"C",IF(L29&lt;'PlayerGrades+'!$AE$10,"C+",IF(L29&lt;'PlayerGrades+'!$AE$9,"B-",IF(L29&lt;'PlayerGrades+'!$AE$8,"B",IF(L29&lt;'PlayerGrades+'!$AE$7,"B+",IF(L29&lt;'PlayerGrades+'!$AE$6,"A-",IF(L29&lt;'PlayerGrades+'!$AE$5,"A",IF(L29&lt;'PlayerGrades+'!$AE$4,"A+",IF(L29&lt;'PlayerGrades+'!$AE$3,"S-",IF(L29&lt;'PlayerGrades+'!$AE$2,"S","S+"))))))))))))))))))))</f>
        <v>A</v>
      </c>
      <c r="N29" s="961">
        <f t="shared" si="6"/>
        <v>0.07672634271</v>
      </c>
      <c r="O29" s="961" t="str">
        <f>IF(N29&lt;'PlayerGrades+'!$AF$21,"F-",IF(N29&lt;'PlayerGrades+'!$AF$20,"F",IF(N29&lt;'PlayerGrades+'!$AF$19,"F+",IF(N29&lt;'PlayerGrades+'!$AF$18,"E-",IF(N29&lt;'PlayerGrades+'!$AF$17,"E",IF(N29&lt;'PlayerGrades+'!$AF$16,"E+",IF(N29&lt;'PlayerGrades+'!$AF$15,"D-",IF(N29&lt;'PlayerGrades+'!$AF$14,"D",IF(N29&lt;'PlayerGrades+'!$AF$13,"D+",IF(N29&lt;'PlayerGrades+'!$AF$12,"C-",IF(N29&lt;'PlayerGrades+'!$AF$11,"C",IF(N29&lt;'PlayerGrades+'!$AF$10,"C+",IF(N29&lt;'PlayerGrades+'!$AF$9,"B-",IF(N29&lt;'PlayerGrades+'!$AF$8,"B",IF(N29&lt;'PlayerGrades+'!$AF$7,"B+",IF(N29&lt;'PlayerGrades+'!$AF$6,"A-",IF(N29&lt;'PlayerGrades+'!$AF$5,"A",IF(N29&lt;'PlayerGrades+'!$AF$4,"A+",IF(N29&lt;'PlayerGrades+'!$AF$3,"S-",IF(N29&lt;'PlayerGrades+'!$AF$2,"S","S+"))))))))))))))))))))</f>
        <v>E+</v>
      </c>
      <c r="P29" s="961">
        <f t="shared" si="7"/>
        <v>0.6905370844</v>
      </c>
      <c r="Q29" s="961" t="str">
        <f>IF(P29&lt;'PlayerGrades+'!$AG$21,"F-",IF(P29&lt;'PlayerGrades+'!$AG$20,"F",IF(P29&lt;'PlayerGrades+'!$AG$19,"F+",IF(P29&lt;'PlayerGrades+'!$AG$18,"E-",IF(P29&lt;'PlayerGrades+'!$AG$17,"E",IF(P29&lt;'PlayerGrades+'!$AG$16,"E+",IF(P29&lt;'PlayerGrades+'!$AG$15,"D-",IF(P29&lt;'PlayerGrades+'!$AG$14,"D",IF(P29&lt;'PlayerGrades+'!$AG$13,"D+",IF(P29&lt;'PlayerGrades+'!$AG$12,"C-",IF(P29&lt;'PlayerGrades+'!$AG$11,"C",IF(P29&lt;'PlayerGrades+'!$AG$10,"C+",IF(P29&lt;'PlayerGrades+'!$AG$9,"B-",IF(P29&lt;'PlayerGrades+'!$AG$8,"B",IF(P29&lt;'PlayerGrades+'!$AG$7,"B+",IF(P29&lt;'PlayerGrades+'!$AG$6,"A-",IF(P29&lt;'PlayerGrades+'!$AG$5,"A",IF(P29&lt;'PlayerGrades+'!$AG$4,"A+",IF(P29&lt;'PlayerGrades+'!$AG$3,"S-",IF(P29&lt;'PlayerGrades+'!$AG$2,"S","S+"))))))))))))))))))))</f>
        <v>B</v>
      </c>
      <c r="R29" s="961">
        <f t="shared" si="8"/>
        <v>0</v>
      </c>
      <c r="S29" s="961" t="str">
        <f>IF(R29&lt;'PlayerGrades+'!$AH$21,"F-",IF(R29&lt;'PlayerGrades+'!$AH$20,"F",IF(R29&lt;'PlayerGrades+'!$AH$19,"F+",IF(R29&lt;'PlayerGrades+'!$AH$18,"E-",IF(R29&lt;'PlayerGrades+'!$AH$17,"E",IF(R29&lt;'PlayerGrades+'!$AH$16,"E+",IF(R29&lt;'PlayerGrades+'!$AH$15,"D-",IF(R29&lt;'PlayerGrades+'!$AH$14,"D",IF(R29&lt;'PlayerGrades+'!$AH$13,"D+",IF(R29&lt;'PlayerGrades+'!$AH$12,"C-",IF(R29&lt;'PlayerGrades+'!$AH$11,"C",IF(R29&lt;'PlayerGrades+'!$AH$10,"C+",IF(R29&lt;'PlayerGrades+'!$AH$9,"B-",IF(R29&lt;'PlayerGrades+'!$AH$8,"B",IF(R29&lt;'PlayerGrades+'!$AH$7,"B+",IF(R29&lt;'PlayerGrades+'!$AH$6,"A-",IF(R29&lt;'PlayerGrades+'!$AH$5,"A",IF(R29&lt;'PlayerGrades+'!$AH$4,"A+",IF(R29&lt;'PlayerGrades+'!$AH$3,"S-",IF(R29&lt;'PlayerGrades+'!$AH$2,"S","S+"))))))))))))))))))))</f>
        <v>F-</v>
      </c>
      <c r="T29" s="961">
        <f t="shared" si="9"/>
        <v>3.069053708</v>
      </c>
      <c r="U29" s="961" t="str">
        <f>IF(T29&lt;'PlayerGrades+'!$AI$21,"F-",IF(T29&lt;'PlayerGrades+'!$AI$20,"F",IF(T29&lt;'PlayerGrades+'!$AI$19,"F+",IF(T29&lt;'PlayerGrades+'!$AI$18,"E-",IF(T29&lt;'PlayerGrades+'!$AI$17,"E",IF(T29&lt;'PlayerGrades+'!$AI$16,"E+",IF(T29&lt;'PlayerGrades+'!$AI$15,"D-",IF(T29&lt;'PlayerGrades+'!$AI$14,"D",IF(T29&lt;'PlayerGrades+'!$AI$13,"D+",IF(T29&lt;'PlayerGrades+'!$AI$12,"C-",IF(T29&lt;'PlayerGrades+'!$AI$11,"C",IF(T29&lt;'PlayerGrades+'!$AI$10,"C+",IF(T29&lt;'PlayerGrades+'!$AI$9,"B-",IF(T29&lt;'PlayerGrades+'!$AI$8,"B",IF(T29&lt;'PlayerGrades+'!$AI$7,"B+",IF(T29&lt;'PlayerGrades+'!$AI$6,"A-",IF(T29&lt;'PlayerGrades+'!$AI$5,"A",IF(T29&lt;'PlayerGrades+'!$AI$4,"A+",IF(T29&lt;'PlayerGrades+'!$AI$3,"S-",IF(T29&lt;'PlayerGrades+'!$AI$2,"S","S+"))))))))))))))))))))</f>
        <v>B+</v>
      </c>
      <c r="V29" s="1017">
        <v>1.0</v>
      </c>
      <c r="W29" s="1017">
        <v>0.0</v>
      </c>
      <c r="X29" s="1017">
        <v>0.0</v>
      </c>
      <c r="Y29" s="1017">
        <v>0.0</v>
      </c>
      <c r="Z29" s="1017">
        <v>40.0</v>
      </c>
      <c r="AA29" s="1017">
        <v>37.0</v>
      </c>
      <c r="AB29" s="1017">
        <f t="shared" si="10"/>
        <v>3</v>
      </c>
      <c r="AC29" s="1020">
        <f t="shared" si="11"/>
        <v>1.081081081</v>
      </c>
      <c r="AD29" s="1022">
        <v>0.0</v>
      </c>
      <c r="AE29" s="1023">
        <v>782.0</v>
      </c>
      <c r="AF29" s="1022">
        <v>0.0</v>
      </c>
      <c r="AG29" s="1022">
        <v>0.0</v>
      </c>
      <c r="AH29" s="1022">
        <v>0.0</v>
      </c>
      <c r="AI29" s="1022">
        <v>0.0</v>
      </c>
      <c r="AJ29" s="1022">
        <v>0.0</v>
      </c>
      <c r="AK29" s="1100">
        <v>8.0</v>
      </c>
      <c r="AL29" s="1100">
        <v>1.0</v>
      </c>
      <c r="AM29" s="1022">
        <v>0.0</v>
      </c>
      <c r="AN29" s="1022">
        <v>0.0</v>
      </c>
      <c r="AO29" s="1022">
        <v>0.0</v>
      </c>
      <c r="AP29" s="1022">
        <v>0.0</v>
      </c>
      <c r="AQ29" s="1022">
        <v>0.0</v>
      </c>
      <c r="AR29" s="1022">
        <v>0.0</v>
      </c>
      <c r="AS29" s="1022">
        <v>0.0</v>
      </c>
      <c r="AT29" s="1022">
        <v>0.0</v>
      </c>
      <c r="AU29" s="1100">
        <v>3.0</v>
      </c>
      <c r="AV29" s="1022">
        <v>0.0</v>
      </c>
      <c r="AW29" s="1022">
        <v>0.0</v>
      </c>
      <c r="AX29" s="1022">
        <v>0.0</v>
      </c>
      <c r="AY29" s="1100">
        <v>0.0</v>
      </c>
      <c r="AZ29" s="1027">
        <v>0.0</v>
      </c>
    </row>
    <row r="30">
      <c r="A30" s="938" t="s">
        <v>394</v>
      </c>
      <c r="B30" s="1100" t="str">
        <f>IF(C30&lt;'PlayerGrades+'!$Y$44,"F-",IF(C30&lt;'PlayerGrades+'!$Y$43,"F",IF(C30&lt;'PlayerGrades+'!$Y$42,"F+",IF(C30&lt;'PlayerGrades+'!$Y$41,"E-",IF(C30&lt;'PlayerGrades+'!$Y$40,"E",IF(C30&lt;'PlayerGrades+'!$Y$39,"E+",IF(C30&lt;'PlayerGrades+'!$Y$38,"D-",IF(C30&lt;'PlayerGrades+'!$Y$37,"D",IF(C30&lt;'PlayerGrades+'!$Y$36,"D+",IF(C30&lt;'PlayerGrades+'!$Y$35,"C-",IF(C30&lt;'PlayerGrades+'!$Y$34,"C",IF(C30&lt;'PlayerGrades+'!$Y$33,"C+",IF(C30&lt;'PlayerGrades+'!$Y$32,"B-",IF(C30&lt;'PlayerGrades+'!$Y$31,"B",IF(C30&lt;'PlayerGrades+'!$Y$30,"B+",IF(C30&lt;'PlayerGrades+'!$Y$29,"A-",IF(C30&lt;'PlayerGrades+'!$Y$28,"A",IF(C30&lt;'PlayerGrades+'!$Y$27,"A+",IF(C30&lt;'PlayerGrades+'!$Y$26,"S-",IF(C30&lt;'PlayerGrades+'!$Y$25,"S","S+"))))))))))))))))))))</f>
        <v>A</v>
      </c>
      <c r="C30" s="1105">
        <f>('PlayerGrades+'!$Y$47*(VLOOKUP(E30, 'PlayerGrades+'!$X$3:$Y$23, 2, FALSE)))+('PlayerGrades+'!$Y$48*(VLOOKUP(G30, 'PlayerGrades+'!$X$3:$Y$23, 2, FALSE)))+('PlayerGrades+'!$Y$49*(VLOOKUP(I30, 'PlayerGrades+'!$X$3:$Y$23, 2, FALSE)))+('PlayerGrades+'!$Y$50*(VLOOKUP(K30, 'PlayerGrades+'!$X$3:$Y$23, 2, FALSE)))+('PlayerGrades+'!$Y$51*(VLOOKUP(M30, 'PlayerGrades+'!$X$3:$Y$23, 2, FALSE)))+('PlayerGrades+'!$Y$52*(VLOOKUP(O30, 'PlayerGrades+'!$X$3:$Y$23, 2, FALSE)))+('PlayerGrades+'!$Y$53*(VLOOKUP(Q30, 'PlayerGrades+'!$X$3:$Y$23, 2, FALSE)))+('PlayerGrades+'!$Y$54*(VLOOKUP(S30, 'PlayerGrades+'!$X$3:$Y$23, 2, FALSE)))+('PlayerGrades+'!$Y$55*(VLOOKUP(U30, 'PlayerGrades+'!$X$3:$Y$23, 2, FALSE)))</f>
        <v>22.25</v>
      </c>
      <c r="D30" s="961">
        <f t="shared" si="1"/>
        <v>0</v>
      </c>
      <c r="E30" s="961" t="str">
        <f>IF(D30&lt;'PlayerGrades+'!$AA$21,"F-",IF(D30&lt;'PlayerGrades+'!$AA$20,"F",IF(D30&lt;'PlayerGrades+'!$AA$19,"F+",IF(D30&lt;'PlayerGrades+'!$AA$18,"E-",IF(D30&lt;'PlayerGrades+'!$AA$17,"E",IF(D30&lt;'PlayerGrades+'!$AA$16,"E+",IF(D30&lt;'PlayerGrades+'!$AA$15,"D-",IF(D30&lt;'PlayerGrades+'!$AA$14,"D",IF(D30&lt;'PlayerGrades+'!$AA$13,"D+",IF(D30&lt;'PlayerGrades+'!$AA$12,"C-",IF(D30&lt;'PlayerGrades+'!$AA$11,"C",IF(D30&lt;'PlayerGrades+'!$AA$10,"C+",IF(D30&lt;'PlayerGrades+'!$AA$9,"B-",IF(D30&lt;'PlayerGrades+'!$AA$8,"B",IF(D30&lt;'PlayerGrades+'!$AA$7,"B+",IF(D30&lt;'PlayerGrades+'!$AA$6,"A-",IF(D30&lt;'PlayerGrades+'!$AA$5,"A",IF(D30&lt;'PlayerGrades+'!$AA$4,"A+",IF(D30&lt;'PlayerGrades+'!$AA$3,"S-",IF(D30&lt;'PlayerGrades+'!$AA$2,"S","S+"))))))))))))))))))))</f>
        <v>F-</v>
      </c>
      <c r="F30" s="961">
        <f t="shared" si="2"/>
        <v>0.07522190462</v>
      </c>
      <c r="G30" s="961" t="str">
        <f>IF(F30&lt;'PlayerGrades+'!$AB$21,"F-",IF(F30&lt;'PlayerGrades+'!$AB$20,"F",IF(F30&lt;'PlayerGrades+'!$AB$19,"F+",IF(F30&lt;'PlayerGrades+'!$AB$18,"E-",IF(F30&lt;'PlayerGrades+'!$AB$17,"E",IF(F30&lt;'PlayerGrades+'!$AB$16,"E+",IF(F30&lt;'PlayerGrades+'!$AB$15,"D-",IF(F30&lt;'PlayerGrades+'!$AB$14,"D",IF(F30&lt;'PlayerGrades+'!$AB$13,"D+",IF(F30&lt;'PlayerGrades+'!$AB$12,"C-",IF(F30&lt;'PlayerGrades+'!$AB$11,"C",IF(F30&lt;'PlayerGrades+'!$AB$10,"C+",IF(F30&lt;'PlayerGrades+'!$AB$9,"B-",IF(F30&lt;'PlayerGrades+'!$AB$8,"B",IF(F30&lt;'PlayerGrades+'!$AB$7,"B+",IF(F30&lt;'PlayerGrades+'!$AB$6,"A-",IF(F30&lt;'PlayerGrades+'!$AB$5,"A",IF(F30&lt;'PlayerGrades+'!$AB$4,"A+",IF(F30&lt;'PlayerGrades+'!$AB$3,"S-",IF(F30&lt;'PlayerGrades+'!$AB$2,"S","S+"))))))))))))))))))))</f>
        <v>A</v>
      </c>
      <c r="H30" s="961">
        <f t="shared" si="3"/>
        <v>0.9974424552</v>
      </c>
      <c r="I30" s="961" t="str">
        <f>IF(H30&lt;'PlayerGrades+'!$AC$21,"F-",IF(H30&lt;'PlayerGrades+'!$AC$20,"F",IF(H30&lt;'PlayerGrades+'!$AC$19,"F+",IF(H30&lt;'PlayerGrades+'!$AC$18,"E-",IF(H30&lt;'PlayerGrades+'!$AC$17,"E",IF(H30&lt;'PlayerGrades+'!$AC$16,"E+",IF(H30&lt;'PlayerGrades+'!$AC$15,"D-",IF(H30&lt;'PlayerGrades+'!$AC$14,"D",IF(H30&lt;'PlayerGrades+'!$AC$13,"D+",IF(H30&lt;'PlayerGrades+'!$AC$12,"C-",IF(H30&lt;'PlayerGrades+'!$AC$11,"C",IF(H30&lt;'PlayerGrades+'!$AC$10,"C+",IF(H30&lt;'PlayerGrades+'!$AC$9,"B-",IF(H30&lt;'PlayerGrades+'!$AC$8,"B",IF(H30&lt;'PlayerGrades+'!$AC$7,"B+",IF(H30&lt;'PlayerGrades+'!$AC$6,"A-",IF(H30&lt;'PlayerGrades+'!$AC$5,"A",IF(H30&lt;'PlayerGrades+'!$AC$4,"A+",IF(H30&lt;'PlayerGrades+'!$AC$3,"S-",IF(H30&lt;'PlayerGrades+'!$AC$2,"S","S+"))))))))))))))))))))</f>
        <v>S+</v>
      </c>
      <c r="J30" s="961">
        <f t="shared" si="4"/>
        <v>0.07672634271</v>
      </c>
      <c r="K30" s="961" t="str">
        <f>IF(J30&lt;'PlayerGrades+'!$AD$21,"F-",IF(J30&lt;'PlayerGrades+'!$AD$20,"F",IF(J30&lt;'PlayerGrades+'!$AD$19,"F+",IF(J30&lt;'PlayerGrades+'!$AD$18,"E-",IF(J30&lt;'PlayerGrades+'!$AD$17,"E",IF(J30&lt;'PlayerGrades+'!$AD$16,"E+",IF(J30&lt;'PlayerGrades+'!$AD$15,"D-",IF(J30&lt;'PlayerGrades+'!$AD$14,"D",IF(J30&lt;'PlayerGrades+'!$AD$13,"D+",IF(J30&lt;'PlayerGrades+'!$AD$12,"C-",IF(J30&lt;'PlayerGrades+'!$AD$11,"C",IF(J30&lt;'PlayerGrades+'!$AD$10,"C+",IF(J30&lt;'PlayerGrades+'!$AD$9,"B-",IF(J30&lt;'PlayerGrades+'!$AD$8,"B",IF(J30&lt;'PlayerGrades+'!$AD$7,"B+",IF(J30&lt;'PlayerGrades+'!$AD$6,"A-",IF(J30&lt;'PlayerGrades+'!$AD$5,"A",IF(J30&lt;'PlayerGrades+'!$AD$4,"A+",IF(J30&lt;'PlayerGrades+'!$AD$3,"S-",IF(J30&lt;'PlayerGrades+'!$AD$2,"S","S+"))))))))))))))))))))</f>
        <v>A</v>
      </c>
      <c r="L30" s="992">
        <f t="shared" si="5"/>
        <v>0.7672634271</v>
      </c>
      <c r="M30" s="992" t="str">
        <f>IF(L30&lt;'PlayerGrades+'!$AE$21,"F-",IF(L30&lt;'PlayerGrades+'!$AE$20,"F",IF(L30&lt;'PlayerGrades+'!$AE$19,"F+",IF(L30&lt;'PlayerGrades+'!$AE$18,"E-",IF(L30&lt;'PlayerGrades+'!$AE$17,"E",IF(L30&lt;'PlayerGrades+'!$AE$16,"E+",IF(L30&lt;'PlayerGrades+'!$AE$15,"D-",IF(L30&lt;'PlayerGrades+'!$AE$14,"D",IF(L30&lt;'PlayerGrades+'!$AE$13,"D+",IF(L30&lt;'PlayerGrades+'!$AE$12,"C-",IF(L30&lt;'PlayerGrades+'!$AE$11,"C",IF(L30&lt;'PlayerGrades+'!$AE$10,"C+",IF(L30&lt;'PlayerGrades+'!$AE$9,"B-",IF(L30&lt;'PlayerGrades+'!$AE$8,"B",IF(L30&lt;'PlayerGrades+'!$AE$7,"B+",IF(L30&lt;'PlayerGrades+'!$AE$6,"A-",IF(L30&lt;'PlayerGrades+'!$AE$5,"A",IF(L30&lt;'PlayerGrades+'!$AE$4,"A+",IF(L30&lt;'PlayerGrades+'!$AE$3,"S-",IF(L30&lt;'PlayerGrades+'!$AE$2,"S","S+"))))))))))))))))))))</f>
        <v>S-</v>
      </c>
      <c r="N30" s="961">
        <f t="shared" si="6"/>
        <v>0.3069053708</v>
      </c>
      <c r="O30" s="961" t="str">
        <f>IF(N30&lt;'PlayerGrades+'!$AF$21,"F-",IF(N30&lt;'PlayerGrades+'!$AF$20,"F",IF(N30&lt;'PlayerGrades+'!$AF$19,"F+",IF(N30&lt;'PlayerGrades+'!$AF$18,"E-",IF(N30&lt;'PlayerGrades+'!$AF$17,"E",IF(N30&lt;'PlayerGrades+'!$AF$16,"E+",IF(N30&lt;'PlayerGrades+'!$AF$15,"D-",IF(N30&lt;'PlayerGrades+'!$AF$14,"D",IF(N30&lt;'PlayerGrades+'!$AF$13,"D+",IF(N30&lt;'PlayerGrades+'!$AF$12,"C-",IF(N30&lt;'PlayerGrades+'!$AF$11,"C",IF(N30&lt;'PlayerGrades+'!$AF$10,"C+",IF(N30&lt;'PlayerGrades+'!$AF$9,"B-",IF(N30&lt;'PlayerGrades+'!$AF$8,"B",IF(N30&lt;'PlayerGrades+'!$AF$7,"B+",IF(N30&lt;'PlayerGrades+'!$AF$6,"A-",IF(N30&lt;'PlayerGrades+'!$AF$5,"A",IF(N30&lt;'PlayerGrades+'!$AF$4,"A+",IF(N30&lt;'PlayerGrades+'!$AF$3,"S-",IF(N30&lt;'PlayerGrades+'!$AF$2,"S","S+"))))))))))))))))))))</f>
        <v>S</v>
      </c>
      <c r="P30" s="961">
        <f t="shared" si="7"/>
        <v>1.227621483</v>
      </c>
      <c r="Q30" s="961" t="str">
        <f>IF(P30&lt;'PlayerGrades+'!$AG$21,"F-",IF(P30&lt;'PlayerGrades+'!$AG$20,"F",IF(P30&lt;'PlayerGrades+'!$AG$19,"F+",IF(P30&lt;'PlayerGrades+'!$AG$18,"E-",IF(P30&lt;'PlayerGrades+'!$AG$17,"E",IF(P30&lt;'PlayerGrades+'!$AG$16,"E+",IF(P30&lt;'PlayerGrades+'!$AG$15,"D-",IF(P30&lt;'PlayerGrades+'!$AG$14,"D",IF(P30&lt;'PlayerGrades+'!$AG$13,"D+",IF(P30&lt;'PlayerGrades+'!$AG$12,"C-",IF(P30&lt;'PlayerGrades+'!$AG$11,"C",IF(P30&lt;'PlayerGrades+'!$AG$10,"C+",IF(P30&lt;'PlayerGrades+'!$AG$9,"B-",IF(P30&lt;'PlayerGrades+'!$AG$8,"B",IF(P30&lt;'PlayerGrades+'!$AG$7,"B+",IF(P30&lt;'PlayerGrades+'!$AG$6,"A-",IF(P30&lt;'PlayerGrades+'!$AG$5,"A",IF(P30&lt;'PlayerGrades+'!$AG$4,"A+",IF(P30&lt;'PlayerGrades+'!$AG$3,"S-",IF(P30&lt;'PlayerGrades+'!$AG$2,"S","S+"))))))))))))))))))))</f>
        <v>S-</v>
      </c>
      <c r="R30" s="961">
        <f t="shared" si="8"/>
        <v>0.07672634271</v>
      </c>
      <c r="S30" s="961" t="str">
        <f>IF(R30&lt;'PlayerGrades+'!$AH$21,"F-",IF(R30&lt;'PlayerGrades+'!$AH$20,"F",IF(R30&lt;'PlayerGrades+'!$AH$19,"F+",IF(R30&lt;'PlayerGrades+'!$AH$18,"E-",IF(R30&lt;'PlayerGrades+'!$AH$17,"E",IF(R30&lt;'PlayerGrades+'!$AH$16,"E+",IF(R30&lt;'PlayerGrades+'!$AH$15,"D-",IF(R30&lt;'PlayerGrades+'!$AH$14,"D",IF(R30&lt;'PlayerGrades+'!$AH$13,"D+",IF(R30&lt;'PlayerGrades+'!$AH$12,"C-",IF(R30&lt;'PlayerGrades+'!$AH$11,"C",IF(R30&lt;'PlayerGrades+'!$AH$10,"C+",IF(R30&lt;'PlayerGrades+'!$AH$9,"B-",IF(R30&lt;'PlayerGrades+'!$AH$8,"B",IF(R30&lt;'PlayerGrades+'!$AH$7,"B+",IF(R30&lt;'PlayerGrades+'!$AH$6,"A-",IF(R30&lt;'PlayerGrades+'!$AH$5,"A",IF(R30&lt;'PlayerGrades+'!$AH$4,"A+",IF(R30&lt;'PlayerGrades+'!$AH$3,"S-",IF(R30&lt;'PlayerGrades+'!$AH$2,"S","S+"))))))))))))))))))))</f>
        <v>B+</v>
      </c>
      <c r="T30" s="961">
        <f t="shared" si="9"/>
        <v>3.836317136</v>
      </c>
      <c r="U30" s="961" t="str">
        <f>IF(T30&lt;'PlayerGrades+'!$AI$21,"F-",IF(T30&lt;'PlayerGrades+'!$AI$20,"F",IF(T30&lt;'PlayerGrades+'!$AI$19,"F+",IF(T30&lt;'PlayerGrades+'!$AI$18,"E-",IF(T30&lt;'PlayerGrades+'!$AI$17,"E",IF(T30&lt;'PlayerGrades+'!$AI$16,"E+",IF(T30&lt;'PlayerGrades+'!$AI$15,"D-",IF(T30&lt;'PlayerGrades+'!$AI$14,"D",IF(T30&lt;'PlayerGrades+'!$AI$13,"D+",IF(T30&lt;'PlayerGrades+'!$AI$12,"C-",IF(T30&lt;'PlayerGrades+'!$AI$11,"C",IF(T30&lt;'PlayerGrades+'!$AI$10,"C+",IF(T30&lt;'PlayerGrades+'!$AI$9,"B-",IF(T30&lt;'PlayerGrades+'!$AI$8,"B",IF(T30&lt;'PlayerGrades+'!$AI$7,"B+",IF(T30&lt;'PlayerGrades+'!$AI$6,"A-",IF(T30&lt;'PlayerGrades+'!$AI$5,"A",IF(T30&lt;'PlayerGrades+'!$AI$4,"A+",IF(T30&lt;'PlayerGrades+'!$AI$3,"S-",IF(T30&lt;'PlayerGrades+'!$AI$2,"S","S+"))))))))))))))))))))</f>
        <v>S-</v>
      </c>
      <c r="V30" s="1017">
        <v>0.0</v>
      </c>
      <c r="W30" s="1017">
        <v>1.0</v>
      </c>
      <c r="X30" s="1017">
        <v>0.0</v>
      </c>
      <c r="Y30" s="1017">
        <v>2.0</v>
      </c>
      <c r="Z30" s="1017">
        <v>50.0</v>
      </c>
      <c r="AA30" s="1017">
        <v>51.0</v>
      </c>
      <c r="AB30" s="1017">
        <f t="shared" si="10"/>
        <v>-1</v>
      </c>
      <c r="AC30" s="1020">
        <f t="shared" si="11"/>
        <v>0.9803921569</v>
      </c>
      <c r="AD30" s="1022">
        <v>0.0</v>
      </c>
      <c r="AE30" s="1023">
        <v>782.0</v>
      </c>
      <c r="AF30" s="1100">
        <v>1.0</v>
      </c>
      <c r="AG30" s="1022">
        <v>0.0</v>
      </c>
      <c r="AH30" s="1022">
        <v>0.0</v>
      </c>
      <c r="AI30" s="1022">
        <v>0.0</v>
      </c>
      <c r="AJ30" s="1022">
        <v>1.0</v>
      </c>
      <c r="AK30" s="1100">
        <v>10.0</v>
      </c>
      <c r="AL30" s="1100">
        <v>4.0</v>
      </c>
      <c r="AM30" s="1022">
        <v>1.0</v>
      </c>
      <c r="AN30" s="1022">
        <v>0.0</v>
      </c>
      <c r="AO30" s="1022">
        <v>0.0</v>
      </c>
      <c r="AP30" s="1022">
        <v>0.0</v>
      </c>
      <c r="AQ30" s="1022">
        <v>0.0</v>
      </c>
      <c r="AR30" s="1022">
        <v>0.0</v>
      </c>
      <c r="AS30" s="1022">
        <v>0.0</v>
      </c>
      <c r="AT30" s="1022">
        <v>0.0</v>
      </c>
      <c r="AU30" s="1100">
        <v>13.0</v>
      </c>
      <c r="AV30" s="1022">
        <v>0.0</v>
      </c>
      <c r="AW30" s="1022">
        <v>0.0</v>
      </c>
      <c r="AX30" s="1022">
        <v>0.0</v>
      </c>
      <c r="AY30" s="1100">
        <v>1.0</v>
      </c>
      <c r="AZ30" s="1027">
        <v>0.0</v>
      </c>
    </row>
    <row r="31">
      <c r="A31" s="938" t="s">
        <v>46</v>
      </c>
      <c r="B31" s="1100" t="str">
        <f>IF(C31&lt;'PlayerGrades+'!$Y$44,"F-",IF(C31&lt;'PlayerGrades+'!$Y$43,"F",IF(C31&lt;'PlayerGrades+'!$Y$42,"F+",IF(C31&lt;'PlayerGrades+'!$Y$41,"E-",IF(C31&lt;'PlayerGrades+'!$Y$40,"E",IF(C31&lt;'PlayerGrades+'!$Y$39,"E+",IF(C31&lt;'PlayerGrades+'!$Y$38,"D-",IF(C31&lt;'PlayerGrades+'!$Y$37,"D",IF(C31&lt;'PlayerGrades+'!$Y$36,"D+",IF(C31&lt;'PlayerGrades+'!$Y$35,"C-",IF(C31&lt;'PlayerGrades+'!$Y$34,"C",IF(C31&lt;'PlayerGrades+'!$Y$33,"C+",IF(C31&lt;'PlayerGrades+'!$Y$32,"B-",IF(C31&lt;'PlayerGrades+'!$Y$31,"B",IF(C31&lt;'PlayerGrades+'!$Y$30,"B+",IF(C31&lt;'PlayerGrades+'!$Y$29,"A-",IF(C31&lt;'PlayerGrades+'!$Y$28,"A",IF(C31&lt;'PlayerGrades+'!$Y$27,"A+",IF(C31&lt;'PlayerGrades+'!$Y$26,"S-",IF(C31&lt;'PlayerGrades+'!$Y$25,"S","S+"))))))))))))))))))))</f>
        <v>B</v>
      </c>
      <c r="C31" s="1105">
        <f>('PlayerGrades+'!$Y$47*(VLOOKUP(E31, 'PlayerGrades+'!$X$3:$Y$23, 2, FALSE)))+('PlayerGrades+'!$Y$48*(VLOOKUP(G31, 'PlayerGrades+'!$X$3:$Y$23, 2, FALSE)))+('PlayerGrades+'!$Y$49*(VLOOKUP(I31, 'PlayerGrades+'!$X$3:$Y$23, 2, FALSE)))+('PlayerGrades+'!$Y$50*(VLOOKUP(K31, 'PlayerGrades+'!$X$3:$Y$23, 2, FALSE)))+('PlayerGrades+'!$Y$51*(VLOOKUP(M31, 'PlayerGrades+'!$X$3:$Y$23, 2, FALSE)))+('PlayerGrades+'!$Y$52*(VLOOKUP(O31, 'PlayerGrades+'!$X$3:$Y$23, 2, FALSE)))+('PlayerGrades+'!$Y$53*(VLOOKUP(Q31, 'PlayerGrades+'!$X$3:$Y$23, 2, FALSE)))+('PlayerGrades+'!$Y$54*(VLOOKUP(S31, 'PlayerGrades+'!$X$3:$Y$23, 2, FALSE)))+('PlayerGrades+'!$Y$55*(VLOOKUP(U31, 'PlayerGrades+'!$X$3:$Y$23, 2, FALSE)))</f>
        <v>18.225</v>
      </c>
      <c r="D31" s="961">
        <f t="shared" si="1"/>
        <v>0</v>
      </c>
      <c r="E31" s="961" t="str">
        <f>IF(D31&lt;'PlayerGrades+'!$AA$21,"F-",IF(D31&lt;'PlayerGrades+'!$AA$20,"F",IF(D31&lt;'PlayerGrades+'!$AA$19,"F+",IF(D31&lt;'PlayerGrades+'!$AA$18,"E-",IF(D31&lt;'PlayerGrades+'!$AA$17,"E",IF(D31&lt;'PlayerGrades+'!$AA$16,"E+",IF(D31&lt;'PlayerGrades+'!$AA$15,"D-",IF(D31&lt;'PlayerGrades+'!$AA$14,"D",IF(D31&lt;'PlayerGrades+'!$AA$13,"D+",IF(D31&lt;'PlayerGrades+'!$AA$12,"C-",IF(D31&lt;'PlayerGrades+'!$AA$11,"C",IF(D31&lt;'PlayerGrades+'!$AA$10,"C+",IF(D31&lt;'PlayerGrades+'!$AA$9,"B-",IF(D31&lt;'PlayerGrades+'!$AA$8,"B",IF(D31&lt;'PlayerGrades+'!$AA$7,"B+",IF(D31&lt;'PlayerGrades+'!$AA$6,"A-",IF(D31&lt;'PlayerGrades+'!$AA$5,"A",IF(D31&lt;'PlayerGrades+'!$AA$4,"A+",IF(D31&lt;'PlayerGrades+'!$AA$3,"S-",IF(D31&lt;'PlayerGrades+'!$AA$2,"S","S+"))))))))))))))))))))</f>
        <v>F-</v>
      </c>
      <c r="F31" s="961">
        <f t="shared" si="2"/>
        <v>0.05071741298</v>
      </c>
      <c r="G31" s="961" t="str">
        <f>IF(F31&lt;'PlayerGrades+'!$AB$21,"F-",IF(F31&lt;'PlayerGrades+'!$AB$20,"F",IF(F31&lt;'PlayerGrades+'!$AB$19,"F+",IF(F31&lt;'PlayerGrades+'!$AB$18,"E-",IF(F31&lt;'PlayerGrades+'!$AB$17,"E",IF(F31&lt;'PlayerGrades+'!$AB$16,"E+",IF(F31&lt;'PlayerGrades+'!$AB$15,"D-",IF(F31&lt;'PlayerGrades+'!$AB$14,"D",IF(F31&lt;'PlayerGrades+'!$AB$13,"D+",IF(F31&lt;'PlayerGrades+'!$AB$12,"C-",IF(F31&lt;'PlayerGrades+'!$AB$11,"C",IF(F31&lt;'PlayerGrades+'!$AB$10,"C+",IF(F31&lt;'PlayerGrades+'!$AB$9,"B-",IF(F31&lt;'PlayerGrades+'!$AB$8,"B",IF(F31&lt;'PlayerGrades+'!$AB$7,"B+",IF(F31&lt;'PlayerGrades+'!$AB$6,"A-",IF(F31&lt;'PlayerGrades+'!$AB$5,"A",IF(F31&lt;'PlayerGrades+'!$AB$4,"A+",IF(F31&lt;'PlayerGrades+'!$AB$3,"S-",IF(F31&lt;'PlayerGrades+'!$AB$2,"S","S+"))))))))))))))))))))</f>
        <v>A</v>
      </c>
      <c r="H31" s="961">
        <f t="shared" si="3"/>
        <v>0.537084399</v>
      </c>
      <c r="I31" s="961" t="str">
        <f>IF(H31&lt;'PlayerGrades+'!$AC$21,"F-",IF(H31&lt;'PlayerGrades+'!$AC$20,"F",IF(H31&lt;'PlayerGrades+'!$AC$19,"F+",IF(H31&lt;'PlayerGrades+'!$AC$18,"E-",IF(H31&lt;'PlayerGrades+'!$AC$17,"E",IF(H31&lt;'PlayerGrades+'!$AC$16,"E+",IF(H31&lt;'PlayerGrades+'!$AC$15,"D-",IF(H31&lt;'PlayerGrades+'!$AC$14,"D",IF(H31&lt;'PlayerGrades+'!$AC$13,"D+",IF(H31&lt;'PlayerGrades+'!$AC$12,"C-",IF(H31&lt;'PlayerGrades+'!$AC$11,"C",IF(H31&lt;'PlayerGrades+'!$AC$10,"C+",IF(H31&lt;'PlayerGrades+'!$AC$9,"B-",IF(H31&lt;'PlayerGrades+'!$AC$8,"B",IF(H31&lt;'PlayerGrades+'!$AC$7,"B+",IF(H31&lt;'PlayerGrades+'!$AC$6,"A-",IF(H31&lt;'PlayerGrades+'!$AC$5,"A",IF(H31&lt;'PlayerGrades+'!$AC$4,"A+",IF(H31&lt;'PlayerGrades+'!$AC$3,"S-",IF(H31&lt;'PlayerGrades+'!$AC$2,"S","S+"))))))))))))))))))))</f>
        <v>B+</v>
      </c>
      <c r="J31" s="961">
        <f t="shared" si="4"/>
        <v>0.07672634271</v>
      </c>
      <c r="K31" s="961" t="str">
        <f>IF(J31&lt;'PlayerGrades+'!$AD$21,"F-",IF(J31&lt;'PlayerGrades+'!$AD$20,"F",IF(J31&lt;'PlayerGrades+'!$AD$19,"F+",IF(J31&lt;'PlayerGrades+'!$AD$18,"E-",IF(J31&lt;'PlayerGrades+'!$AD$17,"E",IF(J31&lt;'PlayerGrades+'!$AD$16,"E+",IF(J31&lt;'PlayerGrades+'!$AD$15,"D-",IF(J31&lt;'PlayerGrades+'!$AD$14,"D",IF(J31&lt;'PlayerGrades+'!$AD$13,"D+",IF(J31&lt;'PlayerGrades+'!$AD$12,"C-",IF(J31&lt;'PlayerGrades+'!$AD$11,"C",IF(J31&lt;'PlayerGrades+'!$AD$10,"C+",IF(J31&lt;'PlayerGrades+'!$AD$9,"B-",IF(J31&lt;'PlayerGrades+'!$AD$8,"B",IF(J31&lt;'PlayerGrades+'!$AD$7,"B+",IF(J31&lt;'PlayerGrades+'!$AD$6,"A-",IF(J31&lt;'PlayerGrades+'!$AD$5,"A",IF(J31&lt;'PlayerGrades+'!$AD$4,"A+",IF(J31&lt;'PlayerGrades+'!$AD$3,"S-",IF(J31&lt;'PlayerGrades+'!$AD$2,"S","S+"))))))))))))))))))))</f>
        <v>A</v>
      </c>
      <c r="L31" s="992">
        <f t="shared" si="5"/>
        <v>0.537084399</v>
      </c>
      <c r="M31" s="992" t="str">
        <f>IF(L31&lt;'PlayerGrades+'!$AE$21,"F-",IF(L31&lt;'PlayerGrades+'!$AE$20,"F",IF(L31&lt;'PlayerGrades+'!$AE$19,"F+",IF(L31&lt;'PlayerGrades+'!$AE$18,"E-",IF(L31&lt;'PlayerGrades+'!$AE$17,"E",IF(L31&lt;'PlayerGrades+'!$AE$16,"E+",IF(L31&lt;'PlayerGrades+'!$AE$15,"D-",IF(L31&lt;'PlayerGrades+'!$AE$14,"D",IF(L31&lt;'PlayerGrades+'!$AE$13,"D+",IF(L31&lt;'PlayerGrades+'!$AE$12,"C-",IF(L31&lt;'PlayerGrades+'!$AE$11,"C",IF(L31&lt;'PlayerGrades+'!$AE$10,"C+",IF(L31&lt;'PlayerGrades+'!$AE$9,"B-",IF(L31&lt;'PlayerGrades+'!$AE$8,"B",IF(L31&lt;'PlayerGrades+'!$AE$7,"B+",IF(L31&lt;'PlayerGrades+'!$AE$6,"A-",IF(L31&lt;'PlayerGrades+'!$AE$5,"A",IF(L31&lt;'PlayerGrades+'!$AE$4,"A+",IF(L31&lt;'PlayerGrades+'!$AE$3,"S-",IF(L31&lt;'PlayerGrades+'!$AE$2,"S","S+"))))))))))))))))))))</f>
        <v>A-</v>
      </c>
      <c r="N31" s="961">
        <f t="shared" si="6"/>
        <v>0.07672634271</v>
      </c>
      <c r="O31" s="961" t="str">
        <f>IF(N31&lt;'PlayerGrades+'!$AF$21,"F-",IF(N31&lt;'PlayerGrades+'!$AF$20,"F",IF(N31&lt;'PlayerGrades+'!$AF$19,"F+",IF(N31&lt;'PlayerGrades+'!$AF$18,"E-",IF(N31&lt;'PlayerGrades+'!$AF$17,"E",IF(N31&lt;'PlayerGrades+'!$AF$16,"E+",IF(N31&lt;'PlayerGrades+'!$AF$15,"D-",IF(N31&lt;'PlayerGrades+'!$AF$14,"D",IF(N31&lt;'PlayerGrades+'!$AF$13,"D+",IF(N31&lt;'PlayerGrades+'!$AF$12,"C-",IF(N31&lt;'PlayerGrades+'!$AF$11,"C",IF(N31&lt;'PlayerGrades+'!$AF$10,"C+",IF(N31&lt;'PlayerGrades+'!$AF$9,"B-",IF(N31&lt;'PlayerGrades+'!$AF$8,"B",IF(N31&lt;'PlayerGrades+'!$AF$7,"B+",IF(N31&lt;'PlayerGrades+'!$AF$6,"A-",IF(N31&lt;'PlayerGrades+'!$AF$5,"A",IF(N31&lt;'PlayerGrades+'!$AF$4,"A+",IF(N31&lt;'PlayerGrades+'!$AF$3,"S-",IF(N31&lt;'PlayerGrades+'!$AF$2,"S","S+"))))))))))))))))))))</f>
        <v>E+</v>
      </c>
      <c r="P31" s="961">
        <f t="shared" si="7"/>
        <v>0.6138107417</v>
      </c>
      <c r="Q31" s="961" t="str">
        <f>IF(P31&lt;'PlayerGrades+'!$AG$21,"F-",IF(P31&lt;'PlayerGrades+'!$AG$20,"F",IF(P31&lt;'PlayerGrades+'!$AG$19,"F+",IF(P31&lt;'PlayerGrades+'!$AG$18,"E-",IF(P31&lt;'PlayerGrades+'!$AG$17,"E",IF(P31&lt;'PlayerGrades+'!$AG$16,"E+",IF(P31&lt;'PlayerGrades+'!$AG$15,"D-",IF(P31&lt;'PlayerGrades+'!$AG$14,"D",IF(P31&lt;'PlayerGrades+'!$AG$13,"D+",IF(P31&lt;'PlayerGrades+'!$AG$12,"C-",IF(P31&lt;'PlayerGrades+'!$AG$11,"C",IF(P31&lt;'PlayerGrades+'!$AG$10,"C+",IF(P31&lt;'PlayerGrades+'!$AG$9,"B-",IF(P31&lt;'PlayerGrades+'!$AG$8,"B",IF(P31&lt;'PlayerGrades+'!$AG$7,"B+",IF(P31&lt;'PlayerGrades+'!$AG$6,"A-",IF(P31&lt;'PlayerGrades+'!$AG$5,"A",IF(P31&lt;'PlayerGrades+'!$AG$4,"A+",IF(P31&lt;'PlayerGrades+'!$AG$3,"S-",IF(P31&lt;'PlayerGrades+'!$AG$2,"S","S+"))))))))))))))))))))</f>
        <v>B-</v>
      </c>
      <c r="R31" s="961">
        <f t="shared" si="8"/>
        <v>0.1534526854</v>
      </c>
      <c r="S31" s="961" t="str">
        <f>IF(R31&lt;'PlayerGrades+'!$AH$21,"F-",IF(R31&lt;'PlayerGrades+'!$AH$20,"F",IF(R31&lt;'PlayerGrades+'!$AH$19,"F+",IF(R31&lt;'PlayerGrades+'!$AH$18,"E-",IF(R31&lt;'PlayerGrades+'!$AH$17,"E",IF(R31&lt;'PlayerGrades+'!$AH$16,"E+",IF(R31&lt;'PlayerGrades+'!$AH$15,"D-",IF(R31&lt;'PlayerGrades+'!$AH$14,"D",IF(R31&lt;'PlayerGrades+'!$AH$13,"D+",IF(R31&lt;'PlayerGrades+'!$AH$12,"C-",IF(R31&lt;'PlayerGrades+'!$AH$11,"C",IF(R31&lt;'PlayerGrades+'!$AH$10,"C+",IF(R31&lt;'PlayerGrades+'!$AH$9,"B-",IF(R31&lt;'PlayerGrades+'!$AH$8,"B",IF(R31&lt;'PlayerGrades+'!$AH$7,"B+",IF(R31&lt;'PlayerGrades+'!$AH$6,"A-",IF(R31&lt;'PlayerGrades+'!$AH$5,"A",IF(R31&lt;'PlayerGrades+'!$AH$4,"A+",IF(R31&lt;'PlayerGrades+'!$AH$3,"S-",IF(R31&lt;'PlayerGrades+'!$AH$2,"S","S+"))))))))))))))))))))</f>
        <v>S+</v>
      </c>
      <c r="T31" s="961">
        <f t="shared" si="9"/>
        <v>2.992327366</v>
      </c>
      <c r="U31" s="961" t="str">
        <f>IF(T31&lt;'PlayerGrades+'!$AI$21,"F-",IF(T31&lt;'PlayerGrades+'!$AI$20,"F",IF(T31&lt;'PlayerGrades+'!$AI$19,"F+",IF(T31&lt;'PlayerGrades+'!$AI$18,"E-",IF(T31&lt;'PlayerGrades+'!$AI$17,"E",IF(T31&lt;'PlayerGrades+'!$AI$16,"E+",IF(T31&lt;'PlayerGrades+'!$AI$15,"D-",IF(T31&lt;'PlayerGrades+'!$AI$14,"D",IF(T31&lt;'PlayerGrades+'!$AI$13,"D+",IF(T31&lt;'PlayerGrades+'!$AI$12,"C-",IF(T31&lt;'PlayerGrades+'!$AI$11,"C",IF(T31&lt;'PlayerGrades+'!$AI$10,"C+",IF(T31&lt;'PlayerGrades+'!$AI$9,"B-",IF(T31&lt;'PlayerGrades+'!$AI$8,"B",IF(T31&lt;'PlayerGrades+'!$AI$7,"B+",IF(T31&lt;'PlayerGrades+'!$AI$6,"A-",IF(T31&lt;'PlayerGrades+'!$AI$5,"A",IF(T31&lt;'PlayerGrades+'!$AI$4,"A+",IF(T31&lt;'PlayerGrades+'!$AI$3,"S-",IF(T31&lt;'PlayerGrades+'!$AI$2,"S","S+"))))))))))))))))))))</f>
        <v>B</v>
      </c>
      <c r="V31" s="1017">
        <v>0.0</v>
      </c>
      <c r="W31" s="1017">
        <v>1.0</v>
      </c>
      <c r="X31" s="1017">
        <v>0.0</v>
      </c>
      <c r="Y31" s="1017">
        <v>5.0</v>
      </c>
      <c r="Z31" s="1017">
        <v>39.0</v>
      </c>
      <c r="AA31" s="1017">
        <v>59.0</v>
      </c>
      <c r="AB31" s="1017">
        <f t="shared" si="10"/>
        <v>-20</v>
      </c>
      <c r="AC31" s="1020">
        <f t="shared" si="11"/>
        <v>0.6610169492</v>
      </c>
      <c r="AD31" s="1022">
        <v>0.0</v>
      </c>
      <c r="AE31" s="1023">
        <v>782.0</v>
      </c>
      <c r="AF31" s="1022">
        <v>1.0</v>
      </c>
      <c r="AG31" s="1022">
        <v>0.0</v>
      </c>
      <c r="AH31" s="1022">
        <v>0.0</v>
      </c>
      <c r="AI31" s="1022">
        <v>0.0</v>
      </c>
      <c r="AJ31" s="1022">
        <v>0.0</v>
      </c>
      <c r="AK31" s="1100">
        <v>7.0</v>
      </c>
      <c r="AL31" s="1100">
        <v>1.0</v>
      </c>
      <c r="AM31" s="1022">
        <v>0.0</v>
      </c>
      <c r="AN31" s="1022">
        <v>0.0</v>
      </c>
      <c r="AO31" s="1022">
        <v>0.0</v>
      </c>
      <c r="AP31" s="1022">
        <v>0.0</v>
      </c>
      <c r="AQ31" s="1022">
        <v>0.0</v>
      </c>
      <c r="AR31" s="1022">
        <v>0.0</v>
      </c>
      <c r="AS31" s="1022">
        <v>0.0</v>
      </c>
      <c r="AT31" s="1022">
        <v>0.0</v>
      </c>
      <c r="AU31" s="1100">
        <v>7.0</v>
      </c>
      <c r="AV31" s="1022">
        <v>0.0</v>
      </c>
      <c r="AW31" s="1022">
        <v>0.0</v>
      </c>
      <c r="AX31" s="1022">
        <v>0.0</v>
      </c>
      <c r="AY31" s="1100">
        <v>2.0</v>
      </c>
      <c r="AZ31" s="1027">
        <v>0.0</v>
      </c>
    </row>
    <row r="32">
      <c r="A32" s="938" t="s">
        <v>80</v>
      </c>
      <c r="B32" s="1100" t="str">
        <f>IF(C32&lt;'PlayerGrades+'!$Y$44,"F-",IF(C32&lt;'PlayerGrades+'!$Y$43,"F",IF(C32&lt;'PlayerGrades+'!$Y$42,"F+",IF(C32&lt;'PlayerGrades+'!$Y$41,"E-",IF(C32&lt;'PlayerGrades+'!$Y$40,"E",IF(C32&lt;'PlayerGrades+'!$Y$39,"E+",IF(C32&lt;'PlayerGrades+'!$Y$38,"D-",IF(C32&lt;'PlayerGrades+'!$Y$37,"D",IF(C32&lt;'PlayerGrades+'!$Y$36,"D+",IF(C32&lt;'PlayerGrades+'!$Y$35,"C-",IF(C32&lt;'PlayerGrades+'!$Y$34,"C",IF(C32&lt;'PlayerGrades+'!$Y$33,"C+",IF(C32&lt;'PlayerGrades+'!$Y$32,"B-",IF(C32&lt;'PlayerGrades+'!$Y$31,"B",IF(C32&lt;'PlayerGrades+'!$Y$30,"B+",IF(C32&lt;'PlayerGrades+'!$Y$29,"A-",IF(C32&lt;'PlayerGrades+'!$Y$28,"A",IF(C32&lt;'PlayerGrades+'!$Y$27,"A+",IF(C32&lt;'PlayerGrades+'!$Y$26,"S-",IF(C32&lt;'PlayerGrades+'!$Y$25,"S","S+"))))))))))))))))))))</f>
        <v>C</v>
      </c>
      <c r="C32" s="1105">
        <f>('PlayerGrades+'!$Y$47*(VLOOKUP(E32, 'PlayerGrades+'!$X$3:$Y$23, 2, FALSE)))+('PlayerGrades+'!$Y$48*(VLOOKUP(G32, 'PlayerGrades+'!$X$3:$Y$23, 2, FALSE)))+('PlayerGrades+'!$Y$49*(VLOOKUP(I32, 'PlayerGrades+'!$X$3:$Y$23, 2, FALSE)))+('PlayerGrades+'!$Y$50*(VLOOKUP(K32, 'PlayerGrades+'!$X$3:$Y$23, 2, FALSE)))+('PlayerGrades+'!$Y$51*(VLOOKUP(M32, 'PlayerGrades+'!$X$3:$Y$23, 2, FALSE)))+('PlayerGrades+'!$Y$52*(VLOOKUP(O32, 'PlayerGrades+'!$X$3:$Y$23, 2, FALSE)))+('PlayerGrades+'!$Y$53*(VLOOKUP(Q32, 'PlayerGrades+'!$X$3:$Y$23, 2, FALSE)))+('PlayerGrades+'!$Y$54*(VLOOKUP(S32, 'PlayerGrades+'!$X$3:$Y$23, 2, FALSE)))+('PlayerGrades+'!$Y$55*(VLOOKUP(U32, 'PlayerGrades+'!$X$3:$Y$23, 2, FALSE)))</f>
        <v>15.05</v>
      </c>
      <c r="D32" s="961">
        <f t="shared" si="1"/>
        <v>0</v>
      </c>
      <c r="E32" s="961" t="str">
        <f>IF(D32&lt;'PlayerGrades+'!$AA$21,"F-",IF(D32&lt;'PlayerGrades+'!$AA$20,"F",IF(D32&lt;'PlayerGrades+'!$AA$19,"F+",IF(D32&lt;'PlayerGrades+'!$AA$18,"E-",IF(D32&lt;'PlayerGrades+'!$AA$17,"E",IF(D32&lt;'PlayerGrades+'!$AA$16,"E+",IF(D32&lt;'PlayerGrades+'!$AA$15,"D-",IF(D32&lt;'PlayerGrades+'!$AA$14,"D",IF(D32&lt;'PlayerGrades+'!$AA$13,"D+",IF(D32&lt;'PlayerGrades+'!$AA$12,"C-",IF(D32&lt;'PlayerGrades+'!$AA$11,"C",IF(D32&lt;'PlayerGrades+'!$AA$10,"C+",IF(D32&lt;'PlayerGrades+'!$AA$9,"B-",IF(D32&lt;'PlayerGrades+'!$AA$8,"B",IF(D32&lt;'PlayerGrades+'!$AA$7,"B+",IF(D32&lt;'PlayerGrades+'!$AA$6,"A-",IF(D32&lt;'PlayerGrades+'!$AA$5,"A",IF(D32&lt;'PlayerGrades+'!$AA$4,"A+",IF(D32&lt;'PlayerGrades+'!$AA$3,"S-",IF(D32&lt;'PlayerGrades+'!$AA$2,"S","S+"))))))))))))))))))))</f>
        <v>F-</v>
      </c>
      <c r="F32" s="961">
        <f t="shared" si="2"/>
        <v>0.04219948849</v>
      </c>
      <c r="G32" s="961" t="str">
        <f>IF(F32&lt;'PlayerGrades+'!$AB$21,"F-",IF(F32&lt;'PlayerGrades+'!$AB$20,"F",IF(F32&lt;'PlayerGrades+'!$AB$19,"F+",IF(F32&lt;'PlayerGrades+'!$AB$18,"E-",IF(F32&lt;'PlayerGrades+'!$AB$17,"E",IF(F32&lt;'PlayerGrades+'!$AB$16,"E+",IF(F32&lt;'PlayerGrades+'!$AB$15,"D-",IF(F32&lt;'PlayerGrades+'!$AB$14,"D",IF(F32&lt;'PlayerGrades+'!$AB$13,"D+",IF(F32&lt;'PlayerGrades+'!$AB$12,"C-",IF(F32&lt;'PlayerGrades+'!$AB$11,"C",IF(F32&lt;'PlayerGrades+'!$AB$10,"C+",IF(F32&lt;'PlayerGrades+'!$AB$9,"B-",IF(F32&lt;'PlayerGrades+'!$AB$8,"B",IF(F32&lt;'PlayerGrades+'!$AB$7,"B+",IF(F32&lt;'PlayerGrades+'!$AB$6,"A-",IF(F32&lt;'PlayerGrades+'!$AB$5,"A",IF(F32&lt;'PlayerGrades+'!$AB$4,"A+",IF(F32&lt;'PlayerGrades+'!$AB$3,"S-",IF(F32&lt;'PlayerGrades+'!$AB$2,"S","S+"))))))))))))))))))))</f>
        <v>A</v>
      </c>
      <c r="H32" s="961">
        <f t="shared" si="3"/>
        <v>0.4603580563</v>
      </c>
      <c r="I32" s="961" t="str">
        <f>IF(H32&lt;'PlayerGrades+'!$AC$21,"F-",IF(H32&lt;'PlayerGrades+'!$AC$20,"F",IF(H32&lt;'PlayerGrades+'!$AC$19,"F+",IF(H32&lt;'PlayerGrades+'!$AC$18,"E-",IF(H32&lt;'PlayerGrades+'!$AC$17,"E",IF(H32&lt;'PlayerGrades+'!$AC$16,"E+",IF(H32&lt;'PlayerGrades+'!$AC$15,"D-",IF(H32&lt;'PlayerGrades+'!$AC$14,"D",IF(H32&lt;'PlayerGrades+'!$AC$13,"D+",IF(H32&lt;'PlayerGrades+'!$AC$12,"C-",IF(H32&lt;'PlayerGrades+'!$AC$11,"C",IF(H32&lt;'PlayerGrades+'!$AC$10,"C+",IF(H32&lt;'PlayerGrades+'!$AC$9,"B-",IF(H32&lt;'PlayerGrades+'!$AC$8,"B",IF(H32&lt;'PlayerGrades+'!$AC$7,"B+",IF(H32&lt;'PlayerGrades+'!$AC$6,"A-",IF(H32&lt;'PlayerGrades+'!$AC$5,"A",IF(H32&lt;'PlayerGrades+'!$AC$4,"A+",IF(H32&lt;'PlayerGrades+'!$AC$3,"S-",IF(H32&lt;'PlayerGrades+'!$AC$2,"S","S+"))))))))))))))))))))</f>
        <v>C-</v>
      </c>
      <c r="J32" s="961">
        <f t="shared" si="4"/>
        <v>0.07672634271</v>
      </c>
      <c r="K32" s="961" t="str">
        <f>IF(J32&lt;'PlayerGrades+'!$AD$21,"F-",IF(J32&lt;'PlayerGrades+'!$AD$20,"F",IF(J32&lt;'PlayerGrades+'!$AD$19,"F+",IF(J32&lt;'PlayerGrades+'!$AD$18,"E-",IF(J32&lt;'PlayerGrades+'!$AD$17,"E",IF(J32&lt;'PlayerGrades+'!$AD$16,"E+",IF(J32&lt;'PlayerGrades+'!$AD$15,"D-",IF(J32&lt;'PlayerGrades+'!$AD$14,"D",IF(J32&lt;'PlayerGrades+'!$AD$13,"D+",IF(J32&lt;'PlayerGrades+'!$AD$12,"C-",IF(J32&lt;'PlayerGrades+'!$AD$11,"C",IF(J32&lt;'PlayerGrades+'!$AD$10,"C+",IF(J32&lt;'PlayerGrades+'!$AD$9,"B-",IF(J32&lt;'PlayerGrades+'!$AD$8,"B",IF(J32&lt;'PlayerGrades+'!$AD$7,"B+",IF(J32&lt;'PlayerGrades+'!$AD$6,"A-",IF(J32&lt;'PlayerGrades+'!$AD$5,"A",IF(J32&lt;'PlayerGrades+'!$AD$4,"A+",IF(J32&lt;'PlayerGrades+'!$AD$3,"S-",IF(J32&lt;'PlayerGrades+'!$AD$2,"S","S+"))))))))))))))))))))</f>
        <v>A</v>
      </c>
      <c r="L32" s="992">
        <f t="shared" si="5"/>
        <v>0.3069053708</v>
      </c>
      <c r="M32" s="992" t="str">
        <f>IF(L32&lt;'PlayerGrades+'!$AE$21,"F-",IF(L32&lt;'PlayerGrades+'!$AE$20,"F",IF(L32&lt;'PlayerGrades+'!$AE$19,"F+",IF(L32&lt;'PlayerGrades+'!$AE$18,"E-",IF(L32&lt;'PlayerGrades+'!$AE$17,"E",IF(L32&lt;'PlayerGrades+'!$AE$16,"E+",IF(L32&lt;'PlayerGrades+'!$AE$15,"D-",IF(L32&lt;'PlayerGrades+'!$AE$14,"D",IF(L32&lt;'PlayerGrades+'!$AE$13,"D+",IF(L32&lt;'PlayerGrades+'!$AE$12,"C-",IF(L32&lt;'PlayerGrades+'!$AE$11,"C",IF(L32&lt;'PlayerGrades+'!$AE$10,"C+",IF(L32&lt;'PlayerGrades+'!$AE$9,"B-",IF(L32&lt;'PlayerGrades+'!$AE$8,"B",IF(L32&lt;'PlayerGrades+'!$AE$7,"B+",IF(L32&lt;'PlayerGrades+'!$AE$6,"A-",IF(L32&lt;'PlayerGrades+'!$AE$5,"A",IF(L32&lt;'PlayerGrades+'!$AE$4,"A+",IF(L32&lt;'PlayerGrades+'!$AE$3,"S-",IF(L32&lt;'PlayerGrades+'!$AE$2,"S","S+"))))))))))))))))))))</f>
        <v>F+</v>
      </c>
      <c r="N32" s="961">
        <f t="shared" si="6"/>
        <v>0.2301790281</v>
      </c>
      <c r="O32" s="961" t="str">
        <f>IF(N32&lt;'PlayerGrades+'!$AF$21,"F-",IF(N32&lt;'PlayerGrades+'!$AF$20,"F",IF(N32&lt;'PlayerGrades+'!$AF$19,"F+",IF(N32&lt;'PlayerGrades+'!$AF$18,"E-",IF(N32&lt;'PlayerGrades+'!$AF$17,"E",IF(N32&lt;'PlayerGrades+'!$AF$16,"E+",IF(N32&lt;'PlayerGrades+'!$AF$15,"D-",IF(N32&lt;'PlayerGrades+'!$AF$14,"D",IF(N32&lt;'PlayerGrades+'!$AF$13,"D+",IF(N32&lt;'PlayerGrades+'!$AF$12,"C-",IF(N32&lt;'PlayerGrades+'!$AF$11,"C",IF(N32&lt;'PlayerGrades+'!$AF$10,"C+",IF(N32&lt;'PlayerGrades+'!$AF$9,"B-",IF(N32&lt;'PlayerGrades+'!$AF$8,"B",IF(N32&lt;'PlayerGrades+'!$AF$7,"B+",IF(N32&lt;'PlayerGrades+'!$AF$6,"A-",IF(N32&lt;'PlayerGrades+'!$AF$5,"A",IF(N32&lt;'PlayerGrades+'!$AF$4,"A+",IF(N32&lt;'PlayerGrades+'!$AF$3,"S-",IF(N32&lt;'PlayerGrades+'!$AF$2,"S","S+"))))))))))))))))))))</f>
        <v>S-</v>
      </c>
      <c r="P32" s="961">
        <f t="shared" si="7"/>
        <v>0.6905370844</v>
      </c>
      <c r="Q32" s="961" t="str">
        <f>IF(P32&lt;'PlayerGrades+'!$AG$21,"F-",IF(P32&lt;'PlayerGrades+'!$AG$20,"F",IF(P32&lt;'PlayerGrades+'!$AG$19,"F+",IF(P32&lt;'PlayerGrades+'!$AG$18,"E-",IF(P32&lt;'PlayerGrades+'!$AG$17,"E",IF(P32&lt;'PlayerGrades+'!$AG$16,"E+",IF(P32&lt;'PlayerGrades+'!$AG$15,"D-",IF(P32&lt;'PlayerGrades+'!$AG$14,"D",IF(P32&lt;'PlayerGrades+'!$AG$13,"D+",IF(P32&lt;'PlayerGrades+'!$AG$12,"C-",IF(P32&lt;'PlayerGrades+'!$AG$11,"C",IF(P32&lt;'PlayerGrades+'!$AG$10,"C+",IF(P32&lt;'PlayerGrades+'!$AG$9,"B-",IF(P32&lt;'PlayerGrades+'!$AG$8,"B",IF(P32&lt;'PlayerGrades+'!$AG$7,"B+",IF(P32&lt;'PlayerGrades+'!$AG$6,"A-",IF(P32&lt;'PlayerGrades+'!$AG$5,"A",IF(P32&lt;'PlayerGrades+'!$AG$4,"A+",IF(P32&lt;'PlayerGrades+'!$AG$3,"S-",IF(P32&lt;'PlayerGrades+'!$AG$2,"S","S+"))))))))))))))))))))</f>
        <v>B</v>
      </c>
      <c r="R32" s="961">
        <f t="shared" si="8"/>
        <v>0</v>
      </c>
      <c r="S32" s="961" t="str">
        <f>IF(R32&lt;'PlayerGrades+'!$AH$21,"F-",IF(R32&lt;'PlayerGrades+'!$AH$20,"F",IF(R32&lt;'PlayerGrades+'!$AH$19,"F+",IF(R32&lt;'PlayerGrades+'!$AH$18,"E-",IF(R32&lt;'PlayerGrades+'!$AH$17,"E",IF(R32&lt;'PlayerGrades+'!$AH$16,"E+",IF(R32&lt;'PlayerGrades+'!$AH$15,"D-",IF(R32&lt;'PlayerGrades+'!$AH$14,"D",IF(R32&lt;'PlayerGrades+'!$AH$13,"D+",IF(R32&lt;'PlayerGrades+'!$AH$12,"C-",IF(R32&lt;'PlayerGrades+'!$AH$11,"C",IF(R32&lt;'PlayerGrades+'!$AH$10,"C+",IF(R32&lt;'PlayerGrades+'!$AH$9,"B-",IF(R32&lt;'PlayerGrades+'!$AH$8,"B",IF(R32&lt;'PlayerGrades+'!$AH$7,"B+",IF(R32&lt;'PlayerGrades+'!$AH$6,"A-",IF(R32&lt;'PlayerGrades+'!$AH$5,"A",IF(R32&lt;'PlayerGrades+'!$AH$4,"A+",IF(R32&lt;'PlayerGrades+'!$AH$3,"S-",IF(R32&lt;'PlayerGrades+'!$AH$2,"S","S+"))))))))))))))))))))</f>
        <v>F-</v>
      </c>
      <c r="T32" s="961">
        <f t="shared" si="9"/>
        <v>2.531969309</v>
      </c>
      <c r="U32" s="961" t="str">
        <f>IF(T32&lt;'PlayerGrades+'!$AI$21,"F-",IF(T32&lt;'PlayerGrades+'!$AI$20,"F",IF(T32&lt;'PlayerGrades+'!$AI$19,"F+",IF(T32&lt;'PlayerGrades+'!$AI$18,"E-",IF(T32&lt;'PlayerGrades+'!$AI$17,"E",IF(T32&lt;'PlayerGrades+'!$AI$16,"E+",IF(T32&lt;'PlayerGrades+'!$AI$15,"D-",IF(T32&lt;'PlayerGrades+'!$AI$14,"D",IF(T32&lt;'PlayerGrades+'!$AI$13,"D+",IF(T32&lt;'PlayerGrades+'!$AI$12,"C-",IF(T32&lt;'PlayerGrades+'!$AI$11,"C",IF(T32&lt;'PlayerGrades+'!$AI$10,"C+",IF(T32&lt;'PlayerGrades+'!$AI$9,"B-",IF(T32&lt;'PlayerGrades+'!$AI$8,"B",IF(T32&lt;'PlayerGrades+'!$AI$7,"B+",IF(T32&lt;'PlayerGrades+'!$AI$6,"A-",IF(T32&lt;'PlayerGrades+'!$AI$5,"A",IF(T32&lt;'PlayerGrades+'!$AI$4,"A+",IF(T32&lt;'PlayerGrades+'!$AI$3,"S-",IF(T32&lt;'PlayerGrades+'!$AI$2,"S","S+"))))))))))))))))))))</f>
        <v>D-</v>
      </c>
      <c r="V32" s="1017">
        <v>0.0</v>
      </c>
      <c r="W32" s="1017">
        <v>1.0</v>
      </c>
      <c r="X32" s="1017">
        <v>0.0</v>
      </c>
      <c r="Y32" s="1017">
        <v>0.0</v>
      </c>
      <c r="Z32" s="1017">
        <v>33.0</v>
      </c>
      <c r="AA32" s="1017">
        <v>60.0</v>
      </c>
      <c r="AB32" s="1017">
        <f t="shared" si="10"/>
        <v>-27</v>
      </c>
      <c r="AC32" s="1020">
        <f t="shared" si="11"/>
        <v>0.55</v>
      </c>
      <c r="AD32" s="1022">
        <v>0.0</v>
      </c>
      <c r="AE32" s="1023">
        <v>782.0</v>
      </c>
      <c r="AF32" s="1022">
        <v>1.0</v>
      </c>
      <c r="AG32" s="1022">
        <v>0.0</v>
      </c>
      <c r="AH32" s="1022">
        <v>0.0</v>
      </c>
      <c r="AI32" s="1022">
        <v>0.0</v>
      </c>
      <c r="AJ32" s="1022">
        <v>0.0</v>
      </c>
      <c r="AK32" s="1100">
        <v>4.0</v>
      </c>
      <c r="AL32" s="1100">
        <v>3.0</v>
      </c>
      <c r="AM32" s="1022">
        <v>2.0</v>
      </c>
      <c r="AN32" s="1022">
        <v>0.0</v>
      </c>
      <c r="AO32" s="1022">
        <v>0.0</v>
      </c>
      <c r="AP32" s="1022">
        <v>0.0</v>
      </c>
      <c r="AQ32" s="1022">
        <v>0.0</v>
      </c>
      <c r="AR32" s="1022">
        <v>0.0</v>
      </c>
      <c r="AS32" s="1022">
        <v>0.0</v>
      </c>
      <c r="AT32" s="1022">
        <v>0.0</v>
      </c>
      <c r="AU32" s="1100">
        <v>6.0</v>
      </c>
      <c r="AV32" s="1022">
        <v>0.0</v>
      </c>
      <c r="AW32" s="1022">
        <v>0.0</v>
      </c>
      <c r="AX32" s="1022">
        <v>0.0</v>
      </c>
      <c r="AY32" s="1100">
        <v>0.0</v>
      </c>
      <c r="AZ32" s="1027">
        <v>0.0</v>
      </c>
    </row>
    <row r="33">
      <c r="A33" s="1226" t="s">
        <v>42</v>
      </c>
      <c r="B33" s="1227" t="str">
        <f>IF(C33&lt;'PlayerGrades+'!$Y$44,"F-",IF(C33&lt;'PlayerGrades+'!$Y$43,"F",IF(C33&lt;'PlayerGrades+'!$Y$42,"F+",IF(C33&lt;'PlayerGrades+'!$Y$41,"E-",IF(C33&lt;'PlayerGrades+'!$Y$40,"E",IF(C33&lt;'PlayerGrades+'!$Y$39,"E+",IF(C33&lt;'PlayerGrades+'!$Y$38,"D-",IF(C33&lt;'PlayerGrades+'!$Y$37,"D",IF(C33&lt;'PlayerGrades+'!$Y$36,"D+",IF(C33&lt;'PlayerGrades+'!$Y$35,"C-",IF(C33&lt;'PlayerGrades+'!$Y$34,"C",IF(C33&lt;'PlayerGrades+'!$Y$33,"C+",IF(C33&lt;'PlayerGrades+'!$Y$32,"B-",IF(C33&lt;'PlayerGrades+'!$Y$31,"B",IF(C33&lt;'PlayerGrades+'!$Y$30,"B+",IF(C33&lt;'PlayerGrades+'!$Y$29,"A-",IF(C33&lt;'PlayerGrades+'!$Y$28,"A",IF(C33&lt;'PlayerGrades+'!$Y$27,"A+",IF(C33&lt;'PlayerGrades+'!$Y$26,"S-",IF(C33&lt;'PlayerGrades+'!$Y$25,"S","S+"))))))))))))))))))))</f>
        <v>D</v>
      </c>
      <c r="C33" s="1229">
        <f>('PlayerGrades+'!$Y$47*(VLOOKUP(E33, 'PlayerGrades+'!$X$3:$Y$23, 2, FALSE)))+('PlayerGrades+'!$Y$48*(VLOOKUP(G33, 'PlayerGrades+'!$X$3:$Y$23, 2, FALSE)))+('PlayerGrades+'!$Y$49*(VLOOKUP(I33, 'PlayerGrades+'!$X$3:$Y$23, 2, FALSE)))+('PlayerGrades+'!$Y$50*(VLOOKUP(K33, 'PlayerGrades+'!$X$3:$Y$23, 2, FALSE)))+('PlayerGrades+'!$Y$51*(VLOOKUP(M33, 'PlayerGrades+'!$X$3:$Y$23, 2, FALSE)))+('PlayerGrades+'!$Y$52*(VLOOKUP(O33, 'PlayerGrades+'!$X$3:$Y$23, 2, FALSE)))+('PlayerGrades+'!$Y$53*(VLOOKUP(Q33, 'PlayerGrades+'!$X$3:$Y$23, 2, FALSE)))+('PlayerGrades+'!$Y$54*(VLOOKUP(S33, 'PlayerGrades+'!$X$3:$Y$23, 2, FALSE)))+('PlayerGrades+'!$Y$55*(VLOOKUP(U33, 'PlayerGrades+'!$X$3:$Y$23, 2, FALSE)))</f>
        <v>12.925</v>
      </c>
      <c r="D33" s="1230">
        <f t="shared" si="1"/>
        <v>0.07672634271</v>
      </c>
      <c r="E33" s="1230" t="str">
        <f>IF(D33&lt;'PlayerGrades+'!$AA$21,"F-",IF(D33&lt;'PlayerGrades+'!$AA$20,"F",IF(D33&lt;'PlayerGrades+'!$AA$19,"F+",IF(D33&lt;'PlayerGrades+'!$AA$18,"E-",IF(D33&lt;'PlayerGrades+'!$AA$17,"E",IF(D33&lt;'PlayerGrades+'!$AA$16,"E+",IF(D33&lt;'PlayerGrades+'!$AA$15,"D-",IF(D33&lt;'PlayerGrades+'!$AA$14,"D",IF(D33&lt;'PlayerGrades+'!$AA$13,"D+",IF(D33&lt;'PlayerGrades+'!$AA$12,"C-",IF(D33&lt;'PlayerGrades+'!$AA$11,"C",IF(D33&lt;'PlayerGrades+'!$AA$10,"C+",IF(D33&lt;'PlayerGrades+'!$AA$9,"B-",IF(D33&lt;'PlayerGrades+'!$AA$8,"B",IF(D33&lt;'PlayerGrades+'!$AA$7,"B+",IF(D33&lt;'PlayerGrades+'!$AA$6,"A-",IF(D33&lt;'PlayerGrades+'!$AA$5,"A",IF(D33&lt;'PlayerGrades+'!$AA$4,"A+",IF(D33&lt;'PlayerGrades+'!$AA$3,"S-",IF(D33&lt;'PlayerGrades+'!$AA$2,"S","S+"))))))))))))))))))))</f>
        <v>A-</v>
      </c>
      <c r="F33" s="1230">
        <f t="shared" si="2"/>
        <v>0.0368286445</v>
      </c>
      <c r="G33" s="1230" t="str">
        <f>IF(F33&lt;'PlayerGrades+'!$AB$21,"F-",IF(F33&lt;'PlayerGrades+'!$AB$20,"F",IF(F33&lt;'PlayerGrades+'!$AB$19,"F+",IF(F33&lt;'PlayerGrades+'!$AB$18,"E-",IF(F33&lt;'PlayerGrades+'!$AB$17,"E",IF(F33&lt;'PlayerGrades+'!$AB$16,"E+",IF(F33&lt;'PlayerGrades+'!$AB$15,"D-",IF(F33&lt;'PlayerGrades+'!$AB$14,"D",IF(F33&lt;'PlayerGrades+'!$AB$13,"D+",IF(F33&lt;'PlayerGrades+'!$AB$12,"C-",IF(F33&lt;'PlayerGrades+'!$AB$11,"C",IF(F33&lt;'PlayerGrades+'!$AB$10,"C+",IF(F33&lt;'PlayerGrades+'!$AB$9,"B-",IF(F33&lt;'PlayerGrades+'!$AB$8,"B",IF(F33&lt;'PlayerGrades+'!$AB$7,"B+",IF(F33&lt;'PlayerGrades+'!$AB$6,"A-",IF(F33&lt;'PlayerGrades+'!$AB$5,"A",IF(F33&lt;'PlayerGrades+'!$AB$4,"A+",IF(F33&lt;'PlayerGrades+'!$AB$3,"S-",IF(F33&lt;'PlayerGrades+'!$AB$2,"S","S+"))))))))))))))))))))</f>
        <v>A</v>
      </c>
      <c r="H33" s="1230">
        <f t="shared" si="3"/>
        <v>0</v>
      </c>
      <c r="I33" s="1230" t="str">
        <f>IF(H33&lt;'PlayerGrades+'!$AC$21,"F-",IF(H33&lt;'PlayerGrades+'!$AC$20,"F",IF(H33&lt;'PlayerGrades+'!$AC$19,"F+",IF(H33&lt;'PlayerGrades+'!$AC$18,"E-",IF(H33&lt;'PlayerGrades+'!$AC$17,"E",IF(H33&lt;'PlayerGrades+'!$AC$16,"E+",IF(H33&lt;'PlayerGrades+'!$AC$15,"D-",IF(H33&lt;'PlayerGrades+'!$AC$14,"D",IF(H33&lt;'PlayerGrades+'!$AC$13,"D+",IF(H33&lt;'PlayerGrades+'!$AC$12,"C-",IF(H33&lt;'PlayerGrades+'!$AC$11,"C",IF(H33&lt;'PlayerGrades+'!$AC$10,"C+",IF(H33&lt;'PlayerGrades+'!$AC$9,"B-",IF(H33&lt;'PlayerGrades+'!$AC$8,"B",IF(H33&lt;'PlayerGrades+'!$AC$7,"B+",IF(H33&lt;'PlayerGrades+'!$AC$6,"A-",IF(H33&lt;'PlayerGrades+'!$AC$5,"A",IF(H33&lt;'PlayerGrades+'!$AC$4,"A+",IF(H33&lt;'PlayerGrades+'!$AC$3,"S-",IF(H33&lt;'PlayerGrades+'!$AC$2,"S","S+"))))))))))))))))))))</f>
        <v>F-</v>
      </c>
      <c r="J33" s="1230">
        <f t="shared" si="4"/>
        <v>0</v>
      </c>
      <c r="K33" s="1230" t="str">
        <f>IF(J33&lt;'PlayerGrades+'!$AD$21,"F-",IF(J33&lt;'PlayerGrades+'!$AD$20,"F",IF(J33&lt;'PlayerGrades+'!$AD$19,"F+",IF(J33&lt;'PlayerGrades+'!$AD$18,"E-",IF(J33&lt;'PlayerGrades+'!$AD$17,"E",IF(J33&lt;'PlayerGrades+'!$AD$16,"E+",IF(J33&lt;'PlayerGrades+'!$AD$15,"D-",IF(J33&lt;'PlayerGrades+'!$AD$14,"D",IF(J33&lt;'PlayerGrades+'!$AD$13,"D+",IF(J33&lt;'PlayerGrades+'!$AD$12,"C-",IF(J33&lt;'PlayerGrades+'!$AD$11,"C",IF(J33&lt;'PlayerGrades+'!$AD$10,"C+",IF(J33&lt;'PlayerGrades+'!$AD$9,"B-",IF(J33&lt;'PlayerGrades+'!$AD$8,"B",IF(J33&lt;'PlayerGrades+'!$AD$7,"B+",IF(J33&lt;'PlayerGrades+'!$AD$6,"A-",IF(J33&lt;'PlayerGrades+'!$AD$5,"A",IF(J33&lt;'PlayerGrades+'!$AD$4,"A+",IF(J33&lt;'PlayerGrades+'!$AD$3,"S-",IF(J33&lt;'PlayerGrades+'!$AD$2,"S","S+"))))))))))))))))))))</f>
        <v>F-</v>
      </c>
      <c r="L33" s="1231">
        <f t="shared" si="5"/>
        <v>0.3836317136</v>
      </c>
      <c r="M33" s="1231" t="str">
        <f>IF(L33&lt;'PlayerGrades+'!$AE$21,"F-",IF(L33&lt;'PlayerGrades+'!$AE$20,"F",IF(L33&lt;'PlayerGrades+'!$AE$19,"F+",IF(L33&lt;'PlayerGrades+'!$AE$18,"E-",IF(L33&lt;'PlayerGrades+'!$AE$17,"E",IF(L33&lt;'PlayerGrades+'!$AE$16,"E+",IF(L33&lt;'PlayerGrades+'!$AE$15,"D-",IF(L33&lt;'PlayerGrades+'!$AE$14,"D",IF(L33&lt;'PlayerGrades+'!$AE$13,"D+",IF(L33&lt;'PlayerGrades+'!$AE$12,"C-",IF(L33&lt;'PlayerGrades+'!$AE$11,"C",IF(L33&lt;'PlayerGrades+'!$AE$10,"C+",IF(L33&lt;'PlayerGrades+'!$AE$9,"B-",IF(L33&lt;'PlayerGrades+'!$AE$8,"B",IF(L33&lt;'PlayerGrades+'!$AE$7,"B+",IF(L33&lt;'PlayerGrades+'!$AE$6,"A-",IF(L33&lt;'PlayerGrades+'!$AE$5,"A",IF(L33&lt;'PlayerGrades+'!$AE$4,"A+",IF(L33&lt;'PlayerGrades+'!$AE$3,"S-",IF(L33&lt;'PlayerGrades+'!$AE$2,"S","S+"))))))))))))))))))))</f>
        <v>D</v>
      </c>
      <c r="N33" s="1230">
        <f t="shared" si="6"/>
        <v>0</v>
      </c>
      <c r="O33" s="1230" t="str">
        <f>IF(N33&lt;'PlayerGrades+'!$AF$21,"F-",IF(N33&lt;'PlayerGrades+'!$AF$20,"F",IF(N33&lt;'PlayerGrades+'!$AF$19,"F+",IF(N33&lt;'PlayerGrades+'!$AF$18,"E-",IF(N33&lt;'PlayerGrades+'!$AF$17,"E",IF(N33&lt;'PlayerGrades+'!$AF$16,"E+",IF(N33&lt;'PlayerGrades+'!$AF$15,"D-",IF(N33&lt;'PlayerGrades+'!$AF$14,"D",IF(N33&lt;'PlayerGrades+'!$AF$13,"D+",IF(N33&lt;'PlayerGrades+'!$AF$12,"C-",IF(N33&lt;'PlayerGrades+'!$AF$11,"C",IF(N33&lt;'PlayerGrades+'!$AF$10,"C+",IF(N33&lt;'PlayerGrades+'!$AF$9,"B-",IF(N33&lt;'PlayerGrades+'!$AF$8,"B",IF(N33&lt;'PlayerGrades+'!$AF$7,"B+",IF(N33&lt;'PlayerGrades+'!$AF$6,"A-",IF(N33&lt;'PlayerGrades+'!$AF$5,"A",IF(N33&lt;'PlayerGrades+'!$AF$4,"A+",IF(N33&lt;'PlayerGrades+'!$AF$3,"S-",IF(N33&lt;'PlayerGrades+'!$AF$2,"S","S+"))))))))))))))))))))</f>
        <v>F-</v>
      </c>
      <c r="P33" s="1230">
        <f t="shared" si="7"/>
        <v>0.4603580563</v>
      </c>
      <c r="Q33" s="1230" t="str">
        <f>IF(P33&lt;'PlayerGrades+'!$AG$21,"F-",IF(P33&lt;'PlayerGrades+'!$AG$20,"F",IF(P33&lt;'PlayerGrades+'!$AG$19,"F+",IF(P33&lt;'PlayerGrades+'!$AG$18,"E-",IF(P33&lt;'PlayerGrades+'!$AG$17,"E",IF(P33&lt;'PlayerGrades+'!$AG$16,"E+",IF(P33&lt;'PlayerGrades+'!$AG$15,"D-",IF(P33&lt;'PlayerGrades+'!$AG$14,"D",IF(P33&lt;'PlayerGrades+'!$AG$13,"D+",IF(P33&lt;'PlayerGrades+'!$AG$12,"C-",IF(P33&lt;'PlayerGrades+'!$AG$11,"C",IF(P33&lt;'PlayerGrades+'!$AG$10,"C+",IF(P33&lt;'PlayerGrades+'!$AG$9,"B-",IF(P33&lt;'PlayerGrades+'!$AG$8,"B",IF(P33&lt;'PlayerGrades+'!$AG$7,"B+",IF(P33&lt;'PlayerGrades+'!$AG$6,"A-",IF(P33&lt;'PlayerGrades+'!$AG$5,"A",IF(P33&lt;'PlayerGrades+'!$AG$4,"A+",IF(P33&lt;'PlayerGrades+'!$AG$3,"S-",IF(P33&lt;'PlayerGrades+'!$AG$2,"S","S+"))))))))))))))))))))</f>
        <v>E</v>
      </c>
      <c r="R33" s="1230">
        <f t="shared" si="8"/>
        <v>0.1534526854</v>
      </c>
      <c r="S33" s="1230" t="str">
        <f>IF(R33&lt;'PlayerGrades+'!$AH$21,"F-",IF(R33&lt;'PlayerGrades+'!$AH$20,"F",IF(R33&lt;'PlayerGrades+'!$AH$19,"F+",IF(R33&lt;'PlayerGrades+'!$AH$18,"E-",IF(R33&lt;'PlayerGrades+'!$AH$17,"E",IF(R33&lt;'PlayerGrades+'!$AH$16,"E+",IF(R33&lt;'PlayerGrades+'!$AH$15,"D-",IF(R33&lt;'PlayerGrades+'!$AH$14,"D",IF(R33&lt;'PlayerGrades+'!$AH$13,"D+",IF(R33&lt;'PlayerGrades+'!$AH$12,"C-",IF(R33&lt;'PlayerGrades+'!$AH$11,"C",IF(R33&lt;'PlayerGrades+'!$AH$10,"C+",IF(R33&lt;'PlayerGrades+'!$AH$9,"B-",IF(R33&lt;'PlayerGrades+'!$AH$8,"B",IF(R33&lt;'PlayerGrades+'!$AH$7,"B+",IF(R33&lt;'PlayerGrades+'!$AH$6,"A-",IF(R33&lt;'PlayerGrades+'!$AH$5,"A",IF(R33&lt;'PlayerGrades+'!$AH$4,"A+",IF(R33&lt;'PlayerGrades+'!$AH$3,"S-",IF(R33&lt;'PlayerGrades+'!$AH$2,"S","S+"))))))))))))))))))))</f>
        <v>S+</v>
      </c>
      <c r="T33" s="1230">
        <f t="shared" si="9"/>
        <v>1.841432225</v>
      </c>
      <c r="U33" s="1230" t="str">
        <f>IF(T33&lt;'PlayerGrades+'!$AI$21,"F-",IF(T33&lt;'PlayerGrades+'!$AI$20,"F",IF(T33&lt;'PlayerGrades+'!$AI$19,"F+",IF(T33&lt;'PlayerGrades+'!$AI$18,"E-",IF(T33&lt;'PlayerGrades+'!$AI$17,"E",IF(T33&lt;'PlayerGrades+'!$AI$16,"E+",IF(T33&lt;'PlayerGrades+'!$AI$15,"D-",IF(T33&lt;'PlayerGrades+'!$AI$14,"D",IF(T33&lt;'PlayerGrades+'!$AI$13,"D+",IF(T33&lt;'PlayerGrades+'!$AI$12,"C-",IF(T33&lt;'PlayerGrades+'!$AI$11,"C",IF(T33&lt;'PlayerGrades+'!$AI$10,"C+",IF(T33&lt;'PlayerGrades+'!$AI$9,"B-",IF(T33&lt;'PlayerGrades+'!$AI$8,"B",IF(T33&lt;'PlayerGrades+'!$AI$7,"B+",IF(T33&lt;'PlayerGrades+'!$AI$6,"A-",IF(T33&lt;'PlayerGrades+'!$AI$5,"A",IF(T33&lt;'PlayerGrades+'!$AI$4,"A+",IF(T33&lt;'PlayerGrades+'!$AI$3,"S-",IF(T33&lt;'PlayerGrades+'!$AI$2,"S","S+"))))))))))))))))))))</f>
        <v>F-</v>
      </c>
      <c r="V33" s="1232">
        <v>0.0</v>
      </c>
      <c r="W33" s="1232">
        <v>1.0</v>
      </c>
      <c r="X33" s="1232">
        <v>1.0</v>
      </c>
      <c r="Y33" s="1232">
        <v>2.0</v>
      </c>
      <c r="Z33" s="1232">
        <v>24.0</v>
      </c>
      <c r="AA33" s="1232">
        <v>50.0</v>
      </c>
      <c r="AB33" s="1232">
        <f t="shared" si="10"/>
        <v>-26</v>
      </c>
      <c r="AC33" s="1234">
        <f t="shared" si="11"/>
        <v>0.48</v>
      </c>
      <c r="AD33" s="1235">
        <v>0.0</v>
      </c>
      <c r="AE33" s="1236">
        <v>782.0</v>
      </c>
      <c r="AF33" s="1227">
        <v>0.0</v>
      </c>
      <c r="AG33" s="1235">
        <v>0.0</v>
      </c>
      <c r="AH33" s="1235">
        <v>0.0</v>
      </c>
      <c r="AI33" s="1235">
        <v>0.0</v>
      </c>
      <c r="AJ33" s="1235">
        <v>1.0</v>
      </c>
      <c r="AK33" s="1227">
        <v>5.0</v>
      </c>
      <c r="AL33" s="1227">
        <v>0.0</v>
      </c>
      <c r="AM33" s="1227">
        <v>0.0</v>
      </c>
      <c r="AN33" s="1227">
        <v>0.0</v>
      </c>
      <c r="AO33" s="1227">
        <v>0.0</v>
      </c>
      <c r="AP33" s="1227">
        <v>0.0</v>
      </c>
      <c r="AQ33" s="1227">
        <v>0.0</v>
      </c>
      <c r="AR33" s="1227">
        <v>0.0</v>
      </c>
      <c r="AS33" s="1227">
        <v>0.0</v>
      </c>
      <c r="AT33" s="1227">
        <v>0.0</v>
      </c>
      <c r="AU33" s="1227">
        <v>0.0</v>
      </c>
      <c r="AV33" s="1235">
        <v>0.0</v>
      </c>
      <c r="AW33" s="1235">
        <v>0.0</v>
      </c>
      <c r="AX33" s="1235">
        <v>0.0</v>
      </c>
      <c r="AY33" s="1227">
        <v>2.0</v>
      </c>
      <c r="AZ33" s="1237">
        <v>0.0</v>
      </c>
    </row>
    <row r="34">
      <c r="A34" s="1262" t="s">
        <v>197</v>
      </c>
      <c r="B34" s="1169" t="str">
        <f>IF(C34&lt;'PlayerGrades+'!$Y$44,"F-",IF(C34&lt;'PlayerGrades+'!$Y$43,"F",IF(C34&lt;'PlayerGrades+'!$Y$42,"F+",IF(C34&lt;'PlayerGrades+'!$Y$41,"E-",IF(C34&lt;'PlayerGrades+'!$Y$40,"E",IF(C34&lt;'PlayerGrades+'!$Y$39,"E+",IF(C34&lt;'PlayerGrades+'!$Y$38,"D-",IF(C34&lt;'PlayerGrades+'!$Y$37,"D",IF(C34&lt;'PlayerGrades+'!$Y$36,"D+",IF(C34&lt;'PlayerGrades+'!$Y$35,"C-",IF(C34&lt;'PlayerGrades+'!$Y$34,"C",IF(C34&lt;'PlayerGrades+'!$Y$33,"C+",IF(C34&lt;'PlayerGrades+'!$Y$32,"B-",IF(C34&lt;'PlayerGrades+'!$Y$31,"B",IF(C34&lt;'PlayerGrades+'!$Y$30,"B+",IF(C34&lt;'PlayerGrades+'!$Y$29,"A-",IF(C34&lt;'PlayerGrades+'!$Y$28,"A",IF(C34&lt;'PlayerGrades+'!$Y$27,"A+",IF(C34&lt;'PlayerGrades+'!$Y$26,"S-",IF(C34&lt;'PlayerGrades+'!$Y$25,"S","S+"))))))))))))))))))))</f>
        <v>B+</v>
      </c>
      <c r="C34" s="1170">
        <f>('PlayerGrades+'!$Y$47*(VLOOKUP(E34, 'PlayerGrades+'!$X$3:$Y$23, 2, FALSE)))+('PlayerGrades+'!$Y$48*(VLOOKUP(G34, 'PlayerGrades+'!$X$3:$Y$23, 2, FALSE)))+('PlayerGrades+'!$Y$49*(VLOOKUP(I34, 'PlayerGrades+'!$X$3:$Y$23, 2, FALSE)))+('PlayerGrades+'!$Y$50*(VLOOKUP(K34, 'PlayerGrades+'!$X$3:$Y$23, 2, FALSE)))+('PlayerGrades+'!$Y$51*(VLOOKUP(M34, 'PlayerGrades+'!$X$3:$Y$23, 2, FALSE)))+('PlayerGrades+'!$Y$52*(VLOOKUP(O34, 'PlayerGrades+'!$X$3:$Y$23, 2, FALSE)))+('PlayerGrades+'!$Y$53*(VLOOKUP(Q34, 'PlayerGrades+'!$X$3:$Y$23, 2, FALSE)))+('PlayerGrades+'!$Y$54*(VLOOKUP(S34, 'PlayerGrades+'!$X$3:$Y$23, 2, FALSE)))+('PlayerGrades+'!$Y$55*(VLOOKUP(U34, 'PlayerGrades+'!$X$3:$Y$23, 2, FALSE)))</f>
        <v>20.125</v>
      </c>
      <c r="D34" s="890">
        <f t="shared" si="1"/>
        <v>0</v>
      </c>
      <c r="E34" s="890" t="str">
        <f>IF(D34&lt;'PlayerGrades+'!$AA$21,"F-",IF(D34&lt;'PlayerGrades+'!$AA$20,"F",IF(D34&lt;'PlayerGrades+'!$AA$19,"F+",IF(D34&lt;'PlayerGrades+'!$AA$18,"E-",IF(D34&lt;'PlayerGrades+'!$AA$17,"E",IF(D34&lt;'PlayerGrades+'!$AA$16,"E+",IF(D34&lt;'PlayerGrades+'!$AA$15,"D-",IF(D34&lt;'PlayerGrades+'!$AA$14,"D",IF(D34&lt;'PlayerGrades+'!$AA$13,"D+",IF(D34&lt;'PlayerGrades+'!$AA$12,"C-",IF(D34&lt;'PlayerGrades+'!$AA$11,"C",IF(D34&lt;'PlayerGrades+'!$AA$10,"C+",IF(D34&lt;'PlayerGrades+'!$AA$9,"B-",IF(D34&lt;'PlayerGrades+'!$AA$8,"B",IF(D34&lt;'PlayerGrades+'!$AA$7,"B+",IF(D34&lt;'PlayerGrades+'!$AA$6,"A-",IF(D34&lt;'PlayerGrades+'!$AA$5,"A",IF(D34&lt;'PlayerGrades+'!$AA$4,"A+",IF(D34&lt;'PlayerGrades+'!$AA$3,"S-",IF(D34&lt;'PlayerGrades+'!$AA$2,"S","S+"))))))))))))))))))))</f>
        <v>F-</v>
      </c>
      <c r="F34" s="890">
        <f t="shared" si="2"/>
        <v>0.1550868486</v>
      </c>
      <c r="G34" s="890" t="str">
        <f>IF(F34&lt;'PlayerGrades+'!$AB$21,"F-",IF(F34&lt;'PlayerGrades+'!$AB$20,"F",IF(F34&lt;'PlayerGrades+'!$AB$19,"F+",IF(F34&lt;'PlayerGrades+'!$AB$18,"E-",IF(F34&lt;'PlayerGrades+'!$AB$17,"E",IF(F34&lt;'PlayerGrades+'!$AB$16,"E+",IF(F34&lt;'PlayerGrades+'!$AB$15,"D-",IF(F34&lt;'PlayerGrades+'!$AB$14,"D",IF(F34&lt;'PlayerGrades+'!$AB$13,"D+",IF(F34&lt;'PlayerGrades+'!$AB$12,"C-",IF(F34&lt;'PlayerGrades+'!$AB$11,"C",IF(F34&lt;'PlayerGrades+'!$AB$10,"C+",IF(F34&lt;'PlayerGrades+'!$AB$9,"B-",IF(F34&lt;'PlayerGrades+'!$AB$8,"B",IF(F34&lt;'PlayerGrades+'!$AB$7,"B+",IF(F34&lt;'PlayerGrades+'!$AB$6,"A-",IF(F34&lt;'PlayerGrades+'!$AB$5,"A",IF(F34&lt;'PlayerGrades+'!$AB$4,"A+",IF(F34&lt;'PlayerGrades+'!$AB$3,"S-",IF(F34&lt;'PlayerGrades+'!$AB$2,"S","S+"))))))))))))))))))))</f>
        <v>A+</v>
      </c>
      <c r="H34" s="890">
        <f t="shared" si="3"/>
        <v>0.4466501241</v>
      </c>
      <c r="I34" s="890" t="str">
        <f>IF(H34&lt;'PlayerGrades+'!$AC$21,"F-",IF(H34&lt;'PlayerGrades+'!$AC$20,"F",IF(H34&lt;'PlayerGrades+'!$AC$19,"F+",IF(H34&lt;'PlayerGrades+'!$AC$18,"E-",IF(H34&lt;'PlayerGrades+'!$AC$17,"E",IF(H34&lt;'PlayerGrades+'!$AC$16,"E+",IF(H34&lt;'PlayerGrades+'!$AC$15,"D-",IF(H34&lt;'PlayerGrades+'!$AC$14,"D",IF(H34&lt;'PlayerGrades+'!$AC$13,"D+",IF(H34&lt;'PlayerGrades+'!$AC$12,"C-",IF(H34&lt;'PlayerGrades+'!$AC$11,"C",IF(H34&lt;'PlayerGrades+'!$AC$10,"C+",IF(H34&lt;'PlayerGrades+'!$AC$9,"B-",IF(H34&lt;'PlayerGrades+'!$AC$8,"B",IF(H34&lt;'PlayerGrades+'!$AC$7,"B+",IF(H34&lt;'PlayerGrades+'!$AC$6,"A-",IF(H34&lt;'PlayerGrades+'!$AC$5,"A",IF(H34&lt;'PlayerGrades+'!$AC$4,"A+",IF(H34&lt;'PlayerGrades+'!$AC$3,"S-",IF(H34&lt;'PlayerGrades+'!$AC$2,"S","S+"))))))))))))))))))))</f>
        <v>C-</v>
      </c>
      <c r="J34" s="890">
        <f t="shared" si="4"/>
        <v>0.1488833747</v>
      </c>
      <c r="K34" s="890" t="str">
        <f>IF(J34&lt;'PlayerGrades+'!$AD$21,"F-",IF(J34&lt;'PlayerGrades+'!$AD$20,"F",IF(J34&lt;'PlayerGrades+'!$AD$19,"F+",IF(J34&lt;'PlayerGrades+'!$AD$18,"E-",IF(J34&lt;'PlayerGrades+'!$AD$17,"E",IF(J34&lt;'PlayerGrades+'!$AD$16,"E+",IF(J34&lt;'PlayerGrades+'!$AD$15,"D-",IF(J34&lt;'PlayerGrades+'!$AD$14,"D",IF(J34&lt;'PlayerGrades+'!$AD$13,"D+",IF(J34&lt;'PlayerGrades+'!$AD$12,"C-",IF(J34&lt;'PlayerGrades+'!$AD$11,"C",IF(J34&lt;'PlayerGrades+'!$AD$10,"C+",IF(J34&lt;'PlayerGrades+'!$AD$9,"B-",IF(J34&lt;'PlayerGrades+'!$AD$8,"B",IF(J34&lt;'PlayerGrades+'!$AD$7,"B+",IF(J34&lt;'PlayerGrades+'!$AD$6,"A-",IF(J34&lt;'PlayerGrades+'!$AD$5,"A",IF(J34&lt;'PlayerGrades+'!$AD$4,"A+",IF(J34&lt;'PlayerGrades+'!$AD$3,"S-",IF(J34&lt;'PlayerGrades+'!$AD$2,"S","S+"))))))))))))))))))))</f>
        <v>S</v>
      </c>
      <c r="L34" s="899">
        <f t="shared" si="5"/>
        <v>0.8933002481</v>
      </c>
      <c r="M34" s="899" t="str">
        <f>IF(L34&lt;'PlayerGrades+'!$AE$21,"F-",IF(L34&lt;'PlayerGrades+'!$AE$20,"F",IF(L34&lt;'PlayerGrades+'!$AE$19,"F+",IF(L34&lt;'PlayerGrades+'!$AE$18,"E-",IF(L34&lt;'PlayerGrades+'!$AE$17,"E",IF(L34&lt;'PlayerGrades+'!$AE$16,"E+",IF(L34&lt;'PlayerGrades+'!$AE$15,"D-",IF(L34&lt;'PlayerGrades+'!$AE$14,"D",IF(L34&lt;'PlayerGrades+'!$AE$13,"D+",IF(L34&lt;'PlayerGrades+'!$AE$12,"C-",IF(L34&lt;'PlayerGrades+'!$AE$11,"C",IF(L34&lt;'PlayerGrades+'!$AE$10,"C+",IF(L34&lt;'PlayerGrades+'!$AE$9,"B-",IF(L34&lt;'PlayerGrades+'!$AE$8,"B",IF(L34&lt;'PlayerGrades+'!$AE$7,"B+",IF(L34&lt;'PlayerGrades+'!$AE$6,"A-",IF(L34&lt;'PlayerGrades+'!$AE$5,"A",IF(L34&lt;'PlayerGrades+'!$AE$4,"A+",IF(L34&lt;'PlayerGrades+'!$AE$3,"S-",IF(L34&lt;'PlayerGrades+'!$AE$2,"S","S+"))))))))))))))))))))</f>
        <v>S</v>
      </c>
      <c r="N34" s="890">
        <f t="shared" si="6"/>
        <v>0.4466501241</v>
      </c>
      <c r="O34" s="890" t="str">
        <f>IF(N34&lt;'PlayerGrades+'!$AF$21,"F-",IF(N34&lt;'PlayerGrades+'!$AF$20,"F",IF(N34&lt;'PlayerGrades+'!$AF$19,"F+",IF(N34&lt;'PlayerGrades+'!$AF$18,"E-",IF(N34&lt;'PlayerGrades+'!$AF$17,"E",IF(N34&lt;'PlayerGrades+'!$AF$16,"E+",IF(N34&lt;'PlayerGrades+'!$AF$15,"D-",IF(N34&lt;'PlayerGrades+'!$AF$14,"D",IF(N34&lt;'PlayerGrades+'!$AF$13,"D+",IF(N34&lt;'PlayerGrades+'!$AF$12,"C-",IF(N34&lt;'PlayerGrades+'!$AF$11,"C",IF(N34&lt;'PlayerGrades+'!$AF$10,"C+",IF(N34&lt;'PlayerGrades+'!$AF$9,"B-",IF(N34&lt;'PlayerGrades+'!$AF$8,"B",IF(N34&lt;'PlayerGrades+'!$AF$7,"B+",IF(N34&lt;'PlayerGrades+'!$AF$6,"A-",IF(N34&lt;'PlayerGrades+'!$AF$5,"A",IF(N34&lt;'PlayerGrades+'!$AF$4,"A+",IF(N34&lt;'PlayerGrades+'!$AF$3,"S-",IF(N34&lt;'PlayerGrades+'!$AF$2,"S","S+"))))))))))))))))))))</f>
        <v>S+</v>
      </c>
      <c r="P34" s="890">
        <f t="shared" si="7"/>
        <v>1.488833747</v>
      </c>
      <c r="Q34" s="890" t="str">
        <f>IF(P34&lt;'PlayerGrades+'!$AG$21,"F-",IF(P34&lt;'PlayerGrades+'!$AG$20,"F",IF(P34&lt;'PlayerGrades+'!$AG$19,"F+",IF(P34&lt;'PlayerGrades+'!$AG$18,"E-",IF(P34&lt;'PlayerGrades+'!$AG$17,"E",IF(P34&lt;'PlayerGrades+'!$AG$16,"E+",IF(P34&lt;'PlayerGrades+'!$AG$15,"D-",IF(P34&lt;'PlayerGrades+'!$AG$14,"D",IF(P34&lt;'PlayerGrades+'!$AG$13,"D+",IF(P34&lt;'PlayerGrades+'!$AG$12,"C-",IF(P34&lt;'PlayerGrades+'!$AG$11,"C",IF(P34&lt;'PlayerGrades+'!$AG$10,"C+",IF(P34&lt;'PlayerGrades+'!$AG$9,"B-",IF(P34&lt;'PlayerGrades+'!$AG$8,"B",IF(P34&lt;'PlayerGrades+'!$AG$7,"B+",IF(P34&lt;'PlayerGrades+'!$AG$6,"A-",IF(P34&lt;'PlayerGrades+'!$AG$5,"A",IF(P34&lt;'PlayerGrades+'!$AG$4,"A+",IF(P34&lt;'PlayerGrades+'!$AG$3,"S-",IF(P34&lt;'PlayerGrades+'!$AG$2,"S","S+"))))))))))))))))))))</f>
        <v>S</v>
      </c>
      <c r="R34" s="890">
        <f t="shared" si="8"/>
        <v>0</v>
      </c>
      <c r="S34" s="890" t="str">
        <f>IF(R34&lt;'PlayerGrades+'!$AH$21,"F-",IF(R34&lt;'PlayerGrades+'!$AH$20,"F",IF(R34&lt;'PlayerGrades+'!$AH$19,"F+",IF(R34&lt;'PlayerGrades+'!$AH$18,"E-",IF(R34&lt;'PlayerGrades+'!$AH$17,"E",IF(R34&lt;'PlayerGrades+'!$AH$16,"E+",IF(R34&lt;'PlayerGrades+'!$AH$15,"D-",IF(R34&lt;'PlayerGrades+'!$AH$14,"D",IF(R34&lt;'PlayerGrades+'!$AH$13,"D+",IF(R34&lt;'PlayerGrades+'!$AH$12,"C-",IF(R34&lt;'PlayerGrades+'!$AH$11,"C",IF(R34&lt;'PlayerGrades+'!$AH$10,"C+",IF(R34&lt;'PlayerGrades+'!$AH$9,"B-",IF(R34&lt;'PlayerGrades+'!$AH$8,"B",IF(R34&lt;'PlayerGrades+'!$AH$7,"B+",IF(R34&lt;'PlayerGrades+'!$AH$6,"A-",IF(R34&lt;'PlayerGrades+'!$AH$5,"A",IF(R34&lt;'PlayerGrades+'!$AH$4,"A+",IF(R34&lt;'PlayerGrades+'!$AH$3,"S-",IF(R34&lt;'PlayerGrades+'!$AH$2,"S","S+"))))))))))))))))))))</f>
        <v>F-</v>
      </c>
      <c r="T34" s="890">
        <f t="shared" si="9"/>
        <v>3.722084367</v>
      </c>
      <c r="U34" s="890" t="str">
        <f>IF(T34&lt;'PlayerGrades+'!$AI$21,"F-",IF(T34&lt;'PlayerGrades+'!$AI$20,"F",IF(T34&lt;'PlayerGrades+'!$AI$19,"F+",IF(T34&lt;'PlayerGrades+'!$AI$18,"E-",IF(T34&lt;'PlayerGrades+'!$AI$17,"E",IF(T34&lt;'PlayerGrades+'!$AI$16,"E+",IF(T34&lt;'PlayerGrades+'!$AI$15,"D-",IF(T34&lt;'PlayerGrades+'!$AI$14,"D",IF(T34&lt;'PlayerGrades+'!$AI$13,"D+",IF(T34&lt;'PlayerGrades+'!$AI$12,"C-",IF(T34&lt;'PlayerGrades+'!$AI$11,"C",IF(T34&lt;'PlayerGrades+'!$AI$10,"C+",IF(T34&lt;'PlayerGrades+'!$AI$9,"B-",IF(T34&lt;'PlayerGrades+'!$AI$8,"B",IF(T34&lt;'PlayerGrades+'!$AI$7,"B+",IF(T34&lt;'PlayerGrades+'!$AI$6,"A-",IF(T34&lt;'PlayerGrades+'!$AI$5,"A",IF(T34&lt;'PlayerGrades+'!$AI$4,"A+",IF(T34&lt;'PlayerGrades+'!$AI$3,"S-",IF(T34&lt;'PlayerGrades+'!$AI$2,"S","S+"))))))))))))))))))))</f>
        <v>S-</v>
      </c>
      <c r="V34" s="925">
        <v>1.0</v>
      </c>
      <c r="W34" s="925">
        <v>0.0</v>
      </c>
      <c r="X34" s="925">
        <v>0.0</v>
      </c>
      <c r="Y34" s="925">
        <v>0.0</v>
      </c>
      <c r="Z34" s="1272">
        <v>25.0</v>
      </c>
      <c r="AA34" s="1272">
        <v>24.0</v>
      </c>
      <c r="AB34" s="925">
        <f t="shared" si="10"/>
        <v>1</v>
      </c>
      <c r="AC34" s="930">
        <f t="shared" si="11"/>
        <v>1.041666667</v>
      </c>
      <c r="AD34" s="931">
        <v>0.0</v>
      </c>
      <c r="AE34" s="1273">
        <v>403.0</v>
      </c>
      <c r="AF34" s="1274">
        <v>1.0</v>
      </c>
      <c r="AG34" s="1274">
        <v>0.0</v>
      </c>
      <c r="AH34" s="1275">
        <v>0.0</v>
      </c>
      <c r="AI34" s="1275">
        <v>0.0</v>
      </c>
      <c r="AJ34" s="1272">
        <v>1.0</v>
      </c>
      <c r="AK34" s="1272">
        <v>6.0</v>
      </c>
      <c r="AL34" s="1272">
        <v>3.0</v>
      </c>
      <c r="AM34" s="1272">
        <v>0.0</v>
      </c>
      <c r="AN34" s="1272">
        <v>0.0</v>
      </c>
      <c r="AO34" s="1272">
        <v>0.0</v>
      </c>
      <c r="AP34" s="1272">
        <v>0.0</v>
      </c>
      <c r="AQ34" s="1272">
        <v>0.0</v>
      </c>
      <c r="AR34" s="1272">
        <v>0.0</v>
      </c>
      <c r="AS34" s="1272">
        <v>0.0</v>
      </c>
      <c r="AT34" s="1272">
        <v>0.0</v>
      </c>
      <c r="AU34" s="1272">
        <v>3.0</v>
      </c>
      <c r="AV34" s="1272">
        <v>0.0</v>
      </c>
      <c r="AW34" s="1272">
        <v>0.0</v>
      </c>
      <c r="AX34" s="1272">
        <v>0.0</v>
      </c>
      <c r="AY34" s="1272">
        <v>0.0</v>
      </c>
      <c r="AZ34" s="1276">
        <v>0.0</v>
      </c>
    </row>
    <row r="35">
      <c r="A35" s="1277" t="s">
        <v>149</v>
      </c>
      <c r="B35" s="1100" t="str">
        <f>IF(C35&lt;'PlayerGrades+'!$Y$44,"F-",IF(C35&lt;'PlayerGrades+'!$Y$43,"F",IF(C35&lt;'PlayerGrades+'!$Y$42,"F+",IF(C35&lt;'PlayerGrades+'!$Y$41,"E-",IF(C35&lt;'PlayerGrades+'!$Y$40,"E",IF(C35&lt;'PlayerGrades+'!$Y$39,"E+",IF(C35&lt;'PlayerGrades+'!$Y$38,"D-",IF(C35&lt;'PlayerGrades+'!$Y$37,"D",IF(C35&lt;'PlayerGrades+'!$Y$36,"D+",IF(C35&lt;'PlayerGrades+'!$Y$35,"C-",IF(C35&lt;'PlayerGrades+'!$Y$34,"C",IF(C35&lt;'PlayerGrades+'!$Y$33,"C+",IF(C35&lt;'PlayerGrades+'!$Y$32,"B-",IF(C35&lt;'PlayerGrades+'!$Y$31,"B",IF(C35&lt;'PlayerGrades+'!$Y$30,"B+",IF(C35&lt;'PlayerGrades+'!$Y$29,"A-",IF(C35&lt;'PlayerGrades+'!$Y$28,"A",IF(C35&lt;'PlayerGrades+'!$Y$27,"A+",IF(C35&lt;'PlayerGrades+'!$Y$26,"S-",IF(C35&lt;'PlayerGrades+'!$Y$25,"S","S+"))))))))))))))))))))</f>
        <v>B</v>
      </c>
      <c r="C35" s="1105">
        <f>('PlayerGrades+'!$Y$47*(VLOOKUP(E35, 'PlayerGrades+'!$X$3:$Y$23, 2, FALSE)))+('PlayerGrades+'!$Y$48*(VLOOKUP(G35, 'PlayerGrades+'!$X$3:$Y$23, 2, FALSE)))+('PlayerGrades+'!$Y$49*(VLOOKUP(I35, 'PlayerGrades+'!$X$3:$Y$23, 2, FALSE)))+('PlayerGrades+'!$Y$50*(VLOOKUP(K35, 'PlayerGrades+'!$X$3:$Y$23, 2, FALSE)))+('PlayerGrades+'!$Y$51*(VLOOKUP(M35, 'PlayerGrades+'!$X$3:$Y$23, 2, FALSE)))+('PlayerGrades+'!$Y$52*(VLOOKUP(O35, 'PlayerGrades+'!$X$3:$Y$23, 2, FALSE)))+('PlayerGrades+'!$Y$53*(VLOOKUP(Q35, 'PlayerGrades+'!$X$3:$Y$23, 2, FALSE)))+('PlayerGrades+'!$Y$54*(VLOOKUP(S35, 'PlayerGrades+'!$X$3:$Y$23, 2, FALSE)))+('PlayerGrades+'!$Y$55*(VLOOKUP(U35, 'PlayerGrades+'!$X$3:$Y$23, 2, FALSE)))</f>
        <v>18.85</v>
      </c>
      <c r="D35" s="961">
        <f t="shared" si="1"/>
        <v>0</v>
      </c>
      <c r="E35" s="961" t="str">
        <f>IF(D35&lt;'PlayerGrades+'!$AA$21,"F-",IF(D35&lt;'PlayerGrades+'!$AA$20,"F",IF(D35&lt;'PlayerGrades+'!$AA$19,"F+",IF(D35&lt;'PlayerGrades+'!$AA$18,"E-",IF(D35&lt;'PlayerGrades+'!$AA$17,"E",IF(D35&lt;'PlayerGrades+'!$AA$16,"E+",IF(D35&lt;'PlayerGrades+'!$AA$15,"D-",IF(D35&lt;'PlayerGrades+'!$AA$14,"D",IF(D35&lt;'PlayerGrades+'!$AA$13,"D+",IF(D35&lt;'PlayerGrades+'!$AA$12,"C-",IF(D35&lt;'PlayerGrades+'!$AA$11,"C",IF(D35&lt;'PlayerGrades+'!$AA$10,"C+",IF(D35&lt;'PlayerGrades+'!$AA$9,"B-",IF(D35&lt;'PlayerGrades+'!$AA$8,"B",IF(D35&lt;'PlayerGrades+'!$AA$7,"B+",IF(D35&lt;'PlayerGrades+'!$AA$6,"A-",IF(D35&lt;'PlayerGrades+'!$AA$5,"A",IF(D35&lt;'PlayerGrades+'!$AA$4,"A+",IF(D35&lt;'PlayerGrades+'!$AA$3,"S-",IF(D35&lt;'PlayerGrades+'!$AA$2,"S","S+"))))))))))))))))))))</f>
        <v>F-</v>
      </c>
      <c r="F35" s="961">
        <f t="shared" si="2"/>
        <v>0.2277039848</v>
      </c>
      <c r="G35" s="961" t="str">
        <f>IF(F35&lt;'PlayerGrades+'!$AB$21,"F-",IF(F35&lt;'PlayerGrades+'!$AB$20,"F",IF(F35&lt;'PlayerGrades+'!$AB$19,"F+",IF(F35&lt;'PlayerGrades+'!$AB$18,"E-",IF(F35&lt;'PlayerGrades+'!$AB$17,"E",IF(F35&lt;'PlayerGrades+'!$AB$16,"E+",IF(F35&lt;'PlayerGrades+'!$AB$15,"D-",IF(F35&lt;'PlayerGrades+'!$AB$14,"D",IF(F35&lt;'PlayerGrades+'!$AB$13,"D+",IF(F35&lt;'PlayerGrades+'!$AB$12,"C-",IF(F35&lt;'PlayerGrades+'!$AB$11,"C",IF(F35&lt;'PlayerGrades+'!$AB$10,"C+",IF(F35&lt;'PlayerGrades+'!$AB$9,"B-",IF(F35&lt;'PlayerGrades+'!$AB$8,"B",IF(F35&lt;'PlayerGrades+'!$AB$7,"B+",IF(F35&lt;'PlayerGrades+'!$AB$6,"A-",IF(F35&lt;'PlayerGrades+'!$AB$5,"A",IF(F35&lt;'PlayerGrades+'!$AB$4,"A+",IF(F35&lt;'PlayerGrades+'!$AB$3,"S-",IF(F35&lt;'PlayerGrades+'!$AB$2,"S","S+"))))))))))))))))))))</f>
        <v>A+</v>
      </c>
      <c r="H35" s="961">
        <f t="shared" si="3"/>
        <v>0.5955334988</v>
      </c>
      <c r="I35" s="961" t="str">
        <f>IF(H35&lt;'PlayerGrades+'!$AC$21,"F-",IF(H35&lt;'PlayerGrades+'!$AC$20,"F",IF(H35&lt;'PlayerGrades+'!$AC$19,"F+",IF(H35&lt;'PlayerGrades+'!$AC$18,"E-",IF(H35&lt;'PlayerGrades+'!$AC$17,"E",IF(H35&lt;'PlayerGrades+'!$AC$16,"E+",IF(H35&lt;'PlayerGrades+'!$AC$15,"D-",IF(H35&lt;'PlayerGrades+'!$AC$14,"D",IF(H35&lt;'PlayerGrades+'!$AC$13,"D+",IF(H35&lt;'PlayerGrades+'!$AC$12,"C-",IF(H35&lt;'PlayerGrades+'!$AC$11,"C",IF(H35&lt;'PlayerGrades+'!$AC$10,"C+",IF(H35&lt;'PlayerGrades+'!$AC$9,"B-",IF(H35&lt;'PlayerGrades+'!$AC$8,"B",IF(H35&lt;'PlayerGrades+'!$AC$7,"B+",IF(H35&lt;'PlayerGrades+'!$AC$6,"A-",IF(H35&lt;'PlayerGrades+'!$AC$5,"A",IF(H35&lt;'PlayerGrades+'!$AC$4,"A+",IF(H35&lt;'PlayerGrades+'!$AC$3,"S-",IF(H35&lt;'PlayerGrades+'!$AC$2,"S","S+"))))))))))))))))))))</f>
        <v>A-</v>
      </c>
      <c r="J35" s="961">
        <f t="shared" si="4"/>
        <v>0</v>
      </c>
      <c r="K35" s="961" t="str">
        <f>IF(J35&lt;'PlayerGrades+'!$AD$21,"F-",IF(J35&lt;'PlayerGrades+'!$AD$20,"F",IF(J35&lt;'PlayerGrades+'!$AD$19,"F+",IF(J35&lt;'PlayerGrades+'!$AD$18,"E-",IF(J35&lt;'PlayerGrades+'!$AD$17,"E",IF(J35&lt;'PlayerGrades+'!$AD$16,"E+",IF(J35&lt;'PlayerGrades+'!$AD$15,"D-",IF(J35&lt;'PlayerGrades+'!$AD$14,"D",IF(J35&lt;'PlayerGrades+'!$AD$13,"D+",IF(J35&lt;'PlayerGrades+'!$AD$12,"C-",IF(J35&lt;'PlayerGrades+'!$AD$11,"C",IF(J35&lt;'PlayerGrades+'!$AD$10,"C+",IF(J35&lt;'PlayerGrades+'!$AD$9,"B-",IF(J35&lt;'PlayerGrades+'!$AD$8,"B",IF(J35&lt;'PlayerGrades+'!$AD$7,"B+",IF(J35&lt;'PlayerGrades+'!$AD$6,"A-",IF(J35&lt;'PlayerGrades+'!$AD$5,"A",IF(J35&lt;'PlayerGrades+'!$AD$4,"A+",IF(J35&lt;'PlayerGrades+'!$AD$3,"S-",IF(J35&lt;'PlayerGrades+'!$AD$2,"S","S+"))))))))))))))))))))</f>
        <v>F-</v>
      </c>
      <c r="L35" s="992">
        <f t="shared" si="5"/>
        <v>0.7444168734</v>
      </c>
      <c r="M35" s="992" t="str">
        <f>IF(L35&lt;'PlayerGrades+'!$AE$21,"F-",IF(L35&lt;'PlayerGrades+'!$AE$20,"F",IF(L35&lt;'PlayerGrades+'!$AE$19,"F+",IF(L35&lt;'PlayerGrades+'!$AE$18,"E-",IF(L35&lt;'PlayerGrades+'!$AE$17,"E",IF(L35&lt;'PlayerGrades+'!$AE$16,"E+",IF(L35&lt;'PlayerGrades+'!$AE$15,"D-",IF(L35&lt;'PlayerGrades+'!$AE$14,"D",IF(L35&lt;'PlayerGrades+'!$AE$13,"D+",IF(L35&lt;'PlayerGrades+'!$AE$12,"C-",IF(L35&lt;'PlayerGrades+'!$AE$11,"C",IF(L35&lt;'PlayerGrades+'!$AE$10,"C+",IF(L35&lt;'PlayerGrades+'!$AE$9,"B-",IF(L35&lt;'PlayerGrades+'!$AE$8,"B",IF(L35&lt;'PlayerGrades+'!$AE$7,"B+",IF(L35&lt;'PlayerGrades+'!$AE$6,"A-",IF(L35&lt;'PlayerGrades+'!$AE$5,"A",IF(L35&lt;'PlayerGrades+'!$AE$4,"A+",IF(L35&lt;'PlayerGrades+'!$AE$3,"S-",IF(L35&lt;'PlayerGrades+'!$AE$2,"S","S+"))))))))))))))))))))</f>
        <v>S-</v>
      </c>
      <c r="N35" s="961">
        <f t="shared" si="6"/>
        <v>0.4466501241</v>
      </c>
      <c r="O35" s="961" t="str">
        <f>IF(N35&lt;'PlayerGrades+'!$AF$21,"F-",IF(N35&lt;'PlayerGrades+'!$AF$20,"F",IF(N35&lt;'PlayerGrades+'!$AF$19,"F+",IF(N35&lt;'PlayerGrades+'!$AF$18,"E-",IF(N35&lt;'PlayerGrades+'!$AF$17,"E",IF(N35&lt;'PlayerGrades+'!$AF$16,"E+",IF(N35&lt;'PlayerGrades+'!$AF$15,"D-",IF(N35&lt;'PlayerGrades+'!$AF$14,"D",IF(N35&lt;'PlayerGrades+'!$AF$13,"D+",IF(N35&lt;'PlayerGrades+'!$AF$12,"C-",IF(N35&lt;'PlayerGrades+'!$AF$11,"C",IF(N35&lt;'PlayerGrades+'!$AF$10,"C+",IF(N35&lt;'PlayerGrades+'!$AF$9,"B-",IF(N35&lt;'PlayerGrades+'!$AF$8,"B",IF(N35&lt;'PlayerGrades+'!$AF$7,"B+",IF(N35&lt;'PlayerGrades+'!$AF$6,"A-",IF(N35&lt;'PlayerGrades+'!$AF$5,"A",IF(N35&lt;'PlayerGrades+'!$AF$4,"A+",IF(N35&lt;'PlayerGrades+'!$AF$3,"S-",IF(N35&lt;'PlayerGrades+'!$AF$2,"S","S+"))))))))))))))))))))</f>
        <v>S+</v>
      </c>
      <c r="P35" s="961">
        <f t="shared" si="7"/>
        <v>1.488833747</v>
      </c>
      <c r="Q35" s="961" t="str">
        <f>IF(P35&lt;'PlayerGrades+'!$AG$21,"F-",IF(P35&lt;'PlayerGrades+'!$AG$20,"F",IF(P35&lt;'PlayerGrades+'!$AG$19,"F+",IF(P35&lt;'PlayerGrades+'!$AG$18,"E-",IF(P35&lt;'PlayerGrades+'!$AG$17,"E",IF(P35&lt;'PlayerGrades+'!$AG$16,"E+",IF(P35&lt;'PlayerGrades+'!$AG$15,"D-",IF(P35&lt;'PlayerGrades+'!$AG$14,"D",IF(P35&lt;'PlayerGrades+'!$AG$13,"D+",IF(P35&lt;'PlayerGrades+'!$AG$12,"C-",IF(P35&lt;'PlayerGrades+'!$AG$11,"C",IF(P35&lt;'PlayerGrades+'!$AG$10,"C+",IF(P35&lt;'PlayerGrades+'!$AG$9,"B-",IF(P35&lt;'PlayerGrades+'!$AG$8,"B",IF(P35&lt;'PlayerGrades+'!$AG$7,"B+",IF(P35&lt;'PlayerGrades+'!$AG$6,"A-",IF(P35&lt;'PlayerGrades+'!$AG$5,"A",IF(P35&lt;'PlayerGrades+'!$AG$4,"A+",IF(P35&lt;'PlayerGrades+'!$AG$3,"S-",IF(P35&lt;'PlayerGrades+'!$AG$2,"S","S+"))))))))))))))))))))</f>
        <v>S</v>
      </c>
      <c r="R35" s="961">
        <f t="shared" si="8"/>
        <v>0</v>
      </c>
      <c r="S35" s="961" t="str">
        <f>IF(R35&lt;'PlayerGrades+'!$AH$21,"F-",IF(R35&lt;'PlayerGrades+'!$AH$20,"F",IF(R35&lt;'PlayerGrades+'!$AH$19,"F+",IF(R35&lt;'PlayerGrades+'!$AH$18,"E-",IF(R35&lt;'PlayerGrades+'!$AH$17,"E",IF(R35&lt;'PlayerGrades+'!$AH$16,"E+",IF(R35&lt;'PlayerGrades+'!$AH$15,"D-",IF(R35&lt;'PlayerGrades+'!$AH$14,"D",IF(R35&lt;'PlayerGrades+'!$AH$13,"D+",IF(R35&lt;'PlayerGrades+'!$AH$12,"C-",IF(R35&lt;'PlayerGrades+'!$AH$11,"C",IF(R35&lt;'PlayerGrades+'!$AH$10,"C+",IF(R35&lt;'PlayerGrades+'!$AH$9,"B-",IF(R35&lt;'PlayerGrades+'!$AH$8,"B",IF(R35&lt;'PlayerGrades+'!$AH$7,"B+",IF(R35&lt;'PlayerGrades+'!$AH$6,"A-",IF(R35&lt;'PlayerGrades+'!$AH$5,"A",IF(R35&lt;'PlayerGrades+'!$AH$4,"A+",IF(R35&lt;'PlayerGrades+'!$AH$3,"S-",IF(R35&lt;'PlayerGrades+'!$AH$2,"S","S+"))))))))))))))))))))</f>
        <v>F-</v>
      </c>
      <c r="T35" s="961">
        <f t="shared" si="9"/>
        <v>3.870967742</v>
      </c>
      <c r="U35" s="961" t="str">
        <f>IF(T35&lt;'PlayerGrades+'!$AI$21,"F-",IF(T35&lt;'PlayerGrades+'!$AI$20,"F",IF(T35&lt;'PlayerGrades+'!$AI$19,"F+",IF(T35&lt;'PlayerGrades+'!$AI$18,"E-",IF(T35&lt;'PlayerGrades+'!$AI$17,"E",IF(T35&lt;'PlayerGrades+'!$AI$16,"E+",IF(T35&lt;'PlayerGrades+'!$AI$15,"D-",IF(T35&lt;'PlayerGrades+'!$AI$14,"D",IF(T35&lt;'PlayerGrades+'!$AI$13,"D+",IF(T35&lt;'PlayerGrades+'!$AI$12,"C-",IF(T35&lt;'PlayerGrades+'!$AI$11,"C",IF(T35&lt;'PlayerGrades+'!$AI$10,"C+",IF(T35&lt;'PlayerGrades+'!$AI$9,"B-",IF(T35&lt;'PlayerGrades+'!$AI$8,"B",IF(T35&lt;'PlayerGrades+'!$AI$7,"B+",IF(T35&lt;'PlayerGrades+'!$AI$6,"A-",IF(T35&lt;'PlayerGrades+'!$AI$5,"A",IF(T35&lt;'PlayerGrades+'!$AI$4,"A+",IF(T35&lt;'PlayerGrades+'!$AI$3,"S-",IF(T35&lt;'PlayerGrades+'!$AI$2,"S","S+"))))))))))))))))))))</f>
        <v>S-</v>
      </c>
      <c r="V35" s="1017">
        <v>1.0</v>
      </c>
      <c r="W35" s="1017">
        <v>0.0</v>
      </c>
      <c r="X35" s="1017">
        <v>0.0</v>
      </c>
      <c r="Y35" s="1017">
        <v>0.0</v>
      </c>
      <c r="Z35" s="1282">
        <v>26.0</v>
      </c>
      <c r="AA35" s="1282">
        <v>17.0</v>
      </c>
      <c r="AB35" s="1017">
        <f t="shared" si="10"/>
        <v>9</v>
      </c>
      <c r="AC35" s="1020">
        <f t="shared" si="11"/>
        <v>1.529411765</v>
      </c>
      <c r="AD35" s="1022">
        <v>0.0</v>
      </c>
      <c r="AE35" s="1283">
        <v>403.0</v>
      </c>
      <c r="AF35" s="1284">
        <v>0.0</v>
      </c>
      <c r="AG35" s="1284">
        <v>0.0</v>
      </c>
      <c r="AH35" s="1285">
        <v>0.0</v>
      </c>
      <c r="AI35" s="1285">
        <v>0.0</v>
      </c>
      <c r="AJ35" s="1282">
        <v>1.0</v>
      </c>
      <c r="AK35" s="1282">
        <v>5.0</v>
      </c>
      <c r="AL35" s="1282">
        <v>3.0</v>
      </c>
      <c r="AM35" s="1282">
        <v>1.0</v>
      </c>
      <c r="AN35" s="1282">
        <v>0.0</v>
      </c>
      <c r="AO35" s="1282">
        <v>0.0</v>
      </c>
      <c r="AP35" s="1282">
        <v>0.0</v>
      </c>
      <c r="AQ35" s="1282">
        <v>0.0</v>
      </c>
      <c r="AR35" s="1282">
        <v>0.0</v>
      </c>
      <c r="AS35" s="1282">
        <v>0.0</v>
      </c>
      <c r="AT35" s="1282">
        <v>0.0</v>
      </c>
      <c r="AU35" s="1282">
        <v>4.0</v>
      </c>
      <c r="AV35" s="1282">
        <v>0.0</v>
      </c>
      <c r="AW35" s="1282">
        <v>0.0</v>
      </c>
      <c r="AX35" s="1282">
        <v>0.0</v>
      </c>
      <c r="AY35" s="1282">
        <v>0.0</v>
      </c>
      <c r="AZ35" s="1287">
        <v>0.0</v>
      </c>
    </row>
    <row r="36">
      <c r="A36" s="1277" t="s">
        <v>96</v>
      </c>
      <c r="B36" s="1100" t="str">
        <f>IF(C36&lt;'PlayerGrades+'!$Y$44,"F-",IF(C36&lt;'PlayerGrades+'!$Y$43,"F",IF(C36&lt;'PlayerGrades+'!$Y$42,"F+",IF(C36&lt;'PlayerGrades+'!$Y$41,"E-",IF(C36&lt;'PlayerGrades+'!$Y$40,"E",IF(C36&lt;'PlayerGrades+'!$Y$39,"E+",IF(C36&lt;'PlayerGrades+'!$Y$38,"D-",IF(C36&lt;'PlayerGrades+'!$Y$37,"D",IF(C36&lt;'PlayerGrades+'!$Y$36,"D+",IF(C36&lt;'PlayerGrades+'!$Y$35,"C-",IF(C36&lt;'PlayerGrades+'!$Y$34,"C",IF(C36&lt;'PlayerGrades+'!$Y$33,"C+",IF(C36&lt;'PlayerGrades+'!$Y$32,"B-",IF(C36&lt;'PlayerGrades+'!$Y$31,"B",IF(C36&lt;'PlayerGrades+'!$Y$30,"B+",IF(C36&lt;'PlayerGrades+'!$Y$29,"A-",IF(C36&lt;'PlayerGrades+'!$Y$28,"A",IF(C36&lt;'PlayerGrades+'!$Y$27,"A+",IF(C36&lt;'PlayerGrades+'!$Y$26,"S-",IF(C36&lt;'PlayerGrades+'!$Y$25,"S","S+"))))))))))))))))))))</f>
        <v>A+</v>
      </c>
      <c r="C36" s="1105">
        <f>('PlayerGrades+'!$Y$47*(VLOOKUP(E36, 'PlayerGrades+'!$X$3:$Y$23, 2, FALSE)))+('PlayerGrades+'!$Y$48*(VLOOKUP(G36, 'PlayerGrades+'!$X$3:$Y$23, 2, FALSE)))+('PlayerGrades+'!$Y$49*(VLOOKUP(I36, 'PlayerGrades+'!$X$3:$Y$23, 2, FALSE)))+('PlayerGrades+'!$Y$50*(VLOOKUP(K36, 'PlayerGrades+'!$X$3:$Y$23, 2, FALSE)))+('PlayerGrades+'!$Y$51*(VLOOKUP(M36, 'PlayerGrades+'!$X$3:$Y$23, 2, FALSE)))+('PlayerGrades+'!$Y$52*(VLOOKUP(O36, 'PlayerGrades+'!$X$3:$Y$23, 2, FALSE)))+('PlayerGrades+'!$Y$53*(VLOOKUP(Q36, 'PlayerGrades+'!$X$3:$Y$23, 2, FALSE)))+('PlayerGrades+'!$Y$54*(VLOOKUP(S36, 'PlayerGrades+'!$X$3:$Y$23, 2, FALSE)))+('PlayerGrades+'!$Y$55*(VLOOKUP(U36, 'PlayerGrades+'!$X$3:$Y$23, 2, FALSE)))</f>
        <v>24.45</v>
      </c>
      <c r="D36" s="961">
        <f t="shared" si="1"/>
        <v>0.4466501241</v>
      </c>
      <c r="E36" s="961" t="str">
        <f>IF(D36&lt;'PlayerGrades+'!$AA$21,"F-",IF(D36&lt;'PlayerGrades+'!$AA$20,"F",IF(D36&lt;'PlayerGrades+'!$AA$19,"F+",IF(D36&lt;'PlayerGrades+'!$AA$18,"E-",IF(D36&lt;'PlayerGrades+'!$AA$17,"E",IF(D36&lt;'PlayerGrades+'!$AA$16,"E+",IF(D36&lt;'PlayerGrades+'!$AA$15,"D-",IF(D36&lt;'PlayerGrades+'!$AA$14,"D",IF(D36&lt;'PlayerGrades+'!$AA$13,"D+",IF(D36&lt;'PlayerGrades+'!$AA$12,"C-",IF(D36&lt;'PlayerGrades+'!$AA$11,"C",IF(D36&lt;'PlayerGrades+'!$AA$10,"C+",IF(D36&lt;'PlayerGrades+'!$AA$9,"B-",IF(D36&lt;'PlayerGrades+'!$AA$8,"B",IF(D36&lt;'PlayerGrades+'!$AA$7,"B+",IF(D36&lt;'PlayerGrades+'!$AA$6,"A-",IF(D36&lt;'PlayerGrades+'!$AA$5,"A",IF(D36&lt;'PlayerGrades+'!$AA$4,"A+",IF(D36&lt;'PlayerGrades+'!$AA$3,"S-",IF(D36&lt;'PlayerGrades+'!$AA$2,"S","S+"))))))))))))))))))))</f>
        <v>S+</v>
      </c>
      <c r="F36" s="961">
        <f t="shared" si="2"/>
        <v>0.2282878412</v>
      </c>
      <c r="G36" s="961" t="str">
        <f>IF(F36&lt;'PlayerGrades+'!$AB$21,"F-",IF(F36&lt;'PlayerGrades+'!$AB$20,"F",IF(F36&lt;'PlayerGrades+'!$AB$19,"F+",IF(F36&lt;'PlayerGrades+'!$AB$18,"E-",IF(F36&lt;'PlayerGrades+'!$AB$17,"E",IF(F36&lt;'PlayerGrades+'!$AB$16,"E+",IF(F36&lt;'PlayerGrades+'!$AB$15,"D-",IF(F36&lt;'PlayerGrades+'!$AB$14,"D",IF(F36&lt;'PlayerGrades+'!$AB$13,"D+",IF(F36&lt;'PlayerGrades+'!$AB$12,"C-",IF(F36&lt;'PlayerGrades+'!$AB$11,"C",IF(F36&lt;'PlayerGrades+'!$AB$10,"C+",IF(F36&lt;'PlayerGrades+'!$AB$9,"B-",IF(F36&lt;'PlayerGrades+'!$AB$8,"B",IF(F36&lt;'PlayerGrades+'!$AB$7,"B+",IF(F36&lt;'PlayerGrades+'!$AB$6,"A-",IF(F36&lt;'PlayerGrades+'!$AB$5,"A",IF(F36&lt;'PlayerGrades+'!$AB$4,"A+",IF(F36&lt;'PlayerGrades+'!$AB$3,"S-",IF(F36&lt;'PlayerGrades+'!$AB$2,"S","S+"))))))))))))))))))))</f>
        <v>A+</v>
      </c>
      <c r="H36" s="961">
        <f t="shared" si="3"/>
        <v>1.042183623</v>
      </c>
      <c r="I36" s="961" t="str">
        <f>IF(H36&lt;'PlayerGrades+'!$AC$21,"F-",IF(H36&lt;'PlayerGrades+'!$AC$20,"F",IF(H36&lt;'PlayerGrades+'!$AC$19,"F+",IF(H36&lt;'PlayerGrades+'!$AC$18,"E-",IF(H36&lt;'PlayerGrades+'!$AC$17,"E",IF(H36&lt;'PlayerGrades+'!$AC$16,"E+",IF(H36&lt;'PlayerGrades+'!$AC$15,"D-",IF(H36&lt;'PlayerGrades+'!$AC$14,"D",IF(H36&lt;'PlayerGrades+'!$AC$13,"D+",IF(H36&lt;'PlayerGrades+'!$AC$12,"C-",IF(H36&lt;'PlayerGrades+'!$AC$11,"C",IF(H36&lt;'PlayerGrades+'!$AC$10,"C+",IF(H36&lt;'PlayerGrades+'!$AC$9,"B-",IF(H36&lt;'PlayerGrades+'!$AC$8,"B",IF(H36&lt;'PlayerGrades+'!$AC$7,"B+",IF(H36&lt;'PlayerGrades+'!$AC$6,"A-",IF(H36&lt;'PlayerGrades+'!$AC$5,"A",IF(H36&lt;'PlayerGrades+'!$AC$4,"A+",IF(H36&lt;'PlayerGrades+'!$AC$3,"S-",IF(H36&lt;'PlayerGrades+'!$AC$2,"S","S+"))))))))))))))))))))</f>
        <v>S+</v>
      </c>
      <c r="J36" s="961">
        <f t="shared" si="4"/>
        <v>0.1488833747</v>
      </c>
      <c r="K36" s="961" t="str">
        <f>IF(J36&lt;'PlayerGrades+'!$AD$21,"F-",IF(J36&lt;'PlayerGrades+'!$AD$20,"F",IF(J36&lt;'PlayerGrades+'!$AD$19,"F+",IF(J36&lt;'PlayerGrades+'!$AD$18,"E-",IF(J36&lt;'PlayerGrades+'!$AD$17,"E",IF(J36&lt;'PlayerGrades+'!$AD$16,"E+",IF(J36&lt;'PlayerGrades+'!$AD$15,"D-",IF(J36&lt;'PlayerGrades+'!$AD$14,"D",IF(J36&lt;'PlayerGrades+'!$AD$13,"D+",IF(J36&lt;'PlayerGrades+'!$AD$12,"C-",IF(J36&lt;'PlayerGrades+'!$AD$11,"C",IF(J36&lt;'PlayerGrades+'!$AD$10,"C+",IF(J36&lt;'PlayerGrades+'!$AD$9,"B-",IF(J36&lt;'PlayerGrades+'!$AD$8,"B",IF(J36&lt;'PlayerGrades+'!$AD$7,"B+",IF(J36&lt;'PlayerGrades+'!$AD$6,"A-",IF(J36&lt;'PlayerGrades+'!$AD$5,"A",IF(J36&lt;'PlayerGrades+'!$AD$4,"A+",IF(J36&lt;'PlayerGrades+'!$AD$3,"S-",IF(J36&lt;'PlayerGrades+'!$AD$2,"S","S+"))))))))))))))))))))</f>
        <v>S</v>
      </c>
      <c r="L36" s="992">
        <f t="shared" si="5"/>
        <v>0.7444168734</v>
      </c>
      <c r="M36" s="992" t="str">
        <f>IF(L36&lt;'PlayerGrades+'!$AE$21,"F-",IF(L36&lt;'PlayerGrades+'!$AE$20,"F",IF(L36&lt;'PlayerGrades+'!$AE$19,"F+",IF(L36&lt;'PlayerGrades+'!$AE$18,"E-",IF(L36&lt;'PlayerGrades+'!$AE$17,"E",IF(L36&lt;'PlayerGrades+'!$AE$16,"E+",IF(L36&lt;'PlayerGrades+'!$AE$15,"D-",IF(L36&lt;'PlayerGrades+'!$AE$14,"D",IF(L36&lt;'PlayerGrades+'!$AE$13,"D+",IF(L36&lt;'PlayerGrades+'!$AE$12,"C-",IF(L36&lt;'PlayerGrades+'!$AE$11,"C",IF(L36&lt;'PlayerGrades+'!$AE$10,"C+",IF(L36&lt;'PlayerGrades+'!$AE$9,"B-",IF(L36&lt;'PlayerGrades+'!$AE$8,"B",IF(L36&lt;'PlayerGrades+'!$AE$7,"B+",IF(L36&lt;'PlayerGrades+'!$AE$6,"A-",IF(L36&lt;'PlayerGrades+'!$AE$5,"A",IF(L36&lt;'PlayerGrades+'!$AE$4,"A+",IF(L36&lt;'PlayerGrades+'!$AE$3,"S-",IF(L36&lt;'PlayerGrades+'!$AE$2,"S","S+"))))))))))))))))))))</f>
        <v>S-</v>
      </c>
      <c r="N36" s="961">
        <f t="shared" si="6"/>
        <v>0</v>
      </c>
      <c r="O36" s="961" t="str">
        <f>IF(N36&lt;'PlayerGrades+'!$AF$21,"F-",IF(N36&lt;'PlayerGrades+'!$AF$20,"F",IF(N36&lt;'PlayerGrades+'!$AF$19,"F+",IF(N36&lt;'PlayerGrades+'!$AF$18,"E-",IF(N36&lt;'PlayerGrades+'!$AF$17,"E",IF(N36&lt;'PlayerGrades+'!$AF$16,"E+",IF(N36&lt;'PlayerGrades+'!$AF$15,"D-",IF(N36&lt;'PlayerGrades+'!$AF$14,"D",IF(N36&lt;'PlayerGrades+'!$AF$13,"D+",IF(N36&lt;'PlayerGrades+'!$AF$12,"C-",IF(N36&lt;'PlayerGrades+'!$AF$11,"C",IF(N36&lt;'PlayerGrades+'!$AF$10,"C+",IF(N36&lt;'PlayerGrades+'!$AF$9,"B-",IF(N36&lt;'PlayerGrades+'!$AF$8,"B",IF(N36&lt;'PlayerGrades+'!$AF$7,"B+",IF(N36&lt;'PlayerGrades+'!$AF$6,"A-",IF(N36&lt;'PlayerGrades+'!$AF$5,"A",IF(N36&lt;'PlayerGrades+'!$AF$4,"A+",IF(N36&lt;'PlayerGrades+'!$AF$3,"S-",IF(N36&lt;'PlayerGrades+'!$AF$2,"S","S+"))))))))))))))))))))</f>
        <v>F-</v>
      </c>
      <c r="P36" s="961">
        <f t="shared" si="7"/>
        <v>0.7444168734</v>
      </c>
      <c r="Q36" s="961" t="str">
        <f>IF(P36&lt;'PlayerGrades+'!$AG$21,"F-",IF(P36&lt;'PlayerGrades+'!$AG$20,"F",IF(P36&lt;'PlayerGrades+'!$AG$19,"F+",IF(P36&lt;'PlayerGrades+'!$AG$18,"E-",IF(P36&lt;'PlayerGrades+'!$AG$17,"E",IF(P36&lt;'PlayerGrades+'!$AG$16,"E+",IF(P36&lt;'PlayerGrades+'!$AG$15,"D-",IF(P36&lt;'PlayerGrades+'!$AG$14,"D",IF(P36&lt;'PlayerGrades+'!$AG$13,"D+",IF(P36&lt;'PlayerGrades+'!$AG$12,"C-",IF(P36&lt;'PlayerGrades+'!$AG$11,"C",IF(P36&lt;'PlayerGrades+'!$AG$10,"C+",IF(P36&lt;'PlayerGrades+'!$AG$9,"B-",IF(P36&lt;'PlayerGrades+'!$AG$8,"B",IF(P36&lt;'PlayerGrades+'!$AG$7,"B+",IF(P36&lt;'PlayerGrades+'!$AG$6,"A-",IF(P36&lt;'PlayerGrades+'!$AG$5,"A",IF(P36&lt;'PlayerGrades+'!$AG$4,"A+",IF(P36&lt;'PlayerGrades+'!$AG$3,"S-",IF(P36&lt;'PlayerGrades+'!$AG$2,"S","S+"))))))))))))))))))))</f>
        <v>B+</v>
      </c>
      <c r="R36" s="961">
        <f t="shared" si="8"/>
        <v>0</v>
      </c>
      <c r="S36" s="961" t="str">
        <f>IF(R36&lt;'PlayerGrades+'!$AH$21,"F-",IF(R36&lt;'PlayerGrades+'!$AH$20,"F",IF(R36&lt;'PlayerGrades+'!$AH$19,"F+",IF(R36&lt;'PlayerGrades+'!$AH$18,"E-",IF(R36&lt;'PlayerGrades+'!$AH$17,"E",IF(R36&lt;'PlayerGrades+'!$AH$16,"E+",IF(R36&lt;'PlayerGrades+'!$AH$15,"D-",IF(R36&lt;'PlayerGrades+'!$AH$14,"D",IF(R36&lt;'PlayerGrades+'!$AH$13,"D+",IF(R36&lt;'PlayerGrades+'!$AH$12,"C-",IF(R36&lt;'PlayerGrades+'!$AH$11,"C",IF(R36&lt;'PlayerGrades+'!$AH$10,"C+",IF(R36&lt;'PlayerGrades+'!$AH$9,"B-",IF(R36&lt;'PlayerGrades+'!$AH$8,"B",IF(R36&lt;'PlayerGrades+'!$AH$7,"B+",IF(R36&lt;'PlayerGrades+'!$AH$6,"A-",IF(R36&lt;'PlayerGrades+'!$AH$5,"A",IF(R36&lt;'PlayerGrades+'!$AH$4,"A+",IF(R36&lt;'PlayerGrades+'!$AH$3,"S-",IF(R36&lt;'PlayerGrades+'!$AH$2,"S","S+"))))))))))))))))))))</f>
        <v>F-</v>
      </c>
      <c r="T36" s="961">
        <f t="shared" si="9"/>
        <v>3.424317618</v>
      </c>
      <c r="U36" s="961" t="str">
        <f>IF(T36&lt;'PlayerGrades+'!$AI$21,"F-",IF(T36&lt;'PlayerGrades+'!$AI$20,"F",IF(T36&lt;'PlayerGrades+'!$AI$19,"F+",IF(T36&lt;'PlayerGrades+'!$AI$18,"E-",IF(T36&lt;'PlayerGrades+'!$AI$17,"E",IF(T36&lt;'PlayerGrades+'!$AI$16,"E+",IF(T36&lt;'PlayerGrades+'!$AI$15,"D-",IF(T36&lt;'PlayerGrades+'!$AI$14,"D",IF(T36&lt;'PlayerGrades+'!$AI$13,"D+",IF(T36&lt;'PlayerGrades+'!$AI$12,"C-",IF(T36&lt;'PlayerGrades+'!$AI$11,"C",IF(T36&lt;'PlayerGrades+'!$AI$10,"C+",IF(T36&lt;'PlayerGrades+'!$AI$9,"B-",IF(T36&lt;'PlayerGrades+'!$AI$8,"B",IF(T36&lt;'PlayerGrades+'!$AI$7,"B+",IF(T36&lt;'PlayerGrades+'!$AI$6,"A-",IF(T36&lt;'PlayerGrades+'!$AI$5,"A",IF(T36&lt;'PlayerGrades+'!$AI$4,"A+",IF(T36&lt;'PlayerGrades+'!$AI$3,"S-",IF(T36&lt;'PlayerGrades+'!$AI$2,"S","S+"))))))))))))))))))))</f>
        <v>A+</v>
      </c>
      <c r="V36" s="1017">
        <v>1.0</v>
      </c>
      <c r="W36" s="1017">
        <v>0.0</v>
      </c>
      <c r="X36" s="1017">
        <v>3.0</v>
      </c>
      <c r="Y36" s="1017">
        <v>15.0</v>
      </c>
      <c r="Z36" s="1282">
        <v>23.0</v>
      </c>
      <c r="AA36" s="1282">
        <v>15.0</v>
      </c>
      <c r="AB36" s="1017">
        <f t="shared" si="10"/>
        <v>8</v>
      </c>
      <c r="AC36" s="1020">
        <f t="shared" si="11"/>
        <v>1.533333333</v>
      </c>
      <c r="AD36" s="1022">
        <v>0.0</v>
      </c>
      <c r="AE36" s="1283">
        <v>403.0</v>
      </c>
      <c r="AF36" s="1282">
        <v>1.0</v>
      </c>
      <c r="AG36" s="1285">
        <v>0.0</v>
      </c>
      <c r="AH36" s="1285">
        <v>0.0</v>
      </c>
      <c r="AI36" s="1285">
        <v>0.0</v>
      </c>
      <c r="AJ36" s="1282">
        <v>0.0</v>
      </c>
      <c r="AK36" s="1282">
        <v>5.0</v>
      </c>
      <c r="AL36" s="1282">
        <v>0.0</v>
      </c>
      <c r="AM36" s="1282">
        <v>0.0</v>
      </c>
      <c r="AN36" s="1282">
        <v>0.0</v>
      </c>
      <c r="AO36" s="1282">
        <v>0.0</v>
      </c>
      <c r="AP36" s="1282">
        <v>0.0</v>
      </c>
      <c r="AQ36" s="1282">
        <v>0.0</v>
      </c>
      <c r="AR36" s="1282">
        <v>0.0</v>
      </c>
      <c r="AS36" s="1282">
        <v>0.0</v>
      </c>
      <c r="AT36" s="1282">
        <v>0.0</v>
      </c>
      <c r="AU36" s="1282">
        <v>7.0</v>
      </c>
      <c r="AV36" s="1282">
        <v>0.0</v>
      </c>
      <c r="AW36" s="1282">
        <v>0.0</v>
      </c>
      <c r="AX36" s="1282">
        <v>0.0</v>
      </c>
      <c r="AY36" s="1282">
        <v>0.0</v>
      </c>
      <c r="AZ36" s="1287">
        <v>0.0</v>
      </c>
    </row>
    <row r="37">
      <c r="A37" s="1277" t="s">
        <v>48</v>
      </c>
      <c r="B37" s="1100" t="str">
        <f>IF(C37&lt;'PlayerGrades+'!$Y$44,"F-",IF(C37&lt;'PlayerGrades+'!$Y$43,"F",IF(C37&lt;'PlayerGrades+'!$Y$42,"F+",IF(C37&lt;'PlayerGrades+'!$Y$41,"E-",IF(C37&lt;'PlayerGrades+'!$Y$40,"E",IF(C37&lt;'PlayerGrades+'!$Y$39,"E+",IF(C37&lt;'PlayerGrades+'!$Y$38,"D-",IF(C37&lt;'PlayerGrades+'!$Y$37,"D",IF(C37&lt;'PlayerGrades+'!$Y$36,"D+",IF(C37&lt;'PlayerGrades+'!$Y$35,"C-",IF(C37&lt;'PlayerGrades+'!$Y$34,"C",IF(C37&lt;'PlayerGrades+'!$Y$33,"C+",IF(C37&lt;'PlayerGrades+'!$Y$32,"B-",IF(C37&lt;'PlayerGrades+'!$Y$31,"B",IF(C37&lt;'PlayerGrades+'!$Y$30,"B+",IF(C37&lt;'PlayerGrades+'!$Y$29,"A-",IF(C37&lt;'PlayerGrades+'!$Y$28,"A",IF(C37&lt;'PlayerGrades+'!$Y$27,"A+",IF(C37&lt;'PlayerGrades+'!$Y$26,"S-",IF(C37&lt;'PlayerGrades+'!$Y$25,"S","S+"))))))))))))))))))))</f>
        <v>A-</v>
      </c>
      <c r="C37" s="1105">
        <f>('PlayerGrades+'!$Y$47*(VLOOKUP(E37, 'PlayerGrades+'!$X$3:$Y$23, 2, FALSE)))+('PlayerGrades+'!$Y$48*(VLOOKUP(G37, 'PlayerGrades+'!$X$3:$Y$23, 2, FALSE)))+('PlayerGrades+'!$Y$49*(VLOOKUP(I37, 'PlayerGrades+'!$X$3:$Y$23, 2, FALSE)))+('PlayerGrades+'!$Y$50*(VLOOKUP(K37, 'PlayerGrades+'!$X$3:$Y$23, 2, FALSE)))+('PlayerGrades+'!$Y$51*(VLOOKUP(M37, 'PlayerGrades+'!$X$3:$Y$23, 2, FALSE)))+('PlayerGrades+'!$Y$52*(VLOOKUP(O37, 'PlayerGrades+'!$X$3:$Y$23, 2, FALSE)))+('PlayerGrades+'!$Y$53*(VLOOKUP(Q37, 'PlayerGrades+'!$X$3:$Y$23, 2, FALSE)))+('PlayerGrades+'!$Y$54*(VLOOKUP(S37, 'PlayerGrades+'!$X$3:$Y$23, 2, FALSE)))+('PlayerGrades+'!$Y$55*(VLOOKUP(U37, 'PlayerGrades+'!$X$3:$Y$23, 2, FALSE)))</f>
        <v>21.15</v>
      </c>
      <c r="D37" s="961">
        <f t="shared" si="1"/>
        <v>0.2977667494</v>
      </c>
      <c r="E37" s="961" t="str">
        <f>IF(D37&lt;'PlayerGrades+'!$AA$21,"F-",IF(D37&lt;'PlayerGrades+'!$AA$20,"F",IF(D37&lt;'PlayerGrades+'!$AA$19,"F+",IF(D37&lt;'PlayerGrades+'!$AA$18,"E-",IF(D37&lt;'PlayerGrades+'!$AA$17,"E",IF(D37&lt;'PlayerGrades+'!$AA$16,"E+",IF(D37&lt;'PlayerGrades+'!$AA$15,"D-",IF(D37&lt;'PlayerGrades+'!$AA$14,"D",IF(D37&lt;'PlayerGrades+'!$AA$13,"D+",IF(D37&lt;'PlayerGrades+'!$AA$12,"C-",IF(D37&lt;'PlayerGrades+'!$AA$11,"C",IF(D37&lt;'PlayerGrades+'!$AA$10,"C+",IF(D37&lt;'PlayerGrades+'!$AA$9,"B-",IF(D37&lt;'PlayerGrades+'!$AA$8,"B",IF(D37&lt;'PlayerGrades+'!$AA$7,"B+",IF(D37&lt;'PlayerGrades+'!$AA$6,"A-",IF(D37&lt;'PlayerGrades+'!$AA$5,"A",IF(D37&lt;'PlayerGrades+'!$AA$4,"A+",IF(D37&lt;'PlayerGrades+'!$AA$3,"S-",IF(D37&lt;'PlayerGrades+'!$AA$2,"S","S+"))))))))))))))))))))</f>
        <v>S+</v>
      </c>
      <c r="F37" s="961">
        <f t="shared" si="2"/>
        <v>0.1054590571</v>
      </c>
      <c r="G37" s="961" t="str">
        <f>IF(F37&lt;'PlayerGrades+'!$AB$21,"F-",IF(F37&lt;'PlayerGrades+'!$AB$20,"F",IF(F37&lt;'PlayerGrades+'!$AB$19,"F+",IF(F37&lt;'PlayerGrades+'!$AB$18,"E-",IF(F37&lt;'PlayerGrades+'!$AB$17,"E",IF(F37&lt;'PlayerGrades+'!$AB$16,"E+",IF(F37&lt;'PlayerGrades+'!$AB$15,"D-",IF(F37&lt;'PlayerGrades+'!$AB$14,"D",IF(F37&lt;'PlayerGrades+'!$AB$13,"D+",IF(F37&lt;'PlayerGrades+'!$AB$12,"C-",IF(F37&lt;'PlayerGrades+'!$AB$11,"C",IF(F37&lt;'PlayerGrades+'!$AB$10,"C+",IF(F37&lt;'PlayerGrades+'!$AB$9,"B-",IF(F37&lt;'PlayerGrades+'!$AB$8,"B",IF(F37&lt;'PlayerGrades+'!$AB$7,"B+",IF(F37&lt;'PlayerGrades+'!$AB$6,"A-",IF(F37&lt;'PlayerGrades+'!$AB$5,"A",IF(F37&lt;'PlayerGrades+'!$AB$4,"A+",IF(F37&lt;'PlayerGrades+'!$AB$3,"S-",IF(F37&lt;'PlayerGrades+'!$AB$2,"S","S+"))))))))))))))))))))</f>
        <v>A</v>
      </c>
      <c r="H37" s="961">
        <f t="shared" si="3"/>
        <v>0.4466501241</v>
      </c>
      <c r="I37" s="961" t="str">
        <f>IF(H37&lt;'PlayerGrades+'!$AC$21,"F-",IF(H37&lt;'PlayerGrades+'!$AC$20,"F",IF(H37&lt;'PlayerGrades+'!$AC$19,"F+",IF(H37&lt;'PlayerGrades+'!$AC$18,"E-",IF(H37&lt;'PlayerGrades+'!$AC$17,"E",IF(H37&lt;'PlayerGrades+'!$AC$16,"E+",IF(H37&lt;'PlayerGrades+'!$AC$15,"D-",IF(H37&lt;'PlayerGrades+'!$AC$14,"D",IF(H37&lt;'PlayerGrades+'!$AC$13,"D+",IF(H37&lt;'PlayerGrades+'!$AC$12,"C-",IF(H37&lt;'PlayerGrades+'!$AC$11,"C",IF(H37&lt;'PlayerGrades+'!$AC$10,"C+",IF(H37&lt;'PlayerGrades+'!$AC$9,"B-",IF(H37&lt;'PlayerGrades+'!$AC$8,"B",IF(H37&lt;'PlayerGrades+'!$AC$7,"B+",IF(H37&lt;'PlayerGrades+'!$AC$6,"A-",IF(H37&lt;'PlayerGrades+'!$AC$5,"A",IF(H37&lt;'PlayerGrades+'!$AC$4,"A+",IF(H37&lt;'PlayerGrades+'!$AC$3,"S-",IF(H37&lt;'PlayerGrades+'!$AC$2,"S","S+"))))))))))))))))))))</f>
        <v>C-</v>
      </c>
      <c r="J37" s="961">
        <f t="shared" si="4"/>
        <v>0.1488833747</v>
      </c>
      <c r="K37" s="961" t="str">
        <f>IF(J37&lt;'PlayerGrades+'!$AD$21,"F-",IF(J37&lt;'PlayerGrades+'!$AD$20,"F",IF(J37&lt;'PlayerGrades+'!$AD$19,"F+",IF(J37&lt;'PlayerGrades+'!$AD$18,"E-",IF(J37&lt;'PlayerGrades+'!$AD$17,"E",IF(J37&lt;'PlayerGrades+'!$AD$16,"E+",IF(J37&lt;'PlayerGrades+'!$AD$15,"D-",IF(J37&lt;'PlayerGrades+'!$AD$14,"D",IF(J37&lt;'PlayerGrades+'!$AD$13,"D+",IF(J37&lt;'PlayerGrades+'!$AD$12,"C-",IF(J37&lt;'PlayerGrades+'!$AD$11,"C",IF(J37&lt;'PlayerGrades+'!$AD$10,"C+",IF(J37&lt;'PlayerGrades+'!$AD$9,"B-",IF(J37&lt;'PlayerGrades+'!$AD$8,"B",IF(J37&lt;'PlayerGrades+'!$AD$7,"B+",IF(J37&lt;'PlayerGrades+'!$AD$6,"A-",IF(J37&lt;'PlayerGrades+'!$AD$5,"A",IF(J37&lt;'PlayerGrades+'!$AD$4,"A+",IF(J37&lt;'PlayerGrades+'!$AD$3,"S-",IF(J37&lt;'PlayerGrades+'!$AD$2,"S","S+"))))))))))))))))))))</f>
        <v>S</v>
      </c>
      <c r="L37" s="992">
        <f t="shared" si="5"/>
        <v>0.4466501241</v>
      </c>
      <c r="M37" s="992" t="str">
        <f>IF(L37&lt;'PlayerGrades+'!$AE$21,"F-",IF(L37&lt;'PlayerGrades+'!$AE$20,"F",IF(L37&lt;'PlayerGrades+'!$AE$19,"F+",IF(L37&lt;'PlayerGrades+'!$AE$18,"E-",IF(L37&lt;'PlayerGrades+'!$AE$17,"E",IF(L37&lt;'PlayerGrades+'!$AE$16,"E+",IF(L37&lt;'PlayerGrades+'!$AE$15,"D-",IF(L37&lt;'PlayerGrades+'!$AE$14,"D",IF(L37&lt;'PlayerGrades+'!$AE$13,"D+",IF(L37&lt;'PlayerGrades+'!$AE$12,"C-",IF(L37&lt;'PlayerGrades+'!$AE$11,"C",IF(L37&lt;'PlayerGrades+'!$AE$10,"C+",IF(L37&lt;'PlayerGrades+'!$AE$9,"B-",IF(L37&lt;'PlayerGrades+'!$AE$8,"B",IF(L37&lt;'PlayerGrades+'!$AE$7,"B+",IF(L37&lt;'PlayerGrades+'!$AE$6,"A-",IF(L37&lt;'PlayerGrades+'!$AE$5,"A",IF(L37&lt;'PlayerGrades+'!$AE$4,"A+",IF(L37&lt;'PlayerGrades+'!$AE$3,"S-",IF(L37&lt;'PlayerGrades+'!$AE$2,"S","S+"))))))))))))))))))))</f>
        <v>B-</v>
      </c>
      <c r="N37" s="961">
        <f t="shared" si="6"/>
        <v>0.1488833747</v>
      </c>
      <c r="O37" s="961" t="str">
        <f>IF(N37&lt;'PlayerGrades+'!$AF$21,"F-",IF(N37&lt;'PlayerGrades+'!$AF$20,"F",IF(N37&lt;'PlayerGrades+'!$AF$19,"F+",IF(N37&lt;'PlayerGrades+'!$AF$18,"E-",IF(N37&lt;'PlayerGrades+'!$AF$17,"E",IF(N37&lt;'PlayerGrades+'!$AF$16,"E+",IF(N37&lt;'PlayerGrades+'!$AF$15,"D-",IF(N37&lt;'PlayerGrades+'!$AF$14,"D",IF(N37&lt;'PlayerGrades+'!$AF$13,"D+",IF(N37&lt;'PlayerGrades+'!$AF$12,"C-",IF(N37&lt;'PlayerGrades+'!$AF$11,"C",IF(N37&lt;'PlayerGrades+'!$AF$10,"C+",IF(N37&lt;'PlayerGrades+'!$AF$9,"B-",IF(N37&lt;'PlayerGrades+'!$AF$8,"B",IF(N37&lt;'PlayerGrades+'!$AF$7,"B+",IF(N37&lt;'PlayerGrades+'!$AF$6,"A-",IF(N37&lt;'PlayerGrades+'!$AF$5,"A",IF(N37&lt;'PlayerGrades+'!$AF$4,"A+",IF(N37&lt;'PlayerGrades+'!$AF$3,"S-",IF(N37&lt;'PlayerGrades+'!$AF$2,"S","S+"))))))))))))))))))))</f>
        <v>B+</v>
      </c>
      <c r="P37" s="961">
        <f t="shared" si="7"/>
        <v>0.7444168734</v>
      </c>
      <c r="Q37" s="961" t="str">
        <f>IF(P37&lt;'PlayerGrades+'!$AG$21,"F-",IF(P37&lt;'PlayerGrades+'!$AG$20,"F",IF(P37&lt;'PlayerGrades+'!$AG$19,"F+",IF(P37&lt;'PlayerGrades+'!$AG$18,"E-",IF(P37&lt;'PlayerGrades+'!$AG$17,"E",IF(P37&lt;'PlayerGrades+'!$AG$16,"E+",IF(P37&lt;'PlayerGrades+'!$AG$15,"D-",IF(P37&lt;'PlayerGrades+'!$AG$14,"D",IF(P37&lt;'PlayerGrades+'!$AG$13,"D+",IF(P37&lt;'PlayerGrades+'!$AG$12,"C-",IF(P37&lt;'PlayerGrades+'!$AG$11,"C",IF(P37&lt;'PlayerGrades+'!$AG$10,"C+",IF(P37&lt;'PlayerGrades+'!$AG$9,"B-",IF(P37&lt;'PlayerGrades+'!$AG$8,"B",IF(P37&lt;'PlayerGrades+'!$AG$7,"B+",IF(P37&lt;'PlayerGrades+'!$AG$6,"A-",IF(P37&lt;'PlayerGrades+'!$AG$5,"A",IF(P37&lt;'PlayerGrades+'!$AG$4,"A+",IF(P37&lt;'PlayerGrades+'!$AG$3,"S-",IF(P37&lt;'PlayerGrades+'!$AG$2,"S","S+"))))))))))))))))))))</f>
        <v>B+</v>
      </c>
      <c r="R37" s="961">
        <f t="shared" si="8"/>
        <v>0</v>
      </c>
      <c r="S37" s="961" t="str">
        <f>IF(R37&lt;'PlayerGrades+'!$AH$21,"F-",IF(R37&lt;'PlayerGrades+'!$AH$20,"F",IF(R37&lt;'PlayerGrades+'!$AH$19,"F+",IF(R37&lt;'PlayerGrades+'!$AH$18,"E-",IF(R37&lt;'PlayerGrades+'!$AH$17,"E",IF(R37&lt;'PlayerGrades+'!$AH$16,"E+",IF(R37&lt;'PlayerGrades+'!$AH$15,"D-",IF(R37&lt;'PlayerGrades+'!$AH$14,"D",IF(R37&lt;'PlayerGrades+'!$AH$13,"D+",IF(R37&lt;'PlayerGrades+'!$AH$12,"C-",IF(R37&lt;'PlayerGrades+'!$AH$11,"C",IF(R37&lt;'PlayerGrades+'!$AH$10,"C+",IF(R37&lt;'PlayerGrades+'!$AH$9,"B-",IF(R37&lt;'PlayerGrades+'!$AH$8,"B",IF(R37&lt;'PlayerGrades+'!$AH$7,"B+",IF(R37&lt;'PlayerGrades+'!$AH$6,"A-",IF(R37&lt;'PlayerGrades+'!$AH$5,"A",IF(R37&lt;'PlayerGrades+'!$AH$4,"A+",IF(R37&lt;'PlayerGrades+'!$AH$3,"S-",IF(R37&lt;'PlayerGrades+'!$AH$2,"S","S+"))))))))))))))))))))</f>
        <v>F-</v>
      </c>
      <c r="T37" s="961">
        <f t="shared" si="9"/>
        <v>2.53101737</v>
      </c>
      <c r="U37" s="961" t="str">
        <f>IF(T37&lt;'PlayerGrades+'!$AI$21,"F-",IF(T37&lt;'PlayerGrades+'!$AI$20,"F",IF(T37&lt;'PlayerGrades+'!$AI$19,"F+",IF(T37&lt;'PlayerGrades+'!$AI$18,"E-",IF(T37&lt;'PlayerGrades+'!$AI$17,"E",IF(T37&lt;'PlayerGrades+'!$AI$16,"E+",IF(T37&lt;'PlayerGrades+'!$AI$15,"D-",IF(T37&lt;'PlayerGrades+'!$AI$14,"D",IF(T37&lt;'PlayerGrades+'!$AI$13,"D+",IF(T37&lt;'PlayerGrades+'!$AI$12,"C-",IF(T37&lt;'PlayerGrades+'!$AI$11,"C",IF(T37&lt;'PlayerGrades+'!$AI$10,"C+",IF(T37&lt;'PlayerGrades+'!$AI$9,"B-",IF(T37&lt;'PlayerGrades+'!$AI$8,"B",IF(T37&lt;'PlayerGrades+'!$AI$7,"B+",IF(T37&lt;'PlayerGrades+'!$AI$6,"A-",IF(T37&lt;'PlayerGrades+'!$AI$5,"A",IF(T37&lt;'PlayerGrades+'!$AI$4,"A+",IF(T37&lt;'PlayerGrades+'!$AI$3,"S-",IF(T37&lt;'PlayerGrades+'!$AI$2,"S","S+"))))))))))))))))))))</f>
        <v>D-</v>
      </c>
      <c r="V37" s="1017">
        <v>1.0</v>
      </c>
      <c r="W37" s="1017">
        <v>0.0</v>
      </c>
      <c r="X37" s="1017">
        <v>2.0</v>
      </c>
      <c r="Y37" s="1017">
        <v>0.0</v>
      </c>
      <c r="Z37" s="1282">
        <v>17.0</v>
      </c>
      <c r="AA37" s="1282">
        <v>24.0</v>
      </c>
      <c r="AB37" s="1017">
        <f t="shared" si="10"/>
        <v>-7</v>
      </c>
      <c r="AC37" s="1020">
        <f t="shared" si="11"/>
        <v>0.7083333333</v>
      </c>
      <c r="AD37" s="1022">
        <v>0.0</v>
      </c>
      <c r="AE37" s="1283">
        <v>403.0</v>
      </c>
      <c r="AF37" s="1282">
        <v>1.0</v>
      </c>
      <c r="AG37" s="1285">
        <v>0.0</v>
      </c>
      <c r="AH37" s="1285">
        <v>0.0</v>
      </c>
      <c r="AI37" s="1285">
        <v>0.0</v>
      </c>
      <c r="AJ37" s="1282">
        <v>1.0</v>
      </c>
      <c r="AK37" s="1282">
        <v>3.0</v>
      </c>
      <c r="AL37" s="1282">
        <v>1.0</v>
      </c>
      <c r="AM37" s="1282">
        <v>0.0</v>
      </c>
      <c r="AN37" s="1282">
        <v>0.0</v>
      </c>
      <c r="AO37" s="1282">
        <v>0.0</v>
      </c>
      <c r="AP37" s="1282">
        <v>0.0</v>
      </c>
      <c r="AQ37" s="1282">
        <v>0.0</v>
      </c>
      <c r="AR37" s="1282">
        <v>0.0</v>
      </c>
      <c r="AS37" s="1282">
        <v>0.0</v>
      </c>
      <c r="AT37" s="1282">
        <v>0.0</v>
      </c>
      <c r="AU37" s="1282">
        <v>3.0</v>
      </c>
      <c r="AV37" s="1282">
        <v>0.0</v>
      </c>
      <c r="AW37" s="1282">
        <v>0.0</v>
      </c>
      <c r="AX37" s="1282">
        <v>0.0</v>
      </c>
      <c r="AY37" s="1282">
        <v>0.0</v>
      </c>
      <c r="AZ37" s="1287">
        <v>0.0</v>
      </c>
    </row>
    <row r="38">
      <c r="A38" s="1277" t="s">
        <v>80</v>
      </c>
      <c r="B38" s="1100" t="str">
        <f>IF(C38&lt;'PlayerGrades+'!$Y$44,"F-",IF(C38&lt;'PlayerGrades+'!$Y$43,"F",IF(C38&lt;'PlayerGrades+'!$Y$42,"F+",IF(C38&lt;'PlayerGrades+'!$Y$41,"E-",IF(C38&lt;'PlayerGrades+'!$Y$40,"E",IF(C38&lt;'PlayerGrades+'!$Y$39,"E+",IF(C38&lt;'PlayerGrades+'!$Y$38,"D-",IF(C38&lt;'PlayerGrades+'!$Y$37,"D",IF(C38&lt;'PlayerGrades+'!$Y$36,"D+",IF(C38&lt;'PlayerGrades+'!$Y$35,"C-",IF(C38&lt;'PlayerGrades+'!$Y$34,"C",IF(C38&lt;'PlayerGrades+'!$Y$33,"C+",IF(C38&lt;'PlayerGrades+'!$Y$32,"B-",IF(C38&lt;'PlayerGrades+'!$Y$31,"B",IF(C38&lt;'PlayerGrades+'!$Y$30,"B+",IF(C38&lt;'PlayerGrades+'!$Y$29,"A-",IF(C38&lt;'PlayerGrades+'!$Y$28,"A",IF(C38&lt;'PlayerGrades+'!$Y$27,"A+",IF(C38&lt;'PlayerGrades+'!$Y$26,"S-",IF(C38&lt;'PlayerGrades+'!$Y$25,"S","S+"))))))))))))))))))))</f>
        <v>E</v>
      </c>
      <c r="C38" s="1105">
        <f>('PlayerGrades+'!$Y$47*(VLOOKUP(E38, 'PlayerGrades+'!$X$3:$Y$23, 2, FALSE)))+('PlayerGrades+'!$Y$48*(VLOOKUP(G38, 'PlayerGrades+'!$X$3:$Y$23, 2, FALSE)))+('PlayerGrades+'!$Y$49*(VLOOKUP(I38, 'PlayerGrades+'!$X$3:$Y$23, 2, FALSE)))+('PlayerGrades+'!$Y$50*(VLOOKUP(K38, 'PlayerGrades+'!$X$3:$Y$23, 2, FALSE)))+('PlayerGrades+'!$Y$51*(VLOOKUP(M38, 'PlayerGrades+'!$X$3:$Y$23, 2, FALSE)))+('PlayerGrades+'!$Y$52*(VLOOKUP(O38, 'PlayerGrades+'!$X$3:$Y$23, 2, FALSE)))+('PlayerGrades+'!$Y$53*(VLOOKUP(Q38, 'PlayerGrades+'!$X$3:$Y$23, 2, FALSE)))+('PlayerGrades+'!$Y$54*(VLOOKUP(S38, 'PlayerGrades+'!$X$3:$Y$23, 2, FALSE)))+('PlayerGrades+'!$Y$55*(VLOOKUP(U38, 'PlayerGrades+'!$X$3:$Y$23, 2, FALSE)))</f>
        <v>11</v>
      </c>
      <c r="D38" s="961">
        <f t="shared" si="1"/>
        <v>0</v>
      </c>
      <c r="E38" s="961" t="str">
        <f>IF(D38&lt;'PlayerGrades+'!$AA$21,"F-",IF(D38&lt;'PlayerGrades+'!$AA$20,"F",IF(D38&lt;'PlayerGrades+'!$AA$19,"F+",IF(D38&lt;'PlayerGrades+'!$AA$18,"E-",IF(D38&lt;'PlayerGrades+'!$AA$17,"E",IF(D38&lt;'PlayerGrades+'!$AA$16,"E+",IF(D38&lt;'PlayerGrades+'!$AA$15,"D-",IF(D38&lt;'PlayerGrades+'!$AA$14,"D",IF(D38&lt;'PlayerGrades+'!$AA$13,"D+",IF(D38&lt;'PlayerGrades+'!$AA$12,"C-",IF(D38&lt;'PlayerGrades+'!$AA$11,"C",IF(D38&lt;'PlayerGrades+'!$AA$10,"C+",IF(D38&lt;'PlayerGrades+'!$AA$9,"B-",IF(D38&lt;'PlayerGrades+'!$AA$8,"B",IF(D38&lt;'PlayerGrades+'!$AA$7,"B+",IF(D38&lt;'PlayerGrades+'!$AA$6,"A-",IF(D38&lt;'PlayerGrades+'!$AA$5,"A",IF(D38&lt;'PlayerGrades+'!$AA$4,"A+",IF(D38&lt;'PlayerGrades+'!$AA$3,"S-",IF(D38&lt;'PlayerGrades+'!$AA$2,"S","S+"))))))))))))))))))))</f>
        <v>F-</v>
      </c>
      <c r="F38" s="961">
        <f t="shared" si="2"/>
        <v>0.07231478199</v>
      </c>
      <c r="G38" s="961" t="str">
        <f>IF(F38&lt;'PlayerGrades+'!$AB$21,"F-",IF(F38&lt;'PlayerGrades+'!$AB$20,"F",IF(F38&lt;'PlayerGrades+'!$AB$19,"F+",IF(F38&lt;'PlayerGrades+'!$AB$18,"E-",IF(F38&lt;'PlayerGrades+'!$AB$17,"E",IF(F38&lt;'PlayerGrades+'!$AB$16,"E+",IF(F38&lt;'PlayerGrades+'!$AB$15,"D-",IF(F38&lt;'PlayerGrades+'!$AB$14,"D",IF(F38&lt;'PlayerGrades+'!$AB$13,"D+",IF(F38&lt;'PlayerGrades+'!$AB$12,"C-",IF(F38&lt;'PlayerGrades+'!$AB$11,"C",IF(F38&lt;'PlayerGrades+'!$AB$10,"C+",IF(F38&lt;'PlayerGrades+'!$AB$9,"B-",IF(F38&lt;'PlayerGrades+'!$AB$8,"B",IF(F38&lt;'PlayerGrades+'!$AB$7,"B+",IF(F38&lt;'PlayerGrades+'!$AB$6,"A-",IF(F38&lt;'PlayerGrades+'!$AB$5,"A",IF(F38&lt;'PlayerGrades+'!$AB$4,"A+",IF(F38&lt;'PlayerGrades+'!$AB$3,"S-",IF(F38&lt;'PlayerGrades+'!$AB$2,"S","S+"))))))))))))))))))))</f>
        <v>A</v>
      </c>
      <c r="H38" s="961">
        <f t="shared" si="3"/>
        <v>0.4466501241</v>
      </c>
      <c r="I38" s="961" t="str">
        <f>IF(H38&lt;'PlayerGrades+'!$AC$21,"F-",IF(H38&lt;'PlayerGrades+'!$AC$20,"F",IF(H38&lt;'PlayerGrades+'!$AC$19,"F+",IF(H38&lt;'PlayerGrades+'!$AC$18,"E-",IF(H38&lt;'PlayerGrades+'!$AC$17,"E",IF(H38&lt;'PlayerGrades+'!$AC$16,"E+",IF(H38&lt;'PlayerGrades+'!$AC$15,"D-",IF(H38&lt;'PlayerGrades+'!$AC$14,"D",IF(H38&lt;'PlayerGrades+'!$AC$13,"D+",IF(H38&lt;'PlayerGrades+'!$AC$12,"C-",IF(H38&lt;'PlayerGrades+'!$AC$11,"C",IF(H38&lt;'PlayerGrades+'!$AC$10,"C+",IF(H38&lt;'PlayerGrades+'!$AC$9,"B-",IF(H38&lt;'PlayerGrades+'!$AC$8,"B",IF(H38&lt;'PlayerGrades+'!$AC$7,"B+",IF(H38&lt;'PlayerGrades+'!$AC$6,"A-",IF(H38&lt;'PlayerGrades+'!$AC$5,"A",IF(H38&lt;'PlayerGrades+'!$AC$4,"A+",IF(H38&lt;'PlayerGrades+'!$AC$3,"S-",IF(H38&lt;'PlayerGrades+'!$AC$2,"S","S+"))))))))))))))))))))</f>
        <v>C-</v>
      </c>
      <c r="J38" s="961">
        <f t="shared" si="4"/>
        <v>0</v>
      </c>
      <c r="K38" s="961" t="str">
        <f>IF(J38&lt;'PlayerGrades+'!$AD$21,"F-",IF(J38&lt;'PlayerGrades+'!$AD$20,"F",IF(J38&lt;'PlayerGrades+'!$AD$19,"F+",IF(J38&lt;'PlayerGrades+'!$AD$18,"E-",IF(J38&lt;'PlayerGrades+'!$AD$17,"E",IF(J38&lt;'PlayerGrades+'!$AD$16,"E+",IF(J38&lt;'PlayerGrades+'!$AD$15,"D-",IF(J38&lt;'PlayerGrades+'!$AD$14,"D",IF(J38&lt;'PlayerGrades+'!$AD$13,"D+",IF(J38&lt;'PlayerGrades+'!$AD$12,"C-",IF(J38&lt;'PlayerGrades+'!$AD$11,"C",IF(J38&lt;'PlayerGrades+'!$AD$10,"C+",IF(J38&lt;'PlayerGrades+'!$AD$9,"B-",IF(J38&lt;'PlayerGrades+'!$AD$8,"B",IF(J38&lt;'PlayerGrades+'!$AD$7,"B+",IF(J38&lt;'PlayerGrades+'!$AD$6,"A-",IF(J38&lt;'PlayerGrades+'!$AD$5,"A",IF(J38&lt;'PlayerGrades+'!$AD$4,"A+",IF(J38&lt;'PlayerGrades+'!$AD$3,"S-",IF(J38&lt;'PlayerGrades+'!$AD$2,"S","S+"))))))))))))))))))))</f>
        <v>F-</v>
      </c>
      <c r="L38" s="992">
        <f t="shared" si="5"/>
        <v>0.2977667494</v>
      </c>
      <c r="M38" s="992" t="str">
        <f>IF(L38&lt;'PlayerGrades+'!$AE$21,"F-",IF(L38&lt;'PlayerGrades+'!$AE$20,"F",IF(L38&lt;'PlayerGrades+'!$AE$19,"F+",IF(L38&lt;'PlayerGrades+'!$AE$18,"E-",IF(L38&lt;'PlayerGrades+'!$AE$17,"E",IF(L38&lt;'PlayerGrades+'!$AE$16,"E+",IF(L38&lt;'PlayerGrades+'!$AE$15,"D-",IF(L38&lt;'PlayerGrades+'!$AE$14,"D",IF(L38&lt;'PlayerGrades+'!$AE$13,"D+",IF(L38&lt;'PlayerGrades+'!$AE$12,"C-",IF(L38&lt;'PlayerGrades+'!$AE$11,"C",IF(L38&lt;'PlayerGrades+'!$AE$10,"C+",IF(L38&lt;'PlayerGrades+'!$AE$9,"B-",IF(L38&lt;'PlayerGrades+'!$AE$8,"B",IF(L38&lt;'PlayerGrades+'!$AE$7,"B+",IF(L38&lt;'PlayerGrades+'!$AE$6,"A-",IF(L38&lt;'PlayerGrades+'!$AE$5,"A",IF(L38&lt;'PlayerGrades+'!$AE$4,"A+",IF(L38&lt;'PlayerGrades+'!$AE$3,"S-",IF(L38&lt;'PlayerGrades+'!$AE$2,"S","S+"))))))))))))))))))))</f>
        <v>F+</v>
      </c>
      <c r="N38" s="961">
        <f t="shared" si="6"/>
        <v>0</v>
      </c>
      <c r="O38" s="961" t="str">
        <f>IF(N38&lt;'PlayerGrades+'!$AF$21,"F-",IF(N38&lt;'PlayerGrades+'!$AF$20,"F",IF(N38&lt;'PlayerGrades+'!$AF$19,"F+",IF(N38&lt;'PlayerGrades+'!$AF$18,"E-",IF(N38&lt;'PlayerGrades+'!$AF$17,"E",IF(N38&lt;'PlayerGrades+'!$AF$16,"E+",IF(N38&lt;'PlayerGrades+'!$AF$15,"D-",IF(N38&lt;'PlayerGrades+'!$AF$14,"D",IF(N38&lt;'PlayerGrades+'!$AF$13,"D+",IF(N38&lt;'PlayerGrades+'!$AF$12,"C-",IF(N38&lt;'PlayerGrades+'!$AF$11,"C",IF(N38&lt;'PlayerGrades+'!$AF$10,"C+",IF(N38&lt;'PlayerGrades+'!$AF$9,"B-",IF(N38&lt;'PlayerGrades+'!$AF$8,"B",IF(N38&lt;'PlayerGrades+'!$AF$7,"B+",IF(N38&lt;'PlayerGrades+'!$AF$6,"A-",IF(N38&lt;'PlayerGrades+'!$AF$5,"A",IF(N38&lt;'PlayerGrades+'!$AF$4,"A+",IF(N38&lt;'PlayerGrades+'!$AF$3,"S-",IF(N38&lt;'PlayerGrades+'!$AF$2,"S","S+"))))))))))))))))))))</f>
        <v>F-</v>
      </c>
      <c r="P38" s="961">
        <f t="shared" si="7"/>
        <v>0.2977667494</v>
      </c>
      <c r="Q38" s="961" t="str">
        <f>IF(P38&lt;'PlayerGrades+'!$AG$21,"F-",IF(P38&lt;'PlayerGrades+'!$AG$20,"F",IF(P38&lt;'PlayerGrades+'!$AG$19,"F+",IF(P38&lt;'PlayerGrades+'!$AG$18,"E-",IF(P38&lt;'PlayerGrades+'!$AG$17,"E",IF(P38&lt;'PlayerGrades+'!$AG$16,"E+",IF(P38&lt;'PlayerGrades+'!$AG$15,"D-",IF(P38&lt;'PlayerGrades+'!$AG$14,"D",IF(P38&lt;'PlayerGrades+'!$AG$13,"D+",IF(P38&lt;'PlayerGrades+'!$AG$12,"C-",IF(P38&lt;'PlayerGrades+'!$AG$11,"C",IF(P38&lt;'PlayerGrades+'!$AG$10,"C+",IF(P38&lt;'PlayerGrades+'!$AG$9,"B-",IF(P38&lt;'PlayerGrades+'!$AG$8,"B",IF(P38&lt;'PlayerGrades+'!$AG$7,"B+",IF(P38&lt;'PlayerGrades+'!$AG$6,"A-",IF(P38&lt;'PlayerGrades+'!$AG$5,"A",IF(P38&lt;'PlayerGrades+'!$AG$4,"A+",IF(P38&lt;'PlayerGrades+'!$AG$3,"S-",IF(P38&lt;'PlayerGrades+'!$AG$2,"S","S+"))))))))))))))))))))</f>
        <v>F</v>
      </c>
      <c r="R38" s="961">
        <f t="shared" si="8"/>
        <v>0.1488833747</v>
      </c>
      <c r="S38" s="961" t="str">
        <f>IF(R38&lt;'PlayerGrades+'!$AH$21,"F-",IF(R38&lt;'PlayerGrades+'!$AH$20,"F",IF(R38&lt;'PlayerGrades+'!$AH$19,"F+",IF(R38&lt;'PlayerGrades+'!$AH$18,"E-",IF(R38&lt;'PlayerGrades+'!$AH$17,"E",IF(R38&lt;'PlayerGrades+'!$AH$16,"E+",IF(R38&lt;'PlayerGrades+'!$AH$15,"D-",IF(R38&lt;'PlayerGrades+'!$AH$14,"D",IF(R38&lt;'PlayerGrades+'!$AH$13,"D+",IF(R38&lt;'PlayerGrades+'!$AH$12,"C-",IF(R38&lt;'PlayerGrades+'!$AH$11,"C",IF(R38&lt;'PlayerGrades+'!$AH$10,"C+",IF(R38&lt;'PlayerGrades+'!$AH$9,"B-",IF(R38&lt;'PlayerGrades+'!$AH$8,"B",IF(R38&lt;'PlayerGrades+'!$AH$7,"B+",IF(R38&lt;'PlayerGrades+'!$AH$6,"A-",IF(R38&lt;'PlayerGrades+'!$AH$5,"A",IF(R38&lt;'PlayerGrades+'!$AH$4,"A+",IF(R38&lt;'PlayerGrades+'!$AH$3,"S-",IF(R38&lt;'PlayerGrades+'!$AH$2,"S","S+"))))))))))))))))))))</f>
        <v>S+</v>
      </c>
      <c r="T38" s="961">
        <f t="shared" si="9"/>
        <v>2.53101737</v>
      </c>
      <c r="U38" s="961" t="str">
        <f>IF(T38&lt;'PlayerGrades+'!$AI$21,"F-",IF(T38&lt;'PlayerGrades+'!$AI$20,"F",IF(T38&lt;'PlayerGrades+'!$AI$19,"F+",IF(T38&lt;'PlayerGrades+'!$AI$18,"E-",IF(T38&lt;'PlayerGrades+'!$AI$17,"E",IF(T38&lt;'PlayerGrades+'!$AI$16,"E+",IF(T38&lt;'PlayerGrades+'!$AI$15,"D-",IF(T38&lt;'PlayerGrades+'!$AI$14,"D",IF(T38&lt;'PlayerGrades+'!$AI$13,"D+",IF(T38&lt;'PlayerGrades+'!$AI$12,"C-",IF(T38&lt;'PlayerGrades+'!$AI$11,"C",IF(T38&lt;'PlayerGrades+'!$AI$10,"C+",IF(T38&lt;'PlayerGrades+'!$AI$9,"B-",IF(T38&lt;'PlayerGrades+'!$AI$8,"B",IF(T38&lt;'PlayerGrades+'!$AI$7,"B+",IF(T38&lt;'PlayerGrades+'!$AI$6,"A-",IF(T38&lt;'PlayerGrades+'!$AI$5,"A",IF(T38&lt;'PlayerGrades+'!$AI$4,"A+",IF(T38&lt;'PlayerGrades+'!$AI$3,"S-",IF(T38&lt;'PlayerGrades+'!$AI$2,"S","S+"))))))))))))))))))))</f>
        <v>D-</v>
      </c>
      <c r="V38" s="1017">
        <v>0.0</v>
      </c>
      <c r="W38" s="1017">
        <v>1.0</v>
      </c>
      <c r="X38" s="1017">
        <v>0.0</v>
      </c>
      <c r="Y38" s="1017">
        <v>0.0</v>
      </c>
      <c r="Z38" s="1282">
        <v>17.0</v>
      </c>
      <c r="AA38" s="1282">
        <v>35.0</v>
      </c>
      <c r="AB38" s="1017">
        <f t="shared" si="10"/>
        <v>-18</v>
      </c>
      <c r="AC38" s="1020">
        <f t="shared" si="11"/>
        <v>0.4857142857</v>
      </c>
      <c r="AD38" s="1022">
        <v>0.0</v>
      </c>
      <c r="AE38" s="1283">
        <v>403.0</v>
      </c>
      <c r="AF38" s="1282">
        <v>0.0</v>
      </c>
      <c r="AG38" s="1285">
        <v>0.0</v>
      </c>
      <c r="AH38" s="1285">
        <v>0.0</v>
      </c>
      <c r="AI38" s="1285">
        <v>0.0</v>
      </c>
      <c r="AJ38" s="1282">
        <v>0.0</v>
      </c>
      <c r="AK38" s="1282">
        <v>2.0</v>
      </c>
      <c r="AL38" s="1282">
        <v>0.0</v>
      </c>
      <c r="AM38" s="1282">
        <v>0.0</v>
      </c>
      <c r="AN38" s="1282">
        <v>0.0</v>
      </c>
      <c r="AO38" s="1282">
        <v>0.0</v>
      </c>
      <c r="AP38" s="1282">
        <v>0.0</v>
      </c>
      <c r="AQ38" s="1282">
        <v>0.0</v>
      </c>
      <c r="AR38" s="1282">
        <v>0.0</v>
      </c>
      <c r="AS38" s="1282">
        <v>0.0</v>
      </c>
      <c r="AT38" s="1282">
        <v>0.0</v>
      </c>
      <c r="AU38" s="1282">
        <v>3.0</v>
      </c>
      <c r="AV38" s="1282">
        <v>0.0</v>
      </c>
      <c r="AW38" s="1282">
        <v>0.0</v>
      </c>
      <c r="AX38" s="1282">
        <v>0.0</v>
      </c>
      <c r="AY38" s="1282">
        <v>1.0</v>
      </c>
      <c r="AZ38" s="1287">
        <v>0.0</v>
      </c>
    </row>
    <row r="39">
      <c r="A39" s="1277" t="s">
        <v>93</v>
      </c>
      <c r="B39" s="1100" t="str">
        <f>IF(C39&lt;'PlayerGrades+'!$Y$44,"F-",IF(C39&lt;'PlayerGrades+'!$Y$43,"F",IF(C39&lt;'PlayerGrades+'!$Y$42,"F+",IF(C39&lt;'PlayerGrades+'!$Y$41,"E-",IF(C39&lt;'PlayerGrades+'!$Y$40,"E",IF(C39&lt;'PlayerGrades+'!$Y$39,"E+",IF(C39&lt;'PlayerGrades+'!$Y$38,"D-",IF(C39&lt;'PlayerGrades+'!$Y$37,"D",IF(C39&lt;'PlayerGrades+'!$Y$36,"D+",IF(C39&lt;'PlayerGrades+'!$Y$35,"C-",IF(C39&lt;'PlayerGrades+'!$Y$34,"C",IF(C39&lt;'PlayerGrades+'!$Y$33,"C+",IF(C39&lt;'PlayerGrades+'!$Y$32,"B-",IF(C39&lt;'PlayerGrades+'!$Y$31,"B",IF(C39&lt;'PlayerGrades+'!$Y$30,"B+",IF(C39&lt;'PlayerGrades+'!$Y$29,"A-",IF(C39&lt;'PlayerGrades+'!$Y$28,"A",IF(C39&lt;'PlayerGrades+'!$Y$27,"A+",IF(C39&lt;'PlayerGrades+'!$Y$26,"S-",IF(C39&lt;'PlayerGrades+'!$Y$25,"S","S+"))))))))))))))))))))</f>
        <v>E+</v>
      </c>
      <c r="C39" s="1105">
        <f>('PlayerGrades+'!$Y$47*(VLOOKUP(E39, 'PlayerGrades+'!$X$3:$Y$23, 2, FALSE)))+('PlayerGrades+'!$Y$48*(VLOOKUP(G39, 'PlayerGrades+'!$X$3:$Y$23, 2, FALSE)))+('PlayerGrades+'!$Y$49*(VLOOKUP(I39, 'PlayerGrades+'!$X$3:$Y$23, 2, FALSE)))+('PlayerGrades+'!$Y$50*(VLOOKUP(K39, 'PlayerGrades+'!$X$3:$Y$23, 2, FALSE)))+('PlayerGrades+'!$Y$51*(VLOOKUP(M39, 'PlayerGrades+'!$X$3:$Y$23, 2, FALSE)))+('PlayerGrades+'!$Y$52*(VLOOKUP(O39, 'PlayerGrades+'!$X$3:$Y$23, 2, FALSE)))+('PlayerGrades+'!$Y$53*(VLOOKUP(Q39, 'PlayerGrades+'!$X$3:$Y$23, 2, FALSE)))+('PlayerGrades+'!$Y$54*(VLOOKUP(S39, 'PlayerGrades+'!$X$3:$Y$23, 2, FALSE)))+('PlayerGrades+'!$Y$55*(VLOOKUP(U39, 'PlayerGrades+'!$X$3:$Y$23, 2, FALSE)))</f>
        <v>11.525</v>
      </c>
      <c r="D39" s="961">
        <f t="shared" si="1"/>
        <v>0</v>
      </c>
      <c r="E39" s="961" t="str">
        <f>IF(D39&lt;'PlayerGrades+'!$AA$21,"F-",IF(D39&lt;'PlayerGrades+'!$AA$20,"F",IF(D39&lt;'PlayerGrades+'!$AA$19,"F+",IF(D39&lt;'PlayerGrades+'!$AA$18,"E-",IF(D39&lt;'PlayerGrades+'!$AA$17,"E",IF(D39&lt;'PlayerGrades+'!$AA$16,"E+",IF(D39&lt;'PlayerGrades+'!$AA$15,"D-",IF(D39&lt;'PlayerGrades+'!$AA$14,"D",IF(D39&lt;'PlayerGrades+'!$AA$13,"D+",IF(D39&lt;'PlayerGrades+'!$AA$12,"C-",IF(D39&lt;'PlayerGrades+'!$AA$11,"C",IF(D39&lt;'PlayerGrades+'!$AA$10,"C+",IF(D39&lt;'PlayerGrades+'!$AA$9,"B-",IF(D39&lt;'PlayerGrades+'!$AA$8,"B",IF(D39&lt;'PlayerGrades+'!$AA$7,"B+",IF(D39&lt;'PlayerGrades+'!$AA$6,"A-",IF(D39&lt;'PlayerGrades+'!$AA$5,"A",IF(D39&lt;'PlayerGrades+'!$AA$4,"A+",IF(D39&lt;'PlayerGrades+'!$AA$3,"S-",IF(D39&lt;'PlayerGrades+'!$AA$2,"S","S+"))))))))))))))))))))</f>
        <v>F-</v>
      </c>
      <c r="F39" s="961">
        <f t="shared" si="2"/>
        <v>0.09039347749</v>
      </c>
      <c r="G39" s="961" t="str">
        <f>IF(F39&lt;'PlayerGrades+'!$AB$21,"F-",IF(F39&lt;'PlayerGrades+'!$AB$20,"F",IF(F39&lt;'PlayerGrades+'!$AB$19,"F+",IF(F39&lt;'PlayerGrades+'!$AB$18,"E-",IF(F39&lt;'PlayerGrades+'!$AB$17,"E",IF(F39&lt;'PlayerGrades+'!$AB$16,"E+",IF(F39&lt;'PlayerGrades+'!$AB$15,"D-",IF(F39&lt;'PlayerGrades+'!$AB$14,"D",IF(F39&lt;'PlayerGrades+'!$AB$13,"D+",IF(F39&lt;'PlayerGrades+'!$AB$12,"C-",IF(F39&lt;'PlayerGrades+'!$AB$11,"C",IF(F39&lt;'PlayerGrades+'!$AB$10,"C+",IF(F39&lt;'PlayerGrades+'!$AB$9,"B-",IF(F39&lt;'PlayerGrades+'!$AB$8,"B",IF(F39&lt;'PlayerGrades+'!$AB$7,"B+",IF(F39&lt;'PlayerGrades+'!$AB$6,"A-",IF(F39&lt;'PlayerGrades+'!$AB$5,"A",IF(F39&lt;'PlayerGrades+'!$AB$4,"A+",IF(F39&lt;'PlayerGrades+'!$AB$3,"S-",IF(F39&lt;'PlayerGrades+'!$AB$2,"S","S+"))))))))))))))))))))</f>
        <v>A</v>
      </c>
      <c r="H39" s="961">
        <f t="shared" si="3"/>
        <v>0.4466501241</v>
      </c>
      <c r="I39" s="961" t="str">
        <f>IF(H39&lt;'PlayerGrades+'!$AC$21,"F-",IF(H39&lt;'PlayerGrades+'!$AC$20,"F",IF(H39&lt;'PlayerGrades+'!$AC$19,"F+",IF(H39&lt;'PlayerGrades+'!$AC$18,"E-",IF(H39&lt;'PlayerGrades+'!$AC$17,"E",IF(H39&lt;'PlayerGrades+'!$AC$16,"E+",IF(H39&lt;'PlayerGrades+'!$AC$15,"D-",IF(H39&lt;'PlayerGrades+'!$AC$14,"D",IF(H39&lt;'PlayerGrades+'!$AC$13,"D+",IF(H39&lt;'PlayerGrades+'!$AC$12,"C-",IF(H39&lt;'PlayerGrades+'!$AC$11,"C",IF(H39&lt;'PlayerGrades+'!$AC$10,"C+",IF(H39&lt;'PlayerGrades+'!$AC$9,"B-",IF(H39&lt;'PlayerGrades+'!$AC$8,"B",IF(H39&lt;'PlayerGrades+'!$AC$7,"B+",IF(H39&lt;'PlayerGrades+'!$AC$6,"A-",IF(H39&lt;'PlayerGrades+'!$AC$5,"A",IF(H39&lt;'PlayerGrades+'!$AC$4,"A+",IF(H39&lt;'PlayerGrades+'!$AC$3,"S-",IF(H39&lt;'PlayerGrades+'!$AC$2,"S","S+"))))))))))))))))))))</f>
        <v>C-</v>
      </c>
      <c r="J39" s="961">
        <f t="shared" si="4"/>
        <v>0</v>
      </c>
      <c r="K39" s="961" t="str">
        <f>IF(J39&lt;'PlayerGrades+'!$AD$21,"F-",IF(J39&lt;'PlayerGrades+'!$AD$20,"F",IF(J39&lt;'PlayerGrades+'!$AD$19,"F+",IF(J39&lt;'PlayerGrades+'!$AD$18,"E-",IF(J39&lt;'PlayerGrades+'!$AD$17,"E",IF(J39&lt;'PlayerGrades+'!$AD$16,"E+",IF(J39&lt;'PlayerGrades+'!$AD$15,"D-",IF(J39&lt;'PlayerGrades+'!$AD$14,"D",IF(J39&lt;'PlayerGrades+'!$AD$13,"D+",IF(J39&lt;'PlayerGrades+'!$AD$12,"C-",IF(J39&lt;'PlayerGrades+'!$AD$11,"C",IF(J39&lt;'PlayerGrades+'!$AD$10,"C+",IF(J39&lt;'PlayerGrades+'!$AD$9,"B-",IF(J39&lt;'PlayerGrades+'!$AD$8,"B",IF(J39&lt;'PlayerGrades+'!$AD$7,"B+",IF(J39&lt;'PlayerGrades+'!$AD$6,"A-",IF(J39&lt;'PlayerGrades+'!$AD$5,"A",IF(J39&lt;'PlayerGrades+'!$AD$4,"A+",IF(J39&lt;'PlayerGrades+'!$AD$3,"S-",IF(J39&lt;'PlayerGrades+'!$AD$2,"S","S+"))))))))))))))))))))</f>
        <v>F-</v>
      </c>
      <c r="L39" s="992">
        <f t="shared" si="5"/>
        <v>0.2977667494</v>
      </c>
      <c r="M39" s="992" t="str">
        <f>IF(L39&lt;'PlayerGrades+'!$AE$21,"F-",IF(L39&lt;'PlayerGrades+'!$AE$20,"F",IF(L39&lt;'PlayerGrades+'!$AE$19,"F+",IF(L39&lt;'PlayerGrades+'!$AE$18,"E-",IF(L39&lt;'PlayerGrades+'!$AE$17,"E",IF(L39&lt;'PlayerGrades+'!$AE$16,"E+",IF(L39&lt;'PlayerGrades+'!$AE$15,"D-",IF(L39&lt;'PlayerGrades+'!$AE$14,"D",IF(L39&lt;'PlayerGrades+'!$AE$13,"D+",IF(L39&lt;'PlayerGrades+'!$AE$12,"C-",IF(L39&lt;'PlayerGrades+'!$AE$11,"C",IF(L39&lt;'PlayerGrades+'!$AE$10,"C+",IF(L39&lt;'PlayerGrades+'!$AE$9,"B-",IF(L39&lt;'PlayerGrades+'!$AE$8,"B",IF(L39&lt;'PlayerGrades+'!$AE$7,"B+",IF(L39&lt;'PlayerGrades+'!$AE$6,"A-",IF(L39&lt;'PlayerGrades+'!$AE$5,"A",IF(L39&lt;'PlayerGrades+'!$AE$4,"A+",IF(L39&lt;'PlayerGrades+'!$AE$3,"S-",IF(L39&lt;'PlayerGrades+'!$AE$2,"S","S+"))))))))))))))))))))</f>
        <v>F+</v>
      </c>
      <c r="N39" s="961">
        <f t="shared" si="6"/>
        <v>0.1488833747</v>
      </c>
      <c r="O39" s="961" t="str">
        <f>IF(N39&lt;'PlayerGrades+'!$AF$21,"F-",IF(N39&lt;'PlayerGrades+'!$AF$20,"F",IF(N39&lt;'PlayerGrades+'!$AF$19,"F+",IF(N39&lt;'PlayerGrades+'!$AF$18,"E-",IF(N39&lt;'PlayerGrades+'!$AF$17,"E",IF(N39&lt;'PlayerGrades+'!$AF$16,"E+",IF(N39&lt;'PlayerGrades+'!$AF$15,"D-",IF(N39&lt;'PlayerGrades+'!$AF$14,"D",IF(N39&lt;'PlayerGrades+'!$AF$13,"D+",IF(N39&lt;'PlayerGrades+'!$AF$12,"C-",IF(N39&lt;'PlayerGrades+'!$AF$11,"C",IF(N39&lt;'PlayerGrades+'!$AF$10,"C+",IF(N39&lt;'PlayerGrades+'!$AF$9,"B-",IF(N39&lt;'PlayerGrades+'!$AF$8,"B",IF(N39&lt;'PlayerGrades+'!$AF$7,"B+",IF(N39&lt;'PlayerGrades+'!$AF$6,"A-",IF(N39&lt;'PlayerGrades+'!$AF$5,"A",IF(N39&lt;'PlayerGrades+'!$AF$4,"A+",IF(N39&lt;'PlayerGrades+'!$AF$3,"S-",IF(N39&lt;'PlayerGrades+'!$AF$2,"S","S+"))))))))))))))))))))</f>
        <v>B+</v>
      </c>
      <c r="P39" s="961">
        <f t="shared" si="7"/>
        <v>0.4466501241</v>
      </c>
      <c r="Q39" s="961" t="str">
        <f>IF(P39&lt;'PlayerGrades+'!$AG$21,"F-",IF(P39&lt;'PlayerGrades+'!$AG$20,"F",IF(P39&lt;'PlayerGrades+'!$AG$19,"F+",IF(P39&lt;'PlayerGrades+'!$AG$18,"E-",IF(P39&lt;'PlayerGrades+'!$AG$17,"E",IF(P39&lt;'PlayerGrades+'!$AG$16,"E+",IF(P39&lt;'PlayerGrades+'!$AG$15,"D-",IF(P39&lt;'PlayerGrades+'!$AG$14,"D",IF(P39&lt;'PlayerGrades+'!$AG$13,"D+",IF(P39&lt;'PlayerGrades+'!$AG$12,"C-",IF(P39&lt;'PlayerGrades+'!$AG$11,"C",IF(P39&lt;'PlayerGrades+'!$AG$10,"C+",IF(P39&lt;'PlayerGrades+'!$AG$9,"B-",IF(P39&lt;'PlayerGrades+'!$AG$8,"B",IF(P39&lt;'PlayerGrades+'!$AG$7,"B+",IF(P39&lt;'PlayerGrades+'!$AG$6,"A-",IF(P39&lt;'PlayerGrades+'!$AG$5,"A",IF(P39&lt;'PlayerGrades+'!$AG$4,"A+",IF(P39&lt;'PlayerGrades+'!$AG$3,"S-",IF(P39&lt;'PlayerGrades+'!$AG$2,"S","S+"))))))))))))))))))))</f>
        <v>E</v>
      </c>
      <c r="R39" s="961">
        <f t="shared" si="8"/>
        <v>0</v>
      </c>
      <c r="S39" s="961" t="str">
        <f>IF(R39&lt;'PlayerGrades+'!$AH$21,"F-",IF(R39&lt;'PlayerGrades+'!$AH$20,"F",IF(R39&lt;'PlayerGrades+'!$AH$19,"F+",IF(R39&lt;'PlayerGrades+'!$AH$18,"E-",IF(R39&lt;'PlayerGrades+'!$AH$17,"E",IF(R39&lt;'PlayerGrades+'!$AH$16,"E+",IF(R39&lt;'PlayerGrades+'!$AH$15,"D-",IF(R39&lt;'PlayerGrades+'!$AH$14,"D",IF(R39&lt;'PlayerGrades+'!$AH$13,"D+",IF(R39&lt;'PlayerGrades+'!$AH$12,"C-",IF(R39&lt;'PlayerGrades+'!$AH$11,"C",IF(R39&lt;'PlayerGrades+'!$AH$10,"C+",IF(R39&lt;'PlayerGrades+'!$AH$9,"B-",IF(R39&lt;'PlayerGrades+'!$AH$8,"B",IF(R39&lt;'PlayerGrades+'!$AH$7,"B+",IF(R39&lt;'PlayerGrades+'!$AH$6,"A-",IF(R39&lt;'PlayerGrades+'!$AH$5,"A",IF(R39&lt;'PlayerGrades+'!$AH$4,"A+",IF(R39&lt;'PlayerGrades+'!$AH$3,"S-",IF(R39&lt;'PlayerGrades+'!$AH$2,"S","S+"))))))))))))))))))))</f>
        <v>F-</v>
      </c>
      <c r="T39" s="961">
        <f t="shared" si="9"/>
        <v>2.53101737</v>
      </c>
      <c r="U39" s="961" t="str">
        <f>IF(T39&lt;'PlayerGrades+'!$AI$21,"F-",IF(T39&lt;'PlayerGrades+'!$AI$20,"F",IF(T39&lt;'PlayerGrades+'!$AI$19,"F+",IF(T39&lt;'PlayerGrades+'!$AI$18,"E-",IF(T39&lt;'PlayerGrades+'!$AI$17,"E",IF(T39&lt;'PlayerGrades+'!$AI$16,"E+",IF(T39&lt;'PlayerGrades+'!$AI$15,"D-",IF(T39&lt;'PlayerGrades+'!$AI$14,"D",IF(T39&lt;'PlayerGrades+'!$AI$13,"D+",IF(T39&lt;'PlayerGrades+'!$AI$12,"C-",IF(T39&lt;'PlayerGrades+'!$AI$11,"C",IF(T39&lt;'PlayerGrades+'!$AI$10,"C+",IF(T39&lt;'PlayerGrades+'!$AI$9,"B-",IF(T39&lt;'PlayerGrades+'!$AI$8,"B",IF(T39&lt;'PlayerGrades+'!$AI$7,"B+",IF(T39&lt;'PlayerGrades+'!$AI$6,"A-",IF(T39&lt;'PlayerGrades+'!$AI$5,"A",IF(T39&lt;'PlayerGrades+'!$AI$4,"A+",IF(T39&lt;'PlayerGrades+'!$AI$3,"S-",IF(T39&lt;'PlayerGrades+'!$AI$2,"S","S+"))))))))))))))))))))</f>
        <v>D-</v>
      </c>
      <c r="V39" s="1017">
        <v>0.0</v>
      </c>
      <c r="W39" s="1017">
        <v>1.0</v>
      </c>
      <c r="X39" s="1017">
        <v>0.0</v>
      </c>
      <c r="Y39" s="1017">
        <v>1.0</v>
      </c>
      <c r="Z39" s="1282">
        <v>17.0</v>
      </c>
      <c r="AA39" s="1282">
        <v>28.0</v>
      </c>
      <c r="AB39" s="1017">
        <f t="shared" si="10"/>
        <v>-11</v>
      </c>
      <c r="AC39" s="1020">
        <f t="shared" si="11"/>
        <v>0.6071428571</v>
      </c>
      <c r="AD39" s="1022">
        <v>0.0</v>
      </c>
      <c r="AE39" s="1283">
        <v>403.0</v>
      </c>
      <c r="AF39" s="1282">
        <v>0.0</v>
      </c>
      <c r="AG39" s="1285">
        <v>0.0</v>
      </c>
      <c r="AH39" s="1285">
        <v>0.0</v>
      </c>
      <c r="AI39" s="1285">
        <v>0.0</v>
      </c>
      <c r="AJ39" s="1282">
        <v>0.0</v>
      </c>
      <c r="AK39" s="1282">
        <v>2.0</v>
      </c>
      <c r="AL39" s="1282">
        <v>1.0</v>
      </c>
      <c r="AM39" s="1282">
        <v>0.0</v>
      </c>
      <c r="AN39" s="1282">
        <v>0.0</v>
      </c>
      <c r="AO39" s="1282">
        <v>0.0</v>
      </c>
      <c r="AP39" s="1282">
        <v>0.0</v>
      </c>
      <c r="AQ39" s="1282">
        <v>0.0</v>
      </c>
      <c r="AR39" s="1282">
        <v>0.0</v>
      </c>
      <c r="AS39" s="1282">
        <v>0.0</v>
      </c>
      <c r="AT39" s="1282">
        <v>0.0</v>
      </c>
      <c r="AU39" s="1282">
        <v>3.0</v>
      </c>
      <c r="AV39" s="1282">
        <v>0.0</v>
      </c>
      <c r="AW39" s="1282">
        <v>0.0</v>
      </c>
      <c r="AX39" s="1282">
        <v>0.0</v>
      </c>
      <c r="AY39" s="1282">
        <v>0.0</v>
      </c>
      <c r="AZ39" s="1287">
        <v>0.0</v>
      </c>
    </row>
    <row r="40">
      <c r="A40" s="1277" t="s">
        <v>44</v>
      </c>
      <c r="B40" s="1100" t="str">
        <f>IF(C40&lt;'PlayerGrades+'!$Y$44,"F-",IF(C40&lt;'PlayerGrades+'!$Y$43,"F",IF(C40&lt;'PlayerGrades+'!$Y$42,"F+",IF(C40&lt;'PlayerGrades+'!$Y$41,"E-",IF(C40&lt;'PlayerGrades+'!$Y$40,"E",IF(C40&lt;'PlayerGrades+'!$Y$39,"E+",IF(C40&lt;'PlayerGrades+'!$Y$38,"D-",IF(C40&lt;'PlayerGrades+'!$Y$37,"D",IF(C40&lt;'PlayerGrades+'!$Y$36,"D+",IF(C40&lt;'PlayerGrades+'!$Y$35,"C-",IF(C40&lt;'PlayerGrades+'!$Y$34,"C",IF(C40&lt;'PlayerGrades+'!$Y$33,"C+",IF(C40&lt;'PlayerGrades+'!$Y$32,"B-",IF(C40&lt;'PlayerGrades+'!$Y$31,"B",IF(C40&lt;'PlayerGrades+'!$Y$30,"B+",IF(C40&lt;'PlayerGrades+'!$Y$29,"A-",IF(C40&lt;'PlayerGrades+'!$Y$28,"A",IF(C40&lt;'PlayerGrades+'!$Y$27,"A+",IF(C40&lt;'PlayerGrades+'!$Y$26,"S-",IF(C40&lt;'PlayerGrades+'!$Y$25,"S","S+"))))))))))))))))))))</f>
        <v>E-</v>
      </c>
      <c r="C40" s="1105">
        <f>('PlayerGrades+'!$Y$47*(VLOOKUP(E40, 'PlayerGrades+'!$X$3:$Y$23, 2, FALSE)))+('PlayerGrades+'!$Y$48*(VLOOKUP(G40, 'PlayerGrades+'!$X$3:$Y$23, 2, FALSE)))+('PlayerGrades+'!$Y$49*(VLOOKUP(I40, 'PlayerGrades+'!$X$3:$Y$23, 2, FALSE)))+('PlayerGrades+'!$Y$50*(VLOOKUP(K40, 'PlayerGrades+'!$X$3:$Y$23, 2, FALSE)))+('PlayerGrades+'!$Y$51*(VLOOKUP(M40, 'PlayerGrades+'!$X$3:$Y$23, 2, FALSE)))+('PlayerGrades+'!$Y$52*(VLOOKUP(O40, 'PlayerGrades+'!$X$3:$Y$23, 2, FALSE)))+('PlayerGrades+'!$Y$53*(VLOOKUP(Q40, 'PlayerGrades+'!$X$3:$Y$23, 2, FALSE)))+('PlayerGrades+'!$Y$54*(VLOOKUP(S40, 'PlayerGrades+'!$X$3:$Y$23, 2, FALSE)))+('PlayerGrades+'!$Y$55*(VLOOKUP(U40, 'PlayerGrades+'!$X$3:$Y$23, 2, FALSE)))</f>
        <v>8.125</v>
      </c>
      <c r="D40" s="961">
        <f t="shared" si="1"/>
        <v>0</v>
      </c>
      <c r="E40" s="961" t="str">
        <f>IF(D40&lt;'PlayerGrades+'!$AA$21,"F-",IF(D40&lt;'PlayerGrades+'!$AA$20,"F",IF(D40&lt;'PlayerGrades+'!$AA$19,"F+",IF(D40&lt;'PlayerGrades+'!$AA$18,"E-",IF(D40&lt;'PlayerGrades+'!$AA$17,"E",IF(D40&lt;'PlayerGrades+'!$AA$16,"E+",IF(D40&lt;'PlayerGrades+'!$AA$15,"D-",IF(D40&lt;'PlayerGrades+'!$AA$14,"D",IF(D40&lt;'PlayerGrades+'!$AA$13,"D+",IF(D40&lt;'PlayerGrades+'!$AA$12,"C-",IF(D40&lt;'PlayerGrades+'!$AA$11,"C",IF(D40&lt;'PlayerGrades+'!$AA$10,"C+",IF(D40&lt;'PlayerGrades+'!$AA$9,"B-",IF(D40&lt;'PlayerGrades+'!$AA$8,"B",IF(D40&lt;'PlayerGrades+'!$AA$7,"B+",IF(D40&lt;'PlayerGrades+'!$AA$6,"A-",IF(D40&lt;'PlayerGrades+'!$AA$5,"A",IF(D40&lt;'PlayerGrades+'!$AA$4,"A+",IF(D40&lt;'PlayerGrades+'!$AA$3,"S-",IF(D40&lt;'PlayerGrades+'!$AA$2,"S","S+"))))))))))))))))))))</f>
        <v>F-</v>
      </c>
      <c r="F40" s="961">
        <f t="shared" si="2"/>
        <v>0.1063452676</v>
      </c>
      <c r="G40" s="961" t="str">
        <f>IF(F40&lt;'PlayerGrades+'!$AB$21,"F-",IF(F40&lt;'PlayerGrades+'!$AB$20,"F",IF(F40&lt;'PlayerGrades+'!$AB$19,"F+",IF(F40&lt;'PlayerGrades+'!$AB$18,"E-",IF(F40&lt;'PlayerGrades+'!$AB$17,"E",IF(F40&lt;'PlayerGrades+'!$AB$16,"E+",IF(F40&lt;'PlayerGrades+'!$AB$15,"D-",IF(F40&lt;'PlayerGrades+'!$AB$14,"D",IF(F40&lt;'PlayerGrades+'!$AB$13,"D+",IF(F40&lt;'PlayerGrades+'!$AB$12,"C-",IF(F40&lt;'PlayerGrades+'!$AB$11,"C",IF(F40&lt;'PlayerGrades+'!$AB$10,"C+",IF(F40&lt;'PlayerGrades+'!$AB$9,"B-",IF(F40&lt;'PlayerGrades+'!$AB$8,"B",IF(F40&lt;'PlayerGrades+'!$AB$7,"B+",IF(F40&lt;'PlayerGrades+'!$AB$6,"A-",IF(F40&lt;'PlayerGrades+'!$AB$5,"A",IF(F40&lt;'PlayerGrades+'!$AB$4,"A+",IF(F40&lt;'PlayerGrades+'!$AB$3,"S-",IF(F40&lt;'PlayerGrades+'!$AB$2,"S","S+"))))))))))))))))))))</f>
        <v>A</v>
      </c>
      <c r="H40" s="961">
        <f t="shared" si="3"/>
        <v>0.1488833747</v>
      </c>
      <c r="I40" s="961" t="str">
        <f>IF(H40&lt;'PlayerGrades+'!$AC$21,"F-",IF(H40&lt;'PlayerGrades+'!$AC$20,"F",IF(H40&lt;'PlayerGrades+'!$AC$19,"F+",IF(H40&lt;'PlayerGrades+'!$AC$18,"E-",IF(H40&lt;'PlayerGrades+'!$AC$17,"E",IF(H40&lt;'PlayerGrades+'!$AC$16,"E+",IF(H40&lt;'PlayerGrades+'!$AC$15,"D-",IF(H40&lt;'PlayerGrades+'!$AC$14,"D",IF(H40&lt;'PlayerGrades+'!$AC$13,"D+",IF(H40&lt;'PlayerGrades+'!$AC$12,"C-",IF(H40&lt;'PlayerGrades+'!$AC$11,"C",IF(H40&lt;'PlayerGrades+'!$AC$10,"C+",IF(H40&lt;'PlayerGrades+'!$AC$9,"B-",IF(H40&lt;'PlayerGrades+'!$AC$8,"B",IF(H40&lt;'PlayerGrades+'!$AC$7,"B+",IF(H40&lt;'PlayerGrades+'!$AC$6,"A-",IF(H40&lt;'PlayerGrades+'!$AC$5,"A",IF(H40&lt;'PlayerGrades+'!$AC$4,"A+",IF(H40&lt;'PlayerGrades+'!$AC$3,"S-",IF(H40&lt;'PlayerGrades+'!$AC$2,"S","S+"))))))))))))))))))))</f>
        <v>F-</v>
      </c>
      <c r="J40" s="961">
        <f t="shared" si="4"/>
        <v>0</v>
      </c>
      <c r="K40" s="961" t="str">
        <f>IF(J40&lt;'PlayerGrades+'!$AD$21,"F-",IF(J40&lt;'PlayerGrades+'!$AD$20,"F",IF(J40&lt;'PlayerGrades+'!$AD$19,"F+",IF(J40&lt;'PlayerGrades+'!$AD$18,"E-",IF(J40&lt;'PlayerGrades+'!$AD$17,"E",IF(J40&lt;'PlayerGrades+'!$AD$16,"E+",IF(J40&lt;'PlayerGrades+'!$AD$15,"D-",IF(J40&lt;'PlayerGrades+'!$AD$14,"D",IF(J40&lt;'PlayerGrades+'!$AD$13,"D+",IF(J40&lt;'PlayerGrades+'!$AD$12,"C-",IF(J40&lt;'PlayerGrades+'!$AD$11,"C",IF(J40&lt;'PlayerGrades+'!$AD$10,"C+",IF(J40&lt;'PlayerGrades+'!$AD$9,"B-",IF(J40&lt;'PlayerGrades+'!$AD$8,"B",IF(J40&lt;'PlayerGrades+'!$AD$7,"B+",IF(J40&lt;'PlayerGrades+'!$AD$6,"A-",IF(J40&lt;'PlayerGrades+'!$AD$5,"A",IF(J40&lt;'PlayerGrades+'!$AD$4,"A+",IF(J40&lt;'PlayerGrades+'!$AD$3,"S-",IF(J40&lt;'PlayerGrades+'!$AD$2,"S","S+"))))))))))))))))))))</f>
        <v>F-</v>
      </c>
      <c r="L40" s="992">
        <f t="shared" si="5"/>
        <v>0.1488833747</v>
      </c>
      <c r="M40" s="992" t="str">
        <f>IF(L40&lt;'PlayerGrades+'!$AE$21,"F-",IF(L40&lt;'PlayerGrades+'!$AE$20,"F",IF(L40&lt;'PlayerGrades+'!$AE$19,"F+",IF(L40&lt;'PlayerGrades+'!$AE$18,"E-",IF(L40&lt;'PlayerGrades+'!$AE$17,"E",IF(L40&lt;'PlayerGrades+'!$AE$16,"E+",IF(L40&lt;'PlayerGrades+'!$AE$15,"D-",IF(L40&lt;'PlayerGrades+'!$AE$14,"D",IF(L40&lt;'PlayerGrades+'!$AE$13,"D+",IF(L40&lt;'PlayerGrades+'!$AE$12,"C-",IF(L40&lt;'PlayerGrades+'!$AE$11,"C",IF(L40&lt;'PlayerGrades+'!$AE$10,"C+",IF(L40&lt;'PlayerGrades+'!$AE$9,"B-",IF(L40&lt;'PlayerGrades+'!$AE$8,"B",IF(L40&lt;'PlayerGrades+'!$AE$7,"B+",IF(L40&lt;'PlayerGrades+'!$AE$6,"A-",IF(L40&lt;'PlayerGrades+'!$AE$5,"A",IF(L40&lt;'PlayerGrades+'!$AE$4,"A+",IF(L40&lt;'PlayerGrades+'!$AE$3,"S-",IF(L40&lt;'PlayerGrades+'!$AE$2,"S","S+"))))))))))))))))))))</f>
        <v>F-</v>
      </c>
      <c r="N40" s="961">
        <f t="shared" si="6"/>
        <v>0</v>
      </c>
      <c r="O40" s="961" t="str">
        <f>IF(N40&lt;'PlayerGrades+'!$AF$21,"F-",IF(N40&lt;'PlayerGrades+'!$AF$20,"F",IF(N40&lt;'PlayerGrades+'!$AF$19,"F+",IF(N40&lt;'PlayerGrades+'!$AF$18,"E-",IF(N40&lt;'PlayerGrades+'!$AF$17,"E",IF(N40&lt;'PlayerGrades+'!$AF$16,"E+",IF(N40&lt;'PlayerGrades+'!$AF$15,"D-",IF(N40&lt;'PlayerGrades+'!$AF$14,"D",IF(N40&lt;'PlayerGrades+'!$AF$13,"D+",IF(N40&lt;'PlayerGrades+'!$AF$12,"C-",IF(N40&lt;'PlayerGrades+'!$AF$11,"C",IF(N40&lt;'PlayerGrades+'!$AF$10,"C+",IF(N40&lt;'PlayerGrades+'!$AF$9,"B-",IF(N40&lt;'PlayerGrades+'!$AF$8,"B",IF(N40&lt;'PlayerGrades+'!$AF$7,"B+",IF(N40&lt;'PlayerGrades+'!$AF$6,"A-",IF(N40&lt;'PlayerGrades+'!$AF$5,"A",IF(N40&lt;'PlayerGrades+'!$AF$4,"A+",IF(N40&lt;'PlayerGrades+'!$AF$3,"S-",IF(N40&lt;'PlayerGrades+'!$AF$2,"S","S+"))))))))))))))))))))</f>
        <v>F-</v>
      </c>
      <c r="P40" s="961">
        <f t="shared" si="7"/>
        <v>0.1488833747</v>
      </c>
      <c r="Q40" s="961" t="str">
        <f>IF(P40&lt;'PlayerGrades+'!$AG$21,"F-",IF(P40&lt;'PlayerGrades+'!$AG$20,"F",IF(P40&lt;'PlayerGrades+'!$AG$19,"F+",IF(P40&lt;'PlayerGrades+'!$AG$18,"E-",IF(P40&lt;'PlayerGrades+'!$AG$17,"E",IF(P40&lt;'PlayerGrades+'!$AG$16,"E+",IF(P40&lt;'PlayerGrades+'!$AG$15,"D-",IF(P40&lt;'PlayerGrades+'!$AG$14,"D",IF(P40&lt;'PlayerGrades+'!$AG$13,"D+",IF(P40&lt;'PlayerGrades+'!$AG$12,"C-",IF(P40&lt;'PlayerGrades+'!$AG$11,"C",IF(P40&lt;'PlayerGrades+'!$AG$10,"C+",IF(P40&lt;'PlayerGrades+'!$AG$9,"B-",IF(P40&lt;'PlayerGrades+'!$AG$8,"B",IF(P40&lt;'PlayerGrades+'!$AG$7,"B+",IF(P40&lt;'PlayerGrades+'!$AG$6,"A-",IF(P40&lt;'PlayerGrades+'!$AG$5,"A",IF(P40&lt;'PlayerGrades+'!$AG$4,"A+",IF(P40&lt;'PlayerGrades+'!$AG$3,"S-",IF(P40&lt;'PlayerGrades+'!$AG$2,"S","S+"))))))))))))))))))))</f>
        <v>F-</v>
      </c>
      <c r="R40" s="961">
        <f t="shared" si="8"/>
        <v>0.1488833747</v>
      </c>
      <c r="S40" s="961" t="str">
        <f>IF(R40&lt;'PlayerGrades+'!$AH$21,"F-",IF(R40&lt;'PlayerGrades+'!$AH$20,"F",IF(R40&lt;'PlayerGrades+'!$AH$19,"F+",IF(R40&lt;'PlayerGrades+'!$AH$18,"E-",IF(R40&lt;'PlayerGrades+'!$AH$17,"E",IF(R40&lt;'PlayerGrades+'!$AH$16,"E+",IF(R40&lt;'PlayerGrades+'!$AH$15,"D-",IF(R40&lt;'PlayerGrades+'!$AH$14,"D",IF(R40&lt;'PlayerGrades+'!$AH$13,"D+",IF(R40&lt;'PlayerGrades+'!$AH$12,"C-",IF(R40&lt;'PlayerGrades+'!$AH$11,"C",IF(R40&lt;'PlayerGrades+'!$AH$10,"C+",IF(R40&lt;'PlayerGrades+'!$AH$9,"B-",IF(R40&lt;'PlayerGrades+'!$AH$8,"B",IF(R40&lt;'PlayerGrades+'!$AH$7,"B+",IF(R40&lt;'PlayerGrades+'!$AH$6,"A-",IF(R40&lt;'PlayerGrades+'!$AH$5,"A",IF(R40&lt;'PlayerGrades+'!$AH$4,"A+",IF(R40&lt;'PlayerGrades+'!$AH$3,"S-",IF(R40&lt;'PlayerGrades+'!$AH$2,"S","S+"))))))))))))))))))))</f>
        <v>S+</v>
      </c>
      <c r="T40" s="961">
        <f t="shared" si="9"/>
        <v>2.23325062</v>
      </c>
      <c r="U40" s="961" t="str">
        <f>IF(T40&lt;'PlayerGrades+'!$AI$21,"F-",IF(T40&lt;'PlayerGrades+'!$AI$20,"F",IF(T40&lt;'PlayerGrades+'!$AI$19,"F+",IF(T40&lt;'PlayerGrades+'!$AI$18,"E-",IF(T40&lt;'PlayerGrades+'!$AI$17,"E",IF(T40&lt;'PlayerGrades+'!$AI$16,"E+",IF(T40&lt;'PlayerGrades+'!$AI$15,"D-",IF(T40&lt;'PlayerGrades+'!$AI$14,"D",IF(T40&lt;'PlayerGrades+'!$AI$13,"D+",IF(T40&lt;'PlayerGrades+'!$AI$12,"C-",IF(T40&lt;'PlayerGrades+'!$AI$11,"C",IF(T40&lt;'PlayerGrades+'!$AI$10,"C+",IF(T40&lt;'PlayerGrades+'!$AI$9,"B-",IF(T40&lt;'PlayerGrades+'!$AI$8,"B",IF(T40&lt;'PlayerGrades+'!$AI$7,"B+",IF(T40&lt;'PlayerGrades+'!$AI$6,"A-",IF(T40&lt;'PlayerGrades+'!$AI$5,"A",IF(T40&lt;'PlayerGrades+'!$AI$4,"A+",IF(T40&lt;'PlayerGrades+'!$AI$3,"S-",IF(T40&lt;'PlayerGrades+'!$AI$2,"S","S+"))))))))))))))))))))</f>
        <v>F</v>
      </c>
      <c r="V40" s="1017">
        <v>0.0</v>
      </c>
      <c r="W40" s="1017">
        <v>1.0</v>
      </c>
      <c r="X40" s="1017">
        <v>0.0</v>
      </c>
      <c r="Y40" s="1017">
        <v>6.0</v>
      </c>
      <c r="Z40" s="1282">
        <v>15.0</v>
      </c>
      <c r="AA40" s="1282">
        <v>21.0</v>
      </c>
      <c r="AB40" s="1017">
        <f t="shared" si="10"/>
        <v>-6</v>
      </c>
      <c r="AC40" s="1020">
        <f t="shared" si="11"/>
        <v>0.7142857143</v>
      </c>
      <c r="AD40" s="1022">
        <v>0.0</v>
      </c>
      <c r="AE40" s="1283">
        <v>403.0</v>
      </c>
      <c r="AF40" s="1282">
        <v>0.0</v>
      </c>
      <c r="AG40" s="1285">
        <v>0.0</v>
      </c>
      <c r="AH40" s="1285">
        <v>0.0</v>
      </c>
      <c r="AI40" s="1285">
        <v>0.0</v>
      </c>
      <c r="AJ40" s="1282">
        <v>0.0</v>
      </c>
      <c r="AK40" s="1282">
        <v>1.0</v>
      </c>
      <c r="AL40" s="1282">
        <v>0.0</v>
      </c>
      <c r="AM40" s="1282">
        <v>0.0</v>
      </c>
      <c r="AN40" s="1282">
        <v>0.0</v>
      </c>
      <c r="AO40" s="1282">
        <v>0.0</v>
      </c>
      <c r="AP40" s="1282">
        <v>0.0</v>
      </c>
      <c r="AQ40" s="1282">
        <v>0.0</v>
      </c>
      <c r="AR40" s="1282">
        <v>0.0</v>
      </c>
      <c r="AS40" s="1282">
        <v>0.0</v>
      </c>
      <c r="AT40" s="1282">
        <v>0.0</v>
      </c>
      <c r="AU40" s="1282">
        <v>1.0</v>
      </c>
      <c r="AV40" s="1282">
        <v>0.0</v>
      </c>
      <c r="AW40" s="1282">
        <v>0.0</v>
      </c>
      <c r="AX40" s="1282">
        <v>0.0</v>
      </c>
      <c r="AY40" s="1282">
        <v>1.0</v>
      </c>
      <c r="AZ40" s="1287">
        <v>0.0</v>
      </c>
    </row>
    <row r="41">
      <c r="A41" s="1277" t="s">
        <v>66</v>
      </c>
      <c r="B41" s="1100" t="str">
        <f>IF(C41&lt;'PlayerGrades+'!$Y$44,"F-",IF(C41&lt;'PlayerGrades+'!$Y$43,"F",IF(C41&lt;'PlayerGrades+'!$Y$42,"F+",IF(C41&lt;'PlayerGrades+'!$Y$41,"E-",IF(C41&lt;'PlayerGrades+'!$Y$40,"E",IF(C41&lt;'PlayerGrades+'!$Y$39,"E+",IF(C41&lt;'PlayerGrades+'!$Y$38,"D-",IF(C41&lt;'PlayerGrades+'!$Y$37,"D",IF(C41&lt;'PlayerGrades+'!$Y$36,"D+",IF(C41&lt;'PlayerGrades+'!$Y$35,"C-",IF(C41&lt;'PlayerGrades+'!$Y$34,"C",IF(C41&lt;'PlayerGrades+'!$Y$33,"C+",IF(C41&lt;'PlayerGrades+'!$Y$32,"B-",IF(C41&lt;'PlayerGrades+'!$Y$31,"B",IF(C41&lt;'PlayerGrades+'!$Y$30,"B+",IF(C41&lt;'PlayerGrades+'!$Y$29,"A-",IF(C41&lt;'PlayerGrades+'!$Y$28,"A",IF(C41&lt;'PlayerGrades+'!$Y$27,"A+",IF(C41&lt;'PlayerGrades+'!$Y$26,"S-",IF(C41&lt;'PlayerGrades+'!$Y$25,"S","S+"))))))))))))))))))))</f>
        <v>E+</v>
      </c>
      <c r="C41" s="1105">
        <f>('PlayerGrades+'!$Y$47*(VLOOKUP(E41, 'PlayerGrades+'!$X$3:$Y$23, 2, FALSE)))+('PlayerGrades+'!$Y$48*(VLOOKUP(G41, 'PlayerGrades+'!$X$3:$Y$23, 2, FALSE)))+('PlayerGrades+'!$Y$49*(VLOOKUP(I41, 'PlayerGrades+'!$X$3:$Y$23, 2, FALSE)))+('PlayerGrades+'!$Y$50*(VLOOKUP(K41, 'PlayerGrades+'!$X$3:$Y$23, 2, FALSE)))+('PlayerGrades+'!$Y$51*(VLOOKUP(M41, 'PlayerGrades+'!$X$3:$Y$23, 2, FALSE)))+('PlayerGrades+'!$Y$52*(VLOOKUP(O41, 'PlayerGrades+'!$X$3:$Y$23, 2, FALSE)))+('PlayerGrades+'!$Y$53*(VLOOKUP(Q41, 'PlayerGrades+'!$X$3:$Y$23, 2, FALSE)))+('PlayerGrades+'!$Y$54*(VLOOKUP(S41, 'PlayerGrades+'!$X$3:$Y$23, 2, FALSE)))+('PlayerGrades+'!$Y$55*(VLOOKUP(U41, 'PlayerGrades+'!$X$3:$Y$23, 2, FALSE)))</f>
        <v>11.425</v>
      </c>
      <c r="D41" s="1149">
        <f t="shared" si="1"/>
        <v>0</v>
      </c>
      <c r="E41" s="1149" t="str">
        <f>IF(D41&lt;'PlayerGrades+'!$AA$21,"F-",IF(D41&lt;'PlayerGrades+'!$AA$20,"F",IF(D41&lt;'PlayerGrades+'!$AA$19,"F+",IF(D41&lt;'PlayerGrades+'!$AA$18,"E-",IF(D41&lt;'PlayerGrades+'!$AA$17,"E",IF(D41&lt;'PlayerGrades+'!$AA$16,"E+",IF(D41&lt;'PlayerGrades+'!$AA$15,"D-",IF(D41&lt;'PlayerGrades+'!$AA$14,"D",IF(D41&lt;'PlayerGrades+'!$AA$13,"D+",IF(D41&lt;'PlayerGrades+'!$AA$12,"C-",IF(D41&lt;'PlayerGrades+'!$AA$11,"C",IF(D41&lt;'PlayerGrades+'!$AA$10,"C+",IF(D41&lt;'PlayerGrades+'!$AA$9,"B-",IF(D41&lt;'PlayerGrades+'!$AA$8,"B",IF(D41&lt;'PlayerGrades+'!$AA$7,"B+",IF(D41&lt;'PlayerGrades+'!$AA$6,"A-",IF(D41&lt;'PlayerGrades+'!$AA$5,"A",IF(D41&lt;'PlayerGrades+'!$AA$4,"A+",IF(D41&lt;'PlayerGrades+'!$AA$3,"S-",IF(D41&lt;'PlayerGrades+'!$AA$2,"S","S+"))))))))))))))))))))</f>
        <v>F-</v>
      </c>
      <c r="F41" s="1149">
        <f t="shared" si="2"/>
        <v>0.08337468983</v>
      </c>
      <c r="G41" s="1149" t="str">
        <f>IF(F41&lt;'PlayerGrades+'!$AB$21,"F-",IF(F41&lt;'PlayerGrades+'!$AB$20,"F",IF(F41&lt;'PlayerGrades+'!$AB$19,"F+",IF(F41&lt;'PlayerGrades+'!$AB$18,"E-",IF(F41&lt;'PlayerGrades+'!$AB$17,"E",IF(F41&lt;'PlayerGrades+'!$AB$16,"E+",IF(F41&lt;'PlayerGrades+'!$AB$15,"D-",IF(F41&lt;'PlayerGrades+'!$AB$14,"D",IF(F41&lt;'PlayerGrades+'!$AB$13,"D+",IF(F41&lt;'PlayerGrades+'!$AB$12,"C-",IF(F41&lt;'PlayerGrades+'!$AB$11,"C",IF(F41&lt;'PlayerGrades+'!$AB$10,"C+",IF(F41&lt;'PlayerGrades+'!$AB$9,"B-",IF(F41&lt;'PlayerGrades+'!$AB$8,"B",IF(F41&lt;'PlayerGrades+'!$AB$7,"B+",IF(F41&lt;'PlayerGrades+'!$AB$6,"A-",IF(F41&lt;'PlayerGrades+'!$AB$5,"A",IF(F41&lt;'PlayerGrades+'!$AB$4,"A+",IF(F41&lt;'PlayerGrades+'!$AB$3,"S-",IF(F41&lt;'PlayerGrades+'!$AB$2,"S","S+"))))))))))))))))))))</f>
        <v>A</v>
      </c>
      <c r="H41" s="1149">
        <f t="shared" si="3"/>
        <v>0.5955334988</v>
      </c>
      <c r="I41" s="1149" t="str">
        <f>IF(H41&lt;'PlayerGrades+'!$AC$21,"F-",IF(H41&lt;'PlayerGrades+'!$AC$20,"F",IF(H41&lt;'PlayerGrades+'!$AC$19,"F+",IF(H41&lt;'PlayerGrades+'!$AC$18,"E-",IF(H41&lt;'PlayerGrades+'!$AC$17,"E",IF(H41&lt;'PlayerGrades+'!$AC$16,"E+",IF(H41&lt;'PlayerGrades+'!$AC$15,"D-",IF(H41&lt;'PlayerGrades+'!$AC$14,"D",IF(H41&lt;'PlayerGrades+'!$AC$13,"D+",IF(H41&lt;'PlayerGrades+'!$AC$12,"C-",IF(H41&lt;'PlayerGrades+'!$AC$11,"C",IF(H41&lt;'PlayerGrades+'!$AC$10,"C+",IF(H41&lt;'PlayerGrades+'!$AC$9,"B-",IF(H41&lt;'PlayerGrades+'!$AC$8,"B",IF(H41&lt;'PlayerGrades+'!$AC$7,"B+",IF(H41&lt;'PlayerGrades+'!$AC$6,"A-",IF(H41&lt;'PlayerGrades+'!$AC$5,"A",IF(H41&lt;'PlayerGrades+'!$AC$4,"A+",IF(H41&lt;'PlayerGrades+'!$AC$3,"S-",IF(H41&lt;'PlayerGrades+'!$AC$2,"S","S+"))))))))))))))))))))</f>
        <v>A-</v>
      </c>
      <c r="J41" s="1149">
        <f t="shared" si="4"/>
        <v>0</v>
      </c>
      <c r="K41" s="1149" t="str">
        <f>IF(J41&lt;'PlayerGrades+'!$AD$21,"F-",IF(J41&lt;'PlayerGrades+'!$AD$20,"F",IF(J41&lt;'PlayerGrades+'!$AD$19,"F+",IF(J41&lt;'PlayerGrades+'!$AD$18,"E-",IF(J41&lt;'PlayerGrades+'!$AD$17,"E",IF(J41&lt;'PlayerGrades+'!$AD$16,"E+",IF(J41&lt;'PlayerGrades+'!$AD$15,"D-",IF(J41&lt;'PlayerGrades+'!$AD$14,"D",IF(J41&lt;'PlayerGrades+'!$AD$13,"D+",IF(J41&lt;'PlayerGrades+'!$AD$12,"C-",IF(J41&lt;'PlayerGrades+'!$AD$11,"C",IF(J41&lt;'PlayerGrades+'!$AD$10,"C+",IF(J41&lt;'PlayerGrades+'!$AD$9,"B-",IF(J41&lt;'PlayerGrades+'!$AD$8,"B",IF(J41&lt;'PlayerGrades+'!$AD$7,"B+",IF(J41&lt;'PlayerGrades+'!$AD$6,"A-",IF(J41&lt;'PlayerGrades+'!$AD$5,"A",IF(J41&lt;'PlayerGrades+'!$AD$4,"A+",IF(J41&lt;'PlayerGrades+'!$AD$3,"S-",IF(J41&lt;'PlayerGrades+'!$AD$2,"S","S+"))))))))))))))))))))</f>
        <v>F-</v>
      </c>
      <c r="L41" s="1156">
        <f t="shared" si="5"/>
        <v>0.4466501241</v>
      </c>
      <c r="M41" s="1156" t="str">
        <f>IF(L41&lt;'PlayerGrades+'!$AE$21,"F-",IF(L41&lt;'PlayerGrades+'!$AE$20,"F",IF(L41&lt;'PlayerGrades+'!$AE$19,"F+",IF(L41&lt;'PlayerGrades+'!$AE$18,"E-",IF(L41&lt;'PlayerGrades+'!$AE$17,"E",IF(L41&lt;'PlayerGrades+'!$AE$16,"E+",IF(L41&lt;'PlayerGrades+'!$AE$15,"D-",IF(L41&lt;'PlayerGrades+'!$AE$14,"D",IF(L41&lt;'PlayerGrades+'!$AE$13,"D+",IF(L41&lt;'PlayerGrades+'!$AE$12,"C-",IF(L41&lt;'PlayerGrades+'!$AE$11,"C",IF(L41&lt;'PlayerGrades+'!$AE$10,"C+",IF(L41&lt;'PlayerGrades+'!$AE$9,"B-",IF(L41&lt;'PlayerGrades+'!$AE$8,"B",IF(L41&lt;'PlayerGrades+'!$AE$7,"B+",IF(L41&lt;'PlayerGrades+'!$AE$6,"A-",IF(L41&lt;'PlayerGrades+'!$AE$5,"A",IF(L41&lt;'PlayerGrades+'!$AE$4,"A+",IF(L41&lt;'PlayerGrades+'!$AE$3,"S-",IF(L41&lt;'PlayerGrades+'!$AE$2,"S","S+"))))))))))))))))))))</f>
        <v>B-</v>
      </c>
      <c r="N41" s="1149">
        <f t="shared" si="6"/>
        <v>0</v>
      </c>
      <c r="O41" s="1149" t="str">
        <f>IF(N41&lt;'PlayerGrades+'!$AF$21,"F-",IF(N41&lt;'PlayerGrades+'!$AF$20,"F",IF(N41&lt;'PlayerGrades+'!$AF$19,"F+",IF(N41&lt;'PlayerGrades+'!$AF$18,"E-",IF(N41&lt;'PlayerGrades+'!$AF$17,"E",IF(N41&lt;'PlayerGrades+'!$AF$16,"E+",IF(N41&lt;'PlayerGrades+'!$AF$15,"D-",IF(N41&lt;'PlayerGrades+'!$AF$14,"D",IF(N41&lt;'PlayerGrades+'!$AF$13,"D+",IF(N41&lt;'PlayerGrades+'!$AF$12,"C-",IF(N41&lt;'PlayerGrades+'!$AF$11,"C",IF(N41&lt;'PlayerGrades+'!$AF$10,"C+",IF(N41&lt;'PlayerGrades+'!$AF$9,"B-",IF(N41&lt;'PlayerGrades+'!$AF$8,"B",IF(N41&lt;'PlayerGrades+'!$AF$7,"B+",IF(N41&lt;'PlayerGrades+'!$AF$6,"A-",IF(N41&lt;'PlayerGrades+'!$AF$5,"A",IF(N41&lt;'PlayerGrades+'!$AF$4,"A+",IF(N41&lt;'PlayerGrades+'!$AF$3,"S-",IF(N41&lt;'PlayerGrades+'!$AF$2,"S","S+"))))))))))))))))))))</f>
        <v>F-</v>
      </c>
      <c r="P41" s="1149">
        <f t="shared" si="7"/>
        <v>0.4466501241</v>
      </c>
      <c r="Q41" s="1149" t="str">
        <f>IF(P41&lt;'PlayerGrades+'!$AG$21,"F-",IF(P41&lt;'PlayerGrades+'!$AG$20,"F",IF(P41&lt;'PlayerGrades+'!$AG$19,"F+",IF(P41&lt;'PlayerGrades+'!$AG$18,"E-",IF(P41&lt;'PlayerGrades+'!$AG$17,"E",IF(P41&lt;'PlayerGrades+'!$AG$16,"E+",IF(P41&lt;'PlayerGrades+'!$AG$15,"D-",IF(P41&lt;'PlayerGrades+'!$AG$14,"D",IF(P41&lt;'PlayerGrades+'!$AG$13,"D+",IF(P41&lt;'PlayerGrades+'!$AG$12,"C-",IF(P41&lt;'PlayerGrades+'!$AG$11,"C",IF(P41&lt;'PlayerGrades+'!$AG$10,"C+",IF(P41&lt;'PlayerGrades+'!$AG$9,"B-",IF(P41&lt;'PlayerGrades+'!$AG$8,"B",IF(P41&lt;'PlayerGrades+'!$AG$7,"B+",IF(P41&lt;'PlayerGrades+'!$AG$6,"A-",IF(P41&lt;'PlayerGrades+'!$AG$5,"A",IF(P41&lt;'PlayerGrades+'!$AG$4,"A+",IF(P41&lt;'PlayerGrades+'!$AG$3,"S-",IF(P41&lt;'PlayerGrades+'!$AG$2,"S","S+"))))))))))))))))))))</f>
        <v>E</v>
      </c>
      <c r="R41" s="1149">
        <f t="shared" si="8"/>
        <v>0</v>
      </c>
      <c r="S41" s="1149" t="str">
        <f>IF(R41&lt;'PlayerGrades+'!$AH$21,"F-",IF(R41&lt;'PlayerGrades+'!$AH$20,"F",IF(R41&lt;'PlayerGrades+'!$AH$19,"F+",IF(R41&lt;'PlayerGrades+'!$AH$18,"E-",IF(R41&lt;'PlayerGrades+'!$AH$17,"E",IF(R41&lt;'PlayerGrades+'!$AH$16,"E+",IF(R41&lt;'PlayerGrades+'!$AH$15,"D-",IF(R41&lt;'PlayerGrades+'!$AH$14,"D",IF(R41&lt;'PlayerGrades+'!$AH$13,"D+",IF(R41&lt;'PlayerGrades+'!$AH$12,"C-",IF(R41&lt;'PlayerGrades+'!$AH$11,"C",IF(R41&lt;'PlayerGrades+'!$AH$10,"C+",IF(R41&lt;'PlayerGrades+'!$AH$9,"B-",IF(R41&lt;'PlayerGrades+'!$AH$8,"B",IF(R41&lt;'PlayerGrades+'!$AH$7,"B+",IF(R41&lt;'PlayerGrades+'!$AH$6,"A-",IF(R41&lt;'PlayerGrades+'!$AH$5,"A",IF(R41&lt;'PlayerGrades+'!$AH$4,"A+",IF(R41&lt;'PlayerGrades+'!$AH$3,"S-",IF(R41&lt;'PlayerGrades+'!$AH$2,"S","S+"))))))))))))))))))))</f>
        <v>F-</v>
      </c>
      <c r="T41" s="1149">
        <f t="shared" si="9"/>
        <v>2.084367246</v>
      </c>
      <c r="U41" s="1149" t="str">
        <f>IF(T41&lt;'PlayerGrades+'!$AI$21,"F-",IF(T41&lt;'PlayerGrades+'!$AI$20,"F",IF(T41&lt;'PlayerGrades+'!$AI$19,"F+",IF(T41&lt;'PlayerGrades+'!$AI$18,"E-",IF(T41&lt;'PlayerGrades+'!$AI$17,"E",IF(T41&lt;'PlayerGrades+'!$AI$16,"E+",IF(T41&lt;'PlayerGrades+'!$AI$15,"D-",IF(T41&lt;'PlayerGrades+'!$AI$14,"D",IF(T41&lt;'PlayerGrades+'!$AI$13,"D+",IF(T41&lt;'PlayerGrades+'!$AI$12,"C-",IF(T41&lt;'PlayerGrades+'!$AI$11,"C",IF(T41&lt;'PlayerGrades+'!$AI$10,"C+",IF(T41&lt;'PlayerGrades+'!$AI$9,"B-",IF(T41&lt;'PlayerGrades+'!$AI$8,"B",IF(T41&lt;'PlayerGrades+'!$AI$7,"B+",IF(T41&lt;'PlayerGrades+'!$AI$6,"A-",IF(T41&lt;'PlayerGrades+'!$AI$5,"A",IF(T41&lt;'PlayerGrades+'!$AI$4,"A+",IF(T41&lt;'PlayerGrades+'!$AI$3,"S-",IF(T41&lt;'PlayerGrades+'!$AI$2,"S","S+"))))))))))))))))))))</f>
        <v>F-</v>
      </c>
      <c r="V41" s="1017">
        <v>0.0</v>
      </c>
      <c r="W41" s="1017">
        <v>1.0</v>
      </c>
      <c r="X41" s="1017">
        <v>0.0</v>
      </c>
      <c r="Y41" s="1017">
        <v>14.0</v>
      </c>
      <c r="Z41" s="1282">
        <v>14.0</v>
      </c>
      <c r="AA41" s="1282">
        <v>25.0</v>
      </c>
      <c r="AB41" s="1017">
        <f t="shared" si="10"/>
        <v>-11</v>
      </c>
      <c r="AC41" s="1020">
        <f t="shared" si="11"/>
        <v>0.56</v>
      </c>
      <c r="AD41" s="1022">
        <v>0.0</v>
      </c>
      <c r="AE41" s="1283">
        <v>403.0</v>
      </c>
      <c r="AF41" s="1282">
        <v>0.0</v>
      </c>
      <c r="AG41" s="1285">
        <v>0.0</v>
      </c>
      <c r="AH41" s="1285">
        <v>0.0</v>
      </c>
      <c r="AI41" s="1285">
        <v>0.0</v>
      </c>
      <c r="AJ41" s="1282">
        <v>0.0</v>
      </c>
      <c r="AK41" s="1282">
        <v>3.0</v>
      </c>
      <c r="AL41" s="1282">
        <v>0.0</v>
      </c>
      <c r="AM41" s="1282">
        <v>0.0</v>
      </c>
      <c r="AN41" s="1282">
        <v>0.0</v>
      </c>
      <c r="AO41" s="1282">
        <v>0.0</v>
      </c>
      <c r="AP41" s="1282">
        <v>0.0</v>
      </c>
      <c r="AQ41" s="1282">
        <v>0.0</v>
      </c>
      <c r="AR41" s="1282">
        <v>0.0</v>
      </c>
      <c r="AS41" s="1282">
        <v>0.0</v>
      </c>
      <c r="AT41" s="1282">
        <v>0.0</v>
      </c>
      <c r="AU41" s="1282">
        <v>4.0</v>
      </c>
      <c r="AV41" s="1282">
        <v>0.0</v>
      </c>
      <c r="AW41" s="1282">
        <v>0.0</v>
      </c>
      <c r="AX41" s="1282">
        <v>0.0</v>
      </c>
      <c r="AY41" s="1282">
        <v>0.0</v>
      </c>
      <c r="AZ41" s="1287">
        <v>0.0</v>
      </c>
    </row>
    <row r="42">
      <c r="A42" s="1262" t="s">
        <v>197</v>
      </c>
      <c r="B42" s="1169" t="str">
        <f>IF(C42&lt;'PlayerGrades+'!$Y$44,"F-",IF(C42&lt;'PlayerGrades+'!$Y$43,"F",IF(C42&lt;'PlayerGrades+'!$Y$42,"F+",IF(C42&lt;'PlayerGrades+'!$Y$41,"E-",IF(C42&lt;'PlayerGrades+'!$Y$40,"E",IF(C42&lt;'PlayerGrades+'!$Y$39,"E+",IF(C42&lt;'PlayerGrades+'!$Y$38,"D-",IF(C42&lt;'PlayerGrades+'!$Y$37,"D",IF(C42&lt;'PlayerGrades+'!$Y$36,"D+",IF(C42&lt;'PlayerGrades+'!$Y$35,"C-",IF(C42&lt;'PlayerGrades+'!$Y$34,"C",IF(C42&lt;'PlayerGrades+'!$Y$33,"C+",IF(C42&lt;'PlayerGrades+'!$Y$32,"B-",IF(C42&lt;'PlayerGrades+'!$Y$31,"B",IF(C42&lt;'PlayerGrades+'!$Y$30,"B+",IF(C42&lt;'PlayerGrades+'!$Y$29,"A-",IF(C42&lt;'PlayerGrades+'!$Y$28,"A",IF(C42&lt;'PlayerGrades+'!$Y$27,"A+",IF(C42&lt;'PlayerGrades+'!$Y$26,"S-",IF(C42&lt;'PlayerGrades+'!$Y$25,"S","S+"))))))))))))))))))))</f>
        <v>A</v>
      </c>
      <c r="C42" s="1170">
        <f>('PlayerGrades+'!$Y$47*(VLOOKUP(E42, 'PlayerGrades+'!$X$3:$Y$23, 2, FALSE)))+('PlayerGrades+'!$Y$48*(VLOOKUP(G42, 'PlayerGrades+'!$X$3:$Y$23, 2, FALSE)))+('PlayerGrades+'!$Y$49*(VLOOKUP(I42, 'PlayerGrades+'!$X$3:$Y$23, 2, FALSE)))+('PlayerGrades+'!$Y$50*(VLOOKUP(K42, 'PlayerGrades+'!$X$3:$Y$23, 2, FALSE)))+('PlayerGrades+'!$Y$51*(VLOOKUP(M42, 'PlayerGrades+'!$X$3:$Y$23, 2, FALSE)))+('PlayerGrades+'!$Y$52*(VLOOKUP(O42, 'PlayerGrades+'!$X$3:$Y$23, 2, FALSE)))+('PlayerGrades+'!$Y$53*(VLOOKUP(Q42, 'PlayerGrades+'!$X$3:$Y$23, 2, FALSE)))+('PlayerGrades+'!$Y$54*(VLOOKUP(S42, 'PlayerGrades+'!$X$3:$Y$23, 2, FALSE)))+('PlayerGrades+'!$Y$55*(VLOOKUP(U42, 'PlayerGrades+'!$X$3:$Y$23, 2, FALSE)))</f>
        <v>22.4125</v>
      </c>
      <c r="D42" s="890">
        <f t="shared" si="1"/>
        <v>0</v>
      </c>
      <c r="E42" s="890" t="str">
        <f>IF(D42&lt;'PlayerGrades+'!$AA$21,"F-",IF(D42&lt;'PlayerGrades+'!$AA$20,"F",IF(D42&lt;'PlayerGrades+'!$AA$19,"F+",IF(D42&lt;'PlayerGrades+'!$AA$18,"E-",IF(D42&lt;'PlayerGrades+'!$AA$17,"E",IF(D42&lt;'PlayerGrades+'!$AA$16,"E+",IF(D42&lt;'PlayerGrades+'!$AA$15,"D-",IF(D42&lt;'PlayerGrades+'!$AA$14,"D",IF(D42&lt;'PlayerGrades+'!$AA$13,"D+",IF(D42&lt;'PlayerGrades+'!$AA$12,"C-",IF(D42&lt;'PlayerGrades+'!$AA$11,"C",IF(D42&lt;'PlayerGrades+'!$AA$10,"C+",IF(D42&lt;'PlayerGrades+'!$AA$9,"B-",IF(D42&lt;'PlayerGrades+'!$AA$8,"B",IF(D42&lt;'PlayerGrades+'!$AA$7,"B+",IF(D42&lt;'PlayerGrades+'!$AA$6,"A-",IF(D42&lt;'PlayerGrades+'!$AA$5,"A",IF(D42&lt;'PlayerGrades+'!$AA$4,"A+",IF(D42&lt;'PlayerGrades+'!$AA$3,"S-",IF(D42&lt;'PlayerGrades+'!$AA$2,"S","S+"))))))))))))))))))))</f>
        <v>F-</v>
      </c>
      <c r="F42" s="890">
        <f t="shared" si="2"/>
        <v>0.04395756298</v>
      </c>
      <c r="G42" s="890" t="str">
        <f>IF(F42&lt;'PlayerGrades+'!$AB$21,"F-",IF(F42&lt;'PlayerGrades+'!$AB$20,"F",IF(F42&lt;'PlayerGrades+'!$AB$19,"F+",IF(F42&lt;'PlayerGrades+'!$AB$18,"E-",IF(F42&lt;'PlayerGrades+'!$AB$17,"E",IF(F42&lt;'PlayerGrades+'!$AB$16,"E+",IF(F42&lt;'PlayerGrades+'!$AB$15,"D-",IF(F42&lt;'PlayerGrades+'!$AB$14,"D",IF(F42&lt;'PlayerGrades+'!$AB$13,"D+",IF(F42&lt;'PlayerGrades+'!$AB$12,"C-",IF(F42&lt;'PlayerGrades+'!$AB$11,"C",IF(F42&lt;'PlayerGrades+'!$AB$10,"C+",IF(F42&lt;'PlayerGrades+'!$AB$9,"B-",IF(F42&lt;'PlayerGrades+'!$AB$8,"B",IF(F42&lt;'PlayerGrades+'!$AB$7,"B+",IF(F42&lt;'PlayerGrades+'!$AB$6,"A-",IF(F42&lt;'PlayerGrades+'!$AB$5,"A",IF(F42&lt;'PlayerGrades+'!$AB$4,"A+",IF(F42&lt;'PlayerGrades+'!$AB$3,"S-",IF(F42&lt;'PlayerGrades+'!$AB$2,"S","S+"))))))))))))))))))))</f>
        <v>A</v>
      </c>
      <c r="H42" s="890">
        <f t="shared" si="3"/>
        <v>0.8273145108</v>
      </c>
      <c r="I42" s="890" t="str">
        <f>IF(H42&lt;'PlayerGrades+'!$AC$21,"F-",IF(H42&lt;'PlayerGrades+'!$AC$20,"F",IF(H42&lt;'PlayerGrades+'!$AC$19,"F+",IF(H42&lt;'PlayerGrades+'!$AC$18,"E-",IF(H42&lt;'PlayerGrades+'!$AC$17,"E",IF(H42&lt;'PlayerGrades+'!$AC$16,"E+",IF(H42&lt;'PlayerGrades+'!$AC$15,"D-",IF(H42&lt;'PlayerGrades+'!$AC$14,"D",IF(H42&lt;'PlayerGrades+'!$AC$13,"D+",IF(H42&lt;'PlayerGrades+'!$AC$12,"C-",IF(H42&lt;'PlayerGrades+'!$AC$11,"C",IF(H42&lt;'PlayerGrades+'!$AC$10,"C+",IF(H42&lt;'PlayerGrades+'!$AC$9,"B-",IF(H42&lt;'PlayerGrades+'!$AC$8,"B",IF(H42&lt;'PlayerGrades+'!$AC$7,"B+",IF(H42&lt;'PlayerGrades+'!$AC$6,"A-",IF(H42&lt;'PlayerGrades+'!$AC$5,"A",IF(H42&lt;'PlayerGrades+'!$AC$4,"A+",IF(H42&lt;'PlayerGrades+'!$AC$3,"S-",IF(H42&lt;'PlayerGrades+'!$AC$2,"S","S+"))))))))))))))))))))</f>
        <v>S</v>
      </c>
      <c r="J42" s="890">
        <f t="shared" si="4"/>
        <v>0.07879185817</v>
      </c>
      <c r="K42" s="890" t="str">
        <f>IF(J42&lt;'PlayerGrades+'!$AD$21,"F-",IF(J42&lt;'PlayerGrades+'!$AD$20,"F",IF(J42&lt;'PlayerGrades+'!$AD$19,"F+",IF(J42&lt;'PlayerGrades+'!$AD$18,"E-",IF(J42&lt;'PlayerGrades+'!$AD$17,"E",IF(J42&lt;'PlayerGrades+'!$AD$16,"E+",IF(J42&lt;'PlayerGrades+'!$AD$15,"D-",IF(J42&lt;'PlayerGrades+'!$AD$14,"D",IF(J42&lt;'PlayerGrades+'!$AD$13,"D+",IF(J42&lt;'PlayerGrades+'!$AD$12,"C-",IF(J42&lt;'PlayerGrades+'!$AD$11,"C",IF(J42&lt;'PlayerGrades+'!$AD$10,"C+",IF(J42&lt;'PlayerGrades+'!$AD$9,"B-",IF(J42&lt;'PlayerGrades+'!$AD$8,"B",IF(J42&lt;'PlayerGrades+'!$AD$7,"B+",IF(J42&lt;'PlayerGrades+'!$AD$6,"A-",IF(J42&lt;'PlayerGrades+'!$AD$5,"A",IF(J42&lt;'PlayerGrades+'!$AD$4,"A+",IF(J42&lt;'PlayerGrades+'!$AD$3,"S-",IF(J42&lt;'PlayerGrades+'!$AD$2,"S","S+"))))))))))))))))))))</f>
        <v>A</v>
      </c>
      <c r="L42" s="899">
        <f t="shared" si="5"/>
        <v>0.7485226527</v>
      </c>
      <c r="M42" s="899" t="str">
        <f>IF(L42&lt;'PlayerGrades+'!$AE$21,"F-",IF(L42&lt;'PlayerGrades+'!$AE$20,"F",IF(L42&lt;'PlayerGrades+'!$AE$19,"F+",IF(L42&lt;'PlayerGrades+'!$AE$18,"E-",IF(L42&lt;'PlayerGrades+'!$AE$17,"E",IF(L42&lt;'PlayerGrades+'!$AE$16,"E+",IF(L42&lt;'PlayerGrades+'!$AE$15,"D-",IF(L42&lt;'PlayerGrades+'!$AE$14,"D",IF(L42&lt;'PlayerGrades+'!$AE$13,"D+",IF(L42&lt;'PlayerGrades+'!$AE$12,"C-",IF(L42&lt;'PlayerGrades+'!$AE$11,"C",IF(L42&lt;'PlayerGrades+'!$AE$10,"C+",IF(L42&lt;'PlayerGrades+'!$AE$9,"B-",IF(L42&lt;'PlayerGrades+'!$AE$8,"B",IF(L42&lt;'PlayerGrades+'!$AE$7,"B+",IF(L42&lt;'PlayerGrades+'!$AE$6,"A-",IF(L42&lt;'PlayerGrades+'!$AE$5,"A",IF(L42&lt;'PlayerGrades+'!$AE$4,"A+",IF(L42&lt;'PlayerGrades+'!$AE$3,"S-",IF(L42&lt;'PlayerGrades+'!$AE$2,"S","S+"))))))))))))))))))))</f>
        <v>S-</v>
      </c>
      <c r="N42" s="890">
        <f t="shared" si="6"/>
        <v>0.1969796454</v>
      </c>
      <c r="O42" s="890" t="str">
        <f>IF(N42&lt;'PlayerGrades+'!$AF$21,"F-",IF(N42&lt;'PlayerGrades+'!$AF$20,"F",IF(N42&lt;'PlayerGrades+'!$AF$19,"F+",IF(N42&lt;'PlayerGrades+'!$AF$18,"E-",IF(N42&lt;'PlayerGrades+'!$AF$17,"E",IF(N42&lt;'PlayerGrades+'!$AF$16,"E+",IF(N42&lt;'PlayerGrades+'!$AF$15,"D-",IF(N42&lt;'PlayerGrades+'!$AF$14,"D",IF(N42&lt;'PlayerGrades+'!$AF$13,"D+",IF(N42&lt;'PlayerGrades+'!$AF$12,"C-",IF(N42&lt;'PlayerGrades+'!$AF$11,"C",IF(N42&lt;'PlayerGrades+'!$AF$10,"C+",IF(N42&lt;'PlayerGrades+'!$AF$9,"B-",IF(N42&lt;'PlayerGrades+'!$AF$8,"B",IF(N42&lt;'PlayerGrades+'!$AF$7,"B+",IF(N42&lt;'PlayerGrades+'!$AF$6,"A-",IF(N42&lt;'PlayerGrades+'!$AF$5,"A",IF(N42&lt;'PlayerGrades+'!$AF$4,"A+",IF(N42&lt;'PlayerGrades+'!$AF$3,"S-",IF(N42&lt;'PlayerGrades+'!$AF$2,"S","S+"))))))))))))))))))))</f>
        <v>S-</v>
      </c>
      <c r="P42" s="890">
        <f t="shared" si="7"/>
        <v>1.221273802</v>
      </c>
      <c r="Q42" s="890" t="str">
        <f>IF(P42&lt;'PlayerGrades+'!$AG$21,"F-",IF(P42&lt;'PlayerGrades+'!$AG$20,"F",IF(P42&lt;'PlayerGrades+'!$AG$19,"F+",IF(P42&lt;'PlayerGrades+'!$AG$18,"E-",IF(P42&lt;'PlayerGrades+'!$AG$17,"E",IF(P42&lt;'PlayerGrades+'!$AG$16,"E+",IF(P42&lt;'PlayerGrades+'!$AG$15,"D-",IF(P42&lt;'PlayerGrades+'!$AG$14,"D",IF(P42&lt;'PlayerGrades+'!$AG$13,"D+",IF(P42&lt;'PlayerGrades+'!$AG$12,"C-",IF(P42&lt;'PlayerGrades+'!$AG$11,"C",IF(P42&lt;'PlayerGrades+'!$AG$10,"C+",IF(P42&lt;'PlayerGrades+'!$AG$9,"B-",IF(P42&lt;'PlayerGrades+'!$AG$8,"B",IF(P42&lt;'PlayerGrades+'!$AG$7,"B+",IF(P42&lt;'PlayerGrades+'!$AG$6,"A-",IF(P42&lt;'PlayerGrades+'!$AG$5,"A",IF(P42&lt;'PlayerGrades+'!$AG$4,"A+",IF(P42&lt;'PlayerGrades+'!$AG$3,"S-",IF(P42&lt;'PlayerGrades+'!$AG$2,"S","S+"))))))))))))))))))))</f>
        <v>S-</v>
      </c>
      <c r="R42" s="890">
        <f t="shared" si="8"/>
        <v>0.1181877873</v>
      </c>
      <c r="S42" s="890" t="str">
        <f>IF(R42&lt;'PlayerGrades+'!$AH$21,"F-",IF(R42&lt;'PlayerGrades+'!$AH$20,"F",IF(R42&lt;'PlayerGrades+'!$AH$19,"F+",IF(R42&lt;'PlayerGrades+'!$AH$18,"E-",IF(R42&lt;'PlayerGrades+'!$AH$17,"E",IF(R42&lt;'PlayerGrades+'!$AH$16,"E+",IF(R42&lt;'PlayerGrades+'!$AH$15,"D-",IF(R42&lt;'PlayerGrades+'!$AH$14,"D",IF(R42&lt;'PlayerGrades+'!$AH$13,"D+",IF(R42&lt;'PlayerGrades+'!$AH$12,"C-",IF(R42&lt;'PlayerGrades+'!$AH$11,"C",IF(R42&lt;'PlayerGrades+'!$AH$10,"C+",IF(R42&lt;'PlayerGrades+'!$AH$9,"B-",IF(R42&lt;'PlayerGrades+'!$AH$8,"B",IF(R42&lt;'PlayerGrades+'!$AH$7,"B+",IF(R42&lt;'PlayerGrades+'!$AH$6,"A-",IF(R42&lt;'PlayerGrades+'!$AH$5,"A",IF(R42&lt;'PlayerGrades+'!$AH$4,"A+",IF(R42&lt;'PlayerGrades+'!$AH$3,"S-",IF(R42&lt;'PlayerGrades+'!$AH$2,"S","S+"))))))))))))))))))))</f>
        <v>S</v>
      </c>
      <c r="T42" s="890">
        <f t="shared" si="9"/>
        <v>4.175968483</v>
      </c>
      <c r="U42" s="890" t="str">
        <f>IF(T42&lt;'PlayerGrades+'!$AI$21,"F-",IF(T42&lt;'PlayerGrades+'!$AI$20,"F",IF(T42&lt;'PlayerGrades+'!$AI$19,"F+",IF(T42&lt;'PlayerGrades+'!$AI$18,"E-",IF(T42&lt;'PlayerGrades+'!$AI$17,"E",IF(T42&lt;'PlayerGrades+'!$AI$16,"E+",IF(T42&lt;'PlayerGrades+'!$AI$15,"D-",IF(T42&lt;'PlayerGrades+'!$AI$14,"D",IF(T42&lt;'PlayerGrades+'!$AI$13,"D+",IF(T42&lt;'PlayerGrades+'!$AI$12,"C-",IF(T42&lt;'PlayerGrades+'!$AI$11,"C",IF(T42&lt;'PlayerGrades+'!$AI$10,"C+",IF(T42&lt;'PlayerGrades+'!$AI$9,"B-",IF(T42&lt;'PlayerGrades+'!$AI$8,"B",IF(T42&lt;'PlayerGrades+'!$AI$7,"B+",IF(T42&lt;'PlayerGrades+'!$AI$6,"A-",IF(T42&lt;'PlayerGrades+'!$AI$5,"A",IF(T42&lt;'PlayerGrades+'!$AI$4,"A+",IF(T42&lt;'PlayerGrades+'!$AI$3,"S-",IF(T42&lt;'PlayerGrades+'!$AI$2,"S","S+"))))))))))))))))))))</f>
        <v>S</v>
      </c>
      <c r="V42" s="925">
        <v>1.0</v>
      </c>
      <c r="W42" s="925">
        <v>0.0</v>
      </c>
      <c r="X42" s="925">
        <v>0.0</v>
      </c>
      <c r="Y42" s="925">
        <v>3.0</v>
      </c>
      <c r="Z42" s="1272">
        <v>106.0</v>
      </c>
      <c r="AA42" s="1272">
        <v>95.0</v>
      </c>
      <c r="AB42" s="925">
        <f t="shared" si="10"/>
        <v>11</v>
      </c>
      <c r="AC42" s="930">
        <f t="shared" si="11"/>
        <v>1.115789474</v>
      </c>
      <c r="AD42" s="1169">
        <v>0.0</v>
      </c>
      <c r="AE42" s="1300">
        <v>1523.0</v>
      </c>
      <c r="AF42" s="1169">
        <v>2.0</v>
      </c>
      <c r="AG42" s="1169">
        <v>0.0</v>
      </c>
      <c r="AH42" s="1169">
        <v>0.0</v>
      </c>
      <c r="AI42" s="1169">
        <v>0.0</v>
      </c>
      <c r="AJ42" s="1169">
        <v>1.0</v>
      </c>
      <c r="AK42" s="1169">
        <v>19.0</v>
      </c>
      <c r="AL42" s="1169">
        <v>5.0</v>
      </c>
      <c r="AM42" s="1169">
        <v>2.0</v>
      </c>
      <c r="AN42" s="1169">
        <v>1.0</v>
      </c>
      <c r="AO42" s="1169">
        <v>1.0</v>
      </c>
      <c r="AP42" s="1169">
        <v>1.0</v>
      </c>
      <c r="AQ42" s="1169">
        <v>1.0</v>
      </c>
      <c r="AR42" s="1169">
        <v>0.0</v>
      </c>
      <c r="AS42" s="1169">
        <v>0.0</v>
      </c>
      <c r="AT42" s="1169">
        <v>0.0</v>
      </c>
      <c r="AU42" s="1169">
        <v>21.0</v>
      </c>
      <c r="AV42" s="1169">
        <v>0.0</v>
      </c>
      <c r="AW42" s="1169">
        <v>0.0</v>
      </c>
      <c r="AX42" s="1169">
        <v>0.0</v>
      </c>
      <c r="AY42" s="1169">
        <v>3.0</v>
      </c>
      <c r="AZ42" s="1302">
        <v>0.0</v>
      </c>
    </row>
    <row r="43">
      <c r="A43" s="1277" t="s">
        <v>149</v>
      </c>
      <c r="B43" s="1100" t="str">
        <f>IF(C43&lt;'PlayerGrades+'!$Y$44,"F-",IF(C43&lt;'PlayerGrades+'!$Y$43,"F",IF(C43&lt;'PlayerGrades+'!$Y$42,"F+",IF(C43&lt;'PlayerGrades+'!$Y$41,"E-",IF(C43&lt;'PlayerGrades+'!$Y$40,"E",IF(C43&lt;'PlayerGrades+'!$Y$39,"E+",IF(C43&lt;'PlayerGrades+'!$Y$38,"D-",IF(C43&lt;'PlayerGrades+'!$Y$37,"D",IF(C43&lt;'PlayerGrades+'!$Y$36,"D+",IF(C43&lt;'PlayerGrades+'!$Y$35,"C-",IF(C43&lt;'PlayerGrades+'!$Y$34,"C",IF(C43&lt;'PlayerGrades+'!$Y$33,"C+",IF(C43&lt;'PlayerGrades+'!$Y$32,"B-",IF(C43&lt;'PlayerGrades+'!$Y$31,"B",IF(C43&lt;'PlayerGrades+'!$Y$30,"B+",IF(C43&lt;'PlayerGrades+'!$Y$29,"A-",IF(C43&lt;'PlayerGrades+'!$Y$28,"A",IF(C43&lt;'PlayerGrades+'!$Y$27,"A+",IF(C43&lt;'PlayerGrades+'!$Y$26,"S-",IF(C43&lt;'PlayerGrades+'!$Y$25,"S","S+"))))))))))))))))))))</f>
        <v>B</v>
      </c>
      <c r="C43" s="1105">
        <f>('PlayerGrades+'!$Y$47*(VLOOKUP(E43, 'PlayerGrades+'!$X$3:$Y$23, 2, FALSE)))+('PlayerGrades+'!$Y$48*(VLOOKUP(G43, 'PlayerGrades+'!$X$3:$Y$23, 2, FALSE)))+('PlayerGrades+'!$Y$49*(VLOOKUP(I43, 'PlayerGrades+'!$X$3:$Y$23, 2, FALSE)))+('PlayerGrades+'!$Y$50*(VLOOKUP(K43, 'PlayerGrades+'!$X$3:$Y$23, 2, FALSE)))+('PlayerGrades+'!$Y$51*(VLOOKUP(M43, 'PlayerGrades+'!$X$3:$Y$23, 2, FALSE)))+('PlayerGrades+'!$Y$52*(VLOOKUP(O43, 'PlayerGrades+'!$X$3:$Y$23, 2, FALSE)))+('PlayerGrades+'!$Y$53*(VLOOKUP(Q43, 'PlayerGrades+'!$X$3:$Y$23, 2, FALSE)))+('PlayerGrades+'!$Y$54*(VLOOKUP(S43, 'PlayerGrades+'!$X$3:$Y$23, 2, FALSE)))+('PlayerGrades+'!$Y$55*(VLOOKUP(U43, 'PlayerGrades+'!$X$3:$Y$23, 2, FALSE)))</f>
        <v>19.7625</v>
      </c>
      <c r="D43" s="961">
        <f t="shared" si="1"/>
        <v>0</v>
      </c>
      <c r="E43" s="961" t="str">
        <f>IF(D43&lt;'PlayerGrades+'!$AA$21,"F-",IF(D43&lt;'PlayerGrades+'!$AA$20,"F",IF(D43&lt;'PlayerGrades+'!$AA$19,"F+",IF(D43&lt;'PlayerGrades+'!$AA$18,"E-",IF(D43&lt;'PlayerGrades+'!$AA$17,"E",IF(D43&lt;'PlayerGrades+'!$AA$16,"E+",IF(D43&lt;'PlayerGrades+'!$AA$15,"D-",IF(D43&lt;'PlayerGrades+'!$AA$14,"D",IF(D43&lt;'PlayerGrades+'!$AA$13,"D+",IF(D43&lt;'PlayerGrades+'!$AA$12,"C-",IF(D43&lt;'PlayerGrades+'!$AA$11,"C",IF(D43&lt;'PlayerGrades+'!$AA$10,"C+",IF(D43&lt;'PlayerGrades+'!$AA$9,"B-",IF(D43&lt;'PlayerGrades+'!$AA$8,"B",IF(D43&lt;'PlayerGrades+'!$AA$7,"B+",IF(D43&lt;'PlayerGrades+'!$AA$6,"A-",IF(D43&lt;'PlayerGrades+'!$AA$5,"A",IF(D43&lt;'PlayerGrades+'!$AA$4,"A+",IF(D43&lt;'PlayerGrades+'!$AA$3,"S-",IF(D43&lt;'PlayerGrades+'!$AA$2,"S","S+"))))))))))))))))))))</f>
        <v>F-</v>
      </c>
      <c r="F43" s="961">
        <f t="shared" si="2"/>
        <v>0.03856654111</v>
      </c>
      <c r="G43" s="961" t="str">
        <f>IF(F43&lt;'PlayerGrades+'!$AB$21,"F-",IF(F43&lt;'PlayerGrades+'!$AB$20,"F",IF(F43&lt;'PlayerGrades+'!$AB$19,"F+",IF(F43&lt;'PlayerGrades+'!$AB$18,"E-",IF(F43&lt;'PlayerGrades+'!$AB$17,"E",IF(F43&lt;'PlayerGrades+'!$AB$16,"E+",IF(F43&lt;'PlayerGrades+'!$AB$15,"D-",IF(F43&lt;'PlayerGrades+'!$AB$14,"D",IF(F43&lt;'PlayerGrades+'!$AB$13,"D+",IF(F43&lt;'PlayerGrades+'!$AB$12,"C-",IF(F43&lt;'PlayerGrades+'!$AB$11,"C",IF(F43&lt;'PlayerGrades+'!$AB$10,"C+",IF(F43&lt;'PlayerGrades+'!$AB$9,"B-",IF(F43&lt;'PlayerGrades+'!$AB$8,"B",IF(F43&lt;'PlayerGrades+'!$AB$7,"B+",IF(F43&lt;'PlayerGrades+'!$AB$6,"A-",IF(F43&lt;'PlayerGrades+'!$AB$5,"A",IF(F43&lt;'PlayerGrades+'!$AB$4,"A+",IF(F43&lt;'PlayerGrades+'!$AB$3,"S-",IF(F43&lt;'PlayerGrades+'!$AB$2,"S","S+"))))))))))))))))))))</f>
        <v>A</v>
      </c>
      <c r="H43" s="961">
        <f t="shared" si="3"/>
        <v>0.6697307945</v>
      </c>
      <c r="I43" s="961" t="str">
        <f>IF(H43&lt;'PlayerGrades+'!$AC$21,"F-",IF(H43&lt;'PlayerGrades+'!$AC$20,"F",IF(H43&lt;'PlayerGrades+'!$AC$19,"F+",IF(H43&lt;'PlayerGrades+'!$AC$18,"E-",IF(H43&lt;'PlayerGrades+'!$AC$17,"E",IF(H43&lt;'PlayerGrades+'!$AC$16,"E+",IF(H43&lt;'PlayerGrades+'!$AC$15,"D-",IF(H43&lt;'PlayerGrades+'!$AC$14,"D",IF(H43&lt;'PlayerGrades+'!$AC$13,"D+",IF(H43&lt;'PlayerGrades+'!$AC$12,"C-",IF(H43&lt;'PlayerGrades+'!$AC$11,"C",IF(H43&lt;'PlayerGrades+'!$AC$10,"C+",IF(H43&lt;'PlayerGrades+'!$AC$9,"B-",IF(H43&lt;'PlayerGrades+'!$AC$8,"B",IF(H43&lt;'PlayerGrades+'!$AC$7,"B+",IF(H43&lt;'PlayerGrades+'!$AC$6,"A-",IF(H43&lt;'PlayerGrades+'!$AC$5,"A",IF(H43&lt;'PlayerGrades+'!$AC$4,"A+",IF(H43&lt;'PlayerGrades+'!$AC$3,"S-",IF(H43&lt;'PlayerGrades+'!$AC$2,"S","S+"))))))))))))))))))))</f>
        <v>A</v>
      </c>
      <c r="J43" s="961">
        <f t="shared" si="4"/>
        <v>0.07879185817</v>
      </c>
      <c r="K43" s="961" t="str">
        <f>IF(J43&lt;'PlayerGrades+'!$AD$21,"F-",IF(J43&lt;'PlayerGrades+'!$AD$20,"F",IF(J43&lt;'PlayerGrades+'!$AD$19,"F+",IF(J43&lt;'PlayerGrades+'!$AD$18,"E-",IF(J43&lt;'PlayerGrades+'!$AD$17,"E",IF(J43&lt;'PlayerGrades+'!$AD$16,"E+",IF(J43&lt;'PlayerGrades+'!$AD$15,"D-",IF(J43&lt;'PlayerGrades+'!$AD$14,"D",IF(J43&lt;'PlayerGrades+'!$AD$13,"D+",IF(J43&lt;'PlayerGrades+'!$AD$12,"C-",IF(J43&lt;'PlayerGrades+'!$AD$11,"C",IF(J43&lt;'PlayerGrades+'!$AD$10,"C+",IF(J43&lt;'PlayerGrades+'!$AD$9,"B-",IF(J43&lt;'PlayerGrades+'!$AD$8,"B",IF(J43&lt;'PlayerGrades+'!$AD$7,"B+",IF(J43&lt;'PlayerGrades+'!$AD$6,"A-",IF(J43&lt;'PlayerGrades+'!$AD$5,"A",IF(J43&lt;'PlayerGrades+'!$AD$4,"A+",IF(J43&lt;'PlayerGrades+'!$AD$3,"S-",IF(J43&lt;'PlayerGrades+'!$AD$2,"S","S+"))))))))))))))))))))</f>
        <v>A</v>
      </c>
      <c r="L43" s="992">
        <f t="shared" si="5"/>
        <v>0.6697307945</v>
      </c>
      <c r="M43" s="992" t="str">
        <f>IF(L43&lt;'PlayerGrades+'!$AE$21,"F-",IF(L43&lt;'PlayerGrades+'!$AE$20,"F",IF(L43&lt;'PlayerGrades+'!$AE$19,"F+",IF(L43&lt;'PlayerGrades+'!$AE$18,"E-",IF(L43&lt;'PlayerGrades+'!$AE$17,"E",IF(L43&lt;'PlayerGrades+'!$AE$16,"E+",IF(L43&lt;'PlayerGrades+'!$AE$15,"D-",IF(L43&lt;'PlayerGrades+'!$AE$14,"D",IF(L43&lt;'PlayerGrades+'!$AE$13,"D+",IF(L43&lt;'PlayerGrades+'!$AE$12,"C-",IF(L43&lt;'PlayerGrades+'!$AE$11,"C",IF(L43&lt;'PlayerGrades+'!$AE$10,"C+",IF(L43&lt;'PlayerGrades+'!$AE$9,"B-",IF(L43&lt;'PlayerGrades+'!$AE$8,"B",IF(L43&lt;'PlayerGrades+'!$AE$7,"B+",IF(L43&lt;'PlayerGrades+'!$AE$6,"A-",IF(L43&lt;'PlayerGrades+'!$AE$5,"A",IF(L43&lt;'PlayerGrades+'!$AE$4,"A+",IF(L43&lt;'PlayerGrades+'!$AE$3,"S-",IF(L43&lt;'PlayerGrades+'!$AE$2,"S","S+"))))))))))))))))))))</f>
        <v>A+</v>
      </c>
      <c r="N43" s="961">
        <f t="shared" si="6"/>
        <v>0.07879185817</v>
      </c>
      <c r="O43" s="961" t="str">
        <f>IF(N43&lt;'PlayerGrades+'!$AF$21,"F-",IF(N43&lt;'PlayerGrades+'!$AF$20,"F",IF(N43&lt;'PlayerGrades+'!$AF$19,"F+",IF(N43&lt;'PlayerGrades+'!$AF$18,"E-",IF(N43&lt;'PlayerGrades+'!$AF$17,"E",IF(N43&lt;'PlayerGrades+'!$AF$16,"E+",IF(N43&lt;'PlayerGrades+'!$AF$15,"D-",IF(N43&lt;'PlayerGrades+'!$AF$14,"D",IF(N43&lt;'PlayerGrades+'!$AF$13,"D+",IF(N43&lt;'PlayerGrades+'!$AF$12,"C-",IF(N43&lt;'PlayerGrades+'!$AF$11,"C",IF(N43&lt;'PlayerGrades+'!$AF$10,"C+",IF(N43&lt;'PlayerGrades+'!$AF$9,"B-",IF(N43&lt;'PlayerGrades+'!$AF$8,"B",IF(N43&lt;'PlayerGrades+'!$AF$7,"B+",IF(N43&lt;'PlayerGrades+'!$AF$6,"A-",IF(N43&lt;'PlayerGrades+'!$AF$5,"A",IF(N43&lt;'PlayerGrades+'!$AF$4,"A+",IF(N43&lt;'PlayerGrades+'!$AF$3,"S-",IF(N43&lt;'PlayerGrades+'!$AF$2,"S","S+"))))))))))))))))))))</f>
        <v>E+</v>
      </c>
      <c r="P43" s="961">
        <f t="shared" si="7"/>
        <v>0.7485226527</v>
      </c>
      <c r="Q43" s="961" t="str">
        <f>IF(P43&lt;'PlayerGrades+'!$AG$21,"F-",IF(P43&lt;'PlayerGrades+'!$AG$20,"F",IF(P43&lt;'PlayerGrades+'!$AG$19,"F+",IF(P43&lt;'PlayerGrades+'!$AG$18,"E-",IF(P43&lt;'PlayerGrades+'!$AG$17,"E",IF(P43&lt;'PlayerGrades+'!$AG$16,"E+",IF(P43&lt;'PlayerGrades+'!$AG$15,"D-",IF(P43&lt;'PlayerGrades+'!$AG$14,"D",IF(P43&lt;'PlayerGrades+'!$AG$13,"D+",IF(P43&lt;'PlayerGrades+'!$AG$12,"C-",IF(P43&lt;'PlayerGrades+'!$AG$11,"C",IF(P43&lt;'PlayerGrades+'!$AG$10,"C+",IF(P43&lt;'PlayerGrades+'!$AG$9,"B-",IF(P43&lt;'PlayerGrades+'!$AG$8,"B",IF(P43&lt;'PlayerGrades+'!$AG$7,"B+",IF(P43&lt;'PlayerGrades+'!$AG$6,"A-",IF(P43&lt;'PlayerGrades+'!$AG$5,"A",IF(P43&lt;'PlayerGrades+'!$AG$4,"A+",IF(P43&lt;'PlayerGrades+'!$AG$3,"S-",IF(P43&lt;'PlayerGrades+'!$AG$2,"S","S+"))))))))))))))))))))</f>
        <v>B+</v>
      </c>
      <c r="R43" s="961">
        <f t="shared" si="8"/>
        <v>0.1181877873</v>
      </c>
      <c r="S43" s="961" t="str">
        <f>IF(R43&lt;'PlayerGrades+'!$AH$21,"F-",IF(R43&lt;'PlayerGrades+'!$AH$20,"F",IF(R43&lt;'PlayerGrades+'!$AH$19,"F+",IF(R43&lt;'PlayerGrades+'!$AH$18,"E-",IF(R43&lt;'PlayerGrades+'!$AH$17,"E",IF(R43&lt;'PlayerGrades+'!$AH$16,"E+",IF(R43&lt;'PlayerGrades+'!$AH$15,"D-",IF(R43&lt;'PlayerGrades+'!$AH$14,"D",IF(R43&lt;'PlayerGrades+'!$AH$13,"D+",IF(R43&lt;'PlayerGrades+'!$AH$12,"C-",IF(R43&lt;'PlayerGrades+'!$AH$11,"C",IF(R43&lt;'PlayerGrades+'!$AH$10,"C+",IF(R43&lt;'PlayerGrades+'!$AH$9,"B-",IF(R43&lt;'PlayerGrades+'!$AH$8,"B",IF(R43&lt;'PlayerGrades+'!$AH$7,"B+",IF(R43&lt;'PlayerGrades+'!$AH$6,"A-",IF(R43&lt;'PlayerGrades+'!$AH$5,"A",IF(R43&lt;'PlayerGrades+'!$AH$4,"A+",IF(R43&lt;'PlayerGrades+'!$AH$3,"S-",IF(R43&lt;'PlayerGrades+'!$AH$2,"S","S+"))))))))))))))))))))</f>
        <v>S</v>
      </c>
      <c r="T43" s="961">
        <f t="shared" si="9"/>
        <v>3.663821405</v>
      </c>
      <c r="U43" s="961" t="str">
        <f>IF(T43&lt;'PlayerGrades+'!$AI$21,"F-",IF(T43&lt;'PlayerGrades+'!$AI$20,"F",IF(T43&lt;'PlayerGrades+'!$AI$19,"F+",IF(T43&lt;'PlayerGrades+'!$AI$18,"E-",IF(T43&lt;'PlayerGrades+'!$AI$17,"E",IF(T43&lt;'PlayerGrades+'!$AI$16,"E+",IF(T43&lt;'PlayerGrades+'!$AI$15,"D-",IF(T43&lt;'PlayerGrades+'!$AI$14,"D",IF(T43&lt;'PlayerGrades+'!$AI$13,"D+",IF(T43&lt;'PlayerGrades+'!$AI$12,"C-",IF(T43&lt;'PlayerGrades+'!$AI$11,"C",IF(T43&lt;'PlayerGrades+'!$AI$10,"C+",IF(T43&lt;'PlayerGrades+'!$AI$9,"B-",IF(T43&lt;'PlayerGrades+'!$AI$8,"B",IF(T43&lt;'PlayerGrades+'!$AI$7,"B+",IF(T43&lt;'PlayerGrades+'!$AI$6,"A-",IF(T43&lt;'PlayerGrades+'!$AI$5,"A",IF(T43&lt;'PlayerGrades+'!$AI$4,"A+",IF(T43&lt;'PlayerGrades+'!$AI$3,"S-",IF(T43&lt;'PlayerGrades+'!$AI$2,"S","S+"))))))))))))))))))))</f>
        <v>S-</v>
      </c>
      <c r="V43" s="1017">
        <v>1.0</v>
      </c>
      <c r="W43" s="1017">
        <v>0.0</v>
      </c>
      <c r="X43" s="1017">
        <v>0.0</v>
      </c>
      <c r="Y43" s="1017">
        <v>2.0</v>
      </c>
      <c r="Z43" s="1282">
        <v>93.0</v>
      </c>
      <c r="AA43" s="1282">
        <v>95.0</v>
      </c>
      <c r="AB43" s="1017">
        <f t="shared" si="10"/>
        <v>-2</v>
      </c>
      <c r="AC43" s="1020">
        <f t="shared" si="11"/>
        <v>0.9789473684</v>
      </c>
      <c r="AD43" s="1100">
        <v>0.0</v>
      </c>
      <c r="AE43" s="1329">
        <v>1523.0</v>
      </c>
      <c r="AF43" s="1100">
        <v>2.0</v>
      </c>
      <c r="AG43" s="1100">
        <v>0.0</v>
      </c>
      <c r="AH43" s="1100">
        <v>0.0</v>
      </c>
      <c r="AI43" s="1100">
        <v>0.0</v>
      </c>
      <c r="AJ43" s="1100">
        <v>0.0</v>
      </c>
      <c r="AK43" s="1100">
        <v>17.0</v>
      </c>
      <c r="AL43" s="1100">
        <v>2.0</v>
      </c>
      <c r="AM43" s="1100">
        <v>0.0</v>
      </c>
      <c r="AN43" s="1100">
        <v>0.0</v>
      </c>
      <c r="AO43" s="1100">
        <v>0.0</v>
      </c>
      <c r="AP43" s="1100">
        <v>0.0</v>
      </c>
      <c r="AQ43" s="1100">
        <v>0.0</v>
      </c>
      <c r="AR43" s="1100">
        <v>0.0</v>
      </c>
      <c r="AS43" s="1100">
        <v>0.0</v>
      </c>
      <c r="AT43" s="1100">
        <v>0.0</v>
      </c>
      <c r="AU43" s="1100">
        <v>17.0</v>
      </c>
      <c r="AV43" s="1100">
        <v>0.0</v>
      </c>
      <c r="AW43" s="1100">
        <v>1.0</v>
      </c>
      <c r="AX43" s="1100">
        <v>0.0</v>
      </c>
      <c r="AY43" s="1100">
        <v>1.0</v>
      </c>
      <c r="AZ43" s="1239">
        <v>1.0</v>
      </c>
    </row>
    <row r="44">
      <c r="A44" s="1277" t="s">
        <v>48</v>
      </c>
      <c r="B44" s="1100" t="str">
        <f>IF(C44&lt;'PlayerGrades+'!$Y$44,"F-",IF(C44&lt;'PlayerGrades+'!$Y$43,"F",IF(C44&lt;'PlayerGrades+'!$Y$42,"F+",IF(C44&lt;'PlayerGrades+'!$Y$41,"E-",IF(C44&lt;'PlayerGrades+'!$Y$40,"E",IF(C44&lt;'PlayerGrades+'!$Y$39,"E+",IF(C44&lt;'PlayerGrades+'!$Y$38,"D-",IF(C44&lt;'PlayerGrades+'!$Y$37,"D",IF(C44&lt;'PlayerGrades+'!$Y$36,"D+",IF(C44&lt;'PlayerGrades+'!$Y$35,"C-",IF(C44&lt;'PlayerGrades+'!$Y$34,"C",IF(C44&lt;'PlayerGrades+'!$Y$33,"C+",IF(C44&lt;'PlayerGrades+'!$Y$32,"B-",IF(C44&lt;'PlayerGrades+'!$Y$31,"B",IF(C44&lt;'PlayerGrades+'!$Y$30,"B+",IF(C44&lt;'PlayerGrades+'!$Y$29,"A-",IF(C44&lt;'PlayerGrades+'!$Y$28,"A",IF(C44&lt;'PlayerGrades+'!$Y$27,"A+",IF(C44&lt;'PlayerGrades+'!$Y$26,"S-",IF(C44&lt;'PlayerGrades+'!$Y$25,"S","S+"))))))))))))))))))))</f>
        <v>A</v>
      </c>
      <c r="C44" s="1105">
        <f>('PlayerGrades+'!$Y$47*(VLOOKUP(E44, 'PlayerGrades+'!$X$3:$Y$23, 2, FALSE)))+('PlayerGrades+'!$Y$48*(VLOOKUP(G44, 'PlayerGrades+'!$X$3:$Y$23, 2, FALSE)))+('PlayerGrades+'!$Y$49*(VLOOKUP(I44, 'PlayerGrades+'!$X$3:$Y$23, 2, FALSE)))+('PlayerGrades+'!$Y$50*(VLOOKUP(K44, 'PlayerGrades+'!$X$3:$Y$23, 2, FALSE)))+('PlayerGrades+'!$Y$51*(VLOOKUP(M44, 'PlayerGrades+'!$X$3:$Y$23, 2, FALSE)))+('PlayerGrades+'!$Y$52*(VLOOKUP(O44, 'PlayerGrades+'!$X$3:$Y$23, 2, FALSE)))+('PlayerGrades+'!$Y$53*(VLOOKUP(Q44, 'PlayerGrades+'!$X$3:$Y$23, 2, FALSE)))+('PlayerGrades+'!$Y$54*(VLOOKUP(S44, 'PlayerGrades+'!$X$3:$Y$23, 2, FALSE)))+('PlayerGrades+'!$Y$55*(VLOOKUP(U44, 'PlayerGrades+'!$X$3:$Y$23, 2, FALSE)))</f>
        <v>23.95</v>
      </c>
      <c r="D44" s="961">
        <f t="shared" si="1"/>
        <v>0.1181877873</v>
      </c>
      <c r="E44" s="961" t="str">
        <f>IF(D44&lt;'PlayerGrades+'!$AA$21,"F-",IF(D44&lt;'PlayerGrades+'!$AA$20,"F",IF(D44&lt;'PlayerGrades+'!$AA$19,"F+",IF(D44&lt;'PlayerGrades+'!$AA$18,"E-",IF(D44&lt;'PlayerGrades+'!$AA$17,"E",IF(D44&lt;'PlayerGrades+'!$AA$16,"E+",IF(D44&lt;'PlayerGrades+'!$AA$15,"D-",IF(D44&lt;'PlayerGrades+'!$AA$14,"D",IF(D44&lt;'PlayerGrades+'!$AA$13,"D+",IF(D44&lt;'PlayerGrades+'!$AA$12,"C-",IF(D44&lt;'PlayerGrades+'!$AA$11,"C",IF(D44&lt;'PlayerGrades+'!$AA$10,"C+",IF(D44&lt;'PlayerGrades+'!$AA$9,"B-",IF(D44&lt;'PlayerGrades+'!$AA$8,"B",IF(D44&lt;'PlayerGrades+'!$AA$7,"B+",IF(D44&lt;'PlayerGrades+'!$AA$6,"A-",IF(D44&lt;'PlayerGrades+'!$AA$5,"A",IF(D44&lt;'PlayerGrades+'!$AA$4,"A+",IF(D44&lt;'PlayerGrades+'!$AA$3,"S-",IF(D44&lt;'PlayerGrades+'!$AA$2,"S","S+"))))))))))))))))))))</f>
        <v>A+</v>
      </c>
      <c r="F44" s="961">
        <f t="shared" si="2"/>
        <v>0.03452676931</v>
      </c>
      <c r="G44" s="961" t="str">
        <f>IF(F44&lt;'PlayerGrades+'!$AB$21,"F-",IF(F44&lt;'PlayerGrades+'!$AB$20,"F",IF(F44&lt;'PlayerGrades+'!$AB$19,"F+",IF(F44&lt;'PlayerGrades+'!$AB$18,"E-",IF(F44&lt;'PlayerGrades+'!$AB$17,"E",IF(F44&lt;'PlayerGrades+'!$AB$16,"E+",IF(F44&lt;'PlayerGrades+'!$AB$15,"D-",IF(F44&lt;'PlayerGrades+'!$AB$14,"D",IF(F44&lt;'PlayerGrades+'!$AB$13,"D+",IF(F44&lt;'PlayerGrades+'!$AB$12,"C-",IF(F44&lt;'PlayerGrades+'!$AB$11,"C",IF(F44&lt;'PlayerGrades+'!$AB$10,"C+",IF(F44&lt;'PlayerGrades+'!$AB$9,"B-",IF(F44&lt;'PlayerGrades+'!$AB$8,"B",IF(F44&lt;'PlayerGrades+'!$AB$7,"B+",IF(F44&lt;'PlayerGrades+'!$AB$6,"A-",IF(F44&lt;'PlayerGrades+'!$AB$5,"A",IF(F44&lt;'PlayerGrades+'!$AB$4,"A+",IF(F44&lt;'PlayerGrades+'!$AB$3,"S-",IF(F44&lt;'PlayerGrades+'!$AB$2,"S","S+"))))))))))))))))))))</f>
        <v>A</v>
      </c>
      <c r="H44" s="961">
        <f t="shared" si="3"/>
        <v>0.5909389363</v>
      </c>
      <c r="I44" s="961" t="str">
        <f>IF(H44&lt;'PlayerGrades+'!$AC$21,"F-",IF(H44&lt;'PlayerGrades+'!$AC$20,"F",IF(H44&lt;'PlayerGrades+'!$AC$19,"F+",IF(H44&lt;'PlayerGrades+'!$AC$18,"E-",IF(H44&lt;'PlayerGrades+'!$AC$17,"E",IF(H44&lt;'PlayerGrades+'!$AC$16,"E+",IF(H44&lt;'PlayerGrades+'!$AC$15,"D-",IF(H44&lt;'PlayerGrades+'!$AC$14,"D",IF(H44&lt;'PlayerGrades+'!$AC$13,"D+",IF(H44&lt;'PlayerGrades+'!$AC$12,"C-",IF(H44&lt;'PlayerGrades+'!$AC$11,"C",IF(H44&lt;'PlayerGrades+'!$AC$10,"C+",IF(H44&lt;'PlayerGrades+'!$AC$9,"B-",IF(H44&lt;'PlayerGrades+'!$AC$8,"B",IF(H44&lt;'PlayerGrades+'!$AC$7,"B+",IF(H44&lt;'PlayerGrades+'!$AC$6,"A-",IF(H44&lt;'PlayerGrades+'!$AC$5,"A",IF(H44&lt;'PlayerGrades+'!$AC$4,"A+",IF(H44&lt;'PlayerGrades+'!$AC$3,"S-",IF(H44&lt;'PlayerGrades+'!$AC$2,"S","S+"))))))))))))))))))))</f>
        <v>A-</v>
      </c>
      <c r="J44" s="961">
        <f t="shared" si="4"/>
        <v>0.1181877873</v>
      </c>
      <c r="K44" s="961" t="str">
        <f>IF(J44&lt;'PlayerGrades+'!$AD$21,"F-",IF(J44&lt;'PlayerGrades+'!$AD$20,"F",IF(J44&lt;'PlayerGrades+'!$AD$19,"F+",IF(J44&lt;'PlayerGrades+'!$AD$18,"E-",IF(J44&lt;'PlayerGrades+'!$AD$17,"E",IF(J44&lt;'PlayerGrades+'!$AD$16,"E+",IF(J44&lt;'PlayerGrades+'!$AD$15,"D-",IF(J44&lt;'PlayerGrades+'!$AD$14,"D",IF(J44&lt;'PlayerGrades+'!$AD$13,"D+",IF(J44&lt;'PlayerGrades+'!$AD$12,"C-",IF(J44&lt;'PlayerGrades+'!$AD$11,"C",IF(J44&lt;'PlayerGrades+'!$AD$10,"C+",IF(J44&lt;'PlayerGrades+'!$AD$9,"B-",IF(J44&lt;'PlayerGrades+'!$AD$8,"B",IF(J44&lt;'PlayerGrades+'!$AD$7,"B+",IF(J44&lt;'PlayerGrades+'!$AD$6,"A-",IF(J44&lt;'PlayerGrades+'!$AD$5,"A",IF(J44&lt;'PlayerGrades+'!$AD$4,"A+",IF(J44&lt;'PlayerGrades+'!$AD$3,"S-",IF(J44&lt;'PlayerGrades+'!$AD$2,"S","S+"))))))))))))))))))))</f>
        <v>S-</v>
      </c>
      <c r="L44" s="992">
        <f t="shared" si="5"/>
        <v>0.6697307945</v>
      </c>
      <c r="M44" s="992" t="str">
        <f>IF(L44&lt;'PlayerGrades+'!$AE$21,"F-",IF(L44&lt;'PlayerGrades+'!$AE$20,"F",IF(L44&lt;'PlayerGrades+'!$AE$19,"F+",IF(L44&lt;'PlayerGrades+'!$AE$18,"E-",IF(L44&lt;'PlayerGrades+'!$AE$17,"E",IF(L44&lt;'PlayerGrades+'!$AE$16,"E+",IF(L44&lt;'PlayerGrades+'!$AE$15,"D-",IF(L44&lt;'PlayerGrades+'!$AE$14,"D",IF(L44&lt;'PlayerGrades+'!$AE$13,"D+",IF(L44&lt;'PlayerGrades+'!$AE$12,"C-",IF(L44&lt;'PlayerGrades+'!$AE$11,"C",IF(L44&lt;'PlayerGrades+'!$AE$10,"C+",IF(L44&lt;'PlayerGrades+'!$AE$9,"B-",IF(L44&lt;'PlayerGrades+'!$AE$8,"B",IF(L44&lt;'PlayerGrades+'!$AE$7,"B+",IF(L44&lt;'PlayerGrades+'!$AE$6,"A-",IF(L44&lt;'PlayerGrades+'!$AE$5,"A",IF(L44&lt;'PlayerGrades+'!$AE$4,"A+",IF(L44&lt;'PlayerGrades+'!$AE$3,"S-",IF(L44&lt;'PlayerGrades+'!$AE$2,"S","S+"))))))))))))))))))))</f>
        <v>A+</v>
      </c>
      <c r="N44" s="961">
        <f t="shared" si="6"/>
        <v>0.1969796454</v>
      </c>
      <c r="O44" s="961" t="str">
        <f>IF(N44&lt;'PlayerGrades+'!$AF$21,"F-",IF(N44&lt;'PlayerGrades+'!$AF$20,"F",IF(N44&lt;'PlayerGrades+'!$AF$19,"F+",IF(N44&lt;'PlayerGrades+'!$AF$18,"E-",IF(N44&lt;'PlayerGrades+'!$AF$17,"E",IF(N44&lt;'PlayerGrades+'!$AF$16,"E+",IF(N44&lt;'PlayerGrades+'!$AF$15,"D-",IF(N44&lt;'PlayerGrades+'!$AF$14,"D",IF(N44&lt;'PlayerGrades+'!$AF$13,"D+",IF(N44&lt;'PlayerGrades+'!$AF$12,"C-",IF(N44&lt;'PlayerGrades+'!$AF$11,"C",IF(N44&lt;'PlayerGrades+'!$AF$10,"C+",IF(N44&lt;'PlayerGrades+'!$AF$9,"B-",IF(N44&lt;'PlayerGrades+'!$AF$8,"B",IF(N44&lt;'PlayerGrades+'!$AF$7,"B+",IF(N44&lt;'PlayerGrades+'!$AF$6,"A-",IF(N44&lt;'PlayerGrades+'!$AF$5,"A",IF(N44&lt;'PlayerGrades+'!$AF$4,"A+",IF(N44&lt;'PlayerGrades+'!$AF$3,"S-",IF(N44&lt;'PlayerGrades+'!$AF$2,"S","S+"))))))))))))))))))))</f>
        <v>S-</v>
      </c>
      <c r="P44" s="961">
        <f t="shared" si="7"/>
        <v>0.9848982272</v>
      </c>
      <c r="Q44" s="961" t="str">
        <f>IF(P44&lt;'PlayerGrades+'!$AG$21,"F-",IF(P44&lt;'PlayerGrades+'!$AG$20,"F",IF(P44&lt;'PlayerGrades+'!$AG$19,"F+",IF(P44&lt;'PlayerGrades+'!$AG$18,"E-",IF(P44&lt;'PlayerGrades+'!$AG$17,"E",IF(P44&lt;'PlayerGrades+'!$AG$16,"E+",IF(P44&lt;'PlayerGrades+'!$AG$15,"D-",IF(P44&lt;'PlayerGrades+'!$AG$14,"D",IF(P44&lt;'PlayerGrades+'!$AG$13,"D+",IF(P44&lt;'PlayerGrades+'!$AG$12,"C-",IF(P44&lt;'PlayerGrades+'!$AG$11,"C",IF(P44&lt;'PlayerGrades+'!$AG$10,"C+",IF(P44&lt;'PlayerGrades+'!$AG$9,"B-",IF(P44&lt;'PlayerGrades+'!$AG$8,"B",IF(P44&lt;'PlayerGrades+'!$AG$7,"B+",IF(P44&lt;'PlayerGrades+'!$AG$6,"A-",IF(P44&lt;'PlayerGrades+'!$AG$5,"A",IF(P44&lt;'PlayerGrades+'!$AG$4,"A+",IF(P44&lt;'PlayerGrades+'!$AG$3,"S-",IF(P44&lt;'PlayerGrades+'!$AG$2,"S","S+"))))))))))))))))))))</f>
        <v>A+</v>
      </c>
      <c r="R44" s="961">
        <f t="shared" si="8"/>
        <v>0</v>
      </c>
      <c r="S44" s="961" t="str">
        <f>IF(R44&lt;'PlayerGrades+'!$AH$21,"F-",IF(R44&lt;'PlayerGrades+'!$AH$20,"F",IF(R44&lt;'PlayerGrades+'!$AH$19,"F+",IF(R44&lt;'PlayerGrades+'!$AH$18,"E-",IF(R44&lt;'PlayerGrades+'!$AH$17,"E",IF(R44&lt;'PlayerGrades+'!$AH$16,"E+",IF(R44&lt;'PlayerGrades+'!$AH$15,"D-",IF(R44&lt;'PlayerGrades+'!$AH$14,"D",IF(R44&lt;'PlayerGrades+'!$AH$13,"D+",IF(R44&lt;'PlayerGrades+'!$AH$12,"C-",IF(R44&lt;'PlayerGrades+'!$AH$11,"C",IF(R44&lt;'PlayerGrades+'!$AH$10,"C+",IF(R44&lt;'PlayerGrades+'!$AH$9,"B-",IF(R44&lt;'PlayerGrades+'!$AH$8,"B",IF(R44&lt;'PlayerGrades+'!$AH$7,"B+",IF(R44&lt;'PlayerGrades+'!$AH$6,"A-",IF(R44&lt;'PlayerGrades+'!$AH$5,"A",IF(R44&lt;'PlayerGrades+'!$AH$4,"A+",IF(R44&lt;'PlayerGrades+'!$AH$3,"S-",IF(R44&lt;'PlayerGrades+'!$AH$2,"S","S+"))))))))))))))))))))</f>
        <v>F-</v>
      </c>
      <c r="T44" s="961">
        <f t="shared" si="9"/>
        <v>3.072882469</v>
      </c>
      <c r="U44" s="961" t="str">
        <f>IF(T44&lt;'PlayerGrades+'!$AI$21,"F-",IF(T44&lt;'PlayerGrades+'!$AI$20,"F",IF(T44&lt;'PlayerGrades+'!$AI$19,"F+",IF(T44&lt;'PlayerGrades+'!$AI$18,"E-",IF(T44&lt;'PlayerGrades+'!$AI$17,"E",IF(T44&lt;'PlayerGrades+'!$AI$16,"E+",IF(T44&lt;'PlayerGrades+'!$AI$15,"D-",IF(T44&lt;'PlayerGrades+'!$AI$14,"D",IF(T44&lt;'PlayerGrades+'!$AI$13,"D+",IF(T44&lt;'PlayerGrades+'!$AI$12,"C-",IF(T44&lt;'PlayerGrades+'!$AI$11,"C",IF(T44&lt;'PlayerGrades+'!$AI$10,"C+",IF(T44&lt;'PlayerGrades+'!$AI$9,"B-",IF(T44&lt;'PlayerGrades+'!$AI$8,"B",IF(T44&lt;'PlayerGrades+'!$AI$7,"B+",IF(T44&lt;'PlayerGrades+'!$AI$6,"A-",IF(T44&lt;'PlayerGrades+'!$AI$5,"A",IF(T44&lt;'PlayerGrades+'!$AI$4,"A+",IF(T44&lt;'PlayerGrades+'!$AI$3,"S-",IF(T44&lt;'PlayerGrades+'!$AI$2,"S","S+"))))))))))))))))))))</f>
        <v>B+</v>
      </c>
      <c r="V44" s="1017">
        <v>1.0</v>
      </c>
      <c r="W44" s="1017">
        <v>0.0</v>
      </c>
      <c r="X44" s="1017">
        <v>3.0</v>
      </c>
      <c r="Y44" s="1017">
        <v>11.0</v>
      </c>
      <c r="Z44" s="1282">
        <v>78.0</v>
      </c>
      <c r="AA44" s="1282">
        <v>89.0</v>
      </c>
      <c r="AB44" s="1017">
        <f t="shared" si="10"/>
        <v>-11</v>
      </c>
      <c r="AC44" s="1020">
        <f t="shared" si="11"/>
        <v>0.8764044944</v>
      </c>
      <c r="AD44" s="1100">
        <v>0.0</v>
      </c>
      <c r="AE44" s="1329">
        <v>1523.0</v>
      </c>
      <c r="AF44" s="1100">
        <v>3.0</v>
      </c>
      <c r="AG44" s="1100">
        <v>0.0</v>
      </c>
      <c r="AH44" s="1100">
        <v>0.0</v>
      </c>
      <c r="AI44" s="1100">
        <v>0.0</v>
      </c>
      <c r="AJ44" s="1100">
        <v>1.0</v>
      </c>
      <c r="AK44" s="1100">
        <v>17.0</v>
      </c>
      <c r="AL44" s="1100">
        <v>5.0</v>
      </c>
      <c r="AM44" s="1100">
        <v>2.0</v>
      </c>
      <c r="AN44" s="1100">
        <v>0.0</v>
      </c>
      <c r="AO44" s="1100">
        <v>0.0</v>
      </c>
      <c r="AP44" s="1100">
        <v>0.0</v>
      </c>
      <c r="AQ44" s="1100">
        <v>0.0</v>
      </c>
      <c r="AR44" s="1100">
        <v>0.0</v>
      </c>
      <c r="AS44" s="1100">
        <v>0.0</v>
      </c>
      <c r="AT44" s="1100">
        <v>1.0</v>
      </c>
      <c r="AU44" s="1100">
        <v>15.0</v>
      </c>
      <c r="AV44" s="1100">
        <v>0.0</v>
      </c>
      <c r="AW44" s="1100">
        <v>0.0</v>
      </c>
      <c r="AX44" s="1100">
        <v>0.0</v>
      </c>
      <c r="AY44" s="1100">
        <v>0.0</v>
      </c>
      <c r="AZ44" s="1239">
        <v>0.0</v>
      </c>
    </row>
    <row r="45">
      <c r="A45" s="1277" t="s">
        <v>96</v>
      </c>
      <c r="B45" s="1100" t="str">
        <f>IF(C45&lt;'PlayerGrades+'!$Y$44,"F-",IF(C45&lt;'PlayerGrades+'!$Y$43,"F",IF(C45&lt;'PlayerGrades+'!$Y$42,"F+",IF(C45&lt;'PlayerGrades+'!$Y$41,"E-",IF(C45&lt;'PlayerGrades+'!$Y$40,"E",IF(C45&lt;'PlayerGrades+'!$Y$39,"E+",IF(C45&lt;'PlayerGrades+'!$Y$38,"D-",IF(C45&lt;'PlayerGrades+'!$Y$37,"D",IF(C45&lt;'PlayerGrades+'!$Y$36,"D+",IF(C45&lt;'PlayerGrades+'!$Y$35,"C-",IF(C45&lt;'PlayerGrades+'!$Y$34,"C",IF(C45&lt;'PlayerGrades+'!$Y$33,"C+",IF(C45&lt;'PlayerGrades+'!$Y$32,"B-",IF(C45&lt;'PlayerGrades+'!$Y$31,"B",IF(C45&lt;'PlayerGrades+'!$Y$30,"B+",IF(C45&lt;'PlayerGrades+'!$Y$29,"A-",IF(C45&lt;'PlayerGrades+'!$Y$28,"A",IF(C45&lt;'PlayerGrades+'!$Y$27,"A+",IF(C45&lt;'PlayerGrades+'!$Y$26,"S-",IF(C45&lt;'PlayerGrades+'!$Y$25,"S","S+"))))))))))))))))))))</f>
        <v>B</v>
      </c>
      <c r="C45" s="1105">
        <f>('PlayerGrades+'!$Y$47*(VLOOKUP(E45, 'PlayerGrades+'!$X$3:$Y$23, 2, FALSE)))+('PlayerGrades+'!$Y$48*(VLOOKUP(G45, 'PlayerGrades+'!$X$3:$Y$23, 2, FALSE)))+('PlayerGrades+'!$Y$49*(VLOOKUP(I45, 'PlayerGrades+'!$X$3:$Y$23, 2, FALSE)))+('PlayerGrades+'!$Y$50*(VLOOKUP(K45, 'PlayerGrades+'!$X$3:$Y$23, 2, FALSE)))+('PlayerGrades+'!$Y$51*(VLOOKUP(M45, 'PlayerGrades+'!$X$3:$Y$23, 2, FALSE)))+('PlayerGrades+'!$Y$52*(VLOOKUP(O45, 'PlayerGrades+'!$X$3:$Y$23, 2, FALSE)))+('PlayerGrades+'!$Y$53*(VLOOKUP(Q45, 'PlayerGrades+'!$X$3:$Y$23, 2, FALSE)))+('PlayerGrades+'!$Y$54*(VLOOKUP(S45, 'PlayerGrades+'!$X$3:$Y$23, 2, FALSE)))+('PlayerGrades+'!$Y$55*(VLOOKUP(U45, 'PlayerGrades+'!$X$3:$Y$23, 2, FALSE)))</f>
        <v>18.3375</v>
      </c>
      <c r="D45" s="961">
        <f t="shared" si="1"/>
        <v>0.07879185817</v>
      </c>
      <c r="E45" s="961" t="str">
        <f>IF(D45&lt;'PlayerGrades+'!$AA$21,"F-",IF(D45&lt;'PlayerGrades+'!$AA$20,"F",IF(D45&lt;'PlayerGrades+'!$AA$19,"F+",IF(D45&lt;'PlayerGrades+'!$AA$18,"E-",IF(D45&lt;'PlayerGrades+'!$AA$17,"E",IF(D45&lt;'PlayerGrades+'!$AA$16,"E+",IF(D45&lt;'PlayerGrades+'!$AA$15,"D-",IF(D45&lt;'PlayerGrades+'!$AA$14,"D",IF(D45&lt;'PlayerGrades+'!$AA$13,"D+",IF(D45&lt;'PlayerGrades+'!$AA$12,"C-",IF(D45&lt;'PlayerGrades+'!$AA$11,"C",IF(D45&lt;'PlayerGrades+'!$AA$10,"C+",IF(D45&lt;'PlayerGrades+'!$AA$9,"B-",IF(D45&lt;'PlayerGrades+'!$AA$8,"B",IF(D45&lt;'PlayerGrades+'!$AA$7,"B+",IF(D45&lt;'PlayerGrades+'!$AA$6,"A-",IF(D45&lt;'PlayerGrades+'!$AA$5,"A",IF(D45&lt;'PlayerGrades+'!$AA$4,"A+",IF(D45&lt;'PlayerGrades+'!$AA$3,"S-",IF(D45&lt;'PlayerGrades+'!$AA$2,"S","S+"))))))))))))))))))))</f>
        <v>A</v>
      </c>
      <c r="F45" s="961">
        <f t="shared" si="2"/>
        <v>0.03690251585</v>
      </c>
      <c r="G45" s="961" t="str">
        <f>IF(F45&lt;'PlayerGrades+'!$AB$21,"F-",IF(F45&lt;'PlayerGrades+'!$AB$20,"F",IF(F45&lt;'PlayerGrades+'!$AB$19,"F+",IF(F45&lt;'PlayerGrades+'!$AB$18,"E-",IF(F45&lt;'PlayerGrades+'!$AB$17,"E",IF(F45&lt;'PlayerGrades+'!$AB$16,"E+",IF(F45&lt;'PlayerGrades+'!$AB$15,"D-",IF(F45&lt;'PlayerGrades+'!$AB$14,"D",IF(F45&lt;'PlayerGrades+'!$AB$13,"D+",IF(F45&lt;'PlayerGrades+'!$AB$12,"C-",IF(F45&lt;'PlayerGrades+'!$AB$11,"C",IF(F45&lt;'PlayerGrades+'!$AB$10,"C+",IF(F45&lt;'PlayerGrades+'!$AB$9,"B-",IF(F45&lt;'PlayerGrades+'!$AB$8,"B",IF(F45&lt;'PlayerGrades+'!$AB$7,"B+",IF(F45&lt;'PlayerGrades+'!$AB$6,"A-",IF(F45&lt;'PlayerGrades+'!$AB$5,"A",IF(F45&lt;'PlayerGrades+'!$AB$4,"A+",IF(F45&lt;'PlayerGrades+'!$AB$3,"S-",IF(F45&lt;'PlayerGrades+'!$AB$2,"S","S+"))))))))))))))))))))</f>
        <v>A</v>
      </c>
      <c r="H45" s="961">
        <f t="shared" si="3"/>
        <v>0.5515430072</v>
      </c>
      <c r="I45" s="961" t="str">
        <f>IF(H45&lt;'PlayerGrades+'!$AC$21,"F-",IF(H45&lt;'PlayerGrades+'!$AC$20,"F",IF(H45&lt;'PlayerGrades+'!$AC$19,"F+",IF(H45&lt;'PlayerGrades+'!$AC$18,"E-",IF(H45&lt;'PlayerGrades+'!$AC$17,"E",IF(H45&lt;'PlayerGrades+'!$AC$16,"E+",IF(H45&lt;'PlayerGrades+'!$AC$15,"D-",IF(H45&lt;'PlayerGrades+'!$AC$14,"D",IF(H45&lt;'PlayerGrades+'!$AC$13,"D+",IF(H45&lt;'PlayerGrades+'!$AC$12,"C-",IF(H45&lt;'PlayerGrades+'!$AC$11,"C",IF(H45&lt;'PlayerGrades+'!$AC$10,"C+",IF(H45&lt;'PlayerGrades+'!$AC$9,"B-",IF(H45&lt;'PlayerGrades+'!$AC$8,"B",IF(H45&lt;'PlayerGrades+'!$AC$7,"B+",IF(H45&lt;'PlayerGrades+'!$AC$6,"A-",IF(H45&lt;'PlayerGrades+'!$AC$5,"A",IF(H45&lt;'PlayerGrades+'!$AC$4,"A+",IF(H45&lt;'PlayerGrades+'!$AC$3,"S-",IF(H45&lt;'PlayerGrades+'!$AC$2,"S","S+"))))))))))))))))))))</f>
        <v>A-</v>
      </c>
      <c r="J45" s="961">
        <f t="shared" si="4"/>
        <v>0.03939592909</v>
      </c>
      <c r="K45" s="961" t="str">
        <f>IF(J45&lt;'PlayerGrades+'!$AD$21,"F-",IF(J45&lt;'PlayerGrades+'!$AD$20,"F",IF(J45&lt;'PlayerGrades+'!$AD$19,"F+",IF(J45&lt;'PlayerGrades+'!$AD$18,"E-",IF(J45&lt;'PlayerGrades+'!$AD$17,"E",IF(J45&lt;'PlayerGrades+'!$AD$16,"E+",IF(J45&lt;'PlayerGrades+'!$AD$15,"D-",IF(J45&lt;'PlayerGrades+'!$AD$14,"D",IF(J45&lt;'PlayerGrades+'!$AD$13,"D+",IF(J45&lt;'PlayerGrades+'!$AD$12,"C-",IF(J45&lt;'PlayerGrades+'!$AD$11,"C",IF(J45&lt;'PlayerGrades+'!$AD$10,"C+",IF(J45&lt;'PlayerGrades+'!$AD$9,"B-",IF(J45&lt;'PlayerGrades+'!$AD$8,"B",IF(J45&lt;'PlayerGrades+'!$AD$7,"B+",IF(J45&lt;'PlayerGrades+'!$AD$6,"A-",IF(J45&lt;'PlayerGrades+'!$AD$5,"A",IF(J45&lt;'PlayerGrades+'!$AD$4,"A+",IF(J45&lt;'PlayerGrades+'!$AD$3,"S-",IF(J45&lt;'PlayerGrades+'!$AD$2,"S","S+"))))))))))))))))))))</f>
        <v>C</v>
      </c>
      <c r="L45" s="992">
        <f t="shared" si="5"/>
        <v>0.3939592909</v>
      </c>
      <c r="M45" s="992" t="str">
        <f>IF(L45&lt;'PlayerGrades+'!$AE$21,"F-",IF(L45&lt;'PlayerGrades+'!$AE$20,"F",IF(L45&lt;'PlayerGrades+'!$AE$19,"F+",IF(L45&lt;'PlayerGrades+'!$AE$18,"E-",IF(L45&lt;'PlayerGrades+'!$AE$17,"E",IF(L45&lt;'PlayerGrades+'!$AE$16,"E+",IF(L45&lt;'PlayerGrades+'!$AE$15,"D-",IF(L45&lt;'PlayerGrades+'!$AE$14,"D",IF(L45&lt;'PlayerGrades+'!$AE$13,"D+",IF(L45&lt;'PlayerGrades+'!$AE$12,"C-",IF(L45&lt;'PlayerGrades+'!$AE$11,"C",IF(L45&lt;'PlayerGrades+'!$AE$10,"C+",IF(L45&lt;'PlayerGrades+'!$AE$9,"B-",IF(L45&lt;'PlayerGrades+'!$AE$8,"B",IF(L45&lt;'PlayerGrades+'!$AE$7,"B+",IF(L45&lt;'PlayerGrades+'!$AE$6,"A-",IF(L45&lt;'PlayerGrades+'!$AE$5,"A",IF(L45&lt;'PlayerGrades+'!$AE$4,"A+",IF(L45&lt;'PlayerGrades+'!$AE$3,"S-",IF(L45&lt;'PlayerGrades+'!$AE$2,"S","S+"))))))))))))))))))))</f>
        <v>D+</v>
      </c>
      <c r="N45" s="961">
        <f t="shared" si="6"/>
        <v>0.03939592909</v>
      </c>
      <c r="O45" s="961" t="str">
        <f>IF(N45&lt;'PlayerGrades+'!$AF$21,"F-",IF(N45&lt;'PlayerGrades+'!$AF$20,"F",IF(N45&lt;'PlayerGrades+'!$AF$19,"F+",IF(N45&lt;'PlayerGrades+'!$AF$18,"E-",IF(N45&lt;'PlayerGrades+'!$AF$17,"E",IF(N45&lt;'PlayerGrades+'!$AF$16,"E+",IF(N45&lt;'PlayerGrades+'!$AF$15,"D-",IF(N45&lt;'PlayerGrades+'!$AF$14,"D",IF(N45&lt;'PlayerGrades+'!$AF$13,"D+",IF(N45&lt;'PlayerGrades+'!$AF$12,"C-",IF(N45&lt;'PlayerGrades+'!$AF$11,"C",IF(N45&lt;'PlayerGrades+'!$AF$10,"C+",IF(N45&lt;'PlayerGrades+'!$AF$9,"B-",IF(N45&lt;'PlayerGrades+'!$AF$8,"B",IF(N45&lt;'PlayerGrades+'!$AF$7,"B+",IF(N45&lt;'PlayerGrades+'!$AF$6,"A-",IF(N45&lt;'PlayerGrades+'!$AF$5,"A",IF(N45&lt;'PlayerGrades+'!$AF$4,"A+",IF(N45&lt;'PlayerGrades+'!$AF$3,"S-",IF(N45&lt;'PlayerGrades+'!$AF$2,"S","S+"))))))))))))))))))))</f>
        <v>F</v>
      </c>
      <c r="P45" s="961">
        <f t="shared" si="7"/>
        <v>0.5121470781</v>
      </c>
      <c r="Q45" s="961" t="str">
        <f>IF(P45&lt;'PlayerGrades+'!$AG$21,"F-",IF(P45&lt;'PlayerGrades+'!$AG$20,"F",IF(P45&lt;'PlayerGrades+'!$AG$19,"F+",IF(P45&lt;'PlayerGrades+'!$AG$18,"E-",IF(P45&lt;'PlayerGrades+'!$AG$17,"E",IF(P45&lt;'PlayerGrades+'!$AG$16,"E+",IF(P45&lt;'PlayerGrades+'!$AG$15,"D-",IF(P45&lt;'PlayerGrades+'!$AG$14,"D",IF(P45&lt;'PlayerGrades+'!$AG$13,"D+",IF(P45&lt;'PlayerGrades+'!$AG$12,"C-",IF(P45&lt;'PlayerGrades+'!$AG$11,"C",IF(P45&lt;'PlayerGrades+'!$AG$10,"C+",IF(P45&lt;'PlayerGrades+'!$AG$9,"B-",IF(P45&lt;'PlayerGrades+'!$AG$8,"B",IF(P45&lt;'PlayerGrades+'!$AG$7,"B+",IF(P45&lt;'PlayerGrades+'!$AG$6,"A-",IF(P45&lt;'PlayerGrades+'!$AG$5,"A",IF(P45&lt;'PlayerGrades+'!$AG$4,"A+",IF(P45&lt;'PlayerGrades+'!$AG$3,"S-",IF(P45&lt;'PlayerGrades+'!$AG$2,"S","S+"))))))))))))))))))))</f>
        <v>E+</v>
      </c>
      <c r="R45" s="961">
        <f t="shared" si="8"/>
        <v>0.03939592909</v>
      </c>
      <c r="S45" s="961" t="str">
        <f>IF(R45&lt;'PlayerGrades+'!$AH$21,"F-",IF(R45&lt;'PlayerGrades+'!$AH$20,"F",IF(R45&lt;'PlayerGrades+'!$AH$19,"F+",IF(R45&lt;'PlayerGrades+'!$AH$18,"E-",IF(R45&lt;'PlayerGrades+'!$AH$17,"E",IF(R45&lt;'PlayerGrades+'!$AH$16,"E+",IF(R45&lt;'PlayerGrades+'!$AH$15,"D-",IF(R45&lt;'PlayerGrades+'!$AH$14,"D",IF(R45&lt;'PlayerGrades+'!$AH$13,"D+",IF(R45&lt;'PlayerGrades+'!$AH$12,"C-",IF(R45&lt;'PlayerGrades+'!$AH$11,"C",IF(R45&lt;'PlayerGrades+'!$AH$10,"C+",IF(R45&lt;'PlayerGrades+'!$AH$9,"B-",IF(R45&lt;'PlayerGrades+'!$AH$8,"B",IF(R45&lt;'PlayerGrades+'!$AH$7,"B+",IF(R45&lt;'PlayerGrades+'!$AH$6,"A-",IF(R45&lt;'PlayerGrades+'!$AH$5,"A",IF(R45&lt;'PlayerGrades+'!$AH$4,"A+",IF(R45&lt;'PlayerGrades+'!$AH$3,"S-",IF(R45&lt;'PlayerGrades+'!$AH$2,"S","S+"))))))))))))))))))))</f>
        <v>E-</v>
      </c>
      <c r="T45" s="961">
        <f t="shared" si="9"/>
        <v>2.915298752</v>
      </c>
      <c r="U45" s="961" t="str">
        <f>IF(T45&lt;'PlayerGrades+'!$AI$21,"F-",IF(T45&lt;'PlayerGrades+'!$AI$20,"F",IF(T45&lt;'PlayerGrades+'!$AI$19,"F+",IF(T45&lt;'PlayerGrades+'!$AI$18,"E-",IF(T45&lt;'PlayerGrades+'!$AI$17,"E",IF(T45&lt;'PlayerGrades+'!$AI$16,"E+",IF(T45&lt;'PlayerGrades+'!$AI$15,"D-",IF(T45&lt;'PlayerGrades+'!$AI$14,"D",IF(T45&lt;'PlayerGrades+'!$AI$13,"D+",IF(T45&lt;'PlayerGrades+'!$AI$12,"C-",IF(T45&lt;'PlayerGrades+'!$AI$11,"C",IF(T45&lt;'PlayerGrades+'!$AI$10,"C+",IF(T45&lt;'PlayerGrades+'!$AI$9,"B-",IF(T45&lt;'PlayerGrades+'!$AI$8,"B",IF(T45&lt;'PlayerGrades+'!$AI$7,"B+",IF(T45&lt;'PlayerGrades+'!$AI$6,"A-",IF(T45&lt;'PlayerGrades+'!$AI$5,"A",IF(T45&lt;'PlayerGrades+'!$AI$4,"A+",IF(T45&lt;'PlayerGrades+'!$AI$3,"S-",IF(T45&lt;'PlayerGrades+'!$AI$2,"S","S+"))))))))))))))))))))</f>
        <v>C+</v>
      </c>
      <c r="V45" s="1017">
        <v>1.0</v>
      </c>
      <c r="W45" s="1017">
        <v>0.0</v>
      </c>
      <c r="X45" s="1017">
        <v>2.0</v>
      </c>
      <c r="Y45" s="1017">
        <v>7.0</v>
      </c>
      <c r="Z45" s="1282">
        <v>74.0</v>
      </c>
      <c r="AA45" s="1282">
        <v>79.0</v>
      </c>
      <c r="AB45" s="1017">
        <f t="shared" si="10"/>
        <v>-5</v>
      </c>
      <c r="AC45" s="1020">
        <f t="shared" si="11"/>
        <v>0.9367088608</v>
      </c>
      <c r="AD45" s="1100">
        <v>0.0</v>
      </c>
      <c r="AE45" s="1329">
        <v>1523.0</v>
      </c>
      <c r="AF45" s="1100">
        <v>1.0</v>
      </c>
      <c r="AG45" s="1100">
        <v>0.0</v>
      </c>
      <c r="AH45" s="1100">
        <v>0.0</v>
      </c>
      <c r="AI45" s="1100">
        <v>0.0</v>
      </c>
      <c r="AJ45" s="1100">
        <v>1.0</v>
      </c>
      <c r="AK45" s="1100">
        <v>10.0</v>
      </c>
      <c r="AL45" s="1100">
        <v>1.0</v>
      </c>
      <c r="AM45" s="1100">
        <v>1.0</v>
      </c>
      <c r="AN45" s="1100">
        <v>0.0</v>
      </c>
      <c r="AO45" s="1100">
        <v>0.0</v>
      </c>
      <c r="AP45" s="1100">
        <v>0.0</v>
      </c>
      <c r="AQ45" s="1100">
        <v>0.0</v>
      </c>
      <c r="AR45" s="1100">
        <v>0.0</v>
      </c>
      <c r="AS45" s="1100">
        <v>0.0</v>
      </c>
      <c r="AT45" s="1100">
        <v>0.0</v>
      </c>
      <c r="AU45" s="1100">
        <v>14.0</v>
      </c>
      <c r="AV45" s="1100">
        <v>0.0</v>
      </c>
      <c r="AW45" s="1100">
        <v>1.0</v>
      </c>
      <c r="AX45" s="1100">
        <v>0.0</v>
      </c>
      <c r="AY45" s="1100">
        <v>0.0</v>
      </c>
      <c r="AZ45" s="1239">
        <v>0.0</v>
      </c>
    </row>
    <row r="46">
      <c r="A46" s="1277" t="s">
        <v>66</v>
      </c>
      <c r="B46" s="1100" t="str">
        <f>IF(C46&lt;'PlayerGrades+'!$Y$44,"F-",IF(C46&lt;'PlayerGrades+'!$Y$43,"F",IF(C46&lt;'PlayerGrades+'!$Y$42,"F+",IF(C46&lt;'PlayerGrades+'!$Y$41,"E-",IF(C46&lt;'PlayerGrades+'!$Y$40,"E",IF(C46&lt;'PlayerGrades+'!$Y$39,"E+",IF(C46&lt;'PlayerGrades+'!$Y$38,"D-",IF(C46&lt;'PlayerGrades+'!$Y$37,"D",IF(C46&lt;'PlayerGrades+'!$Y$36,"D+",IF(C46&lt;'PlayerGrades+'!$Y$35,"C-",IF(C46&lt;'PlayerGrades+'!$Y$34,"C",IF(C46&lt;'PlayerGrades+'!$Y$33,"C+",IF(C46&lt;'PlayerGrades+'!$Y$32,"B-",IF(C46&lt;'PlayerGrades+'!$Y$31,"B",IF(C46&lt;'PlayerGrades+'!$Y$30,"B+",IF(C46&lt;'PlayerGrades+'!$Y$29,"A-",IF(C46&lt;'PlayerGrades+'!$Y$28,"A",IF(C46&lt;'PlayerGrades+'!$Y$27,"A+",IF(C46&lt;'PlayerGrades+'!$Y$26,"S-",IF(C46&lt;'PlayerGrades+'!$Y$25,"S","S+"))))))))))))))))))))</f>
        <v>C+</v>
      </c>
      <c r="C46" s="1105">
        <f>('PlayerGrades+'!$Y$47*(VLOOKUP(E46, 'PlayerGrades+'!$X$3:$Y$23, 2, FALSE)))+('PlayerGrades+'!$Y$48*(VLOOKUP(G46, 'PlayerGrades+'!$X$3:$Y$23, 2, FALSE)))+('PlayerGrades+'!$Y$49*(VLOOKUP(I46, 'PlayerGrades+'!$X$3:$Y$23, 2, FALSE)))+('PlayerGrades+'!$Y$50*(VLOOKUP(K46, 'PlayerGrades+'!$X$3:$Y$23, 2, FALSE)))+('PlayerGrades+'!$Y$51*(VLOOKUP(M46, 'PlayerGrades+'!$X$3:$Y$23, 2, FALSE)))+('PlayerGrades+'!$Y$52*(VLOOKUP(O46, 'PlayerGrades+'!$X$3:$Y$23, 2, FALSE)))+('PlayerGrades+'!$Y$53*(VLOOKUP(Q46, 'PlayerGrades+'!$X$3:$Y$23, 2, FALSE)))+('PlayerGrades+'!$Y$54*(VLOOKUP(S46, 'PlayerGrades+'!$X$3:$Y$23, 2, FALSE)))+('PlayerGrades+'!$Y$55*(VLOOKUP(U46, 'PlayerGrades+'!$X$3:$Y$23, 2, FALSE)))</f>
        <v>15.8625</v>
      </c>
      <c r="D46" s="961">
        <f t="shared" si="1"/>
        <v>0.03939592909</v>
      </c>
      <c r="E46" s="961" t="str">
        <f>IF(D46&lt;'PlayerGrades+'!$AA$21,"F-",IF(D46&lt;'PlayerGrades+'!$AA$20,"F",IF(D46&lt;'PlayerGrades+'!$AA$19,"F+",IF(D46&lt;'PlayerGrades+'!$AA$18,"E-",IF(D46&lt;'PlayerGrades+'!$AA$17,"E",IF(D46&lt;'PlayerGrades+'!$AA$16,"E+",IF(D46&lt;'PlayerGrades+'!$AA$15,"D-",IF(D46&lt;'PlayerGrades+'!$AA$14,"D",IF(D46&lt;'PlayerGrades+'!$AA$13,"D+",IF(D46&lt;'PlayerGrades+'!$AA$12,"C-",IF(D46&lt;'PlayerGrades+'!$AA$11,"C",IF(D46&lt;'PlayerGrades+'!$AA$10,"C+",IF(D46&lt;'PlayerGrades+'!$AA$9,"B-",IF(D46&lt;'PlayerGrades+'!$AA$8,"B",IF(D46&lt;'PlayerGrades+'!$AA$7,"B+",IF(D46&lt;'PlayerGrades+'!$AA$6,"A-",IF(D46&lt;'PlayerGrades+'!$AA$5,"A",IF(D46&lt;'PlayerGrades+'!$AA$4,"A+",IF(D46&lt;'PlayerGrades+'!$AA$3,"S-",IF(D46&lt;'PlayerGrades+'!$AA$2,"S","S+"))))))))))))))))))))</f>
        <v>C-</v>
      </c>
      <c r="F46" s="961">
        <f t="shared" si="2"/>
        <v>0.03144445716</v>
      </c>
      <c r="G46" s="961" t="str">
        <f>IF(F46&lt;'PlayerGrades+'!$AB$21,"F-",IF(F46&lt;'PlayerGrades+'!$AB$20,"F",IF(F46&lt;'PlayerGrades+'!$AB$19,"F+",IF(F46&lt;'PlayerGrades+'!$AB$18,"E-",IF(F46&lt;'PlayerGrades+'!$AB$17,"E",IF(F46&lt;'PlayerGrades+'!$AB$16,"E+",IF(F46&lt;'PlayerGrades+'!$AB$15,"D-",IF(F46&lt;'PlayerGrades+'!$AB$14,"D",IF(F46&lt;'PlayerGrades+'!$AB$13,"D+",IF(F46&lt;'PlayerGrades+'!$AB$12,"C-",IF(F46&lt;'PlayerGrades+'!$AB$11,"C",IF(F46&lt;'PlayerGrades+'!$AB$10,"C+",IF(F46&lt;'PlayerGrades+'!$AB$9,"B-",IF(F46&lt;'PlayerGrades+'!$AB$8,"B",IF(F46&lt;'PlayerGrades+'!$AB$7,"B+",IF(F46&lt;'PlayerGrades+'!$AB$6,"A-",IF(F46&lt;'PlayerGrades+'!$AB$5,"A",IF(F46&lt;'PlayerGrades+'!$AB$4,"A+",IF(F46&lt;'PlayerGrades+'!$AB$3,"S-",IF(F46&lt;'PlayerGrades+'!$AB$2,"S","S+"))))))))))))))))))))</f>
        <v>A</v>
      </c>
      <c r="H46" s="961">
        <f t="shared" si="3"/>
        <v>0.3939592909</v>
      </c>
      <c r="I46" s="961" t="str">
        <f>IF(H46&lt;'PlayerGrades+'!$AC$21,"F-",IF(H46&lt;'PlayerGrades+'!$AC$20,"F",IF(H46&lt;'PlayerGrades+'!$AC$19,"F+",IF(H46&lt;'PlayerGrades+'!$AC$18,"E-",IF(H46&lt;'PlayerGrades+'!$AC$17,"E",IF(H46&lt;'PlayerGrades+'!$AC$16,"E+",IF(H46&lt;'PlayerGrades+'!$AC$15,"D-",IF(H46&lt;'PlayerGrades+'!$AC$14,"D",IF(H46&lt;'PlayerGrades+'!$AC$13,"D+",IF(H46&lt;'PlayerGrades+'!$AC$12,"C-",IF(H46&lt;'PlayerGrades+'!$AC$11,"C",IF(H46&lt;'PlayerGrades+'!$AC$10,"C+",IF(H46&lt;'PlayerGrades+'!$AC$9,"B-",IF(H46&lt;'PlayerGrades+'!$AC$8,"B",IF(H46&lt;'PlayerGrades+'!$AC$7,"B+",IF(H46&lt;'PlayerGrades+'!$AC$6,"A-",IF(H46&lt;'PlayerGrades+'!$AC$5,"A",IF(H46&lt;'PlayerGrades+'!$AC$4,"A+",IF(H46&lt;'PlayerGrades+'!$AC$3,"S-",IF(H46&lt;'PlayerGrades+'!$AC$2,"S","S+"))))))))))))))))))))</f>
        <v>D</v>
      </c>
      <c r="J46" s="961">
        <f t="shared" si="4"/>
        <v>0</v>
      </c>
      <c r="K46" s="961" t="str">
        <f>IF(J46&lt;'PlayerGrades+'!$AD$21,"F-",IF(J46&lt;'PlayerGrades+'!$AD$20,"F",IF(J46&lt;'PlayerGrades+'!$AD$19,"F+",IF(J46&lt;'PlayerGrades+'!$AD$18,"E-",IF(J46&lt;'PlayerGrades+'!$AD$17,"E",IF(J46&lt;'PlayerGrades+'!$AD$16,"E+",IF(J46&lt;'PlayerGrades+'!$AD$15,"D-",IF(J46&lt;'PlayerGrades+'!$AD$14,"D",IF(J46&lt;'PlayerGrades+'!$AD$13,"D+",IF(J46&lt;'PlayerGrades+'!$AD$12,"C-",IF(J46&lt;'PlayerGrades+'!$AD$11,"C",IF(J46&lt;'PlayerGrades+'!$AD$10,"C+",IF(J46&lt;'PlayerGrades+'!$AD$9,"B-",IF(J46&lt;'PlayerGrades+'!$AD$8,"B",IF(J46&lt;'PlayerGrades+'!$AD$7,"B+",IF(J46&lt;'PlayerGrades+'!$AD$6,"A-",IF(J46&lt;'PlayerGrades+'!$AD$5,"A",IF(J46&lt;'PlayerGrades+'!$AD$4,"A+",IF(J46&lt;'PlayerGrades+'!$AD$3,"S-",IF(J46&lt;'PlayerGrades+'!$AD$2,"S","S+"))))))))))))))))))))</f>
        <v>F-</v>
      </c>
      <c r="L46" s="992">
        <f t="shared" si="5"/>
        <v>0.3545633618</v>
      </c>
      <c r="M46" s="992" t="str">
        <f>IF(L46&lt;'PlayerGrades+'!$AE$21,"F-",IF(L46&lt;'PlayerGrades+'!$AE$20,"F",IF(L46&lt;'PlayerGrades+'!$AE$19,"F+",IF(L46&lt;'PlayerGrades+'!$AE$18,"E-",IF(L46&lt;'PlayerGrades+'!$AE$17,"E",IF(L46&lt;'PlayerGrades+'!$AE$16,"E+",IF(L46&lt;'PlayerGrades+'!$AE$15,"D-",IF(L46&lt;'PlayerGrades+'!$AE$14,"D",IF(L46&lt;'PlayerGrades+'!$AE$13,"D+",IF(L46&lt;'PlayerGrades+'!$AE$12,"C-",IF(L46&lt;'PlayerGrades+'!$AE$11,"C",IF(L46&lt;'PlayerGrades+'!$AE$10,"C+",IF(L46&lt;'PlayerGrades+'!$AE$9,"B-",IF(L46&lt;'PlayerGrades+'!$AE$8,"B",IF(L46&lt;'PlayerGrades+'!$AE$7,"B+",IF(L46&lt;'PlayerGrades+'!$AE$6,"A-",IF(L46&lt;'PlayerGrades+'!$AE$5,"A",IF(L46&lt;'PlayerGrades+'!$AE$4,"A+",IF(L46&lt;'PlayerGrades+'!$AE$3,"S-",IF(L46&lt;'PlayerGrades+'!$AE$2,"S","S+"))))))))))))))))))))</f>
        <v>E+</v>
      </c>
      <c r="N46" s="961">
        <f t="shared" si="6"/>
        <v>0.1181877873</v>
      </c>
      <c r="O46" s="961" t="str">
        <f>IF(N46&lt;'PlayerGrades+'!$AF$21,"F-",IF(N46&lt;'PlayerGrades+'!$AF$20,"F",IF(N46&lt;'PlayerGrades+'!$AF$19,"F+",IF(N46&lt;'PlayerGrades+'!$AF$18,"E-",IF(N46&lt;'PlayerGrades+'!$AF$17,"E",IF(N46&lt;'PlayerGrades+'!$AF$16,"E+",IF(N46&lt;'PlayerGrades+'!$AF$15,"D-",IF(N46&lt;'PlayerGrades+'!$AF$14,"D",IF(N46&lt;'PlayerGrades+'!$AF$13,"D+",IF(N46&lt;'PlayerGrades+'!$AF$12,"C-",IF(N46&lt;'PlayerGrades+'!$AF$11,"C",IF(N46&lt;'PlayerGrades+'!$AF$10,"C+",IF(N46&lt;'PlayerGrades+'!$AF$9,"B-",IF(N46&lt;'PlayerGrades+'!$AF$8,"B",IF(N46&lt;'PlayerGrades+'!$AF$7,"B+",IF(N46&lt;'PlayerGrades+'!$AF$6,"A-",IF(N46&lt;'PlayerGrades+'!$AF$5,"A",IF(N46&lt;'PlayerGrades+'!$AF$4,"A+",IF(N46&lt;'PlayerGrades+'!$AF$3,"S-",IF(N46&lt;'PlayerGrades+'!$AF$2,"S","S+"))))))))))))))))))))</f>
        <v>C</v>
      </c>
      <c r="P46" s="961">
        <f t="shared" si="7"/>
        <v>0.472751149</v>
      </c>
      <c r="Q46" s="961" t="str">
        <f>IF(P46&lt;'PlayerGrades+'!$AG$21,"F-",IF(P46&lt;'PlayerGrades+'!$AG$20,"F",IF(P46&lt;'PlayerGrades+'!$AG$19,"F+",IF(P46&lt;'PlayerGrades+'!$AG$18,"E-",IF(P46&lt;'PlayerGrades+'!$AG$17,"E",IF(P46&lt;'PlayerGrades+'!$AG$16,"E+",IF(P46&lt;'PlayerGrades+'!$AG$15,"D-",IF(P46&lt;'PlayerGrades+'!$AG$14,"D",IF(P46&lt;'PlayerGrades+'!$AG$13,"D+",IF(P46&lt;'PlayerGrades+'!$AG$12,"C-",IF(P46&lt;'PlayerGrades+'!$AG$11,"C",IF(P46&lt;'PlayerGrades+'!$AG$10,"C+",IF(P46&lt;'PlayerGrades+'!$AG$9,"B-",IF(P46&lt;'PlayerGrades+'!$AG$8,"B",IF(P46&lt;'PlayerGrades+'!$AG$7,"B+",IF(P46&lt;'PlayerGrades+'!$AG$6,"A-",IF(P46&lt;'PlayerGrades+'!$AG$5,"A",IF(P46&lt;'PlayerGrades+'!$AG$4,"A+",IF(P46&lt;'PlayerGrades+'!$AG$3,"S-",IF(P46&lt;'PlayerGrades+'!$AG$2,"S","S+"))))))))))))))))))))</f>
        <v>E</v>
      </c>
      <c r="R46" s="961">
        <f t="shared" si="8"/>
        <v>0.07879185817</v>
      </c>
      <c r="S46" s="961" t="str">
        <f>IF(R46&lt;'PlayerGrades+'!$AH$21,"F-",IF(R46&lt;'PlayerGrades+'!$AH$20,"F",IF(R46&lt;'PlayerGrades+'!$AH$19,"F+",IF(R46&lt;'PlayerGrades+'!$AH$18,"E-",IF(R46&lt;'PlayerGrades+'!$AH$17,"E",IF(R46&lt;'PlayerGrades+'!$AH$16,"E+",IF(R46&lt;'PlayerGrades+'!$AH$15,"D-",IF(R46&lt;'PlayerGrades+'!$AH$14,"D",IF(R46&lt;'PlayerGrades+'!$AH$13,"D+",IF(R46&lt;'PlayerGrades+'!$AH$12,"C-",IF(R46&lt;'PlayerGrades+'!$AH$11,"C",IF(R46&lt;'PlayerGrades+'!$AH$10,"C+",IF(R46&lt;'PlayerGrades+'!$AH$9,"B-",IF(R46&lt;'PlayerGrades+'!$AH$8,"B",IF(R46&lt;'PlayerGrades+'!$AH$7,"B+",IF(R46&lt;'PlayerGrades+'!$AH$6,"A-",IF(R46&lt;'PlayerGrades+'!$AH$5,"A",IF(R46&lt;'PlayerGrades+'!$AH$4,"A+",IF(R46&lt;'PlayerGrades+'!$AH$3,"S-",IF(R46&lt;'PlayerGrades+'!$AH$2,"S","S+"))))))))))))))))))))</f>
        <v>A-</v>
      </c>
      <c r="T46" s="961">
        <f t="shared" si="9"/>
        <v>3.427445831</v>
      </c>
      <c r="U46" s="961" t="str">
        <f>IF(T46&lt;'PlayerGrades+'!$AI$21,"F-",IF(T46&lt;'PlayerGrades+'!$AI$20,"F",IF(T46&lt;'PlayerGrades+'!$AI$19,"F+",IF(T46&lt;'PlayerGrades+'!$AI$18,"E-",IF(T46&lt;'PlayerGrades+'!$AI$17,"E",IF(T46&lt;'PlayerGrades+'!$AI$16,"E+",IF(T46&lt;'PlayerGrades+'!$AI$15,"D-",IF(T46&lt;'PlayerGrades+'!$AI$14,"D",IF(T46&lt;'PlayerGrades+'!$AI$13,"D+",IF(T46&lt;'PlayerGrades+'!$AI$12,"C-",IF(T46&lt;'PlayerGrades+'!$AI$11,"C",IF(T46&lt;'PlayerGrades+'!$AI$10,"C+",IF(T46&lt;'PlayerGrades+'!$AI$9,"B-",IF(T46&lt;'PlayerGrades+'!$AI$8,"B",IF(T46&lt;'PlayerGrades+'!$AI$7,"B+",IF(T46&lt;'PlayerGrades+'!$AI$6,"A-",IF(T46&lt;'PlayerGrades+'!$AI$5,"A",IF(T46&lt;'PlayerGrades+'!$AI$4,"A+",IF(T46&lt;'PlayerGrades+'!$AI$3,"S-",IF(T46&lt;'PlayerGrades+'!$AI$2,"S","S+"))))))))))))))))))))</f>
        <v>A+</v>
      </c>
      <c r="V46" s="1017">
        <v>0.0</v>
      </c>
      <c r="W46" s="1017">
        <v>1.0</v>
      </c>
      <c r="X46" s="1017">
        <v>1.0</v>
      </c>
      <c r="Y46" s="1017">
        <v>2.0</v>
      </c>
      <c r="Z46" s="1282">
        <v>87.0</v>
      </c>
      <c r="AA46" s="1282">
        <v>109.0</v>
      </c>
      <c r="AB46" s="1017">
        <f t="shared" si="10"/>
        <v>-22</v>
      </c>
      <c r="AC46" s="1020">
        <f t="shared" si="11"/>
        <v>0.7981651376</v>
      </c>
      <c r="AD46" s="1100">
        <v>0.0</v>
      </c>
      <c r="AE46" s="1329">
        <v>1523.0</v>
      </c>
      <c r="AF46" s="1100">
        <v>0.0</v>
      </c>
      <c r="AG46" s="1100">
        <v>0.0</v>
      </c>
      <c r="AH46" s="1100">
        <v>0.0</v>
      </c>
      <c r="AI46" s="1100">
        <v>0.0</v>
      </c>
      <c r="AJ46" s="1100">
        <v>0.0</v>
      </c>
      <c r="AK46" s="1100">
        <v>9.0</v>
      </c>
      <c r="AL46" s="1100">
        <v>3.0</v>
      </c>
      <c r="AM46" s="1100">
        <v>0.0</v>
      </c>
      <c r="AN46" s="1100">
        <v>0.0</v>
      </c>
      <c r="AO46" s="1100">
        <v>0.0</v>
      </c>
      <c r="AP46" s="1100">
        <v>0.0</v>
      </c>
      <c r="AQ46" s="1100">
        <v>0.0</v>
      </c>
      <c r="AR46" s="1100">
        <v>0.0</v>
      </c>
      <c r="AS46" s="1100">
        <v>0.0</v>
      </c>
      <c r="AT46" s="1100">
        <v>0.0</v>
      </c>
      <c r="AU46" s="1100">
        <v>10.0</v>
      </c>
      <c r="AV46" s="1100">
        <v>0.0</v>
      </c>
      <c r="AW46" s="1100">
        <v>0.0</v>
      </c>
      <c r="AX46" s="1100">
        <v>0.0</v>
      </c>
      <c r="AY46" s="1100">
        <v>2.0</v>
      </c>
      <c r="AZ46" s="1239">
        <v>0.0</v>
      </c>
    </row>
    <row r="47">
      <c r="A47" s="1277" t="s">
        <v>80</v>
      </c>
      <c r="B47" s="1100" t="str">
        <f>IF(C47&lt;'PlayerGrades+'!$Y$44,"F-",IF(C47&lt;'PlayerGrades+'!$Y$43,"F",IF(C47&lt;'PlayerGrades+'!$Y$42,"F+",IF(C47&lt;'PlayerGrades+'!$Y$41,"E-",IF(C47&lt;'PlayerGrades+'!$Y$40,"E",IF(C47&lt;'PlayerGrades+'!$Y$39,"E+",IF(C47&lt;'PlayerGrades+'!$Y$38,"D-",IF(C47&lt;'PlayerGrades+'!$Y$37,"D",IF(C47&lt;'PlayerGrades+'!$Y$36,"D+",IF(C47&lt;'PlayerGrades+'!$Y$35,"C-",IF(C47&lt;'PlayerGrades+'!$Y$34,"C",IF(C47&lt;'PlayerGrades+'!$Y$33,"C+",IF(C47&lt;'PlayerGrades+'!$Y$32,"B-",IF(C47&lt;'PlayerGrades+'!$Y$31,"B",IF(C47&lt;'PlayerGrades+'!$Y$30,"B+",IF(C47&lt;'PlayerGrades+'!$Y$29,"A-",IF(C47&lt;'PlayerGrades+'!$Y$28,"A",IF(C47&lt;'PlayerGrades+'!$Y$27,"A+",IF(C47&lt;'PlayerGrades+'!$Y$26,"S-",IF(C47&lt;'PlayerGrades+'!$Y$25,"S","S+"))))))))))))))))))))</f>
        <v>C+</v>
      </c>
      <c r="C47" s="1105">
        <f>('PlayerGrades+'!$Y$47*(VLOOKUP(E47, 'PlayerGrades+'!$X$3:$Y$23, 2, FALSE)))+('PlayerGrades+'!$Y$48*(VLOOKUP(G47, 'PlayerGrades+'!$X$3:$Y$23, 2, FALSE)))+('PlayerGrades+'!$Y$49*(VLOOKUP(I47, 'PlayerGrades+'!$X$3:$Y$23, 2, FALSE)))+('PlayerGrades+'!$Y$50*(VLOOKUP(K47, 'PlayerGrades+'!$X$3:$Y$23, 2, FALSE)))+('PlayerGrades+'!$Y$51*(VLOOKUP(M47, 'PlayerGrades+'!$X$3:$Y$23, 2, FALSE)))+('PlayerGrades+'!$Y$52*(VLOOKUP(O47, 'PlayerGrades+'!$X$3:$Y$23, 2, FALSE)))+('PlayerGrades+'!$Y$53*(VLOOKUP(Q47, 'PlayerGrades+'!$X$3:$Y$23, 2, FALSE)))+('PlayerGrades+'!$Y$54*(VLOOKUP(S47, 'PlayerGrades+'!$X$3:$Y$23, 2, FALSE)))+('PlayerGrades+'!$Y$55*(VLOOKUP(U47, 'PlayerGrades+'!$X$3:$Y$23, 2, FALSE)))</f>
        <v>15.8</v>
      </c>
      <c r="D47" s="961">
        <f t="shared" si="1"/>
        <v>0</v>
      </c>
      <c r="E47" s="961" t="str">
        <f>IF(D47&lt;'PlayerGrades+'!$AA$21,"F-",IF(D47&lt;'PlayerGrades+'!$AA$20,"F",IF(D47&lt;'PlayerGrades+'!$AA$19,"F+",IF(D47&lt;'PlayerGrades+'!$AA$18,"E-",IF(D47&lt;'PlayerGrades+'!$AA$17,"E",IF(D47&lt;'PlayerGrades+'!$AA$16,"E+",IF(D47&lt;'PlayerGrades+'!$AA$15,"D-",IF(D47&lt;'PlayerGrades+'!$AA$14,"D",IF(D47&lt;'PlayerGrades+'!$AA$13,"D+",IF(D47&lt;'PlayerGrades+'!$AA$12,"C-",IF(D47&lt;'PlayerGrades+'!$AA$11,"C",IF(D47&lt;'PlayerGrades+'!$AA$10,"C+",IF(D47&lt;'PlayerGrades+'!$AA$9,"B-",IF(D47&lt;'PlayerGrades+'!$AA$8,"B",IF(D47&lt;'PlayerGrades+'!$AA$7,"B+",IF(D47&lt;'PlayerGrades+'!$AA$6,"A-",IF(D47&lt;'PlayerGrades+'!$AA$5,"A",IF(D47&lt;'PlayerGrades+'!$AA$4,"A+",IF(D47&lt;'PlayerGrades+'!$AA$3,"S-",IF(D47&lt;'PlayerGrades+'!$AA$2,"S","S+"))))))))))))))))))))</f>
        <v>F-</v>
      </c>
      <c r="F47" s="961">
        <f t="shared" si="2"/>
        <v>0.02893683287</v>
      </c>
      <c r="G47" s="961" t="str">
        <f>IF(F47&lt;'PlayerGrades+'!$AB$21,"F-",IF(F47&lt;'PlayerGrades+'!$AB$20,"F",IF(F47&lt;'PlayerGrades+'!$AB$19,"F+",IF(F47&lt;'PlayerGrades+'!$AB$18,"E-",IF(F47&lt;'PlayerGrades+'!$AB$17,"E",IF(F47&lt;'PlayerGrades+'!$AB$16,"E+",IF(F47&lt;'PlayerGrades+'!$AB$15,"D-",IF(F47&lt;'PlayerGrades+'!$AB$14,"D",IF(F47&lt;'PlayerGrades+'!$AB$13,"D+",IF(F47&lt;'PlayerGrades+'!$AB$12,"C-",IF(F47&lt;'PlayerGrades+'!$AB$11,"C",IF(F47&lt;'PlayerGrades+'!$AB$10,"C+",IF(F47&lt;'PlayerGrades+'!$AB$9,"B-",IF(F47&lt;'PlayerGrades+'!$AB$8,"B",IF(F47&lt;'PlayerGrades+'!$AB$7,"B+",IF(F47&lt;'PlayerGrades+'!$AB$6,"A-",IF(F47&lt;'PlayerGrades+'!$AB$5,"A",IF(F47&lt;'PlayerGrades+'!$AB$4,"A+",IF(F47&lt;'PlayerGrades+'!$AB$3,"S-",IF(F47&lt;'PlayerGrades+'!$AB$2,"S","S+"))))))))))))))))))))</f>
        <v>A</v>
      </c>
      <c r="H47" s="961">
        <f t="shared" si="3"/>
        <v>0.6303348654</v>
      </c>
      <c r="I47" s="961" t="str">
        <f>IF(H47&lt;'PlayerGrades+'!$AC$21,"F-",IF(H47&lt;'PlayerGrades+'!$AC$20,"F",IF(H47&lt;'PlayerGrades+'!$AC$19,"F+",IF(H47&lt;'PlayerGrades+'!$AC$18,"E-",IF(H47&lt;'PlayerGrades+'!$AC$17,"E",IF(H47&lt;'PlayerGrades+'!$AC$16,"E+",IF(H47&lt;'PlayerGrades+'!$AC$15,"D-",IF(H47&lt;'PlayerGrades+'!$AC$14,"D",IF(H47&lt;'PlayerGrades+'!$AC$13,"D+",IF(H47&lt;'PlayerGrades+'!$AC$12,"C-",IF(H47&lt;'PlayerGrades+'!$AC$11,"C",IF(H47&lt;'PlayerGrades+'!$AC$10,"C+",IF(H47&lt;'PlayerGrades+'!$AC$9,"B-",IF(H47&lt;'PlayerGrades+'!$AC$8,"B",IF(H47&lt;'PlayerGrades+'!$AC$7,"B+",IF(H47&lt;'PlayerGrades+'!$AC$6,"A-",IF(H47&lt;'PlayerGrades+'!$AC$5,"A",IF(H47&lt;'PlayerGrades+'!$AC$4,"A+",IF(H47&lt;'PlayerGrades+'!$AC$3,"S-",IF(H47&lt;'PlayerGrades+'!$AC$2,"S","S+"))))))))))))))))))))</f>
        <v>A</v>
      </c>
      <c r="J47" s="961">
        <f t="shared" si="4"/>
        <v>0</v>
      </c>
      <c r="K47" s="961" t="str">
        <f>IF(J47&lt;'PlayerGrades+'!$AD$21,"F-",IF(J47&lt;'PlayerGrades+'!$AD$20,"F",IF(J47&lt;'PlayerGrades+'!$AD$19,"F+",IF(J47&lt;'PlayerGrades+'!$AD$18,"E-",IF(J47&lt;'PlayerGrades+'!$AD$17,"E",IF(J47&lt;'PlayerGrades+'!$AD$16,"E+",IF(J47&lt;'PlayerGrades+'!$AD$15,"D-",IF(J47&lt;'PlayerGrades+'!$AD$14,"D",IF(J47&lt;'PlayerGrades+'!$AD$13,"D+",IF(J47&lt;'PlayerGrades+'!$AD$12,"C-",IF(J47&lt;'PlayerGrades+'!$AD$11,"C",IF(J47&lt;'PlayerGrades+'!$AD$10,"C+",IF(J47&lt;'PlayerGrades+'!$AD$9,"B-",IF(J47&lt;'PlayerGrades+'!$AD$8,"B",IF(J47&lt;'PlayerGrades+'!$AD$7,"B+",IF(J47&lt;'PlayerGrades+'!$AD$6,"A-",IF(J47&lt;'PlayerGrades+'!$AD$5,"A",IF(J47&lt;'PlayerGrades+'!$AD$4,"A+",IF(J47&lt;'PlayerGrades+'!$AD$3,"S-",IF(J47&lt;'PlayerGrades+'!$AD$2,"S","S+"))))))))))))))))))))</f>
        <v>F-</v>
      </c>
      <c r="L47" s="992">
        <f t="shared" si="5"/>
        <v>0.5515430072</v>
      </c>
      <c r="M47" s="992" t="str">
        <f>IF(L47&lt;'PlayerGrades+'!$AE$21,"F-",IF(L47&lt;'PlayerGrades+'!$AE$20,"F",IF(L47&lt;'PlayerGrades+'!$AE$19,"F+",IF(L47&lt;'PlayerGrades+'!$AE$18,"E-",IF(L47&lt;'PlayerGrades+'!$AE$17,"E",IF(L47&lt;'PlayerGrades+'!$AE$16,"E+",IF(L47&lt;'PlayerGrades+'!$AE$15,"D-",IF(L47&lt;'PlayerGrades+'!$AE$14,"D",IF(L47&lt;'PlayerGrades+'!$AE$13,"D+",IF(L47&lt;'PlayerGrades+'!$AE$12,"C-",IF(L47&lt;'PlayerGrades+'!$AE$11,"C",IF(L47&lt;'PlayerGrades+'!$AE$10,"C+",IF(L47&lt;'PlayerGrades+'!$AE$9,"B-",IF(L47&lt;'PlayerGrades+'!$AE$8,"B",IF(L47&lt;'PlayerGrades+'!$AE$7,"B+",IF(L47&lt;'PlayerGrades+'!$AE$6,"A-",IF(L47&lt;'PlayerGrades+'!$AE$5,"A",IF(L47&lt;'PlayerGrades+'!$AE$4,"A+",IF(L47&lt;'PlayerGrades+'!$AE$3,"S-",IF(L47&lt;'PlayerGrades+'!$AE$2,"S","S+"))))))))))))))))))))</f>
        <v>A-</v>
      </c>
      <c r="N47" s="961">
        <f t="shared" si="6"/>
        <v>0.07879185817</v>
      </c>
      <c r="O47" s="961" t="str">
        <f>IF(N47&lt;'PlayerGrades+'!$AF$21,"F-",IF(N47&lt;'PlayerGrades+'!$AF$20,"F",IF(N47&lt;'PlayerGrades+'!$AF$19,"F+",IF(N47&lt;'PlayerGrades+'!$AF$18,"E-",IF(N47&lt;'PlayerGrades+'!$AF$17,"E",IF(N47&lt;'PlayerGrades+'!$AF$16,"E+",IF(N47&lt;'PlayerGrades+'!$AF$15,"D-",IF(N47&lt;'PlayerGrades+'!$AF$14,"D",IF(N47&lt;'PlayerGrades+'!$AF$13,"D+",IF(N47&lt;'PlayerGrades+'!$AF$12,"C-",IF(N47&lt;'PlayerGrades+'!$AF$11,"C",IF(N47&lt;'PlayerGrades+'!$AF$10,"C+",IF(N47&lt;'PlayerGrades+'!$AF$9,"B-",IF(N47&lt;'PlayerGrades+'!$AF$8,"B",IF(N47&lt;'PlayerGrades+'!$AF$7,"B+",IF(N47&lt;'PlayerGrades+'!$AF$6,"A-",IF(N47&lt;'PlayerGrades+'!$AF$5,"A",IF(N47&lt;'PlayerGrades+'!$AF$4,"A+",IF(N47&lt;'PlayerGrades+'!$AF$3,"S-",IF(N47&lt;'PlayerGrades+'!$AF$2,"S","S+"))))))))))))))))))))</f>
        <v>E+</v>
      </c>
      <c r="P47" s="961">
        <f t="shared" si="7"/>
        <v>0.7091267236</v>
      </c>
      <c r="Q47" s="961" t="str">
        <f>IF(P47&lt;'PlayerGrades+'!$AG$21,"F-",IF(P47&lt;'PlayerGrades+'!$AG$20,"F",IF(P47&lt;'PlayerGrades+'!$AG$19,"F+",IF(P47&lt;'PlayerGrades+'!$AG$18,"E-",IF(P47&lt;'PlayerGrades+'!$AG$17,"E",IF(P47&lt;'PlayerGrades+'!$AG$16,"E+",IF(P47&lt;'PlayerGrades+'!$AG$15,"D-",IF(P47&lt;'PlayerGrades+'!$AG$14,"D",IF(P47&lt;'PlayerGrades+'!$AG$13,"D+",IF(P47&lt;'PlayerGrades+'!$AG$12,"C-",IF(P47&lt;'PlayerGrades+'!$AG$11,"C",IF(P47&lt;'PlayerGrades+'!$AG$10,"C+",IF(P47&lt;'PlayerGrades+'!$AG$9,"B-",IF(P47&lt;'PlayerGrades+'!$AG$8,"B",IF(P47&lt;'PlayerGrades+'!$AG$7,"B+",IF(P47&lt;'PlayerGrades+'!$AG$6,"A-",IF(P47&lt;'PlayerGrades+'!$AG$5,"A",IF(P47&lt;'PlayerGrades+'!$AG$4,"A+",IF(P47&lt;'PlayerGrades+'!$AG$3,"S-",IF(P47&lt;'PlayerGrades+'!$AG$2,"S","S+"))))))))))))))))))))</f>
        <v>B</v>
      </c>
      <c r="R47" s="961">
        <f t="shared" si="8"/>
        <v>0</v>
      </c>
      <c r="S47" s="961" t="str">
        <f>IF(R47&lt;'PlayerGrades+'!$AH$21,"F-",IF(R47&lt;'PlayerGrades+'!$AH$20,"F",IF(R47&lt;'PlayerGrades+'!$AH$19,"F+",IF(R47&lt;'PlayerGrades+'!$AH$18,"E-",IF(R47&lt;'PlayerGrades+'!$AH$17,"E",IF(R47&lt;'PlayerGrades+'!$AH$16,"E+",IF(R47&lt;'PlayerGrades+'!$AH$15,"D-",IF(R47&lt;'PlayerGrades+'!$AH$14,"D",IF(R47&lt;'PlayerGrades+'!$AH$13,"D+",IF(R47&lt;'PlayerGrades+'!$AH$12,"C-",IF(R47&lt;'PlayerGrades+'!$AH$11,"C",IF(R47&lt;'PlayerGrades+'!$AH$10,"C+",IF(R47&lt;'PlayerGrades+'!$AH$9,"B-",IF(R47&lt;'PlayerGrades+'!$AH$8,"B",IF(R47&lt;'PlayerGrades+'!$AH$7,"B+",IF(R47&lt;'PlayerGrades+'!$AH$6,"A-",IF(R47&lt;'PlayerGrades+'!$AH$5,"A",IF(R47&lt;'PlayerGrades+'!$AH$4,"A+",IF(R47&lt;'PlayerGrades+'!$AH$3,"S-",IF(R47&lt;'PlayerGrades+'!$AH$2,"S","S+"))))))))))))))))))))</f>
        <v>F-</v>
      </c>
      <c r="T47" s="961">
        <f t="shared" si="9"/>
        <v>3.269862114</v>
      </c>
      <c r="U47" s="961" t="str">
        <f>IF(T47&lt;'PlayerGrades+'!$AI$21,"F-",IF(T47&lt;'PlayerGrades+'!$AI$20,"F",IF(T47&lt;'PlayerGrades+'!$AI$19,"F+",IF(T47&lt;'PlayerGrades+'!$AI$18,"E-",IF(T47&lt;'PlayerGrades+'!$AI$17,"E",IF(T47&lt;'PlayerGrades+'!$AI$16,"E+",IF(T47&lt;'PlayerGrades+'!$AI$15,"D-",IF(T47&lt;'PlayerGrades+'!$AI$14,"D",IF(T47&lt;'PlayerGrades+'!$AI$13,"D+",IF(T47&lt;'PlayerGrades+'!$AI$12,"C-",IF(T47&lt;'PlayerGrades+'!$AI$11,"C",IF(T47&lt;'PlayerGrades+'!$AI$10,"C+",IF(T47&lt;'PlayerGrades+'!$AI$9,"B-",IF(T47&lt;'PlayerGrades+'!$AI$8,"B",IF(T47&lt;'PlayerGrades+'!$AI$7,"B+",IF(T47&lt;'PlayerGrades+'!$AI$6,"A-",IF(T47&lt;'PlayerGrades+'!$AI$5,"A",IF(T47&lt;'PlayerGrades+'!$AI$4,"A+",IF(T47&lt;'PlayerGrades+'!$AI$3,"S-",IF(T47&lt;'PlayerGrades+'!$AI$2,"S","S+"))))))))))))))))))))</f>
        <v>A-</v>
      </c>
      <c r="V47" s="1017">
        <v>0.0</v>
      </c>
      <c r="W47" s="1017">
        <v>1.0</v>
      </c>
      <c r="X47" s="1017">
        <v>0.0</v>
      </c>
      <c r="Y47" s="1017">
        <v>1.0</v>
      </c>
      <c r="Z47" s="1282">
        <v>83.0</v>
      </c>
      <c r="AA47" s="1282">
        <v>113.0</v>
      </c>
      <c r="AB47" s="1017">
        <f t="shared" si="10"/>
        <v>-30</v>
      </c>
      <c r="AC47" s="1020">
        <f t="shared" si="11"/>
        <v>0.7345132743</v>
      </c>
      <c r="AD47" s="1100">
        <v>0.0</v>
      </c>
      <c r="AE47" s="1329">
        <v>1523.0</v>
      </c>
      <c r="AF47" s="1100">
        <v>0.0</v>
      </c>
      <c r="AG47" s="1100">
        <v>0.0</v>
      </c>
      <c r="AH47" s="1100">
        <v>0.0</v>
      </c>
      <c r="AI47" s="1100">
        <v>0.0</v>
      </c>
      <c r="AJ47" s="1100">
        <v>2.0</v>
      </c>
      <c r="AK47" s="1100">
        <v>14.0</v>
      </c>
      <c r="AL47" s="1100">
        <v>2.0</v>
      </c>
      <c r="AM47" s="1100">
        <v>0.0</v>
      </c>
      <c r="AN47" s="1100">
        <v>0.0</v>
      </c>
      <c r="AO47" s="1100">
        <v>0.0</v>
      </c>
      <c r="AP47" s="1100">
        <v>0.0</v>
      </c>
      <c r="AQ47" s="1100">
        <v>0.0</v>
      </c>
      <c r="AR47" s="1100">
        <v>0.0</v>
      </c>
      <c r="AS47" s="1100">
        <v>0.0</v>
      </c>
      <c r="AT47" s="1100">
        <v>0.0</v>
      </c>
      <c r="AU47" s="1100">
        <v>16.0</v>
      </c>
      <c r="AV47" s="1100">
        <v>0.0</v>
      </c>
      <c r="AW47" s="1100">
        <v>0.0</v>
      </c>
      <c r="AX47" s="1100">
        <v>0.0</v>
      </c>
      <c r="AY47" s="1100">
        <v>0.0</v>
      </c>
      <c r="AZ47" s="1239">
        <v>0.0</v>
      </c>
    </row>
    <row r="48">
      <c r="A48" s="1277" t="s">
        <v>93</v>
      </c>
      <c r="B48" s="1100" t="str">
        <f>IF(C48&lt;'PlayerGrades+'!$Y$44,"F-",IF(C48&lt;'PlayerGrades+'!$Y$43,"F",IF(C48&lt;'PlayerGrades+'!$Y$42,"F+",IF(C48&lt;'PlayerGrades+'!$Y$41,"E-",IF(C48&lt;'PlayerGrades+'!$Y$40,"E",IF(C48&lt;'PlayerGrades+'!$Y$39,"E+",IF(C48&lt;'PlayerGrades+'!$Y$38,"D-",IF(C48&lt;'PlayerGrades+'!$Y$37,"D",IF(C48&lt;'PlayerGrades+'!$Y$36,"D+",IF(C48&lt;'PlayerGrades+'!$Y$35,"C-",IF(C48&lt;'PlayerGrades+'!$Y$34,"C",IF(C48&lt;'PlayerGrades+'!$Y$33,"C+",IF(C48&lt;'PlayerGrades+'!$Y$32,"B-",IF(C48&lt;'PlayerGrades+'!$Y$31,"B",IF(C48&lt;'PlayerGrades+'!$Y$30,"B+",IF(C48&lt;'PlayerGrades+'!$Y$29,"A-",IF(C48&lt;'PlayerGrades+'!$Y$28,"A",IF(C48&lt;'PlayerGrades+'!$Y$27,"A+",IF(C48&lt;'PlayerGrades+'!$Y$26,"S-",IF(C48&lt;'PlayerGrades+'!$Y$25,"S","S+"))))))))))))))))))))</f>
        <v>D-</v>
      </c>
      <c r="C48" s="1105">
        <f>('PlayerGrades+'!$Y$47*(VLOOKUP(E48, 'PlayerGrades+'!$X$3:$Y$23, 2, FALSE)))+('PlayerGrades+'!$Y$48*(VLOOKUP(G48, 'PlayerGrades+'!$X$3:$Y$23, 2, FALSE)))+('PlayerGrades+'!$Y$49*(VLOOKUP(I48, 'PlayerGrades+'!$X$3:$Y$23, 2, FALSE)))+('PlayerGrades+'!$Y$50*(VLOOKUP(K48, 'PlayerGrades+'!$X$3:$Y$23, 2, FALSE)))+('PlayerGrades+'!$Y$51*(VLOOKUP(M48, 'PlayerGrades+'!$X$3:$Y$23, 2, FALSE)))+('PlayerGrades+'!$Y$52*(VLOOKUP(O48, 'PlayerGrades+'!$X$3:$Y$23, 2, FALSE)))+('PlayerGrades+'!$Y$53*(VLOOKUP(Q48, 'PlayerGrades+'!$X$3:$Y$23, 2, FALSE)))+('PlayerGrades+'!$Y$54*(VLOOKUP(S48, 'PlayerGrades+'!$X$3:$Y$23, 2, FALSE)))+('PlayerGrades+'!$Y$55*(VLOOKUP(U48, 'PlayerGrades+'!$X$3:$Y$23, 2, FALSE)))</f>
        <v>12.3625</v>
      </c>
      <c r="D48" s="961">
        <f t="shared" si="1"/>
        <v>0</v>
      </c>
      <c r="E48" s="961" t="str">
        <f>IF(D48&lt;'PlayerGrades+'!$AA$21,"F-",IF(D48&lt;'PlayerGrades+'!$AA$20,"F",IF(D48&lt;'PlayerGrades+'!$AA$19,"F+",IF(D48&lt;'PlayerGrades+'!$AA$18,"E-",IF(D48&lt;'PlayerGrades+'!$AA$17,"E",IF(D48&lt;'PlayerGrades+'!$AA$16,"E+",IF(D48&lt;'PlayerGrades+'!$AA$15,"D-",IF(D48&lt;'PlayerGrades+'!$AA$14,"D",IF(D48&lt;'PlayerGrades+'!$AA$13,"D+",IF(D48&lt;'PlayerGrades+'!$AA$12,"C-",IF(D48&lt;'PlayerGrades+'!$AA$11,"C",IF(D48&lt;'PlayerGrades+'!$AA$10,"C+",IF(D48&lt;'PlayerGrades+'!$AA$9,"B-",IF(D48&lt;'PlayerGrades+'!$AA$8,"B",IF(D48&lt;'PlayerGrades+'!$AA$7,"B+",IF(D48&lt;'PlayerGrades+'!$AA$6,"A-",IF(D48&lt;'PlayerGrades+'!$AA$5,"A",IF(D48&lt;'PlayerGrades+'!$AA$4,"A+",IF(D48&lt;'PlayerGrades+'!$AA$3,"S-",IF(D48&lt;'PlayerGrades+'!$AA$2,"S","S+"))))))))))))))))))))</f>
        <v>F-</v>
      </c>
      <c r="F48" s="961">
        <f t="shared" si="2"/>
        <v>0.0302726613</v>
      </c>
      <c r="G48" s="961" t="str">
        <f>IF(F48&lt;'PlayerGrades+'!$AB$21,"F-",IF(F48&lt;'PlayerGrades+'!$AB$20,"F",IF(F48&lt;'PlayerGrades+'!$AB$19,"F+",IF(F48&lt;'PlayerGrades+'!$AB$18,"E-",IF(F48&lt;'PlayerGrades+'!$AB$17,"E",IF(F48&lt;'PlayerGrades+'!$AB$16,"E+",IF(F48&lt;'PlayerGrades+'!$AB$15,"D-",IF(F48&lt;'PlayerGrades+'!$AB$14,"D",IF(F48&lt;'PlayerGrades+'!$AB$13,"D+",IF(F48&lt;'PlayerGrades+'!$AB$12,"C-",IF(F48&lt;'PlayerGrades+'!$AB$11,"C",IF(F48&lt;'PlayerGrades+'!$AB$10,"C+",IF(F48&lt;'PlayerGrades+'!$AB$9,"B-",IF(F48&lt;'PlayerGrades+'!$AB$8,"B",IF(F48&lt;'PlayerGrades+'!$AB$7,"B+",IF(F48&lt;'PlayerGrades+'!$AB$6,"A-",IF(F48&lt;'PlayerGrades+'!$AB$5,"A",IF(F48&lt;'PlayerGrades+'!$AB$4,"A+",IF(F48&lt;'PlayerGrades+'!$AB$3,"S-",IF(F48&lt;'PlayerGrades+'!$AB$2,"S","S+"))))))))))))))))))))</f>
        <v>A</v>
      </c>
      <c r="H48" s="961">
        <f t="shared" si="3"/>
        <v>0.43335522</v>
      </c>
      <c r="I48" s="961" t="str">
        <f>IF(H48&lt;'PlayerGrades+'!$AC$21,"F-",IF(H48&lt;'PlayerGrades+'!$AC$20,"F",IF(H48&lt;'PlayerGrades+'!$AC$19,"F+",IF(H48&lt;'PlayerGrades+'!$AC$18,"E-",IF(H48&lt;'PlayerGrades+'!$AC$17,"E",IF(H48&lt;'PlayerGrades+'!$AC$16,"E+",IF(H48&lt;'PlayerGrades+'!$AC$15,"D-",IF(H48&lt;'PlayerGrades+'!$AC$14,"D",IF(H48&lt;'PlayerGrades+'!$AC$13,"D+",IF(H48&lt;'PlayerGrades+'!$AC$12,"C-",IF(H48&lt;'PlayerGrades+'!$AC$11,"C",IF(H48&lt;'PlayerGrades+'!$AC$10,"C+",IF(H48&lt;'PlayerGrades+'!$AC$9,"B-",IF(H48&lt;'PlayerGrades+'!$AC$8,"B",IF(H48&lt;'PlayerGrades+'!$AC$7,"B+",IF(H48&lt;'PlayerGrades+'!$AC$6,"A-",IF(H48&lt;'PlayerGrades+'!$AC$5,"A",IF(H48&lt;'PlayerGrades+'!$AC$4,"A+",IF(H48&lt;'PlayerGrades+'!$AC$3,"S-",IF(H48&lt;'PlayerGrades+'!$AC$2,"S","S+"))))))))))))))))))))</f>
        <v>D+</v>
      </c>
      <c r="J48" s="961">
        <f t="shared" si="4"/>
        <v>0.03939592909</v>
      </c>
      <c r="K48" s="961" t="str">
        <f>IF(J48&lt;'PlayerGrades+'!$AD$21,"F-",IF(J48&lt;'PlayerGrades+'!$AD$20,"F",IF(J48&lt;'PlayerGrades+'!$AD$19,"F+",IF(J48&lt;'PlayerGrades+'!$AD$18,"E-",IF(J48&lt;'PlayerGrades+'!$AD$17,"E",IF(J48&lt;'PlayerGrades+'!$AD$16,"E+",IF(J48&lt;'PlayerGrades+'!$AD$15,"D-",IF(J48&lt;'PlayerGrades+'!$AD$14,"D",IF(J48&lt;'PlayerGrades+'!$AD$13,"D+",IF(J48&lt;'PlayerGrades+'!$AD$12,"C-",IF(J48&lt;'PlayerGrades+'!$AD$11,"C",IF(J48&lt;'PlayerGrades+'!$AD$10,"C+",IF(J48&lt;'PlayerGrades+'!$AD$9,"B-",IF(J48&lt;'PlayerGrades+'!$AD$8,"B",IF(J48&lt;'PlayerGrades+'!$AD$7,"B+",IF(J48&lt;'PlayerGrades+'!$AD$6,"A-",IF(J48&lt;'PlayerGrades+'!$AD$5,"A",IF(J48&lt;'PlayerGrades+'!$AD$4,"A+",IF(J48&lt;'PlayerGrades+'!$AD$3,"S-",IF(J48&lt;'PlayerGrades+'!$AD$2,"S","S+"))))))))))))))))))))</f>
        <v>C</v>
      </c>
      <c r="L48" s="992">
        <f t="shared" si="5"/>
        <v>0.2757715036</v>
      </c>
      <c r="M48" s="992" t="str">
        <f>IF(L48&lt;'PlayerGrades+'!$AE$21,"F-",IF(L48&lt;'PlayerGrades+'!$AE$20,"F",IF(L48&lt;'PlayerGrades+'!$AE$19,"F+",IF(L48&lt;'PlayerGrades+'!$AE$18,"E-",IF(L48&lt;'PlayerGrades+'!$AE$17,"E",IF(L48&lt;'PlayerGrades+'!$AE$16,"E+",IF(L48&lt;'PlayerGrades+'!$AE$15,"D-",IF(L48&lt;'PlayerGrades+'!$AE$14,"D",IF(L48&lt;'PlayerGrades+'!$AE$13,"D+",IF(L48&lt;'PlayerGrades+'!$AE$12,"C-",IF(L48&lt;'PlayerGrades+'!$AE$11,"C",IF(L48&lt;'PlayerGrades+'!$AE$10,"C+",IF(L48&lt;'PlayerGrades+'!$AE$9,"B-",IF(L48&lt;'PlayerGrades+'!$AE$8,"B",IF(L48&lt;'PlayerGrades+'!$AE$7,"B+",IF(L48&lt;'PlayerGrades+'!$AE$6,"A-",IF(L48&lt;'PlayerGrades+'!$AE$5,"A",IF(L48&lt;'PlayerGrades+'!$AE$4,"A+",IF(L48&lt;'PlayerGrades+'!$AE$3,"S-",IF(L48&lt;'PlayerGrades+'!$AE$2,"S","S+"))))))))))))))))))))</f>
        <v>F+</v>
      </c>
      <c r="N48" s="961">
        <f t="shared" si="6"/>
        <v>0.07879185817</v>
      </c>
      <c r="O48" s="961" t="str">
        <f>IF(N48&lt;'PlayerGrades+'!$AF$21,"F-",IF(N48&lt;'PlayerGrades+'!$AF$20,"F",IF(N48&lt;'PlayerGrades+'!$AF$19,"F+",IF(N48&lt;'PlayerGrades+'!$AF$18,"E-",IF(N48&lt;'PlayerGrades+'!$AF$17,"E",IF(N48&lt;'PlayerGrades+'!$AF$16,"E+",IF(N48&lt;'PlayerGrades+'!$AF$15,"D-",IF(N48&lt;'PlayerGrades+'!$AF$14,"D",IF(N48&lt;'PlayerGrades+'!$AF$13,"D+",IF(N48&lt;'PlayerGrades+'!$AF$12,"C-",IF(N48&lt;'PlayerGrades+'!$AF$11,"C",IF(N48&lt;'PlayerGrades+'!$AF$10,"C+",IF(N48&lt;'PlayerGrades+'!$AF$9,"B-",IF(N48&lt;'PlayerGrades+'!$AF$8,"B",IF(N48&lt;'PlayerGrades+'!$AF$7,"B+",IF(N48&lt;'PlayerGrades+'!$AF$6,"A-",IF(N48&lt;'PlayerGrades+'!$AF$5,"A",IF(N48&lt;'PlayerGrades+'!$AF$4,"A+",IF(N48&lt;'PlayerGrades+'!$AF$3,"S-",IF(N48&lt;'PlayerGrades+'!$AF$2,"S","S+"))))))))))))))))))))</f>
        <v>E+</v>
      </c>
      <c r="P48" s="961">
        <f t="shared" si="7"/>
        <v>0.3939592909</v>
      </c>
      <c r="Q48" s="961" t="str">
        <f>IF(P48&lt;'PlayerGrades+'!$AG$21,"F-",IF(P48&lt;'PlayerGrades+'!$AG$20,"F",IF(P48&lt;'PlayerGrades+'!$AG$19,"F+",IF(P48&lt;'PlayerGrades+'!$AG$18,"E-",IF(P48&lt;'PlayerGrades+'!$AG$17,"E",IF(P48&lt;'PlayerGrades+'!$AG$16,"E+",IF(P48&lt;'PlayerGrades+'!$AG$15,"D-",IF(P48&lt;'PlayerGrades+'!$AG$14,"D",IF(P48&lt;'PlayerGrades+'!$AG$13,"D+",IF(P48&lt;'PlayerGrades+'!$AG$12,"C-",IF(P48&lt;'PlayerGrades+'!$AG$11,"C",IF(P48&lt;'PlayerGrades+'!$AG$10,"C+",IF(P48&lt;'PlayerGrades+'!$AG$9,"B-",IF(P48&lt;'PlayerGrades+'!$AG$8,"B",IF(P48&lt;'PlayerGrades+'!$AG$7,"B+",IF(P48&lt;'PlayerGrades+'!$AG$6,"A-",IF(P48&lt;'PlayerGrades+'!$AG$5,"A",IF(P48&lt;'PlayerGrades+'!$AG$4,"A+",IF(P48&lt;'PlayerGrades+'!$AG$3,"S-",IF(P48&lt;'PlayerGrades+'!$AG$2,"S","S+"))))))))))))))))))))</f>
        <v>F+</v>
      </c>
      <c r="R48" s="961">
        <f t="shared" si="8"/>
        <v>0.03939592909</v>
      </c>
      <c r="S48" s="961" t="str">
        <f>IF(R48&lt;'PlayerGrades+'!$AH$21,"F-",IF(R48&lt;'PlayerGrades+'!$AH$20,"F",IF(R48&lt;'PlayerGrades+'!$AH$19,"F+",IF(R48&lt;'PlayerGrades+'!$AH$18,"E-",IF(R48&lt;'PlayerGrades+'!$AH$17,"E",IF(R48&lt;'PlayerGrades+'!$AH$16,"E+",IF(R48&lt;'PlayerGrades+'!$AH$15,"D-",IF(R48&lt;'PlayerGrades+'!$AH$14,"D",IF(R48&lt;'PlayerGrades+'!$AH$13,"D+",IF(R48&lt;'PlayerGrades+'!$AH$12,"C-",IF(R48&lt;'PlayerGrades+'!$AH$11,"C",IF(R48&lt;'PlayerGrades+'!$AH$10,"C+",IF(R48&lt;'PlayerGrades+'!$AH$9,"B-",IF(R48&lt;'PlayerGrades+'!$AH$8,"B",IF(R48&lt;'PlayerGrades+'!$AH$7,"B+",IF(R48&lt;'PlayerGrades+'!$AH$6,"A-",IF(R48&lt;'PlayerGrades+'!$AH$5,"A",IF(R48&lt;'PlayerGrades+'!$AH$4,"A+",IF(R48&lt;'PlayerGrades+'!$AH$3,"S-",IF(R48&lt;'PlayerGrades+'!$AH$2,"S","S+"))))))))))))))))))))</f>
        <v>E-</v>
      </c>
      <c r="T48" s="961">
        <f t="shared" si="9"/>
        <v>2.875902823</v>
      </c>
      <c r="U48" s="961" t="str">
        <f>IF(T48&lt;'PlayerGrades+'!$AI$21,"F-",IF(T48&lt;'PlayerGrades+'!$AI$20,"F",IF(T48&lt;'PlayerGrades+'!$AI$19,"F+",IF(T48&lt;'PlayerGrades+'!$AI$18,"E-",IF(T48&lt;'PlayerGrades+'!$AI$17,"E",IF(T48&lt;'PlayerGrades+'!$AI$16,"E+",IF(T48&lt;'PlayerGrades+'!$AI$15,"D-",IF(T48&lt;'PlayerGrades+'!$AI$14,"D",IF(T48&lt;'PlayerGrades+'!$AI$13,"D+",IF(T48&lt;'PlayerGrades+'!$AI$12,"C-",IF(T48&lt;'PlayerGrades+'!$AI$11,"C",IF(T48&lt;'PlayerGrades+'!$AI$10,"C+",IF(T48&lt;'PlayerGrades+'!$AI$9,"B-",IF(T48&lt;'PlayerGrades+'!$AI$8,"B",IF(T48&lt;'PlayerGrades+'!$AI$7,"B+",IF(T48&lt;'PlayerGrades+'!$AI$6,"A-",IF(T48&lt;'PlayerGrades+'!$AI$5,"A",IF(T48&lt;'PlayerGrades+'!$AI$4,"A+",IF(T48&lt;'PlayerGrades+'!$AI$3,"S-",IF(T48&lt;'PlayerGrades+'!$AI$2,"S","S+"))))))))))))))))))))</f>
        <v>C+</v>
      </c>
      <c r="V48" s="1017">
        <v>0.0</v>
      </c>
      <c r="W48" s="1017">
        <v>1.0</v>
      </c>
      <c r="X48" s="1017">
        <v>0.0</v>
      </c>
      <c r="Y48" s="1017">
        <v>1.0</v>
      </c>
      <c r="Z48" s="1282">
        <v>73.0</v>
      </c>
      <c r="AA48" s="1282">
        <v>95.0</v>
      </c>
      <c r="AB48" s="1017">
        <f t="shared" si="10"/>
        <v>-22</v>
      </c>
      <c r="AC48" s="1020">
        <f t="shared" si="11"/>
        <v>0.7684210526</v>
      </c>
      <c r="AD48" s="1100">
        <v>1.0</v>
      </c>
      <c r="AE48" s="1329">
        <v>1523.0</v>
      </c>
      <c r="AF48" s="1100">
        <v>1.0</v>
      </c>
      <c r="AG48" s="1100">
        <v>0.0</v>
      </c>
      <c r="AH48" s="1100">
        <v>0.0</v>
      </c>
      <c r="AI48" s="1100">
        <v>0.0</v>
      </c>
      <c r="AJ48" s="1100">
        <v>0.0</v>
      </c>
      <c r="AK48" s="1100">
        <v>7.0</v>
      </c>
      <c r="AL48" s="1100">
        <v>2.0</v>
      </c>
      <c r="AM48" s="1100">
        <v>1.0</v>
      </c>
      <c r="AN48" s="1100">
        <v>0.0</v>
      </c>
      <c r="AO48" s="1100">
        <v>0.0</v>
      </c>
      <c r="AP48" s="1100">
        <v>0.0</v>
      </c>
      <c r="AQ48" s="1100">
        <v>0.0</v>
      </c>
      <c r="AR48" s="1100">
        <v>0.0</v>
      </c>
      <c r="AS48" s="1100">
        <v>0.0</v>
      </c>
      <c r="AT48" s="1100">
        <v>0.0</v>
      </c>
      <c r="AU48" s="1100">
        <v>11.0</v>
      </c>
      <c r="AV48" s="1100">
        <v>0.0</v>
      </c>
      <c r="AW48" s="1100">
        <v>0.0</v>
      </c>
      <c r="AX48" s="1100">
        <v>0.0</v>
      </c>
      <c r="AY48" s="1100">
        <v>0.0</v>
      </c>
      <c r="AZ48" s="1239">
        <v>1.0</v>
      </c>
    </row>
    <row r="49">
      <c r="A49" s="1366" t="s">
        <v>44</v>
      </c>
      <c r="B49" s="1227" t="str">
        <f>IF(C49&lt;'PlayerGrades+'!$Y$44,"F-",IF(C49&lt;'PlayerGrades+'!$Y$43,"F",IF(C49&lt;'PlayerGrades+'!$Y$42,"F+",IF(C49&lt;'PlayerGrades+'!$Y$41,"E-",IF(C49&lt;'PlayerGrades+'!$Y$40,"E",IF(C49&lt;'PlayerGrades+'!$Y$39,"E+",IF(C49&lt;'PlayerGrades+'!$Y$38,"D-",IF(C49&lt;'PlayerGrades+'!$Y$37,"D",IF(C49&lt;'PlayerGrades+'!$Y$36,"D+",IF(C49&lt;'PlayerGrades+'!$Y$35,"C-",IF(C49&lt;'PlayerGrades+'!$Y$34,"C",IF(C49&lt;'PlayerGrades+'!$Y$33,"C+",IF(C49&lt;'PlayerGrades+'!$Y$32,"B-",IF(C49&lt;'PlayerGrades+'!$Y$31,"B",IF(C49&lt;'PlayerGrades+'!$Y$30,"B+",IF(C49&lt;'PlayerGrades+'!$Y$29,"A-",IF(C49&lt;'PlayerGrades+'!$Y$28,"A",IF(C49&lt;'PlayerGrades+'!$Y$27,"A+",IF(C49&lt;'PlayerGrades+'!$Y$26,"S-",IF(C49&lt;'PlayerGrades+'!$Y$25,"S","S+"))))))))))))))))))))</f>
        <v>A</v>
      </c>
      <c r="C49" s="1229">
        <f>('PlayerGrades+'!$Y$47*(VLOOKUP(E49, 'PlayerGrades+'!$X$3:$Y$23, 2, FALSE)))+('PlayerGrades+'!$Y$48*(VLOOKUP(G49, 'PlayerGrades+'!$X$3:$Y$23, 2, FALSE)))+('PlayerGrades+'!$Y$49*(VLOOKUP(I49, 'PlayerGrades+'!$X$3:$Y$23, 2, FALSE)))+('PlayerGrades+'!$Y$50*(VLOOKUP(K49, 'PlayerGrades+'!$X$3:$Y$23, 2, FALSE)))+('PlayerGrades+'!$Y$51*(VLOOKUP(M49, 'PlayerGrades+'!$X$3:$Y$23, 2, FALSE)))+('PlayerGrades+'!$Y$52*(VLOOKUP(O49, 'PlayerGrades+'!$X$3:$Y$23, 2, FALSE)))+('PlayerGrades+'!$Y$53*(VLOOKUP(Q49, 'PlayerGrades+'!$X$3:$Y$23, 2, FALSE)))+('PlayerGrades+'!$Y$54*(VLOOKUP(S49, 'PlayerGrades+'!$X$3:$Y$23, 2, FALSE)))+('PlayerGrades+'!$Y$55*(VLOOKUP(U49, 'PlayerGrades+'!$X$3:$Y$23, 2, FALSE)))</f>
        <v>22.2125</v>
      </c>
      <c r="D49" s="1230">
        <f t="shared" si="1"/>
        <v>0.07879185817</v>
      </c>
      <c r="E49" s="1230" t="str">
        <f>IF(D49&lt;'PlayerGrades+'!$AA$21,"F-",IF(D49&lt;'PlayerGrades+'!$AA$20,"F",IF(D49&lt;'PlayerGrades+'!$AA$19,"F+",IF(D49&lt;'PlayerGrades+'!$AA$18,"E-",IF(D49&lt;'PlayerGrades+'!$AA$17,"E",IF(D49&lt;'PlayerGrades+'!$AA$16,"E+",IF(D49&lt;'PlayerGrades+'!$AA$15,"D-",IF(D49&lt;'PlayerGrades+'!$AA$14,"D",IF(D49&lt;'PlayerGrades+'!$AA$13,"D+",IF(D49&lt;'PlayerGrades+'!$AA$12,"C-",IF(D49&lt;'PlayerGrades+'!$AA$11,"C",IF(D49&lt;'PlayerGrades+'!$AA$10,"C+",IF(D49&lt;'PlayerGrades+'!$AA$9,"B-",IF(D49&lt;'PlayerGrades+'!$AA$8,"B",IF(D49&lt;'PlayerGrades+'!$AA$7,"B+",IF(D49&lt;'PlayerGrades+'!$AA$6,"A-",IF(D49&lt;'PlayerGrades+'!$AA$5,"A",IF(D49&lt;'PlayerGrades+'!$AA$4,"A+",IF(D49&lt;'PlayerGrades+'!$AA$3,"S-",IF(D49&lt;'PlayerGrades+'!$AA$2,"S","S+"))))))))))))))))))))</f>
        <v>A</v>
      </c>
      <c r="F49" s="1230">
        <f t="shared" si="2"/>
        <v>0.03996688458</v>
      </c>
      <c r="G49" s="1230" t="str">
        <f>IF(F49&lt;'PlayerGrades+'!$AB$21,"F-",IF(F49&lt;'PlayerGrades+'!$AB$20,"F",IF(F49&lt;'PlayerGrades+'!$AB$19,"F+",IF(F49&lt;'PlayerGrades+'!$AB$18,"E-",IF(F49&lt;'PlayerGrades+'!$AB$17,"E",IF(F49&lt;'PlayerGrades+'!$AB$16,"E+",IF(F49&lt;'PlayerGrades+'!$AB$15,"D-",IF(F49&lt;'PlayerGrades+'!$AB$14,"D",IF(F49&lt;'PlayerGrades+'!$AB$13,"D+",IF(F49&lt;'PlayerGrades+'!$AB$12,"C-",IF(F49&lt;'PlayerGrades+'!$AB$11,"C",IF(F49&lt;'PlayerGrades+'!$AB$10,"C+",IF(F49&lt;'PlayerGrades+'!$AB$9,"B-",IF(F49&lt;'PlayerGrades+'!$AB$8,"B",IF(F49&lt;'PlayerGrades+'!$AB$7,"B+",IF(F49&lt;'PlayerGrades+'!$AB$6,"A-",IF(F49&lt;'PlayerGrades+'!$AB$5,"A",IF(F49&lt;'PlayerGrades+'!$AB$4,"A+",IF(F49&lt;'PlayerGrades+'!$AB$3,"S-",IF(F49&lt;'PlayerGrades+'!$AB$2,"S","S+"))))))))))))))))))))</f>
        <v>A</v>
      </c>
      <c r="H49" s="1230">
        <f t="shared" si="3"/>
        <v>0.7485226527</v>
      </c>
      <c r="I49" s="1230" t="str">
        <f>IF(H49&lt;'PlayerGrades+'!$AC$21,"F-",IF(H49&lt;'PlayerGrades+'!$AC$20,"F",IF(H49&lt;'PlayerGrades+'!$AC$19,"F+",IF(H49&lt;'PlayerGrades+'!$AC$18,"E-",IF(H49&lt;'PlayerGrades+'!$AC$17,"E",IF(H49&lt;'PlayerGrades+'!$AC$16,"E+",IF(H49&lt;'PlayerGrades+'!$AC$15,"D-",IF(H49&lt;'PlayerGrades+'!$AC$14,"D",IF(H49&lt;'PlayerGrades+'!$AC$13,"D+",IF(H49&lt;'PlayerGrades+'!$AC$12,"C-",IF(H49&lt;'PlayerGrades+'!$AC$11,"C",IF(H49&lt;'PlayerGrades+'!$AC$10,"C+",IF(H49&lt;'PlayerGrades+'!$AC$9,"B-",IF(H49&lt;'PlayerGrades+'!$AC$8,"B",IF(H49&lt;'PlayerGrades+'!$AC$7,"B+",IF(H49&lt;'PlayerGrades+'!$AC$6,"A-",IF(H49&lt;'PlayerGrades+'!$AC$5,"A",IF(H49&lt;'PlayerGrades+'!$AC$4,"A+",IF(H49&lt;'PlayerGrades+'!$AC$3,"S-",IF(H49&lt;'PlayerGrades+'!$AC$2,"S","S+"))))))))))))))))))))</f>
        <v>S-</v>
      </c>
      <c r="J49" s="1230">
        <f t="shared" si="4"/>
        <v>0.1181877873</v>
      </c>
      <c r="K49" s="1230" t="str">
        <f>IF(J49&lt;'PlayerGrades+'!$AD$21,"F-",IF(J49&lt;'PlayerGrades+'!$AD$20,"F",IF(J49&lt;'PlayerGrades+'!$AD$19,"F+",IF(J49&lt;'PlayerGrades+'!$AD$18,"E-",IF(J49&lt;'PlayerGrades+'!$AD$17,"E",IF(J49&lt;'PlayerGrades+'!$AD$16,"E+",IF(J49&lt;'PlayerGrades+'!$AD$15,"D-",IF(J49&lt;'PlayerGrades+'!$AD$14,"D",IF(J49&lt;'PlayerGrades+'!$AD$13,"D+",IF(J49&lt;'PlayerGrades+'!$AD$12,"C-",IF(J49&lt;'PlayerGrades+'!$AD$11,"C",IF(J49&lt;'PlayerGrades+'!$AD$10,"C+",IF(J49&lt;'PlayerGrades+'!$AD$9,"B-",IF(J49&lt;'PlayerGrades+'!$AD$8,"B",IF(J49&lt;'PlayerGrades+'!$AD$7,"B+",IF(J49&lt;'PlayerGrades+'!$AD$6,"A-",IF(J49&lt;'PlayerGrades+'!$AD$5,"A",IF(J49&lt;'PlayerGrades+'!$AD$4,"A+",IF(J49&lt;'PlayerGrades+'!$AD$3,"S-",IF(J49&lt;'PlayerGrades+'!$AD$2,"S","S+"))))))))))))))))))))</f>
        <v>S-</v>
      </c>
      <c r="L49" s="1231">
        <f t="shared" si="5"/>
        <v>0.5515430072</v>
      </c>
      <c r="M49" s="1231" t="str">
        <f>IF(L49&lt;'PlayerGrades+'!$AE$21,"F-",IF(L49&lt;'PlayerGrades+'!$AE$20,"F",IF(L49&lt;'PlayerGrades+'!$AE$19,"F+",IF(L49&lt;'PlayerGrades+'!$AE$18,"E-",IF(L49&lt;'PlayerGrades+'!$AE$17,"E",IF(L49&lt;'PlayerGrades+'!$AE$16,"E+",IF(L49&lt;'PlayerGrades+'!$AE$15,"D-",IF(L49&lt;'PlayerGrades+'!$AE$14,"D",IF(L49&lt;'PlayerGrades+'!$AE$13,"D+",IF(L49&lt;'PlayerGrades+'!$AE$12,"C-",IF(L49&lt;'PlayerGrades+'!$AE$11,"C",IF(L49&lt;'PlayerGrades+'!$AE$10,"C+",IF(L49&lt;'PlayerGrades+'!$AE$9,"B-",IF(L49&lt;'PlayerGrades+'!$AE$8,"B",IF(L49&lt;'PlayerGrades+'!$AE$7,"B+",IF(L49&lt;'PlayerGrades+'!$AE$6,"A-",IF(L49&lt;'PlayerGrades+'!$AE$5,"A",IF(L49&lt;'PlayerGrades+'!$AE$4,"A+",IF(L49&lt;'PlayerGrades+'!$AE$3,"S-",IF(L49&lt;'PlayerGrades+'!$AE$2,"S","S+"))))))))))))))))))))</f>
        <v>A-</v>
      </c>
      <c r="N49" s="1230">
        <f t="shared" si="6"/>
        <v>0.03939592909</v>
      </c>
      <c r="O49" s="1230" t="str">
        <f>IF(N49&lt;'PlayerGrades+'!$AF$21,"F-",IF(N49&lt;'PlayerGrades+'!$AF$20,"F",IF(N49&lt;'PlayerGrades+'!$AF$19,"F+",IF(N49&lt;'PlayerGrades+'!$AF$18,"E-",IF(N49&lt;'PlayerGrades+'!$AF$17,"E",IF(N49&lt;'PlayerGrades+'!$AF$16,"E+",IF(N49&lt;'PlayerGrades+'!$AF$15,"D-",IF(N49&lt;'PlayerGrades+'!$AF$14,"D",IF(N49&lt;'PlayerGrades+'!$AF$13,"D+",IF(N49&lt;'PlayerGrades+'!$AF$12,"C-",IF(N49&lt;'PlayerGrades+'!$AF$11,"C",IF(N49&lt;'PlayerGrades+'!$AF$10,"C+",IF(N49&lt;'PlayerGrades+'!$AF$9,"B-",IF(N49&lt;'PlayerGrades+'!$AF$8,"B",IF(N49&lt;'PlayerGrades+'!$AF$7,"B+",IF(N49&lt;'PlayerGrades+'!$AF$6,"A-",IF(N49&lt;'PlayerGrades+'!$AF$5,"A",IF(N49&lt;'PlayerGrades+'!$AF$4,"A+",IF(N49&lt;'PlayerGrades+'!$AF$3,"S-",IF(N49&lt;'PlayerGrades+'!$AF$2,"S","S+"))))))))))))))))))))</f>
        <v>F</v>
      </c>
      <c r="P49" s="1230">
        <f t="shared" si="7"/>
        <v>0.6303348654</v>
      </c>
      <c r="Q49" s="1230" t="str">
        <f>IF(P49&lt;'PlayerGrades+'!$AG$21,"F-",IF(P49&lt;'PlayerGrades+'!$AG$20,"F",IF(P49&lt;'PlayerGrades+'!$AG$19,"F+",IF(P49&lt;'PlayerGrades+'!$AG$18,"E-",IF(P49&lt;'PlayerGrades+'!$AG$17,"E",IF(P49&lt;'PlayerGrades+'!$AG$16,"E+",IF(P49&lt;'PlayerGrades+'!$AG$15,"D-",IF(P49&lt;'PlayerGrades+'!$AG$14,"D",IF(P49&lt;'PlayerGrades+'!$AG$13,"D+",IF(P49&lt;'PlayerGrades+'!$AG$12,"C-",IF(P49&lt;'PlayerGrades+'!$AG$11,"C",IF(P49&lt;'PlayerGrades+'!$AG$10,"C+",IF(P49&lt;'PlayerGrades+'!$AG$9,"B-",IF(P49&lt;'PlayerGrades+'!$AG$8,"B",IF(P49&lt;'PlayerGrades+'!$AG$7,"B+",IF(P49&lt;'PlayerGrades+'!$AG$6,"A-",IF(P49&lt;'PlayerGrades+'!$AG$5,"A",IF(P49&lt;'PlayerGrades+'!$AG$4,"A+",IF(P49&lt;'PlayerGrades+'!$AG$3,"S-",IF(P49&lt;'PlayerGrades+'!$AG$2,"S","S+"))))))))))))))))))))</f>
        <v>B-</v>
      </c>
      <c r="R49" s="1230">
        <f t="shared" si="8"/>
        <v>0.1181877873</v>
      </c>
      <c r="S49" s="1230" t="str">
        <f>IF(R49&lt;'PlayerGrades+'!$AH$21,"F-",IF(R49&lt;'PlayerGrades+'!$AH$20,"F",IF(R49&lt;'PlayerGrades+'!$AH$19,"F+",IF(R49&lt;'PlayerGrades+'!$AH$18,"E-",IF(R49&lt;'PlayerGrades+'!$AH$17,"E",IF(R49&lt;'PlayerGrades+'!$AH$16,"E+",IF(R49&lt;'PlayerGrades+'!$AH$15,"D-",IF(R49&lt;'PlayerGrades+'!$AH$14,"D",IF(R49&lt;'PlayerGrades+'!$AH$13,"D+",IF(R49&lt;'PlayerGrades+'!$AH$12,"C-",IF(R49&lt;'PlayerGrades+'!$AH$11,"C",IF(R49&lt;'PlayerGrades+'!$AH$10,"C+",IF(R49&lt;'PlayerGrades+'!$AH$9,"B-",IF(R49&lt;'PlayerGrades+'!$AH$8,"B",IF(R49&lt;'PlayerGrades+'!$AH$7,"B+",IF(R49&lt;'PlayerGrades+'!$AH$6,"A-",IF(R49&lt;'PlayerGrades+'!$AH$5,"A",IF(R49&lt;'PlayerGrades+'!$AH$4,"A+",IF(R49&lt;'PlayerGrades+'!$AH$3,"S-",IF(R49&lt;'PlayerGrades+'!$AH$2,"S","S+"))))))))))))))))))))</f>
        <v>S</v>
      </c>
      <c r="T49" s="1230">
        <f t="shared" si="9"/>
        <v>2.757715036</v>
      </c>
      <c r="U49" s="1230" t="str">
        <f>IF(T49&lt;'PlayerGrades+'!$AI$21,"F-",IF(T49&lt;'PlayerGrades+'!$AI$20,"F",IF(T49&lt;'PlayerGrades+'!$AI$19,"F+",IF(T49&lt;'PlayerGrades+'!$AI$18,"E-",IF(T49&lt;'PlayerGrades+'!$AI$17,"E",IF(T49&lt;'PlayerGrades+'!$AI$16,"E+",IF(T49&lt;'PlayerGrades+'!$AI$15,"D-",IF(T49&lt;'PlayerGrades+'!$AI$14,"D",IF(T49&lt;'PlayerGrades+'!$AI$13,"D+",IF(T49&lt;'PlayerGrades+'!$AI$12,"C-",IF(T49&lt;'PlayerGrades+'!$AI$11,"C",IF(T49&lt;'PlayerGrades+'!$AI$10,"C+",IF(T49&lt;'PlayerGrades+'!$AI$9,"B-",IF(T49&lt;'PlayerGrades+'!$AI$8,"B",IF(T49&lt;'PlayerGrades+'!$AI$7,"B+",IF(T49&lt;'PlayerGrades+'!$AI$6,"A-",IF(T49&lt;'PlayerGrades+'!$AI$5,"A",IF(T49&lt;'PlayerGrades+'!$AI$4,"A+",IF(T49&lt;'PlayerGrades+'!$AI$3,"S-",IF(T49&lt;'PlayerGrades+'!$AI$2,"S","S+"))))))))))))))))))))</f>
        <v>C-</v>
      </c>
      <c r="V49" s="1232">
        <v>0.0</v>
      </c>
      <c r="W49" s="1232">
        <v>1.0</v>
      </c>
      <c r="X49" s="1232">
        <v>2.0</v>
      </c>
      <c r="Y49" s="1232">
        <v>37.0</v>
      </c>
      <c r="Z49" s="1367">
        <v>70.0</v>
      </c>
      <c r="AA49" s="1367">
        <v>69.0</v>
      </c>
      <c r="AB49" s="1232">
        <f t="shared" si="10"/>
        <v>1</v>
      </c>
      <c r="AC49" s="1020">
        <f t="shared" si="11"/>
        <v>1.014492754</v>
      </c>
      <c r="AD49" s="1227">
        <v>0.0</v>
      </c>
      <c r="AE49" s="1368">
        <v>1523.0</v>
      </c>
      <c r="AF49" s="1227">
        <v>3.0</v>
      </c>
      <c r="AG49" s="1227">
        <v>0.0</v>
      </c>
      <c r="AH49" s="1227">
        <v>0.0</v>
      </c>
      <c r="AI49" s="1227">
        <v>0.0</v>
      </c>
      <c r="AJ49" s="1227">
        <v>1.0</v>
      </c>
      <c r="AK49" s="1227">
        <v>14.0</v>
      </c>
      <c r="AL49" s="1227">
        <v>1.0</v>
      </c>
      <c r="AM49" s="1227">
        <v>0.0</v>
      </c>
      <c r="AN49" s="1227">
        <v>0.0</v>
      </c>
      <c r="AO49" s="1227">
        <v>0.0</v>
      </c>
      <c r="AP49" s="1227">
        <v>0.0</v>
      </c>
      <c r="AQ49" s="1227">
        <v>0.0</v>
      </c>
      <c r="AR49" s="1227">
        <v>0.0</v>
      </c>
      <c r="AS49" s="1227">
        <v>0.0</v>
      </c>
      <c r="AT49" s="1227">
        <v>0.0</v>
      </c>
      <c r="AU49" s="1227">
        <v>19.0</v>
      </c>
      <c r="AV49" s="1227">
        <v>0.0</v>
      </c>
      <c r="AW49" s="1227">
        <v>0.0</v>
      </c>
      <c r="AX49" s="1227">
        <v>0.0</v>
      </c>
      <c r="AY49" s="1227">
        <v>3.0</v>
      </c>
      <c r="AZ49" s="1369">
        <v>0.0</v>
      </c>
    </row>
    <row r="50">
      <c r="A50" s="887" t="s">
        <v>250</v>
      </c>
      <c r="B50" s="1169" t="str">
        <f>IF(C50&lt;'PlayerGrades+'!$Y$44,"F-",IF(C50&lt;'PlayerGrades+'!$Y$43,"F",IF(C50&lt;'PlayerGrades+'!$Y$42,"F+",IF(C50&lt;'PlayerGrades+'!$Y$41,"E-",IF(C50&lt;'PlayerGrades+'!$Y$40,"E",IF(C50&lt;'PlayerGrades+'!$Y$39,"E+",IF(C50&lt;'PlayerGrades+'!$Y$38,"D-",IF(C50&lt;'PlayerGrades+'!$Y$37,"D",IF(C50&lt;'PlayerGrades+'!$Y$36,"D+",IF(C50&lt;'PlayerGrades+'!$Y$35,"C-",IF(C50&lt;'PlayerGrades+'!$Y$34,"C",IF(C50&lt;'PlayerGrades+'!$Y$33,"C+",IF(C50&lt;'PlayerGrades+'!$Y$32,"B-",IF(C50&lt;'PlayerGrades+'!$Y$31,"B",IF(C50&lt;'PlayerGrades+'!$Y$30,"B+",IF(C50&lt;'PlayerGrades+'!$Y$29,"A-",IF(C50&lt;'PlayerGrades+'!$Y$28,"A",IF(C50&lt;'PlayerGrades+'!$Y$27,"A+",IF(C50&lt;'PlayerGrades+'!$Y$26,"S-",IF(C50&lt;'PlayerGrades+'!$Y$25,"S","S+"))))))))))))))))))))</f>
        <v>A+</v>
      </c>
      <c r="C50" s="1170">
        <f>('PlayerGrades+'!$Y$47*(VLOOKUP(E50, 'PlayerGrades+'!$X$3:$Y$23, 2, FALSE)))+('PlayerGrades+'!$Y$48*(VLOOKUP(G50, 'PlayerGrades+'!$X$3:$Y$23, 2, FALSE)))+('PlayerGrades+'!$Y$49*(VLOOKUP(I50, 'PlayerGrades+'!$X$3:$Y$23, 2, FALSE)))+('PlayerGrades+'!$Y$50*(VLOOKUP(K50, 'PlayerGrades+'!$X$3:$Y$23, 2, FALSE)))+('PlayerGrades+'!$Y$51*(VLOOKUP(M50, 'PlayerGrades+'!$X$3:$Y$23, 2, FALSE)))+('PlayerGrades+'!$Y$52*(VLOOKUP(O50, 'PlayerGrades+'!$X$3:$Y$23, 2, FALSE)))+('PlayerGrades+'!$Y$53*(VLOOKUP(Q50, 'PlayerGrades+'!$X$3:$Y$23, 2, FALSE)))+('PlayerGrades+'!$Y$54*(VLOOKUP(S50, 'PlayerGrades+'!$X$3:$Y$23, 2, FALSE)))+('PlayerGrades+'!$Y$55*(VLOOKUP(U50, 'PlayerGrades+'!$X$3:$Y$23, 2, FALSE)))</f>
        <v>24.525</v>
      </c>
      <c r="D50" s="890">
        <f t="shared" si="1"/>
        <v>0.03939592909</v>
      </c>
      <c r="E50" s="890" t="str">
        <f>IF(D50&lt;'PlayerGrades+'!$AA$21,"F-",IF(D50&lt;'PlayerGrades+'!$AA$20,"F",IF(D50&lt;'PlayerGrades+'!$AA$19,"F+",IF(D50&lt;'PlayerGrades+'!$AA$18,"E-",IF(D50&lt;'PlayerGrades+'!$AA$17,"E",IF(D50&lt;'PlayerGrades+'!$AA$16,"E+",IF(D50&lt;'PlayerGrades+'!$AA$15,"D-",IF(D50&lt;'PlayerGrades+'!$AA$14,"D",IF(D50&lt;'PlayerGrades+'!$AA$13,"D+",IF(D50&lt;'PlayerGrades+'!$AA$12,"C-",IF(D50&lt;'PlayerGrades+'!$AA$11,"C",IF(D50&lt;'PlayerGrades+'!$AA$10,"C+",IF(D50&lt;'PlayerGrades+'!$AA$9,"B-",IF(D50&lt;'PlayerGrades+'!$AA$8,"B",IF(D50&lt;'PlayerGrades+'!$AA$7,"B+",IF(D50&lt;'PlayerGrades+'!$AA$6,"A-",IF(D50&lt;'PlayerGrades+'!$AA$5,"A",IF(D50&lt;'PlayerGrades+'!$AA$4,"A+",IF(D50&lt;'PlayerGrades+'!$AA$3,"S-",IF(D50&lt;'PlayerGrades+'!$AA$2,"S","S+"))))))))))))))))))))</f>
        <v>C-</v>
      </c>
      <c r="F50" s="890">
        <f t="shared" si="2"/>
        <v>0.04924491136</v>
      </c>
      <c r="G50" s="890" t="str">
        <f>IF(F50&lt;'PlayerGrades+'!$AB$21,"F-",IF(F50&lt;'PlayerGrades+'!$AB$20,"F",IF(F50&lt;'PlayerGrades+'!$AB$19,"F+",IF(F50&lt;'PlayerGrades+'!$AB$18,"E-",IF(F50&lt;'PlayerGrades+'!$AB$17,"E",IF(F50&lt;'PlayerGrades+'!$AB$16,"E+",IF(F50&lt;'PlayerGrades+'!$AB$15,"D-",IF(F50&lt;'PlayerGrades+'!$AB$14,"D",IF(F50&lt;'PlayerGrades+'!$AB$13,"D+",IF(F50&lt;'PlayerGrades+'!$AB$12,"C-",IF(F50&lt;'PlayerGrades+'!$AB$11,"C",IF(F50&lt;'PlayerGrades+'!$AB$10,"C+",IF(F50&lt;'PlayerGrades+'!$AB$9,"B-",IF(F50&lt;'PlayerGrades+'!$AB$8,"B",IF(F50&lt;'PlayerGrades+'!$AB$7,"B+",IF(F50&lt;'PlayerGrades+'!$AB$6,"A-",IF(F50&lt;'PlayerGrades+'!$AB$5,"A",IF(F50&lt;'PlayerGrades+'!$AB$4,"A+",IF(F50&lt;'PlayerGrades+'!$AB$3,"S-",IF(F50&lt;'PlayerGrades+'!$AB$2,"S","S+"))))))))))))))))))))</f>
        <v>A</v>
      </c>
      <c r="H50" s="890">
        <f t="shared" si="3"/>
        <v>0.8273145108</v>
      </c>
      <c r="I50" s="890" t="str">
        <f>IF(H50&lt;'PlayerGrades+'!$AC$21,"F-",IF(H50&lt;'PlayerGrades+'!$AC$20,"F",IF(H50&lt;'PlayerGrades+'!$AC$19,"F+",IF(H50&lt;'PlayerGrades+'!$AC$18,"E-",IF(H50&lt;'PlayerGrades+'!$AC$17,"E",IF(H50&lt;'PlayerGrades+'!$AC$16,"E+",IF(H50&lt;'PlayerGrades+'!$AC$15,"D-",IF(H50&lt;'PlayerGrades+'!$AC$14,"D",IF(H50&lt;'PlayerGrades+'!$AC$13,"D+",IF(H50&lt;'PlayerGrades+'!$AC$12,"C-",IF(H50&lt;'PlayerGrades+'!$AC$11,"C",IF(H50&lt;'PlayerGrades+'!$AC$10,"C+",IF(H50&lt;'PlayerGrades+'!$AC$9,"B-",IF(H50&lt;'PlayerGrades+'!$AC$8,"B",IF(H50&lt;'PlayerGrades+'!$AC$7,"B+",IF(H50&lt;'PlayerGrades+'!$AC$6,"A-",IF(H50&lt;'PlayerGrades+'!$AC$5,"A",IF(H50&lt;'PlayerGrades+'!$AC$4,"A+",IF(H50&lt;'PlayerGrades+'!$AC$3,"S-",IF(H50&lt;'PlayerGrades+'!$AC$2,"S","S+"))))))))))))))))))))</f>
        <v>S</v>
      </c>
      <c r="J50" s="890">
        <f t="shared" si="4"/>
        <v>0.1181877873</v>
      </c>
      <c r="K50" s="890" t="str">
        <f>IF(J50&lt;'PlayerGrades+'!$AD$21,"F-",IF(J50&lt;'PlayerGrades+'!$AD$20,"F",IF(J50&lt;'PlayerGrades+'!$AD$19,"F+",IF(J50&lt;'PlayerGrades+'!$AD$18,"E-",IF(J50&lt;'PlayerGrades+'!$AD$17,"E",IF(J50&lt;'PlayerGrades+'!$AD$16,"E+",IF(J50&lt;'PlayerGrades+'!$AD$15,"D-",IF(J50&lt;'PlayerGrades+'!$AD$14,"D",IF(J50&lt;'PlayerGrades+'!$AD$13,"D+",IF(J50&lt;'PlayerGrades+'!$AD$12,"C-",IF(J50&lt;'PlayerGrades+'!$AD$11,"C",IF(J50&lt;'PlayerGrades+'!$AD$10,"C+",IF(J50&lt;'PlayerGrades+'!$AD$9,"B-",IF(J50&lt;'PlayerGrades+'!$AD$8,"B",IF(J50&lt;'PlayerGrades+'!$AD$7,"B+",IF(J50&lt;'PlayerGrades+'!$AD$6,"A-",IF(J50&lt;'PlayerGrades+'!$AD$5,"A",IF(J50&lt;'PlayerGrades+'!$AD$4,"A+",IF(J50&lt;'PlayerGrades+'!$AD$3,"S-",IF(J50&lt;'PlayerGrades+'!$AD$2,"S","S+"))))))))))))))))))))</f>
        <v>S-</v>
      </c>
      <c r="L50" s="899">
        <f t="shared" si="5"/>
        <v>1.024294156</v>
      </c>
      <c r="M50" s="899" t="str">
        <f>IF(L50&lt;'PlayerGrades+'!$AE$21,"F-",IF(L50&lt;'PlayerGrades+'!$AE$20,"F",IF(L50&lt;'PlayerGrades+'!$AE$19,"F+",IF(L50&lt;'PlayerGrades+'!$AE$18,"E-",IF(L50&lt;'PlayerGrades+'!$AE$17,"E",IF(L50&lt;'PlayerGrades+'!$AE$16,"E+",IF(L50&lt;'PlayerGrades+'!$AE$15,"D-",IF(L50&lt;'PlayerGrades+'!$AE$14,"D",IF(L50&lt;'PlayerGrades+'!$AE$13,"D+",IF(L50&lt;'PlayerGrades+'!$AE$12,"C-",IF(L50&lt;'PlayerGrades+'!$AE$11,"C",IF(L50&lt;'PlayerGrades+'!$AE$10,"C+",IF(L50&lt;'PlayerGrades+'!$AE$9,"B-",IF(L50&lt;'PlayerGrades+'!$AE$8,"B",IF(L50&lt;'PlayerGrades+'!$AE$7,"B+",IF(L50&lt;'PlayerGrades+'!$AE$6,"A-",IF(L50&lt;'PlayerGrades+'!$AE$5,"A",IF(L50&lt;'PlayerGrades+'!$AE$4,"A+",IF(L50&lt;'PlayerGrades+'!$AE$3,"S-",IF(L50&lt;'PlayerGrades+'!$AE$2,"S","S+"))))))))))))))))))))</f>
        <v>S+</v>
      </c>
      <c r="N50" s="890">
        <f t="shared" si="6"/>
        <v>0.3939592909</v>
      </c>
      <c r="O50" s="890" t="str">
        <f>IF(N50&lt;'PlayerGrades+'!$AF$21,"F-",IF(N50&lt;'PlayerGrades+'!$AF$20,"F",IF(N50&lt;'PlayerGrades+'!$AF$19,"F+",IF(N50&lt;'PlayerGrades+'!$AF$18,"E-",IF(N50&lt;'PlayerGrades+'!$AF$17,"E",IF(N50&lt;'PlayerGrades+'!$AF$16,"E+",IF(N50&lt;'PlayerGrades+'!$AF$15,"D-",IF(N50&lt;'PlayerGrades+'!$AF$14,"D",IF(N50&lt;'PlayerGrades+'!$AF$13,"D+",IF(N50&lt;'PlayerGrades+'!$AF$12,"C-",IF(N50&lt;'PlayerGrades+'!$AF$11,"C",IF(N50&lt;'PlayerGrades+'!$AF$10,"C+",IF(N50&lt;'PlayerGrades+'!$AF$9,"B-",IF(N50&lt;'PlayerGrades+'!$AF$8,"B",IF(N50&lt;'PlayerGrades+'!$AF$7,"B+",IF(N50&lt;'PlayerGrades+'!$AF$6,"A-",IF(N50&lt;'PlayerGrades+'!$AF$5,"A",IF(N50&lt;'PlayerGrades+'!$AF$4,"A+",IF(N50&lt;'PlayerGrades+'!$AF$3,"S-",IF(N50&lt;'PlayerGrades+'!$AF$2,"S","S+"))))))))))))))))))))</f>
        <v>S+</v>
      </c>
      <c r="P50" s="890">
        <f t="shared" si="7"/>
        <v>1.615233093</v>
      </c>
      <c r="Q50" s="890" t="str">
        <f>IF(P50&lt;'PlayerGrades+'!$AG$21,"F-",IF(P50&lt;'PlayerGrades+'!$AG$20,"F",IF(P50&lt;'PlayerGrades+'!$AG$19,"F+",IF(P50&lt;'PlayerGrades+'!$AG$18,"E-",IF(P50&lt;'PlayerGrades+'!$AG$17,"E",IF(P50&lt;'PlayerGrades+'!$AG$16,"E+",IF(P50&lt;'PlayerGrades+'!$AG$15,"D-",IF(P50&lt;'PlayerGrades+'!$AG$14,"D",IF(P50&lt;'PlayerGrades+'!$AG$13,"D+",IF(P50&lt;'PlayerGrades+'!$AG$12,"C-",IF(P50&lt;'PlayerGrades+'!$AG$11,"C",IF(P50&lt;'PlayerGrades+'!$AG$10,"C+",IF(P50&lt;'PlayerGrades+'!$AG$9,"B-",IF(P50&lt;'PlayerGrades+'!$AG$8,"B",IF(P50&lt;'PlayerGrades+'!$AG$7,"B+",IF(P50&lt;'PlayerGrades+'!$AG$6,"A-",IF(P50&lt;'PlayerGrades+'!$AG$5,"A",IF(P50&lt;'PlayerGrades+'!$AG$4,"A+",IF(P50&lt;'PlayerGrades+'!$AG$3,"S-",IF(P50&lt;'PlayerGrades+'!$AG$2,"S","S+"))))))))))))))))))))</f>
        <v>S+</v>
      </c>
      <c r="R50" s="890">
        <f t="shared" si="8"/>
        <v>0</v>
      </c>
      <c r="S50" s="890" t="str">
        <f>IF(R50&lt;'PlayerGrades+'!$AH$21,"F-",IF(R50&lt;'PlayerGrades+'!$AH$20,"F",IF(R50&lt;'PlayerGrades+'!$AH$19,"F+",IF(R50&lt;'PlayerGrades+'!$AH$18,"E-",IF(R50&lt;'PlayerGrades+'!$AH$17,"E",IF(R50&lt;'PlayerGrades+'!$AH$16,"E+",IF(R50&lt;'PlayerGrades+'!$AH$15,"D-",IF(R50&lt;'PlayerGrades+'!$AH$14,"D",IF(R50&lt;'PlayerGrades+'!$AH$13,"D+",IF(R50&lt;'PlayerGrades+'!$AH$12,"C-",IF(R50&lt;'PlayerGrades+'!$AH$11,"C",IF(R50&lt;'PlayerGrades+'!$AH$10,"C+",IF(R50&lt;'PlayerGrades+'!$AH$9,"B-",IF(R50&lt;'PlayerGrades+'!$AH$8,"B",IF(R50&lt;'PlayerGrades+'!$AH$7,"B+",IF(R50&lt;'PlayerGrades+'!$AH$6,"A-",IF(R50&lt;'PlayerGrades+'!$AH$5,"A",IF(R50&lt;'PlayerGrades+'!$AH$4,"A+",IF(R50&lt;'PlayerGrades+'!$AH$3,"S-",IF(R50&lt;'PlayerGrades+'!$AH$2,"S","S+"))))))))))))))))))))</f>
        <v>F-</v>
      </c>
      <c r="T50" s="890">
        <f t="shared" si="9"/>
        <v>4.72751149</v>
      </c>
      <c r="U50" s="890" t="str">
        <f>IF(T50&lt;'PlayerGrades+'!$AI$21,"F-",IF(T50&lt;'PlayerGrades+'!$AI$20,"F",IF(T50&lt;'PlayerGrades+'!$AI$19,"F+",IF(T50&lt;'PlayerGrades+'!$AI$18,"E-",IF(T50&lt;'PlayerGrades+'!$AI$17,"E",IF(T50&lt;'PlayerGrades+'!$AI$16,"E+",IF(T50&lt;'PlayerGrades+'!$AI$15,"D-",IF(T50&lt;'PlayerGrades+'!$AI$14,"D",IF(T50&lt;'PlayerGrades+'!$AI$13,"D+",IF(T50&lt;'PlayerGrades+'!$AI$12,"C-",IF(T50&lt;'PlayerGrades+'!$AI$11,"C",IF(T50&lt;'PlayerGrades+'!$AI$10,"C+",IF(T50&lt;'PlayerGrades+'!$AI$9,"B-",IF(T50&lt;'PlayerGrades+'!$AI$8,"B",IF(T50&lt;'PlayerGrades+'!$AI$7,"B+",IF(T50&lt;'PlayerGrades+'!$AI$6,"A-",IF(T50&lt;'PlayerGrades+'!$AI$5,"A",IF(T50&lt;'PlayerGrades+'!$AI$4,"A+",IF(T50&lt;'PlayerGrades+'!$AI$3,"S-",IF(T50&lt;'PlayerGrades+'!$AI$2,"S","S+"))))))))))))))))))))</f>
        <v>S+</v>
      </c>
      <c r="V50" s="925">
        <v>1.0</v>
      </c>
      <c r="W50" s="925">
        <v>0.0</v>
      </c>
      <c r="X50" s="925">
        <v>1.0</v>
      </c>
      <c r="Y50" s="925">
        <v>0.0</v>
      </c>
      <c r="Z50" s="1272">
        <v>120.0</v>
      </c>
      <c r="AA50" s="1272">
        <v>96.0</v>
      </c>
      <c r="AB50" s="925">
        <f t="shared" si="10"/>
        <v>24</v>
      </c>
      <c r="AC50" s="930">
        <f t="shared" si="11"/>
        <v>1.25</v>
      </c>
      <c r="AD50" s="1169">
        <v>0.0</v>
      </c>
      <c r="AE50" s="1300">
        <v>1523.0</v>
      </c>
      <c r="AF50" s="1169">
        <v>3.0</v>
      </c>
      <c r="AG50" s="1169">
        <v>0.0</v>
      </c>
      <c r="AH50" s="1169">
        <v>0.0</v>
      </c>
      <c r="AI50" s="1169">
        <v>0.0</v>
      </c>
      <c r="AJ50" s="1169">
        <v>1.0</v>
      </c>
      <c r="AK50" s="1169">
        <v>26.0</v>
      </c>
      <c r="AL50" s="1169">
        <v>10.0</v>
      </c>
      <c r="AM50" s="1169">
        <v>3.0</v>
      </c>
      <c r="AN50" s="1169">
        <v>1.0</v>
      </c>
      <c r="AO50" s="1169">
        <v>0.0</v>
      </c>
      <c r="AP50" s="1169">
        <v>0.0</v>
      </c>
      <c r="AQ50" s="1169">
        <v>0.0</v>
      </c>
      <c r="AR50" s="1169">
        <v>0.0</v>
      </c>
      <c r="AS50" s="1169">
        <v>0.0</v>
      </c>
      <c r="AT50" s="1169">
        <v>0.0</v>
      </c>
      <c r="AU50" s="1169">
        <v>21.0</v>
      </c>
      <c r="AV50" s="1169">
        <v>0.0</v>
      </c>
      <c r="AW50" s="1169">
        <v>0.0</v>
      </c>
      <c r="AX50" s="1169">
        <v>0.0</v>
      </c>
      <c r="AY50" s="1169">
        <v>0.0</v>
      </c>
      <c r="AZ50" s="1302">
        <v>0.0</v>
      </c>
    </row>
    <row r="51">
      <c r="A51" s="938" t="s">
        <v>172</v>
      </c>
      <c r="B51" s="1100" t="str">
        <f>IF(C51&lt;'PlayerGrades+'!$Y$44,"F-",IF(C51&lt;'PlayerGrades+'!$Y$43,"F",IF(C51&lt;'PlayerGrades+'!$Y$42,"F+",IF(C51&lt;'PlayerGrades+'!$Y$41,"E-",IF(C51&lt;'PlayerGrades+'!$Y$40,"E",IF(C51&lt;'PlayerGrades+'!$Y$39,"E+",IF(C51&lt;'PlayerGrades+'!$Y$38,"D-",IF(C51&lt;'PlayerGrades+'!$Y$37,"D",IF(C51&lt;'PlayerGrades+'!$Y$36,"D+",IF(C51&lt;'PlayerGrades+'!$Y$35,"C-",IF(C51&lt;'PlayerGrades+'!$Y$34,"C",IF(C51&lt;'PlayerGrades+'!$Y$33,"C+",IF(C51&lt;'PlayerGrades+'!$Y$32,"B-",IF(C51&lt;'PlayerGrades+'!$Y$31,"B",IF(C51&lt;'PlayerGrades+'!$Y$30,"B+",IF(C51&lt;'PlayerGrades+'!$Y$29,"A-",IF(C51&lt;'PlayerGrades+'!$Y$28,"A",IF(C51&lt;'PlayerGrades+'!$Y$27,"A+",IF(C51&lt;'PlayerGrades+'!$Y$26,"S-",IF(C51&lt;'PlayerGrades+'!$Y$25,"S","S+"))))))))))))))))))))</f>
        <v>A+</v>
      </c>
      <c r="C51" s="1105">
        <f>('PlayerGrades+'!$Y$47*(VLOOKUP(E51, 'PlayerGrades+'!$X$3:$Y$23, 2, FALSE)))+('PlayerGrades+'!$Y$48*(VLOOKUP(G51, 'PlayerGrades+'!$X$3:$Y$23, 2, FALSE)))+('PlayerGrades+'!$Y$49*(VLOOKUP(I51, 'PlayerGrades+'!$X$3:$Y$23, 2, FALSE)))+('PlayerGrades+'!$Y$50*(VLOOKUP(K51, 'PlayerGrades+'!$X$3:$Y$23, 2, FALSE)))+('PlayerGrades+'!$Y$51*(VLOOKUP(M51, 'PlayerGrades+'!$X$3:$Y$23, 2, FALSE)))+('PlayerGrades+'!$Y$52*(VLOOKUP(O51, 'PlayerGrades+'!$X$3:$Y$23, 2, FALSE)))+('PlayerGrades+'!$Y$53*(VLOOKUP(Q51, 'PlayerGrades+'!$X$3:$Y$23, 2, FALSE)))+('PlayerGrades+'!$Y$54*(VLOOKUP(S51, 'PlayerGrades+'!$X$3:$Y$23, 2, FALSE)))+('PlayerGrades+'!$Y$55*(VLOOKUP(U51, 'PlayerGrades+'!$X$3:$Y$23, 2, FALSE)))</f>
        <v>24.5</v>
      </c>
      <c r="D51" s="961">
        <f t="shared" si="1"/>
        <v>0.03939592909</v>
      </c>
      <c r="E51" s="961" t="str">
        <f>IF(D51&lt;'PlayerGrades+'!$AA$21,"F-",IF(D51&lt;'PlayerGrades+'!$AA$20,"F",IF(D51&lt;'PlayerGrades+'!$AA$19,"F+",IF(D51&lt;'PlayerGrades+'!$AA$18,"E-",IF(D51&lt;'PlayerGrades+'!$AA$17,"E",IF(D51&lt;'PlayerGrades+'!$AA$16,"E+",IF(D51&lt;'PlayerGrades+'!$AA$15,"D-",IF(D51&lt;'PlayerGrades+'!$AA$14,"D",IF(D51&lt;'PlayerGrades+'!$AA$13,"D+",IF(D51&lt;'PlayerGrades+'!$AA$12,"C-",IF(D51&lt;'PlayerGrades+'!$AA$11,"C",IF(D51&lt;'PlayerGrades+'!$AA$10,"C+",IF(D51&lt;'PlayerGrades+'!$AA$9,"B-",IF(D51&lt;'PlayerGrades+'!$AA$8,"B",IF(D51&lt;'PlayerGrades+'!$AA$7,"B+",IF(D51&lt;'PlayerGrades+'!$AA$6,"A-",IF(D51&lt;'PlayerGrades+'!$AA$5,"A",IF(D51&lt;'PlayerGrades+'!$AA$4,"A+",IF(D51&lt;'PlayerGrades+'!$AA$3,"S-",IF(D51&lt;'PlayerGrades+'!$AA$2,"S","S+"))))))))))))))))))))</f>
        <v>C-</v>
      </c>
      <c r="F51" s="961">
        <f t="shared" si="2"/>
        <v>0.06182130411</v>
      </c>
      <c r="G51" s="961" t="str">
        <f>IF(F51&lt;'PlayerGrades+'!$AB$21,"F-",IF(F51&lt;'PlayerGrades+'!$AB$20,"F",IF(F51&lt;'PlayerGrades+'!$AB$19,"F+",IF(F51&lt;'PlayerGrades+'!$AB$18,"E-",IF(F51&lt;'PlayerGrades+'!$AB$17,"E",IF(F51&lt;'PlayerGrades+'!$AB$16,"E+",IF(F51&lt;'PlayerGrades+'!$AB$15,"D-",IF(F51&lt;'PlayerGrades+'!$AB$14,"D",IF(F51&lt;'PlayerGrades+'!$AB$13,"D+",IF(F51&lt;'PlayerGrades+'!$AB$12,"C-",IF(F51&lt;'PlayerGrades+'!$AB$11,"C",IF(F51&lt;'PlayerGrades+'!$AB$10,"C+",IF(F51&lt;'PlayerGrades+'!$AB$9,"B-",IF(F51&lt;'PlayerGrades+'!$AB$8,"B",IF(F51&lt;'PlayerGrades+'!$AB$7,"B+",IF(F51&lt;'PlayerGrades+'!$AB$6,"A-",IF(F51&lt;'PlayerGrades+'!$AB$5,"A",IF(F51&lt;'PlayerGrades+'!$AB$4,"A+",IF(F51&lt;'PlayerGrades+'!$AB$3,"S-",IF(F51&lt;'PlayerGrades+'!$AB$2,"S","S+"))))))))))))))))))))</f>
        <v>A</v>
      </c>
      <c r="H51" s="961">
        <f t="shared" si="3"/>
        <v>1.181877873</v>
      </c>
      <c r="I51" s="961" t="str">
        <f>IF(H51&lt;'PlayerGrades+'!$AC$21,"F-",IF(H51&lt;'PlayerGrades+'!$AC$20,"F",IF(H51&lt;'PlayerGrades+'!$AC$19,"F+",IF(H51&lt;'PlayerGrades+'!$AC$18,"E-",IF(H51&lt;'PlayerGrades+'!$AC$17,"E",IF(H51&lt;'PlayerGrades+'!$AC$16,"E+",IF(H51&lt;'PlayerGrades+'!$AC$15,"D-",IF(H51&lt;'PlayerGrades+'!$AC$14,"D",IF(H51&lt;'PlayerGrades+'!$AC$13,"D+",IF(H51&lt;'PlayerGrades+'!$AC$12,"C-",IF(H51&lt;'PlayerGrades+'!$AC$11,"C",IF(H51&lt;'PlayerGrades+'!$AC$10,"C+",IF(H51&lt;'PlayerGrades+'!$AC$9,"B-",IF(H51&lt;'PlayerGrades+'!$AC$8,"B",IF(H51&lt;'PlayerGrades+'!$AC$7,"B+",IF(H51&lt;'PlayerGrades+'!$AC$6,"A-",IF(H51&lt;'PlayerGrades+'!$AC$5,"A",IF(H51&lt;'PlayerGrades+'!$AC$4,"A+",IF(H51&lt;'PlayerGrades+'!$AC$3,"S-",IF(H51&lt;'PlayerGrades+'!$AC$2,"S","S+"))))))))))))))))))))</f>
        <v>S+</v>
      </c>
      <c r="J51" s="961">
        <f t="shared" si="4"/>
        <v>0.1969796454</v>
      </c>
      <c r="K51" s="961" t="str">
        <f>IF(J51&lt;'PlayerGrades+'!$AD$21,"F-",IF(J51&lt;'PlayerGrades+'!$AD$20,"F",IF(J51&lt;'PlayerGrades+'!$AD$19,"F+",IF(J51&lt;'PlayerGrades+'!$AD$18,"E-",IF(J51&lt;'PlayerGrades+'!$AD$17,"E",IF(J51&lt;'PlayerGrades+'!$AD$16,"E+",IF(J51&lt;'PlayerGrades+'!$AD$15,"D-",IF(J51&lt;'PlayerGrades+'!$AD$14,"D",IF(J51&lt;'PlayerGrades+'!$AD$13,"D+",IF(J51&lt;'PlayerGrades+'!$AD$12,"C-",IF(J51&lt;'PlayerGrades+'!$AD$11,"C",IF(J51&lt;'PlayerGrades+'!$AD$10,"C+",IF(J51&lt;'PlayerGrades+'!$AD$9,"B-",IF(J51&lt;'PlayerGrades+'!$AD$8,"B",IF(J51&lt;'PlayerGrades+'!$AD$7,"B+",IF(J51&lt;'PlayerGrades+'!$AD$6,"A-",IF(J51&lt;'PlayerGrades+'!$AD$5,"A",IF(J51&lt;'PlayerGrades+'!$AD$4,"A+",IF(J51&lt;'PlayerGrades+'!$AD$3,"S-",IF(J51&lt;'PlayerGrades+'!$AD$2,"S","S+"))))))))))))))))))))</f>
        <v>S+</v>
      </c>
      <c r="L51" s="992">
        <f t="shared" si="5"/>
        <v>0.906106369</v>
      </c>
      <c r="M51" s="992" t="str">
        <f>IF(L51&lt;'PlayerGrades+'!$AE$21,"F-",IF(L51&lt;'PlayerGrades+'!$AE$20,"F",IF(L51&lt;'PlayerGrades+'!$AE$19,"F+",IF(L51&lt;'PlayerGrades+'!$AE$18,"E-",IF(L51&lt;'PlayerGrades+'!$AE$17,"E",IF(L51&lt;'PlayerGrades+'!$AE$16,"E+",IF(L51&lt;'PlayerGrades+'!$AE$15,"D-",IF(L51&lt;'PlayerGrades+'!$AE$14,"D",IF(L51&lt;'PlayerGrades+'!$AE$13,"D+",IF(L51&lt;'PlayerGrades+'!$AE$12,"C-",IF(L51&lt;'PlayerGrades+'!$AE$11,"C",IF(L51&lt;'PlayerGrades+'!$AE$10,"C+",IF(L51&lt;'PlayerGrades+'!$AE$9,"B-",IF(L51&lt;'PlayerGrades+'!$AE$8,"B",IF(L51&lt;'PlayerGrades+'!$AE$7,"B+",IF(L51&lt;'PlayerGrades+'!$AE$6,"A-",IF(L51&lt;'PlayerGrades+'!$AE$5,"A",IF(L51&lt;'PlayerGrades+'!$AE$4,"A+",IF(L51&lt;'PlayerGrades+'!$AE$3,"S-",IF(L51&lt;'PlayerGrades+'!$AE$2,"S","S+"))))))))))))))))))))</f>
        <v>S</v>
      </c>
      <c r="N51" s="961">
        <f t="shared" si="6"/>
        <v>0.3151674327</v>
      </c>
      <c r="O51" s="961" t="str">
        <f>IF(N51&lt;'PlayerGrades+'!$AF$21,"F-",IF(N51&lt;'PlayerGrades+'!$AF$20,"F",IF(N51&lt;'PlayerGrades+'!$AF$19,"F+",IF(N51&lt;'PlayerGrades+'!$AF$18,"E-",IF(N51&lt;'PlayerGrades+'!$AF$17,"E",IF(N51&lt;'PlayerGrades+'!$AF$16,"E+",IF(N51&lt;'PlayerGrades+'!$AF$15,"D-",IF(N51&lt;'PlayerGrades+'!$AF$14,"D",IF(N51&lt;'PlayerGrades+'!$AF$13,"D+",IF(N51&lt;'PlayerGrades+'!$AF$12,"C-",IF(N51&lt;'PlayerGrades+'!$AF$11,"C",IF(N51&lt;'PlayerGrades+'!$AF$10,"C+",IF(N51&lt;'PlayerGrades+'!$AF$9,"B-",IF(N51&lt;'PlayerGrades+'!$AF$8,"B",IF(N51&lt;'PlayerGrades+'!$AF$7,"B+",IF(N51&lt;'PlayerGrades+'!$AF$6,"A-",IF(N51&lt;'PlayerGrades+'!$AF$5,"A",IF(N51&lt;'PlayerGrades+'!$AF$4,"A+",IF(N51&lt;'PlayerGrades+'!$AF$3,"S-",IF(N51&lt;'PlayerGrades+'!$AF$2,"S","S+"))))))))))))))))))))</f>
        <v>S</v>
      </c>
      <c r="P51" s="961">
        <f t="shared" si="7"/>
        <v>1.339461589</v>
      </c>
      <c r="Q51" s="961" t="str">
        <f>IF(P51&lt;'PlayerGrades+'!$AG$21,"F-",IF(P51&lt;'PlayerGrades+'!$AG$20,"F",IF(P51&lt;'PlayerGrades+'!$AG$19,"F+",IF(P51&lt;'PlayerGrades+'!$AG$18,"E-",IF(P51&lt;'PlayerGrades+'!$AG$17,"E",IF(P51&lt;'PlayerGrades+'!$AG$16,"E+",IF(P51&lt;'PlayerGrades+'!$AG$15,"D-",IF(P51&lt;'PlayerGrades+'!$AG$14,"D",IF(P51&lt;'PlayerGrades+'!$AG$13,"D+",IF(P51&lt;'PlayerGrades+'!$AG$12,"C-",IF(P51&lt;'PlayerGrades+'!$AG$11,"C",IF(P51&lt;'PlayerGrades+'!$AG$10,"C+",IF(P51&lt;'PlayerGrades+'!$AG$9,"B-",IF(P51&lt;'PlayerGrades+'!$AG$8,"B",IF(P51&lt;'PlayerGrades+'!$AG$7,"B+",IF(P51&lt;'PlayerGrades+'!$AG$6,"A-",IF(P51&lt;'PlayerGrades+'!$AG$5,"A",IF(P51&lt;'PlayerGrades+'!$AG$4,"A+",IF(P51&lt;'PlayerGrades+'!$AG$3,"S-",IF(P51&lt;'PlayerGrades+'!$AG$2,"S","S+"))))))))))))))))))))</f>
        <v>S</v>
      </c>
      <c r="R51" s="961">
        <f t="shared" si="8"/>
        <v>0</v>
      </c>
      <c r="S51" s="961" t="str">
        <f>IF(R51&lt;'PlayerGrades+'!$AH$21,"F-",IF(R51&lt;'PlayerGrades+'!$AH$20,"F",IF(R51&lt;'PlayerGrades+'!$AH$19,"F+",IF(R51&lt;'PlayerGrades+'!$AH$18,"E-",IF(R51&lt;'PlayerGrades+'!$AH$17,"E",IF(R51&lt;'PlayerGrades+'!$AH$16,"E+",IF(R51&lt;'PlayerGrades+'!$AH$15,"D-",IF(R51&lt;'PlayerGrades+'!$AH$14,"D",IF(R51&lt;'PlayerGrades+'!$AH$13,"D+",IF(R51&lt;'PlayerGrades+'!$AH$12,"C-",IF(R51&lt;'PlayerGrades+'!$AH$11,"C",IF(R51&lt;'PlayerGrades+'!$AH$10,"C+",IF(R51&lt;'PlayerGrades+'!$AH$9,"B-",IF(R51&lt;'PlayerGrades+'!$AH$8,"B",IF(R51&lt;'PlayerGrades+'!$AH$7,"B+",IF(R51&lt;'PlayerGrades+'!$AH$6,"A-",IF(R51&lt;'PlayerGrades+'!$AH$5,"A",IF(R51&lt;'PlayerGrades+'!$AH$4,"A+",IF(R51&lt;'PlayerGrades+'!$AH$3,"S-",IF(R51&lt;'PlayerGrades+'!$AH$2,"S","S+"))))))))))))))))))))</f>
        <v>F-</v>
      </c>
      <c r="T51" s="961">
        <f t="shared" si="9"/>
        <v>4.018384767</v>
      </c>
      <c r="U51" s="961" t="str">
        <f>IF(T51&lt;'PlayerGrades+'!$AI$21,"F-",IF(T51&lt;'PlayerGrades+'!$AI$20,"F",IF(T51&lt;'PlayerGrades+'!$AI$19,"F+",IF(T51&lt;'PlayerGrades+'!$AI$18,"E-",IF(T51&lt;'PlayerGrades+'!$AI$17,"E",IF(T51&lt;'PlayerGrades+'!$AI$16,"E+",IF(T51&lt;'PlayerGrades+'!$AI$15,"D-",IF(T51&lt;'PlayerGrades+'!$AI$14,"D",IF(T51&lt;'PlayerGrades+'!$AI$13,"D+",IF(T51&lt;'PlayerGrades+'!$AI$12,"C-",IF(T51&lt;'PlayerGrades+'!$AI$11,"C",IF(T51&lt;'PlayerGrades+'!$AI$10,"C+",IF(T51&lt;'PlayerGrades+'!$AI$9,"B-",IF(T51&lt;'PlayerGrades+'!$AI$8,"B",IF(T51&lt;'PlayerGrades+'!$AI$7,"B+",IF(T51&lt;'PlayerGrades+'!$AI$6,"A-",IF(T51&lt;'PlayerGrades+'!$AI$5,"A",IF(T51&lt;'PlayerGrades+'!$AI$4,"A+",IF(T51&lt;'PlayerGrades+'!$AI$3,"S-",IF(T51&lt;'PlayerGrades+'!$AI$2,"S","S+"))))))))))))))))))))</f>
        <v>S</v>
      </c>
      <c r="V51" s="1100">
        <v>1.0</v>
      </c>
      <c r="W51" s="1100">
        <v>0.0</v>
      </c>
      <c r="X51" s="1100">
        <v>1.0</v>
      </c>
      <c r="Y51" s="1100">
        <v>4.0</v>
      </c>
      <c r="Z51" s="1100">
        <v>102.0</v>
      </c>
      <c r="AA51" s="1100">
        <v>65.0</v>
      </c>
      <c r="AB51" s="1017">
        <f t="shared" si="10"/>
        <v>37</v>
      </c>
      <c r="AC51" s="1020">
        <f t="shared" si="11"/>
        <v>1.569230769</v>
      </c>
      <c r="AD51" s="1100">
        <v>0.0</v>
      </c>
      <c r="AE51" s="1329">
        <v>1523.0</v>
      </c>
      <c r="AF51" s="1100">
        <v>5.0</v>
      </c>
      <c r="AG51" s="1100">
        <v>2.0</v>
      </c>
      <c r="AH51" s="1100">
        <v>0.0</v>
      </c>
      <c r="AI51" s="1100">
        <v>0.0</v>
      </c>
      <c r="AJ51" s="1100">
        <v>1.0</v>
      </c>
      <c r="AK51" s="1100">
        <v>23.0</v>
      </c>
      <c r="AL51" s="1100">
        <v>8.0</v>
      </c>
      <c r="AM51" s="1100">
        <v>1.0</v>
      </c>
      <c r="AN51" s="1100">
        <v>1.0</v>
      </c>
      <c r="AO51" s="1100">
        <v>0.0</v>
      </c>
      <c r="AP51" s="1100">
        <v>0.0</v>
      </c>
      <c r="AQ51" s="1100">
        <v>0.0</v>
      </c>
      <c r="AR51" s="1100">
        <v>0.0</v>
      </c>
      <c r="AS51" s="1100">
        <v>0.0</v>
      </c>
      <c r="AT51" s="1100">
        <v>0.0</v>
      </c>
      <c r="AU51" s="1100">
        <v>30.0</v>
      </c>
      <c r="AV51" s="1100">
        <v>0.0</v>
      </c>
      <c r="AW51" s="1100">
        <v>0.0</v>
      </c>
      <c r="AX51" s="1100">
        <v>0.0</v>
      </c>
      <c r="AY51" s="1100">
        <v>0.0</v>
      </c>
      <c r="AZ51" s="1239">
        <v>0.0</v>
      </c>
    </row>
    <row r="52">
      <c r="A52" s="938" t="s">
        <v>174</v>
      </c>
      <c r="B52" s="1100" t="str">
        <f>IF(C52&lt;'PlayerGrades+'!$Y$44,"F-",IF(C52&lt;'PlayerGrades+'!$Y$43,"F",IF(C52&lt;'PlayerGrades+'!$Y$42,"F+",IF(C52&lt;'PlayerGrades+'!$Y$41,"E-",IF(C52&lt;'PlayerGrades+'!$Y$40,"E",IF(C52&lt;'PlayerGrades+'!$Y$39,"E+",IF(C52&lt;'PlayerGrades+'!$Y$38,"D-",IF(C52&lt;'PlayerGrades+'!$Y$37,"D",IF(C52&lt;'PlayerGrades+'!$Y$36,"D+",IF(C52&lt;'PlayerGrades+'!$Y$35,"C-",IF(C52&lt;'PlayerGrades+'!$Y$34,"C",IF(C52&lt;'PlayerGrades+'!$Y$33,"C+",IF(C52&lt;'PlayerGrades+'!$Y$32,"B-",IF(C52&lt;'PlayerGrades+'!$Y$31,"B",IF(C52&lt;'PlayerGrades+'!$Y$30,"B+",IF(C52&lt;'PlayerGrades+'!$Y$29,"A-",IF(C52&lt;'PlayerGrades+'!$Y$28,"A",IF(C52&lt;'PlayerGrades+'!$Y$27,"A+",IF(C52&lt;'PlayerGrades+'!$Y$26,"S-",IF(C52&lt;'PlayerGrades+'!$Y$25,"S","S+"))))))))))))))))))))</f>
        <v>B-</v>
      </c>
      <c r="C52" s="1105">
        <f>('PlayerGrades+'!$Y$47*(VLOOKUP(E52, 'PlayerGrades+'!$X$3:$Y$23, 2, FALSE)))+('PlayerGrades+'!$Y$48*(VLOOKUP(G52, 'PlayerGrades+'!$X$3:$Y$23, 2, FALSE)))+('PlayerGrades+'!$Y$49*(VLOOKUP(I52, 'PlayerGrades+'!$X$3:$Y$23, 2, FALSE)))+('PlayerGrades+'!$Y$50*(VLOOKUP(K52, 'PlayerGrades+'!$X$3:$Y$23, 2, FALSE)))+('PlayerGrades+'!$Y$51*(VLOOKUP(M52, 'PlayerGrades+'!$X$3:$Y$23, 2, FALSE)))+('PlayerGrades+'!$Y$52*(VLOOKUP(O52, 'PlayerGrades+'!$X$3:$Y$23, 2, FALSE)))+('PlayerGrades+'!$Y$53*(VLOOKUP(Q52, 'PlayerGrades+'!$X$3:$Y$23, 2, FALSE)))+('PlayerGrades+'!$Y$54*(VLOOKUP(S52, 'PlayerGrades+'!$X$3:$Y$23, 2, FALSE)))+('PlayerGrades+'!$Y$55*(VLOOKUP(U52, 'PlayerGrades+'!$X$3:$Y$23, 2, FALSE)))</f>
        <v>17.1125</v>
      </c>
      <c r="D52" s="961">
        <f t="shared" si="1"/>
        <v>0.07879185817</v>
      </c>
      <c r="E52" s="961" t="str">
        <f>IF(D52&lt;'PlayerGrades+'!$AA$21,"F-",IF(D52&lt;'PlayerGrades+'!$AA$20,"F",IF(D52&lt;'PlayerGrades+'!$AA$19,"F+",IF(D52&lt;'PlayerGrades+'!$AA$18,"E-",IF(D52&lt;'PlayerGrades+'!$AA$17,"E",IF(D52&lt;'PlayerGrades+'!$AA$16,"E+",IF(D52&lt;'PlayerGrades+'!$AA$15,"D-",IF(D52&lt;'PlayerGrades+'!$AA$14,"D",IF(D52&lt;'PlayerGrades+'!$AA$13,"D+",IF(D52&lt;'PlayerGrades+'!$AA$12,"C-",IF(D52&lt;'PlayerGrades+'!$AA$11,"C",IF(D52&lt;'PlayerGrades+'!$AA$10,"C+",IF(D52&lt;'PlayerGrades+'!$AA$9,"B-",IF(D52&lt;'PlayerGrades+'!$AA$8,"B",IF(D52&lt;'PlayerGrades+'!$AA$7,"B+",IF(D52&lt;'PlayerGrades+'!$AA$6,"A-",IF(D52&lt;'PlayerGrades+'!$AA$5,"A",IF(D52&lt;'PlayerGrades+'!$AA$4,"A+",IF(D52&lt;'PlayerGrades+'!$AA$3,"S-",IF(D52&lt;'PlayerGrades+'!$AA$2,"S","S+"))))))))))))))))))))</f>
        <v>A</v>
      </c>
      <c r="F52" s="961">
        <f t="shared" si="2"/>
        <v>0.0347306217</v>
      </c>
      <c r="G52" s="961" t="str">
        <f>IF(F52&lt;'PlayerGrades+'!$AB$21,"F-",IF(F52&lt;'PlayerGrades+'!$AB$20,"F",IF(F52&lt;'PlayerGrades+'!$AB$19,"F+",IF(F52&lt;'PlayerGrades+'!$AB$18,"E-",IF(F52&lt;'PlayerGrades+'!$AB$17,"E",IF(F52&lt;'PlayerGrades+'!$AB$16,"E+",IF(F52&lt;'PlayerGrades+'!$AB$15,"D-",IF(F52&lt;'PlayerGrades+'!$AB$14,"D",IF(F52&lt;'PlayerGrades+'!$AB$13,"D+",IF(F52&lt;'PlayerGrades+'!$AB$12,"C-",IF(F52&lt;'PlayerGrades+'!$AB$11,"C",IF(F52&lt;'PlayerGrades+'!$AB$10,"C+",IF(F52&lt;'PlayerGrades+'!$AB$9,"B-",IF(F52&lt;'PlayerGrades+'!$AB$8,"B",IF(F52&lt;'PlayerGrades+'!$AB$7,"B+",IF(F52&lt;'PlayerGrades+'!$AB$6,"A-",IF(F52&lt;'PlayerGrades+'!$AB$5,"A",IF(F52&lt;'PlayerGrades+'!$AB$4,"A+",IF(F52&lt;'PlayerGrades+'!$AB$3,"S-",IF(F52&lt;'PlayerGrades+'!$AB$2,"S","S+"))))))))))))))))))))</f>
        <v>A</v>
      </c>
      <c r="H52" s="961">
        <f t="shared" si="3"/>
        <v>0.2757715036</v>
      </c>
      <c r="I52" s="961" t="str">
        <f>IF(H52&lt;'PlayerGrades+'!$AC$21,"F-",IF(H52&lt;'PlayerGrades+'!$AC$20,"F",IF(H52&lt;'PlayerGrades+'!$AC$19,"F+",IF(H52&lt;'PlayerGrades+'!$AC$18,"E-",IF(H52&lt;'PlayerGrades+'!$AC$17,"E",IF(H52&lt;'PlayerGrades+'!$AC$16,"E+",IF(H52&lt;'PlayerGrades+'!$AC$15,"D-",IF(H52&lt;'PlayerGrades+'!$AC$14,"D",IF(H52&lt;'PlayerGrades+'!$AC$13,"D+",IF(H52&lt;'PlayerGrades+'!$AC$12,"C-",IF(H52&lt;'PlayerGrades+'!$AC$11,"C",IF(H52&lt;'PlayerGrades+'!$AC$10,"C+",IF(H52&lt;'PlayerGrades+'!$AC$9,"B-",IF(H52&lt;'PlayerGrades+'!$AC$8,"B",IF(H52&lt;'PlayerGrades+'!$AC$7,"B+",IF(H52&lt;'PlayerGrades+'!$AC$6,"A-",IF(H52&lt;'PlayerGrades+'!$AC$5,"A",IF(H52&lt;'PlayerGrades+'!$AC$4,"A+",IF(H52&lt;'PlayerGrades+'!$AC$3,"S-",IF(H52&lt;'PlayerGrades+'!$AC$2,"S","S+"))))))))))))))))))))</f>
        <v>F+</v>
      </c>
      <c r="J52" s="961">
        <f t="shared" si="4"/>
        <v>0.1181877873</v>
      </c>
      <c r="K52" s="961" t="str">
        <f>IF(J52&lt;'PlayerGrades+'!$AD$21,"F-",IF(J52&lt;'PlayerGrades+'!$AD$20,"F",IF(J52&lt;'PlayerGrades+'!$AD$19,"F+",IF(J52&lt;'PlayerGrades+'!$AD$18,"E-",IF(J52&lt;'PlayerGrades+'!$AD$17,"E",IF(J52&lt;'PlayerGrades+'!$AD$16,"E+",IF(J52&lt;'PlayerGrades+'!$AD$15,"D-",IF(J52&lt;'PlayerGrades+'!$AD$14,"D",IF(J52&lt;'PlayerGrades+'!$AD$13,"D+",IF(J52&lt;'PlayerGrades+'!$AD$12,"C-",IF(J52&lt;'PlayerGrades+'!$AD$11,"C",IF(J52&lt;'PlayerGrades+'!$AD$10,"C+",IF(J52&lt;'PlayerGrades+'!$AD$9,"B-",IF(J52&lt;'PlayerGrades+'!$AD$8,"B",IF(J52&lt;'PlayerGrades+'!$AD$7,"B+",IF(J52&lt;'PlayerGrades+'!$AD$6,"A-",IF(J52&lt;'PlayerGrades+'!$AD$5,"A",IF(J52&lt;'PlayerGrades+'!$AD$4,"A+",IF(J52&lt;'PlayerGrades+'!$AD$3,"S-",IF(J52&lt;'PlayerGrades+'!$AD$2,"S","S+"))))))))))))))))))))</f>
        <v>S-</v>
      </c>
      <c r="L52" s="992">
        <f t="shared" si="5"/>
        <v>0.3545633618</v>
      </c>
      <c r="M52" s="992" t="str">
        <f>IF(L52&lt;'PlayerGrades+'!$AE$21,"F-",IF(L52&lt;'PlayerGrades+'!$AE$20,"F",IF(L52&lt;'PlayerGrades+'!$AE$19,"F+",IF(L52&lt;'PlayerGrades+'!$AE$18,"E-",IF(L52&lt;'PlayerGrades+'!$AE$17,"E",IF(L52&lt;'PlayerGrades+'!$AE$16,"E+",IF(L52&lt;'PlayerGrades+'!$AE$15,"D-",IF(L52&lt;'PlayerGrades+'!$AE$14,"D",IF(L52&lt;'PlayerGrades+'!$AE$13,"D+",IF(L52&lt;'PlayerGrades+'!$AE$12,"C-",IF(L52&lt;'PlayerGrades+'!$AE$11,"C",IF(L52&lt;'PlayerGrades+'!$AE$10,"C+",IF(L52&lt;'PlayerGrades+'!$AE$9,"B-",IF(L52&lt;'PlayerGrades+'!$AE$8,"B",IF(L52&lt;'PlayerGrades+'!$AE$7,"B+",IF(L52&lt;'PlayerGrades+'!$AE$6,"A-",IF(L52&lt;'PlayerGrades+'!$AE$5,"A",IF(L52&lt;'PlayerGrades+'!$AE$4,"A+",IF(L52&lt;'PlayerGrades+'!$AE$3,"S-",IF(L52&lt;'PlayerGrades+'!$AE$2,"S","S+"))))))))))))))))))))</f>
        <v>E+</v>
      </c>
      <c r="N52" s="961">
        <f t="shared" si="6"/>
        <v>0.07879185817</v>
      </c>
      <c r="O52" s="961" t="str">
        <f>IF(N52&lt;'PlayerGrades+'!$AF$21,"F-",IF(N52&lt;'PlayerGrades+'!$AF$20,"F",IF(N52&lt;'PlayerGrades+'!$AF$19,"F+",IF(N52&lt;'PlayerGrades+'!$AF$18,"E-",IF(N52&lt;'PlayerGrades+'!$AF$17,"E",IF(N52&lt;'PlayerGrades+'!$AF$16,"E+",IF(N52&lt;'PlayerGrades+'!$AF$15,"D-",IF(N52&lt;'PlayerGrades+'!$AF$14,"D",IF(N52&lt;'PlayerGrades+'!$AF$13,"D+",IF(N52&lt;'PlayerGrades+'!$AF$12,"C-",IF(N52&lt;'PlayerGrades+'!$AF$11,"C",IF(N52&lt;'PlayerGrades+'!$AF$10,"C+",IF(N52&lt;'PlayerGrades+'!$AF$9,"B-",IF(N52&lt;'PlayerGrades+'!$AF$8,"B",IF(N52&lt;'PlayerGrades+'!$AF$7,"B+",IF(N52&lt;'PlayerGrades+'!$AF$6,"A-",IF(N52&lt;'PlayerGrades+'!$AF$5,"A",IF(N52&lt;'PlayerGrades+'!$AF$4,"A+",IF(N52&lt;'PlayerGrades+'!$AF$3,"S-",IF(N52&lt;'PlayerGrades+'!$AF$2,"S","S+"))))))))))))))))))))</f>
        <v>E+</v>
      </c>
      <c r="P52" s="961">
        <f t="shared" si="7"/>
        <v>0.472751149</v>
      </c>
      <c r="Q52" s="961" t="str">
        <f>IF(P52&lt;'PlayerGrades+'!$AG$21,"F-",IF(P52&lt;'PlayerGrades+'!$AG$20,"F",IF(P52&lt;'PlayerGrades+'!$AG$19,"F+",IF(P52&lt;'PlayerGrades+'!$AG$18,"E-",IF(P52&lt;'PlayerGrades+'!$AG$17,"E",IF(P52&lt;'PlayerGrades+'!$AG$16,"E+",IF(P52&lt;'PlayerGrades+'!$AG$15,"D-",IF(P52&lt;'PlayerGrades+'!$AG$14,"D",IF(P52&lt;'PlayerGrades+'!$AG$13,"D+",IF(P52&lt;'PlayerGrades+'!$AG$12,"C-",IF(P52&lt;'PlayerGrades+'!$AG$11,"C",IF(P52&lt;'PlayerGrades+'!$AG$10,"C+",IF(P52&lt;'PlayerGrades+'!$AG$9,"B-",IF(P52&lt;'PlayerGrades+'!$AG$8,"B",IF(P52&lt;'PlayerGrades+'!$AG$7,"B+",IF(P52&lt;'PlayerGrades+'!$AG$6,"A-",IF(P52&lt;'PlayerGrades+'!$AG$5,"A",IF(P52&lt;'PlayerGrades+'!$AG$4,"A+",IF(P52&lt;'PlayerGrades+'!$AG$3,"S-",IF(P52&lt;'PlayerGrades+'!$AG$2,"S","S+"))))))))))))))))))))</f>
        <v>E</v>
      </c>
      <c r="R52" s="961">
        <f t="shared" si="8"/>
        <v>0.1181877873</v>
      </c>
      <c r="S52" s="961" t="str">
        <f>IF(R52&lt;'PlayerGrades+'!$AH$21,"F-",IF(R52&lt;'PlayerGrades+'!$AH$20,"F",IF(R52&lt;'PlayerGrades+'!$AH$19,"F+",IF(R52&lt;'PlayerGrades+'!$AH$18,"E-",IF(R52&lt;'PlayerGrades+'!$AH$17,"E",IF(R52&lt;'PlayerGrades+'!$AH$16,"E+",IF(R52&lt;'PlayerGrades+'!$AH$15,"D-",IF(R52&lt;'PlayerGrades+'!$AH$14,"D",IF(R52&lt;'PlayerGrades+'!$AH$13,"D+",IF(R52&lt;'PlayerGrades+'!$AH$12,"C-",IF(R52&lt;'PlayerGrades+'!$AH$11,"C",IF(R52&lt;'PlayerGrades+'!$AH$10,"C+",IF(R52&lt;'PlayerGrades+'!$AH$9,"B-",IF(R52&lt;'PlayerGrades+'!$AH$8,"B",IF(R52&lt;'PlayerGrades+'!$AH$7,"B+",IF(R52&lt;'PlayerGrades+'!$AH$6,"A-",IF(R52&lt;'PlayerGrades+'!$AH$5,"A",IF(R52&lt;'PlayerGrades+'!$AH$4,"A+",IF(R52&lt;'PlayerGrades+'!$AH$3,"S-",IF(R52&lt;'PlayerGrades+'!$AH$2,"S","S+"))))))))))))))))))))</f>
        <v>S</v>
      </c>
      <c r="T52" s="961">
        <f t="shared" si="9"/>
        <v>2.639527249</v>
      </c>
      <c r="U52" s="961" t="str">
        <f>IF(T52&lt;'PlayerGrades+'!$AI$21,"F-",IF(T52&lt;'PlayerGrades+'!$AI$20,"F",IF(T52&lt;'PlayerGrades+'!$AI$19,"F+",IF(T52&lt;'PlayerGrades+'!$AI$18,"E-",IF(T52&lt;'PlayerGrades+'!$AI$17,"E",IF(T52&lt;'PlayerGrades+'!$AI$16,"E+",IF(T52&lt;'PlayerGrades+'!$AI$15,"D-",IF(T52&lt;'PlayerGrades+'!$AI$14,"D",IF(T52&lt;'PlayerGrades+'!$AI$13,"D+",IF(T52&lt;'PlayerGrades+'!$AI$12,"C-",IF(T52&lt;'PlayerGrades+'!$AI$11,"C",IF(T52&lt;'PlayerGrades+'!$AI$10,"C+",IF(T52&lt;'PlayerGrades+'!$AI$9,"B-",IF(T52&lt;'PlayerGrades+'!$AI$8,"B",IF(T52&lt;'PlayerGrades+'!$AI$7,"B+",IF(T52&lt;'PlayerGrades+'!$AI$6,"A-",IF(T52&lt;'PlayerGrades+'!$AI$5,"A",IF(T52&lt;'PlayerGrades+'!$AI$4,"A+",IF(T52&lt;'PlayerGrades+'!$AI$3,"S-",IF(T52&lt;'PlayerGrades+'!$AI$2,"S","S+"))))))))))))))))))))</f>
        <v>D</v>
      </c>
      <c r="V52" s="1100">
        <v>1.0</v>
      </c>
      <c r="W52" s="1100">
        <v>0.0</v>
      </c>
      <c r="X52" s="1100">
        <v>2.0</v>
      </c>
      <c r="Y52" s="1100">
        <v>10.0</v>
      </c>
      <c r="Z52" s="1100">
        <v>67.0</v>
      </c>
      <c r="AA52" s="1100">
        <v>76.0</v>
      </c>
      <c r="AB52" s="1017">
        <f t="shared" si="10"/>
        <v>-9</v>
      </c>
      <c r="AC52" s="1020">
        <f t="shared" si="11"/>
        <v>0.8815789474</v>
      </c>
      <c r="AD52" s="1100">
        <v>0.0</v>
      </c>
      <c r="AE52" s="1329">
        <v>1523.0</v>
      </c>
      <c r="AF52" s="1100">
        <v>3.0</v>
      </c>
      <c r="AG52" s="1100">
        <v>0.0</v>
      </c>
      <c r="AH52" s="1100">
        <v>0.0</v>
      </c>
      <c r="AI52" s="1100">
        <v>0.0</v>
      </c>
      <c r="AJ52" s="1100">
        <v>0.0</v>
      </c>
      <c r="AK52" s="1100">
        <v>9.0</v>
      </c>
      <c r="AL52" s="1100">
        <v>2.0</v>
      </c>
      <c r="AM52" s="1100">
        <v>1.0</v>
      </c>
      <c r="AN52" s="1100">
        <v>0.0</v>
      </c>
      <c r="AO52" s="1100">
        <v>0.0</v>
      </c>
      <c r="AP52" s="1100">
        <v>0.0</v>
      </c>
      <c r="AQ52" s="1100">
        <v>0.0</v>
      </c>
      <c r="AR52" s="1100">
        <v>0.0</v>
      </c>
      <c r="AS52" s="1100">
        <v>0.0</v>
      </c>
      <c r="AT52" s="1100">
        <v>0.0</v>
      </c>
      <c r="AU52" s="1100">
        <v>7.0</v>
      </c>
      <c r="AV52" s="1100">
        <v>0.0</v>
      </c>
      <c r="AW52" s="1100">
        <v>0.0</v>
      </c>
      <c r="AX52" s="1100">
        <v>0.0</v>
      </c>
      <c r="AY52" s="1100">
        <v>3.0</v>
      </c>
      <c r="AZ52" s="1239">
        <v>0.0</v>
      </c>
    </row>
    <row r="53">
      <c r="A53" s="938" t="s">
        <v>395</v>
      </c>
      <c r="B53" s="1100" t="str">
        <f>IF(C53&lt;'PlayerGrades+'!$Y$44,"F-",IF(C53&lt;'PlayerGrades+'!$Y$43,"F",IF(C53&lt;'PlayerGrades+'!$Y$42,"F+",IF(C53&lt;'PlayerGrades+'!$Y$41,"E-",IF(C53&lt;'PlayerGrades+'!$Y$40,"E",IF(C53&lt;'PlayerGrades+'!$Y$39,"E+",IF(C53&lt;'PlayerGrades+'!$Y$38,"D-",IF(C53&lt;'PlayerGrades+'!$Y$37,"D",IF(C53&lt;'PlayerGrades+'!$Y$36,"D+",IF(C53&lt;'PlayerGrades+'!$Y$35,"C-",IF(C53&lt;'PlayerGrades+'!$Y$34,"C",IF(C53&lt;'PlayerGrades+'!$Y$33,"C+",IF(C53&lt;'PlayerGrades+'!$Y$32,"B-",IF(C53&lt;'PlayerGrades+'!$Y$31,"B",IF(C53&lt;'PlayerGrades+'!$Y$30,"B+",IF(C53&lt;'PlayerGrades+'!$Y$29,"A-",IF(C53&lt;'PlayerGrades+'!$Y$28,"A",IF(C53&lt;'PlayerGrades+'!$Y$27,"A+",IF(C53&lt;'PlayerGrades+'!$Y$26,"S-",IF(C53&lt;'PlayerGrades+'!$Y$25,"S","S+"))))))))))))))))))))</f>
        <v>C+</v>
      </c>
      <c r="C53" s="1105">
        <f>('PlayerGrades+'!$Y$47*(VLOOKUP(E53, 'PlayerGrades+'!$X$3:$Y$23, 2, FALSE)))+('PlayerGrades+'!$Y$48*(VLOOKUP(G53, 'PlayerGrades+'!$X$3:$Y$23, 2, FALSE)))+('PlayerGrades+'!$Y$49*(VLOOKUP(I53, 'PlayerGrades+'!$X$3:$Y$23, 2, FALSE)))+('PlayerGrades+'!$Y$50*(VLOOKUP(K53, 'PlayerGrades+'!$X$3:$Y$23, 2, FALSE)))+('PlayerGrades+'!$Y$51*(VLOOKUP(M53, 'PlayerGrades+'!$X$3:$Y$23, 2, FALSE)))+('PlayerGrades+'!$Y$52*(VLOOKUP(O53, 'PlayerGrades+'!$X$3:$Y$23, 2, FALSE)))+('PlayerGrades+'!$Y$53*(VLOOKUP(Q53, 'PlayerGrades+'!$X$3:$Y$23, 2, FALSE)))+('PlayerGrades+'!$Y$54*(VLOOKUP(S53, 'PlayerGrades+'!$X$3:$Y$23, 2, FALSE)))+('PlayerGrades+'!$Y$55*(VLOOKUP(U53, 'PlayerGrades+'!$X$3:$Y$23, 2, FALSE)))</f>
        <v>16.125</v>
      </c>
      <c r="D53" s="961">
        <f t="shared" si="1"/>
        <v>0.03939592909</v>
      </c>
      <c r="E53" s="961" t="str">
        <f>IF(D53&lt;'PlayerGrades+'!$AA$21,"F-",IF(D53&lt;'PlayerGrades+'!$AA$20,"F",IF(D53&lt;'PlayerGrades+'!$AA$19,"F+",IF(D53&lt;'PlayerGrades+'!$AA$18,"E-",IF(D53&lt;'PlayerGrades+'!$AA$17,"E",IF(D53&lt;'PlayerGrades+'!$AA$16,"E+",IF(D53&lt;'PlayerGrades+'!$AA$15,"D-",IF(D53&lt;'PlayerGrades+'!$AA$14,"D",IF(D53&lt;'PlayerGrades+'!$AA$13,"D+",IF(D53&lt;'PlayerGrades+'!$AA$12,"C-",IF(D53&lt;'PlayerGrades+'!$AA$11,"C",IF(D53&lt;'PlayerGrades+'!$AA$10,"C+",IF(D53&lt;'PlayerGrades+'!$AA$9,"B-",IF(D53&lt;'PlayerGrades+'!$AA$8,"B",IF(D53&lt;'PlayerGrades+'!$AA$7,"B+",IF(D53&lt;'PlayerGrades+'!$AA$6,"A-",IF(D53&lt;'PlayerGrades+'!$AA$5,"A",IF(D53&lt;'PlayerGrades+'!$AA$4,"A+",IF(D53&lt;'PlayerGrades+'!$AA$3,"S-",IF(D53&lt;'PlayerGrades+'!$AA$2,"S","S+"))))))))))))))))))))</f>
        <v>C-</v>
      </c>
      <c r="F53" s="961">
        <f t="shared" si="2"/>
        <v>0.03654115162</v>
      </c>
      <c r="G53" s="961" t="str">
        <f>IF(F53&lt;'PlayerGrades+'!$AB$21,"F-",IF(F53&lt;'PlayerGrades+'!$AB$20,"F",IF(F53&lt;'PlayerGrades+'!$AB$19,"F+",IF(F53&lt;'PlayerGrades+'!$AB$18,"E-",IF(F53&lt;'PlayerGrades+'!$AB$17,"E",IF(F53&lt;'PlayerGrades+'!$AB$16,"E+",IF(F53&lt;'PlayerGrades+'!$AB$15,"D-",IF(F53&lt;'PlayerGrades+'!$AB$14,"D",IF(F53&lt;'PlayerGrades+'!$AB$13,"D+",IF(F53&lt;'PlayerGrades+'!$AB$12,"C-",IF(F53&lt;'PlayerGrades+'!$AB$11,"C",IF(F53&lt;'PlayerGrades+'!$AB$10,"C+",IF(F53&lt;'PlayerGrades+'!$AB$9,"B-",IF(F53&lt;'PlayerGrades+'!$AB$8,"B",IF(F53&lt;'PlayerGrades+'!$AB$7,"B+",IF(F53&lt;'PlayerGrades+'!$AB$6,"A-",IF(F53&lt;'PlayerGrades+'!$AB$5,"A",IF(F53&lt;'PlayerGrades+'!$AB$4,"A+",IF(F53&lt;'PlayerGrades+'!$AB$3,"S-",IF(F53&lt;'PlayerGrades+'!$AB$2,"S","S+"))))))))))))))))))))</f>
        <v>A</v>
      </c>
      <c r="H53" s="961">
        <f t="shared" si="3"/>
        <v>0.6697307945</v>
      </c>
      <c r="I53" s="961" t="str">
        <f>IF(H53&lt;'PlayerGrades+'!$AC$21,"F-",IF(H53&lt;'PlayerGrades+'!$AC$20,"F",IF(H53&lt;'PlayerGrades+'!$AC$19,"F+",IF(H53&lt;'PlayerGrades+'!$AC$18,"E-",IF(H53&lt;'PlayerGrades+'!$AC$17,"E",IF(H53&lt;'PlayerGrades+'!$AC$16,"E+",IF(H53&lt;'PlayerGrades+'!$AC$15,"D-",IF(H53&lt;'PlayerGrades+'!$AC$14,"D",IF(H53&lt;'PlayerGrades+'!$AC$13,"D+",IF(H53&lt;'PlayerGrades+'!$AC$12,"C-",IF(H53&lt;'PlayerGrades+'!$AC$11,"C",IF(H53&lt;'PlayerGrades+'!$AC$10,"C+",IF(H53&lt;'PlayerGrades+'!$AC$9,"B-",IF(H53&lt;'PlayerGrades+'!$AC$8,"B",IF(H53&lt;'PlayerGrades+'!$AC$7,"B+",IF(H53&lt;'PlayerGrades+'!$AC$6,"A-",IF(H53&lt;'PlayerGrades+'!$AC$5,"A",IF(H53&lt;'PlayerGrades+'!$AC$4,"A+",IF(H53&lt;'PlayerGrades+'!$AC$3,"S-",IF(H53&lt;'PlayerGrades+'!$AC$2,"S","S+"))))))))))))))))))))</f>
        <v>A</v>
      </c>
      <c r="J53" s="961">
        <f t="shared" si="4"/>
        <v>0.03939592909</v>
      </c>
      <c r="K53" s="961" t="str">
        <f>IF(J53&lt;'PlayerGrades+'!$AD$21,"F-",IF(J53&lt;'PlayerGrades+'!$AD$20,"F",IF(J53&lt;'PlayerGrades+'!$AD$19,"F+",IF(J53&lt;'PlayerGrades+'!$AD$18,"E-",IF(J53&lt;'PlayerGrades+'!$AD$17,"E",IF(J53&lt;'PlayerGrades+'!$AD$16,"E+",IF(J53&lt;'PlayerGrades+'!$AD$15,"D-",IF(J53&lt;'PlayerGrades+'!$AD$14,"D",IF(J53&lt;'PlayerGrades+'!$AD$13,"D+",IF(J53&lt;'PlayerGrades+'!$AD$12,"C-",IF(J53&lt;'PlayerGrades+'!$AD$11,"C",IF(J53&lt;'PlayerGrades+'!$AD$10,"C+",IF(J53&lt;'PlayerGrades+'!$AD$9,"B-",IF(J53&lt;'PlayerGrades+'!$AD$8,"B",IF(J53&lt;'PlayerGrades+'!$AD$7,"B+",IF(J53&lt;'PlayerGrades+'!$AD$6,"A-",IF(J53&lt;'PlayerGrades+'!$AD$5,"A",IF(J53&lt;'PlayerGrades+'!$AD$4,"A+",IF(J53&lt;'PlayerGrades+'!$AD$3,"S-",IF(J53&lt;'PlayerGrades+'!$AD$2,"S","S+"))))))))))))))))))))</f>
        <v>C</v>
      </c>
      <c r="L53" s="992">
        <f t="shared" si="5"/>
        <v>0.3939592909</v>
      </c>
      <c r="M53" s="992" t="str">
        <f>IF(L53&lt;'PlayerGrades+'!$AE$21,"F-",IF(L53&lt;'PlayerGrades+'!$AE$20,"F",IF(L53&lt;'PlayerGrades+'!$AE$19,"F+",IF(L53&lt;'PlayerGrades+'!$AE$18,"E-",IF(L53&lt;'PlayerGrades+'!$AE$17,"E",IF(L53&lt;'PlayerGrades+'!$AE$16,"E+",IF(L53&lt;'PlayerGrades+'!$AE$15,"D-",IF(L53&lt;'PlayerGrades+'!$AE$14,"D",IF(L53&lt;'PlayerGrades+'!$AE$13,"D+",IF(L53&lt;'PlayerGrades+'!$AE$12,"C-",IF(L53&lt;'PlayerGrades+'!$AE$11,"C",IF(L53&lt;'PlayerGrades+'!$AE$10,"C+",IF(L53&lt;'PlayerGrades+'!$AE$9,"B-",IF(L53&lt;'PlayerGrades+'!$AE$8,"B",IF(L53&lt;'PlayerGrades+'!$AE$7,"B+",IF(L53&lt;'PlayerGrades+'!$AE$6,"A-",IF(L53&lt;'PlayerGrades+'!$AE$5,"A",IF(L53&lt;'PlayerGrades+'!$AE$4,"A+",IF(L53&lt;'PlayerGrades+'!$AE$3,"S-",IF(L53&lt;'PlayerGrades+'!$AE$2,"S","S+"))))))))))))))))))))</f>
        <v>D+</v>
      </c>
      <c r="N53" s="961">
        <f t="shared" si="6"/>
        <v>0.07879185817</v>
      </c>
      <c r="O53" s="961" t="str">
        <f>IF(N53&lt;'PlayerGrades+'!$AF$21,"F-",IF(N53&lt;'PlayerGrades+'!$AF$20,"F",IF(N53&lt;'PlayerGrades+'!$AF$19,"F+",IF(N53&lt;'PlayerGrades+'!$AF$18,"E-",IF(N53&lt;'PlayerGrades+'!$AF$17,"E",IF(N53&lt;'PlayerGrades+'!$AF$16,"E+",IF(N53&lt;'PlayerGrades+'!$AF$15,"D-",IF(N53&lt;'PlayerGrades+'!$AF$14,"D",IF(N53&lt;'PlayerGrades+'!$AF$13,"D+",IF(N53&lt;'PlayerGrades+'!$AF$12,"C-",IF(N53&lt;'PlayerGrades+'!$AF$11,"C",IF(N53&lt;'PlayerGrades+'!$AF$10,"C+",IF(N53&lt;'PlayerGrades+'!$AF$9,"B-",IF(N53&lt;'PlayerGrades+'!$AF$8,"B",IF(N53&lt;'PlayerGrades+'!$AF$7,"B+",IF(N53&lt;'PlayerGrades+'!$AF$6,"A-",IF(N53&lt;'PlayerGrades+'!$AF$5,"A",IF(N53&lt;'PlayerGrades+'!$AF$4,"A+",IF(N53&lt;'PlayerGrades+'!$AF$3,"S-",IF(N53&lt;'PlayerGrades+'!$AF$2,"S","S+"))))))))))))))))))))</f>
        <v>E+</v>
      </c>
      <c r="P53" s="961">
        <f t="shared" si="7"/>
        <v>0.472751149</v>
      </c>
      <c r="Q53" s="961" t="str">
        <f>IF(P53&lt;'PlayerGrades+'!$AG$21,"F-",IF(P53&lt;'PlayerGrades+'!$AG$20,"F",IF(P53&lt;'PlayerGrades+'!$AG$19,"F+",IF(P53&lt;'PlayerGrades+'!$AG$18,"E-",IF(P53&lt;'PlayerGrades+'!$AG$17,"E",IF(P53&lt;'PlayerGrades+'!$AG$16,"E+",IF(P53&lt;'PlayerGrades+'!$AG$15,"D-",IF(P53&lt;'PlayerGrades+'!$AG$14,"D",IF(P53&lt;'PlayerGrades+'!$AG$13,"D+",IF(P53&lt;'PlayerGrades+'!$AG$12,"C-",IF(P53&lt;'PlayerGrades+'!$AG$11,"C",IF(P53&lt;'PlayerGrades+'!$AG$10,"C+",IF(P53&lt;'PlayerGrades+'!$AG$9,"B-",IF(P53&lt;'PlayerGrades+'!$AG$8,"B",IF(P53&lt;'PlayerGrades+'!$AG$7,"B+",IF(P53&lt;'PlayerGrades+'!$AG$6,"A-",IF(P53&lt;'PlayerGrades+'!$AG$5,"A",IF(P53&lt;'PlayerGrades+'!$AG$4,"A+",IF(P53&lt;'PlayerGrades+'!$AG$3,"S-",IF(P53&lt;'PlayerGrades+'!$AG$2,"S","S+"))))))))))))))))))))</f>
        <v>E</v>
      </c>
      <c r="R53" s="961">
        <f t="shared" si="8"/>
        <v>0</v>
      </c>
      <c r="S53" s="961" t="str">
        <f>IF(R53&lt;'PlayerGrades+'!$AH$21,"F-",IF(R53&lt;'PlayerGrades+'!$AH$20,"F",IF(R53&lt;'PlayerGrades+'!$AH$19,"F+",IF(R53&lt;'PlayerGrades+'!$AH$18,"E-",IF(R53&lt;'PlayerGrades+'!$AH$17,"E",IF(R53&lt;'PlayerGrades+'!$AH$16,"E+",IF(R53&lt;'PlayerGrades+'!$AH$15,"D-",IF(R53&lt;'PlayerGrades+'!$AH$14,"D",IF(R53&lt;'PlayerGrades+'!$AH$13,"D+",IF(R53&lt;'PlayerGrades+'!$AH$12,"C-",IF(R53&lt;'PlayerGrades+'!$AH$11,"C",IF(R53&lt;'PlayerGrades+'!$AH$10,"C+",IF(R53&lt;'PlayerGrades+'!$AH$9,"B-",IF(R53&lt;'PlayerGrades+'!$AH$8,"B",IF(R53&lt;'PlayerGrades+'!$AH$7,"B+",IF(R53&lt;'PlayerGrades+'!$AH$6,"A-",IF(R53&lt;'PlayerGrades+'!$AH$5,"A",IF(R53&lt;'PlayerGrades+'!$AH$4,"A+",IF(R53&lt;'PlayerGrades+'!$AH$3,"S-",IF(R53&lt;'PlayerGrades+'!$AH$2,"S","S+"))))))))))))))))))))</f>
        <v>F-</v>
      </c>
      <c r="T53" s="961">
        <f t="shared" si="9"/>
        <v>2.521339462</v>
      </c>
      <c r="U53" s="961" t="str">
        <f>IF(T53&lt;'PlayerGrades+'!$AI$21,"F-",IF(T53&lt;'PlayerGrades+'!$AI$20,"F",IF(T53&lt;'PlayerGrades+'!$AI$19,"F+",IF(T53&lt;'PlayerGrades+'!$AI$18,"E-",IF(T53&lt;'PlayerGrades+'!$AI$17,"E",IF(T53&lt;'PlayerGrades+'!$AI$16,"E+",IF(T53&lt;'PlayerGrades+'!$AI$15,"D-",IF(T53&lt;'PlayerGrades+'!$AI$14,"D",IF(T53&lt;'PlayerGrades+'!$AI$13,"D+",IF(T53&lt;'PlayerGrades+'!$AI$12,"C-",IF(T53&lt;'PlayerGrades+'!$AI$11,"C",IF(T53&lt;'PlayerGrades+'!$AI$10,"C+",IF(T53&lt;'PlayerGrades+'!$AI$9,"B-",IF(T53&lt;'PlayerGrades+'!$AI$8,"B",IF(T53&lt;'PlayerGrades+'!$AI$7,"B+",IF(T53&lt;'PlayerGrades+'!$AI$6,"A-",IF(T53&lt;'PlayerGrades+'!$AI$5,"A",IF(T53&lt;'PlayerGrades+'!$AI$4,"A+",IF(T53&lt;'PlayerGrades+'!$AI$3,"S-",IF(T53&lt;'PlayerGrades+'!$AI$2,"S","S+"))))))))))))))))))))</f>
        <v>D-</v>
      </c>
      <c r="V53" s="1100">
        <v>1.0</v>
      </c>
      <c r="W53" s="1100">
        <v>0.0</v>
      </c>
      <c r="X53" s="1100">
        <v>1.0</v>
      </c>
      <c r="Y53" s="1100">
        <v>3.0</v>
      </c>
      <c r="Z53" s="1100">
        <v>64.0</v>
      </c>
      <c r="AA53" s="1100">
        <v>69.0</v>
      </c>
      <c r="AB53" s="1017">
        <f t="shared" si="10"/>
        <v>-5</v>
      </c>
      <c r="AC53" s="1020">
        <f t="shared" si="11"/>
        <v>0.9275362319</v>
      </c>
      <c r="AD53" s="1100">
        <v>0.0</v>
      </c>
      <c r="AE53" s="1329">
        <v>1523.0</v>
      </c>
      <c r="AF53" s="1100">
        <v>1.0</v>
      </c>
      <c r="AG53" s="1100">
        <v>0.0</v>
      </c>
      <c r="AH53" s="1100">
        <v>0.0</v>
      </c>
      <c r="AI53" s="1100">
        <v>0.0</v>
      </c>
      <c r="AJ53" s="1100">
        <v>0.0</v>
      </c>
      <c r="AK53" s="1100">
        <v>10.0</v>
      </c>
      <c r="AL53" s="1100">
        <v>2.0</v>
      </c>
      <c r="AM53" s="1100">
        <v>0.0</v>
      </c>
      <c r="AN53" s="1100">
        <v>0.0</v>
      </c>
      <c r="AO53" s="1100">
        <v>0.0</v>
      </c>
      <c r="AP53" s="1100">
        <v>0.0</v>
      </c>
      <c r="AQ53" s="1100">
        <v>0.0</v>
      </c>
      <c r="AR53" s="1100">
        <v>0.0</v>
      </c>
      <c r="AS53" s="1100">
        <v>0.0</v>
      </c>
      <c r="AT53" s="1100">
        <v>0.0</v>
      </c>
      <c r="AU53" s="1100">
        <v>17.0</v>
      </c>
      <c r="AV53" s="1100">
        <v>0.0</v>
      </c>
      <c r="AW53" s="1100">
        <v>0.0</v>
      </c>
      <c r="AX53" s="1100">
        <v>0.0</v>
      </c>
      <c r="AY53" s="1100">
        <v>0.0</v>
      </c>
      <c r="AZ53" s="1239">
        <v>0.0</v>
      </c>
    </row>
    <row r="54">
      <c r="A54" s="938" t="s">
        <v>160</v>
      </c>
      <c r="B54" s="1100" t="str">
        <f>IF(C54&lt;'PlayerGrades+'!$Y$44,"F-",IF(C54&lt;'PlayerGrades+'!$Y$43,"F",IF(C54&lt;'PlayerGrades+'!$Y$42,"F+",IF(C54&lt;'PlayerGrades+'!$Y$41,"E-",IF(C54&lt;'PlayerGrades+'!$Y$40,"E",IF(C54&lt;'PlayerGrades+'!$Y$39,"E+",IF(C54&lt;'PlayerGrades+'!$Y$38,"D-",IF(C54&lt;'PlayerGrades+'!$Y$37,"D",IF(C54&lt;'PlayerGrades+'!$Y$36,"D+",IF(C54&lt;'PlayerGrades+'!$Y$35,"C-",IF(C54&lt;'PlayerGrades+'!$Y$34,"C",IF(C54&lt;'PlayerGrades+'!$Y$33,"C+",IF(C54&lt;'PlayerGrades+'!$Y$32,"B-",IF(C54&lt;'PlayerGrades+'!$Y$31,"B",IF(C54&lt;'PlayerGrades+'!$Y$30,"B+",IF(C54&lt;'PlayerGrades+'!$Y$29,"A-",IF(C54&lt;'PlayerGrades+'!$Y$28,"A",IF(C54&lt;'PlayerGrades+'!$Y$27,"A+",IF(C54&lt;'PlayerGrades+'!$Y$26,"S-",IF(C54&lt;'PlayerGrades+'!$Y$25,"S","S+"))))))))))))))))))))</f>
        <v>B-</v>
      </c>
      <c r="C54" s="1105">
        <f>('PlayerGrades+'!$Y$47*(VLOOKUP(E54, 'PlayerGrades+'!$X$3:$Y$23, 2, FALSE)))+('PlayerGrades+'!$Y$48*(VLOOKUP(G54, 'PlayerGrades+'!$X$3:$Y$23, 2, FALSE)))+('PlayerGrades+'!$Y$49*(VLOOKUP(I54, 'PlayerGrades+'!$X$3:$Y$23, 2, FALSE)))+('PlayerGrades+'!$Y$50*(VLOOKUP(K54, 'PlayerGrades+'!$X$3:$Y$23, 2, FALSE)))+('PlayerGrades+'!$Y$51*(VLOOKUP(M54, 'PlayerGrades+'!$X$3:$Y$23, 2, FALSE)))+('PlayerGrades+'!$Y$52*(VLOOKUP(O54, 'PlayerGrades+'!$X$3:$Y$23, 2, FALSE)))+('PlayerGrades+'!$Y$53*(VLOOKUP(Q54, 'PlayerGrades+'!$X$3:$Y$23, 2, FALSE)))+('PlayerGrades+'!$Y$54*(VLOOKUP(S54, 'PlayerGrades+'!$X$3:$Y$23, 2, FALSE)))+('PlayerGrades+'!$Y$55*(VLOOKUP(U54, 'PlayerGrades+'!$X$3:$Y$23, 2, FALSE)))</f>
        <v>17.4125</v>
      </c>
      <c r="D54" s="961">
        <f t="shared" si="1"/>
        <v>0.03939592909</v>
      </c>
      <c r="E54" s="961" t="str">
        <f>IF(D54&lt;'PlayerGrades+'!$AA$21,"F-",IF(D54&lt;'PlayerGrades+'!$AA$20,"F",IF(D54&lt;'PlayerGrades+'!$AA$19,"F+",IF(D54&lt;'PlayerGrades+'!$AA$18,"E-",IF(D54&lt;'PlayerGrades+'!$AA$17,"E",IF(D54&lt;'PlayerGrades+'!$AA$16,"E+",IF(D54&lt;'PlayerGrades+'!$AA$15,"D-",IF(D54&lt;'PlayerGrades+'!$AA$14,"D",IF(D54&lt;'PlayerGrades+'!$AA$13,"D+",IF(D54&lt;'PlayerGrades+'!$AA$12,"C-",IF(D54&lt;'PlayerGrades+'!$AA$11,"C",IF(D54&lt;'PlayerGrades+'!$AA$10,"C+",IF(D54&lt;'PlayerGrades+'!$AA$9,"B-",IF(D54&lt;'PlayerGrades+'!$AA$8,"B",IF(D54&lt;'PlayerGrades+'!$AA$7,"B+",IF(D54&lt;'PlayerGrades+'!$AA$6,"A-",IF(D54&lt;'PlayerGrades+'!$AA$5,"A",IF(D54&lt;'PlayerGrades+'!$AA$4,"A+",IF(D54&lt;'PlayerGrades+'!$AA$3,"S-",IF(D54&lt;'PlayerGrades+'!$AA$2,"S","S+"))))))))))))))))))))</f>
        <v>C-</v>
      </c>
      <c r="F54" s="961">
        <f t="shared" si="2"/>
        <v>0.02944327332</v>
      </c>
      <c r="G54" s="961" t="str">
        <f>IF(F54&lt;'PlayerGrades+'!$AB$21,"F-",IF(F54&lt;'PlayerGrades+'!$AB$20,"F",IF(F54&lt;'PlayerGrades+'!$AB$19,"F+",IF(F54&lt;'PlayerGrades+'!$AB$18,"E-",IF(F54&lt;'PlayerGrades+'!$AB$17,"E",IF(F54&lt;'PlayerGrades+'!$AB$16,"E+",IF(F54&lt;'PlayerGrades+'!$AB$15,"D-",IF(F54&lt;'PlayerGrades+'!$AB$14,"D",IF(F54&lt;'PlayerGrades+'!$AB$13,"D+",IF(F54&lt;'PlayerGrades+'!$AB$12,"C-",IF(F54&lt;'PlayerGrades+'!$AB$11,"C",IF(F54&lt;'PlayerGrades+'!$AB$10,"C+",IF(F54&lt;'PlayerGrades+'!$AB$9,"B-",IF(F54&lt;'PlayerGrades+'!$AB$8,"B",IF(F54&lt;'PlayerGrades+'!$AB$7,"B+",IF(F54&lt;'PlayerGrades+'!$AB$6,"A-",IF(F54&lt;'PlayerGrades+'!$AB$5,"A",IF(F54&lt;'PlayerGrades+'!$AB$4,"A+",IF(F54&lt;'PlayerGrades+'!$AB$3,"S-",IF(F54&lt;'PlayerGrades+'!$AB$2,"S","S+"))))))))))))))))))))</f>
        <v>A</v>
      </c>
      <c r="H54" s="961">
        <f t="shared" si="3"/>
        <v>0.43335522</v>
      </c>
      <c r="I54" s="961" t="str">
        <f>IF(H54&lt;'PlayerGrades+'!$AC$21,"F-",IF(H54&lt;'PlayerGrades+'!$AC$20,"F",IF(H54&lt;'PlayerGrades+'!$AC$19,"F+",IF(H54&lt;'PlayerGrades+'!$AC$18,"E-",IF(H54&lt;'PlayerGrades+'!$AC$17,"E",IF(H54&lt;'PlayerGrades+'!$AC$16,"E+",IF(H54&lt;'PlayerGrades+'!$AC$15,"D-",IF(H54&lt;'PlayerGrades+'!$AC$14,"D",IF(H54&lt;'PlayerGrades+'!$AC$13,"D+",IF(H54&lt;'PlayerGrades+'!$AC$12,"C-",IF(H54&lt;'PlayerGrades+'!$AC$11,"C",IF(H54&lt;'PlayerGrades+'!$AC$10,"C+",IF(H54&lt;'PlayerGrades+'!$AC$9,"B-",IF(H54&lt;'PlayerGrades+'!$AC$8,"B",IF(H54&lt;'PlayerGrades+'!$AC$7,"B+",IF(H54&lt;'PlayerGrades+'!$AC$6,"A-",IF(H54&lt;'PlayerGrades+'!$AC$5,"A",IF(H54&lt;'PlayerGrades+'!$AC$4,"A+",IF(H54&lt;'PlayerGrades+'!$AC$3,"S-",IF(H54&lt;'PlayerGrades+'!$AC$2,"S","S+"))))))))))))))))))))</f>
        <v>D+</v>
      </c>
      <c r="J54" s="961">
        <f t="shared" si="4"/>
        <v>0.03939592909</v>
      </c>
      <c r="K54" s="961" t="str">
        <f>IF(J54&lt;'PlayerGrades+'!$AD$21,"F-",IF(J54&lt;'PlayerGrades+'!$AD$20,"F",IF(J54&lt;'PlayerGrades+'!$AD$19,"F+",IF(J54&lt;'PlayerGrades+'!$AD$18,"E-",IF(J54&lt;'PlayerGrades+'!$AD$17,"E",IF(J54&lt;'PlayerGrades+'!$AD$16,"E+",IF(J54&lt;'PlayerGrades+'!$AD$15,"D-",IF(J54&lt;'PlayerGrades+'!$AD$14,"D",IF(J54&lt;'PlayerGrades+'!$AD$13,"D+",IF(J54&lt;'PlayerGrades+'!$AD$12,"C-",IF(J54&lt;'PlayerGrades+'!$AD$11,"C",IF(J54&lt;'PlayerGrades+'!$AD$10,"C+",IF(J54&lt;'PlayerGrades+'!$AD$9,"B-",IF(J54&lt;'PlayerGrades+'!$AD$8,"B",IF(J54&lt;'PlayerGrades+'!$AD$7,"B+",IF(J54&lt;'PlayerGrades+'!$AD$6,"A-",IF(J54&lt;'PlayerGrades+'!$AD$5,"A",IF(J54&lt;'PlayerGrades+'!$AD$4,"A+",IF(J54&lt;'PlayerGrades+'!$AD$3,"S-",IF(J54&lt;'PlayerGrades+'!$AD$2,"S","S+"))))))))))))))))))))</f>
        <v>C</v>
      </c>
      <c r="L54" s="992">
        <f t="shared" si="5"/>
        <v>0.472751149</v>
      </c>
      <c r="M54" s="992" t="str">
        <f>IF(L54&lt;'PlayerGrades+'!$AE$21,"F-",IF(L54&lt;'PlayerGrades+'!$AE$20,"F",IF(L54&lt;'PlayerGrades+'!$AE$19,"F+",IF(L54&lt;'PlayerGrades+'!$AE$18,"E-",IF(L54&lt;'PlayerGrades+'!$AE$17,"E",IF(L54&lt;'PlayerGrades+'!$AE$16,"E+",IF(L54&lt;'PlayerGrades+'!$AE$15,"D-",IF(L54&lt;'PlayerGrades+'!$AE$14,"D",IF(L54&lt;'PlayerGrades+'!$AE$13,"D+",IF(L54&lt;'PlayerGrades+'!$AE$12,"C-",IF(L54&lt;'PlayerGrades+'!$AE$11,"C",IF(L54&lt;'PlayerGrades+'!$AE$10,"C+",IF(L54&lt;'PlayerGrades+'!$AE$9,"B-",IF(L54&lt;'PlayerGrades+'!$AE$8,"B",IF(L54&lt;'PlayerGrades+'!$AE$7,"B+",IF(L54&lt;'PlayerGrades+'!$AE$6,"A-",IF(L54&lt;'PlayerGrades+'!$AE$5,"A",IF(L54&lt;'PlayerGrades+'!$AE$4,"A+",IF(L54&lt;'PlayerGrades+'!$AE$3,"S-",IF(L54&lt;'PlayerGrades+'!$AE$2,"S","S+"))))))))))))))))))))</f>
        <v>B</v>
      </c>
      <c r="N54" s="961">
        <f t="shared" si="6"/>
        <v>0.07879185817</v>
      </c>
      <c r="O54" s="961" t="str">
        <f>IF(N54&lt;'PlayerGrades+'!$AF$21,"F-",IF(N54&lt;'PlayerGrades+'!$AF$20,"F",IF(N54&lt;'PlayerGrades+'!$AF$19,"F+",IF(N54&lt;'PlayerGrades+'!$AF$18,"E-",IF(N54&lt;'PlayerGrades+'!$AF$17,"E",IF(N54&lt;'PlayerGrades+'!$AF$16,"E+",IF(N54&lt;'PlayerGrades+'!$AF$15,"D-",IF(N54&lt;'PlayerGrades+'!$AF$14,"D",IF(N54&lt;'PlayerGrades+'!$AF$13,"D+",IF(N54&lt;'PlayerGrades+'!$AF$12,"C-",IF(N54&lt;'PlayerGrades+'!$AF$11,"C",IF(N54&lt;'PlayerGrades+'!$AF$10,"C+",IF(N54&lt;'PlayerGrades+'!$AF$9,"B-",IF(N54&lt;'PlayerGrades+'!$AF$8,"B",IF(N54&lt;'PlayerGrades+'!$AF$7,"B+",IF(N54&lt;'PlayerGrades+'!$AF$6,"A-",IF(N54&lt;'PlayerGrades+'!$AF$5,"A",IF(N54&lt;'PlayerGrades+'!$AF$4,"A+",IF(N54&lt;'PlayerGrades+'!$AF$3,"S-",IF(N54&lt;'PlayerGrades+'!$AF$2,"S","S+"))))))))))))))))))))</f>
        <v>E+</v>
      </c>
      <c r="P54" s="961">
        <f t="shared" si="7"/>
        <v>0.6303348654</v>
      </c>
      <c r="Q54" s="961" t="str">
        <f>IF(P54&lt;'PlayerGrades+'!$AG$21,"F-",IF(P54&lt;'PlayerGrades+'!$AG$20,"F",IF(P54&lt;'PlayerGrades+'!$AG$19,"F+",IF(P54&lt;'PlayerGrades+'!$AG$18,"E-",IF(P54&lt;'PlayerGrades+'!$AG$17,"E",IF(P54&lt;'PlayerGrades+'!$AG$16,"E+",IF(P54&lt;'PlayerGrades+'!$AG$15,"D-",IF(P54&lt;'PlayerGrades+'!$AG$14,"D",IF(P54&lt;'PlayerGrades+'!$AG$13,"D+",IF(P54&lt;'PlayerGrades+'!$AG$12,"C-",IF(P54&lt;'PlayerGrades+'!$AG$11,"C",IF(P54&lt;'PlayerGrades+'!$AG$10,"C+",IF(P54&lt;'PlayerGrades+'!$AG$9,"B-",IF(P54&lt;'PlayerGrades+'!$AG$8,"B",IF(P54&lt;'PlayerGrades+'!$AG$7,"B+",IF(P54&lt;'PlayerGrades+'!$AG$6,"A-",IF(P54&lt;'PlayerGrades+'!$AG$5,"A",IF(P54&lt;'PlayerGrades+'!$AG$4,"A+",IF(P54&lt;'PlayerGrades+'!$AG$3,"S-",IF(P54&lt;'PlayerGrades+'!$AG$2,"S","S+"))))))))))))))))))))</f>
        <v>B-</v>
      </c>
      <c r="R54" s="961">
        <f t="shared" si="8"/>
        <v>0.07879185817</v>
      </c>
      <c r="S54" s="961" t="str">
        <f>IF(R54&lt;'PlayerGrades+'!$AH$21,"F-",IF(R54&lt;'PlayerGrades+'!$AH$20,"F",IF(R54&lt;'PlayerGrades+'!$AH$19,"F+",IF(R54&lt;'PlayerGrades+'!$AH$18,"E-",IF(R54&lt;'PlayerGrades+'!$AH$17,"E",IF(R54&lt;'PlayerGrades+'!$AH$16,"E+",IF(R54&lt;'PlayerGrades+'!$AH$15,"D-",IF(R54&lt;'PlayerGrades+'!$AH$14,"D",IF(R54&lt;'PlayerGrades+'!$AH$13,"D+",IF(R54&lt;'PlayerGrades+'!$AH$12,"C-",IF(R54&lt;'PlayerGrades+'!$AH$11,"C",IF(R54&lt;'PlayerGrades+'!$AH$10,"C+",IF(R54&lt;'PlayerGrades+'!$AH$9,"B-",IF(R54&lt;'PlayerGrades+'!$AH$8,"B",IF(R54&lt;'PlayerGrades+'!$AH$7,"B+",IF(R54&lt;'PlayerGrades+'!$AH$6,"A-",IF(R54&lt;'PlayerGrades+'!$AH$5,"A",IF(R54&lt;'PlayerGrades+'!$AH$4,"A+",IF(R54&lt;'PlayerGrades+'!$AH$3,"S-",IF(R54&lt;'PlayerGrades+'!$AH$2,"S","S+"))))))))))))))))))))</f>
        <v>A-</v>
      </c>
      <c r="T54" s="961">
        <f t="shared" si="9"/>
        <v>2.797110965</v>
      </c>
      <c r="U54" s="961" t="str">
        <f>IF(T54&lt;'PlayerGrades+'!$AI$21,"F-",IF(T54&lt;'PlayerGrades+'!$AI$20,"F",IF(T54&lt;'PlayerGrades+'!$AI$19,"F+",IF(T54&lt;'PlayerGrades+'!$AI$18,"E-",IF(T54&lt;'PlayerGrades+'!$AI$17,"E",IF(T54&lt;'PlayerGrades+'!$AI$16,"E+",IF(T54&lt;'PlayerGrades+'!$AI$15,"D-",IF(T54&lt;'PlayerGrades+'!$AI$14,"D",IF(T54&lt;'PlayerGrades+'!$AI$13,"D+",IF(T54&lt;'PlayerGrades+'!$AI$12,"C-",IF(T54&lt;'PlayerGrades+'!$AI$11,"C",IF(T54&lt;'PlayerGrades+'!$AI$10,"C+",IF(T54&lt;'PlayerGrades+'!$AI$9,"B-",IF(T54&lt;'PlayerGrades+'!$AI$8,"B",IF(T54&lt;'PlayerGrades+'!$AI$7,"B+",IF(T54&lt;'PlayerGrades+'!$AI$6,"A-",IF(T54&lt;'PlayerGrades+'!$AI$5,"A",IF(T54&lt;'PlayerGrades+'!$AI$4,"A+",IF(T54&lt;'PlayerGrades+'!$AI$3,"S-",IF(T54&lt;'PlayerGrades+'!$AI$2,"S","S+"))))))))))))))))))))</f>
        <v>C-</v>
      </c>
      <c r="V54" s="1100">
        <v>0.0</v>
      </c>
      <c r="W54" s="1100">
        <v>1.0</v>
      </c>
      <c r="X54" s="1100">
        <v>1.0</v>
      </c>
      <c r="Y54" s="1100">
        <v>2.0</v>
      </c>
      <c r="Z54" s="1100">
        <v>71.0</v>
      </c>
      <c r="AA54" s="1100">
        <v>95.0</v>
      </c>
      <c r="AB54" s="1017">
        <f t="shared" si="10"/>
        <v>-24</v>
      </c>
      <c r="AC54" s="1020">
        <f t="shared" si="11"/>
        <v>0.7473684211</v>
      </c>
      <c r="AD54" s="1100">
        <v>0.0</v>
      </c>
      <c r="AE54" s="1329">
        <v>1523.0</v>
      </c>
      <c r="AF54" s="1100">
        <v>1.0</v>
      </c>
      <c r="AG54" s="1100">
        <v>0.0</v>
      </c>
      <c r="AH54" s="1100">
        <v>0.0</v>
      </c>
      <c r="AI54" s="1100">
        <v>0.0</v>
      </c>
      <c r="AJ54" s="1100">
        <v>1.0</v>
      </c>
      <c r="AK54" s="1100">
        <v>12.0</v>
      </c>
      <c r="AL54" s="1100">
        <v>2.0</v>
      </c>
      <c r="AM54" s="1100">
        <v>1.0</v>
      </c>
      <c r="AN54" s="1100">
        <v>0.0</v>
      </c>
      <c r="AO54" s="1100">
        <v>0.0</v>
      </c>
      <c r="AP54" s="1100">
        <v>0.0</v>
      </c>
      <c r="AQ54" s="1100">
        <v>0.0</v>
      </c>
      <c r="AR54" s="1100">
        <v>0.0</v>
      </c>
      <c r="AS54" s="1100">
        <v>0.0</v>
      </c>
      <c r="AT54" s="1100">
        <v>0.0</v>
      </c>
      <c r="AU54" s="1100">
        <v>11.0</v>
      </c>
      <c r="AV54" s="1100">
        <v>0.0</v>
      </c>
      <c r="AW54" s="1100">
        <v>0.0</v>
      </c>
      <c r="AX54" s="1100">
        <v>0.0</v>
      </c>
      <c r="AY54" s="1100">
        <v>2.0</v>
      </c>
      <c r="AZ54" s="1239">
        <v>0.0</v>
      </c>
    </row>
    <row r="55">
      <c r="A55" s="938" t="s">
        <v>74</v>
      </c>
      <c r="B55" s="1100" t="str">
        <f>IF(C55&lt;'PlayerGrades+'!$Y$44,"F-",IF(C55&lt;'PlayerGrades+'!$Y$43,"F",IF(C55&lt;'PlayerGrades+'!$Y$42,"F+",IF(C55&lt;'PlayerGrades+'!$Y$41,"E-",IF(C55&lt;'PlayerGrades+'!$Y$40,"E",IF(C55&lt;'PlayerGrades+'!$Y$39,"E+",IF(C55&lt;'PlayerGrades+'!$Y$38,"D-",IF(C55&lt;'PlayerGrades+'!$Y$37,"D",IF(C55&lt;'PlayerGrades+'!$Y$36,"D+",IF(C55&lt;'PlayerGrades+'!$Y$35,"C-",IF(C55&lt;'PlayerGrades+'!$Y$34,"C",IF(C55&lt;'PlayerGrades+'!$Y$33,"C+",IF(C55&lt;'PlayerGrades+'!$Y$32,"B-",IF(C55&lt;'PlayerGrades+'!$Y$31,"B",IF(C55&lt;'PlayerGrades+'!$Y$30,"B+",IF(C55&lt;'PlayerGrades+'!$Y$29,"A-",IF(C55&lt;'PlayerGrades+'!$Y$28,"A",IF(C55&lt;'PlayerGrades+'!$Y$27,"A+",IF(C55&lt;'PlayerGrades+'!$Y$26,"S-",IF(C55&lt;'PlayerGrades+'!$Y$25,"S","S+"))))))))))))))))))))</f>
        <v>E</v>
      </c>
      <c r="C55" s="1105">
        <f>('PlayerGrades+'!$Y$47*(VLOOKUP(E55, 'PlayerGrades+'!$X$3:$Y$23, 2, FALSE)))+('PlayerGrades+'!$Y$48*(VLOOKUP(G55, 'PlayerGrades+'!$X$3:$Y$23, 2, FALSE)))+('PlayerGrades+'!$Y$49*(VLOOKUP(I55, 'PlayerGrades+'!$X$3:$Y$23, 2, FALSE)))+('PlayerGrades+'!$Y$50*(VLOOKUP(K55, 'PlayerGrades+'!$X$3:$Y$23, 2, FALSE)))+('PlayerGrades+'!$Y$51*(VLOOKUP(M55, 'PlayerGrades+'!$X$3:$Y$23, 2, FALSE)))+('PlayerGrades+'!$Y$52*(VLOOKUP(O55, 'PlayerGrades+'!$X$3:$Y$23, 2, FALSE)))+('PlayerGrades+'!$Y$53*(VLOOKUP(Q55, 'PlayerGrades+'!$X$3:$Y$23, 2, FALSE)))+('PlayerGrades+'!$Y$54*(VLOOKUP(S55, 'PlayerGrades+'!$X$3:$Y$23, 2, FALSE)))+('PlayerGrades+'!$Y$55*(VLOOKUP(U55, 'PlayerGrades+'!$X$3:$Y$23, 2, FALSE)))</f>
        <v>10.875</v>
      </c>
      <c r="D55" s="961">
        <f t="shared" si="1"/>
        <v>0</v>
      </c>
      <c r="E55" s="961" t="str">
        <f>IF(D55&lt;'PlayerGrades+'!$AA$21,"F-",IF(D55&lt;'PlayerGrades+'!$AA$20,"F",IF(D55&lt;'PlayerGrades+'!$AA$19,"F+",IF(D55&lt;'PlayerGrades+'!$AA$18,"E-",IF(D55&lt;'PlayerGrades+'!$AA$17,"E",IF(D55&lt;'PlayerGrades+'!$AA$16,"E+",IF(D55&lt;'PlayerGrades+'!$AA$15,"D-",IF(D55&lt;'PlayerGrades+'!$AA$14,"D",IF(D55&lt;'PlayerGrades+'!$AA$13,"D+",IF(D55&lt;'PlayerGrades+'!$AA$12,"C-",IF(D55&lt;'PlayerGrades+'!$AA$11,"C",IF(D55&lt;'PlayerGrades+'!$AA$10,"C+",IF(D55&lt;'PlayerGrades+'!$AA$9,"B-",IF(D55&lt;'PlayerGrades+'!$AA$8,"B",IF(D55&lt;'PlayerGrades+'!$AA$7,"B+",IF(D55&lt;'PlayerGrades+'!$AA$6,"A-",IF(D55&lt;'PlayerGrades+'!$AA$5,"A",IF(D55&lt;'PlayerGrades+'!$AA$4,"A+",IF(D55&lt;'PlayerGrades+'!$AA$3,"S-",IF(D55&lt;'PlayerGrades+'!$AA$2,"S","S+"))))))))))))))))))))</f>
        <v>F-</v>
      </c>
      <c r="F55" s="961">
        <f t="shared" si="2"/>
        <v>0.02471901433</v>
      </c>
      <c r="G55" s="961" t="str">
        <f>IF(F55&lt;'PlayerGrades+'!$AB$21,"F-",IF(F55&lt;'PlayerGrades+'!$AB$20,"F",IF(F55&lt;'PlayerGrades+'!$AB$19,"F+",IF(F55&lt;'PlayerGrades+'!$AB$18,"E-",IF(F55&lt;'PlayerGrades+'!$AB$17,"E",IF(F55&lt;'PlayerGrades+'!$AB$16,"E+",IF(F55&lt;'PlayerGrades+'!$AB$15,"D-",IF(F55&lt;'PlayerGrades+'!$AB$14,"D",IF(F55&lt;'PlayerGrades+'!$AB$13,"D+",IF(F55&lt;'PlayerGrades+'!$AB$12,"C-",IF(F55&lt;'PlayerGrades+'!$AB$11,"C",IF(F55&lt;'PlayerGrades+'!$AB$10,"C+",IF(F55&lt;'PlayerGrades+'!$AB$9,"B-",IF(F55&lt;'PlayerGrades+'!$AB$8,"B",IF(F55&lt;'PlayerGrades+'!$AB$7,"B+",IF(F55&lt;'PlayerGrades+'!$AB$6,"A-",IF(F55&lt;'PlayerGrades+'!$AB$5,"A",IF(F55&lt;'PlayerGrades+'!$AB$4,"A+",IF(F55&lt;'PlayerGrades+'!$AB$3,"S-",IF(F55&lt;'PlayerGrades+'!$AB$2,"S","S+"))))))))))))))))))))</f>
        <v>A</v>
      </c>
      <c r="H55" s="961">
        <f t="shared" si="3"/>
        <v>0.1969796454</v>
      </c>
      <c r="I55" s="961" t="str">
        <f>IF(H55&lt;'PlayerGrades+'!$AC$21,"F-",IF(H55&lt;'PlayerGrades+'!$AC$20,"F",IF(H55&lt;'PlayerGrades+'!$AC$19,"F+",IF(H55&lt;'PlayerGrades+'!$AC$18,"E-",IF(H55&lt;'PlayerGrades+'!$AC$17,"E",IF(H55&lt;'PlayerGrades+'!$AC$16,"E+",IF(H55&lt;'PlayerGrades+'!$AC$15,"D-",IF(H55&lt;'PlayerGrades+'!$AC$14,"D",IF(H55&lt;'PlayerGrades+'!$AC$13,"D+",IF(H55&lt;'PlayerGrades+'!$AC$12,"C-",IF(H55&lt;'PlayerGrades+'!$AC$11,"C",IF(H55&lt;'PlayerGrades+'!$AC$10,"C+",IF(H55&lt;'PlayerGrades+'!$AC$9,"B-",IF(H55&lt;'PlayerGrades+'!$AC$8,"B",IF(H55&lt;'PlayerGrades+'!$AC$7,"B+",IF(H55&lt;'PlayerGrades+'!$AC$6,"A-",IF(H55&lt;'PlayerGrades+'!$AC$5,"A",IF(H55&lt;'PlayerGrades+'!$AC$4,"A+",IF(H55&lt;'PlayerGrades+'!$AC$3,"S-",IF(H55&lt;'PlayerGrades+'!$AC$2,"S","S+"))))))))))))))))))))</f>
        <v>F</v>
      </c>
      <c r="J55" s="961">
        <f t="shared" si="4"/>
        <v>0</v>
      </c>
      <c r="K55" s="961" t="str">
        <f>IF(J55&lt;'PlayerGrades+'!$AD$21,"F-",IF(J55&lt;'PlayerGrades+'!$AD$20,"F",IF(J55&lt;'PlayerGrades+'!$AD$19,"F+",IF(J55&lt;'PlayerGrades+'!$AD$18,"E-",IF(J55&lt;'PlayerGrades+'!$AD$17,"E",IF(J55&lt;'PlayerGrades+'!$AD$16,"E+",IF(J55&lt;'PlayerGrades+'!$AD$15,"D-",IF(J55&lt;'PlayerGrades+'!$AD$14,"D",IF(J55&lt;'PlayerGrades+'!$AD$13,"D+",IF(J55&lt;'PlayerGrades+'!$AD$12,"C-",IF(J55&lt;'PlayerGrades+'!$AD$11,"C",IF(J55&lt;'PlayerGrades+'!$AD$10,"C+",IF(J55&lt;'PlayerGrades+'!$AD$9,"B-",IF(J55&lt;'PlayerGrades+'!$AD$8,"B",IF(J55&lt;'PlayerGrades+'!$AD$7,"B+",IF(J55&lt;'PlayerGrades+'!$AD$6,"A-",IF(J55&lt;'PlayerGrades+'!$AD$5,"A",IF(J55&lt;'PlayerGrades+'!$AD$4,"A+",IF(J55&lt;'PlayerGrades+'!$AD$3,"S-",IF(J55&lt;'PlayerGrades+'!$AD$2,"S","S+"))))))))))))))))))))</f>
        <v>F-</v>
      </c>
      <c r="L55" s="992">
        <f t="shared" si="5"/>
        <v>0.472751149</v>
      </c>
      <c r="M55" s="992" t="str">
        <f>IF(L55&lt;'PlayerGrades+'!$AE$21,"F-",IF(L55&lt;'PlayerGrades+'!$AE$20,"F",IF(L55&lt;'PlayerGrades+'!$AE$19,"F+",IF(L55&lt;'PlayerGrades+'!$AE$18,"E-",IF(L55&lt;'PlayerGrades+'!$AE$17,"E",IF(L55&lt;'PlayerGrades+'!$AE$16,"E+",IF(L55&lt;'PlayerGrades+'!$AE$15,"D-",IF(L55&lt;'PlayerGrades+'!$AE$14,"D",IF(L55&lt;'PlayerGrades+'!$AE$13,"D+",IF(L55&lt;'PlayerGrades+'!$AE$12,"C-",IF(L55&lt;'PlayerGrades+'!$AE$11,"C",IF(L55&lt;'PlayerGrades+'!$AE$10,"C+",IF(L55&lt;'PlayerGrades+'!$AE$9,"B-",IF(L55&lt;'PlayerGrades+'!$AE$8,"B",IF(L55&lt;'PlayerGrades+'!$AE$7,"B+",IF(L55&lt;'PlayerGrades+'!$AE$6,"A-",IF(L55&lt;'PlayerGrades+'!$AE$5,"A",IF(L55&lt;'PlayerGrades+'!$AE$4,"A+",IF(L55&lt;'PlayerGrades+'!$AE$3,"S-",IF(L55&lt;'PlayerGrades+'!$AE$2,"S","S+"))))))))))))))))))))</f>
        <v>B</v>
      </c>
      <c r="N55" s="961">
        <f t="shared" si="6"/>
        <v>0</v>
      </c>
      <c r="O55" s="961" t="str">
        <f>IF(N55&lt;'PlayerGrades+'!$AF$21,"F-",IF(N55&lt;'PlayerGrades+'!$AF$20,"F",IF(N55&lt;'PlayerGrades+'!$AF$19,"F+",IF(N55&lt;'PlayerGrades+'!$AF$18,"E-",IF(N55&lt;'PlayerGrades+'!$AF$17,"E",IF(N55&lt;'PlayerGrades+'!$AF$16,"E+",IF(N55&lt;'PlayerGrades+'!$AF$15,"D-",IF(N55&lt;'PlayerGrades+'!$AF$14,"D",IF(N55&lt;'PlayerGrades+'!$AF$13,"D+",IF(N55&lt;'PlayerGrades+'!$AF$12,"C-",IF(N55&lt;'PlayerGrades+'!$AF$11,"C",IF(N55&lt;'PlayerGrades+'!$AF$10,"C+",IF(N55&lt;'PlayerGrades+'!$AF$9,"B-",IF(N55&lt;'PlayerGrades+'!$AF$8,"B",IF(N55&lt;'PlayerGrades+'!$AF$7,"B+",IF(N55&lt;'PlayerGrades+'!$AF$6,"A-",IF(N55&lt;'PlayerGrades+'!$AF$5,"A",IF(N55&lt;'PlayerGrades+'!$AF$4,"A+",IF(N55&lt;'PlayerGrades+'!$AF$3,"S-",IF(N55&lt;'PlayerGrades+'!$AF$2,"S","S+"))))))))))))))))))))</f>
        <v>F-</v>
      </c>
      <c r="P55" s="961">
        <f t="shared" si="7"/>
        <v>0.472751149</v>
      </c>
      <c r="Q55" s="961" t="str">
        <f>IF(P55&lt;'PlayerGrades+'!$AG$21,"F-",IF(P55&lt;'PlayerGrades+'!$AG$20,"F",IF(P55&lt;'PlayerGrades+'!$AG$19,"F+",IF(P55&lt;'PlayerGrades+'!$AG$18,"E-",IF(P55&lt;'PlayerGrades+'!$AG$17,"E",IF(P55&lt;'PlayerGrades+'!$AG$16,"E+",IF(P55&lt;'PlayerGrades+'!$AG$15,"D-",IF(P55&lt;'PlayerGrades+'!$AG$14,"D",IF(P55&lt;'PlayerGrades+'!$AG$13,"D+",IF(P55&lt;'PlayerGrades+'!$AG$12,"C-",IF(P55&lt;'PlayerGrades+'!$AG$11,"C",IF(P55&lt;'PlayerGrades+'!$AG$10,"C+",IF(P55&lt;'PlayerGrades+'!$AG$9,"B-",IF(P55&lt;'PlayerGrades+'!$AG$8,"B",IF(P55&lt;'PlayerGrades+'!$AG$7,"B+",IF(P55&lt;'PlayerGrades+'!$AG$6,"A-",IF(P55&lt;'PlayerGrades+'!$AG$5,"A",IF(P55&lt;'PlayerGrades+'!$AG$4,"A+",IF(P55&lt;'PlayerGrades+'!$AG$3,"S-",IF(P55&lt;'PlayerGrades+'!$AG$2,"S","S+"))))))))))))))))))))</f>
        <v>E</v>
      </c>
      <c r="R55" s="961">
        <f t="shared" si="8"/>
        <v>0.1575837163</v>
      </c>
      <c r="S55" s="961" t="str">
        <f>IF(R55&lt;'PlayerGrades+'!$AH$21,"F-",IF(R55&lt;'PlayerGrades+'!$AH$20,"F",IF(R55&lt;'PlayerGrades+'!$AH$19,"F+",IF(R55&lt;'PlayerGrades+'!$AH$18,"E-",IF(R55&lt;'PlayerGrades+'!$AH$17,"E",IF(R55&lt;'PlayerGrades+'!$AH$16,"E+",IF(R55&lt;'PlayerGrades+'!$AH$15,"D-",IF(R55&lt;'PlayerGrades+'!$AH$14,"D",IF(R55&lt;'PlayerGrades+'!$AH$13,"D+",IF(R55&lt;'PlayerGrades+'!$AH$12,"C-",IF(R55&lt;'PlayerGrades+'!$AH$11,"C",IF(R55&lt;'PlayerGrades+'!$AH$10,"C+",IF(R55&lt;'PlayerGrades+'!$AH$9,"B-",IF(R55&lt;'PlayerGrades+'!$AH$8,"B",IF(R55&lt;'PlayerGrades+'!$AH$7,"B+",IF(R55&lt;'PlayerGrades+'!$AH$6,"A-",IF(R55&lt;'PlayerGrades+'!$AH$5,"A",IF(R55&lt;'PlayerGrades+'!$AH$4,"A+",IF(R55&lt;'PlayerGrades+'!$AH$3,"S-",IF(R55&lt;'PlayerGrades+'!$AH$2,"S","S+"))))))))))))))))))))</f>
        <v>S+</v>
      </c>
      <c r="T55" s="961">
        <f t="shared" si="9"/>
        <v>2.521339462</v>
      </c>
      <c r="U55" s="961" t="str">
        <f>IF(T55&lt;'PlayerGrades+'!$AI$21,"F-",IF(T55&lt;'PlayerGrades+'!$AI$20,"F",IF(T55&lt;'PlayerGrades+'!$AI$19,"F+",IF(T55&lt;'PlayerGrades+'!$AI$18,"E-",IF(T55&lt;'PlayerGrades+'!$AI$17,"E",IF(T55&lt;'PlayerGrades+'!$AI$16,"E+",IF(T55&lt;'PlayerGrades+'!$AI$15,"D-",IF(T55&lt;'PlayerGrades+'!$AI$14,"D",IF(T55&lt;'PlayerGrades+'!$AI$13,"D+",IF(T55&lt;'PlayerGrades+'!$AI$12,"C-",IF(T55&lt;'PlayerGrades+'!$AI$11,"C",IF(T55&lt;'PlayerGrades+'!$AI$10,"C+",IF(T55&lt;'PlayerGrades+'!$AI$9,"B-",IF(T55&lt;'PlayerGrades+'!$AI$8,"B",IF(T55&lt;'PlayerGrades+'!$AI$7,"B+",IF(T55&lt;'PlayerGrades+'!$AI$6,"A-",IF(T55&lt;'PlayerGrades+'!$AI$5,"A",IF(T55&lt;'PlayerGrades+'!$AI$4,"A+",IF(T55&lt;'PlayerGrades+'!$AI$3,"S-",IF(T55&lt;'PlayerGrades+'!$AI$2,"S","S+"))))))))))))))))))))</f>
        <v>D-</v>
      </c>
      <c r="V55" s="1100">
        <v>0.0</v>
      </c>
      <c r="W55" s="1100">
        <v>1.0</v>
      </c>
      <c r="X55" s="1100">
        <v>0.0</v>
      </c>
      <c r="Y55" s="1100">
        <v>1.0</v>
      </c>
      <c r="Z55" s="1100">
        <v>64.0</v>
      </c>
      <c r="AA55" s="1100">
        <v>102.0</v>
      </c>
      <c r="AB55" s="1017">
        <f t="shared" si="10"/>
        <v>-38</v>
      </c>
      <c r="AC55" s="1020">
        <f t="shared" si="11"/>
        <v>0.6274509804</v>
      </c>
      <c r="AD55" s="1100">
        <v>0.0</v>
      </c>
      <c r="AE55" s="1329">
        <v>1523.0</v>
      </c>
      <c r="AF55" s="1100">
        <v>0.0</v>
      </c>
      <c r="AG55" s="1100">
        <v>0.0</v>
      </c>
      <c r="AH55" s="1100">
        <v>0.0</v>
      </c>
      <c r="AI55" s="1100">
        <v>0.0</v>
      </c>
      <c r="AJ55" s="1100">
        <v>0.0</v>
      </c>
      <c r="AK55" s="1100">
        <v>12.0</v>
      </c>
      <c r="AL55" s="1100">
        <v>0.0</v>
      </c>
      <c r="AM55" s="1100">
        <v>0.0</v>
      </c>
      <c r="AN55" s="1100">
        <v>0.0</v>
      </c>
      <c r="AO55" s="1100">
        <v>0.0</v>
      </c>
      <c r="AP55" s="1100">
        <v>0.0</v>
      </c>
      <c r="AQ55" s="1100">
        <v>0.0</v>
      </c>
      <c r="AR55" s="1100">
        <v>0.0</v>
      </c>
      <c r="AS55" s="1100">
        <v>0.0</v>
      </c>
      <c r="AT55" s="1100">
        <v>0.0</v>
      </c>
      <c r="AU55" s="1100">
        <v>5.0</v>
      </c>
      <c r="AV55" s="1100">
        <v>0.0</v>
      </c>
      <c r="AW55" s="1100">
        <v>0.0</v>
      </c>
      <c r="AX55" s="1100">
        <v>0.0</v>
      </c>
      <c r="AY55" s="1100">
        <v>4.0</v>
      </c>
      <c r="AZ55" s="1239">
        <v>0.0</v>
      </c>
    </row>
    <row r="56">
      <c r="A56" s="938" t="s">
        <v>52</v>
      </c>
      <c r="B56" s="1100" t="str">
        <f>IF(C56&lt;'PlayerGrades+'!$Y$44,"F-",IF(C56&lt;'PlayerGrades+'!$Y$43,"F",IF(C56&lt;'PlayerGrades+'!$Y$42,"F+",IF(C56&lt;'PlayerGrades+'!$Y$41,"E-",IF(C56&lt;'PlayerGrades+'!$Y$40,"E",IF(C56&lt;'PlayerGrades+'!$Y$39,"E+",IF(C56&lt;'PlayerGrades+'!$Y$38,"D-",IF(C56&lt;'PlayerGrades+'!$Y$37,"D",IF(C56&lt;'PlayerGrades+'!$Y$36,"D+",IF(C56&lt;'PlayerGrades+'!$Y$35,"C-",IF(C56&lt;'PlayerGrades+'!$Y$34,"C",IF(C56&lt;'PlayerGrades+'!$Y$33,"C+",IF(C56&lt;'PlayerGrades+'!$Y$32,"B-",IF(C56&lt;'PlayerGrades+'!$Y$31,"B",IF(C56&lt;'PlayerGrades+'!$Y$30,"B+",IF(C56&lt;'PlayerGrades+'!$Y$29,"A-",IF(C56&lt;'PlayerGrades+'!$Y$28,"A",IF(C56&lt;'PlayerGrades+'!$Y$27,"A+",IF(C56&lt;'PlayerGrades+'!$Y$26,"S-",IF(C56&lt;'PlayerGrades+'!$Y$25,"S","S+"))))))))))))))))))))</f>
        <v>C+</v>
      </c>
      <c r="C56" s="1105">
        <f>('PlayerGrades+'!$Y$47*(VLOOKUP(E56, 'PlayerGrades+'!$X$3:$Y$23, 2, FALSE)))+('PlayerGrades+'!$Y$48*(VLOOKUP(G56, 'PlayerGrades+'!$X$3:$Y$23, 2, FALSE)))+('PlayerGrades+'!$Y$49*(VLOOKUP(I56, 'PlayerGrades+'!$X$3:$Y$23, 2, FALSE)))+('PlayerGrades+'!$Y$50*(VLOOKUP(K56, 'PlayerGrades+'!$X$3:$Y$23, 2, FALSE)))+('PlayerGrades+'!$Y$51*(VLOOKUP(M56, 'PlayerGrades+'!$X$3:$Y$23, 2, FALSE)))+('PlayerGrades+'!$Y$52*(VLOOKUP(O56, 'PlayerGrades+'!$X$3:$Y$23, 2, FALSE)))+('PlayerGrades+'!$Y$53*(VLOOKUP(Q56, 'PlayerGrades+'!$X$3:$Y$23, 2, FALSE)))+('PlayerGrades+'!$Y$54*(VLOOKUP(S56, 'PlayerGrades+'!$X$3:$Y$23, 2, FALSE)))+('PlayerGrades+'!$Y$55*(VLOOKUP(U56, 'PlayerGrades+'!$X$3:$Y$23, 2, FALSE)))</f>
        <v>15.3875</v>
      </c>
      <c r="D56" s="961">
        <f t="shared" si="1"/>
        <v>0.07879185817</v>
      </c>
      <c r="E56" s="961" t="str">
        <f>IF(D56&lt;'PlayerGrades+'!$AA$21,"F-",IF(D56&lt;'PlayerGrades+'!$AA$20,"F",IF(D56&lt;'PlayerGrades+'!$AA$19,"F+",IF(D56&lt;'PlayerGrades+'!$AA$18,"E-",IF(D56&lt;'PlayerGrades+'!$AA$17,"E",IF(D56&lt;'PlayerGrades+'!$AA$16,"E+",IF(D56&lt;'PlayerGrades+'!$AA$15,"D-",IF(D56&lt;'PlayerGrades+'!$AA$14,"D",IF(D56&lt;'PlayerGrades+'!$AA$13,"D+",IF(D56&lt;'PlayerGrades+'!$AA$12,"C-",IF(D56&lt;'PlayerGrades+'!$AA$11,"C",IF(D56&lt;'PlayerGrades+'!$AA$10,"C+",IF(D56&lt;'PlayerGrades+'!$AA$9,"B-",IF(D56&lt;'PlayerGrades+'!$AA$8,"B",IF(D56&lt;'PlayerGrades+'!$AA$7,"B+",IF(D56&lt;'PlayerGrades+'!$AA$6,"A-",IF(D56&lt;'PlayerGrades+'!$AA$5,"A",IF(D56&lt;'PlayerGrades+'!$AA$4,"A+",IF(D56&lt;'PlayerGrades+'!$AA$3,"S-",IF(D56&lt;'PlayerGrades+'!$AA$2,"S","S+"))))))))))))))))))))</f>
        <v>A</v>
      </c>
      <c r="F56" s="961">
        <f t="shared" si="2"/>
        <v>0.03597019612</v>
      </c>
      <c r="G56" s="961" t="str">
        <f>IF(F56&lt;'PlayerGrades+'!$AB$21,"F-",IF(F56&lt;'PlayerGrades+'!$AB$20,"F",IF(F56&lt;'PlayerGrades+'!$AB$19,"F+",IF(F56&lt;'PlayerGrades+'!$AB$18,"E-",IF(F56&lt;'PlayerGrades+'!$AB$17,"E",IF(F56&lt;'PlayerGrades+'!$AB$16,"E+",IF(F56&lt;'PlayerGrades+'!$AB$15,"D-",IF(F56&lt;'PlayerGrades+'!$AB$14,"D",IF(F56&lt;'PlayerGrades+'!$AB$13,"D+",IF(F56&lt;'PlayerGrades+'!$AB$12,"C-",IF(F56&lt;'PlayerGrades+'!$AB$11,"C",IF(F56&lt;'PlayerGrades+'!$AB$10,"C+",IF(F56&lt;'PlayerGrades+'!$AB$9,"B-",IF(F56&lt;'PlayerGrades+'!$AB$8,"B",IF(F56&lt;'PlayerGrades+'!$AB$7,"B+",IF(F56&lt;'PlayerGrades+'!$AB$6,"A-",IF(F56&lt;'PlayerGrades+'!$AB$5,"A",IF(F56&lt;'PlayerGrades+'!$AB$4,"A+",IF(F56&lt;'PlayerGrades+'!$AB$3,"S-",IF(F56&lt;'PlayerGrades+'!$AB$2,"S","S+"))))))))))))))))))))</f>
        <v>A</v>
      </c>
      <c r="H56" s="961">
        <f t="shared" si="3"/>
        <v>0.2363755745</v>
      </c>
      <c r="I56" s="961" t="str">
        <f>IF(H56&lt;'PlayerGrades+'!$AC$21,"F-",IF(H56&lt;'PlayerGrades+'!$AC$20,"F",IF(H56&lt;'PlayerGrades+'!$AC$19,"F+",IF(H56&lt;'PlayerGrades+'!$AC$18,"E-",IF(H56&lt;'PlayerGrades+'!$AC$17,"E",IF(H56&lt;'PlayerGrades+'!$AC$16,"E+",IF(H56&lt;'PlayerGrades+'!$AC$15,"D-",IF(H56&lt;'PlayerGrades+'!$AC$14,"D",IF(H56&lt;'PlayerGrades+'!$AC$13,"D+",IF(H56&lt;'PlayerGrades+'!$AC$12,"C-",IF(H56&lt;'PlayerGrades+'!$AC$11,"C",IF(H56&lt;'PlayerGrades+'!$AC$10,"C+",IF(H56&lt;'PlayerGrades+'!$AC$9,"B-",IF(H56&lt;'PlayerGrades+'!$AC$8,"B",IF(H56&lt;'PlayerGrades+'!$AC$7,"B+",IF(H56&lt;'PlayerGrades+'!$AC$6,"A-",IF(H56&lt;'PlayerGrades+'!$AC$5,"A",IF(H56&lt;'PlayerGrades+'!$AC$4,"A+",IF(H56&lt;'PlayerGrades+'!$AC$3,"S-",IF(H56&lt;'PlayerGrades+'!$AC$2,"S","S+"))))))))))))))))))))</f>
        <v>F+</v>
      </c>
      <c r="J56" s="961">
        <f t="shared" si="4"/>
        <v>0.03939592909</v>
      </c>
      <c r="K56" s="961" t="str">
        <f>IF(J56&lt;'PlayerGrades+'!$AD$21,"F-",IF(J56&lt;'PlayerGrades+'!$AD$20,"F",IF(J56&lt;'PlayerGrades+'!$AD$19,"F+",IF(J56&lt;'PlayerGrades+'!$AD$18,"E-",IF(J56&lt;'PlayerGrades+'!$AD$17,"E",IF(J56&lt;'PlayerGrades+'!$AD$16,"E+",IF(J56&lt;'PlayerGrades+'!$AD$15,"D-",IF(J56&lt;'PlayerGrades+'!$AD$14,"D",IF(J56&lt;'PlayerGrades+'!$AD$13,"D+",IF(J56&lt;'PlayerGrades+'!$AD$12,"C-",IF(J56&lt;'PlayerGrades+'!$AD$11,"C",IF(J56&lt;'PlayerGrades+'!$AD$10,"C+",IF(J56&lt;'PlayerGrades+'!$AD$9,"B-",IF(J56&lt;'PlayerGrades+'!$AD$8,"B",IF(J56&lt;'PlayerGrades+'!$AD$7,"B+",IF(J56&lt;'PlayerGrades+'!$AD$6,"A-",IF(J56&lt;'PlayerGrades+'!$AD$5,"A",IF(J56&lt;'PlayerGrades+'!$AD$4,"A+",IF(J56&lt;'PlayerGrades+'!$AD$3,"S-",IF(J56&lt;'PlayerGrades+'!$AD$2,"S","S+"))))))))))))))))))))</f>
        <v>C</v>
      </c>
      <c r="L56" s="992">
        <f t="shared" si="5"/>
        <v>0.3151674327</v>
      </c>
      <c r="M56" s="992" t="str">
        <f>IF(L56&lt;'PlayerGrades+'!$AE$21,"F-",IF(L56&lt;'PlayerGrades+'!$AE$20,"F",IF(L56&lt;'PlayerGrades+'!$AE$19,"F+",IF(L56&lt;'PlayerGrades+'!$AE$18,"E-",IF(L56&lt;'PlayerGrades+'!$AE$17,"E",IF(L56&lt;'PlayerGrades+'!$AE$16,"E+",IF(L56&lt;'PlayerGrades+'!$AE$15,"D-",IF(L56&lt;'PlayerGrades+'!$AE$14,"D",IF(L56&lt;'PlayerGrades+'!$AE$13,"D+",IF(L56&lt;'PlayerGrades+'!$AE$12,"C-",IF(L56&lt;'PlayerGrades+'!$AE$11,"C",IF(L56&lt;'PlayerGrades+'!$AE$10,"C+",IF(L56&lt;'PlayerGrades+'!$AE$9,"B-",IF(L56&lt;'PlayerGrades+'!$AE$8,"B",IF(L56&lt;'PlayerGrades+'!$AE$7,"B+",IF(L56&lt;'PlayerGrades+'!$AE$6,"A-",IF(L56&lt;'PlayerGrades+'!$AE$5,"A",IF(L56&lt;'PlayerGrades+'!$AE$4,"A+",IF(L56&lt;'PlayerGrades+'!$AE$3,"S-",IF(L56&lt;'PlayerGrades+'!$AE$2,"S","S+"))))))))))))))))))))</f>
        <v>E-</v>
      </c>
      <c r="N56" s="961">
        <f t="shared" si="6"/>
        <v>0.07879185817</v>
      </c>
      <c r="O56" s="961" t="str">
        <f>IF(N56&lt;'PlayerGrades+'!$AF$21,"F-",IF(N56&lt;'PlayerGrades+'!$AF$20,"F",IF(N56&lt;'PlayerGrades+'!$AF$19,"F+",IF(N56&lt;'PlayerGrades+'!$AF$18,"E-",IF(N56&lt;'PlayerGrades+'!$AF$17,"E",IF(N56&lt;'PlayerGrades+'!$AF$16,"E+",IF(N56&lt;'PlayerGrades+'!$AF$15,"D-",IF(N56&lt;'PlayerGrades+'!$AF$14,"D",IF(N56&lt;'PlayerGrades+'!$AF$13,"D+",IF(N56&lt;'PlayerGrades+'!$AF$12,"C-",IF(N56&lt;'PlayerGrades+'!$AF$11,"C",IF(N56&lt;'PlayerGrades+'!$AF$10,"C+",IF(N56&lt;'PlayerGrades+'!$AF$9,"B-",IF(N56&lt;'PlayerGrades+'!$AF$8,"B",IF(N56&lt;'PlayerGrades+'!$AF$7,"B+",IF(N56&lt;'PlayerGrades+'!$AF$6,"A-",IF(N56&lt;'PlayerGrades+'!$AF$5,"A",IF(N56&lt;'PlayerGrades+'!$AF$4,"A+",IF(N56&lt;'PlayerGrades+'!$AF$3,"S-",IF(N56&lt;'PlayerGrades+'!$AF$2,"S","S+"))))))))))))))))))))</f>
        <v>E+</v>
      </c>
      <c r="P56" s="961">
        <f t="shared" si="7"/>
        <v>0.43335522</v>
      </c>
      <c r="Q56" s="961" t="str">
        <f>IF(P56&lt;'PlayerGrades+'!$AG$21,"F-",IF(P56&lt;'PlayerGrades+'!$AG$20,"F",IF(P56&lt;'PlayerGrades+'!$AG$19,"F+",IF(P56&lt;'PlayerGrades+'!$AG$18,"E-",IF(P56&lt;'PlayerGrades+'!$AG$17,"E",IF(P56&lt;'PlayerGrades+'!$AG$16,"E+",IF(P56&lt;'PlayerGrades+'!$AG$15,"D-",IF(P56&lt;'PlayerGrades+'!$AG$14,"D",IF(P56&lt;'PlayerGrades+'!$AG$13,"D+",IF(P56&lt;'PlayerGrades+'!$AG$12,"C-",IF(P56&lt;'PlayerGrades+'!$AG$11,"C",IF(P56&lt;'PlayerGrades+'!$AG$10,"C+",IF(P56&lt;'PlayerGrades+'!$AG$9,"B-",IF(P56&lt;'PlayerGrades+'!$AG$8,"B",IF(P56&lt;'PlayerGrades+'!$AG$7,"B+",IF(P56&lt;'PlayerGrades+'!$AG$6,"A-",IF(P56&lt;'PlayerGrades+'!$AG$5,"A",IF(P56&lt;'PlayerGrades+'!$AG$4,"A+",IF(P56&lt;'PlayerGrades+'!$AG$3,"S-",IF(P56&lt;'PlayerGrades+'!$AG$2,"S","S+"))))))))))))))))))))</f>
        <v>E-</v>
      </c>
      <c r="R56" s="961">
        <f t="shared" si="8"/>
        <v>0.07879185817</v>
      </c>
      <c r="S56" s="961" t="str">
        <f>IF(R56&lt;'PlayerGrades+'!$AH$21,"F-",IF(R56&lt;'PlayerGrades+'!$AH$20,"F",IF(R56&lt;'PlayerGrades+'!$AH$19,"F+",IF(R56&lt;'PlayerGrades+'!$AH$18,"E-",IF(R56&lt;'PlayerGrades+'!$AH$17,"E",IF(R56&lt;'PlayerGrades+'!$AH$16,"E+",IF(R56&lt;'PlayerGrades+'!$AH$15,"D-",IF(R56&lt;'PlayerGrades+'!$AH$14,"D",IF(R56&lt;'PlayerGrades+'!$AH$13,"D+",IF(R56&lt;'PlayerGrades+'!$AH$12,"C-",IF(R56&lt;'PlayerGrades+'!$AH$11,"C",IF(R56&lt;'PlayerGrades+'!$AH$10,"C+",IF(R56&lt;'PlayerGrades+'!$AH$9,"B-",IF(R56&lt;'PlayerGrades+'!$AH$8,"B",IF(R56&lt;'PlayerGrades+'!$AH$7,"B+",IF(R56&lt;'PlayerGrades+'!$AH$6,"A-",IF(R56&lt;'PlayerGrades+'!$AH$5,"A",IF(R56&lt;'PlayerGrades+'!$AH$4,"A+",IF(R56&lt;'PlayerGrades+'!$AH$3,"S-",IF(R56&lt;'PlayerGrades+'!$AH$2,"S","S+"))))))))))))))))))))</f>
        <v>A-</v>
      </c>
      <c r="T56" s="961">
        <f t="shared" si="9"/>
        <v>2.481943533</v>
      </c>
      <c r="U56" s="961" t="str">
        <f>IF(T56&lt;'PlayerGrades+'!$AI$21,"F-",IF(T56&lt;'PlayerGrades+'!$AI$20,"F",IF(T56&lt;'PlayerGrades+'!$AI$19,"F+",IF(T56&lt;'PlayerGrades+'!$AI$18,"E-",IF(T56&lt;'PlayerGrades+'!$AI$17,"E",IF(T56&lt;'PlayerGrades+'!$AI$16,"E+",IF(T56&lt;'PlayerGrades+'!$AI$15,"D-",IF(T56&lt;'PlayerGrades+'!$AI$14,"D",IF(T56&lt;'PlayerGrades+'!$AI$13,"D+",IF(T56&lt;'PlayerGrades+'!$AI$12,"C-",IF(T56&lt;'PlayerGrades+'!$AI$11,"C",IF(T56&lt;'PlayerGrades+'!$AI$10,"C+",IF(T56&lt;'PlayerGrades+'!$AI$9,"B-",IF(T56&lt;'PlayerGrades+'!$AI$8,"B",IF(T56&lt;'PlayerGrades+'!$AI$7,"B+",IF(T56&lt;'PlayerGrades+'!$AI$6,"A-",IF(T56&lt;'PlayerGrades+'!$AI$5,"A",IF(T56&lt;'PlayerGrades+'!$AI$4,"A+",IF(T56&lt;'PlayerGrades+'!$AI$3,"S-",IF(T56&lt;'PlayerGrades+'!$AI$2,"S","S+"))))))))))))))))))))</f>
        <v>D-</v>
      </c>
      <c r="V56" s="1100">
        <v>0.0</v>
      </c>
      <c r="W56" s="1100">
        <v>1.0</v>
      </c>
      <c r="X56" s="1100">
        <v>2.0</v>
      </c>
      <c r="Y56" s="1100">
        <v>19.0</v>
      </c>
      <c r="Z56" s="1100">
        <v>63.0</v>
      </c>
      <c r="AA56" s="1100">
        <v>69.0</v>
      </c>
      <c r="AB56" s="1017">
        <f t="shared" si="10"/>
        <v>-6</v>
      </c>
      <c r="AC56" s="1020">
        <f t="shared" si="11"/>
        <v>0.9130434783</v>
      </c>
      <c r="AD56" s="1100">
        <v>0.0</v>
      </c>
      <c r="AE56" s="1329">
        <v>1523.0</v>
      </c>
      <c r="AF56" s="1100">
        <v>1.0</v>
      </c>
      <c r="AG56" s="1100">
        <v>0.0</v>
      </c>
      <c r="AH56" s="1100">
        <v>0.0</v>
      </c>
      <c r="AI56" s="1100">
        <v>0.0</v>
      </c>
      <c r="AJ56" s="1100">
        <v>0.0</v>
      </c>
      <c r="AK56" s="1100">
        <v>8.0</v>
      </c>
      <c r="AL56" s="1100">
        <v>2.0</v>
      </c>
      <c r="AM56" s="1100">
        <v>1.0</v>
      </c>
      <c r="AN56" s="1100">
        <v>0.0</v>
      </c>
      <c r="AO56" s="1100">
        <v>0.0</v>
      </c>
      <c r="AP56" s="1100">
        <v>0.0</v>
      </c>
      <c r="AQ56" s="1100">
        <v>0.0</v>
      </c>
      <c r="AR56" s="1100">
        <v>0.0</v>
      </c>
      <c r="AS56" s="1100">
        <v>0.0</v>
      </c>
      <c r="AT56" s="1100">
        <v>1.0</v>
      </c>
      <c r="AU56" s="1100">
        <v>6.0</v>
      </c>
      <c r="AV56" s="1100">
        <v>0.0</v>
      </c>
      <c r="AW56" s="1100">
        <v>0.0</v>
      </c>
      <c r="AX56" s="1100">
        <v>0.0</v>
      </c>
      <c r="AY56" s="1100">
        <v>2.0</v>
      </c>
      <c r="AZ56" s="1239">
        <v>0.0</v>
      </c>
    </row>
    <row r="57">
      <c r="A57" s="938" t="s">
        <v>162</v>
      </c>
      <c r="B57" s="1100" t="str">
        <f>IF(C57&lt;'PlayerGrades+'!$Y$44,"F-",IF(C57&lt;'PlayerGrades+'!$Y$43,"F",IF(C57&lt;'PlayerGrades+'!$Y$42,"F+",IF(C57&lt;'PlayerGrades+'!$Y$41,"E-",IF(C57&lt;'PlayerGrades+'!$Y$40,"E",IF(C57&lt;'PlayerGrades+'!$Y$39,"E+",IF(C57&lt;'PlayerGrades+'!$Y$38,"D-",IF(C57&lt;'PlayerGrades+'!$Y$37,"D",IF(C57&lt;'PlayerGrades+'!$Y$36,"D+",IF(C57&lt;'PlayerGrades+'!$Y$35,"C-",IF(C57&lt;'PlayerGrades+'!$Y$34,"C",IF(C57&lt;'PlayerGrades+'!$Y$33,"C+",IF(C57&lt;'PlayerGrades+'!$Y$32,"B-",IF(C57&lt;'PlayerGrades+'!$Y$31,"B",IF(C57&lt;'PlayerGrades+'!$Y$30,"B+",IF(C57&lt;'PlayerGrades+'!$Y$29,"A-",IF(C57&lt;'PlayerGrades+'!$Y$28,"A",IF(C57&lt;'PlayerGrades+'!$Y$27,"A+",IF(C57&lt;'PlayerGrades+'!$Y$26,"S-",IF(C57&lt;'PlayerGrades+'!$Y$25,"S","S+"))))))))))))))))))))</f>
        <v>E</v>
      </c>
      <c r="C57" s="1105">
        <f>('PlayerGrades+'!$Y$47*(VLOOKUP(E57, 'PlayerGrades+'!$X$3:$Y$23, 2, FALSE)))+('PlayerGrades+'!$Y$48*(VLOOKUP(G57, 'PlayerGrades+'!$X$3:$Y$23, 2, FALSE)))+('PlayerGrades+'!$Y$49*(VLOOKUP(I57, 'PlayerGrades+'!$X$3:$Y$23, 2, FALSE)))+('PlayerGrades+'!$Y$50*(VLOOKUP(K57, 'PlayerGrades+'!$X$3:$Y$23, 2, FALSE)))+('PlayerGrades+'!$Y$51*(VLOOKUP(M57, 'PlayerGrades+'!$X$3:$Y$23, 2, FALSE)))+('PlayerGrades+'!$Y$52*(VLOOKUP(O57, 'PlayerGrades+'!$X$3:$Y$23, 2, FALSE)))+('PlayerGrades+'!$Y$53*(VLOOKUP(Q57, 'PlayerGrades+'!$X$3:$Y$23, 2, FALSE)))+('PlayerGrades+'!$Y$54*(VLOOKUP(S57, 'PlayerGrades+'!$X$3:$Y$23, 2, FALSE)))+('PlayerGrades+'!$Y$55*(VLOOKUP(U57, 'PlayerGrades+'!$X$3:$Y$23, 2, FALSE)))</f>
        <v>9.8875</v>
      </c>
      <c r="D57" s="1149">
        <f t="shared" si="1"/>
        <v>0</v>
      </c>
      <c r="E57" s="1149" t="str">
        <f>IF(D57&lt;'PlayerGrades+'!$AA$21,"F-",IF(D57&lt;'PlayerGrades+'!$AA$20,"F",IF(D57&lt;'PlayerGrades+'!$AA$19,"F+",IF(D57&lt;'PlayerGrades+'!$AA$18,"E-",IF(D57&lt;'PlayerGrades+'!$AA$17,"E",IF(D57&lt;'PlayerGrades+'!$AA$16,"E+",IF(D57&lt;'PlayerGrades+'!$AA$15,"D-",IF(D57&lt;'PlayerGrades+'!$AA$14,"D",IF(D57&lt;'PlayerGrades+'!$AA$13,"D+",IF(D57&lt;'PlayerGrades+'!$AA$12,"C-",IF(D57&lt;'PlayerGrades+'!$AA$11,"C",IF(D57&lt;'PlayerGrades+'!$AA$10,"C+",IF(D57&lt;'PlayerGrades+'!$AA$9,"B-",IF(D57&lt;'PlayerGrades+'!$AA$8,"B",IF(D57&lt;'PlayerGrades+'!$AA$7,"B+",IF(D57&lt;'PlayerGrades+'!$AA$6,"A-",IF(D57&lt;'PlayerGrades+'!$AA$5,"A",IF(D57&lt;'PlayerGrades+'!$AA$4,"A+",IF(D57&lt;'PlayerGrades+'!$AA$3,"S-",IF(D57&lt;'PlayerGrades+'!$AA$2,"S","S+"))))))))))))))))))))</f>
        <v>F-</v>
      </c>
      <c r="F57" s="1149">
        <f t="shared" si="2"/>
        <v>0.01954038083</v>
      </c>
      <c r="G57" s="1149" t="str">
        <f>IF(F57&lt;'PlayerGrades+'!$AB$21,"F-",IF(F57&lt;'PlayerGrades+'!$AB$20,"F",IF(F57&lt;'PlayerGrades+'!$AB$19,"F+",IF(F57&lt;'PlayerGrades+'!$AB$18,"E-",IF(F57&lt;'PlayerGrades+'!$AB$17,"E",IF(F57&lt;'PlayerGrades+'!$AB$16,"E+",IF(F57&lt;'PlayerGrades+'!$AB$15,"D-",IF(F57&lt;'PlayerGrades+'!$AB$14,"D",IF(F57&lt;'PlayerGrades+'!$AB$13,"D+",IF(F57&lt;'PlayerGrades+'!$AB$12,"C-",IF(F57&lt;'PlayerGrades+'!$AB$11,"C",IF(F57&lt;'PlayerGrades+'!$AB$10,"C+",IF(F57&lt;'PlayerGrades+'!$AB$9,"B-",IF(F57&lt;'PlayerGrades+'!$AB$8,"B",IF(F57&lt;'PlayerGrades+'!$AB$7,"B+",IF(F57&lt;'PlayerGrades+'!$AB$6,"A-",IF(F57&lt;'PlayerGrades+'!$AB$5,"A",IF(F57&lt;'PlayerGrades+'!$AB$4,"A+",IF(F57&lt;'PlayerGrades+'!$AB$3,"S-",IF(F57&lt;'PlayerGrades+'!$AB$2,"S","S+"))))))))))))))))))))</f>
        <v>A</v>
      </c>
      <c r="H57" s="1149">
        <f t="shared" si="3"/>
        <v>0.1575837163</v>
      </c>
      <c r="I57" s="1149" t="str">
        <f>IF(H57&lt;'PlayerGrades+'!$AC$21,"F-",IF(H57&lt;'PlayerGrades+'!$AC$20,"F",IF(H57&lt;'PlayerGrades+'!$AC$19,"F+",IF(H57&lt;'PlayerGrades+'!$AC$18,"E-",IF(H57&lt;'PlayerGrades+'!$AC$17,"E",IF(H57&lt;'PlayerGrades+'!$AC$16,"E+",IF(H57&lt;'PlayerGrades+'!$AC$15,"D-",IF(H57&lt;'PlayerGrades+'!$AC$14,"D",IF(H57&lt;'PlayerGrades+'!$AC$13,"D+",IF(H57&lt;'PlayerGrades+'!$AC$12,"C-",IF(H57&lt;'PlayerGrades+'!$AC$11,"C",IF(H57&lt;'PlayerGrades+'!$AC$10,"C+",IF(H57&lt;'PlayerGrades+'!$AC$9,"B-",IF(H57&lt;'PlayerGrades+'!$AC$8,"B",IF(H57&lt;'PlayerGrades+'!$AC$7,"B+",IF(H57&lt;'PlayerGrades+'!$AC$6,"A-",IF(H57&lt;'PlayerGrades+'!$AC$5,"A",IF(H57&lt;'PlayerGrades+'!$AC$4,"A+",IF(H57&lt;'PlayerGrades+'!$AC$3,"S-",IF(H57&lt;'PlayerGrades+'!$AC$2,"S","S+"))))))))))))))))))))</f>
        <v>F-</v>
      </c>
      <c r="J57" s="1149">
        <f t="shared" si="4"/>
        <v>0.03939592909</v>
      </c>
      <c r="K57" s="1149" t="str">
        <f>IF(J57&lt;'PlayerGrades+'!$AD$21,"F-",IF(J57&lt;'PlayerGrades+'!$AD$20,"F",IF(J57&lt;'PlayerGrades+'!$AD$19,"F+",IF(J57&lt;'PlayerGrades+'!$AD$18,"E-",IF(J57&lt;'PlayerGrades+'!$AD$17,"E",IF(J57&lt;'PlayerGrades+'!$AD$16,"E+",IF(J57&lt;'PlayerGrades+'!$AD$15,"D-",IF(J57&lt;'PlayerGrades+'!$AD$14,"D",IF(J57&lt;'PlayerGrades+'!$AD$13,"D+",IF(J57&lt;'PlayerGrades+'!$AD$12,"C-",IF(J57&lt;'PlayerGrades+'!$AD$11,"C",IF(J57&lt;'PlayerGrades+'!$AD$10,"C+",IF(J57&lt;'PlayerGrades+'!$AD$9,"B-",IF(J57&lt;'PlayerGrades+'!$AD$8,"B",IF(J57&lt;'PlayerGrades+'!$AD$7,"B+",IF(J57&lt;'PlayerGrades+'!$AD$6,"A-",IF(J57&lt;'PlayerGrades+'!$AD$5,"A",IF(J57&lt;'PlayerGrades+'!$AD$4,"A+",IF(J57&lt;'PlayerGrades+'!$AD$3,"S-",IF(J57&lt;'PlayerGrades+'!$AD$2,"S","S+"))))))))))))))))))))</f>
        <v>C</v>
      </c>
      <c r="L57" s="1156">
        <f t="shared" si="5"/>
        <v>0.1969796454</v>
      </c>
      <c r="M57" s="1156" t="str">
        <f>IF(L57&lt;'PlayerGrades+'!$AE$21,"F-",IF(L57&lt;'PlayerGrades+'!$AE$20,"F",IF(L57&lt;'PlayerGrades+'!$AE$19,"F+",IF(L57&lt;'PlayerGrades+'!$AE$18,"E-",IF(L57&lt;'PlayerGrades+'!$AE$17,"E",IF(L57&lt;'PlayerGrades+'!$AE$16,"E+",IF(L57&lt;'PlayerGrades+'!$AE$15,"D-",IF(L57&lt;'PlayerGrades+'!$AE$14,"D",IF(L57&lt;'PlayerGrades+'!$AE$13,"D+",IF(L57&lt;'PlayerGrades+'!$AE$12,"C-",IF(L57&lt;'PlayerGrades+'!$AE$11,"C",IF(L57&lt;'PlayerGrades+'!$AE$10,"C+",IF(L57&lt;'PlayerGrades+'!$AE$9,"B-",IF(L57&lt;'PlayerGrades+'!$AE$8,"B",IF(L57&lt;'PlayerGrades+'!$AE$7,"B+",IF(L57&lt;'PlayerGrades+'!$AE$6,"A-",IF(L57&lt;'PlayerGrades+'!$AE$5,"A",IF(L57&lt;'PlayerGrades+'!$AE$4,"A+",IF(L57&lt;'PlayerGrades+'!$AE$3,"S-",IF(L57&lt;'PlayerGrades+'!$AE$2,"S","S+"))))))))))))))))))))</f>
        <v>F-</v>
      </c>
      <c r="N57" s="1149">
        <f t="shared" si="6"/>
        <v>0.03939592909</v>
      </c>
      <c r="O57" s="1149" t="str">
        <f>IF(N57&lt;'PlayerGrades+'!$AF$21,"F-",IF(N57&lt;'PlayerGrades+'!$AF$20,"F",IF(N57&lt;'PlayerGrades+'!$AF$19,"F+",IF(N57&lt;'PlayerGrades+'!$AF$18,"E-",IF(N57&lt;'PlayerGrades+'!$AF$17,"E",IF(N57&lt;'PlayerGrades+'!$AF$16,"E+",IF(N57&lt;'PlayerGrades+'!$AF$15,"D-",IF(N57&lt;'PlayerGrades+'!$AF$14,"D",IF(N57&lt;'PlayerGrades+'!$AF$13,"D+",IF(N57&lt;'PlayerGrades+'!$AF$12,"C-",IF(N57&lt;'PlayerGrades+'!$AF$11,"C",IF(N57&lt;'PlayerGrades+'!$AF$10,"C+",IF(N57&lt;'PlayerGrades+'!$AF$9,"B-",IF(N57&lt;'PlayerGrades+'!$AF$8,"B",IF(N57&lt;'PlayerGrades+'!$AF$7,"B+",IF(N57&lt;'PlayerGrades+'!$AF$6,"A-",IF(N57&lt;'PlayerGrades+'!$AF$5,"A",IF(N57&lt;'PlayerGrades+'!$AF$4,"A+",IF(N57&lt;'PlayerGrades+'!$AF$3,"S-",IF(N57&lt;'PlayerGrades+'!$AF$2,"S","S+"))))))))))))))))))))</f>
        <v>F</v>
      </c>
      <c r="P57" s="1149">
        <f t="shared" si="7"/>
        <v>0.3151674327</v>
      </c>
      <c r="Q57" s="1149" t="str">
        <f>IF(P57&lt;'PlayerGrades+'!$AG$21,"F-",IF(P57&lt;'PlayerGrades+'!$AG$20,"F",IF(P57&lt;'PlayerGrades+'!$AG$19,"F+",IF(P57&lt;'PlayerGrades+'!$AG$18,"E-",IF(P57&lt;'PlayerGrades+'!$AG$17,"E",IF(P57&lt;'PlayerGrades+'!$AG$16,"E+",IF(P57&lt;'PlayerGrades+'!$AG$15,"D-",IF(P57&lt;'PlayerGrades+'!$AG$14,"D",IF(P57&lt;'PlayerGrades+'!$AG$13,"D+",IF(P57&lt;'PlayerGrades+'!$AG$12,"C-",IF(P57&lt;'PlayerGrades+'!$AG$11,"C",IF(P57&lt;'PlayerGrades+'!$AG$10,"C+",IF(P57&lt;'PlayerGrades+'!$AG$9,"B-",IF(P57&lt;'PlayerGrades+'!$AG$8,"B",IF(P57&lt;'PlayerGrades+'!$AG$7,"B+",IF(P57&lt;'PlayerGrades+'!$AG$6,"A-",IF(P57&lt;'PlayerGrades+'!$AG$5,"A",IF(P57&lt;'PlayerGrades+'!$AG$4,"A+",IF(P57&lt;'PlayerGrades+'!$AG$3,"S-",IF(P57&lt;'PlayerGrades+'!$AG$2,"S","S+"))))))))))))))))))))</f>
        <v>F</v>
      </c>
      <c r="R57" s="1149">
        <f t="shared" si="8"/>
        <v>0.07879185817</v>
      </c>
      <c r="S57" s="1149" t="str">
        <f>IF(R57&lt;'PlayerGrades+'!$AH$21,"F-",IF(R57&lt;'PlayerGrades+'!$AH$20,"F",IF(R57&lt;'PlayerGrades+'!$AH$19,"F+",IF(R57&lt;'PlayerGrades+'!$AH$18,"E-",IF(R57&lt;'PlayerGrades+'!$AH$17,"E",IF(R57&lt;'PlayerGrades+'!$AH$16,"E+",IF(R57&lt;'PlayerGrades+'!$AH$15,"D-",IF(R57&lt;'PlayerGrades+'!$AH$14,"D",IF(R57&lt;'PlayerGrades+'!$AH$13,"D+",IF(R57&lt;'PlayerGrades+'!$AH$12,"C-",IF(R57&lt;'PlayerGrades+'!$AH$11,"C",IF(R57&lt;'PlayerGrades+'!$AH$10,"C+",IF(R57&lt;'PlayerGrades+'!$AH$9,"B-",IF(R57&lt;'PlayerGrades+'!$AH$8,"B",IF(R57&lt;'PlayerGrades+'!$AH$7,"B+",IF(R57&lt;'PlayerGrades+'!$AH$6,"A-",IF(R57&lt;'PlayerGrades+'!$AH$5,"A",IF(R57&lt;'PlayerGrades+'!$AH$4,"A+",IF(R57&lt;'PlayerGrades+'!$AH$3,"S-",IF(R57&lt;'PlayerGrades+'!$AH$2,"S","S+"))))))))))))))))))))</f>
        <v>A-</v>
      </c>
      <c r="T57" s="1149">
        <f t="shared" si="9"/>
        <v>2.442547603</v>
      </c>
      <c r="U57" s="1149" t="str">
        <f>IF(T57&lt;'PlayerGrades+'!$AI$21,"F-",IF(T57&lt;'PlayerGrades+'!$AI$20,"F",IF(T57&lt;'PlayerGrades+'!$AI$19,"F+",IF(T57&lt;'PlayerGrades+'!$AI$18,"E-",IF(T57&lt;'PlayerGrades+'!$AI$17,"E",IF(T57&lt;'PlayerGrades+'!$AI$16,"E+",IF(T57&lt;'PlayerGrades+'!$AI$15,"D-",IF(T57&lt;'PlayerGrades+'!$AI$14,"D",IF(T57&lt;'PlayerGrades+'!$AI$13,"D+",IF(T57&lt;'PlayerGrades+'!$AI$12,"C-",IF(T57&lt;'PlayerGrades+'!$AI$11,"C",IF(T57&lt;'PlayerGrades+'!$AI$10,"C+",IF(T57&lt;'PlayerGrades+'!$AI$9,"B-",IF(T57&lt;'PlayerGrades+'!$AI$8,"B",IF(T57&lt;'PlayerGrades+'!$AI$7,"B+",IF(T57&lt;'PlayerGrades+'!$AI$6,"A-",IF(T57&lt;'PlayerGrades+'!$AI$5,"A",IF(T57&lt;'PlayerGrades+'!$AI$4,"A+",IF(T57&lt;'PlayerGrades+'!$AI$3,"S-",IF(T57&lt;'PlayerGrades+'!$AI$2,"S","S+"))))))))))))))))))))</f>
        <v>E+</v>
      </c>
      <c r="V57" s="1100">
        <v>0.0</v>
      </c>
      <c r="W57" s="1100">
        <v>1.0</v>
      </c>
      <c r="X57" s="1100">
        <v>0.0</v>
      </c>
      <c r="Y57" s="1100">
        <v>0.0</v>
      </c>
      <c r="Z57" s="1100">
        <v>62.0</v>
      </c>
      <c r="AA57" s="1100">
        <v>125.0</v>
      </c>
      <c r="AB57" s="1017">
        <f t="shared" si="10"/>
        <v>-63</v>
      </c>
      <c r="AC57" s="1020">
        <f t="shared" si="11"/>
        <v>0.496</v>
      </c>
      <c r="AD57" s="1100">
        <v>0.0</v>
      </c>
      <c r="AE57" s="1329">
        <v>1523.0</v>
      </c>
      <c r="AF57" s="1100">
        <v>1.0</v>
      </c>
      <c r="AG57" s="1100">
        <v>0.0</v>
      </c>
      <c r="AH57" s="1100">
        <v>0.0</v>
      </c>
      <c r="AI57" s="1100">
        <v>0.0</v>
      </c>
      <c r="AJ57" s="1100">
        <v>1.0</v>
      </c>
      <c r="AK57" s="1100">
        <v>5.0</v>
      </c>
      <c r="AL57" s="1100">
        <v>1.0</v>
      </c>
      <c r="AM57" s="1100">
        <v>1.0</v>
      </c>
      <c r="AN57" s="1100">
        <v>0.0</v>
      </c>
      <c r="AO57" s="1100">
        <v>0.0</v>
      </c>
      <c r="AP57" s="1100">
        <v>0.0</v>
      </c>
      <c r="AQ57" s="1100">
        <v>0.0</v>
      </c>
      <c r="AR57" s="1100">
        <v>0.0</v>
      </c>
      <c r="AS57" s="1100">
        <v>0.0</v>
      </c>
      <c r="AT57" s="1100">
        <v>0.0</v>
      </c>
      <c r="AU57" s="1100">
        <v>4.0</v>
      </c>
      <c r="AV57" s="1100">
        <v>0.0</v>
      </c>
      <c r="AW57" s="1100">
        <v>0.0</v>
      </c>
      <c r="AX57" s="1100">
        <v>0.0</v>
      </c>
      <c r="AY57" s="1100">
        <v>2.0</v>
      </c>
      <c r="AZ57" s="1239">
        <v>0.0</v>
      </c>
    </row>
    <row r="58">
      <c r="A58" s="887" t="s">
        <v>172</v>
      </c>
      <c r="B58" s="1169" t="str">
        <f>IF(C58&lt;'PlayerGrades+'!$Y$44,"F-",IF(C58&lt;'PlayerGrades+'!$Y$43,"F",IF(C58&lt;'PlayerGrades+'!$Y$42,"F+",IF(C58&lt;'PlayerGrades+'!$Y$41,"E-",IF(C58&lt;'PlayerGrades+'!$Y$40,"E",IF(C58&lt;'PlayerGrades+'!$Y$39,"E+",IF(C58&lt;'PlayerGrades+'!$Y$38,"D-",IF(C58&lt;'PlayerGrades+'!$Y$37,"D",IF(C58&lt;'PlayerGrades+'!$Y$36,"D+",IF(C58&lt;'PlayerGrades+'!$Y$35,"C-",IF(C58&lt;'PlayerGrades+'!$Y$34,"C",IF(C58&lt;'PlayerGrades+'!$Y$33,"C+",IF(C58&lt;'PlayerGrades+'!$Y$32,"B-",IF(C58&lt;'PlayerGrades+'!$Y$31,"B",IF(C58&lt;'PlayerGrades+'!$Y$30,"B+",IF(C58&lt;'PlayerGrades+'!$Y$29,"A-",IF(C58&lt;'PlayerGrades+'!$Y$28,"A",IF(C58&lt;'PlayerGrades+'!$Y$27,"A+",IF(C58&lt;'PlayerGrades+'!$Y$26,"S-",IF(C58&lt;'PlayerGrades+'!$Y$25,"S","S+"))))))))))))))))))))</f>
        <v>A</v>
      </c>
      <c r="C58" s="1170">
        <f>('PlayerGrades+'!$Y$47*(VLOOKUP(E58, 'PlayerGrades+'!$X$3:$Y$23, 2, FALSE)))+('PlayerGrades+'!$Y$48*(VLOOKUP(G58, 'PlayerGrades+'!$X$3:$Y$23, 2, FALSE)))+('PlayerGrades+'!$Y$49*(VLOOKUP(I58, 'PlayerGrades+'!$X$3:$Y$23, 2, FALSE)))+('PlayerGrades+'!$Y$50*(VLOOKUP(K58, 'PlayerGrades+'!$X$3:$Y$23, 2, FALSE)))+('PlayerGrades+'!$Y$51*(VLOOKUP(M58, 'PlayerGrades+'!$X$3:$Y$23, 2, FALSE)))+('PlayerGrades+'!$Y$52*(VLOOKUP(O58, 'PlayerGrades+'!$X$3:$Y$23, 2, FALSE)))+('PlayerGrades+'!$Y$53*(VLOOKUP(Q58, 'PlayerGrades+'!$X$3:$Y$23, 2, FALSE)))+('PlayerGrades+'!$Y$54*(VLOOKUP(S58, 'PlayerGrades+'!$X$3:$Y$23, 2, FALSE)))+('PlayerGrades+'!$Y$55*(VLOOKUP(U58, 'PlayerGrades+'!$X$3:$Y$23, 2, FALSE)))</f>
        <v>22.625</v>
      </c>
      <c r="D58" s="890">
        <f t="shared" si="1"/>
        <v>0</v>
      </c>
      <c r="E58" s="890" t="str">
        <f>IF(D58&lt;'PlayerGrades+'!$AA$21,"F-",IF(D58&lt;'PlayerGrades+'!$AA$20,"F",IF(D58&lt;'PlayerGrades+'!$AA$19,"F+",IF(D58&lt;'PlayerGrades+'!$AA$18,"E-",IF(D58&lt;'PlayerGrades+'!$AA$17,"E",IF(D58&lt;'PlayerGrades+'!$AA$16,"E+",IF(D58&lt;'PlayerGrades+'!$AA$15,"D-",IF(D58&lt;'PlayerGrades+'!$AA$14,"D",IF(D58&lt;'PlayerGrades+'!$AA$13,"D+",IF(D58&lt;'PlayerGrades+'!$AA$12,"C-",IF(D58&lt;'PlayerGrades+'!$AA$11,"C",IF(D58&lt;'PlayerGrades+'!$AA$10,"C+",IF(D58&lt;'PlayerGrades+'!$AA$9,"B-",IF(D58&lt;'PlayerGrades+'!$AA$8,"B",IF(D58&lt;'PlayerGrades+'!$AA$7,"B+",IF(D58&lt;'PlayerGrades+'!$AA$6,"A-",IF(D58&lt;'PlayerGrades+'!$AA$5,"A",IF(D58&lt;'PlayerGrades+'!$AA$4,"A+",IF(D58&lt;'PlayerGrades+'!$AA$3,"S-",IF(D58&lt;'PlayerGrades+'!$AA$2,"S","S+"))))))))))))))))))))</f>
        <v>F-</v>
      </c>
      <c r="F58" s="890">
        <f t="shared" si="2"/>
        <v>0.05526712443</v>
      </c>
      <c r="G58" s="890" t="str">
        <f>IF(F58&lt;'PlayerGrades+'!$AB$21,"F-",IF(F58&lt;'PlayerGrades+'!$AB$20,"F",IF(F58&lt;'PlayerGrades+'!$AB$19,"F+",IF(F58&lt;'PlayerGrades+'!$AB$18,"E-",IF(F58&lt;'PlayerGrades+'!$AB$17,"E",IF(F58&lt;'PlayerGrades+'!$AB$16,"E+",IF(F58&lt;'PlayerGrades+'!$AB$15,"D-",IF(F58&lt;'PlayerGrades+'!$AB$14,"D",IF(F58&lt;'PlayerGrades+'!$AB$13,"D+",IF(F58&lt;'PlayerGrades+'!$AB$12,"C-",IF(F58&lt;'PlayerGrades+'!$AB$11,"C",IF(F58&lt;'PlayerGrades+'!$AB$10,"C+",IF(F58&lt;'PlayerGrades+'!$AB$9,"B-",IF(F58&lt;'PlayerGrades+'!$AB$8,"B",IF(F58&lt;'PlayerGrades+'!$AB$7,"B+",IF(F58&lt;'PlayerGrades+'!$AB$6,"A-",IF(F58&lt;'PlayerGrades+'!$AB$5,"A",IF(F58&lt;'PlayerGrades+'!$AB$4,"A+",IF(F58&lt;'PlayerGrades+'!$AB$3,"S-",IF(F58&lt;'PlayerGrades+'!$AB$2,"S","S+"))))))))))))))))))))</f>
        <v>A</v>
      </c>
      <c r="H58" s="890">
        <f t="shared" si="3"/>
        <v>1.23094959</v>
      </c>
      <c r="I58" s="890" t="str">
        <f>IF(H58&lt;'PlayerGrades+'!$AC$21,"F-",IF(H58&lt;'PlayerGrades+'!$AC$20,"F",IF(H58&lt;'PlayerGrades+'!$AC$19,"F+",IF(H58&lt;'PlayerGrades+'!$AC$18,"E-",IF(H58&lt;'PlayerGrades+'!$AC$17,"E",IF(H58&lt;'PlayerGrades+'!$AC$16,"E+",IF(H58&lt;'PlayerGrades+'!$AC$15,"D-",IF(H58&lt;'PlayerGrades+'!$AC$14,"D",IF(H58&lt;'PlayerGrades+'!$AC$13,"D+",IF(H58&lt;'PlayerGrades+'!$AC$12,"C-",IF(H58&lt;'PlayerGrades+'!$AC$11,"C",IF(H58&lt;'PlayerGrades+'!$AC$10,"C+",IF(H58&lt;'PlayerGrades+'!$AC$9,"B-",IF(H58&lt;'PlayerGrades+'!$AC$8,"B",IF(H58&lt;'PlayerGrades+'!$AC$7,"B+",IF(H58&lt;'PlayerGrades+'!$AC$6,"A-",IF(H58&lt;'PlayerGrades+'!$AC$5,"A",IF(H58&lt;'PlayerGrades+'!$AC$4,"A+",IF(H58&lt;'PlayerGrades+'!$AC$3,"S-",IF(H58&lt;'PlayerGrades+'!$AC$2,"S","S+"))))))))))))))))))))</f>
        <v>S+</v>
      </c>
      <c r="J58" s="890">
        <f t="shared" si="4"/>
        <v>0.2110199297</v>
      </c>
      <c r="K58" s="890" t="str">
        <f>IF(J58&lt;'PlayerGrades+'!$AD$21,"F-",IF(J58&lt;'PlayerGrades+'!$AD$20,"F",IF(J58&lt;'PlayerGrades+'!$AD$19,"F+",IF(J58&lt;'PlayerGrades+'!$AD$18,"E-",IF(J58&lt;'PlayerGrades+'!$AD$17,"E",IF(J58&lt;'PlayerGrades+'!$AD$16,"E+",IF(J58&lt;'PlayerGrades+'!$AD$15,"D-",IF(J58&lt;'PlayerGrades+'!$AD$14,"D",IF(J58&lt;'PlayerGrades+'!$AD$13,"D+",IF(J58&lt;'PlayerGrades+'!$AD$12,"C-",IF(J58&lt;'PlayerGrades+'!$AD$11,"C",IF(J58&lt;'PlayerGrades+'!$AD$10,"C+",IF(J58&lt;'PlayerGrades+'!$AD$9,"B-",IF(J58&lt;'PlayerGrades+'!$AD$8,"B",IF(J58&lt;'PlayerGrades+'!$AD$7,"B+",IF(J58&lt;'PlayerGrades+'!$AD$6,"A-",IF(J58&lt;'PlayerGrades+'!$AD$5,"A",IF(J58&lt;'PlayerGrades+'!$AD$4,"A+",IF(J58&lt;'PlayerGrades+'!$AD$3,"S-",IF(J58&lt;'PlayerGrades+'!$AD$2,"S","S+"))))))))))))))))))))</f>
        <v>S+</v>
      </c>
      <c r="L58" s="899">
        <f t="shared" si="5"/>
        <v>0.8440797186</v>
      </c>
      <c r="M58" s="899" t="str">
        <f>IF(L58&lt;'PlayerGrades+'!$AE$21,"F-",IF(L58&lt;'PlayerGrades+'!$AE$20,"F",IF(L58&lt;'PlayerGrades+'!$AE$19,"F+",IF(L58&lt;'PlayerGrades+'!$AE$18,"E-",IF(L58&lt;'PlayerGrades+'!$AE$17,"E",IF(L58&lt;'PlayerGrades+'!$AE$16,"E+",IF(L58&lt;'PlayerGrades+'!$AE$15,"D-",IF(L58&lt;'PlayerGrades+'!$AE$14,"D",IF(L58&lt;'PlayerGrades+'!$AE$13,"D+",IF(L58&lt;'PlayerGrades+'!$AE$12,"C-",IF(L58&lt;'PlayerGrades+'!$AE$11,"C",IF(L58&lt;'PlayerGrades+'!$AE$10,"C+",IF(L58&lt;'PlayerGrades+'!$AE$9,"B-",IF(L58&lt;'PlayerGrades+'!$AE$8,"B",IF(L58&lt;'PlayerGrades+'!$AE$7,"B+",IF(L58&lt;'PlayerGrades+'!$AE$6,"A-",IF(L58&lt;'PlayerGrades+'!$AE$5,"A",IF(L58&lt;'PlayerGrades+'!$AE$4,"A+",IF(L58&lt;'PlayerGrades+'!$AE$3,"S-",IF(L58&lt;'PlayerGrades+'!$AE$2,"S","S+"))))))))))))))))))))</f>
        <v>S</v>
      </c>
      <c r="N58" s="890">
        <f t="shared" si="6"/>
        <v>0.3516998828</v>
      </c>
      <c r="O58" s="890" t="str">
        <f>IF(N58&lt;'PlayerGrades+'!$AF$21,"F-",IF(N58&lt;'PlayerGrades+'!$AF$20,"F",IF(N58&lt;'PlayerGrades+'!$AF$19,"F+",IF(N58&lt;'PlayerGrades+'!$AF$18,"E-",IF(N58&lt;'PlayerGrades+'!$AF$17,"E",IF(N58&lt;'PlayerGrades+'!$AF$16,"E+",IF(N58&lt;'PlayerGrades+'!$AF$15,"D-",IF(N58&lt;'PlayerGrades+'!$AF$14,"D",IF(N58&lt;'PlayerGrades+'!$AF$13,"D+",IF(N58&lt;'PlayerGrades+'!$AF$12,"C-",IF(N58&lt;'PlayerGrades+'!$AF$11,"C",IF(N58&lt;'PlayerGrades+'!$AF$10,"C+",IF(N58&lt;'PlayerGrades+'!$AF$9,"B-",IF(N58&lt;'PlayerGrades+'!$AF$8,"B",IF(N58&lt;'PlayerGrades+'!$AF$7,"B+",IF(N58&lt;'PlayerGrades+'!$AF$6,"A-",IF(N58&lt;'PlayerGrades+'!$AF$5,"A",IF(N58&lt;'PlayerGrades+'!$AF$4,"A+",IF(N58&lt;'PlayerGrades+'!$AF$3,"S-",IF(N58&lt;'PlayerGrades+'!$AF$2,"S","S+"))))))))))))))))))))</f>
        <v>S+</v>
      </c>
      <c r="P58" s="890">
        <f t="shared" si="7"/>
        <v>1.477139508</v>
      </c>
      <c r="Q58" s="890" t="str">
        <f>IF(P58&lt;'PlayerGrades+'!$AG$21,"F-",IF(P58&lt;'PlayerGrades+'!$AG$20,"F",IF(P58&lt;'PlayerGrades+'!$AG$19,"F+",IF(P58&lt;'PlayerGrades+'!$AG$18,"E-",IF(P58&lt;'PlayerGrades+'!$AG$17,"E",IF(P58&lt;'PlayerGrades+'!$AG$16,"E+",IF(P58&lt;'PlayerGrades+'!$AG$15,"D-",IF(P58&lt;'PlayerGrades+'!$AG$14,"D",IF(P58&lt;'PlayerGrades+'!$AG$13,"D+",IF(P58&lt;'PlayerGrades+'!$AG$12,"C-",IF(P58&lt;'PlayerGrades+'!$AG$11,"C",IF(P58&lt;'PlayerGrades+'!$AG$10,"C+",IF(P58&lt;'PlayerGrades+'!$AG$9,"B-",IF(P58&lt;'PlayerGrades+'!$AG$8,"B",IF(P58&lt;'PlayerGrades+'!$AG$7,"B+",IF(P58&lt;'PlayerGrades+'!$AG$6,"A-",IF(P58&lt;'PlayerGrades+'!$AG$5,"A",IF(P58&lt;'PlayerGrades+'!$AG$4,"A+",IF(P58&lt;'PlayerGrades+'!$AG$3,"S-",IF(P58&lt;'PlayerGrades+'!$AG$2,"S","S+"))))))))))))))))))))</f>
        <v>S</v>
      </c>
      <c r="R58" s="890">
        <f t="shared" si="8"/>
        <v>0.03516998828</v>
      </c>
      <c r="S58" s="890" t="str">
        <f>IF(R58&lt;'PlayerGrades+'!$AH$21,"F-",IF(R58&lt;'PlayerGrades+'!$AH$20,"F",IF(R58&lt;'PlayerGrades+'!$AH$19,"F+",IF(R58&lt;'PlayerGrades+'!$AH$18,"E-",IF(R58&lt;'PlayerGrades+'!$AH$17,"E",IF(R58&lt;'PlayerGrades+'!$AH$16,"E+",IF(R58&lt;'PlayerGrades+'!$AH$15,"D-",IF(R58&lt;'PlayerGrades+'!$AH$14,"D",IF(R58&lt;'PlayerGrades+'!$AH$13,"D+",IF(R58&lt;'PlayerGrades+'!$AH$12,"C-",IF(R58&lt;'PlayerGrades+'!$AH$11,"C",IF(R58&lt;'PlayerGrades+'!$AH$10,"C+",IF(R58&lt;'PlayerGrades+'!$AH$9,"B-",IF(R58&lt;'PlayerGrades+'!$AH$8,"B",IF(R58&lt;'PlayerGrades+'!$AH$7,"B+",IF(R58&lt;'PlayerGrades+'!$AH$6,"A-",IF(R58&lt;'PlayerGrades+'!$AH$5,"A",IF(R58&lt;'PlayerGrades+'!$AH$4,"A+",IF(R58&lt;'PlayerGrades+'!$AH$3,"S-",IF(R58&lt;'PlayerGrades+'!$AH$2,"S","S+"))))))))))))))))))))</f>
        <v>F+</v>
      </c>
      <c r="T58" s="890">
        <f t="shared" si="9"/>
        <v>4.255568581</v>
      </c>
      <c r="U58" s="890" t="str">
        <f>IF(T58&lt;'PlayerGrades+'!$AI$21,"F-",IF(T58&lt;'PlayerGrades+'!$AI$20,"F",IF(T58&lt;'PlayerGrades+'!$AI$19,"F+",IF(T58&lt;'PlayerGrades+'!$AI$18,"E-",IF(T58&lt;'PlayerGrades+'!$AI$17,"E",IF(T58&lt;'PlayerGrades+'!$AI$16,"E+",IF(T58&lt;'PlayerGrades+'!$AI$15,"D-",IF(T58&lt;'PlayerGrades+'!$AI$14,"D",IF(T58&lt;'PlayerGrades+'!$AI$13,"D+",IF(T58&lt;'PlayerGrades+'!$AI$12,"C-",IF(T58&lt;'PlayerGrades+'!$AI$11,"C",IF(T58&lt;'PlayerGrades+'!$AI$10,"C+",IF(T58&lt;'PlayerGrades+'!$AI$9,"B-",IF(T58&lt;'PlayerGrades+'!$AI$8,"B",IF(T58&lt;'PlayerGrades+'!$AI$7,"B+",IF(T58&lt;'PlayerGrades+'!$AI$6,"A-",IF(T58&lt;'PlayerGrades+'!$AI$5,"A",IF(T58&lt;'PlayerGrades+'!$AI$4,"A+",IF(T58&lt;'PlayerGrades+'!$AI$3,"S-",IF(T58&lt;'PlayerGrades+'!$AI$2,"S","S+"))))))))))))))))))))</f>
        <v>S+</v>
      </c>
      <c r="V58" s="1169">
        <v>1.0</v>
      </c>
      <c r="W58" s="1169">
        <v>0.0</v>
      </c>
      <c r="X58" s="1169">
        <v>0.0</v>
      </c>
      <c r="Y58" s="1169">
        <v>1.0</v>
      </c>
      <c r="Z58" s="1169">
        <v>121.0</v>
      </c>
      <c r="AA58" s="1169">
        <v>77.0</v>
      </c>
      <c r="AB58" s="925">
        <f t="shared" si="10"/>
        <v>44</v>
      </c>
      <c r="AC58" s="930">
        <f t="shared" si="11"/>
        <v>1.571428571</v>
      </c>
      <c r="AD58" s="1169">
        <v>0.0</v>
      </c>
      <c r="AE58" s="1300">
        <v>1706.0</v>
      </c>
      <c r="AF58" s="1169">
        <v>6.0</v>
      </c>
      <c r="AG58" s="1169">
        <v>1.0</v>
      </c>
      <c r="AH58" s="1169">
        <v>0.0</v>
      </c>
      <c r="AI58" s="1169">
        <v>0.0</v>
      </c>
      <c r="AJ58" s="1169">
        <v>1.0</v>
      </c>
      <c r="AK58" s="1169">
        <v>24.0</v>
      </c>
      <c r="AL58" s="1169">
        <v>10.0</v>
      </c>
      <c r="AM58" s="1169">
        <v>4.0</v>
      </c>
      <c r="AN58" s="1169">
        <v>2.0</v>
      </c>
      <c r="AO58" s="1169">
        <v>1.0</v>
      </c>
      <c r="AP58" s="1169">
        <v>0.0</v>
      </c>
      <c r="AQ58" s="1169">
        <v>0.0</v>
      </c>
      <c r="AR58" s="1169">
        <v>0.0</v>
      </c>
      <c r="AS58" s="1169">
        <v>0.0</v>
      </c>
      <c r="AT58" s="1169">
        <v>0.0</v>
      </c>
      <c r="AU58" s="1169">
        <v>35.0</v>
      </c>
      <c r="AV58" s="1169">
        <v>0.0</v>
      </c>
      <c r="AW58" s="1169">
        <v>0.0</v>
      </c>
      <c r="AX58" s="1169">
        <v>0.0</v>
      </c>
      <c r="AY58" s="1169">
        <v>1.0</v>
      </c>
      <c r="AZ58" s="1302">
        <v>0.0</v>
      </c>
    </row>
    <row r="59">
      <c r="A59" s="938" t="s">
        <v>250</v>
      </c>
      <c r="B59" s="1100" t="str">
        <f>IF(C59&lt;'PlayerGrades+'!$Y$44,"F-",IF(C59&lt;'PlayerGrades+'!$Y$43,"F",IF(C59&lt;'PlayerGrades+'!$Y$42,"F+",IF(C59&lt;'PlayerGrades+'!$Y$41,"E-",IF(C59&lt;'PlayerGrades+'!$Y$40,"E",IF(C59&lt;'PlayerGrades+'!$Y$39,"E+",IF(C59&lt;'PlayerGrades+'!$Y$38,"D-",IF(C59&lt;'PlayerGrades+'!$Y$37,"D",IF(C59&lt;'PlayerGrades+'!$Y$36,"D+",IF(C59&lt;'PlayerGrades+'!$Y$35,"C-",IF(C59&lt;'PlayerGrades+'!$Y$34,"C",IF(C59&lt;'PlayerGrades+'!$Y$33,"C+",IF(C59&lt;'PlayerGrades+'!$Y$32,"B-",IF(C59&lt;'PlayerGrades+'!$Y$31,"B",IF(C59&lt;'PlayerGrades+'!$Y$30,"B+",IF(C59&lt;'PlayerGrades+'!$Y$29,"A-",IF(C59&lt;'PlayerGrades+'!$Y$28,"A",IF(C59&lt;'PlayerGrades+'!$Y$27,"A+",IF(C59&lt;'PlayerGrades+'!$Y$26,"S-",IF(C59&lt;'PlayerGrades+'!$Y$25,"S","S+"))))))))))))))))))))</f>
        <v>A-</v>
      </c>
      <c r="C59" s="1105">
        <f>('PlayerGrades+'!$Y$47*(VLOOKUP(E59, 'PlayerGrades+'!$X$3:$Y$23, 2, FALSE)))+('PlayerGrades+'!$Y$48*(VLOOKUP(G59, 'PlayerGrades+'!$X$3:$Y$23, 2, FALSE)))+('PlayerGrades+'!$Y$49*(VLOOKUP(I59, 'PlayerGrades+'!$X$3:$Y$23, 2, FALSE)))+('PlayerGrades+'!$Y$50*(VLOOKUP(K59, 'PlayerGrades+'!$X$3:$Y$23, 2, FALSE)))+('PlayerGrades+'!$Y$51*(VLOOKUP(M59, 'PlayerGrades+'!$X$3:$Y$23, 2, FALSE)))+('PlayerGrades+'!$Y$52*(VLOOKUP(O59, 'PlayerGrades+'!$X$3:$Y$23, 2, FALSE)))+('PlayerGrades+'!$Y$53*(VLOOKUP(Q59, 'PlayerGrades+'!$X$3:$Y$23, 2, FALSE)))+('PlayerGrades+'!$Y$54*(VLOOKUP(S59, 'PlayerGrades+'!$X$3:$Y$23, 2, FALSE)))+('PlayerGrades+'!$Y$55*(VLOOKUP(U59, 'PlayerGrades+'!$X$3:$Y$23, 2, FALSE)))</f>
        <v>21.0875</v>
      </c>
      <c r="D59" s="961">
        <f t="shared" si="1"/>
        <v>0</v>
      </c>
      <c r="E59" s="961" t="str">
        <f>IF(D59&lt;'PlayerGrades+'!$AA$21,"F-",IF(D59&lt;'PlayerGrades+'!$AA$20,"F",IF(D59&lt;'PlayerGrades+'!$AA$19,"F+",IF(D59&lt;'PlayerGrades+'!$AA$18,"E-",IF(D59&lt;'PlayerGrades+'!$AA$17,"E",IF(D59&lt;'PlayerGrades+'!$AA$16,"E+",IF(D59&lt;'PlayerGrades+'!$AA$15,"D-",IF(D59&lt;'PlayerGrades+'!$AA$14,"D",IF(D59&lt;'PlayerGrades+'!$AA$13,"D+",IF(D59&lt;'PlayerGrades+'!$AA$12,"C-",IF(D59&lt;'PlayerGrades+'!$AA$11,"C",IF(D59&lt;'PlayerGrades+'!$AA$10,"C+",IF(D59&lt;'PlayerGrades+'!$AA$9,"B-",IF(D59&lt;'PlayerGrades+'!$AA$8,"B",IF(D59&lt;'PlayerGrades+'!$AA$7,"B+",IF(D59&lt;'PlayerGrades+'!$AA$6,"A-",IF(D59&lt;'PlayerGrades+'!$AA$5,"A",IF(D59&lt;'PlayerGrades+'!$AA$4,"A+",IF(D59&lt;'PlayerGrades+'!$AA$3,"S-",IF(D59&lt;'PlayerGrades+'!$AA$2,"S","S+"))))))))))))))))))))</f>
        <v>F-</v>
      </c>
      <c r="F59" s="961">
        <f t="shared" si="2"/>
        <v>0.03427583603</v>
      </c>
      <c r="G59" s="961" t="str">
        <f>IF(F59&lt;'PlayerGrades+'!$AB$21,"F-",IF(F59&lt;'PlayerGrades+'!$AB$20,"F",IF(F59&lt;'PlayerGrades+'!$AB$19,"F+",IF(F59&lt;'PlayerGrades+'!$AB$18,"E-",IF(F59&lt;'PlayerGrades+'!$AB$17,"E",IF(F59&lt;'PlayerGrades+'!$AB$16,"E+",IF(F59&lt;'PlayerGrades+'!$AB$15,"D-",IF(F59&lt;'PlayerGrades+'!$AB$14,"D",IF(F59&lt;'PlayerGrades+'!$AB$13,"D+",IF(F59&lt;'PlayerGrades+'!$AB$12,"C-",IF(F59&lt;'PlayerGrades+'!$AB$11,"C",IF(F59&lt;'PlayerGrades+'!$AB$10,"C+",IF(F59&lt;'PlayerGrades+'!$AB$9,"B-",IF(F59&lt;'PlayerGrades+'!$AB$8,"B",IF(F59&lt;'PlayerGrades+'!$AB$7,"B+",IF(F59&lt;'PlayerGrades+'!$AB$6,"A-",IF(F59&lt;'PlayerGrades+'!$AB$5,"A",IF(F59&lt;'PlayerGrades+'!$AB$4,"A+",IF(F59&lt;'PlayerGrades+'!$AB$3,"S-",IF(F59&lt;'PlayerGrades+'!$AB$2,"S","S+"))))))))))))))))))))</f>
        <v>A</v>
      </c>
      <c r="H59" s="961">
        <f t="shared" si="3"/>
        <v>0.7033997655</v>
      </c>
      <c r="I59" s="961" t="str">
        <f>IF(H59&lt;'PlayerGrades+'!$AC$21,"F-",IF(H59&lt;'PlayerGrades+'!$AC$20,"F",IF(H59&lt;'PlayerGrades+'!$AC$19,"F+",IF(H59&lt;'PlayerGrades+'!$AC$18,"E-",IF(H59&lt;'PlayerGrades+'!$AC$17,"E",IF(H59&lt;'PlayerGrades+'!$AC$16,"E+",IF(H59&lt;'PlayerGrades+'!$AC$15,"D-",IF(H59&lt;'PlayerGrades+'!$AC$14,"D",IF(H59&lt;'PlayerGrades+'!$AC$13,"D+",IF(H59&lt;'PlayerGrades+'!$AC$12,"C-",IF(H59&lt;'PlayerGrades+'!$AC$11,"C",IF(H59&lt;'PlayerGrades+'!$AC$10,"C+",IF(H59&lt;'PlayerGrades+'!$AC$9,"B-",IF(H59&lt;'PlayerGrades+'!$AC$8,"B",IF(H59&lt;'PlayerGrades+'!$AC$7,"B+",IF(H59&lt;'PlayerGrades+'!$AC$6,"A-",IF(H59&lt;'PlayerGrades+'!$AC$5,"A",IF(H59&lt;'PlayerGrades+'!$AC$4,"A+",IF(H59&lt;'PlayerGrades+'!$AC$3,"S-",IF(H59&lt;'PlayerGrades+'!$AC$2,"S","S+"))))))))))))))))))))</f>
        <v>A+</v>
      </c>
      <c r="J59" s="961">
        <f t="shared" si="4"/>
        <v>0.07033997655</v>
      </c>
      <c r="K59" s="961" t="str">
        <f>IF(J59&lt;'PlayerGrades+'!$AD$21,"F-",IF(J59&lt;'PlayerGrades+'!$AD$20,"F",IF(J59&lt;'PlayerGrades+'!$AD$19,"F+",IF(J59&lt;'PlayerGrades+'!$AD$18,"E-",IF(J59&lt;'PlayerGrades+'!$AD$17,"E",IF(J59&lt;'PlayerGrades+'!$AD$16,"E+",IF(J59&lt;'PlayerGrades+'!$AD$15,"D-",IF(J59&lt;'PlayerGrades+'!$AD$14,"D",IF(J59&lt;'PlayerGrades+'!$AD$13,"D+",IF(J59&lt;'PlayerGrades+'!$AD$12,"C-",IF(J59&lt;'PlayerGrades+'!$AD$11,"C",IF(J59&lt;'PlayerGrades+'!$AD$10,"C+",IF(J59&lt;'PlayerGrades+'!$AD$9,"B-",IF(J59&lt;'PlayerGrades+'!$AD$8,"B",IF(J59&lt;'PlayerGrades+'!$AD$7,"B+",IF(J59&lt;'PlayerGrades+'!$AD$6,"A-",IF(J59&lt;'PlayerGrades+'!$AD$5,"A",IF(J59&lt;'PlayerGrades+'!$AD$4,"A+",IF(J59&lt;'PlayerGrades+'!$AD$3,"S-",IF(J59&lt;'PlayerGrades+'!$AD$2,"S","S+"))))))))))))))))))))</f>
        <v>A-</v>
      </c>
      <c r="L59" s="992">
        <f t="shared" si="5"/>
        <v>0.5627198124</v>
      </c>
      <c r="M59" s="992" t="str">
        <f>IF(L59&lt;'PlayerGrades+'!$AE$21,"F-",IF(L59&lt;'PlayerGrades+'!$AE$20,"F",IF(L59&lt;'PlayerGrades+'!$AE$19,"F+",IF(L59&lt;'PlayerGrades+'!$AE$18,"E-",IF(L59&lt;'PlayerGrades+'!$AE$17,"E",IF(L59&lt;'PlayerGrades+'!$AE$16,"E+",IF(L59&lt;'PlayerGrades+'!$AE$15,"D-",IF(L59&lt;'PlayerGrades+'!$AE$14,"D",IF(L59&lt;'PlayerGrades+'!$AE$13,"D+",IF(L59&lt;'PlayerGrades+'!$AE$12,"C-",IF(L59&lt;'PlayerGrades+'!$AE$11,"C",IF(L59&lt;'PlayerGrades+'!$AE$10,"C+",IF(L59&lt;'PlayerGrades+'!$AE$9,"B-",IF(L59&lt;'PlayerGrades+'!$AE$8,"B",IF(L59&lt;'PlayerGrades+'!$AE$7,"B+",IF(L59&lt;'PlayerGrades+'!$AE$6,"A-",IF(L59&lt;'PlayerGrades+'!$AE$5,"A",IF(L59&lt;'PlayerGrades+'!$AE$4,"A+",IF(L59&lt;'PlayerGrades+'!$AE$3,"S-",IF(L59&lt;'PlayerGrades+'!$AE$2,"S","S+"))))))))))))))))))))</f>
        <v>A-</v>
      </c>
      <c r="N59" s="961">
        <f t="shared" si="6"/>
        <v>0.2461899179</v>
      </c>
      <c r="O59" s="961" t="str">
        <f>IF(N59&lt;'PlayerGrades+'!$AF$21,"F-",IF(N59&lt;'PlayerGrades+'!$AF$20,"F",IF(N59&lt;'PlayerGrades+'!$AF$19,"F+",IF(N59&lt;'PlayerGrades+'!$AF$18,"E-",IF(N59&lt;'PlayerGrades+'!$AF$17,"E",IF(N59&lt;'PlayerGrades+'!$AF$16,"E+",IF(N59&lt;'PlayerGrades+'!$AF$15,"D-",IF(N59&lt;'PlayerGrades+'!$AF$14,"D",IF(N59&lt;'PlayerGrades+'!$AF$13,"D+",IF(N59&lt;'PlayerGrades+'!$AF$12,"C-",IF(N59&lt;'PlayerGrades+'!$AF$11,"C",IF(N59&lt;'PlayerGrades+'!$AF$10,"C+",IF(N59&lt;'PlayerGrades+'!$AF$9,"B-",IF(N59&lt;'PlayerGrades+'!$AF$8,"B",IF(N59&lt;'PlayerGrades+'!$AF$7,"B+",IF(N59&lt;'PlayerGrades+'!$AF$6,"A-",IF(N59&lt;'PlayerGrades+'!$AF$5,"A",IF(N59&lt;'PlayerGrades+'!$AF$4,"A+",IF(N59&lt;'PlayerGrades+'!$AF$3,"S-",IF(N59&lt;'PlayerGrades+'!$AF$2,"S","S+"))))))))))))))))))))</f>
        <v>S-</v>
      </c>
      <c r="P59" s="961">
        <f t="shared" si="7"/>
        <v>0.9847596717</v>
      </c>
      <c r="Q59" s="961" t="str">
        <f>IF(P59&lt;'PlayerGrades+'!$AG$21,"F-",IF(P59&lt;'PlayerGrades+'!$AG$20,"F",IF(P59&lt;'PlayerGrades+'!$AG$19,"F+",IF(P59&lt;'PlayerGrades+'!$AG$18,"E-",IF(P59&lt;'PlayerGrades+'!$AG$17,"E",IF(P59&lt;'PlayerGrades+'!$AG$16,"E+",IF(P59&lt;'PlayerGrades+'!$AG$15,"D-",IF(P59&lt;'PlayerGrades+'!$AG$14,"D",IF(P59&lt;'PlayerGrades+'!$AG$13,"D+",IF(P59&lt;'PlayerGrades+'!$AG$12,"C-",IF(P59&lt;'PlayerGrades+'!$AG$11,"C",IF(P59&lt;'PlayerGrades+'!$AG$10,"C+",IF(P59&lt;'PlayerGrades+'!$AG$9,"B-",IF(P59&lt;'PlayerGrades+'!$AG$8,"B",IF(P59&lt;'PlayerGrades+'!$AG$7,"B+",IF(P59&lt;'PlayerGrades+'!$AG$6,"A-",IF(P59&lt;'PlayerGrades+'!$AG$5,"A",IF(P59&lt;'PlayerGrades+'!$AG$4,"A+",IF(P59&lt;'PlayerGrades+'!$AG$3,"S-",IF(P59&lt;'PlayerGrades+'!$AG$2,"S","S+"))))))))))))))))))))</f>
        <v>A+</v>
      </c>
      <c r="R59" s="961">
        <f t="shared" si="8"/>
        <v>0.07033997655</v>
      </c>
      <c r="S59" s="961" t="str">
        <f>IF(R59&lt;'PlayerGrades+'!$AH$21,"F-",IF(R59&lt;'PlayerGrades+'!$AH$20,"F",IF(R59&lt;'PlayerGrades+'!$AH$19,"F+",IF(R59&lt;'PlayerGrades+'!$AH$18,"E-",IF(R59&lt;'PlayerGrades+'!$AH$17,"E",IF(R59&lt;'PlayerGrades+'!$AH$16,"E+",IF(R59&lt;'PlayerGrades+'!$AH$15,"D-",IF(R59&lt;'PlayerGrades+'!$AH$14,"D",IF(R59&lt;'PlayerGrades+'!$AH$13,"D+",IF(R59&lt;'PlayerGrades+'!$AH$12,"C-",IF(R59&lt;'PlayerGrades+'!$AH$11,"C",IF(R59&lt;'PlayerGrades+'!$AH$10,"C+",IF(R59&lt;'PlayerGrades+'!$AH$9,"B-",IF(R59&lt;'PlayerGrades+'!$AH$8,"B",IF(R59&lt;'PlayerGrades+'!$AH$7,"B+",IF(R59&lt;'PlayerGrades+'!$AH$6,"A-",IF(R59&lt;'PlayerGrades+'!$AH$5,"A",IF(R59&lt;'PlayerGrades+'!$AH$4,"A+",IF(R59&lt;'PlayerGrades+'!$AH$3,"S-",IF(R59&lt;'PlayerGrades+'!$AH$2,"S","S+"))))))))))))))))))))</f>
        <v>B</v>
      </c>
      <c r="T59" s="961">
        <f t="shared" si="9"/>
        <v>4.044548652</v>
      </c>
      <c r="U59" s="961" t="str">
        <f>IF(T59&lt;'PlayerGrades+'!$AI$21,"F-",IF(T59&lt;'PlayerGrades+'!$AI$20,"F",IF(T59&lt;'PlayerGrades+'!$AI$19,"F+",IF(T59&lt;'PlayerGrades+'!$AI$18,"E-",IF(T59&lt;'PlayerGrades+'!$AI$17,"E",IF(T59&lt;'PlayerGrades+'!$AI$16,"E+",IF(T59&lt;'PlayerGrades+'!$AI$15,"D-",IF(T59&lt;'PlayerGrades+'!$AI$14,"D",IF(T59&lt;'PlayerGrades+'!$AI$13,"D+",IF(T59&lt;'PlayerGrades+'!$AI$12,"C-",IF(T59&lt;'PlayerGrades+'!$AI$11,"C",IF(T59&lt;'PlayerGrades+'!$AI$10,"C+",IF(T59&lt;'PlayerGrades+'!$AI$9,"B-",IF(T59&lt;'PlayerGrades+'!$AI$8,"B",IF(T59&lt;'PlayerGrades+'!$AI$7,"B+",IF(T59&lt;'PlayerGrades+'!$AI$6,"A-",IF(T59&lt;'PlayerGrades+'!$AI$5,"A",IF(T59&lt;'PlayerGrades+'!$AI$4,"A+",IF(T59&lt;'PlayerGrades+'!$AI$3,"S-",IF(T59&lt;'PlayerGrades+'!$AI$2,"S","S+"))))))))))))))))))))</f>
        <v>S</v>
      </c>
      <c r="V59" s="1100">
        <v>1.0</v>
      </c>
      <c r="W59" s="1100">
        <v>0.0</v>
      </c>
      <c r="X59" s="1100">
        <v>0.0</v>
      </c>
      <c r="Y59" s="1100">
        <v>0.0</v>
      </c>
      <c r="Z59" s="1100">
        <v>115.0</v>
      </c>
      <c r="AA59" s="1100">
        <v>118.0</v>
      </c>
      <c r="AB59" s="1017">
        <f t="shared" si="10"/>
        <v>-3</v>
      </c>
      <c r="AC59" s="1020">
        <f t="shared" si="11"/>
        <v>0.9745762712</v>
      </c>
      <c r="AD59" s="1100">
        <v>0.0</v>
      </c>
      <c r="AE59" s="1260">
        <v>1706.0</v>
      </c>
      <c r="AF59" s="1100">
        <v>2.0</v>
      </c>
      <c r="AG59" s="1100">
        <v>0.0</v>
      </c>
      <c r="AH59" s="1100">
        <v>0.0</v>
      </c>
      <c r="AI59" s="1100">
        <v>0.0</v>
      </c>
      <c r="AJ59" s="1100">
        <v>3.0</v>
      </c>
      <c r="AK59" s="1100">
        <v>16.0</v>
      </c>
      <c r="AL59" s="1100">
        <v>7.0</v>
      </c>
      <c r="AM59" s="1100">
        <v>1.0</v>
      </c>
      <c r="AN59" s="1100">
        <v>1.0</v>
      </c>
      <c r="AO59" s="1100">
        <v>0.0</v>
      </c>
      <c r="AP59" s="1100">
        <v>0.0</v>
      </c>
      <c r="AQ59" s="1100">
        <v>0.0</v>
      </c>
      <c r="AR59" s="1100">
        <v>0.0</v>
      </c>
      <c r="AS59" s="1100">
        <v>0.0</v>
      </c>
      <c r="AT59" s="1100">
        <v>0.0</v>
      </c>
      <c r="AU59" s="1100">
        <v>20.0</v>
      </c>
      <c r="AV59" s="1100">
        <v>0.0</v>
      </c>
      <c r="AW59" s="1100">
        <v>0.0</v>
      </c>
      <c r="AX59" s="1100">
        <v>0.0</v>
      </c>
      <c r="AY59" s="1100">
        <v>2.0</v>
      </c>
      <c r="AZ59" s="1239">
        <v>0.0</v>
      </c>
    </row>
    <row r="60">
      <c r="A60" s="938" t="s">
        <v>395</v>
      </c>
      <c r="B60" s="1100" t="str">
        <f>IF(C60&lt;'PlayerGrades+'!$Y$44,"F-",IF(C60&lt;'PlayerGrades+'!$Y$43,"F",IF(C60&lt;'PlayerGrades+'!$Y$42,"F+",IF(C60&lt;'PlayerGrades+'!$Y$41,"E-",IF(C60&lt;'PlayerGrades+'!$Y$40,"E",IF(C60&lt;'PlayerGrades+'!$Y$39,"E+",IF(C60&lt;'PlayerGrades+'!$Y$38,"D-",IF(C60&lt;'PlayerGrades+'!$Y$37,"D",IF(C60&lt;'PlayerGrades+'!$Y$36,"D+",IF(C60&lt;'PlayerGrades+'!$Y$35,"C-",IF(C60&lt;'PlayerGrades+'!$Y$34,"C",IF(C60&lt;'PlayerGrades+'!$Y$33,"C+",IF(C60&lt;'PlayerGrades+'!$Y$32,"B-",IF(C60&lt;'PlayerGrades+'!$Y$31,"B",IF(C60&lt;'PlayerGrades+'!$Y$30,"B+",IF(C60&lt;'PlayerGrades+'!$Y$29,"A-",IF(C60&lt;'PlayerGrades+'!$Y$28,"A",IF(C60&lt;'PlayerGrades+'!$Y$27,"A+",IF(C60&lt;'PlayerGrades+'!$Y$26,"S-",IF(C60&lt;'PlayerGrades+'!$Y$25,"S","S+"))))))))))))))))))))</f>
        <v>A</v>
      </c>
      <c r="C60" s="1105">
        <f>('PlayerGrades+'!$Y$47*(VLOOKUP(E60, 'PlayerGrades+'!$X$3:$Y$23, 2, FALSE)))+('PlayerGrades+'!$Y$48*(VLOOKUP(G60, 'PlayerGrades+'!$X$3:$Y$23, 2, FALSE)))+('PlayerGrades+'!$Y$49*(VLOOKUP(I60, 'PlayerGrades+'!$X$3:$Y$23, 2, FALSE)))+('PlayerGrades+'!$Y$50*(VLOOKUP(K60, 'PlayerGrades+'!$X$3:$Y$23, 2, FALSE)))+('PlayerGrades+'!$Y$51*(VLOOKUP(M60, 'PlayerGrades+'!$X$3:$Y$23, 2, FALSE)))+('PlayerGrades+'!$Y$52*(VLOOKUP(O60, 'PlayerGrades+'!$X$3:$Y$23, 2, FALSE)))+('PlayerGrades+'!$Y$53*(VLOOKUP(Q60, 'PlayerGrades+'!$X$3:$Y$23, 2, FALSE)))+('PlayerGrades+'!$Y$54*(VLOOKUP(S60, 'PlayerGrades+'!$X$3:$Y$23, 2, FALSE)))+('PlayerGrades+'!$Y$55*(VLOOKUP(U60, 'PlayerGrades+'!$X$3:$Y$23, 2, FALSE)))</f>
        <v>22.75</v>
      </c>
      <c r="D60" s="961">
        <f t="shared" si="1"/>
        <v>0.1055099648</v>
      </c>
      <c r="E60" s="961" t="str">
        <f>IF(D60&lt;'PlayerGrades+'!$AA$21,"F-",IF(D60&lt;'PlayerGrades+'!$AA$20,"F",IF(D60&lt;'PlayerGrades+'!$AA$19,"F+",IF(D60&lt;'PlayerGrades+'!$AA$18,"E-",IF(D60&lt;'PlayerGrades+'!$AA$17,"E",IF(D60&lt;'PlayerGrades+'!$AA$16,"E+",IF(D60&lt;'PlayerGrades+'!$AA$15,"D-",IF(D60&lt;'PlayerGrades+'!$AA$14,"D",IF(D60&lt;'PlayerGrades+'!$AA$13,"D+",IF(D60&lt;'PlayerGrades+'!$AA$12,"C-",IF(D60&lt;'PlayerGrades+'!$AA$11,"C",IF(D60&lt;'PlayerGrades+'!$AA$10,"C+",IF(D60&lt;'PlayerGrades+'!$AA$9,"B-",IF(D60&lt;'PlayerGrades+'!$AA$8,"B",IF(D60&lt;'PlayerGrades+'!$AA$7,"B+",IF(D60&lt;'PlayerGrades+'!$AA$6,"A-",IF(D60&lt;'PlayerGrades+'!$AA$5,"A",IF(D60&lt;'PlayerGrades+'!$AA$4,"A+",IF(D60&lt;'PlayerGrades+'!$AA$3,"S-",IF(D60&lt;'PlayerGrades+'!$AA$2,"S","S+"))))))))))))))))))))</f>
        <v>A</v>
      </c>
      <c r="F60" s="961">
        <f t="shared" si="2"/>
        <v>0.03991200917</v>
      </c>
      <c r="G60" s="961" t="str">
        <f>IF(F60&lt;'PlayerGrades+'!$AB$21,"F-",IF(F60&lt;'PlayerGrades+'!$AB$20,"F",IF(F60&lt;'PlayerGrades+'!$AB$19,"F+",IF(F60&lt;'PlayerGrades+'!$AB$18,"E-",IF(F60&lt;'PlayerGrades+'!$AB$17,"E",IF(F60&lt;'PlayerGrades+'!$AB$16,"E+",IF(F60&lt;'PlayerGrades+'!$AB$15,"D-",IF(F60&lt;'PlayerGrades+'!$AB$14,"D",IF(F60&lt;'PlayerGrades+'!$AB$13,"D+",IF(F60&lt;'PlayerGrades+'!$AB$12,"C-",IF(F60&lt;'PlayerGrades+'!$AB$11,"C",IF(F60&lt;'PlayerGrades+'!$AB$10,"C+",IF(F60&lt;'PlayerGrades+'!$AB$9,"B-",IF(F60&lt;'PlayerGrades+'!$AB$8,"B",IF(F60&lt;'PlayerGrades+'!$AB$7,"B+",IF(F60&lt;'PlayerGrades+'!$AB$6,"A-",IF(F60&lt;'PlayerGrades+'!$AB$5,"A",IF(F60&lt;'PlayerGrades+'!$AB$4,"A+",IF(F60&lt;'PlayerGrades+'!$AB$3,"S-",IF(F60&lt;'PlayerGrades+'!$AB$2,"S","S+"))))))))))))))))))))</f>
        <v>A</v>
      </c>
      <c r="H60" s="961">
        <f t="shared" si="3"/>
        <v>0.5627198124</v>
      </c>
      <c r="I60" s="961" t="str">
        <f>IF(H60&lt;'PlayerGrades+'!$AC$21,"F-",IF(H60&lt;'PlayerGrades+'!$AC$20,"F",IF(H60&lt;'PlayerGrades+'!$AC$19,"F+",IF(H60&lt;'PlayerGrades+'!$AC$18,"E-",IF(H60&lt;'PlayerGrades+'!$AC$17,"E",IF(H60&lt;'PlayerGrades+'!$AC$16,"E+",IF(H60&lt;'PlayerGrades+'!$AC$15,"D-",IF(H60&lt;'PlayerGrades+'!$AC$14,"D",IF(H60&lt;'PlayerGrades+'!$AC$13,"D+",IF(H60&lt;'PlayerGrades+'!$AC$12,"C-",IF(H60&lt;'PlayerGrades+'!$AC$11,"C",IF(H60&lt;'PlayerGrades+'!$AC$10,"C+",IF(H60&lt;'PlayerGrades+'!$AC$9,"B-",IF(H60&lt;'PlayerGrades+'!$AC$8,"B",IF(H60&lt;'PlayerGrades+'!$AC$7,"B+",IF(H60&lt;'PlayerGrades+'!$AC$6,"A-",IF(H60&lt;'PlayerGrades+'!$AC$5,"A",IF(H60&lt;'PlayerGrades+'!$AC$4,"A+",IF(H60&lt;'PlayerGrades+'!$AC$3,"S-",IF(H60&lt;'PlayerGrades+'!$AC$2,"S","S+"))))))))))))))))))))</f>
        <v>A-</v>
      </c>
      <c r="J60" s="961">
        <f t="shared" si="4"/>
        <v>0.07033997655</v>
      </c>
      <c r="K60" s="961" t="str">
        <f>IF(J60&lt;'PlayerGrades+'!$AD$21,"F-",IF(J60&lt;'PlayerGrades+'!$AD$20,"F",IF(J60&lt;'PlayerGrades+'!$AD$19,"F+",IF(J60&lt;'PlayerGrades+'!$AD$18,"E-",IF(J60&lt;'PlayerGrades+'!$AD$17,"E",IF(J60&lt;'PlayerGrades+'!$AD$16,"E+",IF(J60&lt;'PlayerGrades+'!$AD$15,"D-",IF(J60&lt;'PlayerGrades+'!$AD$14,"D",IF(J60&lt;'PlayerGrades+'!$AD$13,"D+",IF(J60&lt;'PlayerGrades+'!$AD$12,"C-",IF(J60&lt;'PlayerGrades+'!$AD$11,"C",IF(J60&lt;'PlayerGrades+'!$AD$10,"C+",IF(J60&lt;'PlayerGrades+'!$AD$9,"B-",IF(J60&lt;'PlayerGrades+'!$AD$8,"B",IF(J60&lt;'PlayerGrades+'!$AD$7,"B+",IF(J60&lt;'PlayerGrades+'!$AD$6,"A-",IF(J60&lt;'PlayerGrades+'!$AD$5,"A",IF(J60&lt;'PlayerGrades+'!$AD$4,"A+",IF(J60&lt;'PlayerGrades+'!$AD$3,"S-",IF(J60&lt;'PlayerGrades+'!$AD$2,"S","S+"))))))))))))))))))))</f>
        <v>A-</v>
      </c>
      <c r="L60" s="992">
        <f t="shared" si="5"/>
        <v>0.6682297773</v>
      </c>
      <c r="M60" s="992" t="str">
        <f>IF(L60&lt;'PlayerGrades+'!$AE$21,"F-",IF(L60&lt;'PlayerGrades+'!$AE$20,"F",IF(L60&lt;'PlayerGrades+'!$AE$19,"F+",IF(L60&lt;'PlayerGrades+'!$AE$18,"E-",IF(L60&lt;'PlayerGrades+'!$AE$17,"E",IF(L60&lt;'PlayerGrades+'!$AE$16,"E+",IF(L60&lt;'PlayerGrades+'!$AE$15,"D-",IF(L60&lt;'PlayerGrades+'!$AE$14,"D",IF(L60&lt;'PlayerGrades+'!$AE$13,"D+",IF(L60&lt;'PlayerGrades+'!$AE$12,"C-",IF(L60&lt;'PlayerGrades+'!$AE$11,"C",IF(L60&lt;'PlayerGrades+'!$AE$10,"C+",IF(L60&lt;'PlayerGrades+'!$AE$9,"B-",IF(L60&lt;'PlayerGrades+'!$AE$8,"B",IF(L60&lt;'PlayerGrades+'!$AE$7,"B+",IF(L60&lt;'PlayerGrades+'!$AE$6,"A-",IF(L60&lt;'PlayerGrades+'!$AE$5,"A",IF(L60&lt;'PlayerGrades+'!$AE$4,"A+",IF(L60&lt;'PlayerGrades+'!$AE$3,"S-",IF(L60&lt;'PlayerGrades+'!$AE$2,"S","S+"))))))))))))))))))))</f>
        <v>A+</v>
      </c>
      <c r="N60" s="961">
        <f t="shared" si="6"/>
        <v>0.1055099648</v>
      </c>
      <c r="O60" s="961" t="str">
        <f>IF(N60&lt;'PlayerGrades+'!$AF$21,"F-",IF(N60&lt;'PlayerGrades+'!$AF$20,"F",IF(N60&lt;'PlayerGrades+'!$AF$19,"F+",IF(N60&lt;'PlayerGrades+'!$AF$18,"E-",IF(N60&lt;'PlayerGrades+'!$AF$17,"E",IF(N60&lt;'PlayerGrades+'!$AF$16,"E+",IF(N60&lt;'PlayerGrades+'!$AF$15,"D-",IF(N60&lt;'PlayerGrades+'!$AF$14,"D",IF(N60&lt;'PlayerGrades+'!$AF$13,"D+",IF(N60&lt;'PlayerGrades+'!$AF$12,"C-",IF(N60&lt;'PlayerGrades+'!$AF$11,"C",IF(N60&lt;'PlayerGrades+'!$AF$10,"C+",IF(N60&lt;'PlayerGrades+'!$AF$9,"B-",IF(N60&lt;'PlayerGrades+'!$AF$8,"B",IF(N60&lt;'PlayerGrades+'!$AF$7,"B+",IF(N60&lt;'PlayerGrades+'!$AF$6,"A-",IF(N60&lt;'PlayerGrades+'!$AF$5,"A",IF(N60&lt;'PlayerGrades+'!$AF$4,"A+",IF(N60&lt;'PlayerGrades+'!$AF$3,"S-",IF(N60&lt;'PlayerGrades+'!$AF$2,"S","S+"))))))))))))))))))))</f>
        <v>C-</v>
      </c>
      <c r="P60" s="961">
        <f t="shared" si="7"/>
        <v>0.8792497069</v>
      </c>
      <c r="Q60" s="961" t="str">
        <f>IF(P60&lt;'PlayerGrades+'!$AG$21,"F-",IF(P60&lt;'PlayerGrades+'!$AG$20,"F",IF(P60&lt;'PlayerGrades+'!$AG$19,"F+",IF(P60&lt;'PlayerGrades+'!$AG$18,"E-",IF(P60&lt;'PlayerGrades+'!$AG$17,"E",IF(P60&lt;'PlayerGrades+'!$AG$16,"E+",IF(P60&lt;'PlayerGrades+'!$AG$15,"D-",IF(P60&lt;'PlayerGrades+'!$AG$14,"D",IF(P60&lt;'PlayerGrades+'!$AG$13,"D+",IF(P60&lt;'PlayerGrades+'!$AG$12,"C-",IF(P60&lt;'PlayerGrades+'!$AG$11,"C",IF(P60&lt;'PlayerGrades+'!$AG$10,"C+",IF(P60&lt;'PlayerGrades+'!$AG$9,"B-",IF(P60&lt;'PlayerGrades+'!$AG$8,"B",IF(P60&lt;'PlayerGrades+'!$AG$7,"B+",IF(P60&lt;'PlayerGrades+'!$AG$6,"A-",IF(P60&lt;'PlayerGrades+'!$AG$5,"A",IF(P60&lt;'PlayerGrades+'!$AG$4,"A+",IF(P60&lt;'PlayerGrades+'!$AG$3,"S-",IF(P60&lt;'PlayerGrades+'!$AG$2,"S","S+"))))))))))))))))))))</f>
        <v>A</v>
      </c>
      <c r="R60" s="961">
        <f t="shared" si="8"/>
        <v>0</v>
      </c>
      <c r="S60" s="961" t="str">
        <f>IF(R60&lt;'PlayerGrades+'!$AH$21,"F-",IF(R60&lt;'PlayerGrades+'!$AH$20,"F",IF(R60&lt;'PlayerGrades+'!$AH$19,"F+",IF(R60&lt;'PlayerGrades+'!$AH$18,"E-",IF(R60&lt;'PlayerGrades+'!$AH$17,"E",IF(R60&lt;'PlayerGrades+'!$AH$16,"E+",IF(R60&lt;'PlayerGrades+'!$AH$15,"D-",IF(R60&lt;'PlayerGrades+'!$AH$14,"D",IF(R60&lt;'PlayerGrades+'!$AH$13,"D+",IF(R60&lt;'PlayerGrades+'!$AH$12,"C-",IF(R60&lt;'PlayerGrades+'!$AH$11,"C",IF(R60&lt;'PlayerGrades+'!$AH$10,"C+",IF(R60&lt;'PlayerGrades+'!$AH$9,"B-",IF(R60&lt;'PlayerGrades+'!$AH$8,"B",IF(R60&lt;'PlayerGrades+'!$AH$7,"B+",IF(R60&lt;'PlayerGrades+'!$AH$6,"A-",IF(R60&lt;'PlayerGrades+'!$AH$5,"A",IF(R60&lt;'PlayerGrades+'!$AH$4,"A+",IF(R60&lt;'PlayerGrades+'!$AH$3,"S-",IF(R60&lt;'PlayerGrades+'!$AH$2,"S","S+"))))))))))))))))))))</f>
        <v>F-</v>
      </c>
      <c r="T60" s="961">
        <f t="shared" si="9"/>
        <v>3.552168816</v>
      </c>
      <c r="U60" s="961" t="str">
        <f>IF(T60&lt;'PlayerGrades+'!$AI$21,"F-",IF(T60&lt;'PlayerGrades+'!$AI$20,"F",IF(T60&lt;'PlayerGrades+'!$AI$19,"F+",IF(T60&lt;'PlayerGrades+'!$AI$18,"E-",IF(T60&lt;'PlayerGrades+'!$AI$17,"E",IF(T60&lt;'PlayerGrades+'!$AI$16,"E+",IF(T60&lt;'PlayerGrades+'!$AI$15,"D-",IF(T60&lt;'PlayerGrades+'!$AI$14,"D",IF(T60&lt;'PlayerGrades+'!$AI$13,"D+",IF(T60&lt;'PlayerGrades+'!$AI$12,"C-",IF(T60&lt;'PlayerGrades+'!$AI$11,"C",IF(T60&lt;'PlayerGrades+'!$AI$10,"C+",IF(T60&lt;'PlayerGrades+'!$AI$9,"B-",IF(T60&lt;'PlayerGrades+'!$AI$8,"B",IF(T60&lt;'PlayerGrades+'!$AI$7,"B+",IF(T60&lt;'PlayerGrades+'!$AI$6,"A-",IF(T60&lt;'PlayerGrades+'!$AI$5,"A",IF(T60&lt;'PlayerGrades+'!$AI$4,"A+",IF(T60&lt;'PlayerGrades+'!$AI$3,"S-",IF(T60&lt;'PlayerGrades+'!$AI$2,"S","S+"))))))))))))))))))))</f>
        <v>A+</v>
      </c>
      <c r="V60" s="1100">
        <v>1.0</v>
      </c>
      <c r="W60" s="1100">
        <v>0.0</v>
      </c>
      <c r="X60" s="1100">
        <v>3.0</v>
      </c>
      <c r="Y60" s="1100">
        <v>1.0</v>
      </c>
      <c r="Z60" s="1100">
        <v>101.0</v>
      </c>
      <c r="AA60" s="1100">
        <v>89.0</v>
      </c>
      <c r="AB60" s="1017">
        <f t="shared" si="10"/>
        <v>12</v>
      </c>
      <c r="AC60" s="1020">
        <f t="shared" si="11"/>
        <v>1.134831461</v>
      </c>
      <c r="AD60" s="1100">
        <v>0.0</v>
      </c>
      <c r="AE60" s="1260">
        <v>1706.0</v>
      </c>
      <c r="AF60" s="1100">
        <v>2.0</v>
      </c>
      <c r="AG60" s="1100">
        <v>0.0</v>
      </c>
      <c r="AH60" s="1100">
        <v>0.0</v>
      </c>
      <c r="AI60" s="1100">
        <v>0.0</v>
      </c>
      <c r="AJ60" s="1100">
        <v>2.0</v>
      </c>
      <c r="AK60" s="1100">
        <v>19.0</v>
      </c>
      <c r="AL60" s="1100">
        <v>3.0</v>
      </c>
      <c r="AM60" s="1100">
        <v>1.0</v>
      </c>
      <c r="AN60" s="1100">
        <v>0.0</v>
      </c>
      <c r="AO60" s="1100">
        <v>0.0</v>
      </c>
      <c r="AP60" s="1100">
        <v>0.0</v>
      </c>
      <c r="AQ60" s="1100">
        <v>0.0</v>
      </c>
      <c r="AR60" s="1100">
        <v>0.0</v>
      </c>
      <c r="AS60" s="1100">
        <v>0.0</v>
      </c>
      <c r="AT60" s="1100">
        <v>0.0</v>
      </c>
      <c r="AU60" s="1100">
        <v>16.0</v>
      </c>
      <c r="AV60" s="1100">
        <v>0.0</v>
      </c>
      <c r="AW60" s="1100">
        <v>0.0</v>
      </c>
      <c r="AX60" s="1100">
        <v>0.0</v>
      </c>
      <c r="AY60" s="1100">
        <v>0.0</v>
      </c>
      <c r="AZ60" s="1239">
        <v>0.0</v>
      </c>
    </row>
    <row r="61">
      <c r="A61" s="938" t="s">
        <v>174</v>
      </c>
      <c r="B61" s="1100" t="str">
        <f>IF(C61&lt;'PlayerGrades+'!$Y$44,"F-",IF(C61&lt;'PlayerGrades+'!$Y$43,"F",IF(C61&lt;'PlayerGrades+'!$Y$42,"F+",IF(C61&lt;'PlayerGrades+'!$Y$41,"E-",IF(C61&lt;'PlayerGrades+'!$Y$40,"E",IF(C61&lt;'PlayerGrades+'!$Y$39,"E+",IF(C61&lt;'PlayerGrades+'!$Y$38,"D-",IF(C61&lt;'PlayerGrades+'!$Y$37,"D",IF(C61&lt;'PlayerGrades+'!$Y$36,"D+",IF(C61&lt;'PlayerGrades+'!$Y$35,"C-",IF(C61&lt;'PlayerGrades+'!$Y$34,"C",IF(C61&lt;'PlayerGrades+'!$Y$33,"C+",IF(C61&lt;'PlayerGrades+'!$Y$32,"B-",IF(C61&lt;'PlayerGrades+'!$Y$31,"B",IF(C61&lt;'PlayerGrades+'!$Y$30,"B+",IF(C61&lt;'PlayerGrades+'!$Y$29,"A-",IF(C61&lt;'PlayerGrades+'!$Y$28,"A",IF(C61&lt;'PlayerGrades+'!$Y$27,"A+",IF(C61&lt;'PlayerGrades+'!$Y$26,"S-",IF(C61&lt;'PlayerGrades+'!$Y$25,"S","S+"))))))))))))))))))))</f>
        <v>B</v>
      </c>
      <c r="C61" s="1105">
        <f>('PlayerGrades+'!$Y$47*(VLOOKUP(E61, 'PlayerGrades+'!$X$3:$Y$23, 2, FALSE)))+('PlayerGrades+'!$Y$48*(VLOOKUP(G61, 'PlayerGrades+'!$X$3:$Y$23, 2, FALSE)))+('PlayerGrades+'!$Y$49*(VLOOKUP(I61, 'PlayerGrades+'!$X$3:$Y$23, 2, FALSE)))+('PlayerGrades+'!$Y$50*(VLOOKUP(K61, 'PlayerGrades+'!$X$3:$Y$23, 2, FALSE)))+('PlayerGrades+'!$Y$51*(VLOOKUP(M61, 'PlayerGrades+'!$X$3:$Y$23, 2, FALSE)))+('PlayerGrades+'!$Y$52*(VLOOKUP(O61, 'PlayerGrades+'!$X$3:$Y$23, 2, FALSE)))+('PlayerGrades+'!$Y$53*(VLOOKUP(Q61, 'PlayerGrades+'!$X$3:$Y$23, 2, FALSE)))+('PlayerGrades+'!$Y$54*(VLOOKUP(S61, 'PlayerGrades+'!$X$3:$Y$23, 2, FALSE)))+('PlayerGrades+'!$Y$55*(VLOOKUP(U61, 'PlayerGrades+'!$X$3:$Y$23, 2, FALSE)))</f>
        <v>18.3875</v>
      </c>
      <c r="D61" s="961">
        <f t="shared" si="1"/>
        <v>0.07033997655</v>
      </c>
      <c r="E61" s="961" t="str">
        <f>IF(D61&lt;'PlayerGrades+'!$AA$21,"F-",IF(D61&lt;'PlayerGrades+'!$AA$20,"F",IF(D61&lt;'PlayerGrades+'!$AA$19,"F+",IF(D61&lt;'PlayerGrades+'!$AA$18,"E-",IF(D61&lt;'PlayerGrades+'!$AA$17,"E",IF(D61&lt;'PlayerGrades+'!$AA$16,"E+",IF(D61&lt;'PlayerGrades+'!$AA$15,"D-",IF(D61&lt;'PlayerGrades+'!$AA$14,"D",IF(D61&lt;'PlayerGrades+'!$AA$13,"D+",IF(D61&lt;'PlayerGrades+'!$AA$12,"C-",IF(D61&lt;'PlayerGrades+'!$AA$11,"C",IF(D61&lt;'PlayerGrades+'!$AA$10,"C+",IF(D61&lt;'PlayerGrades+'!$AA$9,"B-",IF(D61&lt;'PlayerGrades+'!$AA$8,"B",IF(D61&lt;'PlayerGrades+'!$AA$7,"B+",IF(D61&lt;'PlayerGrades+'!$AA$6,"A-",IF(D61&lt;'PlayerGrades+'!$AA$5,"A",IF(D61&lt;'PlayerGrades+'!$AA$4,"A+",IF(D61&lt;'PlayerGrades+'!$AA$3,"S-",IF(D61&lt;'PlayerGrades+'!$AA$2,"S","S+"))))))))))))))))))))</f>
        <v>A-</v>
      </c>
      <c r="F61" s="961">
        <f t="shared" si="2"/>
        <v>0.03565846034</v>
      </c>
      <c r="G61" s="961" t="str">
        <f>IF(F61&lt;'PlayerGrades+'!$AB$21,"F-",IF(F61&lt;'PlayerGrades+'!$AB$20,"F",IF(F61&lt;'PlayerGrades+'!$AB$19,"F+",IF(F61&lt;'PlayerGrades+'!$AB$18,"E-",IF(F61&lt;'PlayerGrades+'!$AB$17,"E",IF(F61&lt;'PlayerGrades+'!$AB$16,"E+",IF(F61&lt;'PlayerGrades+'!$AB$15,"D-",IF(F61&lt;'PlayerGrades+'!$AB$14,"D",IF(F61&lt;'PlayerGrades+'!$AB$13,"D+",IF(F61&lt;'PlayerGrades+'!$AB$12,"C-",IF(F61&lt;'PlayerGrades+'!$AB$11,"C",IF(F61&lt;'PlayerGrades+'!$AB$10,"C+",IF(F61&lt;'PlayerGrades+'!$AB$9,"B-",IF(F61&lt;'PlayerGrades+'!$AB$8,"B",IF(F61&lt;'PlayerGrades+'!$AB$7,"B+",IF(F61&lt;'PlayerGrades+'!$AB$6,"A-",IF(F61&lt;'PlayerGrades+'!$AB$5,"A",IF(F61&lt;'PlayerGrades+'!$AB$4,"A+",IF(F61&lt;'PlayerGrades+'!$AB$3,"S-",IF(F61&lt;'PlayerGrades+'!$AB$2,"S","S+"))))))))))))))))))))</f>
        <v>A</v>
      </c>
      <c r="H61" s="961">
        <f t="shared" si="3"/>
        <v>0.7737397421</v>
      </c>
      <c r="I61" s="961" t="str">
        <f>IF(H61&lt;'PlayerGrades+'!$AC$21,"F-",IF(H61&lt;'PlayerGrades+'!$AC$20,"F",IF(H61&lt;'PlayerGrades+'!$AC$19,"F+",IF(H61&lt;'PlayerGrades+'!$AC$18,"E-",IF(H61&lt;'PlayerGrades+'!$AC$17,"E",IF(H61&lt;'PlayerGrades+'!$AC$16,"E+",IF(H61&lt;'PlayerGrades+'!$AC$15,"D-",IF(H61&lt;'PlayerGrades+'!$AC$14,"D",IF(H61&lt;'PlayerGrades+'!$AC$13,"D+",IF(H61&lt;'PlayerGrades+'!$AC$12,"C-",IF(H61&lt;'PlayerGrades+'!$AC$11,"C",IF(H61&lt;'PlayerGrades+'!$AC$10,"C+",IF(H61&lt;'PlayerGrades+'!$AC$9,"B-",IF(H61&lt;'PlayerGrades+'!$AC$8,"B",IF(H61&lt;'PlayerGrades+'!$AC$7,"B+",IF(H61&lt;'PlayerGrades+'!$AC$6,"A-",IF(H61&lt;'PlayerGrades+'!$AC$5,"A",IF(H61&lt;'PlayerGrades+'!$AC$4,"A+",IF(H61&lt;'PlayerGrades+'!$AC$3,"S-",IF(H61&lt;'PlayerGrades+'!$AC$2,"S","S+"))))))))))))))))))))</f>
        <v>S-</v>
      </c>
      <c r="J61" s="961">
        <f t="shared" si="4"/>
        <v>0.07033997655</v>
      </c>
      <c r="K61" s="961" t="str">
        <f>IF(J61&lt;'PlayerGrades+'!$AD$21,"F-",IF(J61&lt;'PlayerGrades+'!$AD$20,"F",IF(J61&lt;'PlayerGrades+'!$AD$19,"F+",IF(J61&lt;'PlayerGrades+'!$AD$18,"E-",IF(J61&lt;'PlayerGrades+'!$AD$17,"E",IF(J61&lt;'PlayerGrades+'!$AD$16,"E+",IF(J61&lt;'PlayerGrades+'!$AD$15,"D-",IF(J61&lt;'PlayerGrades+'!$AD$14,"D",IF(J61&lt;'PlayerGrades+'!$AD$13,"D+",IF(J61&lt;'PlayerGrades+'!$AD$12,"C-",IF(J61&lt;'PlayerGrades+'!$AD$11,"C",IF(J61&lt;'PlayerGrades+'!$AD$10,"C+",IF(J61&lt;'PlayerGrades+'!$AD$9,"B-",IF(J61&lt;'PlayerGrades+'!$AD$8,"B",IF(J61&lt;'PlayerGrades+'!$AD$7,"B+",IF(J61&lt;'PlayerGrades+'!$AD$6,"A-",IF(J61&lt;'PlayerGrades+'!$AD$5,"A",IF(J61&lt;'PlayerGrades+'!$AD$4,"A+",IF(J61&lt;'PlayerGrades+'!$AD$3,"S-",IF(J61&lt;'PlayerGrades+'!$AD$2,"S","S+"))))))))))))))))))))</f>
        <v>A-</v>
      </c>
      <c r="L61" s="992">
        <f t="shared" si="5"/>
        <v>0.2461899179</v>
      </c>
      <c r="M61" s="992" t="str">
        <f>IF(L61&lt;'PlayerGrades+'!$AE$21,"F-",IF(L61&lt;'PlayerGrades+'!$AE$20,"F",IF(L61&lt;'PlayerGrades+'!$AE$19,"F+",IF(L61&lt;'PlayerGrades+'!$AE$18,"E-",IF(L61&lt;'PlayerGrades+'!$AE$17,"E",IF(L61&lt;'PlayerGrades+'!$AE$16,"E+",IF(L61&lt;'PlayerGrades+'!$AE$15,"D-",IF(L61&lt;'PlayerGrades+'!$AE$14,"D",IF(L61&lt;'PlayerGrades+'!$AE$13,"D+",IF(L61&lt;'PlayerGrades+'!$AE$12,"C-",IF(L61&lt;'PlayerGrades+'!$AE$11,"C",IF(L61&lt;'PlayerGrades+'!$AE$10,"C+",IF(L61&lt;'PlayerGrades+'!$AE$9,"B-",IF(L61&lt;'PlayerGrades+'!$AE$8,"B",IF(L61&lt;'PlayerGrades+'!$AE$7,"B+",IF(L61&lt;'PlayerGrades+'!$AE$6,"A-",IF(L61&lt;'PlayerGrades+'!$AE$5,"A",IF(L61&lt;'PlayerGrades+'!$AE$4,"A+",IF(L61&lt;'PlayerGrades+'!$AE$3,"S-",IF(L61&lt;'PlayerGrades+'!$AE$2,"S","S+"))))))))))))))))))))</f>
        <v>F</v>
      </c>
      <c r="N61" s="961">
        <f t="shared" si="6"/>
        <v>0.07033997655</v>
      </c>
      <c r="O61" s="961" t="str">
        <f>IF(N61&lt;'PlayerGrades+'!$AF$21,"F-",IF(N61&lt;'PlayerGrades+'!$AF$20,"F",IF(N61&lt;'PlayerGrades+'!$AF$19,"F+",IF(N61&lt;'PlayerGrades+'!$AF$18,"E-",IF(N61&lt;'PlayerGrades+'!$AF$17,"E",IF(N61&lt;'PlayerGrades+'!$AF$16,"E+",IF(N61&lt;'PlayerGrades+'!$AF$15,"D-",IF(N61&lt;'PlayerGrades+'!$AF$14,"D",IF(N61&lt;'PlayerGrades+'!$AF$13,"D+",IF(N61&lt;'PlayerGrades+'!$AF$12,"C-",IF(N61&lt;'PlayerGrades+'!$AF$11,"C",IF(N61&lt;'PlayerGrades+'!$AF$10,"C+",IF(N61&lt;'PlayerGrades+'!$AF$9,"B-",IF(N61&lt;'PlayerGrades+'!$AF$8,"B",IF(N61&lt;'PlayerGrades+'!$AF$7,"B+",IF(N61&lt;'PlayerGrades+'!$AF$6,"A-",IF(N61&lt;'PlayerGrades+'!$AF$5,"A",IF(N61&lt;'PlayerGrades+'!$AF$4,"A+",IF(N61&lt;'PlayerGrades+'!$AF$3,"S-",IF(N61&lt;'PlayerGrades+'!$AF$2,"S","S+"))))))))))))))))))))</f>
        <v>E+</v>
      </c>
      <c r="P61" s="961">
        <f t="shared" si="7"/>
        <v>0.3516998828</v>
      </c>
      <c r="Q61" s="961" t="str">
        <f>IF(P61&lt;'PlayerGrades+'!$AG$21,"F-",IF(P61&lt;'PlayerGrades+'!$AG$20,"F",IF(P61&lt;'PlayerGrades+'!$AG$19,"F+",IF(P61&lt;'PlayerGrades+'!$AG$18,"E-",IF(P61&lt;'PlayerGrades+'!$AG$17,"E",IF(P61&lt;'PlayerGrades+'!$AG$16,"E+",IF(P61&lt;'PlayerGrades+'!$AG$15,"D-",IF(P61&lt;'PlayerGrades+'!$AG$14,"D",IF(P61&lt;'PlayerGrades+'!$AG$13,"D+",IF(P61&lt;'PlayerGrades+'!$AG$12,"C-",IF(P61&lt;'PlayerGrades+'!$AG$11,"C",IF(P61&lt;'PlayerGrades+'!$AG$10,"C+",IF(P61&lt;'PlayerGrades+'!$AG$9,"B-",IF(P61&lt;'PlayerGrades+'!$AG$8,"B",IF(P61&lt;'PlayerGrades+'!$AG$7,"B+",IF(P61&lt;'PlayerGrades+'!$AG$6,"A-",IF(P61&lt;'PlayerGrades+'!$AG$5,"A",IF(P61&lt;'PlayerGrades+'!$AG$4,"A+",IF(P61&lt;'PlayerGrades+'!$AG$3,"S-",IF(P61&lt;'PlayerGrades+'!$AG$2,"S","S+"))))))))))))))))))))</f>
        <v>F</v>
      </c>
      <c r="R61" s="961">
        <f t="shared" si="8"/>
        <v>0.07033997655</v>
      </c>
      <c r="S61" s="961" t="str">
        <f>IF(R61&lt;'PlayerGrades+'!$AH$21,"F-",IF(R61&lt;'PlayerGrades+'!$AH$20,"F",IF(R61&lt;'PlayerGrades+'!$AH$19,"F+",IF(R61&lt;'PlayerGrades+'!$AH$18,"E-",IF(R61&lt;'PlayerGrades+'!$AH$17,"E",IF(R61&lt;'PlayerGrades+'!$AH$16,"E+",IF(R61&lt;'PlayerGrades+'!$AH$15,"D-",IF(R61&lt;'PlayerGrades+'!$AH$14,"D",IF(R61&lt;'PlayerGrades+'!$AH$13,"D+",IF(R61&lt;'PlayerGrades+'!$AH$12,"C-",IF(R61&lt;'PlayerGrades+'!$AH$11,"C",IF(R61&lt;'PlayerGrades+'!$AH$10,"C+",IF(R61&lt;'PlayerGrades+'!$AH$9,"B-",IF(R61&lt;'PlayerGrades+'!$AH$8,"B",IF(R61&lt;'PlayerGrades+'!$AH$7,"B+",IF(R61&lt;'PlayerGrades+'!$AH$6,"A-",IF(R61&lt;'PlayerGrades+'!$AH$5,"A",IF(R61&lt;'PlayerGrades+'!$AH$4,"A+",IF(R61&lt;'PlayerGrades+'!$AH$3,"S-",IF(R61&lt;'PlayerGrades+'!$AH$2,"S","S+"))))))))))))))))))))</f>
        <v>B</v>
      </c>
      <c r="T61" s="961">
        <f t="shared" si="9"/>
        <v>2.567409144</v>
      </c>
      <c r="U61" s="961" t="str">
        <f>IF(T61&lt;'PlayerGrades+'!$AI$21,"F-",IF(T61&lt;'PlayerGrades+'!$AI$20,"F",IF(T61&lt;'PlayerGrades+'!$AI$19,"F+",IF(T61&lt;'PlayerGrades+'!$AI$18,"E-",IF(T61&lt;'PlayerGrades+'!$AI$17,"E",IF(T61&lt;'PlayerGrades+'!$AI$16,"E+",IF(T61&lt;'PlayerGrades+'!$AI$15,"D-",IF(T61&lt;'PlayerGrades+'!$AI$14,"D",IF(T61&lt;'PlayerGrades+'!$AI$13,"D+",IF(T61&lt;'PlayerGrades+'!$AI$12,"C-",IF(T61&lt;'PlayerGrades+'!$AI$11,"C",IF(T61&lt;'PlayerGrades+'!$AI$10,"C+",IF(T61&lt;'PlayerGrades+'!$AI$9,"B-",IF(T61&lt;'PlayerGrades+'!$AI$8,"B",IF(T61&lt;'PlayerGrades+'!$AI$7,"B+",IF(T61&lt;'PlayerGrades+'!$AI$6,"A-",IF(T61&lt;'PlayerGrades+'!$AI$5,"A",IF(T61&lt;'PlayerGrades+'!$AI$4,"A+",IF(T61&lt;'PlayerGrades+'!$AI$3,"S-",IF(T61&lt;'PlayerGrades+'!$AI$2,"S","S+"))))))))))))))))))))</f>
        <v>D-</v>
      </c>
      <c r="V61" s="1100">
        <v>1.0</v>
      </c>
      <c r="W61" s="1100">
        <v>0.0</v>
      </c>
      <c r="X61" s="1100">
        <v>2.0</v>
      </c>
      <c r="Y61" s="1100">
        <v>16.0</v>
      </c>
      <c r="Z61" s="1100">
        <v>73.0</v>
      </c>
      <c r="AA61" s="1100">
        <v>72.0</v>
      </c>
      <c r="AB61" s="1017">
        <f t="shared" si="10"/>
        <v>1</v>
      </c>
      <c r="AC61" s="1020">
        <f t="shared" si="11"/>
        <v>1.013888889</v>
      </c>
      <c r="AD61" s="1100">
        <v>1.0</v>
      </c>
      <c r="AE61" s="1260">
        <v>1706.0</v>
      </c>
      <c r="AF61" s="1100">
        <v>2.0</v>
      </c>
      <c r="AG61" s="1100">
        <v>0.0</v>
      </c>
      <c r="AH61" s="1100">
        <v>0.0</v>
      </c>
      <c r="AI61" s="1100">
        <v>0.0</v>
      </c>
      <c r="AJ61" s="1100">
        <v>0.0</v>
      </c>
      <c r="AK61" s="1100">
        <v>7.0</v>
      </c>
      <c r="AL61" s="1100">
        <v>2.0</v>
      </c>
      <c r="AM61" s="1100">
        <v>1.0</v>
      </c>
      <c r="AN61" s="1100">
        <v>0.0</v>
      </c>
      <c r="AO61" s="1100">
        <v>0.0</v>
      </c>
      <c r="AP61" s="1100">
        <v>0.0</v>
      </c>
      <c r="AQ61" s="1100">
        <v>0.0</v>
      </c>
      <c r="AR61" s="1100">
        <v>0.0</v>
      </c>
      <c r="AS61" s="1100">
        <v>0.0</v>
      </c>
      <c r="AT61" s="1100">
        <v>0.0</v>
      </c>
      <c r="AU61" s="1100">
        <v>22.0</v>
      </c>
      <c r="AV61" s="1100">
        <v>0.0</v>
      </c>
      <c r="AW61" s="1100">
        <v>0.0</v>
      </c>
      <c r="AX61" s="1100">
        <v>0.0</v>
      </c>
      <c r="AY61" s="1100">
        <v>0.0</v>
      </c>
      <c r="AZ61" s="1239">
        <v>2.0</v>
      </c>
    </row>
    <row r="62">
      <c r="A62" s="938" t="s">
        <v>52</v>
      </c>
      <c r="B62" s="1100" t="str">
        <f>IF(C62&lt;'PlayerGrades+'!$Y$44,"F-",IF(C62&lt;'PlayerGrades+'!$Y$43,"F",IF(C62&lt;'PlayerGrades+'!$Y$42,"F+",IF(C62&lt;'PlayerGrades+'!$Y$41,"E-",IF(C62&lt;'PlayerGrades+'!$Y$40,"E",IF(C62&lt;'PlayerGrades+'!$Y$39,"E+",IF(C62&lt;'PlayerGrades+'!$Y$38,"D-",IF(C62&lt;'PlayerGrades+'!$Y$37,"D",IF(C62&lt;'PlayerGrades+'!$Y$36,"D+",IF(C62&lt;'PlayerGrades+'!$Y$35,"C-",IF(C62&lt;'PlayerGrades+'!$Y$34,"C",IF(C62&lt;'PlayerGrades+'!$Y$33,"C+",IF(C62&lt;'PlayerGrades+'!$Y$32,"B-",IF(C62&lt;'PlayerGrades+'!$Y$31,"B",IF(C62&lt;'PlayerGrades+'!$Y$30,"B+",IF(C62&lt;'PlayerGrades+'!$Y$29,"A-",IF(C62&lt;'PlayerGrades+'!$Y$28,"A",IF(C62&lt;'PlayerGrades+'!$Y$27,"A+",IF(C62&lt;'PlayerGrades+'!$Y$26,"S-",IF(C62&lt;'PlayerGrades+'!$Y$25,"S","S+"))))))))))))))))))))</f>
        <v>A</v>
      </c>
      <c r="C62" s="1105">
        <f>('PlayerGrades+'!$Y$47*(VLOOKUP(E62, 'PlayerGrades+'!$X$3:$Y$23, 2, FALSE)))+('PlayerGrades+'!$Y$48*(VLOOKUP(G62, 'PlayerGrades+'!$X$3:$Y$23, 2, FALSE)))+('PlayerGrades+'!$Y$49*(VLOOKUP(I62, 'PlayerGrades+'!$X$3:$Y$23, 2, FALSE)))+('PlayerGrades+'!$Y$50*(VLOOKUP(K62, 'PlayerGrades+'!$X$3:$Y$23, 2, FALSE)))+('PlayerGrades+'!$Y$51*(VLOOKUP(M62, 'PlayerGrades+'!$X$3:$Y$23, 2, FALSE)))+('PlayerGrades+'!$Y$52*(VLOOKUP(O62, 'PlayerGrades+'!$X$3:$Y$23, 2, FALSE)))+('PlayerGrades+'!$Y$53*(VLOOKUP(Q62, 'PlayerGrades+'!$X$3:$Y$23, 2, FALSE)))+('PlayerGrades+'!$Y$54*(VLOOKUP(S62, 'PlayerGrades+'!$X$3:$Y$23, 2, FALSE)))+('PlayerGrades+'!$Y$55*(VLOOKUP(U62, 'PlayerGrades+'!$X$3:$Y$23, 2, FALSE)))</f>
        <v>21.6</v>
      </c>
      <c r="D62" s="961">
        <f t="shared" si="1"/>
        <v>0.07033997655</v>
      </c>
      <c r="E62" s="961" t="str">
        <f>IF(D62&lt;'PlayerGrades+'!$AA$21,"F-",IF(D62&lt;'PlayerGrades+'!$AA$20,"F",IF(D62&lt;'PlayerGrades+'!$AA$19,"F+",IF(D62&lt;'PlayerGrades+'!$AA$18,"E-",IF(D62&lt;'PlayerGrades+'!$AA$17,"E",IF(D62&lt;'PlayerGrades+'!$AA$16,"E+",IF(D62&lt;'PlayerGrades+'!$AA$15,"D-",IF(D62&lt;'PlayerGrades+'!$AA$14,"D",IF(D62&lt;'PlayerGrades+'!$AA$13,"D+",IF(D62&lt;'PlayerGrades+'!$AA$12,"C-",IF(D62&lt;'PlayerGrades+'!$AA$11,"C",IF(D62&lt;'PlayerGrades+'!$AA$10,"C+",IF(D62&lt;'PlayerGrades+'!$AA$9,"B-",IF(D62&lt;'PlayerGrades+'!$AA$8,"B",IF(D62&lt;'PlayerGrades+'!$AA$7,"B+",IF(D62&lt;'PlayerGrades+'!$AA$6,"A-",IF(D62&lt;'PlayerGrades+'!$AA$5,"A",IF(D62&lt;'PlayerGrades+'!$AA$4,"A+",IF(D62&lt;'PlayerGrades+'!$AA$3,"S-",IF(D62&lt;'PlayerGrades+'!$AA$2,"S","S+"))))))))))))))))))))</f>
        <v>A-</v>
      </c>
      <c r="F62" s="961">
        <f t="shared" si="2"/>
        <v>0.03641128198</v>
      </c>
      <c r="G62" s="961" t="str">
        <f>IF(F62&lt;'PlayerGrades+'!$AB$21,"F-",IF(F62&lt;'PlayerGrades+'!$AB$20,"F",IF(F62&lt;'PlayerGrades+'!$AB$19,"F+",IF(F62&lt;'PlayerGrades+'!$AB$18,"E-",IF(F62&lt;'PlayerGrades+'!$AB$17,"E",IF(F62&lt;'PlayerGrades+'!$AB$16,"E+",IF(F62&lt;'PlayerGrades+'!$AB$15,"D-",IF(F62&lt;'PlayerGrades+'!$AB$14,"D",IF(F62&lt;'PlayerGrades+'!$AB$13,"D+",IF(F62&lt;'PlayerGrades+'!$AB$12,"C-",IF(F62&lt;'PlayerGrades+'!$AB$11,"C",IF(F62&lt;'PlayerGrades+'!$AB$10,"C+",IF(F62&lt;'PlayerGrades+'!$AB$9,"B-",IF(F62&lt;'PlayerGrades+'!$AB$8,"B",IF(F62&lt;'PlayerGrades+'!$AB$7,"B+",IF(F62&lt;'PlayerGrades+'!$AB$6,"A-",IF(F62&lt;'PlayerGrades+'!$AB$5,"A",IF(F62&lt;'PlayerGrades+'!$AB$4,"A+",IF(F62&lt;'PlayerGrades+'!$AB$3,"S-",IF(F62&lt;'PlayerGrades+'!$AB$2,"S","S+"))))))))))))))))))))</f>
        <v>A</v>
      </c>
      <c r="H62" s="961">
        <f t="shared" si="3"/>
        <v>0.3165298945</v>
      </c>
      <c r="I62" s="961" t="str">
        <f>IF(H62&lt;'PlayerGrades+'!$AC$21,"F-",IF(H62&lt;'PlayerGrades+'!$AC$20,"F",IF(H62&lt;'PlayerGrades+'!$AC$19,"F+",IF(H62&lt;'PlayerGrades+'!$AC$18,"E-",IF(H62&lt;'PlayerGrades+'!$AC$17,"E",IF(H62&lt;'PlayerGrades+'!$AC$16,"E+",IF(H62&lt;'PlayerGrades+'!$AC$15,"D-",IF(H62&lt;'PlayerGrades+'!$AC$14,"D",IF(H62&lt;'PlayerGrades+'!$AC$13,"D+",IF(H62&lt;'PlayerGrades+'!$AC$12,"C-",IF(H62&lt;'PlayerGrades+'!$AC$11,"C",IF(H62&lt;'PlayerGrades+'!$AC$10,"C+",IF(H62&lt;'PlayerGrades+'!$AC$9,"B-",IF(H62&lt;'PlayerGrades+'!$AC$8,"B",IF(H62&lt;'PlayerGrades+'!$AC$7,"B+",IF(H62&lt;'PlayerGrades+'!$AC$6,"A-",IF(H62&lt;'PlayerGrades+'!$AC$5,"A",IF(H62&lt;'PlayerGrades+'!$AC$4,"A+",IF(H62&lt;'PlayerGrades+'!$AC$3,"S-",IF(H62&lt;'PlayerGrades+'!$AC$2,"S","S+"))))))))))))))))))))</f>
        <v>E</v>
      </c>
      <c r="J62" s="961">
        <f t="shared" si="4"/>
        <v>0.07033997655</v>
      </c>
      <c r="K62" s="961" t="str">
        <f>IF(J62&lt;'PlayerGrades+'!$AD$21,"F-",IF(J62&lt;'PlayerGrades+'!$AD$20,"F",IF(J62&lt;'PlayerGrades+'!$AD$19,"F+",IF(J62&lt;'PlayerGrades+'!$AD$18,"E-",IF(J62&lt;'PlayerGrades+'!$AD$17,"E",IF(J62&lt;'PlayerGrades+'!$AD$16,"E+",IF(J62&lt;'PlayerGrades+'!$AD$15,"D-",IF(J62&lt;'PlayerGrades+'!$AD$14,"D",IF(J62&lt;'PlayerGrades+'!$AD$13,"D+",IF(J62&lt;'PlayerGrades+'!$AD$12,"C-",IF(J62&lt;'PlayerGrades+'!$AD$11,"C",IF(J62&lt;'PlayerGrades+'!$AD$10,"C+",IF(J62&lt;'PlayerGrades+'!$AD$9,"B-",IF(J62&lt;'PlayerGrades+'!$AD$8,"B",IF(J62&lt;'PlayerGrades+'!$AD$7,"B+",IF(J62&lt;'PlayerGrades+'!$AD$6,"A-",IF(J62&lt;'PlayerGrades+'!$AD$5,"A",IF(J62&lt;'PlayerGrades+'!$AD$4,"A+",IF(J62&lt;'PlayerGrades+'!$AD$3,"S-",IF(J62&lt;'PlayerGrades+'!$AD$2,"S","S+"))))))))))))))))))))</f>
        <v>A-</v>
      </c>
      <c r="L62" s="992">
        <f t="shared" si="5"/>
        <v>0.4572098476</v>
      </c>
      <c r="M62" s="992" t="str">
        <f>IF(L62&lt;'PlayerGrades+'!$AE$21,"F-",IF(L62&lt;'PlayerGrades+'!$AE$20,"F",IF(L62&lt;'PlayerGrades+'!$AE$19,"F+",IF(L62&lt;'PlayerGrades+'!$AE$18,"E-",IF(L62&lt;'PlayerGrades+'!$AE$17,"E",IF(L62&lt;'PlayerGrades+'!$AE$16,"E+",IF(L62&lt;'PlayerGrades+'!$AE$15,"D-",IF(L62&lt;'PlayerGrades+'!$AE$14,"D",IF(L62&lt;'PlayerGrades+'!$AE$13,"D+",IF(L62&lt;'PlayerGrades+'!$AE$12,"C-",IF(L62&lt;'PlayerGrades+'!$AE$11,"C",IF(L62&lt;'PlayerGrades+'!$AE$10,"C+",IF(L62&lt;'PlayerGrades+'!$AE$9,"B-",IF(L62&lt;'PlayerGrades+'!$AE$8,"B",IF(L62&lt;'PlayerGrades+'!$AE$7,"B+",IF(L62&lt;'PlayerGrades+'!$AE$6,"A-",IF(L62&lt;'PlayerGrades+'!$AE$5,"A",IF(L62&lt;'PlayerGrades+'!$AE$4,"A+",IF(L62&lt;'PlayerGrades+'!$AE$3,"S-",IF(L62&lt;'PlayerGrades+'!$AE$2,"S","S+"))))))))))))))))))))</f>
        <v>B</v>
      </c>
      <c r="N62" s="961">
        <f t="shared" si="6"/>
        <v>0.2461899179</v>
      </c>
      <c r="O62" s="961" t="str">
        <f>IF(N62&lt;'PlayerGrades+'!$AF$21,"F-",IF(N62&lt;'PlayerGrades+'!$AF$20,"F",IF(N62&lt;'PlayerGrades+'!$AF$19,"F+",IF(N62&lt;'PlayerGrades+'!$AF$18,"E-",IF(N62&lt;'PlayerGrades+'!$AF$17,"E",IF(N62&lt;'PlayerGrades+'!$AF$16,"E+",IF(N62&lt;'PlayerGrades+'!$AF$15,"D-",IF(N62&lt;'PlayerGrades+'!$AF$14,"D",IF(N62&lt;'PlayerGrades+'!$AF$13,"D+",IF(N62&lt;'PlayerGrades+'!$AF$12,"C-",IF(N62&lt;'PlayerGrades+'!$AF$11,"C",IF(N62&lt;'PlayerGrades+'!$AF$10,"C+",IF(N62&lt;'PlayerGrades+'!$AF$9,"B-",IF(N62&lt;'PlayerGrades+'!$AF$8,"B",IF(N62&lt;'PlayerGrades+'!$AF$7,"B+",IF(N62&lt;'PlayerGrades+'!$AF$6,"A-",IF(N62&lt;'PlayerGrades+'!$AF$5,"A",IF(N62&lt;'PlayerGrades+'!$AF$4,"A+",IF(N62&lt;'PlayerGrades+'!$AF$3,"S-",IF(N62&lt;'PlayerGrades+'!$AF$2,"S","S+"))))))))))))))))))))</f>
        <v>S-</v>
      </c>
      <c r="P62" s="961">
        <f t="shared" si="7"/>
        <v>0.9144196952</v>
      </c>
      <c r="Q62" s="961" t="str">
        <f>IF(P62&lt;'PlayerGrades+'!$AG$21,"F-",IF(P62&lt;'PlayerGrades+'!$AG$20,"F",IF(P62&lt;'PlayerGrades+'!$AG$19,"F+",IF(P62&lt;'PlayerGrades+'!$AG$18,"E-",IF(P62&lt;'PlayerGrades+'!$AG$17,"E",IF(P62&lt;'PlayerGrades+'!$AG$16,"E+",IF(P62&lt;'PlayerGrades+'!$AG$15,"D-",IF(P62&lt;'PlayerGrades+'!$AG$14,"D",IF(P62&lt;'PlayerGrades+'!$AG$13,"D+",IF(P62&lt;'PlayerGrades+'!$AG$12,"C-",IF(P62&lt;'PlayerGrades+'!$AG$11,"C",IF(P62&lt;'PlayerGrades+'!$AG$10,"C+",IF(P62&lt;'PlayerGrades+'!$AG$9,"B-",IF(P62&lt;'PlayerGrades+'!$AG$8,"B",IF(P62&lt;'PlayerGrades+'!$AG$7,"B+",IF(P62&lt;'PlayerGrades+'!$AG$6,"A-",IF(P62&lt;'PlayerGrades+'!$AG$5,"A",IF(P62&lt;'PlayerGrades+'!$AG$4,"A+",IF(P62&lt;'PlayerGrades+'!$AG$3,"S-",IF(P62&lt;'PlayerGrades+'!$AG$2,"S","S+"))))))))))))))))))))</f>
        <v>A+</v>
      </c>
      <c r="R62" s="961">
        <f t="shared" si="8"/>
        <v>0.1055099648</v>
      </c>
      <c r="S62" s="961" t="str">
        <f>IF(R62&lt;'PlayerGrades+'!$AH$21,"F-",IF(R62&lt;'PlayerGrades+'!$AH$20,"F",IF(R62&lt;'PlayerGrades+'!$AH$19,"F+",IF(R62&lt;'PlayerGrades+'!$AH$18,"E-",IF(R62&lt;'PlayerGrades+'!$AH$17,"E",IF(R62&lt;'PlayerGrades+'!$AH$16,"E+",IF(R62&lt;'PlayerGrades+'!$AH$15,"D-",IF(R62&lt;'PlayerGrades+'!$AH$14,"D",IF(R62&lt;'PlayerGrades+'!$AH$13,"D+",IF(R62&lt;'PlayerGrades+'!$AH$12,"C-",IF(R62&lt;'PlayerGrades+'!$AH$11,"C",IF(R62&lt;'PlayerGrades+'!$AH$10,"C+",IF(R62&lt;'PlayerGrades+'!$AH$9,"B-",IF(R62&lt;'PlayerGrades+'!$AH$8,"B",IF(R62&lt;'PlayerGrades+'!$AH$7,"B+",IF(R62&lt;'PlayerGrades+'!$AH$6,"A-",IF(R62&lt;'PlayerGrades+'!$AH$5,"A",IF(R62&lt;'PlayerGrades+'!$AH$4,"A+",IF(R62&lt;'PlayerGrades+'!$AH$3,"S-",IF(R62&lt;'PlayerGrades+'!$AH$2,"S","S+"))))))))))))))))))))</f>
        <v>S-</v>
      </c>
      <c r="T62" s="961">
        <f t="shared" si="9"/>
        <v>3.094958968</v>
      </c>
      <c r="U62" s="961" t="str">
        <f>IF(T62&lt;'PlayerGrades+'!$AI$21,"F-",IF(T62&lt;'PlayerGrades+'!$AI$20,"F",IF(T62&lt;'PlayerGrades+'!$AI$19,"F+",IF(T62&lt;'PlayerGrades+'!$AI$18,"E-",IF(T62&lt;'PlayerGrades+'!$AI$17,"E",IF(T62&lt;'PlayerGrades+'!$AI$16,"E+",IF(T62&lt;'PlayerGrades+'!$AI$15,"D-",IF(T62&lt;'PlayerGrades+'!$AI$14,"D",IF(T62&lt;'PlayerGrades+'!$AI$13,"D+",IF(T62&lt;'PlayerGrades+'!$AI$12,"C-",IF(T62&lt;'PlayerGrades+'!$AI$11,"C",IF(T62&lt;'PlayerGrades+'!$AI$10,"C+",IF(T62&lt;'PlayerGrades+'!$AI$9,"B-",IF(T62&lt;'PlayerGrades+'!$AI$8,"B",IF(T62&lt;'PlayerGrades+'!$AI$7,"B+",IF(T62&lt;'PlayerGrades+'!$AI$6,"A-",IF(T62&lt;'PlayerGrades+'!$AI$5,"A",IF(T62&lt;'PlayerGrades+'!$AI$4,"A+",IF(T62&lt;'PlayerGrades+'!$AI$3,"S-",IF(T62&lt;'PlayerGrades+'!$AI$2,"S","S+"))))))))))))))))))))</f>
        <v>B+</v>
      </c>
      <c r="V62" s="1100">
        <v>0.0</v>
      </c>
      <c r="W62" s="1100">
        <v>1.0</v>
      </c>
      <c r="X62" s="1100">
        <v>2.0</v>
      </c>
      <c r="Y62" s="1100">
        <v>14.0</v>
      </c>
      <c r="Z62" s="1100">
        <v>88.0</v>
      </c>
      <c r="AA62" s="1100">
        <v>85.0</v>
      </c>
      <c r="AB62" s="1017">
        <f t="shared" si="10"/>
        <v>3</v>
      </c>
      <c r="AC62" s="1020">
        <f t="shared" si="11"/>
        <v>1.035294118</v>
      </c>
      <c r="AD62" s="1100">
        <v>0.0</v>
      </c>
      <c r="AE62" s="1260">
        <v>1706.0</v>
      </c>
      <c r="AF62" s="1100">
        <v>2.0</v>
      </c>
      <c r="AG62" s="1100">
        <v>0.0</v>
      </c>
      <c r="AH62" s="1100">
        <v>0.0</v>
      </c>
      <c r="AI62" s="1100">
        <v>0.0</v>
      </c>
      <c r="AJ62" s="1100">
        <v>0.0</v>
      </c>
      <c r="AK62" s="1100">
        <v>13.0</v>
      </c>
      <c r="AL62" s="1100">
        <v>7.0</v>
      </c>
      <c r="AM62" s="1100">
        <v>5.0</v>
      </c>
      <c r="AN62" s="1100">
        <v>1.0</v>
      </c>
      <c r="AO62" s="1100">
        <v>0.0</v>
      </c>
      <c r="AP62" s="1100">
        <v>0.0</v>
      </c>
      <c r="AQ62" s="1100">
        <v>0.0</v>
      </c>
      <c r="AR62" s="1100">
        <v>0.0</v>
      </c>
      <c r="AS62" s="1100">
        <v>0.0</v>
      </c>
      <c r="AT62" s="1100">
        <v>0.0</v>
      </c>
      <c r="AU62" s="1100">
        <v>9.0</v>
      </c>
      <c r="AV62" s="1100">
        <v>0.0</v>
      </c>
      <c r="AW62" s="1100">
        <v>0.0</v>
      </c>
      <c r="AX62" s="1100">
        <v>0.0</v>
      </c>
      <c r="AY62" s="1100">
        <v>2.0</v>
      </c>
      <c r="AZ62" s="1239">
        <v>1.0</v>
      </c>
    </row>
    <row r="63">
      <c r="A63" s="938" t="s">
        <v>160</v>
      </c>
      <c r="B63" s="1100" t="str">
        <f>IF(C63&lt;'PlayerGrades+'!$Y$44,"F-",IF(C63&lt;'PlayerGrades+'!$Y$43,"F",IF(C63&lt;'PlayerGrades+'!$Y$42,"F+",IF(C63&lt;'PlayerGrades+'!$Y$41,"E-",IF(C63&lt;'PlayerGrades+'!$Y$40,"E",IF(C63&lt;'PlayerGrades+'!$Y$39,"E+",IF(C63&lt;'PlayerGrades+'!$Y$38,"D-",IF(C63&lt;'PlayerGrades+'!$Y$37,"D",IF(C63&lt;'PlayerGrades+'!$Y$36,"D+",IF(C63&lt;'PlayerGrades+'!$Y$35,"C-",IF(C63&lt;'PlayerGrades+'!$Y$34,"C",IF(C63&lt;'PlayerGrades+'!$Y$33,"C+",IF(C63&lt;'PlayerGrades+'!$Y$32,"B-",IF(C63&lt;'PlayerGrades+'!$Y$31,"B",IF(C63&lt;'PlayerGrades+'!$Y$30,"B+",IF(C63&lt;'PlayerGrades+'!$Y$29,"A-",IF(C63&lt;'PlayerGrades+'!$Y$28,"A",IF(C63&lt;'PlayerGrades+'!$Y$27,"A+",IF(C63&lt;'PlayerGrades+'!$Y$26,"S-",IF(C63&lt;'PlayerGrades+'!$Y$25,"S","S+"))))))))))))))))))))</f>
        <v>D</v>
      </c>
      <c r="C63" s="1105">
        <f>('PlayerGrades+'!$Y$47*(VLOOKUP(E63, 'PlayerGrades+'!$X$3:$Y$23, 2, FALSE)))+('PlayerGrades+'!$Y$48*(VLOOKUP(G63, 'PlayerGrades+'!$X$3:$Y$23, 2, FALSE)))+('PlayerGrades+'!$Y$49*(VLOOKUP(I63, 'PlayerGrades+'!$X$3:$Y$23, 2, FALSE)))+('PlayerGrades+'!$Y$50*(VLOOKUP(K63, 'PlayerGrades+'!$X$3:$Y$23, 2, FALSE)))+('PlayerGrades+'!$Y$51*(VLOOKUP(M63, 'PlayerGrades+'!$X$3:$Y$23, 2, FALSE)))+('PlayerGrades+'!$Y$52*(VLOOKUP(O63, 'PlayerGrades+'!$X$3:$Y$23, 2, FALSE)))+('PlayerGrades+'!$Y$53*(VLOOKUP(Q63, 'PlayerGrades+'!$X$3:$Y$23, 2, FALSE)))+('PlayerGrades+'!$Y$54*(VLOOKUP(S63, 'PlayerGrades+'!$X$3:$Y$23, 2, FALSE)))+('PlayerGrades+'!$Y$55*(VLOOKUP(U63, 'PlayerGrades+'!$X$3:$Y$23, 2, FALSE)))</f>
        <v>13.2</v>
      </c>
      <c r="D63" s="961">
        <f t="shared" si="1"/>
        <v>0</v>
      </c>
      <c r="E63" s="961" t="str">
        <f>IF(D63&lt;'PlayerGrades+'!$AA$21,"F-",IF(D63&lt;'PlayerGrades+'!$AA$20,"F",IF(D63&lt;'PlayerGrades+'!$AA$19,"F+",IF(D63&lt;'PlayerGrades+'!$AA$18,"E-",IF(D63&lt;'PlayerGrades+'!$AA$17,"E",IF(D63&lt;'PlayerGrades+'!$AA$16,"E+",IF(D63&lt;'PlayerGrades+'!$AA$15,"D-",IF(D63&lt;'PlayerGrades+'!$AA$14,"D",IF(D63&lt;'PlayerGrades+'!$AA$13,"D+",IF(D63&lt;'PlayerGrades+'!$AA$12,"C-",IF(D63&lt;'PlayerGrades+'!$AA$11,"C",IF(D63&lt;'PlayerGrades+'!$AA$10,"C+",IF(D63&lt;'PlayerGrades+'!$AA$9,"B-",IF(D63&lt;'PlayerGrades+'!$AA$8,"B",IF(D63&lt;'PlayerGrades+'!$AA$7,"B+",IF(D63&lt;'PlayerGrades+'!$AA$6,"A-",IF(D63&lt;'PlayerGrades+'!$AA$5,"A",IF(D63&lt;'PlayerGrades+'!$AA$4,"A+",IF(D63&lt;'PlayerGrades+'!$AA$3,"S-",IF(D63&lt;'PlayerGrades+'!$AA$2,"S","S+"))))))))))))))))))))</f>
        <v>F-</v>
      </c>
      <c r="F63" s="961">
        <f t="shared" si="2"/>
        <v>0.02324795835</v>
      </c>
      <c r="G63" s="961" t="str">
        <f>IF(F63&lt;'PlayerGrades+'!$AB$21,"F-",IF(F63&lt;'PlayerGrades+'!$AB$20,"F",IF(F63&lt;'PlayerGrades+'!$AB$19,"F+",IF(F63&lt;'PlayerGrades+'!$AB$18,"E-",IF(F63&lt;'PlayerGrades+'!$AB$17,"E",IF(F63&lt;'PlayerGrades+'!$AB$16,"E+",IF(F63&lt;'PlayerGrades+'!$AB$15,"D-",IF(F63&lt;'PlayerGrades+'!$AB$14,"D",IF(F63&lt;'PlayerGrades+'!$AB$13,"D+",IF(F63&lt;'PlayerGrades+'!$AB$12,"C-",IF(F63&lt;'PlayerGrades+'!$AB$11,"C",IF(F63&lt;'PlayerGrades+'!$AB$10,"C+",IF(F63&lt;'PlayerGrades+'!$AB$9,"B-",IF(F63&lt;'PlayerGrades+'!$AB$8,"B",IF(F63&lt;'PlayerGrades+'!$AB$7,"B+",IF(F63&lt;'PlayerGrades+'!$AB$6,"A-",IF(F63&lt;'PlayerGrades+'!$AB$5,"A",IF(F63&lt;'PlayerGrades+'!$AB$4,"A+",IF(F63&lt;'PlayerGrades+'!$AB$3,"S-",IF(F63&lt;'PlayerGrades+'!$AB$2,"S","S+"))))))))))))))))))))</f>
        <v>A</v>
      </c>
      <c r="H63" s="961">
        <f t="shared" si="3"/>
        <v>0.3516998828</v>
      </c>
      <c r="I63" s="961" t="str">
        <f>IF(H63&lt;'PlayerGrades+'!$AC$21,"F-",IF(H63&lt;'PlayerGrades+'!$AC$20,"F",IF(H63&lt;'PlayerGrades+'!$AC$19,"F+",IF(H63&lt;'PlayerGrades+'!$AC$18,"E-",IF(H63&lt;'PlayerGrades+'!$AC$17,"E",IF(H63&lt;'PlayerGrades+'!$AC$16,"E+",IF(H63&lt;'PlayerGrades+'!$AC$15,"D-",IF(H63&lt;'PlayerGrades+'!$AC$14,"D",IF(H63&lt;'PlayerGrades+'!$AC$13,"D+",IF(H63&lt;'PlayerGrades+'!$AC$12,"C-",IF(H63&lt;'PlayerGrades+'!$AC$11,"C",IF(H63&lt;'PlayerGrades+'!$AC$10,"C+",IF(H63&lt;'PlayerGrades+'!$AC$9,"B-",IF(H63&lt;'PlayerGrades+'!$AC$8,"B",IF(H63&lt;'PlayerGrades+'!$AC$7,"B+",IF(H63&lt;'PlayerGrades+'!$AC$6,"A-",IF(H63&lt;'PlayerGrades+'!$AC$5,"A",IF(H63&lt;'PlayerGrades+'!$AC$4,"A+",IF(H63&lt;'PlayerGrades+'!$AC$3,"S-",IF(H63&lt;'PlayerGrades+'!$AC$2,"S","S+"))))))))))))))))))))</f>
        <v>E+</v>
      </c>
      <c r="J63" s="961">
        <f t="shared" si="4"/>
        <v>0</v>
      </c>
      <c r="K63" s="961" t="str">
        <f>IF(J63&lt;'PlayerGrades+'!$AD$21,"F-",IF(J63&lt;'PlayerGrades+'!$AD$20,"F",IF(J63&lt;'PlayerGrades+'!$AD$19,"F+",IF(J63&lt;'PlayerGrades+'!$AD$18,"E-",IF(J63&lt;'PlayerGrades+'!$AD$17,"E",IF(J63&lt;'PlayerGrades+'!$AD$16,"E+",IF(J63&lt;'PlayerGrades+'!$AD$15,"D-",IF(J63&lt;'PlayerGrades+'!$AD$14,"D",IF(J63&lt;'PlayerGrades+'!$AD$13,"D+",IF(J63&lt;'PlayerGrades+'!$AD$12,"C-",IF(J63&lt;'PlayerGrades+'!$AD$11,"C",IF(J63&lt;'PlayerGrades+'!$AD$10,"C+",IF(J63&lt;'PlayerGrades+'!$AD$9,"B-",IF(J63&lt;'PlayerGrades+'!$AD$8,"B",IF(J63&lt;'PlayerGrades+'!$AD$7,"B+",IF(J63&lt;'PlayerGrades+'!$AD$6,"A-",IF(J63&lt;'PlayerGrades+'!$AD$5,"A",IF(J63&lt;'PlayerGrades+'!$AD$4,"A+",IF(J63&lt;'PlayerGrades+'!$AD$3,"S-",IF(J63&lt;'PlayerGrades+'!$AD$2,"S","S+"))))))))))))))))))))</f>
        <v>F-</v>
      </c>
      <c r="L63" s="992">
        <f t="shared" si="5"/>
        <v>0.5627198124</v>
      </c>
      <c r="M63" s="992" t="str">
        <f>IF(L63&lt;'PlayerGrades+'!$AE$21,"F-",IF(L63&lt;'PlayerGrades+'!$AE$20,"F",IF(L63&lt;'PlayerGrades+'!$AE$19,"F+",IF(L63&lt;'PlayerGrades+'!$AE$18,"E-",IF(L63&lt;'PlayerGrades+'!$AE$17,"E",IF(L63&lt;'PlayerGrades+'!$AE$16,"E+",IF(L63&lt;'PlayerGrades+'!$AE$15,"D-",IF(L63&lt;'PlayerGrades+'!$AE$14,"D",IF(L63&lt;'PlayerGrades+'!$AE$13,"D+",IF(L63&lt;'PlayerGrades+'!$AE$12,"C-",IF(L63&lt;'PlayerGrades+'!$AE$11,"C",IF(L63&lt;'PlayerGrades+'!$AE$10,"C+",IF(L63&lt;'PlayerGrades+'!$AE$9,"B-",IF(L63&lt;'PlayerGrades+'!$AE$8,"B",IF(L63&lt;'PlayerGrades+'!$AE$7,"B+",IF(L63&lt;'PlayerGrades+'!$AE$6,"A-",IF(L63&lt;'PlayerGrades+'!$AE$5,"A",IF(L63&lt;'PlayerGrades+'!$AE$4,"A+",IF(L63&lt;'PlayerGrades+'!$AE$3,"S-",IF(L63&lt;'PlayerGrades+'!$AE$2,"S","S+"))))))))))))))))))))</f>
        <v>A-</v>
      </c>
      <c r="N63" s="961">
        <f t="shared" si="6"/>
        <v>0.03516998828</v>
      </c>
      <c r="O63" s="961" t="str">
        <f>IF(N63&lt;'PlayerGrades+'!$AF$21,"F-",IF(N63&lt;'PlayerGrades+'!$AF$20,"F",IF(N63&lt;'PlayerGrades+'!$AF$19,"F+",IF(N63&lt;'PlayerGrades+'!$AF$18,"E-",IF(N63&lt;'PlayerGrades+'!$AF$17,"E",IF(N63&lt;'PlayerGrades+'!$AF$16,"E+",IF(N63&lt;'PlayerGrades+'!$AF$15,"D-",IF(N63&lt;'PlayerGrades+'!$AF$14,"D",IF(N63&lt;'PlayerGrades+'!$AF$13,"D+",IF(N63&lt;'PlayerGrades+'!$AF$12,"C-",IF(N63&lt;'PlayerGrades+'!$AF$11,"C",IF(N63&lt;'PlayerGrades+'!$AF$10,"C+",IF(N63&lt;'PlayerGrades+'!$AF$9,"B-",IF(N63&lt;'PlayerGrades+'!$AF$8,"B",IF(N63&lt;'PlayerGrades+'!$AF$7,"B+",IF(N63&lt;'PlayerGrades+'!$AF$6,"A-",IF(N63&lt;'PlayerGrades+'!$AF$5,"A",IF(N63&lt;'PlayerGrades+'!$AF$4,"A+",IF(N63&lt;'PlayerGrades+'!$AF$3,"S-",IF(N63&lt;'PlayerGrades+'!$AF$2,"S","S+"))))))))))))))))))))</f>
        <v>F-</v>
      </c>
      <c r="P63" s="961">
        <f t="shared" si="7"/>
        <v>0.633059789</v>
      </c>
      <c r="Q63" s="961" t="str">
        <f>IF(P63&lt;'PlayerGrades+'!$AG$21,"F-",IF(P63&lt;'PlayerGrades+'!$AG$20,"F",IF(P63&lt;'PlayerGrades+'!$AG$19,"F+",IF(P63&lt;'PlayerGrades+'!$AG$18,"E-",IF(P63&lt;'PlayerGrades+'!$AG$17,"E",IF(P63&lt;'PlayerGrades+'!$AG$16,"E+",IF(P63&lt;'PlayerGrades+'!$AG$15,"D-",IF(P63&lt;'PlayerGrades+'!$AG$14,"D",IF(P63&lt;'PlayerGrades+'!$AG$13,"D+",IF(P63&lt;'PlayerGrades+'!$AG$12,"C-",IF(P63&lt;'PlayerGrades+'!$AG$11,"C",IF(P63&lt;'PlayerGrades+'!$AG$10,"C+",IF(P63&lt;'PlayerGrades+'!$AG$9,"B-",IF(P63&lt;'PlayerGrades+'!$AG$8,"B",IF(P63&lt;'PlayerGrades+'!$AG$7,"B+",IF(P63&lt;'PlayerGrades+'!$AG$6,"A-",IF(P63&lt;'PlayerGrades+'!$AG$5,"A",IF(P63&lt;'PlayerGrades+'!$AG$4,"A+",IF(P63&lt;'PlayerGrades+'!$AG$3,"S-",IF(P63&lt;'PlayerGrades+'!$AG$2,"S","S+"))))))))))))))))))))</f>
        <v>B-</v>
      </c>
      <c r="R63" s="961">
        <f t="shared" si="8"/>
        <v>0.1055099648</v>
      </c>
      <c r="S63" s="961" t="str">
        <f>IF(R63&lt;'PlayerGrades+'!$AH$21,"F-",IF(R63&lt;'PlayerGrades+'!$AH$20,"F",IF(R63&lt;'PlayerGrades+'!$AH$19,"F+",IF(R63&lt;'PlayerGrades+'!$AH$18,"E-",IF(R63&lt;'PlayerGrades+'!$AH$17,"E",IF(R63&lt;'PlayerGrades+'!$AH$16,"E+",IF(R63&lt;'PlayerGrades+'!$AH$15,"D-",IF(R63&lt;'PlayerGrades+'!$AH$14,"D",IF(R63&lt;'PlayerGrades+'!$AH$13,"D+",IF(R63&lt;'PlayerGrades+'!$AH$12,"C-",IF(R63&lt;'PlayerGrades+'!$AH$11,"C",IF(R63&lt;'PlayerGrades+'!$AH$10,"C+",IF(R63&lt;'PlayerGrades+'!$AH$9,"B-",IF(R63&lt;'PlayerGrades+'!$AH$8,"B",IF(R63&lt;'PlayerGrades+'!$AH$7,"B+",IF(R63&lt;'PlayerGrades+'!$AH$6,"A-",IF(R63&lt;'PlayerGrades+'!$AH$5,"A",IF(R63&lt;'PlayerGrades+'!$AH$4,"A+",IF(R63&lt;'PlayerGrades+'!$AH$3,"S-",IF(R63&lt;'PlayerGrades+'!$AH$2,"S","S+"))))))))))))))))))))</f>
        <v>S-</v>
      </c>
      <c r="T63" s="961">
        <f t="shared" si="9"/>
        <v>2.743259086</v>
      </c>
      <c r="U63" s="961" t="str">
        <f>IF(T63&lt;'PlayerGrades+'!$AI$21,"F-",IF(T63&lt;'PlayerGrades+'!$AI$20,"F",IF(T63&lt;'PlayerGrades+'!$AI$19,"F+",IF(T63&lt;'PlayerGrades+'!$AI$18,"E-",IF(T63&lt;'PlayerGrades+'!$AI$17,"E",IF(T63&lt;'PlayerGrades+'!$AI$16,"E+",IF(T63&lt;'PlayerGrades+'!$AI$15,"D-",IF(T63&lt;'PlayerGrades+'!$AI$14,"D",IF(T63&lt;'PlayerGrades+'!$AI$13,"D+",IF(T63&lt;'PlayerGrades+'!$AI$12,"C-",IF(T63&lt;'PlayerGrades+'!$AI$11,"C",IF(T63&lt;'PlayerGrades+'!$AI$10,"C+",IF(T63&lt;'PlayerGrades+'!$AI$9,"B-",IF(T63&lt;'PlayerGrades+'!$AI$8,"B",IF(T63&lt;'PlayerGrades+'!$AI$7,"B+",IF(T63&lt;'PlayerGrades+'!$AI$6,"A-",IF(T63&lt;'PlayerGrades+'!$AI$5,"A",IF(T63&lt;'PlayerGrades+'!$AI$4,"A+",IF(T63&lt;'PlayerGrades+'!$AI$3,"S-",IF(T63&lt;'PlayerGrades+'!$AI$2,"S","S+"))))))))))))))))))))</f>
        <v>C-</v>
      </c>
      <c r="V63" s="1100">
        <v>0.0</v>
      </c>
      <c r="W63" s="1100">
        <v>1.0</v>
      </c>
      <c r="X63" s="1100">
        <v>0.0</v>
      </c>
      <c r="Y63" s="1100">
        <v>2.0</v>
      </c>
      <c r="Z63" s="1100">
        <v>78.0</v>
      </c>
      <c r="AA63" s="1100">
        <v>118.0</v>
      </c>
      <c r="AB63" s="1017">
        <f t="shared" si="10"/>
        <v>-40</v>
      </c>
      <c r="AC63" s="1020">
        <f t="shared" si="11"/>
        <v>0.6610169492</v>
      </c>
      <c r="AD63" s="1100">
        <v>0.0</v>
      </c>
      <c r="AE63" s="1260">
        <v>1706.0</v>
      </c>
      <c r="AF63" s="1100">
        <v>0.0</v>
      </c>
      <c r="AG63" s="1100">
        <v>0.0</v>
      </c>
      <c r="AH63" s="1100">
        <v>0.0</v>
      </c>
      <c r="AI63" s="1100">
        <v>0.0</v>
      </c>
      <c r="AJ63" s="1100">
        <v>1.0</v>
      </c>
      <c r="AK63" s="1100">
        <v>16.0</v>
      </c>
      <c r="AL63" s="1100">
        <v>1.0</v>
      </c>
      <c r="AM63" s="1100">
        <v>0.0</v>
      </c>
      <c r="AN63" s="1100">
        <v>0.0</v>
      </c>
      <c r="AO63" s="1100">
        <v>0.0</v>
      </c>
      <c r="AP63" s="1100">
        <v>0.0</v>
      </c>
      <c r="AQ63" s="1100">
        <v>0.0</v>
      </c>
      <c r="AR63" s="1100">
        <v>0.0</v>
      </c>
      <c r="AS63" s="1100">
        <v>0.0</v>
      </c>
      <c r="AT63" s="1100">
        <v>0.0</v>
      </c>
      <c r="AU63" s="1100">
        <v>10.0</v>
      </c>
      <c r="AV63" s="1100">
        <v>0.0</v>
      </c>
      <c r="AW63" s="1100">
        <v>0.0</v>
      </c>
      <c r="AX63" s="1100">
        <v>1.0</v>
      </c>
      <c r="AY63" s="1100">
        <v>2.0</v>
      </c>
      <c r="AZ63" s="1239">
        <v>0.0</v>
      </c>
    </row>
    <row r="64">
      <c r="A64" s="938" t="s">
        <v>162</v>
      </c>
      <c r="B64" s="1100" t="str">
        <f>IF(C64&lt;'PlayerGrades+'!$Y$44,"F-",IF(C64&lt;'PlayerGrades+'!$Y$43,"F",IF(C64&lt;'PlayerGrades+'!$Y$42,"F+",IF(C64&lt;'PlayerGrades+'!$Y$41,"E-",IF(C64&lt;'PlayerGrades+'!$Y$40,"E",IF(C64&lt;'PlayerGrades+'!$Y$39,"E+",IF(C64&lt;'PlayerGrades+'!$Y$38,"D-",IF(C64&lt;'PlayerGrades+'!$Y$37,"D",IF(C64&lt;'PlayerGrades+'!$Y$36,"D+",IF(C64&lt;'PlayerGrades+'!$Y$35,"C-",IF(C64&lt;'PlayerGrades+'!$Y$34,"C",IF(C64&lt;'PlayerGrades+'!$Y$33,"C+",IF(C64&lt;'PlayerGrades+'!$Y$32,"B-",IF(C64&lt;'PlayerGrades+'!$Y$31,"B",IF(C64&lt;'PlayerGrades+'!$Y$30,"B+",IF(C64&lt;'PlayerGrades+'!$Y$29,"A-",IF(C64&lt;'PlayerGrades+'!$Y$28,"A",IF(C64&lt;'PlayerGrades+'!$Y$27,"A+",IF(C64&lt;'PlayerGrades+'!$Y$26,"S-",IF(C64&lt;'PlayerGrades+'!$Y$25,"S","S+"))))))))))))))))))))</f>
        <v>E</v>
      </c>
      <c r="C64" s="1105">
        <f>('PlayerGrades+'!$Y$47*(VLOOKUP(E64, 'PlayerGrades+'!$X$3:$Y$23, 2, FALSE)))+('PlayerGrades+'!$Y$48*(VLOOKUP(G64, 'PlayerGrades+'!$X$3:$Y$23, 2, FALSE)))+('PlayerGrades+'!$Y$49*(VLOOKUP(I64, 'PlayerGrades+'!$X$3:$Y$23, 2, FALSE)))+('PlayerGrades+'!$Y$50*(VLOOKUP(K64, 'PlayerGrades+'!$X$3:$Y$23, 2, FALSE)))+('PlayerGrades+'!$Y$51*(VLOOKUP(M64, 'PlayerGrades+'!$X$3:$Y$23, 2, FALSE)))+('PlayerGrades+'!$Y$52*(VLOOKUP(O64, 'PlayerGrades+'!$X$3:$Y$23, 2, FALSE)))+('PlayerGrades+'!$Y$53*(VLOOKUP(Q64, 'PlayerGrades+'!$X$3:$Y$23, 2, FALSE)))+('PlayerGrades+'!$Y$54*(VLOOKUP(S64, 'PlayerGrades+'!$X$3:$Y$23, 2, FALSE)))+('PlayerGrades+'!$Y$55*(VLOOKUP(U64, 'PlayerGrades+'!$X$3:$Y$23, 2, FALSE)))</f>
        <v>9.55</v>
      </c>
      <c r="D64" s="961">
        <f t="shared" si="1"/>
        <v>0</v>
      </c>
      <c r="E64" s="961" t="str">
        <f>IF(D64&lt;'PlayerGrades+'!$AA$21,"F-",IF(D64&lt;'PlayerGrades+'!$AA$20,"F",IF(D64&lt;'PlayerGrades+'!$AA$19,"F+",IF(D64&lt;'PlayerGrades+'!$AA$18,"E-",IF(D64&lt;'PlayerGrades+'!$AA$17,"E",IF(D64&lt;'PlayerGrades+'!$AA$16,"E+",IF(D64&lt;'PlayerGrades+'!$AA$15,"D-",IF(D64&lt;'PlayerGrades+'!$AA$14,"D",IF(D64&lt;'PlayerGrades+'!$AA$13,"D+",IF(D64&lt;'PlayerGrades+'!$AA$12,"C-",IF(D64&lt;'PlayerGrades+'!$AA$11,"C",IF(D64&lt;'PlayerGrades+'!$AA$10,"C+",IF(D64&lt;'PlayerGrades+'!$AA$9,"B-",IF(D64&lt;'PlayerGrades+'!$AA$8,"B",IF(D64&lt;'PlayerGrades+'!$AA$7,"B+",IF(D64&lt;'PlayerGrades+'!$AA$6,"A-",IF(D64&lt;'PlayerGrades+'!$AA$5,"A",IF(D64&lt;'PlayerGrades+'!$AA$4,"A+",IF(D64&lt;'PlayerGrades+'!$AA$3,"S-",IF(D64&lt;'PlayerGrades+'!$AA$2,"S","S+"))))))))))))))))))))</f>
        <v>F-</v>
      </c>
      <c r="F64" s="961">
        <f t="shared" si="2"/>
        <v>0.01810991934</v>
      </c>
      <c r="G64" s="961" t="str">
        <f>IF(F64&lt;'PlayerGrades+'!$AB$21,"F-",IF(F64&lt;'PlayerGrades+'!$AB$20,"F",IF(F64&lt;'PlayerGrades+'!$AB$19,"F+",IF(F64&lt;'PlayerGrades+'!$AB$18,"E-",IF(F64&lt;'PlayerGrades+'!$AB$17,"E",IF(F64&lt;'PlayerGrades+'!$AB$16,"E+",IF(F64&lt;'PlayerGrades+'!$AB$15,"D-",IF(F64&lt;'PlayerGrades+'!$AB$14,"D",IF(F64&lt;'PlayerGrades+'!$AB$13,"D+",IF(F64&lt;'PlayerGrades+'!$AB$12,"C-",IF(F64&lt;'PlayerGrades+'!$AB$11,"C",IF(F64&lt;'PlayerGrades+'!$AB$10,"C+",IF(F64&lt;'PlayerGrades+'!$AB$9,"B-",IF(F64&lt;'PlayerGrades+'!$AB$8,"B",IF(F64&lt;'PlayerGrades+'!$AB$7,"B+",IF(F64&lt;'PlayerGrades+'!$AB$6,"A-",IF(F64&lt;'PlayerGrades+'!$AB$5,"A",IF(F64&lt;'PlayerGrades+'!$AB$4,"A+",IF(F64&lt;'PlayerGrades+'!$AB$3,"S-",IF(F64&lt;'PlayerGrades+'!$AB$2,"S","S+"))))))))))))))))))))</f>
        <v>A</v>
      </c>
      <c r="H64" s="961">
        <f t="shared" si="3"/>
        <v>0.2813599062</v>
      </c>
      <c r="I64" s="961" t="str">
        <f>IF(H64&lt;'PlayerGrades+'!$AC$21,"F-",IF(H64&lt;'PlayerGrades+'!$AC$20,"F",IF(H64&lt;'PlayerGrades+'!$AC$19,"F+",IF(H64&lt;'PlayerGrades+'!$AC$18,"E-",IF(H64&lt;'PlayerGrades+'!$AC$17,"E",IF(H64&lt;'PlayerGrades+'!$AC$16,"E+",IF(H64&lt;'PlayerGrades+'!$AC$15,"D-",IF(H64&lt;'PlayerGrades+'!$AC$14,"D",IF(H64&lt;'PlayerGrades+'!$AC$13,"D+",IF(H64&lt;'PlayerGrades+'!$AC$12,"C-",IF(H64&lt;'PlayerGrades+'!$AC$11,"C",IF(H64&lt;'PlayerGrades+'!$AC$10,"C+",IF(H64&lt;'PlayerGrades+'!$AC$9,"B-",IF(H64&lt;'PlayerGrades+'!$AC$8,"B",IF(H64&lt;'PlayerGrades+'!$AC$7,"B+",IF(H64&lt;'PlayerGrades+'!$AC$6,"A-",IF(H64&lt;'PlayerGrades+'!$AC$5,"A",IF(H64&lt;'PlayerGrades+'!$AC$4,"A+",IF(H64&lt;'PlayerGrades+'!$AC$3,"S-",IF(H64&lt;'PlayerGrades+'!$AC$2,"S","S+"))))))))))))))))))))</f>
        <v>F+</v>
      </c>
      <c r="J64" s="961">
        <f t="shared" si="4"/>
        <v>0</v>
      </c>
      <c r="K64" s="961" t="str">
        <f>IF(J64&lt;'PlayerGrades+'!$AD$21,"F-",IF(J64&lt;'PlayerGrades+'!$AD$20,"F",IF(J64&lt;'PlayerGrades+'!$AD$19,"F+",IF(J64&lt;'PlayerGrades+'!$AD$18,"E-",IF(J64&lt;'PlayerGrades+'!$AD$17,"E",IF(J64&lt;'PlayerGrades+'!$AD$16,"E+",IF(J64&lt;'PlayerGrades+'!$AD$15,"D-",IF(J64&lt;'PlayerGrades+'!$AD$14,"D",IF(J64&lt;'PlayerGrades+'!$AD$13,"D+",IF(J64&lt;'PlayerGrades+'!$AD$12,"C-",IF(J64&lt;'PlayerGrades+'!$AD$11,"C",IF(J64&lt;'PlayerGrades+'!$AD$10,"C+",IF(J64&lt;'PlayerGrades+'!$AD$9,"B-",IF(J64&lt;'PlayerGrades+'!$AD$8,"B",IF(J64&lt;'PlayerGrades+'!$AD$7,"B+",IF(J64&lt;'PlayerGrades+'!$AD$6,"A-",IF(J64&lt;'PlayerGrades+'!$AD$5,"A",IF(J64&lt;'PlayerGrades+'!$AD$4,"A+",IF(J64&lt;'PlayerGrades+'!$AD$3,"S-",IF(J64&lt;'PlayerGrades+'!$AD$2,"S","S+"))))))))))))))))))))</f>
        <v>F-</v>
      </c>
      <c r="L64" s="992">
        <f t="shared" si="5"/>
        <v>0.3165298945</v>
      </c>
      <c r="M64" s="992" t="str">
        <f>IF(L64&lt;'PlayerGrades+'!$AE$21,"F-",IF(L64&lt;'PlayerGrades+'!$AE$20,"F",IF(L64&lt;'PlayerGrades+'!$AE$19,"F+",IF(L64&lt;'PlayerGrades+'!$AE$18,"E-",IF(L64&lt;'PlayerGrades+'!$AE$17,"E",IF(L64&lt;'PlayerGrades+'!$AE$16,"E+",IF(L64&lt;'PlayerGrades+'!$AE$15,"D-",IF(L64&lt;'PlayerGrades+'!$AE$14,"D",IF(L64&lt;'PlayerGrades+'!$AE$13,"D+",IF(L64&lt;'PlayerGrades+'!$AE$12,"C-",IF(L64&lt;'PlayerGrades+'!$AE$11,"C",IF(L64&lt;'PlayerGrades+'!$AE$10,"C+",IF(L64&lt;'PlayerGrades+'!$AE$9,"B-",IF(L64&lt;'PlayerGrades+'!$AE$8,"B",IF(L64&lt;'PlayerGrades+'!$AE$7,"B+",IF(L64&lt;'PlayerGrades+'!$AE$6,"A-",IF(L64&lt;'PlayerGrades+'!$AE$5,"A",IF(L64&lt;'PlayerGrades+'!$AE$4,"A+",IF(L64&lt;'PlayerGrades+'!$AE$3,"S-",IF(L64&lt;'PlayerGrades+'!$AE$2,"S","S+"))))))))))))))))))))</f>
        <v>E-</v>
      </c>
      <c r="N64" s="961">
        <f t="shared" si="6"/>
        <v>0.03516998828</v>
      </c>
      <c r="O64" s="961" t="str">
        <f>IF(N64&lt;'PlayerGrades+'!$AF$21,"F-",IF(N64&lt;'PlayerGrades+'!$AF$20,"F",IF(N64&lt;'PlayerGrades+'!$AF$19,"F+",IF(N64&lt;'PlayerGrades+'!$AF$18,"E-",IF(N64&lt;'PlayerGrades+'!$AF$17,"E",IF(N64&lt;'PlayerGrades+'!$AF$16,"E+",IF(N64&lt;'PlayerGrades+'!$AF$15,"D-",IF(N64&lt;'PlayerGrades+'!$AF$14,"D",IF(N64&lt;'PlayerGrades+'!$AF$13,"D+",IF(N64&lt;'PlayerGrades+'!$AF$12,"C-",IF(N64&lt;'PlayerGrades+'!$AF$11,"C",IF(N64&lt;'PlayerGrades+'!$AF$10,"C+",IF(N64&lt;'PlayerGrades+'!$AF$9,"B-",IF(N64&lt;'PlayerGrades+'!$AF$8,"B",IF(N64&lt;'PlayerGrades+'!$AF$7,"B+",IF(N64&lt;'PlayerGrades+'!$AF$6,"A-",IF(N64&lt;'PlayerGrades+'!$AF$5,"A",IF(N64&lt;'PlayerGrades+'!$AF$4,"A+",IF(N64&lt;'PlayerGrades+'!$AF$3,"S-",IF(N64&lt;'PlayerGrades+'!$AF$2,"S","S+"))))))))))))))))))))</f>
        <v>F-</v>
      </c>
      <c r="P64" s="961">
        <f t="shared" si="7"/>
        <v>0.3516998828</v>
      </c>
      <c r="Q64" s="961" t="str">
        <f>IF(P64&lt;'PlayerGrades+'!$AG$21,"F-",IF(P64&lt;'PlayerGrades+'!$AG$20,"F",IF(P64&lt;'PlayerGrades+'!$AG$19,"F+",IF(P64&lt;'PlayerGrades+'!$AG$18,"E-",IF(P64&lt;'PlayerGrades+'!$AG$17,"E",IF(P64&lt;'PlayerGrades+'!$AG$16,"E+",IF(P64&lt;'PlayerGrades+'!$AG$15,"D-",IF(P64&lt;'PlayerGrades+'!$AG$14,"D",IF(P64&lt;'PlayerGrades+'!$AG$13,"D+",IF(P64&lt;'PlayerGrades+'!$AG$12,"C-",IF(P64&lt;'PlayerGrades+'!$AG$11,"C",IF(P64&lt;'PlayerGrades+'!$AG$10,"C+",IF(P64&lt;'PlayerGrades+'!$AG$9,"B-",IF(P64&lt;'PlayerGrades+'!$AG$8,"B",IF(P64&lt;'PlayerGrades+'!$AG$7,"B+",IF(P64&lt;'PlayerGrades+'!$AG$6,"A-",IF(P64&lt;'PlayerGrades+'!$AG$5,"A",IF(P64&lt;'PlayerGrades+'!$AG$4,"A+",IF(P64&lt;'PlayerGrades+'!$AG$3,"S-",IF(P64&lt;'PlayerGrades+'!$AG$2,"S","S+"))))))))))))))))))))</f>
        <v>F</v>
      </c>
      <c r="R64" s="961">
        <f t="shared" si="8"/>
        <v>0.1406799531</v>
      </c>
      <c r="S64" s="961" t="str">
        <f>IF(R64&lt;'PlayerGrades+'!$AH$21,"F-",IF(R64&lt;'PlayerGrades+'!$AH$20,"F",IF(R64&lt;'PlayerGrades+'!$AH$19,"F+",IF(R64&lt;'PlayerGrades+'!$AH$18,"E-",IF(R64&lt;'PlayerGrades+'!$AH$17,"E",IF(R64&lt;'PlayerGrades+'!$AH$16,"E+",IF(R64&lt;'PlayerGrades+'!$AH$15,"D-",IF(R64&lt;'PlayerGrades+'!$AH$14,"D",IF(R64&lt;'PlayerGrades+'!$AH$13,"D+",IF(R64&lt;'PlayerGrades+'!$AH$12,"C-",IF(R64&lt;'PlayerGrades+'!$AH$11,"C",IF(R64&lt;'PlayerGrades+'!$AH$10,"C+",IF(R64&lt;'PlayerGrades+'!$AH$9,"B-",IF(R64&lt;'PlayerGrades+'!$AH$8,"B",IF(R64&lt;'PlayerGrades+'!$AH$7,"B+",IF(R64&lt;'PlayerGrades+'!$AH$6,"A-",IF(R64&lt;'PlayerGrades+'!$AH$5,"A",IF(R64&lt;'PlayerGrades+'!$AH$4,"A+",IF(R64&lt;'PlayerGrades+'!$AH$3,"S-",IF(R64&lt;'PlayerGrades+'!$AH$2,"S","S+"))))))))))))))))))))</f>
        <v>S+</v>
      </c>
      <c r="T64" s="961">
        <f t="shared" si="9"/>
        <v>2.426729191</v>
      </c>
      <c r="U64" s="961" t="str">
        <f>IF(T64&lt;'PlayerGrades+'!$AI$21,"F-",IF(T64&lt;'PlayerGrades+'!$AI$20,"F",IF(T64&lt;'PlayerGrades+'!$AI$19,"F+",IF(T64&lt;'PlayerGrades+'!$AI$18,"E-",IF(T64&lt;'PlayerGrades+'!$AI$17,"E",IF(T64&lt;'PlayerGrades+'!$AI$16,"E+",IF(T64&lt;'PlayerGrades+'!$AI$15,"D-",IF(T64&lt;'PlayerGrades+'!$AI$14,"D",IF(T64&lt;'PlayerGrades+'!$AI$13,"D+",IF(T64&lt;'PlayerGrades+'!$AI$12,"C-",IF(T64&lt;'PlayerGrades+'!$AI$11,"C",IF(T64&lt;'PlayerGrades+'!$AI$10,"C+",IF(T64&lt;'PlayerGrades+'!$AI$9,"B-",IF(T64&lt;'PlayerGrades+'!$AI$8,"B",IF(T64&lt;'PlayerGrades+'!$AI$7,"B+",IF(T64&lt;'PlayerGrades+'!$AI$6,"A-",IF(T64&lt;'PlayerGrades+'!$AI$5,"A",IF(T64&lt;'PlayerGrades+'!$AI$4,"A+",IF(T64&lt;'PlayerGrades+'!$AI$3,"S-",IF(T64&lt;'PlayerGrades+'!$AI$2,"S","S+"))))))))))))))))))))</f>
        <v>E+</v>
      </c>
      <c r="V64" s="1100">
        <v>0.0</v>
      </c>
      <c r="W64" s="1100">
        <v>1.0</v>
      </c>
      <c r="X64" s="1100">
        <v>0.0</v>
      </c>
      <c r="Y64" s="1100">
        <v>1.0</v>
      </c>
      <c r="Z64" s="1100">
        <v>69.0</v>
      </c>
      <c r="AA64" s="1100">
        <v>134.0</v>
      </c>
      <c r="AB64" s="1017">
        <f t="shared" si="10"/>
        <v>-65</v>
      </c>
      <c r="AC64" s="1020">
        <f t="shared" si="11"/>
        <v>0.5149253731</v>
      </c>
      <c r="AD64" s="1100">
        <v>0.0</v>
      </c>
      <c r="AE64" s="1260">
        <v>1706.0</v>
      </c>
      <c r="AF64" s="1100">
        <v>0.0</v>
      </c>
      <c r="AG64" s="1100">
        <v>0.0</v>
      </c>
      <c r="AH64" s="1100">
        <v>0.0</v>
      </c>
      <c r="AI64" s="1100">
        <v>0.0</v>
      </c>
      <c r="AJ64" s="1100">
        <v>0.0</v>
      </c>
      <c r="AK64" s="1100">
        <v>9.0</v>
      </c>
      <c r="AL64" s="1100">
        <v>1.0</v>
      </c>
      <c r="AM64" s="1100">
        <v>0.0</v>
      </c>
      <c r="AN64" s="1100">
        <v>0.0</v>
      </c>
      <c r="AO64" s="1100">
        <v>0.0</v>
      </c>
      <c r="AP64" s="1100">
        <v>0.0</v>
      </c>
      <c r="AQ64" s="1100">
        <v>0.0</v>
      </c>
      <c r="AR64" s="1100">
        <v>0.0</v>
      </c>
      <c r="AS64" s="1100">
        <v>0.0</v>
      </c>
      <c r="AT64" s="1100">
        <v>0.0</v>
      </c>
      <c r="AU64" s="1100">
        <v>8.0</v>
      </c>
      <c r="AV64" s="1100">
        <v>0.0</v>
      </c>
      <c r="AW64" s="1100">
        <v>0.0</v>
      </c>
      <c r="AX64" s="1100">
        <v>0.0</v>
      </c>
      <c r="AY64" s="1100">
        <v>4.0</v>
      </c>
      <c r="AZ64" s="1239">
        <v>0.0</v>
      </c>
    </row>
    <row r="65">
      <c r="A65" s="1226" t="s">
        <v>74</v>
      </c>
      <c r="B65" s="1227" t="str">
        <f>IF(C65&lt;'PlayerGrades+'!$Y$44,"F-",IF(C65&lt;'PlayerGrades+'!$Y$43,"F",IF(C65&lt;'PlayerGrades+'!$Y$42,"F+",IF(C65&lt;'PlayerGrades+'!$Y$41,"E-",IF(C65&lt;'PlayerGrades+'!$Y$40,"E",IF(C65&lt;'PlayerGrades+'!$Y$39,"E+",IF(C65&lt;'PlayerGrades+'!$Y$38,"D-",IF(C65&lt;'PlayerGrades+'!$Y$37,"D",IF(C65&lt;'PlayerGrades+'!$Y$36,"D+",IF(C65&lt;'PlayerGrades+'!$Y$35,"C-",IF(C65&lt;'PlayerGrades+'!$Y$34,"C",IF(C65&lt;'PlayerGrades+'!$Y$33,"C+",IF(C65&lt;'PlayerGrades+'!$Y$32,"B-",IF(C65&lt;'PlayerGrades+'!$Y$31,"B",IF(C65&lt;'PlayerGrades+'!$Y$30,"B+",IF(C65&lt;'PlayerGrades+'!$Y$29,"A-",IF(C65&lt;'PlayerGrades+'!$Y$28,"A",IF(C65&lt;'PlayerGrades+'!$Y$27,"A+",IF(C65&lt;'PlayerGrades+'!$Y$26,"S-",IF(C65&lt;'PlayerGrades+'!$Y$25,"S","S+"))))))))))))))))))))</f>
        <v>D+</v>
      </c>
      <c r="C65" s="1229">
        <f>('PlayerGrades+'!$Y$47*(VLOOKUP(E65, 'PlayerGrades+'!$X$3:$Y$23, 2, FALSE)))+('PlayerGrades+'!$Y$48*(VLOOKUP(G65, 'PlayerGrades+'!$X$3:$Y$23, 2, FALSE)))+('PlayerGrades+'!$Y$49*(VLOOKUP(I65, 'PlayerGrades+'!$X$3:$Y$23, 2, FALSE)))+('PlayerGrades+'!$Y$50*(VLOOKUP(K65, 'PlayerGrades+'!$X$3:$Y$23, 2, FALSE)))+('PlayerGrades+'!$Y$51*(VLOOKUP(M65, 'PlayerGrades+'!$X$3:$Y$23, 2, FALSE)))+('PlayerGrades+'!$Y$52*(VLOOKUP(O65, 'PlayerGrades+'!$X$3:$Y$23, 2, FALSE)))+('PlayerGrades+'!$Y$53*(VLOOKUP(Q65, 'PlayerGrades+'!$X$3:$Y$23, 2, FALSE)))+('PlayerGrades+'!$Y$54*(VLOOKUP(S65, 'PlayerGrades+'!$X$3:$Y$23, 2, FALSE)))+('PlayerGrades+'!$Y$55*(VLOOKUP(U65, 'PlayerGrades+'!$X$3:$Y$23, 2, FALSE)))</f>
        <v>14.05</v>
      </c>
      <c r="D65" s="961">
        <f t="shared" si="1"/>
        <v>0.07033997655</v>
      </c>
      <c r="E65" s="961" t="str">
        <f>IF(D65&lt;'PlayerGrades+'!$AA$21,"F-",IF(D65&lt;'PlayerGrades+'!$AA$20,"F",IF(D65&lt;'PlayerGrades+'!$AA$19,"F+",IF(D65&lt;'PlayerGrades+'!$AA$18,"E-",IF(D65&lt;'PlayerGrades+'!$AA$17,"E",IF(D65&lt;'PlayerGrades+'!$AA$16,"E+",IF(D65&lt;'PlayerGrades+'!$AA$15,"D-",IF(D65&lt;'PlayerGrades+'!$AA$14,"D",IF(D65&lt;'PlayerGrades+'!$AA$13,"D+",IF(D65&lt;'PlayerGrades+'!$AA$12,"C-",IF(D65&lt;'PlayerGrades+'!$AA$11,"C",IF(D65&lt;'PlayerGrades+'!$AA$10,"C+",IF(D65&lt;'PlayerGrades+'!$AA$9,"B-",IF(D65&lt;'PlayerGrades+'!$AA$8,"B",IF(D65&lt;'PlayerGrades+'!$AA$7,"B+",IF(D65&lt;'PlayerGrades+'!$AA$6,"A-",IF(D65&lt;'PlayerGrades+'!$AA$5,"A",IF(D65&lt;'PlayerGrades+'!$AA$4,"A+",IF(D65&lt;'PlayerGrades+'!$AA$3,"S-",IF(D65&lt;'PlayerGrades+'!$AA$2,"S","S+"))))))))))))))))))))</f>
        <v>A-</v>
      </c>
      <c r="F65" s="961">
        <f t="shared" si="2"/>
        <v>0.02005306349</v>
      </c>
      <c r="G65" s="961" t="str">
        <f>IF(F65&lt;'PlayerGrades+'!$AB$21,"F-",IF(F65&lt;'PlayerGrades+'!$AB$20,"F",IF(F65&lt;'PlayerGrades+'!$AB$19,"F+",IF(F65&lt;'PlayerGrades+'!$AB$18,"E-",IF(F65&lt;'PlayerGrades+'!$AB$17,"E",IF(F65&lt;'PlayerGrades+'!$AB$16,"E+",IF(F65&lt;'PlayerGrades+'!$AB$15,"D-",IF(F65&lt;'PlayerGrades+'!$AB$14,"D",IF(F65&lt;'PlayerGrades+'!$AB$13,"D+",IF(F65&lt;'PlayerGrades+'!$AB$12,"C-",IF(F65&lt;'PlayerGrades+'!$AB$11,"C",IF(F65&lt;'PlayerGrades+'!$AB$10,"C+",IF(F65&lt;'PlayerGrades+'!$AB$9,"B-",IF(F65&lt;'PlayerGrades+'!$AB$8,"B",IF(F65&lt;'PlayerGrades+'!$AB$7,"B+",IF(F65&lt;'PlayerGrades+'!$AB$6,"A-",IF(F65&lt;'PlayerGrades+'!$AB$5,"A",IF(F65&lt;'PlayerGrades+'!$AB$4,"A+",IF(F65&lt;'PlayerGrades+'!$AB$3,"S-",IF(F65&lt;'PlayerGrades+'!$AB$2,"S","S+"))))))))))))))))))))</f>
        <v>A</v>
      </c>
      <c r="H65" s="961">
        <f t="shared" si="3"/>
        <v>0.2461899179</v>
      </c>
      <c r="I65" s="961" t="str">
        <f>IF(H65&lt;'PlayerGrades+'!$AC$21,"F-",IF(H65&lt;'PlayerGrades+'!$AC$20,"F",IF(H65&lt;'PlayerGrades+'!$AC$19,"F+",IF(H65&lt;'PlayerGrades+'!$AC$18,"E-",IF(H65&lt;'PlayerGrades+'!$AC$17,"E",IF(H65&lt;'PlayerGrades+'!$AC$16,"E+",IF(H65&lt;'PlayerGrades+'!$AC$15,"D-",IF(H65&lt;'PlayerGrades+'!$AC$14,"D",IF(H65&lt;'PlayerGrades+'!$AC$13,"D+",IF(H65&lt;'PlayerGrades+'!$AC$12,"C-",IF(H65&lt;'PlayerGrades+'!$AC$11,"C",IF(H65&lt;'PlayerGrades+'!$AC$10,"C+",IF(H65&lt;'PlayerGrades+'!$AC$9,"B-",IF(H65&lt;'PlayerGrades+'!$AC$8,"B",IF(H65&lt;'PlayerGrades+'!$AC$7,"B+",IF(H65&lt;'PlayerGrades+'!$AC$6,"A-",IF(H65&lt;'PlayerGrades+'!$AC$5,"A",IF(H65&lt;'PlayerGrades+'!$AC$4,"A+",IF(H65&lt;'PlayerGrades+'!$AC$3,"S-",IF(H65&lt;'PlayerGrades+'!$AC$2,"S","S+"))))))))))))))))))))</f>
        <v>F+</v>
      </c>
      <c r="J65" s="961">
        <f t="shared" si="4"/>
        <v>0.03516998828</v>
      </c>
      <c r="K65" s="961" t="str">
        <f>IF(J65&lt;'PlayerGrades+'!$AD$21,"F-",IF(J65&lt;'PlayerGrades+'!$AD$20,"F",IF(J65&lt;'PlayerGrades+'!$AD$19,"F+",IF(J65&lt;'PlayerGrades+'!$AD$18,"E-",IF(J65&lt;'PlayerGrades+'!$AD$17,"E",IF(J65&lt;'PlayerGrades+'!$AD$16,"E+",IF(J65&lt;'PlayerGrades+'!$AD$15,"D-",IF(J65&lt;'PlayerGrades+'!$AD$14,"D",IF(J65&lt;'PlayerGrades+'!$AD$13,"D+",IF(J65&lt;'PlayerGrades+'!$AD$12,"C-",IF(J65&lt;'PlayerGrades+'!$AD$11,"C",IF(J65&lt;'PlayerGrades+'!$AD$10,"C+",IF(J65&lt;'PlayerGrades+'!$AD$9,"B-",IF(J65&lt;'PlayerGrades+'!$AD$8,"B",IF(J65&lt;'PlayerGrades+'!$AD$7,"B+",IF(J65&lt;'PlayerGrades+'!$AD$6,"A-",IF(J65&lt;'PlayerGrades+'!$AD$5,"A",IF(J65&lt;'PlayerGrades+'!$AD$4,"A+",IF(J65&lt;'PlayerGrades+'!$AD$3,"S-",IF(J65&lt;'PlayerGrades+'!$AD$2,"S","S+"))))))))))))))))))))</f>
        <v>C-</v>
      </c>
      <c r="L65" s="992">
        <f t="shared" si="5"/>
        <v>0.1758499414</v>
      </c>
      <c r="M65" s="992" t="str">
        <f>IF(L65&lt;'PlayerGrades+'!$AE$21,"F-",IF(L65&lt;'PlayerGrades+'!$AE$20,"F",IF(L65&lt;'PlayerGrades+'!$AE$19,"F+",IF(L65&lt;'PlayerGrades+'!$AE$18,"E-",IF(L65&lt;'PlayerGrades+'!$AE$17,"E",IF(L65&lt;'PlayerGrades+'!$AE$16,"E+",IF(L65&lt;'PlayerGrades+'!$AE$15,"D-",IF(L65&lt;'PlayerGrades+'!$AE$14,"D",IF(L65&lt;'PlayerGrades+'!$AE$13,"D+",IF(L65&lt;'PlayerGrades+'!$AE$12,"C-",IF(L65&lt;'PlayerGrades+'!$AE$11,"C",IF(L65&lt;'PlayerGrades+'!$AE$10,"C+",IF(L65&lt;'PlayerGrades+'!$AE$9,"B-",IF(L65&lt;'PlayerGrades+'!$AE$8,"B",IF(L65&lt;'PlayerGrades+'!$AE$7,"B+",IF(L65&lt;'PlayerGrades+'!$AE$6,"A-",IF(L65&lt;'PlayerGrades+'!$AE$5,"A",IF(L65&lt;'PlayerGrades+'!$AE$4,"A+",IF(L65&lt;'PlayerGrades+'!$AE$3,"S-",IF(L65&lt;'PlayerGrades+'!$AE$2,"S","S+"))))))))))))))))))))</f>
        <v>F-</v>
      </c>
      <c r="N65" s="961">
        <f t="shared" si="6"/>
        <v>0.07033997655</v>
      </c>
      <c r="O65" s="961" t="str">
        <f>IF(N65&lt;'PlayerGrades+'!$AF$21,"F-",IF(N65&lt;'PlayerGrades+'!$AF$20,"F",IF(N65&lt;'PlayerGrades+'!$AF$19,"F+",IF(N65&lt;'PlayerGrades+'!$AF$18,"E-",IF(N65&lt;'PlayerGrades+'!$AF$17,"E",IF(N65&lt;'PlayerGrades+'!$AF$16,"E+",IF(N65&lt;'PlayerGrades+'!$AF$15,"D-",IF(N65&lt;'PlayerGrades+'!$AF$14,"D",IF(N65&lt;'PlayerGrades+'!$AF$13,"D+",IF(N65&lt;'PlayerGrades+'!$AF$12,"C-",IF(N65&lt;'PlayerGrades+'!$AF$11,"C",IF(N65&lt;'PlayerGrades+'!$AF$10,"C+",IF(N65&lt;'PlayerGrades+'!$AF$9,"B-",IF(N65&lt;'PlayerGrades+'!$AF$8,"B",IF(N65&lt;'PlayerGrades+'!$AF$7,"B+",IF(N65&lt;'PlayerGrades+'!$AF$6,"A-",IF(N65&lt;'PlayerGrades+'!$AF$5,"A",IF(N65&lt;'PlayerGrades+'!$AF$4,"A+",IF(N65&lt;'PlayerGrades+'!$AF$3,"S-",IF(N65&lt;'PlayerGrades+'!$AF$2,"S","S+"))))))))))))))))))))</f>
        <v>E+</v>
      </c>
      <c r="P65" s="961">
        <f t="shared" si="7"/>
        <v>0.2813599062</v>
      </c>
      <c r="Q65" s="961" t="str">
        <f>IF(P65&lt;'PlayerGrades+'!$AG$21,"F-",IF(P65&lt;'PlayerGrades+'!$AG$20,"F",IF(P65&lt;'PlayerGrades+'!$AG$19,"F+",IF(P65&lt;'PlayerGrades+'!$AG$18,"E-",IF(P65&lt;'PlayerGrades+'!$AG$17,"E",IF(P65&lt;'PlayerGrades+'!$AG$16,"E+",IF(P65&lt;'PlayerGrades+'!$AG$15,"D-",IF(P65&lt;'PlayerGrades+'!$AG$14,"D",IF(P65&lt;'PlayerGrades+'!$AG$13,"D+",IF(P65&lt;'PlayerGrades+'!$AG$12,"C-",IF(P65&lt;'PlayerGrades+'!$AG$11,"C",IF(P65&lt;'PlayerGrades+'!$AG$10,"C+",IF(P65&lt;'PlayerGrades+'!$AG$9,"B-",IF(P65&lt;'PlayerGrades+'!$AG$8,"B",IF(P65&lt;'PlayerGrades+'!$AG$7,"B+",IF(P65&lt;'PlayerGrades+'!$AG$6,"A-",IF(P65&lt;'PlayerGrades+'!$AG$5,"A",IF(P65&lt;'PlayerGrades+'!$AG$4,"A+",IF(P65&lt;'PlayerGrades+'!$AG$3,"S-",IF(P65&lt;'PlayerGrades+'!$AG$2,"S","S+"))))))))))))))))))))</f>
        <v>F</v>
      </c>
      <c r="R65" s="961">
        <f t="shared" si="8"/>
        <v>0.1055099648</v>
      </c>
      <c r="S65" s="961" t="str">
        <f>IF(R65&lt;'PlayerGrades+'!$AH$21,"F-",IF(R65&lt;'PlayerGrades+'!$AH$20,"F",IF(R65&lt;'PlayerGrades+'!$AH$19,"F+",IF(R65&lt;'PlayerGrades+'!$AH$18,"E-",IF(R65&lt;'PlayerGrades+'!$AH$17,"E",IF(R65&lt;'PlayerGrades+'!$AH$16,"E+",IF(R65&lt;'PlayerGrades+'!$AH$15,"D-",IF(R65&lt;'PlayerGrades+'!$AH$14,"D",IF(R65&lt;'PlayerGrades+'!$AH$13,"D+",IF(R65&lt;'PlayerGrades+'!$AH$12,"C-",IF(R65&lt;'PlayerGrades+'!$AH$11,"C",IF(R65&lt;'PlayerGrades+'!$AH$10,"C+",IF(R65&lt;'PlayerGrades+'!$AH$9,"B-",IF(R65&lt;'PlayerGrades+'!$AH$8,"B",IF(R65&lt;'PlayerGrades+'!$AH$7,"B+",IF(R65&lt;'PlayerGrades+'!$AH$6,"A-",IF(R65&lt;'PlayerGrades+'!$AH$5,"A",IF(R65&lt;'PlayerGrades+'!$AH$4,"A+",IF(R65&lt;'PlayerGrades+'!$AH$3,"S-",IF(R65&lt;'PlayerGrades+'!$AH$2,"S","S+"))))))))))))))))))))</f>
        <v>S-</v>
      </c>
      <c r="T65" s="961">
        <f t="shared" si="9"/>
        <v>2.286049238</v>
      </c>
      <c r="U65" s="961" t="str">
        <f>IF(T65&lt;'PlayerGrades+'!$AI$21,"F-",IF(T65&lt;'PlayerGrades+'!$AI$20,"F",IF(T65&lt;'PlayerGrades+'!$AI$19,"F+",IF(T65&lt;'PlayerGrades+'!$AI$18,"E-",IF(T65&lt;'PlayerGrades+'!$AI$17,"E",IF(T65&lt;'PlayerGrades+'!$AI$16,"E+",IF(T65&lt;'PlayerGrades+'!$AI$15,"D-",IF(T65&lt;'PlayerGrades+'!$AI$14,"D",IF(T65&lt;'PlayerGrades+'!$AI$13,"D+",IF(T65&lt;'PlayerGrades+'!$AI$12,"C-",IF(T65&lt;'PlayerGrades+'!$AI$11,"C",IF(T65&lt;'PlayerGrades+'!$AI$10,"C+",IF(T65&lt;'PlayerGrades+'!$AI$9,"B-",IF(T65&lt;'PlayerGrades+'!$AI$8,"B",IF(T65&lt;'PlayerGrades+'!$AI$7,"B+",IF(T65&lt;'PlayerGrades+'!$AI$6,"A-",IF(T65&lt;'PlayerGrades+'!$AI$5,"A",IF(T65&lt;'PlayerGrades+'!$AI$4,"A+",IF(T65&lt;'PlayerGrades+'!$AI$3,"S-",IF(T65&lt;'PlayerGrades+'!$AI$2,"S","S+"))))))))))))))))))))</f>
        <v>F+</v>
      </c>
      <c r="V65" s="1227">
        <v>0.0</v>
      </c>
      <c r="W65" s="1227">
        <v>1.0</v>
      </c>
      <c r="X65" s="1227">
        <v>2.0</v>
      </c>
      <c r="Y65" s="1227">
        <v>1.0</v>
      </c>
      <c r="Z65" s="1227">
        <v>65.0</v>
      </c>
      <c r="AA65" s="1227">
        <v>114.0</v>
      </c>
      <c r="AB65" s="1232">
        <f t="shared" si="10"/>
        <v>-49</v>
      </c>
      <c r="AC65" s="1020">
        <f t="shared" si="11"/>
        <v>0.5701754386</v>
      </c>
      <c r="AD65" s="1227">
        <v>0.0</v>
      </c>
      <c r="AE65" s="1368">
        <v>1706.0</v>
      </c>
      <c r="AF65" s="1227">
        <v>1.0</v>
      </c>
      <c r="AG65" s="1227">
        <v>0.0</v>
      </c>
      <c r="AH65" s="1227">
        <v>0.0</v>
      </c>
      <c r="AI65" s="1227">
        <v>0.0</v>
      </c>
      <c r="AJ65" s="1227">
        <v>1.0</v>
      </c>
      <c r="AK65" s="1227">
        <v>5.0</v>
      </c>
      <c r="AL65" s="1227">
        <v>2.0</v>
      </c>
      <c r="AM65" s="1227">
        <v>0.0</v>
      </c>
      <c r="AN65" s="1227">
        <v>0.0</v>
      </c>
      <c r="AO65" s="1227">
        <v>0.0</v>
      </c>
      <c r="AP65" s="1227">
        <v>0.0</v>
      </c>
      <c r="AQ65" s="1227">
        <v>0.0</v>
      </c>
      <c r="AR65" s="1227">
        <v>0.0</v>
      </c>
      <c r="AS65" s="1227">
        <v>0.0</v>
      </c>
      <c r="AT65" s="1227">
        <v>0.0</v>
      </c>
      <c r="AU65" s="1227">
        <v>7.0</v>
      </c>
      <c r="AV65" s="1227">
        <v>0.0</v>
      </c>
      <c r="AW65" s="1227">
        <v>0.0</v>
      </c>
      <c r="AX65" s="1227">
        <v>0.0</v>
      </c>
      <c r="AY65" s="1227">
        <v>3.0</v>
      </c>
      <c r="AZ65" s="1369">
        <v>0.0</v>
      </c>
    </row>
    <row r="66">
      <c r="A66" s="938" t="s">
        <v>62</v>
      </c>
      <c r="B66" s="1100" t="str">
        <f>IF(C66&lt;'PlayerGrades+'!$Y$44,"F-",IF(C66&lt;'PlayerGrades+'!$Y$43,"F",IF(C66&lt;'PlayerGrades+'!$Y$42,"F+",IF(C66&lt;'PlayerGrades+'!$Y$41,"E-",IF(C66&lt;'PlayerGrades+'!$Y$40,"E",IF(C66&lt;'PlayerGrades+'!$Y$39,"E+",IF(C66&lt;'PlayerGrades+'!$Y$38,"D-",IF(C66&lt;'PlayerGrades+'!$Y$37,"D",IF(C66&lt;'PlayerGrades+'!$Y$36,"D+",IF(C66&lt;'PlayerGrades+'!$Y$35,"C-",IF(C66&lt;'PlayerGrades+'!$Y$34,"C",IF(C66&lt;'PlayerGrades+'!$Y$33,"C+",IF(C66&lt;'PlayerGrades+'!$Y$32,"B-",IF(C66&lt;'PlayerGrades+'!$Y$31,"B",IF(C66&lt;'PlayerGrades+'!$Y$30,"B+",IF(C66&lt;'PlayerGrades+'!$Y$29,"A-",IF(C66&lt;'PlayerGrades+'!$Y$28,"A",IF(C66&lt;'PlayerGrades+'!$Y$27,"A+",IF(C66&lt;'PlayerGrades+'!$Y$26,"S-",IF(C66&lt;'PlayerGrades+'!$Y$25,"S","S+"))))))))))))))))))))</f>
        <v>S-</v>
      </c>
      <c r="C66" s="1105">
        <f>('PlayerGrades+'!$Y$47*(VLOOKUP(E66, 'PlayerGrades+'!$X$3:$Y$23, 2, FALSE)))+('PlayerGrades+'!$Y$48*(VLOOKUP(G66, 'PlayerGrades+'!$X$3:$Y$23, 2, FALSE)))+('PlayerGrades+'!$Y$49*(VLOOKUP(I66, 'PlayerGrades+'!$X$3:$Y$23, 2, FALSE)))+('PlayerGrades+'!$Y$50*(VLOOKUP(K66, 'PlayerGrades+'!$X$3:$Y$23, 2, FALSE)))+('PlayerGrades+'!$Y$51*(VLOOKUP(M66, 'PlayerGrades+'!$X$3:$Y$23, 2, FALSE)))+('PlayerGrades+'!$Y$52*(VLOOKUP(O66, 'PlayerGrades+'!$X$3:$Y$23, 2, FALSE)))+('PlayerGrades+'!$Y$53*(VLOOKUP(Q66, 'PlayerGrades+'!$X$3:$Y$23, 2, FALSE)))+('PlayerGrades+'!$Y$54*(VLOOKUP(S66, 'PlayerGrades+'!$X$3:$Y$23, 2, FALSE)))+('PlayerGrades+'!$Y$55*(VLOOKUP(U66, 'PlayerGrades+'!$X$3:$Y$23, 2, FALSE)))</f>
        <v>26.8</v>
      </c>
      <c r="D66" s="961">
        <f t="shared" si="1"/>
        <v>0.1302931596</v>
      </c>
      <c r="E66" s="961" t="str">
        <f>IF(D66&lt;'PlayerGrades+'!$AA$21,"F-",IF(D66&lt;'PlayerGrades+'!$AA$20,"F",IF(D66&lt;'PlayerGrades+'!$AA$19,"F+",IF(D66&lt;'PlayerGrades+'!$AA$18,"E-",IF(D66&lt;'PlayerGrades+'!$AA$17,"E",IF(D66&lt;'PlayerGrades+'!$AA$16,"E+",IF(D66&lt;'PlayerGrades+'!$AA$15,"D-",IF(D66&lt;'PlayerGrades+'!$AA$14,"D",IF(D66&lt;'PlayerGrades+'!$AA$13,"D+",IF(D66&lt;'PlayerGrades+'!$AA$12,"C-",IF(D66&lt;'PlayerGrades+'!$AA$11,"C",IF(D66&lt;'PlayerGrades+'!$AA$10,"C+",IF(D66&lt;'PlayerGrades+'!$AA$9,"B-",IF(D66&lt;'PlayerGrades+'!$AA$8,"B",IF(D66&lt;'PlayerGrades+'!$AA$7,"B+",IF(D66&lt;'PlayerGrades+'!$AA$6,"A-",IF(D66&lt;'PlayerGrades+'!$AA$5,"A",IF(D66&lt;'PlayerGrades+'!$AA$4,"A+",IF(D66&lt;'PlayerGrades+'!$AA$3,"S-",IF(D66&lt;'PlayerGrades+'!$AA$2,"S","S+"))))))))))))))))))))</f>
        <v>S-</v>
      </c>
      <c r="F66" s="961">
        <f t="shared" si="2"/>
        <v>0.1169297586</v>
      </c>
      <c r="G66" s="961" t="str">
        <f>IF(F66&lt;'PlayerGrades+'!$AB$21,"F-",IF(F66&lt;'PlayerGrades+'!$AB$20,"F",IF(F66&lt;'PlayerGrades+'!$AB$19,"F+",IF(F66&lt;'PlayerGrades+'!$AB$18,"E-",IF(F66&lt;'PlayerGrades+'!$AB$17,"E",IF(F66&lt;'PlayerGrades+'!$AB$16,"E+",IF(F66&lt;'PlayerGrades+'!$AB$15,"D-",IF(F66&lt;'PlayerGrades+'!$AB$14,"D",IF(F66&lt;'PlayerGrades+'!$AB$13,"D+",IF(F66&lt;'PlayerGrades+'!$AB$12,"C-",IF(F66&lt;'PlayerGrades+'!$AB$11,"C",IF(F66&lt;'PlayerGrades+'!$AB$10,"C+",IF(F66&lt;'PlayerGrades+'!$AB$9,"B-",IF(F66&lt;'PlayerGrades+'!$AB$8,"B",IF(F66&lt;'PlayerGrades+'!$AB$7,"B+",IF(F66&lt;'PlayerGrades+'!$AB$6,"A-",IF(F66&lt;'PlayerGrades+'!$AB$5,"A",IF(F66&lt;'PlayerGrades+'!$AB$4,"A+",IF(F66&lt;'PlayerGrades+'!$AB$3,"S-",IF(F66&lt;'PlayerGrades+'!$AB$2,"S","S+"))))))))))))))))))))</f>
        <v>A+</v>
      </c>
      <c r="H66" s="961">
        <f t="shared" si="3"/>
        <v>0.9771986971</v>
      </c>
      <c r="I66" s="961" t="str">
        <f>IF(H66&lt;'PlayerGrades+'!$AC$21,"F-",IF(H66&lt;'PlayerGrades+'!$AC$20,"F",IF(H66&lt;'PlayerGrades+'!$AC$19,"F+",IF(H66&lt;'PlayerGrades+'!$AC$18,"E-",IF(H66&lt;'PlayerGrades+'!$AC$17,"E",IF(H66&lt;'PlayerGrades+'!$AC$16,"E+",IF(H66&lt;'PlayerGrades+'!$AC$15,"D-",IF(H66&lt;'PlayerGrades+'!$AC$14,"D",IF(H66&lt;'PlayerGrades+'!$AC$13,"D+",IF(H66&lt;'PlayerGrades+'!$AC$12,"C-",IF(H66&lt;'PlayerGrades+'!$AC$11,"C",IF(H66&lt;'PlayerGrades+'!$AC$10,"C+",IF(H66&lt;'PlayerGrades+'!$AC$9,"B-",IF(H66&lt;'PlayerGrades+'!$AC$8,"B",IF(H66&lt;'PlayerGrades+'!$AC$7,"B+",IF(H66&lt;'PlayerGrades+'!$AC$6,"A-",IF(H66&lt;'PlayerGrades+'!$AC$5,"A",IF(H66&lt;'PlayerGrades+'!$AC$4,"A+",IF(H66&lt;'PlayerGrades+'!$AC$3,"S-",IF(H66&lt;'PlayerGrades+'!$AC$2,"S","S+"))))))))))))))))))))</f>
        <v>S+</v>
      </c>
      <c r="J66" s="961">
        <f t="shared" si="4"/>
        <v>0.1302931596</v>
      </c>
      <c r="K66" s="961" t="str">
        <f>IF(J66&lt;'PlayerGrades+'!$AD$21,"F-",IF(J66&lt;'PlayerGrades+'!$AD$20,"F",IF(J66&lt;'PlayerGrades+'!$AD$19,"F+",IF(J66&lt;'PlayerGrades+'!$AD$18,"E-",IF(J66&lt;'PlayerGrades+'!$AD$17,"E",IF(J66&lt;'PlayerGrades+'!$AD$16,"E+",IF(J66&lt;'PlayerGrades+'!$AD$15,"D-",IF(J66&lt;'PlayerGrades+'!$AD$14,"D",IF(J66&lt;'PlayerGrades+'!$AD$13,"D+",IF(J66&lt;'PlayerGrades+'!$AD$12,"C-",IF(J66&lt;'PlayerGrades+'!$AD$11,"C",IF(J66&lt;'PlayerGrades+'!$AD$10,"C+",IF(J66&lt;'PlayerGrades+'!$AD$9,"B-",IF(J66&lt;'PlayerGrades+'!$AD$8,"B",IF(J66&lt;'PlayerGrades+'!$AD$7,"B+",IF(J66&lt;'PlayerGrades+'!$AD$6,"A-",IF(J66&lt;'PlayerGrades+'!$AD$5,"A",IF(J66&lt;'PlayerGrades+'!$AD$4,"A+",IF(J66&lt;'PlayerGrades+'!$AD$3,"S-",IF(J66&lt;'PlayerGrades+'!$AD$2,"S","S+"))))))))))))))))))))</f>
        <v>S</v>
      </c>
      <c r="L66" s="992">
        <f t="shared" si="5"/>
        <v>0.7166123779</v>
      </c>
      <c r="M66" s="992" t="str">
        <f>IF(L66&lt;'PlayerGrades+'!$AE$21,"F-",IF(L66&lt;'PlayerGrades+'!$AE$20,"F",IF(L66&lt;'PlayerGrades+'!$AE$19,"F+",IF(L66&lt;'PlayerGrades+'!$AE$18,"E-",IF(L66&lt;'PlayerGrades+'!$AE$17,"E",IF(L66&lt;'PlayerGrades+'!$AE$16,"E+",IF(L66&lt;'PlayerGrades+'!$AE$15,"D-",IF(L66&lt;'PlayerGrades+'!$AE$14,"D",IF(L66&lt;'PlayerGrades+'!$AE$13,"D+",IF(L66&lt;'PlayerGrades+'!$AE$12,"C-",IF(L66&lt;'PlayerGrades+'!$AE$11,"C",IF(L66&lt;'PlayerGrades+'!$AE$10,"C+",IF(L66&lt;'PlayerGrades+'!$AE$9,"B-",IF(L66&lt;'PlayerGrades+'!$AE$8,"B",IF(L66&lt;'PlayerGrades+'!$AE$7,"B+",IF(L66&lt;'PlayerGrades+'!$AE$6,"A-",IF(L66&lt;'PlayerGrades+'!$AE$5,"A",IF(L66&lt;'PlayerGrades+'!$AE$4,"A+",IF(L66&lt;'PlayerGrades+'!$AE$3,"S-",IF(L66&lt;'PlayerGrades+'!$AE$2,"S","S+"))))))))))))))))))))</f>
        <v>S-</v>
      </c>
      <c r="N66" s="961">
        <f t="shared" si="6"/>
        <v>0.325732899</v>
      </c>
      <c r="O66" s="961" t="str">
        <f>IF(N66&lt;'PlayerGrades+'!$AF$21,"F-",IF(N66&lt;'PlayerGrades+'!$AF$20,"F",IF(N66&lt;'PlayerGrades+'!$AF$19,"F+",IF(N66&lt;'PlayerGrades+'!$AF$18,"E-",IF(N66&lt;'PlayerGrades+'!$AF$17,"E",IF(N66&lt;'PlayerGrades+'!$AF$16,"E+",IF(N66&lt;'PlayerGrades+'!$AF$15,"D-",IF(N66&lt;'PlayerGrades+'!$AF$14,"D",IF(N66&lt;'PlayerGrades+'!$AF$13,"D+",IF(N66&lt;'PlayerGrades+'!$AF$12,"C-",IF(N66&lt;'PlayerGrades+'!$AF$11,"C",IF(N66&lt;'PlayerGrades+'!$AF$10,"C+",IF(N66&lt;'PlayerGrades+'!$AF$9,"B-",IF(N66&lt;'PlayerGrades+'!$AF$8,"B",IF(N66&lt;'PlayerGrades+'!$AF$7,"B+",IF(N66&lt;'PlayerGrades+'!$AF$6,"A-",IF(N66&lt;'PlayerGrades+'!$AF$5,"A",IF(N66&lt;'PlayerGrades+'!$AF$4,"A+",IF(N66&lt;'PlayerGrades+'!$AF$3,"S-",IF(N66&lt;'PlayerGrades+'!$AF$2,"S","S+"))))))))))))))))))))</f>
        <v>S</v>
      </c>
      <c r="P66" s="961">
        <f t="shared" si="7"/>
        <v>1.172638436</v>
      </c>
      <c r="Q66" s="961" t="str">
        <f>IF(P66&lt;'PlayerGrades+'!$AG$21,"F-",IF(P66&lt;'PlayerGrades+'!$AG$20,"F",IF(P66&lt;'PlayerGrades+'!$AG$19,"F+",IF(P66&lt;'PlayerGrades+'!$AG$18,"E-",IF(P66&lt;'PlayerGrades+'!$AG$17,"E",IF(P66&lt;'PlayerGrades+'!$AG$16,"E+",IF(P66&lt;'PlayerGrades+'!$AG$15,"D-",IF(P66&lt;'PlayerGrades+'!$AG$14,"D",IF(P66&lt;'PlayerGrades+'!$AG$13,"D+",IF(P66&lt;'PlayerGrades+'!$AG$12,"C-",IF(P66&lt;'PlayerGrades+'!$AG$11,"C",IF(P66&lt;'PlayerGrades+'!$AG$10,"C+",IF(P66&lt;'PlayerGrades+'!$AG$9,"B-",IF(P66&lt;'PlayerGrades+'!$AG$8,"B",IF(P66&lt;'PlayerGrades+'!$AG$7,"B+",IF(P66&lt;'PlayerGrades+'!$AG$6,"A-",IF(P66&lt;'PlayerGrades+'!$AG$5,"A",IF(P66&lt;'PlayerGrades+'!$AG$4,"A+",IF(P66&lt;'PlayerGrades+'!$AG$3,"S-",IF(P66&lt;'PlayerGrades+'!$AG$2,"S","S+"))))))))))))))))))))</f>
        <v>S-</v>
      </c>
      <c r="R66" s="961">
        <f t="shared" si="8"/>
        <v>0</v>
      </c>
      <c r="S66" s="961" t="str">
        <f>IF(R66&lt;'PlayerGrades+'!$AH$21,"F-",IF(R66&lt;'PlayerGrades+'!$AH$20,"F",IF(R66&lt;'PlayerGrades+'!$AH$19,"F+",IF(R66&lt;'PlayerGrades+'!$AH$18,"E-",IF(R66&lt;'PlayerGrades+'!$AH$17,"E",IF(R66&lt;'PlayerGrades+'!$AH$16,"E+",IF(R66&lt;'PlayerGrades+'!$AH$15,"D-",IF(R66&lt;'PlayerGrades+'!$AH$14,"D",IF(R66&lt;'PlayerGrades+'!$AH$13,"D+",IF(R66&lt;'PlayerGrades+'!$AH$12,"C-",IF(R66&lt;'PlayerGrades+'!$AH$11,"C",IF(R66&lt;'PlayerGrades+'!$AH$10,"C+",IF(R66&lt;'PlayerGrades+'!$AH$9,"B-",IF(R66&lt;'PlayerGrades+'!$AH$8,"B",IF(R66&lt;'PlayerGrades+'!$AH$7,"B+",IF(R66&lt;'PlayerGrades+'!$AH$6,"A-",IF(R66&lt;'PlayerGrades+'!$AH$5,"A",IF(R66&lt;'PlayerGrades+'!$AH$4,"A+",IF(R66&lt;'PlayerGrades+'!$AH$3,"S-",IF(R66&lt;'PlayerGrades+'!$AH$2,"S","S+"))))))))))))))))))))</f>
        <v>F-</v>
      </c>
      <c r="T66" s="961">
        <f t="shared" si="9"/>
        <v>4.560260586</v>
      </c>
      <c r="U66" s="961" t="str">
        <f>IF(T66&lt;'PlayerGrades+'!$AI$21,"F-",IF(T66&lt;'PlayerGrades+'!$AI$20,"F",IF(T66&lt;'PlayerGrades+'!$AI$19,"F+",IF(T66&lt;'PlayerGrades+'!$AI$18,"E-",IF(T66&lt;'PlayerGrades+'!$AI$17,"E",IF(T66&lt;'PlayerGrades+'!$AI$16,"E+",IF(T66&lt;'PlayerGrades+'!$AI$15,"D-",IF(T66&lt;'PlayerGrades+'!$AI$14,"D",IF(T66&lt;'PlayerGrades+'!$AI$13,"D+",IF(T66&lt;'PlayerGrades+'!$AI$12,"C-",IF(T66&lt;'PlayerGrades+'!$AI$11,"C",IF(T66&lt;'PlayerGrades+'!$AI$10,"C+",IF(T66&lt;'PlayerGrades+'!$AI$9,"B-",IF(T66&lt;'PlayerGrades+'!$AI$8,"B",IF(T66&lt;'PlayerGrades+'!$AI$7,"B+",IF(T66&lt;'PlayerGrades+'!$AI$6,"A-",IF(T66&lt;'PlayerGrades+'!$AI$5,"A",IF(T66&lt;'PlayerGrades+'!$AI$4,"A+",IF(T66&lt;'PlayerGrades+'!$AI$3,"S-",IF(T66&lt;'PlayerGrades+'!$AI$2,"S","S+"))))))))))))))))))))</f>
        <v>S+</v>
      </c>
      <c r="V66" s="1375">
        <v>1.0</v>
      </c>
      <c r="W66" s="1375">
        <v>0.0</v>
      </c>
      <c r="X66" s="1100">
        <v>2.0</v>
      </c>
      <c r="Y66" s="1100">
        <v>11.0</v>
      </c>
      <c r="Z66" s="1100">
        <v>70.0</v>
      </c>
      <c r="AA66" s="1100">
        <v>39.0</v>
      </c>
      <c r="AB66" s="1017">
        <f t="shared" si="10"/>
        <v>31</v>
      </c>
      <c r="AC66" s="930">
        <f t="shared" si="11"/>
        <v>1.794871795</v>
      </c>
      <c r="AD66" s="1100">
        <v>0.0</v>
      </c>
      <c r="AE66" s="1329">
        <v>921.0</v>
      </c>
      <c r="AF66" s="1100">
        <v>2.0</v>
      </c>
      <c r="AG66" s="1100">
        <v>0.0</v>
      </c>
      <c r="AH66" s="1100">
        <v>0.0</v>
      </c>
      <c r="AI66" s="1100">
        <v>0.0</v>
      </c>
      <c r="AJ66" s="1100">
        <v>1.0</v>
      </c>
      <c r="AK66" s="1100">
        <v>11.0</v>
      </c>
      <c r="AL66" s="1100">
        <v>5.0</v>
      </c>
      <c r="AM66" s="1100">
        <v>1.0</v>
      </c>
      <c r="AN66" s="1100">
        <v>0.0</v>
      </c>
      <c r="AO66" s="1100">
        <v>0.0</v>
      </c>
      <c r="AP66" s="1100">
        <v>0.0</v>
      </c>
      <c r="AQ66" s="1100">
        <v>0.0</v>
      </c>
      <c r="AR66" s="1100">
        <v>0.0</v>
      </c>
      <c r="AS66" s="1100">
        <v>0.0</v>
      </c>
      <c r="AT66" s="1100">
        <v>0.0</v>
      </c>
      <c r="AU66" s="1100">
        <v>15.0</v>
      </c>
      <c r="AV66" s="1100">
        <v>0.0</v>
      </c>
      <c r="AW66" s="1100">
        <v>0.0</v>
      </c>
      <c r="AX66" s="1100">
        <v>0.0</v>
      </c>
      <c r="AY66" s="1100">
        <v>0.0</v>
      </c>
      <c r="AZ66" s="1239">
        <v>0.0</v>
      </c>
    </row>
    <row r="67">
      <c r="A67" s="938" t="s">
        <v>106</v>
      </c>
      <c r="B67" s="1100" t="str">
        <f>IF(C67&lt;'PlayerGrades+'!$Y$44,"F-",IF(C67&lt;'PlayerGrades+'!$Y$43,"F",IF(C67&lt;'PlayerGrades+'!$Y$42,"F+",IF(C67&lt;'PlayerGrades+'!$Y$41,"E-",IF(C67&lt;'PlayerGrades+'!$Y$40,"E",IF(C67&lt;'PlayerGrades+'!$Y$39,"E+",IF(C67&lt;'PlayerGrades+'!$Y$38,"D-",IF(C67&lt;'PlayerGrades+'!$Y$37,"D",IF(C67&lt;'PlayerGrades+'!$Y$36,"D+",IF(C67&lt;'PlayerGrades+'!$Y$35,"C-",IF(C67&lt;'PlayerGrades+'!$Y$34,"C",IF(C67&lt;'PlayerGrades+'!$Y$33,"C+",IF(C67&lt;'PlayerGrades+'!$Y$32,"B-",IF(C67&lt;'PlayerGrades+'!$Y$31,"B",IF(C67&lt;'PlayerGrades+'!$Y$30,"B+",IF(C67&lt;'PlayerGrades+'!$Y$29,"A-",IF(C67&lt;'PlayerGrades+'!$Y$28,"A",IF(C67&lt;'PlayerGrades+'!$Y$27,"A+",IF(C67&lt;'PlayerGrades+'!$Y$26,"S-",IF(C67&lt;'PlayerGrades+'!$Y$25,"S","S+"))))))))))))))))))))</f>
        <v>C</v>
      </c>
      <c r="C67" s="1105">
        <f>('PlayerGrades+'!$Y$47*(VLOOKUP(E67, 'PlayerGrades+'!$X$3:$Y$23, 2, FALSE)))+('PlayerGrades+'!$Y$48*(VLOOKUP(G67, 'PlayerGrades+'!$X$3:$Y$23, 2, FALSE)))+('PlayerGrades+'!$Y$49*(VLOOKUP(I67, 'PlayerGrades+'!$X$3:$Y$23, 2, FALSE)))+('PlayerGrades+'!$Y$50*(VLOOKUP(K67, 'PlayerGrades+'!$X$3:$Y$23, 2, FALSE)))+('PlayerGrades+'!$Y$51*(VLOOKUP(M67, 'PlayerGrades+'!$X$3:$Y$23, 2, FALSE)))+('PlayerGrades+'!$Y$52*(VLOOKUP(O67, 'PlayerGrades+'!$X$3:$Y$23, 2, FALSE)))+('PlayerGrades+'!$Y$53*(VLOOKUP(Q67, 'PlayerGrades+'!$X$3:$Y$23, 2, FALSE)))+('PlayerGrades+'!$Y$54*(VLOOKUP(S67, 'PlayerGrades+'!$X$3:$Y$23, 2, FALSE)))+('PlayerGrades+'!$Y$55*(VLOOKUP(U67, 'PlayerGrades+'!$X$3:$Y$23, 2, FALSE)))</f>
        <v>14.7125</v>
      </c>
      <c r="D67" s="961">
        <f t="shared" si="1"/>
        <v>0</v>
      </c>
      <c r="E67" s="961" t="str">
        <f>IF(D67&lt;'PlayerGrades+'!$AA$21,"F-",IF(D67&lt;'PlayerGrades+'!$AA$20,"F",IF(D67&lt;'PlayerGrades+'!$AA$19,"F+",IF(D67&lt;'PlayerGrades+'!$AA$18,"E-",IF(D67&lt;'PlayerGrades+'!$AA$17,"E",IF(D67&lt;'PlayerGrades+'!$AA$16,"E+",IF(D67&lt;'PlayerGrades+'!$AA$15,"D-",IF(D67&lt;'PlayerGrades+'!$AA$14,"D",IF(D67&lt;'PlayerGrades+'!$AA$13,"D+",IF(D67&lt;'PlayerGrades+'!$AA$12,"C-",IF(D67&lt;'PlayerGrades+'!$AA$11,"C",IF(D67&lt;'PlayerGrades+'!$AA$10,"C+",IF(D67&lt;'PlayerGrades+'!$AA$9,"B-",IF(D67&lt;'PlayerGrades+'!$AA$8,"B",IF(D67&lt;'PlayerGrades+'!$AA$7,"B+",IF(D67&lt;'PlayerGrades+'!$AA$6,"A-",IF(D67&lt;'PlayerGrades+'!$AA$5,"A",IF(D67&lt;'PlayerGrades+'!$AA$4,"A+",IF(D67&lt;'PlayerGrades+'!$AA$3,"S-",IF(D67&lt;'PlayerGrades+'!$AA$2,"S","S+"))))))))))))))))))))</f>
        <v>F-</v>
      </c>
      <c r="F67" s="961">
        <f t="shared" si="2"/>
        <v>0.05900067605</v>
      </c>
      <c r="G67" s="961" t="str">
        <f>IF(F67&lt;'PlayerGrades+'!$AB$21,"F-",IF(F67&lt;'PlayerGrades+'!$AB$20,"F",IF(F67&lt;'PlayerGrades+'!$AB$19,"F+",IF(F67&lt;'PlayerGrades+'!$AB$18,"E-",IF(F67&lt;'PlayerGrades+'!$AB$17,"E",IF(F67&lt;'PlayerGrades+'!$AB$16,"E+",IF(F67&lt;'PlayerGrades+'!$AB$15,"D-",IF(F67&lt;'PlayerGrades+'!$AB$14,"D",IF(F67&lt;'PlayerGrades+'!$AB$13,"D+",IF(F67&lt;'PlayerGrades+'!$AB$12,"C-",IF(F67&lt;'PlayerGrades+'!$AB$11,"C",IF(F67&lt;'PlayerGrades+'!$AB$10,"C+",IF(F67&lt;'PlayerGrades+'!$AB$9,"B-",IF(F67&lt;'PlayerGrades+'!$AB$8,"B",IF(F67&lt;'PlayerGrades+'!$AB$7,"B+",IF(F67&lt;'PlayerGrades+'!$AB$6,"A-",IF(F67&lt;'PlayerGrades+'!$AB$5,"A",IF(F67&lt;'PlayerGrades+'!$AB$4,"A+",IF(F67&lt;'PlayerGrades+'!$AB$3,"S-",IF(F67&lt;'PlayerGrades+'!$AB$2,"S","S+"))))))))))))))))))))</f>
        <v>A</v>
      </c>
      <c r="H67" s="961">
        <f t="shared" si="3"/>
        <v>0.5863192182</v>
      </c>
      <c r="I67" s="961" t="str">
        <f>IF(H67&lt;'PlayerGrades+'!$AC$21,"F-",IF(H67&lt;'PlayerGrades+'!$AC$20,"F",IF(H67&lt;'PlayerGrades+'!$AC$19,"F+",IF(H67&lt;'PlayerGrades+'!$AC$18,"E-",IF(H67&lt;'PlayerGrades+'!$AC$17,"E",IF(H67&lt;'PlayerGrades+'!$AC$16,"E+",IF(H67&lt;'PlayerGrades+'!$AC$15,"D-",IF(H67&lt;'PlayerGrades+'!$AC$14,"D",IF(H67&lt;'PlayerGrades+'!$AC$13,"D+",IF(H67&lt;'PlayerGrades+'!$AC$12,"C-",IF(H67&lt;'PlayerGrades+'!$AC$11,"C",IF(H67&lt;'PlayerGrades+'!$AC$10,"C+",IF(H67&lt;'PlayerGrades+'!$AC$9,"B-",IF(H67&lt;'PlayerGrades+'!$AC$8,"B",IF(H67&lt;'PlayerGrades+'!$AC$7,"B+",IF(H67&lt;'PlayerGrades+'!$AC$6,"A-",IF(H67&lt;'PlayerGrades+'!$AC$5,"A",IF(H67&lt;'PlayerGrades+'!$AC$4,"A+",IF(H67&lt;'PlayerGrades+'!$AC$3,"S-",IF(H67&lt;'PlayerGrades+'!$AC$2,"S","S+"))))))))))))))))))))</f>
        <v>A-</v>
      </c>
      <c r="J67" s="961">
        <f t="shared" si="4"/>
        <v>0</v>
      </c>
      <c r="K67" s="961" t="str">
        <f>IF(J67&lt;'PlayerGrades+'!$AD$21,"F-",IF(J67&lt;'PlayerGrades+'!$AD$20,"F",IF(J67&lt;'PlayerGrades+'!$AD$19,"F+",IF(J67&lt;'PlayerGrades+'!$AD$18,"E-",IF(J67&lt;'PlayerGrades+'!$AD$17,"E",IF(J67&lt;'PlayerGrades+'!$AD$16,"E+",IF(J67&lt;'PlayerGrades+'!$AD$15,"D-",IF(J67&lt;'PlayerGrades+'!$AD$14,"D",IF(J67&lt;'PlayerGrades+'!$AD$13,"D+",IF(J67&lt;'PlayerGrades+'!$AD$12,"C-",IF(J67&lt;'PlayerGrades+'!$AD$11,"C",IF(J67&lt;'PlayerGrades+'!$AD$10,"C+",IF(J67&lt;'PlayerGrades+'!$AD$9,"B-",IF(J67&lt;'PlayerGrades+'!$AD$8,"B",IF(J67&lt;'PlayerGrades+'!$AD$7,"B+",IF(J67&lt;'PlayerGrades+'!$AD$6,"A-",IF(J67&lt;'PlayerGrades+'!$AD$5,"A",IF(J67&lt;'PlayerGrades+'!$AD$4,"A+",IF(J67&lt;'PlayerGrades+'!$AD$3,"S-",IF(J67&lt;'PlayerGrades+'!$AD$2,"S","S+"))))))))))))))))))))</f>
        <v>F-</v>
      </c>
      <c r="L67" s="992">
        <f t="shared" si="5"/>
        <v>0.4560260586</v>
      </c>
      <c r="M67" s="992" t="str">
        <f>IF(L67&lt;'PlayerGrades+'!$AE$21,"F-",IF(L67&lt;'PlayerGrades+'!$AE$20,"F",IF(L67&lt;'PlayerGrades+'!$AE$19,"F+",IF(L67&lt;'PlayerGrades+'!$AE$18,"E-",IF(L67&lt;'PlayerGrades+'!$AE$17,"E",IF(L67&lt;'PlayerGrades+'!$AE$16,"E+",IF(L67&lt;'PlayerGrades+'!$AE$15,"D-",IF(L67&lt;'PlayerGrades+'!$AE$14,"D",IF(L67&lt;'PlayerGrades+'!$AE$13,"D+",IF(L67&lt;'PlayerGrades+'!$AE$12,"C-",IF(L67&lt;'PlayerGrades+'!$AE$11,"C",IF(L67&lt;'PlayerGrades+'!$AE$10,"C+",IF(L67&lt;'PlayerGrades+'!$AE$9,"B-",IF(L67&lt;'PlayerGrades+'!$AE$8,"B",IF(L67&lt;'PlayerGrades+'!$AE$7,"B+",IF(L67&lt;'PlayerGrades+'!$AE$6,"A-",IF(L67&lt;'PlayerGrades+'!$AE$5,"A",IF(L67&lt;'PlayerGrades+'!$AE$4,"A+",IF(L67&lt;'PlayerGrades+'!$AE$3,"S-",IF(L67&lt;'PlayerGrades+'!$AE$2,"S","S+"))))))))))))))))))))</f>
        <v>B-</v>
      </c>
      <c r="N67" s="961">
        <f t="shared" si="6"/>
        <v>0</v>
      </c>
      <c r="O67" s="961" t="str">
        <f>IF(N67&lt;'PlayerGrades+'!$AF$21,"F-",IF(N67&lt;'PlayerGrades+'!$AF$20,"F",IF(N67&lt;'PlayerGrades+'!$AF$19,"F+",IF(N67&lt;'PlayerGrades+'!$AF$18,"E-",IF(N67&lt;'PlayerGrades+'!$AF$17,"E",IF(N67&lt;'PlayerGrades+'!$AF$16,"E+",IF(N67&lt;'PlayerGrades+'!$AF$15,"D-",IF(N67&lt;'PlayerGrades+'!$AF$14,"D",IF(N67&lt;'PlayerGrades+'!$AF$13,"D+",IF(N67&lt;'PlayerGrades+'!$AF$12,"C-",IF(N67&lt;'PlayerGrades+'!$AF$11,"C",IF(N67&lt;'PlayerGrades+'!$AF$10,"C+",IF(N67&lt;'PlayerGrades+'!$AF$9,"B-",IF(N67&lt;'PlayerGrades+'!$AF$8,"B",IF(N67&lt;'PlayerGrades+'!$AF$7,"B+",IF(N67&lt;'PlayerGrades+'!$AF$6,"A-",IF(N67&lt;'PlayerGrades+'!$AF$5,"A",IF(N67&lt;'PlayerGrades+'!$AF$4,"A+",IF(N67&lt;'PlayerGrades+'!$AF$3,"S-",IF(N67&lt;'PlayerGrades+'!$AF$2,"S","S+"))))))))))))))))))))</f>
        <v>F-</v>
      </c>
      <c r="P67" s="961">
        <f t="shared" si="7"/>
        <v>0.4560260586</v>
      </c>
      <c r="Q67" s="961" t="str">
        <f>IF(P67&lt;'PlayerGrades+'!$AG$21,"F-",IF(P67&lt;'PlayerGrades+'!$AG$20,"F",IF(P67&lt;'PlayerGrades+'!$AG$19,"F+",IF(P67&lt;'PlayerGrades+'!$AG$18,"E-",IF(P67&lt;'PlayerGrades+'!$AG$17,"E",IF(P67&lt;'PlayerGrades+'!$AG$16,"E+",IF(P67&lt;'PlayerGrades+'!$AG$15,"D-",IF(P67&lt;'PlayerGrades+'!$AG$14,"D",IF(P67&lt;'PlayerGrades+'!$AG$13,"D+",IF(P67&lt;'PlayerGrades+'!$AG$12,"C-",IF(P67&lt;'PlayerGrades+'!$AG$11,"C",IF(P67&lt;'PlayerGrades+'!$AG$10,"C+",IF(P67&lt;'PlayerGrades+'!$AG$9,"B-",IF(P67&lt;'PlayerGrades+'!$AG$8,"B",IF(P67&lt;'PlayerGrades+'!$AG$7,"B+",IF(P67&lt;'PlayerGrades+'!$AG$6,"A-",IF(P67&lt;'PlayerGrades+'!$AG$5,"A",IF(P67&lt;'PlayerGrades+'!$AG$4,"A+",IF(P67&lt;'PlayerGrades+'!$AG$3,"S-",IF(P67&lt;'PlayerGrades+'!$AG$2,"S","S+"))))))))))))))))))))</f>
        <v>E</v>
      </c>
      <c r="R67" s="961">
        <f t="shared" si="8"/>
        <v>0.1302931596</v>
      </c>
      <c r="S67" s="961" t="str">
        <f>IF(R67&lt;'PlayerGrades+'!$AH$21,"F-",IF(R67&lt;'PlayerGrades+'!$AH$20,"F",IF(R67&lt;'PlayerGrades+'!$AH$19,"F+",IF(R67&lt;'PlayerGrades+'!$AH$18,"E-",IF(R67&lt;'PlayerGrades+'!$AH$17,"E",IF(R67&lt;'PlayerGrades+'!$AH$16,"E+",IF(R67&lt;'PlayerGrades+'!$AH$15,"D-",IF(R67&lt;'PlayerGrades+'!$AH$14,"D",IF(R67&lt;'PlayerGrades+'!$AH$13,"D+",IF(R67&lt;'PlayerGrades+'!$AH$12,"C-",IF(R67&lt;'PlayerGrades+'!$AH$11,"C",IF(R67&lt;'PlayerGrades+'!$AH$10,"C+",IF(R67&lt;'PlayerGrades+'!$AH$9,"B-",IF(R67&lt;'PlayerGrades+'!$AH$8,"B",IF(R67&lt;'PlayerGrades+'!$AH$7,"B+",IF(R67&lt;'PlayerGrades+'!$AH$6,"A-",IF(R67&lt;'PlayerGrades+'!$AH$5,"A",IF(R67&lt;'PlayerGrades+'!$AH$4,"A+",IF(R67&lt;'PlayerGrades+'!$AH$3,"S-",IF(R67&lt;'PlayerGrades+'!$AH$2,"S","S+"))))))))))))))))))))</f>
        <v>S</v>
      </c>
      <c r="T67" s="961">
        <f t="shared" si="9"/>
        <v>3.127035831</v>
      </c>
      <c r="U67" s="961" t="str">
        <f>IF(T67&lt;'PlayerGrades+'!$AI$21,"F-",IF(T67&lt;'PlayerGrades+'!$AI$20,"F",IF(T67&lt;'PlayerGrades+'!$AI$19,"F+",IF(T67&lt;'PlayerGrades+'!$AI$18,"E-",IF(T67&lt;'PlayerGrades+'!$AI$17,"E",IF(T67&lt;'PlayerGrades+'!$AI$16,"E+",IF(T67&lt;'PlayerGrades+'!$AI$15,"D-",IF(T67&lt;'PlayerGrades+'!$AI$14,"D",IF(T67&lt;'PlayerGrades+'!$AI$13,"D+",IF(T67&lt;'PlayerGrades+'!$AI$12,"C-",IF(T67&lt;'PlayerGrades+'!$AI$11,"C",IF(T67&lt;'PlayerGrades+'!$AI$10,"C+",IF(T67&lt;'PlayerGrades+'!$AI$9,"B-",IF(T67&lt;'PlayerGrades+'!$AI$8,"B",IF(T67&lt;'PlayerGrades+'!$AI$7,"B+",IF(T67&lt;'PlayerGrades+'!$AI$6,"A-",IF(T67&lt;'PlayerGrades+'!$AI$5,"A",IF(T67&lt;'PlayerGrades+'!$AI$4,"A+",IF(T67&lt;'PlayerGrades+'!$AI$3,"S-",IF(T67&lt;'PlayerGrades+'!$AI$2,"S","S+"))))))))))))))))))))</f>
        <v>B+</v>
      </c>
      <c r="V67" s="1100">
        <v>1.0</v>
      </c>
      <c r="W67" s="1100">
        <v>0.0</v>
      </c>
      <c r="X67" s="1100">
        <v>0.0</v>
      </c>
      <c r="Y67" s="1100">
        <v>1.0</v>
      </c>
      <c r="Z67" s="1100">
        <v>48.0</v>
      </c>
      <c r="AA67" s="1100">
        <v>53.0</v>
      </c>
      <c r="AB67" s="1017">
        <f t="shared" si="10"/>
        <v>-5</v>
      </c>
      <c r="AC67" s="1020">
        <f t="shared" si="11"/>
        <v>0.9056603774</v>
      </c>
      <c r="AD67" s="1100">
        <v>0.0</v>
      </c>
      <c r="AE67" s="1329">
        <v>921.0</v>
      </c>
      <c r="AF67" s="1100">
        <v>0.0</v>
      </c>
      <c r="AG67" s="1100">
        <v>0.0</v>
      </c>
      <c r="AH67" s="1100">
        <v>0.0</v>
      </c>
      <c r="AI67" s="1100">
        <v>0.0</v>
      </c>
      <c r="AJ67" s="1100">
        <v>0.0</v>
      </c>
      <c r="AK67" s="1100">
        <v>7.0</v>
      </c>
      <c r="AL67" s="1100">
        <v>0.0</v>
      </c>
      <c r="AM67" s="1100">
        <v>0.0</v>
      </c>
      <c r="AN67" s="1100">
        <v>0.0</v>
      </c>
      <c r="AO67" s="1100">
        <v>0.0</v>
      </c>
      <c r="AP67" s="1100">
        <v>0.0</v>
      </c>
      <c r="AQ67" s="1100">
        <v>0.0</v>
      </c>
      <c r="AR67" s="1100">
        <v>0.0</v>
      </c>
      <c r="AS67" s="1100">
        <v>0.0</v>
      </c>
      <c r="AT67" s="1100">
        <v>0.0</v>
      </c>
      <c r="AU67" s="1100">
        <v>9.0</v>
      </c>
      <c r="AV67" s="1100">
        <v>0.0</v>
      </c>
      <c r="AW67" s="1100">
        <v>1.0</v>
      </c>
      <c r="AX67" s="1100">
        <v>0.0</v>
      </c>
      <c r="AY67" s="1100">
        <v>1.0</v>
      </c>
      <c r="AZ67" s="1239">
        <v>0.0</v>
      </c>
    </row>
    <row r="68">
      <c r="A68" s="938" t="s">
        <v>41</v>
      </c>
      <c r="B68" s="1100" t="str">
        <f>IF(C68&lt;'PlayerGrades+'!$Y$44,"F-",IF(C68&lt;'PlayerGrades+'!$Y$43,"F",IF(C68&lt;'PlayerGrades+'!$Y$42,"F+",IF(C68&lt;'PlayerGrades+'!$Y$41,"E-",IF(C68&lt;'PlayerGrades+'!$Y$40,"E",IF(C68&lt;'PlayerGrades+'!$Y$39,"E+",IF(C68&lt;'PlayerGrades+'!$Y$38,"D-",IF(C68&lt;'PlayerGrades+'!$Y$37,"D",IF(C68&lt;'PlayerGrades+'!$Y$36,"D+",IF(C68&lt;'PlayerGrades+'!$Y$35,"C-",IF(C68&lt;'PlayerGrades+'!$Y$34,"C",IF(C68&lt;'PlayerGrades+'!$Y$33,"C+",IF(C68&lt;'PlayerGrades+'!$Y$32,"B-",IF(C68&lt;'PlayerGrades+'!$Y$31,"B",IF(C68&lt;'PlayerGrades+'!$Y$30,"B+",IF(C68&lt;'PlayerGrades+'!$Y$29,"A-",IF(C68&lt;'PlayerGrades+'!$Y$28,"A",IF(C68&lt;'PlayerGrades+'!$Y$27,"A+",IF(C68&lt;'PlayerGrades+'!$Y$26,"S-",IF(C68&lt;'PlayerGrades+'!$Y$25,"S","S+"))))))))))))))))))))</f>
        <v>B-</v>
      </c>
      <c r="C68" s="1105">
        <f>('PlayerGrades+'!$Y$47*(VLOOKUP(E68, 'PlayerGrades+'!$X$3:$Y$23, 2, FALSE)))+('PlayerGrades+'!$Y$48*(VLOOKUP(G68, 'PlayerGrades+'!$X$3:$Y$23, 2, FALSE)))+('PlayerGrades+'!$Y$49*(VLOOKUP(I68, 'PlayerGrades+'!$X$3:$Y$23, 2, FALSE)))+('PlayerGrades+'!$Y$50*(VLOOKUP(K68, 'PlayerGrades+'!$X$3:$Y$23, 2, FALSE)))+('PlayerGrades+'!$Y$51*(VLOOKUP(M68, 'PlayerGrades+'!$X$3:$Y$23, 2, FALSE)))+('PlayerGrades+'!$Y$52*(VLOOKUP(O68, 'PlayerGrades+'!$X$3:$Y$23, 2, FALSE)))+('PlayerGrades+'!$Y$53*(VLOOKUP(Q68, 'PlayerGrades+'!$X$3:$Y$23, 2, FALSE)))+('PlayerGrades+'!$Y$54*(VLOOKUP(S68, 'PlayerGrades+'!$X$3:$Y$23, 2, FALSE)))+('PlayerGrades+'!$Y$55*(VLOOKUP(U68, 'PlayerGrades+'!$X$3:$Y$23, 2, FALSE)))</f>
        <v>16.625</v>
      </c>
      <c r="D68" s="961">
        <f t="shared" si="1"/>
        <v>0.0651465798</v>
      </c>
      <c r="E68" s="961" t="str">
        <f>IF(D68&lt;'PlayerGrades+'!$AA$21,"F-",IF(D68&lt;'PlayerGrades+'!$AA$20,"F",IF(D68&lt;'PlayerGrades+'!$AA$19,"F+",IF(D68&lt;'PlayerGrades+'!$AA$18,"E-",IF(D68&lt;'PlayerGrades+'!$AA$17,"E",IF(D68&lt;'PlayerGrades+'!$AA$16,"E+",IF(D68&lt;'PlayerGrades+'!$AA$15,"D-",IF(D68&lt;'PlayerGrades+'!$AA$14,"D",IF(D68&lt;'PlayerGrades+'!$AA$13,"D+",IF(D68&lt;'PlayerGrades+'!$AA$12,"C-",IF(D68&lt;'PlayerGrades+'!$AA$11,"C",IF(D68&lt;'PlayerGrades+'!$AA$10,"C+",IF(D68&lt;'PlayerGrades+'!$AA$9,"B-",IF(D68&lt;'PlayerGrades+'!$AA$8,"B",IF(D68&lt;'PlayerGrades+'!$AA$7,"B+",IF(D68&lt;'PlayerGrades+'!$AA$6,"A-",IF(D68&lt;'PlayerGrades+'!$AA$5,"A",IF(D68&lt;'PlayerGrades+'!$AA$4,"A+",IF(D68&lt;'PlayerGrades+'!$AA$3,"S-",IF(D68&lt;'PlayerGrades+'!$AA$2,"S","S+"))))))))))))))))))))</f>
        <v>B+</v>
      </c>
      <c r="F68" s="961">
        <f t="shared" si="2"/>
        <v>0.07106899615</v>
      </c>
      <c r="G68" s="961" t="str">
        <f>IF(F68&lt;'PlayerGrades+'!$AB$21,"F-",IF(F68&lt;'PlayerGrades+'!$AB$20,"F",IF(F68&lt;'PlayerGrades+'!$AB$19,"F+",IF(F68&lt;'PlayerGrades+'!$AB$18,"E-",IF(F68&lt;'PlayerGrades+'!$AB$17,"E",IF(F68&lt;'PlayerGrades+'!$AB$16,"E+",IF(F68&lt;'PlayerGrades+'!$AB$15,"D-",IF(F68&lt;'PlayerGrades+'!$AB$14,"D",IF(F68&lt;'PlayerGrades+'!$AB$13,"D+",IF(F68&lt;'PlayerGrades+'!$AB$12,"C-",IF(F68&lt;'PlayerGrades+'!$AB$11,"C",IF(F68&lt;'PlayerGrades+'!$AB$10,"C+",IF(F68&lt;'PlayerGrades+'!$AB$9,"B-",IF(F68&lt;'PlayerGrades+'!$AB$8,"B",IF(F68&lt;'PlayerGrades+'!$AB$7,"B+",IF(F68&lt;'PlayerGrades+'!$AB$6,"A-",IF(F68&lt;'PlayerGrades+'!$AB$5,"A",IF(F68&lt;'PlayerGrades+'!$AB$4,"A+",IF(F68&lt;'PlayerGrades+'!$AB$3,"S-",IF(F68&lt;'PlayerGrades+'!$AB$2,"S","S+"))))))))))))))))))))</f>
        <v>A</v>
      </c>
      <c r="H68" s="961">
        <f t="shared" si="3"/>
        <v>0.325732899</v>
      </c>
      <c r="I68" s="961" t="str">
        <f>IF(H68&lt;'PlayerGrades+'!$AC$21,"F-",IF(H68&lt;'PlayerGrades+'!$AC$20,"F",IF(H68&lt;'PlayerGrades+'!$AC$19,"F+",IF(H68&lt;'PlayerGrades+'!$AC$18,"E-",IF(H68&lt;'PlayerGrades+'!$AC$17,"E",IF(H68&lt;'PlayerGrades+'!$AC$16,"E+",IF(H68&lt;'PlayerGrades+'!$AC$15,"D-",IF(H68&lt;'PlayerGrades+'!$AC$14,"D",IF(H68&lt;'PlayerGrades+'!$AC$13,"D+",IF(H68&lt;'PlayerGrades+'!$AC$12,"C-",IF(H68&lt;'PlayerGrades+'!$AC$11,"C",IF(H68&lt;'PlayerGrades+'!$AC$10,"C+",IF(H68&lt;'PlayerGrades+'!$AC$9,"B-",IF(H68&lt;'PlayerGrades+'!$AC$8,"B",IF(H68&lt;'PlayerGrades+'!$AC$7,"B+",IF(H68&lt;'PlayerGrades+'!$AC$6,"A-",IF(H68&lt;'PlayerGrades+'!$AC$5,"A",IF(H68&lt;'PlayerGrades+'!$AC$4,"A+",IF(H68&lt;'PlayerGrades+'!$AC$3,"S-",IF(H68&lt;'PlayerGrades+'!$AC$2,"S","S+"))))))))))))))))))))</f>
        <v>E</v>
      </c>
      <c r="J68" s="961">
        <f t="shared" si="4"/>
        <v>0</v>
      </c>
      <c r="K68" s="961" t="str">
        <f>IF(J68&lt;'PlayerGrades+'!$AD$21,"F-",IF(J68&lt;'PlayerGrades+'!$AD$20,"F",IF(J68&lt;'PlayerGrades+'!$AD$19,"F+",IF(J68&lt;'PlayerGrades+'!$AD$18,"E-",IF(J68&lt;'PlayerGrades+'!$AD$17,"E",IF(J68&lt;'PlayerGrades+'!$AD$16,"E+",IF(J68&lt;'PlayerGrades+'!$AD$15,"D-",IF(J68&lt;'PlayerGrades+'!$AD$14,"D",IF(J68&lt;'PlayerGrades+'!$AD$13,"D+",IF(J68&lt;'PlayerGrades+'!$AD$12,"C-",IF(J68&lt;'PlayerGrades+'!$AD$11,"C",IF(J68&lt;'PlayerGrades+'!$AD$10,"C+",IF(J68&lt;'PlayerGrades+'!$AD$9,"B-",IF(J68&lt;'PlayerGrades+'!$AD$8,"B",IF(J68&lt;'PlayerGrades+'!$AD$7,"B+",IF(J68&lt;'PlayerGrades+'!$AD$6,"A-",IF(J68&lt;'PlayerGrades+'!$AD$5,"A",IF(J68&lt;'PlayerGrades+'!$AD$4,"A+",IF(J68&lt;'PlayerGrades+'!$AD$3,"S-",IF(J68&lt;'PlayerGrades+'!$AD$2,"S","S+"))))))))))))))))))))</f>
        <v>F-</v>
      </c>
      <c r="L68" s="992">
        <f t="shared" si="5"/>
        <v>0.5863192182</v>
      </c>
      <c r="M68" s="992" t="str">
        <f>IF(L68&lt;'PlayerGrades+'!$AE$21,"F-",IF(L68&lt;'PlayerGrades+'!$AE$20,"F",IF(L68&lt;'PlayerGrades+'!$AE$19,"F+",IF(L68&lt;'PlayerGrades+'!$AE$18,"E-",IF(L68&lt;'PlayerGrades+'!$AE$17,"E",IF(L68&lt;'PlayerGrades+'!$AE$16,"E+",IF(L68&lt;'PlayerGrades+'!$AE$15,"D-",IF(L68&lt;'PlayerGrades+'!$AE$14,"D",IF(L68&lt;'PlayerGrades+'!$AE$13,"D+",IF(L68&lt;'PlayerGrades+'!$AE$12,"C-",IF(L68&lt;'PlayerGrades+'!$AE$11,"C",IF(L68&lt;'PlayerGrades+'!$AE$10,"C+",IF(L68&lt;'PlayerGrades+'!$AE$9,"B-",IF(L68&lt;'PlayerGrades+'!$AE$8,"B",IF(L68&lt;'PlayerGrades+'!$AE$7,"B+",IF(L68&lt;'PlayerGrades+'!$AE$6,"A-",IF(L68&lt;'PlayerGrades+'!$AE$5,"A",IF(L68&lt;'PlayerGrades+'!$AE$4,"A+",IF(L68&lt;'PlayerGrades+'!$AE$3,"S-",IF(L68&lt;'PlayerGrades+'!$AE$2,"S","S+"))))))))))))))))))))</f>
        <v>A</v>
      </c>
      <c r="N68" s="961">
        <f t="shared" si="6"/>
        <v>0.0651465798</v>
      </c>
      <c r="O68" s="961" t="str">
        <f>IF(N68&lt;'PlayerGrades+'!$AF$21,"F-",IF(N68&lt;'PlayerGrades+'!$AF$20,"F",IF(N68&lt;'PlayerGrades+'!$AF$19,"F+",IF(N68&lt;'PlayerGrades+'!$AF$18,"E-",IF(N68&lt;'PlayerGrades+'!$AF$17,"E",IF(N68&lt;'PlayerGrades+'!$AF$16,"E+",IF(N68&lt;'PlayerGrades+'!$AF$15,"D-",IF(N68&lt;'PlayerGrades+'!$AF$14,"D",IF(N68&lt;'PlayerGrades+'!$AF$13,"D+",IF(N68&lt;'PlayerGrades+'!$AF$12,"C-",IF(N68&lt;'PlayerGrades+'!$AF$11,"C",IF(N68&lt;'PlayerGrades+'!$AF$10,"C+",IF(N68&lt;'PlayerGrades+'!$AF$9,"B-",IF(N68&lt;'PlayerGrades+'!$AF$8,"B",IF(N68&lt;'PlayerGrades+'!$AF$7,"B+",IF(N68&lt;'PlayerGrades+'!$AF$6,"A-",IF(N68&lt;'PlayerGrades+'!$AF$5,"A",IF(N68&lt;'PlayerGrades+'!$AF$4,"A+",IF(N68&lt;'PlayerGrades+'!$AF$3,"S-",IF(N68&lt;'PlayerGrades+'!$AF$2,"S","S+"))))))))))))))))))))</f>
        <v>E</v>
      </c>
      <c r="P68" s="961">
        <f t="shared" si="7"/>
        <v>0.7817589577</v>
      </c>
      <c r="Q68" s="961" t="str">
        <f>IF(P68&lt;'PlayerGrades+'!$AG$21,"F-",IF(P68&lt;'PlayerGrades+'!$AG$20,"F",IF(P68&lt;'PlayerGrades+'!$AG$19,"F+",IF(P68&lt;'PlayerGrades+'!$AG$18,"E-",IF(P68&lt;'PlayerGrades+'!$AG$17,"E",IF(P68&lt;'PlayerGrades+'!$AG$16,"E+",IF(P68&lt;'PlayerGrades+'!$AG$15,"D-",IF(P68&lt;'PlayerGrades+'!$AG$14,"D",IF(P68&lt;'PlayerGrades+'!$AG$13,"D+",IF(P68&lt;'PlayerGrades+'!$AG$12,"C-",IF(P68&lt;'PlayerGrades+'!$AG$11,"C",IF(P68&lt;'PlayerGrades+'!$AG$10,"C+",IF(P68&lt;'PlayerGrades+'!$AG$9,"B-",IF(P68&lt;'PlayerGrades+'!$AG$8,"B",IF(P68&lt;'PlayerGrades+'!$AG$7,"B+",IF(P68&lt;'PlayerGrades+'!$AG$6,"A-",IF(P68&lt;'PlayerGrades+'!$AG$5,"A",IF(P68&lt;'PlayerGrades+'!$AG$4,"A+",IF(P68&lt;'PlayerGrades+'!$AG$3,"S-",IF(P68&lt;'PlayerGrades+'!$AG$2,"S","S+"))))))))))))))))))))</f>
        <v>B+</v>
      </c>
      <c r="R68" s="961">
        <f t="shared" si="8"/>
        <v>0.1954397394</v>
      </c>
      <c r="S68" s="961" t="str">
        <f>IF(R68&lt;'PlayerGrades+'!$AH$21,"F-",IF(R68&lt;'PlayerGrades+'!$AH$20,"F",IF(R68&lt;'PlayerGrades+'!$AH$19,"F+",IF(R68&lt;'PlayerGrades+'!$AH$18,"E-",IF(R68&lt;'PlayerGrades+'!$AH$17,"E",IF(R68&lt;'PlayerGrades+'!$AH$16,"E+",IF(R68&lt;'PlayerGrades+'!$AH$15,"D-",IF(R68&lt;'PlayerGrades+'!$AH$14,"D",IF(R68&lt;'PlayerGrades+'!$AH$13,"D+",IF(R68&lt;'PlayerGrades+'!$AH$12,"C-",IF(R68&lt;'PlayerGrades+'!$AH$11,"C",IF(R68&lt;'PlayerGrades+'!$AH$10,"C+",IF(R68&lt;'PlayerGrades+'!$AH$9,"B-",IF(R68&lt;'PlayerGrades+'!$AH$8,"B",IF(R68&lt;'PlayerGrades+'!$AH$7,"B+",IF(R68&lt;'PlayerGrades+'!$AH$6,"A-",IF(R68&lt;'PlayerGrades+'!$AH$5,"A",IF(R68&lt;'PlayerGrades+'!$AH$4,"A+",IF(R68&lt;'PlayerGrades+'!$AH$3,"S-",IF(R68&lt;'PlayerGrades+'!$AH$2,"S","S+"))))))))))))))))))))</f>
        <v>S+</v>
      </c>
      <c r="T68" s="961">
        <f t="shared" si="9"/>
        <v>2.345276873</v>
      </c>
      <c r="U68" s="961" t="str">
        <f>IF(T68&lt;'PlayerGrades+'!$AI$21,"F-",IF(T68&lt;'PlayerGrades+'!$AI$20,"F",IF(T68&lt;'PlayerGrades+'!$AI$19,"F+",IF(T68&lt;'PlayerGrades+'!$AI$18,"E-",IF(T68&lt;'PlayerGrades+'!$AI$17,"E",IF(T68&lt;'PlayerGrades+'!$AI$16,"E+",IF(T68&lt;'PlayerGrades+'!$AI$15,"D-",IF(T68&lt;'PlayerGrades+'!$AI$14,"D",IF(T68&lt;'PlayerGrades+'!$AI$13,"D+",IF(T68&lt;'PlayerGrades+'!$AI$12,"C-",IF(T68&lt;'PlayerGrades+'!$AI$11,"C",IF(T68&lt;'PlayerGrades+'!$AI$10,"C+",IF(T68&lt;'PlayerGrades+'!$AI$9,"B-",IF(T68&lt;'PlayerGrades+'!$AI$8,"B",IF(T68&lt;'PlayerGrades+'!$AI$7,"B+",IF(T68&lt;'PlayerGrades+'!$AI$6,"A-",IF(T68&lt;'PlayerGrades+'!$AI$5,"A",IF(T68&lt;'PlayerGrades+'!$AI$4,"A+",IF(T68&lt;'PlayerGrades+'!$AI$3,"S-",IF(T68&lt;'PlayerGrades+'!$AI$2,"S","S+"))))))))))))))))))))</f>
        <v>E</v>
      </c>
      <c r="V68" s="1100">
        <v>1.0</v>
      </c>
      <c r="W68" s="1100">
        <v>0.0</v>
      </c>
      <c r="X68" s="1100">
        <v>1.0</v>
      </c>
      <c r="Y68" s="1100">
        <v>0.0</v>
      </c>
      <c r="Z68" s="1100">
        <v>36.0</v>
      </c>
      <c r="AA68" s="1100">
        <v>33.0</v>
      </c>
      <c r="AB68" s="1017">
        <f t="shared" si="10"/>
        <v>3</v>
      </c>
      <c r="AC68" s="1020">
        <f t="shared" si="11"/>
        <v>1.090909091</v>
      </c>
      <c r="AD68" s="1100">
        <v>0.0</v>
      </c>
      <c r="AE68" s="1329">
        <v>921.0</v>
      </c>
      <c r="AF68" s="1100">
        <v>0.0</v>
      </c>
      <c r="AG68" s="1100">
        <v>0.0</v>
      </c>
      <c r="AH68" s="1100">
        <v>0.0</v>
      </c>
      <c r="AI68" s="1100">
        <v>0.0</v>
      </c>
      <c r="AJ68" s="1100">
        <v>2.0</v>
      </c>
      <c r="AK68" s="1100">
        <v>9.0</v>
      </c>
      <c r="AL68" s="1100">
        <v>1.0</v>
      </c>
      <c r="AM68" s="1100">
        <v>0.0</v>
      </c>
      <c r="AN68" s="1100">
        <v>0.0</v>
      </c>
      <c r="AO68" s="1100">
        <v>0.0</v>
      </c>
      <c r="AP68" s="1100">
        <v>0.0</v>
      </c>
      <c r="AQ68" s="1100">
        <v>0.0</v>
      </c>
      <c r="AR68" s="1100">
        <v>0.0</v>
      </c>
      <c r="AS68" s="1100">
        <v>0.0</v>
      </c>
      <c r="AT68" s="1100">
        <v>0.0</v>
      </c>
      <c r="AU68" s="1100">
        <v>5.0</v>
      </c>
      <c r="AV68" s="1100">
        <v>0.0</v>
      </c>
      <c r="AW68" s="1100">
        <v>0.0</v>
      </c>
      <c r="AX68" s="1100">
        <v>0.0</v>
      </c>
      <c r="AY68" s="1100">
        <v>0.0</v>
      </c>
      <c r="AZ68" s="1239">
        <v>3.0</v>
      </c>
    </row>
    <row r="69">
      <c r="A69" s="938" t="s">
        <v>380</v>
      </c>
      <c r="B69" s="1100" t="str">
        <f>IF(C69&lt;'PlayerGrades+'!$Y$44,"F-",IF(C69&lt;'PlayerGrades+'!$Y$43,"F",IF(C69&lt;'PlayerGrades+'!$Y$42,"F+",IF(C69&lt;'PlayerGrades+'!$Y$41,"E-",IF(C69&lt;'PlayerGrades+'!$Y$40,"E",IF(C69&lt;'PlayerGrades+'!$Y$39,"E+",IF(C69&lt;'PlayerGrades+'!$Y$38,"D-",IF(C69&lt;'PlayerGrades+'!$Y$37,"D",IF(C69&lt;'PlayerGrades+'!$Y$36,"D+",IF(C69&lt;'PlayerGrades+'!$Y$35,"C-",IF(C69&lt;'PlayerGrades+'!$Y$34,"C",IF(C69&lt;'PlayerGrades+'!$Y$33,"C+",IF(C69&lt;'PlayerGrades+'!$Y$32,"B-",IF(C69&lt;'PlayerGrades+'!$Y$31,"B",IF(C69&lt;'PlayerGrades+'!$Y$30,"B+",IF(C69&lt;'PlayerGrades+'!$Y$29,"A-",IF(C69&lt;'PlayerGrades+'!$Y$28,"A",IF(C69&lt;'PlayerGrades+'!$Y$27,"A+",IF(C69&lt;'PlayerGrades+'!$Y$26,"S-",IF(C69&lt;'PlayerGrades+'!$Y$25,"S","S+"))))))))))))))))))))</f>
        <v>D</v>
      </c>
      <c r="C69" s="1105">
        <f>('PlayerGrades+'!$Y$47*(VLOOKUP(E69, 'PlayerGrades+'!$X$3:$Y$23, 2, FALSE)))+('PlayerGrades+'!$Y$48*(VLOOKUP(G69, 'PlayerGrades+'!$X$3:$Y$23, 2, FALSE)))+('PlayerGrades+'!$Y$49*(VLOOKUP(I69, 'PlayerGrades+'!$X$3:$Y$23, 2, FALSE)))+('PlayerGrades+'!$Y$50*(VLOOKUP(K69, 'PlayerGrades+'!$X$3:$Y$23, 2, FALSE)))+('PlayerGrades+'!$Y$51*(VLOOKUP(M69, 'PlayerGrades+'!$X$3:$Y$23, 2, FALSE)))+('PlayerGrades+'!$Y$52*(VLOOKUP(O69, 'PlayerGrades+'!$X$3:$Y$23, 2, FALSE)))+('PlayerGrades+'!$Y$53*(VLOOKUP(Q69, 'PlayerGrades+'!$X$3:$Y$23, 2, FALSE)))+('PlayerGrades+'!$Y$54*(VLOOKUP(S69, 'PlayerGrades+'!$X$3:$Y$23, 2, FALSE)))+('PlayerGrades+'!$Y$55*(VLOOKUP(U69, 'PlayerGrades+'!$X$3:$Y$23, 2, FALSE)))</f>
        <v>12.4375</v>
      </c>
      <c r="D69" s="961">
        <f t="shared" si="1"/>
        <v>0.1302931596</v>
      </c>
      <c r="E69" s="961" t="str">
        <f>IF(D69&lt;'PlayerGrades+'!$AA$21,"F-",IF(D69&lt;'PlayerGrades+'!$AA$20,"F",IF(D69&lt;'PlayerGrades+'!$AA$19,"F+",IF(D69&lt;'PlayerGrades+'!$AA$18,"E-",IF(D69&lt;'PlayerGrades+'!$AA$17,"E",IF(D69&lt;'PlayerGrades+'!$AA$16,"E+",IF(D69&lt;'PlayerGrades+'!$AA$15,"D-",IF(D69&lt;'PlayerGrades+'!$AA$14,"D",IF(D69&lt;'PlayerGrades+'!$AA$13,"D+",IF(D69&lt;'PlayerGrades+'!$AA$12,"C-",IF(D69&lt;'PlayerGrades+'!$AA$11,"C",IF(D69&lt;'PlayerGrades+'!$AA$10,"C+",IF(D69&lt;'PlayerGrades+'!$AA$9,"B-",IF(D69&lt;'PlayerGrades+'!$AA$8,"B",IF(D69&lt;'PlayerGrades+'!$AA$7,"B+",IF(D69&lt;'PlayerGrades+'!$AA$6,"A-",IF(D69&lt;'PlayerGrades+'!$AA$5,"A",IF(D69&lt;'PlayerGrades+'!$AA$4,"A+",IF(D69&lt;'PlayerGrades+'!$AA$3,"S-",IF(D69&lt;'PlayerGrades+'!$AA$2,"S","S+"))))))))))))))))))))</f>
        <v>S-</v>
      </c>
      <c r="F69" s="961">
        <f t="shared" si="2"/>
        <v>0.0342019544</v>
      </c>
      <c r="G69" s="961" t="str">
        <f>IF(F69&lt;'PlayerGrades+'!$AB$21,"F-",IF(F69&lt;'PlayerGrades+'!$AB$20,"F",IF(F69&lt;'PlayerGrades+'!$AB$19,"F+",IF(F69&lt;'PlayerGrades+'!$AB$18,"E-",IF(F69&lt;'PlayerGrades+'!$AB$17,"E",IF(F69&lt;'PlayerGrades+'!$AB$16,"E+",IF(F69&lt;'PlayerGrades+'!$AB$15,"D-",IF(F69&lt;'PlayerGrades+'!$AB$14,"D",IF(F69&lt;'PlayerGrades+'!$AB$13,"D+",IF(F69&lt;'PlayerGrades+'!$AB$12,"C-",IF(F69&lt;'PlayerGrades+'!$AB$11,"C",IF(F69&lt;'PlayerGrades+'!$AB$10,"C+",IF(F69&lt;'PlayerGrades+'!$AB$9,"B-",IF(F69&lt;'PlayerGrades+'!$AB$8,"B",IF(F69&lt;'PlayerGrades+'!$AB$7,"B+",IF(F69&lt;'PlayerGrades+'!$AB$6,"A-",IF(F69&lt;'PlayerGrades+'!$AB$5,"A",IF(F69&lt;'PlayerGrades+'!$AB$4,"A+",IF(F69&lt;'PlayerGrades+'!$AB$3,"S-",IF(F69&lt;'PlayerGrades+'!$AB$2,"S","S+"))))))))))))))))))))</f>
        <v>A</v>
      </c>
      <c r="H69" s="961">
        <f t="shared" si="3"/>
        <v>0.2605863192</v>
      </c>
      <c r="I69" s="961" t="str">
        <f>IF(H69&lt;'PlayerGrades+'!$AC$21,"F-",IF(H69&lt;'PlayerGrades+'!$AC$20,"F",IF(H69&lt;'PlayerGrades+'!$AC$19,"F+",IF(H69&lt;'PlayerGrades+'!$AC$18,"E-",IF(H69&lt;'PlayerGrades+'!$AC$17,"E",IF(H69&lt;'PlayerGrades+'!$AC$16,"E+",IF(H69&lt;'PlayerGrades+'!$AC$15,"D-",IF(H69&lt;'PlayerGrades+'!$AC$14,"D",IF(H69&lt;'PlayerGrades+'!$AC$13,"D+",IF(H69&lt;'PlayerGrades+'!$AC$12,"C-",IF(H69&lt;'PlayerGrades+'!$AC$11,"C",IF(H69&lt;'PlayerGrades+'!$AC$10,"C+",IF(H69&lt;'PlayerGrades+'!$AC$9,"B-",IF(H69&lt;'PlayerGrades+'!$AC$8,"B",IF(H69&lt;'PlayerGrades+'!$AC$7,"B+",IF(H69&lt;'PlayerGrades+'!$AC$6,"A-",IF(H69&lt;'PlayerGrades+'!$AC$5,"A",IF(H69&lt;'PlayerGrades+'!$AC$4,"A+",IF(H69&lt;'PlayerGrades+'!$AC$3,"S-",IF(H69&lt;'PlayerGrades+'!$AC$2,"S","S+"))))))))))))))))))))</f>
        <v>F+</v>
      </c>
      <c r="J69" s="961">
        <f t="shared" si="4"/>
        <v>0</v>
      </c>
      <c r="K69" s="961" t="str">
        <f>IF(J69&lt;'PlayerGrades+'!$AD$21,"F-",IF(J69&lt;'PlayerGrades+'!$AD$20,"F",IF(J69&lt;'PlayerGrades+'!$AD$19,"F+",IF(J69&lt;'PlayerGrades+'!$AD$18,"E-",IF(J69&lt;'PlayerGrades+'!$AD$17,"E",IF(J69&lt;'PlayerGrades+'!$AD$16,"E+",IF(J69&lt;'PlayerGrades+'!$AD$15,"D-",IF(J69&lt;'PlayerGrades+'!$AD$14,"D",IF(J69&lt;'PlayerGrades+'!$AD$13,"D+",IF(J69&lt;'PlayerGrades+'!$AD$12,"C-",IF(J69&lt;'PlayerGrades+'!$AD$11,"C",IF(J69&lt;'PlayerGrades+'!$AD$10,"C+",IF(J69&lt;'PlayerGrades+'!$AD$9,"B-",IF(J69&lt;'PlayerGrades+'!$AD$8,"B",IF(J69&lt;'PlayerGrades+'!$AD$7,"B+",IF(J69&lt;'PlayerGrades+'!$AD$6,"A-",IF(J69&lt;'PlayerGrades+'!$AD$5,"A",IF(J69&lt;'PlayerGrades+'!$AD$4,"A+",IF(J69&lt;'PlayerGrades+'!$AD$3,"S-",IF(J69&lt;'PlayerGrades+'!$AD$2,"S","S+"))))))))))))))))))))</f>
        <v>F-</v>
      </c>
      <c r="L69" s="992">
        <f t="shared" si="5"/>
        <v>0.1302931596</v>
      </c>
      <c r="M69" s="992" t="str">
        <f>IF(L69&lt;'PlayerGrades+'!$AE$21,"F-",IF(L69&lt;'PlayerGrades+'!$AE$20,"F",IF(L69&lt;'PlayerGrades+'!$AE$19,"F+",IF(L69&lt;'PlayerGrades+'!$AE$18,"E-",IF(L69&lt;'PlayerGrades+'!$AE$17,"E",IF(L69&lt;'PlayerGrades+'!$AE$16,"E+",IF(L69&lt;'PlayerGrades+'!$AE$15,"D-",IF(L69&lt;'PlayerGrades+'!$AE$14,"D",IF(L69&lt;'PlayerGrades+'!$AE$13,"D+",IF(L69&lt;'PlayerGrades+'!$AE$12,"C-",IF(L69&lt;'PlayerGrades+'!$AE$11,"C",IF(L69&lt;'PlayerGrades+'!$AE$10,"C+",IF(L69&lt;'PlayerGrades+'!$AE$9,"B-",IF(L69&lt;'PlayerGrades+'!$AE$8,"B",IF(L69&lt;'PlayerGrades+'!$AE$7,"B+",IF(L69&lt;'PlayerGrades+'!$AE$6,"A-",IF(L69&lt;'PlayerGrades+'!$AE$5,"A",IF(L69&lt;'PlayerGrades+'!$AE$4,"A+",IF(L69&lt;'PlayerGrades+'!$AE$3,"S-",IF(L69&lt;'PlayerGrades+'!$AE$2,"S","S+"))))))))))))))))))))</f>
        <v>F-</v>
      </c>
      <c r="N69" s="961">
        <f t="shared" si="6"/>
        <v>0</v>
      </c>
      <c r="O69" s="961" t="str">
        <f>IF(N69&lt;'PlayerGrades+'!$AF$21,"F-",IF(N69&lt;'PlayerGrades+'!$AF$20,"F",IF(N69&lt;'PlayerGrades+'!$AF$19,"F+",IF(N69&lt;'PlayerGrades+'!$AF$18,"E-",IF(N69&lt;'PlayerGrades+'!$AF$17,"E",IF(N69&lt;'PlayerGrades+'!$AF$16,"E+",IF(N69&lt;'PlayerGrades+'!$AF$15,"D-",IF(N69&lt;'PlayerGrades+'!$AF$14,"D",IF(N69&lt;'PlayerGrades+'!$AF$13,"D+",IF(N69&lt;'PlayerGrades+'!$AF$12,"C-",IF(N69&lt;'PlayerGrades+'!$AF$11,"C",IF(N69&lt;'PlayerGrades+'!$AF$10,"C+",IF(N69&lt;'PlayerGrades+'!$AF$9,"B-",IF(N69&lt;'PlayerGrades+'!$AF$8,"B",IF(N69&lt;'PlayerGrades+'!$AF$7,"B+",IF(N69&lt;'PlayerGrades+'!$AF$6,"A-",IF(N69&lt;'PlayerGrades+'!$AF$5,"A",IF(N69&lt;'PlayerGrades+'!$AF$4,"A+",IF(N69&lt;'PlayerGrades+'!$AF$3,"S-",IF(N69&lt;'PlayerGrades+'!$AF$2,"S","S+"))))))))))))))))))))</f>
        <v>F-</v>
      </c>
      <c r="P69" s="961">
        <f t="shared" si="7"/>
        <v>0.1302931596</v>
      </c>
      <c r="Q69" s="961" t="str">
        <f>IF(P69&lt;'PlayerGrades+'!$AG$21,"F-",IF(P69&lt;'PlayerGrades+'!$AG$20,"F",IF(P69&lt;'PlayerGrades+'!$AG$19,"F+",IF(P69&lt;'PlayerGrades+'!$AG$18,"E-",IF(P69&lt;'PlayerGrades+'!$AG$17,"E",IF(P69&lt;'PlayerGrades+'!$AG$16,"E+",IF(P69&lt;'PlayerGrades+'!$AG$15,"D-",IF(P69&lt;'PlayerGrades+'!$AG$14,"D",IF(P69&lt;'PlayerGrades+'!$AG$13,"D+",IF(P69&lt;'PlayerGrades+'!$AG$12,"C-",IF(P69&lt;'PlayerGrades+'!$AG$11,"C",IF(P69&lt;'PlayerGrades+'!$AG$10,"C+",IF(P69&lt;'PlayerGrades+'!$AG$9,"B-",IF(P69&lt;'PlayerGrades+'!$AG$8,"B",IF(P69&lt;'PlayerGrades+'!$AG$7,"B+",IF(P69&lt;'PlayerGrades+'!$AG$6,"A-",IF(P69&lt;'PlayerGrades+'!$AG$5,"A",IF(P69&lt;'PlayerGrades+'!$AG$4,"A+",IF(P69&lt;'PlayerGrades+'!$AG$3,"S-",IF(P69&lt;'PlayerGrades+'!$AG$2,"S","S+"))))))))))))))))))))</f>
        <v>F-</v>
      </c>
      <c r="R69" s="961">
        <f t="shared" si="8"/>
        <v>0.0651465798</v>
      </c>
      <c r="S69" s="961" t="str">
        <f>IF(R69&lt;'PlayerGrades+'!$AH$21,"F-",IF(R69&lt;'PlayerGrades+'!$AH$20,"F",IF(R69&lt;'PlayerGrades+'!$AH$19,"F+",IF(R69&lt;'PlayerGrades+'!$AH$18,"E-",IF(R69&lt;'PlayerGrades+'!$AH$17,"E",IF(R69&lt;'PlayerGrades+'!$AH$16,"E+",IF(R69&lt;'PlayerGrades+'!$AH$15,"D-",IF(R69&lt;'PlayerGrades+'!$AH$14,"D",IF(R69&lt;'PlayerGrades+'!$AH$13,"D+",IF(R69&lt;'PlayerGrades+'!$AH$12,"C-",IF(R69&lt;'PlayerGrades+'!$AH$11,"C",IF(R69&lt;'PlayerGrades+'!$AH$10,"C+",IF(R69&lt;'PlayerGrades+'!$AH$9,"B-",IF(R69&lt;'PlayerGrades+'!$AH$8,"B",IF(R69&lt;'PlayerGrades+'!$AH$7,"B+",IF(R69&lt;'PlayerGrades+'!$AH$6,"A-",IF(R69&lt;'PlayerGrades+'!$AH$5,"A",IF(R69&lt;'PlayerGrades+'!$AH$4,"A+",IF(R69&lt;'PlayerGrades+'!$AH$3,"S-",IF(R69&lt;'PlayerGrades+'!$AH$2,"S","S+"))))))))))))))))))))</f>
        <v>B</v>
      </c>
      <c r="T69" s="961">
        <f t="shared" si="9"/>
        <v>1.368078176</v>
      </c>
      <c r="U69" s="961" t="str">
        <f>IF(T69&lt;'PlayerGrades+'!$AI$21,"F-",IF(T69&lt;'PlayerGrades+'!$AI$20,"F",IF(T69&lt;'PlayerGrades+'!$AI$19,"F+",IF(T69&lt;'PlayerGrades+'!$AI$18,"E-",IF(T69&lt;'PlayerGrades+'!$AI$17,"E",IF(T69&lt;'PlayerGrades+'!$AI$16,"E+",IF(T69&lt;'PlayerGrades+'!$AI$15,"D-",IF(T69&lt;'PlayerGrades+'!$AI$14,"D",IF(T69&lt;'PlayerGrades+'!$AI$13,"D+",IF(T69&lt;'PlayerGrades+'!$AI$12,"C-",IF(T69&lt;'PlayerGrades+'!$AI$11,"C",IF(T69&lt;'PlayerGrades+'!$AI$10,"C+",IF(T69&lt;'PlayerGrades+'!$AI$9,"B-",IF(T69&lt;'PlayerGrades+'!$AI$8,"B",IF(T69&lt;'PlayerGrades+'!$AI$7,"B+",IF(T69&lt;'PlayerGrades+'!$AI$6,"A-",IF(T69&lt;'PlayerGrades+'!$AI$5,"A",IF(T69&lt;'PlayerGrades+'!$AI$4,"A+",IF(T69&lt;'PlayerGrades+'!$AI$3,"S-",IF(T69&lt;'PlayerGrades+'!$AI$2,"S","S+"))))))))))))))))))))</f>
        <v>F-</v>
      </c>
      <c r="V69" s="1100">
        <v>1.0</v>
      </c>
      <c r="W69" s="1100">
        <v>0.0</v>
      </c>
      <c r="X69" s="1100">
        <v>2.0</v>
      </c>
      <c r="Y69" s="1100">
        <v>6.0</v>
      </c>
      <c r="Z69" s="1100">
        <v>21.0</v>
      </c>
      <c r="AA69" s="1100">
        <v>40.0</v>
      </c>
      <c r="AB69" s="1017">
        <f t="shared" si="10"/>
        <v>-19</v>
      </c>
      <c r="AC69" s="1020">
        <f t="shared" si="11"/>
        <v>0.525</v>
      </c>
      <c r="AD69" s="1100">
        <v>0.0</v>
      </c>
      <c r="AE69" s="1329">
        <v>921.0</v>
      </c>
      <c r="AF69" s="1100">
        <v>0.0</v>
      </c>
      <c r="AG69" s="1100">
        <v>0.0</v>
      </c>
      <c r="AH69" s="1100">
        <v>0.0</v>
      </c>
      <c r="AI69" s="1100">
        <v>0.0</v>
      </c>
      <c r="AJ69" s="1100">
        <v>0.0</v>
      </c>
      <c r="AK69" s="1100">
        <v>2.0</v>
      </c>
      <c r="AL69" s="1100">
        <v>0.0</v>
      </c>
      <c r="AM69" s="1100">
        <v>0.0</v>
      </c>
      <c r="AN69" s="1100">
        <v>0.0</v>
      </c>
      <c r="AO69" s="1100">
        <v>0.0</v>
      </c>
      <c r="AP69" s="1100">
        <v>0.0</v>
      </c>
      <c r="AQ69" s="1100">
        <v>0.0</v>
      </c>
      <c r="AR69" s="1100">
        <v>0.0</v>
      </c>
      <c r="AS69" s="1100">
        <v>0.0</v>
      </c>
      <c r="AT69" s="1100">
        <v>0.0</v>
      </c>
      <c r="AU69" s="1100">
        <v>4.0</v>
      </c>
      <c r="AV69" s="1100">
        <v>0.0</v>
      </c>
      <c r="AW69" s="1100">
        <v>1.0</v>
      </c>
      <c r="AX69" s="1100">
        <v>0.0</v>
      </c>
      <c r="AY69" s="1100">
        <v>0.0</v>
      </c>
      <c r="AZ69" s="1239">
        <v>0.0</v>
      </c>
    </row>
    <row r="70">
      <c r="A70" s="938" t="s">
        <v>54</v>
      </c>
      <c r="B70" s="1100" t="str">
        <f>IF(C70&lt;'PlayerGrades+'!$Y$44,"F-",IF(C70&lt;'PlayerGrades+'!$Y$43,"F",IF(C70&lt;'PlayerGrades+'!$Y$42,"F+",IF(C70&lt;'PlayerGrades+'!$Y$41,"E-",IF(C70&lt;'PlayerGrades+'!$Y$40,"E",IF(C70&lt;'PlayerGrades+'!$Y$39,"E+",IF(C70&lt;'PlayerGrades+'!$Y$38,"D-",IF(C70&lt;'PlayerGrades+'!$Y$37,"D",IF(C70&lt;'PlayerGrades+'!$Y$36,"D+",IF(C70&lt;'PlayerGrades+'!$Y$35,"C-",IF(C70&lt;'PlayerGrades+'!$Y$34,"C",IF(C70&lt;'PlayerGrades+'!$Y$33,"C+",IF(C70&lt;'PlayerGrades+'!$Y$32,"B-",IF(C70&lt;'PlayerGrades+'!$Y$31,"B",IF(C70&lt;'PlayerGrades+'!$Y$30,"B+",IF(C70&lt;'PlayerGrades+'!$Y$29,"A-",IF(C70&lt;'PlayerGrades+'!$Y$28,"A",IF(C70&lt;'PlayerGrades+'!$Y$27,"A+",IF(C70&lt;'PlayerGrades+'!$Y$26,"S-",IF(C70&lt;'PlayerGrades+'!$Y$25,"S","S+"))))))))))))))))))))</f>
        <v>A-</v>
      </c>
      <c r="C70" s="1105">
        <f>('PlayerGrades+'!$Y$47*(VLOOKUP(E70, 'PlayerGrades+'!$X$3:$Y$23, 2, FALSE)))+('PlayerGrades+'!$Y$48*(VLOOKUP(G70, 'PlayerGrades+'!$X$3:$Y$23, 2, FALSE)))+('PlayerGrades+'!$Y$49*(VLOOKUP(I70, 'PlayerGrades+'!$X$3:$Y$23, 2, FALSE)))+('PlayerGrades+'!$Y$50*(VLOOKUP(K70, 'PlayerGrades+'!$X$3:$Y$23, 2, FALSE)))+('PlayerGrades+'!$Y$51*(VLOOKUP(M70, 'PlayerGrades+'!$X$3:$Y$23, 2, FALSE)))+('PlayerGrades+'!$Y$52*(VLOOKUP(O70, 'PlayerGrades+'!$X$3:$Y$23, 2, FALSE)))+('PlayerGrades+'!$Y$53*(VLOOKUP(Q70, 'PlayerGrades+'!$X$3:$Y$23, 2, FALSE)))+('PlayerGrades+'!$Y$54*(VLOOKUP(S70, 'PlayerGrades+'!$X$3:$Y$23, 2, FALSE)))+('PlayerGrades+'!$Y$55*(VLOOKUP(U70, 'PlayerGrades+'!$X$3:$Y$23, 2, FALSE)))</f>
        <v>20.9375</v>
      </c>
      <c r="D70" s="961">
        <f t="shared" si="1"/>
        <v>0</v>
      </c>
      <c r="E70" s="961" t="str">
        <f>IF(D70&lt;'PlayerGrades+'!$AA$21,"F-",IF(D70&lt;'PlayerGrades+'!$AA$20,"F",IF(D70&lt;'PlayerGrades+'!$AA$19,"F+",IF(D70&lt;'PlayerGrades+'!$AA$18,"E-",IF(D70&lt;'PlayerGrades+'!$AA$17,"E",IF(D70&lt;'PlayerGrades+'!$AA$16,"E+",IF(D70&lt;'PlayerGrades+'!$AA$15,"D-",IF(D70&lt;'PlayerGrades+'!$AA$14,"D",IF(D70&lt;'PlayerGrades+'!$AA$13,"D+",IF(D70&lt;'PlayerGrades+'!$AA$12,"C-",IF(D70&lt;'PlayerGrades+'!$AA$11,"C",IF(D70&lt;'PlayerGrades+'!$AA$10,"C+",IF(D70&lt;'PlayerGrades+'!$AA$9,"B-",IF(D70&lt;'PlayerGrades+'!$AA$8,"B",IF(D70&lt;'PlayerGrades+'!$AA$7,"B+",IF(D70&lt;'PlayerGrades+'!$AA$6,"A-",IF(D70&lt;'PlayerGrades+'!$AA$5,"A",IF(D70&lt;'PlayerGrades+'!$AA$4,"A+",IF(D70&lt;'PlayerGrades+'!$AA$3,"S-",IF(D70&lt;'PlayerGrades+'!$AA$2,"S","S+"))))))))))))))))))))</f>
        <v>F-</v>
      </c>
      <c r="F70" s="961">
        <f t="shared" si="2"/>
        <v>0.06897873156</v>
      </c>
      <c r="G70" s="961" t="str">
        <f>IF(F70&lt;'PlayerGrades+'!$AB$21,"F-",IF(F70&lt;'PlayerGrades+'!$AB$20,"F",IF(F70&lt;'PlayerGrades+'!$AB$19,"F+",IF(F70&lt;'PlayerGrades+'!$AB$18,"E-",IF(F70&lt;'PlayerGrades+'!$AB$17,"E",IF(F70&lt;'PlayerGrades+'!$AB$16,"E+",IF(F70&lt;'PlayerGrades+'!$AB$15,"D-",IF(F70&lt;'PlayerGrades+'!$AB$14,"D",IF(F70&lt;'PlayerGrades+'!$AB$13,"D+",IF(F70&lt;'PlayerGrades+'!$AB$12,"C-",IF(F70&lt;'PlayerGrades+'!$AB$11,"C",IF(F70&lt;'PlayerGrades+'!$AB$10,"C+",IF(F70&lt;'PlayerGrades+'!$AB$9,"B-",IF(F70&lt;'PlayerGrades+'!$AB$8,"B",IF(F70&lt;'PlayerGrades+'!$AB$7,"B+",IF(F70&lt;'PlayerGrades+'!$AB$6,"A-",IF(F70&lt;'PlayerGrades+'!$AB$5,"A",IF(F70&lt;'PlayerGrades+'!$AB$4,"A+",IF(F70&lt;'PlayerGrades+'!$AB$3,"S-",IF(F70&lt;'PlayerGrades+'!$AB$2,"S","S+"))))))))))))))))))))</f>
        <v>A</v>
      </c>
      <c r="H70" s="961">
        <f t="shared" si="3"/>
        <v>0.5211726384</v>
      </c>
      <c r="I70" s="961" t="str">
        <f>IF(H70&lt;'PlayerGrades+'!$AC$21,"F-",IF(H70&lt;'PlayerGrades+'!$AC$20,"F",IF(H70&lt;'PlayerGrades+'!$AC$19,"F+",IF(H70&lt;'PlayerGrades+'!$AC$18,"E-",IF(H70&lt;'PlayerGrades+'!$AC$17,"E",IF(H70&lt;'PlayerGrades+'!$AC$16,"E+",IF(H70&lt;'PlayerGrades+'!$AC$15,"D-",IF(H70&lt;'PlayerGrades+'!$AC$14,"D",IF(H70&lt;'PlayerGrades+'!$AC$13,"D+",IF(H70&lt;'PlayerGrades+'!$AC$12,"C-",IF(H70&lt;'PlayerGrades+'!$AC$11,"C",IF(H70&lt;'PlayerGrades+'!$AC$10,"C+",IF(H70&lt;'PlayerGrades+'!$AC$9,"B-",IF(H70&lt;'PlayerGrades+'!$AC$8,"B",IF(H70&lt;'PlayerGrades+'!$AC$7,"B+",IF(H70&lt;'PlayerGrades+'!$AC$6,"A-",IF(H70&lt;'PlayerGrades+'!$AC$5,"A",IF(H70&lt;'PlayerGrades+'!$AC$4,"A+",IF(H70&lt;'PlayerGrades+'!$AC$3,"S-",IF(H70&lt;'PlayerGrades+'!$AC$2,"S","S+"))))))))))))))))))))</f>
        <v>B+</v>
      </c>
      <c r="J70" s="961">
        <f t="shared" si="4"/>
        <v>0.0651465798</v>
      </c>
      <c r="K70" s="961" t="str">
        <f>IF(J70&lt;'PlayerGrades+'!$AD$21,"F-",IF(J70&lt;'PlayerGrades+'!$AD$20,"F",IF(J70&lt;'PlayerGrades+'!$AD$19,"F+",IF(J70&lt;'PlayerGrades+'!$AD$18,"E-",IF(J70&lt;'PlayerGrades+'!$AD$17,"E",IF(J70&lt;'PlayerGrades+'!$AD$16,"E+",IF(J70&lt;'PlayerGrades+'!$AD$15,"D-",IF(J70&lt;'PlayerGrades+'!$AD$14,"D",IF(J70&lt;'PlayerGrades+'!$AD$13,"D+",IF(J70&lt;'PlayerGrades+'!$AD$12,"C-",IF(J70&lt;'PlayerGrades+'!$AD$11,"C",IF(J70&lt;'PlayerGrades+'!$AD$10,"C+",IF(J70&lt;'PlayerGrades+'!$AD$9,"B-",IF(J70&lt;'PlayerGrades+'!$AD$8,"B",IF(J70&lt;'PlayerGrades+'!$AD$7,"B+",IF(J70&lt;'PlayerGrades+'!$AD$6,"A-",IF(J70&lt;'PlayerGrades+'!$AD$5,"A",IF(J70&lt;'PlayerGrades+'!$AD$4,"A+",IF(J70&lt;'PlayerGrades+'!$AD$3,"S-",IF(J70&lt;'PlayerGrades+'!$AD$2,"S","S+"))))))))))))))))))))</f>
        <v>A-</v>
      </c>
      <c r="L70" s="992">
        <f t="shared" si="5"/>
        <v>0.9771986971</v>
      </c>
      <c r="M70" s="992" t="str">
        <f>IF(L70&lt;'PlayerGrades+'!$AE$21,"F-",IF(L70&lt;'PlayerGrades+'!$AE$20,"F",IF(L70&lt;'PlayerGrades+'!$AE$19,"F+",IF(L70&lt;'PlayerGrades+'!$AE$18,"E-",IF(L70&lt;'PlayerGrades+'!$AE$17,"E",IF(L70&lt;'PlayerGrades+'!$AE$16,"E+",IF(L70&lt;'PlayerGrades+'!$AE$15,"D-",IF(L70&lt;'PlayerGrades+'!$AE$14,"D",IF(L70&lt;'PlayerGrades+'!$AE$13,"D+",IF(L70&lt;'PlayerGrades+'!$AE$12,"C-",IF(L70&lt;'PlayerGrades+'!$AE$11,"C",IF(L70&lt;'PlayerGrades+'!$AE$10,"C+",IF(L70&lt;'PlayerGrades+'!$AE$9,"B-",IF(L70&lt;'PlayerGrades+'!$AE$8,"B",IF(L70&lt;'PlayerGrades+'!$AE$7,"B+",IF(L70&lt;'PlayerGrades+'!$AE$6,"A-",IF(L70&lt;'PlayerGrades+'!$AE$5,"A",IF(L70&lt;'PlayerGrades+'!$AE$4,"A+",IF(L70&lt;'PlayerGrades+'!$AE$3,"S-",IF(L70&lt;'PlayerGrades+'!$AE$2,"S","S+"))))))))))))))))))))</f>
        <v>S+</v>
      </c>
      <c r="N70" s="961">
        <f t="shared" si="6"/>
        <v>0.2605863192</v>
      </c>
      <c r="O70" s="961" t="str">
        <f>IF(N70&lt;'PlayerGrades+'!$AF$21,"F-",IF(N70&lt;'PlayerGrades+'!$AF$20,"F",IF(N70&lt;'PlayerGrades+'!$AF$19,"F+",IF(N70&lt;'PlayerGrades+'!$AF$18,"E-",IF(N70&lt;'PlayerGrades+'!$AF$17,"E",IF(N70&lt;'PlayerGrades+'!$AF$16,"E+",IF(N70&lt;'PlayerGrades+'!$AF$15,"D-",IF(N70&lt;'PlayerGrades+'!$AF$14,"D",IF(N70&lt;'PlayerGrades+'!$AF$13,"D+",IF(N70&lt;'PlayerGrades+'!$AF$12,"C-",IF(N70&lt;'PlayerGrades+'!$AF$11,"C",IF(N70&lt;'PlayerGrades+'!$AF$10,"C+",IF(N70&lt;'PlayerGrades+'!$AF$9,"B-",IF(N70&lt;'PlayerGrades+'!$AF$8,"B",IF(N70&lt;'PlayerGrades+'!$AF$7,"B+",IF(N70&lt;'PlayerGrades+'!$AF$6,"A-",IF(N70&lt;'PlayerGrades+'!$AF$5,"A",IF(N70&lt;'PlayerGrades+'!$AF$4,"A+",IF(N70&lt;'PlayerGrades+'!$AF$3,"S-",IF(N70&lt;'PlayerGrades+'!$AF$2,"S","S+"))))))))))))))))))))</f>
        <v>S-</v>
      </c>
      <c r="P70" s="961">
        <f t="shared" si="7"/>
        <v>1.368078176</v>
      </c>
      <c r="Q70" s="961" t="str">
        <f>IF(P70&lt;'PlayerGrades+'!$AG$21,"F-",IF(P70&lt;'PlayerGrades+'!$AG$20,"F",IF(P70&lt;'PlayerGrades+'!$AG$19,"F+",IF(P70&lt;'PlayerGrades+'!$AG$18,"E-",IF(P70&lt;'PlayerGrades+'!$AG$17,"E",IF(P70&lt;'PlayerGrades+'!$AG$16,"E+",IF(P70&lt;'PlayerGrades+'!$AG$15,"D-",IF(P70&lt;'PlayerGrades+'!$AG$14,"D",IF(P70&lt;'PlayerGrades+'!$AG$13,"D+",IF(P70&lt;'PlayerGrades+'!$AG$12,"C-",IF(P70&lt;'PlayerGrades+'!$AG$11,"C",IF(P70&lt;'PlayerGrades+'!$AG$10,"C+",IF(P70&lt;'PlayerGrades+'!$AG$9,"B-",IF(P70&lt;'PlayerGrades+'!$AG$8,"B",IF(P70&lt;'PlayerGrades+'!$AG$7,"B+",IF(P70&lt;'PlayerGrades+'!$AG$6,"A-",IF(P70&lt;'PlayerGrades+'!$AG$5,"A",IF(P70&lt;'PlayerGrades+'!$AG$4,"A+",IF(P70&lt;'PlayerGrades+'!$AG$3,"S-",IF(P70&lt;'PlayerGrades+'!$AG$2,"S","S+"))))))))))))))))))))</f>
        <v>S</v>
      </c>
      <c r="R70" s="961">
        <f t="shared" si="8"/>
        <v>0.0651465798</v>
      </c>
      <c r="S70" s="961" t="str">
        <f>IF(R70&lt;'PlayerGrades+'!$AH$21,"F-",IF(R70&lt;'PlayerGrades+'!$AH$20,"F",IF(R70&lt;'PlayerGrades+'!$AH$19,"F+",IF(R70&lt;'PlayerGrades+'!$AH$18,"E-",IF(R70&lt;'PlayerGrades+'!$AH$17,"E",IF(R70&lt;'PlayerGrades+'!$AH$16,"E+",IF(R70&lt;'PlayerGrades+'!$AH$15,"D-",IF(R70&lt;'PlayerGrades+'!$AH$14,"D",IF(R70&lt;'PlayerGrades+'!$AH$13,"D+",IF(R70&lt;'PlayerGrades+'!$AH$12,"C-",IF(R70&lt;'PlayerGrades+'!$AH$11,"C",IF(R70&lt;'PlayerGrades+'!$AH$10,"C+",IF(R70&lt;'PlayerGrades+'!$AH$9,"B-",IF(R70&lt;'PlayerGrades+'!$AH$8,"B",IF(R70&lt;'PlayerGrades+'!$AH$7,"B+",IF(R70&lt;'PlayerGrades+'!$AH$6,"A-",IF(R70&lt;'PlayerGrades+'!$AH$5,"A",IF(R70&lt;'PlayerGrades+'!$AH$4,"A+",IF(R70&lt;'PlayerGrades+'!$AH$3,"S-",IF(R70&lt;'PlayerGrades+'!$AH$2,"S","S+"))))))))))))))))))))</f>
        <v>B</v>
      </c>
      <c r="T70" s="961">
        <f t="shared" si="9"/>
        <v>3.517915309</v>
      </c>
      <c r="U70" s="961" t="str">
        <f>IF(T70&lt;'PlayerGrades+'!$AI$21,"F-",IF(T70&lt;'PlayerGrades+'!$AI$20,"F",IF(T70&lt;'PlayerGrades+'!$AI$19,"F+",IF(T70&lt;'PlayerGrades+'!$AI$18,"E-",IF(T70&lt;'PlayerGrades+'!$AI$17,"E",IF(T70&lt;'PlayerGrades+'!$AI$16,"E+",IF(T70&lt;'PlayerGrades+'!$AI$15,"D-",IF(T70&lt;'PlayerGrades+'!$AI$14,"D",IF(T70&lt;'PlayerGrades+'!$AI$13,"D+",IF(T70&lt;'PlayerGrades+'!$AI$12,"C-",IF(T70&lt;'PlayerGrades+'!$AI$11,"C",IF(T70&lt;'PlayerGrades+'!$AI$10,"C+",IF(T70&lt;'PlayerGrades+'!$AI$9,"B-",IF(T70&lt;'PlayerGrades+'!$AI$8,"B",IF(T70&lt;'PlayerGrades+'!$AI$7,"B+",IF(T70&lt;'PlayerGrades+'!$AI$6,"A-",IF(T70&lt;'PlayerGrades+'!$AI$5,"A",IF(T70&lt;'PlayerGrades+'!$AI$4,"A+",IF(T70&lt;'PlayerGrades+'!$AI$3,"S-",IF(T70&lt;'PlayerGrades+'!$AI$2,"S","S+"))))))))))))))))))))</f>
        <v>A+</v>
      </c>
      <c r="V70" s="1100">
        <v>0.0</v>
      </c>
      <c r="W70" s="1100">
        <v>1.0</v>
      </c>
      <c r="X70" s="1100">
        <v>0.0</v>
      </c>
      <c r="Y70" s="1100">
        <v>0.0</v>
      </c>
      <c r="Z70" s="1100">
        <v>54.0</v>
      </c>
      <c r="AA70" s="1100">
        <v>51.0</v>
      </c>
      <c r="AB70" s="1017">
        <f t="shared" si="10"/>
        <v>3</v>
      </c>
      <c r="AC70" s="1020">
        <f t="shared" si="11"/>
        <v>1.058823529</v>
      </c>
      <c r="AD70" s="1100">
        <v>0.0</v>
      </c>
      <c r="AE70" s="1329">
        <v>921.0</v>
      </c>
      <c r="AF70" s="1100">
        <v>1.0</v>
      </c>
      <c r="AG70" s="1100">
        <v>0.0</v>
      </c>
      <c r="AH70" s="1100">
        <v>0.0</v>
      </c>
      <c r="AI70" s="1100">
        <v>0.0</v>
      </c>
      <c r="AJ70" s="1100">
        <v>1.0</v>
      </c>
      <c r="AK70" s="1100">
        <v>15.0</v>
      </c>
      <c r="AL70" s="1100">
        <v>4.0</v>
      </c>
      <c r="AM70" s="1100">
        <v>1.0</v>
      </c>
      <c r="AN70" s="1100">
        <v>0.0</v>
      </c>
      <c r="AO70" s="1100">
        <v>0.0</v>
      </c>
      <c r="AP70" s="1100">
        <v>0.0</v>
      </c>
      <c r="AQ70" s="1100">
        <v>0.0</v>
      </c>
      <c r="AR70" s="1100">
        <v>0.0</v>
      </c>
      <c r="AS70" s="1100">
        <v>0.0</v>
      </c>
      <c r="AT70" s="1100">
        <v>0.0</v>
      </c>
      <c r="AU70" s="1100">
        <v>8.0</v>
      </c>
      <c r="AV70" s="1100">
        <v>0.0</v>
      </c>
      <c r="AW70" s="1100">
        <v>0.0</v>
      </c>
      <c r="AX70" s="1100">
        <v>0.0</v>
      </c>
      <c r="AY70" s="1100">
        <v>0.0</v>
      </c>
      <c r="AZ70" s="1239">
        <v>1.0</v>
      </c>
    </row>
    <row r="71">
      <c r="A71" s="938" t="s">
        <v>220</v>
      </c>
      <c r="B71" s="1100" t="str">
        <f>IF(C71&lt;'PlayerGrades+'!$Y$44,"F-",IF(C71&lt;'PlayerGrades+'!$Y$43,"F",IF(C71&lt;'PlayerGrades+'!$Y$42,"F+",IF(C71&lt;'PlayerGrades+'!$Y$41,"E-",IF(C71&lt;'PlayerGrades+'!$Y$40,"E",IF(C71&lt;'PlayerGrades+'!$Y$39,"E+",IF(C71&lt;'PlayerGrades+'!$Y$38,"D-",IF(C71&lt;'PlayerGrades+'!$Y$37,"D",IF(C71&lt;'PlayerGrades+'!$Y$36,"D+",IF(C71&lt;'PlayerGrades+'!$Y$35,"C-",IF(C71&lt;'PlayerGrades+'!$Y$34,"C",IF(C71&lt;'PlayerGrades+'!$Y$33,"C+",IF(C71&lt;'PlayerGrades+'!$Y$32,"B-",IF(C71&lt;'PlayerGrades+'!$Y$31,"B",IF(C71&lt;'PlayerGrades+'!$Y$30,"B+",IF(C71&lt;'PlayerGrades+'!$Y$29,"A-",IF(C71&lt;'PlayerGrades+'!$Y$28,"A",IF(C71&lt;'PlayerGrades+'!$Y$27,"A+",IF(C71&lt;'PlayerGrades+'!$Y$26,"S-",IF(C71&lt;'PlayerGrades+'!$Y$25,"S","S+"))))))))))))))))))))</f>
        <v>E+</v>
      </c>
      <c r="C71" s="1105">
        <f>('PlayerGrades+'!$Y$47*(VLOOKUP(E71, 'PlayerGrades+'!$X$3:$Y$23, 2, FALSE)))+('PlayerGrades+'!$Y$48*(VLOOKUP(G71, 'PlayerGrades+'!$X$3:$Y$23, 2, FALSE)))+('PlayerGrades+'!$Y$49*(VLOOKUP(I71, 'PlayerGrades+'!$X$3:$Y$23, 2, FALSE)))+('PlayerGrades+'!$Y$50*(VLOOKUP(K71, 'PlayerGrades+'!$X$3:$Y$23, 2, FALSE)))+('PlayerGrades+'!$Y$51*(VLOOKUP(M71, 'PlayerGrades+'!$X$3:$Y$23, 2, FALSE)))+('PlayerGrades+'!$Y$52*(VLOOKUP(O71, 'PlayerGrades+'!$X$3:$Y$23, 2, FALSE)))+('PlayerGrades+'!$Y$53*(VLOOKUP(Q71, 'PlayerGrades+'!$X$3:$Y$23, 2, FALSE)))+('PlayerGrades+'!$Y$54*(VLOOKUP(S71, 'PlayerGrades+'!$X$3:$Y$23, 2, FALSE)))+('PlayerGrades+'!$Y$55*(VLOOKUP(U71, 'PlayerGrades+'!$X$3:$Y$23, 2, FALSE)))</f>
        <v>11.225</v>
      </c>
      <c r="D71" s="961">
        <f t="shared" si="1"/>
        <v>0</v>
      </c>
      <c r="E71" s="961" t="str">
        <f>IF(D71&lt;'PlayerGrades+'!$AA$21,"F-",IF(D71&lt;'PlayerGrades+'!$AA$20,"F",IF(D71&lt;'PlayerGrades+'!$AA$19,"F+",IF(D71&lt;'PlayerGrades+'!$AA$18,"E-",IF(D71&lt;'PlayerGrades+'!$AA$17,"E",IF(D71&lt;'PlayerGrades+'!$AA$16,"E+",IF(D71&lt;'PlayerGrades+'!$AA$15,"D-",IF(D71&lt;'PlayerGrades+'!$AA$14,"D",IF(D71&lt;'PlayerGrades+'!$AA$13,"D+",IF(D71&lt;'PlayerGrades+'!$AA$12,"C-",IF(D71&lt;'PlayerGrades+'!$AA$11,"C",IF(D71&lt;'PlayerGrades+'!$AA$10,"C+",IF(D71&lt;'PlayerGrades+'!$AA$9,"B-",IF(D71&lt;'PlayerGrades+'!$AA$8,"B",IF(D71&lt;'PlayerGrades+'!$AA$7,"B+",IF(D71&lt;'PlayerGrades+'!$AA$6,"A-",IF(D71&lt;'PlayerGrades+'!$AA$5,"A",IF(D71&lt;'PlayerGrades+'!$AA$4,"A+",IF(D71&lt;'PlayerGrades+'!$AA$3,"S-",IF(D71&lt;'PlayerGrades+'!$AA$2,"S","S+"))))))))))))))))))))</f>
        <v>F-</v>
      </c>
      <c r="F71" s="961">
        <f t="shared" si="2"/>
        <v>0.05720187495</v>
      </c>
      <c r="G71" s="961" t="str">
        <f>IF(F71&lt;'PlayerGrades+'!$AB$21,"F-",IF(F71&lt;'PlayerGrades+'!$AB$20,"F",IF(F71&lt;'PlayerGrades+'!$AB$19,"F+",IF(F71&lt;'PlayerGrades+'!$AB$18,"E-",IF(F71&lt;'PlayerGrades+'!$AB$17,"E",IF(F71&lt;'PlayerGrades+'!$AB$16,"E+",IF(F71&lt;'PlayerGrades+'!$AB$15,"D-",IF(F71&lt;'PlayerGrades+'!$AB$14,"D",IF(F71&lt;'PlayerGrades+'!$AB$13,"D+",IF(F71&lt;'PlayerGrades+'!$AB$12,"C-",IF(F71&lt;'PlayerGrades+'!$AB$11,"C",IF(F71&lt;'PlayerGrades+'!$AB$10,"C+",IF(F71&lt;'PlayerGrades+'!$AB$9,"B-",IF(F71&lt;'PlayerGrades+'!$AB$8,"B",IF(F71&lt;'PlayerGrades+'!$AB$7,"B+",IF(F71&lt;'PlayerGrades+'!$AB$6,"A-",IF(F71&lt;'PlayerGrades+'!$AB$5,"A",IF(F71&lt;'PlayerGrades+'!$AB$4,"A+",IF(F71&lt;'PlayerGrades+'!$AB$3,"S-",IF(F71&lt;'PlayerGrades+'!$AB$2,"S","S+"))))))))))))))))))))</f>
        <v>A</v>
      </c>
      <c r="H71" s="961">
        <f t="shared" si="3"/>
        <v>0.1302931596</v>
      </c>
      <c r="I71" s="961" t="str">
        <f>IF(H71&lt;'PlayerGrades+'!$AC$21,"F-",IF(H71&lt;'PlayerGrades+'!$AC$20,"F",IF(H71&lt;'PlayerGrades+'!$AC$19,"F+",IF(H71&lt;'PlayerGrades+'!$AC$18,"E-",IF(H71&lt;'PlayerGrades+'!$AC$17,"E",IF(H71&lt;'PlayerGrades+'!$AC$16,"E+",IF(H71&lt;'PlayerGrades+'!$AC$15,"D-",IF(H71&lt;'PlayerGrades+'!$AC$14,"D",IF(H71&lt;'PlayerGrades+'!$AC$13,"D+",IF(H71&lt;'PlayerGrades+'!$AC$12,"C-",IF(H71&lt;'PlayerGrades+'!$AC$11,"C",IF(H71&lt;'PlayerGrades+'!$AC$10,"C+",IF(H71&lt;'PlayerGrades+'!$AC$9,"B-",IF(H71&lt;'PlayerGrades+'!$AC$8,"B",IF(H71&lt;'PlayerGrades+'!$AC$7,"B+",IF(H71&lt;'PlayerGrades+'!$AC$6,"A-",IF(H71&lt;'PlayerGrades+'!$AC$5,"A",IF(H71&lt;'PlayerGrades+'!$AC$4,"A+",IF(H71&lt;'PlayerGrades+'!$AC$3,"S-",IF(H71&lt;'PlayerGrades+'!$AC$2,"S","S+"))))))))))))))))))))</f>
        <v>F-</v>
      </c>
      <c r="J71" s="961">
        <f t="shared" si="4"/>
        <v>0</v>
      </c>
      <c r="K71" s="961" t="str">
        <f>IF(J71&lt;'PlayerGrades+'!$AD$21,"F-",IF(J71&lt;'PlayerGrades+'!$AD$20,"F",IF(J71&lt;'PlayerGrades+'!$AD$19,"F+",IF(J71&lt;'PlayerGrades+'!$AD$18,"E-",IF(J71&lt;'PlayerGrades+'!$AD$17,"E",IF(J71&lt;'PlayerGrades+'!$AD$16,"E+",IF(J71&lt;'PlayerGrades+'!$AD$15,"D-",IF(J71&lt;'PlayerGrades+'!$AD$14,"D",IF(J71&lt;'PlayerGrades+'!$AD$13,"D+",IF(J71&lt;'PlayerGrades+'!$AD$12,"C-",IF(J71&lt;'PlayerGrades+'!$AD$11,"C",IF(J71&lt;'PlayerGrades+'!$AD$10,"C+",IF(J71&lt;'PlayerGrades+'!$AD$9,"B-",IF(J71&lt;'PlayerGrades+'!$AD$8,"B",IF(J71&lt;'PlayerGrades+'!$AD$7,"B+",IF(J71&lt;'PlayerGrades+'!$AD$6,"A-",IF(J71&lt;'PlayerGrades+'!$AD$5,"A",IF(J71&lt;'PlayerGrades+'!$AD$4,"A+",IF(J71&lt;'PlayerGrades+'!$AD$3,"S-",IF(J71&lt;'PlayerGrades+'!$AD$2,"S","S+"))))))))))))))))))))</f>
        <v>F-</v>
      </c>
      <c r="L71" s="992">
        <f t="shared" si="5"/>
        <v>0.4560260586</v>
      </c>
      <c r="M71" s="992" t="str">
        <f>IF(L71&lt;'PlayerGrades+'!$AE$21,"F-",IF(L71&lt;'PlayerGrades+'!$AE$20,"F",IF(L71&lt;'PlayerGrades+'!$AE$19,"F+",IF(L71&lt;'PlayerGrades+'!$AE$18,"E-",IF(L71&lt;'PlayerGrades+'!$AE$17,"E",IF(L71&lt;'PlayerGrades+'!$AE$16,"E+",IF(L71&lt;'PlayerGrades+'!$AE$15,"D-",IF(L71&lt;'PlayerGrades+'!$AE$14,"D",IF(L71&lt;'PlayerGrades+'!$AE$13,"D+",IF(L71&lt;'PlayerGrades+'!$AE$12,"C-",IF(L71&lt;'PlayerGrades+'!$AE$11,"C",IF(L71&lt;'PlayerGrades+'!$AE$10,"C+",IF(L71&lt;'PlayerGrades+'!$AE$9,"B-",IF(L71&lt;'PlayerGrades+'!$AE$8,"B",IF(L71&lt;'PlayerGrades+'!$AE$7,"B+",IF(L71&lt;'PlayerGrades+'!$AE$6,"A-",IF(L71&lt;'PlayerGrades+'!$AE$5,"A",IF(L71&lt;'PlayerGrades+'!$AE$4,"A+",IF(L71&lt;'PlayerGrades+'!$AE$3,"S-",IF(L71&lt;'PlayerGrades+'!$AE$2,"S","S+"))))))))))))))))))))</f>
        <v>B-</v>
      </c>
      <c r="N71" s="961">
        <f t="shared" si="6"/>
        <v>0.1302931596</v>
      </c>
      <c r="O71" s="961" t="str">
        <f>IF(N71&lt;'PlayerGrades+'!$AF$21,"F-",IF(N71&lt;'PlayerGrades+'!$AF$20,"F",IF(N71&lt;'PlayerGrades+'!$AF$19,"F+",IF(N71&lt;'PlayerGrades+'!$AF$18,"E-",IF(N71&lt;'PlayerGrades+'!$AF$17,"E",IF(N71&lt;'PlayerGrades+'!$AF$16,"E+",IF(N71&lt;'PlayerGrades+'!$AF$15,"D-",IF(N71&lt;'PlayerGrades+'!$AF$14,"D",IF(N71&lt;'PlayerGrades+'!$AF$13,"D+",IF(N71&lt;'PlayerGrades+'!$AF$12,"C-",IF(N71&lt;'PlayerGrades+'!$AF$11,"C",IF(N71&lt;'PlayerGrades+'!$AF$10,"C+",IF(N71&lt;'PlayerGrades+'!$AF$9,"B-",IF(N71&lt;'PlayerGrades+'!$AF$8,"B",IF(N71&lt;'PlayerGrades+'!$AF$7,"B+",IF(N71&lt;'PlayerGrades+'!$AF$6,"A-",IF(N71&lt;'PlayerGrades+'!$AF$5,"A",IF(N71&lt;'PlayerGrades+'!$AF$4,"A+",IF(N71&lt;'PlayerGrades+'!$AF$3,"S-",IF(N71&lt;'PlayerGrades+'!$AF$2,"S","S+"))))))))))))))))))))</f>
        <v>B-</v>
      </c>
      <c r="P71" s="961">
        <f t="shared" si="7"/>
        <v>0.651465798</v>
      </c>
      <c r="Q71" s="961" t="str">
        <f>IF(P71&lt;'PlayerGrades+'!$AG$21,"F-",IF(P71&lt;'PlayerGrades+'!$AG$20,"F",IF(P71&lt;'PlayerGrades+'!$AG$19,"F+",IF(P71&lt;'PlayerGrades+'!$AG$18,"E-",IF(P71&lt;'PlayerGrades+'!$AG$17,"E",IF(P71&lt;'PlayerGrades+'!$AG$16,"E+",IF(P71&lt;'PlayerGrades+'!$AG$15,"D-",IF(P71&lt;'PlayerGrades+'!$AG$14,"D",IF(P71&lt;'PlayerGrades+'!$AG$13,"D+",IF(P71&lt;'PlayerGrades+'!$AG$12,"C-",IF(P71&lt;'PlayerGrades+'!$AG$11,"C",IF(P71&lt;'PlayerGrades+'!$AG$10,"C+",IF(P71&lt;'PlayerGrades+'!$AG$9,"B-",IF(P71&lt;'PlayerGrades+'!$AG$8,"B",IF(P71&lt;'PlayerGrades+'!$AG$7,"B+",IF(P71&lt;'PlayerGrades+'!$AG$6,"A-",IF(P71&lt;'PlayerGrades+'!$AG$5,"A",IF(P71&lt;'PlayerGrades+'!$AG$4,"A+",IF(P71&lt;'PlayerGrades+'!$AG$3,"S-",IF(P71&lt;'PlayerGrades+'!$AG$2,"S","S+"))))))))))))))))))))</f>
        <v>B-</v>
      </c>
      <c r="R71" s="961">
        <f t="shared" si="8"/>
        <v>0</v>
      </c>
      <c r="S71" s="961" t="str">
        <f>IF(R71&lt;'PlayerGrades+'!$AH$21,"F-",IF(R71&lt;'PlayerGrades+'!$AH$20,"F",IF(R71&lt;'PlayerGrades+'!$AH$19,"F+",IF(R71&lt;'PlayerGrades+'!$AH$18,"E-",IF(R71&lt;'PlayerGrades+'!$AH$17,"E",IF(R71&lt;'PlayerGrades+'!$AH$16,"E+",IF(R71&lt;'PlayerGrades+'!$AH$15,"D-",IF(R71&lt;'PlayerGrades+'!$AH$14,"D",IF(R71&lt;'PlayerGrades+'!$AH$13,"D+",IF(R71&lt;'PlayerGrades+'!$AH$12,"C-",IF(R71&lt;'PlayerGrades+'!$AH$11,"C",IF(R71&lt;'PlayerGrades+'!$AH$10,"C+",IF(R71&lt;'PlayerGrades+'!$AH$9,"B-",IF(R71&lt;'PlayerGrades+'!$AH$8,"B",IF(R71&lt;'PlayerGrades+'!$AH$7,"B+",IF(R71&lt;'PlayerGrades+'!$AH$6,"A-",IF(R71&lt;'PlayerGrades+'!$AH$5,"A",IF(R71&lt;'PlayerGrades+'!$AH$4,"A+",IF(R71&lt;'PlayerGrades+'!$AH$3,"S-",IF(R71&lt;'PlayerGrades+'!$AH$2,"S","S+"))))))))))))))))))))</f>
        <v>F-</v>
      </c>
      <c r="T71" s="961">
        <f t="shared" si="9"/>
        <v>2.345276873</v>
      </c>
      <c r="U71" s="961" t="str">
        <f>IF(T71&lt;'PlayerGrades+'!$AI$21,"F-",IF(T71&lt;'PlayerGrades+'!$AI$20,"F",IF(T71&lt;'PlayerGrades+'!$AI$19,"F+",IF(T71&lt;'PlayerGrades+'!$AI$18,"E-",IF(T71&lt;'PlayerGrades+'!$AI$17,"E",IF(T71&lt;'PlayerGrades+'!$AI$16,"E+",IF(T71&lt;'PlayerGrades+'!$AI$15,"D-",IF(T71&lt;'PlayerGrades+'!$AI$14,"D",IF(T71&lt;'PlayerGrades+'!$AI$13,"D+",IF(T71&lt;'PlayerGrades+'!$AI$12,"C-",IF(T71&lt;'PlayerGrades+'!$AI$11,"C",IF(T71&lt;'PlayerGrades+'!$AI$10,"C+",IF(T71&lt;'PlayerGrades+'!$AI$9,"B-",IF(T71&lt;'PlayerGrades+'!$AI$8,"B",IF(T71&lt;'PlayerGrades+'!$AI$7,"B+",IF(T71&lt;'PlayerGrades+'!$AI$6,"A-",IF(T71&lt;'PlayerGrades+'!$AI$5,"A",IF(T71&lt;'PlayerGrades+'!$AI$4,"A+",IF(T71&lt;'PlayerGrades+'!$AI$3,"S-",IF(T71&lt;'PlayerGrades+'!$AI$2,"S","S+"))))))))))))))))))))</f>
        <v>E</v>
      </c>
      <c r="V71" s="1100">
        <v>0.0</v>
      </c>
      <c r="W71" s="1100">
        <v>1.0</v>
      </c>
      <c r="X71" s="1100">
        <v>0.0</v>
      </c>
      <c r="Y71" s="1100">
        <v>0.0</v>
      </c>
      <c r="Z71" s="1100">
        <v>36.0</v>
      </c>
      <c r="AA71" s="1100">
        <v>41.0</v>
      </c>
      <c r="AB71" s="1017">
        <f t="shared" si="10"/>
        <v>-5</v>
      </c>
      <c r="AC71" s="1020">
        <f t="shared" si="11"/>
        <v>0.8780487805</v>
      </c>
      <c r="AD71" s="1100">
        <v>0.0</v>
      </c>
      <c r="AE71" s="1329">
        <v>921.0</v>
      </c>
      <c r="AF71" s="1100">
        <v>0.0</v>
      </c>
      <c r="AG71" s="1100">
        <v>0.0</v>
      </c>
      <c r="AH71" s="1100">
        <v>0.0</v>
      </c>
      <c r="AI71" s="1100">
        <v>0.0</v>
      </c>
      <c r="AJ71" s="1100">
        <v>1.0</v>
      </c>
      <c r="AK71" s="1100">
        <v>7.0</v>
      </c>
      <c r="AL71" s="1100">
        <v>2.0</v>
      </c>
      <c r="AM71" s="1100">
        <v>0.0</v>
      </c>
      <c r="AN71" s="1100">
        <v>0.0</v>
      </c>
      <c r="AO71" s="1100">
        <v>0.0</v>
      </c>
      <c r="AP71" s="1100">
        <v>0.0</v>
      </c>
      <c r="AQ71" s="1100">
        <v>0.0</v>
      </c>
      <c r="AR71" s="1100">
        <v>0.0</v>
      </c>
      <c r="AS71" s="1100">
        <v>0.0</v>
      </c>
      <c r="AT71" s="1100">
        <v>0.0</v>
      </c>
      <c r="AU71" s="1100">
        <v>2.0</v>
      </c>
      <c r="AV71" s="1100">
        <v>0.0</v>
      </c>
      <c r="AW71" s="1100">
        <v>0.0</v>
      </c>
      <c r="AX71" s="1100">
        <v>0.0</v>
      </c>
      <c r="AY71" s="1100">
        <v>0.0</v>
      </c>
      <c r="AZ71" s="1239">
        <v>0.0</v>
      </c>
    </row>
    <row r="72">
      <c r="A72" s="938" t="s">
        <v>221</v>
      </c>
      <c r="B72" s="1100" t="str">
        <f>IF(C72&lt;'PlayerGrades+'!$Y$44,"F-",IF(C72&lt;'PlayerGrades+'!$Y$43,"F",IF(C72&lt;'PlayerGrades+'!$Y$42,"F+",IF(C72&lt;'PlayerGrades+'!$Y$41,"E-",IF(C72&lt;'PlayerGrades+'!$Y$40,"E",IF(C72&lt;'PlayerGrades+'!$Y$39,"E+",IF(C72&lt;'PlayerGrades+'!$Y$38,"D-",IF(C72&lt;'PlayerGrades+'!$Y$37,"D",IF(C72&lt;'PlayerGrades+'!$Y$36,"D+",IF(C72&lt;'PlayerGrades+'!$Y$35,"C-",IF(C72&lt;'PlayerGrades+'!$Y$34,"C",IF(C72&lt;'PlayerGrades+'!$Y$33,"C+",IF(C72&lt;'PlayerGrades+'!$Y$32,"B-",IF(C72&lt;'PlayerGrades+'!$Y$31,"B",IF(C72&lt;'PlayerGrades+'!$Y$30,"B+",IF(C72&lt;'PlayerGrades+'!$Y$29,"A-",IF(C72&lt;'PlayerGrades+'!$Y$28,"A",IF(C72&lt;'PlayerGrades+'!$Y$27,"A+",IF(C72&lt;'PlayerGrades+'!$Y$26,"S-",IF(C72&lt;'PlayerGrades+'!$Y$25,"S","S+"))))))))))))))))))))</f>
        <v>E-</v>
      </c>
      <c r="C72" s="1105">
        <f>('PlayerGrades+'!$Y$47*(VLOOKUP(E72, 'PlayerGrades+'!$X$3:$Y$23, 2, FALSE)))+('PlayerGrades+'!$Y$48*(VLOOKUP(G72, 'PlayerGrades+'!$X$3:$Y$23, 2, FALSE)))+('PlayerGrades+'!$Y$49*(VLOOKUP(I72, 'PlayerGrades+'!$X$3:$Y$23, 2, FALSE)))+('PlayerGrades+'!$Y$50*(VLOOKUP(K72, 'PlayerGrades+'!$X$3:$Y$23, 2, FALSE)))+('PlayerGrades+'!$Y$51*(VLOOKUP(M72, 'PlayerGrades+'!$X$3:$Y$23, 2, FALSE)))+('PlayerGrades+'!$Y$52*(VLOOKUP(O72, 'PlayerGrades+'!$X$3:$Y$23, 2, FALSE)))+('PlayerGrades+'!$Y$53*(VLOOKUP(Q72, 'PlayerGrades+'!$X$3:$Y$23, 2, FALSE)))+('PlayerGrades+'!$Y$54*(VLOOKUP(S72, 'PlayerGrades+'!$X$3:$Y$23, 2, FALSE)))+('PlayerGrades+'!$Y$55*(VLOOKUP(U72, 'PlayerGrades+'!$X$3:$Y$23, 2, FALSE)))</f>
        <v>8.95</v>
      </c>
      <c r="D72" s="961">
        <f t="shared" si="1"/>
        <v>0</v>
      </c>
      <c r="E72" s="961" t="str">
        <f>IF(D72&lt;'PlayerGrades+'!$AA$21,"F-",IF(D72&lt;'PlayerGrades+'!$AA$20,"F",IF(D72&lt;'PlayerGrades+'!$AA$19,"F+",IF(D72&lt;'PlayerGrades+'!$AA$18,"E-",IF(D72&lt;'PlayerGrades+'!$AA$17,"E",IF(D72&lt;'PlayerGrades+'!$AA$16,"E+",IF(D72&lt;'PlayerGrades+'!$AA$15,"D-",IF(D72&lt;'PlayerGrades+'!$AA$14,"D",IF(D72&lt;'PlayerGrades+'!$AA$13,"D+",IF(D72&lt;'PlayerGrades+'!$AA$12,"C-",IF(D72&lt;'PlayerGrades+'!$AA$11,"C",IF(D72&lt;'PlayerGrades+'!$AA$10,"C+",IF(D72&lt;'PlayerGrades+'!$AA$9,"B-",IF(D72&lt;'PlayerGrades+'!$AA$8,"B",IF(D72&lt;'PlayerGrades+'!$AA$7,"B+",IF(D72&lt;'PlayerGrades+'!$AA$6,"A-",IF(D72&lt;'PlayerGrades+'!$AA$5,"A",IF(D72&lt;'PlayerGrades+'!$AA$4,"A+",IF(D72&lt;'PlayerGrades+'!$AA$3,"S-",IF(D72&lt;'PlayerGrades+'!$AA$2,"S","S+"))))))))))))))))))))</f>
        <v>F-</v>
      </c>
      <c r="F72" s="961">
        <f t="shared" si="2"/>
        <v>0.03800217155</v>
      </c>
      <c r="G72" s="961" t="str">
        <f>IF(F72&lt;'PlayerGrades+'!$AB$21,"F-",IF(F72&lt;'PlayerGrades+'!$AB$20,"F",IF(F72&lt;'PlayerGrades+'!$AB$19,"F+",IF(F72&lt;'PlayerGrades+'!$AB$18,"E-",IF(F72&lt;'PlayerGrades+'!$AB$17,"E",IF(F72&lt;'PlayerGrades+'!$AB$16,"E+",IF(F72&lt;'PlayerGrades+'!$AB$15,"D-",IF(F72&lt;'PlayerGrades+'!$AB$14,"D",IF(F72&lt;'PlayerGrades+'!$AB$13,"D+",IF(F72&lt;'PlayerGrades+'!$AB$12,"C-",IF(F72&lt;'PlayerGrades+'!$AB$11,"C",IF(F72&lt;'PlayerGrades+'!$AB$10,"C+",IF(F72&lt;'PlayerGrades+'!$AB$9,"B-",IF(F72&lt;'PlayerGrades+'!$AB$8,"B",IF(F72&lt;'PlayerGrades+'!$AB$7,"B+",IF(F72&lt;'PlayerGrades+'!$AB$6,"A-",IF(F72&lt;'PlayerGrades+'!$AB$5,"A",IF(F72&lt;'PlayerGrades+'!$AB$4,"A+",IF(F72&lt;'PlayerGrades+'!$AB$3,"S-",IF(F72&lt;'PlayerGrades+'!$AB$2,"S","S+"))))))))))))))))))))</f>
        <v>A</v>
      </c>
      <c r="H72" s="961">
        <f t="shared" si="3"/>
        <v>0.3908794788</v>
      </c>
      <c r="I72" s="961" t="str">
        <f>IF(H72&lt;'PlayerGrades+'!$AC$21,"F-",IF(H72&lt;'PlayerGrades+'!$AC$20,"F",IF(H72&lt;'PlayerGrades+'!$AC$19,"F+",IF(H72&lt;'PlayerGrades+'!$AC$18,"E-",IF(H72&lt;'PlayerGrades+'!$AC$17,"E",IF(H72&lt;'PlayerGrades+'!$AC$16,"E+",IF(H72&lt;'PlayerGrades+'!$AC$15,"D-",IF(H72&lt;'PlayerGrades+'!$AC$14,"D",IF(H72&lt;'PlayerGrades+'!$AC$13,"D+",IF(H72&lt;'PlayerGrades+'!$AC$12,"C-",IF(H72&lt;'PlayerGrades+'!$AC$11,"C",IF(H72&lt;'PlayerGrades+'!$AC$10,"C+",IF(H72&lt;'PlayerGrades+'!$AC$9,"B-",IF(H72&lt;'PlayerGrades+'!$AC$8,"B",IF(H72&lt;'PlayerGrades+'!$AC$7,"B+",IF(H72&lt;'PlayerGrades+'!$AC$6,"A-",IF(H72&lt;'PlayerGrades+'!$AC$5,"A",IF(H72&lt;'PlayerGrades+'!$AC$4,"A+",IF(H72&lt;'PlayerGrades+'!$AC$3,"S-",IF(H72&lt;'PlayerGrades+'!$AC$2,"S","S+"))))))))))))))))))))</f>
        <v>D</v>
      </c>
      <c r="J72" s="961">
        <f t="shared" si="4"/>
        <v>0</v>
      </c>
      <c r="K72" s="961" t="str">
        <f>IF(J72&lt;'PlayerGrades+'!$AD$21,"F-",IF(J72&lt;'PlayerGrades+'!$AD$20,"F",IF(J72&lt;'PlayerGrades+'!$AD$19,"F+",IF(J72&lt;'PlayerGrades+'!$AD$18,"E-",IF(J72&lt;'PlayerGrades+'!$AD$17,"E",IF(J72&lt;'PlayerGrades+'!$AD$16,"E+",IF(J72&lt;'PlayerGrades+'!$AD$15,"D-",IF(J72&lt;'PlayerGrades+'!$AD$14,"D",IF(J72&lt;'PlayerGrades+'!$AD$13,"D+",IF(J72&lt;'PlayerGrades+'!$AD$12,"C-",IF(J72&lt;'PlayerGrades+'!$AD$11,"C",IF(J72&lt;'PlayerGrades+'!$AD$10,"C+",IF(J72&lt;'PlayerGrades+'!$AD$9,"B-",IF(J72&lt;'PlayerGrades+'!$AD$8,"B",IF(J72&lt;'PlayerGrades+'!$AD$7,"B+",IF(J72&lt;'PlayerGrades+'!$AD$6,"A-",IF(J72&lt;'PlayerGrades+'!$AD$5,"A",IF(J72&lt;'PlayerGrades+'!$AD$4,"A+",IF(J72&lt;'PlayerGrades+'!$AD$3,"S-",IF(J72&lt;'PlayerGrades+'!$AD$2,"S","S+"))))))))))))))))))))</f>
        <v>F-</v>
      </c>
      <c r="L72" s="992">
        <f t="shared" si="5"/>
        <v>0.325732899</v>
      </c>
      <c r="M72" s="992" t="str">
        <f>IF(L72&lt;'PlayerGrades+'!$AE$21,"F-",IF(L72&lt;'PlayerGrades+'!$AE$20,"F",IF(L72&lt;'PlayerGrades+'!$AE$19,"F+",IF(L72&lt;'PlayerGrades+'!$AE$18,"E-",IF(L72&lt;'PlayerGrades+'!$AE$17,"E",IF(L72&lt;'PlayerGrades+'!$AE$16,"E+",IF(L72&lt;'PlayerGrades+'!$AE$15,"D-",IF(L72&lt;'PlayerGrades+'!$AE$14,"D",IF(L72&lt;'PlayerGrades+'!$AE$13,"D+",IF(L72&lt;'PlayerGrades+'!$AE$12,"C-",IF(L72&lt;'PlayerGrades+'!$AE$11,"C",IF(L72&lt;'PlayerGrades+'!$AE$10,"C+",IF(L72&lt;'PlayerGrades+'!$AE$9,"B-",IF(L72&lt;'PlayerGrades+'!$AE$8,"B",IF(L72&lt;'PlayerGrades+'!$AE$7,"B+",IF(L72&lt;'PlayerGrades+'!$AE$6,"A-",IF(L72&lt;'PlayerGrades+'!$AE$5,"A",IF(L72&lt;'PlayerGrades+'!$AE$4,"A+",IF(L72&lt;'PlayerGrades+'!$AE$3,"S-",IF(L72&lt;'PlayerGrades+'!$AE$2,"S","S+"))))))))))))))))))))</f>
        <v>E</v>
      </c>
      <c r="N72" s="961">
        <f t="shared" si="6"/>
        <v>0</v>
      </c>
      <c r="O72" s="961" t="str">
        <f>IF(N72&lt;'PlayerGrades+'!$AF$21,"F-",IF(N72&lt;'PlayerGrades+'!$AF$20,"F",IF(N72&lt;'PlayerGrades+'!$AF$19,"F+",IF(N72&lt;'PlayerGrades+'!$AF$18,"E-",IF(N72&lt;'PlayerGrades+'!$AF$17,"E",IF(N72&lt;'PlayerGrades+'!$AF$16,"E+",IF(N72&lt;'PlayerGrades+'!$AF$15,"D-",IF(N72&lt;'PlayerGrades+'!$AF$14,"D",IF(N72&lt;'PlayerGrades+'!$AF$13,"D+",IF(N72&lt;'PlayerGrades+'!$AF$12,"C-",IF(N72&lt;'PlayerGrades+'!$AF$11,"C",IF(N72&lt;'PlayerGrades+'!$AF$10,"C+",IF(N72&lt;'PlayerGrades+'!$AF$9,"B-",IF(N72&lt;'PlayerGrades+'!$AF$8,"B",IF(N72&lt;'PlayerGrades+'!$AF$7,"B+",IF(N72&lt;'PlayerGrades+'!$AF$6,"A-",IF(N72&lt;'PlayerGrades+'!$AF$5,"A",IF(N72&lt;'PlayerGrades+'!$AF$4,"A+",IF(N72&lt;'PlayerGrades+'!$AF$3,"S-",IF(N72&lt;'PlayerGrades+'!$AF$2,"S","S+"))))))))))))))))))))</f>
        <v>F-</v>
      </c>
      <c r="P72" s="961">
        <f t="shared" si="7"/>
        <v>0.325732899</v>
      </c>
      <c r="Q72" s="961" t="str">
        <f>IF(P72&lt;'PlayerGrades+'!$AG$21,"F-",IF(P72&lt;'PlayerGrades+'!$AG$20,"F",IF(P72&lt;'PlayerGrades+'!$AG$19,"F+",IF(P72&lt;'PlayerGrades+'!$AG$18,"E-",IF(P72&lt;'PlayerGrades+'!$AG$17,"E",IF(P72&lt;'PlayerGrades+'!$AG$16,"E+",IF(P72&lt;'PlayerGrades+'!$AG$15,"D-",IF(P72&lt;'PlayerGrades+'!$AG$14,"D",IF(P72&lt;'PlayerGrades+'!$AG$13,"D+",IF(P72&lt;'PlayerGrades+'!$AG$12,"C-",IF(P72&lt;'PlayerGrades+'!$AG$11,"C",IF(P72&lt;'PlayerGrades+'!$AG$10,"C+",IF(P72&lt;'PlayerGrades+'!$AG$9,"B-",IF(P72&lt;'PlayerGrades+'!$AG$8,"B",IF(P72&lt;'PlayerGrades+'!$AG$7,"B+",IF(P72&lt;'PlayerGrades+'!$AG$6,"A-",IF(P72&lt;'PlayerGrades+'!$AG$5,"A",IF(P72&lt;'PlayerGrades+'!$AG$4,"A+",IF(P72&lt;'PlayerGrades+'!$AG$3,"S-",IF(P72&lt;'PlayerGrades+'!$AG$2,"S","S+"))))))))))))))))))))</f>
        <v>F</v>
      </c>
      <c r="R72" s="961">
        <f t="shared" si="8"/>
        <v>0</v>
      </c>
      <c r="S72" s="961" t="str">
        <f>IF(R72&lt;'PlayerGrades+'!$AH$21,"F-",IF(R72&lt;'PlayerGrades+'!$AH$20,"F",IF(R72&lt;'PlayerGrades+'!$AH$19,"F+",IF(R72&lt;'PlayerGrades+'!$AH$18,"E-",IF(R72&lt;'PlayerGrades+'!$AH$17,"E",IF(R72&lt;'PlayerGrades+'!$AH$16,"E+",IF(R72&lt;'PlayerGrades+'!$AH$15,"D-",IF(R72&lt;'PlayerGrades+'!$AH$14,"D",IF(R72&lt;'PlayerGrades+'!$AH$13,"D+",IF(R72&lt;'PlayerGrades+'!$AH$12,"C-",IF(R72&lt;'PlayerGrades+'!$AH$11,"C",IF(R72&lt;'PlayerGrades+'!$AH$10,"C+",IF(R72&lt;'PlayerGrades+'!$AH$9,"B-",IF(R72&lt;'PlayerGrades+'!$AH$8,"B",IF(R72&lt;'PlayerGrades+'!$AH$7,"B+",IF(R72&lt;'PlayerGrades+'!$AH$6,"A-",IF(R72&lt;'PlayerGrades+'!$AH$5,"A",IF(R72&lt;'PlayerGrades+'!$AH$4,"A+",IF(R72&lt;'PlayerGrades+'!$AH$3,"S-",IF(R72&lt;'PlayerGrades+'!$AH$2,"S","S+"))))))))))))))))))))</f>
        <v>F-</v>
      </c>
      <c r="T72" s="961">
        <f t="shared" si="9"/>
        <v>2.280130293</v>
      </c>
      <c r="U72" s="961" t="str">
        <f>IF(T72&lt;'PlayerGrades+'!$AI$21,"F-",IF(T72&lt;'PlayerGrades+'!$AI$20,"F",IF(T72&lt;'PlayerGrades+'!$AI$19,"F+",IF(T72&lt;'PlayerGrades+'!$AI$18,"E-",IF(T72&lt;'PlayerGrades+'!$AI$17,"E",IF(T72&lt;'PlayerGrades+'!$AI$16,"E+",IF(T72&lt;'PlayerGrades+'!$AI$15,"D-",IF(T72&lt;'PlayerGrades+'!$AI$14,"D",IF(T72&lt;'PlayerGrades+'!$AI$13,"D+",IF(T72&lt;'PlayerGrades+'!$AI$12,"C-",IF(T72&lt;'PlayerGrades+'!$AI$11,"C",IF(T72&lt;'PlayerGrades+'!$AI$10,"C+",IF(T72&lt;'PlayerGrades+'!$AI$9,"B-",IF(T72&lt;'PlayerGrades+'!$AI$8,"B",IF(T72&lt;'PlayerGrades+'!$AI$7,"B+",IF(T72&lt;'PlayerGrades+'!$AI$6,"A-",IF(T72&lt;'PlayerGrades+'!$AI$5,"A",IF(T72&lt;'PlayerGrades+'!$AI$4,"A+",IF(T72&lt;'PlayerGrades+'!$AI$3,"S-",IF(T72&lt;'PlayerGrades+'!$AI$2,"S","S+"))))))))))))))))))))</f>
        <v>F+</v>
      </c>
      <c r="V72" s="1100">
        <v>0.0</v>
      </c>
      <c r="W72" s="1100">
        <v>1.0</v>
      </c>
      <c r="X72" s="1100">
        <v>0.0</v>
      </c>
      <c r="Y72" s="1100">
        <v>0.0</v>
      </c>
      <c r="Z72" s="1100">
        <v>35.0</v>
      </c>
      <c r="AA72" s="1100">
        <v>60.0</v>
      </c>
      <c r="AB72" s="1017">
        <f t="shared" si="10"/>
        <v>-25</v>
      </c>
      <c r="AC72" s="1020">
        <f t="shared" si="11"/>
        <v>0.5833333333</v>
      </c>
      <c r="AD72" s="1100">
        <v>0.0</v>
      </c>
      <c r="AE72" s="1329">
        <v>921.0</v>
      </c>
      <c r="AF72" s="1100">
        <v>0.0</v>
      </c>
      <c r="AG72" s="1100">
        <v>0.0</v>
      </c>
      <c r="AH72" s="1100">
        <v>0.0</v>
      </c>
      <c r="AI72" s="1100">
        <v>0.0</v>
      </c>
      <c r="AJ72" s="1100">
        <v>0.0</v>
      </c>
      <c r="AK72" s="1100">
        <v>5.0</v>
      </c>
      <c r="AL72" s="1100">
        <v>0.0</v>
      </c>
      <c r="AM72" s="1100">
        <v>0.0</v>
      </c>
      <c r="AN72" s="1100">
        <v>0.0</v>
      </c>
      <c r="AO72" s="1100">
        <v>0.0</v>
      </c>
      <c r="AP72" s="1100">
        <v>0.0</v>
      </c>
      <c r="AQ72" s="1100">
        <v>0.0</v>
      </c>
      <c r="AR72" s="1100">
        <v>0.0</v>
      </c>
      <c r="AS72" s="1100">
        <v>0.0</v>
      </c>
      <c r="AT72" s="1100">
        <v>0.0</v>
      </c>
      <c r="AU72" s="1100">
        <v>6.0</v>
      </c>
      <c r="AV72" s="1100">
        <v>0.0</v>
      </c>
      <c r="AW72" s="1100">
        <v>0.0</v>
      </c>
      <c r="AX72" s="1100">
        <v>0.0</v>
      </c>
      <c r="AY72" s="1100">
        <v>0.0</v>
      </c>
      <c r="AZ72" s="1239">
        <v>0.0</v>
      </c>
    </row>
    <row r="73">
      <c r="A73" s="938" t="s">
        <v>75</v>
      </c>
      <c r="B73" s="1100" t="str">
        <f>IF(C73&lt;'PlayerGrades+'!$Y$44,"F-",IF(C73&lt;'PlayerGrades+'!$Y$43,"F",IF(C73&lt;'PlayerGrades+'!$Y$42,"F+",IF(C73&lt;'PlayerGrades+'!$Y$41,"E-",IF(C73&lt;'PlayerGrades+'!$Y$40,"E",IF(C73&lt;'PlayerGrades+'!$Y$39,"E+",IF(C73&lt;'PlayerGrades+'!$Y$38,"D-",IF(C73&lt;'PlayerGrades+'!$Y$37,"D",IF(C73&lt;'PlayerGrades+'!$Y$36,"D+",IF(C73&lt;'PlayerGrades+'!$Y$35,"C-",IF(C73&lt;'PlayerGrades+'!$Y$34,"C",IF(C73&lt;'PlayerGrades+'!$Y$33,"C+",IF(C73&lt;'PlayerGrades+'!$Y$32,"B-",IF(C73&lt;'PlayerGrades+'!$Y$31,"B",IF(C73&lt;'PlayerGrades+'!$Y$30,"B+",IF(C73&lt;'PlayerGrades+'!$Y$29,"A-",IF(C73&lt;'PlayerGrades+'!$Y$28,"A",IF(C73&lt;'PlayerGrades+'!$Y$27,"A+",IF(C73&lt;'PlayerGrades+'!$Y$26,"S-",IF(C73&lt;'PlayerGrades+'!$Y$25,"S","S+"))))))))))))))))))))</f>
        <v>D-</v>
      </c>
      <c r="C73" s="1105">
        <f>('PlayerGrades+'!$Y$47*(VLOOKUP(E73, 'PlayerGrades+'!$X$3:$Y$23, 2, FALSE)))+('PlayerGrades+'!$Y$48*(VLOOKUP(G73, 'PlayerGrades+'!$X$3:$Y$23, 2, FALSE)))+('PlayerGrades+'!$Y$49*(VLOOKUP(I73, 'PlayerGrades+'!$X$3:$Y$23, 2, FALSE)))+('PlayerGrades+'!$Y$50*(VLOOKUP(K73, 'PlayerGrades+'!$X$3:$Y$23, 2, FALSE)))+('PlayerGrades+'!$Y$51*(VLOOKUP(M73, 'PlayerGrades+'!$X$3:$Y$23, 2, FALSE)))+('PlayerGrades+'!$Y$52*(VLOOKUP(O73, 'PlayerGrades+'!$X$3:$Y$23, 2, FALSE)))+('PlayerGrades+'!$Y$53*(VLOOKUP(Q73, 'PlayerGrades+'!$X$3:$Y$23, 2, FALSE)))+('PlayerGrades+'!$Y$54*(VLOOKUP(S73, 'PlayerGrades+'!$X$3:$Y$23, 2, FALSE)))+('PlayerGrades+'!$Y$55*(VLOOKUP(U73, 'PlayerGrades+'!$X$3:$Y$23, 2, FALSE)))</f>
        <v>12.2125</v>
      </c>
      <c r="D73" s="1149">
        <f t="shared" si="1"/>
        <v>0.0651465798</v>
      </c>
      <c r="E73" s="1149" t="str">
        <f>IF(D73&lt;'PlayerGrades+'!$AA$21,"F-",IF(D73&lt;'PlayerGrades+'!$AA$20,"F",IF(D73&lt;'PlayerGrades+'!$AA$19,"F+",IF(D73&lt;'PlayerGrades+'!$AA$18,"E-",IF(D73&lt;'PlayerGrades+'!$AA$17,"E",IF(D73&lt;'PlayerGrades+'!$AA$16,"E+",IF(D73&lt;'PlayerGrades+'!$AA$15,"D-",IF(D73&lt;'PlayerGrades+'!$AA$14,"D",IF(D73&lt;'PlayerGrades+'!$AA$13,"D+",IF(D73&lt;'PlayerGrades+'!$AA$12,"C-",IF(D73&lt;'PlayerGrades+'!$AA$11,"C",IF(D73&lt;'PlayerGrades+'!$AA$10,"C+",IF(D73&lt;'PlayerGrades+'!$AA$9,"B-",IF(D73&lt;'PlayerGrades+'!$AA$8,"B",IF(D73&lt;'PlayerGrades+'!$AA$7,"B+",IF(D73&lt;'PlayerGrades+'!$AA$6,"A-",IF(D73&lt;'PlayerGrades+'!$AA$5,"A",IF(D73&lt;'PlayerGrades+'!$AA$4,"A+",IF(D73&lt;'PlayerGrades+'!$AA$3,"S-",IF(D73&lt;'PlayerGrades+'!$AA$2,"S","S+"))))))))))))))))))))</f>
        <v>B+</v>
      </c>
      <c r="F73" s="1149">
        <f t="shared" si="2"/>
        <v>0.05790807094</v>
      </c>
      <c r="G73" s="1149" t="str">
        <f>IF(F73&lt;'PlayerGrades+'!$AB$21,"F-",IF(F73&lt;'PlayerGrades+'!$AB$20,"F",IF(F73&lt;'PlayerGrades+'!$AB$19,"F+",IF(F73&lt;'PlayerGrades+'!$AB$18,"E-",IF(F73&lt;'PlayerGrades+'!$AB$17,"E",IF(F73&lt;'PlayerGrades+'!$AB$16,"E+",IF(F73&lt;'PlayerGrades+'!$AB$15,"D-",IF(F73&lt;'PlayerGrades+'!$AB$14,"D",IF(F73&lt;'PlayerGrades+'!$AB$13,"D+",IF(F73&lt;'PlayerGrades+'!$AB$12,"C-",IF(F73&lt;'PlayerGrades+'!$AB$11,"C",IF(F73&lt;'PlayerGrades+'!$AB$10,"C+",IF(F73&lt;'PlayerGrades+'!$AB$9,"B-",IF(F73&lt;'PlayerGrades+'!$AB$8,"B",IF(F73&lt;'PlayerGrades+'!$AB$7,"B+",IF(F73&lt;'PlayerGrades+'!$AB$6,"A-",IF(F73&lt;'PlayerGrades+'!$AB$5,"A",IF(F73&lt;'PlayerGrades+'!$AB$4,"A+",IF(F73&lt;'PlayerGrades+'!$AB$3,"S-",IF(F73&lt;'PlayerGrades+'!$AB$2,"S","S+"))))))))))))))))))))</f>
        <v>A</v>
      </c>
      <c r="H73" s="1149">
        <f t="shared" si="3"/>
        <v>0.325732899</v>
      </c>
      <c r="I73" s="1149" t="str">
        <f>IF(H73&lt;'PlayerGrades+'!$AC$21,"F-",IF(H73&lt;'PlayerGrades+'!$AC$20,"F",IF(H73&lt;'PlayerGrades+'!$AC$19,"F+",IF(H73&lt;'PlayerGrades+'!$AC$18,"E-",IF(H73&lt;'PlayerGrades+'!$AC$17,"E",IF(H73&lt;'PlayerGrades+'!$AC$16,"E+",IF(H73&lt;'PlayerGrades+'!$AC$15,"D-",IF(H73&lt;'PlayerGrades+'!$AC$14,"D",IF(H73&lt;'PlayerGrades+'!$AC$13,"D+",IF(H73&lt;'PlayerGrades+'!$AC$12,"C-",IF(H73&lt;'PlayerGrades+'!$AC$11,"C",IF(H73&lt;'PlayerGrades+'!$AC$10,"C+",IF(H73&lt;'PlayerGrades+'!$AC$9,"B-",IF(H73&lt;'PlayerGrades+'!$AC$8,"B",IF(H73&lt;'PlayerGrades+'!$AC$7,"B+",IF(H73&lt;'PlayerGrades+'!$AC$6,"A-",IF(H73&lt;'PlayerGrades+'!$AC$5,"A",IF(H73&lt;'PlayerGrades+'!$AC$4,"A+",IF(H73&lt;'PlayerGrades+'!$AC$3,"S-",IF(H73&lt;'PlayerGrades+'!$AC$2,"S","S+"))))))))))))))))))))</f>
        <v>E</v>
      </c>
      <c r="J73" s="1149">
        <f t="shared" si="4"/>
        <v>0</v>
      </c>
      <c r="K73" s="1149" t="str">
        <f>IF(J73&lt;'PlayerGrades+'!$AD$21,"F-",IF(J73&lt;'PlayerGrades+'!$AD$20,"F",IF(J73&lt;'PlayerGrades+'!$AD$19,"F+",IF(J73&lt;'PlayerGrades+'!$AD$18,"E-",IF(J73&lt;'PlayerGrades+'!$AD$17,"E",IF(J73&lt;'PlayerGrades+'!$AD$16,"E+",IF(J73&lt;'PlayerGrades+'!$AD$15,"D-",IF(J73&lt;'PlayerGrades+'!$AD$14,"D",IF(J73&lt;'PlayerGrades+'!$AD$13,"D+",IF(J73&lt;'PlayerGrades+'!$AD$12,"C-",IF(J73&lt;'PlayerGrades+'!$AD$11,"C",IF(J73&lt;'PlayerGrades+'!$AD$10,"C+",IF(J73&lt;'PlayerGrades+'!$AD$9,"B-",IF(J73&lt;'PlayerGrades+'!$AD$8,"B",IF(J73&lt;'PlayerGrades+'!$AD$7,"B+",IF(J73&lt;'PlayerGrades+'!$AD$6,"A-",IF(J73&lt;'PlayerGrades+'!$AD$5,"A",IF(J73&lt;'PlayerGrades+'!$AD$4,"A+",IF(J73&lt;'PlayerGrades+'!$AD$3,"S-",IF(J73&lt;'PlayerGrades+'!$AD$2,"S","S+"))))))))))))))))))))</f>
        <v>F-</v>
      </c>
      <c r="L73" s="1156">
        <f t="shared" si="5"/>
        <v>0.1302931596</v>
      </c>
      <c r="M73" s="1156" t="str">
        <f>IF(L73&lt;'PlayerGrades+'!$AE$21,"F-",IF(L73&lt;'PlayerGrades+'!$AE$20,"F",IF(L73&lt;'PlayerGrades+'!$AE$19,"F+",IF(L73&lt;'PlayerGrades+'!$AE$18,"E-",IF(L73&lt;'PlayerGrades+'!$AE$17,"E",IF(L73&lt;'PlayerGrades+'!$AE$16,"E+",IF(L73&lt;'PlayerGrades+'!$AE$15,"D-",IF(L73&lt;'PlayerGrades+'!$AE$14,"D",IF(L73&lt;'PlayerGrades+'!$AE$13,"D+",IF(L73&lt;'PlayerGrades+'!$AE$12,"C-",IF(L73&lt;'PlayerGrades+'!$AE$11,"C",IF(L73&lt;'PlayerGrades+'!$AE$10,"C+",IF(L73&lt;'PlayerGrades+'!$AE$9,"B-",IF(L73&lt;'PlayerGrades+'!$AE$8,"B",IF(L73&lt;'PlayerGrades+'!$AE$7,"B+",IF(L73&lt;'PlayerGrades+'!$AE$6,"A-",IF(L73&lt;'PlayerGrades+'!$AE$5,"A",IF(L73&lt;'PlayerGrades+'!$AE$4,"A+",IF(L73&lt;'PlayerGrades+'!$AE$3,"S-",IF(L73&lt;'PlayerGrades+'!$AE$2,"S","S+"))))))))))))))))))))</f>
        <v>F-</v>
      </c>
      <c r="N73" s="1149">
        <f t="shared" si="6"/>
        <v>0</v>
      </c>
      <c r="O73" s="1149" t="str">
        <f>IF(N73&lt;'PlayerGrades+'!$AF$21,"F-",IF(N73&lt;'PlayerGrades+'!$AF$20,"F",IF(N73&lt;'PlayerGrades+'!$AF$19,"F+",IF(N73&lt;'PlayerGrades+'!$AF$18,"E-",IF(N73&lt;'PlayerGrades+'!$AF$17,"E",IF(N73&lt;'PlayerGrades+'!$AF$16,"E+",IF(N73&lt;'PlayerGrades+'!$AF$15,"D-",IF(N73&lt;'PlayerGrades+'!$AF$14,"D",IF(N73&lt;'PlayerGrades+'!$AF$13,"D+",IF(N73&lt;'PlayerGrades+'!$AF$12,"C-",IF(N73&lt;'PlayerGrades+'!$AF$11,"C",IF(N73&lt;'PlayerGrades+'!$AF$10,"C+",IF(N73&lt;'PlayerGrades+'!$AF$9,"B-",IF(N73&lt;'PlayerGrades+'!$AF$8,"B",IF(N73&lt;'PlayerGrades+'!$AF$7,"B+",IF(N73&lt;'PlayerGrades+'!$AF$6,"A-",IF(N73&lt;'PlayerGrades+'!$AF$5,"A",IF(N73&lt;'PlayerGrades+'!$AF$4,"A+",IF(N73&lt;'PlayerGrades+'!$AF$3,"S-",IF(N73&lt;'PlayerGrades+'!$AF$2,"S","S+"))))))))))))))))))))</f>
        <v>F-</v>
      </c>
      <c r="P73" s="1149">
        <f t="shared" si="7"/>
        <v>0.1302931596</v>
      </c>
      <c r="Q73" s="1149" t="str">
        <f>IF(P73&lt;'PlayerGrades+'!$AG$21,"F-",IF(P73&lt;'PlayerGrades+'!$AG$20,"F",IF(P73&lt;'PlayerGrades+'!$AG$19,"F+",IF(P73&lt;'PlayerGrades+'!$AG$18,"E-",IF(P73&lt;'PlayerGrades+'!$AG$17,"E",IF(P73&lt;'PlayerGrades+'!$AG$16,"E+",IF(P73&lt;'PlayerGrades+'!$AG$15,"D-",IF(P73&lt;'PlayerGrades+'!$AG$14,"D",IF(P73&lt;'PlayerGrades+'!$AG$13,"D+",IF(P73&lt;'PlayerGrades+'!$AG$12,"C-",IF(P73&lt;'PlayerGrades+'!$AG$11,"C",IF(P73&lt;'PlayerGrades+'!$AG$10,"C+",IF(P73&lt;'PlayerGrades+'!$AG$9,"B-",IF(P73&lt;'PlayerGrades+'!$AG$8,"B",IF(P73&lt;'PlayerGrades+'!$AG$7,"B+",IF(P73&lt;'PlayerGrades+'!$AG$6,"A-",IF(P73&lt;'PlayerGrades+'!$AG$5,"A",IF(P73&lt;'PlayerGrades+'!$AG$4,"A+",IF(P73&lt;'PlayerGrades+'!$AG$3,"S-",IF(P73&lt;'PlayerGrades+'!$AG$2,"S","S+"))))))))))))))))))))</f>
        <v>F-</v>
      </c>
      <c r="R73" s="1149">
        <f t="shared" si="8"/>
        <v>0.1302931596</v>
      </c>
      <c r="S73" s="1149" t="str">
        <f>IF(R73&lt;'PlayerGrades+'!$AH$21,"F-",IF(R73&lt;'PlayerGrades+'!$AH$20,"F",IF(R73&lt;'PlayerGrades+'!$AH$19,"F+",IF(R73&lt;'PlayerGrades+'!$AH$18,"E-",IF(R73&lt;'PlayerGrades+'!$AH$17,"E",IF(R73&lt;'PlayerGrades+'!$AH$16,"E+",IF(R73&lt;'PlayerGrades+'!$AH$15,"D-",IF(R73&lt;'PlayerGrades+'!$AH$14,"D",IF(R73&lt;'PlayerGrades+'!$AH$13,"D+",IF(R73&lt;'PlayerGrades+'!$AH$12,"C-",IF(R73&lt;'PlayerGrades+'!$AH$11,"C",IF(R73&lt;'PlayerGrades+'!$AH$10,"C+",IF(R73&lt;'PlayerGrades+'!$AH$9,"B-",IF(R73&lt;'PlayerGrades+'!$AH$8,"B",IF(R73&lt;'PlayerGrades+'!$AH$7,"B+",IF(R73&lt;'PlayerGrades+'!$AH$6,"A-",IF(R73&lt;'PlayerGrades+'!$AH$5,"A",IF(R73&lt;'PlayerGrades+'!$AH$4,"A+",IF(R73&lt;'PlayerGrades+'!$AH$3,"S-",IF(R73&lt;'PlayerGrades+'!$AH$2,"S","S+"))))))))))))))))))))</f>
        <v>S</v>
      </c>
      <c r="T73" s="1149">
        <f t="shared" si="9"/>
        <v>2.084690554</v>
      </c>
      <c r="U73" s="1149" t="str">
        <f>IF(T73&lt;'PlayerGrades+'!$AI$21,"F-",IF(T73&lt;'PlayerGrades+'!$AI$20,"F",IF(T73&lt;'PlayerGrades+'!$AI$19,"F+",IF(T73&lt;'PlayerGrades+'!$AI$18,"E-",IF(T73&lt;'PlayerGrades+'!$AI$17,"E",IF(T73&lt;'PlayerGrades+'!$AI$16,"E+",IF(T73&lt;'PlayerGrades+'!$AI$15,"D-",IF(T73&lt;'PlayerGrades+'!$AI$14,"D",IF(T73&lt;'PlayerGrades+'!$AI$13,"D+",IF(T73&lt;'PlayerGrades+'!$AI$12,"C-",IF(T73&lt;'PlayerGrades+'!$AI$11,"C",IF(T73&lt;'PlayerGrades+'!$AI$10,"C+",IF(T73&lt;'PlayerGrades+'!$AI$9,"B-",IF(T73&lt;'PlayerGrades+'!$AI$8,"B",IF(T73&lt;'PlayerGrades+'!$AI$7,"B+",IF(T73&lt;'PlayerGrades+'!$AI$6,"A-",IF(T73&lt;'PlayerGrades+'!$AI$5,"A",IF(T73&lt;'PlayerGrades+'!$AI$4,"A+",IF(T73&lt;'PlayerGrades+'!$AI$3,"S-",IF(T73&lt;'PlayerGrades+'!$AI$2,"S","S+"))))))))))))))))))))</f>
        <v>F-</v>
      </c>
      <c r="V73" s="1227">
        <v>0.0</v>
      </c>
      <c r="W73" s="1227">
        <v>1.0</v>
      </c>
      <c r="X73" s="1100">
        <v>1.0</v>
      </c>
      <c r="Y73" s="1100">
        <v>9.0</v>
      </c>
      <c r="Z73" s="1100">
        <v>32.0</v>
      </c>
      <c r="AA73" s="1100">
        <v>36.0</v>
      </c>
      <c r="AB73" s="1017">
        <f t="shared" si="10"/>
        <v>-4</v>
      </c>
      <c r="AC73" s="1020">
        <f t="shared" si="11"/>
        <v>0.8888888889</v>
      </c>
      <c r="AD73" s="1100">
        <v>1.0</v>
      </c>
      <c r="AE73" s="1329">
        <v>921.0</v>
      </c>
      <c r="AF73" s="1100">
        <v>0.0</v>
      </c>
      <c r="AG73" s="1100">
        <v>0.0</v>
      </c>
      <c r="AH73" s="1100">
        <v>0.0</v>
      </c>
      <c r="AI73" s="1100">
        <v>0.0</v>
      </c>
      <c r="AJ73" s="1100">
        <v>0.0</v>
      </c>
      <c r="AK73" s="1100">
        <v>2.0</v>
      </c>
      <c r="AL73" s="1100">
        <v>0.0</v>
      </c>
      <c r="AM73" s="1100">
        <v>0.0</v>
      </c>
      <c r="AN73" s="1100">
        <v>0.0</v>
      </c>
      <c r="AO73" s="1100">
        <v>0.0</v>
      </c>
      <c r="AP73" s="1100">
        <v>0.0</v>
      </c>
      <c r="AQ73" s="1100">
        <v>0.0</v>
      </c>
      <c r="AR73" s="1100">
        <v>0.0</v>
      </c>
      <c r="AS73" s="1100">
        <v>0.0</v>
      </c>
      <c r="AT73" s="1100">
        <v>0.0</v>
      </c>
      <c r="AU73" s="1100">
        <v>5.0</v>
      </c>
      <c r="AV73" s="1100">
        <v>0.0</v>
      </c>
      <c r="AW73" s="1100">
        <v>0.0</v>
      </c>
      <c r="AX73" s="1100">
        <v>0.0</v>
      </c>
      <c r="AY73" s="1100">
        <v>2.0</v>
      </c>
      <c r="AZ73" s="1239">
        <v>0.0</v>
      </c>
    </row>
    <row r="74">
      <c r="A74" s="887" t="s">
        <v>62</v>
      </c>
      <c r="B74" s="1169" t="str">
        <f>IF(C74&lt;'PlayerGrades+'!$Y$44,"F-",IF(C74&lt;'PlayerGrades+'!$Y$43,"F",IF(C74&lt;'PlayerGrades+'!$Y$42,"F+",IF(C74&lt;'PlayerGrades+'!$Y$41,"E-",IF(C74&lt;'PlayerGrades+'!$Y$40,"E",IF(C74&lt;'PlayerGrades+'!$Y$39,"E+",IF(C74&lt;'PlayerGrades+'!$Y$38,"D-",IF(C74&lt;'PlayerGrades+'!$Y$37,"D",IF(C74&lt;'PlayerGrades+'!$Y$36,"D+",IF(C74&lt;'PlayerGrades+'!$Y$35,"C-",IF(C74&lt;'PlayerGrades+'!$Y$34,"C",IF(C74&lt;'PlayerGrades+'!$Y$33,"C+",IF(C74&lt;'PlayerGrades+'!$Y$32,"B-",IF(C74&lt;'PlayerGrades+'!$Y$31,"B",IF(C74&lt;'PlayerGrades+'!$Y$30,"B+",IF(C74&lt;'PlayerGrades+'!$Y$29,"A-",IF(C74&lt;'PlayerGrades+'!$Y$28,"A",IF(C74&lt;'PlayerGrades+'!$Y$27,"A+",IF(C74&lt;'PlayerGrades+'!$Y$26,"S-",IF(C74&lt;'PlayerGrades+'!$Y$25,"S","S+"))))))))))))))))))))</f>
        <v>A</v>
      </c>
      <c r="C74" s="1170">
        <f>('PlayerGrades+'!$Y$47*(VLOOKUP(E74, 'PlayerGrades+'!$X$3:$Y$23, 2, FALSE)))+('PlayerGrades+'!$Y$48*(VLOOKUP(G74, 'PlayerGrades+'!$X$3:$Y$23, 2, FALSE)))+('PlayerGrades+'!$Y$49*(VLOOKUP(I74, 'PlayerGrades+'!$X$3:$Y$23, 2, FALSE)))+('PlayerGrades+'!$Y$50*(VLOOKUP(K74, 'PlayerGrades+'!$X$3:$Y$23, 2, FALSE)))+('PlayerGrades+'!$Y$51*(VLOOKUP(M74, 'PlayerGrades+'!$X$3:$Y$23, 2, FALSE)))+('PlayerGrades+'!$Y$52*(VLOOKUP(O74, 'PlayerGrades+'!$X$3:$Y$23, 2, FALSE)))+('PlayerGrades+'!$Y$53*(VLOOKUP(Q74, 'PlayerGrades+'!$X$3:$Y$23, 2, FALSE)))+('PlayerGrades+'!$Y$54*(VLOOKUP(S74, 'PlayerGrades+'!$X$3:$Y$23, 2, FALSE)))+('PlayerGrades+'!$Y$55*(VLOOKUP(U74, 'PlayerGrades+'!$X$3:$Y$23, 2, FALSE)))</f>
        <v>21.95</v>
      </c>
      <c r="D74" s="890">
        <f t="shared" si="1"/>
        <v>0.1136363636</v>
      </c>
      <c r="E74" s="890" t="str">
        <f>IF(D74&lt;'PlayerGrades+'!$AA$21,"F-",IF(D74&lt;'PlayerGrades+'!$AA$20,"F",IF(D74&lt;'PlayerGrades+'!$AA$19,"F+",IF(D74&lt;'PlayerGrades+'!$AA$18,"E-",IF(D74&lt;'PlayerGrades+'!$AA$17,"E",IF(D74&lt;'PlayerGrades+'!$AA$16,"E+",IF(D74&lt;'PlayerGrades+'!$AA$15,"D-",IF(D74&lt;'PlayerGrades+'!$AA$14,"D",IF(D74&lt;'PlayerGrades+'!$AA$13,"D+",IF(D74&lt;'PlayerGrades+'!$AA$12,"C-",IF(D74&lt;'PlayerGrades+'!$AA$11,"C",IF(D74&lt;'PlayerGrades+'!$AA$10,"C+",IF(D74&lt;'PlayerGrades+'!$AA$9,"B-",IF(D74&lt;'PlayerGrades+'!$AA$8,"B",IF(D74&lt;'PlayerGrades+'!$AA$7,"B+",IF(D74&lt;'PlayerGrades+'!$AA$6,"A-",IF(D74&lt;'PlayerGrades+'!$AA$5,"A",IF(D74&lt;'PlayerGrades+'!$AA$4,"A+",IF(D74&lt;'PlayerGrades+'!$AA$3,"S-",IF(D74&lt;'PlayerGrades+'!$AA$2,"S","S+"))))))))))))))))))))</f>
        <v>A+</v>
      </c>
      <c r="F74" s="890">
        <f t="shared" si="2"/>
        <v>0.08522727273</v>
      </c>
      <c r="G74" s="890" t="str">
        <f>IF(F74&lt;'PlayerGrades+'!$AB$21,"F-",IF(F74&lt;'PlayerGrades+'!$AB$20,"F",IF(F74&lt;'PlayerGrades+'!$AB$19,"F+",IF(F74&lt;'PlayerGrades+'!$AB$18,"E-",IF(F74&lt;'PlayerGrades+'!$AB$17,"E",IF(F74&lt;'PlayerGrades+'!$AB$16,"E+",IF(F74&lt;'PlayerGrades+'!$AB$15,"D-",IF(F74&lt;'PlayerGrades+'!$AB$14,"D",IF(F74&lt;'PlayerGrades+'!$AB$13,"D+",IF(F74&lt;'PlayerGrades+'!$AB$12,"C-",IF(F74&lt;'PlayerGrades+'!$AB$11,"C",IF(F74&lt;'PlayerGrades+'!$AB$10,"C+",IF(F74&lt;'PlayerGrades+'!$AB$9,"B-",IF(F74&lt;'PlayerGrades+'!$AB$8,"B",IF(F74&lt;'PlayerGrades+'!$AB$7,"B+",IF(F74&lt;'PlayerGrades+'!$AB$6,"A-",IF(F74&lt;'PlayerGrades+'!$AB$5,"A",IF(F74&lt;'PlayerGrades+'!$AB$4,"A+",IF(F74&lt;'PlayerGrades+'!$AB$3,"S-",IF(F74&lt;'PlayerGrades+'!$AB$2,"S","S+"))))))))))))))))))))</f>
        <v>A</v>
      </c>
      <c r="H74" s="890">
        <f t="shared" si="3"/>
        <v>0.9090909091</v>
      </c>
      <c r="I74" s="890" t="str">
        <f>IF(H74&lt;'PlayerGrades+'!$AC$21,"F-",IF(H74&lt;'PlayerGrades+'!$AC$20,"F",IF(H74&lt;'PlayerGrades+'!$AC$19,"F+",IF(H74&lt;'PlayerGrades+'!$AC$18,"E-",IF(H74&lt;'PlayerGrades+'!$AC$17,"E",IF(H74&lt;'PlayerGrades+'!$AC$16,"E+",IF(H74&lt;'PlayerGrades+'!$AC$15,"D-",IF(H74&lt;'PlayerGrades+'!$AC$14,"D",IF(H74&lt;'PlayerGrades+'!$AC$13,"D+",IF(H74&lt;'PlayerGrades+'!$AC$12,"C-",IF(H74&lt;'PlayerGrades+'!$AC$11,"C",IF(H74&lt;'PlayerGrades+'!$AC$10,"C+",IF(H74&lt;'PlayerGrades+'!$AC$9,"B-",IF(H74&lt;'PlayerGrades+'!$AC$8,"B",IF(H74&lt;'PlayerGrades+'!$AC$7,"B+",IF(H74&lt;'PlayerGrades+'!$AC$6,"A-",IF(H74&lt;'PlayerGrades+'!$AC$5,"A",IF(H74&lt;'PlayerGrades+'!$AC$4,"A+",IF(H74&lt;'PlayerGrades+'!$AC$3,"S-",IF(H74&lt;'PlayerGrades+'!$AC$2,"S","S+"))))))))))))))))))))</f>
        <v>S</v>
      </c>
      <c r="J74" s="890">
        <f t="shared" si="4"/>
        <v>0.1704545455</v>
      </c>
      <c r="K74" s="890" t="str">
        <f>IF(J74&lt;'PlayerGrades+'!$AD$21,"F-",IF(J74&lt;'PlayerGrades+'!$AD$20,"F",IF(J74&lt;'PlayerGrades+'!$AD$19,"F+",IF(J74&lt;'PlayerGrades+'!$AD$18,"E-",IF(J74&lt;'PlayerGrades+'!$AD$17,"E",IF(J74&lt;'PlayerGrades+'!$AD$16,"E+",IF(J74&lt;'PlayerGrades+'!$AD$15,"D-",IF(J74&lt;'PlayerGrades+'!$AD$14,"D",IF(J74&lt;'PlayerGrades+'!$AD$13,"D+",IF(J74&lt;'PlayerGrades+'!$AD$12,"C-",IF(J74&lt;'PlayerGrades+'!$AD$11,"C",IF(J74&lt;'PlayerGrades+'!$AD$10,"C+",IF(J74&lt;'PlayerGrades+'!$AD$9,"B-",IF(J74&lt;'PlayerGrades+'!$AD$8,"B",IF(J74&lt;'PlayerGrades+'!$AD$7,"B+",IF(J74&lt;'PlayerGrades+'!$AD$6,"A-",IF(J74&lt;'PlayerGrades+'!$AD$5,"A",IF(J74&lt;'PlayerGrades+'!$AD$4,"A+",IF(J74&lt;'PlayerGrades+'!$AD$3,"S-",IF(J74&lt;'PlayerGrades+'!$AD$2,"S","S+"))))))))))))))))))))</f>
        <v>S+</v>
      </c>
      <c r="L74" s="899">
        <f t="shared" si="5"/>
        <v>0.3977272727</v>
      </c>
      <c r="M74" s="899" t="str">
        <f>IF(L74&lt;'PlayerGrades+'!$AE$21,"F-",IF(L74&lt;'PlayerGrades+'!$AE$20,"F",IF(L74&lt;'PlayerGrades+'!$AE$19,"F+",IF(L74&lt;'PlayerGrades+'!$AE$18,"E-",IF(L74&lt;'PlayerGrades+'!$AE$17,"E",IF(L74&lt;'PlayerGrades+'!$AE$16,"E+",IF(L74&lt;'PlayerGrades+'!$AE$15,"D-",IF(L74&lt;'PlayerGrades+'!$AE$14,"D",IF(L74&lt;'PlayerGrades+'!$AE$13,"D+",IF(L74&lt;'PlayerGrades+'!$AE$12,"C-",IF(L74&lt;'PlayerGrades+'!$AE$11,"C",IF(L74&lt;'PlayerGrades+'!$AE$10,"C+",IF(L74&lt;'PlayerGrades+'!$AE$9,"B-",IF(L74&lt;'PlayerGrades+'!$AE$8,"B",IF(L74&lt;'PlayerGrades+'!$AE$7,"B+",IF(L74&lt;'PlayerGrades+'!$AE$6,"A-",IF(L74&lt;'PlayerGrades+'!$AE$5,"A",IF(L74&lt;'PlayerGrades+'!$AE$4,"A+",IF(L74&lt;'PlayerGrades+'!$AE$3,"S-",IF(L74&lt;'PlayerGrades+'!$AE$2,"S","S+"))))))))))))))))))))</f>
        <v>D+</v>
      </c>
      <c r="N74" s="890">
        <f t="shared" si="6"/>
        <v>0.1136363636</v>
      </c>
      <c r="O74" s="890" t="str">
        <f>IF(N74&lt;'PlayerGrades+'!$AF$21,"F-",IF(N74&lt;'PlayerGrades+'!$AF$20,"F",IF(N74&lt;'PlayerGrades+'!$AF$19,"F+",IF(N74&lt;'PlayerGrades+'!$AF$18,"E-",IF(N74&lt;'PlayerGrades+'!$AF$17,"E",IF(N74&lt;'PlayerGrades+'!$AF$16,"E+",IF(N74&lt;'PlayerGrades+'!$AF$15,"D-",IF(N74&lt;'PlayerGrades+'!$AF$14,"D",IF(N74&lt;'PlayerGrades+'!$AF$13,"D+",IF(N74&lt;'PlayerGrades+'!$AF$12,"C-",IF(N74&lt;'PlayerGrades+'!$AF$11,"C",IF(N74&lt;'PlayerGrades+'!$AF$10,"C+",IF(N74&lt;'PlayerGrades+'!$AF$9,"B-",IF(N74&lt;'PlayerGrades+'!$AF$8,"B",IF(N74&lt;'PlayerGrades+'!$AF$7,"B+",IF(N74&lt;'PlayerGrades+'!$AF$6,"A-",IF(N74&lt;'PlayerGrades+'!$AF$5,"A",IF(N74&lt;'PlayerGrades+'!$AF$4,"A+",IF(N74&lt;'PlayerGrades+'!$AF$3,"S-",IF(N74&lt;'PlayerGrades+'!$AF$2,"S","S+"))))))))))))))))))))</f>
        <v>C</v>
      </c>
      <c r="P74" s="890">
        <f t="shared" si="7"/>
        <v>0.5113636364</v>
      </c>
      <c r="Q74" s="890" t="str">
        <f>IF(P74&lt;'PlayerGrades+'!$AG$21,"F-",IF(P74&lt;'PlayerGrades+'!$AG$20,"F",IF(P74&lt;'PlayerGrades+'!$AG$19,"F+",IF(P74&lt;'PlayerGrades+'!$AG$18,"E-",IF(P74&lt;'PlayerGrades+'!$AG$17,"E",IF(P74&lt;'PlayerGrades+'!$AG$16,"E+",IF(P74&lt;'PlayerGrades+'!$AG$15,"D-",IF(P74&lt;'PlayerGrades+'!$AG$14,"D",IF(P74&lt;'PlayerGrades+'!$AG$13,"D+",IF(P74&lt;'PlayerGrades+'!$AG$12,"C-",IF(P74&lt;'PlayerGrades+'!$AG$11,"C",IF(P74&lt;'PlayerGrades+'!$AG$10,"C+",IF(P74&lt;'PlayerGrades+'!$AG$9,"B-",IF(P74&lt;'PlayerGrades+'!$AG$8,"B",IF(P74&lt;'PlayerGrades+'!$AG$7,"B+",IF(P74&lt;'PlayerGrades+'!$AG$6,"A-",IF(P74&lt;'PlayerGrades+'!$AG$5,"A",IF(P74&lt;'PlayerGrades+'!$AG$4,"A+",IF(P74&lt;'PlayerGrades+'!$AG$3,"S-",IF(P74&lt;'PlayerGrades+'!$AG$2,"S","S+"))))))))))))))))))))</f>
        <v>E+</v>
      </c>
      <c r="R74" s="890">
        <f t="shared" si="8"/>
        <v>0</v>
      </c>
      <c r="S74" s="890" t="str">
        <f>IF(R74&lt;'PlayerGrades+'!$AH$21,"F-",IF(R74&lt;'PlayerGrades+'!$AH$20,"F",IF(R74&lt;'PlayerGrades+'!$AH$19,"F+",IF(R74&lt;'PlayerGrades+'!$AH$18,"E-",IF(R74&lt;'PlayerGrades+'!$AH$17,"E",IF(R74&lt;'PlayerGrades+'!$AH$16,"E+",IF(R74&lt;'PlayerGrades+'!$AH$15,"D-",IF(R74&lt;'PlayerGrades+'!$AH$14,"D",IF(R74&lt;'PlayerGrades+'!$AH$13,"D+",IF(R74&lt;'PlayerGrades+'!$AH$12,"C-",IF(R74&lt;'PlayerGrades+'!$AH$11,"C",IF(R74&lt;'PlayerGrades+'!$AH$10,"C+",IF(R74&lt;'PlayerGrades+'!$AH$9,"B-",IF(R74&lt;'PlayerGrades+'!$AH$8,"B",IF(R74&lt;'PlayerGrades+'!$AH$7,"B+",IF(R74&lt;'PlayerGrades+'!$AH$6,"A-",IF(R74&lt;'PlayerGrades+'!$AH$5,"A",IF(R74&lt;'PlayerGrades+'!$AH$4,"A+",IF(R74&lt;'PlayerGrades+'!$AH$3,"S-",IF(R74&lt;'PlayerGrades+'!$AH$2,"S","S+"))))))))))))))))))))</f>
        <v>F-</v>
      </c>
      <c r="T74" s="890">
        <f t="shared" si="9"/>
        <v>3.238636364</v>
      </c>
      <c r="U74" s="890" t="str">
        <f>IF(T74&lt;'PlayerGrades+'!$AI$21,"F-",IF(T74&lt;'PlayerGrades+'!$AI$20,"F",IF(T74&lt;'PlayerGrades+'!$AI$19,"F+",IF(T74&lt;'PlayerGrades+'!$AI$18,"E-",IF(T74&lt;'PlayerGrades+'!$AI$17,"E",IF(T74&lt;'PlayerGrades+'!$AI$16,"E+",IF(T74&lt;'PlayerGrades+'!$AI$15,"D-",IF(T74&lt;'PlayerGrades+'!$AI$14,"D",IF(T74&lt;'PlayerGrades+'!$AI$13,"D+",IF(T74&lt;'PlayerGrades+'!$AI$12,"C-",IF(T74&lt;'PlayerGrades+'!$AI$11,"C",IF(T74&lt;'PlayerGrades+'!$AI$10,"C+",IF(T74&lt;'PlayerGrades+'!$AI$9,"B-",IF(T74&lt;'PlayerGrades+'!$AI$8,"B",IF(T74&lt;'PlayerGrades+'!$AI$7,"B+",IF(T74&lt;'PlayerGrades+'!$AI$6,"A-",IF(T74&lt;'PlayerGrades+'!$AI$5,"A",IF(T74&lt;'PlayerGrades+'!$AI$4,"A+",IF(T74&lt;'PlayerGrades+'!$AI$3,"S-",IF(T74&lt;'PlayerGrades+'!$AI$2,"S","S+"))))))))))))))))))))</f>
        <v>A-</v>
      </c>
      <c r="V74" s="1169">
        <v>1.0</v>
      </c>
      <c r="W74" s="1169">
        <v>0.0</v>
      </c>
      <c r="X74" s="1169">
        <v>2.0</v>
      </c>
      <c r="Y74" s="1169">
        <v>8.0</v>
      </c>
      <c r="Z74" s="1169">
        <v>57.0</v>
      </c>
      <c r="AA74" s="1169">
        <v>38.0</v>
      </c>
      <c r="AB74" s="925">
        <f t="shared" si="10"/>
        <v>19</v>
      </c>
      <c r="AC74" s="930">
        <f t="shared" si="11"/>
        <v>1.5</v>
      </c>
      <c r="AD74" s="1169">
        <v>0.0</v>
      </c>
      <c r="AE74" s="1300">
        <v>1056.0</v>
      </c>
      <c r="AF74" s="1169">
        <v>3.0</v>
      </c>
      <c r="AG74" s="1169">
        <v>0.0</v>
      </c>
      <c r="AH74" s="1169">
        <v>0.0</v>
      </c>
      <c r="AI74" s="1169">
        <v>0.0</v>
      </c>
      <c r="AJ74" s="1169">
        <v>0.0</v>
      </c>
      <c r="AK74" s="1169">
        <v>7.0</v>
      </c>
      <c r="AL74" s="1169">
        <v>2.0</v>
      </c>
      <c r="AM74" s="1169">
        <v>0.0</v>
      </c>
      <c r="AN74" s="1169">
        <v>0.0</v>
      </c>
      <c r="AO74" s="1169">
        <v>0.0</v>
      </c>
      <c r="AP74" s="1169">
        <v>0.0</v>
      </c>
      <c r="AQ74" s="1169">
        <v>0.0</v>
      </c>
      <c r="AR74" s="1169">
        <v>0.0</v>
      </c>
      <c r="AS74" s="1169">
        <v>0.0</v>
      </c>
      <c r="AT74" s="1169">
        <v>0.0</v>
      </c>
      <c r="AU74" s="1169">
        <v>16.0</v>
      </c>
      <c r="AV74" s="1169">
        <v>0.0</v>
      </c>
      <c r="AW74" s="1169">
        <v>0.0</v>
      </c>
      <c r="AX74" s="1169">
        <v>0.0</v>
      </c>
      <c r="AY74" s="1169">
        <v>0.0</v>
      </c>
      <c r="AZ74" s="1302">
        <v>0.0</v>
      </c>
    </row>
    <row r="75">
      <c r="A75" s="938" t="s">
        <v>106</v>
      </c>
      <c r="B75" s="1100" t="str">
        <f>IF(C75&lt;'PlayerGrades+'!$Y$44,"F-",IF(C75&lt;'PlayerGrades+'!$Y$43,"F",IF(C75&lt;'PlayerGrades+'!$Y$42,"F+",IF(C75&lt;'PlayerGrades+'!$Y$41,"E-",IF(C75&lt;'PlayerGrades+'!$Y$40,"E",IF(C75&lt;'PlayerGrades+'!$Y$39,"E+",IF(C75&lt;'PlayerGrades+'!$Y$38,"D-",IF(C75&lt;'PlayerGrades+'!$Y$37,"D",IF(C75&lt;'PlayerGrades+'!$Y$36,"D+",IF(C75&lt;'PlayerGrades+'!$Y$35,"C-",IF(C75&lt;'PlayerGrades+'!$Y$34,"C",IF(C75&lt;'PlayerGrades+'!$Y$33,"C+",IF(C75&lt;'PlayerGrades+'!$Y$32,"B-",IF(C75&lt;'PlayerGrades+'!$Y$31,"B",IF(C75&lt;'PlayerGrades+'!$Y$30,"B+",IF(C75&lt;'PlayerGrades+'!$Y$29,"A-",IF(C75&lt;'PlayerGrades+'!$Y$28,"A",IF(C75&lt;'PlayerGrades+'!$Y$27,"A+",IF(C75&lt;'PlayerGrades+'!$Y$26,"S-",IF(C75&lt;'PlayerGrades+'!$Y$25,"S","S+"))))))))))))))))))))</f>
        <v>B</v>
      </c>
      <c r="C75" s="1105">
        <f>('PlayerGrades+'!$Y$47*(VLOOKUP(E75, 'PlayerGrades+'!$X$3:$Y$23, 2, FALSE)))+('PlayerGrades+'!$Y$48*(VLOOKUP(G75, 'PlayerGrades+'!$X$3:$Y$23, 2, FALSE)))+('PlayerGrades+'!$Y$49*(VLOOKUP(I75, 'PlayerGrades+'!$X$3:$Y$23, 2, FALSE)))+('PlayerGrades+'!$Y$50*(VLOOKUP(K75, 'PlayerGrades+'!$X$3:$Y$23, 2, FALSE)))+('PlayerGrades+'!$Y$51*(VLOOKUP(M75, 'PlayerGrades+'!$X$3:$Y$23, 2, FALSE)))+('PlayerGrades+'!$Y$52*(VLOOKUP(O75, 'PlayerGrades+'!$X$3:$Y$23, 2, FALSE)))+('PlayerGrades+'!$Y$53*(VLOOKUP(Q75, 'PlayerGrades+'!$X$3:$Y$23, 2, FALSE)))+('PlayerGrades+'!$Y$54*(VLOOKUP(S75, 'PlayerGrades+'!$X$3:$Y$23, 2, FALSE)))+('PlayerGrades+'!$Y$55*(VLOOKUP(U75, 'PlayerGrades+'!$X$3:$Y$23, 2, FALSE)))</f>
        <v>18.55</v>
      </c>
      <c r="D75" s="961">
        <f t="shared" si="1"/>
        <v>0.05681818182</v>
      </c>
      <c r="E75" s="961" t="str">
        <f>IF(D75&lt;'PlayerGrades+'!$AA$21,"F-",IF(D75&lt;'PlayerGrades+'!$AA$20,"F",IF(D75&lt;'PlayerGrades+'!$AA$19,"F+",IF(D75&lt;'PlayerGrades+'!$AA$18,"E-",IF(D75&lt;'PlayerGrades+'!$AA$17,"E",IF(D75&lt;'PlayerGrades+'!$AA$16,"E+",IF(D75&lt;'PlayerGrades+'!$AA$15,"D-",IF(D75&lt;'PlayerGrades+'!$AA$14,"D",IF(D75&lt;'PlayerGrades+'!$AA$13,"D+",IF(D75&lt;'PlayerGrades+'!$AA$12,"C-",IF(D75&lt;'PlayerGrades+'!$AA$11,"C",IF(D75&lt;'PlayerGrades+'!$AA$10,"C+",IF(D75&lt;'PlayerGrades+'!$AA$9,"B-",IF(D75&lt;'PlayerGrades+'!$AA$8,"B",IF(D75&lt;'PlayerGrades+'!$AA$7,"B+",IF(D75&lt;'PlayerGrades+'!$AA$6,"A-",IF(D75&lt;'PlayerGrades+'!$AA$5,"A",IF(D75&lt;'PlayerGrades+'!$AA$4,"A+",IF(D75&lt;'PlayerGrades+'!$AA$3,"S-",IF(D75&lt;'PlayerGrades+'!$AA$2,"S","S+"))))))))))))))))))))</f>
        <v>B</v>
      </c>
      <c r="F75" s="961">
        <f t="shared" si="2"/>
        <v>0.05392912173</v>
      </c>
      <c r="G75" s="961" t="str">
        <f>IF(F75&lt;'PlayerGrades+'!$AB$21,"F-",IF(F75&lt;'PlayerGrades+'!$AB$20,"F",IF(F75&lt;'PlayerGrades+'!$AB$19,"F+",IF(F75&lt;'PlayerGrades+'!$AB$18,"E-",IF(F75&lt;'PlayerGrades+'!$AB$17,"E",IF(F75&lt;'PlayerGrades+'!$AB$16,"E+",IF(F75&lt;'PlayerGrades+'!$AB$15,"D-",IF(F75&lt;'PlayerGrades+'!$AB$14,"D",IF(F75&lt;'PlayerGrades+'!$AB$13,"D+",IF(F75&lt;'PlayerGrades+'!$AB$12,"C-",IF(F75&lt;'PlayerGrades+'!$AB$11,"C",IF(F75&lt;'PlayerGrades+'!$AB$10,"C+",IF(F75&lt;'PlayerGrades+'!$AB$9,"B-",IF(F75&lt;'PlayerGrades+'!$AB$8,"B",IF(F75&lt;'PlayerGrades+'!$AB$7,"B+",IF(F75&lt;'PlayerGrades+'!$AB$6,"A-",IF(F75&lt;'PlayerGrades+'!$AB$5,"A",IF(F75&lt;'PlayerGrades+'!$AB$4,"A+",IF(F75&lt;'PlayerGrades+'!$AB$3,"S-",IF(F75&lt;'PlayerGrades+'!$AB$2,"S","S+"))))))))))))))))))))</f>
        <v>A</v>
      </c>
      <c r="H75" s="961">
        <f t="shared" si="3"/>
        <v>0.5113636364</v>
      </c>
      <c r="I75" s="961" t="str">
        <f>IF(H75&lt;'PlayerGrades+'!$AC$21,"F-",IF(H75&lt;'PlayerGrades+'!$AC$20,"F",IF(H75&lt;'PlayerGrades+'!$AC$19,"F+",IF(H75&lt;'PlayerGrades+'!$AC$18,"E-",IF(H75&lt;'PlayerGrades+'!$AC$17,"E",IF(H75&lt;'PlayerGrades+'!$AC$16,"E+",IF(H75&lt;'PlayerGrades+'!$AC$15,"D-",IF(H75&lt;'PlayerGrades+'!$AC$14,"D",IF(H75&lt;'PlayerGrades+'!$AC$13,"D+",IF(H75&lt;'PlayerGrades+'!$AC$12,"C-",IF(H75&lt;'PlayerGrades+'!$AC$11,"C",IF(H75&lt;'PlayerGrades+'!$AC$10,"C+",IF(H75&lt;'PlayerGrades+'!$AC$9,"B-",IF(H75&lt;'PlayerGrades+'!$AC$8,"B",IF(H75&lt;'PlayerGrades+'!$AC$7,"B+",IF(H75&lt;'PlayerGrades+'!$AC$6,"A-",IF(H75&lt;'PlayerGrades+'!$AC$5,"A",IF(H75&lt;'PlayerGrades+'!$AC$4,"A+",IF(H75&lt;'PlayerGrades+'!$AC$3,"S-",IF(H75&lt;'PlayerGrades+'!$AC$2,"S","S+"))))))))))))))))))))</f>
        <v>B+</v>
      </c>
      <c r="J75" s="961">
        <f t="shared" si="4"/>
        <v>0</v>
      </c>
      <c r="K75" s="961" t="str">
        <f>IF(J75&lt;'PlayerGrades+'!$AD$21,"F-",IF(J75&lt;'PlayerGrades+'!$AD$20,"F",IF(J75&lt;'PlayerGrades+'!$AD$19,"F+",IF(J75&lt;'PlayerGrades+'!$AD$18,"E-",IF(J75&lt;'PlayerGrades+'!$AD$17,"E",IF(J75&lt;'PlayerGrades+'!$AD$16,"E+",IF(J75&lt;'PlayerGrades+'!$AD$15,"D-",IF(J75&lt;'PlayerGrades+'!$AD$14,"D",IF(J75&lt;'PlayerGrades+'!$AD$13,"D+",IF(J75&lt;'PlayerGrades+'!$AD$12,"C-",IF(J75&lt;'PlayerGrades+'!$AD$11,"C",IF(J75&lt;'PlayerGrades+'!$AD$10,"C+",IF(J75&lt;'PlayerGrades+'!$AD$9,"B-",IF(J75&lt;'PlayerGrades+'!$AD$8,"B",IF(J75&lt;'PlayerGrades+'!$AD$7,"B+",IF(J75&lt;'PlayerGrades+'!$AD$6,"A-",IF(J75&lt;'PlayerGrades+'!$AD$5,"A",IF(J75&lt;'PlayerGrades+'!$AD$4,"A+",IF(J75&lt;'PlayerGrades+'!$AD$3,"S-",IF(J75&lt;'PlayerGrades+'!$AD$2,"S","S+"))))))))))))))))))))</f>
        <v>F-</v>
      </c>
      <c r="L75" s="992">
        <f t="shared" si="5"/>
        <v>0.4545454545</v>
      </c>
      <c r="M75" s="992" t="str">
        <f>IF(L75&lt;'PlayerGrades+'!$AE$21,"F-",IF(L75&lt;'PlayerGrades+'!$AE$20,"F",IF(L75&lt;'PlayerGrades+'!$AE$19,"F+",IF(L75&lt;'PlayerGrades+'!$AE$18,"E-",IF(L75&lt;'PlayerGrades+'!$AE$17,"E",IF(L75&lt;'PlayerGrades+'!$AE$16,"E+",IF(L75&lt;'PlayerGrades+'!$AE$15,"D-",IF(L75&lt;'PlayerGrades+'!$AE$14,"D",IF(L75&lt;'PlayerGrades+'!$AE$13,"D+",IF(L75&lt;'PlayerGrades+'!$AE$12,"C-",IF(L75&lt;'PlayerGrades+'!$AE$11,"C",IF(L75&lt;'PlayerGrades+'!$AE$10,"C+",IF(L75&lt;'PlayerGrades+'!$AE$9,"B-",IF(L75&lt;'PlayerGrades+'!$AE$8,"B",IF(L75&lt;'PlayerGrades+'!$AE$7,"B+",IF(L75&lt;'PlayerGrades+'!$AE$6,"A-",IF(L75&lt;'PlayerGrades+'!$AE$5,"A",IF(L75&lt;'PlayerGrades+'!$AE$4,"A+",IF(L75&lt;'PlayerGrades+'!$AE$3,"S-",IF(L75&lt;'PlayerGrades+'!$AE$2,"S","S+"))))))))))))))))))))</f>
        <v>B-</v>
      </c>
      <c r="N75" s="961">
        <f t="shared" si="6"/>
        <v>0.05681818182</v>
      </c>
      <c r="O75" s="961" t="str">
        <f>IF(N75&lt;'PlayerGrades+'!$AF$21,"F-",IF(N75&lt;'PlayerGrades+'!$AF$20,"F",IF(N75&lt;'PlayerGrades+'!$AF$19,"F+",IF(N75&lt;'PlayerGrades+'!$AF$18,"E-",IF(N75&lt;'PlayerGrades+'!$AF$17,"E",IF(N75&lt;'PlayerGrades+'!$AF$16,"E+",IF(N75&lt;'PlayerGrades+'!$AF$15,"D-",IF(N75&lt;'PlayerGrades+'!$AF$14,"D",IF(N75&lt;'PlayerGrades+'!$AF$13,"D+",IF(N75&lt;'PlayerGrades+'!$AF$12,"C-",IF(N75&lt;'PlayerGrades+'!$AF$11,"C",IF(N75&lt;'PlayerGrades+'!$AF$10,"C+",IF(N75&lt;'PlayerGrades+'!$AF$9,"B-",IF(N75&lt;'PlayerGrades+'!$AF$8,"B",IF(N75&lt;'PlayerGrades+'!$AF$7,"B+",IF(N75&lt;'PlayerGrades+'!$AF$6,"A-",IF(N75&lt;'PlayerGrades+'!$AF$5,"A",IF(N75&lt;'PlayerGrades+'!$AF$4,"A+",IF(N75&lt;'PlayerGrades+'!$AF$3,"S-",IF(N75&lt;'PlayerGrades+'!$AF$2,"S","S+"))))))))))))))))))))</f>
        <v>F+</v>
      </c>
      <c r="P75" s="961">
        <f t="shared" si="7"/>
        <v>0.625</v>
      </c>
      <c r="Q75" s="961" t="str">
        <f>IF(P75&lt;'PlayerGrades+'!$AG$21,"F-",IF(P75&lt;'PlayerGrades+'!$AG$20,"F",IF(P75&lt;'PlayerGrades+'!$AG$19,"F+",IF(P75&lt;'PlayerGrades+'!$AG$18,"E-",IF(P75&lt;'PlayerGrades+'!$AG$17,"E",IF(P75&lt;'PlayerGrades+'!$AG$16,"E+",IF(P75&lt;'PlayerGrades+'!$AG$15,"D-",IF(P75&lt;'PlayerGrades+'!$AG$14,"D",IF(P75&lt;'PlayerGrades+'!$AG$13,"D+",IF(P75&lt;'PlayerGrades+'!$AG$12,"C-",IF(P75&lt;'PlayerGrades+'!$AG$11,"C",IF(P75&lt;'PlayerGrades+'!$AG$10,"C+",IF(P75&lt;'PlayerGrades+'!$AG$9,"B-",IF(P75&lt;'PlayerGrades+'!$AG$8,"B",IF(P75&lt;'PlayerGrades+'!$AG$7,"B+",IF(P75&lt;'PlayerGrades+'!$AG$6,"A-",IF(P75&lt;'PlayerGrades+'!$AG$5,"A",IF(P75&lt;'PlayerGrades+'!$AG$4,"A+",IF(P75&lt;'PlayerGrades+'!$AG$3,"S-",IF(P75&lt;'PlayerGrades+'!$AG$2,"S","S+"))))))))))))))))))))</f>
        <v>B-</v>
      </c>
      <c r="R75" s="961">
        <f t="shared" si="8"/>
        <v>0.05681818182</v>
      </c>
      <c r="S75" s="961" t="str">
        <f>IF(R75&lt;'PlayerGrades+'!$AH$21,"F-",IF(R75&lt;'PlayerGrades+'!$AH$20,"F",IF(R75&lt;'PlayerGrades+'!$AH$19,"F+",IF(R75&lt;'PlayerGrades+'!$AH$18,"E-",IF(R75&lt;'PlayerGrades+'!$AH$17,"E",IF(R75&lt;'PlayerGrades+'!$AH$16,"E+",IF(R75&lt;'PlayerGrades+'!$AH$15,"D-",IF(R75&lt;'PlayerGrades+'!$AH$14,"D",IF(R75&lt;'PlayerGrades+'!$AH$13,"D+",IF(R75&lt;'PlayerGrades+'!$AH$12,"C-",IF(R75&lt;'PlayerGrades+'!$AH$11,"C",IF(R75&lt;'PlayerGrades+'!$AH$10,"C+",IF(R75&lt;'PlayerGrades+'!$AH$9,"B-",IF(R75&lt;'PlayerGrades+'!$AH$8,"B",IF(R75&lt;'PlayerGrades+'!$AH$7,"B+",IF(R75&lt;'PlayerGrades+'!$AH$6,"A-",IF(R75&lt;'PlayerGrades+'!$AH$5,"A",IF(R75&lt;'PlayerGrades+'!$AH$4,"A+",IF(R75&lt;'PlayerGrades+'!$AH$3,"S-",IF(R75&lt;'PlayerGrades+'!$AH$2,"S","S+"))))))))))))))))))))</f>
        <v>C</v>
      </c>
      <c r="T75" s="961">
        <f t="shared" si="9"/>
        <v>3.181818182</v>
      </c>
      <c r="U75" s="961" t="str">
        <f>IF(T75&lt;'PlayerGrades+'!$AI$21,"F-",IF(T75&lt;'PlayerGrades+'!$AI$20,"F",IF(T75&lt;'PlayerGrades+'!$AI$19,"F+",IF(T75&lt;'PlayerGrades+'!$AI$18,"E-",IF(T75&lt;'PlayerGrades+'!$AI$17,"E",IF(T75&lt;'PlayerGrades+'!$AI$16,"E+",IF(T75&lt;'PlayerGrades+'!$AI$15,"D-",IF(T75&lt;'PlayerGrades+'!$AI$14,"D",IF(T75&lt;'PlayerGrades+'!$AI$13,"D+",IF(T75&lt;'PlayerGrades+'!$AI$12,"C-",IF(T75&lt;'PlayerGrades+'!$AI$11,"C",IF(T75&lt;'PlayerGrades+'!$AI$10,"C+",IF(T75&lt;'PlayerGrades+'!$AI$9,"B-",IF(T75&lt;'PlayerGrades+'!$AI$8,"B",IF(T75&lt;'PlayerGrades+'!$AI$7,"B+",IF(T75&lt;'PlayerGrades+'!$AI$6,"A-",IF(T75&lt;'PlayerGrades+'!$AI$5,"A",IF(T75&lt;'PlayerGrades+'!$AI$4,"A+",IF(T75&lt;'PlayerGrades+'!$AI$3,"S-",IF(T75&lt;'PlayerGrades+'!$AI$2,"S","S+"))))))))))))))))))))</f>
        <v>A-</v>
      </c>
      <c r="V75" s="1100">
        <v>1.0</v>
      </c>
      <c r="W75" s="1100">
        <v>0.0</v>
      </c>
      <c r="X75" s="1100">
        <v>1.0</v>
      </c>
      <c r="Y75" s="1100">
        <v>0.0</v>
      </c>
      <c r="Z75" s="1100">
        <v>56.0</v>
      </c>
      <c r="AA75" s="1100">
        <v>59.0</v>
      </c>
      <c r="AB75" s="1017">
        <f t="shared" si="10"/>
        <v>-3</v>
      </c>
      <c r="AC75" s="1020">
        <f t="shared" si="11"/>
        <v>0.9491525424</v>
      </c>
      <c r="AD75" s="1100">
        <v>0.0</v>
      </c>
      <c r="AE75" s="1329">
        <v>1056.0</v>
      </c>
      <c r="AF75" s="1100">
        <v>0.0</v>
      </c>
      <c r="AG75" s="1100">
        <v>0.0</v>
      </c>
      <c r="AH75" s="1100">
        <v>0.0</v>
      </c>
      <c r="AI75" s="1100">
        <v>0.0</v>
      </c>
      <c r="AJ75" s="1100">
        <v>2.0</v>
      </c>
      <c r="AK75" s="1100">
        <v>8.0</v>
      </c>
      <c r="AL75" s="1100">
        <v>1.0</v>
      </c>
      <c r="AM75" s="1100">
        <v>0.0</v>
      </c>
      <c r="AN75" s="1100">
        <v>0.0</v>
      </c>
      <c r="AO75" s="1100">
        <v>0.0</v>
      </c>
      <c r="AP75" s="1100">
        <v>0.0</v>
      </c>
      <c r="AQ75" s="1100">
        <v>0.0</v>
      </c>
      <c r="AR75" s="1100">
        <v>0.0</v>
      </c>
      <c r="AS75" s="1100">
        <v>0.0</v>
      </c>
      <c r="AT75" s="1100">
        <v>0.0</v>
      </c>
      <c r="AU75" s="1100">
        <v>9.0</v>
      </c>
      <c r="AV75" s="1100">
        <v>0.0</v>
      </c>
      <c r="AW75" s="1100">
        <v>0.0</v>
      </c>
      <c r="AX75" s="1100">
        <v>0.0</v>
      </c>
      <c r="AY75" s="1100">
        <v>1.0</v>
      </c>
      <c r="AZ75" s="1239">
        <v>0.0</v>
      </c>
    </row>
    <row r="76">
      <c r="A76" s="938" t="s">
        <v>41</v>
      </c>
      <c r="B76" s="1100" t="str">
        <f>IF(C76&lt;'PlayerGrades+'!$Y$44,"F-",IF(C76&lt;'PlayerGrades+'!$Y$43,"F",IF(C76&lt;'PlayerGrades+'!$Y$42,"F+",IF(C76&lt;'PlayerGrades+'!$Y$41,"E-",IF(C76&lt;'PlayerGrades+'!$Y$40,"E",IF(C76&lt;'PlayerGrades+'!$Y$39,"E+",IF(C76&lt;'PlayerGrades+'!$Y$38,"D-",IF(C76&lt;'PlayerGrades+'!$Y$37,"D",IF(C76&lt;'PlayerGrades+'!$Y$36,"D+",IF(C76&lt;'PlayerGrades+'!$Y$35,"C-",IF(C76&lt;'PlayerGrades+'!$Y$34,"C",IF(C76&lt;'PlayerGrades+'!$Y$33,"C+",IF(C76&lt;'PlayerGrades+'!$Y$32,"B-",IF(C76&lt;'PlayerGrades+'!$Y$31,"B",IF(C76&lt;'PlayerGrades+'!$Y$30,"B+",IF(C76&lt;'PlayerGrades+'!$Y$29,"A-",IF(C76&lt;'PlayerGrades+'!$Y$28,"A",IF(C76&lt;'PlayerGrades+'!$Y$27,"A+",IF(C76&lt;'PlayerGrades+'!$Y$26,"S-",IF(C76&lt;'PlayerGrades+'!$Y$25,"S","S+"))))))))))))))))))))</f>
        <v>C</v>
      </c>
      <c r="C76" s="1105">
        <f>('PlayerGrades+'!$Y$47*(VLOOKUP(E76, 'PlayerGrades+'!$X$3:$Y$23, 2, FALSE)))+('PlayerGrades+'!$Y$48*(VLOOKUP(G76, 'PlayerGrades+'!$X$3:$Y$23, 2, FALSE)))+('PlayerGrades+'!$Y$49*(VLOOKUP(I76, 'PlayerGrades+'!$X$3:$Y$23, 2, FALSE)))+('PlayerGrades+'!$Y$50*(VLOOKUP(K76, 'PlayerGrades+'!$X$3:$Y$23, 2, FALSE)))+('PlayerGrades+'!$Y$51*(VLOOKUP(M76, 'PlayerGrades+'!$X$3:$Y$23, 2, FALSE)))+('PlayerGrades+'!$Y$52*(VLOOKUP(O76, 'PlayerGrades+'!$X$3:$Y$23, 2, FALSE)))+('PlayerGrades+'!$Y$53*(VLOOKUP(Q76, 'PlayerGrades+'!$X$3:$Y$23, 2, FALSE)))+('PlayerGrades+'!$Y$54*(VLOOKUP(S76, 'PlayerGrades+'!$X$3:$Y$23, 2, FALSE)))+('PlayerGrades+'!$Y$55*(VLOOKUP(U76, 'PlayerGrades+'!$X$3:$Y$23, 2, FALSE)))</f>
        <v>15</v>
      </c>
      <c r="D76" s="961">
        <f t="shared" si="1"/>
        <v>0</v>
      </c>
      <c r="E76" s="961" t="str">
        <f>IF(D76&lt;'PlayerGrades+'!$AA$21,"F-",IF(D76&lt;'PlayerGrades+'!$AA$20,"F",IF(D76&lt;'PlayerGrades+'!$AA$19,"F+",IF(D76&lt;'PlayerGrades+'!$AA$18,"E-",IF(D76&lt;'PlayerGrades+'!$AA$17,"E",IF(D76&lt;'PlayerGrades+'!$AA$16,"E+",IF(D76&lt;'PlayerGrades+'!$AA$15,"D-",IF(D76&lt;'PlayerGrades+'!$AA$14,"D",IF(D76&lt;'PlayerGrades+'!$AA$13,"D+",IF(D76&lt;'PlayerGrades+'!$AA$12,"C-",IF(D76&lt;'PlayerGrades+'!$AA$11,"C",IF(D76&lt;'PlayerGrades+'!$AA$10,"C+",IF(D76&lt;'PlayerGrades+'!$AA$9,"B-",IF(D76&lt;'PlayerGrades+'!$AA$8,"B",IF(D76&lt;'PlayerGrades+'!$AA$7,"B+",IF(D76&lt;'PlayerGrades+'!$AA$6,"A-",IF(D76&lt;'PlayerGrades+'!$AA$5,"A",IF(D76&lt;'PlayerGrades+'!$AA$4,"A+",IF(D76&lt;'PlayerGrades+'!$AA$3,"S-",IF(D76&lt;'PlayerGrades+'!$AA$2,"S","S+"))))))))))))))))))))</f>
        <v>F-</v>
      </c>
      <c r="F76" s="961">
        <f t="shared" si="2"/>
        <v>0.05026223776</v>
      </c>
      <c r="G76" s="961" t="str">
        <f>IF(F76&lt;'PlayerGrades+'!$AB$21,"F-",IF(F76&lt;'PlayerGrades+'!$AB$20,"F",IF(F76&lt;'PlayerGrades+'!$AB$19,"F+",IF(F76&lt;'PlayerGrades+'!$AB$18,"E-",IF(F76&lt;'PlayerGrades+'!$AB$17,"E",IF(F76&lt;'PlayerGrades+'!$AB$16,"E+",IF(F76&lt;'PlayerGrades+'!$AB$15,"D-",IF(F76&lt;'PlayerGrades+'!$AB$14,"D",IF(F76&lt;'PlayerGrades+'!$AB$13,"D+",IF(F76&lt;'PlayerGrades+'!$AB$12,"C-",IF(F76&lt;'PlayerGrades+'!$AB$11,"C",IF(F76&lt;'PlayerGrades+'!$AB$10,"C+",IF(F76&lt;'PlayerGrades+'!$AB$9,"B-",IF(F76&lt;'PlayerGrades+'!$AB$8,"B",IF(F76&lt;'PlayerGrades+'!$AB$7,"B+",IF(F76&lt;'PlayerGrades+'!$AB$6,"A-",IF(F76&lt;'PlayerGrades+'!$AB$5,"A",IF(F76&lt;'PlayerGrades+'!$AB$4,"A+",IF(F76&lt;'PlayerGrades+'!$AB$3,"S-",IF(F76&lt;'PlayerGrades+'!$AB$2,"S","S+"))))))))))))))))))))</f>
        <v>A</v>
      </c>
      <c r="H76" s="961">
        <f t="shared" si="3"/>
        <v>0.6818181818</v>
      </c>
      <c r="I76" s="961" t="str">
        <f>IF(H76&lt;'PlayerGrades+'!$AC$21,"F-",IF(H76&lt;'PlayerGrades+'!$AC$20,"F",IF(H76&lt;'PlayerGrades+'!$AC$19,"F+",IF(H76&lt;'PlayerGrades+'!$AC$18,"E-",IF(H76&lt;'PlayerGrades+'!$AC$17,"E",IF(H76&lt;'PlayerGrades+'!$AC$16,"E+",IF(H76&lt;'PlayerGrades+'!$AC$15,"D-",IF(H76&lt;'PlayerGrades+'!$AC$14,"D",IF(H76&lt;'PlayerGrades+'!$AC$13,"D+",IF(H76&lt;'PlayerGrades+'!$AC$12,"C-",IF(H76&lt;'PlayerGrades+'!$AC$11,"C",IF(H76&lt;'PlayerGrades+'!$AC$10,"C+",IF(H76&lt;'PlayerGrades+'!$AC$9,"B-",IF(H76&lt;'PlayerGrades+'!$AC$8,"B",IF(H76&lt;'PlayerGrades+'!$AC$7,"B+",IF(H76&lt;'PlayerGrades+'!$AC$6,"A-",IF(H76&lt;'PlayerGrades+'!$AC$5,"A",IF(H76&lt;'PlayerGrades+'!$AC$4,"A+",IF(H76&lt;'PlayerGrades+'!$AC$3,"S-",IF(H76&lt;'PlayerGrades+'!$AC$2,"S","S+"))))))))))))))))))))</f>
        <v>A+</v>
      </c>
      <c r="J76" s="961">
        <f t="shared" si="4"/>
        <v>0</v>
      </c>
      <c r="K76" s="961" t="str">
        <f>IF(J76&lt;'PlayerGrades+'!$AD$21,"F-",IF(J76&lt;'PlayerGrades+'!$AD$20,"F",IF(J76&lt;'PlayerGrades+'!$AD$19,"F+",IF(J76&lt;'PlayerGrades+'!$AD$18,"E-",IF(J76&lt;'PlayerGrades+'!$AD$17,"E",IF(J76&lt;'PlayerGrades+'!$AD$16,"E+",IF(J76&lt;'PlayerGrades+'!$AD$15,"D-",IF(J76&lt;'PlayerGrades+'!$AD$14,"D",IF(J76&lt;'PlayerGrades+'!$AD$13,"D+",IF(J76&lt;'PlayerGrades+'!$AD$12,"C-",IF(J76&lt;'PlayerGrades+'!$AD$11,"C",IF(J76&lt;'PlayerGrades+'!$AD$10,"C+",IF(J76&lt;'PlayerGrades+'!$AD$9,"B-",IF(J76&lt;'PlayerGrades+'!$AD$8,"B",IF(J76&lt;'PlayerGrades+'!$AD$7,"B+",IF(J76&lt;'PlayerGrades+'!$AD$6,"A-",IF(J76&lt;'PlayerGrades+'!$AD$5,"A",IF(J76&lt;'PlayerGrades+'!$AD$4,"A+",IF(J76&lt;'PlayerGrades+'!$AD$3,"S-",IF(J76&lt;'PlayerGrades+'!$AD$2,"S","S+"))))))))))))))))))))</f>
        <v>F-</v>
      </c>
      <c r="L76" s="992">
        <f t="shared" si="5"/>
        <v>0.5681818182</v>
      </c>
      <c r="M76" s="992" t="str">
        <f>IF(L76&lt;'PlayerGrades+'!$AE$21,"F-",IF(L76&lt;'PlayerGrades+'!$AE$20,"F",IF(L76&lt;'PlayerGrades+'!$AE$19,"F+",IF(L76&lt;'PlayerGrades+'!$AE$18,"E-",IF(L76&lt;'PlayerGrades+'!$AE$17,"E",IF(L76&lt;'PlayerGrades+'!$AE$16,"E+",IF(L76&lt;'PlayerGrades+'!$AE$15,"D-",IF(L76&lt;'PlayerGrades+'!$AE$14,"D",IF(L76&lt;'PlayerGrades+'!$AE$13,"D+",IF(L76&lt;'PlayerGrades+'!$AE$12,"C-",IF(L76&lt;'PlayerGrades+'!$AE$11,"C",IF(L76&lt;'PlayerGrades+'!$AE$10,"C+",IF(L76&lt;'PlayerGrades+'!$AE$9,"B-",IF(L76&lt;'PlayerGrades+'!$AE$8,"B",IF(L76&lt;'PlayerGrades+'!$AE$7,"B+",IF(L76&lt;'PlayerGrades+'!$AE$6,"A-",IF(L76&lt;'PlayerGrades+'!$AE$5,"A",IF(L76&lt;'PlayerGrades+'!$AE$4,"A+",IF(L76&lt;'PlayerGrades+'!$AE$3,"S-",IF(L76&lt;'PlayerGrades+'!$AE$2,"S","S+"))))))))))))))))))))</f>
        <v>A-</v>
      </c>
      <c r="N76" s="961">
        <f t="shared" si="6"/>
        <v>0.05681818182</v>
      </c>
      <c r="O76" s="961" t="str">
        <f>IF(N76&lt;'PlayerGrades+'!$AF$21,"F-",IF(N76&lt;'PlayerGrades+'!$AF$20,"F",IF(N76&lt;'PlayerGrades+'!$AF$19,"F+",IF(N76&lt;'PlayerGrades+'!$AF$18,"E-",IF(N76&lt;'PlayerGrades+'!$AF$17,"E",IF(N76&lt;'PlayerGrades+'!$AF$16,"E+",IF(N76&lt;'PlayerGrades+'!$AF$15,"D-",IF(N76&lt;'PlayerGrades+'!$AF$14,"D",IF(N76&lt;'PlayerGrades+'!$AF$13,"D+",IF(N76&lt;'PlayerGrades+'!$AF$12,"C-",IF(N76&lt;'PlayerGrades+'!$AF$11,"C",IF(N76&lt;'PlayerGrades+'!$AF$10,"C+",IF(N76&lt;'PlayerGrades+'!$AF$9,"B-",IF(N76&lt;'PlayerGrades+'!$AF$8,"B",IF(N76&lt;'PlayerGrades+'!$AF$7,"B+",IF(N76&lt;'PlayerGrades+'!$AF$6,"A-",IF(N76&lt;'PlayerGrades+'!$AF$5,"A",IF(N76&lt;'PlayerGrades+'!$AF$4,"A+",IF(N76&lt;'PlayerGrades+'!$AF$3,"S-",IF(N76&lt;'PlayerGrades+'!$AF$2,"S","S+"))))))))))))))))))))</f>
        <v>F+</v>
      </c>
      <c r="P76" s="961">
        <f t="shared" si="7"/>
        <v>0.625</v>
      </c>
      <c r="Q76" s="961" t="str">
        <f>IF(P76&lt;'PlayerGrades+'!$AG$21,"F-",IF(P76&lt;'PlayerGrades+'!$AG$20,"F",IF(P76&lt;'PlayerGrades+'!$AG$19,"F+",IF(P76&lt;'PlayerGrades+'!$AG$18,"E-",IF(P76&lt;'PlayerGrades+'!$AG$17,"E",IF(P76&lt;'PlayerGrades+'!$AG$16,"E+",IF(P76&lt;'PlayerGrades+'!$AG$15,"D-",IF(P76&lt;'PlayerGrades+'!$AG$14,"D",IF(P76&lt;'PlayerGrades+'!$AG$13,"D+",IF(P76&lt;'PlayerGrades+'!$AG$12,"C-",IF(P76&lt;'PlayerGrades+'!$AG$11,"C",IF(P76&lt;'PlayerGrades+'!$AG$10,"C+",IF(P76&lt;'PlayerGrades+'!$AG$9,"B-",IF(P76&lt;'PlayerGrades+'!$AG$8,"B",IF(P76&lt;'PlayerGrades+'!$AG$7,"B+",IF(P76&lt;'PlayerGrades+'!$AG$6,"A-",IF(P76&lt;'PlayerGrades+'!$AG$5,"A",IF(P76&lt;'PlayerGrades+'!$AG$4,"A+",IF(P76&lt;'PlayerGrades+'!$AG$3,"S-",IF(P76&lt;'PlayerGrades+'!$AG$2,"S","S+"))))))))))))))))))))</f>
        <v>B-</v>
      </c>
      <c r="R76" s="961">
        <f t="shared" si="8"/>
        <v>0.05681818182</v>
      </c>
      <c r="S76" s="961" t="str">
        <f>IF(R76&lt;'PlayerGrades+'!$AH$21,"F-",IF(R76&lt;'PlayerGrades+'!$AH$20,"F",IF(R76&lt;'PlayerGrades+'!$AH$19,"F+",IF(R76&lt;'PlayerGrades+'!$AH$18,"E-",IF(R76&lt;'PlayerGrades+'!$AH$17,"E",IF(R76&lt;'PlayerGrades+'!$AH$16,"E+",IF(R76&lt;'PlayerGrades+'!$AH$15,"D-",IF(R76&lt;'PlayerGrades+'!$AH$14,"D",IF(R76&lt;'PlayerGrades+'!$AH$13,"D+",IF(R76&lt;'PlayerGrades+'!$AH$12,"C-",IF(R76&lt;'PlayerGrades+'!$AH$11,"C",IF(R76&lt;'PlayerGrades+'!$AH$10,"C+",IF(R76&lt;'PlayerGrades+'!$AH$9,"B-",IF(R76&lt;'PlayerGrades+'!$AH$8,"B",IF(R76&lt;'PlayerGrades+'!$AH$7,"B+",IF(R76&lt;'PlayerGrades+'!$AH$6,"A-",IF(R76&lt;'PlayerGrades+'!$AH$5,"A",IF(R76&lt;'PlayerGrades+'!$AH$4,"A+",IF(R76&lt;'PlayerGrades+'!$AH$3,"S-",IF(R76&lt;'PlayerGrades+'!$AH$2,"S","S+"))))))))))))))))))))</f>
        <v>C</v>
      </c>
      <c r="T76" s="961">
        <f t="shared" si="9"/>
        <v>2.613636364</v>
      </c>
      <c r="U76" s="961" t="str">
        <f>IF(T76&lt;'PlayerGrades+'!$AI$21,"F-",IF(T76&lt;'PlayerGrades+'!$AI$20,"F",IF(T76&lt;'PlayerGrades+'!$AI$19,"F+",IF(T76&lt;'PlayerGrades+'!$AI$18,"E-",IF(T76&lt;'PlayerGrades+'!$AI$17,"E",IF(T76&lt;'PlayerGrades+'!$AI$16,"E+",IF(T76&lt;'PlayerGrades+'!$AI$15,"D-",IF(T76&lt;'PlayerGrades+'!$AI$14,"D",IF(T76&lt;'PlayerGrades+'!$AI$13,"D+",IF(T76&lt;'PlayerGrades+'!$AI$12,"C-",IF(T76&lt;'PlayerGrades+'!$AI$11,"C",IF(T76&lt;'PlayerGrades+'!$AI$10,"C+",IF(T76&lt;'PlayerGrades+'!$AI$9,"B-",IF(T76&lt;'PlayerGrades+'!$AI$8,"B",IF(T76&lt;'PlayerGrades+'!$AI$7,"B+",IF(T76&lt;'PlayerGrades+'!$AI$6,"A-",IF(T76&lt;'PlayerGrades+'!$AI$5,"A",IF(T76&lt;'PlayerGrades+'!$AI$4,"A+",IF(T76&lt;'PlayerGrades+'!$AI$3,"S-",IF(T76&lt;'PlayerGrades+'!$AI$2,"S","S+"))))))))))))))))))))</f>
        <v>D</v>
      </c>
      <c r="V76" s="1100">
        <v>1.0</v>
      </c>
      <c r="W76" s="1100">
        <v>0.0</v>
      </c>
      <c r="X76" s="1100">
        <v>0.0</v>
      </c>
      <c r="Y76" s="1100">
        <v>0.0</v>
      </c>
      <c r="Z76" s="1100">
        <v>46.0</v>
      </c>
      <c r="AA76" s="1100">
        <v>52.0</v>
      </c>
      <c r="AB76" s="1017">
        <f t="shared" si="10"/>
        <v>-6</v>
      </c>
      <c r="AC76" s="1020">
        <f t="shared" si="11"/>
        <v>0.8846153846</v>
      </c>
      <c r="AD76" s="1100">
        <v>0.0</v>
      </c>
      <c r="AE76" s="1329">
        <v>1056.0</v>
      </c>
      <c r="AF76" s="1100">
        <v>0.0</v>
      </c>
      <c r="AG76" s="1100">
        <v>0.0</v>
      </c>
      <c r="AH76" s="1100">
        <v>0.0</v>
      </c>
      <c r="AI76" s="1100">
        <v>0.0</v>
      </c>
      <c r="AJ76" s="1100">
        <v>0.0</v>
      </c>
      <c r="AK76" s="1100">
        <v>10.0</v>
      </c>
      <c r="AL76" s="1100">
        <v>1.0</v>
      </c>
      <c r="AM76" s="1100">
        <v>0.0</v>
      </c>
      <c r="AN76" s="1100">
        <v>0.0</v>
      </c>
      <c r="AO76" s="1100">
        <v>0.0</v>
      </c>
      <c r="AP76" s="1100">
        <v>0.0</v>
      </c>
      <c r="AQ76" s="1100">
        <v>0.0</v>
      </c>
      <c r="AR76" s="1100">
        <v>0.0</v>
      </c>
      <c r="AS76" s="1100">
        <v>0.0</v>
      </c>
      <c r="AT76" s="1100">
        <v>0.0</v>
      </c>
      <c r="AU76" s="1100">
        <v>12.0</v>
      </c>
      <c r="AV76" s="1100">
        <v>0.0</v>
      </c>
      <c r="AW76" s="1100">
        <v>0.0</v>
      </c>
      <c r="AX76" s="1100">
        <v>0.0</v>
      </c>
      <c r="AY76" s="1100">
        <v>1.0</v>
      </c>
      <c r="AZ76" s="1239">
        <v>0.0</v>
      </c>
    </row>
    <row r="77">
      <c r="A77" s="938" t="s">
        <v>380</v>
      </c>
      <c r="B77" s="1100" t="str">
        <f>IF(C77&lt;'PlayerGrades+'!$Y$44,"F-",IF(C77&lt;'PlayerGrades+'!$Y$43,"F",IF(C77&lt;'PlayerGrades+'!$Y$42,"F+",IF(C77&lt;'PlayerGrades+'!$Y$41,"E-",IF(C77&lt;'PlayerGrades+'!$Y$40,"E",IF(C77&lt;'PlayerGrades+'!$Y$39,"E+",IF(C77&lt;'PlayerGrades+'!$Y$38,"D-",IF(C77&lt;'PlayerGrades+'!$Y$37,"D",IF(C77&lt;'PlayerGrades+'!$Y$36,"D+",IF(C77&lt;'PlayerGrades+'!$Y$35,"C-",IF(C77&lt;'PlayerGrades+'!$Y$34,"C",IF(C77&lt;'PlayerGrades+'!$Y$33,"C+",IF(C77&lt;'PlayerGrades+'!$Y$32,"B-",IF(C77&lt;'PlayerGrades+'!$Y$31,"B",IF(C77&lt;'PlayerGrades+'!$Y$30,"B+",IF(C77&lt;'PlayerGrades+'!$Y$29,"A-",IF(C77&lt;'PlayerGrades+'!$Y$28,"A",IF(C77&lt;'PlayerGrades+'!$Y$27,"A+",IF(C77&lt;'PlayerGrades+'!$Y$26,"S-",IF(C77&lt;'PlayerGrades+'!$Y$25,"S","S+"))))))))))))))))))))</f>
        <v>D</v>
      </c>
      <c r="C77" s="1105">
        <f>('PlayerGrades+'!$Y$47*(VLOOKUP(E77, 'PlayerGrades+'!$X$3:$Y$23, 2, FALSE)))+('PlayerGrades+'!$Y$48*(VLOOKUP(G77, 'PlayerGrades+'!$X$3:$Y$23, 2, FALSE)))+('PlayerGrades+'!$Y$49*(VLOOKUP(I77, 'PlayerGrades+'!$X$3:$Y$23, 2, FALSE)))+('PlayerGrades+'!$Y$50*(VLOOKUP(K77, 'PlayerGrades+'!$X$3:$Y$23, 2, FALSE)))+('PlayerGrades+'!$Y$51*(VLOOKUP(M77, 'PlayerGrades+'!$X$3:$Y$23, 2, FALSE)))+('PlayerGrades+'!$Y$52*(VLOOKUP(O77, 'PlayerGrades+'!$X$3:$Y$23, 2, FALSE)))+('PlayerGrades+'!$Y$53*(VLOOKUP(Q77, 'PlayerGrades+'!$X$3:$Y$23, 2, FALSE)))+('PlayerGrades+'!$Y$54*(VLOOKUP(S77, 'PlayerGrades+'!$X$3:$Y$23, 2, FALSE)))+('PlayerGrades+'!$Y$55*(VLOOKUP(U77, 'PlayerGrades+'!$X$3:$Y$23, 2, FALSE)))</f>
        <v>13.425</v>
      </c>
      <c r="D77" s="961">
        <f t="shared" si="1"/>
        <v>0.1136363636</v>
      </c>
      <c r="E77" s="961" t="str">
        <f>IF(D77&lt;'PlayerGrades+'!$AA$21,"F-",IF(D77&lt;'PlayerGrades+'!$AA$20,"F",IF(D77&lt;'PlayerGrades+'!$AA$19,"F+",IF(D77&lt;'PlayerGrades+'!$AA$18,"E-",IF(D77&lt;'PlayerGrades+'!$AA$17,"E",IF(D77&lt;'PlayerGrades+'!$AA$16,"E+",IF(D77&lt;'PlayerGrades+'!$AA$15,"D-",IF(D77&lt;'PlayerGrades+'!$AA$14,"D",IF(D77&lt;'PlayerGrades+'!$AA$13,"D+",IF(D77&lt;'PlayerGrades+'!$AA$12,"C-",IF(D77&lt;'PlayerGrades+'!$AA$11,"C",IF(D77&lt;'PlayerGrades+'!$AA$10,"C+",IF(D77&lt;'PlayerGrades+'!$AA$9,"B-",IF(D77&lt;'PlayerGrades+'!$AA$8,"B",IF(D77&lt;'PlayerGrades+'!$AA$7,"B+",IF(D77&lt;'PlayerGrades+'!$AA$6,"A-",IF(D77&lt;'PlayerGrades+'!$AA$5,"A",IF(D77&lt;'PlayerGrades+'!$AA$4,"A+",IF(D77&lt;'PlayerGrades+'!$AA$3,"S-",IF(D77&lt;'PlayerGrades+'!$AA$2,"S","S+"))))))))))))))))))))</f>
        <v>A+</v>
      </c>
      <c r="F77" s="961">
        <f t="shared" si="2"/>
        <v>0.05681818182</v>
      </c>
      <c r="G77" s="961" t="str">
        <f>IF(F77&lt;'PlayerGrades+'!$AB$21,"F-",IF(F77&lt;'PlayerGrades+'!$AB$20,"F",IF(F77&lt;'PlayerGrades+'!$AB$19,"F+",IF(F77&lt;'PlayerGrades+'!$AB$18,"E-",IF(F77&lt;'PlayerGrades+'!$AB$17,"E",IF(F77&lt;'PlayerGrades+'!$AB$16,"E+",IF(F77&lt;'PlayerGrades+'!$AB$15,"D-",IF(F77&lt;'PlayerGrades+'!$AB$14,"D",IF(F77&lt;'PlayerGrades+'!$AB$13,"D+",IF(F77&lt;'PlayerGrades+'!$AB$12,"C-",IF(F77&lt;'PlayerGrades+'!$AB$11,"C",IF(F77&lt;'PlayerGrades+'!$AB$10,"C+",IF(F77&lt;'PlayerGrades+'!$AB$9,"B-",IF(F77&lt;'PlayerGrades+'!$AB$8,"B",IF(F77&lt;'PlayerGrades+'!$AB$7,"B+",IF(F77&lt;'PlayerGrades+'!$AB$6,"A-",IF(F77&lt;'PlayerGrades+'!$AB$5,"A",IF(F77&lt;'PlayerGrades+'!$AB$4,"A+",IF(F77&lt;'PlayerGrades+'!$AB$3,"S-",IF(F77&lt;'PlayerGrades+'!$AB$2,"S","S+"))))))))))))))))))))</f>
        <v>A</v>
      </c>
      <c r="H77" s="961">
        <f t="shared" si="3"/>
        <v>0.3409090909</v>
      </c>
      <c r="I77" s="961" t="str">
        <f>IF(H77&lt;'PlayerGrades+'!$AC$21,"F-",IF(H77&lt;'PlayerGrades+'!$AC$20,"F",IF(H77&lt;'PlayerGrades+'!$AC$19,"F+",IF(H77&lt;'PlayerGrades+'!$AC$18,"E-",IF(H77&lt;'PlayerGrades+'!$AC$17,"E",IF(H77&lt;'PlayerGrades+'!$AC$16,"E+",IF(H77&lt;'PlayerGrades+'!$AC$15,"D-",IF(H77&lt;'PlayerGrades+'!$AC$14,"D",IF(H77&lt;'PlayerGrades+'!$AC$13,"D+",IF(H77&lt;'PlayerGrades+'!$AC$12,"C-",IF(H77&lt;'PlayerGrades+'!$AC$11,"C",IF(H77&lt;'PlayerGrades+'!$AC$10,"C+",IF(H77&lt;'PlayerGrades+'!$AC$9,"B-",IF(H77&lt;'PlayerGrades+'!$AC$8,"B",IF(H77&lt;'PlayerGrades+'!$AC$7,"B+",IF(H77&lt;'PlayerGrades+'!$AC$6,"A-",IF(H77&lt;'PlayerGrades+'!$AC$5,"A",IF(H77&lt;'PlayerGrades+'!$AC$4,"A+",IF(H77&lt;'PlayerGrades+'!$AC$3,"S-",IF(H77&lt;'PlayerGrades+'!$AC$2,"S","S+"))))))))))))))))))))</f>
        <v>E+</v>
      </c>
      <c r="J77" s="961">
        <f t="shared" si="4"/>
        <v>0</v>
      </c>
      <c r="K77" s="961" t="str">
        <f>IF(J77&lt;'PlayerGrades+'!$AD$21,"F-",IF(J77&lt;'PlayerGrades+'!$AD$20,"F",IF(J77&lt;'PlayerGrades+'!$AD$19,"F+",IF(J77&lt;'PlayerGrades+'!$AD$18,"E-",IF(J77&lt;'PlayerGrades+'!$AD$17,"E",IF(J77&lt;'PlayerGrades+'!$AD$16,"E+",IF(J77&lt;'PlayerGrades+'!$AD$15,"D-",IF(J77&lt;'PlayerGrades+'!$AD$14,"D",IF(J77&lt;'PlayerGrades+'!$AD$13,"D+",IF(J77&lt;'PlayerGrades+'!$AD$12,"C-",IF(J77&lt;'PlayerGrades+'!$AD$11,"C",IF(J77&lt;'PlayerGrades+'!$AD$10,"C+",IF(J77&lt;'PlayerGrades+'!$AD$9,"B-",IF(J77&lt;'PlayerGrades+'!$AD$8,"B",IF(J77&lt;'PlayerGrades+'!$AD$7,"B+",IF(J77&lt;'PlayerGrades+'!$AD$6,"A-",IF(J77&lt;'PlayerGrades+'!$AD$5,"A",IF(J77&lt;'PlayerGrades+'!$AD$4,"A+",IF(J77&lt;'PlayerGrades+'!$AD$3,"S-",IF(J77&lt;'PlayerGrades+'!$AD$2,"S","S+"))))))))))))))))))))</f>
        <v>F-</v>
      </c>
      <c r="L77" s="992">
        <f t="shared" si="5"/>
        <v>0.1704545455</v>
      </c>
      <c r="M77" s="992" t="str">
        <f>IF(L77&lt;'PlayerGrades+'!$AE$21,"F-",IF(L77&lt;'PlayerGrades+'!$AE$20,"F",IF(L77&lt;'PlayerGrades+'!$AE$19,"F+",IF(L77&lt;'PlayerGrades+'!$AE$18,"E-",IF(L77&lt;'PlayerGrades+'!$AE$17,"E",IF(L77&lt;'PlayerGrades+'!$AE$16,"E+",IF(L77&lt;'PlayerGrades+'!$AE$15,"D-",IF(L77&lt;'PlayerGrades+'!$AE$14,"D",IF(L77&lt;'PlayerGrades+'!$AE$13,"D+",IF(L77&lt;'PlayerGrades+'!$AE$12,"C-",IF(L77&lt;'PlayerGrades+'!$AE$11,"C",IF(L77&lt;'PlayerGrades+'!$AE$10,"C+",IF(L77&lt;'PlayerGrades+'!$AE$9,"B-",IF(L77&lt;'PlayerGrades+'!$AE$8,"B",IF(L77&lt;'PlayerGrades+'!$AE$7,"B+",IF(L77&lt;'PlayerGrades+'!$AE$6,"A-",IF(L77&lt;'PlayerGrades+'!$AE$5,"A",IF(L77&lt;'PlayerGrades+'!$AE$4,"A+",IF(L77&lt;'PlayerGrades+'!$AE$3,"S-",IF(L77&lt;'PlayerGrades+'!$AE$2,"S","S+"))))))))))))))))))))</f>
        <v>F-</v>
      </c>
      <c r="N77" s="961">
        <f t="shared" si="6"/>
        <v>0.05681818182</v>
      </c>
      <c r="O77" s="961" t="str">
        <f>IF(N77&lt;'PlayerGrades+'!$AF$21,"F-",IF(N77&lt;'PlayerGrades+'!$AF$20,"F",IF(N77&lt;'PlayerGrades+'!$AF$19,"F+",IF(N77&lt;'PlayerGrades+'!$AF$18,"E-",IF(N77&lt;'PlayerGrades+'!$AF$17,"E",IF(N77&lt;'PlayerGrades+'!$AF$16,"E+",IF(N77&lt;'PlayerGrades+'!$AF$15,"D-",IF(N77&lt;'PlayerGrades+'!$AF$14,"D",IF(N77&lt;'PlayerGrades+'!$AF$13,"D+",IF(N77&lt;'PlayerGrades+'!$AF$12,"C-",IF(N77&lt;'PlayerGrades+'!$AF$11,"C",IF(N77&lt;'PlayerGrades+'!$AF$10,"C+",IF(N77&lt;'PlayerGrades+'!$AF$9,"B-",IF(N77&lt;'PlayerGrades+'!$AF$8,"B",IF(N77&lt;'PlayerGrades+'!$AF$7,"B+",IF(N77&lt;'PlayerGrades+'!$AF$6,"A-",IF(N77&lt;'PlayerGrades+'!$AF$5,"A",IF(N77&lt;'PlayerGrades+'!$AF$4,"A+",IF(N77&lt;'PlayerGrades+'!$AF$3,"S-",IF(N77&lt;'PlayerGrades+'!$AF$2,"S","S+"))))))))))))))))))))</f>
        <v>F+</v>
      </c>
      <c r="P77" s="961">
        <f t="shared" si="7"/>
        <v>0.2272727273</v>
      </c>
      <c r="Q77" s="961" t="str">
        <f>IF(P77&lt;'PlayerGrades+'!$AG$21,"F-",IF(P77&lt;'PlayerGrades+'!$AG$20,"F",IF(P77&lt;'PlayerGrades+'!$AG$19,"F+",IF(P77&lt;'PlayerGrades+'!$AG$18,"E-",IF(P77&lt;'PlayerGrades+'!$AG$17,"E",IF(P77&lt;'PlayerGrades+'!$AG$16,"E+",IF(P77&lt;'PlayerGrades+'!$AG$15,"D-",IF(P77&lt;'PlayerGrades+'!$AG$14,"D",IF(P77&lt;'PlayerGrades+'!$AG$13,"D+",IF(P77&lt;'PlayerGrades+'!$AG$12,"C-",IF(P77&lt;'PlayerGrades+'!$AG$11,"C",IF(P77&lt;'PlayerGrades+'!$AG$10,"C+",IF(P77&lt;'PlayerGrades+'!$AG$9,"B-",IF(P77&lt;'PlayerGrades+'!$AG$8,"B",IF(P77&lt;'PlayerGrades+'!$AG$7,"B+",IF(P77&lt;'PlayerGrades+'!$AG$6,"A-",IF(P77&lt;'PlayerGrades+'!$AG$5,"A",IF(P77&lt;'PlayerGrades+'!$AG$4,"A+",IF(P77&lt;'PlayerGrades+'!$AG$3,"S-",IF(P77&lt;'PlayerGrades+'!$AG$2,"S","S+"))))))))))))))))))))</f>
        <v>F-</v>
      </c>
      <c r="R77" s="961">
        <f t="shared" si="8"/>
        <v>0.2272727273</v>
      </c>
      <c r="S77" s="961" t="str">
        <f>IF(R77&lt;'PlayerGrades+'!$AH$21,"F-",IF(R77&lt;'PlayerGrades+'!$AH$20,"F",IF(R77&lt;'PlayerGrades+'!$AH$19,"F+",IF(R77&lt;'PlayerGrades+'!$AH$18,"E-",IF(R77&lt;'PlayerGrades+'!$AH$17,"E",IF(R77&lt;'PlayerGrades+'!$AH$16,"E+",IF(R77&lt;'PlayerGrades+'!$AH$15,"D-",IF(R77&lt;'PlayerGrades+'!$AH$14,"D",IF(R77&lt;'PlayerGrades+'!$AH$13,"D+",IF(R77&lt;'PlayerGrades+'!$AH$12,"C-",IF(R77&lt;'PlayerGrades+'!$AH$11,"C",IF(R77&lt;'PlayerGrades+'!$AH$10,"C+",IF(R77&lt;'PlayerGrades+'!$AH$9,"B-",IF(R77&lt;'PlayerGrades+'!$AH$8,"B",IF(R77&lt;'PlayerGrades+'!$AH$7,"B+",IF(R77&lt;'PlayerGrades+'!$AH$6,"A-",IF(R77&lt;'PlayerGrades+'!$AH$5,"A",IF(R77&lt;'PlayerGrades+'!$AH$4,"A+",IF(R77&lt;'PlayerGrades+'!$AH$3,"S-",IF(R77&lt;'PlayerGrades+'!$AH$2,"S","S+"))))))))))))))))))))</f>
        <v>S+</v>
      </c>
      <c r="T77" s="961">
        <f t="shared" si="9"/>
        <v>1.988636364</v>
      </c>
      <c r="U77" s="961" t="str">
        <f>IF(T77&lt;'PlayerGrades+'!$AI$21,"F-",IF(T77&lt;'PlayerGrades+'!$AI$20,"F",IF(T77&lt;'PlayerGrades+'!$AI$19,"F+",IF(T77&lt;'PlayerGrades+'!$AI$18,"E-",IF(T77&lt;'PlayerGrades+'!$AI$17,"E",IF(T77&lt;'PlayerGrades+'!$AI$16,"E+",IF(T77&lt;'PlayerGrades+'!$AI$15,"D-",IF(T77&lt;'PlayerGrades+'!$AI$14,"D",IF(T77&lt;'PlayerGrades+'!$AI$13,"D+",IF(T77&lt;'PlayerGrades+'!$AI$12,"C-",IF(T77&lt;'PlayerGrades+'!$AI$11,"C",IF(T77&lt;'PlayerGrades+'!$AI$10,"C+",IF(T77&lt;'PlayerGrades+'!$AI$9,"B-",IF(T77&lt;'PlayerGrades+'!$AI$8,"B",IF(T77&lt;'PlayerGrades+'!$AI$7,"B+",IF(T77&lt;'PlayerGrades+'!$AI$6,"A-",IF(T77&lt;'PlayerGrades+'!$AI$5,"A",IF(T77&lt;'PlayerGrades+'!$AI$4,"A+",IF(T77&lt;'PlayerGrades+'!$AI$3,"S-",IF(T77&lt;'PlayerGrades+'!$AI$2,"S","S+"))))))))))))))))))))</f>
        <v>F-</v>
      </c>
      <c r="V77" s="1100">
        <v>1.0</v>
      </c>
      <c r="W77" s="1100">
        <v>0.0</v>
      </c>
      <c r="X77" s="1100">
        <v>2.0</v>
      </c>
      <c r="Y77" s="1100">
        <v>12.0</v>
      </c>
      <c r="Z77" s="1100">
        <v>35.0</v>
      </c>
      <c r="AA77" s="1100">
        <v>35.0</v>
      </c>
      <c r="AB77" s="1017">
        <f t="shared" si="10"/>
        <v>0</v>
      </c>
      <c r="AC77" s="1020">
        <f t="shared" si="11"/>
        <v>1</v>
      </c>
      <c r="AD77" s="1100">
        <v>1.0</v>
      </c>
      <c r="AE77" s="1329">
        <v>1056.0</v>
      </c>
      <c r="AF77" s="1100">
        <v>0.0</v>
      </c>
      <c r="AG77" s="1100">
        <v>0.0</v>
      </c>
      <c r="AH77" s="1100">
        <v>0.0</v>
      </c>
      <c r="AI77" s="1100">
        <v>0.0</v>
      </c>
      <c r="AJ77" s="1100">
        <v>0.0</v>
      </c>
      <c r="AK77" s="1100">
        <v>3.0</v>
      </c>
      <c r="AL77" s="1100">
        <v>1.0</v>
      </c>
      <c r="AM77" s="1100">
        <v>0.0</v>
      </c>
      <c r="AN77" s="1100">
        <v>0.0</v>
      </c>
      <c r="AO77" s="1100">
        <v>0.0</v>
      </c>
      <c r="AP77" s="1100">
        <v>0.0</v>
      </c>
      <c r="AQ77" s="1100">
        <v>0.0</v>
      </c>
      <c r="AR77" s="1100">
        <v>0.0</v>
      </c>
      <c r="AS77" s="1100">
        <v>0.0</v>
      </c>
      <c r="AT77" s="1100">
        <v>0.0</v>
      </c>
      <c r="AU77" s="1100">
        <v>6.0</v>
      </c>
      <c r="AV77" s="1100">
        <v>0.0</v>
      </c>
      <c r="AW77" s="1100">
        <v>0.0</v>
      </c>
      <c r="AX77" s="1100">
        <v>0.0</v>
      </c>
      <c r="AY77" s="1100">
        <v>4.0</v>
      </c>
      <c r="AZ77" s="1239">
        <v>0.0</v>
      </c>
    </row>
    <row r="78">
      <c r="A78" s="938" t="s">
        <v>54</v>
      </c>
      <c r="B78" s="1100" t="str">
        <f>IF(C78&lt;'PlayerGrades+'!$Y$44,"F-",IF(C78&lt;'PlayerGrades+'!$Y$43,"F",IF(C78&lt;'PlayerGrades+'!$Y$42,"F+",IF(C78&lt;'PlayerGrades+'!$Y$41,"E-",IF(C78&lt;'PlayerGrades+'!$Y$40,"E",IF(C78&lt;'PlayerGrades+'!$Y$39,"E+",IF(C78&lt;'PlayerGrades+'!$Y$38,"D-",IF(C78&lt;'PlayerGrades+'!$Y$37,"D",IF(C78&lt;'PlayerGrades+'!$Y$36,"D+",IF(C78&lt;'PlayerGrades+'!$Y$35,"C-",IF(C78&lt;'PlayerGrades+'!$Y$34,"C",IF(C78&lt;'PlayerGrades+'!$Y$33,"C+",IF(C78&lt;'PlayerGrades+'!$Y$32,"B-",IF(C78&lt;'PlayerGrades+'!$Y$31,"B",IF(C78&lt;'PlayerGrades+'!$Y$30,"B+",IF(C78&lt;'PlayerGrades+'!$Y$29,"A-",IF(C78&lt;'PlayerGrades+'!$Y$28,"A",IF(C78&lt;'PlayerGrades+'!$Y$27,"A+",IF(C78&lt;'PlayerGrades+'!$Y$26,"S-",IF(C78&lt;'PlayerGrades+'!$Y$25,"S","S+"))))))))))))))))))))</f>
        <v>B</v>
      </c>
      <c r="C78" s="1105">
        <f>('PlayerGrades+'!$Y$47*(VLOOKUP(E78, 'PlayerGrades+'!$X$3:$Y$23, 2, FALSE)))+('PlayerGrades+'!$Y$48*(VLOOKUP(G78, 'PlayerGrades+'!$X$3:$Y$23, 2, FALSE)))+('PlayerGrades+'!$Y$49*(VLOOKUP(I78, 'PlayerGrades+'!$X$3:$Y$23, 2, FALSE)))+('PlayerGrades+'!$Y$50*(VLOOKUP(K78, 'PlayerGrades+'!$X$3:$Y$23, 2, FALSE)))+('PlayerGrades+'!$Y$51*(VLOOKUP(M78, 'PlayerGrades+'!$X$3:$Y$23, 2, FALSE)))+('PlayerGrades+'!$Y$52*(VLOOKUP(O78, 'PlayerGrades+'!$X$3:$Y$23, 2, FALSE)))+('PlayerGrades+'!$Y$53*(VLOOKUP(Q78, 'PlayerGrades+'!$X$3:$Y$23, 2, FALSE)))+('PlayerGrades+'!$Y$54*(VLOOKUP(S78, 'PlayerGrades+'!$X$3:$Y$23, 2, FALSE)))+('PlayerGrades+'!$Y$55*(VLOOKUP(U78, 'PlayerGrades+'!$X$3:$Y$23, 2, FALSE)))</f>
        <v>19.075</v>
      </c>
      <c r="D78" s="961">
        <f t="shared" si="1"/>
        <v>0</v>
      </c>
      <c r="E78" s="961" t="str">
        <f>IF(D78&lt;'PlayerGrades+'!$AA$21,"F-",IF(D78&lt;'PlayerGrades+'!$AA$20,"F",IF(D78&lt;'PlayerGrades+'!$AA$19,"F+",IF(D78&lt;'PlayerGrades+'!$AA$18,"E-",IF(D78&lt;'PlayerGrades+'!$AA$17,"E",IF(D78&lt;'PlayerGrades+'!$AA$16,"E+",IF(D78&lt;'PlayerGrades+'!$AA$15,"D-",IF(D78&lt;'PlayerGrades+'!$AA$14,"D",IF(D78&lt;'PlayerGrades+'!$AA$13,"D+",IF(D78&lt;'PlayerGrades+'!$AA$12,"C-",IF(D78&lt;'PlayerGrades+'!$AA$11,"C",IF(D78&lt;'PlayerGrades+'!$AA$10,"C+",IF(D78&lt;'PlayerGrades+'!$AA$9,"B-",IF(D78&lt;'PlayerGrades+'!$AA$8,"B",IF(D78&lt;'PlayerGrades+'!$AA$7,"B+",IF(D78&lt;'PlayerGrades+'!$AA$6,"A-",IF(D78&lt;'PlayerGrades+'!$AA$5,"A",IF(D78&lt;'PlayerGrades+'!$AA$4,"A+",IF(D78&lt;'PlayerGrades+'!$AA$3,"S-",IF(D78&lt;'PlayerGrades+'!$AA$2,"S","S+"))))))))))))))))))))</f>
        <v>F-</v>
      </c>
      <c r="F78" s="961">
        <f t="shared" si="2"/>
        <v>0.07508116883</v>
      </c>
      <c r="G78" s="961" t="str">
        <f>IF(F78&lt;'PlayerGrades+'!$AB$21,"F-",IF(F78&lt;'PlayerGrades+'!$AB$20,"F",IF(F78&lt;'PlayerGrades+'!$AB$19,"F+",IF(F78&lt;'PlayerGrades+'!$AB$18,"E-",IF(F78&lt;'PlayerGrades+'!$AB$17,"E",IF(F78&lt;'PlayerGrades+'!$AB$16,"E+",IF(F78&lt;'PlayerGrades+'!$AB$15,"D-",IF(F78&lt;'PlayerGrades+'!$AB$14,"D",IF(F78&lt;'PlayerGrades+'!$AB$13,"D+",IF(F78&lt;'PlayerGrades+'!$AB$12,"C-",IF(F78&lt;'PlayerGrades+'!$AB$11,"C",IF(F78&lt;'PlayerGrades+'!$AB$10,"C+",IF(F78&lt;'PlayerGrades+'!$AB$9,"B-",IF(F78&lt;'PlayerGrades+'!$AB$8,"B",IF(F78&lt;'PlayerGrades+'!$AB$7,"B+",IF(F78&lt;'PlayerGrades+'!$AB$6,"A-",IF(F78&lt;'PlayerGrades+'!$AB$5,"A",IF(F78&lt;'PlayerGrades+'!$AB$4,"A+",IF(F78&lt;'PlayerGrades+'!$AB$3,"S-",IF(F78&lt;'PlayerGrades+'!$AB$2,"S","S+"))))))))))))))))))))</f>
        <v>A</v>
      </c>
      <c r="H78" s="961">
        <f t="shared" si="3"/>
        <v>0.2272727273</v>
      </c>
      <c r="I78" s="961" t="str">
        <f>IF(H78&lt;'PlayerGrades+'!$AC$21,"F-",IF(H78&lt;'PlayerGrades+'!$AC$20,"F",IF(H78&lt;'PlayerGrades+'!$AC$19,"F+",IF(H78&lt;'PlayerGrades+'!$AC$18,"E-",IF(H78&lt;'PlayerGrades+'!$AC$17,"E",IF(H78&lt;'PlayerGrades+'!$AC$16,"E+",IF(H78&lt;'PlayerGrades+'!$AC$15,"D-",IF(H78&lt;'PlayerGrades+'!$AC$14,"D",IF(H78&lt;'PlayerGrades+'!$AC$13,"D+",IF(H78&lt;'PlayerGrades+'!$AC$12,"C-",IF(H78&lt;'PlayerGrades+'!$AC$11,"C",IF(H78&lt;'PlayerGrades+'!$AC$10,"C+",IF(H78&lt;'PlayerGrades+'!$AC$9,"B-",IF(H78&lt;'PlayerGrades+'!$AC$8,"B",IF(H78&lt;'PlayerGrades+'!$AC$7,"B+",IF(H78&lt;'PlayerGrades+'!$AC$6,"A-",IF(H78&lt;'PlayerGrades+'!$AC$5,"A",IF(H78&lt;'PlayerGrades+'!$AC$4,"A+",IF(H78&lt;'PlayerGrades+'!$AC$3,"S-",IF(H78&lt;'PlayerGrades+'!$AC$2,"S","S+"))))))))))))))))))))</f>
        <v>F</v>
      </c>
      <c r="J78" s="961">
        <f t="shared" si="4"/>
        <v>0.2840909091</v>
      </c>
      <c r="K78" s="961" t="str">
        <f>IF(J78&lt;'PlayerGrades+'!$AD$21,"F-",IF(J78&lt;'PlayerGrades+'!$AD$20,"F",IF(J78&lt;'PlayerGrades+'!$AD$19,"F+",IF(J78&lt;'PlayerGrades+'!$AD$18,"E-",IF(J78&lt;'PlayerGrades+'!$AD$17,"E",IF(J78&lt;'PlayerGrades+'!$AD$16,"E+",IF(J78&lt;'PlayerGrades+'!$AD$15,"D-",IF(J78&lt;'PlayerGrades+'!$AD$14,"D",IF(J78&lt;'PlayerGrades+'!$AD$13,"D+",IF(J78&lt;'PlayerGrades+'!$AD$12,"C-",IF(J78&lt;'PlayerGrades+'!$AD$11,"C",IF(J78&lt;'PlayerGrades+'!$AD$10,"C+",IF(J78&lt;'PlayerGrades+'!$AD$9,"B-",IF(J78&lt;'PlayerGrades+'!$AD$8,"B",IF(J78&lt;'PlayerGrades+'!$AD$7,"B+",IF(J78&lt;'PlayerGrades+'!$AD$6,"A-",IF(J78&lt;'PlayerGrades+'!$AD$5,"A",IF(J78&lt;'PlayerGrades+'!$AD$4,"A+",IF(J78&lt;'PlayerGrades+'!$AD$3,"S-",IF(J78&lt;'PlayerGrades+'!$AD$2,"S","S+"))))))))))))))))))))</f>
        <v>S+</v>
      </c>
      <c r="L78" s="992">
        <f t="shared" si="5"/>
        <v>0.9659090909</v>
      </c>
      <c r="M78" s="992" t="str">
        <f>IF(L78&lt;'PlayerGrades+'!$AE$21,"F-",IF(L78&lt;'PlayerGrades+'!$AE$20,"F",IF(L78&lt;'PlayerGrades+'!$AE$19,"F+",IF(L78&lt;'PlayerGrades+'!$AE$18,"E-",IF(L78&lt;'PlayerGrades+'!$AE$17,"E",IF(L78&lt;'PlayerGrades+'!$AE$16,"E+",IF(L78&lt;'PlayerGrades+'!$AE$15,"D-",IF(L78&lt;'PlayerGrades+'!$AE$14,"D",IF(L78&lt;'PlayerGrades+'!$AE$13,"D+",IF(L78&lt;'PlayerGrades+'!$AE$12,"C-",IF(L78&lt;'PlayerGrades+'!$AE$11,"C",IF(L78&lt;'PlayerGrades+'!$AE$10,"C+",IF(L78&lt;'PlayerGrades+'!$AE$9,"B-",IF(L78&lt;'PlayerGrades+'!$AE$8,"B",IF(L78&lt;'PlayerGrades+'!$AE$7,"B+",IF(L78&lt;'PlayerGrades+'!$AE$6,"A-",IF(L78&lt;'PlayerGrades+'!$AE$5,"A",IF(L78&lt;'PlayerGrades+'!$AE$4,"A+",IF(L78&lt;'PlayerGrades+'!$AE$3,"S-",IF(L78&lt;'PlayerGrades+'!$AE$2,"S","S+"))))))))))))))))))))</f>
        <v>S+</v>
      </c>
      <c r="N78" s="961">
        <f t="shared" si="6"/>
        <v>0.2840909091</v>
      </c>
      <c r="O78" s="961" t="str">
        <f>IF(N78&lt;'PlayerGrades+'!$AF$21,"F-",IF(N78&lt;'PlayerGrades+'!$AF$20,"F",IF(N78&lt;'PlayerGrades+'!$AF$19,"F+",IF(N78&lt;'PlayerGrades+'!$AF$18,"E-",IF(N78&lt;'PlayerGrades+'!$AF$17,"E",IF(N78&lt;'PlayerGrades+'!$AF$16,"E+",IF(N78&lt;'PlayerGrades+'!$AF$15,"D-",IF(N78&lt;'PlayerGrades+'!$AF$14,"D",IF(N78&lt;'PlayerGrades+'!$AF$13,"D+",IF(N78&lt;'PlayerGrades+'!$AF$12,"C-",IF(N78&lt;'PlayerGrades+'!$AF$11,"C",IF(N78&lt;'PlayerGrades+'!$AF$10,"C+",IF(N78&lt;'PlayerGrades+'!$AF$9,"B-",IF(N78&lt;'PlayerGrades+'!$AF$8,"B",IF(N78&lt;'PlayerGrades+'!$AF$7,"B+",IF(N78&lt;'PlayerGrades+'!$AF$6,"A-",IF(N78&lt;'PlayerGrades+'!$AF$5,"A",IF(N78&lt;'PlayerGrades+'!$AF$4,"A+",IF(N78&lt;'PlayerGrades+'!$AF$3,"S-",IF(N78&lt;'PlayerGrades+'!$AF$2,"S","S+"))))))))))))))))))))</f>
        <v>S-</v>
      </c>
      <c r="P78" s="961">
        <f t="shared" si="7"/>
        <v>1.534090909</v>
      </c>
      <c r="Q78" s="961" t="str">
        <f>IF(P78&lt;'PlayerGrades+'!$AG$21,"F-",IF(P78&lt;'PlayerGrades+'!$AG$20,"F",IF(P78&lt;'PlayerGrades+'!$AG$19,"F+",IF(P78&lt;'PlayerGrades+'!$AG$18,"E-",IF(P78&lt;'PlayerGrades+'!$AG$17,"E",IF(P78&lt;'PlayerGrades+'!$AG$16,"E+",IF(P78&lt;'PlayerGrades+'!$AG$15,"D-",IF(P78&lt;'PlayerGrades+'!$AG$14,"D",IF(P78&lt;'PlayerGrades+'!$AG$13,"D+",IF(P78&lt;'PlayerGrades+'!$AG$12,"C-",IF(P78&lt;'PlayerGrades+'!$AG$11,"C",IF(P78&lt;'PlayerGrades+'!$AG$10,"C+",IF(P78&lt;'PlayerGrades+'!$AG$9,"B-",IF(P78&lt;'PlayerGrades+'!$AG$8,"B",IF(P78&lt;'PlayerGrades+'!$AG$7,"B+",IF(P78&lt;'PlayerGrades+'!$AG$6,"A-",IF(P78&lt;'PlayerGrades+'!$AG$5,"A",IF(P78&lt;'PlayerGrades+'!$AG$4,"A+",IF(P78&lt;'PlayerGrades+'!$AG$3,"S-",IF(P78&lt;'PlayerGrades+'!$AG$2,"S","S+"))))))))))))))))))))</f>
        <v>S</v>
      </c>
      <c r="R78" s="961">
        <f t="shared" si="8"/>
        <v>0.05681818182</v>
      </c>
      <c r="S78" s="961" t="str">
        <f>IF(R78&lt;'PlayerGrades+'!$AH$21,"F-",IF(R78&lt;'PlayerGrades+'!$AH$20,"F",IF(R78&lt;'PlayerGrades+'!$AH$19,"F+",IF(R78&lt;'PlayerGrades+'!$AH$18,"E-",IF(R78&lt;'PlayerGrades+'!$AH$17,"E",IF(R78&lt;'PlayerGrades+'!$AH$16,"E+",IF(R78&lt;'PlayerGrades+'!$AH$15,"D-",IF(R78&lt;'PlayerGrades+'!$AH$14,"D",IF(R78&lt;'PlayerGrades+'!$AH$13,"D+",IF(R78&lt;'PlayerGrades+'!$AH$12,"C-",IF(R78&lt;'PlayerGrades+'!$AH$11,"C",IF(R78&lt;'PlayerGrades+'!$AH$10,"C+",IF(R78&lt;'PlayerGrades+'!$AH$9,"B-",IF(R78&lt;'PlayerGrades+'!$AH$8,"B",IF(R78&lt;'PlayerGrades+'!$AH$7,"B+",IF(R78&lt;'PlayerGrades+'!$AH$6,"A-",IF(R78&lt;'PlayerGrades+'!$AH$5,"A",IF(R78&lt;'PlayerGrades+'!$AH$4,"A+",IF(R78&lt;'PlayerGrades+'!$AH$3,"S-",IF(R78&lt;'PlayerGrades+'!$AH$2,"S","S+"))))))))))))))))))))</f>
        <v>C</v>
      </c>
      <c r="T78" s="961">
        <f t="shared" si="9"/>
        <v>4.204545455</v>
      </c>
      <c r="U78" s="961" t="str">
        <f>IF(T78&lt;'PlayerGrades+'!$AI$21,"F-",IF(T78&lt;'PlayerGrades+'!$AI$20,"F",IF(T78&lt;'PlayerGrades+'!$AI$19,"F+",IF(T78&lt;'PlayerGrades+'!$AI$18,"E-",IF(T78&lt;'PlayerGrades+'!$AI$17,"E",IF(T78&lt;'PlayerGrades+'!$AI$16,"E+",IF(T78&lt;'PlayerGrades+'!$AI$15,"D-",IF(T78&lt;'PlayerGrades+'!$AI$14,"D",IF(T78&lt;'PlayerGrades+'!$AI$13,"D+",IF(T78&lt;'PlayerGrades+'!$AI$12,"C-",IF(T78&lt;'PlayerGrades+'!$AI$11,"C",IF(T78&lt;'PlayerGrades+'!$AI$10,"C+",IF(T78&lt;'PlayerGrades+'!$AI$9,"B-",IF(T78&lt;'PlayerGrades+'!$AI$8,"B",IF(T78&lt;'PlayerGrades+'!$AI$7,"B+",IF(T78&lt;'PlayerGrades+'!$AI$6,"A-",IF(T78&lt;'PlayerGrades+'!$AI$5,"A",IF(T78&lt;'PlayerGrades+'!$AI$4,"A+",IF(T78&lt;'PlayerGrades+'!$AI$3,"S-",IF(T78&lt;'PlayerGrades+'!$AI$2,"S","S+"))))))))))))))))))))</f>
        <v>S</v>
      </c>
      <c r="V78" s="1100">
        <v>0.0</v>
      </c>
      <c r="W78" s="1100">
        <v>1.0</v>
      </c>
      <c r="X78" s="1100">
        <v>0.0</v>
      </c>
      <c r="Y78" s="1100">
        <v>0.0</v>
      </c>
      <c r="Z78" s="1100">
        <v>74.0</v>
      </c>
      <c r="AA78" s="1100">
        <v>56.0</v>
      </c>
      <c r="AB78" s="1017">
        <f t="shared" si="10"/>
        <v>18</v>
      </c>
      <c r="AC78" s="1020">
        <f t="shared" si="11"/>
        <v>1.321428571</v>
      </c>
      <c r="AD78" s="1100">
        <v>0.0</v>
      </c>
      <c r="AE78" s="1329">
        <v>1056.0</v>
      </c>
      <c r="AF78" s="1100">
        <v>5.0</v>
      </c>
      <c r="AG78" s="1100">
        <v>0.0</v>
      </c>
      <c r="AH78" s="1100">
        <v>0.0</v>
      </c>
      <c r="AI78" s="1100">
        <v>0.0</v>
      </c>
      <c r="AJ78" s="1100">
        <v>2.0</v>
      </c>
      <c r="AK78" s="1100">
        <v>17.0</v>
      </c>
      <c r="AL78" s="1100">
        <v>5.0</v>
      </c>
      <c r="AM78" s="1100">
        <v>2.0</v>
      </c>
      <c r="AN78" s="1100">
        <v>1.0</v>
      </c>
      <c r="AO78" s="1100">
        <v>0.0</v>
      </c>
      <c r="AP78" s="1100">
        <v>0.0</v>
      </c>
      <c r="AQ78" s="1100">
        <v>0.0</v>
      </c>
      <c r="AR78" s="1100">
        <v>0.0</v>
      </c>
      <c r="AS78" s="1100">
        <v>0.0</v>
      </c>
      <c r="AT78" s="1100">
        <v>0.0</v>
      </c>
      <c r="AU78" s="1100">
        <v>4.0</v>
      </c>
      <c r="AV78" s="1100">
        <v>0.0</v>
      </c>
      <c r="AW78" s="1100">
        <v>0.0</v>
      </c>
      <c r="AX78" s="1100">
        <v>0.0</v>
      </c>
      <c r="AY78" s="1100">
        <v>1.0</v>
      </c>
      <c r="AZ78" s="1239">
        <v>0.0</v>
      </c>
    </row>
    <row r="79">
      <c r="A79" s="938" t="s">
        <v>221</v>
      </c>
      <c r="B79" s="1100" t="str">
        <f>IF(C79&lt;'PlayerGrades+'!$Y$44,"F-",IF(C79&lt;'PlayerGrades+'!$Y$43,"F",IF(C79&lt;'PlayerGrades+'!$Y$42,"F+",IF(C79&lt;'PlayerGrades+'!$Y$41,"E-",IF(C79&lt;'PlayerGrades+'!$Y$40,"E",IF(C79&lt;'PlayerGrades+'!$Y$39,"E+",IF(C79&lt;'PlayerGrades+'!$Y$38,"D-",IF(C79&lt;'PlayerGrades+'!$Y$37,"D",IF(C79&lt;'PlayerGrades+'!$Y$36,"D+",IF(C79&lt;'PlayerGrades+'!$Y$35,"C-",IF(C79&lt;'PlayerGrades+'!$Y$34,"C",IF(C79&lt;'PlayerGrades+'!$Y$33,"C+",IF(C79&lt;'PlayerGrades+'!$Y$32,"B-",IF(C79&lt;'PlayerGrades+'!$Y$31,"B",IF(C79&lt;'PlayerGrades+'!$Y$30,"B+",IF(C79&lt;'PlayerGrades+'!$Y$29,"A-",IF(C79&lt;'PlayerGrades+'!$Y$28,"A",IF(C79&lt;'PlayerGrades+'!$Y$27,"A+",IF(C79&lt;'PlayerGrades+'!$Y$26,"S-",IF(C79&lt;'PlayerGrades+'!$Y$25,"S","S+"))))))))))))))))))))</f>
        <v>E-</v>
      </c>
      <c r="C79" s="1105">
        <f>('PlayerGrades+'!$Y$47*(VLOOKUP(E79, 'PlayerGrades+'!$X$3:$Y$23, 2, FALSE)))+('PlayerGrades+'!$Y$48*(VLOOKUP(G79, 'PlayerGrades+'!$X$3:$Y$23, 2, FALSE)))+('PlayerGrades+'!$Y$49*(VLOOKUP(I79, 'PlayerGrades+'!$X$3:$Y$23, 2, FALSE)))+('PlayerGrades+'!$Y$50*(VLOOKUP(K79, 'PlayerGrades+'!$X$3:$Y$23, 2, FALSE)))+('PlayerGrades+'!$Y$51*(VLOOKUP(M79, 'PlayerGrades+'!$X$3:$Y$23, 2, FALSE)))+('PlayerGrades+'!$Y$52*(VLOOKUP(O79, 'PlayerGrades+'!$X$3:$Y$23, 2, FALSE)))+('PlayerGrades+'!$Y$53*(VLOOKUP(Q79, 'PlayerGrades+'!$X$3:$Y$23, 2, FALSE)))+('PlayerGrades+'!$Y$54*(VLOOKUP(S79, 'PlayerGrades+'!$X$3:$Y$23, 2, FALSE)))+('PlayerGrades+'!$Y$55*(VLOOKUP(U79, 'PlayerGrades+'!$X$3:$Y$23, 2, FALSE)))</f>
        <v>8.075</v>
      </c>
      <c r="D79" s="961">
        <f t="shared" si="1"/>
        <v>0</v>
      </c>
      <c r="E79" s="961" t="str">
        <f>IF(D79&lt;'PlayerGrades+'!$AA$21,"F-",IF(D79&lt;'PlayerGrades+'!$AA$20,"F",IF(D79&lt;'PlayerGrades+'!$AA$19,"F+",IF(D79&lt;'PlayerGrades+'!$AA$18,"E-",IF(D79&lt;'PlayerGrades+'!$AA$17,"E",IF(D79&lt;'PlayerGrades+'!$AA$16,"E+",IF(D79&lt;'PlayerGrades+'!$AA$15,"D-",IF(D79&lt;'PlayerGrades+'!$AA$14,"D",IF(D79&lt;'PlayerGrades+'!$AA$13,"D+",IF(D79&lt;'PlayerGrades+'!$AA$12,"C-",IF(D79&lt;'PlayerGrades+'!$AA$11,"C",IF(D79&lt;'PlayerGrades+'!$AA$10,"C+",IF(D79&lt;'PlayerGrades+'!$AA$9,"B-",IF(D79&lt;'PlayerGrades+'!$AA$8,"B",IF(D79&lt;'PlayerGrades+'!$AA$7,"B+",IF(D79&lt;'PlayerGrades+'!$AA$6,"A-",IF(D79&lt;'PlayerGrades+'!$AA$5,"A",IF(D79&lt;'PlayerGrades+'!$AA$4,"A+",IF(D79&lt;'PlayerGrades+'!$AA$3,"S-",IF(D79&lt;'PlayerGrades+'!$AA$2,"S","S+"))))))))))))))))))))</f>
        <v>F-</v>
      </c>
      <c r="F79" s="961">
        <f t="shared" si="2"/>
        <v>0.03284801136</v>
      </c>
      <c r="G79" s="961" t="str">
        <f>IF(F79&lt;'PlayerGrades+'!$AB$21,"F-",IF(F79&lt;'PlayerGrades+'!$AB$20,"F",IF(F79&lt;'PlayerGrades+'!$AB$19,"F+",IF(F79&lt;'PlayerGrades+'!$AB$18,"E-",IF(F79&lt;'PlayerGrades+'!$AB$17,"E",IF(F79&lt;'PlayerGrades+'!$AB$16,"E+",IF(F79&lt;'PlayerGrades+'!$AB$15,"D-",IF(F79&lt;'PlayerGrades+'!$AB$14,"D",IF(F79&lt;'PlayerGrades+'!$AB$13,"D+",IF(F79&lt;'PlayerGrades+'!$AB$12,"C-",IF(F79&lt;'PlayerGrades+'!$AB$11,"C",IF(F79&lt;'PlayerGrades+'!$AB$10,"C+",IF(F79&lt;'PlayerGrades+'!$AB$9,"B-",IF(F79&lt;'PlayerGrades+'!$AB$8,"B",IF(F79&lt;'PlayerGrades+'!$AB$7,"B+",IF(F79&lt;'PlayerGrades+'!$AB$6,"A-",IF(F79&lt;'PlayerGrades+'!$AB$5,"A",IF(F79&lt;'PlayerGrades+'!$AB$4,"A+",IF(F79&lt;'PlayerGrades+'!$AB$3,"S-",IF(F79&lt;'PlayerGrades+'!$AB$2,"S","S+"))))))))))))))))))))</f>
        <v>A</v>
      </c>
      <c r="H79" s="961">
        <f t="shared" si="3"/>
        <v>0.2840909091</v>
      </c>
      <c r="I79" s="961" t="str">
        <f>IF(H79&lt;'PlayerGrades+'!$AC$21,"F-",IF(H79&lt;'PlayerGrades+'!$AC$20,"F",IF(H79&lt;'PlayerGrades+'!$AC$19,"F+",IF(H79&lt;'PlayerGrades+'!$AC$18,"E-",IF(H79&lt;'PlayerGrades+'!$AC$17,"E",IF(H79&lt;'PlayerGrades+'!$AC$16,"E+",IF(H79&lt;'PlayerGrades+'!$AC$15,"D-",IF(H79&lt;'PlayerGrades+'!$AC$14,"D",IF(H79&lt;'PlayerGrades+'!$AC$13,"D+",IF(H79&lt;'PlayerGrades+'!$AC$12,"C-",IF(H79&lt;'PlayerGrades+'!$AC$11,"C",IF(H79&lt;'PlayerGrades+'!$AC$10,"C+",IF(H79&lt;'PlayerGrades+'!$AC$9,"B-",IF(H79&lt;'PlayerGrades+'!$AC$8,"B",IF(H79&lt;'PlayerGrades+'!$AC$7,"B+",IF(H79&lt;'PlayerGrades+'!$AC$6,"A-",IF(H79&lt;'PlayerGrades+'!$AC$5,"A",IF(H79&lt;'PlayerGrades+'!$AC$4,"A+",IF(H79&lt;'PlayerGrades+'!$AC$3,"S-",IF(H79&lt;'PlayerGrades+'!$AC$2,"S","S+"))))))))))))))))))))</f>
        <v>F+</v>
      </c>
      <c r="J79" s="961">
        <f t="shared" si="4"/>
        <v>0</v>
      </c>
      <c r="K79" s="961" t="str">
        <f>IF(J79&lt;'PlayerGrades+'!$AD$21,"F-",IF(J79&lt;'PlayerGrades+'!$AD$20,"F",IF(J79&lt;'PlayerGrades+'!$AD$19,"F+",IF(J79&lt;'PlayerGrades+'!$AD$18,"E-",IF(J79&lt;'PlayerGrades+'!$AD$17,"E",IF(J79&lt;'PlayerGrades+'!$AD$16,"E+",IF(J79&lt;'PlayerGrades+'!$AD$15,"D-",IF(J79&lt;'PlayerGrades+'!$AD$14,"D",IF(J79&lt;'PlayerGrades+'!$AD$13,"D+",IF(J79&lt;'PlayerGrades+'!$AD$12,"C-",IF(J79&lt;'PlayerGrades+'!$AD$11,"C",IF(J79&lt;'PlayerGrades+'!$AD$10,"C+",IF(J79&lt;'PlayerGrades+'!$AD$9,"B-",IF(J79&lt;'PlayerGrades+'!$AD$8,"B",IF(J79&lt;'PlayerGrades+'!$AD$7,"B+",IF(J79&lt;'PlayerGrades+'!$AD$6,"A-",IF(J79&lt;'PlayerGrades+'!$AD$5,"A",IF(J79&lt;'PlayerGrades+'!$AD$4,"A+",IF(J79&lt;'PlayerGrades+'!$AD$3,"S-",IF(J79&lt;'PlayerGrades+'!$AD$2,"S","S+"))))))))))))))))))))</f>
        <v>F-</v>
      </c>
      <c r="L79" s="992">
        <f t="shared" si="5"/>
        <v>0.2840909091</v>
      </c>
      <c r="M79" s="992" t="str">
        <f>IF(L79&lt;'PlayerGrades+'!$AE$21,"F-",IF(L79&lt;'PlayerGrades+'!$AE$20,"F",IF(L79&lt;'PlayerGrades+'!$AE$19,"F+",IF(L79&lt;'PlayerGrades+'!$AE$18,"E-",IF(L79&lt;'PlayerGrades+'!$AE$17,"E",IF(L79&lt;'PlayerGrades+'!$AE$16,"E+",IF(L79&lt;'PlayerGrades+'!$AE$15,"D-",IF(L79&lt;'PlayerGrades+'!$AE$14,"D",IF(L79&lt;'PlayerGrades+'!$AE$13,"D+",IF(L79&lt;'PlayerGrades+'!$AE$12,"C-",IF(L79&lt;'PlayerGrades+'!$AE$11,"C",IF(L79&lt;'PlayerGrades+'!$AE$10,"C+",IF(L79&lt;'PlayerGrades+'!$AE$9,"B-",IF(L79&lt;'PlayerGrades+'!$AE$8,"B",IF(L79&lt;'PlayerGrades+'!$AE$7,"B+",IF(L79&lt;'PlayerGrades+'!$AE$6,"A-",IF(L79&lt;'PlayerGrades+'!$AE$5,"A",IF(L79&lt;'PlayerGrades+'!$AE$4,"A+",IF(L79&lt;'PlayerGrades+'!$AE$3,"S-",IF(L79&lt;'PlayerGrades+'!$AE$2,"S","S+"))))))))))))))))))))</f>
        <v>F+</v>
      </c>
      <c r="N79" s="961">
        <f t="shared" si="6"/>
        <v>0</v>
      </c>
      <c r="O79" s="961" t="str">
        <f>IF(N79&lt;'PlayerGrades+'!$AF$21,"F-",IF(N79&lt;'PlayerGrades+'!$AF$20,"F",IF(N79&lt;'PlayerGrades+'!$AF$19,"F+",IF(N79&lt;'PlayerGrades+'!$AF$18,"E-",IF(N79&lt;'PlayerGrades+'!$AF$17,"E",IF(N79&lt;'PlayerGrades+'!$AF$16,"E+",IF(N79&lt;'PlayerGrades+'!$AF$15,"D-",IF(N79&lt;'PlayerGrades+'!$AF$14,"D",IF(N79&lt;'PlayerGrades+'!$AF$13,"D+",IF(N79&lt;'PlayerGrades+'!$AF$12,"C-",IF(N79&lt;'PlayerGrades+'!$AF$11,"C",IF(N79&lt;'PlayerGrades+'!$AF$10,"C+",IF(N79&lt;'PlayerGrades+'!$AF$9,"B-",IF(N79&lt;'PlayerGrades+'!$AF$8,"B",IF(N79&lt;'PlayerGrades+'!$AF$7,"B+",IF(N79&lt;'PlayerGrades+'!$AF$6,"A-",IF(N79&lt;'PlayerGrades+'!$AF$5,"A",IF(N79&lt;'PlayerGrades+'!$AF$4,"A+",IF(N79&lt;'PlayerGrades+'!$AF$3,"S-",IF(N79&lt;'PlayerGrades+'!$AF$2,"S","S+"))))))))))))))))))))</f>
        <v>F-</v>
      </c>
      <c r="P79" s="961">
        <f t="shared" si="7"/>
        <v>0.2840909091</v>
      </c>
      <c r="Q79" s="961" t="str">
        <f>IF(P79&lt;'PlayerGrades+'!$AG$21,"F-",IF(P79&lt;'PlayerGrades+'!$AG$20,"F",IF(P79&lt;'PlayerGrades+'!$AG$19,"F+",IF(P79&lt;'PlayerGrades+'!$AG$18,"E-",IF(P79&lt;'PlayerGrades+'!$AG$17,"E",IF(P79&lt;'PlayerGrades+'!$AG$16,"E+",IF(P79&lt;'PlayerGrades+'!$AG$15,"D-",IF(P79&lt;'PlayerGrades+'!$AG$14,"D",IF(P79&lt;'PlayerGrades+'!$AG$13,"D+",IF(P79&lt;'PlayerGrades+'!$AG$12,"C-",IF(P79&lt;'PlayerGrades+'!$AG$11,"C",IF(P79&lt;'PlayerGrades+'!$AG$10,"C+",IF(P79&lt;'PlayerGrades+'!$AG$9,"B-",IF(P79&lt;'PlayerGrades+'!$AG$8,"B",IF(P79&lt;'PlayerGrades+'!$AG$7,"B+",IF(P79&lt;'PlayerGrades+'!$AG$6,"A-",IF(P79&lt;'PlayerGrades+'!$AG$5,"A",IF(P79&lt;'PlayerGrades+'!$AG$4,"A+",IF(P79&lt;'PlayerGrades+'!$AG$3,"S-",IF(P79&lt;'PlayerGrades+'!$AG$2,"S","S+"))))))))))))))))))))</f>
        <v>F</v>
      </c>
      <c r="R79" s="961">
        <f t="shared" si="8"/>
        <v>0.05681818182</v>
      </c>
      <c r="S79" s="961" t="str">
        <f>IF(R79&lt;'PlayerGrades+'!$AH$21,"F-",IF(R79&lt;'PlayerGrades+'!$AH$20,"F",IF(R79&lt;'PlayerGrades+'!$AH$19,"F+",IF(R79&lt;'PlayerGrades+'!$AH$18,"E-",IF(R79&lt;'PlayerGrades+'!$AH$17,"E",IF(R79&lt;'PlayerGrades+'!$AH$16,"E+",IF(R79&lt;'PlayerGrades+'!$AH$15,"D-",IF(R79&lt;'PlayerGrades+'!$AH$14,"D",IF(R79&lt;'PlayerGrades+'!$AH$13,"D+",IF(R79&lt;'PlayerGrades+'!$AH$12,"C-",IF(R79&lt;'PlayerGrades+'!$AH$11,"C",IF(R79&lt;'PlayerGrades+'!$AH$10,"C+",IF(R79&lt;'PlayerGrades+'!$AH$9,"B-",IF(R79&lt;'PlayerGrades+'!$AH$8,"B",IF(R79&lt;'PlayerGrades+'!$AH$7,"B+",IF(R79&lt;'PlayerGrades+'!$AH$6,"A-",IF(R79&lt;'PlayerGrades+'!$AH$5,"A",IF(R79&lt;'PlayerGrades+'!$AH$4,"A+",IF(R79&lt;'PlayerGrades+'!$AH$3,"S-",IF(R79&lt;'PlayerGrades+'!$AH$2,"S","S+"))))))))))))))))))))</f>
        <v>C</v>
      </c>
      <c r="T79" s="961">
        <f t="shared" si="9"/>
        <v>2.102272727</v>
      </c>
      <c r="U79" s="961" t="str">
        <f>IF(T79&lt;'PlayerGrades+'!$AI$21,"F-",IF(T79&lt;'PlayerGrades+'!$AI$20,"F",IF(T79&lt;'PlayerGrades+'!$AI$19,"F+",IF(T79&lt;'PlayerGrades+'!$AI$18,"E-",IF(T79&lt;'PlayerGrades+'!$AI$17,"E",IF(T79&lt;'PlayerGrades+'!$AI$16,"E+",IF(T79&lt;'PlayerGrades+'!$AI$15,"D-",IF(T79&lt;'PlayerGrades+'!$AI$14,"D",IF(T79&lt;'PlayerGrades+'!$AI$13,"D+",IF(T79&lt;'PlayerGrades+'!$AI$12,"C-",IF(T79&lt;'PlayerGrades+'!$AI$11,"C",IF(T79&lt;'PlayerGrades+'!$AI$10,"C+",IF(T79&lt;'PlayerGrades+'!$AI$9,"B-",IF(T79&lt;'PlayerGrades+'!$AI$8,"B",IF(T79&lt;'PlayerGrades+'!$AI$7,"B+",IF(T79&lt;'PlayerGrades+'!$AI$6,"A-",IF(T79&lt;'PlayerGrades+'!$AI$5,"A",IF(T79&lt;'PlayerGrades+'!$AI$4,"A+",IF(T79&lt;'PlayerGrades+'!$AI$3,"S-",IF(T79&lt;'PlayerGrades+'!$AI$2,"S","S+"))))))))))))))))))))</f>
        <v>F-</v>
      </c>
      <c r="V79" s="1100">
        <v>0.0</v>
      </c>
      <c r="W79" s="1100">
        <v>1.0</v>
      </c>
      <c r="X79" s="1100">
        <v>0.0</v>
      </c>
      <c r="Y79" s="1100">
        <v>0.0</v>
      </c>
      <c r="Z79" s="1100">
        <v>37.0</v>
      </c>
      <c r="AA79" s="1100">
        <v>64.0</v>
      </c>
      <c r="AB79" s="1017">
        <f t="shared" si="10"/>
        <v>-27</v>
      </c>
      <c r="AC79" s="1020">
        <f t="shared" si="11"/>
        <v>0.578125</v>
      </c>
      <c r="AD79" s="1100">
        <v>0.0</v>
      </c>
      <c r="AE79" s="1329">
        <v>1056.0</v>
      </c>
      <c r="AF79" s="1100">
        <v>0.0</v>
      </c>
      <c r="AG79" s="1100">
        <v>0.0</v>
      </c>
      <c r="AH79" s="1100">
        <v>0.0</v>
      </c>
      <c r="AI79" s="1100">
        <v>0.0</v>
      </c>
      <c r="AJ79" s="1100">
        <v>0.0</v>
      </c>
      <c r="AK79" s="1100">
        <v>5.0</v>
      </c>
      <c r="AL79" s="1100">
        <v>0.0</v>
      </c>
      <c r="AM79" s="1100">
        <v>0.0</v>
      </c>
      <c r="AN79" s="1100">
        <v>0.0</v>
      </c>
      <c r="AO79" s="1100">
        <v>0.0</v>
      </c>
      <c r="AP79" s="1100">
        <v>0.0</v>
      </c>
      <c r="AQ79" s="1100">
        <v>0.0</v>
      </c>
      <c r="AR79" s="1100">
        <v>0.0</v>
      </c>
      <c r="AS79" s="1100">
        <v>0.0</v>
      </c>
      <c r="AT79" s="1100">
        <v>0.0</v>
      </c>
      <c r="AU79" s="1100">
        <v>5.0</v>
      </c>
      <c r="AV79" s="1100">
        <v>0.0</v>
      </c>
      <c r="AW79" s="1100">
        <v>0.0</v>
      </c>
      <c r="AX79" s="1100">
        <v>0.0</v>
      </c>
      <c r="AY79" s="1100">
        <v>1.0</v>
      </c>
      <c r="AZ79" s="1239">
        <v>0.0</v>
      </c>
    </row>
    <row r="80">
      <c r="A80" s="938" t="s">
        <v>75</v>
      </c>
      <c r="B80" s="1100" t="str">
        <f>IF(C80&lt;'PlayerGrades+'!$Y$44,"F-",IF(C80&lt;'PlayerGrades+'!$Y$43,"F",IF(C80&lt;'PlayerGrades+'!$Y$42,"F+",IF(C80&lt;'PlayerGrades+'!$Y$41,"E-",IF(C80&lt;'PlayerGrades+'!$Y$40,"E",IF(C80&lt;'PlayerGrades+'!$Y$39,"E+",IF(C80&lt;'PlayerGrades+'!$Y$38,"D-",IF(C80&lt;'PlayerGrades+'!$Y$37,"D",IF(C80&lt;'PlayerGrades+'!$Y$36,"D+",IF(C80&lt;'PlayerGrades+'!$Y$35,"C-",IF(C80&lt;'PlayerGrades+'!$Y$34,"C",IF(C80&lt;'PlayerGrades+'!$Y$33,"C+",IF(C80&lt;'PlayerGrades+'!$Y$32,"B-",IF(C80&lt;'PlayerGrades+'!$Y$31,"B",IF(C80&lt;'PlayerGrades+'!$Y$30,"B+",IF(C80&lt;'PlayerGrades+'!$Y$29,"A-",IF(C80&lt;'PlayerGrades+'!$Y$28,"A",IF(C80&lt;'PlayerGrades+'!$Y$27,"A+",IF(C80&lt;'PlayerGrades+'!$Y$26,"S-",IF(C80&lt;'PlayerGrades+'!$Y$25,"S","S+"))))))))))))))))))))</f>
        <v>C+</v>
      </c>
      <c r="C80" s="1105">
        <f>('PlayerGrades+'!$Y$47*(VLOOKUP(E80, 'PlayerGrades+'!$X$3:$Y$23, 2, FALSE)))+('PlayerGrades+'!$Y$48*(VLOOKUP(G80, 'PlayerGrades+'!$X$3:$Y$23, 2, FALSE)))+('PlayerGrades+'!$Y$49*(VLOOKUP(I80, 'PlayerGrades+'!$X$3:$Y$23, 2, FALSE)))+('PlayerGrades+'!$Y$50*(VLOOKUP(K80, 'PlayerGrades+'!$X$3:$Y$23, 2, FALSE)))+('PlayerGrades+'!$Y$51*(VLOOKUP(M80, 'PlayerGrades+'!$X$3:$Y$23, 2, FALSE)))+('PlayerGrades+'!$Y$52*(VLOOKUP(O80, 'PlayerGrades+'!$X$3:$Y$23, 2, FALSE)))+('PlayerGrades+'!$Y$53*(VLOOKUP(Q80, 'PlayerGrades+'!$X$3:$Y$23, 2, FALSE)))+('PlayerGrades+'!$Y$54*(VLOOKUP(S80, 'PlayerGrades+'!$X$3:$Y$23, 2, FALSE)))+('PlayerGrades+'!$Y$55*(VLOOKUP(U80, 'PlayerGrades+'!$X$3:$Y$23, 2, FALSE)))</f>
        <v>15.55</v>
      </c>
      <c r="D80" s="961">
        <f t="shared" si="1"/>
        <v>0.1704545455</v>
      </c>
      <c r="E80" s="961" t="str">
        <f>IF(D80&lt;'PlayerGrades+'!$AA$21,"F-",IF(D80&lt;'PlayerGrades+'!$AA$20,"F",IF(D80&lt;'PlayerGrades+'!$AA$19,"F+",IF(D80&lt;'PlayerGrades+'!$AA$18,"E-",IF(D80&lt;'PlayerGrades+'!$AA$17,"E",IF(D80&lt;'PlayerGrades+'!$AA$16,"E+",IF(D80&lt;'PlayerGrades+'!$AA$15,"D-",IF(D80&lt;'PlayerGrades+'!$AA$14,"D",IF(D80&lt;'PlayerGrades+'!$AA$13,"D+",IF(D80&lt;'PlayerGrades+'!$AA$12,"C-",IF(D80&lt;'PlayerGrades+'!$AA$11,"C",IF(D80&lt;'PlayerGrades+'!$AA$10,"C+",IF(D80&lt;'PlayerGrades+'!$AA$9,"B-",IF(D80&lt;'PlayerGrades+'!$AA$8,"B",IF(D80&lt;'PlayerGrades+'!$AA$7,"B+",IF(D80&lt;'PlayerGrades+'!$AA$6,"A-",IF(D80&lt;'PlayerGrades+'!$AA$5,"A",IF(D80&lt;'PlayerGrades+'!$AA$4,"A+",IF(D80&lt;'PlayerGrades+'!$AA$3,"S-",IF(D80&lt;'PlayerGrades+'!$AA$2,"S","S+"))))))))))))))))))))</f>
        <v>S</v>
      </c>
      <c r="F80" s="961">
        <f t="shared" si="2"/>
        <v>0.04624735729</v>
      </c>
      <c r="G80" s="961" t="str">
        <f>IF(F80&lt;'PlayerGrades+'!$AB$21,"F-",IF(F80&lt;'PlayerGrades+'!$AB$20,"F",IF(F80&lt;'PlayerGrades+'!$AB$19,"F+",IF(F80&lt;'PlayerGrades+'!$AB$18,"E-",IF(F80&lt;'PlayerGrades+'!$AB$17,"E",IF(F80&lt;'PlayerGrades+'!$AB$16,"E+",IF(F80&lt;'PlayerGrades+'!$AB$15,"D-",IF(F80&lt;'PlayerGrades+'!$AB$14,"D",IF(F80&lt;'PlayerGrades+'!$AB$13,"D+",IF(F80&lt;'PlayerGrades+'!$AB$12,"C-",IF(F80&lt;'PlayerGrades+'!$AB$11,"C",IF(F80&lt;'PlayerGrades+'!$AB$10,"C+",IF(F80&lt;'PlayerGrades+'!$AB$9,"B-",IF(F80&lt;'PlayerGrades+'!$AB$8,"B",IF(F80&lt;'PlayerGrades+'!$AB$7,"B+",IF(F80&lt;'PlayerGrades+'!$AB$6,"A-",IF(F80&lt;'PlayerGrades+'!$AB$5,"A",IF(F80&lt;'PlayerGrades+'!$AB$4,"A+",IF(F80&lt;'PlayerGrades+'!$AB$3,"S-",IF(F80&lt;'PlayerGrades+'!$AB$2,"S","S+"))))))))))))))))))))</f>
        <v>A</v>
      </c>
      <c r="H80" s="961">
        <f t="shared" si="3"/>
        <v>0.3409090909</v>
      </c>
      <c r="I80" s="961" t="str">
        <f>IF(H80&lt;'PlayerGrades+'!$AC$21,"F-",IF(H80&lt;'PlayerGrades+'!$AC$20,"F",IF(H80&lt;'PlayerGrades+'!$AC$19,"F+",IF(H80&lt;'PlayerGrades+'!$AC$18,"E-",IF(H80&lt;'PlayerGrades+'!$AC$17,"E",IF(H80&lt;'PlayerGrades+'!$AC$16,"E+",IF(H80&lt;'PlayerGrades+'!$AC$15,"D-",IF(H80&lt;'PlayerGrades+'!$AC$14,"D",IF(H80&lt;'PlayerGrades+'!$AC$13,"D+",IF(H80&lt;'PlayerGrades+'!$AC$12,"C-",IF(H80&lt;'PlayerGrades+'!$AC$11,"C",IF(H80&lt;'PlayerGrades+'!$AC$10,"C+",IF(H80&lt;'PlayerGrades+'!$AC$9,"B-",IF(H80&lt;'PlayerGrades+'!$AC$8,"B",IF(H80&lt;'PlayerGrades+'!$AC$7,"B+",IF(H80&lt;'PlayerGrades+'!$AC$6,"A-",IF(H80&lt;'PlayerGrades+'!$AC$5,"A",IF(H80&lt;'PlayerGrades+'!$AC$4,"A+",IF(H80&lt;'PlayerGrades+'!$AC$3,"S-",IF(H80&lt;'PlayerGrades+'!$AC$2,"S","S+"))))))))))))))))))))</f>
        <v>E+</v>
      </c>
      <c r="J80" s="961">
        <f t="shared" si="4"/>
        <v>0.1136363636</v>
      </c>
      <c r="K80" s="961" t="str">
        <f>IF(J80&lt;'PlayerGrades+'!$AD$21,"F-",IF(J80&lt;'PlayerGrades+'!$AD$20,"F",IF(J80&lt;'PlayerGrades+'!$AD$19,"F+",IF(J80&lt;'PlayerGrades+'!$AD$18,"E-",IF(J80&lt;'PlayerGrades+'!$AD$17,"E",IF(J80&lt;'PlayerGrades+'!$AD$16,"E+",IF(J80&lt;'PlayerGrades+'!$AD$15,"D-",IF(J80&lt;'PlayerGrades+'!$AD$14,"D",IF(J80&lt;'PlayerGrades+'!$AD$13,"D+",IF(J80&lt;'PlayerGrades+'!$AD$12,"C-",IF(J80&lt;'PlayerGrades+'!$AD$11,"C",IF(J80&lt;'PlayerGrades+'!$AD$10,"C+",IF(J80&lt;'PlayerGrades+'!$AD$9,"B-",IF(J80&lt;'PlayerGrades+'!$AD$8,"B",IF(J80&lt;'PlayerGrades+'!$AD$7,"B+",IF(J80&lt;'PlayerGrades+'!$AD$6,"A-",IF(J80&lt;'PlayerGrades+'!$AD$5,"A",IF(J80&lt;'PlayerGrades+'!$AD$4,"A+",IF(J80&lt;'PlayerGrades+'!$AD$3,"S-",IF(J80&lt;'PlayerGrades+'!$AD$2,"S","S+"))))))))))))))))))))</f>
        <v>S-</v>
      </c>
      <c r="L80" s="992">
        <f t="shared" si="5"/>
        <v>0.05681818182</v>
      </c>
      <c r="M80" s="992" t="str">
        <f>IF(L80&lt;'PlayerGrades+'!$AE$21,"F-",IF(L80&lt;'PlayerGrades+'!$AE$20,"F",IF(L80&lt;'PlayerGrades+'!$AE$19,"F+",IF(L80&lt;'PlayerGrades+'!$AE$18,"E-",IF(L80&lt;'PlayerGrades+'!$AE$17,"E",IF(L80&lt;'PlayerGrades+'!$AE$16,"E+",IF(L80&lt;'PlayerGrades+'!$AE$15,"D-",IF(L80&lt;'PlayerGrades+'!$AE$14,"D",IF(L80&lt;'PlayerGrades+'!$AE$13,"D+",IF(L80&lt;'PlayerGrades+'!$AE$12,"C-",IF(L80&lt;'PlayerGrades+'!$AE$11,"C",IF(L80&lt;'PlayerGrades+'!$AE$10,"C+",IF(L80&lt;'PlayerGrades+'!$AE$9,"B-",IF(L80&lt;'PlayerGrades+'!$AE$8,"B",IF(L80&lt;'PlayerGrades+'!$AE$7,"B+",IF(L80&lt;'PlayerGrades+'!$AE$6,"A-",IF(L80&lt;'PlayerGrades+'!$AE$5,"A",IF(L80&lt;'PlayerGrades+'!$AE$4,"A+",IF(L80&lt;'PlayerGrades+'!$AE$3,"S-",IF(L80&lt;'PlayerGrades+'!$AE$2,"S","S+"))))))))))))))))))))</f>
        <v>F-</v>
      </c>
      <c r="N80" s="961">
        <f t="shared" si="6"/>
        <v>0.05681818182</v>
      </c>
      <c r="O80" s="961" t="str">
        <f>IF(N80&lt;'PlayerGrades+'!$AF$21,"F-",IF(N80&lt;'PlayerGrades+'!$AF$20,"F",IF(N80&lt;'PlayerGrades+'!$AF$19,"F+",IF(N80&lt;'PlayerGrades+'!$AF$18,"E-",IF(N80&lt;'PlayerGrades+'!$AF$17,"E",IF(N80&lt;'PlayerGrades+'!$AF$16,"E+",IF(N80&lt;'PlayerGrades+'!$AF$15,"D-",IF(N80&lt;'PlayerGrades+'!$AF$14,"D",IF(N80&lt;'PlayerGrades+'!$AF$13,"D+",IF(N80&lt;'PlayerGrades+'!$AF$12,"C-",IF(N80&lt;'PlayerGrades+'!$AF$11,"C",IF(N80&lt;'PlayerGrades+'!$AF$10,"C+",IF(N80&lt;'PlayerGrades+'!$AF$9,"B-",IF(N80&lt;'PlayerGrades+'!$AF$8,"B",IF(N80&lt;'PlayerGrades+'!$AF$7,"B+",IF(N80&lt;'PlayerGrades+'!$AF$6,"A-",IF(N80&lt;'PlayerGrades+'!$AF$5,"A",IF(N80&lt;'PlayerGrades+'!$AF$4,"A+",IF(N80&lt;'PlayerGrades+'!$AF$3,"S-",IF(N80&lt;'PlayerGrades+'!$AF$2,"S","S+"))))))))))))))))))))</f>
        <v>F+</v>
      </c>
      <c r="P80" s="961">
        <f t="shared" si="7"/>
        <v>0.1136363636</v>
      </c>
      <c r="Q80" s="961" t="str">
        <f>IF(P80&lt;'PlayerGrades+'!$AG$21,"F-",IF(P80&lt;'PlayerGrades+'!$AG$20,"F",IF(P80&lt;'PlayerGrades+'!$AG$19,"F+",IF(P80&lt;'PlayerGrades+'!$AG$18,"E-",IF(P80&lt;'PlayerGrades+'!$AG$17,"E",IF(P80&lt;'PlayerGrades+'!$AG$16,"E+",IF(P80&lt;'PlayerGrades+'!$AG$15,"D-",IF(P80&lt;'PlayerGrades+'!$AG$14,"D",IF(P80&lt;'PlayerGrades+'!$AG$13,"D+",IF(P80&lt;'PlayerGrades+'!$AG$12,"C-",IF(P80&lt;'PlayerGrades+'!$AG$11,"C",IF(P80&lt;'PlayerGrades+'!$AG$10,"C+",IF(P80&lt;'PlayerGrades+'!$AG$9,"B-",IF(P80&lt;'PlayerGrades+'!$AG$8,"B",IF(P80&lt;'PlayerGrades+'!$AG$7,"B+",IF(P80&lt;'PlayerGrades+'!$AG$6,"A-",IF(P80&lt;'PlayerGrades+'!$AG$5,"A",IF(P80&lt;'PlayerGrades+'!$AG$4,"A+",IF(P80&lt;'PlayerGrades+'!$AG$3,"S-",IF(P80&lt;'PlayerGrades+'!$AG$2,"S","S+"))))))))))))))))))))</f>
        <v>F-</v>
      </c>
      <c r="R80" s="961">
        <f t="shared" si="8"/>
        <v>0.05681818182</v>
      </c>
      <c r="S80" s="961" t="str">
        <f>IF(R80&lt;'PlayerGrades+'!$AH$21,"F-",IF(R80&lt;'PlayerGrades+'!$AH$20,"F",IF(R80&lt;'PlayerGrades+'!$AH$19,"F+",IF(R80&lt;'PlayerGrades+'!$AH$18,"E-",IF(R80&lt;'PlayerGrades+'!$AH$17,"E",IF(R80&lt;'PlayerGrades+'!$AH$16,"E+",IF(R80&lt;'PlayerGrades+'!$AH$15,"D-",IF(R80&lt;'PlayerGrades+'!$AH$14,"D",IF(R80&lt;'PlayerGrades+'!$AH$13,"D+",IF(R80&lt;'PlayerGrades+'!$AH$12,"C-",IF(R80&lt;'PlayerGrades+'!$AH$11,"C",IF(R80&lt;'PlayerGrades+'!$AH$10,"C+",IF(R80&lt;'PlayerGrades+'!$AH$9,"B-",IF(R80&lt;'PlayerGrades+'!$AH$8,"B",IF(R80&lt;'PlayerGrades+'!$AH$7,"B+",IF(R80&lt;'PlayerGrades+'!$AH$6,"A-",IF(R80&lt;'PlayerGrades+'!$AH$5,"A",IF(R80&lt;'PlayerGrades+'!$AH$4,"A+",IF(R80&lt;'PlayerGrades+'!$AH$3,"S-",IF(R80&lt;'PlayerGrades+'!$AH$2,"S","S+"))))))))))))))))))))</f>
        <v>C</v>
      </c>
      <c r="T80" s="961">
        <f t="shared" si="9"/>
        <v>1.988636364</v>
      </c>
      <c r="U80" s="961" t="str">
        <f>IF(T80&lt;'PlayerGrades+'!$AI$21,"F-",IF(T80&lt;'PlayerGrades+'!$AI$20,"F",IF(T80&lt;'PlayerGrades+'!$AI$19,"F+",IF(T80&lt;'PlayerGrades+'!$AI$18,"E-",IF(T80&lt;'PlayerGrades+'!$AI$17,"E",IF(T80&lt;'PlayerGrades+'!$AI$16,"E+",IF(T80&lt;'PlayerGrades+'!$AI$15,"D-",IF(T80&lt;'PlayerGrades+'!$AI$14,"D",IF(T80&lt;'PlayerGrades+'!$AI$13,"D+",IF(T80&lt;'PlayerGrades+'!$AI$12,"C-",IF(T80&lt;'PlayerGrades+'!$AI$11,"C",IF(T80&lt;'PlayerGrades+'!$AI$10,"C+",IF(T80&lt;'PlayerGrades+'!$AI$9,"B-",IF(T80&lt;'PlayerGrades+'!$AI$8,"B",IF(T80&lt;'PlayerGrades+'!$AI$7,"B+",IF(T80&lt;'PlayerGrades+'!$AI$6,"A-",IF(T80&lt;'PlayerGrades+'!$AI$5,"A",IF(T80&lt;'PlayerGrades+'!$AI$4,"A+",IF(T80&lt;'PlayerGrades+'!$AI$3,"S-",IF(T80&lt;'PlayerGrades+'!$AI$2,"S","S+"))))))))))))))))))))</f>
        <v>F-</v>
      </c>
      <c r="V80" s="1100">
        <v>0.0</v>
      </c>
      <c r="W80" s="1100">
        <v>1.0</v>
      </c>
      <c r="X80" s="1100">
        <v>3.0</v>
      </c>
      <c r="Y80" s="1100">
        <v>6.0</v>
      </c>
      <c r="Z80" s="1100">
        <v>35.0</v>
      </c>
      <c r="AA80" s="1100">
        <v>43.0</v>
      </c>
      <c r="AB80" s="1017">
        <f t="shared" si="10"/>
        <v>-8</v>
      </c>
      <c r="AC80" s="1020">
        <f t="shared" si="11"/>
        <v>0.8139534884</v>
      </c>
      <c r="AD80" s="1100">
        <v>0.0</v>
      </c>
      <c r="AE80" s="1329">
        <v>1056.0</v>
      </c>
      <c r="AF80" s="1100">
        <v>2.0</v>
      </c>
      <c r="AG80" s="1100">
        <v>0.0</v>
      </c>
      <c r="AH80" s="1100">
        <v>0.0</v>
      </c>
      <c r="AI80" s="1100">
        <v>0.0</v>
      </c>
      <c r="AJ80" s="1100">
        <v>0.0</v>
      </c>
      <c r="AK80" s="1100">
        <v>1.0</v>
      </c>
      <c r="AL80" s="1100">
        <v>1.0</v>
      </c>
      <c r="AM80" s="1100">
        <v>0.0</v>
      </c>
      <c r="AN80" s="1100">
        <v>0.0</v>
      </c>
      <c r="AO80" s="1100">
        <v>0.0</v>
      </c>
      <c r="AP80" s="1100">
        <v>0.0</v>
      </c>
      <c r="AQ80" s="1100">
        <v>0.0</v>
      </c>
      <c r="AR80" s="1100">
        <v>0.0</v>
      </c>
      <c r="AS80" s="1100">
        <v>0.0</v>
      </c>
      <c r="AT80" s="1100">
        <v>0.0</v>
      </c>
      <c r="AU80" s="1100">
        <v>6.0</v>
      </c>
      <c r="AV80" s="1100">
        <v>0.0</v>
      </c>
      <c r="AW80" s="1100">
        <v>0.0</v>
      </c>
      <c r="AX80" s="1100">
        <v>0.0</v>
      </c>
      <c r="AY80" s="1100">
        <v>0.0</v>
      </c>
      <c r="AZ80" s="1239">
        <v>1.0</v>
      </c>
    </row>
    <row r="81">
      <c r="A81" s="938" t="s">
        <v>220</v>
      </c>
      <c r="B81" s="1100" t="str">
        <f>IF(C81&lt;'PlayerGrades+'!$Y$44,"F-",IF(C81&lt;'PlayerGrades+'!$Y$43,"F",IF(C81&lt;'PlayerGrades+'!$Y$42,"F+",IF(C81&lt;'PlayerGrades+'!$Y$41,"E-",IF(C81&lt;'PlayerGrades+'!$Y$40,"E",IF(C81&lt;'PlayerGrades+'!$Y$39,"E+",IF(C81&lt;'PlayerGrades+'!$Y$38,"D-",IF(C81&lt;'PlayerGrades+'!$Y$37,"D",IF(C81&lt;'PlayerGrades+'!$Y$36,"D+",IF(C81&lt;'PlayerGrades+'!$Y$35,"C-",IF(C81&lt;'PlayerGrades+'!$Y$34,"C",IF(C81&lt;'PlayerGrades+'!$Y$33,"C+",IF(C81&lt;'PlayerGrades+'!$Y$32,"B-",IF(C81&lt;'PlayerGrades+'!$Y$31,"B",IF(C81&lt;'PlayerGrades+'!$Y$30,"B+",IF(C81&lt;'PlayerGrades+'!$Y$29,"A-",IF(C81&lt;'PlayerGrades+'!$Y$28,"A",IF(C81&lt;'PlayerGrades+'!$Y$27,"A+",IF(C81&lt;'PlayerGrades+'!$Y$26,"S-",IF(C81&lt;'PlayerGrades+'!$Y$25,"S","S+"))))))))))))))))))))</f>
        <v>E+</v>
      </c>
      <c r="C81" s="1105">
        <f>('PlayerGrades+'!$Y$47*(VLOOKUP(E81, 'PlayerGrades+'!$X$3:$Y$23, 2, FALSE)))+('PlayerGrades+'!$Y$48*(VLOOKUP(G81, 'PlayerGrades+'!$X$3:$Y$23, 2, FALSE)))+('PlayerGrades+'!$Y$49*(VLOOKUP(I81, 'PlayerGrades+'!$X$3:$Y$23, 2, FALSE)))+('PlayerGrades+'!$Y$50*(VLOOKUP(K81, 'PlayerGrades+'!$X$3:$Y$23, 2, FALSE)))+('PlayerGrades+'!$Y$51*(VLOOKUP(M81, 'PlayerGrades+'!$X$3:$Y$23, 2, FALSE)))+('PlayerGrades+'!$Y$52*(VLOOKUP(O81, 'PlayerGrades+'!$X$3:$Y$23, 2, FALSE)))+('PlayerGrades+'!$Y$53*(VLOOKUP(Q81, 'PlayerGrades+'!$X$3:$Y$23, 2, FALSE)))+('PlayerGrades+'!$Y$54*(VLOOKUP(S81, 'PlayerGrades+'!$X$3:$Y$23, 2, FALSE)))+('PlayerGrades+'!$Y$55*(VLOOKUP(U81, 'PlayerGrades+'!$X$3:$Y$23, 2, FALSE)))</f>
        <v>11.3625</v>
      </c>
      <c r="D81" s="1149">
        <f t="shared" si="1"/>
        <v>0.05681818182</v>
      </c>
      <c r="E81" s="1149" t="str">
        <f>IF(D81&lt;'PlayerGrades+'!$AA$21,"F-",IF(D81&lt;'PlayerGrades+'!$AA$20,"F",IF(D81&lt;'PlayerGrades+'!$AA$19,"F+",IF(D81&lt;'PlayerGrades+'!$AA$18,"E-",IF(D81&lt;'PlayerGrades+'!$AA$17,"E",IF(D81&lt;'PlayerGrades+'!$AA$16,"E+",IF(D81&lt;'PlayerGrades+'!$AA$15,"D-",IF(D81&lt;'PlayerGrades+'!$AA$14,"D",IF(D81&lt;'PlayerGrades+'!$AA$13,"D+",IF(D81&lt;'PlayerGrades+'!$AA$12,"C-",IF(D81&lt;'PlayerGrades+'!$AA$11,"C",IF(D81&lt;'PlayerGrades+'!$AA$10,"C+",IF(D81&lt;'PlayerGrades+'!$AA$9,"B-",IF(D81&lt;'PlayerGrades+'!$AA$8,"B",IF(D81&lt;'PlayerGrades+'!$AA$7,"B+",IF(D81&lt;'PlayerGrades+'!$AA$6,"A-",IF(D81&lt;'PlayerGrades+'!$AA$5,"A",IF(D81&lt;'PlayerGrades+'!$AA$4,"A+",IF(D81&lt;'PlayerGrades+'!$AA$3,"S-",IF(D81&lt;'PlayerGrades+'!$AA$2,"S","S+"))))))))))))))))))))</f>
        <v>B</v>
      </c>
      <c r="F81" s="1149">
        <f t="shared" si="2"/>
        <v>0.02964426877</v>
      </c>
      <c r="G81" s="1149" t="str">
        <f>IF(F81&lt;'PlayerGrades+'!$AB$21,"F-",IF(F81&lt;'PlayerGrades+'!$AB$20,"F",IF(F81&lt;'PlayerGrades+'!$AB$19,"F+",IF(F81&lt;'PlayerGrades+'!$AB$18,"E-",IF(F81&lt;'PlayerGrades+'!$AB$17,"E",IF(F81&lt;'PlayerGrades+'!$AB$16,"E+",IF(F81&lt;'PlayerGrades+'!$AB$15,"D-",IF(F81&lt;'PlayerGrades+'!$AB$14,"D",IF(F81&lt;'PlayerGrades+'!$AB$13,"D+",IF(F81&lt;'PlayerGrades+'!$AB$12,"C-",IF(F81&lt;'PlayerGrades+'!$AB$11,"C",IF(F81&lt;'PlayerGrades+'!$AB$10,"C+",IF(F81&lt;'PlayerGrades+'!$AB$9,"B-",IF(F81&lt;'PlayerGrades+'!$AB$8,"B",IF(F81&lt;'PlayerGrades+'!$AB$7,"B+",IF(F81&lt;'PlayerGrades+'!$AB$6,"A-",IF(F81&lt;'PlayerGrades+'!$AB$5,"A",IF(F81&lt;'PlayerGrades+'!$AB$4,"A+",IF(F81&lt;'PlayerGrades+'!$AB$3,"S-",IF(F81&lt;'PlayerGrades+'!$AB$2,"S","S+"))))))))))))))))))))</f>
        <v>A</v>
      </c>
      <c r="H81" s="1149">
        <f t="shared" si="3"/>
        <v>0.1136363636</v>
      </c>
      <c r="I81" s="1149" t="str">
        <f>IF(H81&lt;'PlayerGrades+'!$AC$21,"F-",IF(H81&lt;'PlayerGrades+'!$AC$20,"F",IF(H81&lt;'PlayerGrades+'!$AC$19,"F+",IF(H81&lt;'PlayerGrades+'!$AC$18,"E-",IF(H81&lt;'PlayerGrades+'!$AC$17,"E",IF(H81&lt;'PlayerGrades+'!$AC$16,"E+",IF(H81&lt;'PlayerGrades+'!$AC$15,"D-",IF(H81&lt;'PlayerGrades+'!$AC$14,"D",IF(H81&lt;'PlayerGrades+'!$AC$13,"D+",IF(H81&lt;'PlayerGrades+'!$AC$12,"C-",IF(H81&lt;'PlayerGrades+'!$AC$11,"C",IF(H81&lt;'PlayerGrades+'!$AC$10,"C+",IF(H81&lt;'PlayerGrades+'!$AC$9,"B-",IF(H81&lt;'PlayerGrades+'!$AC$8,"B",IF(H81&lt;'PlayerGrades+'!$AC$7,"B+",IF(H81&lt;'PlayerGrades+'!$AC$6,"A-",IF(H81&lt;'PlayerGrades+'!$AC$5,"A",IF(H81&lt;'PlayerGrades+'!$AC$4,"A+",IF(H81&lt;'PlayerGrades+'!$AC$3,"S-",IF(H81&lt;'PlayerGrades+'!$AC$2,"S","S+"))))))))))))))))))))</f>
        <v>F-</v>
      </c>
      <c r="J81" s="1149">
        <f t="shared" si="4"/>
        <v>0</v>
      </c>
      <c r="K81" s="1149" t="str">
        <f>IF(J81&lt;'PlayerGrades+'!$AD$21,"F-",IF(J81&lt;'PlayerGrades+'!$AD$20,"F",IF(J81&lt;'PlayerGrades+'!$AD$19,"F+",IF(J81&lt;'PlayerGrades+'!$AD$18,"E-",IF(J81&lt;'PlayerGrades+'!$AD$17,"E",IF(J81&lt;'PlayerGrades+'!$AD$16,"E+",IF(J81&lt;'PlayerGrades+'!$AD$15,"D-",IF(J81&lt;'PlayerGrades+'!$AD$14,"D",IF(J81&lt;'PlayerGrades+'!$AD$13,"D+",IF(J81&lt;'PlayerGrades+'!$AD$12,"C-",IF(J81&lt;'PlayerGrades+'!$AD$11,"C",IF(J81&lt;'PlayerGrades+'!$AD$10,"C+",IF(J81&lt;'PlayerGrades+'!$AD$9,"B-",IF(J81&lt;'PlayerGrades+'!$AD$8,"B",IF(J81&lt;'PlayerGrades+'!$AD$7,"B+",IF(J81&lt;'PlayerGrades+'!$AD$6,"A-",IF(J81&lt;'PlayerGrades+'!$AD$5,"A",IF(J81&lt;'PlayerGrades+'!$AD$4,"A+",IF(J81&lt;'PlayerGrades+'!$AD$3,"S-",IF(J81&lt;'PlayerGrades+'!$AD$2,"S","S+"))))))))))))))))))))</f>
        <v>F-</v>
      </c>
      <c r="L81" s="1156">
        <f t="shared" si="5"/>
        <v>0.1136363636</v>
      </c>
      <c r="M81" s="1156" t="str">
        <f>IF(L81&lt;'PlayerGrades+'!$AE$21,"F-",IF(L81&lt;'PlayerGrades+'!$AE$20,"F",IF(L81&lt;'PlayerGrades+'!$AE$19,"F+",IF(L81&lt;'PlayerGrades+'!$AE$18,"E-",IF(L81&lt;'PlayerGrades+'!$AE$17,"E",IF(L81&lt;'PlayerGrades+'!$AE$16,"E+",IF(L81&lt;'PlayerGrades+'!$AE$15,"D-",IF(L81&lt;'PlayerGrades+'!$AE$14,"D",IF(L81&lt;'PlayerGrades+'!$AE$13,"D+",IF(L81&lt;'PlayerGrades+'!$AE$12,"C-",IF(L81&lt;'PlayerGrades+'!$AE$11,"C",IF(L81&lt;'PlayerGrades+'!$AE$10,"C+",IF(L81&lt;'PlayerGrades+'!$AE$9,"B-",IF(L81&lt;'PlayerGrades+'!$AE$8,"B",IF(L81&lt;'PlayerGrades+'!$AE$7,"B+",IF(L81&lt;'PlayerGrades+'!$AE$6,"A-",IF(L81&lt;'PlayerGrades+'!$AE$5,"A",IF(L81&lt;'PlayerGrades+'!$AE$4,"A+",IF(L81&lt;'PlayerGrades+'!$AE$3,"S-",IF(L81&lt;'PlayerGrades+'!$AE$2,"S","S+"))))))))))))))))))))</f>
        <v>F-</v>
      </c>
      <c r="N81" s="1149">
        <f t="shared" si="6"/>
        <v>0.05681818182</v>
      </c>
      <c r="O81" s="1149" t="str">
        <f>IF(N81&lt;'PlayerGrades+'!$AF$21,"F-",IF(N81&lt;'PlayerGrades+'!$AF$20,"F",IF(N81&lt;'PlayerGrades+'!$AF$19,"F+",IF(N81&lt;'PlayerGrades+'!$AF$18,"E-",IF(N81&lt;'PlayerGrades+'!$AF$17,"E",IF(N81&lt;'PlayerGrades+'!$AF$16,"E+",IF(N81&lt;'PlayerGrades+'!$AF$15,"D-",IF(N81&lt;'PlayerGrades+'!$AF$14,"D",IF(N81&lt;'PlayerGrades+'!$AF$13,"D+",IF(N81&lt;'PlayerGrades+'!$AF$12,"C-",IF(N81&lt;'PlayerGrades+'!$AF$11,"C",IF(N81&lt;'PlayerGrades+'!$AF$10,"C+",IF(N81&lt;'PlayerGrades+'!$AF$9,"B-",IF(N81&lt;'PlayerGrades+'!$AF$8,"B",IF(N81&lt;'PlayerGrades+'!$AF$7,"B+",IF(N81&lt;'PlayerGrades+'!$AF$6,"A-",IF(N81&lt;'PlayerGrades+'!$AF$5,"A",IF(N81&lt;'PlayerGrades+'!$AF$4,"A+",IF(N81&lt;'PlayerGrades+'!$AF$3,"S-",IF(N81&lt;'PlayerGrades+'!$AF$2,"S","S+"))))))))))))))))))))</f>
        <v>F+</v>
      </c>
      <c r="P81" s="1149">
        <f t="shared" si="7"/>
        <v>0.1704545455</v>
      </c>
      <c r="Q81" s="1149" t="str">
        <f>IF(P81&lt;'PlayerGrades+'!$AG$21,"F-",IF(P81&lt;'PlayerGrades+'!$AG$20,"F",IF(P81&lt;'PlayerGrades+'!$AG$19,"F+",IF(P81&lt;'PlayerGrades+'!$AG$18,"E-",IF(P81&lt;'PlayerGrades+'!$AG$17,"E",IF(P81&lt;'PlayerGrades+'!$AG$16,"E+",IF(P81&lt;'PlayerGrades+'!$AG$15,"D-",IF(P81&lt;'PlayerGrades+'!$AG$14,"D",IF(P81&lt;'PlayerGrades+'!$AG$13,"D+",IF(P81&lt;'PlayerGrades+'!$AG$12,"C-",IF(P81&lt;'PlayerGrades+'!$AG$11,"C",IF(P81&lt;'PlayerGrades+'!$AG$10,"C+",IF(P81&lt;'PlayerGrades+'!$AG$9,"B-",IF(P81&lt;'PlayerGrades+'!$AG$8,"B",IF(P81&lt;'PlayerGrades+'!$AG$7,"B+",IF(P81&lt;'PlayerGrades+'!$AG$6,"A-",IF(P81&lt;'PlayerGrades+'!$AG$5,"A",IF(P81&lt;'PlayerGrades+'!$AG$4,"A+",IF(P81&lt;'PlayerGrades+'!$AG$3,"S-",IF(P81&lt;'PlayerGrades+'!$AG$2,"S","S+"))))))))))))))))))))</f>
        <v>F-</v>
      </c>
      <c r="R81" s="1149">
        <f t="shared" si="8"/>
        <v>0.1136363636</v>
      </c>
      <c r="S81" s="1149" t="str">
        <f>IF(R81&lt;'PlayerGrades+'!$AH$21,"F-",IF(R81&lt;'PlayerGrades+'!$AH$20,"F",IF(R81&lt;'PlayerGrades+'!$AH$19,"F+",IF(R81&lt;'PlayerGrades+'!$AH$18,"E-",IF(R81&lt;'PlayerGrades+'!$AH$17,"E",IF(R81&lt;'PlayerGrades+'!$AH$16,"E+",IF(R81&lt;'PlayerGrades+'!$AH$15,"D-",IF(R81&lt;'PlayerGrades+'!$AH$14,"D",IF(R81&lt;'PlayerGrades+'!$AH$13,"D+",IF(R81&lt;'PlayerGrades+'!$AH$12,"C-",IF(R81&lt;'PlayerGrades+'!$AH$11,"C",IF(R81&lt;'PlayerGrades+'!$AH$10,"C+",IF(R81&lt;'PlayerGrades+'!$AH$9,"B-",IF(R81&lt;'PlayerGrades+'!$AH$8,"B",IF(R81&lt;'PlayerGrades+'!$AH$7,"B+",IF(R81&lt;'PlayerGrades+'!$AH$6,"A-",IF(R81&lt;'PlayerGrades+'!$AH$5,"A",IF(R81&lt;'PlayerGrades+'!$AH$4,"A+",IF(R81&lt;'PlayerGrades+'!$AH$3,"S-",IF(R81&lt;'PlayerGrades+'!$AH$2,"S","S+"))))))))))))))))))))</f>
        <v>S</v>
      </c>
      <c r="T81" s="1149">
        <f t="shared" si="9"/>
        <v>1.363636364</v>
      </c>
      <c r="U81" s="1149" t="str">
        <f>IF(T81&lt;'PlayerGrades+'!$AI$21,"F-",IF(T81&lt;'PlayerGrades+'!$AI$20,"F",IF(T81&lt;'PlayerGrades+'!$AI$19,"F+",IF(T81&lt;'PlayerGrades+'!$AI$18,"E-",IF(T81&lt;'PlayerGrades+'!$AI$17,"E",IF(T81&lt;'PlayerGrades+'!$AI$16,"E+",IF(T81&lt;'PlayerGrades+'!$AI$15,"D-",IF(T81&lt;'PlayerGrades+'!$AI$14,"D",IF(T81&lt;'PlayerGrades+'!$AI$13,"D+",IF(T81&lt;'PlayerGrades+'!$AI$12,"C-",IF(T81&lt;'PlayerGrades+'!$AI$11,"C",IF(T81&lt;'PlayerGrades+'!$AI$10,"C+",IF(T81&lt;'PlayerGrades+'!$AI$9,"B-",IF(T81&lt;'PlayerGrades+'!$AI$8,"B",IF(T81&lt;'PlayerGrades+'!$AI$7,"B+",IF(T81&lt;'PlayerGrades+'!$AI$6,"A-",IF(T81&lt;'PlayerGrades+'!$AI$5,"A",IF(T81&lt;'PlayerGrades+'!$AI$4,"A+",IF(T81&lt;'PlayerGrades+'!$AI$3,"S-",IF(T81&lt;'PlayerGrades+'!$AI$2,"S","S+"))))))))))))))))))))</f>
        <v>F-</v>
      </c>
      <c r="V81" s="1227">
        <v>0.0</v>
      </c>
      <c r="W81" s="1227">
        <v>1.0</v>
      </c>
      <c r="X81" s="1100">
        <v>1.0</v>
      </c>
      <c r="Y81" s="1100">
        <v>0.0</v>
      </c>
      <c r="Z81" s="1100">
        <v>24.0</v>
      </c>
      <c r="AA81" s="1100">
        <v>46.0</v>
      </c>
      <c r="AB81" s="1017">
        <f t="shared" si="10"/>
        <v>-22</v>
      </c>
      <c r="AC81" s="1020">
        <f t="shared" si="11"/>
        <v>0.5217391304</v>
      </c>
      <c r="AD81" s="1100">
        <v>0.0</v>
      </c>
      <c r="AE81" s="1329">
        <v>1056.0</v>
      </c>
      <c r="AF81" s="1100">
        <v>0.0</v>
      </c>
      <c r="AG81" s="1100">
        <v>0.0</v>
      </c>
      <c r="AH81" s="1100">
        <v>0.0</v>
      </c>
      <c r="AI81" s="1100">
        <v>0.0</v>
      </c>
      <c r="AJ81" s="1100">
        <v>0.0</v>
      </c>
      <c r="AK81" s="1100">
        <v>2.0</v>
      </c>
      <c r="AL81" s="1100">
        <v>1.0</v>
      </c>
      <c r="AM81" s="1100">
        <v>0.0</v>
      </c>
      <c r="AN81" s="1100">
        <v>0.0</v>
      </c>
      <c r="AO81" s="1100">
        <v>0.0</v>
      </c>
      <c r="AP81" s="1100">
        <v>0.0</v>
      </c>
      <c r="AQ81" s="1100">
        <v>0.0</v>
      </c>
      <c r="AR81" s="1100">
        <v>0.0</v>
      </c>
      <c r="AS81" s="1100">
        <v>0.0</v>
      </c>
      <c r="AT81" s="1100">
        <v>0.0</v>
      </c>
      <c r="AU81" s="1100">
        <v>2.0</v>
      </c>
      <c r="AV81" s="1100">
        <v>0.0</v>
      </c>
      <c r="AW81" s="1100">
        <v>0.0</v>
      </c>
      <c r="AX81" s="1100">
        <v>0.0</v>
      </c>
      <c r="AY81" s="1100">
        <v>1.0</v>
      </c>
      <c r="AZ81" s="1239">
        <v>1.0</v>
      </c>
    </row>
    <row r="82">
      <c r="A82" s="887" t="s">
        <v>149</v>
      </c>
      <c r="B82" s="1169" t="str">
        <f>IF(C82&lt;'PlayerGrades+'!$Y$44,"F-",IF(C82&lt;'PlayerGrades+'!$Y$43,"F",IF(C82&lt;'PlayerGrades+'!$Y$42,"F+",IF(C82&lt;'PlayerGrades+'!$Y$41,"E-",IF(C82&lt;'PlayerGrades+'!$Y$40,"E",IF(C82&lt;'PlayerGrades+'!$Y$39,"E+",IF(C82&lt;'PlayerGrades+'!$Y$38,"D-",IF(C82&lt;'PlayerGrades+'!$Y$37,"D",IF(C82&lt;'PlayerGrades+'!$Y$36,"D+",IF(C82&lt;'PlayerGrades+'!$Y$35,"C-",IF(C82&lt;'PlayerGrades+'!$Y$34,"C",IF(C82&lt;'PlayerGrades+'!$Y$33,"C+",IF(C82&lt;'PlayerGrades+'!$Y$32,"B-",IF(C82&lt;'PlayerGrades+'!$Y$31,"B",IF(C82&lt;'PlayerGrades+'!$Y$30,"B+",IF(C82&lt;'PlayerGrades+'!$Y$29,"A-",IF(C82&lt;'PlayerGrades+'!$Y$28,"A",IF(C82&lt;'PlayerGrades+'!$Y$27,"A+",IF(C82&lt;'PlayerGrades+'!$Y$26,"S-",IF(C82&lt;'PlayerGrades+'!$Y$25,"S","S+"))))))))))))))))))))</f>
        <v>A+</v>
      </c>
      <c r="C82" s="1170">
        <f>('PlayerGrades+'!$Y$47*(VLOOKUP(E82, 'PlayerGrades+'!$X$3:$Y$23, 2, FALSE)))+('PlayerGrades+'!$Y$48*(VLOOKUP(G82, 'PlayerGrades+'!$X$3:$Y$23, 2, FALSE)))+('PlayerGrades+'!$Y$49*(VLOOKUP(I82, 'PlayerGrades+'!$X$3:$Y$23, 2, FALSE)))+('PlayerGrades+'!$Y$50*(VLOOKUP(K82, 'PlayerGrades+'!$X$3:$Y$23, 2, FALSE)))+('PlayerGrades+'!$Y$51*(VLOOKUP(M82, 'PlayerGrades+'!$X$3:$Y$23, 2, FALSE)))+('PlayerGrades+'!$Y$52*(VLOOKUP(O82, 'PlayerGrades+'!$X$3:$Y$23, 2, FALSE)))+('PlayerGrades+'!$Y$53*(VLOOKUP(Q82, 'PlayerGrades+'!$X$3:$Y$23, 2, FALSE)))+('PlayerGrades+'!$Y$54*(VLOOKUP(S82, 'PlayerGrades+'!$X$3:$Y$23, 2, FALSE)))+('PlayerGrades+'!$Y$55*(VLOOKUP(U82, 'PlayerGrades+'!$X$3:$Y$23, 2, FALSE)))</f>
        <v>25.2</v>
      </c>
      <c r="D82" s="890">
        <f t="shared" si="1"/>
        <v>0.07481296758</v>
      </c>
      <c r="E82" s="890" t="str">
        <f>IF(D82&lt;'PlayerGrades+'!$AA$21,"F-",IF(D82&lt;'PlayerGrades+'!$AA$20,"F",IF(D82&lt;'PlayerGrades+'!$AA$19,"F+",IF(D82&lt;'PlayerGrades+'!$AA$18,"E-",IF(D82&lt;'PlayerGrades+'!$AA$17,"E",IF(D82&lt;'PlayerGrades+'!$AA$16,"E+",IF(D82&lt;'PlayerGrades+'!$AA$15,"D-",IF(D82&lt;'PlayerGrades+'!$AA$14,"D",IF(D82&lt;'PlayerGrades+'!$AA$13,"D+",IF(D82&lt;'PlayerGrades+'!$AA$12,"C-",IF(D82&lt;'PlayerGrades+'!$AA$11,"C",IF(D82&lt;'PlayerGrades+'!$AA$10,"C+",IF(D82&lt;'PlayerGrades+'!$AA$9,"B-",IF(D82&lt;'PlayerGrades+'!$AA$8,"B",IF(D82&lt;'PlayerGrades+'!$AA$7,"B+",IF(D82&lt;'PlayerGrades+'!$AA$6,"A-",IF(D82&lt;'PlayerGrades+'!$AA$5,"A",IF(D82&lt;'PlayerGrades+'!$AA$4,"A+",IF(D82&lt;'PlayerGrades+'!$AA$3,"S-",IF(D82&lt;'PlayerGrades+'!$AA$2,"S","S+"))))))))))))))))))))</f>
        <v>A-</v>
      </c>
      <c r="F82" s="890">
        <f t="shared" si="2"/>
        <v>0.07939335335</v>
      </c>
      <c r="G82" s="890" t="str">
        <f>IF(F82&lt;'PlayerGrades+'!$AB$21,"F-",IF(F82&lt;'PlayerGrades+'!$AB$20,"F",IF(F82&lt;'PlayerGrades+'!$AB$19,"F+",IF(F82&lt;'PlayerGrades+'!$AB$18,"E-",IF(F82&lt;'PlayerGrades+'!$AB$17,"E",IF(F82&lt;'PlayerGrades+'!$AB$16,"E+",IF(F82&lt;'PlayerGrades+'!$AB$15,"D-",IF(F82&lt;'PlayerGrades+'!$AB$14,"D",IF(F82&lt;'PlayerGrades+'!$AB$13,"D+",IF(F82&lt;'PlayerGrades+'!$AB$12,"C-",IF(F82&lt;'PlayerGrades+'!$AB$11,"C",IF(F82&lt;'PlayerGrades+'!$AB$10,"C+",IF(F82&lt;'PlayerGrades+'!$AB$9,"B-",IF(F82&lt;'PlayerGrades+'!$AB$8,"B",IF(F82&lt;'PlayerGrades+'!$AB$7,"B+",IF(F82&lt;'PlayerGrades+'!$AB$6,"A-",IF(F82&lt;'PlayerGrades+'!$AB$5,"A",IF(F82&lt;'PlayerGrades+'!$AB$4,"A+",IF(F82&lt;'PlayerGrades+'!$AB$3,"S-",IF(F82&lt;'PlayerGrades+'!$AB$2,"S","S+"))))))))))))))))))))</f>
        <v>A</v>
      </c>
      <c r="H82" s="890">
        <f t="shared" si="3"/>
        <v>0.6733167082</v>
      </c>
      <c r="I82" s="890" t="str">
        <f>IF(H82&lt;'PlayerGrades+'!$AC$21,"F-",IF(H82&lt;'PlayerGrades+'!$AC$20,"F",IF(H82&lt;'PlayerGrades+'!$AC$19,"F+",IF(H82&lt;'PlayerGrades+'!$AC$18,"E-",IF(H82&lt;'PlayerGrades+'!$AC$17,"E",IF(H82&lt;'PlayerGrades+'!$AC$16,"E+",IF(H82&lt;'PlayerGrades+'!$AC$15,"D-",IF(H82&lt;'PlayerGrades+'!$AC$14,"D",IF(H82&lt;'PlayerGrades+'!$AC$13,"D+",IF(H82&lt;'PlayerGrades+'!$AC$12,"C-",IF(H82&lt;'PlayerGrades+'!$AC$11,"C",IF(H82&lt;'PlayerGrades+'!$AC$10,"C+",IF(H82&lt;'PlayerGrades+'!$AC$9,"B-",IF(H82&lt;'PlayerGrades+'!$AC$8,"B",IF(H82&lt;'PlayerGrades+'!$AC$7,"B+",IF(H82&lt;'PlayerGrades+'!$AC$6,"A-",IF(H82&lt;'PlayerGrades+'!$AC$5,"A",IF(H82&lt;'PlayerGrades+'!$AC$4,"A+",IF(H82&lt;'PlayerGrades+'!$AC$3,"S-",IF(H82&lt;'PlayerGrades+'!$AC$2,"S","S+"))))))))))))))))))))</f>
        <v>A</v>
      </c>
      <c r="J82" s="890">
        <f t="shared" si="4"/>
        <v>0.07481296758</v>
      </c>
      <c r="K82" s="890" t="str">
        <f>IF(J82&lt;'PlayerGrades+'!$AD$21,"F-",IF(J82&lt;'PlayerGrades+'!$AD$20,"F",IF(J82&lt;'PlayerGrades+'!$AD$19,"F+",IF(J82&lt;'PlayerGrades+'!$AD$18,"E-",IF(J82&lt;'PlayerGrades+'!$AD$17,"E",IF(J82&lt;'PlayerGrades+'!$AD$16,"E+",IF(J82&lt;'PlayerGrades+'!$AD$15,"D-",IF(J82&lt;'PlayerGrades+'!$AD$14,"D",IF(J82&lt;'PlayerGrades+'!$AD$13,"D+",IF(J82&lt;'PlayerGrades+'!$AD$12,"C-",IF(J82&lt;'PlayerGrades+'!$AD$11,"C",IF(J82&lt;'PlayerGrades+'!$AD$10,"C+",IF(J82&lt;'PlayerGrades+'!$AD$9,"B-",IF(J82&lt;'PlayerGrades+'!$AD$8,"B",IF(J82&lt;'PlayerGrades+'!$AD$7,"B+",IF(J82&lt;'PlayerGrades+'!$AD$6,"A-",IF(J82&lt;'PlayerGrades+'!$AD$5,"A",IF(J82&lt;'PlayerGrades+'!$AD$4,"A+",IF(J82&lt;'PlayerGrades+'!$AD$3,"S-",IF(J82&lt;'PlayerGrades+'!$AD$2,"S","S+"))))))))))))))))))))</f>
        <v>A</v>
      </c>
      <c r="L82" s="899">
        <f t="shared" si="5"/>
        <v>0.7481296758</v>
      </c>
      <c r="M82" s="899" t="str">
        <f>IF(L82&lt;'PlayerGrades+'!$AE$21,"F-",IF(L82&lt;'PlayerGrades+'!$AE$20,"F",IF(L82&lt;'PlayerGrades+'!$AE$19,"F+",IF(L82&lt;'PlayerGrades+'!$AE$18,"E-",IF(L82&lt;'PlayerGrades+'!$AE$17,"E",IF(L82&lt;'PlayerGrades+'!$AE$16,"E+",IF(L82&lt;'PlayerGrades+'!$AE$15,"D-",IF(L82&lt;'PlayerGrades+'!$AE$14,"D",IF(L82&lt;'PlayerGrades+'!$AE$13,"D+",IF(L82&lt;'PlayerGrades+'!$AE$12,"C-",IF(L82&lt;'PlayerGrades+'!$AE$11,"C",IF(L82&lt;'PlayerGrades+'!$AE$10,"C+",IF(L82&lt;'PlayerGrades+'!$AE$9,"B-",IF(L82&lt;'PlayerGrades+'!$AE$8,"B",IF(L82&lt;'PlayerGrades+'!$AE$7,"B+",IF(L82&lt;'PlayerGrades+'!$AE$6,"A-",IF(L82&lt;'PlayerGrades+'!$AE$5,"A",IF(L82&lt;'PlayerGrades+'!$AE$4,"A+",IF(L82&lt;'PlayerGrades+'!$AE$3,"S-",IF(L82&lt;'PlayerGrades+'!$AE$2,"S","S+"))))))))))))))))))))</f>
        <v>S-</v>
      </c>
      <c r="N82" s="890">
        <f t="shared" si="6"/>
        <v>0.2992518703</v>
      </c>
      <c r="O82" s="890" t="str">
        <f>IF(N82&lt;'PlayerGrades+'!$AF$21,"F-",IF(N82&lt;'PlayerGrades+'!$AF$20,"F",IF(N82&lt;'PlayerGrades+'!$AF$19,"F+",IF(N82&lt;'PlayerGrades+'!$AF$18,"E-",IF(N82&lt;'PlayerGrades+'!$AF$17,"E",IF(N82&lt;'PlayerGrades+'!$AF$16,"E+",IF(N82&lt;'PlayerGrades+'!$AF$15,"D-",IF(N82&lt;'PlayerGrades+'!$AF$14,"D",IF(N82&lt;'PlayerGrades+'!$AF$13,"D+",IF(N82&lt;'PlayerGrades+'!$AF$12,"C-",IF(N82&lt;'PlayerGrades+'!$AF$11,"C",IF(N82&lt;'PlayerGrades+'!$AF$10,"C+",IF(N82&lt;'PlayerGrades+'!$AF$9,"B-",IF(N82&lt;'PlayerGrades+'!$AF$8,"B",IF(N82&lt;'PlayerGrades+'!$AF$7,"B+",IF(N82&lt;'PlayerGrades+'!$AF$6,"A-",IF(N82&lt;'PlayerGrades+'!$AF$5,"A",IF(N82&lt;'PlayerGrades+'!$AF$4,"A+",IF(N82&lt;'PlayerGrades+'!$AF$3,"S-",IF(N82&lt;'PlayerGrades+'!$AF$2,"S","S+"))))))))))))))))))))</f>
        <v>S</v>
      </c>
      <c r="P82" s="890">
        <f t="shared" si="7"/>
        <v>1.122194514</v>
      </c>
      <c r="Q82" s="890" t="str">
        <f>IF(P82&lt;'PlayerGrades+'!$AG$21,"F-",IF(P82&lt;'PlayerGrades+'!$AG$20,"F",IF(P82&lt;'PlayerGrades+'!$AG$19,"F+",IF(P82&lt;'PlayerGrades+'!$AG$18,"E-",IF(P82&lt;'PlayerGrades+'!$AG$17,"E",IF(P82&lt;'PlayerGrades+'!$AG$16,"E+",IF(P82&lt;'PlayerGrades+'!$AG$15,"D-",IF(P82&lt;'PlayerGrades+'!$AG$14,"D",IF(P82&lt;'PlayerGrades+'!$AG$13,"D+",IF(P82&lt;'PlayerGrades+'!$AG$12,"C-",IF(P82&lt;'PlayerGrades+'!$AG$11,"C",IF(P82&lt;'PlayerGrades+'!$AG$10,"C+",IF(P82&lt;'PlayerGrades+'!$AG$9,"B-",IF(P82&lt;'PlayerGrades+'!$AG$8,"B",IF(P82&lt;'PlayerGrades+'!$AG$7,"B+",IF(P82&lt;'PlayerGrades+'!$AG$6,"A-",IF(P82&lt;'PlayerGrades+'!$AG$5,"A",IF(P82&lt;'PlayerGrades+'!$AG$4,"A+",IF(P82&lt;'PlayerGrades+'!$AG$3,"S-",IF(P82&lt;'PlayerGrades+'!$AG$2,"S","S+"))))))))))))))))))))</f>
        <v>S-</v>
      </c>
      <c r="R82" s="890">
        <f t="shared" si="8"/>
        <v>0.07481296758</v>
      </c>
      <c r="S82" s="890" t="str">
        <f>IF(R82&lt;'PlayerGrades+'!$AH$21,"F-",IF(R82&lt;'PlayerGrades+'!$AH$20,"F",IF(R82&lt;'PlayerGrades+'!$AH$19,"F+",IF(R82&lt;'PlayerGrades+'!$AH$18,"E-",IF(R82&lt;'PlayerGrades+'!$AH$17,"E",IF(R82&lt;'PlayerGrades+'!$AH$16,"E+",IF(R82&lt;'PlayerGrades+'!$AH$15,"D-",IF(R82&lt;'PlayerGrades+'!$AH$14,"D",IF(R82&lt;'PlayerGrades+'!$AH$13,"D+",IF(R82&lt;'PlayerGrades+'!$AH$12,"C-",IF(R82&lt;'PlayerGrades+'!$AH$11,"C",IF(R82&lt;'PlayerGrades+'!$AH$10,"C+",IF(R82&lt;'PlayerGrades+'!$AH$9,"B-",IF(R82&lt;'PlayerGrades+'!$AH$8,"B",IF(R82&lt;'PlayerGrades+'!$AH$7,"B+",IF(R82&lt;'PlayerGrades+'!$AH$6,"A-",IF(R82&lt;'PlayerGrades+'!$AH$5,"A",IF(R82&lt;'PlayerGrades+'!$AH$4,"A+",IF(R82&lt;'PlayerGrades+'!$AH$3,"S-",IF(R82&lt;'PlayerGrades+'!$AH$2,"S","S+"))))))))))))))))))))</f>
        <v>B+</v>
      </c>
      <c r="T82" s="890">
        <f t="shared" si="9"/>
        <v>3.890274314</v>
      </c>
      <c r="U82" s="890" t="str">
        <f>IF(T82&lt;'PlayerGrades+'!$AI$21,"F-",IF(T82&lt;'PlayerGrades+'!$AI$20,"F",IF(T82&lt;'PlayerGrades+'!$AI$19,"F+",IF(T82&lt;'PlayerGrades+'!$AI$18,"E-",IF(T82&lt;'PlayerGrades+'!$AI$17,"E",IF(T82&lt;'PlayerGrades+'!$AI$16,"E+",IF(T82&lt;'PlayerGrades+'!$AI$15,"D-",IF(T82&lt;'PlayerGrades+'!$AI$14,"D",IF(T82&lt;'PlayerGrades+'!$AI$13,"D+",IF(T82&lt;'PlayerGrades+'!$AI$12,"C-",IF(T82&lt;'PlayerGrades+'!$AI$11,"C",IF(T82&lt;'PlayerGrades+'!$AI$10,"C+",IF(T82&lt;'PlayerGrades+'!$AI$9,"B-",IF(T82&lt;'PlayerGrades+'!$AI$8,"B",IF(T82&lt;'PlayerGrades+'!$AI$7,"B+",IF(T82&lt;'PlayerGrades+'!$AI$6,"A-",IF(T82&lt;'PlayerGrades+'!$AI$5,"A",IF(T82&lt;'PlayerGrades+'!$AI$4,"A+",IF(T82&lt;'PlayerGrades+'!$AI$3,"S-",IF(T82&lt;'PlayerGrades+'!$AI$2,"S","S+"))))))))))))))))))))</f>
        <v>S-</v>
      </c>
      <c r="V82" s="1169">
        <v>1.0</v>
      </c>
      <c r="W82" s="1169">
        <v>0.0</v>
      </c>
      <c r="X82" s="1169">
        <v>1.0</v>
      </c>
      <c r="Y82" s="1169">
        <v>0.0</v>
      </c>
      <c r="Z82" s="1169">
        <v>52.0</v>
      </c>
      <c r="AA82" s="1169">
        <v>49.0</v>
      </c>
      <c r="AB82" s="925">
        <f t="shared" si="10"/>
        <v>3</v>
      </c>
      <c r="AC82" s="930">
        <f t="shared" si="11"/>
        <v>1.06122449</v>
      </c>
      <c r="AD82" s="1169">
        <v>1.0</v>
      </c>
      <c r="AE82" s="1300">
        <v>802.0</v>
      </c>
      <c r="AF82" s="1169">
        <v>1.0</v>
      </c>
      <c r="AG82" s="1169">
        <v>0.0</v>
      </c>
      <c r="AH82" s="1169">
        <v>0.0</v>
      </c>
      <c r="AI82" s="1169">
        <v>0.0</v>
      </c>
      <c r="AJ82" s="1169">
        <v>0.0</v>
      </c>
      <c r="AK82" s="1169">
        <v>10.0</v>
      </c>
      <c r="AL82" s="1169">
        <v>4.0</v>
      </c>
      <c r="AM82" s="1169">
        <v>1.0</v>
      </c>
      <c r="AN82" s="1169">
        <v>0.0</v>
      </c>
      <c r="AO82" s="1169">
        <v>0.0</v>
      </c>
      <c r="AP82" s="1169">
        <v>0.0</v>
      </c>
      <c r="AQ82" s="1169">
        <v>0.0</v>
      </c>
      <c r="AR82" s="1169">
        <v>0.0</v>
      </c>
      <c r="AS82" s="1169">
        <v>0.0</v>
      </c>
      <c r="AT82" s="1169">
        <v>0.0</v>
      </c>
      <c r="AU82" s="1169">
        <v>9.0</v>
      </c>
      <c r="AV82" s="1169">
        <v>0.0</v>
      </c>
      <c r="AW82" s="1169">
        <v>0.0</v>
      </c>
      <c r="AX82" s="1169">
        <v>0.0</v>
      </c>
      <c r="AY82" s="1169">
        <v>1.0</v>
      </c>
      <c r="AZ82" s="1302">
        <v>0.0</v>
      </c>
    </row>
    <row r="83">
      <c r="A83" s="938" t="s">
        <v>197</v>
      </c>
      <c r="B83" s="1100" t="str">
        <f>IF(C83&lt;'PlayerGrades+'!$Y$44,"F-",IF(C83&lt;'PlayerGrades+'!$Y$43,"F",IF(C83&lt;'PlayerGrades+'!$Y$42,"F+",IF(C83&lt;'PlayerGrades+'!$Y$41,"E-",IF(C83&lt;'PlayerGrades+'!$Y$40,"E",IF(C83&lt;'PlayerGrades+'!$Y$39,"E+",IF(C83&lt;'PlayerGrades+'!$Y$38,"D-",IF(C83&lt;'PlayerGrades+'!$Y$37,"D",IF(C83&lt;'PlayerGrades+'!$Y$36,"D+",IF(C83&lt;'PlayerGrades+'!$Y$35,"C-",IF(C83&lt;'PlayerGrades+'!$Y$34,"C",IF(C83&lt;'PlayerGrades+'!$Y$33,"C+",IF(C83&lt;'PlayerGrades+'!$Y$32,"B-",IF(C83&lt;'PlayerGrades+'!$Y$31,"B",IF(C83&lt;'PlayerGrades+'!$Y$30,"B+",IF(C83&lt;'PlayerGrades+'!$Y$29,"A-",IF(C83&lt;'PlayerGrades+'!$Y$28,"A",IF(C83&lt;'PlayerGrades+'!$Y$27,"A+",IF(C83&lt;'PlayerGrades+'!$Y$26,"S-",IF(C83&lt;'PlayerGrades+'!$Y$25,"S","S+"))))))))))))))))))))</f>
        <v>B-</v>
      </c>
      <c r="C83" s="1105">
        <f>('PlayerGrades+'!$Y$47*(VLOOKUP(E83, 'PlayerGrades+'!$X$3:$Y$23, 2, FALSE)))+('PlayerGrades+'!$Y$48*(VLOOKUP(G83, 'PlayerGrades+'!$X$3:$Y$23, 2, FALSE)))+('PlayerGrades+'!$Y$49*(VLOOKUP(I83, 'PlayerGrades+'!$X$3:$Y$23, 2, FALSE)))+('PlayerGrades+'!$Y$50*(VLOOKUP(K83, 'PlayerGrades+'!$X$3:$Y$23, 2, FALSE)))+('PlayerGrades+'!$Y$51*(VLOOKUP(M83, 'PlayerGrades+'!$X$3:$Y$23, 2, FALSE)))+('PlayerGrades+'!$Y$52*(VLOOKUP(O83, 'PlayerGrades+'!$X$3:$Y$23, 2, FALSE)))+('PlayerGrades+'!$Y$53*(VLOOKUP(Q83, 'PlayerGrades+'!$X$3:$Y$23, 2, FALSE)))+('PlayerGrades+'!$Y$54*(VLOOKUP(S83, 'PlayerGrades+'!$X$3:$Y$23, 2, FALSE)))+('PlayerGrades+'!$Y$55*(VLOOKUP(U83, 'PlayerGrades+'!$X$3:$Y$23, 2, FALSE)))</f>
        <v>16.725</v>
      </c>
      <c r="D83" s="961">
        <f t="shared" si="1"/>
        <v>0.07481296758</v>
      </c>
      <c r="E83" s="961" t="str">
        <f>IF(D83&lt;'PlayerGrades+'!$AA$21,"F-",IF(D83&lt;'PlayerGrades+'!$AA$20,"F",IF(D83&lt;'PlayerGrades+'!$AA$19,"F+",IF(D83&lt;'PlayerGrades+'!$AA$18,"E-",IF(D83&lt;'PlayerGrades+'!$AA$17,"E",IF(D83&lt;'PlayerGrades+'!$AA$16,"E+",IF(D83&lt;'PlayerGrades+'!$AA$15,"D-",IF(D83&lt;'PlayerGrades+'!$AA$14,"D",IF(D83&lt;'PlayerGrades+'!$AA$13,"D+",IF(D83&lt;'PlayerGrades+'!$AA$12,"C-",IF(D83&lt;'PlayerGrades+'!$AA$11,"C",IF(D83&lt;'PlayerGrades+'!$AA$10,"C+",IF(D83&lt;'PlayerGrades+'!$AA$9,"B-",IF(D83&lt;'PlayerGrades+'!$AA$8,"B",IF(D83&lt;'PlayerGrades+'!$AA$7,"B+",IF(D83&lt;'PlayerGrades+'!$AA$6,"A-",IF(D83&lt;'PlayerGrades+'!$AA$5,"A",IF(D83&lt;'PlayerGrades+'!$AA$4,"A+",IF(D83&lt;'PlayerGrades+'!$AA$3,"S-",IF(D83&lt;'PlayerGrades+'!$AA$2,"S","S+"))))))))))))))))))))</f>
        <v>A-</v>
      </c>
      <c r="F83" s="961">
        <f t="shared" si="2"/>
        <v>0.07156022986</v>
      </c>
      <c r="G83" s="961" t="str">
        <f>IF(F83&lt;'PlayerGrades+'!$AB$21,"F-",IF(F83&lt;'PlayerGrades+'!$AB$20,"F",IF(F83&lt;'PlayerGrades+'!$AB$19,"F+",IF(F83&lt;'PlayerGrades+'!$AB$18,"E-",IF(F83&lt;'PlayerGrades+'!$AB$17,"E",IF(F83&lt;'PlayerGrades+'!$AB$16,"E+",IF(F83&lt;'PlayerGrades+'!$AB$15,"D-",IF(F83&lt;'PlayerGrades+'!$AB$14,"D",IF(F83&lt;'PlayerGrades+'!$AB$13,"D+",IF(F83&lt;'PlayerGrades+'!$AB$12,"C-",IF(F83&lt;'PlayerGrades+'!$AB$11,"C",IF(F83&lt;'PlayerGrades+'!$AB$10,"C+",IF(F83&lt;'PlayerGrades+'!$AB$9,"B-",IF(F83&lt;'PlayerGrades+'!$AB$8,"B",IF(F83&lt;'PlayerGrades+'!$AB$7,"B+",IF(F83&lt;'PlayerGrades+'!$AB$6,"A-",IF(F83&lt;'PlayerGrades+'!$AB$5,"A",IF(F83&lt;'PlayerGrades+'!$AB$4,"A+",IF(F83&lt;'PlayerGrades+'!$AB$3,"S-",IF(F83&lt;'PlayerGrades+'!$AB$2,"S","S+"))))))))))))))))))))</f>
        <v>A</v>
      </c>
      <c r="H83" s="961">
        <f t="shared" si="3"/>
        <v>0.2992518703</v>
      </c>
      <c r="I83" s="961" t="str">
        <f>IF(H83&lt;'PlayerGrades+'!$AC$21,"F-",IF(H83&lt;'PlayerGrades+'!$AC$20,"F",IF(H83&lt;'PlayerGrades+'!$AC$19,"F+",IF(H83&lt;'PlayerGrades+'!$AC$18,"E-",IF(H83&lt;'PlayerGrades+'!$AC$17,"E",IF(H83&lt;'PlayerGrades+'!$AC$16,"E+",IF(H83&lt;'PlayerGrades+'!$AC$15,"D-",IF(H83&lt;'PlayerGrades+'!$AC$14,"D",IF(H83&lt;'PlayerGrades+'!$AC$13,"D+",IF(H83&lt;'PlayerGrades+'!$AC$12,"C-",IF(H83&lt;'PlayerGrades+'!$AC$11,"C",IF(H83&lt;'PlayerGrades+'!$AC$10,"C+",IF(H83&lt;'PlayerGrades+'!$AC$9,"B-",IF(H83&lt;'PlayerGrades+'!$AC$8,"B",IF(H83&lt;'PlayerGrades+'!$AC$7,"B+",IF(H83&lt;'PlayerGrades+'!$AC$6,"A-",IF(H83&lt;'PlayerGrades+'!$AC$5,"A",IF(H83&lt;'PlayerGrades+'!$AC$4,"A+",IF(H83&lt;'PlayerGrades+'!$AC$3,"S-",IF(H83&lt;'PlayerGrades+'!$AC$2,"S","S+"))))))))))))))))))))</f>
        <v>F+</v>
      </c>
      <c r="J83" s="961">
        <f t="shared" si="4"/>
        <v>0</v>
      </c>
      <c r="K83" s="961" t="str">
        <f>IF(J83&lt;'PlayerGrades+'!$AD$21,"F-",IF(J83&lt;'PlayerGrades+'!$AD$20,"F",IF(J83&lt;'PlayerGrades+'!$AD$19,"F+",IF(J83&lt;'PlayerGrades+'!$AD$18,"E-",IF(J83&lt;'PlayerGrades+'!$AD$17,"E",IF(J83&lt;'PlayerGrades+'!$AD$16,"E+",IF(J83&lt;'PlayerGrades+'!$AD$15,"D-",IF(J83&lt;'PlayerGrades+'!$AD$14,"D",IF(J83&lt;'PlayerGrades+'!$AD$13,"D+",IF(J83&lt;'PlayerGrades+'!$AD$12,"C-",IF(J83&lt;'PlayerGrades+'!$AD$11,"C",IF(J83&lt;'PlayerGrades+'!$AD$10,"C+",IF(J83&lt;'PlayerGrades+'!$AD$9,"B-",IF(J83&lt;'PlayerGrades+'!$AD$8,"B",IF(J83&lt;'PlayerGrades+'!$AD$7,"B+",IF(J83&lt;'PlayerGrades+'!$AD$6,"A-",IF(J83&lt;'PlayerGrades+'!$AD$5,"A",IF(J83&lt;'PlayerGrades+'!$AD$4,"A+",IF(J83&lt;'PlayerGrades+'!$AD$3,"S-",IF(J83&lt;'PlayerGrades+'!$AD$2,"S","S+"))))))))))))))))))))</f>
        <v>F-</v>
      </c>
      <c r="L83" s="992">
        <f t="shared" si="5"/>
        <v>0.2992518703</v>
      </c>
      <c r="M83" s="992" t="str">
        <f>IF(L83&lt;'PlayerGrades+'!$AE$21,"F-",IF(L83&lt;'PlayerGrades+'!$AE$20,"F",IF(L83&lt;'PlayerGrades+'!$AE$19,"F+",IF(L83&lt;'PlayerGrades+'!$AE$18,"E-",IF(L83&lt;'PlayerGrades+'!$AE$17,"E",IF(L83&lt;'PlayerGrades+'!$AE$16,"E+",IF(L83&lt;'PlayerGrades+'!$AE$15,"D-",IF(L83&lt;'PlayerGrades+'!$AE$14,"D",IF(L83&lt;'PlayerGrades+'!$AE$13,"D+",IF(L83&lt;'PlayerGrades+'!$AE$12,"C-",IF(L83&lt;'PlayerGrades+'!$AE$11,"C",IF(L83&lt;'PlayerGrades+'!$AE$10,"C+",IF(L83&lt;'PlayerGrades+'!$AE$9,"B-",IF(L83&lt;'PlayerGrades+'!$AE$8,"B",IF(L83&lt;'PlayerGrades+'!$AE$7,"B+",IF(L83&lt;'PlayerGrades+'!$AE$6,"A-",IF(L83&lt;'PlayerGrades+'!$AE$5,"A",IF(L83&lt;'PlayerGrades+'!$AE$4,"A+",IF(L83&lt;'PlayerGrades+'!$AE$3,"S-",IF(L83&lt;'PlayerGrades+'!$AE$2,"S","S+"))))))))))))))))))))</f>
        <v>F+</v>
      </c>
      <c r="N83" s="961">
        <f t="shared" si="6"/>
        <v>0.1496259352</v>
      </c>
      <c r="O83" s="961" t="str">
        <f>IF(N83&lt;'PlayerGrades+'!$AF$21,"F-",IF(N83&lt;'PlayerGrades+'!$AF$20,"F",IF(N83&lt;'PlayerGrades+'!$AF$19,"F+",IF(N83&lt;'PlayerGrades+'!$AF$18,"E-",IF(N83&lt;'PlayerGrades+'!$AF$17,"E",IF(N83&lt;'PlayerGrades+'!$AF$16,"E+",IF(N83&lt;'PlayerGrades+'!$AF$15,"D-",IF(N83&lt;'PlayerGrades+'!$AF$14,"D",IF(N83&lt;'PlayerGrades+'!$AF$13,"D+",IF(N83&lt;'PlayerGrades+'!$AF$12,"C-",IF(N83&lt;'PlayerGrades+'!$AF$11,"C",IF(N83&lt;'PlayerGrades+'!$AF$10,"C+",IF(N83&lt;'PlayerGrades+'!$AF$9,"B-",IF(N83&lt;'PlayerGrades+'!$AF$8,"B",IF(N83&lt;'PlayerGrades+'!$AF$7,"B+",IF(N83&lt;'PlayerGrades+'!$AF$6,"A-",IF(N83&lt;'PlayerGrades+'!$AF$5,"A",IF(N83&lt;'PlayerGrades+'!$AF$4,"A+",IF(N83&lt;'PlayerGrades+'!$AF$3,"S-",IF(N83&lt;'PlayerGrades+'!$AF$2,"S","S+"))))))))))))))))))))</f>
        <v>B+</v>
      </c>
      <c r="P83" s="961">
        <f t="shared" si="7"/>
        <v>0.5236907731</v>
      </c>
      <c r="Q83" s="961" t="str">
        <f>IF(P83&lt;'PlayerGrades+'!$AG$21,"F-",IF(P83&lt;'PlayerGrades+'!$AG$20,"F",IF(P83&lt;'PlayerGrades+'!$AG$19,"F+",IF(P83&lt;'PlayerGrades+'!$AG$18,"E-",IF(P83&lt;'PlayerGrades+'!$AG$17,"E",IF(P83&lt;'PlayerGrades+'!$AG$16,"E+",IF(P83&lt;'PlayerGrades+'!$AG$15,"D-",IF(P83&lt;'PlayerGrades+'!$AG$14,"D",IF(P83&lt;'PlayerGrades+'!$AG$13,"D+",IF(P83&lt;'PlayerGrades+'!$AG$12,"C-",IF(P83&lt;'PlayerGrades+'!$AG$11,"C",IF(P83&lt;'PlayerGrades+'!$AG$10,"C+",IF(P83&lt;'PlayerGrades+'!$AG$9,"B-",IF(P83&lt;'PlayerGrades+'!$AG$8,"B",IF(P83&lt;'PlayerGrades+'!$AG$7,"B+",IF(P83&lt;'PlayerGrades+'!$AG$6,"A-",IF(P83&lt;'PlayerGrades+'!$AG$5,"A",IF(P83&lt;'PlayerGrades+'!$AG$4,"A+",IF(P83&lt;'PlayerGrades+'!$AG$3,"S-",IF(P83&lt;'PlayerGrades+'!$AG$2,"S","S+"))))))))))))))))))))</f>
        <v>D-</v>
      </c>
      <c r="R83" s="961">
        <f t="shared" si="8"/>
        <v>0.1496259352</v>
      </c>
      <c r="S83" s="961" t="str">
        <f>IF(R83&lt;'PlayerGrades+'!$AH$21,"F-",IF(R83&lt;'PlayerGrades+'!$AH$20,"F",IF(R83&lt;'PlayerGrades+'!$AH$19,"F+",IF(R83&lt;'PlayerGrades+'!$AH$18,"E-",IF(R83&lt;'PlayerGrades+'!$AH$17,"E",IF(R83&lt;'PlayerGrades+'!$AH$16,"E+",IF(R83&lt;'PlayerGrades+'!$AH$15,"D-",IF(R83&lt;'PlayerGrades+'!$AH$14,"D",IF(R83&lt;'PlayerGrades+'!$AH$13,"D+",IF(R83&lt;'PlayerGrades+'!$AH$12,"C-",IF(R83&lt;'PlayerGrades+'!$AH$11,"C",IF(R83&lt;'PlayerGrades+'!$AH$10,"C+",IF(R83&lt;'PlayerGrades+'!$AH$9,"B-",IF(R83&lt;'PlayerGrades+'!$AH$8,"B",IF(R83&lt;'PlayerGrades+'!$AH$7,"B+",IF(R83&lt;'PlayerGrades+'!$AH$6,"A-",IF(R83&lt;'PlayerGrades+'!$AH$5,"A",IF(R83&lt;'PlayerGrades+'!$AH$4,"A+",IF(R83&lt;'PlayerGrades+'!$AH$3,"S-",IF(R83&lt;'PlayerGrades+'!$AH$2,"S","S+"))))))))))))))))))))</f>
        <v>S+</v>
      </c>
      <c r="T83" s="961">
        <f t="shared" si="9"/>
        <v>3.291770574</v>
      </c>
      <c r="U83" s="961" t="str">
        <f>IF(T83&lt;'PlayerGrades+'!$AI$21,"F-",IF(T83&lt;'PlayerGrades+'!$AI$20,"F",IF(T83&lt;'PlayerGrades+'!$AI$19,"F+",IF(T83&lt;'PlayerGrades+'!$AI$18,"E-",IF(T83&lt;'PlayerGrades+'!$AI$17,"E",IF(T83&lt;'PlayerGrades+'!$AI$16,"E+",IF(T83&lt;'PlayerGrades+'!$AI$15,"D-",IF(T83&lt;'PlayerGrades+'!$AI$14,"D",IF(T83&lt;'PlayerGrades+'!$AI$13,"D+",IF(T83&lt;'PlayerGrades+'!$AI$12,"C-",IF(T83&lt;'PlayerGrades+'!$AI$11,"C",IF(T83&lt;'PlayerGrades+'!$AI$10,"C+",IF(T83&lt;'PlayerGrades+'!$AI$9,"B-",IF(T83&lt;'PlayerGrades+'!$AI$8,"B",IF(T83&lt;'PlayerGrades+'!$AI$7,"B+",IF(T83&lt;'PlayerGrades+'!$AI$6,"A-",IF(T83&lt;'PlayerGrades+'!$AI$5,"A",IF(T83&lt;'PlayerGrades+'!$AI$4,"A+",IF(T83&lt;'PlayerGrades+'!$AI$3,"S-",IF(T83&lt;'PlayerGrades+'!$AI$2,"S","S+"))))))))))))))))))))</f>
        <v>A-</v>
      </c>
      <c r="V83" s="1100">
        <v>1.0</v>
      </c>
      <c r="W83" s="1100">
        <v>0.0</v>
      </c>
      <c r="X83" s="1100">
        <v>1.0</v>
      </c>
      <c r="Y83" s="1100">
        <v>1.0</v>
      </c>
      <c r="Z83" s="1100">
        <v>44.0</v>
      </c>
      <c r="AA83" s="1100">
        <v>46.0</v>
      </c>
      <c r="AB83" s="1017">
        <f t="shared" si="10"/>
        <v>-2</v>
      </c>
      <c r="AC83" s="1020">
        <f t="shared" si="11"/>
        <v>0.9565217391</v>
      </c>
      <c r="AD83" s="1100">
        <v>0.0</v>
      </c>
      <c r="AE83" s="1329">
        <v>802.0</v>
      </c>
      <c r="AF83" s="1100">
        <v>0.0</v>
      </c>
      <c r="AG83" s="1100">
        <v>0.0</v>
      </c>
      <c r="AH83" s="1100">
        <v>0.0</v>
      </c>
      <c r="AI83" s="1100">
        <v>0.0</v>
      </c>
      <c r="AJ83" s="1100">
        <v>1.0</v>
      </c>
      <c r="AK83" s="1100">
        <v>4.0</v>
      </c>
      <c r="AL83" s="1100">
        <v>2.0</v>
      </c>
      <c r="AM83" s="1100">
        <v>0.0</v>
      </c>
      <c r="AN83" s="1100">
        <v>0.0</v>
      </c>
      <c r="AO83" s="1100">
        <v>0.0</v>
      </c>
      <c r="AP83" s="1100">
        <v>0.0</v>
      </c>
      <c r="AQ83" s="1100">
        <v>0.0</v>
      </c>
      <c r="AR83" s="1100">
        <v>0.0</v>
      </c>
      <c r="AS83" s="1100">
        <v>0.0</v>
      </c>
      <c r="AT83" s="1100">
        <v>0.0</v>
      </c>
      <c r="AU83" s="1100">
        <v>4.0</v>
      </c>
      <c r="AV83" s="1100">
        <v>0.0</v>
      </c>
      <c r="AW83" s="1100">
        <v>0.0</v>
      </c>
      <c r="AX83" s="1100">
        <v>0.0</v>
      </c>
      <c r="AY83" s="1100">
        <v>2.0</v>
      </c>
      <c r="AZ83" s="1239">
        <v>0.0</v>
      </c>
    </row>
    <row r="84">
      <c r="A84" s="938" t="s">
        <v>96</v>
      </c>
      <c r="B84" s="1100" t="str">
        <f>IF(C84&lt;'PlayerGrades+'!$Y$44,"F-",IF(C84&lt;'PlayerGrades+'!$Y$43,"F",IF(C84&lt;'PlayerGrades+'!$Y$42,"F+",IF(C84&lt;'PlayerGrades+'!$Y$41,"E-",IF(C84&lt;'PlayerGrades+'!$Y$40,"E",IF(C84&lt;'PlayerGrades+'!$Y$39,"E+",IF(C84&lt;'PlayerGrades+'!$Y$38,"D-",IF(C84&lt;'PlayerGrades+'!$Y$37,"D",IF(C84&lt;'PlayerGrades+'!$Y$36,"D+",IF(C84&lt;'PlayerGrades+'!$Y$35,"C-",IF(C84&lt;'PlayerGrades+'!$Y$34,"C",IF(C84&lt;'PlayerGrades+'!$Y$33,"C+",IF(C84&lt;'PlayerGrades+'!$Y$32,"B-",IF(C84&lt;'PlayerGrades+'!$Y$31,"B",IF(C84&lt;'PlayerGrades+'!$Y$30,"B+",IF(C84&lt;'PlayerGrades+'!$Y$29,"A-",IF(C84&lt;'PlayerGrades+'!$Y$28,"A",IF(C84&lt;'PlayerGrades+'!$Y$27,"A+",IF(C84&lt;'PlayerGrades+'!$Y$26,"S-",IF(C84&lt;'PlayerGrades+'!$Y$25,"S","S+"))))))))))))))))))))</f>
        <v>C+</v>
      </c>
      <c r="C84" s="1105">
        <f>('PlayerGrades+'!$Y$47*(VLOOKUP(E84, 'PlayerGrades+'!$X$3:$Y$23, 2, FALSE)))+('PlayerGrades+'!$Y$48*(VLOOKUP(G84, 'PlayerGrades+'!$X$3:$Y$23, 2, FALSE)))+('PlayerGrades+'!$Y$49*(VLOOKUP(I84, 'PlayerGrades+'!$X$3:$Y$23, 2, FALSE)))+('PlayerGrades+'!$Y$50*(VLOOKUP(K84, 'PlayerGrades+'!$X$3:$Y$23, 2, FALSE)))+('PlayerGrades+'!$Y$51*(VLOOKUP(M84, 'PlayerGrades+'!$X$3:$Y$23, 2, FALSE)))+('PlayerGrades+'!$Y$52*(VLOOKUP(O84, 'PlayerGrades+'!$X$3:$Y$23, 2, FALSE)))+('PlayerGrades+'!$Y$53*(VLOOKUP(Q84, 'PlayerGrades+'!$X$3:$Y$23, 2, FALSE)))+('PlayerGrades+'!$Y$54*(VLOOKUP(S84, 'PlayerGrades+'!$X$3:$Y$23, 2, FALSE)))+('PlayerGrades+'!$Y$55*(VLOOKUP(U84, 'PlayerGrades+'!$X$3:$Y$23, 2, FALSE)))</f>
        <v>15.325</v>
      </c>
      <c r="D84" s="961">
        <f t="shared" si="1"/>
        <v>0.1496259352</v>
      </c>
      <c r="E84" s="961" t="str">
        <f>IF(D84&lt;'PlayerGrades+'!$AA$21,"F-",IF(D84&lt;'PlayerGrades+'!$AA$20,"F",IF(D84&lt;'PlayerGrades+'!$AA$19,"F+",IF(D84&lt;'PlayerGrades+'!$AA$18,"E-",IF(D84&lt;'PlayerGrades+'!$AA$17,"E",IF(D84&lt;'PlayerGrades+'!$AA$16,"E+",IF(D84&lt;'PlayerGrades+'!$AA$15,"D-",IF(D84&lt;'PlayerGrades+'!$AA$14,"D",IF(D84&lt;'PlayerGrades+'!$AA$13,"D+",IF(D84&lt;'PlayerGrades+'!$AA$12,"C-",IF(D84&lt;'PlayerGrades+'!$AA$11,"C",IF(D84&lt;'PlayerGrades+'!$AA$10,"C+",IF(D84&lt;'PlayerGrades+'!$AA$9,"B-",IF(D84&lt;'PlayerGrades+'!$AA$8,"B",IF(D84&lt;'PlayerGrades+'!$AA$7,"B+",IF(D84&lt;'PlayerGrades+'!$AA$6,"A-",IF(D84&lt;'PlayerGrades+'!$AA$5,"A",IF(D84&lt;'PlayerGrades+'!$AA$4,"A+",IF(D84&lt;'PlayerGrades+'!$AA$3,"S-",IF(D84&lt;'PlayerGrades+'!$AA$2,"S","S+"))))))))))))))))))))</f>
        <v>S</v>
      </c>
      <c r="F84" s="961">
        <f t="shared" si="2"/>
        <v>0.07481296758</v>
      </c>
      <c r="G84" s="961" t="str">
        <f>IF(F84&lt;'PlayerGrades+'!$AB$21,"F-",IF(F84&lt;'PlayerGrades+'!$AB$20,"F",IF(F84&lt;'PlayerGrades+'!$AB$19,"F+",IF(F84&lt;'PlayerGrades+'!$AB$18,"E-",IF(F84&lt;'PlayerGrades+'!$AB$17,"E",IF(F84&lt;'PlayerGrades+'!$AB$16,"E+",IF(F84&lt;'PlayerGrades+'!$AB$15,"D-",IF(F84&lt;'PlayerGrades+'!$AB$14,"D",IF(F84&lt;'PlayerGrades+'!$AB$13,"D+",IF(F84&lt;'PlayerGrades+'!$AB$12,"C-",IF(F84&lt;'PlayerGrades+'!$AB$11,"C",IF(F84&lt;'PlayerGrades+'!$AB$10,"C+",IF(F84&lt;'PlayerGrades+'!$AB$9,"B-",IF(F84&lt;'PlayerGrades+'!$AB$8,"B",IF(F84&lt;'PlayerGrades+'!$AB$7,"B+",IF(F84&lt;'PlayerGrades+'!$AB$6,"A-",IF(F84&lt;'PlayerGrades+'!$AB$5,"A",IF(F84&lt;'PlayerGrades+'!$AB$4,"A+",IF(F84&lt;'PlayerGrades+'!$AB$3,"S-",IF(F84&lt;'PlayerGrades+'!$AB$2,"S","S+"))))))))))))))))))))</f>
        <v>A</v>
      </c>
      <c r="H84" s="961">
        <f t="shared" si="3"/>
        <v>0.6733167082</v>
      </c>
      <c r="I84" s="961" t="str">
        <f>IF(H84&lt;'PlayerGrades+'!$AC$21,"F-",IF(H84&lt;'PlayerGrades+'!$AC$20,"F",IF(H84&lt;'PlayerGrades+'!$AC$19,"F+",IF(H84&lt;'PlayerGrades+'!$AC$18,"E-",IF(H84&lt;'PlayerGrades+'!$AC$17,"E",IF(H84&lt;'PlayerGrades+'!$AC$16,"E+",IF(H84&lt;'PlayerGrades+'!$AC$15,"D-",IF(H84&lt;'PlayerGrades+'!$AC$14,"D",IF(H84&lt;'PlayerGrades+'!$AC$13,"D+",IF(H84&lt;'PlayerGrades+'!$AC$12,"C-",IF(H84&lt;'PlayerGrades+'!$AC$11,"C",IF(H84&lt;'PlayerGrades+'!$AC$10,"C+",IF(H84&lt;'PlayerGrades+'!$AC$9,"B-",IF(H84&lt;'PlayerGrades+'!$AC$8,"B",IF(H84&lt;'PlayerGrades+'!$AC$7,"B+",IF(H84&lt;'PlayerGrades+'!$AC$6,"A-",IF(H84&lt;'PlayerGrades+'!$AC$5,"A",IF(H84&lt;'PlayerGrades+'!$AC$4,"A+",IF(H84&lt;'PlayerGrades+'!$AC$3,"S-",IF(H84&lt;'PlayerGrades+'!$AC$2,"S","S+"))))))))))))))))))))</f>
        <v>A</v>
      </c>
      <c r="J84" s="961">
        <f t="shared" si="4"/>
        <v>0</v>
      </c>
      <c r="K84" s="961" t="str">
        <f>IF(J84&lt;'PlayerGrades+'!$AD$21,"F-",IF(J84&lt;'PlayerGrades+'!$AD$20,"F",IF(J84&lt;'PlayerGrades+'!$AD$19,"F+",IF(J84&lt;'PlayerGrades+'!$AD$18,"E-",IF(J84&lt;'PlayerGrades+'!$AD$17,"E",IF(J84&lt;'PlayerGrades+'!$AD$16,"E+",IF(J84&lt;'PlayerGrades+'!$AD$15,"D-",IF(J84&lt;'PlayerGrades+'!$AD$14,"D",IF(J84&lt;'PlayerGrades+'!$AD$13,"D+",IF(J84&lt;'PlayerGrades+'!$AD$12,"C-",IF(J84&lt;'PlayerGrades+'!$AD$11,"C",IF(J84&lt;'PlayerGrades+'!$AD$10,"C+",IF(J84&lt;'PlayerGrades+'!$AD$9,"B-",IF(J84&lt;'PlayerGrades+'!$AD$8,"B",IF(J84&lt;'PlayerGrades+'!$AD$7,"B+",IF(J84&lt;'PlayerGrades+'!$AD$6,"A-",IF(J84&lt;'PlayerGrades+'!$AD$5,"A",IF(J84&lt;'PlayerGrades+'!$AD$4,"A+",IF(J84&lt;'PlayerGrades+'!$AD$3,"S-",IF(J84&lt;'PlayerGrades+'!$AD$2,"S","S+"))))))))))))))))))))</f>
        <v>F-</v>
      </c>
      <c r="L84" s="992">
        <f t="shared" si="5"/>
        <v>0.1496259352</v>
      </c>
      <c r="M84" s="992" t="str">
        <f>IF(L84&lt;'PlayerGrades+'!$AE$21,"F-",IF(L84&lt;'PlayerGrades+'!$AE$20,"F",IF(L84&lt;'PlayerGrades+'!$AE$19,"F+",IF(L84&lt;'PlayerGrades+'!$AE$18,"E-",IF(L84&lt;'PlayerGrades+'!$AE$17,"E",IF(L84&lt;'PlayerGrades+'!$AE$16,"E+",IF(L84&lt;'PlayerGrades+'!$AE$15,"D-",IF(L84&lt;'PlayerGrades+'!$AE$14,"D",IF(L84&lt;'PlayerGrades+'!$AE$13,"D+",IF(L84&lt;'PlayerGrades+'!$AE$12,"C-",IF(L84&lt;'PlayerGrades+'!$AE$11,"C",IF(L84&lt;'PlayerGrades+'!$AE$10,"C+",IF(L84&lt;'PlayerGrades+'!$AE$9,"B-",IF(L84&lt;'PlayerGrades+'!$AE$8,"B",IF(L84&lt;'PlayerGrades+'!$AE$7,"B+",IF(L84&lt;'PlayerGrades+'!$AE$6,"A-",IF(L84&lt;'PlayerGrades+'!$AE$5,"A",IF(L84&lt;'PlayerGrades+'!$AE$4,"A+",IF(L84&lt;'PlayerGrades+'!$AE$3,"S-",IF(L84&lt;'PlayerGrades+'!$AE$2,"S","S+"))))))))))))))))))))</f>
        <v>F-</v>
      </c>
      <c r="N84" s="961">
        <f t="shared" si="6"/>
        <v>0.07481296758</v>
      </c>
      <c r="O84" s="961" t="str">
        <f>IF(N84&lt;'PlayerGrades+'!$AF$21,"F-",IF(N84&lt;'PlayerGrades+'!$AF$20,"F",IF(N84&lt;'PlayerGrades+'!$AF$19,"F+",IF(N84&lt;'PlayerGrades+'!$AF$18,"E-",IF(N84&lt;'PlayerGrades+'!$AF$17,"E",IF(N84&lt;'PlayerGrades+'!$AF$16,"E+",IF(N84&lt;'PlayerGrades+'!$AF$15,"D-",IF(N84&lt;'PlayerGrades+'!$AF$14,"D",IF(N84&lt;'PlayerGrades+'!$AF$13,"D+",IF(N84&lt;'PlayerGrades+'!$AF$12,"C-",IF(N84&lt;'PlayerGrades+'!$AF$11,"C",IF(N84&lt;'PlayerGrades+'!$AF$10,"C+",IF(N84&lt;'PlayerGrades+'!$AF$9,"B-",IF(N84&lt;'PlayerGrades+'!$AF$8,"B",IF(N84&lt;'PlayerGrades+'!$AF$7,"B+",IF(N84&lt;'PlayerGrades+'!$AF$6,"A-",IF(N84&lt;'PlayerGrades+'!$AF$5,"A",IF(N84&lt;'PlayerGrades+'!$AF$4,"A+",IF(N84&lt;'PlayerGrades+'!$AF$3,"S-",IF(N84&lt;'PlayerGrades+'!$AF$2,"S","S+"))))))))))))))))))))</f>
        <v>E+</v>
      </c>
      <c r="P84" s="961">
        <f t="shared" si="7"/>
        <v>0.2244389027</v>
      </c>
      <c r="Q84" s="961" t="str">
        <f>IF(P84&lt;'PlayerGrades+'!$AG$21,"F-",IF(P84&lt;'PlayerGrades+'!$AG$20,"F",IF(P84&lt;'PlayerGrades+'!$AG$19,"F+",IF(P84&lt;'PlayerGrades+'!$AG$18,"E-",IF(P84&lt;'PlayerGrades+'!$AG$17,"E",IF(P84&lt;'PlayerGrades+'!$AG$16,"E+",IF(P84&lt;'PlayerGrades+'!$AG$15,"D-",IF(P84&lt;'PlayerGrades+'!$AG$14,"D",IF(P84&lt;'PlayerGrades+'!$AG$13,"D+",IF(P84&lt;'PlayerGrades+'!$AG$12,"C-",IF(P84&lt;'PlayerGrades+'!$AG$11,"C",IF(P84&lt;'PlayerGrades+'!$AG$10,"C+",IF(P84&lt;'PlayerGrades+'!$AG$9,"B-",IF(P84&lt;'PlayerGrades+'!$AG$8,"B",IF(P84&lt;'PlayerGrades+'!$AG$7,"B+",IF(P84&lt;'PlayerGrades+'!$AG$6,"A-",IF(P84&lt;'PlayerGrades+'!$AG$5,"A",IF(P84&lt;'PlayerGrades+'!$AG$4,"A+",IF(P84&lt;'PlayerGrades+'!$AG$3,"S-",IF(P84&lt;'PlayerGrades+'!$AG$2,"S","S+"))))))))))))))))))))</f>
        <v>F-</v>
      </c>
      <c r="R84" s="961">
        <f t="shared" si="8"/>
        <v>0</v>
      </c>
      <c r="S84" s="961" t="str">
        <f>IF(R84&lt;'PlayerGrades+'!$AH$21,"F-",IF(R84&lt;'PlayerGrades+'!$AH$20,"F",IF(R84&lt;'PlayerGrades+'!$AH$19,"F+",IF(R84&lt;'PlayerGrades+'!$AH$18,"E-",IF(R84&lt;'PlayerGrades+'!$AH$17,"E",IF(R84&lt;'PlayerGrades+'!$AH$16,"E+",IF(R84&lt;'PlayerGrades+'!$AH$15,"D-",IF(R84&lt;'PlayerGrades+'!$AH$14,"D",IF(R84&lt;'PlayerGrades+'!$AH$13,"D+",IF(R84&lt;'PlayerGrades+'!$AH$12,"C-",IF(R84&lt;'PlayerGrades+'!$AH$11,"C",IF(R84&lt;'PlayerGrades+'!$AH$10,"C+",IF(R84&lt;'PlayerGrades+'!$AH$9,"B-",IF(R84&lt;'PlayerGrades+'!$AH$8,"B",IF(R84&lt;'PlayerGrades+'!$AH$7,"B+",IF(R84&lt;'PlayerGrades+'!$AH$6,"A-",IF(R84&lt;'PlayerGrades+'!$AH$5,"A",IF(R84&lt;'PlayerGrades+'!$AH$4,"A+",IF(R84&lt;'PlayerGrades+'!$AH$3,"S-",IF(R84&lt;'PlayerGrades+'!$AH$2,"S","S+"))))))))))))))))))))</f>
        <v>F-</v>
      </c>
      <c r="T84" s="961">
        <f t="shared" si="9"/>
        <v>2.16957606</v>
      </c>
      <c r="U84" s="961" t="str">
        <f>IF(T84&lt;'PlayerGrades+'!$AI$21,"F-",IF(T84&lt;'PlayerGrades+'!$AI$20,"F",IF(T84&lt;'PlayerGrades+'!$AI$19,"F+",IF(T84&lt;'PlayerGrades+'!$AI$18,"E-",IF(T84&lt;'PlayerGrades+'!$AI$17,"E",IF(T84&lt;'PlayerGrades+'!$AI$16,"E+",IF(T84&lt;'PlayerGrades+'!$AI$15,"D-",IF(T84&lt;'PlayerGrades+'!$AI$14,"D",IF(T84&lt;'PlayerGrades+'!$AI$13,"D+",IF(T84&lt;'PlayerGrades+'!$AI$12,"C-",IF(T84&lt;'PlayerGrades+'!$AI$11,"C",IF(T84&lt;'PlayerGrades+'!$AI$10,"C+",IF(T84&lt;'PlayerGrades+'!$AI$9,"B-",IF(T84&lt;'PlayerGrades+'!$AI$8,"B",IF(T84&lt;'PlayerGrades+'!$AI$7,"B+",IF(T84&lt;'PlayerGrades+'!$AI$6,"A-",IF(T84&lt;'PlayerGrades+'!$AI$5,"A",IF(T84&lt;'PlayerGrades+'!$AI$4,"A+",IF(T84&lt;'PlayerGrades+'!$AI$3,"S-",IF(T84&lt;'PlayerGrades+'!$AI$2,"S","S+"))))))))))))))))))))</f>
        <v>F</v>
      </c>
      <c r="V84" s="1100">
        <v>1.0</v>
      </c>
      <c r="W84" s="1100">
        <v>0.0</v>
      </c>
      <c r="X84" s="1100">
        <v>2.0</v>
      </c>
      <c r="Y84" s="1100">
        <v>11.0</v>
      </c>
      <c r="Z84" s="1100">
        <v>29.0</v>
      </c>
      <c r="AA84" s="1100">
        <v>29.0</v>
      </c>
      <c r="AB84" s="1017">
        <f t="shared" si="10"/>
        <v>0</v>
      </c>
      <c r="AC84" s="1020">
        <f t="shared" si="11"/>
        <v>1</v>
      </c>
      <c r="AD84" s="1100">
        <v>0.0</v>
      </c>
      <c r="AE84" s="1329">
        <v>802.0</v>
      </c>
      <c r="AF84" s="1100">
        <v>0.0</v>
      </c>
      <c r="AG84" s="1100">
        <v>0.0</v>
      </c>
      <c r="AH84" s="1100">
        <v>0.0</v>
      </c>
      <c r="AI84" s="1100">
        <v>0.0</v>
      </c>
      <c r="AJ84" s="1100">
        <v>0.0</v>
      </c>
      <c r="AK84" s="1100">
        <v>2.0</v>
      </c>
      <c r="AL84" s="1100">
        <v>1.0</v>
      </c>
      <c r="AM84" s="1100">
        <v>0.0</v>
      </c>
      <c r="AN84" s="1100">
        <v>0.0</v>
      </c>
      <c r="AO84" s="1100">
        <v>0.0</v>
      </c>
      <c r="AP84" s="1100">
        <v>0.0</v>
      </c>
      <c r="AQ84" s="1100">
        <v>0.0</v>
      </c>
      <c r="AR84" s="1100">
        <v>0.0</v>
      </c>
      <c r="AS84" s="1100">
        <v>0.0</v>
      </c>
      <c r="AT84" s="1100">
        <v>0.0</v>
      </c>
      <c r="AU84" s="1100">
        <v>9.0</v>
      </c>
      <c r="AV84" s="1100">
        <v>0.0</v>
      </c>
      <c r="AW84" s="1100">
        <v>0.0</v>
      </c>
      <c r="AX84" s="1100">
        <v>0.0</v>
      </c>
      <c r="AY84" s="1100">
        <v>0.0</v>
      </c>
      <c r="AZ84" s="1239">
        <v>0.0</v>
      </c>
    </row>
    <row r="85">
      <c r="A85" s="938" t="s">
        <v>48</v>
      </c>
      <c r="B85" s="1100" t="str">
        <f>IF(C85&lt;'PlayerGrades+'!$Y$44,"F-",IF(C85&lt;'PlayerGrades+'!$Y$43,"F",IF(C85&lt;'PlayerGrades+'!$Y$42,"F+",IF(C85&lt;'PlayerGrades+'!$Y$41,"E-",IF(C85&lt;'PlayerGrades+'!$Y$40,"E",IF(C85&lt;'PlayerGrades+'!$Y$39,"E+",IF(C85&lt;'PlayerGrades+'!$Y$38,"D-",IF(C85&lt;'PlayerGrades+'!$Y$37,"D",IF(C85&lt;'PlayerGrades+'!$Y$36,"D+",IF(C85&lt;'PlayerGrades+'!$Y$35,"C-",IF(C85&lt;'PlayerGrades+'!$Y$34,"C",IF(C85&lt;'PlayerGrades+'!$Y$33,"C+",IF(C85&lt;'PlayerGrades+'!$Y$32,"B-",IF(C85&lt;'PlayerGrades+'!$Y$31,"B",IF(C85&lt;'PlayerGrades+'!$Y$30,"B+",IF(C85&lt;'PlayerGrades+'!$Y$29,"A-",IF(C85&lt;'PlayerGrades+'!$Y$28,"A",IF(C85&lt;'PlayerGrades+'!$Y$27,"A+",IF(C85&lt;'PlayerGrades+'!$Y$26,"S-",IF(C85&lt;'PlayerGrades+'!$Y$25,"S","S+"))))))))))))))))))))</f>
        <v>E+</v>
      </c>
      <c r="C85" s="1105">
        <f>('PlayerGrades+'!$Y$47*(VLOOKUP(E85, 'PlayerGrades+'!$X$3:$Y$23, 2, FALSE)))+('PlayerGrades+'!$Y$48*(VLOOKUP(G85, 'PlayerGrades+'!$X$3:$Y$23, 2, FALSE)))+('PlayerGrades+'!$Y$49*(VLOOKUP(I85, 'PlayerGrades+'!$X$3:$Y$23, 2, FALSE)))+('PlayerGrades+'!$Y$50*(VLOOKUP(K85, 'PlayerGrades+'!$X$3:$Y$23, 2, FALSE)))+('PlayerGrades+'!$Y$51*(VLOOKUP(M85, 'PlayerGrades+'!$X$3:$Y$23, 2, FALSE)))+('PlayerGrades+'!$Y$52*(VLOOKUP(O85, 'PlayerGrades+'!$X$3:$Y$23, 2, FALSE)))+('PlayerGrades+'!$Y$53*(VLOOKUP(Q85, 'PlayerGrades+'!$X$3:$Y$23, 2, FALSE)))+('PlayerGrades+'!$Y$54*(VLOOKUP(S85, 'PlayerGrades+'!$X$3:$Y$23, 2, FALSE)))+('PlayerGrades+'!$Y$55*(VLOOKUP(U85, 'PlayerGrades+'!$X$3:$Y$23, 2, FALSE)))</f>
        <v>11.175</v>
      </c>
      <c r="D85" s="961">
        <f t="shared" si="1"/>
        <v>0.07481296758</v>
      </c>
      <c r="E85" s="961" t="str">
        <f>IF(D85&lt;'PlayerGrades+'!$AA$21,"F-",IF(D85&lt;'PlayerGrades+'!$AA$20,"F",IF(D85&lt;'PlayerGrades+'!$AA$19,"F+",IF(D85&lt;'PlayerGrades+'!$AA$18,"E-",IF(D85&lt;'PlayerGrades+'!$AA$17,"E",IF(D85&lt;'PlayerGrades+'!$AA$16,"E+",IF(D85&lt;'PlayerGrades+'!$AA$15,"D-",IF(D85&lt;'PlayerGrades+'!$AA$14,"D",IF(D85&lt;'PlayerGrades+'!$AA$13,"D+",IF(D85&lt;'PlayerGrades+'!$AA$12,"C-",IF(D85&lt;'PlayerGrades+'!$AA$11,"C",IF(D85&lt;'PlayerGrades+'!$AA$10,"C+",IF(D85&lt;'PlayerGrades+'!$AA$9,"B-",IF(D85&lt;'PlayerGrades+'!$AA$8,"B",IF(D85&lt;'PlayerGrades+'!$AA$7,"B+",IF(D85&lt;'PlayerGrades+'!$AA$6,"A-",IF(D85&lt;'PlayerGrades+'!$AA$5,"A",IF(D85&lt;'PlayerGrades+'!$AA$4,"A+",IF(D85&lt;'PlayerGrades+'!$AA$3,"S-",IF(D85&lt;'PlayerGrades+'!$AA$2,"S","S+"))))))))))))))))))))</f>
        <v>A-</v>
      </c>
      <c r="F85" s="961">
        <f t="shared" si="2"/>
        <v>0.02706000955</v>
      </c>
      <c r="G85" s="961" t="str">
        <f>IF(F85&lt;'PlayerGrades+'!$AB$21,"F-",IF(F85&lt;'PlayerGrades+'!$AB$20,"F",IF(F85&lt;'PlayerGrades+'!$AB$19,"F+",IF(F85&lt;'PlayerGrades+'!$AB$18,"E-",IF(F85&lt;'PlayerGrades+'!$AB$17,"E",IF(F85&lt;'PlayerGrades+'!$AB$16,"E+",IF(F85&lt;'PlayerGrades+'!$AB$15,"D-",IF(F85&lt;'PlayerGrades+'!$AB$14,"D",IF(F85&lt;'PlayerGrades+'!$AB$13,"D+",IF(F85&lt;'PlayerGrades+'!$AB$12,"C-",IF(F85&lt;'PlayerGrades+'!$AB$11,"C",IF(F85&lt;'PlayerGrades+'!$AB$10,"C+",IF(F85&lt;'PlayerGrades+'!$AB$9,"B-",IF(F85&lt;'PlayerGrades+'!$AB$8,"B",IF(F85&lt;'PlayerGrades+'!$AB$7,"B+",IF(F85&lt;'PlayerGrades+'!$AB$6,"A-",IF(F85&lt;'PlayerGrades+'!$AB$5,"A",IF(F85&lt;'PlayerGrades+'!$AB$4,"A+",IF(F85&lt;'PlayerGrades+'!$AB$3,"S-",IF(F85&lt;'PlayerGrades+'!$AB$2,"S","S+"))))))))))))))))))))</f>
        <v>A</v>
      </c>
      <c r="H85" s="961">
        <f t="shared" si="3"/>
        <v>0.2244389027</v>
      </c>
      <c r="I85" s="961" t="str">
        <f>IF(H85&lt;'PlayerGrades+'!$AC$21,"F-",IF(H85&lt;'PlayerGrades+'!$AC$20,"F",IF(H85&lt;'PlayerGrades+'!$AC$19,"F+",IF(H85&lt;'PlayerGrades+'!$AC$18,"E-",IF(H85&lt;'PlayerGrades+'!$AC$17,"E",IF(H85&lt;'PlayerGrades+'!$AC$16,"E+",IF(H85&lt;'PlayerGrades+'!$AC$15,"D-",IF(H85&lt;'PlayerGrades+'!$AC$14,"D",IF(H85&lt;'PlayerGrades+'!$AC$13,"D+",IF(H85&lt;'PlayerGrades+'!$AC$12,"C-",IF(H85&lt;'PlayerGrades+'!$AC$11,"C",IF(H85&lt;'PlayerGrades+'!$AC$10,"C+",IF(H85&lt;'PlayerGrades+'!$AC$9,"B-",IF(H85&lt;'PlayerGrades+'!$AC$8,"B",IF(H85&lt;'PlayerGrades+'!$AC$7,"B+",IF(H85&lt;'PlayerGrades+'!$AC$6,"A-",IF(H85&lt;'PlayerGrades+'!$AC$5,"A",IF(H85&lt;'PlayerGrades+'!$AC$4,"A+",IF(H85&lt;'PlayerGrades+'!$AC$3,"S-",IF(H85&lt;'PlayerGrades+'!$AC$2,"S","S+"))))))))))))))))))))</f>
        <v>F</v>
      </c>
      <c r="J85" s="961">
        <f t="shared" si="4"/>
        <v>0</v>
      </c>
      <c r="K85" s="961" t="str">
        <f>IF(J85&lt;'PlayerGrades+'!$AD$21,"F-",IF(J85&lt;'PlayerGrades+'!$AD$20,"F",IF(J85&lt;'PlayerGrades+'!$AD$19,"F+",IF(J85&lt;'PlayerGrades+'!$AD$18,"E-",IF(J85&lt;'PlayerGrades+'!$AD$17,"E",IF(J85&lt;'PlayerGrades+'!$AD$16,"E+",IF(J85&lt;'PlayerGrades+'!$AD$15,"D-",IF(J85&lt;'PlayerGrades+'!$AD$14,"D",IF(J85&lt;'PlayerGrades+'!$AD$13,"D+",IF(J85&lt;'PlayerGrades+'!$AD$12,"C-",IF(J85&lt;'PlayerGrades+'!$AD$11,"C",IF(J85&lt;'PlayerGrades+'!$AD$10,"C+",IF(J85&lt;'PlayerGrades+'!$AD$9,"B-",IF(J85&lt;'PlayerGrades+'!$AD$8,"B",IF(J85&lt;'PlayerGrades+'!$AD$7,"B+",IF(J85&lt;'PlayerGrades+'!$AD$6,"A-",IF(J85&lt;'PlayerGrades+'!$AD$5,"A",IF(J85&lt;'PlayerGrades+'!$AD$4,"A+",IF(J85&lt;'PlayerGrades+'!$AD$3,"S-",IF(J85&lt;'PlayerGrades+'!$AD$2,"S","S+"))))))))))))))))))))</f>
        <v>F-</v>
      </c>
      <c r="L85" s="992">
        <f t="shared" si="5"/>
        <v>0.07481296758</v>
      </c>
      <c r="M85" s="992" t="str">
        <f>IF(L85&lt;'PlayerGrades+'!$AE$21,"F-",IF(L85&lt;'PlayerGrades+'!$AE$20,"F",IF(L85&lt;'PlayerGrades+'!$AE$19,"F+",IF(L85&lt;'PlayerGrades+'!$AE$18,"E-",IF(L85&lt;'PlayerGrades+'!$AE$17,"E",IF(L85&lt;'PlayerGrades+'!$AE$16,"E+",IF(L85&lt;'PlayerGrades+'!$AE$15,"D-",IF(L85&lt;'PlayerGrades+'!$AE$14,"D",IF(L85&lt;'PlayerGrades+'!$AE$13,"D+",IF(L85&lt;'PlayerGrades+'!$AE$12,"C-",IF(L85&lt;'PlayerGrades+'!$AE$11,"C",IF(L85&lt;'PlayerGrades+'!$AE$10,"C+",IF(L85&lt;'PlayerGrades+'!$AE$9,"B-",IF(L85&lt;'PlayerGrades+'!$AE$8,"B",IF(L85&lt;'PlayerGrades+'!$AE$7,"B+",IF(L85&lt;'PlayerGrades+'!$AE$6,"A-",IF(L85&lt;'PlayerGrades+'!$AE$5,"A",IF(L85&lt;'PlayerGrades+'!$AE$4,"A+",IF(L85&lt;'PlayerGrades+'!$AE$3,"S-",IF(L85&lt;'PlayerGrades+'!$AE$2,"S","S+"))))))))))))))))))))</f>
        <v>F-</v>
      </c>
      <c r="N85" s="961">
        <f t="shared" si="6"/>
        <v>0.07481296758</v>
      </c>
      <c r="O85" s="961" t="str">
        <f>IF(N85&lt;'PlayerGrades+'!$AF$21,"F-",IF(N85&lt;'PlayerGrades+'!$AF$20,"F",IF(N85&lt;'PlayerGrades+'!$AF$19,"F+",IF(N85&lt;'PlayerGrades+'!$AF$18,"E-",IF(N85&lt;'PlayerGrades+'!$AF$17,"E",IF(N85&lt;'PlayerGrades+'!$AF$16,"E+",IF(N85&lt;'PlayerGrades+'!$AF$15,"D-",IF(N85&lt;'PlayerGrades+'!$AF$14,"D",IF(N85&lt;'PlayerGrades+'!$AF$13,"D+",IF(N85&lt;'PlayerGrades+'!$AF$12,"C-",IF(N85&lt;'PlayerGrades+'!$AF$11,"C",IF(N85&lt;'PlayerGrades+'!$AF$10,"C+",IF(N85&lt;'PlayerGrades+'!$AF$9,"B-",IF(N85&lt;'PlayerGrades+'!$AF$8,"B",IF(N85&lt;'PlayerGrades+'!$AF$7,"B+",IF(N85&lt;'PlayerGrades+'!$AF$6,"A-",IF(N85&lt;'PlayerGrades+'!$AF$5,"A",IF(N85&lt;'PlayerGrades+'!$AF$4,"A+",IF(N85&lt;'PlayerGrades+'!$AF$3,"S-",IF(N85&lt;'PlayerGrades+'!$AF$2,"S","S+"))))))))))))))))))))</f>
        <v>E+</v>
      </c>
      <c r="P85" s="961">
        <f t="shared" si="7"/>
        <v>0.1496259352</v>
      </c>
      <c r="Q85" s="961" t="str">
        <f>IF(P85&lt;'PlayerGrades+'!$AG$21,"F-",IF(P85&lt;'PlayerGrades+'!$AG$20,"F",IF(P85&lt;'PlayerGrades+'!$AG$19,"F+",IF(P85&lt;'PlayerGrades+'!$AG$18,"E-",IF(P85&lt;'PlayerGrades+'!$AG$17,"E",IF(P85&lt;'PlayerGrades+'!$AG$16,"E+",IF(P85&lt;'PlayerGrades+'!$AG$15,"D-",IF(P85&lt;'PlayerGrades+'!$AG$14,"D",IF(P85&lt;'PlayerGrades+'!$AG$13,"D+",IF(P85&lt;'PlayerGrades+'!$AG$12,"C-",IF(P85&lt;'PlayerGrades+'!$AG$11,"C",IF(P85&lt;'PlayerGrades+'!$AG$10,"C+",IF(P85&lt;'PlayerGrades+'!$AG$9,"B-",IF(P85&lt;'PlayerGrades+'!$AG$8,"B",IF(P85&lt;'PlayerGrades+'!$AG$7,"B+",IF(P85&lt;'PlayerGrades+'!$AG$6,"A-",IF(P85&lt;'PlayerGrades+'!$AG$5,"A",IF(P85&lt;'PlayerGrades+'!$AG$4,"A+",IF(P85&lt;'PlayerGrades+'!$AG$3,"S-",IF(P85&lt;'PlayerGrades+'!$AG$2,"S","S+"))))))))))))))))))))</f>
        <v>F-</v>
      </c>
      <c r="R85" s="961">
        <f t="shared" si="8"/>
        <v>0</v>
      </c>
      <c r="S85" s="961" t="str">
        <f>IF(R85&lt;'PlayerGrades+'!$AH$21,"F-",IF(R85&lt;'PlayerGrades+'!$AH$20,"F",IF(R85&lt;'PlayerGrades+'!$AH$19,"F+",IF(R85&lt;'PlayerGrades+'!$AH$18,"E-",IF(R85&lt;'PlayerGrades+'!$AH$17,"E",IF(R85&lt;'PlayerGrades+'!$AH$16,"E+",IF(R85&lt;'PlayerGrades+'!$AH$15,"D-",IF(R85&lt;'PlayerGrades+'!$AH$14,"D",IF(R85&lt;'PlayerGrades+'!$AH$13,"D+",IF(R85&lt;'PlayerGrades+'!$AH$12,"C-",IF(R85&lt;'PlayerGrades+'!$AH$11,"C",IF(R85&lt;'PlayerGrades+'!$AH$10,"C+",IF(R85&lt;'PlayerGrades+'!$AH$9,"B-",IF(R85&lt;'PlayerGrades+'!$AH$8,"B",IF(R85&lt;'PlayerGrades+'!$AH$7,"B+",IF(R85&lt;'PlayerGrades+'!$AH$6,"A-",IF(R85&lt;'PlayerGrades+'!$AH$5,"A",IF(R85&lt;'PlayerGrades+'!$AH$4,"A+",IF(R85&lt;'PlayerGrades+'!$AH$3,"S-",IF(R85&lt;'PlayerGrades+'!$AH$2,"S","S+"))))))))))))))))))))</f>
        <v>F-</v>
      </c>
      <c r="T85" s="961">
        <f t="shared" si="9"/>
        <v>1.271820449</v>
      </c>
      <c r="U85" s="961" t="str">
        <f>IF(T85&lt;'PlayerGrades+'!$AI$21,"F-",IF(T85&lt;'PlayerGrades+'!$AI$20,"F",IF(T85&lt;'PlayerGrades+'!$AI$19,"F+",IF(T85&lt;'PlayerGrades+'!$AI$18,"E-",IF(T85&lt;'PlayerGrades+'!$AI$17,"E",IF(T85&lt;'PlayerGrades+'!$AI$16,"E+",IF(T85&lt;'PlayerGrades+'!$AI$15,"D-",IF(T85&lt;'PlayerGrades+'!$AI$14,"D",IF(T85&lt;'PlayerGrades+'!$AI$13,"D+",IF(T85&lt;'PlayerGrades+'!$AI$12,"C-",IF(T85&lt;'PlayerGrades+'!$AI$11,"C",IF(T85&lt;'PlayerGrades+'!$AI$10,"C+",IF(T85&lt;'PlayerGrades+'!$AI$9,"B-",IF(T85&lt;'PlayerGrades+'!$AI$8,"B",IF(T85&lt;'PlayerGrades+'!$AI$7,"B+",IF(T85&lt;'PlayerGrades+'!$AI$6,"A-",IF(T85&lt;'PlayerGrades+'!$AI$5,"A",IF(T85&lt;'PlayerGrades+'!$AI$4,"A+",IF(T85&lt;'PlayerGrades+'!$AI$3,"S-",IF(T85&lt;'PlayerGrades+'!$AI$2,"S","S+"))))))))))))))))))))</f>
        <v>F-</v>
      </c>
      <c r="V85" s="1100">
        <v>1.0</v>
      </c>
      <c r="W85" s="1100">
        <v>0.0</v>
      </c>
      <c r="X85" s="1100">
        <v>1.0</v>
      </c>
      <c r="Y85" s="1100">
        <v>1.0</v>
      </c>
      <c r="Z85" s="1100">
        <v>17.0</v>
      </c>
      <c r="AA85" s="1100">
        <v>47.0</v>
      </c>
      <c r="AB85" s="1017">
        <f t="shared" si="10"/>
        <v>-30</v>
      </c>
      <c r="AC85" s="1020">
        <f t="shared" si="11"/>
        <v>0.3617021277</v>
      </c>
      <c r="AD85" s="1100">
        <v>0.0</v>
      </c>
      <c r="AE85" s="1329">
        <v>802.0</v>
      </c>
      <c r="AF85" s="1100">
        <v>0.0</v>
      </c>
      <c r="AG85" s="1100">
        <v>0.0</v>
      </c>
      <c r="AH85" s="1100">
        <v>0.0</v>
      </c>
      <c r="AI85" s="1100">
        <v>0.0</v>
      </c>
      <c r="AJ85" s="1100">
        <v>0.0</v>
      </c>
      <c r="AK85" s="1100">
        <v>1.0</v>
      </c>
      <c r="AL85" s="1100">
        <v>1.0</v>
      </c>
      <c r="AM85" s="1100">
        <v>0.0</v>
      </c>
      <c r="AN85" s="1100">
        <v>0.0</v>
      </c>
      <c r="AO85" s="1100">
        <v>0.0</v>
      </c>
      <c r="AP85" s="1100">
        <v>0.0</v>
      </c>
      <c r="AQ85" s="1100">
        <v>0.0</v>
      </c>
      <c r="AR85" s="1100">
        <v>0.0</v>
      </c>
      <c r="AS85" s="1100">
        <v>0.0</v>
      </c>
      <c r="AT85" s="1100">
        <v>0.0</v>
      </c>
      <c r="AU85" s="1100">
        <v>3.0</v>
      </c>
      <c r="AV85" s="1100">
        <v>0.0</v>
      </c>
      <c r="AW85" s="1100">
        <v>0.0</v>
      </c>
      <c r="AX85" s="1100">
        <v>0.0</v>
      </c>
      <c r="AY85" s="1100">
        <v>0.0</v>
      </c>
      <c r="AZ85" s="1239">
        <v>0.0</v>
      </c>
    </row>
    <row r="86">
      <c r="A86" s="938" t="s">
        <v>172</v>
      </c>
      <c r="B86" s="1100" t="str">
        <f>IF(C86&lt;'PlayerGrades+'!$Y$44,"F-",IF(C86&lt;'PlayerGrades+'!$Y$43,"F",IF(C86&lt;'PlayerGrades+'!$Y$42,"F+",IF(C86&lt;'PlayerGrades+'!$Y$41,"E-",IF(C86&lt;'PlayerGrades+'!$Y$40,"E",IF(C86&lt;'PlayerGrades+'!$Y$39,"E+",IF(C86&lt;'PlayerGrades+'!$Y$38,"D-",IF(C86&lt;'PlayerGrades+'!$Y$37,"D",IF(C86&lt;'PlayerGrades+'!$Y$36,"D+",IF(C86&lt;'PlayerGrades+'!$Y$35,"C-",IF(C86&lt;'PlayerGrades+'!$Y$34,"C",IF(C86&lt;'PlayerGrades+'!$Y$33,"C+",IF(C86&lt;'PlayerGrades+'!$Y$32,"B-",IF(C86&lt;'PlayerGrades+'!$Y$31,"B",IF(C86&lt;'PlayerGrades+'!$Y$30,"B+",IF(C86&lt;'PlayerGrades+'!$Y$29,"A-",IF(C86&lt;'PlayerGrades+'!$Y$28,"A",IF(C86&lt;'PlayerGrades+'!$Y$27,"A+",IF(C86&lt;'PlayerGrades+'!$Y$26,"S-",IF(C86&lt;'PlayerGrades+'!$Y$25,"S","S+"))))))))))))))))))))</f>
        <v>B+</v>
      </c>
      <c r="C86" s="1105">
        <f>('PlayerGrades+'!$Y$47*(VLOOKUP(E86, 'PlayerGrades+'!$X$3:$Y$23, 2, FALSE)))+('PlayerGrades+'!$Y$48*(VLOOKUP(G86, 'PlayerGrades+'!$X$3:$Y$23, 2, FALSE)))+('PlayerGrades+'!$Y$49*(VLOOKUP(I86, 'PlayerGrades+'!$X$3:$Y$23, 2, FALSE)))+('PlayerGrades+'!$Y$50*(VLOOKUP(K86, 'PlayerGrades+'!$X$3:$Y$23, 2, FALSE)))+('PlayerGrades+'!$Y$51*(VLOOKUP(M86, 'PlayerGrades+'!$X$3:$Y$23, 2, FALSE)))+('PlayerGrades+'!$Y$52*(VLOOKUP(O86, 'PlayerGrades+'!$X$3:$Y$23, 2, FALSE)))+('PlayerGrades+'!$Y$53*(VLOOKUP(Q86, 'PlayerGrades+'!$X$3:$Y$23, 2, FALSE)))+('PlayerGrades+'!$Y$54*(VLOOKUP(S86, 'PlayerGrades+'!$X$3:$Y$23, 2, FALSE)))+('PlayerGrades+'!$Y$55*(VLOOKUP(U86, 'PlayerGrades+'!$X$3:$Y$23, 2, FALSE)))</f>
        <v>20.025</v>
      </c>
      <c r="D86" s="961">
        <f t="shared" si="1"/>
        <v>0</v>
      </c>
      <c r="E86" s="961" t="str">
        <f>IF(D86&lt;'PlayerGrades+'!$AA$21,"F-",IF(D86&lt;'PlayerGrades+'!$AA$20,"F",IF(D86&lt;'PlayerGrades+'!$AA$19,"F+",IF(D86&lt;'PlayerGrades+'!$AA$18,"E-",IF(D86&lt;'PlayerGrades+'!$AA$17,"E",IF(D86&lt;'PlayerGrades+'!$AA$16,"E+",IF(D86&lt;'PlayerGrades+'!$AA$15,"D-",IF(D86&lt;'PlayerGrades+'!$AA$14,"D",IF(D86&lt;'PlayerGrades+'!$AA$13,"D+",IF(D86&lt;'PlayerGrades+'!$AA$12,"C-",IF(D86&lt;'PlayerGrades+'!$AA$11,"C",IF(D86&lt;'PlayerGrades+'!$AA$10,"C+",IF(D86&lt;'PlayerGrades+'!$AA$9,"B-",IF(D86&lt;'PlayerGrades+'!$AA$8,"B",IF(D86&lt;'PlayerGrades+'!$AA$7,"B+",IF(D86&lt;'PlayerGrades+'!$AA$6,"A-",IF(D86&lt;'PlayerGrades+'!$AA$5,"A",IF(D86&lt;'PlayerGrades+'!$AA$4,"A+",IF(D86&lt;'PlayerGrades+'!$AA$3,"S-",IF(D86&lt;'PlayerGrades+'!$AA$2,"S","S+"))))))))))))))))))))</f>
        <v>F-</v>
      </c>
      <c r="F86" s="961">
        <f t="shared" si="2"/>
        <v>0.1315676326</v>
      </c>
      <c r="G86" s="961" t="str">
        <f>IF(F86&lt;'PlayerGrades+'!$AB$21,"F-",IF(F86&lt;'PlayerGrades+'!$AB$20,"F",IF(F86&lt;'PlayerGrades+'!$AB$19,"F+",IF(F86&lt;'PlayerGrades+'!$AB$18,"E-",IF(F86&lt;'PlayerGrades+'!$AB$17,"E",IF(F86&lt;'PlayerGrades+'!$AB$16,"E+",IF(F86&lt;'PlayerGrades+'!$AB$15,"D-",IF(F86&lt;'PlayerGrades+'!$AB$14,"D",IF(F86&lt;'PlayerGrades+'!$AB$13,"D+",IF(F86&lt;'PlayerGrades+'!$AB$12,"C-",IF(F86&lt;'PlayerGrades+'!$AB$11,"C",IF(F86&lt;'PlayerGrades+'!$AB$10,"C+",IF(F86&lt;'PlayerGrades+'!$AB$9,"B-",IF(F86&lt;'PlayerGrades+'!$AB$8,"B",IF(F86&lt;'PlayerGrades+'!$AB$7,"B+",IF(F86&lt;'PlayerGrades+'!$AB$6,"A-",IF(F86&lt;'PlayerGrades+'!$AB$5,"A",IF(F86&lt;'PlayerGrades+'!$AB$4,"A+",IF(F86&lt;'PlayerGrades+'!$AB$3,"S-",IF(F86&lt;'PlayerGrades+'!$AB$2,"S","S+"))))))))))))))))))))</f>
        <v>A+</v>
      </c>
      <c r="H86" s="961">
        <f t="shared" si="3"/>
        <v>0.8229426434</v>
      </c>
      <c r="I86" s="961" t="str">
        <f>IF(H86&lt;'PlayerGrades+'!$AC$21,"F-",IF(H86&lt;'PlayerGrades+'!$AC$20,"F",IF(H86&lt;'PlayerGrades+'!$AC$19,"F+",IF(H86&lt;'PlayerGrades+'!$AC$18,"E-",IF(H86&lt;'PlayerGrades+'!$AC$17,"E",IF(H86&lt;'PlayerGrades+'!$AC$16,"E+",IF(H86&lt;'PlayerGrades+'!$AC$15,"D-",IF(H86&lt;'PlayerGrades+'!$AC$14,"D",IF(H86&lt;'PlayerGrades+'!$AC$13,"D+",IF(H86&lt;'PlayerGrades+'!$AC$12,"C-",IF(H86&lt;'PlayerGrades+'!$AC$11,"C",IF(H86&lt;'PlayerGrades+'!$AC$10,"C+",IF(H86&lt;'PlayerGrades+'!$AC$9,"B-",IF(H86&lt;'PlayerGrades+'!$AC$8,"B",IF(H86&lt;'PlayerGrades+'!$AC$7,"B+",IF(H86&lt;'PlayerGrades+'!$AC$6,"A-",IF(H86&lt;'PlayerGrades+'!$AC$5,"A",IF(H86&lt;'PlayerGrades+'!$AC$4,"A+",IF(H86&lt;'PlayerGrades+'!$AC$3,"S-",IF(H86&lt;'PlayerGrades+'!$AC$2,"S","S+"))))))))))))))))))))</f>
        <v>S</v>
      </c>
      <c r="J86" s="961">
        <f t="shared" si="4"/>
        <v>0.1496259352</v>
      </c>
      <c r="K86" s="961" t="str">
        <f>IF(J86&lt;'PlayerGrades+'!$AD$21,"F-",IF(J86&lt;'PlayerGrades+'!$AD$20,"F",IF(J86&lt;'PlayerGrades+'!$AD$19,"F+",IF(J86&lt;'PlayerGrades+'!$AD$18,"E-",IF(J86&lt;'PlayerGrades+'!$AD$17,"E",IF(J86&lt;'PlayerGrades+'!$AD$16,"E+",IF(J86&lt;'PlayerGrades+'!$AD$15,"D-",IF(J86&lt;'PlayerGrades+'!$AD$14,"D",IF(J86&lt;'PlayerGrades+'!$AD$13,"D+",IF(J86&lt;'PlayerGrades+'!$AD$12,"C-",IF(J86&lt;'PlayerGrades+'!$AD$11,"C",IF(J86&lt;'PlayerGrades+'!$AD$10,"C+",IF(J86&lt;'PlayerGrades+'!$AD$9,"B-",IF(J86&lt;'PlayerGrades+'!$AD$8,"B",IF(J86&lt;'PlayerGrades+'!$AD$7,"B+",IF(J86&lt;'PlayerGrades+'!$AD$6,"A-",IF(J86&lt;'PlayerGrades+'!$AD$5,"A",IF(J86&lt;'PlayerGrades+'!$AD$4,"A+",IF(J86&lt;'PlayerGrades+'!$AD$3,"S-",IF(J86&lt;'PlayerGrades+'!$AD$2,"S","S+"))))))))))))))))))))</f>
        <v>S</v>
      </c>
      <c r="L86" s="992">
        <f t="shared" si="5"/>
        <v>0.7481296758</v>
      </c>
      <c r="M86" s="992" t="str">
        <f>IF(L86&lt;'PlayerGrades+'!$AE$21,"F-",IF(L86&lt;'PlayerGrades+'!$AE$20,"F",IF(L86&lt;'PlayerGrades+'!$AE$19,"F+",IF(L86&lt;'PlayerGrades+'!$AE$18,"E-",IF(L86&lt;'PlayerGrades+'!$AE$17,"E",IF(L86&lt;'PlayerGrades+'!$AE$16,"E+",IF(L86&lt;'PlayerGrades+'!$AE$15,"D-",IF(L86&lt;'PlayerGrades+'!$AE$14,"D",IF(L86&lt;'PlayerGrades+'!$AE$13,"D+",IF(L86&lt;'PlayerGrades+'!$AE$12,"C-",IF(L86&lt;'PlayerGrades+'!$AE$11,"C",IF(L86&lt;'PlayerGrades+'!$AE$10,"C+",IF(L86&lt;'PlayerGrades+'!$AE$9,"B-",IF(L86&lt;'PlayerGrades+'!$AE$8,"B",IF(L86&lt;'PlayerGrades+'!$AE$7,"B+",IF(L86&lt;'PlayerGrades+'!$AE$6,"A-",IF(L86&lt;'PlayerGrades+'!$AE$5,"A",IF(L86&lt;'PlayerGrades+'!$AE$4,"A+",IF(L86&lt;'PlayerGrades+'!$AE$3,"S-",IF(L86&lt;'PlayerGrades+'!$AE$2,"S","S+"))))))))))))))))))))</f>
        <v>S-</v>
      </c>
      <c r="N86" s="961">
        <f t="shared" si="6"/>
        <v>0.07481296758</v>
      </c>
      <c r="O86" s="961" t="str">
        <f>IF(N86&lt;'PlayerGrades+'!$AF$21,"F-",IF(N86&lt;'PlayerGrades+'!$AF$20,"F",IF(N86&lt;'PlayerGrades+'!$AF$19,"F+",IF(N86&lt;'PlayerGrades+'!$AF$18,"E-",IF(N86&lt;'PlayerGrades+'!$AF$17,"E",IF(N86&lt;'PlayerGrades+'!$AF$16,"E+",IF(N86&lt;'PlayerGrades+'!$AF$15,"D-",IF(N86&lt;'PlayerGrades+'!$AF$14,"D",IF(N86&lt;'PlayerGrades+'!$AF$13,"D+",IF(N86&lt;'PlayerGrades+'!$AF$12,"C-",IF(N86&lt;'PlayerGrades+'!$AF$11,"C",IF(N86&lt;'PlayerGrades+'!$AF$10,"C+",IF(N86&lt;'PlayerGrades+'!$AF$9,"B-",IF(N86&lt;'PlayerGrades+'!$AF$8,"B",IF(N86&lt;'PlayerGrades+'!$AF$7,"B+",IF(N86&lt;'PlayerGrades+'!$AF$6,"A-",IF(N86&lt;'PlayerGrades+'!$AF$5,"A",IF(N86&lt;'PlayerGrades+'!$AF$4,"A+",IF(N86&lt;'PlayerGrades+'!$AF$3,"S-",IF(N86&lt;'PlayerGrades+'!$AF$2,"S","S+"))))))))))))))))))))</f>
        <v>E+</v>
      </c>
      <c r="P86" s="961">
        <f t="shared" si="7"/>
        <v>0.8229426434</v>
      </c>
      <c r="Q86" s="961" t="str">
        <f>IF(P86&lt;'PlayerGrades+'!$AG$21,"F-",IF(P86&lt;'PlayerGrades+'!$AG$20,"F",IF(P86&lt;'PlayerGrades+'!$AG$19,"F+",IF(P86&lt;'PlayerGrades+'!$AG$18,"E-",IF(P86&lt;'PlayerGrades+'!$AG$17,"E",IF(P86&lt;'PlayerGrades+'!$AG$16,"E+",IF(P86&lt;'PlayerGrades+'!$AG$15,"D-",IF(P86&lt;'PlayerGrades+'!$AG$14,"D",IF(P86&lt;'PlayerGrades+'!$AG$13,"D+",IF(P86&lt;'PlayerGrades+'!$AG$12,"C-",IF(P86&lt;'PlayerGrades+'!$AG$11,"C",IF(P86&lt;'PlayerGrades+'!$AG$10,"C+",IF(P86&lt;'PlayerGrades+'!$AG$9,"B-",IF(P86&lt;'PlayerGrades+'!$AG$8,"B",IF(P86&lt;'PlayerGrades+'!$AG$7,"B+",IF(P86&lt;'PlayerGrades+'!$AG$6,"A-",IF(P86&lt;'PlayerGrades+'!$AG$5,"A",IF(P86&lt;'PlayerGrades+'!$AG$4,"A+",IF(P86&lt;'PlayerGrades+'!$AG$3,"S-",IF(P86&lt;'PlayerGrades+'!$AG$2,"S","S+"))))))))))))))))))))</f>
        <v>A-</v>
      </c>
      <c r="R86" s="961">
        <f t="shared" si="8"/>
        <v>0</v>
      </c>
      <c r="S86" s="961" t="str">
        <f>IF(R86&lt;'PlayerGrades+'!$AH$21,"F-",IF(R86&lt;'PlayerGrades+'!$AH$20,"F",IF(R86&lt;'PlayerGrades+'!$AH$19,"F+",IF(R86&lt;'PlayerGrades+'!$AH$18,"E-",IF(R86&lt;'PlayerGrades+'!$AH$17,"E",IF(R86&lt;'PlayerGrades+'!$AH$16,"E+",IF(R86&lt;'PlayerGrades+'!$AH$15,"D-",IF(R86&lt;'PlayerGrades+'!$AH$14,"D",IF(R86&lt;'PlayerGrades+'!$AH$13,"D+",IF(R86&lt;'PlayerGrades+'!$AH$12,"C-",IF(R86&lt;'PlayerGrades+'!$AH$11,"C",IF(R86&lt;'PlayerGrades+'!$AH$10,"C+",IF(R86&lt;'PlayerGrades+'!$AH$9,"B-",IF(R86&lt;'PlayerGrades+'!$AH$8,"B",IF(R86&lt;'PlayerGrades+'!$AH$7,"B+",IF(R86&lt;'PlayerGrades+'!$AH$6,"A-",IF(R86&lt;'PlayerGrades+'!$AH$5,"A",IF(R86&lt;'PlayerGrades+'!$AH$4,"A+",IF(R86&lt;'PlayerGrades+'!$AH$3,"S-",IF(R86&lt;'PlayerGrades+'!$AH$2,"S","S+"))))))))))))))))))))</f>
        <v>F-</v>
      </c>
      <c r="T86" s="961">
        <f t="shared" si="9"/>
        <v>3.815461347</v>
      </c>
      <c r="U86" s="961" t="str">
        <f>IF(T86&lt;'PlayerGrades+'!$AI$21,"F-",IF(T86&lt;'PlayerGrades+'!$AI$20,"F",IF(T86&lt;'PlayerGrades+'!$AI$19,"F+",IF(T86&lt;'PlayerGrades+'!$AI$18,"E-",IF(T86&lt;'PlayerGrades+'!$AI$17,"E",IF(T86&lt;'PlayerGrades+'!$AI$16,"E+",IF(T86&lt;'PlayerGrades+'!$AI$15,"D-",IF(T86&lt;'PlayerGrades+'!$AI$14,"D",IF(T86&lt;'PlayerGrades+'!$AI$13,"D+",IF(T86&lt;'PlayerGrades+'!$AI$12,"C-",IF(T86&lt;'PlayerGrades+'!$AI$11,"C",IF(T86&lt;'PlayerGrades+'!$AI$10,"C+",IF(T86&lt;'PlayerGrades+'!$AI$9,"B-",IF(T86&lt;'PlayerGrades+'!$AI$8,"B",IF(T86&lt;'PlayerGrades+'!$AI$7,"B+",IF(T86&lt;'PlayerGrades+'!$AI$6,"A-",IF(T86&lt;'PlayerGrades+'!$AI$5,"A",IF(T86&lt;'PlayerGrades+'!$AI$4,"A+",IF(T86&lt;'PlayerGrades+'!$AI$3,"S-",IF(T86&lt;'PlayerGrades+'!$AI$2,"S","S+"))))))))))))))))))))</f>
        <v>S-</v>
      </c>
      <c r="V86" s="1100">
        <v>0.0</v>
      </c>
      <c r="W86" s="1100">
        <v>1.0</v>
      </c>
      <c r="X86" s="1100">
        <v>0.0</v>
      </c>
      <c r="Y86" s="1100">
        <v>9.0</v>
      </c>
      <c r="Z86" s="1100">
        <v>51.0</v>
      </c>
      <c r="AA86" s="1100">
        <v>29.0</v>
      </c>
      <c r="AB86" s="1017">
        <f t="shared" si="10"/>
        <v>22</v>
      </c>
      <c r="AC86" s="1020">
        <f t="shared" si="11"/>
        <v>1.75862069</v>
      </c>
      <c r="AD86" s="1100">
        <v>0.0</v>
      </c>
      <c r="AE86" s="1329">
        <v>802.0</v>
      </c>
      <c r="AF86" s="1100">
        <v>2.0</v>
      </c>
      <c r="AG86" s="1100">
        <v>0.0</v>
      </c>
      <c r="AH86" s="1100">
        <v>0.0</v>
      </c>
      <c r="AI86" s="1100">
        <v>0.0</v>
      </c>
      <c r="AJ86" s="1100">
        <v>0.0</v>
      </c>
      <c r="AK86" s="1100">
        <v>10.0</v>
      </c>
      <c r="AL86" s="1100">
        <v>1.0</v>
      </c>
      <c r="AM86" s="1100">
        <v>0.0</v>
      </c>
      <c r="AN86" s="1100">
        <v>0.0</v>
      </c>
      <c r="AO86" s="1100">
        <v>0.0</v>
      </c>
      <c r="AP86" s="1100">
        <v>0.0</v>
      </c>
      <c r="AQ86" s="1100">
        <v>0.0</v>
      </c>
      <c r="AR86" s="1100">
        <v>0.0</v>
      </c>
      <c r="AS86" s="1100">
        <v>0.0</v>
      </c>
      <c r="AT86" s="1100">
        <v>0.0</v>
      </c>
      <c r="AU86" s="1100">
        <v>11.0</v>
      </c>
      <c r="AV86" s="1100">
        <v>0.0</v>
      </c>
      <c r="AW86" s="1100">
        <v>0.0</v>
      </c>
      <c r="AX86" s="1100">
        <v>0.0</v>
      </c>
      <c r="AY86" s="1100">
        <v>0.0</v>
      </c>
      <c r="AZ86" s="1239">
        <v>0.0</v>
      </c>
    </row>
    <row r="87">
      <c r="A87" s="938" t="s">
        <v>250</v>
      </c>
      <c r="B87" s="1100" t="str">
        <f>IF(C87&lt;'PlayerGrades+'!$Y$44,"F-",IF(C87&lt;'PlayerGrades+'!$Y$43,"F",IF(C87&lt;'PlayerGrades+'!$Y$42,"F+",IF(C87&lt;'PlayerGrades+'!$Y$41,"E-",IF(C87&lt;'PlayerGrades+'!$Y$40,"E",IF(C87&lt;'PlayerGrades+'!$Y$39,"E+",IF(C87&lt;'PlayerGrades+'!$Y$38,"D-",IF(C87&lt;'PlayerGrades+'!$Y$37,"D",IF(C87&lt;'PlayerGrades+'!$Y$36,"D+",IF(C87&lt;'PlayerGrades+'!$Y$35,"C-",IF(C87&lt;'PlayerGrades+'!$Y$34,"C",IF(C87&lt;'PlayerGrades+'!$Y$33,"C+",IF(C87&lt;'PlayerGrades+'!$Y$32,"B-",IF(C87&lt;'PlayerGrades+'!$Y$31,"B",IF(C87&lt;'PlayerGrades+'!$Y$30,"B+",IF(C87&lt;'PlayerGrades+'!$Y$29,"A-",IF(C87&lt;'PlayerGrades+'!$Y$28,"A",IF(C87&lt;'PlayerGrades+'!$Y$27,"A+",IF(C87&lt;'PlayerGrades+'!$Y$26,"S-",IF(C87&lt;'PlayerGrades+'!$Y$25,"S","S+"))))))))))))))))))))</f>
        <v>B-</v>
      </c>
      <c r="C87" s="1105">
        <f>('PlayerGrades+'!$Y$47*(VLOOKUP(E87, 'PlayerGrades+'!$X$3:$Y$23, 2, FALSE)))+('PlayerGrades+'!$Y$48*(VLOOKUP(G87, 'PlayerGrades+'!$X$3:$Y$23, 2, FALSE)))+('PlayerGrades+'!$Y$49*(VLOOKUP(I87, 'PlayerGrades+'!$X$3:$Y$23, 2, FALSE)))+('PlayerGrades+'!$Y$50*(VLOOKUP(K87, 'PlayerGrades+'!$X$3:$Y$23, 2, FALSE)))+('PlayerGrades+'!$Y$51*(VLOOKUP(M87, 'PlayerGrades+'!$X$3:$Y$23, 2, FALSE)))+('PlayerGrades+'!$Y$52*(VLOOKUP(O87, 'PlayerGrades+'!$X$3:$Y$23, 2, FALSE)))+('PlayerGrades+'!$Y$53*(VLOOKUP(Q87, 'PlayerGrades+'!$X$3:$Y$23, 2, FALSE)))+('PlayerGrades+'!$Y$54*(VLOOKUP(S87, 'PlayerGrades+'!$X$3:$Y$23, 2, FALSE)))+('PlayerGrades+'!$Y$55*(VLOOKUP(U87, 'PlayerGrades+'!$X$3:$Y$23, 2, FALSE)))</f>
        <v>17.875</v>
      </c>
      <c r="D87" s="961">
        <f t="shared" si="1"/>
        <v>0</v>
      </c>
      <c r="E87" s="961" t="str">
        <f>IF(D87&lt;'PlayerGrades+'!$AA$21,"F-",IF(D87&lt;'PlayerGrades+'!$AA$20,"F",IF(D87&lt;'PlayerGrades+'!$AA$19,"F+",IF(D87&lt;'PlayerGrades+'!$AA$18,"E-",IF(D87&lt;'PlayerGrades+'!$AA$17,"E",IF(D87&lt;'PlayerGrades+'!$AA$16,"E+",IF(D87&lt;'PlayerGrades+'!$AA$15,"D-",IF(D87&lt;'PlayerGrades+'!$AA$14,"D",IF(D87&lt;'PlayerGrades+'!$AA$13,"D+",IF(D87&lt;'PlayerGrades+'!$AA$12,"C-",IF(D87&lt;'PlayerGrades+'!$AA$11,"C",IF(D87&lt;'PlayerGrades+'!$AA$10,"C+",IF(D87&lt;'PlayerGrades+'!$AA$9,"B-",IF(D87&lt;'PlayerGrades+'!$AA$8,"B",IF(D87&lt;'PlayerGrades+'!$AA$7,"B+",IF(D87&lt;'PlayerGrades+'!$AA$6,"A-",IF(D87&lt;'PlayerGrades+'!$AA$5,"A",IF(D87&lt;'PlayerGrades+'!$AA$4,"A+",IF(D87&lt;'PlayerGrades+'!$AA$3,"S-",IF(D87&lt;'PlayerGrades+'!$AA$2,"S","S+"))))))))))))))))))))</f>
        <v>F-</v>
      </c>
      <c r="F87" s="961">
        <f t="shared" si="2"/>
        <v>0.07948877805</v>
      </c>
      <c r="G87" s="961" t="str">
        <f>IF(F87&lt;'PlayerGrades+'!$AB$21,"F-",IF(F87&lt;'PlayerGrades+'!$AB$20,"F",IF(F87&lt;'PlayerGrades+'!$AB$19,"F+",IF(F87&lt;'PlayerGrades+'!$AB$18,"E-",IF(F87&lt;'PlayerGrades+'!$AB$17,"E",IF(F87&lt;'PlayerGrades+'!$AB$16,"E+",IF(F87&lt;'PlayerGrades+'!$AB$15,"D-",IF(F87&lt;'PlayerGrades+'!$AB$14,"D",IF(F87&lt;'PlayerGrades+'!$AB$13,"D+",IF(F87&lt;'PlayerGrades+'!$AB$12,"C-",IF(F87&lt;'PlayerGrades+'!$AB$11,"C",IF(F87&lt;'PlayerGrades+'!$AB$10,"C+",IF(F87&lt;'PlayerGrades+'!$AB$9,"B-",IF(F87&lt;'PlayerGrades+'!$AB$8,"B",IF(F87&lt;'PlayerGrades+'!$AB$7,"B+",IF(F87&lt;'PlayerGrades+'!$AB$6,"A-",IF(F87&lt;'PlayerGrades+'!$AB$5,"A",IF(F87&lt;'PlayerGrades+'!$AB$4,"A+",IF(F87&lt;'PlayerGrades+'!$AB$3,"S-",IF(F87&lt;'PlayerGrades+'!$AB$2,"S","S+"))))))))))))))))))))</f>
        <v>A</v>
      </c>
      <c r="H87" s="961">
        <f t="shared" si="3"/>
        <v>0.3740648379</v>
      </c>
      <c r="I87" s="961" t="str">
        <f>IF(H87&lt;'PlayerGrades+'!$AC$21,"F-",IF(H87&lt;'PlayerGrades+'!$AC$20,"F",IF(H87&lt;'PlayerGrades+'!$AC$19,"F+",IF(H87&lt;'PlayerGrades+'!$AC$18,"E-",IF(H87&lt;'PlayerGrades+'!$AC$17,"E",IF(H87&lt;'PlayerGrades+'!$AC$16,"E+",IF(H87&lt;'PlayerGrades+'!$AC$15,"D-",IF(H87&lt;'PlayerGrades+'!$AC$14,"D",IF(H87&lt;'PlayerGrades+'!$AC$13,"D+",IF(H87&lt;'PlayerGrades+'!$AC$12,"C-",IF(H87&lt;'PlayerGrades+'!$AC$11,"C",IF(H87&lt;'PlayerGrades+'!$AC$10,"C+",IF(H87&lt;'PlayerGrades+'!$AC$9,"B-",IF(H87&lt;'PlayerGrades+'!$AC$8,"B",IF(H87&lt;'PlayerGrades+'!$AC$7,"B+",IF(H87&lt;'PlayerGrades+'!$AC$6,"A-",IF(H87&lt;'PlayerGrades+'!$AC$5,"A",IF(H87&lt;'PlayerGrades+'!$AC$4,"A+",IF(H87&lt;'PlayerGrades+'!$AC$3,"S-",IF(H87&lt;'PlayerGrades+'!$AC$2,"S","S+"))))))))))))))))))))</f>
        <v>D-</v>
      </c>
      <c r="J87" s="961">
        <f t="shared" si="4"/>
        <v>0.07481296758</v>
      </c>
      <c r="K87" s="961" t="str">
        <f>IF(J87&lt;'PlayerGrades+'!$AD$21,"F-",IF(J87&lt;'PlayerGrades+'!$AD$20,"F",IF(J87&lt;'PlayerGrades+'!$AD$19,"F+",IF(J87&lt;'PlayerGrades+'!$AD$18,"E-",IF(J87&lt;'PlayerGrades+'!$AD$17,"E",IF(J87&lt;'PlayerGrades+'!$AD$16,"E+",IF(J87&lt;'PlayerGrades+'!$AD$15,"D-",IF(J87&lt;'PlayerGrades+'!$AD$14,"D",IF(J87&lt;'PlayerGrades+'!$AD$13,"D+",IF(J87&lt;'PlayerGrades+'!$AD$12,"C-",IF(J87&lt;'PlayerGrades+'!$AD$11,"C",IF(J87&lt;'PlayerGrades+'!$AD$10,"C+",IF(J87&lt;'PlayerGrades+'!$AD$9,"B-",IF(J87&lt;'PlayerGrades+'!$AD$8,"B",IF(J87&lt;'PlayerGrades+'!$AD$7,"B+",IF(J87&lt;'PlayerGrades+'!$AD$6,"A-",IF(J87&lt;'PlayerGrades+'!$AD$5,"A",IF(J87&lt;'PlayerGrades+'!$AD$4,"A+",IF(J87&lt;'PlayerGrades+'!$AD$3,"S-",IF(J87&lt;'PlayerGrades+'!$AD$2,"S","S+"))))))))))))))))))))</f>
        <v>A</v>
      </c>
      <c r="L87" s="992">
        <f t="shared" si="5"/>
        <v>0.5985037406</v>
      </c>
      <c r="M87" s="992" t="str">
        <f>IF(L87&lt;'PlayerGrades+'!$AE$21,"F-",IF(L87&lt;'PlayerGrades+'!$AE$20,"F",IF(L87&lt;'PlayerGrades+'!$AE$19,"F+",IF(L87&lt;'PlayerGrades+'!$AE$18,"E-",IF(L87&lt;'PlayerGrades+'!$AE$17,"E",IF(L87&lt;'PlayerGrades+'!$AE$16,"E+",IF(L87&lt;'PlayerGrades+'!$AE$15,"D-",IF(L87&lt;'PlayerGrades+'!$AE$14,"D",IF(L87&lt;'PlayerGrades+'!$AE$13,"D+",IF(L87&lt;'PlayerGrades+'!$AE$12,"C-",IF(L87&lt;'PlayerGrades+'!$AE$11,"C",IF(L87&lt;'PlayerGrades+'!$AE$10,"C+",IF(L87&lt;'PlayerGrades+'!$AE$9,"B-",IF(L87&lt;'PlayerGrades+'!$AE$8,"B",IF(L87&lt;'PlayerGrades+'!$AE$7,"B+",IF(L87&lt;'PlayerGrades+'!$AE$6,"A-",IF(L87&lt;'PlayerGrades+'!$AE$5,"A",IF(L87&lt;'PlayerGrades+'!$AE$4,"A+",IF(L87&lt;'PlayerGrades+'!$AE$3,"S-",IF(L87&lt;'PlayerGrades+'!$AE$2,"S","S+"))))))))))))))))))))</f>
        <v>A</v>
      </c>
      <c r="N87" s="961">
        <f t="shared" si="6"/>
        <v>0.1496259352</v>
      </c>
      <c r="O87" s="961" t="str">
        <f>IF(N87&lt;'PlayerGrades+'!$AF$21,"F-",IF(N87&lt;'PlayerGrades+'!$AF$20,"F",IF(N87&lt;'PlayerGrades+'!$AF$19,"F+",IF(N87&lt;'PlayerGrades+'!$AF$18,"E-",IF(N87&lt;'PlayerGrades+'!$AF$17,"E",IF(N87&lt;'PlayerGrades+'!$AF$16,"E+",IF(N87&lt;'PlayerGrades+'!$AF$15,"D-",IF(N87&lt;'PlayerGrades+'!$AF$14,"D",IF(N87&lt;'PlayerGrades+'!$AF$13,"D+",IF(N87&lt;'PlayerGrades+'!$AF$12,"C-",IF(N87&lt;'PlayerGrades+'!$AF$11,"C",IF(N87&lt;'PlayerGrades+'!$AF$10,"C+",IF(N87&lt;'PlayerGrades+'!$AF$9,"B-",IF(N87&lt;'PlayerGrades+'!$AF$8,"B",IF(N87&lt;'PlayerGrades+'!$AF$7,"B+",IF(N87&lt;'PlayerGrades+'!$AF$6,"A-",IF(N87&lt;'PlayerGrades+'!$AF$5,"A",IF(N87&lt;'PlayerGrades+'!$AF$4,"A+",IF(N87&lt;'PlayerGrades+'!$AF$3,"S-",IF(N87&lt;'PlayerGrades+'!$AF$2,"S","S+"))))))))))))))))))))</f>
        <v>B+</v>
      </c>
      <c r="P87" s="961">
        <f t="shared" si="7"/>
        <v>1.122194514</v>
      </c>
      <c r="Q87" s="961" t="str">
        <f>IF(P87&lt;'PlayerGrades+'!$AG$21,"F-",IF(P87&lt;'PlayerGrades+'!$AG$20,"F",IF(P87&lt;'PlayerGrades+'!$AG$19,"F+",IF(P87&lt;'PlayerGrades+'!$AG$18,"E-",IF(P87&lt;'PlayerGrades+'!$AG$17,"E",IF(P87&lt;'PlayerGrades+'!$AG$16,"E+",IF(P87&lt;'PlayerGrades+'!$AG$15,"D-",IF(P87&lt;'PlayerGrades+'!$AG$14,"D",IF(P87&lt;'PlayerGrades+'!$AG$13,"D+",IF(P87&lt;'PlayerGrades+'!$AG$12,"C-",IF(P87&lt;'PlayerGrades+'!$AG$11,"C",IF(P87&lt;'PlayerGrades+'!$AG$10,"C+",IF(P87&lt;'PlayerGrades+'!$AG$9,"B-",IF(P87&lt;'PlayerGrades+'!$AG$8,"B",IF(P87&lt;'PlayerGrades+'!$AG$7,"B+",IF(P87&lt;'PlayerGrades+'!$AG$6,"A-",IF(P87&lt;'PlayerGrades+'!$AG$5,"A",IF(P87&lt;'PlayerGrades+'!$AG$4,"A+",IF(P87&lt;'PlayerGrades+'!$AG$3,"S-",IF(P87&lt;'PlayerGrades+'!$AG$2,"S","S+"))))))))))))))))))))</f>
        <v>S-</v>
      </c>
      <c r="R87" s="961">
        <f t="shared" si="8"/>
        <v>0</v>
      </c>
      <c r="S87" s="961" t="str">
        <f>IF(R87&lt;'PlayerGrades+'!$AH$21,"F-",IF(R87&lt;'PlayerGrades+'!$AH$20,"F",IF(R87&lt;'PlayerGrades+'!$AH$19,"F+",IF(R87&lt;'PlayerGrades+'!$AH$18,"E-",IF(R87&lt;'PlayerGrades+'!$AH$17,"E",IF(R87&lt;'PlayerGrades+'!$AH$16,"E+",IF(R87&lt;'PlayerGrades+'!$AH$15,"D-",IF(R87&lt;'PlayerGrades+'!$AH$14,"D",IF(R87&lt;'PlayerGrades+'!$AH$13,"D+",IF(R87&lt;'PlayerGrades+'!$AH$12,"C-",IF(R87&lt;'PlayerGrades+'!$AH$11,"C",IF(R87&lt;'PlayerGrades+'!$AH$10,"C+",IF(R87&lt;'PlayerGrades+'!$AH$9,"B-",IF(R87&lt;'PlayerGrades+'!$AH$8,"B",IF(R87&lt;'PlayerGrades+'!$AH$7,"B+",IF(R87&lt;'PlayerGrades+'!$AH$6,"A-",IF(R87&lt;'PlayerGrades+'!$AH$5,"A",IF(R87&lt;'PlayerGrades+'!$AH$4,"A+",IF(R87&lt;'PlayerGrades+'!$AH$3,"S-",IF(R87&lt;'PlayerGrades+'!$AH$2,"S","S+"))))))))))))))))))))</f>
        <v>F-</v>
      </c>
      <c r="T87" s="961">
        <f t="shared" si="9"/>
        <v>3.815461347</v>
      </c>
      <c r="U87" s="961" t="str">
        <f>IF(T87&lt;'PlayerGrades+'!$AI$21,"F-",IF(T87&lt;'PlayerGrades+'!$AI$20,"F",IF(T87&lt;'PlayerGrades+'!$AI$19,"F+",IF(T87&lt;'PlayerGrades+'!$AI$18,"E-",IF(T87&lt;'PlayerGrades+'!$AI$17,"E",IF(T87&lt;'PlayerGrades+'!$AI$16,"E+",IF(T87&lt;'PlayerGrades+'!$AI$15,"D-",IF(T87&lt;'PlayerGrades+'!$AI$14,"D",IF(T87&lt;'PlayerGrades+'!$AI$13,"D+",IF(T87&lt;'PlayerGrades+'!$AI$12,"C-",IF(T87&lt;'PlayerGrades+'!$AI$11,"C",IF(T87&lt;'PlayerGrades+'!$AI$10,"C+",IF(T87&lt;'PlayerGrades+'!$AI$9,"B-",IF(T87&lt;'PlayerGrades+'!$AI$8,"B",IF(T87&lt;'PlayerGrades+'!$AI$7,"B+",IF(T87&lt;'PlayerGrades+'!$AI$6,"A-",IF(T87&lt;'PlayerGrades+'!$AI$5,"A",IF(T87&lt;'PlayerGrades+'!$AI$4,"A+",IF(T87&lt;'PlayerGrades+'!$AI$3,"S-",IF(T87&lt;'PlayerGrades+'!$AI$2,"S","S+"))))))))))))))))))))</f>
        <v>S-</v>
      </c>
      <c r="V87" s="1100">
        <v>0.0</v>
      </c>
      <c r="W87" s="1100">
        <v>1.0</v>
      </c>
      <c r="X87" s="1100">
        <v>0.0</v>
      </c>
      <c r="Y87" s="1100">
        <v>0.0</v>
      </c>
      <c r="Z87" s="1100">
        <v>51.0</v>
      </c>
      <c r="AA87" s="1100">
        <v>48.0</v>
      </c>
      <c r="AB87" s="1017">
        <f t="shared" si="10"/>
        <v>3</v>
      </c>
      <c r="AC87" s="1020">
        <f t="shared" si="11"/>
        <v>1.0625</v>
      </c>
      <c r="AD87" s="1100">
        <v>0.0</v>
      </c>
      <c r="AE87" s="1329">
        <v>802.0</v>
      </c>
      <c r="AF87" s="1100">
        <v>1.0</v>
      </c>
      <c r="AG87" s="1100">
        <v>0.0</v>
      </c>
      <c r="AH87" s="1100">
        <v>0.0</v>
      </c>
      <c r="AI87" s="1100">
        <v>0.0</v>
      </c>
      <c r="AJ87" s="1100">
        <v>1.0</v>
      </c>
      <c r="AK87" s="1100">
        <v>8.0</v>
      </c>
      <c r="AL87" s="1100">
        <v>2.0</v>
      </c>
      <c r="AM87" s="1100">
        <v>1.0</v>
      </c>
      <c r="AN87" s="1100">
        <v>1.0</v>
      </c>
      <c r="AO87" s="1100">
        <v>1.0</v>
      </c>
      <c r="AP87" s="1100">
        <v>1.0</v>
      </c>
      <c r="AQ87" s="1100">
        <v>0.0</v>
      </c>
      <c r="AR87" s="1100">
        <v>0.0</v>
      </c>
      <c r="AS87" s="1100">
        <v>0.0</v>
      </c>
      <c r="AT87" s="1100">
        <v>0.0</v>
      </c>
      <c r="AU87" s="1100">
        <v>5.0</v>
      </c>
      <c r="AV87" s="1100">
        <v>0.0</v>
      </c>
      <c r="AW87" s="1100">
        <v>0.0</v>
      </c>
      <c r="AX87" s="1100">
        <v>0.0</v>
      </c>
      <c r="AY87" s="1100">
        <v>0.0</v>
      </c>
      <c r="AZ87" s="1239">
        <v>0.0</v>
      </c>
    </row>
    <row r="88">
      <c r="A88" s="938" t="s">
        <v>395</v>
      </c>
      <c r="B88" s="1100" t="str">
        <f>IF(C88&lt;'PlayerGrades+'!$Y$44,"F-",IF(C88&lt;'PlayerGrades+'!$Y$43,"F",IF(C88&lt;'PlayerGrades+'!$Y$42,"F+",IF(C88&lt;'PlayerGrades+'!$Y$41,"E-",IF(C88&lt;'PlayerGrades+'!$Y$40,"E",IF(C88&lt;'PlayerGrades+'!$Y$39,"E+",IF(C88&lt;'PlayerGrades+'!$Y$38,"D-",IF(C88&lt;'PlayerGrades+'!$Y$37,"D",IF(C88&lt;'PlayerGrades+'!$Y$36,"D+",IF(C88&lt;'PlayerGrades+'!$Y$35,"C-",IF(C88&lt;'PlayerGrades+'!$Y$34,"C",IF(C88&lt;'PlayerGrades+'!$Y$33,"C+",IF(C88&lt;'PlayerGrades+'!$Y$32,"B-",IF(C88&lt;'PlayerGrades+'!$Y$31,"B",IF(C88&lt;'PlayerGrades+'!$Y$30,"B+",IF(C88&lt;'PlayerGrades+'!$Y$29,"A-",IF(C88&lt;'PlayerGrades+'!$Y$28,"A",IF(C88&lt;'PlayerGrades+'!$Y$27,"A+",IF(C88&lt;'PlayerGrades+'!$Y$26,"S-",IF(C88&lt;'PlayerGrades+'!$Y$25,"S","S+"))))))))))))))))))))</f>
        <v>C+</v>
      </c>
      <c r="C88" s="1105">
        <f>('PlayerGrades+'!$Y$47*(VLOOKUP(E88, 'PlayerGrades+'!$X$3:$Y$23, 2, FALSE)))+('PlayerGrades+'!$Y$48*(VLOOKUP(G88, 'PlayerGrades+'!$X$3:$Y$23, 2, FALSE)))+('PlayerGrades+'!$Y$49*(VLOOKUP(I88, 'PlayerGrades+'!$X$3:$Y$23, 2, FALSE)))+('PlayerGrades+'!$Y$50*(VLOOKUP(K88, 'PlayerGrades+'!$X$3:$Y$23, 2, FALSE)))+('PlayerGrades+'!$Y$51*(VLOOKUP(M88, 'PlayerGrades+'!$X$3:$Y$23, 2, FALSE)))+('PlayerGrades+'!$Y$52*(VLOOKUP(O88, 'PlayerGrades+'!$X$3:$Y$23, 2, FALSE)))+('PlayerGrades+'!$Y$53*(VLOOKUP(Q88, 'PlayerGrades+'!$X$3:$Y$23, 2, FALSE)))+('PlayerGrades+'!$Y$54*(VLOOKUP(S88, 'PlayerGrades+'!$X$3:$Y$23, 2, FALSE)))+('PlayerGrades+'!$Y$55*(VLOOKUP(U88, 'PlayerGrades+'!$X$3:$Y$23, 2, FALSE)))</f>
        <v>15.55</v>
      </c>
      <c r="D88" s="961">
        <f t="shared" si="1"/>
        <v>0.07481296758</v>
      </c>
      <c r="E88" s="961" t="str">
        <f>IF(D88&lt;'PlayerGrades+'!$AA$21,"F-",IF(D88&lt;'PlayerGrades+'!$AA$20,"F",IF(D88&lt;'PlayerGrades+'!$AA$19,"F+",IF(D88&lt;'PlayerGrades+'!$AA$18,"E-",IF(D88&lt;'PlayerGrades+'!$AA$17,"E",IF(D88&lt;'PlayerGrades+'!$AA$16,"E+",IF(D88&lt;'PlayerGrades+'!$AA$15,"D-",IF(D88&lt;'PlayerGrades+'!$AA$14,"D",IF(D88&lt;'PlayerGrades+'!$AA$13,"D+",IF(D88&lt;'PlayerGrades+'!$AA$12,"C-",IF(D88&lt;'PlayerGrades+'!$AA$11,"C",IF(D88&lt;'PlayerGrades+'!$AA$10,"C+",IF(D88&lt;'PlayerGrades+'!$AA$9,"B-",IF(D88&lt;'PlayerGrades+'!$AA$8,"B",IF(D88&lt;'PlayerGrades+'!$AA$7,"B+",IF(D88&lt;'PlayerGrades+'!$AA$6,"A-",IF(D88&lt;'PlayerGrades+'!$AA$5,"A",IF(D88&lt;'PlayerGrades+'!$AA$4,"A+",IF(D88&lt;'PlayerGrades+'!$AA$3,"S-",IF(D88&lt;'PlayerGrades+'!$AA$2,"S","S+"))))))))))))))))))))</f>
        <v>A-</v>
      </c>
      <c r="F88" s="961">
        <f t="shared" si="2"/>
        <v>0.07948877805</v>
      </c>
      <c r="G88" s="961" t="str">
        <f>IF(F88&lt;'PlayerGrades+'!$AB$21,"F-",IF(F88&lt;'PlayerGrades+'!$AB$20,"F",IF(F88&lt;'PlayerGrades+'!$AB$19,"F+",IF(F88&lt;'PlayerGrades+'!$AB$18,"E-",IF(F88&lt;'PlayerGrades+'!$AB$17,"E",IF(F88&lt;'PlayerGrades+'!$AB$16,"E+",IF(F88&lt;'PlayerGrades+'!$AB$15,"D-",IF(F88&lt;'PlayerGrades+'!$AB$14,"D",IF(F88&lt;'PlayerGrades+'!$AB$13,"D+",IF(F88&lt;'PlayerGrades+'!$AB$12,"C-",IF(F88&lt;'PlayerGrades+'!$AB$11,"C",IF(F88&lt;'PlayerGrades+'!$AB$10,"C+",IF(F88&lt;'PlayerGrades+'!$AB$9,"B-",IF(F88&lt;'PlayerGrades+'!$AB$8,"B",IF(F88&lt;'PlayerGrades+'!$AB$7,"B+",IF(F88&lt;'PlayerGrades+'!$AB$6,"A-",IF(F88&lt;'PlayerGrades+'!$AB$5,"A",IF(F88&lt;'PlayerGrades+'!$AB$4,"A+",IF(F88&lt;'PlayerGrades+'!$AB$3,"S-",IF(F88&lt;'PlayerGrades+'!$AB$2,"S","S+"))))))))))))))))))))</f>
        <v>A</v>
      </c>
      <c r="H88" s="961">
        <f t="shared" si="3"/>
        <v>0.2244389027</v>
      </c>
      <c r="I88" s="961" t="str">
        <f>IF(H88&lt;'PlayerGrades+'!$AC$21,"F-",IF(H88&lt;'PlayerGrades+'!$AC$20,"F",IF(H88&lt;'PlayerGrades+'!$AC$19,"F+",IF(H88&lt;'PlayerGrades+'!$AC$18,"E-",IF(H88&lt;'PlayerGrades+'!$AC$17,"E",IF(H88&lt;'PlayerGrades+'!$AC$16,"E+",IF(H88&lt;'PlayerGrades+'!$AC$15,"D-",IF(H88&lt;'PlayerGrades+'!$AC$14,"D",IF(H88&lt;'PlayerGrades+'!$AC$13,"D+",IF(H88&lt;'PlayerGrades+'!$AC$12,"C-",IF(H88&lt;'PlayerGrades+'!$AC$11,"C",IF(H88&lt;'PlayerGrades+'!$AC$10,"C+",IF(H88&lt;'PlayerGrades+'!$AC$9,"B-",IF(H88&lt;'PlayerGrades+'!$AC$8,"B",IF(H88&lt;'PlayerGrades+'!$AC$7,"B+",IF(H88&lt;'PlayerGrades+'!$AC$6,"A-",IF(H88&lt;'PlayerGrades+'!$AC$5,"A",IF(H88&lt;'PlayerGrades+'!$AC$4,"A+",IF(H88&lt;'PlayerGrades+'!$AC$3,"S-",IF(H88&lt;'PlayerGrades+'!$AC$2,"S","S+"))))))))))))))))))))</f>
        <v>F</v>
      </c>
      <c r="J88" s="961">
        <f t="shared" si="4"/>
        <v>0.07481296758</v>
      </c>
      <c r="K88" s="961" t="str">
        <f>IF(J88&lt;'PlayerGrades+'!$AD$21,"F-",IF(J88&lt;'PlayerGrades+'!$AD$20,"F",IF(J88&lt;'PlayerGrades+'!$AD$19,"F+",IF(J88&lt;'PlayerGrades+'!$AD$18,"E-",IF(J88&lt;'PlayerGrades+'!$AD$17,"E",IF(J88&lt;'PlayerGrades+'!$AD$16,"E+",IF(J88&lt;'PlayerGrades+'!$AD$15,"D-",IF(J88&lt;'PlayerGrades+'!$AD$14,"D",IF(J88&lt;'PlayerGrades+'!$AD$13,"D+",IF(J88&lt;'PlayerGrades+'!$AD$12,"C-",IF(J88&lt;'PlayerGrades+'!$AD$11,"C",IF(J88&lt;'PlayerGrades+'!$AD$10,"C+",IF(J88&lt;'PlayerGrades+'!$AD$9,"B-",IF(J88&lt;'PlayerGrades+'!$AD$8,"B",IF(J88&lt;'PlayerGrades+'!$AD$7,"B+",IF(J88&lt;'PlayerGrades+'!$AD$6,"A-",IF(J88&lt;'PlayerGrades+'!$AD$5,"A",IF(J88&lt;'PlayerGrades+'!$AD$4,"A+",IF(J88&lt;'PlayerGrades+'!$AD$3,"S-",IF(J88&lt;'PlayerGrades+'!$AD$2,"S","S+"))))))))))))))))))))</f>
        <v>A</v>
      </c>
      <c r="L88" s="992">
        <f t="shared" si="5"/>
        <v>0.3740648379</v>
      </c>
      <c r="M88" s="992" t="str">
        <f>IF(L88&lt;'PlayerGrades+'!$AE$21,"F-",IF(L88&lt;'PlayerGrades+'!$AE$20,"F",IF(L88&lt;'PlayerGrades+'!$AE$19,"F+",IF(L88&lt;'PlayerGrades+'!$AE$18,"E-",IF(L88&lt;'PlayerGrades+'!$AE$17,"E",IF(L88&lt;'PlayerGrades+'!$AE$16,"E+",IF(L88&lt;'PlayerGrades+'!$AE$15,"D-",IF(L88&lt;'PlayerGrades+'!$AE$14,"D",IF(L88&lt;'PlayerGrades+'!$AE$13,"D+",IF(L88&lt;'PlayerGrades+'!$AE$12,"C-",IF(L88&lt;'PlayerGrades+'!$AE$11,"C",IF(L88&lt;'PlayerGrades+'!$AE$10,"C+",IF(L88&lt;'PlayerGrades+'!$AE$9,"B-",IF(L88&lt;'PlayerGrades+'!$AE$8,"B",IF(L88&lt;'PlayerGrades+'!$AE$7,"B+",IF(L88&lt;'PlayerGrades+'!$AE$6,"A-",IF(L88&lt;'PlayerGrades+'!$AE$5,"A",IF(L88&lt;'PlayerGrades+'!$AE$4,"A+",IF(L88&lt;'PlayerGrades+'!$AE$3,"S-",IF(L88&lt;'PlayerGrades+'!$AE$2,"S","S+"))))))))))))))))))))</f>
        <v>D-</v>
      </c>
      <c r="N88" s="961">
        <f t="shared" si="6"/>
        <v>0</v>
      </c>
      <c r="O88" s="961" t="str">
        <f>IF(N88&lt;'PlayerGrades+'!$AF$21,"F-",IF(N88&lt;'PlayerGrades+'!$AF$20,"F",IF(N88&lt;'PlayerGrades+'!$AF$19,"F+",IF(N88&lt;'PlayerGrades+'!$AF$18,"E-",IF(N88&lt;'PlayerGrades+'!$AF$17,"E",IF(N88&lt;'PlayerGrades+'!$AF$16,"E+",IF(N88&lt;'PlayerGrades+'!$AF$15,"D-",IF(N88&lt;'PlayerGrades+'!$AF$14,"D",IF(N88&lt;'PlayerGrades+'!$AF$13,"D+",IF(N88&lt;'PlayerGrades+'!$AF$12,"C-",IF(N88&lt;'PlayerGrades+'!$AF$11,"C",IF(N88&lt;'PlayerGrades+'!$AF$10,"C+",IF(N88&lt;'PlayerGrades+'!$AF$9,"B-",IF(N88&lt;'PlayerGrades+'!$AF$8,"B",IF(N88&lt;'PlayerGrades+'!$AF$7,"B+",IF(N88&lt;'PlayerGrades+'!$AF$6,"A-",IF(N88&lt;'PlayerGrades+'!$AF$5,"A",IF(N88&lt;'PlayerGrades+'!$AF$4,"A+",IF(N88&lt;'PlayerGrades+'!$AF$3,"S-",IF(N88&lt;'PlayerGrades+'!$AF$2,"S","S+"))))))))))))))))))))</f>
        <v>F-</v>
      </c>
      <c r="P88" s="961">
        <f t="shared" si="7"/>
        <v>0.3740648379</v>
      </c>
      <c r="Q88" s="961" t="str">
        <f>IF(P88&lt;'PlayerGrades+'!$AG$21,"F-",IF(P88&lt;'PlayerGrades+'!$AG$20,"F",IF(P88&lt;'PlayerGrades+'!$AG$19,"F+",IF(P88&lt;'PlayerGrades+'!$AG$18,"E-",IF(P88&lt;'PlayerGrades+'!$AG$17,"E",IF(P88&lt;'PlayerGrades+'!$AG$16,"E+",IF(P88&lt;'PlayerGrades+'!$AG$15,"D-",IF(P88&lt;'PlayerGrades+'!$AG$14,"D",IF(P88&lt;'PlayerGrades+'!$AG$13,"D+",IF(P88&lt;'PlayerGrades+'!$AG$12,"C-",IF(P88&lt;'PlayerGrades+'!$AG$11,"C",IF(P88&lt;'PlayerGrades+'!$AG$10,"C+",IF(P88&lt;'PlayerGrades+'!$AG$9,"B-",IF(P88&lt;'PlayerGrades+'!$AG$8,"B",IF(P88&lt;'PlayerGrades+'!$AG$7,"B+",IF(P88&lt;'PlayerGrades+'!$AG$6,"A-",IF(P88&lt;'PlayerGrades+'!$AG$5,"A",IF(P88&lt;'PlayerGrades+'!$AG$4,"A+",IF(P88&lt;'PlayerGrades+'!$AG$3,"S-",IF(P88&lt;'PlayerGrades+'!$AG$2,"S","S+"))))))))))))))))))))</f>
        <v>F</v>
      </c>
      <c r="R88" s="961">
        <f t="shared" si="8"/>
        <v>0.1496259352</v>
      </c>
      <c r="S88" s="961" t="str">
        <f>IF(R88&lt;'PlayerGrades+'!$AH$21,"F-",IF(R88&lt;'PlayerGrades+'!$AH$20,"F",IF(R88&lt;'PlayerGrades+'!$AH$19,"F+",IF(R88&lt;'PlayerGrades+'!$AH$18,"E-",IF(R88&lt;'PlayerGrades+'!$AH$17,"E",IF(R88&lt;'PlayerGrades+'!$AH$16,"E+",IF(R88&lt;'PlayerGrades+'!$AH$15,"D-",IF(R88&lt;'PlayerGrades+'!$AH$14,"D",IF(R88&lt;'PlayerGrades+'!$AH$13,"D+",IF(R88&lt;'PlayerGrades+'!$AH$12,"C-",IF(R88&lt;'PlayerGrades+'!$AH$11,"C",IF(R88&lt;'PlayerGrades+'!$AH$10,"C+",IF(R88&lt;'PlayerGrades+'!$AH$9,"B-",IF(R88&lt;'PlayerGrades+'!$AH$8,"B",IF(R88&lt;'PlayerGrades+'!$AH$7,"B+",IF(R88&lt;'PlayerGrades+'!$AH$6,"A-",IF(R88&lt;'PlayerGrades+'!$AH$5,"A",IF(R88&lt;'PlayerGrades+'!$AH$4,"A+",IF(R88&lt;'PlayerGrades+'!$AH$3,"S-",IF(R88&lt;'PlayerGrades+'!$AH$2,"S","S+"))))))))))))))))))))</f>
        <v>S+</v>
      </c>
      <c r="T88" s="961">
        <f t="shared" si="9"/>
        <v>2.543640898</v>
      </c>
      <c r="U88" s="961" t="str">
        <f>IF(T88&lt;'PlayerGrades+'!$AI$21,"F-",IF(T88&lt;'PlayerGrades+'!$AI$20,"F",IF(T88&lt;'PlayerGrades+'!$AI$19,"F+",IF(T88&lt;'PlayerGrades+'!$AI$18,"E-",IF(T88&lt;'PlayerGrades+'!$AI$17,"E",IF(T88&lt;'PlayerGrades+'!$AI$16,"E+",IF(T88&lt;'PlayerGrades+'!$AI$15,"D-",IF(T88&lt;'PlayerGrades+'!$AI$14,"D",IF(T88&lt;'PlayerGrades+'!$AI$13,"D+",IF(T88&lt;'PlayerGrades+'!$AI$12,"C-",IF(T88&lt;'PlayerGrades+'!$AI$11,"C",IF(T88&lt;'PlayerGrades+'!$AI$10,"C+",IF(T88&lt;'PlayerGrades+'!$AI$9,"B-",IF(T88&lt;'PlayerGrades+'!$AI$8,"B",IF(T88&lt;'PlayerGrades+'!$AI$7,"B+",IF(T88&lt;'PlayerGrades+'!$AI$6,"A-",IF(T88&lt;'PlayerGrades+'!$AI$5,"A",IF(T88&lt;'PlayerGrades+'!$AI$4,"A+",IF(T88&lt;'PlayerGrades+'!$AI$3,"S-",IF(T88&lt;'PlayerGrades+'!$AI$2,"S","S+"))))))))))))))))))))</f>
        <v>D-</v>
      </c>
      <c r="V88" s="1100">
        <v>0.0</v>
      </c>
      <c r="W88" s="1100">
        <v>1.0</v>
      </c>
      <c r="X88" s="1100">
        <v>1.0</v>
      </c>
      <c r="Y88" s="1100">
        <v>2.0</v>
      </c>
      <c r="Z88" s="1100">
        <v>34.0</v>
      </c>
      <c r="AA88" s="1100">
        <v>32.0</v>
      </c>
      <c r="AB88" s="1017">
        <f t="shared" si="10"/>
        <v>2</v>
      </c>
      <c r="AC88" s="1020">
        <f t="shared" si="11"/>
        <v>1.0625</v>
      </c>
      <c r="AD88" s="1100">
        <v>0.0</v>
      </c>
      <c r="AE88" s="1329">
        <v>802.0</v>
      </c>
      <c r="AF88" s="1100">
        <v>1.0</v>
      </c>
      <c r="AG88" s="1100">
        <v>0.0</v>
      </c>
      <c r="AH88" s="1100">
        <v>0.0</v>
      </c>
      <c r="AI88" s="1100">
        <v>0.0</v>
      </c>
      <c r="AJ88" s="1100">
        <v>0.0</v>
      </c>
      <c r="AK88" s="1100">
        <v>5.0</v>
      </c>
      <c r="AL88" s="1100">
        <v>0.0</v>
      </c>
      <c r="AM88" s="1100">
        <v>0.0</v>
      </c>
      <c r="AN88" s="1100">
        <v>0.0</v>
      </c>
      <c r="AO88" s="1100">
        <v>0.0</v>
      </c>
      <c r="AP88" s="1100">
        <v>0.0</v>
      </c>
      <c r="AQ88" s="1100">
        <v>0.0</v>
      </c>
      <c r="AR88" s="1100">
        <v>0.0</v>
      </c>
      <c r="AS88" s="1100">
        <v>0.0</v>
      </c>
      <c r="AT88" s="1100">
        <v>0.0</v>
      </c>
      <c r="AU88" s="1100">
        <v>3.0</v>
      </c>
      <c r="AV88" s="1100">
        <v>0.0</v>
      </c>
      <c r="AW88" s="1100">
        <v>1.0</v>
      </c>
      <c r="AX88" s="1100">
        <v>0.0</v>
      </c>
      <c r="AY88" s="1100">
        <v>0.0</v>
      </c>
      <c r="AZ88" s="1239">
        <v>1.0</v>
      </c>
    </row>
    <row r="89">
      <c r="A89" s="938" t="s">
        <v>174</v>
      </c>
      <c r="B89" s="1100" t="str">
        <f>IF(C89&lt;'PlayerGrades+'!$Y$44,"F-",IF(C89&lt;'PlayerGrades+'!$Y$43,"F",IF(C89&lt;'PlayerGrades+'!$Y$42,"F+",IF(C89&lt;'PlayerGrades+'!$Y$41,"E-",IF(C89&lt;'PlayerGrades+'!$Y$40,"E",IF(C89&lt;'PlayerGrades+'!$Y$39,"E+",IF(C89&lt;'PlayerGrades+'!$Y$38,"D-",IF(C89&lt;'PlayerGrades+'!$Y$37,"D",IF(C89&lt;'PlayerGrades+'!$Y$36,"D+",IF(C89&lt;'PlayerGrades+'!$Y$35,"C-",IF(C89&lt;'PlayerGrades+'!$Y$34,"C",IF(C89&lt;'PlayerGrades+'!$Y$33,"C+",IF(C89&lt;'PlayerGrades+'!$Y$32,"B-",IF(C89&lt;'PlayerGrades+'!$Y$31,"B",IF(C89&lt;'PlayerGrades+'!$Y$30,"B+",IF(C89&lt;'PlayerGrades+'!$Y$29,"A-",IF(C89&lt;'PlayerGrades+'!$Y$28,"A",IF(C89&lt;'PlayerGrades+'!$Y$27,"A+",IF(C89&lt;'PlayerGrades+'!$Y$26,"S-",IF(C89&lt;'PlayerGrades+'!$Y$25,"S","S+"))))))))))))))))))))</f>
        <v>C+</v>
      </c>
      <c r="C89" s="1105">
        <f>('PlayerGrades+'!$Y$47*(VLOOKUP(E89, 'PlayerGrades+'!$X$3:$Y$23, 2, FALSE)))+('PlayerGrades+'!$Y$48*(VLOOKUP(G89, 'PlayerGrades+'!$X$3:$Y$23, 2, FALSE)))+('PlayerGrades+'!$Y$49*(VLOOKUP(I89, 'PlayerGrades+'!$X$3:$Y$23, 2, FALSE)))+('PlayerGrades+'!$Y$50*(VLOOKUP(K89, 'PlayerGrades+'!$X$3:$Y$23, 2, FALSE)))+('PlayerGrades+'!$Y$51*(VLOOKUP(M89, 'PlayerGrades+'!$X$3:$Y$23, 2, FALSE)))+('PlayerGrades+'!$Y$52*(VLOOKUP(O89, 'PlayerGrades+'!$X$3:$Y$23, 2, FALSE)))+('PlayerGrades+'!$Y$53*(VLOOKUP(Q89, 'PlayerGrades+'!$X$3:$Y$23, 2, FALSE)))+('PlayerGrades+'!$Y$54*(VLOOKUP(S89, 'PlayerGrades+'!$X$3:$Y$23, 2, FALSE)))+('PlayerGrades+'!$Y$55*(VLOOKUP(U89, 'PlayerGrades+'!$X$3:$Y$23, 2, FALSE)))</f>
        <v>16.025</v>
      </c>
      <c r="D89" s="1149">
        <f t="shared" si="1"/>
        <v>0.1496259352</v>
      </c>
      <c r="E89" s="1149" t="str">
        <f>IF(D89&lt;'PlayerGrades+'!$AA$21,"F-",IF(D89&lt;'PlayerGrades+'!$AA$20,"F",IF(D89&lt;'PlayerGrades+'!$AA$19,"F+",IF(D89&lt;'PlayerGrades+'!$AA$18,"E-",IF(D89&lt;'PlayerGrades+'!$AA$17,"E",IF(D89&lt;'PlayerGrades+'!$AA$16,"E+",IF(D89&lt;'PlayerGrades+'!$AA$15,"D-",IF(D89&lt;'PlayerGrades+'!$AA$14,"D",IF(D89&lt;'PlayerGrades+'!$AA$13,"D+",IF(D89&lt;'PlayerGrades+'!$AA$12,"C-",IF(D89&lt;'PlayerGrades+'!$AA$11,"C",IF(D89&lt;'PlayerGrades+'!$AA$10,"C+",IF(D89&lt;'PlayerGrades+'!$AA$9,"B-",IF(D89&lt;'PlayerGrades+'!$AA$8,"B",IF(D89&lt;'PlayerGrades+'!$AA$7,"B+",IF(D89&lt;'PlayerGrades+'!$AA$6,"A-",IF(D89&lt;'PlayerGrades+'!$AA$5,"A",IF(D89&lt;'PlayerGrades+'!$AA$4,"A+",IF(D89&lt;'PlayerGrades+'!$AA$3,"S-",IF(D89&lt;'PlayerGrades+'!$AA$2,"S","S+"))))))))))))))))))))</f>
        <v>S</v>
      </c>
      <c r="F89" s="1149">
        <f t="shared" si="2"/>
        <v>0.04655029094</v>
      </c>
      <c r="G89" s="1149" t="str">
        <f>IF(F89&lt;'PlayerGrades+'!$AB$21,"F-",IF(F89&lt;'PlayerGrades+'!$AB$20,"F",IF(F89&lt;'PlayerGrades+'!$AB$19,"F+",IF(F89&lt;'PlayerGrades+'!$AB$18,"E-",IF(F89&lt;'PlayerGrades+'!$AB$17,"E",IF(F89&lt;'PlayerGrades+'!$AB$16,"E+",IF(F89&lt;'PlayerGrades+'!$AB$15,"D-",IF(F89&lt;'PlayerGrades+'!$AB$14,"D",IF(F89&lt;'PlayerGrades+'!$AB$13,"D+",IF(F89&lt;'PlayerGrades+'!$AB$12,"C-",IF(F89&lt;'PlayerGrades+'!$AB$11,"C",IF(F89&lt;'PlayerGrades+'!$AB$10,"C+",IF(F89&lt;'PlayerGrades+'!$AB$9,"B-",IF(F89&lt;'PlayerGrades+'!$AB$8,"B",IF(F89&lt;'PlayerGrades+'!$AB$7,"B+",IF(F89&lt;'PlayerGrades+'!$AB$6,"A-",IF(F89&lt;'PlayerGrades+'!$AB$5,"A",IF(F89&lt;'PlayerGrades+'!$AB$4,"A+",IF(F89&lt;'PlayerGrades+'!$AB$3,"S-",IF(F89&lt;'PlayerGrades+'!$AB$2,"S","S+"))))))))))))))))))))</f>
        <v>A</v>
      </c>
      <c r="H89" s="1149">
        <f t="shared" si="3"/>
        <v>0.2244389027</v>
      </c>
      <c r="I89" s="1149" t="str">
        <f>IF(H89&lt;'PlayerGrades+'!$AC$21,"F-",IF(H89&lt;'PlayerGrades+'!$AC$20,"F",IF(H89&lt;'PlayerGrades+'!$AC$19,"F+",IF(H89&lt;'PlayerGrades+'!$AC$18,"E-",IF(H89&lt;'PlayerGrades+'!$AC$17,"E",IF(H89&lt;'PlayerGrades+'!$AC$16,"E+",IF(H89&lt;'PlayerGrades+'!$AC$15,"D-",IF(H89&lt;'PlayerGrades+'!$AC$14,"D",IF(H89&lt;'PlayerGrades+'!$AC$13,"D+",IF(H89&lt;'PlayerGrades+'!$AC$12,"C-",IF(H89&lt;'PlayerGrades+'!$AC$11,"C",IF(H89&lt;'PlayerGrades+'!$AC$10,"C+",IF(H89&lt;'PlayerGrades+'!$AC$9,"B-",IF(H89&lt;'PlayerGrades+'!$AC$8,"B",IF(H89&lt;'PlayerGrades+'!$AC$7,"B+",IF(H89&lt;'PlayerGrades+'!$AC$6,"A-",IF(H89&lt;'PlayerGrades+'!$AC$5,"A",IF(H89&lt;'PlayerGrades+'!$AC$4,"A+",IF(H89&lt;'PlayerGrades+'!$AC$3,"S-",IF(H89&lt;'PlayerGrades+'!$AC$2,"S","S+"))))))))))))))))))))</f>
        <v>F</v>
      </c>
      <c r="J89" s="1149">
        <f t="shared" si="4"/>
        <v>0.07481296758</v>
      </c>
      <c r="K89" s="1149" t="str">
        <f>IF(J89&lt;'PlayerGrades+'!$AD$21,"F-",IF(J89&lt;'PlayerGrades+'!$AD$20,"F",IF(J89&lt;'PlayerGrades+'!$AD$19,"F+",IF(J89&lt;'PlayerGrades+'!$AD$18,"E-",IF(J89&lt;'PlayerGrades+'!$AD$17,"E",IF(J89&lt;'PlayerGrades+'!$AD$16,"E+",IF(J89&lt;'PlayerGrades+'!$AD$15,"D-",IF(J89&lt;'PlayerGrades+'!$AD$14,"D",IF(J89&lt;'PlayerGrades+'!$AD$13,"D+",IF(J89&lt;'PlayerGrades+'!$AD$12,"C-",IF(J89&lt;'PlayerGrades+'!$AD$11,"C",IF(J89&lt;'PlayerGrades+'!$AD$10,"C+",IF(J89&lt;'PlayerGrades+'!$AD$9,"B-",IF(J89&lt;'PlayerGrades+'!$AD$8,"B",IF(J89&lt;'PlayerGrades+'!$AD$7,"B+",IF(J89&lt;'PlayerGrades+'!$AD$6,"A-",IF(J89&lt;'PlayerGrades+'!$AD$5,"A",IF(J89&lt;'PlayerGrades+'!$AD$4,"A+",IF(J89&lt;'PlayerGrades+'!$AD$3,"S-",IF(J89&lt;'PlayerGrades+'!$AD$2,"S","S+"))))))))))))))))))))</f>
        <v>A</v>
      </c>
      <c r="L89" s="1156">
        <f t="shared" si="5"/>
        <v>0.2244389027</v>
      </c>
      <c r="M89" s="1156" t="str">
        <f>IF(L89&lt;'PlayerGrades+'!$AE$21,"F-",IF(L89&lt;'PlayerGrades+'!$AE$20,"F",IF(L89&lt;'PlayerGrades+'!$AE$19,"F+",IF(L89&lt;'PlayerGrades+'!$AE$18,"E-",IF(L89&lt;'PlayerGrades+'!$AE$17,"E",IF(L89&lt;'PlayerGrades+'!$AE$16,"E+",IF(L89&lt;'PlayerGrades+'!$AE$15,"D-",IF(L89&lt;'PlayerGrades+'!$AE$14,"D",IF(L89&lt;'PlayerGrades+'!$AE$13,"D+",IF(L89&lt;'PlayerGrades+'!$AE$12,"C-",IF(L89&lt;'PlayerGrades+'!$AE$11,"C",IF(L89&lt;'PlayerGrades+'!$AE$10,"C+",IF(L89&lt;'PlayerGrades+'!$AE$9,"B-",IF(L89&lt;'PlayerGrades+'!$AE$8,"B",IF(L89&lt;'PlayerGrades+'!$AE$7,"B+",IF(L89&lt;'PlayerGrades+'!$AE$6,"A-",IF(L89&lt;'PlayerGrades+'!$AE$5,"A",IF(L89&lt;'PlayerGrades+'!$AE$4,"A+",IF(L89&lt;'PlayerGrades+'!$AE$3,"S-",IF(L89&lt;'PlayerGrades+'!$AE$2,"S","S+"))))))))))))))))))))</f>
        <v>F</v>
      </c>
      <c r="N89" s="1149">
        <f t="shared" si="6"/>
        <v>0.07481296758</v>
      </c>
      <c r="O89" s="1149" t="str">
        <f>IF(N89&lt;'PlayerGrades+'!$AF$21,"F-",IF(N89&lt;'PlayerGrades+'!$AF$20,"F",IF(N89&lt;'PlayerGrades+'!$AF$19,"F+",IF(N89&lt;'PlayerGrades+'!$AF$18,"E-",IF(N89&lt;'PlayerGrades+'!$AF$17,"E",IF(N89&lt;'PlayerGrades+'!$AF$16,"E+",IF(N89&lt;'PlayerGrades+'!$AF$15,"D-",IF(N89&lt;'PlayerGrades+'!$AF$14,"D",IF(N89&lt;'PlayerGrades+'!$AF$13,"D+",IF(N89&lt;'PlayerGrades+'!$AF$12,"C-",IF(N89&lt;'PlayerGrades+'!$AF$11,"C",IF(N89&lt;'PlayerGrades+'!$AF$10,"C+",IF(N89&lt;'PlayerGrades+'!$AF$9,"B-",IF(N89&lt;'PlayerGrades+'!$AF$8,"B",IF(N89&lt;'PlayerGrades+'!$AF$7,"B+",IF(N89&lt;'PlayerGrades+'!$AF$6,"A-",IF(N89&lt;'PlayerGrades+'!$AF$5,"A",IF(N89&lt;'PlayerGrades+'!$AF$4,"A+",IF(N89&lt;'PlayerGrades+'!$AF$3,"S-",IF(N89&lt;'PlayerGrades+'!$AF$2,"S","S+"))))))))))))))))))))</f>
        <v>E+</v>
      </c>
      <c r="P89" s="1149">
        <f t="shared" si="7"/>
        <v>0.4488778055</v>
      </c>
      <c r="Q89" s="1149" t="str">
        <f>IF(P89&lt;'PlayerGrades+'!$AG$21,"F-",IF(P89&lt;'PlayerGrades+'!$AG$20,"F",IF(P89&lt;'PlayerGrades+'!$AG$19,"F+",IF(P89&lt;'PlayerGrades+'!$AG$18,"E-",IF(P89&lt;'PlayerGrades+'!$AG$17,"E",IF(P89&lt;'PlayerGrades+'!$AG$16,"E+",IF(P89&lt;'PlayerGrades+'!$AG$15,"D-",IF(P89&lt;'PlayerGrades+'!$AG$14,"D",IF(P89&lt;'PlayerGrades+'!$AG$13,"D+",IF(P89&lt;'PlayerGrades+'!$AG$12,"C-",IF(P89&lt;'PlayerGrades+'!$AG$11,"C",IF(P89&lt;'PlayerGrades+'!$AG$10,"C+",IF(P89&lt;'PlayerGrades+'!$AG$9,"B-",IF(P89&lt;'PlayerGrades+'!$AG$8,"B",IF(P89&lt;'PlayerGrades+'!$AG$7,"B+",IF(P89&lt;'PlayerGrades+'!$AG$6,"A-",IF(P89&lt;'PlayerGrades+'!$AG$5,"A",IF(P89&lt;'PlayerGrades+'!$AG$4,"A+",IF(P89&lt;'PlayerGrades+'!$AG$3,"S-",IF(P89&lt;'PlayerGrades+'!$AG$2,"S","S+"))))))))))))))))))))</f>
        <v>E</v>
      </c>
      <c r="R89" s="1149">
        <f t="shared" si="8"/>
        <v>0.1496259352</v>
      </c>
      <c r="S89" s="1149" t="str">
        <f>IF(R89&lt;'PlayerGrades+'!$AH$21,"F-",IF(R89&lt;'PlayerGrades+'!$AH$20,"F",IF(R89&lt;'PlayerGrades+'!$AH$19,"F+",IF(R89&lt;'PlayerGrades+'!$AH$18,"E-",IF(R89&lt;'PlayerGrades+'!$AH$17,"E",IF(R89&lt;'PlayerGrades+'!$AH$16,"E+",IF(R89&lt;'PlayerGrades+'!$AH$15,"D-",IF(R89&lt;'PlayerGrades+'!$AH$14,"D",IF(R89&lt;'PlayerGrades+'!$AH$13,"D+",IF(R89&lt;'PlayerGrades+'!$AH$12,"C-",IF(R89&lt;'PlayerGrades+'!$AH$11,"C",IF(R89&lt;'PlayerGrades+'!$AH$10,"C+",IF(R89&lt;'PlayerGrades+'!$AH$9,"B-",IF(R89&lt;'PlayerGrades+'!$AH$8,"B",IF(R89&lt;'PlayerGrades+'!$AH$7,"B+",IF(R89&lt;'PlayerGrades+'!$AH$6,"A-",IF(R89&lt;'PlayerGrades+'!$AH$5,"A",IF(R89&lt;'PlayerGrades+'!$AH$4,"A+",IF(R89&lt;'PlayerGrades+'!$AH$3,"S-",IF(R89&lt;'PlayerGrades+'!$AH$2,"S","S+"))))))))))))))))))))</f>
        <v>S+</v>
      </c>
      <c r="T89" s="1149">
        <f t="shared" si="9"/>
        <v>2.094763092</v>
      </c>
      <c r="U89" s="1149" t="str">
        <f>IF(T89&lt;'PlayerGrades+'!$AI$21,"F-",IF(T89&lt;'PlayerGrades+'!$AI$20,"F",IF(T89&lt;'PlayerGrades+'!$AI$19,"F+",IF(T89&lt;'PlayerGrades+'!$AI$18,"E-",IF(T89&lt;'PlayerGrades+'!$AI$17,"E",IF(T89&lt;'PlayerGrades+'!$AI$16,"E+",IF(T89&lt;'PlayerGrades+'!$AI$15,"D-",IF(T89&lt;'PlayerGrades+'!$AI$14,"D",IF(T89&lt;'PlayerGrades+'!$AI$13,"D+",IF(T89&lt;'PlayerGrades+'!$AI$12,"C-",IF(T89&lt;'PlayerGrades+'!$AI$11,"C",IF(T89&lt;'PlayerGrades+'!$AI$10,"C+",IF(T89&lt;'PlayerGrades+'!$AI$9,"B-",IF(T89&lt;'PlayerGrades+'!$AI$8,"B",IF(T89&lt;'PlayerGrades+'!$AI$7,"B+",IF(T89&lt;'PlayerGrades+'!$AI$6,"A-",IF(T89&lt;'PlayerGrades+'!$AI$5,"A",IF(T89&lt;'PlayerGrades+'!$AI$4,"A+",IF(T89&lt;'PlayerGrades+'!$AI$3,"S-",IF(T89&lt;'PlayerGrades+'!$AI$2,"S","S+"))))))))))))))))))))</f>
        <v>F-</v>
      </c>
      <c r="V89" s="1227">
        <v>0.0</v>
      </c>
      <c r="W89" s="1227">
        <v>1.0</v>
      </c>
      <c r="X89" s="1100">
        <v>2.0</v>
      </c>
      <c r="Y89" s="1100">
        <v>0.0</v>
      </c>
      <c r="Z89" s="1100">
        <v>28.0</v>
      </c>
      <c r="AA89" s="1100">
        <v>45.0</v>
      </c>
      <c r="AB89" s="1017">
        <f t="shared" si="10"/>
        <v>-17</v>
      </c>
      <c r="AC89" s="1020">
        <f t="shared" si="11"/>
        <v>0.6222222222</v>
      </c>
      <c r="AD89" s="1100">
        <v>0.0</v>
      </c>
      <c r="AE89" s="1329">
        <v>802.0</v>
      </c>
      <c r="AF89" s="1100">
        <v>1.0</v>
      </c>
      <c r="AG89" s="1100">
        <v>0.0</v>
      </c>
      <c r="AH89" s="1100">
        <v>0.0</v>
      </c>
      <c r="AI89" s="1100">
        <v>0.0</v>
      </c>
      <c r="AJ89" s="1100">
        <v>0.0</v>
      </c>
      <c r="AK89" s="1100">
        <v>3.0</v>
      </c>
      <c r="AL89" s="1100">
        <v>1.0</v>
      </c>
      <c r="AM89" s="1100">
        <v>1.0</v>
      </c>
      <c r="AN89" s="1100">
        <v>1.0</v>
      </c>
      <c r="AO89" s="1100">
        <v>0.0</v>
      </c>
      <c r="AP89" s="1100">
        <v>0.0</v>
      </c>
      <c r="AQ89" s="1100">
        <v>0.0</v>
      </c>
      <c r="AR89" s="1100">
        <v>0.0</v>
      </c>
      <c r="AS89" s="1100">
        <v>0.0</v>
      </c>
      <c r="AT89" s="1100">
        <v>0.0</v>
      </c>
      <c r="AU89" s="1100">
        <v>3.0</v>
      </c>
      <c r="AV89" s="1100">
        <v>0.0</v>
      </c>
      <c r="AW89" s="1100">
        <v>0.0</v>
      </c>
      <c r="AX89" s="1100">
        <v>0.0</v>
      </c>
      <c r="AY89" s="1100">
        <v>0.0</v>
      </c>
      <c r="AZ89" s="1239">
        <v>2.0</v>
      </c>
    </row>
    <row r="90">
      <c r="A90" s="887" t="s">
        <v>197</v>
      </c>
      <c r="B90" s="1169" t="str">
        <f>IF(C90&lt;'PlayerGrades+'!$Y$44,"F-",IF(C90&lt;'PlayerGrades+'!$Y$43,"F",IF(C90&lt;'PlayerGrades+'!$Y$42,"F+",IF(C90&lt;'PlayerGrades+'!$Y$41,"E-",IF(C90&lt;'PlayerGrades+'!$Y$40,"E",IF(C90&lt;'PlayerGrades+'!$Y$39,"E+",IF(C90&lt;'PlayerGrades+'!$Y$38,"D-",IF(C90&lt;'PlayerGrades+'!$Y$37,"D",IF(C90&lt;'PlayerGrades+'!$Y$36,"D+",IF(C90&lt;'PlayerGrades+'!$Y$35,"C-",IF(C90&lt;'PlayerGrades+'!$Y$34,"C",IF(C90&lt;'PlayerGrades+'!$Y$33,"C+",IF(C90&lt;'PlayerGrades+'!$Y$32,"B-",IF(C90&lt;'PlayerGrades+'!$Y$31,"B",IF(C90&lt;'PlayerGrades+'!$Y$30,"B+",IF(C90&lt;'PlayerGrades+'!$Y$29,"A-",IF(C90&lt;'PlayerGrades+'!$Y$28,"A",IF(C90&lt;'PlayerGrades+'!$Y$27,"A+",IF(C90&lt;'PlayerGrades+'!$Y$26,"S-",IF(C90&lt;'PlayerGrades+'!$Y$25,"S","S+"))))))))))))))))))))</f>
        <v>B</v>
      </c>
      <c r="C90" s="1170">
        <f>('PlayerGrades+'!$Y$47*(VLOOKUP(E90, 'PlayerGrades+'!$X$3:$Y$23, 2, FALSE)))+('PlayerGrades+'!$Y$48*(VLOOKUP(G90, 'PlayerGrades+'!$X$3:$Y$23, 2, FALSE)))+('PlayerGrades+'!$Y$49*(VLOOKUP(I90, 'PlayerGrades+'!$X$3:$Y$23, 2, FALSE)))+('PlayerGrades+'!$Y$50*(VLOOKUP(K90, 'PlayerGrades+'!$X$3:$Y$23, 2, FALSE)))+('PlayerGrades+'!$Y$51*(VLOOKUP(M90, 'PlayerGrades+'!$X$3:$Y$23, 2, FALSE)))+('PlayerGrades+'!$Y$52*(VLOOKUP(O90, 'PlayerGrades+'!$X$3:$Y$23, 2, FALSE)))+('PlayerGrades+'!$Y$53*(VLOOKUP(Q90, 'PlayerGrades+'!$X$3:$Y$23, 2, FALSE)))+('PlayerGrades+'!$Y$54*(VLOOKUP(S90, 'PlayerGrades+'!$X$3:$Y$23, 2, FALSE)))+('PlayerGrades+'!$Y$55*(VLOOKUP(U90, 'PlayerGrades+'!$X$3:$Y$23, 2, FALSE)))</f>
        <v>18.125</v>
      </c>
      <c r="D90" s="890">
        <f t="shared" si="1"/>
        <v>0.04739336493</v>
      </c>
      <c r="E90" s="890" t="str">
        <f>IF(D90&lt;'PlayerGrades+'!$AA$21,"F-",IF(D90&lt;'PlayerGrades+'!$AA$20,"F",IF(D90&lt;'PlayerGrades+'!$AA$19,"F+",IF(D90&lt;'PlayerGrades+'!$AA$18,"E-",IF(D90&lt;'PlayerGrades+'!$AA$17,"E",IF(D90&lt;'PlayerGrades+'!$AA$16,"E+",IF(D90&lt;'PlayerGrades+'!$AA$15,"D-",IF(D90&lt;'PlayerGrades+'!$AA$14,"D",IF(D90&lt;'PlayerGrades+'!$AA$13,"D+",IF(D90&lt;'PlayerGrades+'!$AA$12,"C-",IF(D90&lt;'PlayerGrades+'!$AA$11,"C",IF(D90&lt;'PlayerGrades+'!$AA$10,"C+",IF(D90&lt;'PlayerGrades+'!$AA$9,"B-",IF(D90&lt;'PlayerGrades+'!$AA$8,"B",IF(D90&lt;'PlayerGrades+'!$AA$7,"B+",IF(D90&lt;'PlayerGrades+'!$AA$6,"A-",IF(D90&lt;'PlayerGrades+'!$AA$5,"A",IF(D90&lt;'PlayerGrades+'!$AA$4,"A+",IF(D90&lt;'PlayerGrades+'!$AA$3,"S-",IF(D90&lt;'PlayerGrades+'!$AA$2,"S","S+"))))))))))))))))))))</f>
        <v>C</v>
      </c>
      <c r="F90" s="890">
        <f t="shared" si="2"/>
        <v>0.05093018321</v>
      </c>
      <c r="G90" s="890" t="str">
        <f>IF(F90&lt;'PlayerGrades+'!$AB$21,"F-",IF(F90&lt;'PlayerGrades+'!$AB$20,"F",IF(F90&lt;'PlayerGrades+'!$AB$19,"F+",IF(F90&lt;'PlayerGrades+'!$AB$18,"E-",IF(F90&lt;'PlayerGrades+'!$AB$17,"E",IF(F90&lt;'PlayerGrades+'!$AB$16,"E+",IF(F90&lt;'PlayerGrades+'!$AB$15,"D-",IF(F90&lt;'PlayerGrades+'!$AB$14,"D",IF(F90&lt;'PlayerGrades+'!$AB$13,"D+",IF(F90&lt;'PlayerGrades+'!$AB$12,"C-",IF(F90&lt;'PlayerGrades+'!$AB$11,"C",IF(F90&lt;'PlayerGrades+'!$AB$10,"C+",IF(F90&lt;'PlayerGrades+'!$AB$9,"B-",IF(F90&lt;'PlayerGrades+'!$AB$8,"B",IF(F90&lt;'PlayerGrades+'!$AB$7,"B+",IF(F90&lt;'PlayerGrades+'!$AB$6,"A-",IF(F90&lt;'PlayerGrades+'!$AB$5,"A",IF(F90&lt;'PlayerGrades+'!$AB$4,"A+",IF(F90&lt;'PlayerGrades+'!$AB$3,"S-",IF(F90&lt;'PlayerGrades+'!$AB$2,"S","S+"))))))))))))))))))))</f>
        <v>A</v>
      </c>
      <c r="H90" s="890">
        <f t="shared" si="3"/>
        <v>0.3317535545</v>
      </c>
      <c r="I90" s="890" t="str">
        <f>IF(H90&lt;'PlayerGrades+'!$AC$21,"F-",IF(H90&lt;'PlayerGrades+'!$AC$20,"F",IF(H90&lt;'PlayerGrades+'!$AC$19,"F+",IF(H90&lt;'PlayerGrades+'!$AC$18,"E-",IF(H90&lt;'PlayerGrades+'!$AC$17,"E",IF(H90&lt;'PlayerGrades+'!$AC$16,"E+",IF(H90&lt;'PlayerGrades+'!$AC$15,"D-",IF(H90&lt;'PlayerGrades+'!$AC$14,"D",IF(H90&lt;'PlayerGrades+'!$AC$13,"D+",IF(H90&lt;'PlayerGrades+'!$AC$12,"C-",IF(H90&lt;'PlayerGrades+'!$AC$11,"C",IF(H90&lt;'PlayerGrades+'!$AC$10,"C+",IF(H90&lt;'PlayerGrades+'!$AC$9,"B-",IF(H90&lt;'PlayerGrades+'!$AC$8,"B",IF(H90&lt;'PlayerGrades+'!$AC$7,"B+",IF(H90&lt;'PlayerGrades+'!$AC$6,"A-",IF(H90&lt;'PlayerGrades+'!$AC$5,"A",IF(H90&lt;'PlayerGrades+'!$AC$4,"A+",IF(H90&lt;'PlayerGrades+'!$AC$3,"S-",IF(H90&lt;'PlayerGrades+'!$AC$2,"S","S+"))))))))))))))))))))</f>
        <v>E</v>
      </c>
      <c r="J90" s="890">
        <f t="shared" si="4"/>
        <v>0</v>
      </c>
      <c r="K90" s="890" t="str">
        <f>IF(J90&lt;'PlayerGrades+'!$AD$21,"F-",IF(J90&lt;'PlayerGrades+'!$AD$20,"F",IF(J90&lt;'PlayerGrades+'!$AD$19,"F+",IF(J90&lt;'PlayerGrades+'!$AD$18,"E-",IF(J90&lt;'PlayerGrades+'!$AD$17,"E",IF(J90&lt;'PlayerGrades+'!$AD$16,"E+",IF(J90&lt;'PlayerGrades+'!$AD$15,"D-",IF(J90&lt;'PlayerGrades+'!$AD$14,"D",IF(J90&lt;'PlayerGrades+'!$AD$13,"D+",IF(J90&lt;'PlayerGrades+'!$AD$12,"C-",IF(J90&lt;'PlayerGrades+'!$AD$11,"C",IF(J90&lt;'PlayerGrades+'!$AD$10,"C+",IF(J90&lt;'PlayerGrades+'!$AD$9,"B-",IF(J90&lt;'PlayerGrades+'!$AD$8,"B",IF(J90&lt;'PlayerGrades+'!$AD$7,"B+",IF(J90&lt;'PlayerGrades+'!$AD$6,"A-",IF(J90&lt;'PlayerGrades+'!$AD$5,"A",IF(J90&lt;'PlayerGrades+'!$AD$4,"A+",IF(J90&lt;'PlayerGrades+'!$AD$3,"S-",IF(J90&lt;'PlayerGrades+'!$AD$2,"S","S+"))))))))))))))))))))</f>
        <v>F-</v>
      </c>
      <c r="L90" s="899">
        <f t="shared" si="5"/>
        <v>0.5687203791</v>
      </c>
      <c r="M90" s="899" t="str">
        <f>IF(L90&lt;'PlayerGrades+'!$AE$21,"F-",IF(L90&lt;'PlayerGrades+'!$AE$20,"F",IF(L90&lt;'PlayerGrades+'!$AE$19,"F+",IF(L90&lt;'PlayerGrades+'!$AE$18,"E-",IF(L90&lt;'PlayerGrades+'!$AE$17,"E",IF(L90&lt;'PlayerGrades+'!$AE$16,"E+",IF(L90&lt;'PlayerGrades+'!$AE$15,"D-",IF(L90&lt;'PlayerGrades+'!$AE$14,"D",IF(L90&lt;'PlayerGrades+'!$AE$13,"D+",IF(L90&lt;'PlayerGrades+'!$AE$12,"C-",IF(L90&lt;'PlayerGrades+'!$AE$11,"C",IF(L90&lt;'PlayerGrades+'!$AE$10,"C+",IF(L90&lt;'PlayerGrades+'!$AE$9,"B-",IF(L90&lt;'PlayerGrades+'!$AE$8,"B",IF(L90&lt;'PlayerGrades+'!$AE$7,"B+",IF(L90&lt;'PlayerGrades+'!$AE$6,"A-",IF(L90&lt;'PlayerGrades+'!$AE$5,"A",IF(L90&lt;'PlayerGrades+'!$AE$4,"A+",IF(L90&lt;'PlayerGrades+'!$AE$3,"S-",IF(L90&lt;'PlayerGrades+'!$AE$2,"S","S+"))))))))))))))))))))</f>
        <v>A-</v>
      </c>
      <c r="N90" s="890">
        <f t="shared" si="6"/>
        <v>0.1421800948</v>
      </c>
      <c r="O90" s="890" t="str">
        <f>IF(N90&lt;'PlayerGrades+'!$AF$21,"F-",IF(N90&lt;'PlayerGrades+'!$AF$20,"F",IF(N90&lt;'PlayerGrades+'!$AF$19,"F+",IF(N90&lt;'PlayerGrades+'!$AF$18,"E-",IF(N90&lt;'PlayerGrades+'!$AF$17,"E",IF(N90&lt;'PlayerGrades+'!$AF$16,"E+",IF(N90&lt;'PlayerGrades+'!$AF$15,"D-",IF(N90&lt;'PlayerGrades+'!$AF$14,"D",IF(N90&lt;'PlayerGrades+'!$AF$13,"D+",IF(N90&lt;'PlayerGrades+'!$AF$12,"C-",IF(N90&lt;'PlayerGrades+'!$AF$11,"C",IF(N90&lt;'PlayerGrades+'!$AF$10,"C+",IF(N90&lt;'PlayerGrades+'!$AF$9,"B-",IF(N90&lt;'PlayerGrades+'!$AF$8,"B",IF(N90&lt;'PlayerGrades+'!$AF$7,"B+",IF(N90&lt;'PlayerGrades+'!$AF$6,"A-",IF(N90&lt;'PlayerGrades+'!$AF$5,"A",IF(N90&lt;'PlayerGrades+'!$AF$4,"A+",IF(N90&lt;'PlayerGrades+'!$AF$3,"S-",IF(N90&lt;'PlayerGrades+'!$AF$2,"S","S+"))))))))))))))))))))</f>
        <v>B</v>
      </c>
      <c r="P90" s="890">
        <f t="shared" si="7"/>
        <v>0.7109004739</v>
      </c>
      <c r="Q90" s="890" t="str">
        <f>IF(P90&lt;'PlayerGrades+'!$AG$21,"F-",IF(P90&lt;'PlayerGrades+'!$AG$20,"F",IF(P90&lt;'PlayerGrades+'!$AG$19,"F+",IF(P90&lt;'PlayerGrades+'!$AG$18,"E-",IF(P90&lt;'PlayerGrades+'!$AG$17,"E",IF(P90&lt;'PlayerGrades+'!$AG$16,"E+",IF(P90&lt;'PlayerGrades+'!$AG$15,"D-",IF(P90&lt;'PlayerGrades+'!$AG$14,"D",IF(P90&lt;'PlayerGrades+'!$AG$13,"D+",IF(P90&lt;'PlayerGrades+'!$AG$12,"C-",IF(P90&lt;'PlayerGrades+'!$AG$11,"C",IF(P90&lt;'PlayerGrades+'!$AG$10,"C+",IF(P90&lt;'PlayerGrades+'!$AG$9,"B-",IF(P90&lt;'PlayerGrades+'!$AG$8,"B",IF(P90&lt;'PlayerGrades+'!$AG$7,"B+",IF(P90&lt;'PlayerGrades+'!$AG$6,"A-",IF(P90&lt;'PlayerGrades+'!$AG$5,"A",IF(P90&lt;'PlayerGrades+'!$AG$4,"A+",IF(P90&lt;'PlayerGrades+'!$AG$3,"S-",IF(P90&lt;'PlayerGrades+'!$AG$2,"S","S+"))))))))))))))))))))</f>
        <v>B</v>
      </c>
      <c r="R90" s="890">
        <f t="shared" si="8"/>
        <v>0.09478672986</v>
      </c>
      <c r="S90" s="890" t="str">
        <f>IF(R90&lt;'PlayerGrades+'!$AH$21,"F-",IF(R90&lt;'PlayerGrades+'!$AH$20,"F",IF(R90&lt;'PlayerGrades+'!$AH$19,"F+",IF(R90&lt;'PlayerGrades+'!$AH$18,"E-",IF(R90&lt;'PlayerGrades+'!$AH$17,"E",IF(R90&lt;'PlayerGrades+'!$AH$16,"E+",IF(R90&lt;'PlayerGrades+'!$AH$15,"D-",IF(R90&lt;'PlayerGrades+'!$AH$14,"D",IF(R90&lt;'PlayerGrades+'!$AH$13,"D+",IF(R90&lt;'PlayerGrades+'!$AH$12,"C-",IF(R90&lt;'PlayerGrades+'!$AH$11,"C",IF(R90&lt;'PlayerGrades+'!$AH$10,"C+",IF(R90&lt;'PlayerGrades+'!$AH$9,"B-",IF(R90&lt;'PlayerGrades+'!$AH$8,"B",IF(R90&lt;'PlayerGrades+'!$AH$7,"B+",IF(R90&lt;'PlayerGrades+'!$AH$6,"A-",IF(R90&lt;'PlayerGrades+'!$AH$5,"A",IF(R90&lt;'PlayerGrades+'!$AH$4,"A+",IF(R90&lt;'PlayerGrades+'!$AH$3,"S-",IF(R90&lt;'PlayerGrades+'!$AH$2,"S","S+"))))))))))))))))))))</f>
        <v>S-</v>
      </c>
      <c r="T90" s="890">
        <f t="shared" si="9"/>
        <v>3.412322275</v>
      </c>
      <c r="U90" s="890" t="str">
        <f>IF(T90&lt;'PlayerGrades+'!$AI$21,"F-",IF(T90&lt;'PlayerGrades+'!$AI$20,"F",IF(T90&lt;'PlayerGrades+'!$AI$19,"F+",IF(T90&lt;'PlayerGrades+'!$AI$18,"E-",IF(T90&lt;'PlayerGrades+'!$AI$17,"E",IF(T90&lt;'PlayerGrades+'!$AI$16,"E+",IF(T90&lt;'PlayerGrades+'!$AI$15,"D-",IF(T90&lt;'PlayerGrades+'!$AI$14,"D",IF(T90&lt;'PlayerGrades+'!$AI$13,"D+",IF(T90&lt;'PlayerGrades+'!$AI$12,"C-",IF(T90&lt;'PlayerGrades+'!$AI$11,"C",IF(T90&lt;'PlayerGrades+'!$AI$10,"C+",IF(T90&lt;'PlayerGrades+'!$AI$9,"B-",IF(T90&lt;'PlayerGrades+'!$AI$8,"B",IF(T90&lt;'PlayerGrades+'!$AI$7,"B+",IF(T90&lt;'PlayerGrades+'!$AI$6,"A-",IF(T90&lt;'PlayerGrades+'!$AI$5,"A",IF(T90&lt;'PlayerGrades+'!$AI$4,"A+",IF(T90&lt;'PlayerGrades+'!$AI$3,"S-",IF(T90&lt;'PlayerGrades+'!$AI$2,"S","S+"))))))))))))))))))))</f>
        <v>A+</v>
      </c>
      <c r="V90" s="1169">
        <v>1.0</v>
      </c>
      <c r="W90" s="1169">
        <v>0.0</v>
      </c>
      <c r="X90" s="1169">
        <v>1.0</v>
      </c>
      <c r="Y90" s="1169">
        <v>1.0</v>
      </c>
      <c r="Z90" s="1169">
        <v>72.0</v>
      </c>
      <c r="AA90" s="1169">
        <v>67.0</v>
      </c>
      <c r="AB90" s="925">
        <f t="shared" si="10"/>
        <v>5</v>
      </c>
      <c r="AC90" s="930">
        <f t="shared" si="11"/>
        <v>1.074626866</v>
      </c>
      <c r="AD90" s="1169">
        <v>0.0</v>
      </c>
      <c r="AE90" s="1300">
        <v>1266.0</v>
      </c>
      <c r="AF90" s="1169">
        <v>0.0</v>
      </c>
      <c r="AG90" s="1169">
        <v>0.0</v>
      </c>
      <c r="AH90" s="1169">
        <v>0.0</v>
      </c>
      <c r="AI90" s="1169">
        <v>0.0</v>
      </c>
      <c r="AJ90" s="1169">
        <v>0.0</v>
      </c>
      <c r="AK90" s="1169">
        <v>12.0</v>
      </c>
      <c r="AL90" s="1169">
        <v>3.0</v>
      </c>
      <c r="AM90" s="1169">
        <v>0.0</v>
      </c>
      <c r="AN90" s="1169">
        <v>0.0</v>
      </c>
      <c r="AO90" s="1169">
        <v>0.0</v>
      </c>
      <c r="AP90" s="1169">
        <v>0.0</v>
      </c>
      <c r="AQ90" s="1169">
        <v>0.0</v>
      </c>
      <c r="AR90" s="1169">
        <v>0.0</v>
      </c>
      <c r="AS90" s="1169">
        <v>0.0</v>
      </c>
      <c r="AT90" s="1169">
        <v>0.0</v>
      </c>
      <c r="AU90" s="1169">
        <v>7.0</v>
      </c>
      <c r="AV90" s="1169">
        <v>0.0</v>
      </c>
      <c r="AW90" s="1169">
        <v>1.0</v>
      </c>
      <c r="AX90" s="1169">
        <v>0.0</v>
      </c>
      <c r="AY90" s="1169">
        <v>1.0</v>
      </c>
      <c r="AZ90" s="1302">
        <v>0.0</v>
      </c>
    </row>
    <row r="91">
      <c r="A91" s="938" t="s">
        <v>149</v>
      </c>
      <c r="B91" s="1100" t="str">
        <f>IF(C91&lt;'PlayerGrades+'!$Y$44,"F-",IF(C91&lt;'PlayerGrades+'!$Y$43,"F",IF(C91&lt;'PlayerGrades+'!$Y$42,"F+",IF(C91&lt;'PlayerGrades+'!$Y$41,"E-",IF(C91&lt;'PlayerGrades+'!$Y$40,"E",IF(C91&lt;'PlayerGrades+'!$Y$39,"E+",IF(C91&lt;'PlayerGrades+'!$Y$38,"D-",IF(C91&lt;'PlayerGrades+'!$Y$37,"D",IF(C91&lt;'PlayerGrades+'!$Y$36,"D+",IF(C91&lt;'PlayerGrades+'!$Y$35,"C-",IF(C91&lt;'PlayerGrades+'!$Y$34,"C",IF(C91&lt;'PlayerGrades+'!$Y$33,"C+",IF(C91&lt;'PlayerGrades+'!$Y$32,"B-",IF(C91&lt;'PlayerGrades+'!$Y$31,"B",IF(C91&lt;'PlayerGrades+'!$Y$30,"B+",IF(C91&lt;'PlayerGrades+'!$Y$29,"A-",IF(C91&lt;'PlayerGrades+'!$Y$28,"A",IF(C91&lt;'PlayerGrades+'!$Y$27,"A+",IF(C91&lt;'PlayerGrades+'!$Y$26,"S-",IF(C91&lt;'PlayerGrades+'!$Y$25,"S","S+"))))))))))))))))))))</f>
        <v>B-</v>
      </c>
      <c r="C91" s="1105">
        <f>('PlayerGrades+'!$Y$47*(VLOOKUP(E91, 'PlayerGrades+'!$X$3:$Y$23, 2, FALSE)))+('PlayerGrades+'!$Y$48*(VLOOKUP(G91, 'PlayerGrades+'!$X$3:$Y$23, 2, FALSE)))+('PlayerGrades+'!$Y$49*(VLOOKUP(I91, 'PlayerGrades+'!$X$3:$Y$23, 2, FALSE)))+('PlayerGrades+'!$Y$50*(VLOOKUP(K91, 'PlayerGrades+'!$X$3:$Y$23, 2, FALSE)))+('PlayerGrades+'!$Y$51*(VLOOKUP(M91, 'PlayerGrades+'!$X$3:$Y$23, 2, FALSE)))+('PlayerGrades+'!$Y$52*(VLOOKUP(O91, 'PlayerGrades+'!$X$3:$Y$23, 2, FALSE)))+('PlayerGrades+'!$Y$53*(VLOOKUP(Q91, 'PlayerGrades+'!$X$3:$Y$23, 2, FALSE)))+('PlayerGrades+'!$Y$54*(VLOOKUP(S91, 'PlayerGrades+'!$X$3:$Y$23, 2, FALSE)))+('PlayerGrades+'!$Y$55*(VLOOKUP(U91, 'PlayerGrades+'!$X$3:$Y$23, 2, FALSE)))</f>
        <v>16.7125</v>
      </c>
      <c r="D91" s="961">
        <f t="shared" si="1"/>
        <v>0</v>
      </c>
      <c r="E91" s="961" t="str">
        <f>IF(D91&lt;'PlayerGrades+'!$AA$21,"F-",IF(D91&lt;'PlayerGrades+'!$AA$20,"F",IF(D91&lt;'PlayerGrades+'!$AA$19,"F+",IF(D91&lt;'PlayerGrades+'!$AA$18,"E-",IF(D91&lt;'PlayerGrades+'!$AA$17,"E",IF(D91&lt;'PlayerGrades+'!$AA$16,"E+",IF(D91&lt;'PlayerGrades+'!$AA$15,"D-",IF(D91&lt;'PlayerGrades+'!$AA$14,"D",IF(D91&lt;'PlayerGrades+'!$AA$13,"D+",IF(D91&lt;'PlayerGrades+'!$AA$12,"C-",IF(D91&lt;'PlayerGrades+'!$AA$11,"C",IF(D91&lt;'PlayerGrades+'!$AA$10,"C+",IF(D91&lt;'PlayerGrades+'!$AA$9,"B-",IF(D91&lt;'PlayerGrades+'!$AA$8,"B",IF(D91&lt;'PlayerGrades+'!$AA$7,"B+",IF(D91&lt;'PlayerGrades+'!$AA$6,"A-",IF(D91&lt;'PlayerGrades+'!$AA$5,"A",IF(D91&lt;'PlayerGrades+'!$AA$4,"A+",IF(D91&lt;'PlayerGrades+'!$AA$3,"S-",IF(D91&lt;'PlayerGrades+'!$AA$2,"S","S+"))))))))))))))))))))</f>
        <v>F-</v>
      </c>
      <c r="F91" s="961">
        <f t="shared" si="2"/>
        <v>0.04291020879</v>
      </c>
      <c r="G91" s="961" t="str">
        <f>IF(F91&lt;'PlayerGrades+'!$AB$21,"F-",IF(F91&lt;'PlayerGrades+'!$AB$20,"F",IF(F91&lt;'PlayerGrades+'!$AB$19,"F+",IF(F91&lt;'PlayerGrades+'!$AB$18,"E-",IF(F91&lt;'PlayerGrades+'!$AB$17,"E",IF(F91&lt;'PlayerGrades+'!$AB$16,"E+",IF(F91&lt;'PlayerGrades+'!$AB$15,"D-",IF(F91&lt;'PlayerGrades+'!$AB$14,"D",IF(F91&lt;'PlayerGrades+'!$AB$13,"D+",IF(F91&lt;'PlayerGrades+'!$AB$12,"C-",IF(F91&lt;'PlayerGrades+'!$AB$11,"C",IF(F91&lt;'PlayerGrades+'!$AB$10,"C+",IF(F91&lt;'PlayerGrades+'!$AB$9,"B-",IF(F91&lt;'PlayerGrades+'!$AB$8,"B",IF(F91&lt;'PlayerGrades+'!$AB$7,"B+",IF(F91&lt;'PlayerGrades+'!$AB$6,"A-",IF(F91&lt;'PlayerGrades+'!$AB$5,"A",IF(F91&lt;'PlayerGrades+'!$AB$4,"A+",IF(F91&lt;'PlayerGrades+'!$AB$3,"S-",IF(F91&lt;'PlayerGrades+'!$AB$2,"S","S+"))))))))))))))))))))</f>
        <v>A</v>
      </c>
      <c r="H91" s="961">
        <f t="shared" si="3"/>
        <v>0.4265402844</v>
      </c>
      <c r="I91" s="961" t="str">
        <f>IF(H91&lt;'PlayerGrades+'!$AC$21,"F-",IF(H91&lt;'PlayerGrades+'!$AC$20,"F",IF(H91&lt;'PlayerGrades+'!$AC$19,"F+",IF(H91&lt;'PlayerGrades+'!$AC$18,"E-",IF(H91&lt;'PlayerGrades+'!$AC$17,"E",IF(H91&lt;'PlayerGrades+'!$AC$16,"E+",IF(H91&lt;'PlayerGrades+'!$AC$15,"D-",IF(H91&lt;'PlayerGrades+'!$AC$14,"D",IF(H91&lt;'PlayerGrades+'!$AC$13,"D+",IF(H91&lt;'PlayerGrades+'!$AC$12,"C-",IF(H91&lt;'PlayerGrades+'!$AC$11,"C",IF(H91&lt;'PlayerGrades+'!$AC$10,"C+",IF(H91&lt;'PlayerGrades+'!$AC$9,"B-",IF(H91&lt;'PlayerGrades+'!$AC$8,"B",IF(H91&lt;'PlayerGrades+'!$AC$7,"B+",IF(H91&lt;'PlayerGrades+'!$AC$6,"A-",IF(H91&lt;'PlayerGrades+'!$AC$5,"A",IF(H91&lt;'PlayerGrades+'!$AC$4,"A+",IF(H91&lt;'PlayerGrades+'!$AC$3,"S-",IF(H91&lt;'PlayerGrades+'!$AC$2,"S","S+"))))))))))))))))))))</f>
        <v>D+</v>
      </c>
      <c r="J91" s="961">
        <f t="shared" si="4"/>
        <v>0.04739336493</v>
      </c>
      <c r="K91" s="961" t="str">
        <f>IF(J91&lt;'PlayerGrades+'!$AD$21,"F-",IF(J91&lt;'PlayerGrades+'!$AD$20,"F",IF(J91&lt;'PlayerGrades+'!$AD$19,"F+",IF(J91&lt;'PlayerGrades+'!$AD$18,"E-",IF(J91&lt;'PlayerGrades+'!$AD$17,"E",IF(J91&lt;'PlayerGrades+'!$AD$16,"E+",IF(J91&lt;'PlayerGrades+'!$AD$15,"D-",IF(J91&lt;'PlayerGrades+'!$AD$14,"D",IF(J91&lt;'PlayerGrades+'!$AD$13,"D+",IF(J91&lt;'PlayerGrades+'!$AD$12,"C-",IF(J91&lt;'PlayerGrades+'!$AD$11,"C",IF(J91&lt;'PlayerGrades+'!$AD$10,"C+",IF(J91&lt;'PlayerGrades+'!$AD$9,"B-",IF(J91&lt;'PlayerGrades+'!$AD$8,"B",IF(J91&lt;'PlayerGrades+'!$AD$7,"B+",IF(J91&lt;'PlayerGrades+'!$AD$6,"A-",IF(J91&lt;'PlayerGrades+'!$AD$5,"A",IF(J91&lt;'PlayerGrades+'!$AD$4,"A+",IF(J91&lt;'PlayerGrades+'!$AD$3,"S-",IF(J91&lt;'PlayerGrades+'!$AD$2,"S","S+"))))))))))))))))))))</f>
        <v>C+</v>
      </c>
      <c r="L91" s="992">
        <f t="shared" si="5"/>
        <v>0.5213270142</v>
      </c>
      <c r="M91" s="992" t="str">
        <f>IF(L91&lt;'PlayerGrades+'!$AE$21,"F-",IF(L91&lt;'PlayerGrades+'!$AE$20,"F",IF(L91&lt;'PlayerGrades+'!$AE$19,"F+",IF(L91&lt;'PlayerGrades+'!$AE$18,"E-",IF(L91&lt;'PlayerGrades+'!$AE$17,"E",IF(L91&lt;'PlayerGrades+'!$AE$16,"E+",IF(L91&lt;'PlayerGrades+'!$AE$15,"D-",IF(L91&lt;'PlayerGrades+'!$AE$14,"D",IF(L91&lt;'PlayerGrades+'!$AE$13,"D+",IF(L91&lt;'PlayerGrades+'!$AE$12,"C-",IF(L91&lt;'PlayerGrades+'!$AE$11,"C",IF(L91&lt;'PlayerGrades+'!$AE$10,"C+",IF(L91&lt;'PlayerGrades+'!$AE$9,"B-",IF(L91&lt;'PlayerGrades+'!$AE$8,"B",IF(L91&lt;'PlayerGrades+'!$AE$7,"B+",IF(L91&lt;'PlayerGrades+'!$AE$6,"A-",IF(L91&lt;'PlayerGrades+'!$AE$5,"A",IF(L91&lt;'PlayerGrades+'!$AE$4,"A+",IF(L91&lt;'PlayerGrades+'!$AE$3,"S-",IF(L91&lt;'PlayerGrades+'!$AE$2,"S","S+"))))))))))))))))))))</f>
        <v>B+</v>
      </c>
      <c r="N91" s="961">
        <f t="shared" si="6"/>
        <v>0.1421800948</v>
      </c>
      <c r="O91" s="961" t="str">
        <f>IF(N91&lt;'PlayerGrades+'!$AF$21,"F-",IF(N91&lt;'PlayerGrades+'!$AF$20,"F",IF(N91&lt;'PlayerGrades+'!$AF$19,"F+",IF(N91&lt;'PlayerGrades+'!$AF$18,"E-",IF(N91&lt;'PlayerGrades+'!$AF$17,"E",IF(N91&lt;'PlayerGrades+'!$AF$16,"E+",IF(N91&lt;'PlayerGrades+'!$AF$15,"D-",IF(N91&lt;'PlayerGrades+'!$AF$14,"D",IF(N91&lt;'PlayerGrades+'!$AF$13,"D+",IF(N91&lt;'PlayerGrades+'!$AF$12,"C-",IF(N91&lt;'PlayerGrades+'!$AF$11,"C",IF(N91&lt;'PlayerGrades+'!$AF$10,"C+",IF(N91&lt;'PlayerGrades+'!$AF$9,"B-",IF(N91&lt;'PlayerGrades+'!$AF$8,"B",IF(N91&lt;'PlayerGrades+'!$AF$7,"B+",IF(N91&lt;'PlayerGrades+'!$AF$6,"A-",IF(N91&lt;'PlayerGrades+'!$AF$5,"A",IF(N91&lt;'PlayerGrades+'!$AF$4,"A+",IF(N91&lt;'PlayerGrades+'!$AF$3,"S-",IF(N91&lt;'PlayerGrades+'!$AF$2,"S","S+"))))))))))))))))))))</f>
        <v>B</v>
      </c>
      <c r="P91" s="961">
        <f t="shared" si="7"/>
        <v>0.7109004739</v>
      </c>
      <c r="Q91" s="961" t="str">
        <f>IF(P91&lt;'PlayerGrades+'!$AG$21,"F-",IF(P91&lt;'PlayerGrades+'!$AG$20,"F",IF(P91&lt;'PlayerGrades+'!$AG$19,"F+",IF(P91&lt;'PlayerGrades+'!$AG$18,"E-",IF(P91&lt;'PlayerGrades+'!$AG$17,"E",IF(P91&lt;'PlayerGrades+'!$AG$16,"E+",IF(P91&lt;'PlayerGrades+'!$AG$15,"D-",IF(P91&lt;'PlayerGrades+'!$AG$14,"D",IF(P91&lt;'PlayerGrades+'!$AG$13,"D+",IF(P91&lt;'PlayerGrades+'!$AG$12,"C-",IF(P91&lt;'PlayerGrades+'!$AG$11,"C",IF(P91&lt;'PlayerGrades+'!$AG$10,"C+",IF(P91&lt;'PlayerGrades+'!$AG$9,"B-",IF(P91&lt;'PlayerGrades+'!$AG$8,"B",IF(P91&lt;'PlayerGrades+'!$AG$7,"B+",IF(P91&lt;'PlayerGrades+'!$AG$6,"A-",IF(P91&lt;'PlayerGrades+'!$AG$5,"A",IF(P91&lt;'PlayerGrades+'!$AG$4,"A+",IF(P91&lt;'PlayerGrades+'!$AG$3,"S-",IF(P91&lt;'PlayerGrades+'!$AG$2,"S","S+"))))))))))))))))))))</f>
        <v>B</v>
      </c>
      <c r="R91" s="961">
        <f t="shared" si="8"/>
        <v>0.04739336493</v>
      </c>
      <c r="S91" s="961" t="str">
        <f>IF(R91&lt;'PlayerGrades+'!$AH$21,"F-",IF(R91&lt;'PlayerGrades+'!$AH$20,"F",IF(R91&lt;'PlayerGrades+'!$AH$19,"F+",IF(R91&lt;'PlayerGrades+'!$AH$18,"E-",IF(R91&lt;'PlayerGrades+'!$AH$17,"E",IF(R91&lt;'PlayerGrades+'!$AH$16,"E+",IF(R91&lt;'PlayerGrades+'!$AH$15,"D-",IF(R91&lt;'PlayerGrades+'!$AH$14,"D",IF(R91&lt;'PlayerGrades+'!$AH$13,"D+",IF(R91&lt;'PlayerGrades+'!$AH$12,"C-",IF(R91&lt;'PlayerGrades+'!$AH$11,"C",IF(R91&lt;'PlayerGrades+'!$AH$10,"C+",IF(R91&lt;'PlayerGrades+'!$AH$9,"B-",IF(R91&lt;'PlayerGrades+'!$AH$8,"B",IF(R91&lt;'PlayerGrades+'!$AH$7,"B+",IF(R91&lt;'PlayerGrades+'!$AH$6,"A-",IF(R91&lt;'PlayerGrades+'!$AH$5,"A",IF(R91&lt;'PlayerGrades+'!$AH$4,"A+",IF(R91&lt;'PlayerGrades+'!$AH$3,"S-",IF(R91&lt;'PlayerGrades+'!$AH$2,"S","S+"))))))))))))))))))))</f>
        <v>D</v>
      </c>
      <c r="T91" s="961">
        <f t="shared" si="9"/>
        <v>3.17535545</v>
      </c>
      <c r="U91" s="961" t="str">
        <f>IF(T91&lt;'PlayerGrades+'!$AI$21,"F-",IF(T91&lt;'PlayerGrades+'!$AI$20,"F",IF(T91&lt;'PlayerGrades+'!$AI$19,"F+",IF(T91&lt;'PlayerGrades+'!$AI$18,"E-",IF(T91&lt;'PlayerGrades+'!$AI$17,"E",IF(T91&lt;'PlayerGrades+'!$AI$16,"E+",IF(T91&lt;'PlayerGrades+'!$AI$15,"D-",IF(T91&lt;'PlayerGrades+'!$AI$14,"D",IF(T91&lt;'PlayerGrades+'!$AI$13,"D+",IF(T91&lt;'PlayerGrades+'!$AI$12,"C-",IF(T91&lt;'PlayerGrades+'!$AI$11,"C",IF(T91&lt;'PlayerGrades+'!$AI$10,"C+",IF(T91&lt;'PlayerGrades+'!$AI$9,"B-",IF(T91&lt;'PlayerGrades+'!$AI$8,"B",IF(T91&lt;'PlayerGrades+'!$AI$7,"B+",IF(T91&lt;'PlayerGrades+'!$AI$6,"A-",IF(T91&lt;'PlayerGrades+'!$AI$5,"A",IF(T91&lt;'PlayerGrades+'!$AI$4,"A+",IF(T91&lt;'PlayerGrades+'!$AI$3,"S-",IF(T91&lt;'PlayerGrades+'!$AI$2,"S","S+"))))))))))))))))))))</f>
        <v>A-</v>
      </c>
      <c r="V91" s="1100">
        <v>1.0</v>
      </c>
      <c r="W91" s="1100">
        <v>0.0</v>
      </c>
      <c r="X91" s="1100">
        <v>0.0</v>
      </c>
      <c r="Y91" s="1100">
        <v>1.0</v>
      </c>
      <c r="Z91" s="1100">
        <v>67.0</v>
      </c>
      <c r="AA91" s="1100">
        <v>74.0</v>
      </c>
      <c r="AB91" s="1017">
        <f t="shared" si="10"/>
        <v>-7</v>
      </c>
      <c r="AC91" s="1020">
        <f t="shared" si="11"/>
        <v>0.9054054054</v>
      </c>
      <c r="AD91" s="1100">
        <v>0.0</v>
      </c>
      <c r="AE91" s="1329">
        <v>1266.0</v>
      </c>
      <c r="AF91" s="1100">
        <v>1.0</v>
      </c>
      <c r="AG91" s="1100">
        <v>0.0</v>
      </c>
      <c r="AH91" s="1100">
        <v>0.0</v>
      </c>
      <c r="AI91" s="1100">
        <v>0.0</v>
      </c>
      <c r="AJ91" s="1100">
        <v>1.0</v>
      </c>
      <c r="AK91" s="1100">
        <v>11.0</v>
      </c>
      <c r="AL91" s="1100">
        <v>3.0</v>
      </c>
      <c r="AM91" s="1100">
        <v>0.0</v>
      </c>
      <c r="AN91" s="1100">
        <v>0.0</v>
      </c>
      <c r="AO91" s="1100">
        <v>0.0</v>
      </c>
      <c r="AP91" s="1100">
        <v>0.0</v>
      </c>
      <c r="AQ91" s="1100">
        <v>0.0</v>
      </c>
      <c r="AR91" s="1100">
        <v>0.0</v>
      </c>
      <c r="AS91" s="1100">
        <v>0.0</v>
      </c>
      <c r="AT91" s="1100">
        <v>0.0</v>
      </c>
      <c r="AU91" s="1100">
        <v>9.0</v>
      </c>
      <c r="AV91" s="1100">
        <v>0.0</v>
      </c>
      <c r="AW91" s="1100">
        <v>0.0</v>
      </c>
      <c r="AX91" s="1100">
        <v>0.0</v>
      </c>
      <c r="AY91" s="1100">
        <v>1.0</v>
      </c>
      <c r="AZ91" s="1239">
        <v>0.0</v>
      </c>
    </row>
    <row r="92">
      <c r="A92" s="938" t="s">
        <v>48</v>
      </c>
      <c r="B92" s="1100" t="str">
        <f>IF(C92&lt;'PlayerGrades+'!$Y$44,"F-",IF(C92&lt;'PlayerGrades+'!$Y$43,"F",IF(C92&lt;'PlayerGrades+'!$Y$42,"F+",IF(C92&lt;'PlayerGrades+'!$Y$41,"E-",IF(C92&lt;'PlayerGrades+'!$Y$40,"E",IF(C92&lt;'PlayerGrades+'!$Y$39,"E+",IF(C92&lt;'PlayerGrades+'!$Y$38,"D-",IF(C92&lt;'PlayerGrades+'!$Y$37,"D",IF(C92&lt;'PlayerGrades+'!$Y$36,"D+",IF(C92&lt;'PlayerGrades+'!$Y$35,"C-",IF(C92&lt;'PlayerGrades+'!$Y$34,"C",IF(C92&lt;'PlayerGrades+'!$Y$33,"C+",IF(C92&lt;'PlayerGrades+'!$Y$32,"B-",IF(C92&lt;'PlayerGrades+'!$Y$31,"B",IF(C92&lt;'PlayerGrades+'!$Y$30,"B+",IF(C92&lt;'PlayerGrades+'!$Y$29,"A-",IF(C92&lt;'PlayerGrades+'!$Y$28,"A",IF(C92&lt;'PlayerGrades+'!$Y$27,"A+",IF(C92&lt;'PlayerGrades+'!$Y$26,"S-",IF(C92&lt;'PlayerGrades+'!$Y$25,"S","S+"))))))))))))))))))))</f>
        <v>D</v>
      </c>
      <c r="C92" s="1105">
        <f>('PlayerGrades+'!$Y$47*(VLOOKUP(E92, 'PlayerGrades+'!$X$3:$Y$23, 2, FALSE)))+('PlayerGrades+'!$Y$48*(VLOOKUP(G92, 'PlayerGrades+'!$X$3:$Y$23, 2, FALSE)))+('PlayerGrades+'!$Y$49*(VLOOKUP(I92, 'PlayerGrades+'!$X$3:$Y$23, 2, FALSE)))+('PlayerGrades+'!$Y$50*(VLOOKUP(K92, 'PlayerGrades+'!$X$3:$Y$23, 2, FALSE)))+('PlayerGrades+'!$Y$51*(VLOOKUP(M92, 'PlayerGrades+'!$X$3:$Y$23, 2, FALSE)))+('PlayerGrades+'!$Y$52*(VLOOKUP(O92, 'PlayerGrades+'!$X$3:$Y$23, 2, FALSE)))+('PlayerGrades+'!$Y$53*(VLOOKUP(Q92, 'PlayerGrades+'!$X$3:$Y$23, 2, FALSE)))+('PlayerGrades+'!$Y$54*(VLOOKUP(S92, 'PlayerGrades+'!$X$3:$Y$23, 2, FALSE)))+('PlayerGrades+'!$Y$55*(VLOOKUP(U92, 'PlayerGrades+'!$X$3:$Y$23, 2, FALSE)))</f>
        <v>13.4125</v>
      </c>
      <c r="D92" s="961">
        <f t="shared" si="1"/>
        <v>0.04739336493</v>
      </c>
      <c r="E92" s="961" t="str">
        <f>IF(D92&lt;'PlayerGrades+'!$AA$21,"F-",IF(D92&lt;'PlayerGrades+'!$AA$20,"F",IF(D92&lt;'PlayerGrades+'!$AA$19,"F+",IF(D92&lt;'PlayerGrades+'!$AA$18,"E-",IF(D92&lt;'PlayerGrades+'!$AA$17,"E",IF(D92&lt;'PlayerGrades+'!$AA$16,"E+",IF(D92&lt;'PlayerGrades+'!$AA$15,"D-",IF(D92&lt;'PlayerGrades+'!$AA$14,"D",IF(D92&lt;'PlayerGrades+'!$AA$13,"D+",IF(D92&lt;'PlayerGrades+'!$AA$12,"C-",IF(D92&lt;'PlayerGrades+'!$AA$11,"C",IF(D92&lt;'PlayerGrades+'!$AA$10,"C+",IF(D92&lt;'PlayerGrades+'!$AA$9,"B-",IF(D92&lt;'PlayerGrades+'!$AA$8,"B",IF(D92&lt;'PlayerGrades+'!$AA$7,"B+",IF(D92&lt;'PlayerGrades+'!$AA$6,"A-",IF(D92&lt;'PlayerGrades+'!$AA$5,"A",IF(D92&lt;'PlayerGrades+'!$AA$4,"A+",IF(D92&lt;'PlayerGrades+'!$AA$3,"S-",IF(D92&lt;'PlayerGrades+'!$AA$2,"S","S+"))))))))))))))))))))</f>
        <v>C</v>
      </c>
      <c r="F92" s="961">
        <f t="shared" si="2"/>
        <v>0.04081095313</v>
      </c>
      <c r="G92" s="961" t="str">
        <f>IF(F92&lt;'PlayerGrades+'!$AB$21,"F-",IF(F92&lt;'PlayerGrades+'!$AB$20,"F",IF(F92&lt;'PlayerGrades+'!$AB$19,"F+",IF(F92&lt;'PlayerGrades+'!$AB$18,"E-",IF(F92&lt;'PlayerGrades+'!$AB$17,"E",IF(F92&lt;'PlayerGrades+'!$AB$16,"E+",IF(F92&lt;'PlayerGrades+'!$AB$15,"D-",IF(F92&lt;'PlayerGrades+'!$AB$14,"D",IF(F92&lt;'PlayerGrades+'!$AB$13,"D+",IF(F92&lt;'PlayerGrades+'!$AB$12,"C-",IF(F92&lt;'PlayerGrades+'!$AB$11,"C",IF(F92&lt;'PlayerGrades+'!$AB$10,"C+",IF(F92&lt;'PlayerGrades+'!$AB$9,"B-",IF(F92&lt;'PlayerGrades+'!$AB$8,"B",IF(F92&lt;'PlayerGrades+'!$AB$7,"B+",IF(F92&lt;'PlayerGrades+'!$AB$6,"A-",IF(F92&lt;'PlayerGrades+'!$AB$5,"A",IF(F92&lt;'PlayerGrades+'!$AB$4,"A+",IF(F92&lt;'PlayerGrades+'!$AB$3,"S-",IF(F92&lt;'PlayerGrades+'!$AB$2,"S","S+"))))))))))))))))))))</f>
        <v>A</v>
      </c>
      <c r="H92" s="961">
        <f t="shared" si="3"/>
        <v>0.1421800948</v>
      </c>
      <c r="I92" s="961" t="str">
        <f>IF(H92&lt;'PlayerGrades+'!$AC$21,"F-",IF(H92&lt;'PlayerGrades+'!$AC$20,"F",IF(H92&lt;'PlayerGrades+'!$AC$19,"F+",IF(H92&lt;'PlayerGrades+'!$AC$18,"E-",IF(H92&lt;'PlayerGrades+'!$AC$17,"E",IF(H92&lt;'PlayerGrades+'!$AC$16,"E+",IF(H92&lt;'PlayerGrades+'!$AC$15,"D-",IF(H92&lt;'PlayerGrades+'!$AC$14,"D",IF(H92&lt;'PlayerGrades+'!$AC$13,"D+",IF(H92&lt;'PlayerGrades+'!$AC$12,"C-",IF(H92&lt;'PlayerGrades+'!$AC$11,"C",IF(H92&lt;'PlayerGrades+'!$AC$10,"C+",IF(H92&lt;'PlayerGrades+'!$AC$9,"B-",IF(H92&lt;'PlayerGrades+'!$AC$8,"B",IF(H92&lt;'PlayerGrades+'!$AC$7,"B+",IF(H92&lt;'PlayerGrades+'!$AC$6,"A-",IF(H92&lt;'PlayerGrades+'!$AC$5,"A",IF(H92&lt;'PlayerGrades+'!$AC$4,"A+",IF(H92&lt;'PlayerGrades+'!$AC$3,"S-",IF(H92&lt;'PlayerGrades+'!$AC$2,"S","S+"))))))))))))))))))))</f>
        <v>F-</v>
      </c>
      <c r="J92" s="961">
        <f t="shared" si="4"/>
        <v>0</v>
      </c>
      <c r="K92" s="961" t="str">
        <f>IF(J92&lt;'PlayerGrades+'!$AD$21,"F-",IF(J92&lt;'PlayerGrades+'!$AD$20,"F",IF(J92&lt;'PlayerGrades+'!$AD$19,"F+",IF(J92&lt;'PlayerGrades+'!$AD$18,"E-",IF(J92&lt;'PlayerGrades+'!$AD$17,"E",IF(J92&lt;'PlayerGrades+'!$AD$16,"E+",IF(J92&lt;'PlayerGrades+'!$AD$15,"D-",IF(J92&lt;'PlayerGrades+'!$AD$14,"D",IF(J92&lt;'PlayerGrades+'!$AD$13,"D+",IF(J92&lt;'PlayerGrades+'!$AD$12,"C-",IF(J92&lt;'PlayerGrades+'!$AD$11,"C",IF(J92&lt;'PlayerGrades+'!$AD$10,"C+",IF(J92&lt;'PlayerGrades+'!$AD$9,"B-",IF(J92&lt;'PlayerGrades+'!$AD$8,"B",IF(J92&lt;'PlayerGrades+'!$AD$7,"B+",IF(J92&lt;'PlayerGrades+'!$AD$6,"A-",IF(J92&lt;'PlayerGrades+'!$AD$5,"A",IF(J92&lt;'PlayerGrades+'!$AD$4,"A+",IF(J92&lt;'PlayerGrades+'!$AD$3,"S-",IF(J92&lt;'PlayerGrades+'!$AD$2,"S","S+"))))))))))))))))))))</f>
        <v>F-</v>
      </c>
      <c r="L92" s="992">
        <f t="shared" si="5"/>
        <v>0.4265402844</v>
      </c>
      <c r="M92" s="992" t="str">
        <f>IF(L92&lt;'PlayerGrades+'!$AE$21,"F-",IF(L92&lt;'PlayerGrades+'!$AE$20,"F",IF(L92&lt;'PlayerGrades+'!$AE$19,"F+",IF(L92&lt;'PlayerGrades+'!$AE$18,"E-",IF(L92&lt;'PlayerGrades+'!$AE$17,"E",IF(L92&lt;'PlayerGrades+'!$AE$16,"E+",IF(L92&lt;'PlayerGrades+'!$AE$15,"D-",IF(L92&lt;'PlayerGrades+'!$AE$14,"D",IF(L92&lt;'PlayerGrades+'!$AE$13,"D+",IF(L92&lt;'PlayerGrades+'!$AE$12,"C-",IF(L92&lt;'PlayerGrades+'!$AE$11,"C",IF(L92&lt;'PlayerGrades+'!$AE$10,"C+",IF(L92&lt;'PlayerGrades+'!$AE$9,"B-",IF(L92&lt;'PlayerGrades+'!$AE$8,"B",IF(L92&lt;'PlayerGrades+'!$AE$7,"B+",IF(L92&lt;'PlayerGrades+'!$AE$6,"A-",IF(L92&lt;'PlayerGrades+'!$AE$5,"A",IF(L92&lt;'PlayerGrades+'!$AE$4,"A+",IF(L92&lt;'PlayerGrades+'!$AE$3,"S-",IF(L92&lt;'PlayerGrades+'!$AE$2,"S","S+"))))))))))))))))))))</f>
        <v>C+</v>
      </c>
      <c r="N92" s="961">
        <f t="shared" si="6"/>
        <v>0.04739336493</v>
      </c>
      <c r="O92" s="961" t="str">
        <f>IF(N92&lt;'PlayerGrades+'!$AF$21,"F-",IF(N92&lt;'PlayerGrades+'!$AF$20,"F",IF(N92&lt;'PlayerGrades+'!$AF$19,"F+",IF(N92&lt;'PlayerGrades+'!$AF$18,"E-",IF(N92&lt;'PlayerGrades+'!$AF$17,"E",IF(N92&lt;'PlayerGrades+'!$AF$16,"E+",IF(N92&lt;'PlayerGrades+'!$AF$15,"D-",IF(N92&lt;'PlayerGrades+'!$AF$14,"D",IF(N92&lt;'PlayerGrades+'!$AF$13,"D+",IF(N92&lt;'PlayerGrades+'!$AF$12,"C-",IF(N92&lt;'PlayerGrades+'!$AF$11,"C",IF(N92&lt;'PlayerGrades+'!$AF$10,"C+",IF(N92&lt;'PlayerGrades+'!$AF$9,"B-",IF(N92&lt;'PlayerGrades+'!$AF$8,"B",IF(N92&lt;'PlayerGrades+'!$AF$7,"B+",IF(N92&lt;'PlayerGrades+'!$AF$6,"A-",IF(N92&lt;'PlayerGrades+'!$AF$5,"A",IF(N92&lt;'PlayerGrades+'!$AF$4,"A+",IF(N92&lt;'PlayerGrades+'!$AF$3,"S-",IF(N92&lt;'PlayerGrades+'!$AF$2,"S","S+"))))))))))))))))))))</f>
        <v>F</v>
      </c>
      <c r="P92" s="961">
        <f t="shared" si="7"/>
        <v>0.5213270142</v>
      </c>
      <c r="Q92" s="961" t="str">
        <f>IF(P92&lt;'PlayerGrades+'!$AG$21,"F-",IF(P92&lt;'PlayerGrades+'!$AG$20,"F",IF(P92&lt;'PlayerGrades+'!$AG$19,"F+",IF(P92&lt;'PlayerGrades+'!$AG$18,"E-",IF(P92&lt;'PlayerGrades+'!$AG$17,"E",IF(P92&lt;'PlayerGrades+'!$AG$16,"E+",IF(P92&lt;'PlayerGrades+'!$AG$15,"D-",IF(P92&lt;'PlayerGrades+'!$AG$14,"D",IF(P92&lt;'PlayerGrades+'!$AG$13,"D+",IF(P92&lt;'PlayerGrades+'!$AG$12,"C-",IF(P92&lt;'PlayerGrades+'!$AG$11,"C",IF(P92&lt;'PlayerGrades+'!$AG$10,"C+",IF(P92&lt;'PlayerGrades+'!$AG$9,"B-",IF(P92&lt;'PlayerGrades+'!$AG$8,"B",IF(P92&lt;'PlayerGrades+'!$AG$7,"B+",IF(P92&lt;'PlayerGrades+'!$AG$6,"A-",IF(P92&lt;'PlayerGrades+'!$AG$5,"A",IF(P92&lt;'PlayerGrades+'!$AG$4,"A+",IF(P92&lt;'PlayerGrades+'!$AG$3,"S-",IF(P92&lt;'PlayerGrades+'!$AG$2,"S","S+"))))))))))))))))))))</f>
        <v>D-</v>
      </c>
      <c r="R92" s="961">
        <f t="shared" si="8"/>
        <v>0.04739336493</v>
      </c>
      <c r="S92" s="961" t="str">
        <f>IF(R92&lt;'PlayerGrades+'!$AH$21,"F-",IF(R92&lt;'PlayerGrades+'!$AH$20,"F",IF(R92&lt;'PlayerGrades+'!$AH$19,"F+",IF(R92&lt;'PlayerGrades+'!$AH$18,"E-",IF(R92&lt;'PlayerGrades+'!$AH$17,"E",IF(R92&lt;'PlayerGrades+'!$AH$16,"E+",IF(R92&lt;'PlayerGrades+'!$AH$15,"D-",IF(R92&lt;'PlayerGrades+'!$AH$14,"D",IF(R92&lt;'PlayerGrades+'!$AH$13,"D+",IF(R92&lt;'PlayerGrades+'!$AH$12,"C-",IF(R92&lt;'PlayerGrades+'!$AH$11,"C",IF(R92&lt;'PlayerGrades+'!$AH$10,"C+",IF(R92&lt;'PlayerGrades+'!$AH$9,"B-",IF(R92&lt;'PlayerGrades+'!$AH$8,"B",IF(R92&lt;'PlayerGrades+'!$AH$7,"B+",IF(R92&lt;'PlayerGrades+'!$AH$6,"A-",IF(R92&lt;'PlayerGrades+'!$AH$5,"A",IF(R92&lt;'PlayerGrades+'!$AH$4,"A+",IF(R92&lt;'PlayerGrades+'!$AH$3,"S-",IF(R92&lt;'PlayerGrades+'!$AH$2,"S","S+"))))))))))))))))))))</f>
        <v>D</v>
      </c>
      <c r="T92" s="961">
        <f t="shared" si="9"/>
        <v>2.938388626</v>
      </c>
      <c r="U92" s="961" t="str">
        <f>IF(T92&lt;'PlayerGrades+'!$AI$21,"F-",IF(T92&lt;'PlayerGrades+'!$AI$20,"F",IF(T92&lt;'PlayerGrades+'!$AI$19,"F+",IF(T92&lt;'PlayerGrades+'!$AI$18,"E-",IF(T92&lt;'PlayerGrades+'!$AI$17,"E",IF(T92&lt;'PlayerGrades+'!$AI$16,"E+",IF(T92&lt;'PlayerGrades+'!$AI$15,"D-",IF(T92&lt;'PlayerGrades+'!$AI$14,"D",IF(T92&lt;'PlayerGrades+'!$AI$13,"D+",IF(T92&lt;'PlayerGrades+'!$AI$12,"C-",IF(T92&lt;'PlayerGrades+'!$AI$11,"C",IF(T92&lt;'PlayerGrades+'!$AI$10,"C+",IF(T92&lt;'PlayerGrades+'!$AI$9,"B-",IF(T92&lt;'PlayerGrades+'!$AI$8,"B",IF(T92&lt;'PlayerGrades+'!$AI$7,"B+",IF(T92&lt;'PlayerGrades+'!$AI$6,"A-",IF(T92&lt;'PlayerGrades+'!$AI$5,"A",IF(T92&lt;'PlayerGrades+'!$AI$4,"A+",IF(T92&lt;'PlayerGrades+'!$AI$3,"S-",IF(T92&lt;'PlayerGrades+'!$AI$2,"S","S+"))))))))))))))))))))</f>
        <v>B-</v>
      </c>
      <c r="V92" s="1100">
        <v>1.0</v>
      </c>
      <c r="W92" s="1100">
        <v>0.0</v>
      </c>
      <c r="X92" s="1100">
        <v>1.0</v>
      </c>
      <c r="Y92" s="1100">
        <v>0.0</v>
      </c>
      <c r="Z92" s="1100">
        <v>62.0</v>
      </c>
      <c r="AA92" s="1100">
        <v>72.0</v>
      </c>
      <c r="AB92" s="1017">
        <f t="shared" si="10"/>
        <v>-10</v>
      </c>
      <c r="AC92" s="1020">
        <f t="shared" si="11"/>
        <v>0.8611111111</v>
      </c>
      <c r="AD92" s="1100">
        <v>0.0</v>
      </c>
      <c r="AE92" s="1329">
        <v>1266.0</v>
      </c>
      <c r="AF92" s="1100">
        <v>0.0</v>
      </c>
      <c r="AG92" s="1100">
        <v>0.0</v>
      </c>
      <c r="AH92" s="1100">
        <v>0.0</v>
      </c>
      <c r="AI92" s="1100">
        <v>0.0</v>
      </c>
      <c r="AJ92" s="1100">
        <v>1.0</v>
      </c>
      <c r="AK92" s="1100">
        <v>9.0</v>
      </c>
      <c r="AL92" s="1100">
        <v>1.0</v>
      </c>
      <c r="AM92" s="1100">
        <v>0.0</v>
      </c>
      <c r="AN92" s="1100">
        <v>0.0</v>
      </c>
      <c r="AO92" s="1100">
        <v>0.0</v>
      </c>
      <c r="AP92" s="1100">
        <v>0.0</v>
      </c>
      <c r="AQ92" s="1100">
        <v>0.0</v>
      </c>
      <c r="AR92" s="1100">
        <v>0.0</v>
      </c>
      <c r="AS92" s="1100">
        <v>0.0</v>
      </c>
      <c r="AT92" s="1100">
        <v>0.0</v>
      </c>
      <c r="AU92" s="1100">
        <v>3.0</v>
      </c>
      <c r="AV92" s="1100">
        <v>0.0</v>
      </c>
      <c r="AW92" s="1100">
        <v>0.0</v>
      </c>
      <c r="AX92" s="1100">
        <v>0.0</v>
      </c>
      <c r="AY92" s="1100">
        <v>1.0</v>
      </c>
      <c r="AZ92" s="1239">
        <v>0.0</v>
      </c>
    </row>
    <row r="93">
      <c r="A93" s="938" t="s">
        <v>96</v>
      </c>
      <c r="B93" s="1100" t="str">
        <f>IF(C93&lt;'PlayerGrades+'!$Y$44,"F-",IF(C93&lt;'PlayerGrades+'!$Y$43,"F",IF(C93&lt;'PlayerGrades+'!$Y$42,"F+",IF(C93&lt;'PlayerGrades+'!$Y$41,"E-",IF(C93&lt;'PlayerGrades+'!$Y$40,"E",IF(C93&lt;'PlayerGrades+'!$Y$39,"E+",IF(C93&lt;'PlayerGrades+'!$Y$38,"D-",IF(C93&lt;'PlayerGrades+'!$Y$37,"D",IF(C93&lt;'PlayerGrades+'!$Y$36,"D+",IF(C93&lt;'PlayerGrades+'!$Y$35,"C-",IF(C93&lt;'PlayerGrades+'!$Y$34,"C",IF(C93&lt;'PlayerGrades+'!$Y$33,"C+",IF(C93&lt;'PlayerGrades+'!$Y$32,"B-",IF(C93&lt;'PlayerGrades+'!$Y$31,"B",IF(C93&lt;'PlayerGrades+'!$Y$30,"B+",IF(C93&lt;'PlayerGrades+'!$Y$29,"A-",IF(C93&lt;'PlayerGrades+'!$Y$28,"A",IF(C93&lt;'PlayerGrades+'!$Y$27,"A+",IF(C93&lt;'PlayerGrades+'!$Y$26,"S-",IF(C93&lt;'PlayerGrades+'!$Y$25,"S","S+"))))))))))))))))))))</f>
        <v>D</v>
      </c>
      <c r="C93" s="1105">
        <f>('PlayerGrades+'!$Y$47*(VLOOKUP(E93, 'PlayerGrades+'!$X$3:$Y$23, 2, FALSE)))+('PlayerGrades+'!$Y$48*(VLOOKUP(G93, 'PlayerGrades+'!$X$3:$Y$23, 2, FALSE)))+('PlayerGrades+'!$Y$49*(VLOOKUP(I93, 'PlayerGrades+'!$X$3:$Y$23, 2, FALSE)))+('PlayerGrades+'!$Y$50*(VLOOKUP(K93, 'PlayerGrades+'!$X$3:$Y$23, 2, FALSE)))+('PlayerGrades+'!$Y$51*(VLOOKUP(M93, 'PlayerGrades+'!$X$3:$Y$23, 2, FALSE)))+('PlayerGrades+'!$Y$52*(VLOOKUP(O93, 'PlayerGrades+'!$X$3:$Y$23, 2, FALSE)))+('PlayerGrades+'!$Y$53*(VLOOKUP(Q93, 'PlayerGrades+'!$X$3:$Y$23, 2, FALSE)))+('PlayerGrades+'!$Y$54*(VLOOKUP(S93, 'PlayerGrades+'!$X$3:$Y$23, 2, FALSE)))+('PlayerGrades+'!$Y$55*(VLOOKUP(U93, 'PlayerGrades+'!$X$3:$Y$23, 2, FALSE)))</f>
        <v>13.0375</v>
      </c>
      <c r="D93" s="961">
        <f t="shared" si="1"/>
        <v>0.1421800948</v>
      </c>
      <c r="E93" s="961" t="str">
        <f>IF(D93&lt;'PlayerGrades+'!$AA$21,"F-",IF(D93&lt;'PlayerGrades+'!$AA$20,"F",IF(D93&lt;'PlayerGrades+'!$AA$19,"F+",IF(D93&lt;'PlayerGrades+'!$AA$18,"E-",IF(D93&lt;'PlayerGrades+'!$AA$17,"E",IF(D93&lt;'PlayerGrades+'!$AA$16,"E+",IF(D93&lt;'PlayerGrades+'!$AA$15,"D-",IF(D93&lt;'PlayerGrades+'!$AA$14,"D",IF(D93&lt;'PlayerGrades+'!$AA$13,"D+",IF(D93&lt;'PlayerGrades+'!$AA$12,"C-",IF(D93&lt;'PlayerGrades+'!$AA$11,"C",IF(D93&lt;'PlayerGrades+'!$AA$10,"C+",IF(D93&lt;'PlayerGrades+'!$AA$9,"B-",IF(D93&lt;'PlayerGrades+'!$AA$8,"B",IF(D93&lt;'PlayerGrades+'!$AA$7,"B+",IF(D93&lt;'PlayerGrades+'!$AA$6,"A-",IF(D93&lt;'PlayerGrades+'!$AA$5,"A",IF(D93&lt;'PlayerGrades+'!$AA$4,"A+",IF(D93&lt;'PlayerGrades+'!$AA$3,"S-",IF(D93&lt;'PlayerGrades+'!$AA$2,"S","S+"))))))))))))))))))))</f>
        <v>S</v>
      </c>
      <c r="F93" s="961">
        <f t="shared" si="2"/>
        <v>0.03418537798</v>
      </c>
      <c r="G93" s="961" t="str">
        <f>IF(F93&lt;'PlayerGrades+'!$AB$21,"F-",IF(F93&lt;'PlayerGrades+'!$AB$20,"F",IF(F93&lt;'PlayerGrades+'!$AB$19,"F+",IF(F93&lt;'PlayerGrades+'!$AB$18,"E-",IF(F93&lt;'PlayerGrades+'!$AB$17,"E",IF(F93&lt;'PlayerGrades+'!$AB$16,"E+",IF(F93&lt;'PlayerGrades+'!$AB$15,"D-",IF(F93&lt;'PlayerGrades+'!$AB$14,"D",IF(F93&lt;'PlayerGrades+'!$AB$13,"D+",IF(F93&lt;'PlayerGrades+'!$AB$12,"C-",IF(F93&lt;'PlayerGrades+'!$AB$11,"C",IF(F93&lt;'PlayerGrades+'!$AB$10,"C+",IF(F93&lt;'PlayerGrades+'!$AB$9,"B-",IF(F93&lt;'PlayerGrades+'!$AB$8,"B",IF(F93&lt;'PlayerGrades+'!$AB$7,"B+",IF(F93&lt;'PlayerGrades+'!$AB$6,"A-",IF(F93&lt;'PlayerGrades+'!$AB$5,"A",IF(F93&lt;'PlayerGrades+'!$AB$4,"A+",IF(F93&lt;'PlayerGrades+'!$AB$3,"S-",IF(F93&lt;'PlayerGrades+'!$AB$2,"S","S+"))))))))))))))))))))</f>
        <v>A</v>
      </c>
      <c r="H93" s="961">
        <f t="shared" si="3"/>
        <v>0.3317535545</v>
      </c>
      <c r="I93" s="961" t="str">
        <f>IF(H93&lt;'PlayerGrades+'!$AC$21,"F-",IF(H93&lt;'PlayerGrades+'!$AC$20,"F",IF(H93&lt;'PlayerGrades+'!$AC$19,"F+",IF(H93&lt;'PlayerGrades+'!$AC$18,"E-",IF(H93&lt;'PlayerGrades+'!$AC$17,"E",IF(H93&lt;'PlayerGrades+'!$AC$16,"E+",IF(H93&lt;'PlayerGrades+'!$AC$15,"D-",IF(H93&lt;'PlayerGrades+'!$AC$14,"D",IF(H93&lt;'PlayerGrades+'!$AC$13,"D+",IF(H93&lt;'PlayerGrades+'!$AC$12,"C-",IF(H93&lt;'PlayerGrades+'!$AC$11,"C",IF(H93&lt;'PlayerGrades+'!$AC$10,"C+",IF(H93&lt;'PlayerGrades+'!$AC$9,"B-",IF(H93&lt;'PlayerGrades+'!$AC$8,"B",IF(H93&lt;'PlayerGrades+'!$AC$7,"B+",IF(H93&lt;'PlayerGrades+'!$AC$6,"A-",IF(H93&lt;'PlayerGrades+'!$AC$5,"A",IF(H93&lt;'PlayerGrades+'!$AC$4,"A+",IF(H93&lt;'PlayerGrades+'!$AC$3,"S-",IF(H93&lt;'PlayerGrades+'!$AC$2,"S","S+"))))))))))))))))))))</f>
        <v>E</v>
      </c>
      <c r="J93" s="961">
        <f t="shared" si="4"/>
        <v>0</v>
      </c>
      <c r="K93" s="961" t="str">
        <f>IF(J93&lt;'PlayerGrades+'!$AD$21,"F-",IF(J93&lt;'PlayerGrades+'!$AD$20,"F",IF(J93&lt;'PlayerGrades+'!$AD$19,"F+",IF(J93&lt;'PlayerGrades+'!$AD$18,"E-",IF(J93&lt;'PlayerGrades+'!$AD$17,"E",IF(J93&lt;'PlayerGrades+'!$AD$16,"E+",IF(J93&lt;'PlayerGrades+'!$AD$15,"D-",IF(J93&lt;'PlayerGrades+'!$AD$14,"D",IF(J93&lt;'PlayerGrades+'!$AD$13,"D+",IF(J93&lt;'PlayerGrades+'!$AD$12,"C-",IF(J93&lt;'PlayerGrades+'!$AD$11,"C",IF(J93&lt;'PlayerGrades+'!$AD$10,"C+",IF(J93&lt;'PlayerGrades+'!$AD$9,"B-",IF(J93&lt;'PlayerGrades+'!$AD$8,"B",IF(J93&lt;'PlayerGrades+'!$AD$7,"B+",IF(J93&lt;'PlayerGrades+'!$AD$6,"A-",IF(J93&lt;'PlayerGrades+'!$AD$5,"A",IF(J93&lt;'PlayerGrades+'!$AD$4,"A+",IF(J93&lt;'PlayerGrades+'!$AD$3,"S-",IF(J93&lt;'PlayerGrades+'!$AD$2,"S","S+"))))))))))))))))))))</f>
        <v>F-</v>
      </c>
      <c r="L93" s="992">
        <f t="shared" si="5"/>
        <v>0.2843601896</v>
      </c>
      <c r="M93" s="992" t="str">
        <f>IF(L93&lt;'PlayerGrades+'!$AE$21,"F-",IF(L93&lt;'PlayerGrades+'!$AE$20,"F",IF(L93&lt;'PlayerGrades+'!$AE$19,"F+",IF(L93&lt;'PlayerGrades+'!$AE$18,"E-",IF(L93&lt;'PlayerGrades+'!$AE$17,"E",IF(L93&lt;'PlayerGrades+'!$AE$16,"E+",IF(L93&lt;'PlayerGrades+'!$AE$15,"D-",IF(L93&lt;'PlayerGrades+'!$AE$14,"D",IF(L93&lt;'PlayerGrades+'!$AE$13,"D+",IF(L93&lt;'PlayerGrades+'!$AE$12,"C-",IF(L93&lt;'PlayerGrades+'!$AE$11,"C",IF(L93&lt;'PlayerGrades+'!$AE$10,"C+",IF(L93&lt;'PlayerGrades+'!$AE$9,"B-",IF(L93&lt;'PlayerGrades+'!$AE$8,"B",IF(L93&lt;'PlayerGrades+'!$AE$7,"B+",IF(L93&lt;'PlayerGrades+'!$AE$6,"A-",IF(L93&lt;'PlayerGrades+'!$AE$5,"A",IF(L93&lt;'PlayerGrades+'!$AE$4,"A+",IF(L93&lt;'PlayerGrades+'!$AE$3,"S-",IF(L93&lt;'PlayerGrades+'!$AE$2,"S","S+"))))))))))))))))))))</f>
        <v>F+</v>
      </c>
      <c r="N93" s="961">
        <f t="shared" si="6"/>
        <v>0</v>
      </c>
      <c r="O93" s="961" t="str">
        <f>IF(N93&lt;'PlayerGrades+'!$AF$21,"F-",IF(N93&lt;'PlayerGrades+'!$AF$20,"F",IF(N93&lt;'PlayerGrades+'!$AF$19,"F+",IF(N93&lt;'PlayerGrades+'!$AF$18,"E-",IF(N93&lt;'PlayerGrades+'!$AF$17,"E",IF(N93&lt;'PlayerGrades+'!$AF$16,"E+",IF(N93&lt;'PlayerGrades+'!$AF$15,"D-",IF(N93&lt;'PlayerGrades+'!$AF$14,"D",IF(N93&lt;'PlayerGrades+'!$AF$13,"D+",IF(N93&lt;'PlayerGrades+'!$AF$12,"C-",IF(N93&lt;'PlayerGrades+'!$AF$11,"C",IF(N93&lt;'PlayerGrades+'!$AF$10,"C+",IF(N93&lt;'PlayerGrades+'!$AF$9,"B-",IF(N93&lt;'PlayerGrades+'!$AF$8,"B",IF(N93&lt;'PlayerGrades+'!$AF$7,"B+",IF(N93&lt;'PlayerGrades+'!$AF$6,"A-",IF(N93&lt;'PlayerGrades+'!$AF$5,"A",IF(N93&lt;'PlayerGrades+'!$AF$4,"A+",IF(N93&lt;'PlayerGrades+'!$AF$3,"S-",IF(N93&lt;'PlayerGrades+'!$AF$2,"S","S+"))))))))))))))))))))</f>
        <v>F-</v>
      </c>
      <c r="P93" s="961">
        <f t="shared" si="7"/>
        <v>0.2843601896</v>
      </c>
      <c r="Q93" s="961" t="str">
        <f>IF(P93&lt;'PlayerGrades+'!$AG$21,"F-",IF(P93&lt;'PlayerGrades+'!$AG$20,"F",IF(P93&lt;'PlayerGrades+'!$AG$19,"F+",IF(P93&lt;'PlayerGrades+'!$AG$18,"E-",IF(P93&lt;'PlayerGrades+'!$AG$17,"E",IF(P93&lt;'PlayerGrades+'!$AG$16,"E+",IF(P93&lt;'PlayerGrades+'!$AG$15,"D-",IF(P93&lt;'PlayerGrades+'!$AG$14,"D",IF(P93&lt;'PlayerGrades+'!$AG$13,"D+",IF(P93&lt;'PlayerGrades+'!$AG$12,"C-",IF(P93&lt;'PlayerGrades+'!$AG$11,"C",IF(P93&lt;'PlayerGrades+'!$AG$10,"C+",IF(P93&lt;'PlayerGrades+'!$AG$9,"B-",IF(P93&lt;'PlayerGrades+'!$AG$8,"B",IF(P93&lt;'PlayerGrades+'!$AG$7,"B+",IF(P93&lt;'PlayerGrades+'!$AG$6,"A-",IF(P93&lt;'PlayerGrades+'!$AG$5,"A",IF(P93&lt;'PlayerGrades+'!$AG$4,"A+",IF(P93&lt;'PlayerGrades+'!$AG$3,"S-",IF(P93&lt;'PlayerGrades+'!$AG$2,"S","S+"))))))))))))))))))))</f>
        <v>F</v>
      </c>
      <c r="R93" s="961">
        <f t="shared" si="8"/>
        <v>0.04739336493</v>
      </c>
      <c r="S93" s="961" t="str">
        <f>IF(R93&lt;'PlayerGrades+'!$AH$21,"F-",IF(R93&lt;'PlayerGrades+'!$AH$20,"F",IF(R93&lt;'PlayerGrades+'!$AH$19,"F+",IF(R93&lt;'PlayerGrades+'!$AH$18,"E-",IF(R93&lt;'PlayerGrades+'!$AH$17,"E",IF(R93&lt;'PlayerGrades+'!$AH$16,"E+",IF(R93&lt;'PlayerGrades+'!$AH$15,"D-",IF(R93&lt;'PlayerGrades+'!$AH$14,"D",IF(R93&lt;'PlayerGrades+'!$AH$13,"D+",IF(R93&lt;'PlayerGrades+'!$AH$12,"C-",IF(R93&lt;'PlayerGrades+'!$AH$11,"C",IF(R93&lt;'PlayerGrades+'!$AH$10,"C+",IF(R93&lt;'PlayerGrades+'!$AH$9,"B-",IF(R93&lt;'PlayerGrades+'!$AH$8,"B",IF(R93&lt;'PlayerGrades+'!$AH$7,"B+",IF(R93&lt;'PlayerGrades+'!$AH$6,"A-",IF(R93&lt;'PlayerGrades+'!$AH$5,"A",IF(R93&lt;'PlayerGrades+'!$AH$4,"A+",IF(R93&lt;'PlayerGrades+'!$AH$3,"S-",IF(R93&lt;'PlayerGrades+'!$AH$2,"S","S+"))))))))))))))))))))</f>
        <v>D</v>
      </c>
      <c r="T93" s="961">
        <f t="shared" si="9"/>
        <v>2.085308057</v>
      </c>
      <c r="U93" s="961" t="str">
        <f>IF(T93&lt;'PlayerGrades+'!$AI$21,"F-",IF(T93&lt;'PlayerGrades+'!$AI$20,"F",IF(T93&lt;'PlayerGrades+'!$AI$19,"F+",IF(T93&lt;'PlayerGrades+'!$AI$18,"E-",IF(T93&lt;'PlayerGrades+'!$AI$17,"E",IF(T93&lt;'PlayerGrades+'!$AI$16,"E+",IF(T93&lt;'PlayerGrades+'!$AI$15,"D-",IF(T93&lt;'PlayerGrades+'!$AI$14,"D",IF(T93&lt;'PlayerGrades+'!$AI$13,"D+",IF(T93&lt;'PlayerGrades+'!$AI$12,"C-",IF(T93&lt;'PlayerGrades+'!$AI$11,"C",IF(T93&lt;'PlayerGrades+'!$AI$10,"C+",IF(T93&lt;'PlayerGrades+'!$AI$9,"B-",IF(T93&lt;'PlayerGrades+'!$AI$8,"B",IF(T93&lt;'PlayerGrades+'!$AI$7,"B+",IF(T93&lt;'PlayerGrades+'!$AI$6,"A-",IF(T93&lt;'PlayerGrades+'!$AI$5,"A",IF(T93&lt;'PlayerGrades+'!$AI$4,"A+",IF(T93&lt;'PlayerGrades+'!$AI$3,"S-",IF(T93&lt;'PlayerGrades+'!$AI$2,"S","S+"))))))))))))))))))))</f>
        <v>F-</v>
      </c>
      <c r="V93" s="1100">
        <v>1.0</v>
      </c>
      <c r="W93" s="1100">
        <v>0.0</v>
      </c>
      <c r="X93" s="1100">
        <v>3.0</v>
      </c>
      <c r="Y93" s="1100">
        <v>4.0</v>
      </c>
      <c r="Z93" s="1100">
        <v>44.0</v>
      </c>
      <c r="AA93" s="1100">
        <v>61.0</v>
      </c>
      <c r="AB93" s="1017">
        <f t="shared" si="10"/>
        <v>-17</v>
      </c>
      <c r="AC93" s="1020">
        <f t="shared" si="11"/>
        <v>0.7213114754</v>
      </c>
      <c r="AD93" s="1100">
        <v>0.0</v>
      </c>
      <c r="AE93" s="1329">
        <v>1266.0</v>
      </c>
      <c r="AF93" s="1100">
        <v>0.0</v>
      </c>
      <c r="AG93" s="1100">
        <v>0.0</v>
      </c>
      <c r="AH93" s="1100">
        <v>0.0</v>
      </c>
      <c r="AI93" s="1100">
        <v>0.0</v>
      </c>
      <c r="AJ93" s="1100">
        <v>0.0</v>
      </c>
      <c r="AK93" s="1100">
        <v>6.0</v>
      </c>
      <c r="AL93" s="1100">
        <v>0.0</v>
      </c>
      <c r="AM93" s="1100">
        <v>0.0</v>
      </c>
      <c r="AN93" s="1100">
        <v>0.0</v>
      </c>
      <c r="AO93" s="1100">
        <v>0.0</v>
      </c>
      <c r="AP93" s="1100">
        <v>0.0</v>
      </c>
      <c r="AQ93" s="1100">
        <v>0.0</v>
      </c>
      <c r="AR93" s="1100">
        <v>0.0</v>
      </c>
      <c r="AS93" s="1100">
        <v>0.0</v>
      </c>
      <c r="AT93" s="1100">
        <v>0.0</v>
      </c>
      <c r="AU93" s="1100">
        <v>7.0</v>
      </c>
      <c r="AV93" s="1100">
        <v>0.0</v>
      </c>
      <c r="AW93" s="1100">
        <v>0.0</v>
      </c>
      <c r="AX93" s="1100">
        <v>0.0</v>
      </c>
      <c r="AY93" s="1100">
        <v>1.0</v>
      </c>
      <c r="AZ93" s="1239">
        <v>0.0</v>
      </c>
    </row>
    <row r="94">
      <c r="A94" s="938" t="s">
        <v>172</v>
      </c>
      <c r="B94" s="1100" t="str">
        <f>IF(C94&lt;'PlayerGrades+'!$Y$44,"F-",IF(C94&lt;'PlayerGrades+'!$Y$43,"F",IF(C94&lt;'PlayerGrades+'!$Y$42,"F+",IF(C94&lt;'PlayerGrades+'!$Y$41,"E-",IF(C94&lt;'PlayerGrades+'!$Y$40,"E",IF(C94&lt;'PlayerGrades+'!$Y$39,"E+",IF(C94&lt;'PlayerGrades+'!$Y$38,"D-",IF(C94&lt;'PlayerGrades+'!$Y$37,"D",IF(C94&lt;'PlayerGrades+'!$Y$36,"D+",IF(C94&lt;'PlayerGrades+'!$Y$35,"C-",IF(C94&lt;'PlayerGrades+'!$Y$34,"C",IF(C94&lt;'PlayerGrades+'!$Y$33,"C+",IF(C94&lt;'PlayerGrades+'!$Y$32,"B-",IF(C94&lt;'PlayerGrades+'!$Y$31,"B",IF(C94&lt;'PlayerGrades+'!$Y$30,"B+",IF(C94&lt;'PlayerGrades+'!$Y$29,"A-",IF(C94&lt;'PlayerGrades+'!$Y$28,"A",IF(C94&lt;'PlayerGrades+'!$Y$27,"A+",IF(C94&lt;'PlayerGrades+'!$Y$26,"S-",IF(C94&lt;'PlayerGrades+'!$Y$25,"S","S+"))))))))))))))))))))</f>
        <v>A</v>
      </c>
      <c r="C94" s="1105">
        <f>('PlayerGrades+'!$Y$47*(VLOOKUP(E94, 'PlayerGrades+'!$X$3:$Y$23, 2, FALSE)))+('PlayerGrades+'!$Y$48*(VLOOKUP(G94, 'PlayerGrades+'!$X$3:$Y$23, 2, FALSE)))+('PlayerGrades+'!$Y$49*(VLOOKUP(I94, 'PlayerGrades+'!$X$3:$Y$23, 2, FALSE)))+('PlayerGrades+'!$Y$50*(VLOOKUP(K94, 'PlayerGrades+'!$X$3:$Y$23, 2, FALSE)))+('PlayerGrades+'!$Y$51*(VLOOKUP(M94, 'PlayerGrades+'!$X$3:$Y$23, 2, FALSE)))+('PlayerGrades+'!$Y$52*(VLOOKUP(O94, 'PlayerGrades+'!$X$3:$Y$23, 2, FALSE)))+('PlayerGrades+'!$Y$53*(VLOOKUP(Q94, 'PlayerGrades+'!$X$3:$Y$23, 2, FALSE)))+('PlayerGrades+'!$Y$54*(VLOOKUP(S94, 'PlayerGrades+'!$X$3:$Y$23, 2, FALSE)))+('PlayerGrades+'!$Y$55*(VLOOKUP(U94, 'PlayerGrades+'!$X$3:$Y$23, 2, FALSE)))</f>
        <v>21.55</v>
      </c>
      <c r="D94" s="961">
        <f t="shared" si="1"/>
        <v>0</v>
      </c>
      <c r="E94" s="961" t="str">
        <f>IF(D94&lt;'PlayerGrades+'!$AA$21,"F-",IF(D94&lt;'PlayerGrades+'!$AA$20,"F",IF(D94&lt;'PlayerGrades+'!$AA$19,"F+",IF(D94&lt;'PlayerGrades+'!$AA$18,"E-",IF(D94&lt;'PlayerGrades+'!$AA$17,"E",IF(D94&lt;'PlayerGrades+'!$AA$16,"E+",IF(D94&lt;'PlayerGrades+'!$AA$15,"D-",IF(D94&lt;'PlayerGrades+'!$AA$14,"D",IF(D94&lt;'PlayerGrades+'!$AA$13,"D+",IF(D94&lt;'PlayerGrades+'!$AA$12,"C-",IF(D94&lt;'PlayerGrades+'!$AA$11,"C",IF(D94&lt;'PlayerGrades+'!$AA$10,"C+",IF(D94&lt;'PlayerGrades+'!$AA$9,"B-",IF(D94&lt;'PlayerGrades+'!$AA$8,"B",IF(D94&lt;'PlayerGrades+'!$AA$7,"B+",IF(D94&lt;'PlayerGrades+'!$AA$6,"A-",IF(D94&lt;'PlayerGrades+'!$AA$5,"A",IF(D94&lt;'PlayerGrades+'!$AA$4,"A+",IF(D94&lt;'PlayerGrades+'!$AA$3,"S-",IF(D94&lt;'PlayerGrades+'!$AA$2,"S","S+"))))))))))))))))))))</f>
        <v>F-</v>
      </c>
      <c r="F94" s="961">
        <f t="shared" si="2"/>
        <v>0.07655851258</v>
      </c>
      <c r="G94" s="961" t="str">
        <f>IF(F94&lt;'PlayerGrades+'!$AB$21,"F-",IF(F94&lt;'PlayerGrades+'!$AB$20,"F",IF(F94&lt;'PlayerGrades+'!$AB$19,"F+",IF(F94&lt;'PlayerGrades+'!$AB$18,"E-",IF(F94&lt;'PlayerGrades+'!$AB$17,"E",IF(F94&lt;'PlayerGrades+'!$AB$16,"E+",IF(F94&lt;'PlayerGrades+'!$AB$15,"D-",IF(F94&lt;'PlayerGrades+'!$AB$14,"D",IF(F94&lt;'PlayerGrades+'!$AB$13,"D+",IF(F94&lt;'PlayerGrades+'!$AB$12,"C-",IF(F94&lt;'PlayerGrades+'!$AB$11,"C",IF(F94&lt;'PlayerGrades+'!$AB$10,"C+",IF(F94&lt;'PlayerGrades+'!$AB$9,"B-",IF(F94&lt;'PlayerGrades+'!$AB$8,"B",IF(F94&lt;'PlayerGrades+'!$AB$7,"B+",IF(F94&lt;'PlayerGrades+'!$AB$6,"A-",IF(F94&lt;'PlayerGrades+'!$AB$5,"A",IF(F94&lt;'PlayerGrades+'!$AB$4,"A+",IF(F94&lt;'PlayerGrades+'!$AB$3,"S-",IF(F94&lt;'PlayerGrades+'!$AB$2,"S","S+"))))))))))))))))))))</f>
        <v>A</v>
      </c>
      <c r="H94" s="961">
        <f t="shared" si="3"/>
        <v>1.232227488</v>
      </c>
      <c r="I94" s="961" t="str">
        <f>IF(H94&lt;'PlayerGrades+'!$AC$21,"F-",IF(H94&lt;'PlayerGrades+'!$AC$20,"F",IF(H94&lt;'PlayerGrades+'!$AC$19,"F+",IF(H94&lt;'PlayerGrades+'!$AC$18,"E-",IF(H94&lt;'PlayerGrades+'!$AC$17,"E",IF(H94&lt;'PlayerGrades+'!$AC$16,"E+",IF(H94&lt;'PlayerGrades+'!$AC$15,"D-",IF(H94&lt;'PlayerGrades+'!$AC$14,"D",IF(H94&lt;'PlayerGrades+'!$AC$13,"D+",IF(H94&lt;'PlayerGrades+'!$AC$12,"C-",IF(H94&lt;'PlayerGrades+'!$AC$11,"C",IF(H94&lt;'PlayerGrades+'!$AC$10,"C+",IF(H94&lt;'PlayerGrades+'!$AC$9,"B-",IF(H94&lt;'PlayerGrades+'!$AC$8,"B",IF(H94&lt;'PlayerGrades+'!$AC$7,"B+",IF(H94&lt;'PlayerGrades+'!$AC$6,"A-",IF(H94&lt;'PlayerGrades+'!$AC$5,"A",IF(H94&lt;'PlayerGrades+'!$AC$4,"A+",IF(H94&lt;'PlayerGrades+'!$AC$3,"S-",IF(H94&lt;'PlayerGrades+'!$AC$2,"S","S+"))))))))))))))))))))</f>
        <v>S+</v>
      </c>
      <c r="J94" s="961">
        <f t="shared" si="4"/>
        <v>0.09478672986</v>
      </c>
      <c r="K94" s="961" t="str">
        <f>IF(J94&lt;'PlayerGrades+'!$AD$21,"F-",IF(J94&lt;'PlayerGrades+'!$AD$20,"F",IF(J94&lt;'PlayerGrades+'!$AD$19,"F+",IF(J94&lt;'PlayerGrades+'!$AD$18,"E-",IF(J94&lt;'PlayerGrades+'!$AD$17,"E",IF(J94&lt;'PlayerGrades+'!$AD$16,"E+",IF(J94&lt;'PlayerGrades+'!$AD$15,"D-",IF(J94&lt;'PlayerGrades+'!$AD$14,"D",IF(J94&lt;'PlayerGrades+'!$AD$13,"D+",IF(J94&lt;'PlayerGrades+'!$AD$12,"C-",IF(J94&lt;'PlayerGrades+'!$AD$11,"C",IF(J94&lt;'PlayerGrades+'!$AD$10,"C+",IF(J94&lt;'PlayerGrades+'!$AD$9,"B-",IF(J94&lt;'PlayerGrades+'!$AD$8,"B",IF(J94&lt;'PlayerGrades+'!$AD$7,"B+",IF(J94&lt;'PlayerGrades+'!$AD$6,"A-",IF(J94&lt;'PlayerGrades+'!$AD$5,"A",IF(J94&lt;'PlayerGrades+'!$AD$4,"A+",IF(J94&lt;'PlayerGrades+'!$AD$3,"S-",IF(J94&lt;'PlayerGrades+'!$AD$2,"S","S+"))))))))))))))))))))</f>
        <v>A+</v>
      </c>
      <c r="L94" s="992">
        <f t="shared" si="5"/>
        <v>0.8056872038</v>
      </c>
      <c r="M94" s="992" t="str">
        <f>IF(L94&lt;'PlayerGrades+'!$AE$21,"F-",IF(L94&lt;'PlayerGrades+'!$AE$20,"F",IF(L94&lt;'PlayerGrades+'!$AE$19,"F+",IF(L94&lt;'PlayerGrades+'!$AE$18,"E-",IF(L94&lt;'PlayerGrades+'!$AE$17,"E",IF(L94&lt;'PlayerGrades+'!$AE$16,"E+",IF(L94&lt;'PlayerGrades+'!$AE$15,"D-",IF(L94&lt;'PlayerGrades+'!$AE$14,"D",IF(L94&lt;'PlayerGrades+'!$AE$13,"D+",IF(L94&lt;'PlayerGrades+'!$AE$12,"C-",IF(L94&lt;'PlayerGrades+'!$AE$11,"C",IF(L94&lt;'PlayerGrades+'!$AE$10,"C+",IF(L94&lt;'PlayerGrades+'!$AE$9,"B-",IF(L94&lt;'PlayerGrades+'!$AE$8,"B",IF(L94&lt;'PlayerGrades+'!$AE$7,"B+",IF(L94&lt;'PlayerGrades+'!$AE$6,"A-",IF(L94&lt;'PlayerGrades+'!$AE$5,"A",IF(L94&lt;'PlayerGrades+'!$AE$4,"A+",IF(L94&lt;'PlayerGrades+'!$AE$3,"S-",IF(L94&lt;'PlayerGrades+'!$AE$2,"S","S+"))))))))))))))))))))</f>
        <v>S-</v>
      </c>
      <c r="N94" s="961">
        <f t="shared" si="6"/>
        <v>0.1895734597</v>
      </c>
      <c r="O94" s="961" t="str">
        <f>IF(N94&lt;'PlayerGrades+'!$AF$21,"F-",IF(N94&lt;'PlayerGrades+'!$AF$20,"F",IF(N94&lt;'PlayerGrades+'!$AF$19,"F+",IF(N94&lt;'PlayerGrades+'!$AF$18,"E-",IF(N94&lt;'PlayerGrades+'!$AF$17,"E",IF(N94&lt;'PlayerGrades+'!$AF$16,"E+",IF(N94&lt;'PlayerGrades+'!$AF$15,"D-",IF(N94&lt;'PlayerGrades+'!$AF$14,"D",IF(N94&lt;'PlayerGrades+'!$AF$13,"D+",IF(N94&lt;'PlayerGrades+'!$AF$12,"C-",IF(N94&lt;'PlayerGrades+'!$AF$11,"C",IF(N94&lt;'PlayerGrades+'!$AF$10,"C+",IF(N94&lt;'PlayerGrades+'!$AF$9,"B-",IF(N94&lt;'PlayerGrades+'!$AF$8,"B",IF(N94&lt;'PlayerGrades+'!$AF$7,"B+",IF(N94&lt;'PlayerGrades+'!$AF$6,"A-",IF(N94&lt;'PlayerGrades+'!$AF$5,"A",IF(N94&lt;'PlayerGrades+'!$AF$4,"A+",IF(N94&lt;'PlayerGrades+'!$AF$3,"S-",IF(N94&lt;'PlayerGrades+'!$AF$2,"S","S+"))))))))))))))))))))</f>
        <v>S-</v>
      </c>
      <c r="P94" s="961">
        <f t="shared" si="7"/>
        <v>1.090047393</v>
      </c>
      <c r="Q94" s="961" t="str">
        <f>IF(P94&lt;'PlayerGrades+'!$AG$21,"F-",IF(P94&lt;'PlayerGrades+'!$AG$20,"F",IF(P94&lt;'PlayerGrades+'!$AG$19,"F+",IF(P94&lt;'PlayerGrades+'!$AG$18,"E-",IF(P94&lt;'PlayerGrades+'!$AG$17,"E",IF(P94&lt;'PlayerGrades+'!$AG$16,"E+",IF(P94&lt;'PlayerGrades+'!$AG$15,"D-",IF(P94&lt;'PlayerGrades+'!$AG$14,"D",IF(P94&lt;'PlayerGrades+'!$AG$13,"D+",IF(P94&lt;'PlayerGrades+'!$AG$12,"C-",IF(P94&lt;'PlayerGrades+'!$AG$11,"C",IF(P94&lt;'PlayerGrades+'!$AG$10,"C+",IF(P94&lt;'PlayerGrades+'!$AG$9,"B-",IF(P94&lt;'PlayerGrades+'!$AG$8,"B",IF(P94&lt;'PlayerGrades+'!$AG$7,"B+",IF(P94&lt;'PlayerGrades+'!$AG$6,"A-",IF(P94&lt;'PlayerGrades+'!$AG$5,"A",IF(P94&lt;'PlayerGrades+'!$AG$4,"A+",IF(P94&lt;'PlayerGrades+'!$AG$3,"S-",IF(P94&lt;'PlayerGrades+'!$AG$2,"S","S+"))))))))))))))))))))</f>
        <v>S-</v>
      </c>
      <c r="R94" s="961">
        <f t="shared" si="8"/>
        <v>0</v>
      </c>
      <c r="S94" s="961" t="str">
        <f>IF(R94&lt;'PlayerGrades+'!$AH$21,"F-",IF(R94&lt;'PlayerGrades+'!$AH$20,"F",IF(R94&lt;'PlayerGrades+'!$AH$19,"F+",IF(R94&lt;'PlayerGrades+'!$AH$18,"E-",IF(R94&lt;'PlayerGrades+'!$AH$17,"E",IF(R94&lt;'PlayerGrades+'!$AH$16,"E+",IF(R94&lt;'PlayerGrades+'!$AH$15,"D-",IF(R94&lt;'PlayerGrades+'!$AH$14,"D",IF(R94&lt;'PlayerGrades+'!$AH$13,"D+",IF(R94&lt;'PlayerGrades+'!$AH$12,"C-",IF(R94&lt;'PlayerGrades+'!$AH$11,"C",IF(R94&lt;'PlayerGrades+'!$AH$10,"C+",IF(R94&lt;'PlayerGrades+'!$AH$9,"B-",IF(R94&lt;'PlayerGrades+'!$AH$8,"B",IF(R94&lt;'PlayerGrades+'!$AH$7,"B+",IF(R94&lt;'PlayerGrades+'!$AH$6,"A-",IF(R94&lt;'PlayerGrades+'!$AH$5,"A",IF(R94&lt;'PlayerGrades+'!$AH$4,"A+",IF(R94&lt;'PlayerGrades+'!$AH$3,"S-",IF(R94&lt;'PlayerGrades+'!$AH$2,"S","S+"))))))))))))))))))))</f>
        <v>F-</v>
      </c>
      <c r="T94" s="961">
        <f t="shared" si="9"/>
        <v>3.981042654</v>
      </c>
      <c r="U94" s="961" t="str">
        <f>IF(T94&lt;'PlayerGrades+'!$AI$21,"F-",IF(T94&lt;'PlayerGrades+'!$AI$20,"F",IF(T94&lt;'PlayerGrades+'!$AI$19,"F+",IF(T94&lt;'PlayerGrades+'!$AI$18,"E-",IF(T94&lt;'PlayerGrades+'!$AI$17,"E",IF(T94&lt;'PlayerGrades+'!$AI$16,"E+",IF(T94&lt;'PlayerGrades+'!$AI$15,"D-",IF(T94&lt;'PlayerGrades+'!$AI$14,"D",IF(T94&lt;'PlayerGrades+'!$AI$13,"D+",IF(T94&lt;'PlayerGrades+'!$AI$12,"C-",IF(T94&lt;'PlayerGrades+'!$AI$11,"C",IF(T94&lt;'PlayerGrades+'!$AI$10,"C+",IF(T94&lt;'PlayerGrades+'!$AI$9,"B-",IF(T94&lt;'PlayerGrades+'!$AI$8,"B",IF(T94&lt;'PlayerGrades+'!$AI$7,"B+",IF(T94&lt;'PlayerGrades+'!$AI$6,"A-",IF(T94&lt;'PlayerGrades+'!$AI$5,"A",IF(T94&lt;'PlayerGrades+'!$AI$4,"A+",IF(T94&lt;'PlayerGrades+'!$AI$3,"S-",IF(T94&lt;'PlayerGrades+'!$AI$2,"S","S+"))))))))))))))))))))</f>
        <v>S</v>
      </c>
      <c r="V94" s="1100">
        <v>0.0</v>
      </c>
      <c r="W94" s="1100">
        <v>1.0</v>
      </c>
      <c r="X94" s="1100">
        <v>0.0</v>
      </c>
      <c r="Y94" s="1100">
        <v>6.0</v>
      </c>
      <c r="Z94" s="1100">
        <v>84.0</v>
      </c>
      <c r="AA94" s="1100">
        <v>52.0</v>
      </c>
      <c r="AB94" s="1017">
        <f t="shared" si="10"/>
        <v>32</v>
      </c>
      <c r="AC94" s="1020">
        <f t="shared" si="11"/>
        <v>1.615384615</v>
      </c>
      <c r="AD94" s="1100">
        <v>0.0</v>
      </c>
      <c r="AE94" s="1329">
        <v>1266.0</v>
      </c>
      <c r="AF94" s="1100">
        <v>2.0</v>
      </c>
      <c r="AG94" s="1100">
        <v>0.0</v>
      </c>
      <c r="AH94" s="1100">
        <v>0.0</v>
      </c>
      <c r="AI94" s="1100">
        <v>0.0</v>
      </c>
      <c r="AJ94" s="1100">
        <v>0.0</v>
      </c>
      <c r="AK94" s="1100">
        <v>17.0</v>
      </c>
      <c r="AL94" s="1100">
        <v>4.0</v>
      </c>
      <c r="AM94" s="1100">
        <v>1.0</v>
      </c>
      <c r="AN94" s="1100">
        <v>1.0</v>
      </c>
      <c r="AO94" s="1100">
        <v>0.0</v>
      </c>
      <c r="AP94" s="1100">
        <v>0.0</v>
      </c>
      <c r="AQ94" s="1100">
        <v>0.0</v>
      </c>
      <c r="AR94" s="1100">
        <v>0.0</v>
      </c>
      <c r="AS94" s="1100">
        <v>0.0</v>
      </c>
      <c r="AT94" s="1100">
        <v>0.0</v>
      </c>
      <c r="AU94" s="1100">
        <v>26.0</v>
      </c>
      <c r="AV94" s="1100">
        <v>0.0</v>
      </c>
      <c r="AW94" s="1100">
        <v>0.0</v>
      </c>
      <c r="AX94" s="1100">
        <v>0.0</v>
      </c>
      <c r="AY94" s="1100">
        <v>0.0</v>
      </c>
      <c r="AZ94" s="1239">
        <v>0.0</v>
      </c>
    </row>
    <row r="95">
      <c r="A95" s="938" t="s">
        <v>250</v>
      </c>
      <c r="B95" s="1100" t="str">
        <f>IF(C95&lt;'PlayerGrades+'!$Y$44,"F-",IF(C95&lt;'PlayerGrades+'!$Y$43,"F",IF(C95&lt;'PlayerGrades+'!$Y$42,"F+",IF(C95&lt;'PlayerGrades+'!$Y$41,"E-",IF(C95&lt;'PlayerGrades+'!$Y$40,"E",IF(C95&lt;'PlayerGrades+'!$Y$39,"E+",IF(C95&lt;'PlayerGrades+'!$Y$38,"D-",IF(C95&lt;'PlayerGrades+'!$Y$37,"D",IF(C95&lt;'PlayerGrades+'!$Y$36,"D+",IF(C95&lt;'PlayerGrades+'!$Y$35,"C-",IF(C95&lt;'PlayerGrades+'!$Y$34,"C",IF(C95&lt;'PlayerGrades+'!$Y$33,"C+",IF(C95&lt;'PlayerGrades+'!$Y$32,"B-",IF(C95&lt;'PlayerGrades+'!$Y$31,"B",IF(C95&lt;'PlayerGrades+'!$Y$30,"B+",IF(C95&lt;'PlayerGrades+'!$Y$29,"A-",IF(C95&lt;'PlayerGrades+'!$Y$28,"A",IF(C95&lt;'PlayerGrades+'!$Y$27,"A+",IF(C95&lt;'PlayerGrades+'!$Y$26,"S-",IF(C95&lt;'PlayerGrades+'!$Y$25,"S","S+"))))))))))))))))))))</f>
        <v>B-</v>
      </c>
      <c r="C95" s="1105">
        <f>('PlayerGrades+'!$Y$47*(VLOOKUP(E95, 'PlayerGrades+'!$X$3:$Y$23, 2, FALSE)))+('PlayerGrades+'!$Y$48*(VLOOKUP(G95, 'PlayerGrades+'!$X$3:$Y$23, 2, FALSE)))+('PlayerGrades+'!$Y$49*(VLOOKUP(I95, 'PlayerGrades+'!$X$3:$Y$23, 2, FALSE)))+('PlayerGrades+'!$Y$50*(VLOOKUP(K95, 'PlayerGrades+'!$X$3:$Y$23, 2, FALSE)))+('PlayerGrades+'!$Y$51*(VLOOKUP(M95, 'PlayerGrades+'!$X$3:$Y$23, 2, FALSE)))+('PlayerGrades+'!$Y$52*(VLOOKUP(O95, 'PlayerGrades+'!$X$3:$Y$23, 2, FALSE)))+('PlayerGrades+'!$Y$53*(VLOOKUP(Q95, 'PlayerGrades+'!$X$3:$Y$23, 2, FALSE)))+('PlayerGrades+'!$Y$54*(VLOOKUP(S95, 'PlayerGrades+'!$X$3:$Y$23, 2, FALSE)))+('PlayerGrades+'!$Y$55*(VLOOKUP(U95, 'PlayerGrades+'!$X$3:$Y$23, 2, FALSE)))</f>
        <v>17.9625</v>
      </c>
      <c r="D95" s="961">
        <f t="shared" si="1"/>
        <v>0</v>
      </c>
      <c r="E95" s="961" t="str">
        <f>IF(D95&lt;'PlayerGrades+'!$AA$21,"F-",IF(D95&lt;'PlayerGrades+'!$AA$20,"F",IF(D95&lt;'PlayerGrades+'!$AA$19,"F+",IF(D95&lt;'PlayerGrades+'!$AA$18,"E-",IF(D95&lt;'PlayerGrades+'!$AA$17,"E",IF(D95&lt;'PlayerGrades+'!$AA$16,"E+",IF(D95&lt;'PlayerGrades+'!$AA$15,"D-",IF(D95&lt;'PlayerGrades+'!$AA$14,"D",IF(D95&lt;'PlayerGrades+'!$AA$13,"D+",IF(D95&lt;'PlayerGrades+'!$AA$12,"C-",IF(D95&lt;'PlayerGrades+'!$AA$11,"C",IF(D95&lt;'PlayerGrades+'!$AA$10,"C+",IF(D95&lt;'PlayerGrades+'!$AA$9,"B-",IF(D95&lt;'PlayerGrades+'!$AA$8,"B",IF(D95&lt;'PlayerGrades+'!$AA$7,"B+",IF(D95&lt;'PlayerGrades+'!$AA$6,"A-",IF(D95&lt;'PlayerGrades+'!$AA$5,"A",IF(D95&lt;'PlayerGrades+'!$AA$4,"A+",IF(D95&lt;'PlayerGrades+'!$AA$3,"S-",IF(D95&lt;'PlayerGrades+'!$AA$2,"S","S+"))))))))))))))))))))</f>
        <v>F-</v>
      </c>
      <c r="F95" s="961">
        <f t="shared" si="2"/>
        <v>0.03606016897</v>
      </c>
      <c r="G95" s="961" t="str">
        <f>IF(F95&lt;'PlayerGrades+'!$AB$21,"F-",IF(F95&lt;'PlayerGrades+'!$AB$20,"F",IF(F95&lt;'PlayerGrades+'!$AB$19,"F+",IF(F95&lt;'PlayerGrades+'!$AB$18,"E-",IF(F95&lt;'PlayerGrades+'!$AB$17,"E",IF(F95&lt;'PlayerGrades+'!$AB$16,"E+",IF(F95&lt;'PlayerGrades+'!$AB$15,"D-",IF(F95&lt;'PlayerGrades+'!$AB$14,"D",IF(F95&lt;'PlayerGrades+'!$AB$13,"D+",IF(F95&lt;'PlayerGrades+'!$AB$12,"C-",IF(F95&lt;'PlayerGrades+'!$AB$11,"C",IF(F95&lt;'PlayerGrades+'!$AB$10,"C+",IF(F95&lt;'PlayerGrades+'!$AB$9,"B-",IF(F95&lt;'PlayerGrades+'!$AB$8,"B",IF(F95&lt;'PlayerGrades+'!$AB$7,"B+",IF(F95&lt;'PlayerGrades+'!$AB$6,"A-",IF(F95&lt;'PlayerGrades+'!$AB$5,"A",IF(F95&lt;'PlayerGrades+'!$AB$4,"A+",IF(F95&lt;'PlayerGrades+'!$AB$3,"S-",IF(F95&lt;'PlayerGrades+'!$AB$2,"S","S+"))))))))))))))))))))</f>
        <v>A</v>
      </c>
      <c r="H95" s="961">
        <f t="shared" si="3"/>
        <v>0.663507109</v>
      </c>
      <c r="I95" s="961" t="str">
        <f>IF(H95&lt;'PlayerGrades+'!$AC$21,"F-",IF(H95&lt;'PlayerGrades+'!$AC$20,"F",IF(H95&lt;'PlayerGrades+'!$AC$19,"F+",IF(H95&lt;'PlayerGrades+'!$AC$18,"E-",IF(H95&lt;'PlayerGrades+'!$AC$17,"E",IF(H95&lt;'PlayerGrades+'!$AC$16,"E+",IF(H95&lt;'PlayerGrades+'!$AC$15,"D-",IF(H95&lt;'PlayerGrades+'!$AC$14,"D",IF(H95&lt;'PlayerGrades+'!$AC$13,"D+",IF(H95&lt;'PlayerGrades+'!$AC$12,"C-",IF(H95&lt;'PlayerGrades+'!$AC$11,"C",IF(H95&lt;'PlayerGrades+'!$AC$10,"C+",IF(H95&lt;'PlayerGrades+'!$AC$9,"B-",IF(H95&lt;'PlayerGrades+'!$AC$8,"B",IF(H95&lt;'PlayerGrades+'!$AC$7,"B+",IF(H95&lt;'PlayerGrades+'!$AC$6,"A-",IF(H95&lt;'PlayerGrades+'!$AC$5,"A",IF(H95&lt;'PlayerGrades+'!$AC$4,"A+",IF(H95&lt;'PlayerGrades+'!$AC$3,"S-",IF(H95&lt;'PlayerGrades+'!$AC$2,"S","S+"))))))))))))))))))))</f>
        <v>A</v>
      </c>
      <c r="J95" s="961">
        <f t="shared" si="4"/>
        <v>0.04739336493</v>
      </c>
      <c r="K95" s="961" t="str">
        <f>IF(J95&lt;'PlayerGrades+'!$AD$21,"F-",IF(J95&lt;'PlayerGrades+'!$AD$20,"F",IF(J95&lt;'PlayerGrades+'!$AD$19,"F+",IF(J95&lt;'PlayerGrades+'!$AD$18,"E-",IF(J95&lt;'PlayerGrades+'!$AD$17,"E",IF(J95&lt;'PlayerGrades+'!$AD$16,"E+",IF(J95&lt;'PlayerGrades+'!$AD$15,"D-",IF(J95&lt;'PlayerGrades+'!$AD$14,"D",IF(J95&lt;'PlayerGrades+'!$AD$13,"D+",IF(J95&lt;'PlayerGrades+'!$AD$12,"C-",IF(J95&lt;'PlayerGrades+'!$AD$11,"C",IF(J95&lt;'PlayerGrades+'!$AD$10,"C+",IF(J95&lt;'PlayerGrades+'!$AD$9,"B-",IF(J95&lt;'PlayerGrades+'!$AD$8,"B",IF(J95&lt;'PlayerGrades+'!$AD$7,"B+",IF(J95&lt;'PlayerGrades+'!$AD$6,"A-",IF(J95&lt;'PlayerGrades+'!$AD$5,"A",IF(J95&lt;'PlayerGrades+'!$AD$4,"A+",IF(J95&lt;'PlayerGrades+'!$AD$3,"S-",IF(J95&lt;'PlayerGrades+'!$AD$2,"S","S+"))))))))))))))))))))</f>
        <v>C+</v>
      </c>
      <c r="L95" s="992">
        <f t="shared" si="5"/>
        <v>0.5213270142</v>
      </c>
      <c r="M95" s="992" t="str">
        <f>IF(L95&lt;'PlayerGrades+'!$AE$21,"F-",IF(L95&lt;'PlayerGrades+'!$AE$20,"F",IF(L95&lt;'PlayerGrades+'!$AE$19,"F+",IF(L95&lt;'PlayerGrades+'!$AE$18,"E-",IF(L95&lt;'PlayerGrades+'!$AE$17,"E",IF(L95&lt;'PlayerGrades+'!$AE$16,"E+",IF(L95&lt;'PlayerGrades+'!$AE$15,"D-",IF(L95&lt;'PlayerGrades+'!$AE$14,"D",IF(L95&lt;'PlayerGrades+'!$AE$13,"D+",IF(L95&lt;'PlayerGrades+'!$AE$12,"C-",IF(L95&lt;'PlayerGrades+'!$AE$11,"C",IF(L95&lt;'PlayerGrades+'!$AE$10,"C+",IF(L95&lt;'PlayerGrades+'!$AE$9,"B-",IF(L95&lt;'PlayerGrades+'!$AE$8,"B",IF(L95&lt;'PlayerGrades+'!$AE$7,"B+",IF(L95&lt;'PlayerGrades+'!$AE$6,"A-",IF(L95&lt;'PlayerGrades+'!$AE$5,"A",IF(L95&lt;'PlayerGrades+'!$AE$4,"A+",IF(L95&lt;'PlayerGrades+'!$AE$3,"S-",IF(L95&lt;'PlayerGrades+'!$AE$2,"S","S+"))))))))))))))))))))</f>
        <v>B+</v>
      </c>
      <c r="N95" s="961">
        <f t="shared" si="6"/>
        <v>0.09478672986</v>
      </c>
      <c r="O95" s="961" t="str">
        <f>IF(N95&lt;'PlayerGrades+'!$AF$21,"F-",IF(N95&lt;'PlayerGrades+'!$AF$20,"F",IF(N95&lt;'PlayerGrades+'!$AF$19,"F+",IF(N95&lt;'PlayerGrades+'!$AF$18,"E-",IF(N95&lt;'PlayerGrades+'!$AF$17,"E",IF(N95&lt;'PlayerGrades+'!$AF$16,"E+",IF(N95&lt;'PlayerGrades+'!$AF$15,"D-",IF(N95&lt;'PlayerGrades+'!$AF$14,"D",IF(N95&lt;'PlayerGrades+'!$AF$13,"D+",IF(N95&lt;'PlayerGrades+'!$AF$12,"C-",IF(N95&lt;'PlayerGrades+'!$AF$11,"C",IF(N95&lt;'PlayerGrades+'!$AF$10,"C+",IF(N95&lt;'PlayerGrades+'!$AF$9,"B-",IF(N95&lt;'PlayerGrades+'!$AF$8,"B",IF(N95&lt;'PlayerGrades+'!$AF$7,"B+",IF(N95&lt;'PlayerGrades+'!$AF$6,"A-",IF(N95&lt;'PlayerGrades+'!$AF$5,"A",IF(N95&lt;'PlayerGrades+'!$AF$4,"A+",IF(N95&lt;'PlayerGrades+'!$AF$3,"S-",IF(N95&lt;'PlayerGrades+'!$AF$2,"S","S+"))))))))))))))))))))</f>
        <v>D+</v>
      </c>
      <c r="P95" s="961">
        <f t="shared" si="7"/>
        <v>0.7109004739</v>
      </c>
      <c r="Q95" s="961" t="str">
        <f>IF(P95&lt;'PlayerGrades+'!$AG$21,"F-",IF(P95&lt;'PlayerGrades+'!$AG$20,"F",IF(P95&lt;'PlayerGrades+'!$AG$19,"F+",IF(P95&lt;'PlayerGrades+'!$AG$18,"E-",IF(P95&lt;'PlayerGrades+'!$AG$17,"E",IF(P95&lt;'PlayerGrades+'!$AG$16,"E+",IF(P95&lt;'PlayerGrades+'!$AG$15,"D-",IF(P95&lt;'PlayerGrades+'!$AG$14,"D",IF(P95&lt;'PlayerGrades+'!$AG$13,"D+",IF(P95&lt;'PlayerGrades+'!$AG$12,"C-",IF(P95&lt;'PlayerGrades+'!$AG$11,"C",IF(P95&lt;'PlayerGrades+'!$AG$10,"C+",IF(P95&lt;'PlayerGrades+'!$AG$9,"B-",IF(P95&lt;'PlayerGrades+'!$AG$8,"B",IF(P95&lt;'PlayerGrades+'!$AG$7,"B+",IF(P95&lt;'PlayerGrades+'!$AG$6,"A-",IF(P95&lt;'PlayerGrades+'!$AG$5,"A",IF(P95&lt;'PlayerGrades+'!$AG$4,"A+",IF(P95&lt;'PlayerGrades+'!$AG$3,"S-",IF(P95&lt;'PlayerGrades+'!$AG$2,"S","S+"))))))))))))))))))))</f>
        <v>B</v>
      </c>
      <c r="R95" s="961">
        <f t="shared" si="8"/>
        <v>0.04739336493</v>
      </c>
      <c r="S95" s="961" t="str">
        <f>IF(R95&lt;'PlayerGrades+'!$AH$21,"F-",IF(R95&lt;'PlayerGrades+'!$AH$20,"F",IF(R95&lt;'PlayerGrades+'!$AH$19,"F+",IF(R95&lt;'PlayerGrades+'!$AH$18,"E-",IF(R95&lt;'PlayerGrades+'!$AH$17,"E",IF(R95&lt;'PlayerGrades+'!$AH$16,"E+",IF(R95&lt;'PlayerGrades+'!$AH$15,"D-",IF(R95&lt;'PlayerGrades+'!$AH$14,"D",IF(R95&lt;'PlayerGrades+'!$AH$13,"D+",IF(R95&lt;'PlayerGrades+'!$AH$12,"C-",IF(R95&lt;'PlayerGrades+'!$AH$11,"C",IF(R95&lt;'PlayerGrades+'!$AH$10,"C+",IF(R95&lt;'PlayerGrades+'!$AH$9,"B-",IF(R95&lt;'PlayerGrades+'!$AH$8,"B",IF(R95&lt;'PlayerGrades+'!$AH$7,"B+",IF(R95&lt;'PlayerGrades+'!$AH$6,"A-",IF(R95&lt;'PlayerGrades+'!$AH$5,"A",IF(R95&lt;'PlayerGrades+'!$AH$4,"A+",IF(R95&lt;'PlayerGrades+'!$AH$3,"S-",IF(R95&lt;'PlayerGrades+'!$AH$2,"S","S+"))))))))))))))))))))</f>
        <v>D</v>
      </c>
      <c r="T95" s="961">
        <f t="shared" si="9"/>
        <v>3.317535545</v>
      </c>
      <c r="U95" s="961" t="str">
        <f>IF(T95&lt;'PlayerGrades+'!$AI$21,"F-",IF(T95&lt;'PlayerGrades+'!$AI$20,"F",IF(T95&lt;'PlayerGrades+'!$AI$19,"F+",IF(T95&lt;'PlayerGrades+'!$AI$18,"E-",IF(T95&lt;'PlayerGrades+'!$AI$17,"E",IF(T95&lt;'PlayerGrades+'!$AI$16,"E+",IF(T95&lt;'PlayerGrades+'!$AI$15,"D-",IF(T95&lt;'PlayerGrades+'!$AI$14,"D",IF(T95&lt;'PlayerGrades+'!$AI$13,"D+",IF(T95&lt;'PlayerGrades+'!$AI$12,"C-",IF(T95&lt;'PlayerGrades+'!$AI$11,"C",IF(T95&lt;'PlayerGrades+'!$AI$10,"C+",IF(T95&lt;'PlayerGrades+'!$AI$9,"B-",IF(T95&lt;'PlayerGrades+'!$AI$8,"B",IF(T95&lt;'PlayerGrades+'!$AI$7,"B+",IF(T95&lt;'PlayerGrades+'!$AI$6,"A-",IF(T95&lt;'PlayerGrades+'!$AI$5,"A",IF(T95&lt;'PlayerGrades+'!$AI$4,"A+",IF(T95&lt;'PlayerGrades+'!$AI$3,"S-",IF(T95&lt;'PlayerGrades+'!$AI$2,"S","S+"))))))))))))))))))))</f>
        <v>A</v>
      </c>
      <c r="V95" s="1100">
        <v>0.0</v>
      </c>
      <c r="W95" s="1100">
        <v>1.0</v>
      </c>
      <c r="X95" s="1100">
        <v>0.0</v>
      </c>
      <c r="Y95" s="1100">
        <v>0.0</v>
      </c>
      <c r="Z95" s="1100">
        <v>70.0</v>
      </c>
      <c r="AA95" s="1100">
        <v>92.0</v>
      </c>
      <c r="AB95" s="1017">
        <f t="shared" si="10"/>
        <v>-22</v>
      </c>
      <c r="AC95" s="1020">
        <f t="shared" si="11"/>
        <v>0.7608695652</v>
      </c>
      <c r="AD95" s="1100">
        <v>0.0</v>
      </c>
      <c r="AE95" s="1329">
        <v>1266.0</v>
      </c>
      <c r="AF95" s="1100">
        <v>1.0</v>
      </c>
      <c r="AG95" s="1100">
        <v>0.0</v>
      </c>
      <c r="AH95" s="1100">
        <v>0.0</v>
      </c>
      <c r="AI95" s="1100">
        <v>0.0</v>
      </c>
      <c r="AJ95" s="1100">
        <v>1.0</v>
      </c>
      <c r="AK95" s="1100">
        <v>11.0</v>
      </c>
      <c r="AL95" s="1100">
        <v>2.0</v>
      </c>
      <c r="AM95" s="1100">
        <v>1.0</v>
      </c>
      <c r="AN95" s="1100">
        <v>0.0</v>
      </c>
      <c r="AO95" s="1100">
        <v>0.0</v>
      </c>
      <c r="AP95" s="1100">
        <v>0.0</v>
      </c>
      <c r="AQ95" s="1100">
        <v>0.0</v>
      </c>
      <c r="AR95" s="1100">
        <v>0.0</v>
      </c>
      <c r="AS95" s="1100">
        <v>0.0</v>
      </c>
      <c r="AT95" s="1100">
        <v>0.0</v>
      </c>
      <c r="AU95" s="1100">
        <v>14.0</v>
      </c>
      <c r="AV95" s="1100">
        <v>0.0</v>
      </c>
      <c r="AW95" s="1100">
        <v>0.0</v>
      </c>
      <c r="AX95" s="1100">
        <v>0.0</v>
      </c>
      <c r="AY95" s="1100">
        <v>1.0</v>
      </c>
      <c r="AZ95" s="1239">
        <v>0.0</v>
      </c>
    </row>
    <row r="96">
      <c r="A96" s="938" t="s">
        <v>174</v>
      </c>
      <c r="B96" s="1100" t="str">
        <f>IF(C96&lt;'PlayerGrades+'!$Y$44,"F-",IF(C96&lt;'PlayerGrades+'!$Y$43,"F",IF(C96&lt;'PlayerGrades+'!$Y$42,"F+",IF(C96&lt;'PlayerGrades+'!$Y$41,"E-",IF(C96&lt;'PlayerGrades+'!$Y$40,"E",IF(C96&lt;'PlayerGrades+'!$Y$39,"E+",IF(C96&lt;'PlayerGrades+'!$Y$38,"D-",IF(C96&lt;'PlayerGrades+'!$Y$37,"D",IF(C96&lt;'PlayerGrades+'!$Y$36,"D+",IF(C96&lt;'PlayerGrades+'!$Y$35,"C-",IF(C96&lt;'PlayerGrades+'!$Y$34,"C",IF(C96&lt;'PlayerGrades+'!$Y$33,"C+",IF(C96&lt;'PlayerGrades+'!$Y$32,"B-",IF(C96&lt;'PlayerGrades+'!$Y$31,"B",IF(C96&lt;'PlayerGrades+'!$Y$30,"B+",IF(C96&lt;'PlayerGrades+'!$Y$29,"A-",IF(C96&lt;'PlayerGrades+'!$Y$28,"A",IF(C96&lt;'PlayerGrades+'!$Y$27,"A+",IF(C96&lt;'PlayerGrades+'!$Y$26,"S-",IF(C96&lt;'PlayerGrades+'!$Y$25,"S","S+"))))))))))))))))))))</f>
        <v>E</v>
      </c>
      <c r="C96" s="1105">
        <f>('PlayerGrades+'!$Y$47*(VLOOKUP(E96, 'PlayerGrades+'!$X$3:$Y$23, 2, FALSE)))+('PlayerGrades+'!$Y$48*(VLOOKUP(G96, 'PlayerGrades+'!$X$3:$Y$23, 2, FALSE)))+('PlayerGrades+'!$Y$49*(VLOOKUP(I96, 'PlayerGrades+'!$X$3:$Y$23, 2, FALSE)))+('PlayerGrades+'!$Y$50*(VLOOKUP(K96, 'PlayerGrades+'!$X$3:$Y$23, 2, FALSE)))+('PlayerGrades+'!$Y$51*(VLOOKUP(M96, 'PlayerGrades+'!$X$3:$Y$23, 2, FALSE)))+('PlayerGrades+'!$Y$52*(VLOOKUP(O96, 'PlayerGrades+'!$X$3:$Y$23, 2, FALSE)))+('PlayerGrades+'!$Y$53*(VLOOKUP(Q96, 'PlayerGrades+'!$X$3:$Y$23, 2, FALSE)))+('PlayerGrades+'!$Y$54*(VLOOKUP(S96, 'PlayerGrades+'!$X$3:$Y$23, 2, FALSE)))+('PlayerGrades+'!$Y$55*(VLOOKUP(U96, 'PlayerGrades+'!$X$3:$Y$23, 2, FALSE)))</f>
        <v>9.45</v>
      </c>
      <c r="D96" s="961">
        <f t="shared" si="1"/>
        <v>0</v>
      </c>
      <c r="E96" s="961" t="str">
        <f>IF(D96&lt;'PlayerGrades+'!$AA$21,"F-",IF(D96&lt;'PlayerGrades+'!$AA$20,"F",IF(D96&lt;'PlayerGrades+'!$AA$19,"F+",IF(D96&lt;'PlayerGrades+'!$AA$18,"E-",IF(D96&lt;'PlayerGrades+'!$AA$17,"E",IF(D96&lt;'PlayerGrades+'!$AA$16,"E+",IF(D96&lt;'PlayerGrades+'!$AA$15,"D-",IF(D96&lt;'PlayerGrades+'!$AA$14,"D",IF(D96&lt;'PlayerGrades+'!$AA$13,"D+",IF(D96&lt;'PlayerGrades+'!$AA$12,"C-",IF(D96&lt;'PlayerGrades+'!$AA$11,"C",IF(D96&lt;'PlayerGrades+'!$AA$10,"C+",IF(D96&lt;'PlayerGrades+'!$AA$9,"B-",IF(D96&lt;'PlayerGrades+'!$AA$8,"B",IF(D96&lt;'PlayerGrades+'!$AA$7,"B+",IF(D96&lt;'PlayerGrades+'!$AA$6,"A-",IF(D96&lt;'PlayerGrades+'!$AA$5,"A",IF(D96&lt;'PlayerGrades+'!$AA$4,"A+",IF(D96&lt;'PlayerGrades+'!$AA$3,"S-",IF(D96&lt;'PlayerGrades+'!$AA$2,"S","S+"))))))))))))))))))))</f>
        <v>F-</v>
      </c>
      <c r="F96" s="961">
        <f t="shared" si="2"/>
        <v>0.03915104059</v>
      </c>
      <c r="G96" s="961" t="str">
        <f>IF(F96&lt;'PlayerGrades+'!$AB$21,"F-",IF(F96&lt;'PlayerGrades+'!$AB$20,"F",IF(F96&lt;'PlayerGrades+'!$AB$19,"F+",IF(F96&lt;'PlayerGrades+'!$AB$18,"E-",IF(F96&lt;'PlayerGrades+'!$AB$17,"E",IF(F96&lt;'PlayerGrades+'!$AB$16,"E+",IF(F96&lt;'PlayerGrades+'!$AB$15,"D-",IF(F96&lt;'PlayerGrades+'!$AB$14,"D",IF(F96&lt;'PlayerGrades+'!$AB$13,"D+",IF(F96&lt;'PlayerGrades+'!$AB$12,"C-",IF(F96&lt;'PlayerGrades+'!$AB$11,"C",IF(F96&lt;'PlayerGrades+'!$AB$10,"C+",IF(F96&lt;'PlayerGrades+'!$AB$9,"B-",IF(F96&lt;'PlayerGrades+'!$AB$8,"B",IF(F96&lt;'PlayerGrades+'!$AB$7,"B+",IF(F96&lt;'PlayerGrades+'!$AB$6,"A-",IF(F96&lt;'PlayerGrades+'!$AB$5,"A",IF(F96&lt;'PlayerGrades+'!$AB$4,"A+",IF(F96&lt;'PlayerGrades+'!$AB$3,"S-",IF(F96&lt;'PlayerGrades+'!$AB$2,"S","S+"))))))))))))))))))))</f>
        <v>A</v>
      </c>
      <c r="H96" s="961">
        <f t="shared" si="3"/>
        <v>0.2843601896</v>
      </c>
      <c r="I96" s="961" t="str">
        <f>IF(H96&lt;'PlayerGrades+'!$AC$21,"F-",IF(H96&lt;'PlayerGrades+'!$AC$20,"F",IF(H96&lt;'PlayerGrades+'!$AC$19,"F+",IF(H96&lt;'PlayerGrades+'!$AC$18,"E-",IF(H96&lt;'PlayerGrades+'!$AC$17,"E",IF(H96&lt;'PlayerGrades+'!$AC$16,"E+",IF(H96&lt;'PlayerGrades+'!$AC$15,"D-",IF(H96&lt;'PlayerGrades+'!$AC$14,"D",IF(H96&lt;'PlayerGrades+'!$AC$13,"D+",IF(H96&lt;'PlayerGrades+'!$AC$12,"C-",IF(H96&lt;'PlayerGrades+'!$AC$11,"C",IF(H96&lt;'PlayerGrades+'!$AC$10,"C+",IF(H96&lt;'PlayerGrades+'!$AC$9,"B-",IF(H96&lt;'PlayerGrades+'!$AC$8,"B",IF(H96&lt;'PlayerGrades+'!$AC$7,"B+",IF(H96&lt;'PlayerGrades+'!$AC$6,"A-",IF(H96&lt;'PlayerGrades+'!$AC$5,"A",IF(H96&lt;'PlayerGrades+'!$AC$4,"A+",IF(H96&lt;'PlayerGrades+'!$AC$3,"S-",IF(H96&lt;'PlayerGrades+'!$AC$2,"S","S+"))))))))))))))))))))</f>
        <v>F+</v>
      </c>
      <c r="J96" s="961">
        <f t="shared" si="4"/>
        <v>0</v>
      </c>
      <c r="K96" s="961" t="str">
        <f>IF(J96&lt;'PlayerGrades+'!$AD$21,"F-",IF(J96&lt;'PlayerGrades+'!$AD$20,"F",IF(J96&lt;'PlayerGrades+'!$AD$19,"F+",IF(J96&lt;'PlayerGrades+'!$AD$18,"E-",IF(J96&lt;'PlayerGrades+'!$AD$17,"E",IF(J96&lt;'PlayerGrades+'!$AD$16,"E+",IF(J96&lt;'PlayerGrades+'!$AD$15,"D-",IF(J96&lt;'PlayerGrades+'!$AD$14,"D",IF(J96&lt;'PlayerGrades+'!$AD$13,"D+",IF(J96&lt;'PlayerGrades+'!$AD$12,"C-",IF(J96&lt;'PlayerGrades+'!$AD$11,"C",IF(J96&lt;'PlayerGrades+'!$AD$10,"C+",IF(J96&lt;'PlayerGrades+'!$AD$9,"B-",IF(J96&lt;'PlayerGrades+'!$AD$8,"B",IF(J96&lt;'PlayerGrades+'!$AD$7,"B+",IF(J96&lt;'PlayerGrades+'!$AD$6,"A-",IF(J96&lt;'PlayerGrades+'!$AD$5,"A",IF(J96&lt;'PlayerGrades+'!$AD$4,"A+",IF(J96&lt;'PlayerGrades+'!$AD$3,"S-",IF(J96&lt;'PlayerGrades+'!$AD$2,"S","S+"))))))))))))))))))))</f>
        <v>F-</v>
      </c>
      <c r="L96" s="992">
        <f t="shared" si="5"/>
        <v>0.3317535545</v>
      </c>
      <c r="M96" s="992" t="str">
        <f>IF(L96&lt;'PlayerGrades+'!$AE$21,"F-",IF(L96&lt;'PlayerGrades+'!$AE$20,"F",IF(L96&lt;'PlayerGrades+'!$AE$19,"F+",IF(L96&lt;'PlayerGrades+'!$AE$18,"E-",IF(L96&lt;'PlayerGrades+'!$AE$17,"E",IF(L96&lt;'PlayerGrades+'!$AE$16,"E+",IF(L96&lt;'PlayerGrades+'!$AE$15,"D-",IF(L96&lt;'PlayerGrades+'!$AE$14,"D",IF(L96&lt;'PlayerGrades+'!$AE$13,"D+",IF(L96&lt;'PlayerGrades+'!$AE$12,"C-",IF(L96&lt;'PlayerGrades+'!$AE$11,"C",IF(L96&lt;'PlayerGrades+'!$AE$10,"C+",IF(L96&lt;'PlayerGrades+'!$AE$9,"B-",IF(L96&lt;'PlayerGrades+'!$AE$8,"B",IF(L96&lt;'PlayerGrades+'!$AE$7,"B+",IF(L96&lt;'PlayerGrades+'!$AE$6,"A-",IF(L96&lt;'PlayerGrades+'!$AE$5,"A",IF(L96&lt;'PlayerGrades+'!$AE$4,"A+",IF(L96&lt;'PlayerGrades+'!$AE$3,"S-",IF(L96&lt;'PlayerGrades+'!$AE$2,"S","S+"))))))))))))))))))))</f>
        <v>E</v>
      </c>
      <c r="N96" s="961">
        <f t="shared" si="6"/>
        <v>0.04739336493</v>
      </c>
      <c r="O96" s="961" t="str">
        <f>IF(N96&lt;'PlayerGrades+'!$AF$21,"F-",IF(N96&lt;'PlayerGrades+'!$AF$20,"F",IF(N96&lt;'PlayerGrades+'!$AF$19,"F+",IF(N96&lt;'PlayerGrades+'!$AF$18,"E-",IF(N96&lt;'PlayerGrades+'!$AF$17,"E",IF(N96&lt;'PlayerGrades+'!$AF$16,"E+",IF(N96&lt;'PlayerGrades+'!$AF$15,"D-",IF(N96&lt;'PlayerGrades+'!$AF$14,"D",IF(N96&lt;'PlayerGrades+'!$AF$13,"D+",IF(N96&lt;'PlayerGrades+'!$AF$12,"C-",IF(N96&lt;'PlayerGrades+'!$AF$11,"C",IF(N96&lt;'PlayerGrades+'!$AF$10,"C+",IF(N96&lt;'PlayerGrades+'!$AF$9,"B-",IF(N96&lt;'PlayerGrades+'!$AF$8,"B",IF(N96&lt;'PlayerGrades+'!$AF$7,"B+",IF(N96&lt;'PlayerGrades+'!$AF$6,"A-",IF(N96&lt;'PlayerGrades+'!$AF$5,"A",IF(N96&lt;'PlayerGrades+'!$AF$4,"A+",IF(N96&lt;'PlayerGrades+'!$AF$3,"S-",IF(N96&lt;'PlayerGrades+'!$AF$2,"S","S+"))))))))))))))))))))</f>
        <v>F</v>
      </c>
      <c r="P96" s="961">
        <f t="shared" si="7"/>
        <v>0.4739336493</v>
      </c>
      <c r="Q96" s="961" t="str">
        <f>IF(P96&lt;'PlayerGrades+'!$AG$21,"F-",IF(P96&lt;'PlayerGrades+'!$AG$20,"F",IF(P96&lt;'PlayerGrades+'!$AG$19,"F+",IF(P96&lt;'PlayerGrades+'!$AG$18,"E-",IF(P96&lt;'PlayerGrades+'!$AG$17,"E",IF(P96&lt;'PlayerGrades+'!$AG$16,"E+",IF(P96&lt;'PlayerGrades+'!$AG$15,"D-",IF(P96&lt;'PlayerGrades+'!$AG$14,"D",IF(P96&lt;'PlayerGrades+'!$AG$13,"D+",IF(P96&lt;'PlayerGrades+'!$AG$12,"C-",IF(P96&lt;'PlayerGrades+'!$AG$11,"C",IF(P96&lt;'PlayerGrades+'!$AG$10,"C+",IF(P96&lt;'PlayerGrades+'!$AG$9,"B-",IF(P96&lt;'PlayerGrades+'!$AG$8,"B",IF(P96&lt;'PlayerGrades+'!$AG$7,"B+",IF(P96&lt;'PlayerGrades+'!$AG$6,"A-",IF(P96&lt;'PlayerGrades+'!$AG$5,"A",IF(P96&lt;'PlayerGrades+'!$AG$4,"A+",IF(P96&lt;'PlayerGrades+'!$AG$3,"S-",IF(P96&lt;'PlayerGrades+'!$AG$2,"S","S+"))))))))))))))))))))</f>
        <v>E+</v>
      </c>
      <c r="R96" s="961">
        <f t="shared" si="8"/>
        <v>0</v>
      </c>
      <c r="S96" s="961" t="str">
        <f>IF(R96&lt;'PlayerGrades+'!$AH$21,"F-",IF(R96&lt;'PlayerGrades+'!$AH$20,"F",IF(R96&lt;'PlayerGrades+'!$AH$19,"F+",IF(R96&lt;'PlayerGrades+'!$AH$18,"E-",IF(R96&lt;'PlayerGrades+'!$AH$17,"E",IF(R96&lt;'PlayerGrades+'!$AH$16,"E+",IF(R96&lt;'PlayerGrades+'!$AH$15,"D-",IF(R96&lt;'PlayerGrades+'!$AH$14,"D",IF(R96&lt;'PlayerGrades+'!$AH$13,"D+",IF(R96&lt;'PlayerGrades+'!$AH$12,"C-",IF(R96&lt;'PlayerGrades+'!$AH$11,"C",IF(R96&lt;'PlayerGrades+'!$AH$10,"C+",IF(R96&lt;'PlayerGrades+'!$AH$9,"B-",IF(R96&lt;'PlayerGrades+'!$AH$8,"B",IF(R96&lt;'PlayerGrades+'!$AH$7,"B+",IF(R96&lt;'PlayerGrades+'!$AH$6,"A-",IF(R96&lt;'PlayerGrades+'!$AH$5,"A",IF(R96&lt;'PlayerGrades+'!$AH$4,"A+",IF(R96&lt;'PlayerGrades+'!$AH$3,"S-",IF(R96&lt;'PlayerGrades+'!$AH$2,"S","S+"))))))))))))))))))))</f>
        <v>F-</v>
      </c>
      <c r="T96" s="961">
        <f t="shared" si="9"/>
        <v>2.701421801</v>
      </c>
      <c r="U96" s="961" t="str">
        <f>IF(T96&lt;'PlayerGrades+'!$AI$21,"F-",IF(T96&lt;'PlayerGrades+'!$AI$20,"F",IF(T96&lt;'PlayerGrades+'!$AI$19,"F+",IF(T96&lt;'PlayerGrades+'!$AI$18,"E-",IF(T96&lt;'PlayerGrades+'!$AI$17,"E",IF(T96&lt;'PlayerGrades+'!$AI$16,"E+",IF(T96&lt;'PlayerGrades+'!$AI$15,"D-",IF(T96&lt;'PlayerGrades+'!$AI$14,"D",IF(T96&lt;'PlayerGrades+'!$AI$13,"D+",IF(T96&lt;'PlayerGrades+'!$AI$12,"C-",IF(T96&lt;'PlayerGrades+'!$AI$11,"C",IF(T96&lt;'PlayerGrades+'!$AI$10,"C+",IF(T96&lt;'PlayerGrades+'!$AI$9,"B-",IF(T96&lt;'PlayerGrades+'!$AI$8,"B",IF(T96&lt;'PlayerGrades+'!$AI$7,"B+",IF(T96&lt;'PlayerGrades+'!$AI$6,"A-",IF(T96&lt;'PlayerGrades+'!$AI$5,"A",IF(T96&lt;'PlayerGrades+'!$AI$4,"A+",IF(T96&lt;'PlayerGrades+'!$AI$3,"S-",IF(T96&lt;'PlayerGrades+'!$AI$2,"S","S+"))))))))))))))))))))</f>
        <v>D+</v>
      </c>
      <c r="V96" s="1100">
        <v>0.0</v>
      </c>
      <c r="W96" s="1100">
        <v>1.0</v>
      </c>
      <c r="X96" s="1100">
        <v>0.0</v>
      </c>
      <c r="Y96" s="1100">
        <v>7.0</v>
      </c>
      <c r="Z96" s="1100">
        <v>57.0</v>
      </c>
      <c r="AA96" s="1100">
        <v>69.0</v>
      </c>
      <c r="AB96" s="1017">
        <f t="shared" si="10"/>
        <v>-12</v>
      </c>
      <c r="AC96" s="1020">
        <f t="shared" si="11"/>
        <v>0.8260869565</v>
      </c>
      <c r="AD96" s="1100">
        <v>0.0</v>
      </c>
      <c r="AE96" s="1329">
        <v>1266.0</v>
      </c>
      <c r="AF96" s="1100">
        <v>0.0</v>
      </c>
      <c r="AG96" s="1100">
        <v>0.0</v>
      </c>
      <c r="AH96" s="1100">
        <v>0.0</v>
      </c>
      <c r="AI96" s="1100">
        <v>0.0</v>
      </c>
      <c r="AJ96" s="1100">
        <v>1.0</v>
      </c>
      <c r="AK96" s="1100">
        <v>7.0</v>
      </c>
      <c r="AL96" s="1100">
        <v>1.0</v>
      </c>
      <c r="AM96" s="1100">
        <v>1.0</v>
      </c>
      <c r="AN96" s="1100">
        <v>0.0</v>
      </c>
      <c r="AO96" s="1100">
        <v>0.0</v>
      </c>
      <c r="AP96" s="1100">
        <v>0.0</v>
      </c>
      <c r="AQ96" s="1100">
        <v>0.0</v>
      </c>
      <c r="AR96" s="1100">
        <v>0.0</v>
      </c>
      <c r="AS96" s="1100">
        <v>0.0</v>
      </c>
      <c r="AT96" s="1100">
        <v>0.0</v>
      </c>
      <c r="AU96" s="1100">
        <v>6.0</v>
      </c>
      <c r="AV96" s="1100">
        <v>0.0</v>
      </c>
      <c r="AW96" s="1100">
        <v>0.0</v>
      </c>
      <c r="AX96" s="1100">
        <v>0.0</v>
      </c>
      <c r="AY96" s="1100">
        <v>0.0</v>
      </c>
      <c r="AZ96" s="1239">
        <v>0.0</v>
      </c>
    </row>
    <row r="97">
      <c r="A97" s="938" t="s">
        <v>395</v>
      </c>
      <c r="B97" s="1100" t="str">
        <f>IF(C97&lt;'PlayerGrades+'!$Y$44,"F-",IF(C97&lt;'PlayerGrades+'!$Y$43,"F",IF(C97&lt;'PlayerGrades+'!$Y$42,"F+",IF(C97&lt;'PlayerGrades+'!$Y$41,"E-",IF(C97&lt;'PlayerGrades+'!$Y$40,"E",IF(C97&lt;'PlayerGrades+'!$Y$39,"E+",IF(C97&lt;'PlayerGrades+'!$Y$38,"D-",IF(C97&lt;'PlayerGrades+'!$Y$37,"D",IF(C97&lt;'PlayerGrades+'!$Y$36,"D+",IF(C97&lt;'PlayerGrades+'!$Y$35,"C-",IF(C97&lt;'PlayerGrades+'!$Y$34,"C",IF(C97&lt;'PlayerGrades+'!$Y$33,"C+",IF(C97&lt;'PlayerGrades+'!$Y$32,"B-",IF(C97&lt;'PlayerGrades+'!$Y$31,"B",IF(C97&lt;'PlayerGrades+'!$Y$30,"B+",IF(C97&lt;'PlayerGrades+'!$Y$29,"A-",IF(C97&lt;'PlayerGrades+'!$Y$28,"A",IF(C97&lt;'PlayerGrades+'!$Y$27,"A+",IF(C97&lt;'PlayerGrades+'!$Y$26,"S-",IF(C97&lt;'PlayerGrades+'!$Y$25,"S","S+"))))))))))))))))))))</f>
        <v>D</v>
      </c>
      <c r="C97" s="1105">
        <f>('PlayerGrades+'!$Y$47*(VLOOKUP(E97, 'PlayerGrades+'!$X$3:$Y$23, 2, FALSE)))+('PlayerGrades+'!$Y$48*(VLOOKUP(G97, 'PlayerGrades+'!$X$3:$Y$23, 2, FALSE)))+('PlayerGrades+'!$Y$49*(VLOOKUP(I97, 'PlayerGrades+'!$X$3:$Y$23, 2, FALSE)))+('PlayerGrades+'!$Y$50*(VLOOKUP(K97, 'PlayerGrades+'!$X$3:$Y$23, 2, FALSE)))+('PlayerGrades+'!$Y$51*(VLOOKUP(M97, 'PlayerGrades+'!$X$3:$Y$23, 2, FALSE)))+('PlayerGrades+'!$Y$52*(VLOOKUP(O97, 'PlayerGrades+'!$X$3:$Y$23, 2, FALSE)))+('PlayerGrades+'!$Y$53*(VLOOKUP(Q97, 'PlayerGrades+'!$X$3:$Y$23, 2, FALSE)))+('PlayerGrades+'!$Y$54*(VLOOKUP(S97, 'PlayerGrades+'!$X$3:$Y$23, 2, FALSE)))+('PlayerGrades+'!$Y$55*(VLOOKUP(U97, 'PlayerGrades+'!$X$3:$Y$23, 2, FALSE)))</f>
        <v>13.575</v>
      </c>
      <c r="D97" s="1149">
        <f t="shared" si="1"/>
        <v>0.04739336493</v>
      </c>
      <c r="E97" s="1149" t="str">
        <f>IF(D97&lt;'PlayerGrades+'!$AA$21,"F-",IF(D97&lt;'PlayerGrades+'!$AA$20,"F",IF(D97&lt;'PlayerGrades+'!$AA$19,"F+",IF(D97&lt;'PlayerGrades+'!$AA$18,"E-",IF(D97&lt;'PlayerGrades+'!$AA$17,"E",IF(D97&lt;'PlayerGrades+'!$AA$16,"E+",IF(D97&lt;'PlayerGrades+'!$AA$15,"D-",IF(D97&lt;'PlayerGrades+'!$AA$14,"D",IF(D97&lt;'PlayerGrades+'!$AA$13,"D+",IF(D97&lt;'PlayerGrades+'!$AA$12,"C-",IF(D97&lt;'PlayerGrades+'!$AA$11,"C",IF(D97&lt;'PlayerGrades+'!$AA$10,"C+",IF(D97&lt;'PlayerGrades+'!$AA$9,"B-",IF(D97&lt;'PlayerGrades+'!$AA$8,"B",IF(D97&lt;'PlayerGrades+'!$AA$7,"B+",IF(D97&lt;'PlayerGrades+'!$AA$6,"A-",IF(D97&lt;'PlayerGrades+'!$AA$5,"A",IF(D97&lt;'PlayerGrades+'!$AA$4,"A+",IF(D97&lt;'PlayerGrades+'!$AA$3,"S-",IF(D97&lt;'PlayerGrades+'!$AA$2,"S","S+"))))))))))))))))))))</f>
        <v>C</v>
      </c>
      <c r="F97" s="1149">
        <f t="shared" si="2"/>
        <v>0.05170185265</v>
      </c>
      <c r="G97" s="1149" t="str">
        <f>IF(F97&lt;'PlayerGrades+'!$AB$21,"F-",IF(F97&lt;'PlayerGrades+'!$AB$20,"F",IF(F97&lt;'PlayerGrades+'!$AB$19,"F+",IF(F97&lt;'PlayerGrades+'!$AB$18,"E-",IF(F97&lt;'PlayerGrades+'!$AB$17,"E",IF(F97&lt;'PlayerGrades+'!$AB$16,"E+",IF(F97&lt;'PlayerGrades+'!$AB$15,"D-",IF(F97&lt;'PlayerGrades+'!$AB$14,"D",IF(F97&lt;'PlayerGrades+'!$AB$13,"D+",IF(F97&lt;'PlayerGrades+'!$AB$12,"C-",IF(F97&lt;'PlayerGrades+'!$AB$11,"C",IF(F97&lt;'PlayerGrades+'!$AB$10,"C+",IF(F97&lt;'PlayerGrades+'!$AB$9,"B-",IF(F97&lt;'PlayerGrades+'!$AB$8,"B",IF(F97&lt;'PlayerGrades+'!$AB$7,"B+",IF(F97&lt;'PlayerGrades+'!$AB$6,"A-",IF(F97&lt;'PlayerGrades+'!$AB$5,"A",IF(F97&lt;'PlayerGrades+'!$AB$4,"A+",IF(F97&lt;'PlayerGrades+'!$AB$3,"S-",IF(F97&lt;'PlayerGrades+'!$AB$2,"S","S+"))))))))))))))))))))</f>
        <v>A</v>
      </c>
      <c r="H97" s="1149">
        <f t="shared" si="3"/>
        <v>0.4265402844</v>
      </c>
      <c r="I97" s="1149" t="str">
        <f>IF(H97&lt;'PlayerGrades+'!$AC$21,"F-",IF(H97&lt;'PlayerGrades+'!$AC$20,"F",IF(H97&lt;'PlayerGrades+'!$AC$19,"F+",IF(H97&lt;'PlayerGrades+'!$AC$18,"E-",IF(H97&lt;'PlayerGrades+'!$AC$17,"E",IF(H97&lt;'PlayerGrades+'!$AC$16,"E+",IF(H97&lt;'PlayerGrades+'!$AC$15,"D-",IF(H97&lt;'PlayerGrades+'!$AC$14,"D",IF(H97&lt;'PlayerGrades+'!$AC$13,"D+",IF(H97&lt;'PlayerGrades+'!$AC$12,"C-",IF(H97&lt;'PlayerGrades+'!$AC$11,"C",IF(H97&lt;'PlayerGrades+'!$AC$10,"C+",IF(H97&lt;'PlayerGrades+'!$AC$9,"B-",IF(H97&lt;'PlayerGrades+'!$AC$8,"B",IF(H97&lt;'PlayerGrades+'!$AC$7,"B+",IF(H97&lt;'PlayerGrades+'!$AC$6,"A-",IF(H97&lt;'PlayerGrades+'!$AC$5,"A",IF(H97&lt;'PlayerGrades+'!$AC$4,"A+",IF(H97&lt;'PlayerGrades+'!$AC$3,"S-",IF(H97&lt;'PlayerGrades+'!$AC$2,"S","S+"))))))))))))))))))))</f>
        <v>D+</v>
      </c>
      <c r="J97" s="1149">
        <f t="shared" si="4"/>
        <v>0.04739336493</v>
      </c>
      <c r="K97" s="1149" t="str">
        <f>IF(J97&lt;'PlayerGrades+'!$AD$21,"F-",IF(J97&lt;'PlayerGrades+'!$AD$20,"F",IF(J97&lt;'PlayerGrades+'!$AD$19,"F+",IF(J97&lt;'PlayerGrades+'!$AD$18,"E-",IF(J97&lt;'PlayerGrades+'!$AD$17,"E",IF(J97&lt;'PlayerGrades+'!$AD$16,"E+",IF(J97&lt;'PlayerGrades+'!$AD$15,"D-",IF(J97&lt;'PlayerGrades+'!$AD$14,"D",IF(J97&lt;'PlayerGrades+'!$AD$13,"D+",IF(J97&lt;'PlayerGrades+'!$AD$12,"C-",IF(J97&lt;'PlayerGrades+'!$AD$11,"C",IF(J97&lt;'PlayerGrades+'!$AD$10,"C+",IF(J97&lt;'PlayerGrades+'!$AD$9,"B-",IF(J97&lt;'PlayerGrades+'!$AD$8,"B",IF(J97&lt;'PlayerGrades+'!$AD$7,"B+",IF(J97&lt;'PlayerGrades+'!$AD$6,"A-",IF(J97&lt;'PlayerGrades+'!$AD$5,"A",IF(J97&lt;'PlayerGrades+'!$AD$4,"A+",IF(J97&lt;'PlayerGrades+'!$AD$3,"S-",IF(J97&lt;'PlayerGrades+'!$AD$2,"S","S+"))))))))))))))))))))</f>
        <v>C+</v>
      </c>
      <c r="L97" s="1156">
        <f t="shared" si="5"/>
        <v>0.3791469194</v>
      </c>
      <c r="M97" s="1156" t="str">
        <f>IF(L97&lt;'PlayerGrades+'!$AE$21,"F-",IF(L97&lt;'PlayerGrades+'!$AE$20,"F",IF(L97&lt;'PlayerGrades+'!$AE$19,"F+",IF(L97&lt;'PlayerGrades+'!$AE$18,"E-",IF(L97&lt;'PlayerGrades+'!$AE$17,"E",IF(L97&lt;'PlayerGrades+'!$AE$16,"E+",IF(L97&lt;'PlayerGrades+'!$AE$15,"D-",IF(L97&lt;'PlayerGrades+'!$AE$14,"D",IF(L97&lt;'PlayerGrades+'!$AE$13,"D+",IF(L97&lt;'PlayerGrades+'!$AE$12,"C-",IF(L97&lt;'PlayerGrades+'!$AE$11,"C",IF(L97&lt;'PlayerGrades+'!$AE$10,"C+",IF(L97&lt;'PlayerGrades+'!$AE$9,"B-",IF(L97&lt;'PlayerGrades+'!$AE$8,"B",IF(L97&lt;'PlayerGrades+'!$AE$7,"B+",IF(L97&lt;'PlayerGrades+'!$AE$6,"A-",IF(L97&lt;'PlayerGrades+'!$AE$5,"A",IF(L97&lt;'PlayerGrades+'!$AE$4,"A+",IF(L97&lt;'PlayerGrades+'!$AE$3,"S-",IF(L97&lt;'PlayerGrades+'!$AE$2,"S","S+"))))))))))))))))))))</f>
        <v>D-</v>
      </c>
      <c r="N97" s="1149">
        <f t="shared" si="6"/>
        <v>0.04739336493</v>
      </c>
      <c r="O97" s="1149" t="str">
        <f>IF(N97&lt;'PlayerGrades+'!$AF$21,"F-",IF(N97&lt;'PlayerGrades+'!$AF$20,"F",IF(N97&lt;'PlayerGrades+'!$AF$19,"F+",IF(N97&lt;'PlayerGrades+'!$AF$18,"E-",IF(N97&lt;'PlayerGrades+'!$AF$17,"E",IF(N97&lt;'PlayerGrades+'!$AF$16,"E+",IF(N97&lt;'PlayerGrades+'!$AF$15,"D-",IF(N97&lt;'PlayerGrades+'!$AF$14,"D",IF(N97&lt;'PlayerGrades+'!$AF$13,"D+",IF(N97&lt;'PlayerGrades+'!$AF$12,"C-",IF(N97&lt;'PlayerGrades+'!$AF$11,"C",IF(N97&lt;'PlayerGrades+'!$AF$10,"C+",IF(N97&lt;'PlayerGrades+'!$AF$9,"B-",IF(N97&lt;'PlayerGrades+'!$AF$8,"B",IF(N97&lt;'PlayerGrades+'!$AF$7,"B+",IF(N97&lt;'PlayerGrades+'!$AF$6,"A-",IF(N97&lt;'PlayerGrades+'!$AF$5,"A",IF(N97&lt;'PlayerGrades+'!$AF$4,"A+",IF(N97&lt;'PlayerGrades+'!$AF$3,"S-",IF(N97&lt;'PlayerGrades+'!$AF$2,"S","S+"))))))))))))))))))))</f>
        <v>F</v>
      </c>
      <c r="P97" s="1149">
        <f t="shared" si="7"/>
        <v>0.4265402844</v>
      </c>
      <c r="Q97" s="1149" t="str">
        <f>IF(P97&lt;'PlayerGrades+'!$AG$21,"F-",IF(P97&lt;'PlayerGrades+'!$AG$20,"F",IF(P97&lt;'PlayerGrades+'!$AG$19,"F+",IF(P97&lt;'PlayerGrades+'!$AG$18,"E-",IF(P97&lt;'PlayerGrades+'!$AG$17,"E",IF(P97&lt;'PlayerGrades+'!$AG$16,"E+",IF(P97&lt;'PlayerGrades+'!$AG$15,"D-",IF(P97&lt;'PlayerGrades+'!$AG$14,"D",IF(P97&lt;'PlayerGrades+'!$AG$13,"D+",IF(P97&lt;'PlayerGrades+'!$AG$12,"C-",IF(P97&lt;'PlayerGrades+'!$AG$11,"C",IF(P97&lt;'PlayerGrades+'!$AG$10,"C+",IF(P97&lt;'PlayerGrades+'!$AG$9,"B-",IF(P97&lt;'PlayerGrades+'!$AG$8,"B",IF(P97&lt;'PlayerGrades+'!$AG$7,"B+",IF(P97&lt;'PlayerGrades+'!$AG$6,"A-",IF(P97&lt;'PlayerGrades+'!$AG$5,"A",IF(P97&lt;'PlayerGrades+'!$AG$4,"A+",IF(P97&lt;'PlayerGrades+'!$AG$3,"S-",IF(P97&lt;'PlayerGrades+'!$AG$2,"S","S+"))))))))))))))))))))</f>
        <v>E-</v>
      </c>
      <c r="R97" s="1149">
        <f t="shared" si="8"/>
        <v>0</v>
      </c>
      <c r="S97" s="1149" t="str">
        <f>IF(R97&lt;'PlayerGrades+'!$AH$21,"F-",IF(R97&lt;'PlayerGrades+'!$AH$20,"F",IF(R97&lt;'PlayerGrades+'!$AH$19,"F+",IF(R97&lt;'PlayerGrades+'!$AH$18,"E-",IF(R97&lt;'PlayerGrades+'!$AH$17,"E",IF(R97&lt;'PlayerGrades+'!$AH$16,"E+",IF(R97&lt;'PlayerGrades+'!$AH$15,"D-",IF(R97&lt;'PlayerGrades+'!$AH$14,"D",IF(R97&lt;'PlayerGrades+'!$AH$13,"D+",IF(R97&lt;'PlayerGrades+'!$AH$12,"C-",IF(R97&lt;'PlayerGrades+'!$AH$11,"C",IF(R97&lt;'PlayerGrades+'!$AH$10,"C+",IF(R97&lt;'PlayerGrades+'!$AH$9,"B-",IF(R97&lt;'PlayerGrades+'!$AH$8,"B",IF(R97&lt;'PlayerGrades+'!$AH$7,"B+",IF(R97&lt;'PlayerGrades+'!$AH$6,"A-",IF(R97&lt;'PlayerGrades+'!$AH$5,"A",IF(R97&lt;'PlayerGrades+'!$AH$4,"A+",IF(R97&lt;'PlayerGrades+'!$AH$3,"S-",IF(R97&lt;'PlayerGrades+'!$AH$2,"S","S+"))))))))))))))))))))</f>
        <v>F-</v>
      </c>
      <c r="T97" s="1149">
        <f t="shared" si="9"/>
        <v>2.274881517</v>
      </c>
      <c r="U97" s="1149" t="str">
        <f>IF(T97&lt;'PlayerGrades+'!$AI$21,"F-",IF(T97&lt;'PlayerGrades+'!$AI$20,"F",IF(T97&lt;'PlayerGrades+'!$AI$19,"F+",IF(T97&lt;'PlayerGrades+'!$AI$18,"E-",IF(T97&lt;'PlayerGrades+'!$AI$17,"E",IF(T97&lt;'PlayerGrades+'!$AI$16,"E+",IF(T97&lt;'PlayerGrades+'!$AI$15,"D-",IF(T97&lt;'PlayerGrades+'!$AI$14,"D",IF(T97&lt;'PlayerGrades+'!$AI$13,"D+",IF(T97&lt;'PlayerGrades+'!$AI$12,"C-",IF(T97&lt;'PlayerGrades+'!$AI$11,"C",IF(T97&lt;'PlayerGrades+'!$AI$10,"C+",IF(T97&lt;'PlayerGrades+'!$AI$9,"B-",IF(T97&lt;'PlayerGrades+'!$AI$8,"B",IF(T97&lt;'PlayerGrades+'!$AI$7,"B+",IF(T97&lt;'PlayerGrades+'!$AI$6,"A-",IF(T97&lt;'PlayerGrades+'!$AI$5,"A",IF(T97&lt;'PlayerGrades+'!$AI$4,"A+",IF(T97&lt;'PlayerGrades+'!$AI$3,"S-",IF(T97&lt;'PlayerGrades+'!$AI$2,"S","S+"))))))))))))))))))))</f>
        <v>F+</v>
      </c>
      <c r="V97" s="1227">
        <v>0.0</v>
      </c>
      <c r="W97" s="1227">
        <v>1.0</v>
      </c>
      <c r="X97" s="1100">
        <v>1.0</v>
      </c>
      <c r="Y97" s="1100">
        <v>5.0</v>
      </c>
      <c r="Z97" s="1100">
        <v>48.0</v>
      </c>
      <c r="AA97" s="1100">
        <v>44.0</v>
      </c>
      <c r="AB97" s="1017">
        <f t="shared" si="10"/>
        <v>4</v>
      </c>
      <c r="AC97" s="1020">
        <f t="shared" si="11"/>
        <v>1.090909091</v>
      </c>
      <c r="AD97" s="1100">
        <v>0.0</v>
      </c>
      <c r="AE97" s="1329">
        <v>1266.0</v>
      </c>
      <c r="AF97" s="1100">
        <v>1.0</v>
      </c>
      <c r="AG97" s="1100">
        <v>0.0</v>
      </c>
      <c r="AH97" s="1100">
        <v>0.0</v>
      </c>
      <c r="AI97" s="1100">
        <v>0.0</v>
      </c>
      <c r="AJ97" s="1100">
        <v>0.0</v>
      </c>
      <c r="AK97" s="1100">
        <v>8.0</v>
      </c>
      <c r="AL97" s="1100">
        <v>1.0</v>
      </c>
      <c r="AM97" s="1100">
        <v>0.0</v>
      </c>
      <c r="AN97" s="1100">
        <v>0.0</v>
      </c>
      <c r="AO97" s="1100">
        <v>0.0</v>
      </c>
      <c r="AP97" s="1100">
        <v>0.0</v>
      </c>
      <c r="AQ97" s="1100">
        <v>0.0</v>
      </c>
      <c r="AR97" s="1100">
        <v>0.0</v>
      </c>
      <c r="AS97" s="1100">
        <v>0.0</v>
      </c>
      <c r="AT97" s="1100">
        <v>0.0</v>
      </c>
      <c r="AU97" s="1100">
        <v>9.0</v>
      </c>
      <c r="AV97" s="1100">
        <v>0.0</v>
      </c>
      <c r="AW97" s="1100">
        <v>0.0</v>
      </c>
      <c r="AX97" s="1100">
        <v>0.0</v>
      </c>
      <c r="AY97" s="1100">
        <v>0.0</v>
      </c>
      <c r="AZ97" s="1239">
        <v>0.0</v>
      </c>
    </row>
    <row r="98">
      <c r="A98" s="1262" t="s">
        <v>197</v>
      </c>
      <c r="B98" s="1169" t="str">
        <f>IF(C98&lt;'PlayerGrades+'!$Y$44,"F-",IF(C98&lt;'PlayerGrades+'!$Y$43,"F",IF(C98&lt;'PlayerGrades+'!$Y$42,"F+",IF(C98&lt;'PlayerGrades+'!$Y$41,"E-",IF(C98&lt;'PlayerGrades+'!$Y$40,"E",IF(C98&lt;'PlayerGrades+'!$Y$39,"E+",IF(C98&lt;'PlayerGrades+'!$Y$38,"D-",IF(C98&lt;'PlayerGrades+'!$Y$37,"D",IF(C98&lt;'PlayerGrades+'!$Y$36,"D+",IF(C98&lt;'PlayerGrades+'!$Y$35,"C-",IF(C98&lt;'PlayerGrades+'!$Y$34,"C",IF(C98&lt;'PlayerGrades+'!$Y$33,"C+",IF(C98&lt;'PlayerGrades+'!$Y$32,"B-",IF(C98&lt;'PlayerGrades+'!$Y$31,"B",IF(C98&lt;'PlayerGrades+'!$Y$30,"B+",IF(C98&lt;'PlayerGrades+'!$Y$29,"A-",IF(C98&lt;'PlayerGrades+'!$Y$28,"A",IF(C98&lt;'PlayerGrades+'!$Y$27,"A+",IF(C98&lt;'PlayerGrades+'!$Y$26,"S-",IF(C98&lt;'PlayerGrades+'!$Y$25,"S","S+"))))))))))))))))))))</f>
        <v>B+</v>
      </c>
      <c r="C98" s="1170">
        <f>('PlayerGrades+'!$Y$47*(VLOOKUP(E98, 'PlayerGrades+'!$X$3:$Y$23, 2, FALSE)))+('PlayerGrades+'!$Y$48*(VLOOKUP(G98, 'PlayerGrades+'!$X$3:$Y$23, 2, FALSE)))+('PlayerGrades+'!$Y$49*(VLOOKUP(I98, 'PlayerGrades+'!$X$3:$Y$23, 2, FALSE)))+('PlayerGrades+'!$Y$50*(VLOOKUP(K98, 'PlayerGrades+'!$X$3:$Y$23, 2, FALSE)))+('PlayerGrades+'!$Y$51*(VLOOKUP(M98, 'PlayerGrades+'!$X$3:$Y$23, 2, FALSE)))+('PlayerGrades+'!$Y$52*(VLOOKUP(O98, 'PlayerGrades+'!$X$3:$Y$23, 2, FALSE)))+('PlayerGrades+'!$Y$53*(VLOOKUP(Q98, 'PlayerGrades+'!$X$3:$Y$23, 2, FALSE)))+('PlayerGrades+'!$Y$54*(VLOOKUP(S98, 'PlayerGrades+'!$X$3:$Y$23, 2, FALSE)))+('PlayerGrades+'!$Y$55*(VLOOKUP(U98, 'PlayerGrades+'!$X$3:$Y$23, 2, FALSE)))</f>
        <v>19.8875</v>
      </c>
      <c r="D98" s="890">
        <f t="shared" si="1"/>
        <v>0</v>
      </c>
      <c r="E98" s="890" t="str">
        <f>IF(D98&lt;'PlayerGrades+'!$AA$21,"F-",IF(D98&lt;'PlayerGrades+'!$AA$20,"F",IF(D98&lt;'PlayerGrades+'!$AA$19,"F+",IF(D98&lt;'PlayerGrades+'!$AA$18,"E-",IF(D98&lt;'PlayerGrades+'!$AA$17,"E",IF(D98&lt;'PlayerGrades+'!$AA$16,"E+",IF(D98&lt;'PlayerGrades+'!$AA$15,"D-",IF(D98&lt;'PlayerGrades+'!$AA$14,"D",IF(D98&lt;'PlayerGrades+'!$AA$13,"D+",IF(D98&lt;'PlayerGrades+'!$AA$12,"C-",IF(D98&lt;'PlayerGrades+'!$AA$11,"C",IF(D98&lt;'PlayerGrades+'!$AA$10,"C+",IF(D98&lt;'PlayerGrades+'!$AA$9,"B-",IF(D98&lt;'PlayerGrades+'!$AA$8,"B",IF(D98&lt;'PlayerGrades+'!$AA$7,"B+",IF(D98&lt;'PlayerGrades+'!$AA$6,"A-",IF(D98&lt;'PlayerGrades+'!$AA$5,"A",IF(D98&lt;'PlayerGrades+'!$AA$4,"A+",IF(D98&lt;'PlayerGrades+'!$AA$3,"S-",IF(D98&lt;'PlayerGrades+'!$AA$2,"S","S+"))))))))))))))))))))</f>
        <v>F-</v>
      </c>
      <c r="F98" s="890">
        <f t="shared" si="2"/>
        <v>0.09302325581</v>
      </c>
      <c r="G98" s="890" t="str">
        <f>IF(F98&lt;'PlayerGrades+'!$AB$21,"F-",IF(F98&lt;'PlayerGrades+'!$AB$20,"F",IF(F98&lt;'PlayerGrades+'!$AB$19,"F+",IF(F98&lt;'PlayerGrades+'!$AB$18,"E-",IF(F98&lt;'PlayerGrades+'!$AB$17,"E",IF(F98&lt;'PlayerGrades+'!$AB$16,"E+",IF(F98&lt;'PlayerGrades+'!$AB$15,"D-",IF(F98&lt;'PlayerGrades+'!$AB$14,"D",IF(F98&lt;'PlayerGrades+'!$AB$13,"D+",IF(F98&lt;'PlayerGrades+'!$AB$12,"C-",IF(F98&lt;'PlayerGrades+'!$AB$11,"C",IF(F98&lt;'PlayerGrades+'!$AB$10,"C+",IF(F98&lt;'PlayerGrades+'!$AB$9,"B-",IF(F98&lt;'PlayerGrades+'!$AB$8,"B",IF(F98&lt;'PlayerGrades+'!$AB$7,"B+",IF(F98&lt;'PlayerGrades+'!$AB$6,"A-",IF(F98&lt;'PlayerGrades+'!$AB$5,"A",IF(F98&lt;'PlayerGrades+'!$AB$4,"A+",IF(F98&lt;'PlayerGrades+'!$AB$3,"S-",IF(F98&lt;'PlayerGrades+'!$AB$2,"S","S+"))))))))))))))))))))</f>
        <v>A</v>
      </c>
      <c r="H98" s="890">
        <f t="shared" si="3"/>
        <v>0.3986710963</v>
      </c>
      <c r="I98" s="890" t="str">
        <f>IF(H98&lt;'PlayerGrades+'!$AC$21,"F-",IF(H98&lt;'PlayerGrades+'!$AC$20,"F",IF(H98&lt;'PlayerGrades+'!$AC$19,"F+",IF(H98&lt;'PlayerGrades+'!$AC$18,"E-",IF(H98&lt;'PlayerGrades+'!$AC$17,"E",IF(H98&lt;'PlayerGrades+'!$AC$16,"E+",IF(H98&lt;'PlayerGrades+'!$AC$15,"D-",IF(H98&lt;'PlayerGrades+'!$AC$14,"D",IF(H98&lt;'PlayerGrades+'!$AC$13,"D+",IF(H98&lt;'PlayerGrades+'!$AC$12,"C-",IF(H98&lt;'PlayerGrades+'!$AC$11,"C",IF(H98&lt;'PlayerGrades+'!$AC$10,"C+",IF(H98&lt;'PlayerGrades+'!$AC$9,"B-",IF(H98&lt;'PlayerGrades+'!$AC$8,"B",IF(H98&lt;'PlayerGrades+'!$AC$7,"B+",IF(H98&lt;'PlayerGrades+'!$AC$6,"A-",IF(H98&lt;'PlayerGrades+'!$AC$5,"A",IF(H98&lt;'PlayerGrades+'!$AC$4,"A+",IF(H98&lt;'PlayerGrades+'!$AC$3,"S-",IF(H98&lt;'PlayerGrades+'!$AC$2,"S","S+"))))))))))))))))))))</f>
        <v>D</v>
      </c>
      <c r="J98" s="890">
        <f t="shared" si="4"/>
        <v>0.06644518272</v>
      </c>
      <c r="K98" s="890" t="str">
        <f>IF(J98&lt;'PlayerGrades+'!$AD$21,"F-",IF(J98&lt;'PlayerGrades+'!$AD$20,"F",IF(J98&lt;'PlayerGrades+'!$AD$19,"F+",IF(J98&lt;'PlayerGrades+'!$AD$18,"E-",IF(J98&lt;'PlayerGrades+'!$AD$17,"E",IF(J98&lt;'PlayerGrades+'!$AD$16,"E+",IF(J98&lt;'PlayerGrades+'!$AD$15,"D-",IF(J98&lt;'PlayerGrades+'!$AD$14,"D",IF(J98&lt;'PlayerGrades+'!$AD$13,"D+",IF(J98&lt;'PlayerGrades+'!$AD$12,"C-",IF(J98&lt;'PlayerGrades+'!$AD$11,"C",IF(J98&lt;'PlayerGrades+'!$AD$10,"C+",IF(J98&lt;'PlayerGrades+'!$AD$9,"B-",IF(J98&lt;'PlayerGrades+'!$AD$8,"B",IF(J98&lt;'PlayerGrades+'!$AD$7,"B+",IF(J98&lt;'PlayerGrades+'!$AD$6,"A-",IF(J98&lt;'PlayerGrades+'!$AD$5,"A",IF(J98&lt;'PlayerGrades+'!$AD$4,"A+",IF(J98&lt;'PlayerGrades+'!$AD$3,"S-",IF(J98&lt;'PlayerGrades+'!$AD$2,"S","S+"))))))))))))))))))))</f>
        <v>A-</v>
      </c>
      <c r="L98" s="899">
        <f t="shared" si="5"/>
        <v>0.7973421927</v>
      </c>
      <c r="M98" s="899" t="str">
        <f>IF(L98&lt;'PlayerGrades+'!$AE$21,"F-",IF(L98&lt;'PlayerGrades+'!$AE$20,"F",IF(L98&lt;'PlayerGrades+'!$AE$19,"F+",IF(L98&lt;'PlayerGrades+'!$AE$18,"E-",IF(L98&lt;'PlayerGrades+'!$AE$17,"E",IF(L98&lt;'PlayerGrades+'!$AE$16,"E+",IF(L98&lt;'PlayerGrades+'!$AE$15,"D-",IF(L98&lt;'PlayerGrades+'!$AE$14,"D",IF(L98&lt;'PlayerGrades+'!$AE$13,"D+",IF(L98&lt;'PlayerGrades+'!$AE$12,"C-",IF(L98&lt;'PlayerGrades+'!$AE$11,"C",IF(L98&lt;'PlayerGrades+'!$AE$10,"C+",IF(L98&lt;'PlayerGrades+'!$AE$9,"B-",IF(L98&lt;'PlayerGrades+'!$AE$8,"B",IF(L98&lt;'PlayerGrades+'!$AE$7,"B+",IF(L98&lt;'PlayerGrades+'!$AE$6,"A-",IF(L98&lt;'PlayerGrades+'!$AE$5,"A",IF(L98&lt;'PlayerGrades+'!$AE$4,"A+",IF(L98&lt;'PlayerGrades+'!$AE$3,"S-",IF(L98&lt;'PlayerGrades+'!$AE$2,"S","S+"))))))))))))))))))))</f>
        <v>S-</v>
      </c>
      <c r="N98" s="890">
        <f t="shared" si="6"/>
        <v>0.3322259136</v>
      </c>
      <c r="O98" s="890" t="str">
        <f>IF(N98&lt;'PlayerGrades+'!$AF$21,"F-",IF(N98&lt;'PlayerGrades+'!$AF$20,"F",IF(N98&lt;'PlayerGrades+'!$AF$19,"F+",IF(N98&lt;'PlayerGrades+'!$AF$18,"E-",IF(N98&lt;'PlayerGrades+'!$AF$17,"E",IF(N98&lt;'PlayerGrades+'!$AF$16,"E+",IF(N98&lt;'PlayerGrades+'!$AF$15,"D-",IF(N98&lt;'PlayerGrades+'!$AF$14,"D",IF(N98&lt;'PlayerGrades+'!$AF$13,"D+",IF(N98&lt;'PlayerGrades+'!$AF$12,"C-",IF(N98&lt;'PlayerGrades+'!$AF$11,"C",IF(N98&lt;'PlayerGrades+'!$AF$10,"C+",IF(N98&lt;'PlayerGrades+'!$AF$9,"B-",IF(N98&lt;'PlayerGrades+'!$AF$8,"B",IF(N98&lt;'PlayerGrades+'!$AF$7,"B+",IF(N98&lt;'PlayerGrades+'!$AF$6,"A-",IF(N98&lt;'PlayerGrades+'!$AF$5,"A",IF(N98&lt;'PlayerGrades+'!$AF$4,"A+",IF(N98&lt;'PlayerGrades+'!$AF$3,"S-",IF(N98&lt;'PlayerGrades+'!$AF$2,"S","S+"))))))))))))))))))))</f>
        <v>S</v>
      </c>
      <c r="P98" s="890">
        <f t="shared" si="7"/>
        <v>1.528239203</v>
      </c>
      <c r="Q98" s="890" t="str">
        <f>IF(P98&lt;'PlayerGrades+'!$AG$21,"F-",IF(P98&lt;'PlayerGrades+'!$AG$20,"F",IF(P98&lt;'PlayerGrades+'!$AG$19,"F+",IF(P98&lt;'PlayerGrades+'!$AG$18,"E-",IF(P98&lt;'PlayerGrades+'!$AG$17,"E",IF(P98&lt;'PlayerGrades+'!$AG$16,"E+",IF(P98&lt;'PlayerGrades+'!$AG$15,"D-",IF(P98&lt;'PlayerGrades+'!$AG$14,"D",IF(P98&lt;'PlayerGrades+'!$AG$13,"D+",IF(P98&lt;'PlayerGrades+'!$AG$12,"C-",IF(P98&lt;'PlayerGrades+'!$AG$11,"C",IF(P98&lt;'PlayerGrades+'!$AG$10,"C+",IF(P98&lt;'PlayerGrades+'!$AG$9,"B-",IF(P98&lt;'PlayerGrades+'!$AG$8,"B",IF(P98&lt;'PlayerGrades+'!$AG$7,"B+",IF(P98&lt;'PlayerGrades+'!$AG$6,"A-",IF(P98&lt;'PlayerGrades+'!$AG$5,"A",IF(P98&lt;'PlayerGrades+'!$AG$4,"A+",IF(P98&lt;'PlayerGrades+'!$AG$3,"S-",IF(P98&lt;'PlayerGrades+'!$AG$2,"S","S+"))))))))))))))))))))</f>
        <v>S</v>
      </c>
      <c r="R98" s="890">
        <f t="shared" si="8"/>
        <v>0.06644518272</v>
      </c>
      <c r="S98" s="890" t="str">
        <f>IF(R98&lt;'PlayerGrades+'!$AH$21,"F-",IF(R98&lt;'PlayerGrades+'!$AH$20,"F",IF(R98&lt;'PlayerGrades+'!$AH$19,"F+",IF(R98&lt;'PlayerGrades+'!$AH$18,"E-",IF(R98&lt;'PlayerGrades+'!$AH$17,"E",IF(R98&lt;'PlayerGrades+'!$AH$16,"E+",IF(R98&lt;'PlayerGrades+'!$AH$15,"D-",IF(R98&lt;'PlayerGrades+'!$AH$14,"D",IF(R98&lt;'PlayerGrades+'!$AH$13,"D+",IF(R98&lt;'PlayerGrades+'!$AH$12,"C-",IF(R98&lt;'PlayerGrades+'!$AH$11,"C",IF(R98&lt;'PlayerGrades+'!$AH$10,"C+",IF(R98&lt;'PlayerGrades+'!$AH$9,"B-",IF(R98&lt;'PlayerGrades+'!$AH$8,"B",IF(R98&lt;'PlayerGrades+'!$AH$7,"B+",IF(R98&lt;'PlayerGrades+'!$AH$6,"A-",IF(R98&lt;'PlayerGrades+'!$AH$5,"A",IF(R98&lt;'PlayerGrades+'!$AH$4,"A+",IF(R98&lt;'PlayerGrades+'!$AH$3,"S-",IF(R98&lt;'PlayerGrades+'!$AH$2,"S","S+"))))))))))))))))))))</f>
        <v>B</v>
      </c>
      <c r="T98" s="890">
        <f t="shared" si="9"/>
        <v>4.651162791</v>
      </c>
      <c r="U98" s="890" t="str">
        <f>IF(T98&lt;'PlayerGrades+'!$AI$21,"F-",IF(T98&lt;'PlayerGrades+'!$AI$20,"F",IF(T98&lt;'PlayerGrades+'!$AI$19,"F+",IF(T98&lt;'PlayerGrades+'!$AI$18,"E-",IF(T98&lt;'PlayerGrades+'!$AI$17,"E",IF(T98&lt;'PlayerGrades+'!$AI$16,"E+",IF(T98&lt;'PlayerGrades+'!$AI$15,"D-",IF(T98&lt;'PlayerGrades+'!$AI$14,"D",IF(T98&lt;'PlayerGrades+'!$AI$13,"D+",IF(T98&lt;'PlayerGrades+'!$AI$12,"C-",IF(T98&lt;'PlayerGrades+'!$AI$11,"C",IF(T98&lt;'PlayerGrades+'!$AI$10,"C+",IF(T98&lt;'PlayerGrades+'!$AI$9,"B-",IF(T98&lt;'PlayerGrades+'!$AI$8,"B",IF(T98&lt;'PlayerGrades+'!$AI$7,"B+",IF(T98&lt;'PlayerGrades+'!$AI$6,"A-",IF(T98&lt;'PlayerGrades+'!$AI$5,"A",IF(T98&lt;'PlayerGrades+'!$AI$4,"A+",IF(T98&lt;'PlayerGrades+'!$AI$3,"S-",IF(T98&lt;'PlayerGrades+'!$AI$2,"S","S+"))))))))))))))))))))</f>
        <v>S+</v>
      </c>
      <c r="V98" s="1169">
        <v>1.0</v>
      </c>
      <c r="W98" s="1169">
        <v>0.0</v>
      </c>
      <c r="X98" s="1394">
        <v>0.0</v>
      </c>
      <c r="Y98" s="1394">
        <v>1.0</v>
      </c>
      <c r="Z98" s="1394">
        <v>70.0</v>
      </c>
      <c r="AA98" s="1394">
        <v>50.0</v>
      </c>
      <c r="AB98" s="925">
        <f t="shared" si="10"/>
        <v>20</v>
      </c>
      <c r="AC98" s="930">
        <f t="shared" si="11"/>
        <v>1.4</v>
      </c>
      <c r="AD98" s="1394">
        <v>0.0</v>
      </c>
      <c r="AE98" s="1395">
        <v>903.0</v>
      </c>
      <c r="AF98" s="1394">
        <v>1.0</v>
      </c>
      <c r="AG98" s="1394">
        <v>0.0</v>
      </c>
      <c r="AH98" s="1394">
        <v>0.0</v>
      </c>
      <c r="AI98" s="1394">
        <v>0.0</v>
      </c>
      <c r="AJ98" s="1394">
        <v>3.0</v>
      </c>
      <c r="AK98" s="1394">
        <v>12.0</v>
      </c>
      <c r="AL98" s="1394">
        <v>5.0</v>
      </c>
      <c r="AM98" s="1394">
        <v>2.0</v>
      </c>
      <c r="AN98" s="1394">
        <v>1.0</v>
      </c>
      <c r="AO98" s="1394">
        <v>0.0</v>
      </c>
      <c r="AP98" s="1394">
        <v>0.0</v>
      </c>
      <c r="AQ98" s="1394">
        <v>0.0</v>
      </c>
      <c r="AR98" s="1394">
        <v>0.0</v>
      </c>
      <c r="AS98" s="1394">
        <v>0.0</v>
      </c>
      <c r="AT98" s="1394">
        <v>0.0</v>
      </c>
      <c r="AU98" s="1394">
        <v>6.0</v>
      </c>
      <c r="AV98" s="1394">
        <v>0.0</v>
      </c>
      <c r="AW98" s="1394">
        <v>0.0</v>
      </c>
      <c r="AX98" s="1394">
        <v>0.0</v>
      </c>
      <c r="AY98" s="1394">
        <v>0.0</v>
      </c>
      <c r="AZ98" s="1396">
        <v>1.0</v>
      </c>
    </row>
    <row r="99">
      <c r="A99" s="1277" t="s">
        <v>48</v>
      </c>
      <c r="B99" s="1100" t="str">
        <f>IF(C99&lt;'PlayerGrades+'!$Y$44,"F-",IF(C99&lt;'PlayerGrades+'!$Y$43,"F",IF(C99&lt;'PlayerGrades+'!$Y$42,"F+",IF(C99&lt;'PlayerGrades+'!$Y$41,"E-",IF(C99&lt;'PlayerGrades+'!$Y$40,"E",IF(C99&lt;'PlayerGrades+'!$Y$39,"E+",IF(C99&lt;'PlayerGrades+'!$Y$38,"D-",IF(C99&lt;'PlayerGrades+'!$Y$37,"D",IF(C99&lt;'PlayerGrades+'!$Y$36,"D+",IF(C99&lt;'PlayerGrades+'!$Y$35,"C-",IF(C99&lt;'PlayerGrades+'!$Y$34,"C",IF(C99&lt;'PlayerGrades+'!$Y$33,"C+",IF(C99&lt;'PlayerGrades+'!$Y$32,"B-",IF(C99&lt;'PlayerGrades+'!$Y$31,"B",IF(C99&lt;'PlayerGrades+'!$Y$30,"B+",IF(C99&lt;'PlayerGrades+'!$Y$29,"A-",IF(C99&lt;'PlayerGrades+'!$Y$28,"A",IF(C99&lt;'PlayerGrades+'!$Y$27,"A+",IF(C99&lt;'PlayerGrades+'!$Y$26,"S-",IF(C99&lt;'PlayerGrades+'!$Y$25,"S","S+"))))))))))))))))))))</f>
        <v>E-</v>
      </c>
      <c r="C99" s="1105">
        <f>('PlayerGrades+'!$Y$47*(VLOOKUP(E99, 'PlayerGrades+'!$X$3:$Y$23, 2, FALSE)))+('PlayerGrades+'!$Y$48*(VLOOKUP(G99, 'PlayerGrades+'!$X$3:$Y$23, 2, FALSE)))+('PlayerGrades+'!$Y$49*(VLOOKUP(I99, 'PlayerGrades+'!$X$3:$Y$23, 2, FALSE)))+('PlayerGrades+'!$Y$50*(VLOOKUP(K99, 'PlayerGrades+'!$X$3:$Y$23, 2, FALSE)))+('PlayerGrades+'!$Y$51*(VLOOKUP(M99, 'PlayerGrades+'!$X$3:$Y$23, 2, FALSE)))+('PlayerGrades+'!$Y$52*(VLOOKUP(O99, 'PlayerGrades+'!$X$3:$Y$23, 2, FALSE)))+('PlayerGrades+'!$Y$53*(VLOOKUP(Q99, 'PlayerGrades+'!$X$3:$Y$23, 2, FALSE)))+('PlayerGrades+'!$Y$54*(VLOOKUP(S99, 'PlayerGrades+'!$X$3:$Y$23, 2, FALSE)))+('PlayerGrades+'!$Y$55*(VLOOKUP(U99, 'PlayerGrades+'!$X$3:$Y$23, 2, FALSE)))</f>
        <v>8.8875</v>
      </c>
      <c r="D99" s="961">
        <f t="shared" si="1"/>
        <v>0</v>
      </c>
      <c r="E99" s="961" t="str">
        <f>IF(D99&lt;'PlayerGrades+'!$AA$21,"F-",IF(D99&lt;'PlayerGrades+'!$AA$20,"F",IF(D99&lt;'PlayerGrades+'!$AA$19,"F+",IF(D99&lt;'PlayerGrades+'!$AA$18,"E-",IF(D99&lt;'PlayerGrades+'!$AA$17,"E",IF(D99&lt;'PlayerGrades+'!$AA$16,"E+",IF(D99&lt;'PlayerGrades+'!$AA$15,"D-",IF(D99&lt;'PlayerGrades+'!$AA$14,"D",IF(D99&lt;'PlayerGrades+'!$AA$13,"D+",IF(D99&lt;'PlayerGrades+'!$AA$12,"C-",IF(D99&lt;'PlayerGrades+'!$AA$11,"C",IF(D99&lt;'PlayerGrades+'!$AA$10,"C+",IF(D99&lt;'PlayerGrades+'!$AA$9,"B-",IF(D99&lt;'PlayerGrades+'!$AA$8,"B",IF(D99&lt;'PlayerGrades+'!$AA$7,"B+",IF(D99&lt;'PlayerGrades+'!$AA$6,"A-",IF(D99&lt;'PlayerGrades+'!$AA$5,"A",IF(D99&lt;'PlayerGrades+'!$AA$4,"A+",IF(D99&lt;'PlayerGrades+'!$AA$3,"S-",IF(D99&lt;'PlayerGrades+'!$AA$2,"S","S+"))))))))))))))))))))</f>
        <v>F-</v>
      </c>
      <c r="F99" s="961">
        <f t="shared" si="2"/>
        <v>0.04727830309</v>
      </c>
      <c r="G99" s="961" t="str">
        <f>IF(F99&lt;'PlayerGrades+'!$AB$21,"F-",IF(F99&lt;'PlayerGrades+'!$AB$20,"F",IF(F99&lt;'PlayerGrades+'!$AB$19,"F+",IF(F99&lt;'PlayerGrades+'!$AB$18,"E-",IF(F99&lt;'PlayerGrades+'!$AB$17,"E",IF(F99&lt;'PlayerGrades+'!$AB$16,"E+",IF(F99&lt;'PlayerGrades+'!$AB$15,"D-",IF(F99&lt;'PlayerGrades+'!$AB$14,"D",IF(F99&lt;'PlayerGrades+'!$AB$13,"D+",IF(F99&lt;'PlayerGrades+'!$AB$12,"C-",IF(F99&lt;'PlayerGrades+'!$AB$11,"C",IF(F99&lt;'PlayerGrades+'!$AB$10,"C+",IF(F99&lt;'PlayerGrades+'!$AB$9,"B-",IF(F99&lt;'PlayerGrades+'!$AB$8,"B",IF(F99&lt;'PlayerGrades+'!$AB$7,"B+",IF(F99&lt;'PlayerGrades+'!$AB$6,"A-",IF(F99&lt;'PlayerGrades+'!$AB$5,"A",IF(F99&lt;'PlayerGrades+'!$AB$4,"A+",IF(F99&lt;'PlayerGrades+'!$AB$3,"S-",IF(F99&lt;'PlayerGrades+'!$AB$2,"S","S+"))))))))))))))))))))</f>
        <v>A</v>
      </c>
      <c r="H99" s="961">
        <f t="shared" si="3"/>
        <v>0.1993355482</v>
      </c>
      <c r="I99" s="961" t="str">
        <f>IF(H99&lt;'PlayerGrades+'!$AC$21,"F-",IF(H99&lt;'PlayerGrades+'!$AC$20,"F",IF(H99&lt;'PlayerGrades+'!$AC$19,"F+",IF(H99&lt;'PlayerGrades+'!$AC$18,"E-",IF(H99&lt;'PlayerGrades+'!$AC$17,"E",IF(H99&lt;'PlayerGrades+'!$AC$16,"E+",IF(H99&lt;'PlayerGrades+'!$AC$15,"D-",IF(H99&lt;'PlayerGrades+'!$AC$14,"D",IF(H99&lt;'PlayerGrades+'!$AC$13,"D+",IF(H99&lt;'PlayerGrades+'!$AC$12,"C-",IF(H99&lt;'PlayerGrades+'!$AC$11,"C",IF(H99&lt;'PlayerGrades+'!$AC$10,"C+",IF(H99&lt;'PlayerGrades+'!$AC$9,"B-",IF(H99&lt;'PlayerGrades+'!$AC$8,"B",IF(H99&lt;'PlayerGrades+'!$AC$7,"B+",IF(H99&lt;'PlayerGrades+'!$AC$6,"A-",IF(H99&lt;'PlayerGrades+'!$AC$5,"A",IF(H99&lt;'PlayerGrades+'!$AC$4,"A+",IF(H99&lt;'PlayerGrades+'!$AC$3,"S-",IF(H99&lt;'PlayerGrades+'!$AC$2,"S","S+"))))))))))))))))))))</f>
        <v>F</v>
      </c>
      <c r="J99" s="961">
        <f t="shared" si="4"/>
        <v>0</v>
      </c>
      <c r="K99" s="961" t="str">
        <f>IF(J99&lt;'PlayerGrades+'!$AD$21,"F-",IF(J99&lt;'PlayerGrades+'!$AD$20,"F",IF(J99&lt;'PlayerGrades+'!$AD$19,"F+",IF(J99&lt;'PlayerGrades+'!$AD$18,"E-",IF(J99&lt;'PlayerGrades+'!$AD$17,"E",IF(J99&lt;'PlayerGrades+'!$AD$16,"E+",IF(J99&lt;'PlayerGrades+'!$AD$15,"D-",IF(J99&lt;'PlayerGrades+'!$AD$14,"D",IF(J99&lt;'PlayerGrades+'!$AD$13,"D+",IF(J99&lt;'PlayerGrades+'!$AD$12,"C-",IF(J99&lt;'PlayerGrades+'!$AD$11,"C",IF(J99&lt;'PlayerGrades+'!$AD$10,"C+",IF(J99&lt;'PlayerGrades+'!$AD$9,"B-",IF(J99&lt;'PlayerGrades+'!$AD$8,"B",IF(J99&lt;'PlayerGrades+'!$AD$7,"B+",IF(J99&lt;'PlayerGrades+'!$AD$6,"A-",IF(J99&lt;'PlayerGrades+'!$AD$5,"A",IF(J99&lt;'PlayerGrades+'!$AD$4,"A+",IF(J99&lt;'PlayerGrades+'!$AD$3,"S-",IF(J99&lt;'PlayerGrades+'!$AD$2,"S","S+"))))))))))))))))))))</f>
        <v>F-</v>
      </c>
      <c r="L99" s="992">
        <f t="shared" si="5"/>
        <v>0.1993355482</v>
      </c>
      <c r="M99" s="992" t="str">
        <f>IF(L99&lt;'PlayerGrades+'!$AE$21,"F-",IF(L99&lt;'PlayerGrades+'!$AE$20,"F",IF(L99&lt;'PlayerGrades+'!$AE$19,"F+",IF(L99&lt;'PlayerGrades+'!$AE$18,"E-",IF(L99&lt;'PlayerGrades+'!$AE$17,"E",IF(L99&lt;'PlayerGrades+'!$AE$16,"E+",IF(L99&lt;'PlayerGrades+'!$AE$15,"D-",IF(L99&lt;'PlayerGrades+'!$AE$14,"D",IF(L99&lt;'PlayerGrades+'!$AE$13,"D+",IF(L99&lt;'PlayerGrades+'!$AE$12,"C-",IF(L99&lt;'PlayerGrades+'!$AE$11,"C",IF(L99&lt;'PlayerGrades+'!$AE$10,"C+",IF(L99&lt;'PlayerGrades+'!$AE$9,"B-",IF(L99&lt;'PlayerGrades+'!$AE$8,"B",IF(L99&lt;'PlayerGrades+'!$AE$7,"B+",IF(L99&lt;'PlayerGrades+'!$AE$6,"A-",IF(L99&lt;'PlayerGrades+'!$AE$5,"A",IF(L99&lt;'PlayerGrades+'!$AE$4,"A+",IF(L99&lt;'PlayerGrades+'!$AE$3,"S-",IF(L99&lt;'PlayerGrades+'!$AE$2,"S","S+"))))))))))))))))))))</f>
        <v>F-</v>
      </c>
      <c r="N99" s="961">
        <f t="shared" si="6"/>
        <v>0.06644518272</v>
      </c>
      <c r="O99" s="961" t="str">
        <f>IF(N99&lt;'PlayerGrades+'!$AF$21,"F-",IF(N99&lt;'PlayerGrades+'!$AF$20,"F",IF(N99&lt;'PlayerGrades+'!$AF$19,"F+",IF(N99&lt;'PlayerGrades+'!$AF$18,"E-",IF(N99&lt;'PlayerGrades+'!$AF$17,"E",IF(N99&lt;'PlayerGrades+'!$AF$16,"E+",IF(N99&lt;'PlayerGrades+'!$AF$15,"D-",IF(N99&lt;'PlayerGrades+'!$AF$14,"D",IF(N99&lt;'PlayerGrades+'!$AF$13,"D+",IF(N99&lt;'PlayerGrades+'!$AF$12,"C-",IF(N99&lt;'PlayerGrades+'!$AF$11,"C",IF(N99&lt;'PlayerGrades+'!$AF$10,"C+",IF(N99&lt;'PlayerGrades+'!$AF$9,"B-",IF(N99&lt;'PlayerGrades+'!$AF$8,"B",IF(N99&lt;'PlayerGrades+'!$AF$7,"B+",IF(N99&lt;'PlayerGrades+'!$AF$6,"A-",IF(N99&lt;'PlayerGrades+'!$AF$5,"A",IF(N99&lt;'PlayerGrades+'!$AF$4,"A+",IF(N99&lt;'PlayerGrades+'!$AF$3,"S-",IF(N99&lt;'PlayerGrades+'!$AF$2,"S","S+"))))))))))))))))))))</f>
        <v>E</v>
      </c>
      <c r="P99" s="961">
        <f t="shared" si="7"/>
        <v>0.2657807309</v>
      </c>
      <c r="Q99" s="961" t="str">
        <f>IF(P99&lt;'PlayerGrades+'!$AG$21,"F-",IF(P99&lt;'PlayerGrades+'!$AG$20,"F",IF(P99&lt;'PlayerGrades+'!$AG$19,"F+",IF(P99&lt;'PlayerGrades+'!$AG$18,"E-",IF(P99&lt;'PlayerGrades+'!$AG$17,"E",IF(P99&lt;'PlayerGrades+'!$AG$16,"E+",IF(P99&lt;'PlayerGrades+'!$AG$15,"D-",IF(P99&lt;'PlayerGrades+'!$AG$14,"D",IF(P99&lt;'PlayerGrades+'!$AG$13,"D+",IF(P99&lt;'PlayerGrades+'!$AG$12,"C-",IF(P99&lt;'PlayerGrades+'!$AG$11,"C",IF(P99&lt;'PlayerGrades+'!$AG$10,"C+",IF(P99&lt;'PlayerGrades+'!$AG$9,"B-",IF(P99&lt;'PlayerGrades+'!$AG$8,"B",IF(P99&lt;'PlayerGrades+'!$AG$7,"B+",IF(P99&lt;'PlayerGrades+'!$AG$6,"A-",IF(P99&lt;'PlayerGrades+'!$AG$5,"A",IF(P99&lt;'PlayerGrades+'!$AG$4,"A+",IF(P99&lt;'PlayerGrades+'!$AG$3,"S-",IF(P99&lt;'PlayerGrades+'!$AG$2,"S","S+"))))))))))))))))))))</f>
        <v>F-</v>
      </c>
      <c r="R99" s="961">
        <f t="shared" si="8"/>
        <v>0.06644518272</v>
      </c>
      <c r="S99" s="961" t="str">
        <f>IF(R99&lt;'PlayerGrades+'!$AH$21,"F-",IF(R99&lt;'PlayerGrades+'!$AH$20,"F",IF(R99&lt;'PlayerGrades+'!$AH$19,"F+",IF(R99&lt;'PlayerGrades+'!$AH$18,"E-",IF(R99&lt;'PlayerGrades+'!$AH$17,"E",IF(R99&lt;'PlayerGrades+'!$AH$16,"E+",IF(R99&lt;'PlayerGrades+'!$AH$15,"D-",IF(R99&lt;'PlayerGrades+'!$AH$14,"D",IF(R99&lt;'PlayerGrades+'!$AH$13,"D+",IF(R99&lt;'PlayerGrades+'!$AH$12,"C-",IF(R99&lt;'PlayerGrades+'!$AH$11,"C",IF(R99&lt;'PlayerGrades+'!$AH$10,"C+",IF(R99&lt;'PlayerGrades+'!$AH$9,"B-",IF(R99&lt;'PlayerGrades+'!$AH$8,"B",IF(R99&lt;'PlayerGrades+'!$AH$7,"B+",IF(R99&lt;'PlayerGrades+'!$AH$6,"A-",IF(R99&lt;'PlayerGrades+'!$AH$5,"A",IF(R99&lt;'PlayerGrades+'!$AH$4,"A+",IF(R99&lt;'PlayerGrades+'!$AH$3,"S-",IF(R99&lt;'PlayerGrades+'!$AH$2,"S","S+"))))))))))))))))))))</f>
        <v>B</v>
      </c>
      <c r="T99" s="961">
        <f t="shared" si="9"/>
        <v>2.458471761</v>
      </c>
      <c r="U99" s="961" t="str">
        <f>IF(T99&lt;'PlayerGrades+'!$AI$21,"F-",IF(T99&lt;'PlayerGrades+'!$AI$20,"F",IF(T99&lt;'PlayerGrades+'!$AI$19,"F+",IF(T99&lt;'PlayerGrades+'!$AI$18,"E-",IF(T99&lt;'PlayerGrades+'!$AI$17,"E",IF(T99&lt;'PlayerGrades+'!$AI$16,"E+",IF(T99&lt;'PlayerGrades+'!$AI$15,"D-",IF(T99&lt;'PlayerGrades+'!$AI$14,"D",IF(T99&lt;'PlayerGrades+'!$AI$13,"D+",IF(T99&lt;'PlayerGrades+'!$AI$12,"C-",IF(T99&lt;'PlayerGrades+'!$AI$11,"C",IF(T99&lt;'PlayerGrades+'!$AI$10,"C+",IF(T99&lt;'PlayerGrades+'!$AI$9,"B-",IF(T99&lt;'PlayerGrades+'!$AI$8,"B",IF(T99&lt;'PlayerGrades+'!$AI$7,"B+",IF(T99&lt;'PlayerGrades+'!$AI$6,"A-",IF(T99&lt;'PlayerGrades+'!$AI$5,"A",IF(T99&lt;'PlayerGrades+'!$AI$4,"A+",IF(T99&lt;'PlayerGrades+'!$AI$3,"S-",IF(T99&lt;'PlayerGrades+'!$AI$2,"S","S+"))))))))))))))))))))</f>
        <v>E+</v>
      </c>
      <c r="V99" s="1100">
        <v>1.0</v>
      </c>
      <c r="W99" s="1100">
        <v>0.0</v>
      </c>
      <c r="X99" s="1398">
        <v>0.0</v>
      </c>
      <c r="Y99" s="1398">
        <v>1.0</v>
      </c>
      <c r="Z99" s="1398">
        <v>37.0</v>
      </c>
      <c r="AA99" s="1398">
        <v>52.0</v>
      </c>
      <c r="AB99" s="1017">
        <f t="shared" si="10"/>
        <v>-15</v>
      </c>
      <c r="AC99" s="1020">
        <f t="shared" si="11"/>
        <v>0.7115384615</v>
      </c>
      <c r="AD99" s="1398">
        <v>0.0</v>
      </c>
      <c r="AE99" s="1399">
        <v>903.0</v>
      </c>
      <c r="AF99" s="1398">
        <v>0.0</v>
      </c>
      <c r="AG99" s="1398">
        <v>0.0</v>
      </c>
      <c r="AH99" s="1398">
        <v>0.0</v>
      </c>
      <c r="AI99" s="1398">
        <v>0.0</v>
      </c>
      <c r="AJ99" s="1398">
        <v>0.0</v>
      </c>
      <c r="AK99" s="1398">
        <v>3.0</v>
      </c>
      <c r="AL99" s="1398">
        <v>1.0</v>
      </c>
      <c r="AM99" s="1398">
        <v>0.0</v>
      </c>
      <c r="AN99" s="1398">
        <v>0.0</v>
      </c>
      <c r="AO99" s="1398">
        <v>0.0</v>
      </c>
      <c r="AP99" s="1398">
        <v>0.0</v>
      </c>
      <c r="AQ99" s="1398">
        <v>0.0</v>
      </c>
      <c r="AR99" s="1398">
        <v>0.0</v>
      </c>
      <c r="AS99" s="1398">
        <v>0.0</v>
      </c>
      <c r="AT99" s="1398">
        <v>0.0</v>
      </c>
      <c r="AU99" s="1398">
        <v>3.0</v>
      </c>
      <c r="AV99" s="1398">
        <v>0.0</v>
      </c>
      <c r="AW99" s="1398">
        <v>0.0</v>
      </c>
      <c r="AX99" s="1398">
        <v>0.0</v>
      </c>
      <c r="AY99" s="1398">
        <v>1.0</v>
      </c>
      <c r="AZ99" s="1400">
        <v>0.0</v>
      </c>
    </row>
    <row r="100">
      <c r="A100" s="1277" t="s">
        <v>149</v>
      </c>
      <c r="B100" s="1100" t="str">
        <f>IF(C100&lt;'PlayerGrades+'!$Y$44,"F-",IF(C100&lt;'PlayerGrades+'!$Y$43,"F",IF(C100&lt;'PlayerGrades+'!$Y$42,"F+",IF(C100&lt;'PlayerGrades+'!$Y$41,"E-",IF(C100&lt;'PlayerGrades+'!$Y$40,"E",IF(C100&lt;'PlayerGrades+'!$Y$39,"E+",IF(C100&lt;'PlayerGrades+'!$Y$38,"D-",IF(C100&lt;'PlayerGrades+'!$Y$37,"D",IF(C100&lt;'PlayerGrades+'!$Y$36,"D+",IF(C100&lt;'PlayerGrades+'!$Y$35,"C-",IF(C100&lt;'PlayerGrades+'!$Y$34,"C",IF(C100&lt;'PlayerGrades+'!$Y$33,"C+",IF(C100&lt;'PlayerGrades+'!$Y$32,"B-",IF(C100&lt;'PlayerGrades+'!$Y$31,"B",IF(C100&lt;'PlayerGrades+'!$Y$30,"B+",IF(C100&lt;'PlayerGrades+'!$Y$29,"A-",IF(C100&lt;'PlayerGrades+'!$Y$28,"A",IF(C100&lt;'PlayerGrades+'!$Y$27,"A+",IF(C100&lt;'PlayerGrades+'!$Y$26,"S-",IF(C100&lt;'PlayerGrades+'!$Y$25,"S","S+"))))))))))))))))))))</f>
        <v>D-</v>
      </c>
      <c r="C100" s="1105">
        <f>('PlayerGrades+'!$Y$47*(VLOOKUP(E100, 'PlayerGrades+'!$X$3:$Y$23, 2, FALSE)))+('PlayerGrades+'!$Y$48*(VLOOKUP(G100, 'PlayerGrades+'!$X$3:$Y$23, 2, FALSE)))+('PlayerGrades+'!$Y$49*(VLOOKUP(I100, 'PlayerGrades+'!$X$3:$Y$23, 2, FALSE)))+('PlayerGrades+'!$Y$50*(VLOOKUP(K100, 'PlayerGrades+'!$X$3:$Y$23, 2, FALSE)))+('PlayerGrades+'!$Y$51*(VLOOKUP(M100, 'PlayerGrades+'!$X$3:$Y$23, 2, FALSE)))+('PlayerGrades+'!$Y$52*(VLOOKUP(O100, 'PlayerGrades+'!$X$3:$Y$23, 2, FALSE)))+('PlayerGrades+'!$Y$53*(VLOOKUP(Q100, 'PlayerGrades+'!$X$3:$Y$23, 2, FALSE)))+('PlayerGrades+'!$Y$54*(VLOOKUP(S100, 'PlayerGrades+'!$X$3:$Y$23, 2, FALSE)))+('PlayerGrades+'!$Y$55*(VLOOKUP(U100, 'PlayerGrades+'!$X$3:$Y$23, 2, FALSE)))</f>
        <v>12.1</v>
      </c>
      <c r="D100" s="961">
        <f t="shared" si="1"/>
        <v>0.1993355482</v>
      </c>
      <c r="E100" s="961" t="str">
        <f>IF(D100&lt;'PlayerGrades+'!$AA$21,"F-",IF(D100&lt;'PlayerGrades+'!$AA$20,"F",IF(D100&lt;'PlayerGrades+'!$AA$19,"F+",IF(D100&lt;'PlayerGrades+'!$AA$18,"E-",IF(D100&lt;'PlayerGrades+'!$AA$17,"E",IF(D100&lt;'PlayerGrades+'!$AA$16,"E+",IF(D100&lt;'PlayerGrades+'!$AA$15,"D-",IF(D100&lt;'PlayerGrades+'!$AA$14,"D",IF(D100&lt;'PlayerGrades+'!$AA$13,"D+",IF(D100&lt;'PlayerGrades+'!$AA$12,"C-",IF(D100&lt;'PlayerGrades+'!$AA$11,"C",IF(D100&lt;'PlayerGrades+'!$AA$10,"C+",IF(D100&lt;'PlayerGrades+'!$AA$9,"B-",IF(D100&lt;'PlayerGrades+'!$AA$8,"B",IF(D100&lt;'PlayerGrades+'!$AA$7,"B+",IF(D100&lt;'PlayerGrades+'!$AA$6,"A-",IF(D100&lt;'PlayerGrades+'!$AA$5,"A",IF(D100&lt;'PlayerGrades+'!$AA$4,"A+",IF(D100&lt;'PlayerGrades+'!$AA$3,"S-",IF(D100&lt;'PlayerGrades+'!$AA$2,"S","S+"))))))))))))))))))))</f>
        <v>S</v>
      </c>
      <c r="F100" s="961">
        <f t="shared" si="2"/>
        <v>0.04940795638</v>
      </c>
      <c r="G100" s="961" t="str">
        <f>IF(F100&lt;'PlayerGrades+'!$AB$21,"F-",IF(F100&lt;'PlayerGrades+'!$AB$20,"F",IF(F100&lt;'PlayerGrades+'!$AB$19,"F+",IF(F100&lt;'PlayerGrades+'!$AB$18,"E-",IF(F100&lt;'PlayerGrades+'!$AB$17,"E",IF(F100&lt;'PlayerGrades+'!$AB$16,"E+",IF(F100&lt;'PlayerGrades+'!$AB$15,"D-",IF(F100&lt;'PlayerGrades+'!$AB$14,"D",IF(F100&lt;'PlayerGrades+'!$AB$13,"D+",IF(F100&lt;'PlayerGrades+'!$AB$12,"C-",IF(F100&lt;'PlayerGrades+'!$AB$11,"C",IF(F100&lt;'PlayerGrades+'!$AB$10,"C+",IF(F100&lt;'PlayerGrades+'!$AB$9,"B-",IF(F100&lt;'PlayerGrades+'!$AB$8,"B",IF(F100&lt;'PlayerGrades+'!$AB$7,"B+",IF(F100&lt;'PlayerGrades+'!$AB$6,"A-",IF(F100&lt;'PlayerGrades+'!$AB$5,"A",IF(F100&lt;'PlayerGrades+'!$AB$4,"A+",IF(F100&lt;'PlayerGrades+'!$AB$3,"S-",IF(F100&lt;'PlayerGrades+'!$AB$2,"S","S+"))))))))))))))))))))</f>
        <v>A</v>
      </c>
      <c r="H100" s="961">
        <f t="shared" si="3"/>
        <v>0.1328903654</v>
      </c>
      <c r="I100" s="961" t="str">
        <f>IF(H100&lt;'PlayerGrades+'!$AC$21,"F-",IF(H100&lt;'PlayerGrades+'!$AC$20,"F",IF(H100&lt;'PlayerGrades+'!$AC$19,"F+",IF(H100&lt;'PlayerGrades+'!$AC$18,"E-",IF(H100&lt;'PlayerGrades+'!$AC$17,"E",IF(H100&lt;'PlayerGrades+'!$AC$16,"E+",IF(H100&lt;'PlayerGrades+'!$AC$15,"D-",IF(H100&lt;'PlayerGrades+'!$AC$14,"D",IF(H100&lt;'PlayerGrades+'!$AC$13,"D+",IF(H100&lt;'PlayerGrades+'!$AC$12,"C-",IF(H100&lt;'PlayerGrades+'!$AC$11,"C",IF(H100&lt;'PlayerGrades+'!$AC$10,"C+",IF(H100&lt;'PlayerGrades+'!$AC$9,"B-",IF(H100&lt;'PlayerGrades+'!$AC$8,"B",IF(H100&lt;'PlayerGrades+'!$AC$7,"B+",IF(H100&lt;'PlayerGrades+'!$AC$6,"A-",IF(H100&lt;'PlayerGrades+'!$AC$5,"A",IF(H100&lt;'PlayerGrades+'!$AC$4,"A+",IF(H100&lt;'PlayerGrades+'!$AC$3,"S-",IF(H100&lt;'PlayerGrades+'!$AC$2,"S","S+"))))))))))))))))))))</f>
        <v>F-</v>
      </c>
      <c r="J100" s="961">
        <f t="shared" si="4"/>
        <v>0</v>
      </c>
      <c r="K100" s="961" t="str">
        <f>IF(J100&lt;'PlayerGrades+'!$AD$21,"F-",IF(J100&lt;'PlayerGrades+'!$AD$20,"F",IF(J100&lt;'PlayerGrades+'!$AD$19,"F+",IF(J100&lt;'PlayerGrades+'!$AD$18,"E-",IF(J100&lt;'PlayerGrades+'!$AD$17,"E",IF(J100&lt;'PlayerGrades+'!$AD$16,"E+",IF(J100&lt;'PlayerGrades+'!$AD$15,"D-",IF(J100&lt;'PlayerGrades+'!$AD$14,"D",IF(J100&lt;'PlayerGrades+'!$AD$13,"D+",IF(J100&lt;'PlayerGrades+'!$AD$12,"C-",IF(J100&lt;'PlayerGrades+'!$AD$11,"C",IF(J100&lt;'PlayerGrades+'!$AD$10,"C+",IF(J100&lt;'PlayerGrades+'!$AD$9,"B-",IF(J100&lt;'PlayerGrades+'!$AD$8,"B",IF(J100&lt;'PlayerGrades+'!$AD$7,"B+",IF(J100&lt;'PlayerGrades+'!$AD$6,"A-",IF(J100&lt;'PlayerGrades+'!$AD$5,"A",IF(J100&lt;'PlayerGrades+'!$AD$4,"A+",IF(J100&lt;'PlayerGrades+'!$AD$3,"S-",IF(J100&lt;'PlayerGrades+'!$AD$2,"S","S+"))))))))))))))))))))</f>
        <v>F-</v>
      </c>
      <c r="L100" s="992">
        <f t="shared" si="5"/>
        <v>0.2657807309</v>
      </c>
      <c r="M100" s="992" t="str">
        <f>IF(L100&lt;'PlayerGrades+'!$AE$21,"F-",IF(L100&lt;'PlayerGrades+'!$AE$20,"F",IF(L100&lt;'PlayerGrades+'!$AE$19,"F+",IF(L100&lt;'PlayerGrades+'!$AE$18,"E-",IF(L100&lt;'PlayerGrades+'!$AE$17,"E",IF(L100&lt;'PlayerGrades+'!$AE$16,"E+",IF(L100&lt;'PlayerGrades+'!$AE$15,"D-",IF(L100&lt;'PlayerGrades+'!$AE$14,"D",IF(L100&lt;'PlayerGrades+'!$AE$13,"D+",IF(L100&lt;'PlayerGrades+'!$AE$12,"C-",IF(L100&lt;'PlayerGrades+'!$AE$11,"C",IF(L100&lt;'PlayerGrades+'!$AE$10,"C+",IF(L100&lt;'PlayerGrades+'!$AE$9,"B-",IF(L100&lt;'PlayerGrades+'!$AE$8,"B",IF(L100&lt;'PlayerGrades+'!$AE$7,"B+",IF(L100&lt;'PlayerGrades+'!$AE$6,"A-",IF(L100&lt;'PlayerGrades+'!$AE$5,"A",IF(L100&lt;'PlayerGrades+'!$AE$4,"A+",IF(L100&lt;'PlayerGrades+'!$AE$3,"S-",IF(L100&lt;'PlayerGrades+'!$AE$2,"S","S+"))))))))))))))))))))</f>
        <v>F</v>
      </c>
      <c r="N100" s="961">
        <f t="shared" si="6"/>
        <v>0.06644518272</v>
      </c>
      <c r="O100" s="961" t="str">
        <f>IF(N100&lt;'PlayerGrades+'!$AF$21,"F-",IF(N100&lt;'PlayerGrades+'!$AF$20,"F",IF(N100&lt;'PlayerGrades+'!$AF$19,"F+",IF(N100&lt;'PlayerGrades+'!$AF$18,"E-",IF(N100&lt;'PlayerGrades+'!$AF$17,"E",IF(N100&lt;'PlayerGrades+'!$AF$16,"E+",IF(N100&lt;'PlayerGrades+'!$AF$15,"D-",IF(N100&lt;'PlayerGrades+'!$AF$14,"D",IF(N100&lt;'PlayerGrades+'!$AF$13,"D+",IF(N100&lt;'PlayerGrades+'!$AF$12,"C-",IF(N100&lt;'PlayerGrades+'!$AF$11,"C",IF(N100&lt;'PlayerGrades+'!$AF$10,"C+",IF(N100&lt;'PlayerGrades+'!$AF$9,"B-",IF(N100&lt;'PlayerGrades+'!$AF$8,"B",IF(N100&lt;'PlayerGrades+'!$AF$7,"B+",IF(N100&lt;'PlayerGrades+'!$AF$6,"A-",IF(N100&lt;'PlayerGrades+'!$AF$5,"A",IF(N100&lt;'PlayerGrades+'!$AF$4,"A+",IF(N100&lt;'PlayerGrades+'!$AF$3,"S-",IF(N100&lt;'PlayerGrades+'!$AF$2,"S","S+"))))))))))))))))))))</f>
        <v>E</v>
      </c>
      <c r="P100" s="961">
        <f t="shared" si="7"/>
        <v>0.3322259136</v>
      </c>
      <c r="Q100" s="961" t="str">
        <f>IF(P100&lt;'PlayerGrades+'!$AG$21,"F-",IF(P100&lt;'PlayerGrades+'!$AG$20,"F",IF(P100&lt;'PlayerGrades+'!$AG$19,"F+",IF(P100&lt;'PlayerGrades+'!$AG$18,"E-",IF(P100&lt;'PlayerGrades+'!$AG$17,"E",IF(P100&lt;'PlayerGrades+'!$AG$16,"E+",IF(P100&lt;'PlayerGrades+'!$AG$15,"D-",IF(P100&lt;'PlayerGrades+'!$AG$14,"D",IF(P100&lt;'PlayerGrades+'!$AG$13,"D+",IF(P100&lt;'PlayerGrades+'!$AG$12,"C-",IF(P100&lt;'PlayerGrades+'!$AG$11,"C",IF(P100&lt;'PlayerGrades+'!$AG$10,"C+",IF(P100&lt;'PlayerGrades+'!$AG$9,"B-",IF(P100&lt;'PlayerGrades+'!$AG$8,"B",IF(P100&lt;'PlayerGrades+'!$AG$7,"B+",IF(P100&lt;'PlayerGrades+'!$AG$6,"A-",IF(P100&lt;'PlayerGrades+'!$AG$5,"A",IF(P100&lt;'PlayerGrades+'!$AG$4,"A+",IF(P100&lt;'PlayerGrades+'!$AG$3,"S-",IF(P100&lt;'PlayerGrades+'!$AG$2,"S","S+"))))))))))))))))))))</f>
        <v>F</v>
      </c>
      <c r="R100" s="961">
        <f t="shared" si="8"/>
        <v>0</v>
      </c>
      <c r="S100" s="961" t="str">
        <f>IF(R100&lt;'PlayerGrades+'!$AH$21,"F-",IF(R100&lt;'PlayerGrades+'!$AH$20,"F",IF(R100&lt;'PlayerGrades+'!$AH$19,"F+",IF(R100&lt;'PlayerGrades+'!$AH$18,"E-",IF(R100&lt;'PlayerGrades+'!$AH$17,"E",IF(R100&lt;'PlayerGrades+'!$AH$16,"E+",IF(R100&lt;'PlayerGrades+'!$AH$15,"D-",IF(R100&lt;'PlayerGrades+'!$AH$14,"D",IF(R100&lt;'PlayerGrades+'!$AH$13,"D+",IF(R100&lt;'PlayerGrades+'!$AH$12,"C-",IF(R100&lt;'PlayerGrades+'!$AH$11,"C",IF(R100&lt;'PlayerGrades+'!$AH$10,"C+",IF(R100&lt;'PlayerGrades+'!$AH$9,"B-",IF(R100&lt;'PlayerGrades+'!$AH$8,"B",IF(R100&lt;'PlayerGrades+'!$AH$7,"B+",IF(R100&lt;'PlayerGrades+'!$AH$6,"A-",IF(R100&lt;'PlayerGrades+'!$AH$5,"A",IF(R100&lt;'PlayerGrades+'!$AH$4,"A+",IF(R100&lt;'PlayerGrades+'!$AH$3,"S-",IF(R100&lt;'PlayerGrades+'!$AH$2,"S","S+"))))))))))))))))))))</f>
        <v>F-</v>
      </c>
      <c r="T100" s="961">
        <f t="shared" si="9"/>
        <v>1.926910299</v>
      </c>
      <c r="U100" s="961" t="str">
        <f>IF(T100&lt;'PlayerGrades+'!$AI$21,"F-",IF(T100&lt;'PlayerGrades+'!$AI$20,"F",IF(T100&lt;'PlayerGrades+'!$AI$19,"F+",IF(T100&lt;'PlayerGrades+'!$AI$18,"E-",IF(T100&lt;'PlayerGrades+'!$AI$17,"E",IF(T100&lt;'PlayerGrades+'!$AI$16,"E+",IF(T100&lt;'PlayerGrades+'!$AI$15,"D-",IF(T100&lt;'PlayerGrades+'!$AI$14,"D",IF(T100&lt;'PlayerGrades+'!$AI$13,"D+",IF(T100&lt;'PlayerGrades+'!$AI$12,"C-",IF(T100&lt;'PlayerGrades+'!$AI$11,"C",IF(T100&lt;'PlayerGrades+'!$AI$10,"C+",IF(T100&lt;'PlayerGrades+'!$AI$9,"B-",IF(T100&lt;'PlayerGrades+'!$AI$8,"B",IF(T100&lt;'PlayerGrades+'!$AI$7,"B+",IF(T100&lt;'PlayerGrades+'!$AI$6,"A-",IF(T100&lt;'PlayerGrades+'!$AI$5,"A",IF(T100&lt;'PlayerGrades+'!$AI$4,"A+",IF(T100&lt;'PlayerGrades+'!$AI$3,"S-",IF(T100&lt;'PlayerGrades+'!$AI$2,"S","S+"))))))))))))))))))))</f>
        <v>F-</v>
      </c>
      <c r="V100" s="1100">
        <v>1.0</v>
      </c>
      <c r="W100" s="1100">
        <v>0.0</v>
      </c>
      <c r="X100" s="1398">
        <v>3.0</v>
      </c>
      <c r="Y100" s="1398">
        <v>3.0</v>
      </c>
      <c r="Z100" s="1398">
        <v>29.0</v>
      </c>
      <c r="AA100" s="1398">
        <v>39.0</v>
      </c>
      <c r="AB100" s="1017">
        <f t="shared" si="10"/>
        <v>-10</v>
      </c>
      <c r="AC100" s="1020">
        <f t="shared" si="11"/>
        <v>0.7435897436</v>
      </c>
      <c r="AD100" s="1398">
        <v>0.0</v>
      </c>
      <c r="AE100" s="1399">
        <v>903.0</v>
      </c>
      <c r="AF100" s="1398">
        <v>0.0</v>
      </c>
      <c r="AG100" s="1398">
        <v>0.0</v>
      </c>
      <c r="AH100" s="1398">
        <v>0.0</v>
      </c>
      <c r="AI100" s="1398">
        <v>0.0</v>
      </c>
      <c r="AJ100" s="1398">
        <v>0.0</v>
      </c>
      <c r="AK100" s="1398">
        <v>4.0</v>
      </c>
      <c r="AL100" s="1398">
        <v>1.0</v>
      </c>
      <c r="AM100" s="1398">
        <v>0.0</v>
      </c>
      <c r="AN100" s="1398">
        <v>0.0</v>
      </c>
      <c r="AO100" s="1398">
        <v>0.0</v>
      </c>
      <c r="AP100" s="1398">
        <v>0.0</v>
      </c>
      <c r="AQ100" s="1398">
        <v>0.0</v>
      </c>
      <c r="AR100" s="1398">
        <v>0.0</v>
      </c>
      <c r="AS100" s="1398">
        <v>0.0</v>
      </c>
      <c r="AT100" s="1398">
        <v>0.0</v>
      </c>
      <c r="AU100" s="1398">
        <v>2.0</v>
      </c>
      <c r="AV100" s="1398">
        <v>0.0</v>
      </c>
      <c r="AW100" s="1398">
        <v>0.0</v>
      </c>
      <c r="AX100" s="1398">
        <v>0.0</v>
      </c>
      <c r="AY100" s="1398">
        <v>0.0</v>
      </c>
      <c r="AZ100" s="1400">
        <v>0.0</v>
      </c>
    </row>
    <row r="101">
      <c r="A101" s="1277" t="s">
        <v>96</v>
      </c>
      <c r="B101" s="1100" t="str">
        <f>IF(C101&lt;'PlayerGrades+'!$Y$44,"F-",IF(C101&lt;'PlayerGrades+'!$Y$43,"F",IF(C101&lt;'PlayerGrades+'!$Y$42,"F+",IF(C101&lt;'PlayerGrades+'!$Y$41,"E-",IF(C101&lt;'PlayerGrades+'!$Y$40,"E",IF(C101&lt;'PlayerGrades+'!$Y$39,"E+",IF(C101&lt;'PlayerGrades+'!$Y$38,"D-",IF(C101&lt;'PlayerGrades+'!$Y$37,"D",IF(C101&lt;'PlayerGrades+'!$Y$36,"D+",IF(C101&lt;'PlayerGrades+'!$Y$35,"C-",IF(C101&lt;'PlayerGrades+'!$Y$34,"C",IF(C101&lt;'PlayerGrades+'!$Y$33,"C+",IF(C101&lt;'PlayerGrades+'!$Y$32,"B-",IF(C101&lt;'PlayerGrades+'!$Y$31,"B",IF(C101&lt;'PlayerGrades+'!$Y$30,"B+",IF(C101&lt;'PlayerGrades+'!$Y$29,"A-",IF(C101&lt;'PlayerGrades+'!$Y$28,"A",IF(C101&lt;'PlayerGrades+'!$Y$27,"A+",IF(C101&lt;'PlayerGrades+'!$Y$26,"S-",IF(C101&lt;'PlayerGrades+'!$Y$25,"S","S+"))))))))))))))))))))</f>
        <v>D+</v>
      </c>
      <c r="C101" s="1105">
        <f>('PlayerGrades+'!$Y$47*(VLOOKUP(E101, 'PlayerGrades+'!$X$3:$Y$23, 2, FALSE)))+('PlayerGrades+'!$Y$48*(VLOOKUP(G101, 'PlayerGrades+'!$X$3:$Y$23, 2, FALSE)))+('PlayerGrades+'!$Y$49*(VLOOKUP(I101, 'PlayerGrades+'!$X$3:$Y$23, 2, FALSE)))+('PlayerGrades+'!$Y$50*(VLOOKUP(K101, 'PlayerGrades+'!$X$3:$Y$23, 2, FALSE)))+('PlayerGrades+'!$Y$51*(VLOOKUP(M101, 'PlayerGrades+'!$X$3:$Y$23, 2, FALSE)))+('PlayerGrades+'!$Y$52*(VLOOKUP(O101, 'PlayerGrades+'!$X$3:$Y$23, 2, FALSE)))+('PlayerGrades+'!$Y$53*(VLOOKUP(Q101, 'PlayerGrades+'!$X$3:$Y$23, 2, FALSE)))+('PlayerGrades+'!$Y$54*(VLOOKUP(S101, 'PlayerGrades+'!$X$3:$Y$23, 2, FALSE)))+('PlayerGrades+'!$Y$55*(VLOOKUP(U101, 'PlayerGrades+'!$X$3:$Y$23, 2, FALSE)))</f>
        <v>14.0375</v>
      </c>
      <c r="D101" s="961">
        <f t="shared" si="1"/>
        <v>0.1328903654</v>
      </c>
      <c r="E101" s="961" t="str">
        <f>IF(D101&lt;'PlayerGrades+'!$AA$21,"F-",IF(D101&lt;'PlayerGrades+'!$AA$20,"F",IF(D101&lt;'PlayerGrades+'!$AA$19,"F+",IF(D101&lt;'PlayerGrades+'!$AA$18,"E-",IF(D101&lt;'PlayerGrades+'!$AA$17,"E",IF(D101&lt;'PlayerGrades+'!$AA$16,"E+",IF(D101&lt;'PlayerGrades+'!$AA$15,"D-",IF(D101&lt;'PlayerGrades+'!$AA$14,"D",IF(D101&lt;'PlayerGrades+'!$AA$13,"D+",IF(D101&lt;'PlayerGrades+'!$AA$12,"C-",IF(D101&lt;'PlayerGrades+'!$AA$11,"C",IF(D101&lt;'PlayerGrades+'!$AA$10,"C+",IF(D101&lt;'PlayerGrades+'!$AA$9,"B-",IF(D101&lt;'PlayerGrades+'!$AA$8,"B",IF(D101&lt;'PlayerGrades+'!$AA$7,"B+",IF(D101&lt;'PlayerGrades+'!$AA$6,"A-",IF(D101&lt;'PlayerGrades+'!$AA$5,"A",IF(D101&lt;'PlayerGrades+'!$AA$4,"A+",IF(D101&lt;'PlayerGrades+'!$AA$3,"S-",IF(D101&lt;'PlayerGrades+'!$AA$2,"S","S+"))))))))))))))))))))</f>
        <v>S-</v>
      </c>
      <c r="F101" s="961">
        <f t="shared" si="2"/>
        <v>0.04286785982</v>
      </c>
      <c r="G101" s="961" t="str">
        <f>IF(F101&lt;'PlayerGrades+'!$AB$21,"F-",IF(F101&lt;'PlayerGrades+'!$AB$20,"F",IF(F101&lt;'PlayerGrades+'!$AB$19,"F+",IF(F101&lt;'PlayerGrades+'!$AB$18,"E-",IF(F101&lt;'PlayerGrades+'!$AB$17,"E",IF(F101&lt;'PlayerGrades+'!$AB$16,"E+",IF(F101&lt;'PlayerGrades+'!$AB$15,"D-",IF(F101&lt;'PlayerGrades+'!$AB$14,"D",IF(F101&lt;'PlayerGrades+'!$AB$13,"D+",IF(F101&lt;'PlayerGrades+'!$AB$12,"C-",IF(F101&lt;'PlayerGrades+'!$AB$11,"C",IF(F101&lt;'PlayerGrades+'!$AB$10,"C+",IF(F101&lt;'PlayerGrades+'!$AB$9,"B-",IF(F101&lt;'PlayerGrades+'!$AB$8,"B",IF(F101&lt;'PlayerGrades+'!$AB$7,"B+",IF(F101&lt;'PlayerGrades+'!$AB$6,"A-",IF(F101&lt;'PlayerGrades+'!$AB$5,"A",IF(F101&lt;'PlayerGrades+'!$AB$4,"A+",IF(F101&lt;'PlayerGrades+'!$AB$3,"S-",IF(F101&lt;'PlayerGrades+'!$AB$2,"S","S+"))))))))))))))))))))</f>
        <v>A</v>
      </c>
      <c r="H101" s="961">
        <f t="shared" si="3"/>
        <v>0.4651162791</v>
      </c>
      <c r="I101" s="961" t="str">
        <f>IF(H101&lt;'PlayerGrades+'!$AC$21,"F-",IF(H101&lt;'PlayerGrades+'!$AC$20,"F",IF(H101&lt;'PlayerGrades+'!$AC$19,"F+",IF(H101&lt;'PlayerGrades+'!$AC$18,"E-",IF(H101&lt;'PlayerGrades+'!$AC$17,"E",IF(H101&lt;'PlayerGrades+'!$AC$16,"E+",IF(H101&lt;'PlayerGrades+'!$AC$15,"D-",IF(H101&lt;'PlayerGrades+'!$AC$14,"D",IF(H101&lt;'PlayerGrades+'!$AC$13,"D+",IF(H101&lt;'PlayerGrades+'!$AC$12,"C-",IF(H101&lt;'PlayerGrades+'!$AC$11,"C",IF(H101&lt;'PlayerGrades+'!$AC$10,"C+",IF(H101&lt;'PlayerGrades+'!$AC$9,"B-",IF(H101&lt;'PlayerGrades+'!$AC$8,"B",IF(H101&lt;'PlayerGrades+'!$AC$7,"B+",IF(H101&lt;'PlayerGrades+'!$AC$6,"A-",IF(H101&lt;'PlayerGrades+'!$AC$5,"A",IF(H101&lt;'PlayerGrades+'!$AC$4,"A+",IF(H101&lt;'PlayerGrades+'!$AC$3,"S-",IF(H101&lt;'PlayerGrades+'!$AC$2,"S","S+"))))))))))))))))))))</f>
        <v>C</v>
      </c>
      <c r="J101" s="961">
        <f t="shared" si="4"/>
        <v>0</v>
      </c>
      <c r="K101" s="961" t="str">
        <f>IF(J101&lt;'PlayerGrades+'!$AD$21,"F-",IF(J101&lt;'PlayerGrades+'!$AD$20,"F",IF(J101&lt;'PlayerGrades+'!$AD$19,"F+",IF(J101&lt;'PlayerGrades+'!$AD$18,"E-",IF(J101&lt;'PlayerGrades+'!$AD$17,"E",IF(J101&lt;'PlayerGrades+'!$AD$16,"E+",IF(J101&lt;'PlayerGrades+'!$AD$15,"D-",IF(J101&lt;'PlayerGrades+'!$AD$14,"D",IF(J101&lt;'PlayerGrades+'!$AD$13,"D+",IF(J101&lt;'PlayerGrades+'!$AD$12,"C-",IF(J101&lt;'PlayerGrades+'!$AD$11,"C",IF(J101&lt;'PlayerGrades+'!$AD$10,"C+",IF(J101&lt;'PlayerGrades+'!$AD$9,"B-",IF(J101&lt;'PlayerGrades+'!$AD$8,"B",IF(J101&lt;'PlayerGrades+'!$AD$7,"B+",IF(J101&lt;'PlayerGrades+'!$AD$6,"A-",IF(J101&lt;'PlayerGrades+'!$AD$5,"A",IF(J101&lt;'PlayerGrades+'!$AD$4,"A+",IF(J101&lt;'PlayerGrades+'!$AD$3,"S-",IF(J101&lt;'PlayerGrades+'!$AD$2,"S","S+"))))))))))))))))))))</f>
        <v>F-</v>
      </c>
      <c r="L101" s="992">
        <f t="shared" si="5"/>
        <v>0.1328903654</v>
      </c>
      <c r="M101" s="992" t="str">
        <f>IF(L101&lt;'PlayerGrades+'!$AE$21,"F-",IF(L101&lt;'PlayerGrades+'!$AE$20,"F",IF(L101&lt;'PlayerGrades+'!$AE$19,"F+",IF(L101&lt;'PlayerGrades+'!$AE$18,"E-",IF(L101&lt;'PlayerGrades+'!$AE$17,"E",IF(L101&lt;'PlayerGrades+'!$AE$16,"E+",IF(L101&lt;'PlayerGrades+'!$AE$15,"D-",IF(L101&lt;'PlayerGrades+'!$AE$14,"D",IF(L101&lt;'PlayerGrades+'!$AE$13,"D+",IF(L101&lt;'PlayerGrades+'!$AE$12,"C-",IF(L101&lt;'PlayerGrades+'!$AE$11,"C",IF(L101&lt;'PlayerGrades+'!$AE$10,"C+",IF(L101&lt;'PlayerGrades+'!$AE$9,"B-",IF(L101&lt;'PlayerGrades+'!$AE$8,"B",IF(L101&lt;'PlayerGrades+'!$AE$7,"B+",IF(L101&lt;'PlayerGrades+'!$AE$6,"A-",IF(L101&lt;'PlayerGrades+'!$AE$5,"A",IF(L101&lt;'PlayerGrades+'!$AE$4,"A+",IF(L101&lt;'PlayerGrades+'!$AE$3,"S-",IF(L101&lt;'PlayerGrades+'!$AE$2,"S","S+"))))))))))))))))))))</f>
        <v>F-</v>
      </c>
      <c r="N101" s="961">
        <f t="shared" si="6"/>
        <v>0</v>
      </c>
      <c r="O101" s="961" t="str">
        <f>IF(N101&lt;'PlayerGrades+'!$AF$21,"F-",IF(N101&lt;'PlayerGrades+'!$AF$20,"F",IF(N101&lt;'PlayerGrades+'!$AF$19,"F+",IF(N101&lt;'PlayerGrades+'!$AF$18,"E-",IF(N101&lt;'PlayerGrades+'!$AF$17,"E",IF(N101&lt;'PlayerGrades+'!$AF$16,"E+",IF(N101&lt;'PlayerGrades+'!$AF$15,"D-",IF(N101&lt;'PlayerGrades+'!$AF$14,"D",IF(N101&lt;'PlayerGrades+'!$AF$13,"D+",IF(N101&lt;'PlayerGrades+'!$AF$12,"C-",IF(N101&lt;'PlayerGrades+'!$AF$11,"C",IF(N101&lt;'PlayerGrades+'!$AF$10,"C+",IF(N101&lt;'PlayerGrades+'!$AF$9,"B-",IF(N101&lt;'PlayerGrades+'!$AF$8,"B",IF(N101&lt;'PlayerGrades+'!$AF$7,"B+",IF(N101&lt;'PlayerGrades+'!$AF$6,"A-",IF(N101&lt;'PlayerGrades+'!$AF$5,"A",IF(N101&lt;'PlayerGrades+'!$AF$4,"A+",IF(N101&lt;'PlayerGrades+'!$AF$3,"S-",IF(N101&lt;'PlayerGrades+'!$AF$2,"S","S+"))))))))))))))))))))</f>
        <v>F-</v>
      </c>
      <c r="P101" s="961">
        <f t="shared" si="7"/>
        <v>0.1328903654</v>
      </c>
      <c r="Q101" s="961" t="str">
        <f>IF(P101&lt;'PlayerGrades+'!$AG$21,"F-",IF(P101&lt;'PlayerGrades+'!$AG$20,"F",IF(P101&lt;'PlayerGrades+'!$AG$19,"F+",IF(P101&lt;'PlayerGrades+'!$AG$18,"E-",IF(P101&lt;'PlayerGrades+'!$AG$17,"E",IF(P101&lt;'PlayerGrades+'!$AG$16,"E+",IF(P101&lt;'PlayerGrades+'!$AG$15,"D-",IF(P101&lt;'PlayerGrades+'!$AG$14,"D",IF(P101&lt;'PlayerGrades+'!$AG$13,"D+",IF(P101&lt;'PlayerGrades+'!$AG$12,"C-",IF(P101&lt;'PlayerGrades+'!$AG$11,"C",IF(P101&lt;'PlayerGrades+'!$AG$10,"C+",IF(P101&lt;'PlayerGrades+'!$AG$9,"B-",IF(P101&lt;'PlayerGrades+'!$AG$8,"B",IF(P101&lt;'PlayerGrades+'!$AG$7,"B+",IF(P101&lt;'PlayerGrades+'!$AG$6,"A-",IF(P101&lt;'PlayerGrades+'!$AG$5,"A",IF(P101&lt;'PlayerGrades+'!$AG$4,"A+",IF(P101&lt;'PlayerGrades+'!$AG$3,"S-",IF(P101&lt;'PlayerGrades+'!$AG$2,"S","S+"))))))))))))))))))))</f>
        <v>F-</v>
      </c>
      <c r="R101" s="961">
        <f t="shared" si="8"/>
        <v>0.06644518272</v>
      </c>
      <c r="S101" s="961" t="str">
        <f>IF(R101&lt;'PlayerGrades+'!$AH$21,"F-",IF(R101&lt;'PlayerGrades+'!$AH$20,"F",IF(R101&lt;'PlayerGrades+'!$AH$19,"F+",IF(R101&lt;'PlayerGrades+'!$AH$18,"E-",IF(R101&lt;'PlayerGrades+'!$AH$17,"E",IF(R101&lt;'PlayerGrades+'!$AH$16,"E+",IF(R101&lt;'PlayerGrades+'!$AH$15,"D-",IF(R101&lt;'PlayerGrades+'!$AH$14,"D",IF(R101&lt;'PlayerGrades+'!$AH$13,"D+",IF(R101&lt;'PlayerGrades+'!$AH$12,"C-",IF(R101&lt;'PlayerGrades+'!$AH$11,"C",IF(R101&lt;'PlayerGrades+'!$AH$10,"C+",IF(R101&lt;'PlayerGrades+'!$AH$9,"B-",IF(R101&lt;'PlayerGrades+'!$AH$8,"B",IF(R101&lt;'PlayerGrades+'!$AH$7,"B+",IF(R101&lt;'PlayerGrades+'!$AH$6,"A-",IF(R101&lt;'PlayerGrades+'!$AH$5,"A",IF(R101&lt;'PlayerGrades+'!$AH$4,"A+",IF(R101&lt;'PlayerGrades+'!$AH$3,"S-",IF(R101&lt;'PlayerGrades+'!$AH$2,"S","S+"))))))))))))))))))))</f>
        <v>B</v>
      </c>
      <c r="T101" s="961">
        <f t="shared" si="9"/>
        <v>1.328903654</v>
      </c>
      <c r="U101" s="961" t="str">
        <f>IF(T101&lt;'PlayerGrades+'!$AI$21,"F-",IF(T101&lt;'PlayerGrades+'!$AI$20,"F",IF(T101&lt;'PlayerGrades+'!$AI$19,"F+",IF(T101&lt;'PlayerGrades+'!$AI$18,"E-",IF(T101&lt;'PlayerGrades+'!$AI$17,"E",IF(T101&lt;'PlayerGrades+'!$AI$16,"E+",IF(T101&lt;'PlayerGrades+'!$AI$15,"D-",IF(T101&lt;'PlayerGrades+'!$AI$14,"D",IF(T101&lt;'PlayerGrades+'!$AI$13,"D+",IF(T101&lt;'PlayerGrades+'!$AI$12,"C-",IF(T101&lt;'PlayerGrades+'!$AI$11,"C",IF(T101&lt;'PlayerGrades+'!$AI$10,"C+",IF(T101&lt;'PlayerGrades+'!$AI$9,"B-",IF(T101&lt;'PlayerGrades+'!$AI$8,"B",IF(T101&lt;'PlayerGrades+'!$AI$7,"B+",IF(T101&lt;'PlayerGrades+'!$AI$6,"A-",IF(T101&lt;'PlayerGrades+'!$AI$5,"A",IF(T101&lt;'PlayerGrades+'!$AI$4,"A+",IF(T101&lt;'PlayerGrades+'!$AI$3,"S-",IF(T101&lt;'PlayerGrades+'!$AI$2,"S","S+"))))))))))))))))))))</f>
        <v>F-</v>
      </c>
      <c r="V101" s="1100">
        <v>1.0</v>
      </c>
      <c r="W101" s="1100">
        <v>0.0</v>
      </c>
      <c r="X101" s="1398">
        <v>2.0</v>
      </c>
      <c r="Y101" s="1398">
        <v>3.0</v>
      </c>
      <c r="Z101" s="1398">
        <v>20.0</v>
      </c>
      <c r="AA101" s="1398">
        <v>31.0</v>
      </c>
      <c r="AB101" s="1017">
        <f t="shared" si="10"/>
        <v>-11</v>
      </c>
      <c r="AC101" s="1020">
        <f t="shared" si="11"/>
        <v>0.6451612903</v>
      </c>
      <c r="AD101" s="1398">
        <v>0.0</v>
      </c>
      <c r="AE101" s="1399">
        <v>903.0</v>
      </c>
      <c r="AF101" s="1398">
        <v>0.0</v>
      </c>
      <c r="AG101" s="1398">
        <v>0.0</v>
      </c>
      <c r="AH101" s="1398">
        <v>0.0</v>
      </c>
      <c r="AI101" s="1398">
        <v>0.0</v>
      </c>
      <c r="AJ101" s="1398">
        <v>0.0</v>
      </c>
      <c r="AK101" s="1398">
        <v>2.0</v>
      </c>
      <c r="AL101" s="1398">
        <v>0.0</v>
      </c>
      <c r="AM101" s="1398">
        <v>0.0</v>
      </c>
      <c r="AN101" s="1398">
        <v>0.0</v>
      </c>
      <c r="AO101" s="1398">
        <v>0.0</v>
      </c>
      <c r="AP101" s="1398">
        <v>0.0</v>
      </c>
      <c r="AQ101" s="1398">
        <v>0.0</v>
      </c>
      <c r="AR101" s="1398">
        <v>0.0</v>
      </c>
      <c r="AS101" s="1398">
        <v>0.0</v>
      </c>
      <c r="AT101" s="1398">
        <v>0.0</v>
      </c>
      <c r="AU101" s="1398">
        <v>7.0</v>
      </c>
      <c r="AV101" s="1398">
        <v>0.0</v>
      </c>
      <c r="AW101" s="1398">
        <v>0.0</v>
      </c>
      <c r="AX101" s="1398">
        <v>0.0</v>
      </c>
      <c r="AY101" s="1398">
        <v>1.0</v>
      </c>
      <c r="AZ101" s="1400">
        <v>0.0</v>
      </c>
    </row>
    <row r="102">
      <c r="A102" s="1277" t="s">
        <v>62</v>
      </c>
      <c r="B102" s="1100" t="str">
        <f>IF(C102&lt;'PlayerGrades+'!$Y$44,"F-",IF(C102&lt;'PlayerGrades+'!$Y$43,"F",IF(C102&lt;'PlayerGrades+'!$Y$42,"F+",IF(C102&lt;'PlayerGrades+'!$Y$41,"E-",IF(C102&lt;'PlayerGrades+'!$Y$40,"E",IF(C102&lt;'PlayerGrades+'!$Y$39,"E+",IF(C102&lt;'PlayerGrades+'!$Y$38,"D-",IF(C102&lt;'PlayerGrades+'!$Y$37,"D",IF(C102&lt;'PlayerGrades+'!$Y$36,"D+",IF(C102&lt;'PlayerGrades+'!$Y$35,"C-",IF(C102&lt;'PlayerGrades+'!$Y$34,"C",IF(C102&lt;'PlayerGrades+'!$Y$33,"C+",IF(C102&lt;'PlayerGrades+'!$Y$32,"B-",IF(C102&lt;'PlayerGrades+'!$Y$31,"B",IF(C102&lt;'PlayerGrades+'!$Y$30,"B+",IF(C102&lt;'PlayerGrades+'!$Y$29,"A-",IF(C102&lt;'PlayerGrades+'!$Y$28,"A",IF(C102&lt;'PlayerGrades+'!$Y$27,"A+",IF(C102&lt;'PlayerGrades+'!$Y$26,"S-",IF(C102&lt;'PlayerGrades+'!$Y$25,"S","S+"))))))))))))))))))))</f>
        <v>B</v>
      </c>
      <c r="C102" s="1105">
        <f>('PlayerGrades+'!$Y$47*(VLOOKUP(E102, 'PlayerGrades+'!$X$3:$Y$23, 2, FALSE)))+('PlayerGrades+'!$Y$48*(VLOOKUP(G102, 'PlayerGrades+'!$X$3:$Y$23, 2, FALSE)))+('PlayerGrades+'!$Y$49*(VLOOKUP(I102, 'PlayerGrades+'!$X$3:$Y$23, 2, FALSE)))+('PlayerGrades+'!$Y$50*(VLOOKUP(K102, 'PlayerGrades+'!$X$3:$Y$23, 2, FALSE)))+('PlayerGrades+'!$Y$51*(VLOOKUP(M102, 'PlayerGrades+'!$X$3:$Y$23, 2, FALSE)))+('PlayerGrades+'!$Y$52*(VLOOKUP(O102, 'PlayerGrades+'!$X$3:$Y$23, 2, FALSE)))+('PlayerGrades+'!$Y$53*(VLOOKUP(Q102, 'PlayerGrades+'!$X$3:$Y$23, 2, FALSE)))+('PlayerGrades+'!$Y$54*(VLOOKUP(S102, 'PlayerGrades+'!$X$3:$Y$23, 2, FALSE)))+('PlayerGrades+'!$Y$55*(VLOOKUP(U102, 'PlayerGrades+'!$X$3:$Y$23, 2, FALSE)))</f>
        <v>19.8375</v>
      </c>
      <c r="D102" s="961">
        <f t="shared" si="1"/>
        <v>0</v>
      </c>
      <c r="E102" s="961" t="str">
        <f>IF(D102&lt;'PlayerGrades+'!$AA$21,"F-",IF(D102&lt;'PlayerGrades+'!$AA$20,"F",IF(D102&lt;'PlayerGrades+'!$AA$19,"F+",IF(D102&lt;'PlayerGrades+'!$AA$18,"E-",IF(D102&lt;'PlayerGrades+'!$AA$17,"E",IF(D102&lt;'PlayerGrades+'!$AA$16,"E+",IF(D102&lt;'PlayerGrades+'!$AA$15,"D-",IF(D102&lt;'PlayerGrades+'!$AA$14,"D",IF(D102&lt;'PlayerGrades+'!$AA$13,"D+",IF(D102&lt;'PlayerGrades+'!$AA$12,"C-",IF(D102&lt;'PlayerGrades+'!$AA$11,"C",IF(D102&lt;'PlayerGrades+'!$AA$10,"C+",IF(D102&lt;'PlayerGrades+'!$AA$9,"B-",IF(D102&lt;'PlayerGrades+'!$AA$8,"B",IF(D102&lt;'PlayerGrades+'!$AA$7,"B+",IF(D102&lt;'PlayerGrades+'!$AA$6,"A-",IF(D102&lt;'PlayerGrades+'!$AA$5,"A",IF(D102&lt;'PlayerGrades+'!$AA$4,"A+",IF(D102&lt;'PlayerGrades+'!$AA$3,"S-",IF(D102&lt;'PlayerGrades+'!$AA$2,"S","S+"))))))))))))))))))))</f>
        <v>F-</v>
      </c>
      <c r="F102" s="961">
        <f t="shared" si="2"/>
        <v>0.1013289037</v>
      </c>
      <c r="G102" s="961" t="str">
        <f>IF(F102&lt;'PlayerGrades+'!$AB$21,"F-",IF(F102&lt;'PlayerGrades+'!$AB$20,"F",IF(F102&lt;'PlayerGrades+'!$AB$19,"F+",IF(F102&lt;'PlayerGrades+'!$AB$18,"E-",IF(F102&lt;'PlayerGrades+'!$AB$17,"E",IF(F102&lt;'PlayerGrades+'!$AB$16,"E+",IF(F102&lt;'PlayerGrades+'!$AB$15,"D-",IF(F102&lt;'PlayerGrades+'!$AB$14,"D",IF(F102&lt;'PlayerGrades+'!$AB$13,"D+",IF(F102&lt;'PlayerGrades+'!$AB$12,"C-",IF(F102&lt;'PlayerGrades+'!$AB$11,"C",IF(F102&lt;'PlayerGrades+'!$AB$10,"C+",IF(F102&lt;'PlayerGrades+'!$AB$9,"B-",IF(F102&lt;'PlayerGrades+'!$AB$8,"B",IF(F102&lt;'PlayerGrades+'!$AB$7,"B+",IF(F102&lt;'PlayerGrades+'!$AB$6,"A-",IF(F102&lt;'PlayerGrades+'!$AB$5,"A",IF(F102&lt;'PlayerGrades+'!$AB$4,"A+",IF(F102&lt;'PlayerGrades+'!$AB$3,"S-",IF(F102&lt;'PlayerGrades+'!$AB$2,"S","S+"))))))))))))))))))))</f>
        <v>A</v>
      </c>
      <c r="H102" s="961">
        <f t="shared" si="3"/>
        <v>0.3322259136</v>
      </c>
      <c r="I102" s="961" t="str">
        <f>IF(H102&lt;'PlayerGrades+'!$AC$21,"F-",IF(H102&lt;'PlayerGrades+'!$AC$20,"F",IF(H102&lt;'PlayerGrades+'!$AC$19,"F+",IF(H102&lt;'PlayerGrades+'!$AC$18,"E-",IF(H102&lt;'PlayerGrades+'!$AC$17,"E",IF(H102&lt;'PlayerGrades+'!$AC$16,"E+",IF(H102&lt;'PlayerGrades+'!$AC$15,"D-",IF(H102&lt;'PlayerGrades+'!$AC$14,"D",IF(H102&lt;'PlayerGrades+'!$AC$13,"D+",IF(H102&lt;'PlayerGrades+'!$AC$12,"C-",IF(H102&lt;'PlayerGrades+'!$AC$11,"C",IF(H102&lt;'PlayerGrades+'!$AC$10,"C+",IF(H102&lt;'PlayerGrades+'!$AC$9,"B-",IF(H102&lt;'PlayerGrades+'!$AC$8,"B",IF(H102&lt;'PlayerGrades+'!$AC$7,"B+",IF(H102&lt;'PlayerGrades+'!$AC$6,"A-",IF(H102&lt;'PlayerGrades+'!$AC$5,"A",IF(H102&lt;'PlayerGrades+'!$AC$4,"A+",IF(H102&lt;'PlayerGrades+'!$AC$3,"S-",IF(H102&lt;'PlayerGrades+'!$AC$2,"S","S+"))))))))))))))))))))</f>
        <v>E</v>
      </c>
      <c r="J102" s="961">
        <f t="shared" si="4"/>
        <v>0.1328903654</v>
      </c>
      <c r="K102" s="961" t="str">
        <f>IF(J102&lt;'PlayerGrades+'!$AD$21,"F-",IF(J102&lt;'PlayerGrades+'!$AD$20,"F",IF(J102&lt;'PlayerGrades+'!$AD$19,"F+",IF(J102&lt;'PlayerGrades+'!$AD$18,"E-",IF(J102&lt;'PlayerGrades+'!$AD$17,"E",IF(J102&lt;'PlayerGrades+'!$AD$16,"E+",IF(J102&lt;'PlayerGrades+'!$AD$15,"D-",IF(J102&lt;'PlayerGrades+'!$AD$14,"D",IF(J102&lt;'PlayerGrades+'!$AD$13,"D+",IF(J102&lt;'PlayerGrades+'!$AD$12,"C-",IF(J102&lt;'PlayerGrades+'!$AD$11,"C",IF(J102&lt;'PlayerGrades+'!$AD$10,"C+",IF(J102&lt;'PlayerGrades+'!$AD$9,"B-",IF(J102&lt;'PlayerGrades+'!$AD$8,"B",IF(J102&lt;'PlayerGrades+'!$AD$7,"B+",IF(J102&lt;'PlayerGrades+'!$AD$6,"A-",IF(J102&lt;'PlayerGrades+'!$AD$5,"A",IF(J102&lt;'PlayerGrades+'!$AD$4,"A+",IF(J102&lt;'PlayerGrades+'!$AD$3,"S-",IF(J102&lt;'PlayerGrades+'!$AD$2,"S","S+"))))))))))))))))))))</f>
        <v>S</v>
      </c>
      <c r="L102" s="992">
        <f t="shared" si="5"/>
        <v>1.063122924</v>
      </c>
      <c r="M102" s="992" t="str">
        <f>IF(L102&lt;'PlayerGrades+'!$AE$21,"F-",IF(L102&lt;'PlayerGrades+'!$AE$20,"F",IF(L102&lt;'PlayerGrades+'!$AE$19,"F+",IF(L102&lt;'PlayerGrades+'!$AE$18,"E-",IF(L102&lt;'PlayerGrades+'!$AE$17,"E",IF(L102&lt;'PlayerGrades+'!$AE$16,"E+",IF(L102&lt;'PlayerGrades+'!$AE$15,"D-",IF(L102&lt;'PlayerGrades+'!$AE$14,"D",IF(L102&lt;'PlayerGrades+'!$AE$13,"D+",IF(L102&lt;'PlayerGrades+'!$AE$12,"C-",IF(L102&lt;'PlayerGrades+'!$AE$11,"C",IF(L102&lt;'PlayerGrades+'!$AE$10,"C+",IF(L102&lt;'PlayerGrades+'!$AE$9,"B-",IF(L102&lt;'PlayerGrades+'!$AE$8,"B",IF(L102&lt;'PlayerGrades+'!$AE$7,"B+",IF(L102&lt;'PlayerGrades+'!$AE$6,"A-",IF(L102&lt;'PlayerGrades+'!$AE$5,"A",IF(L102&lt;'PlayerGrades+'!$AE$4,"A+",IF(L102&lt;'PlayerGrades+'!$AE$3,"S-",IF(L102&lt;'PlayerGrades+'!$AE$2,"S","S+"))))))))))))))))))))</f>
        <v>S+</v>
      </c>
      <c r="N102" s="961">
        <f t="shared" si="6"/>
        <v>0.3322259136</v>
      </c>
      <c r="O102" s="961" t="str">
        <f>IF(N102&lt;'PlayerGrades+'!$AF$21,"F-",IF(N102&lt;'PlayerGrades+'!$AF$20,"F",IF(N102&lt;'PlayerGrades+'!$AF$19,"F+",IF(N102&lt;'PlayerGrades+'!$AF$18,"E-",IF(N102&lt;'PlayerGrades+'!$AF$17,"E",IF(N102&lt;'PlayerGrades+'!$AF$16,"E+",IF(N102&lt;'PlayerGrades+'!$AF$15,"D-",IF(N102&lt;'PlayerGrades+'!$AF$14,"D",IF(N102&lt;'PlayerGrades+'!$AF$13,"D+",IF(N102&lt;'PlayerGrades+'!$AF$12,"C-",IF(N102&lt;'PlayerGrades+'!$AF$11,"C",IF(N102&lt;'PlayerGrades+'!$AF$10,"C+",IF(N102&lt;'PlayerGrades+'!$AF$9,"B-",IF(N102&lt;'PlayerGrades+'!$AF$8,"B",IF(N102&lt;'PlayerGrades+'!$AF$7,"B+",IF(N102&lt;'PlayerGrades+'!$AF$6,"A-",IF(N102&lt;'PlayerGrades+'!$AF$5,"A",IF(N102&lt;'PlayerGrades+'!$AF$4,"A+",IF(N102&lt;'PlayerGrades+'!$AF$3,"S-",IF(N102&lt;'PlayerGrades+'!$AF$2,"S","S+"))))))))))))))))))))</f>
        <v>S</v>
      </c>
      <c r="P102" s="961">
        <f t="shared" si="7"/>
        <v>1.528239203</v>
      </c>
      <c r="Q102" s="961" t="str">
        <f>IF(P102&lt;'PlayerGrades+'!$AG$21,"F-",IF(P102&lt;'PlayerGrades+'!$AG$20,"F",IF(P102&lt;'PlayerGrades+'!$AG$19,"F+",IF(P102&lt;'PlayerGrades+'!$AG$18,"E-",IF(P102&lt;'PlayerGrades+'!$AG$17,"E",IF(P102&lt;'PlayerGrades+'!$AG$16,"E+",IF(P102&lt;'PlayerGrades+'!$AG$15,"D-",IF(P102&lt;'PlayerGrades+'!$AG$14,"D",IF(P102&lt;'PlayerGrades+'!$AG$13,"D+",IF(P102&lt;'PlayerGrades+'!$AG$12,"C-",IF(P102&lt;'PlayerGrades+'!$AG$11,"C",IF(P102&lt;'PlayerGrades+'!$AG$10,"C+",IF(P102&lt;'PlayerGrades+'!$AG$9,"B-",IF(P102&lt;'PlayerGrades+'!$AG$8,"B",IF(P102&lt;'PlayerGrades+'!$AG$7,"B+",IF(P102&lt;'PlayerGrades+'!$AG$6,"A-",IF(P102&lt;'PlayerGrades+'!$AG$5,"A",IF(P102&lt;'PlayerGrades+'!$AG$4,"A+",IF(P102&lt;'PlayerGrades+'!$AG$3,"S-",IF(P102&lt;'PlayerGrades+'!$AG$2,"S","S+"))))))))))))))))))))</f>
        <v>S</v>
      </c>
      <c r="R102" s="961">
        <f t="shared" si="8"/>
        <v>0.06644518272</v>
      </c>
      <c r="S102" s="961" t="str">
        <f>IF(R102&lt;'PlayerGrades+'!$AH$21,"F-",IF(R102&lt;'PlayerGrades+'!$AH$20,"F",IF(R102&lt;'PlayerGrades+'!$AH$19,"F+",IF(R102&lt;'PlayerGrades+'!$AH$18,"E-",IF(R102&lt;'PlayerGrades+'!$AH$17,"E",IF(R102&lt;'PlayerGrades+'!$AH$16,"E+",IF(R102&lt;'PlayerGrades+'!$AH$15,"D-",IF(R102&lt;'PlayerGrades+'!$AH$14,"D",IF(R102&lt;'PlayerGrades+'!$AH$13,"D+",IF(R102&lt;'PlayerGrades+'!$AH$12,"C-",IF(R102&lt;'PlayerGrades+'!$AH$11,"C",IF(R102&lt;'PlayerGrades+'!$AH$10,"C+",IF(R102&lt;'PlayerGrades+'!$AH$9,"B-",IF(R102&lt;'PlayerGrades+'!$AH$8,"B",IF(R102&lt;'PlayerGrades+'!$AH$7,"B+",IF(R102&lt;'PlayerGrades+'!$AH$6,"A-",IF(R102&lt;'PlayerGrades+'!$AH$5,"A",IF(R102&lt;'PlayerGrades+'!$AH$4,"A+",IF(R102&lt;'PlayerGrades+'!$AH$3,"S-",IF(R102&lt;'PlayerGrades+'!$AH$2,"S","S+"))))))))))))))))))))</f>
        <v>B</v>
      </c>
      <c r="T102" s="961">
        <f t="shared" si="9"/>
        <v>4.053156146</v>
      </c>
      <c r="U102" s="961" t="str">
        <f>IF(T102&lt;'PlayerGrades+'!$AI$21,"F-",IF(T102&lt;'PlayerGrades+'!$AI$20,"F",IF(T102&lt;'PlayerGrades+'!$AI$19,"F+",IF(T102&lt;'PlayerGrades+'!$AI$18,"E-",IF(T102&lt;'PlayerGrades+'!$AI$17,"E",IF(T102&lt;'PlayerGrades+'!$AI$16,"E+",IF(T102&lt;'PlayerGrades+'!$AI$15,"D-",IF(T102&lt;'PlayerGrades+'!$AI$14,"D",IF(T102&lt;'PlayerGrades+'!$AI$13,"D+",IF(T102&lt;'PlayerGrades+'!$AI$12,"C-",IF(T102&lt;'PlayerGrades+'!$AI$11,"C",IF(T102&lt;'PlayerGrades+'!$AI$10,"C+",IF(T102&lt;'PlayerGrades+'!$AI$9,"B-",IF(T102&lt;'PlayerGrades+'!$AI$8,"B",IF(T102&lt;'PlayerGrades+'!$AI$7,"B+",IF(T102&lt;'PlayerGrades+'!$AI$6,"A-",IF(T102&lt;'PlayerGrades+'!$AI$5,"A",IF(T102&lt;'PlayerGrades+'!$AI$4,"A+",IF(T102&lt;'PlayerGrades+'!$AI$3,"S-",IF(T102&lt;'PlayerGrades+'!$AI$2,"S","S+"))))))))))))))))))))</f>
        <v>S</v>
      </c>
      <c r="V102" s="1100">
        <v>0.0</v>
      </c>
      <c r="W102" s="1100">
        <v>1.0</v>
      </c>
      <c r="X102" s="1398">
        <v>0.0</v>
      </c>
      <c r="Y102" s="1398">
        <v>1.0</v>
      </c>
      <c r="Z102" s="1398">
        <v>61.0</v>
      </c>
      <c r="AA102" s="1398">
        <v>40.0</v>
      </c>
      <c r="AB102" s="1017">
        <f t="shared" si="10"/>
        <v>21</v>
      </c>
      <c r="AC102" s="1020">
        <f t="shared" si="11"/>
        <v>1.525</v>
      </c>
      <c r="AD102" s="1398">
        <v>0.0</v>
      </c>
      <c r="AE102" s="1399">
        <v>903.0</v>
      </c>
      <c r="AF102" s="1398">
        <v>2.0</v>
      </c>
      <c r="AG102" s="1398">
        <v>0.0</v>
      </c>
      <c r="AH102" s="1398">
        <v>0.0</v>
      </c>
      <c r="AI102" s="1398">
        <v>0.0</v>
      </c>
      <c r="AJ102" s="1398">
        <v>0.0</v>
      </c>
      <c r="AK102" s="1398">
        <v>16.0</v>
      </c>
      <c r="AL102" s="1398">
        <v>5.0</v>
      </c>
      <c r="AM102" s="1398">
        <v>2.0</v>
      </c>
      <c r="AN102" s="1398">
        <v>0.0</v>
      </c>
      <c r="AO102" s="1398">
        <v>0.0</v>
      </c>
      <c r="AP102" s="1398">
        <v>0.0</v>
      </c>
      <c r="AQ102" s="1398">
        <v>0.0</v>
      </c>
      <c r="AR102" s="1398">
        <v>0.0</v>
      </c>
      <c r="AS102" s="1398">
        <v>0.0</v>
      </c>
      <c r="AT102" s="1398">
        <v>0.0</v>
      </c>
      <c r="AU102" s="1398">
        <v>5.0</v>
      </c>
      <c r="AV102" s="1398">
        <v>0.0</v>
      </c>
      <c r="AW102" s="1398">
        <v>1.0</v>
      </c>
      <c r="AX102" s="1398">
        <v>0.0</v>
      </c>
      <c r="AY102" s="1398">
        <v>0.0</v>
      </c>
      <c r="AZ102" s="1400">
        <v>0.0</v>
      </c>
    </row>
    <row r="103">
      <c r="A103" s="1277" t="s">
        <v>41</v>
      </c>
      <c r="B103" s="1100" t="str">
        <f>IF(C103&lt;'PlayerGrades+'!$Y$44,"F-",IF(C103&lt;'PlayerGrades+'!$Y$43,"F",IF(C103&lt;'PlayerGrades+'!$Y$42,"F+",IF(C103&lt;'PlayerGrades+'!$Y$41,"E-",IF(C103&lt;'PlayerGrades+'!$Y$40,"E",IF(C103&lt;'PlayerGrades+'!$Y$39,"E+",IF(C103&lt;'PlayerGrades+'!$Y$38,"D-",IF(C103&lt;'PlayerGrades+'!$Y$37,"D",IF(C103&lt;'PlayerGrades+'!$Y$36,"D+",IF(C103&lt;'PlayerGrades+'!$Y$35,"C-",IF(C103&lt;'PlayerGrades+'!$Y$34,"C",IF(C103&lt;'PlayerGrades+'!$Y$33,"C+",IF(C103&lt;'PlayerGrades+'!$Y$32,"B-",IF(C103&lt;'PlayerGrades+'!$Y$31,"B",IF(C103&lt;'PlayerGrades+'!$Y$30,"B+",IF(C103&lt;'PlayerGrades+'!$Y$29,"A-",IF(C103&lt;'PlayerGrades+'!$Y$28,"A",IF(C103&lt;'PlayerGrades+'!$Y$27,"A+",IF(C103&lt;'PlayerGrades+'!$Y$26,"S-",IF(C103&lt;'PlayerGrades+'!$Y$25,"S","S+"))))))))))))))))))))</f>
        <v>E-</v>
      </c>
      <c r="C103" s="1105">
        <f>('PlayerGrades+'!$Y$47*(VLOOKUP(E103, 'PlayerGrades+'!$X$3:$Y$23, 2, FALSE)))+('PlayerGrades+'!$Y$48*(VLOOKUP(G103, 'PlayerGrades+'!$X$3:$Y$23, 2, FALSE)))+('PlayerGrades+'!$Y$49*(VLOOKUP(I103, 'PlayerGrades+'!$X$3:$Y$23, 2, FALSE)))+('PlayerGrades+'!$Y$50*(VLOOKUP(K103, 'PlayerGrades+'!$X$3:$Y$23, 2, FALSE)))+('PlayerGrades+'!$Y$51*(VLOOKUP(M103, 'PlayerGrades+'!$X$3:$Y$23, 2, FALSE)))+('PlayerGrades+'!$Y$52*(VLOOKUP(O103, 'PlayerGrades+'!$X$3:$Y$23, 2, FALSE)))+('PlayerGrades+'!$Y$53*(VLOOKUP(Q103, 'PlayerGrades+'!$X$3:$Y$23, 2, FALSE)))+('PlayerGrades+'!$Y$54*(VLOOKUP(S103, 'PlayerGrades+'!$X$3:$Y$23, 2, FALSE)))+('PlayerGrades+'!$Y$55*(VLOOKUP(U103, 'PlayerGrades+'!$X$3:$Y$23, 2, FALSE)))</f>
        <v>9.025</v>
      </c>
      <c r="D103" s="961">
        <f t="shared" si="1"/>
        <v>0</v>
      </c>
      <c r="E103" s="961" t="str">
        <f>IF(D103&lt;'PlayerGrades+'!$AA$21,"F-",IF(D103&lt;'PlayerGrades+'!$AA$20,"F",IF(D103&lt;'PlayerGrades+'!$AA$19,"F+",IF(D103&lt;'PlayerGrades+'!$AA$18,"E-",IF(D103&lt;'PlayerGrades+'!$AA$17,"E",IF(D103&lt;'PlayerGrades+'!$AA$16,"E+",IF(D103&lt;'PlayerGrades+'!$AA$15,"D-",IF(D103&lt;'PlayerGrades+'!$AA$14,"D",IF(D103&lt;'PlayerGrades+'!$AA$13,"D+",IF(D103&lt;'PlayerGrades+'!$AA$12,"C-",IF(D103&lt;'PlayerGrades+'!$AA$11,"C",IF(D103&lt;'PlayerGrades+'!$AA$10,"C+",IF(D103&lt;'PlayerGrades+'!$AA$9,"B-",IF(D103&lt;'PlayerGrades+'!$AA$8,"B",IF(D103&lt;'PlayerGrades+'!$AA$7,"B+",IF(D103&lt;'PlayerGrades+'!$AA$6,"A-",IF(D103&lt;'PlayerGrades+'!$AA$5,"A",IF(D103&lt;'PlayerGrades+'!$AA$4,"A+",IF(D103&lt;'PlayerGrades+'!$AA$3,"S-",IF(D103&lt;'PlayerGrades+'!$AA$2,"S","S+"))))))))))))))))))))</f>
        <v>F-</v>
      </c>
      <c r="F103" s="961">
        <f t="shared" si="2"/>
        <v>0.05871899869</v>
      </c>
      <c r="G103" s="961" t="str">
        <f>IF(F103&lt;'PlayerGrades+'!$AB$21,"F-",IF(F103&lt;'PlayerGrades+'!$AB$20,"F",IF(F103&lt;'PlayerGrades+'!$AB$19,"F+",IF(F103&lt;'PlayerGrades+'!$AB$18,"E-",IF(F103&lt;'PlayerGrades+'!$AB$17,"E",IF(F103&lt;'PlayerGrades+'!$AB$16,"E+",IF(F103&lt;'PlayerGrades+'!$AB$15,"D-",IF(F103&lt;'PlayerGrades+'!$AB$14,"D",IF(F103&lt;'PlayerGrades+'!$AB$13,"D+",IF(F103&lt;'PlayerGrades+'!$AB$12,"C-",IF(F103&lt;'PlayerGrades+'!$AB$11,"C",IF(F103&lt;'PlayerGrades+'!$AB$10,"C+",IF(F103&lt;'PlayerGrades+'!$AB$9,"B-",IF(F103&lt;'PlayerGrades+'!$AB$8,"B",IF(F103&lt;'PlayerGrades+'!$AB$7,"B+",IF(F103&lt;'PlayerGrades+'!$AB$6,"A-",IF(F103&lt;'PlayerGrades+'!$AB$5,"A",IF(F103&lt;'PlayerGrades+'!$AB$4,"A+",IF(F103&lt;'PlayerGrades+'!$AB$3,"S-",IF(F103&lt;'PlayerGrades+'!$AB$2,"S","S+"))))))))))))))))))))</f>
        <v>A</v>
      </c>
      <c r="H103" s="961">
        <f t="shared" si="3"/>
        <v>0.3986710963</v>
      </c>
      <c r="I103" s="961" t="str">
        <f>IF(H103&lt;'PlayerGrades+'!$AC$21,"F-",IF(H103&lt;'PlayerGrades+'!$AC$20,"F",IF(H103&lt;'PlayerGrades+'!$AC$19,"F+",IF(H103&lt;'PlayerGrades+'!$AC$18,"E-",IF(H103&lt;'PlayerGrades+'!$AC$17,"E",IF(H103&lt;'PlayerGrades+'!$AC$16,"E+",IF(H103&lt;'PlayerGrades+'!$AC$15,"D-",IF(H103&lt;'PlayerGrades+'!$AC$14,"D",IF(H103&lt;'PlayerGrades+'!$AC$13,"D+",IF(H103&lt;'PlayerGrades+'!$AC$12,"C-",IF(H103&lt;'PlayerGrades+'!$AC$11,"C",IF(H103&lt;'PlayerGrades+'!$AC$10,"C+",IF(H103&lt;'PlayerGrades+'!$AC$9,"B-",IF(H103&lt;'PlayerGrades+'!$AC$8,"B",IF(H103&lt;'PlayerGrades+'!$AC$7,"B+",IF(H103&lt;'PlayerGrades+'!$AC$6,"A-",IF(H103&lt;'PlayerGrades+'!$AC$5,"A",IF(H103&lt;'PlayerGrades+'!$AC$4,"A+",IF(H103&lt;'PlayerGrades+'!$AC$3,"S-",IF(H103&lt;'PlayerGrades+'!$AC$2,"S","S+"))))))))))))))))))))</f>
        <v>D</v>
      </c>
      <c r="J103" s="961">
        <f t="shared" si="4"/>
        <v>0</v>
      </c>
      <c r="K103" s="961" t="str">
        <f>IF(J103&lt;'PlayerGrades+'!$AD$21,"F-",IF(J103&lt;'PlayerGrades+'!$AD$20,"F",IF(J103&lt;'PlayerGrades+'!$AD$19,"F+",IF(J103&lt;'PlayerGrades+'!$AD$18,"E-",IF(J103&lt;'PlayerGrades+'!$AD$17,"E",IF(J103&lt;'PlayerGrades+'!$AD$16,"E+",IF(J103&lt;'PlayerGrades+'!$AD$15,"D-",IF(J103&lt;'PlayerGrades+'!$AD$14,"D",IF(J103&lt;'PlayerGrades+'!$AD$13,"D+",IF(J103&lt;'PlayerGrades+'!$AD$12,"C-",IF(J103&lt;'PlayerGrades+'!$AD$11,"C",IF(J103&lt;'PlayerGrades+'!$AD$10,"C+",IF(J103&lt;'PlayerGrades+'!$AD$9,"B-",IF(J103&lt;'PlayerGrades+'!$AD$8,"B",IF(J103&lt;'PlayerGrades+'!$AD$7,"B+",IF(J103&lt;'PlayerGrades+'!$AD$6,"A-",IF(J103&lt;'PlayerGrades+'!$AD$5,"A",IF(J103&lt;'PlayerGrades+'!$AD$4,"A+",IF(J103&lt;'PlayerGrades+'!$AD$3,"S-",IF(J103&lt;'PlayerGrades+'!$AD$2,"S","S+"))))))))))))))))))))</f>
        <v>F-</v>
      </c>
      <c r="L103" s="992">
        <f t="shared" si="5"/>
        <v>0.1993355482</v>
      </c>
      <c r="M103" s="992" t="str">
        <f>IF(L103&lt;'PlayerGrades+'!$AE$21,"F-",IF(L103&lt;'PlayerGrades+'!$AE$20,"F",IF(L103&lt;'PlayerGrades+'!$AE$19,"F+",IF(L103&lt;'PlayerGrades+'!$AE$18,"E-",IF(L103&lt;'PlayerGrades+'!$AE$17,"E",IF(L103&lt;'PlayerGrades+'!$AE$16,"E+",IF(L103&lt;'PlayerGrades+'!$AE$15,"D-",IF(L103&lt;'PlayerGrades+'!$AE$14,"D",IF(L103&lt;'PlayerGrades+'!$AE$13,"D+",IF(L103&lt;'PlayerGrades+'!$AE$12,"C-",IF(L103&lt;'PlayerGrades+'!$AE$11,"C",IF(L103&lt;'PlayerGrades+'!$AE$10,"C+",IF(L103&lt;'PlayerGrades+'!$AE$9,"B-",IF(L103&lt;'PlayerGrades+'!$AE$8,"B",IF(L103&lt;'PlayerGrades+'!$AE$7,"B+",IF(L103&lt;'PlayerGrades+'!$AE$6,"A-",IF(L103&lt;'PlayerGrades+'!$AE$5,"A",IF(L103&lt;'PlayerGrades+'!$AE$4,"A+",IF(L103&lt;'PlayerGrades+'!$AE$3,"S-",IF(L103&lt;'PlayerGrades+'!$AE$2,"S","S+"))))))))))))))))))))</f>
        <v>F-</v>
      </c>
      <c r="N103" s="961">
        <f t="shared" si="6"/>
        <v>0</v>
      </c>
      <c r="O103" s="961" t="str">
        <f>IF(N103&lt;'PlayerGrades+'!$AF$21,"F-",IF(N103&lt;'PlayerGrades+'!$AF$20,"F",IF(N103&lt;'PlayerGrades+'!$AF$19,"F+",IF(N103&lt;'PlayerGrades+'!$AF$18,"E-",IF(N103&lt;'PlayerGrades+'!$AF$17,"E",IF(N103&lt;'PlayerGrades+'!$AF$16,"E+",IF(N103&lt;'PlayerGrades+'!$AF$15,"D-",IF(N103&lt;'PlayerGrades+'!$AF$14,"D",IF(N103&lt;'PlayerGrades+'!$AF$13,"D+",IF(N103&lt;'PlayerGrades+'!$AF$12,"C-",IF(N103&lt;'PlayerGrades+'!$AF$11,"C",IF(N103&lt;'PlayerGrades+'!$AF$10,"C+",IF(N103&lt;'PlayerGrades+'!$AF$9,"B-",IF(N103&lt;'PlayerGrades+'!$AF$8,"B",IF(N103&lt;'PlayerGrades+'!$AF$7,"B+",IF(N103&lt;'PlayerGrades+'!$AF$6,"A-",IF(N103&lt;'PlayerGrades+'!$AF$5,"A",IF(N103&lt;'PlayerGrades+'!$AF$4,"A+",IF(N103&lt;'PlayerGrades+'!$AF$3,"S-",IF(N103&lt;'PlayerGrades+'!$AF$2,"S","S+"))))))))))))))))))))</f>
        <v>F-</v>
      </c>
      <c r="P103" s="961">
        <f t="shared" si="7"/>
        <v>0.1993355482</v>
      </c>
      <c r="Q103" s="961" t="str">
        <f>IF(P103&lt;'PlayerGrades+'!$AG$21,"F-",IF(P103&lt;'PlayerGrades+'!$AG$20,"F",IF(P103&lt;'PlayerGrades+'!$AG$19,"F+",IF(P103&lt;'PlayerGrades+'!$AG$18,"E-",IF(P103&lt;'PlayerGrades+'!$AG$17,"E",IF(P103&lt;'PlayerGrades+'!$AG$16,"E+",IF(P103&lt;'PlayerGrades+'!$AG$15,"D-",IF(P103&lt;'PlayerGrades+'!$AG$14,"D",IF(P103&lt;'PlayerGrades+'!$AG$13,"D+",IF(P103&lt;'PlayerGrades+'!$AG$12,"C-",IF(P103&lt;'PlayerGrades+'!$AG$11,"C",IF(P103&lt;'PlayerGrades+'!$AG$10,"C+",IF(P103&lt;'PlayerGrades+'!$AG$9,"B-",IF(P103&lt;'PlayerGrades+'!$AG$8,"B",IF(P103&lt;'PlayerGrades+'!$AG$7,"B+",IF(P103&lt;'PlayerGrades+'!$AG$6,"A-",IF(P103&lt;'PlayerGrades+'!$AG$5,"A",IF(P103&lt;'PlayerGrades+'!$AG$4,"A+",IF(P103&lt;'PlayerGrades+'!$AG$3,"S-",IF(P103&lt;'PlayerGrades+'!$AG$2,"S","S+"))))))))))))))))))))</f>
        <v>F-</v>
      </c>
      <c r="R103" s="961">
        <f t="shared" si="8"/>
        <v>0</v>
      </c>
      <c r="S103" s="961" t="str">
        <f>IF(R103&lt;'PlayerGrades+'!$AH$21,"F-",IF(R103&lt;'PlayerGrades+'!$AH$20,"F",IF(R103&lt;'PlayerGrades+'!$AH$19,"F+",IF(R103&lt;'PlayerGrades+'!$AH$18,"E-",IF(R103&lt;'PlayerGrades+'!$AH$17,"E",IF(R103&lt;'PlayerGrades+'!$AH$16,"E+",IF(R103&lt;'PlayerGrades+'!$AH$15,"D-",IF(R103&lt;'PlayerGrades+'!$AH$14,"D",IF(R103&lt;'PlayerGrades+'!$AH$13,"D+",IF(R103&lt;'PlayerGrades+'!$AH$12,"C-",IF(R103&lt;'PlayerGrades+'!$AH$11,"C",IF(R103&lt;'PlayerGrades+'!$AH$10,"C+",IF(R103&lt;'PlayerGrades+'!$AH$9,"B-",IF(R103&lt;'PlayerGrades+'!$AH$8,"B",IF(R103&lt;'PlayerGrades+'!$AH$7,"B+",IF(R103&lt;'PlayerGrades+'!$AH$6,"A-",IF(R103&lt;'PlayerGrades+'!$AH$5,"A",IF(R103&lt;'PlayerGrades+'!$AH$4,"A+",IF(R103&lt;'PlayerGrades+'!$AH$3,"S-",IF(R103&lt;'PlayerGrades+'!$AH$2,"S","S+"))))))))))))))))))))</f>
        <v>F-</v>
      </c>
      <c r="T103" s="961">
        <f t="shared" si="9"/>
        <v>2.524916944</v>
      </c>
      <c r="U103" s="961" t="str">
        <f>IF(T103&lt;'PlayerGrades+'!$AI$21,"F-",IF(T103&lt;'PlayerGrades+'!$AI$20,"F",IF(T103&lt;'PlayerGrades+'!$AI$19,"F+",IF(T103&lt;'PlayerGrades+'!$AI$18,"E-",IF(T103&lt;'PlayerGrades+'!$AI$17,"E",IF(T103&lt;'PlayerGrades+'!$AI$16,"E+",IF(T103&lt;'PlayerGrades+'!$AI$15,"D-",IF(T103&lt;'PlayerGrades+'!$AI$14,"D",IF(T103&lt;'PlayerGrades+'!$AI$13,"D+",IF(T103&lt;'PlayerGrades+'!$AI$12,"C-",IF(T103&lt;'PlayerGrades+'!$AI$11,"C",IF(T103&lt;'PlayerGrades+'!$AI$10,"C+",IF(T103&lt;'PlayerGrades+'!$AI$9,"B-",IF(T103&lt;'PlayerGrades+'!$AI$8,"B",IF(T103&lt;'PlayerGrades+'!$AI$7,"B+",IF(T103&lt;'PlayerGrades+'!$AI$6,"A-",IF(T103&lt;'PlayerGrades+'!$AI$5,"A",IF(T103&lt;'PlayerGrades+'!$AI$4,"A+",IF(T103&lt;'PlayerGrades+'!$AI$3,"S-",IF(T103&lt;'PlayerGrades+'!$AI$2,"S","S+"))))))))))))))))))))</f>
        <v>D-</v>
      </c>
      <c r="V103" s="1100">
        <v>0.0</v>
      </c>
      <c r="W103" s="1100">
        <v>1.0</v>
      </c>
      <c r="X103" s="1398">
        <v>0.0</v>
      </c>
      <c r="Y103" s="1398">
        <v>0.0</v>
      </c>
      <c r="Z103" s="1398">
        <v>38.0</v>
      </c>
      <c r="AA103" s="1398">
        <v>43.0</v>
      </c>
      <c r="AB103" s="1017">
        <f t="shared" si="10"/>
        <v>-5</v>
      </c>
      <c r="AC103" s="1020">
        <f t="shared" si="11"/>
        <v>0.8837209302</v>
      </c>
      <c r="AD103" s="1398">
        <v>0.0</v>
      </c>
      <c r="AE103" s="1399">
        <v>903.0</v>
      </c>
      <c r="AF103" s="1398">
        <v>0.0</v>
      </c>
      <c r="AG103" s="1398">
        <v>0.0</v>
      </c>
      <c r="AH103" s="1398">
        <v>0.0</v>
      </c>
      <c r="AI103" s="1398">
        <v>0.0</v>
      </c>
      <c r="AJ103" s="1398">
        <v>0.0</v>
      </c>
      <c r="AK103" s="1398">
        <v>3.0</v>
      </c>
      <c r="AL103" s="1398">
        <v>0.0</v>
      </c>
      <c r="AM103" s="1398">
        <v>0.0</v>
      </c>
      <c r="AN103" s="1398">
        <v>0.0</v>
      </c>
      <c r="AO103" s="1398">
        <v>0.0</v>
      </c>
      <c r="AP103" s="1398">
        <v>0.0</v>
      </c>
      <c r="AQ103" s="1398">
        <v>0.0</v>
      </c>
      <c r="AR103" s="1398">
        <v>0.0</v>
      </c>
      <c r="AS103" s="1398">
        <v>0.0</v>
      </c>
      <c r="AT103" s="1398">
        <v>0.0</v>
      </c>
      <c r="AU103" s="1398">
        <v>6.0</v>
      </c>
      <c r="AV103" s="1398">
        <v>0.0</v>
      </c>
      <c r="AW103" s="1398">
        <v>0.0</v>
      </c>
      <c r="AX103" s="1398">
        <v>0.0</v>
      </c>
      <c r="AY103" s="1398">
        <v>0.0</v>
      </c>
      <c r="AZ103" s="1400">
        <v>0.0</v>
      </c>
    </row>
    <row r="104">
      <c r="A104" s="1277" t="s">
        <v>106</v>
      </c>
      <c r="B104" s="1100" t="str">
        <f>IF(C104&lt;'PlayerGrades+'!$Y$44,"F-",IF(C104&lt;'PlayerGrades+'!$Y$43,"F",IF(C104&lt;'PlayerGrades+'!$Y$42,"F+",IF(C104&lt;'PlayerGrades+'!$Y$41,"E-",IF(C104&lt;'PlayerGrades+'!$Y$40,"E",IF(C104&lt;'PlayerGrades+'!$Y$39,"E+",IF(C104&lt;'PlayerGrades+'!$Y$38,"D-",IF(C104&lt;'PlayerGrades+'!$Y$37,"D",IF(C104&lt;'PlayerGrades+'!$Y$36,"D+",IF(C104&lt;'PlayerGrades+'!$Y$35,"C-",IF(C104&lt;'PlayerGrades+'!$Y$34,"C",IF(C104&lt;'PlayerGrades+'!$Y$33,"C+",IF(C104&lt;'PlayerGrades+'!$Y$32,"B-",IF(C104&lt;'PlayerGrades+'!$Y$31,"B",IF(C104&lt;'PlayerGrades+'!$Y$30,"B+",IF(C104&lt;'PlayerGrades+'!$Y$29,"A-",IF(C104&lt;'PlayerGrades+'!$Y$28,"A",IF(C104&lt;'PlayerGrades+'!$Y$27,"A+",IF(C104&lt;'PlayerGrades+'!$Y$26,"S-",IF(C104&lt;'PlayerGrades+'!$Y$25,"S","S+"))))))))))))))))))))</f>
        <v>E</v>
      </c>
      <c r="C104" s="1105">
        <f>('PlayerGrades+'!$Y$47*(VLOOKUP(E104, 'PlayerGrades+'!$X$3:$Y$23, 2, FALSE)))+('PlayerGrades+'!$Y$48*(VLOOKUP(G104, 'PlayerGrades+'!$X$3:$Y$23, 2, FALSE)))+('PlayerGrades+'!$Y$49*(VLOOKUP(I104, 'PlayerGrades+'!$X$3:$Y$23, 2, FALSE)))+('PlayerGrades+'!$Y$50*(VLOOKUP(K104, 'PlayerGrades+'!$X$3:$Y$23, 2, FALSE)))+('PlayerGrades+'!$Y$51*(VLOOKUP(M104, 'PlayerGrades+'!$X$3:$Y$23, 2, FALSE)))+('PlayerGrades+'!$Y$52*(VLOOKUP(O104, 'PlayerGrades+'!$X$3:$Y$23, 2, FALSE)))+('PlayerGrades+'!$Y$53*(VLOOKUP(Q104, 'PlayerGrades+'!$X$3:$Y$23, 2, FALSE)))+('PlayerGrades+'!$Y$54*(VLOOKUP(S104, 'PlayerGrades+'!$X$3:$Y$23, 2, FALSE)))+('PlayerGrades+'!$Y$55*(VLOOKUP(U104, 'PlayerGrades+'!$X$3:$Y$23, 2, FALSE)))</f>
        <v>10.3</v>
      </c>
      <c r="D104" s="961">
        <f t="shared" si="1"/>
        <v>0</v>
      </c>
      <c r="E104" s="961" t="str">
        <f>IF(D104&lt;'PlayerGrades+'!$AA$21,"F-",IF(D104&lt;'PlayerGrades+'!$AA$20,"F",IF(D104&lt;'PlayerGrades+'!$AA$19,"F+",IF(D104&lt;'PlayerGrades+'!$AA$18,"E-",IF(D104&lt;'PlayerGrades+'!$AA$17,"E",IF(D104&lt;'PlayerGrades+'!$AA$16,"E+",IF(D104&lt;'PlayerGrades+'!$AA$15,"D-",IF(D104&lt;'PlayerGrades+'!$AA$14,"D",IF(D104&lt;'PlayerGrades+'!$AA$13,"D+",IF(D104&lt;'PlayerGrades+'!$AA$12,"C-",IF(D104&lt;'PlayerGrades+'!$AA$11,"C",IF(D104&lt;'PlayerGrades+'!$AA$10,"C+",IF(D104&lt;'PlayerGrades+'!$AA$9,"B-",IF(D104&lt;'PlayerGrades+'!$AA$8,"B",IF(D104&lt;'PlayerGrades+'!$AA$7,"B+",IF(D104&lt;'PlayerGrades+'!$AA$6,"A-",IF(D104&lt;'PlayerGrades+'!$AA$5,"A",IF(D104&lt;'PlayerGrades+'!$AA$4,"A+",IF(D104&lt;'PlayerGrades+'!$AA$3,"S-",IF(D104&lt;'PlayerGrades+'!$AA$2,"S","S+"))))))))))))))))))))</f>
        <v>F-</v>
      </c>
      <c r="F104" s="961">
        <f t="shared" si="2"/>
        <v>0.05610926541</v>
      </c>
      <c r="G104" s="961" t="str">
        <f>IF(F104&lt;'PlayerGrades+'!$AB$21,"F-",IF(F104&lt;'PlayerGrades+'!$AB$20,"F",IF(F104&lt;'PlayerGrades+'!$AB$19,"F+",IF(F104&lt;'PlayerGrades+'!$AB$18,"E-",IF(F104&lt;'PlayerGrades+'!$AB$17,"E",IF(F104&lt;'PlayerGrades+'!$AB$16,"E+",IF(F104&lt;'PlayerGrades+'!$AB$15,"D-",IF(F104&lt;'PlayerGrades+'!$AB$14,"D",IF(F104&lt;'PlayerGrades+'!$AB$13,"D+",IF(F104&lt;'PlayerGrades+'!$AB$12,"C-",IF(F104&lt;'PlayerGrades+'!$AB$11,"C",IF(F104&lt;'PlayerGrades+'!$AB$10,"C+",IF(F104&lt;'PlayerGrades+'!$AB$9,"B-",IF(F104&lt;'PlayerGrades+'!$AB$8,"B",IF(F104&lt;'PlayerGrades+'!$AB$7,"B+",IF(F104&lt;'PlayerGrades+'!$AB$6,"A-",IF(F104&lt;'PlayerGrades+'!$AB$5,"A",IF(F104&lt;'PlayerGrades+'!$AB$4,"A+",IF(F104&lt;'PlayerGrades+'!$AB$3,"S-",IF(F104&lt;'PlayerGrades+'!$AB$2,"S","S+"))))))))))))))))))))</f>
        <v>A</v>
      </c>
      <c r="H104" s="961">
        <f t="shared" si="3"/>
        <v>0.2657807309</v>
      </c>
      <c r="I104" s="961" t="str">
        <f>IF(H104&lt;'PlayerGrades+'!$AC$21,"F-",IF(H104&lt;'PlayerGrades+'!$AC$20,"F",IF(H104&lt;'PlayerGrades+'!$AC$19,"F+",IF(H104&lt;'PlayerGrades+'!$AC$18,"E-",IF(H104&lt;'PlayerGrades+'!$AC$17,"E",IF(H104&lt;'PlayerGrades+'!$AC$16,"E+",IF(H104&lt;'PlayerGrades+'!$AC$15,"D-",IF(H104&lt;'PlayerGrades+'!$AC$14,"D",IF(H104&lt;'PlayerGrades+'!$AC$13,"D+",IF(H104&lt;'PlayerGrades+'!$AC$12,"C-",IF(H104&lt;'PlayerGrades+'!$AC$11,"C",IF(H104&lt;'PlayerGrades+'!$AC$10,"C+",IF(H104&lt;'PlayerGrades+'!$AC$9,"B-",IF(H104&lt;'PlayerGrades+'!$AC$8,"B",IF(H104&lt;'PlayerGrades+'!$AC$7,"B+",IF(H104&lt;'PlayerGrades+'!$AC$6,"A-",IF(H104&lt;'PlayerGrades+'!$AC$5,"A",IF(H104&lt;'PlayerGrades+'!$AC$4,"A+",IF(H104&lt;'PlayerGrades+'!$AC$3,"S-",IF(H104&lt;'PlayerGrades+'!$AC$2,"S","S+"))))))))))))))))))))</f>
        <v>F+</v>
      </c>
      <c r="J104" s="961">
        <f t="shared" si="4"/>
        <v>0.06644518272</v>
      </c>
      <c r="K104" s="961" t="str">
        <f>IF(J104&lt;'PlayerGrades+'!$AD$21,"F-",IF(J104&lt;'PlayerGrades+'!$AD$20,"F",IF(J104&lt;'PlayerGrades+'!$AD$19,"F+",IF(J104&lt;'PlayerGrades+'!$AD$18,"E-",IF(J104&lt;'PlayerGrades+'!$AD$17,"E",IF(J104&lt;'PlayerGrades+'!$AD$16,"E+",IF(J104&lt;'PlayerGrades+'!$AD$15,"D-",IF(J104&lt;'PlayerGrades+'!$AD$14,"D",IF(J104&lt;'PlayerGrades+'!$AD$13,"D+",IF(J104&lt;'PlayerGrades+'!$AD$12,"C-",IF(J104&lt;'PlayerGrades+'!$AD$11,"C",IF(J104&lt;'PlayerGrades+'!$AD$10,"C+",IF(J104&lt;'PlayerGrades+'!$AD$9,"B-",IF(J104&lt;'PlayerGrades+'!$AD$8,"B",IF(J104&lt;'PlayerGrades+'!$AD$7,"B+",IF(J104&lt;'PlayerGrades+'!$AD$6,"A-",IF(J104&lt;'PlayerGrades+'!$AD$5,"A",IF(J104&lt;'PlayerGrades+'!$AD$4,"A+",IF(J104&lt;'PlayerGrades+'!$AD$3,"S-",IF(J104&lt;'PlayerGrades+'!$AD$2,"S","S+"))))))))))))))))))))</f>
        <v>A-</v>
      </c>
      <c r="L104" s="992">
        <f t="shared" si="5"/>
        <v>0.1993355482</v>
      </c>
      <c r="M104" s="992" t="str">
        <f>IF(L104&lt;'PlayerGrades+'!$AE$21,"F-",IF(L104&lt;'PlayerGrades+'!$AE$20,"F",IF(L104&lt;'PlayerGrades+'!$AE$19,"F+",IF(L104&lt;'PlayerGrades+'!$AE$18,"E-",IF(L104&lt;'PlayerGrades+'!$AE$17,"E",IF(L104&lt;'PlayerGrades+'!$AE$16,"E+",IF(L104&lt;'PlayerGrades+'!$AE$15,"D-",IF(L104&lt;'PlayerGrades+'!$AE$14,"D",IF(L104&lt;'PlayerGrades+'!$AE$13,"D+",IF(L104&lt;'PlayerGrades+'!$AE$12,"C-",IF(L104&lt;'PlayerGrades+'!$AE$11,"C",IF(L104&lt;'PlayerGrades+'!$AE$10,"C+",IF(L104&lt;'PlayerGrades+'!$AE$9,"B-",IF(L104&lt;'PlayerGrades+'!$AE$8,"B",IF(L104&lt;'PlayerGrades+'!$AE$7,"B+",IF(L104&lt;'PlayerGrades+'!$AE$6,"A-",IF(L104&lt;'PlayerGrades+'!$AE$5,"A",IF(L104&lt;'PlayerGrades+'!$AE$4,"A+",IF(L104&lt;'PlayerGrades+'!$AE$3,"S-",IF(L104&lt;'PlayerGrades+'!$AE$2,"S","S+"))))))))))))))))))))</f>
        <v>F-</v>
      </c>
      <c r="N104" s="961">
        <f t="shared" si="6"/>
        <v>0.06644518272</v>
      </c>
      <c r="O104" s="961" t="str">
        <f>IF(N104&lt;'PlayerGrades+'!$AF$21,"F-",IF(N104&lt;'PlayerGrades+'!$AF$20,"F",IF(N104&lt;'PlayerGrades+'!$AF$19,"F+",IF(N104&lt;'PlayerGrades+'!$AF$18,"E-",IF(N104&lt;'PlayerGrades+'!$AF$17,"E",IF(N104&lt;'PlayerGrades+'!$AF$16,"E+",IF(N104&lt;'PlayerGrades+'!$AF$15,"D-",IF(N104&lt;'PlayerGrades+'!$AF$14,"D",IF(N104&lt;'PlayerGrades+'!$AF$13,"D+",IF(N104&lt;'PlayerGrades+'!$AF$12,"C-",IF(N104&lt;'PlayerGrades+'!$AF$11,"C",IF(N104&lt;'PlayerGrades+'!$AF$10,"C+",IF(N104&lt;'PlayerGrades+'!$AF$9,"B-",IF(N104&lt;'PlayerGrades+'!$AF$8,"B",IF(N104&lt;'PlayerGrades+'!$AF$7,"B+",IF(N104&lt;'PlayerGrades+'!$AF$6,"A-",IF(N104&lt;'PlayerGrades+'!$AF$5,"A",IF(N104&lt;'PlayerGrades+'!$AF$4,"A+",IF(N104&lt;'PlayerGrades+'!$AF$3,"S-",IF(N104&lt;'PlayerGrades+'!$AF$2,"S","S+"))))))))))))))))))))</f>
        <v>E</v>
      </c>
      <c r="P104" s="961">
        <f t="shared" si="7"/>
        <v>0.2657807309</v>
      </c>
      <c r="Q104" s="961" t="str">
        <f>IF(P104&lt;'PlayerGrades+'!$AG$21,"F-",IF(P104&lt;'PlayerGrades+'!$AG$20,"F",IF(P104&lt;'PlayerGrades+'!$AG$19,"F+",IF(P104&lt;'PlayerGrades+'!$AG$18,"E-",IF(P104&lt;'PlayerGrades+'!$AG$17,"E",IF(P104&lt;'PlayerGrades+'!$AG$16,"E+",IF(P104&lt;'PlayerGrades+'!$AG$15,"D-",IF(P104&lt;'PlayerGrades+'!$AG$14,"D",IF(P104&lt;'PlayerGrades+'!$AG$13,"D+",IF(P104&lt;'PlayerGrades+'!$AG$12,"C-",IF(P104&lt;'PlayerGrades+'!$AG$11,"C",IF(P104&lt;'PlayerGrades+'!$AG$10,"C+",IF(P104&lt;'PlayerGrades+'!$AG$9,"B-",IF(P104&lt;'PlayerGrades+'!$AG$8,"B",IF(P104&lt;'PlayerGrades+'!$AG$7,"B+",IF(P104&lt;'PlayerGrades+'!$AG$6,"A-",IF(P104&lt;'PlayerGrades+'!$AG$5,"A",IF(P104&lt;'PlayerGrades+'!$AG$4,"A+",IF(P104&lt;'PlayerGrades+'!$AG$3,"S-",IF(P104&lt;'PlayerGrades+'!$AG$2,"S","S+"))))))))))))))))))))</f>
        <v>F-</v>
      </c>
      <c r="R104" s="961">
        <f t="shared" si="8"/>
        <v>0</v>
      </c>
      <c r="S104" s="961" t="str">
        <f>IF(R104&lt;'PlayerGrades+'!$AH$21,"F-",IF(R104&lt;'PlayerGrades+'!$AH$20,"F",IF(R104&lt;'PlayerGrades+'!$AH$19,"F+",IF(R104&lt;'PlayerGrades+'!$AH$18,"E-",IF(R104&lt;'PlayerGrades+'!$AH$17,"E",IF(R104&lt;'PlayerGrades+'!$AH$16,"E+",IF(R104&lt;'PlayerGrades+'!$AH$15,"D-",IF(R104&lt;'PlayerGrades+'!$AH$14,"D",IF(R104&lt;'PlayerGrades+'!$AH$13,"D+",IF(R104&lt;'PlayerGrades+'!$AH$12,"C-",IF(R104&lt;'PlayerGrades+'!$AH$11,"C",IF(R104&lt;'PlayerGrades+'!$AH$10,"C+",IF(R104&lt;'PlayerGrades+'!$AH$9,"B-",IF(R104&lt;'PlayerGrades+'!$AH$8,"B",IF(R104&lt;'PlayerGrades+'!$AH$7,"B+",IF(R104&lt;'PlayerGrades+'!$AH$6,"A-",IF(R104&lt;'PlayerGrades+'!$AH$5,"A",IF(R104&lt;'PlayerGrades+'!$AH$4,"A+",IF(R104&lt;'PlayerGrades+'!$AH$3,"S-",IF(R104&lt;'PlayerGrades+'!$AH$2,"S","S+"))))))))))))))))))))</f>
        <v>F-</v>
      </c>
      <c r="T104" s="961">
        <f t="shared" si="9"/>
        <v>2.524916944</v>
      </c>
      <c r="U104" s="961" t="str">
        <f>IF(T104&lt;'PlayerGrades+'!$AI$21,"F-",IF(T104&lt;'PlayerGrades+'!$AI$20,"F",IF(T104&lt;'PlayerGrades+'!$AI$19,"F+",IF(T104&lt;'PlayerGrades+'!$AI$18,"E-",IF(T104&lt;'PlayerGrades+'!$AI$17,"E",IF(T104&lt;'PlayerGrades+'!$AI$16,"E+",IF(T104&lt;'PlayerGrades+'!$AI$15,"D-",IF(T104&lt;'PlayerGrades+'!$AI$14,"D",IF(T104&lt;'PlayerGrades+'!$AI$13,"D+",IF(T104&lt;'PlayerGrades+'!$AI$12,"C-",IF(T104&lt;'PlayerGrades+'!$AI$11,"C",IF(T104&lt;'PlayerGrades+'!$AI$10,"C+",IF(T104&lt;'PlayerGrades+'!$AI$9,"B-",IF(T104&lt;'PlayerGrades+'!$AI$8,"B",IF(T104&lt;'PlayerGrades+'!$AI$7,"B+",IF(T104&lt;'PlayerGrades+'!$AI$6,"A-",IF(T104&lt;'PlayerGrades+'!$AI$5,"A",IF(T104&lt;'PlayerGrades+'!$AI$4,"A+",IF(T104&lt;'PlayerGrades+'!$AI$3,"S-",IF(T104&lt;'PlayerGrades+'!$AI$2,"S","S+"))))))))))))))))))))</f>
        <v>D-</v>
      </c>
      <c r="V104" s="1100">
        <v>0.0</v>
      </c>
      <c r="W104" s="1100">
        <v>1.0</v>
      </c>
      <c r="X104" s="1398">
        <v>0.0</v>
      </c>
      <c r="Y104" s="1398">
        <v>2.0</v>
      </c>
      <c r="Z104" s="1398">
        <v>38.0</v>
      </c>
      <c r="AA104" s="1398">
        <v>45.0</v>
      </c>
      <c r="AB104" s="1017">
        <f t="shared" si="10"/>
        <v>-7</v>
      </c>
      <c r="AC104" s="1020">
        <f t="shared" si="11"/>
        <v>0.8444444444</v>
      </c>
      <c r="AD104" s="1398">
        <v>0.0</v>
      </c>
      <c r="AE104" s="1399">
        <v>903.0</v>
      </c>
      <c r="AF104" s="1398">
        <v>1.0</v>
      </c>
      <c r="AG104" s="1398">
        <v>0.0</v>
      </c>
      <c r="AH104" s="1398">
        <v>0.0</v>
      </c>
      <c r="AI104" s="1398">
        <v>0.0</v>
      </c>
      <c r="AJ104" s="1398">
        <v>0.0</v>
      </c>
      <c r="AK104" s="1398">
        <v>3.0</v>
      </c>
      <c r="AL104" s="1398">
        <v>1.0</v>
      </c>
      <c r="AM104" s="1398">
        <v>0.0</v>
      </c>
      <c r="AN104" s="1398">
        <v>0.0</v>
      </c>
      <c r="AO104" s="1398">
        <v>0.0</v>
      </c>
      <c r="AP104" s="1398">
        <v>0.0</v>
      </c>
      <c r="AQ104" s="1398">
        <v>0.0</v>
      </c>
      <c r="AR104" s="1398">
        <v>0.0</v>
      </c>
      <c r="AS104" s="1398">
        <v>0.0</v>
      </c>
      <c r="AT104" s="1398">
        <v>0.0</v>
      </c>
      <c r="AU104" s="1398">
        <v>4.0</v>
      </c>
      <c r="AV104" s="1398">
        <v>0.0</v>
      </c>
      <c r="AW104" s="1398">
        <v>0.0</v>
      </c>
      <c r="AX104" s="1398">
        <v>0.0</v>
      </c>
      <c r="AY104" s="1398">
        <v>0.0</v>
      </c>
      <c r="AZ104" s="1400">
        <v>0.0</v>
      </c>
    </row>
    <row r="105">
      <c r="A105" s="1277" t="s">
        <v>380</v>
      </c>
      <c r="B105" s="1100" t="str">
        <f>IF(C105&lt;'PlayerGrades+'!$Y$44,"F-",IF(C105&lt;'PlayerGrades+'!$Y$43,"F",IF(C105&lt;'PlayerGrades+'!$Y$42,"F+",IF(C105&lt;'PlayerGrades+'!$Y$41,"E-",IF(C105&lt;'PlayerGrades+'!$Y$40,"E",IF(C105&lt;'PlayerGrades+'!$Y$39,"E+",IF(C105&lt;'PlayerGrades+'!$Y$38,"D-",IF(C105&lt;'PlayerGrades+'!$Y$37,"D",IF(C105&lt;'PlayerGrades+'!$Y$36,"D+",IF(C105&lt;'PlayerGrades+'!$Y$35,"C-",IF(C105&lt;'PlayerGrades+'!$Y$34,"C",IF(C105&lt;'PlayerGrades+'!$Y$33,"C+",IF(C105&lt;'PlayerGrades+'!$Y$32,"B-",IF(C105&lt;'PlayerGrades+'!$Y$31,"B",IF(C105&lt;'PlayerGrades+'!$Y$30,"B+",IF(C105&lt;'PlayerGrades+'!$Y$29,"A-",IF(C105&lt;'PlayerGrades+'!$Y$28,"A",IF(C105&lt;'PlayerGrades+'!$Y$27,"A+",IF(C105&lt;'PlayerGrades+'!$Y$26,"S-",IF(C105&lt;'PlayerGrades+'!$Y$25,"S","S+"))))))))))))))))))))</f>
        <v>F</v>
      </c>
      <c r="C105" s="1105">
        <f>('PlayerGrades+'!$Y$47*(VLOOKUP(E105, 'PlayerGrades+'!$X$3:$Y$23, 2, FALSE)))+('PlayerGrades+'!$Y$48*(VLOOKUP(G105, 'PlayerGrades+'!$X$3:$Y$23, 2, FALSE)))+('PlayerGrades+'!$Y$49*(VLOOKUP(I105, 'PlayerGrades+'!$X$3:$Y$23, 2, FALSE)))+('PlayerGrades+'!$Y$50*(VLOOKUP(K105, 'PlayerGrades+'!$X$3:$Y$23, 2, FALSE)))+('PlayerGrades+'!$Y$51*(VLOOKUP(M105, 'PlayerGrades+'!$X$3:$Y$23, 2, FALSE)))+('PlayerGrades+'!$Y$52*(VLOOKUP(O105, 'PlayerGrades+'!$X$3:$Y$23, 2, FALSE)))+('PlayerGrades+'!$Y$53*(VLOOKUP(Q105, 'PlayerGrades+'!$X$3:$Y$23, 2, FALSE)))+('PlayerGrades+'!$Y$54*(VLOOKUP(S105, 'PlayerGrades+'!$X$3:$Y$23, 2, FALSE)))+('PlayerGrades+'!$Y$55*(VLOOKUP(U105, 'PlayerGrades+'!$X$3:$Y$23, 2, FALSE)))</f>
        <v>6.725</v>
      </c>
      <c r="D105" s="1149">
        <f t="shared" si="1"/>
        <v>0</v>
      </c>
      <c r="E105" s="1149" t="str">
        <f>IF(D105&lt;'PlayerGrades+'!$AA$21,"F-",IF(D105&lt;'PlayerGrades+'!$AA$20,"F",IF(D105&lt;'PlayerGrades+'!$AA$19,"F+",IF(D105&lt;'PlayerGrades+'!$AA$18,"E-",IF(D105&lt;'PlayerGrades+'!$AA$17,"E",IF(D105&lt;'PlayerGrades+'!$AA$16,"E+",IF(D105&lt;'PlayerGrades+'!$AA$15,"D-",IF(D105&lt;'PlayerGrades+'!$AA$14,"D",IF(D105&lt;'PlayerGrades+'!$AA$13,"D+",IF(D105&lt;'PlayerGrades+'!$AA$12,"C-",IF(D105&lt;'PlayerGrades+'!$AA$11,"C",IF(D105&lt;'PlayerGrades+'!$AA$10,"C+",IF(D105&lt;'PlayerGrades+'!$AA$9,"B-",IF(D105&lt;'PlayerGrades+'!$AA$8,"B",IF(D105&lt;'PlayerGrades+'!$AA$7,"B+",IF(D105&lt;'PlayerGrades+'!$AA$6,"A-",IF(D105&lt;'PlayerGrades+'!$AA$5,"A",IF(D105&lt;'PlayerGrades+'!$AA$4,"A+",IF(D105&lt;'PlayerGrades+'!$AA$3,"S-",IF(D105&lt;'PlayerGrades+'!$AA$2,"S","S+"))))))))))))))))))))</f>
        <v>F-</v>
      </c>
      <c r="F105" s="1149">
        <f t="shared" si="2"/>
        <v>0.04429678848</v>
      </c>
      <c r="G105" s="1149" t="str">
        <f>IF(F105&lt;'PlayerGrades+'!$AB$21,"F-",IF(F105&lt;'PlayerGrades+'!$AB$20,"F",IF(F105&lt;'PlayerGrades+'!$AB$19,"F+",IF(F105&lt;'PlayerGrades+'!$AB$18,"E-",IF(F105&lt;'PlayerGrades+'!$AB$17,"E",IF(F105&lt;'PlayerGrades+'!$AB$16,"E+",IF(F105&lt;'PlayerGrades+'!$AB$15,"D-",IF(F105&lt;'PlayerGrades+'!$AB$14,"D",IF(F105&lt;'PlayerGrades+'!$AB$13,"D+",IF(F105&lt;'PlayerGrades+'!$AB$12,"C-",IF(F105&lt;'PlayerGrades+'!$AB$11,"C",IF(F105&lt;'PlayerGrades+'!$AB$10,"C+",IF(F105&lt;'PlayerGrades+'!$AB$9,"B-",IF(F105&lt;'PlayerGrades+'!$AB$8,"B",IF(F105&lt;'PlayerGrades+'!$AB$7,"B+",IF(F105&lt;'PlayerGrades+'!$AB$6,"A-",IF(F105&lt;'PlayerGrades+'!$AB$5,"A",IF(F105&lt;'PlayerGrades+'!$AB$4,"A+",IF(F105&lt;'PlayerGrades+'!$AB$3,"S-",IF(F105&lt;'PlayerGrades+'!$AB$2,"S","S+"))))))))))))))))))))</f>
        <v>A</v>
      </c>
      <c r="H105" s="1149">
        <f t="shared" si="3"/>
        <v>0.06644518272</v>
      </c>
      <c r="I105" s="1149" t="str">
        <f>IF(H105&lt;'PlayerGrades+'!$AC$21,"F-",IF(H105&lt;'PlayerGrades+'!$AC$20,"F",IF(H105&lt;'PlayerGrades+'!$AC$19,"F+",IF(H105&lt;'PlayerGrades+'!$AC$18,"E-",IF(H105&lt;'PlayerGrades+'!$AC$17,"E",IF(H105&lt;'PlayerGrades+'!$AC$16,"E+",IF(H105&lt;'PlayerGrades+'!$AC$15,"D-",IF(H105&lt;'PlayerGrades+'!$AC$14,"D",IF(H105&lt;'PlayerGrades+'!$AC$13,"D+",IF(H105&lt;'PlayerGrades+'!$AC$12,"C-",IF(H105&lt;'PlayerGrades+'!$AC$11,"C",IF(H105&lt;'PlayerGrades+'!$AC$10,"C+",IF(H105&lt;'PlayerGrades+'!$AC$9,"B-",IF(H105&lt;'PlayerGrades+'!$AC$8,"B",IF(H105&lt;'PlayerGrades+'!$AC$7,"B+",IF(H105&lt;'PlayerGrades+'!$AC$6,"A-",IF(H105&lt;'PlayerGrades+'!$AC$5,"A",IF(H105&lt;'PlayerGrades+'!$AC$4,"A+",IF(H105&lt;'PlayerGrades+'!$AC$3,"S-",IF(H105&lt;'PlayerGrades+'!$AC$2,"S","S+"))))))))))))))))))))</f>
        <v>F-</v>
      </c>
      <c r="J105" s="1149">
        <f t="shared" si="4"/>
        <v>0</v>
      </c>
      <c r="K105" s="1149" t="str">
        <f>IF(J105&lt;'PlayerGrades+'!$AD$21,"F-",IF(J105&lt;'PlayerGrades+'!$AD$20,"F",IF(J105&lt;'PlayerGrades+'!$AD$19,"F+",IF(J105&lt;'PlayerGrades+'!$AD$18,"E-",IF(J105&lt;'PlayerGrades+'!$AD$17,"E",IF(J105&lt;'PlayerGrades+'!$AD$16,"E+",IF(J105&lt;'PlayerGrades+'!$AD$15,"D-",IF(J105&lt;'PlayerGrades+'!$AD$14,"D",IF(J105&lt;'PlayerGrades+'!$AD$13,"D+",IF(J105&lt;'PlayerGrades+'!$AD$12,"C-",IF(J105&lt;'PlayerGrades+'!$AD$11,"C",IF(J105&lt;'PlayerGrades+'!$AD$10,"C+",IF(J105&lt;'PlayerGrades+'!$AD$9,"B-",IF(J105&lt;'PlayerGrades+'!$AD$8,"B",IF(J105&lt;'PlayerGrades+'!$AD$7,"B+",IF(J105&lt;'PlayerGrades+'!$AD$6,"A-",IF(J105&lt;'PlayerGrades+'!$AD$5,"A",IF(J105&lt;'PlayerGrades+'!$AD$4,"A+",IF(J105&lt;'PlayerGrades+'!$AD$3,"S-",IF(J105&lt;'PlayerGrades+'!$AD$2,"S","S+"))))))))))))))))))))</f>
        <v>F-</v>
      </c>
      <c r="L105" s="1156">
        <f t="shared" si="5"/>
        <v>0.1328903654</v>
      </c>
      <c r="M105" s="1156" t="str">
        <f>IF(L105&lt;'PlayerGrades+'!$AE$21,"F-",IF(L105&lt;'PlayerGrades+'!$AE$20,"F",IF(L105&lt;'PlayerGrades+'!$AE$19,"F+",IF(L105&lt;'PlayerGrades+'!$AE$18,"E-",IF(L105&lt;'PlayerGrades+'!$AE$17,"E",IF(L105&lt;'PlayerGrades+'!$AE$16,"E+",IF(L105&lt;'PlayerGrades+'!$AE$15,"D-",IF(L105&lt;'PlayerGrades+'!$AE$14,"D",IF(L105&lt;'PlayerGrades+'!$AE$13,"D+",IF(L105&lt;'PlayerGrades+'!$AE$12,"C-",IF(L105&lt;'PlayerGrades+'!$AE$11,"C",IF(L105&lt;'PlayerGrades+'!$AE$10,"C+",IF(L105&lt;'PlayerGrades+'!$AE$9,"B-",IF(L105&lt;'PlayerGrades+'!$AE$8,"B",IF(L105&lt;'PlayerGrades+'!$AE$7,"B+",IF(L105&lt;'PlayerGrades+'!$AE$6,"A-",IF(L105&lt;'PlayerGrades+'!$AE$5,"A",IF(L105&lt;'PlayerGrades+'!$AE$4,"A+",IF(L105&lt;'PlayerGrades+'!$AE$3,"S-",IF(L105&lt;'PlayerGrades+'!$AE$2,"S","S+"))))))))))))))))))))</f>
        <v>F-</v>
      </c>
      <c r="N105" s="1149">
        <f t="shared" si="6"/>
        <v>0</v>
      </c>
      <c r="O105" s="1149" t="str">
        <f>IF(N105&lt;'PlayerGrades+'!$AF$21,"F-",IF(N105&lt;'PlayerGrades+'!$AF$20,"F",IF(N105&lt;'PlayerGrades+'!$AF$19,"F+",IF(N105&lt;'PlayerGrades+'!$AF$18,"E-",IF(N105&lt;'PlayerGrades+'!$AF$17,"E",IF(N105&lt;'PlayerGrades+'!$AF$16,"E+",IF(N105&lt;'PlayerGrades+'!$AF$15,"D-",IF(N105&lt;'PlayerGrades+'!$AF$14,"D",IF(N105&lt;'PlayerGrades+'!$AF$13,"D+",IF(N105&lt;'PlayerGrades+'!$AF$12,"C-",IF(N105&lt;'PlayerGrades+'!$AF$11,"C",IF(N105&lt;'PlayerGrades+'!$AF$10,"C+",IF(N105&lt;'PlayerGrades+'!$AF$9,"B-",IF(N105&lt;'PlayerGrades+'!$AF$8,"B",IF(N105&lt;'PlayerGrades+'!$AF$7,"B+",IF(N105&lt;'PlayerGrades+'!$AF$6,"A-",IF(N105&lt;'PlayerGrades+'!$AF$5,"A",IF(N105&lt;'PlayerGrades+'!$AF$4,"A+",IF(N105&lt;'PlayerGrades+'!$AF$3,"S-",IF(N105&lt;'PlayerGrades+'!$AF$2,"S","S+"))))))))))))))))))))</f>
        <v>F-</v>
      </c>
      <c r="P105" s="1149">
        <f t="shared" si="7"/>
        <v>0.1328903654</v>
      </c>
      <c r="Q105" s="1149" t="str">
        <f>IF(P105&lt;'PlayerGrades+'!$AG$21,"F-",IF(P105&lt;'PlayerGrades+'!$AG$20,"F",IF(P105&lt;'PlayerGrades+'!$AG$19,"F+",IF(P105&lt;'PlayerGrades+'!$AG$18,"E-",IF(P105&lt;'PlayerGrades+'!$AG$17,"E",IF(P105&lt;'PlayerGrades+'!$AG$16,"E+",IF(P105&lt;'PlayerGrades+'!$AG$15,"D-",IF(P105&lt;'PlayerGrades+'!$AG$14,"D",IF(P105&lt;'PlayerGrades+'!$AG$13,"D+",IF(P105&lt;'PlayerGrades+'!$AG$12,"C-",IF(P105&lt;'PlayerGrades+'!$AG$11,"C",IF(P105&lt;'PlayerGrades+'!$AG$10,"C+",IF(P105&lt;'PlayerGrades+'!$AG$9,"B-",IF(P105&lt;'PlayerGrades+'!$AG$8,"B",IF(P105&lt;'PlayerGrades+'!$AG$7,"B+",IF(P105&lt;'PlayerGrades+'!$AG$6,"A-",IF(P105&lt;'PlayerGrades+'!$AG$5,"A",IF(P105&lt;'PlayerGrades+'!$AG$4,"A+",IF(P105&lt;'PlayerGrades+'!$AG$3,"S-",IF(P105&lt;'PlayerGrades+'!$AG$2,"S","S+"))))))))))))))))))))</f>
        <v>F-</v>
      </c>
      <c r="R105" s="1149">
        <f t="shared" si="8"/>
        <v>0</v>
      </c>
      <c r="S105" s="1149" t="str">
        <f>IF(R105&lt;'PlayerGrades+'!$AH$21,"F-",IF(R105&lt;'PlayerGrades+'!$AH$20,"F",IF(R105&lt;'PlayerGrades+'!$AH$19,"F+",IF(R105&lt;'PlayerGrades+'!$AH$18,"E-",IF(R105&lt;'PlayerGrades+'!$AH$17,"E",IF(R105&lt;'PlayerGrades+'!$AH$16,"E+",IF(R105&lt;'PlayerGrades+'!$AH$15,"D-",IF(R105&lt;'PlayerGrades+'!$AH$14,"D",IF(R105&lt;'PlayerGrades+'!$AH$13,"D+",IF(R105&lt;'PlayerGrades+'!$AH$12,"C-",IF(R105&lt;'PlayerGrades+'!$AH$11,"C",IF(R105&lt;'PlayerGrades+'!$AH$10,"C+",IF(R105&lt;'PlayerGrades+'!$AH$9,"B-",IF(R105&lt;'PlayerGrades+'!$AH$8,"B",IF(R105&lt;'PlayerGrades+'!$AH$7,"B+",IF(R105&lt;'PlayerGrades+'!$AH$6,"A-",IF(R105&lt;'PlayerGrades+'!$AH$5,"A",IF(R105&lt;'PlayerGrades+'!$AH$4,"A+",IF(R105&lt;'PlayerGrades+'!$AH$3,"S-",IF(R105&lt;'PlayerGrades+'!$AH$2,"S","S+"))))))))))))))))))))</f>
        <v>F-</v>
      </c>
      <c r="T105" s="1149">
        <f t="shared" si="9"/>
        <v>1.594684385</v>
      </c>
      <c r="U105" s="1149" t="str">
        <f>IF(T105&lt;'PlayerGrades+'!$AI$21,"F-",IF(T105&lt;'PlayerGrades+'!$AI$20,"F",IF(T105&lt;'PlayerGrades+'!$AI$19,"F+",IF(T105&lt;'PlayerGrades+'!$AI$18,"E-",IF(T105&lt;'PlayerGrades+'!$AI$17,"E",IF(T105&lt;'PlayerGrades+'!$AI$16,"E+",IF(T105&lt;'PlayerGrades+'!$AI$15,"D-",IF(T105&lt;'PlayerGrades+'!$AI$14,"D",IF(T105&lt;'PlayerGrades+'!$AI$13,"D+",IF(T105&lt;'PlayerGrades+'!$AI$12,"C-",IF(T105&lt;'PlayerGrades+'!$AI$11,"C",IF(T105&lt;'PlayerGrades+'!$AI$10,"C+",IF(T105&lt;'PlayerGrades+'!$AI$9,"B-",IF(T105&lt;'PlayerGrades+'!$AI$8,"B",IF(T105&lt;'PlayerGrades+'!$AI$7,"B+",IF(T105&lt;'PlayerGrades+'!$AI$6,"A-",IF(T105&lt;'PlayerGrades+'!$AI$5,"A",IF(T105&lt;'PlayerGrades+'!$AI$4,"A+",IF(T105&lt;'PlayerGrades+'!$AI$3,"S-",IF(T105&lt;'PlayerGrades+'!$AI$2,"S","S+"))))))))))))))))))))</f>
        <v>F-</v>
      </c>
      <c r="V105" s="1227">
        <v>0.0</v>
      </c>
      <c r="W105" s="1227">
        <v>1.0</v>
      </c>
      <c r="X105" s="1398">
        <v>0.0</v>
      </c>
      <c r="Y105" s="1398">
        <v>2.0</v>
      </c>
      <c r="Z105" s="1398">
        <v>24.0</v>
      </c>
      <c r="AA105" s="1398">
        <v>36.0</v>
      </c>
      <c r="AB105" s="1017">
        <f t="shared" si="10"/>
        <v>-12</v>
      </c>
      <c r="AC105" s="1020">
        <f t="shared" si="11"/>
        <v>0.6666666667</v>
      </c>
      <c r="AD105" s="1398">
        <v>0.0</v>
      </c>
      <c r="AE105" s="1399">
        <v>903.0</v>
      </c>
      <c r="AF105" s="1398">
        <v>0.0</v>
      </c>
      <c r="AG105" s="1398">
        <v>0.0</v>
      </c>
      <c r="AH105" s="1398">
        <v>0.0</v>
      </c>
      <c r="AI105" s="1398">
        <v>0.0</v>
      </c>
      <c r="AJ105" s="1398">
        <v>0.0</v>
      </c>
      <c r="AK105" s="1398">
        <v>2.0</v>
      </c>
      <c r="AL105" s="1398">
        <v>0.0</v>
      </c>
      <c r="AM105" s="1398">
        <v>0.0</v>
      </c>
      <c r="AN105" s="1398">
        <v>0.0</v>
      </c>
      <c r="AO105" s="1398">
        <v>0.0</v>
      </c>
      <c r="AP105" s="1398">
        <v>0.0</v>
      </c>
      <c r="AQ105" s="1398">
        <v>0.0</v>
      </c>
      <c r="AR105" s="1398">
        <v>0.0</v>
      </c>
      <c r="AS105" s="1398">
        <v>0.0</v>
      </c>
      <c r="AT105" s="1398">
        <v>0.0</v>
      </c>
      <c r="AU105" s="1398">
        <v>1.0</v>
      </c>
      <c r="AV105" s="1398">
        <v>0.0</v>
      </c>
      <c r="AW105" s="1398">
        <v>0.0</v>
      </c>
      <c r="AX105" s="1398">
        <v>0.0</v>
      </c>
      <c r="AY105" s="1398">
        <v>0.0</v>
      </c>
      <c r="AZ105" s="1400">
        <v>0.0</v>
      </c>
    </row>
    <row r="106">
      <c r="A106" s="1262" t="s">
        <v>149</v>
      </c>
      <c r="B106" s="1169" t="str">
        <f>IF(C106&lt;'PlayerGrades+'!$Y$44,"F-",IF(C106&lt;'PlayerGrades+'!$Y$43,"F",IF(C106&lt;'PlayerGrades+'!$Y$42,"F+",IF(C106&lt;'PlayerGrades+'!$Y$41,"E-",IF(C106&lt;'PlayerGrades+'!$Y$40,"E",IF(C106&lt;'PlayerGrades+'!$Y$39,"E+",IF(C106&lt;'PlayerGrades+'!$Y$38,"D-",IF(C106&lt;'PlayerGrades+'!$Y$37,"D",IF(C106&lt;'PlayerGrades+'!$Y$36,"D+",IF(C106&lt;'PlayerGrades+'!$Y$35,"C-",IF(C106&lt;'PlayerGrades+'!$Y$34,"C",IF(C106&lt;'PlayerGrades+'!$Y$33,"C+",IF(C106&lt;'PlayerGrades+'!$Y$32,"B-",IF(C106&lt;'PlayerGrades+'!$Y$31,"B",IF(C106&lt;'PlayerGrades+'!$Y$30,"B+",IF(C106&lt;'PlayerGrades+'!$Y$29,"A-",IF(C106&lt;'PlayerGrades+'!$Y$28,"A",IF(C106&lt;'PlayerGrades+'!$Y$27,"A+",IF(C106&lt;'PlayerGrades+'!$Y$26,"S-",IF(C106&lt;'PlayerGrades+'!$Y$25,"S","S+"))))))))))))))))))))</f>
        <v>A</v>
      </c>
      <c r="C106" s="1170">
        <f>('PlayerGrades+'!$Y$47*(VLOOKUP(E106, 'PlayerGrades+'!$X$3:$Y$23, 2, FALSE)))+('PlayerGrades+'!$Y$48*(VLOOKUP(G106, 'PlayerGrades+'!$X$3:$Y$23, 2, FALSE)))+('PlayerGrades+'!$Y$49*(VLOOKUP(I106, 'PlayerGrades+'!$X$3:$Y$23, 2, FALSE)))+('PlayerGrades+'!$Y$50*(VLOOKUP(K106, 'PlayerGrades+'!$X$3:$Y$23, 2, FALSE)))+('PlayerGrades+'!$Y$51*(VLOOKUP(M106, 'PlayerGrades+'!$X$3:$Y$23, 2, FALSE)))+('PlayerGrades+'!$Y$52*(VLOOKUP(O106, 'PlayerGrades+'!$X$3:$Y$23, 2, FALSE)))+('PlayerGrades+'!$Y$53*(VLOOKUP(Q106, 'PlayerGrades+'!$X$3:$Y$23, 2, FALSE)))+('PlayerGrades+'!$Y$54*(VLOOKUP(S106, 'PlayerGrades+'!$X$3:$Y$23, 2, FALSE)))+('PlayerGrades+'!$Y$55*(VLOOKUP(U106, 'PlayerGrades+'!$X$3:$Y$23, 2, FALSE)))</f>
        <v>22.7125</v>
      </c>
      <c r="D106" s="890">
        <f t="shared" si="1"/>
        <v>0.07177033493</v>
      </c>
      <c r="E106" s="890" t="str">
        <f>IF(D106&lt;'PlayerGrades+'!$AA$21,"F-",IF(D106&lt;'PlayerGrades+'!$AA$20,"F",IF(D106&lt;'PlayerGrades+'!$AA$19,"F+",IF(D106&lt;'PlayerGrades+'!$AA$18,"E-",IF(D106&lt;'PlayerGrades+'!$AA$17,"E",IF(D106&lt;'PlayerGrades+'!$AA$16,"E+",IF(D106&lt;'PlayerGrades+'!$AA$15,"D-",IF(D106&lt;'PlayerGrades+'!$AA$14,"D",IF(D106&lt;'PlayerGrades+'!$AA$13,"D+",IF(D106&lt;'PlayerGrades+'!$AA$12,"C-",IF(D106&lt;'PlayerGrades+'!$AA$11,"C",IF(D106&lt;'PlayerGrades+'!$AA$10,"C+",IF(D106&lt;'PlayerGrades+'!$AA$9,"B-",IF(D106&lt;'PlayerGrades+'!$AA$8,"B",IF(D106&lt;'PlayerGrades+'!$AA$7,"B+",IF(D106&lt;'PlayerGrades+'!$AA$6,"A-",IF(D106&lt;'PlayerGrades+'!$AA$5,"A",IF(D106&lt;'PlayerGrades+'!$AA$4,"A+",IF(D106&lt;'PlayerGrades+'!$AA$3,"S-",IF(D106&lt;'PlayerGrades+'!$AA$2,"S","S+"))))))))))))))))))))</f>
        <v>A-</v>
      </c>
      <c r="F106" s="890">
        <f t="shared" si="2"/>
        <v>0.08155719878</v>
      </c>
      <c r="G106" s="890" t="str">
        <f>IF(F106&lt;'PlayerGrades+'!$AB$21,"F-",IF(F106&lt;'PlayerGrades+'!$AB$20,"F",IF(F106&lt;'PlayerGrades+'!$AB$19,"F+",IF(F106&lt;'PlayerGrades+'!$AB$18,"E-",IF(F106&lt;'PlayerGrades+'!$AB$17,"E",IF(F106&lt;'PlayerGrades+'!$AB$16,"E+",IF(F106&lt;'PlayerGrades+'!$AB$15,"D-",IF(F106&lt;'PlayerGrades+'!$AB$14,"D",IF(F106&lt;'PlayerGrades+'!$AB$13,"D+",IF(F106&lt;'PlayerGrades+'!$AB$12,"C-",IF(F106&lt;'PlayerGrades+'!$AB$11,"C",IF(F106&lt;'PlayerGrades+'!$AB$10,"C+",IF(F106&lt;'PlayerGrades+'!$AB$9,"B-",IF(F106&lt;'PlayerGrades+'!$AB$8,"B",IF(F106&lt;'PlayerGrades+'!$AB$7,"B+",IF(F106&lt;'PlayerGrades+'!$AB$6,"A-",IF(F106&lt;'PlayerGrades+'!$AB$5,"A",IF(F106&lt;'PlayerGrades+'!$AB$4,"A+",IF(F106&lt;'PlayerGrades+'!$AB$3,"S-",IF(F106&lt;'PlayerGrades+'!$AB$2,"S","S+"))))))))))))))))))))</f>
        <v>A</v>
      </c>
      <c r="H106" s="890">
        <f t="shared" si="3"/>
        <v>0.7894736842</v>
      </c>
      <c r="I106" s="890" t="str">
        <f>IF(H106&lt;'PlayerGrades+'!$AC$21,"F-",IF(H106&lt;'PlayerGrades+'!$AC$20,"F",IF(H106&lt;'PlayerGrades+'!$AC$19,"F+",IF(H106&lt;'PlayerGrades+'!$AC$18,"E-",IF(H106&lt;'PlayerGrades+'!$AC$17,"E",IF(H106&lt;'PlayerGrades+'!$AC$16,"E+",IF(H106&lt;'PlayerGrades+'!$AC$15,"D-",IF(H106&lt;'PlayerGrades+'!$AC$14,"D",IF(H106&lt;'PlayerGrades+'!$AC$13,"D+",IF(H106&lt;'PlayerGrades+'!$AC$12,"C-",IF(H106&lt;'PlayerGrades+'!$AC$11,"C",IF(H106&lt;'PlayerGrades+'!$AC$10,"C+",IF(H106&lt;'PlayerGrades+'!$AC$9,"B-",IF(H106&lt;'PlayerGrades+'!$AC$8,"B",IF(H106&lt;'PlayerGrades+'!$AC$7,"B+",IF(H106&lt;'PlayerGrades+'!$AC$6,"A-",IF(H106&lt;'PlayerGrades+'!$AC$5,"A",IF(H106&lt;'PlayerGrades+'!$AC$4,"A+",IF(H106&lt;'PlayerGrades+'!$AC$3,"S-",IF(H106&lt;'PlayerGrades+'!$AC$2,"S","S+"))))))))))))))))))))</f>
        <v>S-</v>
      </c>
      <c r="J106" s="890">
        <f t="shared" si="4"/>
        <v>0.07177033493</v>
      </c>
      <c r="K106" s="890" t="str">
        <f>IF(J106&lt;'PlayerGrades+'!$AD$21,"F-",IF(J106&lt;'PlayerGrades+'!$AD$20,"F",IF(J106&lt;'PlayerGrades+'!$AD$19,"F+",IF(J106&lt;'PlayerGrades+'!$AD$18,"E-",IF(J106&lt;'PlayerGrades+'!$AD$17,"E",IF(J106&lt;'PlayerGrades+'!$AD$16,"E+",IF(J106&lt;'PlayerGrades+'!$AD$15,"D-",IF(J106&lt;'PlayerGrades+'!$AD$14,"D",IF(J106&lt;'PlayerGrades+'!$AD$13,"D+",IF(J106&lt;'PlayerGrades+'!$AD$12,"C-",IF(J106&lt;'PlayerGrades+'!$AD$11,"C",IF(J106&lt;'PlayerGrades+'!$AD$10,"C+",IF(J106&lt;'PlayerGrades+'!$AD$9,"B-",IF(J106&lt;'PlayerGrades+'!$AD$8,"B",IF(J106&lt;'PlayerGrades+'!$AD$7,"B+",IF(J106&lt;'PlayerGrades+'!$AD$6,"A-",IF(J106&lt;'PlayerGrades+'!$AD$5,"A",IF(J106&lt;'PlayerGrades+'!$AD$4,"A+",IF(J106&lt;'PlayerGrades+'!$AD$3,"S-",IF(J106&lt;'PlayerGrades+'!$AD$2,"S","S+"))))))))))))))))))))</f>
        <v>A-</v>
      </c>
      <c r="L106" s="899">
        <f t="shared" si="5"/>
        <v>0.4306220096</v>
      </c>
      <c r="M106" s="899" t="str">
        <f>IF(L106&lt;'PlayerGrades+'!$AE$21,"F-",IF(L106&lt;'PlayerGrades+'!$AE$20,"F",IF(L106&lt;'PlayerGrades+'!$AE$19,"F+",IF(L106&lt;'PlayerGrades+'!$AE$18,"E-",IF(L106&lt;'PlayerGrades+'!$AE$17,"E",IF(L106&lt;'PlayerGrades+'!$AE$16,"E+",IF(L106&lt;'PlayerGrades+'!$AE$15,"D-",IF(L106&lt;'PlayerGrades+'!$AE$14,"D",IF(L106&lt;'PlayerGrades+'!$AE$13,"D+",IF(L106&lt;'PlayerGrades+'!$AE$12,"C-",IF(L106&lt;'PlayerGrades+'!$AE$11,"C",IF(L106&lt;'PlayerGrades+'!$AE$10,"C+",IF(L106&lt;'PlayerGrades+'!$AE$9,"B-",IF(L106&lt;'PlayerGrades+'!$AE$8,"B",IF(L106&lt;'PlayerGrades+'!$AE$7,"B+",IF(L106&lt;'PlayerGrades+'!$AE$6,"A-",IF(L106&lt;'PlayerGrades+'!$AE$5,"A",IF(L106&lt;'PlayerGrades+'!$AE$4,"A+",IF(L106&lt;'PlayerGrades+'!$AE$3,"S-",IF(L106&lt;'PlayerGrades+'!$AE$2,"S","S+"))))))))))))))))))))</f>
        <v>C+</v>
      </c>
      <c r="N106" s="890">
        <f t="shared" si="6"/>
        <v>0.1435406699</v>
      </c>
      <c r="O106" s="890" t="str">
        <f>IF(N106&lt;'PlayerGrades+'!$AF$21,"F-",IF(N106&lt;'PlayerGrades+'!$AF$20,"F",IF(N106&lt;'PlayerGrades+'!$AF$19,"F+",IF(N106&lt;'PlayerGrades+'!$AF$18,"E-",IF(N106&lt;'PlayerGrades+'!$AF$17,"E",IF(N106&lt;'PlayerGrades+'!$AF$16,"E+",IF(N106&lt;'PlayerGrades+'!$AF$15,"D-",IF(N106&lt;'PlayerGrades+'!$AF$14,"D",IF(N106&lt;'PlayerGrades+'!$AF$13,"D+",IF(N106&lt;'PlayerGrades+'!$AF$12,"C-",IF(N106&lt;'PlayerGrades+'!$AF$11,"C",IF(N106&lt;'PlayerGrades+'!$AF$10,"C+",IF(N106&lt;'PlayerGrades+'!$AF$9,"B-",IF(N106&lt;'PlayerGrades+'!$AF$8,"B",IF(N106&lt;'PlayerGrades+'!$AF$7,"B+",IF(N106&lt;'PlayerGrades+'!$AF$6,"A-",IF(N106&lt;'PlayerGrades+'!$AF$5,"A",IF(N106&lt;'PlayerGrades+'!$AF$4,"A+",IF(N106&lt;'PlayerGrades+'!$AF$3,"S-",IF(N106&lt;'PlayerGrades+'!$AF$2,"S","S+"))))))))))))))))))))</f>
        <v>B</v>
      </c>
      <c r="P106" s="890">
        <f t="shared" si="7"/>
        <v>0.5741626794</v>
      </c>
      <c r="Q106" s="890" t="str">
        <f>IF(P106&lt;'PlayerGrades+'!$AG$21,"F-",IF(P106&lt;'PlayerGrades+'!$AG$20,"F",IF(P106&lt;'PlayerGrades+'!$AG$19,"F+",IF(P106&lt;'PlayerGrades+'!$AG$18,"E-",IF(P106&lt;'PlayerGrades+'!$AG$17,"E",IF(P106&lt;'PlayerGrades+'!$AG$16,"E+",IF(P106&lt;'PlayerGrades+'!$AG$15,"D-",IF(P106&lt;'PlayerGrades+'!$AG$14,"D",IF(P106&lt;'PlayerGrades+'!$AG$13,"D+",IF(P106&lt;'PlayerGrades+'!$AG$12,"C-",IF(P106&lt;'PlayerGrades+'!$AG$11,"C",IF(P106&lt;'PlayerGrades+'!$AG$10,"C+",IF(P106&lt;'PlayerGrades+'!$AG$9,"B-",IF(P106&lt;'PlayerGrades+'!$AG$8,"B",IF(P106&lt;'PlayerGrades+'!$AG$7,"B+",IF(P106&lt;'PlayerGrades+'!$AG$6,"A-",IF(P106&lt;'PlayerGrades+'!$AG$5,"A",IF(P106&lt;'PlayerGrades+'!$AG$4,"A+",IF(P106&lt;'PlayerGrades+'!$AG$3,"S-",IF(P106&lt;'PlayerGrades+'!$AG$2,"S","S+"))))))))))))))))))))</f>
        <v>D+</v>
      </c>
      <c r="R106" s="890">
        <f t="shared" si="8"/>
        <v>0.07177033493</v>
      </c>
      <c r="S106" s="890" t="str">
        <f>IF(R106&lt;'PlayerGrades+'!$AH$21,"F-",IF(R106&lt;'PlayerGrades+'!$AH$20,"F",IF(R106&lt;'PlayerGrades+'!$AH$19,"F+",IF(R106&lt;'PlayerGrades+'!$AH$18,"E-",IF(R106&lt;'PlayerGrades+'!$AH$17,"E",IF(R106&lt;'PlayerGrades+'!$AH$16,"E+",IF(R106&lt;'PlayerGrades+'!$AH$15,"D-",IF(R106&lt;'PlayerGrades+'!$AH$14,"D",IF(R106&lt;'PlayerGrades+'!$AH$13,"D+",IF(R106&lt;'PlayerGrades+'!$AH$12,"C-",IF(R106&lt;'PlayerGrades+'!$AH$11,"C",IF(R106&lt;'PlayerGrades+'!$AH$10,"C+",IF(R106&lt;'PlayerGrades+'!$AH$9,"B-",IF(R106&lt;'PlayerGrades+'!$AH$8,"B",IF(R106&lt;'PlayerGrades+'!$AH$7,"B+",IF(R106&lt;'PlayerGrades+'!$AH$6,"A-",IF(R106&lt;'PlayerGrades+'!$AH$5,"A",IF(R106&lt;'PlayerGrades+'!$AH$4,"A+",IF(R106&lt;'PlayerGrades+'!$AH$3,"S-",IF(R106&lt;'PlayerGrades+'!$AH$2,"S","S+"))))))))))))))))))))</f>
        <v>B</v>
      </c>
      <c r="T106" s="890">
        <f t="shared" si="9"/>
        <v>3.588516746</v>
      </c>
      <c r="U106" s="890" t="str">
        <f>IF(T106&lt;'PlayerGrades+'!$AI$21,"F-",IF(T106&lt;'PlayerGrades+'!$AI$20,"F",IF(T106&lt;'PlayerGrades+'!$AI$19,"F+",IF(T106&lt;'PlayerGrades+'!$AI$18,"E-",IF(T106&lt;'PlayerGrades+'!$AI$17,"E",IF(T106&lt;'PlayerGrades+'!$AI$16,"E+",IF(T106&lt;'PlayerGrades+'!$AI$15,"D-",IF(T106&lt;'PlayerGrades+'!$AI$14,"D",IF(T106&lt;'PlayerGrades+'!$AI$13,"D+",IF(T106&lt;'PlayerGrades+'!$AI$12,"C-",IF(T106&lt;'PlayerGrades+'!$AI$11,"C",IF(T106&lt;'PlayerGrades+'!$AI$10,"C+",IF(T106&lt;'PlayerGrades+'!$AI$9,"B-",IF(T106&lt;'PlayerGrades+'!$AI$8,"B",IF(T106&lt;'PlayerGrades+'!$AI$7,"B+",IF(T106&lt;'PlayerGrades+'!$AI$6,"A-",IF(T106&lt;'PlayerGrades+'!$AI$5,"A",IF(T106&lt;'PlayerGrades+'!$AI$4,"A+",IF(T106&lt;'PlayerGrades+'!$AI$3,"S-",IF(T106&lt;'PlayerGrades+'!$AI$2,"S","S+"))))))))))))))))))))</f>
        <v>A+</v>
      </c>
      <c r="V106" s="1169">
        <v>1.0</v>
      </c>
      <c r="W106" s="1169">
        <v>0.0</v>
      </c>
      <c r="X106" s="1169">
        <v>1.0</v>
      </c>
      <c r="Y106" s="1169">
        <v>1.0</v>
      </c>
      <c r="Z106" s="1169">
        <v>50.0</v>
      </c>
      <c r="AA106" s="1169">
        <v>44.0</v>
      </c>
      <c r="AB106" s="925">
        <f t="shared" si="10"/>
        <v>6</v>
      </c>
      <c r="AC106" s="930">
        <f t="shared" si="11"/>
        <v>1.136363636</v>
      </c>
      <c r="AD106" s="1169">
        <v>0.0</v>
      </c>
      <c r="AE106" s="1300">
        <v>836.0</v>
      </c>
      <c r="AF106" s="1169">
        <v>1.0</v>
      </c>
      <c r="AG106" s="1169">
        <v>0.0</v>
      </c>
      <c r="AH106" s="1169">
        <v>0.0</v>
      </c>
      <c r="AI106" s="1169">
        <v>0.0</v>
      </c>
      <c r="AJ106" s="1169">
        <v>0.0</v>
      </c>
      <c r="AK106" s="1169">
        <v>6.0</v>
      </c>
      <c r="AL106" s="1169">
        <v>2.0</v>
      </c>
      <c r="AM106" s="1169">
        <v>0.0</v>
      </c>
      <c r="AN106" s="1169">
        <v>0.0</v>
      </c>
      <c r="AO106" s="1169">
        <v>0.0</v>
      </c>
      <c r="AP106" s="1169">
        <v>0.0</v>
      </c>
      <c r="AQ106" s="1169">
        <v>0.0</v>
      </c>
      <c r="AR106" s="1169">
        <v>0.0</v>
      </c>
      <c r="AS106" s="1169">
        <v>0.0</v>
      </c>
      <c r="AT106" s="1169">
        <v>0.0</v>
      </c>
      <c r="AU106" s="1169">
        <v>11.0</v>
      </c>
      <c r="AV106" s="1169">
        <v>0.0</v>
      </c>
      <c r="AW106" s="1169">
        <v>0.0</v>
      </c>
      <c r="AX106" s="1169">
        <v>0.0</v>
      </c>
      <c r="AY106" s="1169">
        <v>1.0</v>
      </c>
      <c r="AZ106" s="1302">
        <v>0.0</v>
      </c>
    </row>
    <row r="107">
      <c r="A107" s="1277" t="s">
        <v>197</v>
      </c>
      <c r="B107" s="1100" t="str">
        <f>IF(C107&lt;'PlayerGrades+'!$Y$44,"F-",IF(C107&lt;'PlayerGrades+'!$Y$43,"F",IF(C107&lt;'PlayerGrades+'!$Y$42,"F+",IF(C107&lt;'PlayerGrades+'!$Y$41,"E-",IF(C107&lt;'PlayerGrades+'!$Y$40,"E",IF(C107&lt;'PlayerGrades+'!$Y$39,"E+",IF(C107&lt;'PlayerGrades+'!$Y$38,"D-",IF(C107&lt;'PlayerGrades+'!$Y$37,"D",IF(C107&lt;'PlayerGrades+'!$Y$36,"D+",IF(C107&lt;'PlayerGrades+'!$Y$35,"C-",IF(C107&lt;'PlayerGrades+'!$Y$34,"C",IF(C107&lt;'PlayerGrades+'!$Y$33,"C+",IF(C107&lt;'PlayerGrades+'!$Y$32,"B-",IF(C107&lt;'PlayerGrades+'!$Y$31,"B",IF(C107&lt;'PlayerGrades+'!$Y$30,"B+",IF(C107&lt;'PlayerGrades+'!$Y$29,"A-",IF(C107&lt;'PlayerGrades+'!$Y$28,"A",IF(C107&lt;'PlayerGrades+'!$Y$27,"A+",IF(C107&lt;'PlayerGrades+'!$Y$26,"S-",IF(C107&lt;'PlayerGrades+'!$Y$25,"S","S+"))))))))))))))))))))</f>
        <v>A-</v>
      </c>
      <c r="C107" s="1105">
        <f>('PlayerGrades+'!$Y$47*(VLOOKUP(E107, 'PlayerGrades+'!$X$3:$Y$23, 2, FALSE)))+('PlayerGrades+'!$Y$48*(VLOOKUP(G107, 'PlayerGrades+'!$X$3:$Y$23, 2, FALSE)))+('PlayerGrades+'!$Y$49*(VLOOKUP(I107, 'PlayerGrades+'!$X$3:$Y$23, 2, FALSE)))+('PlayerGrades+'!$Y$50*(VLOOKUP(K107, 'PlayerGrades+'!$X$3:$Y$23, 2, FALSE)))+('PlayerGrades+'!$Y$51*(VLOOKUP(M107, 'PlayerGrades+'!$X$3:$Y$23, 2, FALSE)))+('PlayerGrades+'!$Y$52*(VLOOKUP(O107, 'PlayerGrades+'!$X$3:$Y$23, 2, FALSE)))+('PlayerGrades+'!$Y$53*(VLOOKUP(Q107, 'PlayerGrades+'!$X$3:$Y$23, 2, FALSE)))+('PlayerGrades+'!$Y$54*(VLOOKUP(S107, 'PlayerGrades+'!$X$3:$Y$23, 2, FALSE)))+('PlayerGrades+'!$Y$55*(VLOOKUP(U107, 'PlayerGrades+'!$X$3:$Y$23, 2, FALSE)))</f>
        <v>21.1625</v>
      </c>
      <c r="D107" s="961">
        <f t="shared" si="1"/>
        <v>0.07177033493</v>
      </c>
      <c r="E107" s="961" t="str">
        <f>IF(D107&lt;'PlayerGrades+'!$AA$21,"F-",IF(D107&lt;'PlayerGrades+'!$AA$20,"F",IF(D107&lt;'PlayerGrades+'!$AA$19,"F+",IF(D107&lt;'PlayerGrades+'!$AA$18,"E-",IF(D107&lt;'PlayerGrades+'!$AA$17,"E",IF(D107&lt;'PlayerGrades+'!$AA$16,"E+",IF(D107&lt;'PlayerGrades+'!$AA$15,"D-",IF(D107&lt;'PlayerGrades+'!$AA$14,"D",IF(D107&lt;'PlayerGrades+'!$AA$13,"D+",IF(D107&lt;'PlayerGrades+'!$AA$12,"C-",IF(D107&lt;'PlayerGrades+'!$AA$11,"C",IF(D107&lt;'PlayerGrades+'!$AA$10,"C+",IF(D107&lt;'PlayerGrades+'!$AA$9,"B-",IF(D107&lt;'PlayerGrades+'!$AA$8,"B",IF(D107&lt;'PlayerGrades+'!$AA$7,"B+",IF(D107&lt;'PlayerGrades+'!$AA$6,"A-",IF(D107&lt;'PlayerGrades+'!$AA$5,"A",IF(D107&lt;'PlayerGrades+'!$AA$4,"A+",IF(D107&lt;'PlayerGrades+'!$AA$3,"S-",IF(D107&lt;'PlayerGrades+'!$AA$2,"S","S+"))))))))))))))))))))</f>
        <v>A-</v>
      </c>
      <c r="F107" s="961">
        <f t="shared" si="2"/>
        <v>0.0701754386</v>
      </c>
      <c r="G107" s="961" t="str">
        <f>IF(F107&lt;'PlayerGrades+'!$AB$21,"F-",IF(F107&lt;'PlayerGrades+'!$AB$20,"F",IF(F107&lt;'PlayerGrades+'!$AB$19,"F+",IF(F107&lt;'PlayerGrades+'!$AB$18,"E-",IF(F107&lt;'PlayerGrades+'!$AB$17,"E",IF(F107&lt;'PlayerGrades+'!$AB$16,"E+",IF(F107&lt;'PlayerGrades+'!$AB$15,"D-",IF(F107&lt;'PlayerGrades+'!$AB$14,"D",IF(F107&lt;'PlayerGrades+'!$AB$13,"D+",IF(F107&lt;'PlayerGrades+'!$AB$12,"C-",IF(F107&lt;'PlayerGrades+'!$AB$11,"C",IF(F107&lt;'PlayerGrades+'!$AB$10,"C+",IF(F107&lt;'PlayerGrades+'!$AB$9,"B-",IF(F107&lt;'PlayerGrades+'!$AB$8,"B",IF(F107&lt;'PlayerGrades+'!$AB$7,"B+",IF(F107&lt;'PlayerGrades+'!$AB$6,"A-",IF(F107&lt;'PlayerGrades+'!$AB$5,"A",IF(F107&lt;'PlayerGrades+'!$AB$4,"A+",IF(F107&lt;'PlayerGrades+'!$AB$3,"S-",IF(F107&lt;'PlayerGrades+'!$AB$2,"S","S+"))))))))))))))))))))</f>
        <v>A</v>
      </c>
      <c r="H107" s="961">
        <f t="shared" si="3"/>
        <v>0.1435406699</v>
      </c>
      <c r="I107" s="961" t="str">
        <f>IF(H107&lt;'PlayerGrades+'!$AC$21,"F-",IF(H107&lt;'PlayerGrades+'!$AC$20,"F",IF(H107&lt;'PlayerGrades+'!$AC$19,"F+",IF(H107&lt;'PlayerGrades+'!$AC$18,"E-",IF(H107&lt;'PlayerGrades+'!$AC$17,"E",IF(H107&lt;'PlayerGrades+'!$AC$16,"E+",IF(H107&lt;'PlayerGrades+'!$AC$15,"D-",IF(H107&lt;'PlayerGrades+'!$AC$14,"D",IF(H107&lt;'PlayerGrades+'!$AC$13,"D+",IF(H107&lt;'PlayerGrades+'!$AC$12,"C-",IF(H107&lt;'PlayerGrades+'!$AC$11,"C",IF(H107&lt;'PlayerGrades+'!$AC$10,"C+",IF(H107&lt;'PlayerGrades+'!$AC$9,"B-",IF(H107&lt;'PlayerGrades+'!$AC$8,"B",IF(H107&lt;'PlayerGrades+'!$AC$7,"B+",IF(H107&lt;'PlayerGrades+'!$AC$6,"A-",IF(H107&lt;'PlayerGrades+'!$AC$5,"A",IF(H107&lt;'PlayerGrades+'!$AC$4,"A+",IF(H107&lt;'PlayerGrades+'!$AC$3,"S-",IF(H107&lt;'PlayerGrades+'!$AC$2,"S","S+"))))))))))))))))))))</f>
        <v>F-</v>
      </c>
      <c r="J107" s="961">
        <f t="shared" si="4"/>
        <v>0.07177033493</v>
      </c>
      <c r="K107" s="961" t="str">
        <f>IF(J107&lt;'PlayerGrades+'!$AD$21,"F-",IF(J107&lt;'PlayerGrades+'!$AD$20,"F",IF(J107&lt;'PlayerGrades+'!$AD$19,"F+",IF(J107&lt;'PlayerGrades+'!$AD$18,"E-",IF(J107&lt;'PlayerGrades+'!$AD$17,"E",IF(J107&lt;'PlayerGrades+'!$AD$16,"E+",IF(J107&lt;'PlayerGrades+'!$AD$15,"D-",IF(J107&lt;'PlayerGrades+'!$AD$14,"D",IF(J107&lt;'PlayerGrades+'!$AD$13,"D+",IF(J107&lt;'PlayerGrades+'!$AD$12,"C-",IF(J107&lt;'PlayerGrades+'!$AD$11,"C",IF(J107&lt;'PlayerGrades+'!$AD$10,"C+",IF(J107&lt;'PlayerGrades+'!$AD$9,"B-",IF(J107&lt;'PlayerGrades+'!$AD$8,"B",IF(J107&lt;'PlayerGrades+'!$AD$7,"B+",IF(J107&lt;'PlayerGrades+'!$AD$6,"A-",IF(J107&lt;'PlayerGrades+'!$AD$5,"A",IF(J107&lt;'PlayerGrades+'!$AD$4,"A+",IF(J107&lt;'PlayerGrades+'!$AD$3,"S-",IF(J107&lt;'PlayerGrades+'!$AD$2,"S","S+"))))))))))))))))))))</f>
        <v>A-</v>
      </c>
      <c r="L107" s="992">
        <f t="shared" si="5"/>
        <v>0.6459330144</v>
      </c>
      <c r="M107" s="992" t="str">
        <f>IF(L107&lt;'PlayerGrades+'!$AE$21,"F-",IF(L107&lt;'PlayerGrades+'!$AE$20,"F",IF(L107&lt;'PlayerGrades+'!$AE$19,"F+",IF(L107&lt;'PlayerGrades+'!$AE$18,"E-",IF(L107&lt;'PlayerGrades+'!$AE$17,"E",IF(L107&lt;'PlayerGrades+'!$AE$16,"E+",IF(L107&lt;'PlayerGrades+'!$AE$15,"D-",IF(L107&lt;'PlayerGrades+'!$AE$14,"D",IF(L107&lt;'PlayerGrades+'!$AE$13,"D+",IF(L107&lt;'PlayerGrades+'!$AE$12,"C-",IF(L107&lt;'PlayerGrades+'!$AE$11,"C",IF(L107&lt;'PlayerGrades+'!$AE$10,"C+",IF(L107&lt;'PlayerGrades+'!$AE$9,"B-",IF(L107&lt;'PlayerGrades+'!$AE$8,"B",IF(L107&lt;'PlayerGrades+'!$AE$7,"B+",IF(L107&lt;'PlayerGrades+'!$AE$6,"A-",IF(L107&lt;'PlayerGrades+'!$AE$5,"A",IF(L107&lt;'PlayerGrades+'!$AE$4,"A+",IF(L107&lt;'PlayerGrades+'!$AE$3,"S-",IF(L107&lt;'PlayerGrades+'!$AE$2,"S","S+"))))))))))))))))))))</f>
        <v>A+</v>
      </c>
      <c r="N107" s="961">
        <f t="shared" si="6"/>
        <v>0.2153110048</v>
      </c>
      <c r="O107" s="961" t="str">
        <f>IF(N107&lt;'PlayerGrades+'!$AF$21,"F-",IF(N107&lt;'PlayerGrades+'!$AF$20,"F",IF(N107&lt;'PlayerGrades+'!$AF$19,"F+",IF(N107&lt;'PlayerGrades+'!$AF$18,"E-",IF(N107&lt;'PlayerGrades+'!$AF$17,"E",IF(N107&lt;'PlayerGrades+'!$AF$16,"E+",IF(N107&lt;'PlayerGrades+'!$AF$15,"D-",IF(N107&lt;'PlayerGrades+'!$AF$14,"D",IF(N107&lt;'PlayerGrades+'!$AF$13,"D+",IF(N107&lt;'PlayerGrades+'!$AF$12,"C-",IF(N107&lt;'PlayerGrades+'!$AF$11,"C",IF(N107&lt;'PlayerGrades+'!$AF$10,"C+",IF(N107&lt;'PlayerGrades+'!$AF$9,"B-",IF(N107&lt;'PlayerGrades+'!$AF$8,"B",IF(N107&lt;'PlayerGrades+'!$AF$7,"B+",IF(N107&lt;'PlayerGrades+'!$AF$6,"A-",IF(N107&lt;'PlayerGrades+'!$AF$5,"A",IF(N107&lt;'PlayerGrades+'!$AF$4,"A+",IF(N107&lt;'PlayerGrades+'!$AF$3,"S-",IF(N107&lt;'PlayerGrades+'!$AF$2,"S","S+"))))))))))))))))))))</f>
        <v>S-</v>
      </c>
      <c r="P107" s="961">
        <f t="shared" si="7"/>
        <v>1.148325359</v>
      </c>
      <c r="Q107" s="961" t="str">
        <f>IF(P107&lt;'PlayerGrades+'!$AG$21,"F-",IF(P107&lt;'PlayerGrades+'!$AG$20,"F",IF(P107&lt;'PlayerGrades+'!$AG$19,"F+",IF(P107&lt;'PlayerGrades+'!$AG$18,"E-",IF(P107&lt;'PlayerGrades+'!$AG$17,"E",IF(P107&lt;'PlayerGrades+'!$AG$16,"E+",IF(P107&lt;'PlayerGrades+'!$AG$15,"D-",IF(P107&lt;'PlayerGrades+'!$AG$14,"D",IF(P107&lt;'PlayerGrades+'!$AG$13,"D+",IF(P107&lt;'PlayerGrades+'!$AG$12,"C-",IF(P107&lt;'PlayerGrades+'!$AG$11,"C",IF(P107&lt;'PlayerGrades+'!$AG$10,"C+",IF(P107&lt;'PlayerGrades+'!$AG$9,"B-",IF(P107&lt;'PlayerGrades+'!$AG$8,"B",IF(P107&lt;'PlayerGrades+'!$AG$7,"B+",IF(P107&lt;'PlayerGrades+'!$AG$6,"A-",IF(P107&lt;'PlayerGrades+'!$AG$5,"A",IF(P107&lt;'PlayerGrades+'!$AG$4,"A+",IF(P107&lt;'PlayerGrades+'!$AG$3,"S-",IF(P107&lt;'PlayerGrades+'!$AG$2,"S","S+"))))))))))))))))))))</f>
        <v>S-</v>
      </c>
      <c r="R107" s="961">
        <f t="shared" si="8"/>
        <v>0.07177033493</v>
      </c>
      <c r="S107" s="961" t="str">
        <f>IF(R107&lt;'PlayerGrades+'!$AH$21,"F-",IF(R107&lt;'PlayerGrades+'!$AH$20,"F",IF(R107&lt;'PlayerGrades+'!$AH$19,"F+",IF(R107&lt;'PlayerGrades+'!$AH$18,"E-",IF(R107&lt;'PlayerGrades+'!$AH$17,"E",IF(R107&lt;'PlayerGrades+'!$AH$16,"E+",IF(R107&lt;'PlayerGrades+'!$AH$15,"D-",IF(R107&lt;'PlayerGrades+'!$AH$14,"D",IF(R107&lt;'PlayerGrades+'!$AH$13,"D+",IF(R107&lt;'PlayerGrades+'!$AH$12,"C-",IF(R107&lt;'PlayerGrades+'!$AH$11,"C",IF(R107&lt;'PlayerGrades+'!$AH$10,"C+",IF(R107&lt;'PlayerGrades+'!$AH$9,"B-",IF(R107&lt;'PlayerGrades+'!$AH$8,"B",IF(R107&lt;'PlayerGrades+'!$AH$7,"B+",IF(R107&lt;'PlayerGrades+'!$AH$6,"A-",IF(R107&lt;'PlayerGrades+'!$AH$5,"A",IF(R107&lt;'PlayerGrades+'!$AH$4,"A+",IF(R107&lt;'PlayerGrades+'!$AH$3,"S-",IF(R107&lt;'PlayerGrades+'!$AH$2,"S","S+"))))))))))))))))))))</f>
        <v>B</v>
      </c>
      <c r="T107" s="961">
        <f t="shared" si="9"/>
        <v>3.157894737</v>
      </c>
      <c r="U107" s="961" t="str">
        <f>IF(T107&lt;'PlayerGrades+'!$AI$21,"F-",IF(T107&lt;'PlayerGrades+'!$AI$20,"F",IF(T107&lt;'PlayerGrades+'!$AI$19,"F+",IF(T107&lt;'PlayerGrades+'!$AI$18,"E-",IF(T107&lt;'PlayerGrades+'!$AI$17,"E",IF(T107&lt;'PlayerGrades+'!$AI$16,"E+",IF(T107&lt;'PlayerGrades+'!$AI$15,"D-",IF(T107&lt;'PlayerGrades+'!$AI$14,"D",IF(T107&lt;'PlayerGrades+'!$AI$13,"D+",IF(T107&lt;'PlayerGrades+'!$AI$12,"C-",IF(T107&lt;'PlayerGrades+'!$AI$11,"C",IF(T107&lt;'PlayerGrades+'!$AI$10,"C+",IF(T107&lt;'PlayerGrades+'!$AI$9,"B-",IF(T107&lt;'PlayerGrades+'!$AI$8,"B",IF(T107&lt;'PlayerGrades+'!$AI$7,"B+",IF(T107&lt;'PlayerGrades+'!$AI$6,"A-",IF(T107&lt;'PlayerGrades+'!$AI$5,"A",IF(T107&lt;'PlayerGrades+'!$AI$4,"A+",IF(T107&lt;'PlayerGrades+'!$AI$3,"S-",IF(T107&lt;'PlayerGrades+'!$AI$2,"S","S+"))))))))))))))))))))</f>
        <v>A-</v>
      </c>
      <c r="V107" s="1100">
        <v>1.0</v>
      </c>
      <c r="W107" s="1100">
        <v>0.0</v>
      </c>
      <c r="X107" s="1100">
        <v>1.0</v>
      </c>
      <c r="Y107" s="1100">
        <v>0.0</v>
      </c>
      <c r="Z107" s="1100">
        <v>44.0</v>
      </c>
      <c r="AA107" s="1100">
        <v>45.0</v>
      </c>
      <c r="AB107" s="1017">
        <f t="shared" si="10"/>
        <v>-1</v>
      </c>
      <c r="AC107" s="1020">
        <f t="shared" si="11"/>
        <v>0.9777777778</v>
      </c>
      <c r="AD107" s="1100">
        <v>0.0</v>
      </c>
      <c r="AE107" s="1329">
        <v>836.0</v>
      </c>
      <c r="AF107" s="1100">
        <v>1.0</v>
      </c>
      <c r="AG107" s="1100">
        <v>0.0</v>
      </c>
      <c r="AH107" s="1100">
        <v>0.0</v>
      </c>
      <c r="AI107" s="1100">
        <v>0.0</v>
      </c>
      <c r="AJ107" s="1100">
        <v>0.0</v>
      </c>
      <c r="AK107" s="1100">
        <v>9.0</v>
      </c>
      <c r="AL107" s="1100">
        <v>3.0</v>
      </c>
      <c r="AM107" s="1100">
        <v>2.0</v>
      </c>
      <c r="AN107" s="1100">
        <v>1.0</v>
      </c>
      <c r="AO107" s="1100">
        <v>1.0</v>
      </c>
      <c r="AP107" s="1100">
        <v>0.0</v>
      </c>
      <c r="AQ107" s="1100">
        <v>0.0</v>
      </c>
      <c r="AR107" s="1100">
        <v>0.0</v>
      </c>
      <c r="AS107" s="1100">
        <v>0.0</v>
      </c>
      <c r="AT107" s="1100">
        <v>0.0</v>
      </c>
      <c r="AU107" s="1100">
        <v>2.0</v>
      </c>
      <c r="AV107" s="1100">
        <v>0.0</v>
      </c>
      <c r="AW107" s="1100">
        <v>0.0</v>
      </c>
      <c r="AX107" s="1100">
        <v>0.0</v>
      </c>
      <c r="AY107" s="1100">
        <v>1.0</v>
      </c>
      <c r="AZ107" s="1239">
        <v>0.0</v>
      </c>
    </row>
    <row r="108">
      <c r="A108" s="1277" t="s">
        <v>48</v>
      </c>
      <c r="B108" s="1100" t="str">
        <f>IF(C108&lt;'PlayerGrades+'!$Y$44,"F-",IF(C108&lt;'PlayerGrades+'!$Y$43,"F",IF(C108&lt;'PlayerGrades+'!$Y$42,"F+",IF(C108&lt;'PlayerGrades+'!$Y$41,"E-",IF(C108&lt;'PlayerGrades+'!$Y$40,"E",IF(C108&lt;'PlayerGrades+'!$Y$39,"E+",IF(C108&lt;'PlayerGrades+'!$Y$38,"D-",IF(C108&lt;'PlayerGrades+'!$Y$37,"D",IF(C108&lt;'PlayerGrades+'!$Y$36,"D+",IF(C108&lt;'PlayerGrades+'!$Y$35,"C-",IF(C108&lt;'PlayerGrades+'!$Y$34,"C",IF(C108&lt;'PlayerGrades+'!$Y$33,"C+",IF(C108&lt;'PlayerGrades+'!$Y$32,"B-",IF(C108&lt;'PlayerGrades+'!$Y$31,"B",IF(C108&lt;'PlayerGrades+'!$Y$30,"B+",IF(C108&lt;'PlayerGrades+'!$Y$29,"A-",IF(C108&lt;'PlayerGrades+'!$Y$28,"A",IF(C108&lt;'PlayerGrades+'!$Y$27,"A+",IF(C108&lt;'PlayerGrades+'!$Y$26,"S-",IF(C108&lt;'PlayerGrades+'!$Y$25,"S","S+"))))))))))))))))))))</f>
        <v>C+</v>
      </c>
      <c r="C108" s="1105">
        <f>('PlayerGrades+'!$Y$47*(VLOOKUP(E108, 'PlayerGrades+'!$X$3:$Y$23, 2, FALSE)))+('PlayerGrades+'!$Y$48*(VLOOKUP(G108, 'PlayerGrades+'!$X$3:$Y$23, 2, FALSE)))+('PlayerGrades+'!$Y$49*(VLOOKUP(I108, 'PlayerGrades+'!$X$3:$Y$23, 2, FALSE)))+('PlayerGrades+'!$Y$50*(VLOOKUP(K108, 'PlayerGrades+'!$X$3:$Y$23, 2, FALSE)))+('PlayerGrades+'!$Y$51*(VLOOKUP(M108, 'PlayerGrades+'!$X$3:$Y$23, 2, FALSE)))+('PlayerGrades+'!$Y$52*(VLOOKUP(O108, 'PlayerGrades+'!$X$3:$Y$23, 2, FALSE)))+('PlayerGrades+'!$Y$53*(VLOOKUP(Q108, 'PlayerGrades+'!$X$3:$Y$23, 2, FALSE)))+('PlayerGrades+'!$Y$54*(VLOOKUP(S108, 'PlayerGrades+'!$X$3:$Y$23, 2, FALSE)))+('PlayerGrades+'!$Y$55*(VLOOKUP(U108, 'PlayerGrades+'!$X$3:$Y$23, 2, FALSE)))</f>
        <v>16.0625</v>
      </c>
      <c r="D108" s="961">
        <f t="shared" si="1"/>
        <v>0.1435406699</v>
      </c>
      <c r="E108" s="961" t="str">
        <f>IF(D108&lt;'PlayerGrades+'!$AA$21,"F-",IF(D108&lt;'PlayerGrades+'!$AA$20,"F",IF(D108&lt;'PlayerGrades+'!$AA$19,"F+",IF(D108&lt;'PlayerGrades+'!$AA$18,"E-",IF(D108&lt;'PlayerGrades+'!$AA$17,"E",IF(D108&lt;'PlayerGrades+'!$AA$16,"E+",IF(D108&lt;'PlayerGrades+'!$AA$15,"D-",IF(D108&lt;'PlayerGrades+'!$AA$14,"D",IF(D108&lt;'PlayerGrades+'!$AA$13,"D+",IF(D108&lt;'PlayerGrades+'!$AA$12,"C-",IF(D108&lt;'PlayerGrades+'!$AA$11,"C",IF(D108&lt;'PlayerGrades+'!$AA$10,"C+",IF(D108&lt;'PlayerGrades+'!$AA$9,"B-",IF(D108&lt;'PlayerGrades+'!$AA$8,"B",IF(D108&lt;'PlayerGrades+'!$AA$7,"B+",IF(D108&lt;'PlayerGrades+'!$AA$6,"A-",IF(D108&lt;'PlayerGrades+'!$AA$5,"A",IF(D108&lt;'PlayerGrades+'!$AA$4,"A+",IF(D108&lt;'PlayerGrades+'!$AA$3,"S-",IF(D108&lt;'PlayerGrades+'!$AA$2,"S","S+"))))))))))))))))))))</f>
        <v>S</v>
      </c>
      <c r="F108" s="961">
        <f t="shared" si="2"/>
        <v>0.06651884701</v>
      </c>
      <c r="G108" s="961" t="str">
        <f>IF(F108&lt;'PlayerGrades+'!$AB$21,"F-",IF(F108&lt;'PlayerGrades+'!$AB$20,"F",IF(F108&lt;'PlayerGrades+'!$AB$19,"F+",IF(F108&lt;'PlayerGrades+'!$AB$18,"E-",IF(F108&lt;'PlayerGrades+'!$AB$17,"E",IF(F108&lt;'PlayerGrades+'!$AB$16,"E+",IF(F108&lt;'PlayerGrades+'!$AB$15,"D-",IF(F108&lt;'PlayerGrades+'!$AB$14,"D",IF(F108&lt;'PlayerGrades+'!$AB$13,"D+",IF(F108&lt;'PlayerGrades+'!$AB$12,"C-",IF(F108&lt;'PlayerGrades+'!$AB$11,"C",IF(F108&lt;'PlayerGrades+'!$AB$10,"C+",IF(F108&lt;'PlayerGrades+'!$AB$9,"B-",IF(F108&lt;'PlayerGrades+'!$AB$8,"B",IF(F108&lt;'PlayerGrades+'!$AB$7,"B+",IF(F108&lt;'PlayerGrades+'!$AB$6,"A-",IF(F108&lt;'PlayerGrades+'!$AB$5,"A",IF(F108&lt;'PlayerGrades+'!$AB$4,"A+",IF(F108&lt;'PlayerGrades+'!$AB$3,"S-",IF(F108&lt;'PlayerGrades+'!$AB$2,"S","S+"))))))))))))))))))))</f>
        <v>A</v>
      </c>
      <c r="H108" s="961">
        <f t="shared" si="3"/>
        <v>0.4306220096</v>
      </c>
      <c r="I108" s="961" t="str">
        <f>IF(H108&lt;'PlayerGrades+'!$AC$21,"F-",IF(H108&lt;'PlayerGrades+'!$AC$20,"F",IF(H108&lt;'PlayerGrades+'!$AC$19,"F+",IF(H108&lt;'PlayerGrades+'!$AC$18,"E-",IF(H108&lt;'PlayerGrades+'!$AC$17,"E",IF(H108&lt;'PlayerGrades+'!$AC$16,"E+",IF(H108&lt;'PlayerGrades+'!$AC$15,"D-",IF(H108&lt;'PlayerGrades+'!$AC$14,"D",IF(H108&lt;'PlayerGrades+'!$AC$13,"D+",IF(H108&lt;'PlayerGrades+'!$AC$12,"C-",IF(H108&lt;'PlayerGrades+'!$AC$11,"C",IF(H108&lt;'PlayerGrades+'!$AC$10,"C+",IF(H108&lt;'PlayerGrades+'!$AC$9,"B-",IF(H108&lt;'PlayerGrades+'!$AC$8,"B",IF(H108&lt;'PlayerGrades+'!$AC$7,"B+",IF(H108&lt;'PlayerGrades+'!$AC$6,"A-",IF(H108&lt;'PlayerGrades+'!$AC$5,"A",IF(H108&lt;'PlayerGrades+'!$AC$4,"A+",IF(H108&lt;'PlayerGrades+'!$AC$3,"S-",IF(H108&lt;'PlayerGrades+'!$AC$2,"S","S+"))))))))))))))))))))</f>
        <v>D+</v>
      </c>
      <c r="J108" s="961">
        <f t="shared" si="4"/>
        <v>0</v>
      </c>
      <c r="K108" s="961" t="str">
        <f>IF(J108&lt;'PlayerGrades+'!$AD$21,"F-",IF(J108&lt;'PlayerGrades+'!$AD$20,"F",IF(J108&lt;'PlayerGrades+'!$AD$19,"F+",IF(J108&lt;'PlayerGrades+'!$AD$18,"E-",IF(J108&lt;'PlayerGrades+'!$AD$17,"E",IF(J108&lt;'PlayerGrades+'!$AD$16,"E+",IF(J108&lt;'PlayerGrades+'!$AD$15,"D-",IF(J108&lt;'PlayerGrades+'!$AD$14,"D",IF(J108&lt;'PlayerGrades+'!$AD$13,"D+",IF(J108&lt;'PlayerGrades+'!$AD$12,"C-",IF(J108&lt;'PlayerGrades+'!$AD$11,"C",IF(J108&lt;'PlayerGrades+'!$AD$10,"C+",IF(J108&lt;'PlayerGrades+'!$AD$9,"B-",IF(J108&lt;'PlayerGrades+'!$AD$8,"B",IF(J108&lt;'PlayerGrades+'!$AD$7,"B+",IF(J108&lt;'PlayerGrades+'!$AD$6,"A-",IF(J108&lt;'PlayerGrades+'!$AD$5,"A",IF(J108&lt;'PlayerGrades+'!$AD$4,"A+",IF(J108&lt;'PlayerGrades+'!$AD$3,"S-",IF(J108&lt;'PlayerGrades+'!$AD$2,"S","S+"))))))))))))))))))))</f>
        <v>F-</v>
      </c>
      <c r="L108" s="992">
        <f t="shared" si="5"/>
        <v>0.2870813397</v>
      </c>
      <c r="M108" s="992" t="str">
        <f>IF(L108&lt;'PlayerGrades+'!$AE$21,"F-",IF(L108&lt;'PlayerGrades+'!$AE$20,"F",IF(L108&lt;'PlayerGrades+'!$AE$19,"F+",IF(L108&lt;'PlayerGrades+'!$AE$18,"E-",IF(L108&lt;'PlayerGrades+'!$AE$17,"E",IF(L108&lt;'PlayerGrades+'!$AE$16,"E+",IF(L108&lt;'PlayerGrades+'!$AE$15,"D-",IF(L108&lt;'PlayerGrades+'!$AE$14,"D",IF(L108&lt;'PlayerGrades+'!$AE$13,"D+",IF(L108&lt;'PlayerGrades+'!$AE$12,"C-",IF(L108&lt;'PlayerGrades+'!$AE$11,"C",IF(L108&lt;'PlayerGrades+'!$AE$10,"C+",IF(L108&lt;'PlayerGrades+'!$AE$9,"B-",IF(L108&lt;'PlayerGrades+'!$AE$8,"B",IF(L108&lt;'PlayerGrades+'!$AE$7,"B+",IF(L108&lt;'PlayerGrades+'!$AE$6,"A-",IF(L108&lt;'PlayerGrades+'!$AE$5,"A",IF(L108&lt;'PlayerGrades+'!$AE$4,"A+",IF(L108&lt;'PlayerGrades+'!$AE$3,"S-",IF(L108&lt;'PlayerGrades+'!$AE$2,"S","S+"))))))))))))))))))))</f>
        <v>F+</v>
      </c>
      <c r="N108" s="961">
        <f t="shared" si="6"/>
        <v>0.07177033493</v>
      </c>
      <c r="O108" s="961" t="str">
        <f>IF(N108&lt;'PlayerGrades+'!$AF$21,"F-",IF(N108&lt;'PlayerGrades+'!$AF$20,"F",IF(N108&lt;'PlayerGrades+'!$AF$19,"F+",IF(N108&lt;'PlayerGrades+'!$AF$18,"E-",IF(N108&lt;'PlayerGrades+'!$AF$17,"E",IF(N108&lt;'PlayerGrades+'!$AF$16,"E+",IF(N108&lt;'PlayerGrades+'!$AF$15,"D-",IF(N108&lt;'PlayerGrades+'!$AF$14,"D",IF(N108&lt;'PlayerGrades+'!$AF$13,"D+",IF(N108&lt;'PlayerGrades+'!$AF$12,"C-",IF(N108&lt;'PlayerGrades+'!$AF$11,"C",IF(N108&lt;'PlayerGrades+'!$AF$10,"C+",IF(N108&lt;'PlayerGrades+'!$AF$9,"B-",IF(N108&lt;'PlayerGrades+'!$AF$8,"B",IF(N108&lt;'PlayerGrades+'!$AF$7,"B+",IF(N108&lt;'PlayerGrades+'!$AF$6,"A-",IF(N108&lt;'PlayerGrades+'!$AF$5,"A",IF(N108&lt;'PlayerGrades+'!$AF$4,"A+",IF(N108&lt;'PlayerGrades+'!$AF$3,"S-",IF(N108&lt;'PlayerGrades+'!$AF$2,"S","S+"))))))))))))))))))))</f>
        <v>E+</v>
      </c>
      <c r="P108" s="961">
        <f t="shared" si="7"/>
        <v>0.3588516746</v>
      </c>
      <c r="Q108" s="961" t="str">
        <f>IF(P108&lt;'PlayerGrades+'!$AG$21,"F-",IF(P108&lt;'PlayerGrades+'!$AG$20,"F",IF(P108&lt;'PlayerGrades+'!$AG$19,"F+",IF(P108&lt;'PlayerGrades+'!$AG$18,"E-",IF(P108&lt;'PlayerGrades+'!$AG$17,"E",IF(P108&lt;'PlayerGrades+'!$AG$16,"E+",IF(P108&lt;'PlayerGrades+'!$AG$15,"D-",IF(P108&lt;'PlayerGrades+'!$AG$14,"D",IF(P108&lt;'PlayerGrades+'!$AG$13,"D+",IF(P108&lt;'PlayerGrades+'!$AG$12,"C-",IF(P108&lt;'PlayerGrades+'!$AG$11,"C",IF(P108&lt;'PlayerGrades+'!$AG$10,"C+",IF(P108&lt;'PlayerGrades+'!$AG$9,"B-",IF(P108&lt;'PlayerGrades+'!$AG$8,"B",IF(P108&lt;'PlayerGrades+'!$AG$7,"B+",IF(P108&lt;'PlayerGrades+'!$AG$6,"A-",IF(P108&lt;'PlayerGrades+'!$AG$5,"A",IF(P108&lt;'PlayerGrades+'!$AG$4,"A+",IF(P108&lt;'PlayerGrades+'!$AG$3,"S-",IF(P108&lt;'PlayerGrades+'!$AG$2,"S","S+"))))))))))))))))))))</f>
        <v>F</v>
      </c>
      <c r="R108" s="961">
        <f t="shared" si="8"/>
        <v>0.07177033493</v>
      </c>
      <c r="S108" s="961" t="str">
        <f>IF(R108&lt;'PlayerGrades+'!$AH$21,"F-",IF(R108&lt;'PlayerGrades+'!$AH$20,"F",IF(R108&lt;'PlayerGrades+'!$AH$19,"F+",IF(R108&lt;'PlayerGrades+'!$AH$18,"E-",IF(R108&lt;'PlayerGrades+'!$AH$17,"E",IF(R108&lt;'PlayerGrades+'!$AH$16,"E+",IF(R108&lt;'PlayerGrades+'!$AH$15,"D-",IF(R108&lt;'PlayerGrades+'!$AH$14,"D",IF(R108&lt;'PlayerGrades+'!$AH$13,"D+",IF(R108&lt;'PlayerGrades+'!$AH$12,"C-",IF(R108&lt;'PlayerGrades+'!$AH$11,"C",IF(R108&lt;'PlayerGrades+'!$AH$10,"C+",IF(R108&lt;'PlayerGrades+'!$AH$9,"B-",IF(R108&lt;'PlayerGrades+'!$AH$8,"B",IF(R108&lt;'PlayerGrades+'!$AH$7,"B+",IF(R108&lt;'PlayerGrades+'!$AH$6,"A-",IF(R108&lt;'PlayerGrades+'!$AH$5,"A",IF(R108&lt;'PlayerGrades+'!$AH$4,"A+",IF(R108&lt;'PlayerGrades+'!$AH$3,"S-",IF(R108&lt;'PlayerGrades+'!$AH$2,"S","S+"))))))))))))))))))))</f>
        <v>B</v>
      </c>
      <c r="T108" s="961">
        <f t="shared" si="9"/>
        <v>2.727272727</v>
      </c>
      <c r="U108" s="961" t="str">
        <f>IF(T108&lt;'PlayerGrades+'!$AI$21,"F-",IF(T108&lt;'PlayerGrades+'!$AI$20,"F",IF(T108&lt;'PlayerGrades+'!$AI$19,"F+",IF(T108&lt;'PlayerGrades+'!$AI$18,"E-",IF(T108&lt;'PlayerGrades+'!$AI$17,"E",IF(T108&lt;'PlayerGrades+'!$AI$16,"E+",IF(T108&lt;'PlayerGrades+'!$AI$15,"D-",IF(T108&lt;'PlayerGrades+'!$AI$14,"D",IF(T108&lt;'PlayerGrades+'!$AI$13,"D+",IF(T108&lt;'PlayerGrades+'!$AI$12,"C-",IF(T108&lt;'PlayerGrades+'!$AI$11,"C",IF(T108&lt;'PlayerGrades+'!$AI$10,"C+",IF(T108&lt;'PlayerGrades+'!$AI$9,"B-",IF(T108&lt;'PlayerGrades+'!$AI$8,"B",IF(T108&lt;'PlayerGrades+'!$AI$7,"B+",IF(T108&lt;'PlayerGrades+'!$AI$6,"A-",IF(T108&lt;'PlayerGrades+'!$AI$5,"A",IF(T108&lt;'PlayerGrades+'!$AI$4,"A+",IF(T108&lt;'PlayerGrades+'!$AI$3,"S-",IF(T108&lt;'PlayerGrades+'!$AI$2,"S","S+"))))))))))))))))))))</f>
        <v>C-</v>
      </c>
      <c r="V108" s="1100">
        <v>1.0</v>
      </c>
      <c r="W108" s="1100">
        <v>0.0</v>
      </c>
      <c r="X108" s="1100">
        <v>2.0</v>
      </c>
      <c r="Y108" s="1100">
        <v>3.0</v>
      </c>
      <c r="Z108" s="1100">
        <v>38.0</v>
      </c>
      <c r="AA108" s="1100">
        <v>41.0</v>
      </c>
      <c r="AB108" s="1017">
        <f t="shared" si="10"/>
        <v>-3</v>
      </c>
      <c r="AC108" s="1020">
        <f t="shared" si="11"/>
        <v>0.9268292683</v>
      </c>
      <c r="AD108" s="1100">
        <v>0.0</v>
      </c>
      <c r="AE108" s="1329">
        <v>836.0</v>
      </c>
      <c r="AF108" s="1100">
        <v>0.0</v>
      </c>
      <c r="AG108" s="1100">
        <v>0.0</v>
      </c>
      <c r="AH108" s="1100">
        <v>0.0</v>
      </c>
      <c r="AI108" s="1100">
        <v>0.0</v>
      </c>
      <c r="AJ108" s="1100">
        <v>0.0</v>
      </c>
      <c r="AK108" s="1100">
        <v>4.0</v>
      </c>
      <c r="AL108" s="1100">
        <v>1.0</v>
      </c>
      <c r="AM108" s="1100">
        <v>0.0</v>
      </c>
      <c r="AN108" s="1100">
        <v>0.0</v>
      </c>
      <c r="AO108" s="1100">
        <v>0.0</v>
      </c>
      <c r="AP108" s="1100">
        <v>0.0</v>
      </c>
      <c r="AQ108" s="1100">
        <v>0.0</v>
      </c>
      <c r="AR108" s="1100">
        <v>0.0</v>
      </c>
      <c r="AS108" s="1100">
        <v>0.0</v>
      </c>
      <c r="AT108" s="1100">
        <v>0.0</v>
      </c>
      <c r="AU108" s="1100">
        <v>6.0</v>
      </c>
      <c r="AV108" s="1100">
        <v>0.0</v>
      </c>
      <c r="AW108" s="1100">
        <v>0.0</v>
      </c>
      <c r="AX108" s="1100">
        <v>0.0</v>
      </c>
      <c r="AY108" s="1100">
        <v>1.0</v>
      </c>
      <c r="AZ108" s="1239">
        <v>0.0</v>
      </c>
    </row>
    <row r="109">
      <c r="A109" s="1277" t="s">
        <v>96</v>
      </c>
      <c r="B109" s="1100" t="str">
        <f>IF(C109&lt;'PlayerGrades+'!$Y$44,"F-",IF(C109&lt;'PlayerGrades+'!$Y$43,"F",IF(C109&lt;'PlayerGrades+'!$Y$42,"F+",IF(C109&lt;'PlayerGrades+'!$Y$41,"E-",IF(C109&lt;'PlayerGrades+'!$Y$40,"E",IF(C109&lt;'PlayerGrades+'!$Y$39,"E+",IF(C109&lt;'PlayerGrades+'!$Y$38,"D-",IF(C109&lt;'PlayerGrades+'!$Y$37,"D",IF(C109&lt;'PlayerGrades+'!$Y$36,"D+",IF(C109&lt;'PlayerGrades+'!$Y$35,"C-",IF(C109&lt;'PlayerGrades+'!$Y$34,"C",IF(C109&lt;'PlayerGrades+'!$Y$33,"C+",IF(C109&lt;'PlayerGrades+'!$Y$32,"B-",IF(C109&lt;'PlayerGrades+'!$Y$31,"B",IF(C109&lt;'PlayerGrades+'!$Y$30,"B+",IF(C109&lt;'PlayerGrades+'!$Y$29,"A-",IF(C109&lt;'PlayerGrades+'!$Y$28,"A",IF(C109&lt;'PlayerGrades+'!$Y$27,"A+",IF(C109&lt;'PlayerGrades+'!$Y$26,"S-",IF(C109&lt;'PlayerGrades+'!$Y$25,"S","S+"))))))))))))))))))))</f>
        <v>C-</v>
      </c>
      <c r="C109" s="1105">
        <f>('PlayerGrades+'!$Y$47*(VLOOKUP(E109, 'PlayerGrades+'!$X$3:$Y$23, 2, FALSE)))+('PlayerGrades+'!$Y$48*(VLOOKUP(G109, 'PlayerGrades+'!$X$3:$Y$23, 2, FALSE)))+('PlayerGrades+'!$Y$49*(VLOOKUP(I109, 'PlayerGrades+'!$X$3:$Y$23, 2, FALSE)))+('PlayerGrades+'!$Y$50*(VLOOKUP(K109, 'PlayerGrades+'!$X$3:$Y$23, 2, FALSE)))+('PlayerGrades+'!$Y$51*(VLOOKUP(M109, 'PlayerGrades+'!$X$3:$Y$23, 2, FALSE)))+('PlayerGrades+'!$Y$52*(VLOOKUP(O109, 'PlayerGrades+'!$X$3:$Y$23, 2, FALSE)))+('PlayerGrades+'!$Y$53*(VLOOKUP(Q109, 'PlayerGrades+'!$X$3:$Y$23, 2, FALSE)))+('PlayerGrades+'!$Y$54*(VLOOKUP(S109, 'PlayerGrades+'!$X$3:$Y$23, 2, FALSE)))+('PlayerGrades+'!$Y$55*(VLOOKUP(U109, 'PlayerGrades+'!$X$3:$Y$23, 2, FALSE)))</f>
        <v>14.475</v>
      </c>
      <c r="D109" s="961">
        <f t="shared" si="1"/>
        <v>0.07177033493</v>
      </c>
      <c r="E109" s="961" t="str">
        <f>IF(D109&lt;'PlayerGrades+'!$AA$21,"F-",IF(D109&lt;'PlayerGrades+'!$AA$20,"F",IF(D109&lt;'PlayerGrades+'!$AA$19,"F+",IF(D109&lt;'PlayerGrades+'!$AA$18,"E-",IF(D109&lt;'PlayerGrades+'!$AA$17,"E",IF(D109&lt;'PlayerGrades+'!$AA$16,"E+",IF(D109&lt;'PlayerGrades+'!$AA$15,"D-",IF(D109&lt;'PlayerGrades+'!$AA$14,"D",IF(D109&lt;'PlayerGrades+'!$AA$13,"D+",IF(D109&lt;'PlayerGrades+'!$AA$12,"C-",IF(D109&lt;'PlayerGrades+'!$AA$11,"C",IF(D109&lt;'PlayerGrades+'!$AA$10,"C+",IF(D109&lt;'PlayerGrades+'!$AA$9,"B-",IF(D109&lt;'PlayerGrades+'!$AA$8,"B",IF(D109&lt;'PlayerGrades+'!$AA$7,"B+",IF(D109&lt;'PlayerGrades+'!$AA$6,"A-",IF(D109&lt;'PlayerGrades+'!$AA$5,"A",IF(D109&lt;'PlayerGrades+'!$AA$4,"A+",IF(D109&lt;'PlayerGrades+'!$AA$3,"S-",IF(D109&lt;'PlayerGrades+'!$AA$2,"S","S+"))))))))))))))))))))</f>
        <v>A-</v>
      </c>
      <c r="F109" s="961">
        <f t="shared" si="2"/>
        <v>0.067284689</v>
      </c>
      <c r="G109" s="961" t="str">
        <f>IF(F109&lt;'PlayerGrades+'!$AB$21,"F-",IF(F109&lt;'PlayerGrades+'!$AB$20,"F",IF(F109&lt;'PlayerGrades+'!$AB$19,"F+",IF(F109&lt;'PlayerGrades+'!$AB$18,"E-",IF(F109&lt;'PlayerGrades+'!$AB$17,"E",IF(F109&lt;'PlayerGrades+'!$AB$16,"E+",IF(F109&lt;'PlayerGrades+'!$AB$15,"D-",IF(F109&lt;'PlayerGrades+'!$AB$14,"D",IF(F109&lt;'PlayerGrades+'!$AB$13,"D+",IF(F109&lt;'PlayerGrades+'!$AB$12,"C-",IF(F109&lt;'PlayerGrades+'!$AB$11,"C",IF(F109&lt;'PlayerGrades+'!$AB$10,"C+",IF(F109&lt;'PlayerGrades+'!$AB$9,"B-",IF(F109&lt;'PlayerGrades+'!$AB$8,"B",IF(F109&lt;'PlayerGrades+'!$AB$7,"B+",IF(F109&lt;'PlayerGrades+'!$AB$6,"A-",IF(F109&lt;'PlayerGrades+'!$AB$5,"A",IF(F109&lt;'PlayerGrades+'!$AB$4,"A+",IF(F109&lt;'PlayerGrades+'!$AB$3,"S-",IF(F109&lt;'PlayerGrades+'!$AB$2,"S","S+"))))))))))))))))))))</f>
        <v>A</v>
      </c>
      <c r="H109" s="961">
        <f t="shared" si="3"/>
        <v>0.3588516746</v>
      </c>
      <c r="I109" s="961" t="str">
        <f>IF(H109&lt;'PlayerGrades+'!$AC$21,"F-",IF(H109&lt;'PlayerGrades+'!$AC$20,"F",IF(H109&lt;'PlayerGrades+'!$AC$19,"F+",IF(H109&lt;'PlayerGrades+'!$AC$18,"E-",IF(H109&lt;'PlayerGrades+'!$AC$17,"E",IF(H109&lt;'PlayerGrades+'!$AC$16,"E+",IF(H109&lt;'PlayerGrades+'!$AC$15,"D-",IF(H109&lt;'PlayerGrades+'!$AC$14,"D",IF(H109&lt;'PlayerGrades+'!$AC$13,"D+",IF(H109&lt;'PlayerGrades+'!$AC$12,"C-",IF(H109&lt;'PlayerGrades+'!$AC$11,"C",IF(H109&lt;'PlayerGrades+'!$AC$10,"C+",IF(H109&lt;'PlayerGrades+'!$AC$9,"B-",IF(H109&lt;'PlayerGrades+'!$AC$8,"B",IF(H109&lt;'PlayerGrades+'!$AC$7,"B+",IF(H109&lt;'PlayerGrades+'!$AC$6,"A-",IF(H109&lt;'PlayerGrades+'!$AC$5,"A",IF(H109&lt;'PlayerGrades+'!$AC$4,"A+",IF(H109&lt;'PlayerGrades+'!$AC$3,"S-",IF(H109&lt;'PlayerGrades+'!$AC$2,"S","S+"))))))))))))))))))))</f>
        <v>D-</v>
      </c>
      <c r="J109" s="961">
        <f t="shared" si="4"/>
        <v>0</v>
      </c>
      <c r="K109" s="961" t="str">
        <f>IF(J109&lt;'PlayerGrades+'!$AD$21,"F-",IF(J109&lt;'PlayerGrades+'!$AD$20,"F",IF(J109&lt;'PlayerGrades+'!$AD$19,"F+",IF(J109&lt;'PlayerGrades+'!$AD$18,"E-",IF(J109&lt;'PlayerGrades+'!$AD$17,"E",IF(J109&lt;'PlayerGrades+'!$AD$16,"E+",IF(J109&lt;'PlayerGrades+'!$AD$15,"D-",IF(J109&lt;'PlayerGrades+'!$AD$14,"D",IF(J109&lt;'PlayerGrades+'!$AD$13,"D+",IF(J109&lt;'PlayerGrades+'!$AD$12,"C-",IF(J109&lt;'PlayerGrades+'!$AD$11,"C",IF(J109&lt;'PlayerGrades+'!$AD$10,"C+",IF(J109&lt;'PlayerGrades+'!$AD$9,"B-",IF(J109&lt;'PlayerGrades+'!$AD$8,"B",IF(J109&lt;'PlayerGrades+'!$AD$7,"B+",IF(J109&lt;'PlayerGrades+'!$AD$6,"A-",IF(J109&lt;'PlayerGrades+'!$AD$5,"A",IF(J109&lt;'PlayerGrades+'!$AD$4,"A+",IF(J109&lt;'PlayerGrades+'!$AD$3,"S-",IF(J109&lt;'PlayerGrades+'!$AD$2,"S","S+"))))))))))))))))))))</f>
        <v>F-</v>
      </c>
      <c r="L109" s="992">
        <f t="shared" si="5"/>
        <v>0.5023923445</v>
      </c>
      <c r="M109" s="992" t="str">
        <f>IF(L109&lt;'PlayerGrades+'!$AE$21,"F-",IF(L109&lt;'PlayerGrades+'!$AE$20,"F",IF(L109&lt;'PlayerGrades+'!$AE$19,"F+",IF(L109&lt;'PlayerGrades+'!$AE$18,"E-",IF(L109&lt;'PlayerGrades+'!$AE$17,"E",IF(L109&lt;'PlayerGrades+'!$AE$16,"E+",IF(L109&lt;'PlayerGrades+'!$AE$15,"D-",IF(L109&lt;'PlayerGrades+'!$AE$14,"D",IF(L109&lt;'PlayerGrades+'!$AE$13,"D+",IF(L109&lt;'PlayerGrades+'!$AE$12,"C-",IF(L109&lt;'PlayerGrades+'!$AE$11,"C",IF(L109&lt;'PlayerGrades+'!$AE$10,"C+",IF(L109&lt;'PlayerGrades+'!$AE$9,"B-",IF(L109&lt;'PlayerGrades+'!$AE$8,"B",IF(L109&lt;'PlayerGrades+'!$AE$7,"B+",IF(L109&lt;'PlayerGrades+'!$AE$6,"A-",IF(L109&lt;'PlayerGrades+'!$AE$5,"A",IF(L109&lt;'PlayerGrades+'!$AE$4,"A+",IF(L109&lt;'PlayerGrades+'!$AE$3,"S-",IF(L109&lt;'PlayerGrades+'!$AE$2,"S","S+"))))))))))))))))))))</f>
        <v>B</v>
      </c>
      <c r="N109" s="961">
        <f t="shared" si="6"/>
        <v>0.07177033493</v>
      </c>
      <c r="O109" s="961" t="str">
        <f>IF(N109&lt;'PlayerGrades+'!$AF$21,"F-",IF(N109&lt;'PlayerGrades+'!$AF$20,"F",IF(N109&lt;'PlayerGrades+'!$AF$19,"F+",IF(N109&lt;'PlayerGrades+'!$AF$18,"E-",IF(N109&lt;'PlayerGrades+'!$AF$17,"E",IF(N109&lt;'PlayerGrades+'!$AF$16,"E+",IF(N109&lt;'PlayerGrades+'!$AF$15,"D-",IF(N109&lt;'PlayerGrades+'!$AF$14,"D",IF(N109&lt;'PlayerGrades+'!$AF$13,"D+",IF(N109&lt;'PlayerGrades+'!$AF$12,"C-",IF(N109&lt;'PlayerGrades+'!$AF$11,"C",IF(N109&lt;'PlayerGrades+'!$AF$10,"C+",IF(N109&lt;'PlayerGrades+'!$AF$9,"B-",IF(N109&lt;'PlayerGrades+'!$AF$8,"B",IF(N109&lt;'PlayerGrades+'!$AF$7,"B+",IF(N109&lt;'PlayerGrades+'!$AF$6,"A-",IF(N109&lt;'PlayerGrades+'!$AF$5,"A",IF(N109&lt;'PlayerGrades+'!$AF$4,"A+",IF(N109&lt;'PlayerGrades+'!$AF$3,"S-",IF(N109&lt;'PlayerGrades+'!$AF$2,"S","S+"))))))))))))))))))))</f>
        <v>E+</v>
      </c>
      <c r="P109" s="961">
        <f t="shared" si="7"/>
        <v>0.5741626794</v>
      </c>
      <c r="Q109" s="961" t="str">
        <f>IF(P109&lt;'PlayerGrades+'!$AG$21,"F-",IF(P109&lt;'PlayerGrades+'!$AG$20,"F",IF(P109&lt;'PlayerGrades+'!$AG$19,"F+",IF(P109&lt;'PlayerGrades+'!$AG$18,"E-",IF(P109&lt;'PlayerGrades+'!$AG$17,"E",IF(P109&lt;'PlayerGrades+'!$AG$16,"E+",IF(P109&lt;'PlayerGrades+'!$AG$15,"D-",IF(P109&lt;'PlayerGrades+'!$AG$14,"D",IF(P109&lt;'PlayerGrades+'!$AG$13,"D+",IF(P109&lt;'PlayerGrades+'!$AG$12,"C-",IF(P109&lt;'PlayerGrades+'!$AG$11,"C",IF(P109&lt;'PlayerGrades+'!$AG$10,"C+",IF(P109&lt;'PlayerGrades+'!$AG$9,"B-",IF(P109&lt;'PlayerGrades+'!$AG$8,"B",IF(P109&lt;'PlayerGrades+'!$AG$7,"B+",IF(P109&lt;'PlayerGrades+'!$AG$6,"A-",IF(P109&lt;'PlayerGrades+'!$AG$5,"A",IF(P109&lt;'PlayerGrades+'!$AG$4,"A+",IF(P109&lt;'PlayerGrades+'!$AG$3,"S-",IF(P109&lt;'PlayerGrades+'!$AG$2,"S","S+"))))))))))))))))))))</f>
        <v>D+</v>
      </c>
      <c r="R109" s="961">
        <f t="shared" si="8"/>
        <v>0</v>
      </c>
      <c r="S109" s="961" t="str">
        <f>IF(R109&lt;'PlayerGrades+'!$AH$21,"F-",IF(R109&lt;'PlayerGrades+'!$AH$20,"F",IF(R109&lt;'PlayerGrades+'!$AH$19,"F+",IF(R109&lt;'PlayerGrades+'!$AH$18,"E-",IF(R109&lt;'PlayerGrades+'!$AH$17,"E",IF(R109&lt;'PlayerGrades+'!$AH$16,"E+",IF(R109&lt;'PlayerGrades+'!$AH$15,"D-",IF(R109&lt;'PlayerGrades+'!$AH$14,"D",IF(R109&lt;'PlayerGrades+'!$AH$13,"D+",IF(R109&lt;'PlayerGrades+'!$AH$12,"C-",IF(R109&lt;'PlayerGrades+'!$AH$11,"C",IF(R109&lt;'PlayerGrades+'!$AH$10,"C+",IF(R109&lt;'PlayerGrades+'!$AH$9,"B-",IF(R109&lt;'PlayerGrades+'!$AH$8,"B",IF(R109&lt;'PlayerGrades+'!$AH$7,"B+",IF(R109&lt;'PlayerGrades+'!$AH$6,"A-",IF(R109&lt;'PlayerGrades+'!$AH$5,"A",IF(R109&lt;'PlayerGrades+'!$AH$4,"A+",IF(R109&lt;'PlayerGrades+'!$AH$3,"S-",IF(R109&lt;'PlayerGrades+'!$AH$2,"S","S+"))))))))))))))))))))</f>
        <v>F-</v>
      </c>
      <c r="T109" s="961">
        <f t="shared" si="9"/>
        <v>2.153110048</v>
      </c>
      <c r="U109" s="961" t="str">
        <f>IF(T109&lt;'PlayerGrades+'!$AI$21,"F-",IF(T109&lt;'PlayerGrades+'!$AI$20,"F",IF(T109&lt;'PlayerGrades+'!$AI$19,"F+",IF(T109&lt;'PlayerGrades+'!$AI$18,"E-",IF(T109&lt;'PlayerGrades+'!$AI$17,"E",IF(T109&lt;'PlayerGrades+'!$AI$16,"E+",IF(T109&lt;'PlayerGrades+'!$AI$15,"D-",IF(T109&lt;'PlayerGrades+'!$AI$14,"D",IF(T109&lt;'PlayerGrades+'!$AI$13,"D+",IF(T109&lt;'PlayerGrades+'!$AI$12,"C-",IF(T109&lt;'PlayerGrades+'!$AI$11,"C",IF(T109&lt;'PlayerGrades+'!$AI$10,"C+",IF(T109&lt;'PlayerGrades+'!$AI$9,"B-",IF(T109&lt;'PlayerGrades+'!$AI$8,"B",IF(T109&lt;'PlayerGrades+'!$AI$7,"B+",IF(T109&lt;'PlayerGrades+'!$AI$6,"A-",IF(T109&lt;'PlayerGrades+'!$AI$5,"A",IF(T109&lt;'PlayerGrades+'!$AI$4,"A+",IF(T109&lt;'PlayerGrades+'!$AI$3,"S-",IF(T109&lt;'PlayerGrades+'!$AI$2,"S","S+"))))))))))))))))))))</f>
        <v>F-</v>
      </c>
      <c r="V109" s="1100">
        <v>1.0</v>
      </c>
      <c r="W109" s="1100">
        <v>0.0</v>
      </c>
      <c r="X109" s="1100">
        <v>1.0</v>
      </c>
      <c r="Y109" s="1100">
        <v>4.0</v>
      </c>
      <c r="Z109" s="1100">
        <v>30.0</v>
      </c>
      <c r="AA109" s="1100">
        <v>32.0</v>
      </c>
      <c r="AB109" s="1017">
        <f t="shared" si="10"/>
        <v>-2</v>
      </c>
      <c r="AC109" s="1020">
        <f t="shared" si="11"/>
        <v>0.9375</v>
      </c>
      <c r="AD109" s="1100">
        <v>0.0</v>
      </c>
      <c r="AE109" s="1329">
        <v>836.0</v>
      </c>
      <c r="AF109" s="1100">
        <v>0.0</v>
      </c>
      <c r="AG109" s="1100">
        <v>0.0</v>
      </c>
      <c r="AH109" s="1100">
        <v>0.0</v>
      </c>
      <c r="AI109" s="1100">
        <v>0.0</v>
      </c>
      <c r="AJ109" s="1100">
        <v>0.0</v>
      </c>
      <c r="AK109" s="1100">
        <v>7.0</v>
      </c>
      <c r="AL109" s="1100">
        <v>1.0</v>
      </c>
      <c r="AM109" s="1100">
        <v>0.0</v>
      </c>
      <c r="AN109" s="1100">
        <v>0.0</v>
      </c>
      <c r="AO109" s="1100">
        <v>0.0</v>
      </c>
      <c r="AP109" s="1100">
        <v>0.0</v>
      </c>
      <c r="AQ109" s="1100">
        <v>0.0</v>
      </c>
      <c r="AR109" s="1100">
        <v>0.0</v>
      </c>
      <c r="AS109" s="1100">
        <v>0.0</v>
      </c>
      <c r="AT109" s="1100">
        <v>0.0</v>
      </c>
      <c r="AU109" s="1100">
        <v>5.0</v>
      </c>
      <c r="AV109" s="1100">
        <v>0.0</v>
      </c>
      <c r="AW109" s="1100">
        <v>0.0</v>
      </c>
      <c r="AX109" s="1100">
        <v>0.0</v>
      </c>
      <c r="AY109" s="1100">
        <v>0.0</v>
      </c>
      <c r="AZ109" s="1239">
        <v>0.0</v>
      </c>
    </row>
    <row r="110">
      <c r="A110" s="1277" t="s">
        <v>62</v>
      </c>
      <c r="B110" s="1100" t="str">
        <f>IF(C110&lt;'PlayerGrades+'!$Y$44,"F-",IF(C110&lt;'PlayerGrades+'!$Y$43,"F",IF(C110&lt;'PlayerGrades+'!$Y$42,"F+",IF(C110&lt;'PlayerGrades+'!$Y$41,"E-",IF(C110&lt;'PlayerGrades+'!$Y$40,"E",IF(C110&lt;'PlayerGrades+'!$Y$39,"E+",IF(C110&lt;'PlayerGrades+'!$Y$38,"D-",IF(C110&lt;'PlayerGrades+'!$Y$37,"D",IF(C110&lt;'PlayerGrades+'!$Y$36,"D+",IF(C110&lt;'PlayerGrades+'!$Y$35,"C-",IF(C110&lt;'PlayerGrades+'!$Y$34,"C",IF(C110&lt;'PlayerGrades+'!$Y$33,"C+",IF(C110&lt;'PlayerGrades+'!$Y$32,"B-",IF(C110&lt;'PlayerGrades+'!$Y$31,"B",IF(C110&lt;'PlayerGrades+'!$Y$30,"B+",IF(C110&lt;'PlayerGrades+'!$Y$29,"A-",IF(C110&lt;'PlayerGrades+'!$Y$28,"A",IF(C110&lt;'PlayerGrades+'!$Y$27,"A+",IF(C110&lt;'PlayerGrades+'!$Y$26,"S-",IF(C110&lt;'PlayerGrades+'!$Y$25,"S","S+"))))))))))))))))))))</f>
        <v>D+</v>
      </c>
      <c r="C110" s="1105">
        <f>('PlayerGrades+'!$Y$47*(VLOOKUP(E110, 'PlayerGrades+'!$X$3:$Y$23, 2, FALSE)))+('PlayerGrades+'!$Y$48*(VLOOKUP(G110, 'PlayerGrades+'!$X$3:$Y$23, 2, FALSE)))+('PlayerGrades+'!$Y$49*(VLOOKUP(I110, 'PlayerGrades+'!$X$3:$Y$23, 2, FALSE)))+('PlayerGrades+'!$Y$50*(VLOOKUP(K110, 'PlayerGrades+'!$X$3:$Y$23, 2, FALSE)))+('PlayerGrades+'!$Y$51*(VLOOKUP(M110, 'PlayerGrades+'!$X$3:$Y$23, 2, FALSE)))+('PlayerGrades+'!$Y$52*(VLOOKUP(O110, 'PlayerGrades+'!$X$3:$Y$23, 2, FALSE)))+('PlayerGrades+'!$Y$53*(VLOOKUP(Q110, 'PlayerGrades+'!$X$3:$Y$23, 2, FALSE)))+('PlayerGrades+'!$Y$54*(VLOOKUP(S110, 'PlayerGrades+'!$X$3:$Y$23, 2, FALSE)))+('PlayerGrades+'!$Y$55*(VLOOKUP(U110, 'PlayerGrades+'!$X$3:$Y$23, 2, FALSE)))</f>
        <v>14.1625</v>
      </c>
      <c r="D110" s="961">
        <f t="shared" si="1"/>
        <v>0</v>
      </c>
      <c r="E110" s="961" t="str">
        <f>IF(D110&lt;'PlayerGrades+'!$AA$21,"F-",IF(D110&lt;'PlayerGrades+'!$AA$20,"F",IF(D110&lt;'PlayerGrades+'!$AA$19,"F+",IF(D110&lt;'PlayerGrades+'!$AA$18,"E-",IF(D110&lt;'PlayerGrades+'!$AA$17,"E",IF(D110&lt;'PlayerGrades+'!$AA$16,"E+",IF(D110&lt;'PlayerGrades+'!$AA$15,"D-",IF(D110&lt;'PlayerGrades+'!$AA$14,"D",IF(D110&lt;'PlayerGrades+'!$AA$13,"D+",IF(D110&lt;'PlayerGrades+'!$AA$12,"C-",IF(D110&lt;'PlayerGrades+'!$AA$11,"C",IF(D110&lt;'PlayerGrades+'!$AA$10,"C+",IF(D110&lt;'PlayerGrades+'!$AA$9,"B-",IF(D110&lt;'PlayerGrades+'!$AA$8,"B",IF(D110&lt;'PlayerGrades+'!$AA$7,"B+",IF(D110&lt;'PlayerGrades+'!$AA$6,"A-",IF(D110&lt;'PlayerGrades+'!$AA$5,"A",IF(D110&lt;'PlayerGrades+'!$AA$4,"A+",IF(D110&lt;'PlayerGrades+'!$AA$3,"S-",IF(D110&lt;'PlayerGrades+'!$AA$2,"S","S+"))))))))))))))))))))</f>
        <v>F-</v>
      </c>
      <c r="F110" s="961">
        <f t="shared" si="2"/>
        <v>0.08846111049</v>
      </c>
      <c r="G110" s="961" t="str">
        <f>IF(F110&lt;'PlayerGrades+'!$AB$21,"F-",IF(F110&lt;'PlayerGrades+'!$AB$20,"F",IF(F110&lt;'PlayerGrades+'!$AB$19,"F+",IF(F110&lt;'PlayerGrades+'!$AB$18,"E-",IF(F110&lt;'PlayerGrades+'!$AB$17,"E",IF(F110&lt;'PlayerGrades+'!$AB$16,"E+",IF(F110&lt;'PlayerGrades+'!$AB$15,"D-",IF(F110&lt;'PlayerGrades+'!$AB$14,"D",IF(F110&lt;'PlayerGrades+'!$AB$13,"D+",IF(F110&lt;'PlayerGrades+'!$AB$12,"C-",IF(F110&lt;'PlayerGrades+'!$AB$11,"C",IF(F110&lt;'PlayerGrades+'!$AB$10,"C+",IF(F110&lt;'PlayerGrades+'!$AB$9,"B-",IF(F110&lt;'PlayerGrades+'!$AB$8,"B",IF(F110&lt;'PlayerGrades+'!$AB$7,"B+",IF(F110&lt;'PlayerGrades+'!$AB$6,"A-",IF(F110&lt;'PlayerGrades+'!$AB$5,"A",IF(F110&lt;'PlayerGrades+'!$AB$4,"A+",IF(F110&lt;'PlayerGrades+'!$AB$3,"S-",IF(F110&lt;'PlayerGrades+'!$AB$2,"S","S+"))))))))))))))))))))</f>
        <v>A</v>
      </c>
      <c r="H110" s="961">
        <f t="shared" si="3"/>
        <v>0.2153110048</v>
      </c>
      <c r="I110" s="961" t="str">
        <f>IF(H110&lt;'PlayerGrades+'!$AC$21,"F-",IF(H110&lt;'PlayerGrades+'!$AC$20,"F",IF(H110&lt;'PlayerGrades+'!$AC$19,"F+",IF(H110&lt;'PlayerGrades+'!$AC$18,"E-",IF(H110&lt;'PlayerGrades+'!$AC$17,"E",IF(H110&lt;'PlayerGrades+'!$AC$16,"E+",IF(H110&lt;'PlayerGrades+'!$AC$15,"D-",IF(H110&lt;'PlayerGrades+'!$AC$14,"D",IF(H110&lt;'PlayerGrades+'!$AC$13,"D+",IF(H110&lt;'PlayerGrades+'!$AC$12,"C-",IF(H110&lt;'PlayerGrades+'!$AC$11,"C",IF(H110&lt;'PlayerGrades+'!$AC$10,"C+",IF(H110&lt;'PlayerGrades+'!$AC$9,"B-",IF(H110&lt;'PlayerGrades+'!$AC$8,"B",IF(H110&lt;'PlayerGrades+'!$AC$7,"B+",IF(H110&lt;'PlayerGrades+'!$AC$6,"A-",IF(H110&lt;'PlayerGrades+'!$AC$5,"A",IF(H110&lt;'PlayerGrades+'!$AC$4,"A+",IF(H110&lt;'PlayerGrades+'!$AC$3,"S-",IF(H110&lt;'PlayerGrades+'!$AC$2,"S","S+"))))))))))))))))))))</f>
        <v>F</v>
      </c>
      <c r="J110" s="961">
        <f t="shared" si="4"/>
        <v>0</v>
      </c>
      <c r="K110" s="961" t="str">
        <f>IF(J110&lt;'PlayerGrades+'!$AD$21,"F-",IF(J110&lt;'PlayerGrades+'!$AD$20,"F",IF(J110&lt;'PlayerGrades+'!$AD$19,"F+",IF(J110&lt;'PlayerGrades+'!$AD$18,"E-",IF(J110&lt;'PlayerGrades+'!$AD$17,"E",IF(J110&lt;'PlayerGrades+'!$AD$16,"E+",IF(J110&lt;'PlayerGrades+'!$AD$15,"D-",IF(J110&lt;'PlayerGrades+'!$AD$14,"D",IF(J110&lt;'PlayerGrades+'!$AD$13,"D+",IF(J110&lt;'PlayerGrades+'!$AD$12,"C-",IF(J110&lt;'PlayerGrades+'!$AD$11,"C",IF(J110&lt;'PlayerGrades+'!$AD$10,"C+",IF(J110&lt;'PlayerGrades+'!$AD$9,"B-",IF(J110&lt;'PlayerGrades+'!$AD$8,"B",IF(J110&lt;'PlayerGrades+'!$AD$7,"B+",IF(J110&lt;'PlayerGrades+'!$AD$6,"A-",IF(J110&lt;'PlayerGrades+'!$AD$5,"A",IF(J110&lt;'PlayerGrades+'!$AD$4,"A+",IF(J110&lt;'PlayerGrades+'!$AD$3,"S-",IF(J110&lt;'PlayerGrades+'!$AD$2,"S","S+"))))))))))))))))))))</f>
        <v>F-</v>
      </c>
      <c r="L110" s="992">
        <f t="shared" si="5"/>
        <v>0.5741626794</v>
      </c>
      <c r="M110" s="992" t="str">
        <f>IF(L110&lt;'PlayerGrades+'!$AE$21,"F-",IF(L110&lt;'PlayerGrades+'!$AE$20,"F",IF(L110&lt;'PlayerGrades+'!$AE$19,"F+",IF(L110&lt;'PlayerGrades+'!$AE$18,"E-",IF(L110&lt;'PlayerGrades+'!$AE$17,"E",IF(L110&lt;'PlayerGrades+'!$AE$16,"E+",IF(L110&lt;'PlayerGrades+'!$AE$15,"D-",IF(L110&lt;'PlayerGrades+'!$AE$14,"D",IF(L110&lt;'PlayerGrades+'!$AE$13,"D+",IF(L110&lt;'PlayerGrades+'!$AE$12,"C-",IF(L110&lt;'PlayerGrades+'!$AE$11,"C",IF(L110&lt;'PlayerGrades+'!$AE$10,"C+",IF(L110&lt;'PlayerGrades+'!$AE$9,"B-",IF(L110&lt;'PlayerGrades+'!$AE$8,"B",IF(L110&lt;'PlayerGrades+'!$AE$7,"B+",IF(L110&lt;'PlayerGrades+'!$AE$6,"A-",IF(L110&lt;'PlayerGrades+'!$AE$5,"A",IF(L110&lt;'PlayerGrades+'!$AE$4,"A+",IF(L110&lt;'PlayerGrades+'!$AE$3,"S-",IF(L110&lt;'PlayerGrades+'!$AE$2,"S","S+"))))))))))))))))))))</f>
        <v>A</v>
      </c>
      <c r="N110" s="961">
        <f t="shared" si="6"/>
        <v>0.07177033493</v>
      </c>
      <c r="O110" s="961" t="str">
        <f>IF(N110&lt;'PlayerGrades+'!$AF$21,"F-",IF(N110&lt;'PlayerGrades+'!$AF$20,"F",IF(N110&lt;'PlayerGrades+'!$AF$19,"F+",IF(N110&lt;'PlayerGrades+'!$AF$18,"E-",IF(N110&lt;'PlayerGrades+'!$AF$17,"E",IF(N110&lt;'PlayerGrades+'!$AF$16,"E+",IF(N110&lt;'PlayerGrades+'!$AF$15,"D-",IF(N110&lt;'PlayerGrades+'!$AF$14,"D",IF(N110&lt;'PlayerGrades+'!$AF$13,"D+",IF(N110&lt;'PlayerGrades+'!$AF$12,"C-",IF(N110&lt;'PlayerGrades+'!$AF$11,"C",IF(N110&lt;'PlayerGrades+'!$AF$10,"C+",IF(N110&lt;'PlayerGrades+'!$AF$9,"B-",IF(N110&lt;'PlayerGrades+'!$AF$8,"B",IF(N110&lt;'PlayerGrades+'!$AF$7,"B+",IF(N110&lt;'PlayerGrades+'!$AF$6,"A-",IF(N110&lt;'PlayerGrades+'!$AF$5,"A",IF(N110&lt;'PlayerGrades+'!$AF$4,"A+",IF(N110&lt;'PlayerGrades+'!$AF$3,"S-",IF(N110&lt;'PlayerGrades+'!$AF$2,"S","S+"))))))))))))))))))))</f>
        <v>E+</v>
      </c>
      <c r="P110" s="961">
        <f t="shared" si="7"/>
        <v>0.7177033493</v>
      </c>
      <c r="Q110" s="961" t="str">
        <f>IF(P110&lt;'PlayerGrades+'!$AG$21,"F-",IF(P110&lt;'PlayerGrades+'!$AG$20,"F",IF(P110&lt;'PlayerGrades+'!$AG$19,"F+",IF(P110&lt;'PlayerGrades+'!$AG$18,"E-",IF(P110&lt;'PlayerGrades+'!$AG$17,"E",IF(P110&lt;'PlayerGrades+'!$AG$16,"E+",IF(P110&lt;'PlayerGrades+'!$AG$15,"D-",IF(P110&lt;'PlayerGrades+'!$AG$14,"D",IF(P110&lt;'PlayerGrades+'!$AG$13,"D+",IF(P110&lt;'PlayerGrades+'!$AG$12,"C-",IF(P110&lt;'PlayerGrades+'!$AG$11,"C",IF(P110&lt;'PlayerGrades+'!$AG$10,"C+",IF(P110&lt;'PlayerGrades+'!$AG$9,"B-",IF(P110&lt;'PlayerGrades+'!$AG$8,"B",IF(P110&lt;'PlayerGrades+'!$AG$7,"B+",IF(P110&lt;'PlayerGrades+'!$AG$6,"A-",IF(P110&lt;'PlayerGrades+'!$AG$5,"A",IF(P110&lt;'PlayerGrades+'!$AG$4,"A+",IF(P110&lt;'PlayerGrades+'!$AG$3,"S-",IF(P110&lt;'PlayerGrades+'!$AG$2,"S","S+"))))))))))))))))))))</f>
        <v>B</v>
      </c>
      <c r="R110" s="961">
        <f t="shared" si="8"/>
        <v>0.07177033493</v>
      </c>
      <c r="S110" s="961" t="str">
        <f>IF(R110&lt;'PlayerGrades+'!$AH$21,"F-",IF(R110&lt;'PlayerGrades+'!$AH$20,"F",IF(R110&lt;'PlayerGrades+'!$AH$19,"F+",IF(R110&lt;'PlayerGrades+'!$AH$18,"E-",IF(R110&lt;'PlayerGrades+'!$AH$17,"E",IF(R110&lt;'PlayerGrades+'!$AH$16,"E+",IF(R110&lt;'PlayerGrades+'!$AH$15,"D-",IF(R110&lt;'PlayerGrades+'!$AH$14,"D",IF(R110&lt;'PlayerGrades+'!$AH$13,"D+",IF(R110&lt;'PlayerGrades+'!$AH$12,"C-",IF(R110&lt;'PlayerGrades+'!$AH$11,"C",IF(R110&lt;'PlayerGrades+'!$AH$10,"C+",IF(R110&lt;'PlayerGrades+'!$AH$9,"B-",IF(R110&lt;'PlayerGrades+'!$AH$8,"B",IF(R110&lt;'PlayerGrades+'!$AH$7,"B+",IF(R110&lt;'PlayerGrades+'!$AH$6,"A-",IF(R110&lt;'PlayerGrades+'!$AH$5,"A",IF(R110&lt;'PlayerGrades+'!$AH$4,"A+",IF(R110&lt;'PlayerGrades+'!$AH$3,"S-",IF(R110&lt;'PlayerGrades+'!$AH$2,"S","S+"))))))))))))))))))))</f>
        <v>B</v>
      </c>
      <c r="T110" s="961">
        <f t="shared" si="9"/>
        <v>3.803827751</v>
      </c>
      <c r="U110" s="961" t="str">
        <f>IF(T110&lt;'PlayerGrades+'!$AI$21,"F-",IF(T110&lt;'PlayerGrades+'!$AI$20,"F",IF(T110&lt;'PlayerGrades+'!$AI$19,"F+",IF(T110&lt;'PlayerGrades+'!$AI$18,"E-",IF(T110&lt;'PlayerGrades+'!$AI$17,"E",IF(T110&lt;'PlayerGrades+'!$AI$16,"E+",IF(T110&lt;'PlayerGrades+'!$AI$15,"D-",IF(T110&lt;'PlayerGrades+'!$AI$14,"D",IF(T110&lt;'PlayerGrades+'!$AI$13,"D+",IF(T110&lt;'PlayerGrades+'!$AI$12,"C-",IF(T110&lt;'PlayerGrades+'!$AI$11,"C",IF(T110&lt;'PlayerGrades+'!$AI$10,"C+",IF(T110&lt;'PlayerGrades+'!$AI$9,"B-",IF(T110&lt;'PlayerGrades+'!$AI$8,"B",IF(T110&lt;'PlayerGrades+'!$AI$7,"B+",IF(T110&lt;'PlayerGrades+'!$AI$6,"A-",IF(T110&lt;'PlayerGrades+'!$AI$5,"A",IF(T110&lt;'PlayerGrades+'!$AI$4,"A+",IF(T110&lt;'PlayerGrades+'!$AI$3,"S-",IF(T110&lt;'PlayerGrades+'!$AI$2,"S","S+"))))))))))))))))))))</f>
        <v>S-</v>
      </c>
      <c r="V110" s="1100">
        <v>0.0</v>
      </c>
      <c r="W110" s="1100">
        <v>1.0</v>
      </c>
      <c r="X110" s="1100">
        <v>0.0</v>
      </c>
      <c r="Y110" s="1100">
        <v>2.0</v>
      </c>
      <c r="Z110" s="1100">
        <v>53.0</v>
      </c>
      <c r="AA110" s="1100">
        <v>43.0</v>
      </c>
      <c r="AB110" s="1017">
        <f t="shared" si="10"/>
        <v>10</v>
      </c>
      <c r="AC110" s="1020">
        <f t="shared" si="11"/>
        <v>1.23255814</v>
      </c>
      <c r="AD110" s="1100">
        <v>0.0</v>
      </c>
      <c r="AE110" s="1329">
        <v>836.0</v>
      </c>
      <c r="AF110" s="1100">
        <v>0.0</v>
      </c>
      <c r="AG110" s="1100">
        <v>0.0</v>
      </c>
      <c r="AH110" s="1100">
        <v>0.0</v>
      </c>
      <c r="AI110" s="1100">
        <v>0.0</v>
      </c>
      <c r="AJ110" s="1100">
        <v>1.0</v>
      </c>
      <c r="AK110" s="1100">
        <v>8.0</v>
      </c>
      <c r="AL110" s="1100">
        <v>1.0</v>
      </c>
      <c r="AM110" s="1100">
        <v>0.0</v>
      </c>
      <c r="AN110" s="1100">
        <v>0.0</v>
      </c>
      <c r="AO110" s="1100">
        <v>0.0</v>
      </c>
      <c r="AP110" s="1100">
        <v>0.0</v>
      </c>
      <c r="AQ110" s="1100">
        <v>0.0</v>
      </c>
      <c r="AR110" s="1100">
        <v>0.0</v>
      </c>
      <c r="AS110" s="1100">
        <v>0.0</v>
      </c>
      <c r="AT110" s="1100">
        <v>0.0</v>
      </c>
      <c r="AU110" s="1100">
        <v>3.0</v>
      </c>
      <c r="AV110" s="1100">
        <v>0.0</v>
      </c>
      <c r="AW110" s="1100">
        <v>0.0</v>
      </c>
      <c r="AX110" s="1100">
        <v>0.0</v>
      </c>
      <c r="AY110" s="1100">
        <v>1.0</v>
      </c>
      <c r="AZ110" s="1239">
        <v>0.0</v>
      </c>
    </row>
    <row r="111">
      <c r="A111" s="1277" t="s">
        <v>380</v>
      </c>
      <c r="B111" s="1100" t="str">
        <f>IF(C111&lt;'PlayerGrades+'!$Y$44,"F-",IF(C111&lt;'PlayerGrades+'!$Y$43,"F",IF(C111&lt;'PlayerGrades+'!$Y$42,"F+",IF(C111&lt;'PlayerGrades+'!$Y$41,"E-",IF(C111&lt;'PlayerGrades+'!$Y$40,"E",IF(C111&lt;'PlayerGrades+'!$Y$39,"E+",IF(C111&lt;'PlayerGrades+'!$Y$38,"D-",IF(C111&lt;'PlayerGrades+'!$Y$37,"D",IF(C111&lt;'PlayerGrades+'!$Y$36,"D+",IF(C111&lt;'PlayerGrades+'!$Y$35,"C-",IF(C111&lt;'PlayerGrades+'!$Y$34,"C",IF(C111&lt;'PlayerGrades+'!$Y$33,"C+",IF(C111&lt;'PlayerGrades+'!$Y$32,"B-",IF(C111&lt;'PlayerGrades+'!$Y$31,"B",IF(C111&lt;'PlayerGrades+'!$Y$30,"B+",IF(C111&lt;'PlayerGrades+'!$Y$29,"A-",IF(C111&lt;'PlayerGrades+'!$Y$28,"A",IF(C111&lt;'PlayerGrades+'!$Y$27,"A+",IF(C111&lt;'PlayerGrades+'!$Y$26,"S-",IF(C111&lt;'PlayerGrades+'!$Y$25,"S","S+"))))))))))))))))))))</f>
        <v>B</v>
      </c>
      <c r="C111" s="1105">
        <f>('PlayerGrades+'!$Y$47*(VLOOKUP(E111, 'PlayerGrades+'!$X$3:$Y$23, 2, FALSE)))+('PlayerGrades+'!$Y$48*(VLOOKUP(G111, 'PlayerGrades+'!$X$3:$Y$23, 2, FALSE)))+('PlayerGrades+'!$Y$49*(VLOOKUP(I111, 'PlayerGrades+'!$X$3:$Y$23, 2, FALSE)))+('PlayerGrades+'!$Y$50*(VLOOKUP(K111, 'PlayerGrades+'!$X$3:$Y$23, 2, FALSE)))+('PlayerGrades+'!$Y$51*(VLOOKUP(M111, 'PlayerGrades+'!$X$3:$Y$23, 2, FALSE)))+('PlayerGrades+'!$Y$52*(VLOOKUP(O111, 'PlayerGrades+'!$X$3:$Y$23, 2, FALSE)))+('PlayerGrades+'!$Y$53*(VLOOKUP(Q111, 'PlayerGrades+'!$X$3:$Y$23, 2, FALSE)))+('PlayerGrades+'!$Y$54*(VLOOKUP(S111, 'PlayerGrades+'!$X$3:$Y$23, 2, FALSE)))+('PlayerGrades+'!$Y$55*(VLOOKUP(U111, 'PlayerGrades+'!$X$3:$Y$23, 2, FALSE)))</f>
        <v>19.2</v>
      </c>
      <c r="D111" s="961">
        <f t="shared" si="1"/>
        <v>0.07177033493</v>
      </c>
      <c r="E111" s="961" t="str">
        <f>IF(D111&lt;'PlayerGrades+'!$AA$21,"F-",IF(D111&lt;'PlayerGrades+'!$AA$20,"F",IF(D111&lt;'PlayerGrades+'!$AA$19,"F+",IF(D111&lt;'PlayerGrades+'!$AA$18,"E-",IF(D111&lt;'PlayerGrades+'!$AA$17,"E",IF(D111&lt;'PlayerGrades+'!$AA$16,"E+",IF(D111&lt;'PlayerGrades+'!$AA$15,"D-",IF(D111&lt;'PlayerGrades+'!$AA$14,"D",IF(D111&lt;'PlayerGrades+'!$AA$13,"D+",IF(D111&lt;'PlayerGrades+'!$AA$12,"C-",IF(D111&lt;'PlayerGrades+'!$AA$11,"C",IF(D111&lt;'PlayerGrades+'!$AA$10,"C+",IF(D111&lt;'PlayerGrades+'!$AA$9,"B-",IF(D111&lt;'PlayerGrades+'!$AA$8,"B",IF(D111&lt;'PlayerGrades+'!$AA$7,"B+",IF(D111&lt;'PlayerGrades+'!$AA$6,"A-",IF(D111&lt;'PlayerGrades+'!$AA$5,"A",IF(D111&lt;'PlayerGrades+'!$AA$4,"A+",IF(D111&lt;'PlayerGrades+'!$AA$3,"S-",IF(D111&lt;'PlayerGrades+'!$AA$2,"S","S+"))))))))))))))))))))</f>
        <v>A-</v>
      </c>
      <c r="F111" s="961">
        <f t="shared" si="2"/>
        <v>0.06008679203</v>
      </c>
      <c r="G111" s="961" t="str">
        <f>IF(F111&lt;'PlayerGrades+'!$AB$21,"F-",IF(F111&lt;'PlayerGrades+'!$AB$20,"F",IF(F111&lt;'PlayerGrades+'!$AB$19,"F+",IF(F111&lt;'PlayerGrades+'!$AB$18,"E-",IF(F111&lt;'PlayerGrades+'!$AB$17,"E",IF(F111&lt;'PlayerGrades+'!$AB$16,"E+",IF(F111&lt;'PlayerGrades+'!$AB$15,"D-",IF(F111&lt;'PlayerGrades+'!$AB$14,"D",IF(F111&lt;'PlayerGrades+'!$AB$13,"D+",IF(F111&lt;'PlayerGrades+'!$AB$12,"C-",IF(F111&lt;'PlayerGrades+'!$AB$11,"C",IF(F111&lt;'PlayerGrades+'!$AB$10,"C+",IF(F111&lt;'PlayerGrades+'!$AB$9,"B-",IF(F111&lt;'PlayerGrades+'!$AB$8,"B",IF(F111&lt;'PlayerGrades+'!$AB$7,"B+",IF(F111&lt;'PlayerGrades+'!$AB$6,"A-",IF(F111&lt;'PlayerGrades+'!$AB$5,"A",IF(F111&lt;'PlayerGrades+'!$AB$4,"A+",IF(F111&lt;'PlayerGrades+'!$AB$3,"S-",IF(F111&lt;'PlayerGrades+'!$AB$2,"S","S+"))))))))))))))))))))</f>
        <v>A</v>
      </c>
      <c r="H111" s="961">
        <f t="shared" si="3"/>
        <v>0.5741626794</v>
      </c>
      <c r="I111" s="961" t="str">
        <f>IF(H111&lt;'PlayerGrades+'!$AC$21,"F-",IF(H111&lt;'PlayerGrades+'!$AC$20,"F",IF(H111&lt;'PlayerGrades+'!$AC$19,"F+",IF(H111&lt;'PlayerGrades+'!$AC$18,"E-",IF(H111&lt;'PlayerGrades+'!$AC$17,"E",IF(H111&lt;'PlayerGrades+'!$AC$16,"E+",IF(H111&lt;'PlayerGrades+'!$AC$15,"D-",IF(H111&lt;'PlayerGrades+'!$AC$14,"D",IF(H111&lt;'PlayerGrades+'!$AC$13,"D+",IF(H111&lt;'PlayerGrades+'!$AC$12,"C-",IF(H111&lt;'PlayerGrades+'!$AC$11,"C",IF(H111&lt;'PlayerGrades+'!$AC$10,"C+",IF(H111&lt;'PlayerGrades+'!$AC$9,"B-",IF(H111&lt;'PlayerGrades+'!$AC$8,"B",IF(H111&lt;'PlayerGrades+'!$AC$7,"B+",IF(H111&lt;'PlayerGrades+'!$AC$6,"A-",IF(H111&lt;'PlayerGrades+'!$AC$5,"A",IF(H111&lt;'PlayerGrades+'!$AC$4,"A+",IF(H111&lt;'PlayerGrades+'!$AC$3,"S-",IF(H111&lt;'PlayerGrades+'!$AC$2,"S","S+"))))))))))))))))))))</f>
        <v>A-</v>
      </c>
      <c r="J111" s="961">
        <f t="shared" si="4"/>
        <v>0.07177033493</v>
      </c>
      <c r="K111" s="961" t="str">
        <f>IF(J111&lt;'PlayerGrades+'!$AD$21,"F-",IF(J111&lt;'PlayerGrades+'!$AD$20,"F",IF(J111&lt;'PlayerGrades+'!$AD$19,"F+",IF(J111&lt;'PlayerGrades+'!$AD$18,"E-",IF(J111&lt;'PlayerGrades+'!$AD$17,"E",IF(J111&lt;'PlayerGrades+'!$AD$16,"E+",IF(J111&lt;'PlayerGrades+'!$AD$15,"D-",IF(J111&lt;'PlayerGrades+'!$AD$14,"D",IF(J111&lt;'PlayerGrades+'!$AD$13,"D+",IF(J111&lt;'PlayerGrades+'!$AD$12,"C-",IF(J111&lt;'PlayerGrades+'!$AD$11,"C",IF(J111&lt;'PlayerGrades+'!$AD$10,"C+",IF(J111&lt;'PlayerGrades+'!$AD$9,"B-",IF(J111&lt;'PlayerGrades+'!$AD$8,"B",IF(J111&lt;'PlayerGrades+'!$AD$7,"B+",IF(J111&lt;'PlayerGrades+'!$AD$6,"A-",IF(J111&lt;'PlayerGrades+'!$AD$5,"A",IF(J111&lt;'PlayerGrades+'!$AD$4,"A+",IF(J111&lt;'PlayerGrades+'!$AD$3,"S-",IF(J111&lt;'PlayerGrades+'!$AD$2,"S","S+"))))))))))))))))))))</f>
        <v>A-</v>
      </c>
      <c r="L111" s="992">
        <f t="shared" si="5"/>
        <v>0.3588516746</v>
      </c>
      <c r="M111" s="992" t="str">
        <f>IF(L111&lt;'PlayerGrades+'!$AE$21,"F-",IF(L111&lt;'PlayerGrades+'!$AE$20,"F",IF(L111&lt;'PlayerGrades+'!$AE$19,"F+",IF(L111&lt;'PlayerGrades+'!$AE$18,"E-",IF(L111&lt;'PlayerGrades+'!$AE$17,"E",IF(L111&lt;'PlayerGrades+'!$AE$16,"E+",IF(L111&lt;'PlayerGrades+'!$AE$15,"D-",IF(L111&lt;'PlayerGrades+'!$AE$14,"D",IF(L111&lt;'PlayerGrades+'!$AE$13,"D+",IF(L111&lt;'PlayerGrades+'!$AE$12,"C-",IF(L111&lt;'PlayerGrades+'!$AE$11,"C",IF(L111&lt;'PlayerGrades+'!$AE$10,"C+",IF(L111&lt;'PlayerGrades+'!$AE$9,"B-",IF(L111&lt;'PlayerGrades+'!$AE$8,"B",IF(L111&lt;'PlayerGrades+'!$AE$7,"B+",IF(L111&lt;'PlayerGrades+'!$AE$6,"A-",IF(L111&lt;'PlayerGrades+'!$AE$5,"A",IF(L111&lt;'PlayerGrades+'!$AE$4,"A+",IF(L111&lt;'PlayerGrades+'!$AE$3,"S-",IF(L111&lt;'PlayerGrades+'!$AE$2,"S","S+"))))))))))))))))))))</f>
        <v>E+</v>
      </c>
      <c r="N111" s="961">
        <f t="shared" si="6"/>
        <v>0.1435406699</v>
      </c>
      <c r="O111" s="961" t="str">
        <f>IF(N111&lt;'PlayerGrades+'!$AF$21,"F-",IF(N111&lt;'PlayerGrades+'!$AF$20,"F",IF(N111&lt;'PlayerGrades+'!$AF$19,"F+",IF(N111&lt;'PlayerGrades+'!$AF$18,"E-",IF(N111&lt;'PlayerGrades+'!$AF$17,"E",IF(N111&lt;'PlayerGrades+'!$AF$16,"E+",IF(N111&lt;'PlayerGrades+'!$AF$15,"D-",IF(N111&lt;'PlayerGrades+'!$AF$14,"D",IF(N111&lt;'PlayerGrades+'!$AF$13,"D+",IF(N111&lt;'PlayerGrades+'!$AF$12,"C-",IF(N111&lt;'PlayerGrades+'!$AF$11,"C",IF(N111&lt;'PlayerGrades+'!$AF$10,"C+",IF(N111&lt;'PlayerGrades+'!$AF$9,"B-",IF(N111&lt;'PlayerGrades+'!$AF$8,"B",IF(N111&lt;'PlayerGrades+'!$AF$7,"B+",IF(N111&lt;'PlayerGrades+'!$AF$6,"A-",IF(N111&lt;'PlayerGrades+'!$AF$5,"A",IF(N111&lt;'PlayerGrades+'!$AF$4,"A+",IF(N111&lt;'PlayerGrades+'!$AF$3,"S-",IF(N111&lt;'PlayerGrades+'!$AF$2,"S","S+"))))))))))))))))))))</f>
        <v>B</v>
      </c>
      <c r="P111" s="961">
        <f t="shared" si="7"/>
        <v>0.5741626794</v>
      </c>
      <c r="Q111" s="961" t="str">
        <f>IF(P111&lt;'PlayerGrades+'!$AG$21,"F-",IF(P111&lt;'PlayerGrades+'!$AG$20,"F",IF(P111&lt;'PlayerGrades+'!$AG$19,"F+",IF(P111&lt;'PlayerGrades+'!$AG$18,"E-",IF(P111&lt;'PlayerGrades+'!$AG$17,"E",IF(P111&lt;'PlayerGrades+'!$AG$16,"E+",IF(P111&lt;'PlayerGrades+'!$AG$15,"D-",IF(P111&lt;'PlayerGrades+'!$AG$14,"D",IF(P111&lt;'PlayerGrades+'!$AG$13,"D+",IF(P111&lt;'PlayerGrades+'!$AG$12,"C-",IF(P111&lt;'PlayerGrades+'!$AG$11,"C",IF(P111&lt;'PlayerGrades+'!$AG$10,"C+",IF(P111&lt;'PlayerGrades+'!$AG$9,"B-",IF(P111&lt;'PlayerGrades+'!$AG$8,"B",IF(P111&lt;'PlayerGrades+'!$AG$7,"B+",IF(P111&lt;'PlayerGrades+'!$AG$6,"A-",IF(P111&lt;'PlayerGrades+'!$AG$5,"A",IF(P111&lt;'PlayerGrades+'!$AG$4,"A+",IF(P111&lt;'PlayerGrades+'!$AG$3,"S-",IF(P111&lt;'PlayerGrades+'!$AG$2,"S","S+"))))))))))))))))))))</f>
        <v>D+</v>
      </c>
      <c r="R111" s="961">
        <f t="shared" si="8"/>
        <v>0</v>
      </c>
      <c r="S111" s="961" t="str">
        <f>IF(R111&lt;'PlayerGrades+'!$AH$21,"F-",IF(R111&lt;'PlayerGrades+'!$AH$20,"F",IF(R111&lt;'PlayerGrades+'!$AH$19,"F+",IF(R111&lt;'PlayerGrades+'!$AH$18,"E-",IF(R111&lt;'PlayerGrades+'!$AH$17,"E",IF(R111&lt;'PlayerGrades+'!$AH$16,"E+",IF(R111&lt;'PlayerGrades+'!$AH$15,"D-",IF(R111&lt;'PlayerGrades+'!$AH$14,"D",IF(R111&lt;'PlayerGrades+'!$AH$13,"D+",IF(R111&lt;'PlayerGrades+'!$AH$12,"C-",IF(R111&lt;'PlayerGrades+'!$AH$11,"C",IF(R111&lt;'PlayerGrades+'!$AH$10,"C+",IF(R111&lt;'PlayerGrades+'!$AH$9,"B-",IF(R111&lt;'PlayerGrades+'!$AH$8,"B",IF(R111&lt;'PlayerGrades+'!$AH$7,"B+",IF(R111&lt;'PlayerGrades+'!$AH$6,"A-",IF(R111&lt;'PlayerGrades+'!$AH$5,"A",IF(R111&lt;'PlayerGrades+'!$AH$4,"A+",IF(R111&lt;'PlayerGrades+'!$AH$3,"S-",IF(R111&lt;'PlayerGrades+'!$AH$2,"S","S+"))))))))))))))))))))</f>
        <v>F-</v>
      </c>
      <c r="T111" s="961">
        <f t="shared" si="9"/>
        <v>2.583732057</v>
      </c>
      <c r="U111" s="961" t="str">
        <f>IF(T111&lt;'PlayerGrades+'!$AI$21,"F-",IF(T111&lt;'PlayerGrades+'!$AI$20,"F",IF(T111&lt;'PlayerGrades+'!$AI$19,"F+",IF(T111&lt;'PlayerGrades+'!$AI$18,"E-",IF(T111&lt;'PlayerGrades+'!$AI$17,"E",IF(T111&lt;'PlayerGrades+'!$AI$16,"E+",IF(T111&lt;'PlayerGrades+'!$AI$15,"D-",IF(T111&lt;'PlayerGrades+'!$AI$14,"D",IF(T111&lt;'PlayerGrades+'!$AI$13,"D+",IF(T111&lt;'PlayerGrades+'!$AI$12,"C-",IF(T111&lt;'PlayerGrades+'!$AI$11,"C",IF(T111&lt;'PlayerGrades+'!$AI$10,"C+",IF(T111&lt;'PlayerGrades+'!$AI$9,"B-",IF(T111&lt;'PlayerGrades+'!$AI$8,"B",IF(T111&lt;'PlayerGrades+'!$AI$7,"B+",IF(T111&lt;'PlayerGrades+'!$AI$6,"A-",IF(T111&lt;'PlayerGrades+'!$AI$5,"A",IF(T111&lt;'PlayerGrades+'!$AI$4,"A+",IF(T111&lt;'PlayerGrades+'!$AI$3,"S-",IF(T111&lt;'PlayerGrades+'!$AI$2,"S","S+"))))))))))))))))))))</f>
        <v>D</v>
      </c>
      <c r="V111" s="1100">
        <v>0.0</v>
      </c>
      <c r="W111" s="1100">
        <v>1.0</v>
      </c>
      <c r="X111" s="1100">
        <v>1.0</v>
      </c>
      <c r="Y111" s="1100">
        <v>2.0</v>
      </c>
      <c r="Z111" s="1100">
        <v>36.0</v>
      </c>
      <c r="AA111" s="1100">
        <v>43.0</v>
      </c>
      <c r="AB111" s="1017">
        <f t="shared" si="10"/>
        <v>-7</v>
      </c>
      <c r="AC111" s="1020">
        <f t="shared" si="11"/>
        <v>0.8372093023</v>
      </c>
      <c r="AD111" s="1100">
        <v>2.0</v>
      </c>
      <c r="AE111" s="1329">
        <v>836.0</v>
      </c>
      <c r="AF111" s="1100">
        <v>1.0</v>
      </c>
      <c r="AG111" s="1100">
        <v>0.0</v>
      </c>
      <c r="AH111" s="1100">
        <v>0.0</v>
      </c>
      <c r="AI111" s="1100">
        <v>0.0</v>
      </c>
      <c r="AJ111" s="1100">
        <v>1.0</v>
      </c>
      <c r="AK111" s="1100">
        <v>5.0</v>
      </c>
      <c r="AL111" s="1100">
        <v>2.0</v>
      </c>
      <c r="AM111" s="1100">
        <v>0.0</v>
      </c>
      <c r="AN111" s="1100">
        <v>0.0</v>
      </c>
      <c r="AO111" s="1100">
        <v>0.0</v>
      </c>
      <c r="AP111" s="1100">
        <v>0.0</v>
      </c>
      <c r="AQ111" s="1100">
        <v>0.0</v>
      </c>
      <c r="AR111" s="1100">
        <v>0.0</v>
      </c>
      <c r="AS111" s="1100">
        <v>0.0</v>
      </c>
      <c r="AT111" s="1100">
        <v>0.0</v>
      </c>
      <c r="AU111" s="1100">
        <v>8.0</v>
      </c>
      <c r="AV111" s="1100">
        <v>0.0</v>
      </c>
      <c r="AW111" s="1100">
        <v>0.0</v>
      </c>
      <c r="AX111" s="1100">
        <v>0.0</v>
      </c>
      <c r="AY111" s="1100">
        <v>0.0</v>
      </c>
      <c r="AZ111" s="1239">
        <v>0.0</v>
      </c>
    </row>
    <row r="112">
      <c r="A112" s="1277" t="s">
        <v>41</v>
      </c>
      <c r="B112" s="1100" t="str">
        <f>IF(C112&lt;'PlayerGrades+'!$Y$44,"F-",IF(C112&lt;'PlayerGrades+'!$Y$43,"F",IF(C112&lt;'PlayerGrades+'!$Y$42,"F+",IF(C112&lt;'PlayerGrades+'!$Y$41,"E-",IF(C112&lt;'PlayerGrades+'!$Y$40,"E",IF(C112&lt;'PlayerGrades+'!$Y$39,"E+",IF(C112&lt;'PlayerGrades+'!$Y$38,"D-",IF(C112&lt;'PlayerGrades+'!$Y$37,"D",IF(C112&lt;'PlayerGrades+'!$Y$36,"D+",IF(C112&lt;'PlayerGrades+'!$Y$35,"C-",IF(C112&lt;'PlayerGrades+'!$Y$34,"C",IF(C112&lt;'PlayerGrades+'!$Y$33,"C+",IF(C112&lt;'PlayerGrades+'!$Y$32,"B-",IF(C112&lt;'PlayerGrades+'!$Y$31,"B",IF(C112&lt;'PlayerGrades+'!$Y$30,"B+",IF(C112&lt;'PlayerGrades+'!$Y$29,"A-",IF(C112&lt;'PlayerGrades+'!$Y$28,"A",IF(C112&lt;'PlayerGrades+'!$Y$27,"A+",IF(C112&lt;'PlayerGrades+'!$Y$26,"S-",IF(C112&lt;'PlayerGrades+'!$Y$25,"S","S+"))))))))))))))))))))</f>
        <v>C</v>
      </c>
      <c r="C112" s="1105">
        <f>('PlayerGrades+'!$Y$47*(VLOOKUP(E112, 'PlayerGrades+'!$X$3:$Y$23, 2, FALSE)))+('PlayerGrades+'!$Y$48*(VLOOKUP(G112, 'PlayerGrades+'!$X$3:$Y$23, 2, FALSE)))+('PlayerGrades+'!$Y$49*(VLOOKUP(I112, 'PlayerGrades+'!$X$3:$Y$23, 2, FALSE)))+('PlayerGrades+'!$Y$50*(VLOOKUP(K112, 'PlayerGrades+'!$X$3:$Y$23, 2, FALSE)))+('PlayerGrades+'!$Y$51*(VLOOKUP(M112, 'PlayerGrades+'!$X$3:$Y$23, 2, FALSE)))+('PlayerGrades+'!$Y$52*(VLOOKUP(O112, 'PlayerGrades+'!$X$3:$Y$23, 2, FALSE)))+('PlayerGrades+'!$Y$53*(VLOOKUP(Q112, 'PlayerGrades+'!$X$3:$Y$23, 2, FALSE)))+('PlayerGrades+'!$Y$54*(VLOOKUP(S112, 'PlayerGrades+'!$X$3:$Y$23, 2, FALSE)))+('PlayerGrades+'!$Y$55*(VLOOKUP(U112, 'PlayerGrades+'!$X$3:$Y$23, 2, FALSE)))</f>
        <v>15.225</v>
      </c>
      <c r="D112" s="961">
        <f t="shared" si="1"/>
        <v>0</v>
      </c>
      <c r="E112" s="961" t="str">
        <f>IF(D112&lt;'PlayerGrades+'!$AA$21,"F-",IF(D112&lt;'PlayerGrades+'!$AA$20,"F",IF(D112&lt;'PlayerGrades+'!$AA$19,"F+",IF(D112&lt;'PlayerGrades+'!$AA$18,"E-",IF(D112&lt;'PlayerGrades+'!$AA$17,"E",IF(D112&lt;'PlayerGrades+'!$AA$16,"E+",IF(D112&lt;'PlayerGrades+'!$AA$15,"D-",IF(D112&lt;'PlayerGrades+'!$AA$14,"D",IF(D112&lt;'PlayerGrades+'!$AA$13,"D+",IF(D112&lt;'PlayerGrades+'!$AA$12,"C-",IF(D112&lt;'PlayerGrades+'!$AA$11,"C",IF(D112&lt;'PlayerGrades+'!$AA$10,"C+",IF(D112&lt;'PlayerGrades+'!$AA$9,"B-",IF(D112&lt;'PlayerGrades+'!$AA$8,"B",IF(D112&lt;'PlayerGrades+'!$AA$7,"B+",IF(D112&lt;'PlayerGrades+'!$AA$6,"A-",IF(D112&lt;'PlayerGrades+'!$AA$5,"A",IF(D112&lt;'PlayerGrades+'!$AA$4,"A+",IF(D112&lt;'PlayerGrades+'!$AA$3,"S-",IF(D112&lt;'PlayerGrades+'!$AA$2,"S","S+"))))))))))))))))))))</f>
        <v>F-</v>
      </c>
      <c r="F112" s="961">
        <f t="shared" si="2"/>
        <v>0.06610425585</v>
      </c>
      <c r="G112" s="961" t="str">
        <f>IF(F112&lt;'PlayerGrades+'!$AB$21,"F-",IF(F112&lt;'PlayerGrades+'!$AB$20,"F",IF(F112&lt;'PlayerGrades+'!$AB$19,"F+",IF(F112&lt;'PlayerGrades+'!$AB$18,"E-",IF(F112&lt;'PlayerGrades+'!$AB$17,"E",IF(F112&lt;'PlayerGrades+'!$AB$16,"E+",IF(F112&lt;'PlayerGrades+'!$AB$15,"D-",IF(F112&lt;'PlayerGrades+'!$AB$14,"D",IF(F112&lt;'PlayerGrades+'!$AB$13,"D+",IF(F112&lt;'PlayerGrades+'!$AB$12,"C-",IF(F112&lt;'PlayerGrades+'!$AB$11,"C",IF(F112&lt;'PlayerGrades+'!$AB$10,"C+",IF(F112&lt;'PlayerGrades+'!$AB$9,"B-",IF(F112&lt;'PlayerGrades+'!$AB$8,"B",IF(F112&lt;'PlayerGrades+'!$AB$7,"B+",IF(F112&lt;'PlayerGrades+'!$AB$6,"A-",IF(F112&lt;'PlayerGrades+'!$AB$5,"A",IF(F112&lt;'PlayerGrades+'!$AB$4,"A+",IF(F112&lt;'PlayerGrades+'!$AB$3,"S-",IF(F112&lt;'PlayerGrades+'!$AB$2,"S","S+"))))))))))))))))))))</f>
        <v>A</v>
      </c>
      <c r="H112" s="961">
        <f t="shared" si="3"/>
        <v>0.4306220096</v>
      </c>
      <c r="I112" s="961" t="str">
        <f>IF(H112&lt;'PlayerGrades+'!$AC$21,"F-",IF(H112&lt;'PlayerGrades+'!$AC$20,"F",IF(H112&lt;'PlayerGrades+'!$AC$19,"F+",IF(H112&lt;'PlayerGrades+'!$AC$18,"E-",IF(H112&lt;'PlayerGrades+'!$AC$17,"E",IF(H112&lt;'PlayerGrades+'!$AC$16,"E+",IF(H112&lt;'PlayerGrades+'!$AC$15,"D-",IF(H112&lt;'PlayerGrades+'!$AC$14,"D",IF(H112&lt;'PlayerGrades+'!$AC$13,"D+",IF(H112&lt;'PlayerGrades+'!$AC$12,"C-",IF(H112&lt;'PlayerGrades+'!$AC$11,"C",IF(H112&lt;'PlayerGrades+'!$AC$10,"C+",IF(H112&lt;'PlayerGrades+'!$AC$9,"B-",IF(H112&lt;'PlayerGrades+'!$AC$8,"B",IF(H112&lt;'PlayerGrades+'!$AC$7,"B+",IF(H112&lt;'PlayerGrades+'!$AC$6,"A-",IF(H112&lt;'PlayerGrades+'!$AC$5,"A",IF(H112&lt;'PlayerGrades+'!$AC$4,"A+",IF(H112&lt;'PlayerGrades+'!$AC$3,"S-",IF(H112&lt;'PlayerGrades+'!$AC$2,"S","S+"))))))))))))))))))))</f>
        <v>D+</v>
      </c>
      <c r="J112" s="961">
        <f t="shared" si="4"/>
        <v>0.1435406699</v>
      </c>
      <c r="K112" s="961" t="str">
        <f>IF(J112&lt;'PlayerGrades+'!$AD$21,"F-",IF(J112&lt;'PlayerGrades+'!$AD$20,"F",IF(J112&lt;'PlayerGrades+'!$AD$19,"F+",IF(J112&lt;'PlayerGrades+'!$AD$18,"E-",IF(J112&lt;'PlayerGrades+'!$AD$17,"E",IF(J112&lt;'PlayerGrades+'!$AD$16,"E+",IF(J112&lt;'PlayerGrades+'!$AD$15,"D-",IF(J112&lt;'PlayerGrades+'!$AD$14,"D",IF(J112&lt;'PlayerGrades+'!$AD$13,"D+",IF(J112&lt;'PlayerGrades+'!$AD$12,"C-",IF(J112&lt;'PlayerGrades+'!$AD$11,"C",IF(J112&lt;'PlayerGrades+'!$AD$10,"C+",IF(J112&lt;'PlayerGrades+'!$AD$9,"B-",IF(J112&lt;'PlayerGrades+'!$AD$8,"B",IF(J112&lt;'PlayerGrades+'!$AD$7,"B+",IF(J112&lt;'PlayerGrades+'!$AD$6,"A-",IF(J112&lt;'PlayerGrades+'!$AD$5,"A",IF(J112&lt;'PlayerGrades+'!$AD$4,"A+",IF(J112&lt;'PlayerGrades+'!$AD$3,"S-",IF(J112&lt;'PlayerGrades+'!$AD$2,"S","S+"))))))))))))))))))))</f>
        <v>S</v>
      </c>
      <c r="L112" s="992">
        <f t="shared" si="5"/>
        <v>0.2870813397</v>
      </c>
      <c r="M112" s="992" t="str">
        <f>IF(L112&lt;'PlayerGrades+'!$AE$21,"F-",IF(L112&lt;'PlayerGrades+'!$AE$20,"F",IF(L112&lt;'PlayerGrades+'!$AE$19,"F+",IF(L112&lt;'PlayerGrades+'!$AE$18,"E-",IF(L112&lt;'PlayerGrades+'!$AE$17,"E",IF(L112&lt;'PlayerGrades+'!$AE$16,"E+",IF(L112&lt;'PlayerGrades+'!$AE$15,"D-",IF(L112&lt;'PlayerGrades+'!$AE$14,"D",IF(L112&lt;'PlayerGrades+'!$AE$13,"D+",IF(L112&lt;'PlayerGrades+'!$AE$12,"C-",IF(L112&lt;'PlayerGrades+'!$AE$11,"C",IF(L112&lt;'PlayerGrades+'!$AE$10,"C+",IF(L112&lt;'PlayerGrades+'!$AE$9,"B-",IF(L112&lt;'PlayerGrades+'!$AE$8,"B",IF(L112&lt;'PlayerGrades+'!$AE$7,"B+",IF(L112&lt;'PlayerGrades+'!$AE$6,"A-",IF(L112&lt;'PlayerGrades+'!$AE$5,"A",IF(L112&lt;'PlayerGrades+'!$AE$4,"A+",IF(L112&lt;'PlayerGrades+'!$AE$3,"S-",IF(L112&lt;'PlayerGrades+'!$AE$2,"S","S+"))))))))))))))))))))</f>
        <v>F+</v>
      </c>
      <c r="N112" s="961">
        <f t="shared" si="6"/>
        <v>0.2153110048</v>
      </c>
      <c r="O112" s="961" t="str">
        <f>IF(N112&lt;'PlayerGrades+'!$AF$21,"F-",IF(N112&lt;'PlayerGrades+'!$AF$20,"F",IF(N112&lt;'PlayerGrades+'!$AF$19,"F+",IF(N112&lt;'PlayerGrades+'!$AF$18,"E-",IF(N112&lt;'PlayerGrades+'!$AF$17,"E",IF(N112&lt;'PlayerGrades+'!$AF$16,"E+",IF(N112&lt;'PlayerGrades+'!$AF$15,"D-",IF(N112&lt;'PlayerGrades+'!$AF$14,"D",IF(N112&lt;'PlayerGrades+'!$AF$13,"D+",IF(N112&lt;'PlayerGrades+'!$AF$12,"C-",IF(N112&lt;'PlayerGrades+'!$AF$11,"C",IF(N112&lt;'PlayerGrades+'!$AF$10,"C+",IF(N112&lt;'PlayerGrades+'!$AF$9,"B-",IF(N112&lt;'PlayerGrades+'!$AF$8,"B",IF(N112&lt;'PlayerGrades+'!$AF$7,"B+",IF(N112&lt;'PlayerGrades+'!$AF$6,"A-",IF(N112&lt;'PlayerGrades+'!$AF$5,"A",IF(N112&lt;'PlayerGrades+'!$AF$4,"A+",IF(N112&lt;'PlayerGrades+'!$AF$3,"S-",IF(N112&lt;'PlayerGrades+'!$AF$2,"S","S+"))))))))))))))))))))</f>
        <v>S-</v>
      </c>
      <c r="P112" s="961">
        <f t="shared" si="7"/>
        <v>0.7177033493</v>
      </c>
      <c r="Q112" s="961" t="str">
        <f>IF(P112&lt;'PlayerGrades+'!$AG$21,"F-",IF(P112&lt;'PlayerGrades+'!$AG$20,"F",IF(P112&lt;'PlayerGrades+'!$AG$19,"F+",IF(P112&lt;'PlayerGrades+'!$AG$18,"E-",IF(P112&lt;'PlayerGrades+'!$AG$17,"E",IF(P112&lt;'PlayerGrades+'!$AG$16,"E+",IF(P112&lt;'PlayerGrades+'!$AG$15,"D-",IF(P112&lt;'PlayerGrades+'!$AG$14,"D",IF(P112&lt;'PlayerGrades+'!$AG$13,"D+",IF(P112&lt;'PlayerGrades+'!$AG$12,"C-",IF(P112&lt;'PlayerGrades+'!$AG$11,"C",IF(P112&lt;'PlayerGrades+'!$AG$10,"C+",IF(P112&lt;'PlayerGrades+'!$AG$9,"B-",IF(P112&lt;'PlayerGrades+'!$AG$8,"B",IF(P112&lt;'PlayerGrades+'!$AG$7,"B+",IF(P112&lt;'PlayerGrades+'!$AG$6,"A-",IF(P112&lt;'PlayerGrades+'!$AG$5,"A",IF(P112&lt;'PlayerGrades+'!$AG$4,"A+",IF(P112&lt;'PlayerGrades+'!$AG$3,"S-",IF(P112&lt;'PlayerGrades+'!$AG$2,"S","S+"))))))))))))))))))))</f>
        <v>B</v>
      </c>
      <c r="R112" s="961">
        <f t="shared" si="8"/>
        <v>0</v>
      </c>
      <c r="S112" s="961" t="str">
        <f>IF(R112&lt;'PlayerGrades+'!$AH$21,"F-",IF(R112&lt;'PlayerGrades+'!$AH$20,"F",IF(R112&lt;'PlayerGrades+'!$AH$19,"F+",IF(R112&lt;'PlayerGrades+'!$AH$18,"E-",IF(R112&lt;'PlayerGrades+'!$AH$17,"E",IF(R112&lt;'PlayerGrades+'!$AH$16,"E+",IF(R112&lt;'PlayerGrades+'!$AH$15,"D-",IF(R112&lt;'PlayerGrades+'!$AH$14,"D",IF(R112&lt;'PlayerGrades+'!$AH$13,"D+",IF(R112&lt;'PlayerGrades+'!$AH$12,"C-",IF(R112&lt;'PlayerGrades+'!$AH$11,"C",IF(R112&lt;'PlayerGrades+'!$AH$10,"C+",IF(R112&lt;'PlayerGrades+'!$AH$9,"B-",IF(R112&lt;'PlayerGrades+'!$AH$8,"B",IF(R112&lt;'PlayerGrades+'!$AH$7,"B+",IF(R112&lt;'PlayerGrades+'!$AH$6,"A-",IF(R112&lt;'PlayerGrades+'!$AH$5,"A",IF(R112&lt;'PlayerGrades+'!$AH$4,"A+",IF(R112&lt;'PlayerGrades+'!$AH$3,"S-",IF(R112&lt;'PlayerGrades+'!$AH$2,"S","S+"))))))))))))))))))))</f>
        <v>F-</v>
      </c>
      <c r="T112" s="961">
        <f t="shared" si="9"/>
        <v>2.511961722</v>
      </c>
      <c r="U112" s="961" t="str">
        <f>IF(T112&lt;'PlayerGrades+'!$AI$21,"F-",IF(T112&lt;'PlayerGrades+'!$AI$20,"F",IF(T112&lt;'PlayerGrades+'!$AI$19,"F+",IF(T112&lt;'PlayerGrades+'!$AI$18,"E-",IF(T112&lt;'PlayerGrades+'!$AI$17,"E",IF(T112&lt;'PlayerGrades+'!$AI$16,"E+",IF(T112&lt;'PlayerGrades+'!$AI$15,"D-",IF(T112&lt;'PlayerGrades+'!$AI$14,"D",IF(T112&lt;'PlayerGrades+'!$AI$13,"D+",IF(T112&lt;'PlayerGrades+'!$AI$12,"C-",IF(T112&lt;'PlayerGrades+'!$AI$11,"C",IF(T112&lt;'PlayerGrades+'!$AI$10,"C+",IF(T112&lt;'PlayerGrades+'!$AI$9,"B-",IF(T112&lt;'PlayerGrades+'!$AI$8,"B",IF(T112&lt;'PlayerGrades+'!$AI$7,"B+",IF(T112&lt;'PlayerGrades+'!$AI$6,"A-",IF(T112&lt;'PlayerGrades+'!$AI$5,"A",IF(T112&lt;'PlayerGrades+'!$AI$4,"A+",IF(T112&lt;'PlayerGrades+'!$AI$3,"S-",IF(T112&lt;'PlayerGrades+'!$AI$2,"S","S+"))))))))))))))))))))</f>
        <v>D-</v>
      </c>
      <c r="V112" s="1100">
        <v>0.0</v>
      </c>
      <c r="W112" s="1100">
        <v>1.0</v>
      </c>
      <c r="X112" s="1100">
        <v>0.0</v>
      </c>
      <c r="Y112" s="1100">
        <v>0.0</v>
      </c>
      <c r="Z112" s="1100">
        <v>35.0</v>
      </c>
      <c r="AA112" s="1100">
        <v>38.0</v>
      </c>
      <c r="AB112" s="1017">
        <f t="shared" si="10"/>
        <v>-3</v>
      </c>
      <c r="AC112" s="1020">
        <f t="shared" si="11"/>
        <v>0.9210526316</v>
      </c>
      <c r="AD112" s="1100">
        <v>0.0</v>
      </c>
      <c r="AE112" s="1329">
        <v>836.0</v>
      </c>
      <c r="AF112" s="1100">
        <v>2.0</v>
      </c>
      <c r="AG112" s="1100">
        <v>0.0</v>
      </c>
      <c r="AH112" s="1100">
        <v>0.0</v>
      </c>
      <c r="AI112" s="1100">
        <v>0.0</v>
      </c>
      <c r="AJ112" s="1100">
        <v>1.0</v>
      </c>
      <c r="AK112" s="1100">
        <v>4.0</v>
      </c>
      <c r="AL112" s="1100">
        <v>3.0</v>
      </c>
      <c r="AM112" s="1100">
        <v>1.0</v>
      </c>
      <c r="AN112" s="1100">
        <v>1.0</v>
      </c>
      <c r="AO112" s="1100">
        <v>0.0</v>
      </c>
      <c r="AP112" s="1100">
        <v>0.0</v>
      </c>
      <c r="AQ112" s="1100">
        <v>0.0</v>
      </c>
      <c r="AR112" s="1100">
        <v>0.0</v>
      </c>
      <c r="AS112" s="1100">
        <v>0.0</v>
      </c>
      <c r="AT112" s="1100">
        <v>0.0</v>
      </c>
      <c r="AU112" s="1100">
        <v>6.0</v>
      </c>
      <c r="AV112" s="1100">
        <v>0.0</v>
      </c>
      <c r="AW112" s="1100">
        <v>0.0</v>
      </c>
      <c r="AX112" s="1100">
        <v>0.0</v>
      </c>
      <c r="AY112" s="1100">
        <v>0.0</v>
      </c>
      <c r="AZ112" s="1239">
        <v>0.0</v>
      </c>
    </row>
    <row r="113">
      <c r="A113" s="938" t="s">
        <v>106</v>
      </c>
      <c r="B113" s="1100" t="str">
        <f>IF(C113&lt;'PlayerGrades+'!$Y$44,"F-",IF(C113&lt;'PlayerGrades+'!$Y$43,"F",IF(C113&lt;'PlayerGrades+'!$Y$42,"F+",IF(C113&lt;'PlayerGrades+'!$Y$41,"E-",IF(C113&lt;'PlayerGrades+'!$Y$40,"E",IF(C113&lt;'PlayerGrades+'!$Y$39,"E+",IF(C113&lt;'PlayerGrades+'!$Y$38,"D-",IF(C113&lt;'PlayerGrades+'!$Y$37,"D",IF(C113&lt;'PlayerGrades+'!$Y$36,"D+",IF(C113&lt;'PlayerGrades+'!$Y$35,"C-",IF(C113&lt;'PlayerGrades+'!$Y$34,"C",IF(C113&lt;'PlayerGrades+'!$Y$33,"C+",IF(C113&lt;'PlayerGrades+'!$Y$32,"B-",IF(C113&lt;'PlayerGrades+'!$Y$31,"B",IF(C113&lt;'PlayerGrades+'!$Y$30,"B+",IF(C113&lt;'PlayerGrades+'!$Y$29,"A-",IF(C113&lt;'PlayerGrades+'!$Y$28,"A",IF(C113&lt;'PlayerGrades+'!$Y$27,"A+",IF(C113&lt;'PlayerGrades+'!$Y$26,"S-",IF(C113&lt;'PlayerGrades+'!$Y$25,"S","S+"))))))))))))))))))))</f>
        <v>D</v>
      </c>
      <c r="C113" s="1105">
        <f>('PlayerGrades+'!$Y$47*(VLOOKUP(E113, 'PlayerGrades+'!$X$3:$Y$23, 2, FALSE)))+('PlayerGrades+'!$Y$48*(VLOOKUP(G113, 'PlayerGrades+'!$X$3:$Y$23, 2, FALSE)))+('PlayerGrades+'!$Y$49*(VLOOKUP(I113, 'PlayerGrades+'!$X$3:$Y$23, 2, FALSE)))+('PlayerGrades+'!$Y$50*(VLOOKUP(K113, 'PlayerGrades+'!$X$3:$Y$23, 2, FALSE)))+('PlayerGrades+'!$Y$51*(VLOOKUP(M113, 'PlayerGrades+'!$X$3:$Y$23, 2, FALSE)))+('PlayerGrades+'!$Y$52*(VLOOKUP(O113, 'PlayerGrades+'!$X$3:$Y$23, 2, FALSE)))+('PlayerGrades+'!$Y$53*(VLOOKUP(Q113, 'PlayerGrades+'!$X$3:$Y$23, 2, FALSE)))+('PlayerGrades+'!$Y$54*(VLOOKUP(S113, 'PlayerGrades+'!$X$3:$Y$23, 2, FALSE)))+('PlayerGrades+'!$Y$55*(VLOOKUP(U113, 'PlayerGrades+'!$X$3:$Y$23, 2, FALSE)))</f>
        <v>13.325</v>
      </c>
      <c r="D113" s="1149">
        <f t="shared" si="1"/>
        <v>0.07177033493</v>
      </c>
      <c r="E113" s="1149" t="str">
        <f>IF(D113&lt;'PlayerGrades+'!$AA$21,"F-",IF(D113&lt;'PlayerGrades+'!$AA$20,"F",IF(D113&lt;'PlayerGrades+'!$AA$19,"F+",IF(D113&lt;'PlayerGrades+'!$AA$18,"E-",IF(D113&lt;'PlayerGrades+'!$AA$17,"E",IF(D113&lt;'PlayerGrades+'!$AA$16,"E+",IF(D113&lt;'PlayerGrades+'!$AA$15,"D-",IF(D113&lt;'PlayerGrades+'!$AA$14,"D",IF(D113&lt;'PlayerGrades+'!$AA$13,"D+",IF(D113&lt;'PlayerGrades+'!$AA$12,"C-",IF(D113&lt;'PlayerGrades+'!$AA$11,"C",IF(D113&lt;'PlayerGrades+'!$AA$10,"C+",IF(D113&lt;'PlayerGrades+'!$AA$9,"B-",IF(D113&lt;'PlayerGrades+'!$AA$8,"B",IF(D113&lt;'PlayerGrades+'!$AA$7,"B+",IF(D113&lt;'PlayerGrades+'!$AA$6,"A-",IF(D113&lt;'PlayerGrades+'!$AA$5,"A",IF(D113&lt;'PlayerGrades+'!$AA$4,"A+",IF(D113&lt;'PlayerGrades+'!$AA$3,"S-",IF(D113&lt;'PlayerGrades+'!$AA$2,"S","S+"))))))))))))))))))))</f>
        <v>A-</v>
      </c>
      <c r="F113" s="1149">
        <f t="shared" si="2"/>
        <v>0.04893431927</v>
      </c>
      <c r="G113" s="1149" t="str">
        <f>IF(F113&lt;'PlayerGrades+'!$AB$21,"F-",IF(F113&lt;'PlayerGrades+'!$AB$20,"F",IF(F113&lt;'PlayerGrades+'!$AB$19,"F+",IF(F113&lt;'PlayerGrades+'!$AB$18,"E-",IF(F113&lt;'PlayerGrades+'!$AB$17,"E",IF(F113&lt;'PlayerGrades+'!$AB$16,"E+",IF(F113&lt;'PlayerGrades+'!$AB$15,"D-",IF(F113&lt;'PlayerGrades+'!$AB$14,"D",IF(F113&lt;'PlayerGrades+'!$AB$13,"D+",IF(F113&lt;'PlayerGrades+'!$AB$12,"C-",IF(F113&lt;'PlayerGrades+'!$AB$11,"C",IF(F113&lt;'PlayerGrades+'!$AB$10,"C+",IF(F113&lt;'PlayerGrades+'!$AB$9,"B-",IF(F113&lt;'PlayerGrades+'!$AB$8,"B",IF(F113&lt;'PlayerGrades+'!$AB$7,"B+",IF(F113&lt;'PlayerGrades+'!$AB$6,"A-",IF(F113&lt;'PlayerGrades+'!$AB$5,"A",IF(F113&lt;'PlayerGrades+'!$AB$4,"A+",IF(F113&lt;'PlayerGrades+'!$AB$3,"S-",IF(F113&lt;'PlayerGrades+'!$AB$2,"S","S+"))))))))))))))))))))</f>
        <v>A</v>
      </c>
      <c r="H113" s="1149">
        <f t="shared" si="3"/>
        <v>0.4306220096</v>
      </c>
      <c r="I113" s="1149" t="str">
        <f>IF(H113&lt;'PlayerGrades+'!$AC$21,"F-",IF(H113&lt;'PlayerGrades+'!$AC$20,"F",IF(H113&lt;'PlayerGrades+'!$AC$19,"F+",IF(H113&lt;'PlayerGrades+'!$AC$18,"E-",IF(H113&lt;'PlayerGrades+'!$AC$17,"E",IF(H113&lt;'PlayerGrades+'!$AC$16,"E+",IF(H113&lt;'PlayerGrades+'!$AC$15,"D-",IF(H113&lt;'PlayerGrades+'!$AC$14,"D",IF(H113&lt;'PlayerGrades+'!$AC$13,"D+",IF(H113&lt;'PlayerGrades+'!$AC$12,"C-",IF(H113&lt;'PlayerGrades+'!$AC$11,"C",IF(H113&lt;'PlayerGrades+'!$AC$10,"C+",IF(H113&lt;'PlayerGrades+'!$AC$9,"B-",IF(H113&lt;'PlayerGrades+'!$AC$8,"B",IF(H113&lt;'PlayerGrades+'!$AC$7,"B+",IF(H113&lt;'PlayerGrades+'!$AC$6,"A-",IF(H113&lt;'PlayerGrades+'!$AC$5,"A",IF(H113&lt;'PlayerGrades+'!$AC$4,"A+",IF(H113&lt;'PlayerGrades+'!$AC$3,"S-",IF(H113&lt;'PlayerGrades+'!$AC$2,"S","S+"))))))))))))))))))))</f>
        <v>D+</v>
      </c>
      <c r="J113" s="1149">
        <f t="shared" si="4"/>
        <v>0</v>
      </c>
      <c r="K113" s="1149" t="str">
        <f>IF(J113&lt;'PlayerGrades+'!$AD$21,"F-",IF(J113&lt;'PlayerGrades+'!$AD$20,"F",IF(J113&lt;'PlayerGrades+'!$AD$19,"F+",IF(J113&lt;'PlayerGrades+'!$AD$18,"E-",IF(J113&lt;'PlayerGrades+'!$AD$17,"E",IF(J113&lt;'PlayerGrades+'!$AD$16,"E+",IF(J113&lt;'PlayerGrades+'!$AD$15,"D-",IF(J113&lt;'PlayerGrades+'!$AD$14,"D",IF(J113&lt;'PlayerGrades+'!$AD$13,"D+",IF(J113&lt;'PlayerGrades+'!$AD$12,"C-",IF(J113&lt;'PlayerGrades+'!$AD$11,"C",IF(J113&lt;'PlayerGrades+'!$AD$10,"C+",IF(J113&lt;'PlayerGrades+'!$AD$9,"B-",IF(J113&lt;'PlayerGrades+'!$AD$8,"B",IF(J113&lt;'PlayerGrades+'!$AD$7,"B+",IF(J113&lt;'PlayerGrades+'!$AD$6,"A-",IF(J113&lt;'PlayerGrades+'!$AD$5,"A",IF(J113&lt;'PlayerGrades+'!$AD$4,"A+",IF(J113&lt;'PlayerGrades+'!$AD$3,"S-",IF(J113&lt;'PlayerGrades+'!$AD$2,"S","S+"))))))))))))))))))))</f>
        <v>F-</v>
      </c>
      <c r="L113" s="1156">
        <f t="shared" si="5"/>
        <v>0.2153110048</v>
      </c>
      <c r="M113" s="1156" t="str">
        <f>IF(L113&lt;'PlayerGrades+'!$AE$21,"F-",IF(L113&lt;'PlayerGrades+'!$AE$20,"F",IF(L113&lt;'PlayerGrades+'!$AE$19,"F+",IF(L113&lt;'PlayerGrades+'!$AE$18,"E-",IF(L113&lt;'PlayerGrades+'!$AE$17,"E",IF(L113&lt;'PlayerGrades+'!$AE$16,"E+",IF(L113&lt;'PlayerGrades+'!$AE$15,"D-",IF(L113&lt;'PlayerGrades+'!$AE$14,"D",IF(L113&lt;'PlayerGrades+'!$AE$13,"D+",IF(L113&lt;'PlayerGrades+'!$AE$12,"C-",IF(L113&lt;'PlayerGrades+'!$AE$11,"C",IF(L113&lt;'PlayerGrades+'!$AE$10,"C+",IF(L113&lt;'PlayerGrades+'!$AE$9,"B-",IF(L113&lt;'PlayerGrades+'!$AE$8,"B",IF(L113&lt;'PlayerGrades+'!$AE$7,"B+",IF(L113&lt;'PlayerGrades+'!$AE$6,"A-",IF(L113&lt;'PlayerGrades+'!$AE$5,"A",IF(L113&lt;'PlayerGrades+'!$AE$4,"A+",IF(L113&lt;'PlayerGrades+'!$AE$3,"S-",IF(L113&lt;'PlayerGrades+'!$AE$2,"S","S+"))))))))))))))))))))</f>
        <v>F-</v>
      </c>
      <c r="N113" s="1149">
        <f t="shared" si="6"/>
        <v>0</v>
      </c>
      <c r="O113" s="1149" t="str">
        <f>IF(N113&lt;'PlayerGrades+'!$AF$21,"F-",IF(N113&lt;'PlayerGrades+'!$AF$20,"F",IF(N113&lt;'PlayerGrades+'!$AF$19,"F+",IF(N113&lt;'PlayerGrades+'!$AF$18,"E-",IF(N113&lt;'PlayerGrades+'!$AF$17,"E",IF(N113&lt;'PlayerGrades+'!$AF$16,"E+",IF(N113&lt;'PlayerGrades+'!$AF$15,"D-",IF(N113&lt;'PlayerGrades+'!$AF$14,"D",IF(N113&lt;'PlayerGrades+'!$AF$13,"D+",IF(N113&lt;'PlayerGrades+'!$AF$12,"C-",IF(N113&lt;'PlayerGrades+'!$AF$11,"C",IF(N113&lt;'PlayerGrades+'!$AF$10,"C+",IF(N113&lt;'PlayerGrades+'!$AF$9,"B-",IF(N113&lt;'PlayerGrades+'!$AF$8,"B",IF(N113&lt;'PlayerGrades+'!$AF$7,"B+",IF(N113&lt;'PlayerGrades+'!$AF$6,"A-",IF(N113&lt;'PlayerGrades+'!$AF$5,"A",IF(N113&lt;'PlayerGrades+'!$AF$4,"A+",IF(N113&lt;'PlayerGrades+'!$AF$3,"S-",IF(N113&lt;'PlayerGrades+'!$AF$2,"S","S+"))))))))))))))))))))</f>
        <v>F-</v>
      </c>
      <c r="P113" s="1149">
        <f t="shared" si="7"/>
        <v>0.2153110048</v>
      </c>
      <c r="Q113" s="1149" t="str">
        <f>IF(P113&lt;'PlayerGrades+'!$AG$21,"F-",IF(P113&lt;'PlayerGrades+'!$AG$20,"F",IF(P113&lt;'PlayerGrades+'!$AG$19,"F+",IF(P113&lt;'PlayerGrades+'!$AG$18,"E-",IF(P113&lt;'PlayerGrades+'!$AG$17,"E",IF(P113&lt;'PlayerGrades+'!$AG$16,"E+",IF(P113&lt;'PlayerGrades+'!$AG$15,"D-",IF(P113&lt;'PlayerGrades+'!$AG$14,"D",IF(P113&lt;'PlayerGrades+'!$AG$13,"D+",IF(P113&lt;'PlayerGrades+'!$AG$12,"C-",IF(P113&lt;'PlayerGrades+'!$AG$11,"C",IF(P113&lt;'PlayerGrades+'!$AG$10,"C+",IF(P113&lt;'PlayerGrades+'!$AG$9,"B-",IF(P113&lt;'PlayerGrades+'!$AG$8,"B",IF(P113&lt;'PlayerGrades+'!$AG$7,"B+",IF(P113&lt;'PlayerGrades+'!$AG$6,"A-",IF(P113&lt;'PlayerGrades+'!$AG$5,"A",IF(P113&lt;'PlayerGrades+'!$AG$4,"A+",IF(P113&lt;'PlayerGrades+'!$AG$3,"S-",IF(P113&lt;'PlayerGrades+'!$AG$2,"S","S+"))))))))))))))))))))</f>
        <v>F-</v>
      </c>
      <c r="R113" s="1149">
        <f t="shared" si="8"/>
        <v>0.1435406699</v>
      </c>
      <c r="S113" s="1149" t="str">
        <f>IF(R113&lt;'PlayerGrades+'!$AH$21,"F-",IF(R113&lt;'PlayerGrades+'!$AH$20,"F",IF(R113&lt;'PlayerGrades+'!$AH$19,"F+",IF(R113&lt;'PlayerGrades+'!$AH$18,"E-",IF(R113&lt;'PlayerGrades+'!$AH$17,"E",IF(R113&lt;'PlayerGrades+'!$AH$16,"E+",IF(R113&lt;'PlayerGrades+'!$AH$15,"D-",IF(R113&lt;'PlayerGrades+'!$AH$14,"D",IF(R113&lt;'PlayerGrades+'!$AH$13,"D+",IF(R113&lt;'PlayerGrades+'!$AH$12,"C-",IF(R113&lt;'PlayerGrades+'!$AH$11,"C",IF(R113&lt;'PlayerGrades+'!$AH$10,"C+",IF(R113&lt;'PlayerGrades+'!$AH$9,"B-",IF(R113&lt;'PlayerGrades+'!$AH$8,"B",IF(R113&lt;'PlayerGrades+'!$AH$7,"B+",IF(R113&lt;'PlayerGrades+'!$AH$6,"A-",IF(R113&lt;'PlayerGrades+'!$AH$5,"A",IF(R113&lt;'PlayerGrades+'!$AH$4,"A+",IF(R113&lt;'PlayerGrades+'!$AH$3,"S-",IF(R113&lt;'PlayerGrades+'!$AH$2,"S","S+"))))))))))))))))))))</f>
        <v>S+</v>
      </c>
      <c r="T113" s="1149">
        <f t="shared" si="9"/>
        <v>2.153110048</v>
      </c>
      <c r="U113" s="1149" t="str">
        <f>IF(T113&lt;'PlayerGrades+'!$AI$21,"F-",IF(T113&lt;'PlayerGrades+'!$AI$20,"F",IF(T113&lt;'PlayerGrades+'!$AI$19,"F+",IF(T113&lt;'PlayerGrades+'!$AI$18,"E-",IF(T113&lt;'PlayerGrades+'!$AI$17,"E",IF(T113&lt;'PlayerGrades+'!$AI$16,"E+",IF(T113&lt;'PlayerGrades+'!$AI$15,"D-",IF(T113&lt;'PlayerGrades+'!$AI$14,"D",IF(T113&lt;'PlayerGrades+'!$AI$13,"D+",IF(T113&lt;'PlayerGrades+'!$AI$12,"C-",IF(T113&lt;'PlayerGrades+'!$AI$11,"C",IF(T113&lt;'PlayerGrades+'!$AI$10,"C+",IF(T113&lt;'PlayerGrades+'!$AI$9,"B-",IF(T113&lt;'PlayerGrades+'!$AI$8,"B",IF(T113&lt;'PlayerGrades+'!$AI$7,"B+",IF(T113&lt;'PlayerGrades+'!$AI$6,"A-",IF(T113&lt;'PlayerGrades+'!$AI$5,"A",IF(T113&lt;'PlayerGrades+'!$AI$4,"A+",IF(T113&lt;'PlayerGrades+'!$AI$3,"S-",IF(T113&lt;'PlayerGrades+'!$AI$2,"S","S+"))))))))))))))))))))</f>
        <v>F-</v>
      </c>
      <c r="V113" s="1227">
        <v>0.0</v>
      </c>
      <c r="W113" s="1227">
        <v>1.0</v>
      </c>
      <c r="X113" s="1100">
        <v>1.0</v>
      </c>
      <c r="Y113" s="1100">
        <v>2.0</v>
      </c>
      <c r="Z113" s="1100">
        <v>30.0</v>
      </c>
      <c r="AA113" s="1100">
        <v>44.0</v>
      </c>
      <c r="AB113" s="1017">
        <f t="shared" si="10"/>
        <v>-14</v>
      </c>
      <c r="AC113" s="1020">
        <f t="shared" si="11"/>
        <v>0.6818181818</v>
      </c>
      <c r="AD113" s="1100">
        <v>0.0</v>
      </c>
      <c r="AE113" s="1329">
        <v>836.0</v>
      </c>
      <c r="AF113" s="1100">
        <v>0.0</v>
      </c>
      <c r="AG113" s="1100">
        <v>0.0</v>
      </c>
      <c r="AH113" s="1100">
        <v>0.0</v>
      </c>
      <c r="AI113" s="1100">
        <v>0.0</v>
      </c>
      <c r="AJ113" s="1100">
        <v>0.0</v>
      </c>
      <c r="AK113" s="1100">
        <v>3.0</v>
      </c>
      <c r="AL113" s="1100">
        <v>0.0</v>
      </c>
      <c r="AM113" s="1100">
        <v>0.0</v>
      </c>
      <c r="AN113" s="1100">
        <v>0.0</v>
      </c>
      <c r="AO113" s="1100">
        <v>0.0</v>
      </c>
      <c r="AP113" s="1100">
        <v>0.0</v>
      </c>
      <c r="AQ113" s="1100">
        <v>0.0</v>
      </c>
      <c r="AR113" s="1100">
        <v>0.0</v>
      </c>
      <c r="AS113" s="1100">
        <v>0.0</v>
      </c>
      <c r="AT113" s="1100">
        <v>0.0</v>
      </c>
      <c r="AU113" s="1100">
        <v>6.0</v>
      </c>
      <c r="AV113" s="1100">
        <v>0.0</v>
      </c>
      <c r="AW113" s="1100">
        <v>0.0</v>
      </c>
      <c r="AX113" s="1100">
        <v>0.0</v>
      </c>
      <c r="AY113" s="1100">
        <v>1.0</v>
      </c>
      <c r="AZ113" s="1239">
        <v>1.0</v>
      </c>
    </row>
    <row r="114">
      <c r="A114" s="887" t="s">
        <v>197</v>
      </c>
      <c r="B114" s="1169" t="str">
        <f>IF(C114&lt;'PlayerGrades+'!$Y$44,"F-",IF(C114&lt;'PlayerGrades+'!$Y$43,"F",IF(C114&lt;'PlayerGrades+'!$Y$42,"F+",IF(C114&lt;'PlayerGrades+'!$Y$41,"E-",IF(C114&lt;'PlayerGrades+'!$Y$40,"E",IF(C114&lt;'PlayerGrades+'!$Y$39,"E+",IF(C114&lt;'PlayerGrades+'!$Y$38,"D-",IF(C114&lt;'PlayerGrades+'!$Y$37,"D",IF(C114&lt;'PlayerGrades+'!$Y$36,"D+",IF(C114&lt;'PlayerGrades+'!$Y$35,"C-",IF(C114&lt;'PlayerGrades+'!$Y$34,"C",IF(C114&lt;'PlayerGrades+'!$Y$33,"C+",IF(C114&lt;'PlayerGrades+'!$Y$32,"B-",IF(C114&lt;'PlayerGrades+'!$Y$31,"B",IF(C114&lt;'PlayerGrades+'!$Y$30,"B+",IF(C114&lt;'PlayerGrades+'!$Y$29,"A-",IF(C114&lt;'PlayerGrades+'!$Y$28,"A",IF(C114&lt;'PlayerGrades+'!$Y$27,"A+",IF(C114&lt;'PlayerGrades+'!$Y$26,"S-",IF(C114&lt;'PlayerGrades+'!$Y$25,"S","S+"))))))))))))))))))))</f>
        <v>B</v>
      </c>
      <c r="C114" s="1170">
        <f>('PlayerGrades+'!$Y$47*(VLOOKUP(E114, 'PlayerGrades+'!$X$3:$Y$23, 2, FALSE)))+('PlayerGrades+'!$Y$48*(VLOOKUP(G114, 'PlayerGrades+'!$X$3:$Y$23, 2, FALSE)))+('PlayerGrades+'!$Y$49*(VLOOKUP(I114, 'PlayerGrades+'!$X$3:$Y$23, 2, FALSE)))+('PlayerGrades+'!$Y$50*(VLOOKUP(K114, 'PlayerGrades+'!$X$3:$Y$23, 2, FALSE)))+('PlayerGrades+'!$Y$51*(VLOOKUP(M114, 'PlayerGrades+'!$X$3:$Y$23, 2, FALSE)))+('PlayerGrades+'!$Y$52*(VLOOKUP(O114, 'PlayerGrades+'!$X$3:$Y$23, 2, FALSE)))+('PlayerGrades+'!$Y$53*(VLOOKUP(Q114, 'PlayerGrades+'!$X$3:$Y$23, 2, FALSE)))+('PlayerGrades+'!$Y$54*(VLOOKUP(S114, 'PlayerGrades+'!$X$3:$Y$23, 2, FALSE)))+('PlayerGrades+'!$Y$55*(VLOOKUP(U114, 'PlayerGrades+'!$X$3:$Y$23, 2, FALSE)))</f>
        <v>19.825</v>
      </c>
      <c r="D114" s="890">
        <f t="shared" si="1"/>
        <v>0</v>
      </c>
      <c r="E114" s="890" t="str">
        <f>IF(D114&lt;'PlayerGrades+'!$AA$21,"F-",IF(D114&lt;'PlayerGrades+'!$AA$20,"F",IF(D114&lt;'PlayerGrades+'!$AA$19,"F+",IF(D114&lt;'PlayerGrades+'!$AA$18,"E-",IF(D114&lt;'PlayerGrades+'!$AA$17,"E",IF(D114&lt;'PlayerGrades+'!$AA$16,"E+",IF(D114&lt;'PlayerGrades+'!$AA$15,"D-",IF(D114&lt;'PlayerGrades+'!$AA$14,"D",IF(D114&lt;'PlayerGrades+'!$AA$13,"D+",IF(D114&lt;'PlayerGrades+'!$AA$12,"C-",IF(D114&lt;'PlayerGrades+'!$AA$11,"C",IF(D114&lt;'PlayerGrades+'!$AA$10,"C+",IF(D114&lt;'PlayerGrades+'!$AA$9,"B-",IF(D114&lt;'PlayerGrades+'!$AA$8,"B",IF(D114&lt;'PlayerGrades+'!$AA$7,"B+",IF(D114&lt;'PlayerGrades+'!$AA$6,"A-",IF(D114&lt;'PlayerGrades+'!$AA$5,"A",IF(D114&lt;'PlayerGrades+'!$AA$4,"A+",IF(D114&lt;'PlayerGrades+'!$AA$3,"S-",IF(D114&lt;'PlayerGrades+'!$AA$2,"S","S+"))))))))))))))))))))</f>
        <v>F-</v>
      </c>
      <c r="F114" s="890">
        <f t="shared" si="2"/>
        <v>0.07717372663</v>
      </c>
      <c r="G114" s="890" t="str">
        <f>IF(F114&lt;'PlayerGrades+'!$AB$21,"F-",IF(F114&lt;'PlayerGrades+'!$AB$20,"F",IF(F114&lt;'PlayerGrades+'!$AB$19,"F+",IF(F114&lt;'PlayerGrades+'!$AB$18,"E-",IF(F114&lt;'PlayerGrades+'!$AB$17,"E",IF(F114&lt;'PlayerGrades+'!$AB$16,"E+",IF(F114&lt;'PlayerGrades+'!$AB$15,"D-",IF(F114&lt;'PlayerGrades+'!$AB$14,"D",IF(F114&lt;'PlayerGrades+'!$AB$13,"D+",IF(F114&lt;'PlayerGrades+'!$AB$12,"C-",IF(F114&lt;'PlayerGrades+'!$AB$11,"C",IF(F114&lt;'PlayerGrades+'!$AB$10,"C+",IF(F114&lt;'PlayerGrades+'!$AB$9,"B-",IF(F114&lt;'PlayerGrades+'!$AB$8,"B",IF(F114&lt;'PlayerGrades+'!$AB$7,"B+",IF(F114&lt;'PlayerGrades+'!$AB$6,"A-",IF(F114&lt;'PlayerGrades+'!$AB$5,"A",IF(F114&lt;'PlayerGrades+'!$AB$4,"A+",IF(F114&lt;'PlayerGrades+'!$AB$3,"S-",IF(F114&lt;'PlayerGrades+'!$AB$2,"S","S+"))))))))))))))))))))</f>
        <v>A</v>
      </c>
      <c r="H114" s="890">
        <f t="shared" si="3"/>
        <v>0.5042016807</v>
      </c>
      <c r="I114" s="890" t="str">
        <f>IF(H114&lt;'PlayerGrades+'!$AC$21,"F-",IF(H114&lt;'PlayerGrades+'!$AC$20,"F",IF(H114&lt;'PlayerGrades+'!$AC$19,"F+",IF(H114&lt;'PlayerGrades+'!$AC$18,"E-",IF(H114&lt;'PlayerGrades+'!$AC$17,"E",IF(H114&lt;'PlayerGrades+'!$AC$16,"E+",IF(H114&lt;'PlayerGrades+'!$AC$15,"D-",IF(H114&lt;'PlayerGrades+'!$AC$14,"D",IF(H114&lt;'PlayerGrades+'!$AC$13,"D+",IF(H114&lt;'PlayerGrades+'!$AC$12,"C-",IF(H114&lt;'PlayerGrades+'!$AC$11,"C",IF(H114&lt;'PlayerGrades+'!$AC$10,"C+",IF(H114&lt;'PlayerGrades+'!$AC$9,"B-",IF(H114&lt;'PlayerGrades+'!$AC$8,"B",IF(H114&lt;'PlayerGrades+'!$AC$7,"B+",IF(H114&lt;'PlayerGrades+'!$AC$6,"A-",IF(H114&lt;'PlayerGrades+'!$AC$5,"A",IF(H114&lt;'PlayerGrades+'!$AC$4,"A+",IF(H114&lt;'PlayerGrades+'!$AC$3,"S-",IF(H114&lt;'PlayerGrades+'!$AC$2,"S","S+"))))))))))))))))))))</f>
        <v>B</v>
      </c>
      <c r="J114" s="890">
        <f t="shared" si="4"/>
        <v>0.1260504202</v>
      </c>
      <c r="K114" s="890" t="str">
        <f>IF(J114&lt;'PlayerGrades+'!$AD$21,"F-",IF(J114&lt;'PlayerGrades+'!$AD$20,"F",IF(J114&lt;'PlayerGrades+'!$AD$19,"F+",IF(J114&lt;'PlayerGrades+'!$AD$18,"E-",IF(J114&lt;'PlayerGrades+'!$AD$17,"E",IF(J114&lt;'PlayerGrades+'!$AD$16,"E+",IF(J114&lt;'PlayerGrades+'!$AD$15,"D-",IF(J114&lt;'PlayerGrades+'!$AD$14,"D",IF(J114&lt;'PlayerGrades+'!$AD$13,"D+",IF(J114&lt;'PlayerGrades+'!$AD$12,"C-",IF(J114&lt;'PlayerGrades+'!$AD$11,"C",IF(J114&lt;'PlayerGrades+'!$AD$10,"C+",IF(J114&lt;'PlayerGrades+'!$AD$9,"B-",IF(J114&lt;'PlayerGrades+'!$AD$8,"B",IF(J114&lt;'PlayerGrades+'!$AD$7,"B+",IF(J114&lt;'PlayerGrades+'!$AD$6,"A-",IF(J114&lt;'PlayerGrades+'!$AD$5,"A",IF(J114&lt;'PlayerGrades+'!$AD$4,"A+",IF(J114&lt;'PlayerGrades+'!$AD$3,"S-",IF(J114&lt;'PlayerGrades+'!$AD$2,"S","S+"))))))))))))))))))))</f>
        <v>S-</v>
      </c>
      <c r="L114" s="899">
        <f t="shared" si="5"/>
        <v>0.5672268908</v>
      </c>
      <c r="M114" s="899" t="str">
        <f>IF(L114&lt;'PlayerGrades+'!$AE$21,"F-",IF(L114&lt;'PlayerGrades+'!$AE$20,"F",IF(L114&lt;'PlayerGrades+'!$AE$19,"F+",IF(L114&lt;'PlayerGrades+'!$AE$18,"E-",IF(L114&lt;'PlayerGrades+'!$AE$17,"E",IF(L114&lt;'PlayerGrades+'!$AE$16,"E+",IF(L114&lt;'PlayerGrades+'!$AE$15,"D-",IF(L114&lt;'PlayerGrades+'!$AE$14,"D",IF(L114&lt;'PlayerGrades+'!$AE$13,"D+",IF(L114&lt;'PlayerGrades+'!$AE$12,"C-",IF(L114&lt;'PlayerGrades+'!$AE$11,"C",IF(L114&lt;'PlayerGrades+'!$AE$10,"C+",IF(L114&lt;'PlayerGrades+'!$AE$9,"B-",IF(L114&lt;'PlayerGrades+'!$AE$8,"B",IF(L114&lt;'PlayerGrades+'!$AE$7,"B+",IF(L114&lt;'PlayerGrades+'!$AE$6,"A-",IF(L114&lt;'PlayerGrades+'!$AE$5,"A",IF(L114&lt;'PlayerGrades+'!$AE$4,"A+",IF(L114&lt;'PlayerGrades+'!$AE$3,"S-",IF(L114&lt;'PlayerGrades+'!$AE$2,"S","S+"))))))))))))))))))))</f>
        <v>A-</v>
      </c>
      <c r="N114" s="890">
        <f t="shared" si="6"/>
        <v>0.2521008403</v>
      </c>
      <c r="O114" s="890" t="str">
        <f>IF(N114&lt;'PlayerGrades+'!$AF$21,"F-",IF(N114&lt;'PlayerGrades+'!$AF$20,"F",IF(N114&lt;'PlayerGrades+'!$AF$19,"F+",IF(N114&lt;'PlayerGrades+'!$AF$18,"E-",IF(N114&lt;'PlayerGrades+'!$AF$17,"E",IF(N114&lt;'PlayerGrades+'!$AF$16,"E+",IF(N114&lt;'PlayerGrades+'!$AF$15,"D-",IF(N114&lt;'PlayerGrades+'!$AF$14,"D",IF(N114&lt;'PlayerGrades+'!$AF$13,"D+",IF(N114&lt;'PlayerGrades+'!$AF$12,"C-",IF(N114&lt;'PlayerGrades+'!$AF$11,"C",IF(N114&lt;'PlayerGrades+'!$AF$10,"C+",IF(N114&lt;'PlayerGrades+'!$AF$9,"B-",IF(N114&lt;'PlayerGrades+'!$AF$8,"B",IF(N114&lt;'PlayerGrades+'!$AF$7,"B+",IF(N114&lt;'PlayerGrades+'!$AF$6,"A-",IF(N114&lt;'PlayerGrades+'!$AF$5,"A",IF(N114&lt;'PlayerGrades+'!$AF$4,"A+",IF(N114&lt;'PlayerGrades+'!$AF$3,"S-",IF(N114&lt;'PlayerGrades+'!$AF$2,"S","S+"))))))))))))))))))))</f>
        <v>S-</v>
      </c>
      <c r="P114" s="890">
        <f t="shared" si="7"/>
        <v>1.071428571</v>
      </c>
      <c r="Q114" s="890" t="str">
        <f>IF(P114&lt;'PlayerGrades+'!$AG$21,"F-",IF(P114&lt;'PlayerGrades+'!$AG$20,"F",IF(P114&lt;'PlayerGrades+'!$AG$19,"F+",IF(P114&lt;'PlayerGrades+'!$AG$18,"E-",IF(P114&lt;'PlayerGrades+'!$AG$17,"E",IF(P114&lt;'PlayerGrades+'!$AG$16,"E+",IF(P114&lt;'PlayerGrades+'!$AG$15,"D-",IF(P114&lt;'PlayerGrades+'!$AG$14,"D",IF(P114&lt;'PlayerGrades+'!$AG$13,"D+",IF(P114&lt;'PlayerGrades+'!$AG$12,"C-",IF(P114&lt;'PlayerGrades+'!$AG$11,"C",IF(P114&lt;'PlayerGrades+'!$AG$10,"C+",IF(P114&lt;'PlayerGrades+'!$AG$9,"B-",IF(P114&lt;'PlayerGrades+'!$AG$8,"B",IF(P114&lt;'PlayerGrades+'!$AG$7,"B+",IF(P114&lt;'PlayerGrades+'!$AG$6,"A-",IF(P114&lt;'PlayerGrades+'!$AG$5,"A",IF(P114&lt;'PlayerGrades+'!$AG$4,"A+",IF(P114&lt;'PlayerGrades+'!$AG$3,"S-",IF(P114&lt;'PlayerGrades+'!$AG$2,"S","S+"))))))))))))))))))))</f>
        <v>S-</v>
      </c>
      <c r="R114" s="890">
        <f t="shared" si="8"/>
        <v>0</v>
      </c>
      <c r="S114" s="890" t="str">
        <f>IF(R114&lt;'PlayerGrades+'!$AH$21,"F-",IF(R114&lt;'PlayerGrades+'!$AH$20,"F",IF(R114&lt;'PlayerGrades+'!$AH$19,"F+",IF(R114&lt;'PlayerGrades+'!$AH$18,"E-",IF(R114&lt;'PlayerGrades+'!$AH$17,"E",IF(R114&lt;'PlayerGrades+'!$AH$16,"E+",IF(R114&lt;'PlayerGrades+'!$AH$15,"D-",IF(R114&lt;'PlayerGrades+'!$AH$14,"D",IF(R114&lt;'PlayerGrades+'!$AH$13,"D+",IF(R114&lt;'PlayerGrades+'!$AH$12,"C-",IF(R114&lt;'PlayerGrades+'!$AH$11,"C",IF(R114&lt;'PlayerGrades+'!$AH$10,"C+",IF(R114&lt;'PlayerGrades+'!$AH$9,"B-",IF(R114&lt;'PlayerGrades+'!$AH$8,"B",IF(R114&lt;'PlayerGrades+'!$AH$7,"B+",IF(R114&lt;'PlayerGrades+'!$AH$6,"A-",IF(R114&lt;'PlayerGrades+'!$AH$5,"A",IF(R114&lt;'PlayerGrades+'!$AH$4,"A+",IF(R114&lt;'PlayerGrades+'!$AH$3,"S-",IF(R114&lt;'PlayerGrades+'!$AH$2,"S","S+"))))))))))))))))))))</f>
        <v>F-</v>
      </c>
      <c r="T114" s="890">
        <f t="shared" si="9"/>
        <v>3.781512605</v>
      </c>
      <c r="U114" s="890" t="str">
        <f>IF(T114&lt;'PlayerGrades+'!$AI$21,"F-",IF(T114&lt;'PlayerGrades+'!$AI$20,"F",IF(T114&lt;'PlayerGrades+'!$AI$19,"F+",IF(T114&lt;'PlayerGrades+'!$AI$18,"E-",IF(T114&lt;'PlayerGrades+'!$AI$17,"E",IF(T114&lt;'PlayerGrades+'!$AI$16,"E+",IF(T114&lt;'PlayerGrades+'!$AI$15,"D-",IF(T114&lt;'PlayerGrades+'!$AI$14,"D",IF(T114&lt;'PlayerGrades+'!$AI$13,"D+",IF(T114&lt;'PlayerGrades+'!$AI$12,"C-",IF(T114&lt;'PlayerGrades+'!$AI$11,"C",IF(T114&lt;'PlayerGrades+'!$AI$10,"C+",IF(T114&lt;'PlayerGrades+'!$AI$9,"B-",IF(T114&lt;'PlayerGrades+'!$AI$8,"B",IF(T114&lt;'PlayerGrades+'!$AI$7,"B+",IF(T114&lt;'PlayerGrades+'!$AI$6,"A-",IF(T114&lt;'PlayerGrades+'!$AI$5,"A",IF(T114&lt;'PlayerGrades+'!$AI$4,"A+",IF(T114&lt;'PlayerGrades+'!$AI$3,"S-",IF(T114&lt;'PlayerGrades+'!$AI$2,"S","S+"))))))))))))))))))))</f>
        <v>S-</v>
      </c>
      <c r="V114" s="1169">
        <v>1.0</v>
      </c>
      <c r="W114" s="1169">
        <v>0.0</v>
      </c>
      <c r="X114" s="1169">
        <v>0.0</v>
      </c>
      <c r="Y114" s="1169">
        <v>0.0</v>
      </c>
      <c r="Z114" s="1169">
        <v>60.0</v>
      </c>
      <c r="AA114" s="1169">
        <v>49.0</v>
      </c>
      <c r="AB114" s="925">
        <f t="shared" si="10"/>
        <v>11</v>
      </c>
      <c r="AC114" s="930">
        <f t="shared" si="11"/>
        <v>1.224489796</v>
      </c>
      <c r="AD114" s="1169">
        <v>0.0</v>
      </c>
      <c r="AE114" s="1300">
        <v>952.0</v>
      </c>
      <c r="AF114" s="1169">
        <v>2.0</v>
      </c>
      <c r="AG114" s="1169">
        <v>0.0</v>
      </c>
      <c r="AH114" s="1169">
        <v>0.0</v>
      </c>
      <c r="AI114" s="1169">
        <v>0.0</v>
      </c>
      <c r="AJ114" s="1169">
        <v>1.0</v>
      </c>
      <c r="AK114" s="1169">
        <v>9.0</v>
      </c>
      <c r="AL114" s="1169">
        <v>4.0</v>
      </c>
      <c r="AM114" s="1169">
        <v>2.0</v>
      </c>
      <c r="AN114" s="1169">
        <v>1.0</v>
      </c>
      <c r="AO114" s="1169">
        <v>0.0</v>
      </c>
      <c r="AP114" s="1169">
        <v>0.0</v>
      </c>
      <c r="AQ114" s="1169">
        <v>0.0</v>
      </c>
      <c r="AR114" s="1169">
        <v>0.0</v>
      </c>
      <c r="AS114" s="1169">
        <v>0.0</v>
      </c>
      <c r="AT114" s="1169">
        <v>0.0</v>
      </c>
      <c r="AU114" s="1169">
        <v>8.0</v>
      </c>
      <c r="AV114" s="1169">
        <v>0.0</v>
      </c>
      <c r="AW114" s="1169">
        <v>0.0</v>
      </c>
      <c r="AX114" s="1169">
        <v>0.0</v>
      </c>
      <c r="AY114" s="1169">
        <v>0.0</v>
      </c>
      <c r="AZ114" s="1302">
        <v>0.0</v>
      </c>
    </row>
    <row r="115">
      <c r="A115" s="938" t="s">
        <v>48</v>
      </c>
      <c r="B115" s="1100" t="str">
        <f>IF(C115&lt;'PlayerGrades+'!$Y$44,"F-",IF(C115&lt;'PlayerGrades+'!$Y$43,"F",IF(C115&lt;'PlayerGrades+'!$Y$42,"F+",IF(C115&lt;'PlayerGrades+'!$Y$41,"E-",IF(C115&lt;'PlayerGrades+'!$Y$40,"E",IF(C115&lt;'PlayerGrades+'!$Y$39,"E+",IF(C115&lt;'PlayerGrades+'!$Y$38,"D-",IF(C115&lt;'PlayerGrades+'!$Y$37,"D",IF(C115&lt;'PlayerGrades+'!$Y$36,"D+",IF(C115&lt;'PlayerGrades+'!$Y$35,"C-",IF(C115&lt;'PlayerGrades+'!$Y$34,"C",IF(C115&lt;'PlayerGrades+'!$Y$33,"C+",IF(C115&lt;'PlayerGrades+'!$Y$32,"B-",IF(C115&lt;'PlayerGrades+'!$Y$31,"B",IF(C115&lt;'PlayerGrades+'!$Y$30,"B+",IF(C115&lt;'PlayerGrades+'!$Y$29,"A-",IF(C115&lt;'PlayerGrades+'!$Y$28,"A",IF(C115&lt;'PlayerGrades+'!$Y$27,"A+",IF(C115&lt;'PlayerGrades+'!$Y$26,"S-",IF(C115&lt;'PlayerGrades+'!$Y$25,"S","S+"))))))))))))))))))))</f>
        <v>B-</v>
      </c>
      <c r="C115" s="1105">
        <f>('PlayerGrades+'!$Y$47*(VLOOKUP(E115, 'PlayerGrades+'!$X$3:$Y$23, 2, FALSE)))+('PlayerGrades+'!$Y$48*(VLOOKUP(G115, 'PlayerGrades+'!$X$3:$Y$23, 2, FALSE)))+('PlayerGrades+'!$Y$49*(VLOOKUP(I115, 'PlayerGrades+'!$X$3:$Y$23, 2, FALSE)))+('PlayerGrades+'!$Y$50*(VLOOKUP(K115, 'PlayerGrades+'!$X$3:$Y$23, 2, FALSE)))+('PlayerGrades+'!$Y$51*(VLOOKUP(M115, 'PlayerGrades+'!$X$3:$Y$23, 2, FALSE)))+('PlayerGrades+'!$Y$52*(VLOOKUP(O115, 'PlayerGrades+'!$X$3:$Y$23, 2, FALSE)))+('PlayerGrades+'!$Y$53*(VLOOKUP(Q115, 'PlayerGrades+'!$X$3:$Y$23, 2, FALSE)))+('PlayerGrades+'!$Y$54*(VLOOKUP(S115, 'PlayerGrades+'!$X$3:$Y$23, 2, FALSE)))+('PlayerGrades+'!$Y$55*(VLOOKUP(U115, 'PlayerGrades+'!$X$3:$Y$23, 2, FALSE)))</f>
        <v>16.5</v>
      </c>
      <c r="D115" s="961">
        <f t="shared" si="1"/>
        <v>0</v>
      </c>
      <c r="E115" s="961" t="str">
        <f>IF(D115&lt;'PlayerGrades+'!$AA$21,"F-",IF(D115&lt;'PlayerGrades+'!$AA$20,"F",IF(D115&lt;'PlayerGrades+'!$AA$19,"F+",IF(D115&lt;'PlayerGrades+'!$AA$18,"E-",IF(D115&lt;'PlayerGrades+'!$AA$17,"E",IF(D115&lt;'PlayerGrades+'!$AA$16,"E+",IF(D115&lt;'PlayerGrades+'!$AA$15,"D-",IF(D115&lt;'PlayerGrades+'!$AA$14,"D",IF(D115&lt;'PlayerGrades+'!$AA$13,"D+",IF(D115&lt;'PlayerGrades+'!$AA$12,"C-",IF(D115&lt;'PlayerGrades+'!$AA$11,"C",IF(D115&lt;'PlayerGrades+'!$AA$10,"C+",IF(D115&lt;'PlayerGrades+'!$AA$9,"B-",IF(D115&lt;'PlayerGrades+'!$AA$8,"B",IF(D115&lt;'PlayerGrades+'!$AA$7,"B+",IF(D115&lt;'PlayerGrades+'!$AA$6,"A-",IF(D115&lt;'PlayerGrades+'!$AA$5,"A",IF(D115&lt;'PlayerGrades+'!$AA$4,"A+",IF(D115&lt;'PlayerGrades+'!$AA$3,"S-",IF(D115&lt;'PlayerGrades+'!$AA$2,"S","S+"))))))))))))))))))))</f>
        <v>F-</v>
      </c>
      <c r="F115" s="961">
        <f t="shared" si="2"/>
        <v>0.064366172</v>
      </c>
      <c r="G115" s="961" t="str">
        <f>IF(F115&lt;'PlayerGrades+'!$AB$21,"F-",IF(F115&lt;'PlayerGrades+'!$AB$20,"F",IF(F115&lt;'PlayerGrades+'!$AB$19,"F+",IF(F115&lt;'PlayerGrades+'!$AB$18,"E-",IF(F115&lt;'PlayerGrades+'!$AB$17,"E",IF(F115&lt;'PlayerGrades+'!$AB$16,"E+",IF(F115&lt;'PlayerGrades+'!$AB$15,"D-",IF(F115&lt;'PlayerGrades+'!$AB$14,"D",IF(F115&lt;'PlayerGrades+'!$AB$13,"D+",IF(F115&lt;'PlayerGrades+'!$AB$12,"C-",IF(F115&lt;'PlayerGrades+'!$AB$11,"C",IF(F115&lt;'PlayerGrades+'!$AB$10,"C+",IF(F115&lt;'PlayerGrades+'!$AB$9,"B-",IF(F115&lt;'PlayerGrades+'!$AB$8,"B",IF(F115&lt;'PlayerGrades+'!$AB$7,"B+",IF(F115&lt;'PlayerGrades+'!$AB$6,"A-",IF(F115&lt;'PlayerGrades+'!$AB$5,"A",IF(F115&lt;'PlayerGrades+'!$AB$4,"A+",IF(F115&lt;'PlayerGrades+'!$AB$3,"S-",IF(F115&lt;'PlayerGrades+'!$AB$2,"S","S+"))))))))))))))))))))</f>
        <v>A</v>
      </c>
      <c r="H115" s="961">
        <f t="shared" si="3"/>
        <v>0.3781512605</v>
      </c>
      <c r="I115" s="961" t="str">
        <f>IF(H115&lt;'PlayerGrades+'!$AC$21,"F-",IF(H115&lt;'PlayerGrades+'!$AC$20,"F",IF(H115&lt;'PlayerGrades+'!$AC$19,"F+",IF(H115&lt;'PlayerGrades+'!$AC$18,"E-",IF(H115&lt;'PlayerGrades+'!$AC$17,"E",IF(H115&lt;'PlayerGrades+'!$AC$16,"E+",IF(H115&lt;'PlayerGrades+'!$AC$15,"D-",IF(H115&lt;'PlayerGrades+'!$AC$14,"D",IF(H115&lt;'PlayerGrades+'!$AC$13,"D+",IF(H115&lt;'PlayerGrades+'!$AC$12,"C-",IF(H115&lt;'PlayerGrades+'!$AC$11,"C",IF(H115&lt;'PlayerGrades+'!$AC$10,"C+",IF(H115&lt;'PlayerGrades+'!$AC$9,"B-",IF(H115&lt;'PlayerGrades+'!$AC$8,"B",IF(H115&lt;'PlayerGrades+'!$AC$7,"B+",IF(H115&lt;'PlayerGrades+'!$AC$6,"A-",IF(H115&lt;'PlayerGrades+'!$AC$5,"A",IF(H115&lt;'PlayerGrades+'!$AC$4,"A+",IF(H115&lt;'PlayerGrades+'!$AC$3,"S-",IF(H115&lt;'PlayerGrades+'!$AC$2,"S","S+"))))))))))))))))))))</f>
        <v>D-</v>
      </c>
      <c r="J115" s="961">
        <f t="shared" si="4"/>
        <v>0.06302521008</v>
      </c>
      <c r="K115" s="961" t="str">
        <f>IF(J115&lt;'PlayerGrades+'!$AD$21,"F-",IF(J115&lt;'PlayerGrades+'!$AD$20,"F",IF(J115&lt;'PlayerGrades+'!$AD$19,"F+",IF(J115&lt;'PlayerGrades+'!$AD$18,"E-",IF(J115&lt;'PlayerGrades+'!$AD$17,"E",IF(J115&lt;'PlayerGrades+'!$AD$16,"E+",IF(J115&lt;'PlayerGrades+'!$AD$15,"D-",IF(J115&lt;'PlayerGrades+'!$AD$14,"D",IF(J115&lt;'PlayerGrades+'!$AD$13,"D+",IF(J115&lt;'PlayerGrades+'!$AD$12,"C-",IF(J115&lt;'PlayerGrades+'!$AD$11,"C",IF(J115&lt;'PlayerGrades+'!$AD$10,"C+",IF(J115&lt;'PlayerGrades+'!$AD$9,"B-",IF(J115&lt;'PlayerGrades+'!$AD$8,"B",IF(J115&lt;'PlayerGrades+'!$AD$7,"B+",IF(J115&lt;'PlayerGrades+'!$AD$6,"A-",IF(J115&lt;'PlayerGrades+'!$AD$5,"A",IF(J115&lt;'PlayerGrades+'!$AD$4,"A+",IF(J115&lt;'PlayerGrades+'!$AD$3,"S-",IF(J115&lt;'PlayerGrades+'!$AD$2,"S","S+"))))))))))))))))))))</f>
        <v>B+</v>
      </c>
      <c r="L115" s="992">
        <f t="shared" si="5"/>
        <v>0.5042016807</v>
      </c>
      <c r="M115" s="992" t="str">
        <f>IF(L115&lt;'PlayerGrades+'!$AE$21,"F-",IF(L115&lt;'PlayerGrades+'!$AE$20,"F",IF(L115&lt;'PlayerGrades+'!$AE$19,"F+",IF(L115&lt;'PlayerGrades+'!$AE$18,"E-",IF(L115&lt;'PlayerGrades+'!$AE$17,"E",IF(L115&lt;'PlayerGrades+'!$AE$16,"E+",IF(L115&lt;'PlayerGrades+'!$AE$15,"D-",IF(L115&lt;'PlayerGrades+'!$AE$14,"D",IF(L115&lt;'PlayerGrades+'!$AE$13,"D+",IF(L115&lt;'PlayerGrades+'!$AE$12,"C-",IF(L115&lt;'PlayerGrades+'!$AE$11,"C",IF(L115&lt;'PlayerGrades+'!$AE$10,"C+",IF(L115&lt;'PlayerGrades+'!$AE$9,"B-",IF(L115&lt;'PlayerGrades+'!$AE$8,"B",IF(L115&lt;'PlayerGrades+'!$AE$7,"B+",IF(L115&lt;'PlayerGrades+'!$AE$6,"A-",IF(L115&lt;'PlayerGrades+'!$AE$5,"A",IF(L115&lt;'PlayerGrades+'!$AE$4,"A+",IF(L115&lt;'PlayerGrades+'!$AE$3,"S-",IF(L115&lt;'PlayerGrades+'!$AE$2,"S","S+"))))))))))))))))))))</f>
        <v>B</v>
      </c>
      <c r="N115" s="961">
        <f t="shared" si="6"/>
        <v>0.1890756303</v>
      </c>
      <c r="O115" s="961" t="str">
        <f>IF(N115&lt;'PlayerGrades+'!$AF$21,"F-",IF(N115&lt;'PlayerGrades+'!$AF$20,"F",IF(N115&lt;'PlayerGrades+'!$AF$19,"F+",IF(N115&lt;'PlayerGrades+'!$AF$18,"E-",IF(N115&lt;'PlayerGrades+'!$AF$17,"E",IF(N115&lt;'PlayerGrades+'!$AF$16,"E+",IF(N115&lt;'PlayerGrades+'!$AF$15,"D-",IF(N115&lt;'PlayerGrades+'!$AF$14,"D",IF(N115&lt;'PlayerGrades+'!$AF$13,"D+",IF(N115&lt;'PlayerGrades+'!$AF$12,"C-",IF(N115&lt;'PlayerGrades+'!$AF$11,"C",IF(N115&lt;'PlayerGrades+'!$AF$10,"C+",IF(N115&lt;'PlayerGrades+'!$AF$9,"B-",IF(N115&lt;'PlayerGrades+'!$AF$8,"B",IF(N115&lt;'PlayerGrades+'!$AF$7,"B+",IF(N115&lt;'PlayerGrades+'!$AF$6,"A-",IF(N115&lt;'PlayerGrades+'!$AF$5,"A",IF(N115&lt;'PlayerGrades+'!$AF$4,"A+",IF(N115&lt;'PlayerGrades+'!$AF$3,"S-",IF(N115&lt;'PlayerGrades+'!$AF$2,"S","S+"))))))))))))))))))))</f>
        <v>S-</v>
      </c>
      <c r="P115" s="961">
        <f t="shared" si="7"/>
        <v>0.6932773109</v>
      </c>
      <c r="Q115" s="961" t="str">
        <f>IF(P115&lt;'PlayerGrades+'!$AG$21,"F-",IF(P115&lt;'PlayerGrades+'!$AG$20,"F",IF(P115&lt;'PlayerGrades+'!$AG$19,"F+",IF(P115&lt;'PlayerGrades+'!$AG$18,"E-",IF(P115&lt;'PlayerGrades+'!$AG$17,"E",IF(P115&lt;'PlayerGrades+'!$AG$16,"E+",IF(P115&lt;'PlayerGrades+'!$AG$15,"D-",IF(P115&lt;'PlayerGrades+'!$AG$14,"D",IF(P115&lt;'PlayerGrades+'!$AG$13,"D+",IF(P115&lt;'PlayerGrades+'!$AG$12,"C-",IF(P115&lt;'PlayerGrades+'!$AG$11,"C",IF(P115&lt;'PlayerGrades+'!$AG$10,"C+",IF(P115&lt;'PlayerGrades+'!$AG$9,"B-",IF(P115&lt;'PlayerGrades+'!$AG$8,"B",IF(P115&lt;'PlayerGrades+'!$AG$7,"B+",IF(P115&lt;'PlayerGrades+'!$AG$6,"A-",IF(P115&lt;'PlayerGrades+'!$AG$5,"A",IF(P115&lt;'PlayerGrades+'!$AG$4,"A+",IF(P115&lt;'PlayerGrades+'!$AG$3,"S-",IF(P115&lt;'PlayerGrades+'!$AG$2,"S","S+"))))))))))))))))))))</f>
        <v>B</v>
      </c>
      <c r="R115" s="961">
        <f t="shared" si="8"/>
        <v>0</v>
      </c>
      <c r="S115" s="961" t="str">
        <f>IF(R115&lt;'PlayerGrades+'!$AH$21,"F-",IF(R115&lt;'PlayerGrades+'!$AH$20,"F",IF(R115&lt;'PlayerGrades+'!$AH$19,"F+",IF(R115&lt;'PlayerGrades+'!$AH$18,"E-",IF(R115&lt;'PlayerGrades+'!$AH$17,"E",IF(R115&lt;'PlayerGrades+'!$AH$16,"E+",IF(R115&lt;'PlayerGrades+'!$AH$15,"D-",IF(R115&lt;'PlayerGrades+'!$AH$14,"D",IF(R115&lt;'PlayerGrades+'!$AH$13,"D+",IF(R115&lt;'PlayerGrades+'!$AH$12,"C-",IF(R115&lt;'PlayerGrades+'!$AH$11,"C",IF(R115&lt;'PlayerGrades+'!$AH$10,"C+",IF(R115&lt;'PlayerGrades+'!$AH$9,"B-",IF(R115&lt;'PlayerGrades+'!$AH$8,"B",IF(R115&lt;'PlayerGrades+'!$AH$7,"B+",IF(R115&lt;'PlayerGrades+'!$AH$6,"A-",IF(R115&lt;'PlayerGrades+'!$AH$5,"A",IF(R115&lt;'PlayerGrades+'!$AH$4,"A+",IF(R115&lt;'PlayerGrades+'!$AH$3,"S-",IF(R115&lt;'PlayerGrades+'!$AH$2,"S","S+"))))))))))))))))))))</f>
        <v>F-</v>
      </c>
      <c r="T115" s="961">
        <f t="shared" si="9"/>
        <v>3.025210084</v>
      </c>
      <c r="U115" s="961" t="str">
        <f>IF(T115&lt;'PlayerGrades+'!$AI$21,"F-",IF(T115&lt;'PlayerGrades+'!$AI$20,"F",IF(T115&lt;'PlayerGrades+'!$AI$19,"F+",IF(T115&lt;'PlayerGrades+'!$AI$18,"E-",IF(T115&lt;'PlayerGrades+'!$AI$17,"E",IF(T115&lt;'PlayerGrades+'!$AI$16,"E+",IF(T115&lt;'PlayerGrades+'!$AI$15,"D-",IF(T115&lt;'PlayerGrades+'!$AI$14,"D",IF(T115&lt;'PlayerGrades+'!$AI$13,"D+",IF(T115&lt;'PlayerGrades+'!$AI$12,"C-",IF(T115&lt;'PlayerGrades+'!$AI$11,"C",IF(T115&lt;'PlayerGrades+'!$AI$10,"C+",IF(T115&lt;'PlayerGrades+'!$AI$9,"B-",IF(T115&lt;'PlayerGrades+'!$AI$8,"B",IF(T115&lt;'PlayerGrades+'!$AI$7,"B+",IF(T115&lt;'PlayerGrades+'!$AI$6,"A-",IF(T115&lt;'PlayerGrades+'!$AI$5,"A",IF(T115&lt;'PlayerGrades+'!$AI$4,"A+",IF(T115&lt;'PlayerGrades+'!$AI$3,"S-",IF(T115&lt;'PlayerGrades+'!$AI$2,"S","S+"))))))))))))))))))))</f>
        <v>B+</v>
      </c>
      <c r="V115" s="1100">
        <v>1.0</v>
      </c>
      <c r="W115" s="1100">
        <v>0.0</v>
      </c>
      <c r="X115" s="1100">
        <v>0.0</v>
      </c>
      <c r="Y115" s="1100">
        <v>1.0</v>
      </c>
      <c r="Z115" s="1100">
        <v>48.0</v>
      </c>
      <c r="AA115" s="1100">
        <v>47.0</v>
      </c>
      <c r="AB115" s="1017">
        <f t="shared" si="10"/>
        <v>1</v>
      </c>
      <c r="AC115" s="1020">
        <f t="shared" si="11"/>
        <v>1.021276596</v>
      </c>
      <c r="AD115" s="1100">
        <v>0.0</v>
      </c>
      <c r="AE115" s="1329">
        <v>952.0</v>
      </c>
      <c r="AF115" s="1100">
        <v>1.0</v>
      </c>
      <c r="AG115" s="1100">
        <v>0.0</v>
      </c>
      <c r="AH115" s="1100">
        <v>0.0</v>
      </c>
      <c r="AI115" s="1100">
        <v>0.0</v>
      </c>
      <c r="AJ115" s="1100">
        <v>0.0</v>
      </c>
      <c r="AK115" s="1100">
        <v>8.0</v>
      </c>
      <c r="AL115" s="1100">
        <v>3.0</v>
      </c>
      <c r="AM115" s="1100">
        <v>0.0</v>
      </c>
      <c r="AN115" s="1100">
        <v>0.0</v>
      </c>
      <c r="AO115" s="1100">
        <v>0.0</v>
      </c>
      <c r="AP115" s="1100">
        <v>0.0</v>
      </c>
      <c r="AQ115" s="1100">
        <v>0.0</v>
      </c>
      <c r="AR115" s="1100">
        <v>0.0</v>
      </c>
      <c r="AS115" s="1100">
        <v>0.0</v>
      </c>
      <c r="AT115" s="1100">
        <v>0.0</v>
      </c>
      <c r="AU115" s="1100">
        <v>6.0</v>
      </c>
      <c r="AV115" s="1100">
        <v>0.0</v>
      </c>
      <c r="AW115" s="1100">
        <v>0.0</v>
      </c>
      <c r="AX115" s="1100">
        <v>0.0</v>
      </c>
      <c r="AY115" s="1100">
        <v>0.0</v>
      </c>
      <c r="AZ115" s="1239">
        <v>0.0</v>
      </c>
    </row>
    <row r="116">
      <c r="A116" s="938" t="s">
        <v>149</v>
      </c>
      <c r="B116" s="1100" t="str">
        <f>IF(C116&lt;'PlayerGrades+'!$Y$44,"F-",IF(C116&lt;'PlayerGrades+'!$Y$43,"F",IF(C116&lt;'PlayerGrades+'!$Y$42,"F+",IF(C116&lt;'PlayerGrades+'!$Y$41,"E-",IF(C116&lt;'PlayerGrades+'!$Y$40,"E",IF(C116&lt;'PlayerGrades+'!$Y$39,"E+",IF(C116&lt;'PlayerGrades+'!$Y$38,"D-",IF(C116&lt;'PlayerGrades+'!$Y$37,"D",IF(C116&lt;'PlayerGrades+'!$Y$36,"D+",IF(C116&lt;'PlayerGrades+'!$Y$35,"C-",IF(C116&lt;'PlayerGrades+'!$Y$34,"C",IF(C116&lt;'PlayerGrades+'!$Y$33,"C+",IF(C116&lt;'PlayerGrades+'!$Y$32,"B-",IF(C116&lt;'PlayerGrades+'!$Y$31,"B",IF(C116&lt;'PlayerGrades+'!$Y$30,"B+",IF(C116&lt;'PlayerGrades+'!$Y$29,"A-",IF(C116&lt;'PlayerGrades+'!$Y$28,"A",IF(C116&lt;'PlayerGrades+'!$Y$27,"A+",IF(C116&lt;'PlayerGrades+'!$Y$26,"S-",IF(C116&lt;'PlayerGrades+'!$Y$25,"S","S+"))))))))))))))))))))</f>
        <v>B-</v>
      </c>
      <c r="C116" s="1105">
        <f>('PlayerGrades+'!$Y$47*(VLOOKUP(E116, 'PlayerGrades+'!$X$3:$Y$23, 2, FALSE)))+('PlayerGrades+'!$Y$48*(VLOOKUP(G116, 'PlayerGrades+'!$X$3:$Y$23, 2, FALSE)))+('PlayerGrades+'!$Y$49*(VLOOKUP(I116, 'PlayerGrades+'!$X$3:$Y$23, 2, FALSE)))+('PlayerGrades+'!$Y$50*(VLOOKUP(K116, 'PlayerGrades+'!$X$3:$Y$23, 2, FALSE)))+('PlayerGrades+'!$Y$51*(VLOOKUP(M116, 'PlayerGrades+'!$X$3:$Y$23, 2, FALSE)))+('PlayerGrades+'!$Y$52*(VLOOKUP(O116, 'PlayerGrades+'!$X$3:$Y$23, 2, FALSE)))+('PlayerGrades+'!$Y$53*(VLOOKUP(Q116, 'PlayerGrades+'!$X$3:$Y$23, 2, FALSE)))+('PlayerGrades+'!$Y$54*(VLOOKUP(S116, 'PlayerGrades+'!$X$3:$Y$23, 2, FALSE)))+('PlayerGrades+'!$Y$55*(VLOOKUP(U116, 'PlayerGrades+'!$X$3:$Y$23, 2, FALSE)))</f>
        <v>17.475</v>
      </c>
      <c r="D116" s="961">
        <f t="shared" si="1"/>
        <v>0</v>
      </c>
      <c r="E116" s="961" t="str">
        <f>IF(D116&lt;'PlayerGrades+'!$AA$21,"F-",IF(D116&lt;'PlayerGrades+'!$AA$20,"F",IF(D116&lt;'PlayerGrades+'!$AA$19,"F+",IF(D116&lt;'PlayerGrades+'!$AA$18,"E-",IF(D116&lt;'PlayerGrades+'!$AA$17,"E",IF(D116&lt;'PlayerGrades+'!$AA$16,"E+",IF(D116&lt;'PlayerGrades+'!$AA$15,"D-",IF(D116&lt;'PlayerGrades+'!$AA$14,"D",IF(D116&lt;'PlayerGrades+'!$AA$13,"D+",IF(D116&lt;'PlayerGrades+'!$AA$12,"C-",IF(D116&lt;'PlayerGrades+'!$AA$11,"C",IF(D116&lt;'PlayerGrades+'!$AA$10,"C+",IF(D116&lt;'PlayerGrades+'!$AA$9,"B-",IF(D116&lt;'PlayerGrades+'!$AA$8,"B",IF(D116&lt;'PlayerGrades+'!$AA$7,"B+",IF(D116&lt;'PlayerGrades+'!$AA$6,"A-",IF(D116&lt;'PlayerGrades+'!$AA$5,"A",IF(D116&lt;'PlayerGrades+'!$AA$4,"A+",IF(D116&lt;'PlayerGrades+'!$AA$3,"S-",IF(D116&lt;'PlayerGrades+'!$AA$2,"S","S+"))))))))))))))))))))</f>
        <v>F-</v>
      </c>
      <c r="F116" s="961">
        <f t="shared" si="2"/>
        <v>0.06302521008</v>
      </c>
      <c r="G116" s="961" t="str">
        <f>IF(F116&lt;'PlayerGrades+'!$AB$21,"F-",IF(F116&lt;'PlayerGrades+'!$AB$20,"F",IF(F116&lt;'PlayerGrades+'!$AB$19,"F+",IF(F116&lt;'PlayerGrades+'!$AB$18,"E-",IF(F116&lt;'PlayerGrades+'!$AB$17,"E",IF(F116&lt;'PlayerGrades+'!$AB$16,"E+",IF(F116&lt;'PlayerGrades+'!$AB$15,"D-",IF(F116&lt;'PlayerGrades+'!$AB$14,"D",IF(F116&lt;'PlayerGrades+'!$AB$13,"D+",IF(F116&lt;'PlayerGrades+'!$AB$12,"C-",IF(F116&lt;'PlayerGrades+'!$AB$11,"C",IF(F116&lt;'PlayerGrades+'!$AB$10,"C+",IF(F116&lt;'PlayerGrades+'!$AB$9,"B-",IF(F116&lt;'PlayerGrades+'!$AB$8,"B",IF(F116&lt;'PlayerGrades+'!$AB$7,"B+",IF(F116&lt;'PlayerGrades+'!$AB$6,"A-",IF(F116&lt;'PlayerGrades+'!$AB$5,"A",IF(F116&lt;'PlayerGrades+'!$AB$4,"A+",IF(F116&lt;'PlayerGrades+'!$AB$3,"S-",IF(F116&lt;'PlayerGrades+'!$AB$2,"S","S+"))))))))))))))))))))</f>
        <v>A</v>
      </c>
      <c r="H116" s="961">
        <f t="shared" si="3"/>
        <v>0.6302521008</v>
      </c>
      <c r="I116" s="961" t="str">
        <f>IF(H116&lt;'PlayerGrades+'!$AC$21,"F-",IF(H116&lt;'PlayerGrades+'!$AC$20,"F",IF(H116&lt;'PlayerGrades+'!$AC$19,"F+",IF(H116&lt;'PlayerGrades+'!$AC$18,"E-",IF(H116&lt;'PlayerGrades+'!$AC$17,"E",IF(H116&lt;'PlayerGrades+'!$AC$16,"E+",IF(H116&lt;'PlayerGrades+'!$AC$15,"D-",IF(H116&lt;'PlayerGrades+'!$AC$14,"D",IF(H116&lt;'PlayerGrades+'!$AC$13,"D+",IF(H116&lt;'PlayerGrades+'!$AC$12,"C-",IF(H116&lt;'PlayerGrades+'!$AC$11,"C",IF(H116&lt;'PlayerGrades+'!$AC$10,"C+",IF(H116&lt;'PlayerGrades+'!$AC$9,"B-",IF(H116&lt;'PlayerGrades+'!$AC$8,"B",IF(H116&lt;'PlayerGrades+'!$AC$7,"B+",IF(H116&lt;'PlayerGrades+'!$AC$6,"A-",IF(H116&lt;'PlayerGrades+'!$AC$5,"A",IF(H116&lt;'PlayerGrades+'!$AC$4,"A+",IF(H116&lt;'PlayerGrades+'!$AC$3,"S-",IF(H116&lt;'PlayerGrades+'!$AC$2,"S","S+"))))))))))))))))))))</f>
        <v>A</v>
      </c>
      <c r="J116" s="961">
        <f t="shared" si="4"/>
        <v>0.06302521008</v>
      </c>
      <c r="K116" s="961" t="str">
        <f>IF(J116&lt;'PlayerGrades+'!$AD$21,"F-",IF(J116&lt;'PlayerGrades+'!$AD$20,"F",IF(J116&lt;'PlayerGrades+'!$AD$19,"F+",IF(J116&lt;'PlayerGrades+'!$AD$18,"E-",IF(J116&lt;'PlayerGrades+'!$AD$17,"E",IF(J116&lt;'PlayerGrades+'!$AD$16,"E+",IF(J116&lt;'PlayerGrades+'!$AD$15,"D-",IF(J116&lt;'PlayerGrades+'!$AD$14,"D",IF(J116&lt;'PlayerGrades+'!$AD$13,"D+",IF(J116&lt;'PlayerGrades+'!$AD$12,"C-",IF(J116&lt;'PlayerGrades+'!$AD$11,"C",IF(J116&lt;'PlayerGrades+'!$AD$10,"C+",IF(J116&lt;'PlayerGrades+'!$AD$9,"B-",IF(J116&lt;'PlayerGrades+'!$AD$8,"B",IF(J116&lt;'PlayerGrades+'!$AD$7,"B+",IF(J116&lt;'PlayerGrades+'!$AD$6,"A-",IF(J116&lt;'PlayerGrades+'!$AD$5,"A",IF(J116&lt;'PlayerGrades+'!$AD$4,"A+",IF(J116&lt;'PlayerGrades+'!$AD$3,"S-",IF(J116&lt;'PlayerGrades+'!$AD$2,"S","S+"))))))))))))))))))))</f>
        <v>B+</v>
      </c>
      <c r="L116" s="992">
        <f t="shared" si="5"/>
        <v>0.3781512605</v>
      </c>
      <c r="M116" s="992" t="str">
        <f>IF(L116&lt;'PlayerGrades+'!$AE$21,"F-",IF(L116&lt;'PlayerGrades+'!$AE$20,"F",IF(L116&lt;'PlayerGrades+'!$AE$19,"F+",IF(L116&lt;'PlayerGrades+'!$AE$18,"E-",IF(L116&lt;'PlayerGrades+'!$AE$17,"E",IF(L116&lt;'PlayerGrades+'!$AE$16,"E+",IF(L116&lt;'PlayerGrades+'!$AE$15,"D-",IF(L116&lt;'PlayerGrades+'!$AE$14,"D",IF(L116&lt;'PlayerGrades+'!$AE$13,"D+",IF(L116&lt;'PlayerGrades+'!$AE$12,"C-",IF(L116&lt;'PlayerGrades+'!$AE$11,"C",IF(L116&lt;'PlayerGrades+'!$AE$10,"C+",IF(L116&lt;'PlayerGrades+'!$AE$9,"B-",IF(L116&lt;'PlayerGrades+'!$AE$8,"B",IF(L116&lt;'PlayerGrades+'!$AE$7,"B+",IF(L116&lt;'PlayerGrades+'!$AE$6,"A-",IF(L116&lt;'PlayerGrades+'!$AE$5,"A",IF(L116&lt;'PlayerGrades+'!$AE$4,"A+",IF(L116&lt;'PlayerGrades+'!$AE$3,"S-",IF(L116&lt;'PlayerGrades+'!$AE$2,"S","S+"))))))))))))))))))))</f>
        <v>D-</v>
      </c>
      <c r="N116" s="961">
        <f t="shared" si="6"/>
        <v>0.1890756303</v>
      </c>
      <c r="O116" s="961" t="str">
        <f>IF(N116&lt;'PlayerGrades+'!$AF$21,"F-",IF(N116&lt;'PlayerGrades+'!$AF$20,"F",IF(N116&lt;'PlayerGrades+'!$AF$19,"F+",IF(N116&lt;'PlayerGrades+'!$AF$18,"E-",IF(N116&lt;'PlayerGrades+'!$AF$17,"E",IF(N116&lt;'PlayerGrades+'!$AF$16,"E+",IF(N116&lt;'PlayerGrades+'!$AF$15,"D-",IF(N116&lt;'PlayerGrades+'!$AF$14,"D",IF(N116&lt;'PlayerGrades+'!$AF$13,"D+",IF(N116&lt;'PlayerGrades+'!$AF$12,"C-",IF(N116&lt;'PlayerGrades+'!$AF$11,"C",IF(N116&lt;'PlayerGrades+'!$AF$10,"C+",IF(N116&lt;'PlayerGrades+'!$AF$9,"B-",IF(N116&lt;'PlayerGrades+'!$AF$8,"B",IF(N116&lt;'PlayerGrades+'!$AF$7,"B+",IF(N116&lt;'PlayerGrades+'!$AF$6,"A-",IF(N116&lt;'PlayerGrades+'!$AF$5,"A",IF(N116&lt;'PlayerGrades+'!$AF$4,"A+",IF(N116&lt;'PlayerGrades+'!$AF$3,"S-",IF(N116&lt;'PlayerGrades+'!$AF$2,"S","S+"))))))))))))))))))))</f>
        <v>S-</v>
      </c>
      <c r="P116" s="961">
        <f t="shared" si="7"/>
        <v>0.5672268908</v>
      </c>
      <c r="Q116" s="961" t="str">
        <f>IF(P116&lt;'PlayerGrades+'!$AG$21,"F-",IF(P116&lt;'PlayerGrades+'!$AG$20,"F",IF(P116&lt;'PlayerGrades+'!$AG$19,"F+",IF(P116&lt;'PlayerGrades+'!$AG$18,"E-",IF(P116&lt;'PlayerGrades+'!$AG$17,"E",IF(P116&lt;'PlayerGrades+'!$AG$16,"E+",IF(P116&lt;'PlayerGrades+'!$AG$15,"D-",IF(P116&lt;'PlayerGrades+'!$AG$14,"D",IF(P116&lt;'PlayerGrades+'!$AG$13,"D+",IF(P116&lt;'PlayerGrades+'!$AG$12,"C-",IF(P116&lt;'PlayerGrades+'!$AG$11,"C",IF(P116&lt;'PlayerGrades+'!$AG$10,"C+",IF(P116&lt;'PlayerGrades+'!$AG$9,"B-",IF(P116&lt;'PlayerGrades+'!$AG$8,"B",IF(P116&lt;'PlayerGrades+'!$AG$7,"B+",IF(P116&lt;'PlayerGrades+'!$AG$6,"A-",IF(P116&lt;'PlayerGrades+'!$AG$5,"A",IF(P116&lt;'PlayerGrades+'!$AG$4,"A+",IF(P116&lt;'PlayerGrades+'!$AG$3,"S-",IF(P116&lt;'PlayerGrades+'!$AG$2,"S","S+"))))))))))))))))))))</f>
        <v>D+</v>
      </c>
      <c r="R116" s="961">
        <f t="shared" si="8"/>
        <v>0.06302521008</v>
      </c>
      <c r="S116" s="961" t="str">
        <f>IF(R116&lt;'PlayerGrades+'!$AH$21,"F-",IF(R116&lt;'PlayerGrades+'!$AH$20,"F",IF(R116&lt;'PlayerGrades+'!$AH$19,"F+",IF(R116&lt;'PlayerGrades+'!$AH$18,"E-",IF(R116&lt;'PlayerGrades+'!$AH$17,"E",IF(R116&lt;'PlayerGrades+'!$AH$16,"E+",IF(R116&lt;'PlayerGrades+'!$AH$15,"D-",IF(R116&lt;'PlayerGrades+'!$AH$14,"D",IF(R116&lt;'PlayerGrades+'!$AH$13,"D+",IF(R116&lt;'PlayerGrades+'!$AH$12,"C-",IF(R116&lt;'PlayerGrades+'!$AH$11,"C",IF(R116&lt;'PlayerGrades+'!$AH$10,"C+",IF(R116&lt;'PlayerGrades+'!$AH$9,"B-",IF(R116&lt;'PlayerGrades+'!$AH$8,"B",IF(R116&lt;'PlayerGrades+'!$AH$7,"B+",IF(R116&lt;'PlayerGrades+'!$AH$6,"A-",IF(R116&lt;'PlayerGrades+'!$AH$5,"A",IF(R116&lt;'PlayerGrades+'!$AH$4,"A+",IF(R116&lt;'PlayerGrades+'!$AH$3,"S-",IF(R116&lt;'PlayerGrades+'!$AH$2,"S","S+"))))))))))))))))))))</f>
        <v>B-</v>
      </c>
      <c r="T116" s="961">
        <f t="shared" si="9"/>
        <v>2.899159664</v>
      </c>
      <c r="U116" s="961" t="str">
        <f>IF(T116&lt;'PlayerGrades+'!$AI$21,"F-",IF(T116&lt;'PlayerGrades+'!$AI$20,"F",IF(T116&lt;'PlayerGrades+'!$AI$19,"F+",IF(T116&lt;'PlayerGrades+'!$AI$18,"E-",IF(T116&lt;'PlayerGrades+'!$AI$17,"E",IF(T116&lt;'PlayerGrades+'!$AI$16,"E+",IF(T116&lt;'PlayerGrades+'!$AI$15,"D-",IF(T116&lt;'PlayerGrades+'!$AI$14,"D",IF(T116&lt;'PlayerGrades+'!$AI$13,"D+",IF(T116&lt;'PlayerGrades+'!$AI$12,"C-",IF(T116&lt;'PlayerGrades+'!$AI$11,"C",IF(T116&lt;'PlayerGrades+'!$AI$10,"C+",IF(T116&lt;'PlayerGrades+'!$AI$9,"B-",IF(T116&lt;'PlayerGrades+'!$AI$8,"B",IF(T116&lt;'PlayerGrades+'!$AI$7,"B+",IF(T116&lt;'PlayerGrades+'!$AI$6,"A-",IF(T116&lt;'PlayerGrades+'!$AI$5,"A",IF(T116&lt;'PlayerGrades+'!$AI$4,"A+",IF(T116&lt;'PlayerGrades+'!$AI$3,"S-",IF(T116&lt;'PlayerGrades+'!$AI$2,"S","S+"))))))))))))))))))))</f>
        <v>C+</v>
      </c>
      <c r="V116" s="1100">
        <v>1.0</v>
      </c>
      <c r="W116" s="1100">
        <v>0.0</v>
      </c>
      <c r="X116" s="1100">
        <v>0.0</v>
      </c>
      <c r="Y116" s="1100">
        <v>0.0</v>
      </c>
      <c r="Z116" s="1100">
        <v>46.0</v>
      </c>
      <c r="AA116" s="1100">
        <v>46.0</v>
      </c>
      <c r="AB116" s="1017">
        <f t="shared" si="10"/>
        <v>0</v>
      </c>
      <c r="AC116" s="1020">
        <f t="shared" si="11"/>
        <v>1</v>
      </c>
      <c r="AD116" s="1100">
        <v>1.0</v>
      </c>
      <c r="AE116" s="1329">
        <v>952.0</v>
      </c>
      <c r="AF116" s="1100">
        <v>1.0</v>
      </c>
      <c r="AG116" s="1100">
        <v>0.0</v>
      </c>
      <c r="AH116" s="1100">
        <v>0.0</v>
      </c>
      <c r="AI116" s="1100">
        <v>0.0</v>
      </c>
      <c r="AJ116" s="1100">
        <v>0.0</v>
      </c>
      <c r="AK116" s="1100">
        <v>6.0</v>
      </c>
      <c r="AL116" s="1100">
        <v>3.0</v>
      </c>
      <c r="AM116" s="1100">
        <v>0.0</v>
      </c>
      <c r="AN116" s="1100">
        <v>0.0</v>
      </c>
      <c r="AO116" s="1100">
        <v>0.0</v>
      </c>
      <c r="AP116" s="1100">
        <v>0.0</v>
      </c>
      <c r="AQ116" s="1100">
        <v>0.0</v>
      </c>
      <c r="AR116" s="1100">
        <v>0.0</v>
      </c>
      <c r="AS116" s="1100">
        <v>0.0</v>
      </c>
      <c r="AT116" s="1100">
        <v>0.0</v>
      </c>
      <c r="AU116" s="1100">
        <v>10.0</v>
      </c>
      <c r="AV116" s="1100">
        <v>0.0</v>
      </c>
      <c r="AW116" s="1100">
        <v>0.0</v>
      </c>
      <c r="AX116" s="1100">
        <v>0.0</v>
      </c>
      <c r="AY116" s="1100">
        <v>1.0</v>
      </c>
      <c r="AZ116" s="1239">
        <v>0.0</v>
      </c>
    </row>
    <row r="117">
      <c r="A117" s="938" t="s">
        <v>96</v>
      </c>
      <c r="B117" s="1100" t="str">
        <f>IF(C117&lt;'PlayerGrades+'!$Y$44,"F-",IF(C117&lt;'PlayerGrades+'!$Y$43,"F",IF(C117&lt;'PlayerGrades+'!$Y$42,"F+",IF(C117&lt;'PlayerGrades+'!$Y$41,"E-",IF(C117&lt;'PlayerGrades+'!$Y$40,"E",IF(C117&lt;'PlayerGrades+'!$Y$39,"E+",IF(C117&lt;'PlayerGrades+'!$Y$38,"D-",IF(C117&lt;'PlayerGrades+'!$Y$37,"D",IF(C117&lt;'PlayerGrades+'!$Y$36,"D+",IF(C117&lt;'PlayerGrades+'!$Y$35,"C-",IF(C117&lt;'PlayerGrades+'!$Y$34,"C",IF(C117&lt;'PlayerGrades+'!$Y$33,"C+",IF(C117&lt;'PlayerGrades+'!$Y$32,"B-",IF(C117&lt;'PlayerGrades+'!$Y$31,"B",IF(C117&lt;'PlayerGrades+'!$Y$30,"B+",IF(C117&lt;'PlayerGrades+'!$Y$29,"A-",IF(C117&lt;'PlayerGrades+'!$Y$28,"A",IF(C117&lt;'PlayerGrades+'!$Y$27,"A+",IF(C117&lt;'PlayerGrades+'!$Y$26,"S-",IF(C117&lt;'PlayerGrades+'!$Y$25,"S","S+"))))))))))))))))))))</f>
        <v>A</v>
      </c>
      <c r="C117" s="1105">
        <f>('PlayerGrades+'!$Y$47*(VLOOKUP(E117, 'PlayerGrades+'!$X$3:$Y$23, 2, FALSE)))+('PlayerGrades+'!$Y$48*(VLOOKUP(G117, 'PlayerGrades+'!$X$3:$Y$23, 2, FALSE)))+('PlayerGrades+'!$Y$49*(VLOOKUP(I117, 'PlayerGrades+'!$X$3:$Y$23, 2, FALSE)))+('PlayerGrades+'!$Y$50*(VLOOKUP(K117, 'PlayerGrades+'!$X$3:$Y$23, 2, FALSE)))+('PlayerGrades+'!$Y$51*(VLOOKUP(M117, 'PlayerGrades+'!$X$3:$Y$23, 2, FALSE)))+('PlayerGrades+'!$Y$52*(VLOOKUP(O117, 'PlayerGrades+'!$X$3:$Y$23, 2, FALSE)))+('PlayerGrades+'!$Y$53*(VLOOKUP(Q117, 'PlayerGrades+'!$X$3:$Y$23, 2, FALSE)))+('PlayerGrades+'!$Y$54*(VLOOKUP(S117, 'PlayerGrades+'!$X$3:$Y$23, 2, FALSE)))+('PlayerGrades+'!$Y$55*(VLOOKUP(U117, 'PlayerGrades+'!$X$3:$Y$23, 2, FALSE)))</f>
        <v>23.075</v>
      </c>
      <c r="D117" s="961">
        <f t="shared" si="1"/>
        <v>0.3151260504</v>
      </c>
      <c r="E117" s="961" t="str">
        <f>IF(D117&lt;'PlayerGrades+'!$AA$21,"F-",IF(D117&lt;'PlayerGrades+'!$AA$20,"F",IF(D117&lt;'PlayerGrades+'!$AA$19,"F+",IF(D117&lt;'PlayerGrades+'!$AA$18,"E-",IF(D117&lt;'PlayerGrades+'!$AA$17,"E",IF(D117&lt;'PlayerGrades+'!$AA$16,"E+",IF(D117&lt;'PlayerGrades+'!$AA$15,"D-",IF(D117&lt;'PlayerGrades+'!$AA$14,"D",IF(D117&lt;'PlayerGrades+'!$AA$13,"D+",IF(D117&lt;'PlayerGrades+'!$AA$12,"C-",IF(D117&lt;'PlayerGrades+'!$AA$11,"C",IF(D117&lt;'PlayerGrades+'!$AA$10,"C+",IF(D117&lt;'PlayerGrades+'!$AA$9,"B-",IF(D117&lt;'PlayerGrades+'!$AA$8,"B",IF(D117&lt;'PlayerGrades+'!$AA$7,"B+",IF(D117&lt;'PlayerGrades+'!$AA$6,"A-",IF(D117&lt;'PlayerGrades+'!$AA$5,"A",IF(D117&lt;'PlayerGrades+'!$AA$4,"A+",IF(D117&lt;'PlayerGrades+'!$AA$3,"S-",IF(D117&lt;'PlayerGrades+'!$AA$2,"S","S+"))))))))))))))))))))</f>
        <v>S+</v>
      </c>
      <c r="F117" s="961">
        <f t="shared" si="2"/>
        <v>0.08910460736</v>
      </c>
      <c r="G117" s="961" t="str">
        <f>IF(F117&lt;'PlayerGrades+'!$AB$21,"F-",IF(F117&lt;'PlayerGrades+'!$AB$20,"F",IF(F117&lt;'PlayerGrades+'!$AB$19,"F+",IF(F117&lt;'PlayerGrades+'!$AB$18,"E-",IF(F117&lt;'PlayerGrades+'!$AB$17,"E",IF(F117&lt;'PlayerGrades+'!$AB$16,"E+",IF(F117&lt;'PlayerGrades+'!$AB$15,"D-",IF(F117&lt;'PlayerGrades+'!$AB$14,"D",IF(F117&lt;'PlayerGrades+'!$AB$13,"D+",IF(F117&lt;'PlayerGrades+'!$AB$12,"C-",IF(F117&lt;'PlayerGrades+'!$AB$11,"C",IF(F117&lt;'PlayerGrades+'!$AB$10,"C+",IF(F117&lt;'PlayerGrades+'!$AB$9,"B-",IF(F117&lt;'PlayerGrades+'!$AB$8,"B",IF(F117&lt;'PlayerGrades+'!$AB$7,"B+",IF(F117&lt;'PlayerGrades+'!$AB$6,"A-",IF(F117&lt;'PlayerGrades+'!$AB$5,"A",IF(F117&lt;'PlayerGrades+'!$AB$4,"A+",IF(F117&lt;'PlayerGrades+'!$AB$3,"S-",IF(F117&lt;'PlayerGrades+'!$AB$2,"S","S+"))))))))))))))))))))</f>
        <v>A</v>
      </c>
      <c r="H117" s="961">
        <f t="shared" si="3"/>
        <v>0.6932773109</v>
      </c>
      <c r="I117" s="961" t="str">
        <f>IF(H117&lt;'PlayerGrades+'!$AC$21,"F-",IF(H117&lt;'PlayerGrades+'!$AC$20,"F",IF(H117&lt;'PlayerGrades+'!$AC$19,"F+",IF(H117&lt;'PlayerGrades+'!$AC$18,"E-",IF(H117&lt;'PlayerGrades+'!$AC$17,"E",IF(H117&lt;'PlayerGrades+'!$AC$16,"E+",IF(H117&lt;'PlayerGrades+'!$AC$15,"D-",IF(H117&lt;'PlayerGrades+'!$AC$14,"D",IF(H117&lt;'PlayerGrades+'!$AC$13,"D+",IF(H117&lt;'PlayerGrades+'!$AC$12,"C-",IF(H117&lt;'PlayerGrades+'!$AC$11,"C",IF(H117&lt;'PlayerGrades+'!$AC$10,"C+",IF(H117&lt;'PlayerGrades+'!$AC$9,"B-",IF(H117&lt;'PlayerGrades+'!$AC$8,"B",IF(H117&lt;'PlayerGrades+'!$AC$7,"B+",IF(H117&lt;'PlayerGrades+'!$AC$6,"A-",IF(H117&lt;'PlayerGrades+'!$AC$5,"A",IF(H117&lt;'PlayerGrades+'!$AC$4,"A+",IF(H117&lt;'PlayerGrades+'!$AC$3,"S-",IF(H117&lt;'PlayerGrades+'!$AC$2,"S","S+"))))))))))))))))))))</f>
        <v>A+</v>
      </c>
      <c r="J117" s="961">
        <f t="shared" si="4"/>
        <v>0.1260504202</v>
      </c>
      <c r="K117" s="961" t="str">
        <f>IF(J117&lt;'PlayerGrades+'!$AD$21,"F-",IF(J117&lt;'PlayerGrades+'!$AD$20,"F",IF(J117&lt;'PlayerGrades+'!$AD$19,"F+",IF(J117&lt;'PlayerGrades+'!$AD$18,"E-",IF(J117&lt;'PlayerGrades+'!$AD$17,"E",IF(J117&lt;'PlayerGrades+'!$AD$16,"E+",IF(J117&lt;'PlayerGrades+'!$AD$15,"D-",IF(J117&lt;'PlayerGrades+'!$AD$14,"D",IF(J117&lt;'PlayerGrades+'!$AD$13,"D+",IF(J117&lt;'PlayerGrades+'!$AD$12,"C-",IF(J117&lt;'PlayerGrades+'!$AD$11,"C",IF(J117&lt;'PlayerGrades+'!$AD$10,"C+",IF(J117&lt;'PlayerGrades+'!$AD$9,"B-",IF(J117&lt;'PlayerGrades+'!$AD$8,"B",IF(J117&lt;'PlayerGrades+'!$AD$7,"B+",IF(J117&lt;'PlayerGrades+'!$AD$6,"A-",IF(J117&lt;'PlayerGrades+'!$AD$5,"A",IF(J117&lt;'PlayerGrades+'!$AD$4,"A+",IF(J117&lt;'PlayerGrades+'!$AD$3,"S-",IF(J117&lt;'PlayerGrades+'!$AD$2,"S","S+"))))))))))))))))))))</f>
        <v>S-</v>
      </c>
      <c r="L117" s="992">
        <f t="shared" si="5"/>
        <v>0.5042016807</v>
      </c>
      <c r="M117" s="992" t="str">
        <f>IF(L117&lt;'PlayerGrades+'!$AE$21,"F-",IF(L117&lt;'PlayerGrades+'!$AE$20,"F",IF(L117&lt;'PlayerGrades+'!$AE$19,"F+",IF(L117&lt;'PlayerGrades+'!$AE$18,"E-",IF(L117&lt;'PlayerGrades+'!$AE$17,"E",IF(L117&lt;'PlayerGrades+'!$AE$16,"E+",IF(L117&lt;'PlayerGrades+'!$AE$15,"D-",IF(L117&lt;'PlayerGrades+'!$AE$14,"D",IF(L117&lt;'PlayerGrades+'!$AE$13,"D+",IF(L117&lt;'PlayerGrades+'!$AE$12,"C-",IF(L117&lt;'PlayerGrades+'!$AE$11,"C",IF(L117&lt;'PlayerGrades+'!$AE$10,"C+",IF(L117&lt;'PlayerGrades+'!$AE$9,"B-",IF(L117&lt;'PlayerGrades+'!$AE$8,"B",IF(L117&lt;'PlayerGrades+'!$AE$7,"B+",IF(L117&lt;'PlayerGrades+'!$AE$6,"A-",IF(L117&lt;'PlayerGrades+'!$AE$5,"A",IF(L117&lt;'PlayerGrades+'!$AE$4,"A+",IF(L117&lt;'PlayerGrades+'!$AE$3,"S-",IF(L117&lt;'PlayerGrades+'!$AE$2,"S","S+"))))))))))))))))))))</f>
        <v>B</v>
      </c>
      <c r="N117" s="961">
        <f t="shared" si="6"/>
        <v>0.1260504202</v>
      </c>
      <c r="O117" s="961" t="str">
        <f>IF(N117&lt;'PlayerGrades+'!$AF$21,"F-",IF(N117&lt;'PlayerGrades+'!$AF$20,"F",IF(N117&lt;'PlayerGrades+'!$AF$19,"F+",IF(N117&lt;'PlayerGrades+'!$AF$18,"E-",IF(N117&lt;'PlayerGrades+'!$AF$17,"E",IF(N117&lt;'PlayerGrades+'!$AF$16,"E+",IF(N117&lt;'PlayerGrades+'!$AF$15,"D-",IF(N117&lt;'PlayerGrades+'!$AF$14,"D",IF(N117&lt;'PlayerGrades+'!$AF$13,"D+",IF(N117&lt;'PlayerGrades+'!$AF$12,"C-",IF(N117&lt;'PlayerGrades+'!$AF$11,"C",IF(N117&lt;'PlayerGrades+'!$AF$10,"C+",IF(N117&lt;'PlayerGrades+'!$AF$9,"B-",IF(N117&lt;'PlayerGrades+'!$AF$8,"B",IF(N117&lt;'PlayerGrades+'!$AF$7,"B+",IF(N117&lt;'PlayerGrades+'!$AF$6,"A-",IF(N117&lt;'PlayerGrades+'!$AF$5,"A",IF(N117&lt;'PlayerGrades+'!$AF$4,"A+",IF(N117&lt;'PlayerGrades+'!$AF$3,"S-",IF(N117&lt;'PlayerGrades+'!$AF$2,"S","S+"))))))))))))))))))))</f>
        <v>C+</v>
      </c>
      <c r="P117" s="961">
        <f t="shared" si="7"/>
        <v>0.6302521008</v>
      </c>
      <c r="Q117" s="961" t="str">
        <f>IF(P117&lt;'PlayerGrades+'!$AG$21,"F-",IF(P117&lt;'PlayerGrades+'!$AG$20,"F",IF(P117&lt;'PlayerGrades+'!$AG$19,"F+",IF(P117&lt;'PlayerGrades+'!$AG$18,"E-",IF(P117&lt;'PlayerGrades+'!$AG$17,"E",IF(P117&lt;'PlayerGrades+'!$AG$16,"E+",IF(P117&lt;'PlayerGrades+'!$AG$15,"D-",IF(P117&lt;'PlayerGrades+'!$AG$14,"D",IF(P117&lt;'PlayerGrades+'!$AG$13,"D+",IF(P117&lt;'PlayerGrades+'!$AG$12,"C-",IF(P117&lt;'PlayerGrades+'!$AG$11,"C",IF(P117&lt;'PlayerGrades+'!$AG$10,"C+",IF(P117&lt;'PlayerGrades+'!$AG$9,"B-",IF(P117&lt;'PlayerGrades+'!$AG$8,"B",IF(P117&lt;'PlayerGrades+'!$AG$7,"B+",IF(P117&lt;'PlayerGrades+'!$AG$6,"A-",IF(P117&lt;'PlayerGrades+'!$AG$5,"A",IF(P117&lt;'PlayerGrades+'!$AG$4,"A+",IF(P117&lt;'PlayerGrades+'!$AG$3,"S-",IF(P117&lt;'PlayerGrades+'!$AG$2,"S","S+"))))))))))))))))))))</f>
        <v>B-</v>
      </c>
      <c r="R117" s="961">
        <f t="shared" si="8"/>
        <v>0.06302521008</v>
      </c>
      <c r="S117" s="961" t="str">
        <f>IF(R117&lt;'PlayerGrades+'!$AH$21,"F-",IF(R117&lt;'PlayerGrades+'!$AH$20,"F",IF(R117&lt;'PlayerGrades+'!$AH$19,"F+",IF(R117&lt;'PlayerGrades+'!$AH$18,"E-",IF(R117&lt;'PlayerGrades+'!$AH$17,"E",IF(R117&lt;'PlayerGrades+'!$AH$16,"E+",IF(R117&lt;'PlayerGrades+'!$AH$15,"D-",IF(R117&lt;'PlayerGrades+'!$AH$14,"D",IF(R117&lt;'PlayerGrades+'!$AH$13,"D+",IF(R117&lt;'PlayerGrades+'!$AH$12,"C-",IF(R117&lt;'PlayerGrades+'!$AH$11,"C",IF(R117&lt;'PlayerGrades+'!$AH$10,"C+",IF(R117&lt;'PlayerGrades+'!$AH$9,"B-",IF(R117&lt;'PlayerGrades+'!$AH$8,"B",IF(R117&lt;'PlayerGrades+'!$AH$7,"B+",IF(R117&lt;'PlayerGrades+'!$AH$6,"A-",IF(R117&lt;'PlayerGrades+'!$AH$5,"A",IF(R117&lt;'PlayerGrades+'!$AH$4,"A+",IF(R117&lt;'PlayerGrades+'!$AH$3,"S-",IF(R117&lt;'PlayerGrades+'!$AH$2,"S","S+"))))))))))))))))))))</f>
        <v>B-</v>
      </c>
      <c r="T117" s="961">
        <f t="shared" si="9"/>
        <v>2.584033613</v>
      </c>
      <c r="U117" s="961" t="str">
        <f>IF(T117&lt;'PlayerGrades+'!$AI$21,"F-",IF(T117&lt;'PlayerGrades+'!$AI$20,"F",IF(T117&lt;'PlayerGrades+'!$AI$19,"F+",IF(T117&lt;'PlayerGrades+'!$AI$18,"E-",IF(T117&lt;'PlayerGrades+'!$AI$17,"E",IF(T117&lt;'PlayerGrades+'!$AI$16,"E+",IF(T117&lt;'PlayerGrades+'!$AI$15,"D-",IF(T117&lt;'PlayerGrades+'!$AI$14,"D",IF(T117&lt;'PlayerGrades+'!$AI$13,"D+",IF(T117&lt;'PlayerGrades+'!$AI$12,"C-",IF(T117&lt;'PlayerGrades+'!$AI$11,"C",IF(T117&lt;'PlayerGrades+'!$AI$10,"C+",IF(T117&lt;'PlayerGrades+'!$AI$9,"B-",IF(T117&lt;'PlayerGrades+'!$AI$8,"B",IF(T117&lt;'PlayerGrades+'!$AI$7,"B+",IF(T117&lt;'PlayerGrades+'!$AI$6,"A-",IF(T117&lt;'PlayerGrades+'!$AI$5,"A",IF(T117&lt;'PlayerGrades+'!$AI$4,"A+",IF(T117&lt;'PlayerGrades+'!$AI$3,"S-",IF(T117&lt;'PlayerGrades+'!$AI$2,"S","S+"))))))))))))))))))))</f>
        <v>D</v>
      </c>
      <c r="V117" s="1100">
        <v>1.0</v>
      </c>
      <c r="W117" s="1100">
        <v>0.0</v>
      </c>
      <c r="X117" s="1100">
        <v>5.0</v>
      </c>
      <c r="Y117" s="1100">
        <v>13.0</v>
      </c>
      <c r="Z117" s="1100">
        <v>41.0</v>
      </c>
      <c r="AA117" s="1100">
        <v>29.0</v>
      </c>
      <c r="AB117" s="1017">
        <f t="shared" si="10"/>
        <v>12</v>
      </c>
      <c r="AC117" s="1020">
        <f t="shared" si="11"/>
        <v>1.413793103</v>
      </c>
      <c r="AD117" s="1100">
        <v>0.0</v>
      </c>
      <c r="AE117" s="1329">
        <v>952.0</v>
      </c>
      <c r="AF117" s="1100">
        <v>2.0</v>
      </c>
      <c r="AG117" s="1100">
        <v>0.0</v>
      </c>
      <c r="AH117" s="1100">
        <v>0.0</v>
      </c>
      <c r="AI117" s="1100">
        <v>0.0</v>
      </c>
      <c r="AJ117" s="1100">
        <v>0.0</v>
      </c>
      <c r="AK117" s="1100">
        <v>8.0</v>
      </c>
      <c r="AL117" s="1100">
        <v>2.0</v>
      </c>
      <c r="AM117" s="1100">
        <v>0.0</v>
      </c>
      <c r="AN117" s="1100">
        <v>0.0</v>
      </c>
      <c r="AO117" s="1100">
        <v>0.0</v>
      </c>
      <c r="AP117" s="1100">
        <v>0.0</v>
      </c>
      <c r="AQ117" s="1100">
        <v>0.0</v>
      </c>
      <c r="AR117" s="1100">
        <v>0.0</v>
      </c>
      <c r="AS117" s="1100">
        <v>0.0</v>
      </c>
      <c r="AT117" s="1100">
        <v>0.0</v>
      </c>
      <c r="AU117" s="1100">
        <v>11.0</v>
      </c>
      <c r="AV117" s="1100">
        <v>0.0</v>
      </c>
      <c r="AW117" s="1100">
        <v>0.0</v>
      </c>
      <c r="AX117" s="1100">
        <v>0.0</v>
      </c>
      <c r="AY117" s="1100">
        <v>1.0</v>
      </c>
      <c r="AZ117" s="1239">
        <v>0.0</v>
      </c>
    </row>
    <row r="118">
      <c r="A118" s="938" t="s">
        <v>62</v>
      </c>
      <c r="B118" s="1100" t="str">
        <f>IF(C118&lt;'PlayerGrades+'!$Y$44,"F-",IF(C118&lt;'PlayerGrades+'!$Y$43,"F",IF(C118&lt;'PlayerGrades+'!$Y$42,"F+",IF(C118&lt;'PlayerGrades+'!$Y$41,"E-",IF(C118&lt;'PlayerGrades+'!$Y$40,"E",IF(C118&lt;'PlayerGrades+'!$Y$39,"E+",IF(C118&lt;'PlayerGrades+'!$Y$38,"D-",IF(C118&lt;'PlayerGrades+'!$Y$37,"D",IF(C118&lt;'PlayerGrades+'!$Y$36,"D+",IF(C118&lt;'PlayerGrades+'!$Y$35,"C-",IF(C118&lt;'PlayerGrades+'!$Y$34,"C",IF(C118&lt;'PlayerGrades+'!$Y$33,"C+",IF(C118&lt;'PlayerGrades+'!$Y$32,"B-",IF(C118&lt;'PlayerGrades+'!$Y$31,"B",IF(C118&lt;'PlayerGrades+'!$Y$30,"B+",IF(C118&lt;'PlayerGrades+'!$Y$29,"A-",IF(C118&lt;'PlayerGrades+'!$Y$28,"A",IF(C118&lt;'PlayerGrades+'!$Y$27,"A+",IF(C118&lt;'PlayerGrades+'!$Y$26,"S-",IF(C118&lt;'PlayerGrades+'!$Y$25,"S","S+"))))))))))))))))))))</f>
        <v>B</v>
      </c>
      <c r="C118" s="1105">
        <f>('PlayerGrades+'!$Y$47*(VLOOKUP(E118, 'PlayerGrades+'!$X$3:$Y$23, 2, FALSE)))+('PlayerGrades+'!$Y$48*(VLOOKUP(G118, 'PlayerGrades+'!$X$3:$Y$23, 2, FALSE)))+('PlayerGrades+'!$Y$49*(VLOOKUP(I118, 'PlayerGrades+'!$X$3:$Y$23, 2, FALSE)))+('PlayerGrades+'!$Y$50*(VLOOKUP(K118, 'PlayerGrades+'!$X$3:$Y$23, 2, FALSE)))+('PlayerGrades+'!$Y$51*(VLOOKUP(M118, 'PlayerGrades+'!$X$3:$Y$23, 2, FALSE)))+('PlayerGrades+'!$Y$52*(VLOOKUP(O118, 'PlayerGrades+'!$X$3:$Y$23, 2, FALSE)))+('PlayerGrades+'!$Y$53*(VLOOKUP(Q118, 'PlayerGrades+'!$X$3:$Y$23, 2, FALSE)))+('PlayerGrades+'!$Y$54*(VLOOKUP(S118, 'PlayerGrades+'!$X$3:$Y$23, 2, FALSE)))+('PlayerGrades+'!$Y$55*(VLOOKUP(U118, 'PlayerGrades+'!$X$3:$Y$23, 2, FALSE)))</f>
        <v>18.9125</v>
      </c>
      <c r="D118" s="961">
        <f t="shared" si="1"/>
        <v>0</v>
      </c>
      <c r="E118" s="961" t="str">
        <f>IF(D118&lt;'PlayerGrades+'!$AA$21,"F-",IF(D118&lt;'PlayerGrades+'!$AA$20,"F",IF(D118&lt;'PlayerGrades+'!$AA$19,"F+",IF(D118&lt;'PlayerGrades+'!$AA$18,"E-",IF(D118&lt;'PlayerGrades+'!$AA$17,"E",IF(D118&lt;'PlayerGrades+'!$AA$16,"E+",IF(D118&lt;'PlayerGrades+'!$AA$15,"D-",IF(D118&lt;'PlayerGrades+'!$AA$14,"D",IF(D118&lt;'PlayerGrades+'!$AA$13,"D+",IF(D118&lt;'PlayerGrades+'!$AA$12,"C-",IF(D118&lt;'PlayerGrades+'!$AA$11,"C",IF(D118&lt;'PlayerGrades+'!$AA$10,"C+",IF(D118&lt;'PlayerGrades+'!$AA$9,"B-",IF(D118&lt;'PlayerGrades+'!$AA$8,"B",IF(D118&lt;'PlayerGrades+'!$AA$7,"B+",IF(D118&lt;'PlayerGrades+'!$AA$6,"A-",IF(D118&lt;'PlayerGrades+'!$AA$5,"A",IF(D118&lt;'PlayerGrades+'!$AA$4,"A+",IF(D118&lt;'PlayerGrades+'!$AA$3,"S-",IF(D118&lt;'PlayerGrades+'!$AA$2,"S","S+"))))))))))))))))))))</f>
        <v>F-</v>
      </c>
      <c r="F118" s="961">
        <f t="shared" si="2"/>
        <v>0.05844155844</v>
      </c>
      <c r="G118" s="961" t="str">
        <f>IF(F118&lt;'PlayerGrades+'!$AB$21,"F-",IF(F118&lt;'PlayerGrades+'!$AB$20,"F",IF(F118&lt;'PlayerGrades+'!$AB$19,"F+",IF(F118&lt;'PlayerGrades+'!$AB$18,"E-",IF(F118&lt;'PlayerGrades+'!$AB$17,"E",IF(F118&lt;'PlayerGrades+'!$AB$16,"E+",IF(F118&lt;'PlayerGrades+'!$AB$15,"D-",IF(F118&lt;'PlayerGrades+'!$AB$14,"D",IF(F118&lt;'PlayerGrades+'!$AB$13,"D+",IF(F118&lt;'PlayerGrades+'!$AB$12,"C-",IF(F118&lt;'PlayerGrades+'!$AB$11,"C",IF(F118&lt;'PlayerGrades+'!$AB$10,"C+",IF(F118&lt;'PlayerGrades+'!$AB$9,"B-",IF(F118&lt;'PlayerGrades+'!$AB$8,"B",IF(F118&lt;'PlayerGrades+'!$AB$7,"B+",IF(F118&lt;'PlayerGrades+'!$AB$6,"A-",IF(F118&lt;'PlayerGrades+'!$AB$5,"A",IF(F118&lt;'PlayerGrades+'!$AB$4,"A+",IF(F118&lt;'PlayerGrades+'!$AB$3,"S-",IF(F118&lt;'PlayerGrades+'!$AB$2,"S","S+"))))))))))))))))))))</f>
        <v>A</v>
      </c>
      <c r="H118" s="961">
        <f t="shared" si="3"/>
        <v>0.6302521008</v>
      </c>
      <c r="I118" s="961" t="str">
        <f>IF(H118&lt;'PlayerGrades+'!$AC$21,"F-",IF(H118&lt;'PlayerGrades+'!$AC$20,"F",IF(H118&lt;'PlayerGrades+'!$AC$19,"F+",IF(H118&lt;'PlayerGrades+'!$AC$18,"E-",IF(H118&lt;'PlayerGrades+'!$AC$17,"E",IF(H118&lt;'PlayerGrades+'!$AC$16,"E+",IF(H118&lt;'PlayerGrades+'!$AC$15,"D-",IF(H118&lt;'PlayerGrades+'!$AC$14,"D",IF(H118&lt;'PlayerGrades+'!$AC$13,"D+",IF(H118&lt;'PlayerGrades+'!$AC$12,"C-",IF(H118&lt;'PlayerGrades+'!$AC$11,"C",IF(H118&lt;'PlayerGrades+'!$AC$10,"C+",IF(H118&lt;'PlayerGrades+'!$AC$9,"B-",IF(H118&lt;'PlayerGrades+'!$AC$8,"B",IF(H118&lt;'PlayerGrades+'!$AC$7,"B+",IF(H118&lt;'PlayerGrades+'!$AC$6,"A-",IF(H118&lt;'PlayerGrades+'!$AC$5,"A",IF(H118&lt;'PlayerGrades+'!$AC$4,"A+",IF(H118&lt;'PlayerGrades+'!$AC$3,"S-",IF(H118&lt;'PlayerGrades+'!$AC$2,"S","S+"))))))))))))))))))))</f>
        <v>A</v>
      </c>
      <c r="J118" s="961">
        <f t="shared" si="4"/>
        <v>0.06302521008</v>
      </c>
      <c r="K118" s="961" t="str">
        <f>IF(J118&lt;'PlayerGrades+'!$AD$21,"F-",IF(J118&lt;'PlayerGrades+'!$AD$20,"F",IF(J118&lt;'PlayerGrades+'!$AD$19,"F+",IF(J118&lt;'PlayerGrades+'!$AD$18,"E-",IF(J118&lt;'PlayerGrades+'!$AD$17,"E",IF(J118&lt;'PlayerGrades+'!$AD$16,"E+",IF(J118&lt;'PlayerGrades+'!$AD$15,"D-",IF(J118&lt;'PlayerGrades+'!$AD$14,"D",IF(J118&lt;'PlayerGrades+'!$AD$13,"D+",IF(J118&lt;'PlayerGrades+'!$AD$12,"C-",IF(J118&lt;'PlayerGrades+'!$AD$11,"C",IF(J118&lt;'PlayerGrades+'!$AD$10,"C+",IF(J118&lt;'PlayerGrades+'!$AD$9,"B-",IF(J118&lt;'PlayerGrades+'!$AD$8,"B",IF(J118&lt;'PlayerGrades+'!$AD$7,"B+",IF(J118&lt;'PlayerGrades+'!$AD$6,"A-",IF(J118&lt;'PlayerGrades+'!$AD$5,"A",IF(J118&lt;'PlayerGrades+'!$AD$4,"A+",IF(J118&lt;'PlayerGrades+'!$AD$3,"S-",IF(J118&lt;'PlayerGrades+'!$AD$2,"S","S+"))))))))))))))))))))</f>
        <v>B+</v>
      </c>
      <c r="L118" s="992">
        <f t="shared" si="5"/>
        <v>0.4411764706</v>
      </c>
      <c r="M118" s="992" t="str">
        <f>IF(L118&lt;'PlayerGrades+'!$AE$21,"F-",IF(L118&lt;'PlayerGrades+'!$AE$20,"F",IF(L118&lt;'PlayerGrades+'!$AE$19,"F+",IF(L118&lt;'PlayerGrades+'!$AE$18,"E-",IF(L118&lt;'PlayerGrades+'!$AE$17,"E",IF(L118&lt;'PlayerGrades+'!$AE$16,"E+",IF(L118&lt;'PlayerGrades+'!$AE$15,"D-",IF(L118&lt;'PlayerGrades+'!$AE$14,"D",IF(L118&lt;'PlayerGrades+'!$AE$13,"D+",IF(L118&lt;'PlayerGrades+'!$AE$12,"C-",IF(L118&lt;'PlayerGrades+'!$AE$11,"C",IF(L118&lt;'PlayerGrades+'!$AE$10,"C+",IF(L118&lt;'PlayerGrades+'!$AE$9,"B-",IF(L118&lt;'PlayerGrades+'!$AE$8,"B",IF(L118&lt;'PlayerGrades+'!$AE$7,"B+",IF(L118&lt;'PlayerGrades+'!$AE$6,"A-",IF(L118&lt;'PlayerGrades+'!$AE$5,"A",IF(L118&lt;'PlayerGrades+'!$AE$4,"A+",IF(L118&lt;'PlayerGrades+'!$AE$3,"S-",IF(L118&lt;'PlayerGrades+'!$AE$2,"S","S+"))))))))))))))))))))</f>
        <v>B-</v>
      </c>
      <c r="N118" s="961">
        <f t="shared" si="6"/>
        <v>0.1260504202</v>
      </c>
      <c r="O118" s="961" t="str">
        <f>IF(N118&lt;'PlayerGrades+'!$AF$21,"F-",IF(N118&lt;'PlayerGrades+'!$AF$20,"F",IF(N118&lt;'PlayerGrades+'!$AF$19,"F+",IF(N118&lt;'PlayerGrades+'!$AF$18,"E-",IF(N118&lt;'PlayerGrades+'!$AF$17,"E",IF(N118&lt;'PlayerGrades+'!$AF$16,"E+",IF(N118&lt;'PlayerGrades+'!$AF$15,"D-",IF(N118&lt;'PlayerGrades+'!$AF$14,"D",IF(N118&lt;'PlayerGrades+'!$AF$13,"D+",IF(N118&lt;'PlayerGrades+'!$AF$12,"C-",IF(N118&lt;'PlayerGrades+'!$AF$11,"C",IF(N118&lt;'PlayerGrades+'!$AF$10,"C+",IF(N118&lt;'PlayerGrades+'!$AF$9,"B-",IF(N118&lt;'PlayerGrades+'!$AF$8,"B",IF(N118&lt;'PlayerGrades+'!$AF$7,"B+",IF(N118&lt;'PlayerGrades+'!$AF$6,"A-",IF(N118&lt;'PlayerGrades+'!$AF$5,"A",IF(N118&lt;'PlayerGrades+'!$AF$4,"A+",IF(N118&lt;'PlayerGrades+'!$AF$3,"S-",IF(N118&lt;'PlayerGrades+'!$AF$2,"S","S+"))))))))))))))))))))</f>
        <v>C+</v>
      </c>
      <c r="P118" s="961">
        <f t="shared" si="7"/>
        <v>0.6302521008</v>
      </c>
      <c r="Q118" s="961" t="str">
        <f>IF(P118&lt;'PlayerGrades+'!$AG$21,"F-",IF(P118&lt;'PlayerGrades+'!$AG$20,"F",IF(P118&lt;'PlayerGrades+'!$AG$19,"F+",IF(P118&lt;'PlayerGrades+'!$AG$18,"E-",IF(P118&lt;'PlayerGrades+'!$AG$17,"E",IF(P118&lt;'PlayerGrades+'!$AG$16,"E+",IF(P118&lt;'PlayerGrades+'!$AG$15,"D-",IF(P118&lt;'PlayerGrades+'!$AG$14,"D",IF(P118&lt;'PlayerGrades+'!$AG$13,"D+",IF(P118&lt;'PlayerGrades+'!$AG$12,"C-",IF(P118&lt;'PlayerGrades+'!$AG$11,"C",IF(P118&lt;'PlayerGrades+'!$AG$10,"C+",IF(P118&lt;'PlayerGrades+'!$AG$9,"B-",IF(P118&lt;'PlayerGrades+'!$AG$8,"B",IF(P118&lt;'PlayerGrades+'!$AG$7,"B+",IF(P118&lt;'PlayerGrades+'!$AG$6,"A-",IF(P118&lt;'PlayerGrades+'!$AG$5,"A",IF(P118&lt;'PlayerGrades+'!$AG$4,"A+",IF(P118&lt;'PlayerGrades+'!$AG$3,"S-",IF(P118&lt;'PlayerGrades+'!$AG$2,"S","S+"))))))))))))))))))))</f>
        <v>B-</v>
      </c>
      <c r="R118" s="961">
        <f t="shared" si="8"/>
        <v>0.1260504202</v>
      </c>
      <c r="S118" s="961" t="str">
        <f>IF(R118&lt;'PlayerGrades+'!$AH$21,"F-",IF(R118&lt;'PlayerGrades+'!$AH$20,"F",IF(R118&lt;'PlayerGrades+'!$AH$19,"F+",IF(R118&lt;'PlayerGrades+'!$AH$18,"E-",IF(R118&lt;'PlayerGrades+'!$AH$17,"E",IF(R118&lt;'PlayerGrades+'!$AH$16,"E+",IF(R118&lt;'PlayerGrades+'!$AH$15,"D-",IF(R118&lt;'PlayerGrades+'!$AH$14,"D",IF(R118&lt;'PlayerGrades+'!$AH$13,"D+",IF(R118&lt;'PlayerGrades+'!$AH$12,"C-",IF(R118&lt;'PlayerGrades+'!$AH$11,"C",IF(R118&lt;'PlayerGrades+'!$AH$10,"C+",IF(R118&lt;'PlayerGrades+'!$AH$9,"B-",IF(R118&lt;'PlayerGrades+'!$AH$8,"B",IF(R118&lt;'PlayerGrades+'!$AH$7,"B+",IF(R118&lt;'PlayerGrades+'!$AH$6,"A-",IF(R118&lt;'PlayerGrades+'!$AH$5,"A",IF(R118&lt;'PlayerGrades+'!$AH$4,"A+",IF(R118&lt;'PlayerGrades+'!$AH$3,"S-",IF(R118&lt;'PlayerGrades+'!$AH$2,"S","S+"))))))))))))))))))))</f>
        <v>S</v>
      </c>
      <c r="T118" s="961">
        <f t="shared" si="9"/>
        <v>3.214285714</v>
      </c>
      <c r="U118" s="961" t="str">
        <f>IF(T118&lt;'PlayerGrades+'!$AI$21,"F-",IF(T118&lt;'PlayerGrades+'!$AI$20,"F",IF(T118&lt;'PlayerGrades+'!$AI$19,"F+",IF(T118&lt;'PlayerGrades+'!$AI$18,"E-",IF(T118&lt;'PlayerGrades+'!$AI$17,"E",IF(T118&lt;'PlayerGrades+'!$AI$16,"E+",IF(T118&lt;'PlayerGrades+'!$AI$15,"D-",IF(T118&lt;'PlayerGrades+'!$AI$14,"D",IF(T118&lt;'PlayerGrades+'!$AI$13,"D+",IF(T118&lt;'PlayerGrades+'!$AI$12,"C-",IF(T118&lt;'PlayerGrades+'!$AI$11,"C",IF(T118&lt;'PlayerGrades+'!$AI$10,"C+",IF(T118&lt;'PlayerGrades+'!$AI$9,"B-",IF(T118&lt;'PlayerGrades+'!$AI$8,"B",IF(T118&lt;'PlayerGrades+'!$AI$7,"B+",IF(T118&lt;'PlayerGrades+'!$AI$6,"A-",IF(T118&lt;'PlayerGrades+'!$AI$5,"A",IF(T118&lt;'PlayerGrades+'!$AI$4,"A+",IF(T118&lt;'PlayerGrades+'!$AI$3,"S-",IF(T118&lt;'PlayerGrades+'!$AI$2,"S","S+"))))))))))))))))))))</f>
        <v>A-</v>
      </c>
      <c r="V118" s="1100">
        <v>0.0</v>
      </c>
      <c r="W118" s="1100">
        <v>1.0</v>
      </c>
      <c r="X118" s="1100">
        <v>0.0</v>
      </c>
      <c r="Y118" s="1100">
        <v>4.0</v>
      </c>
      <c r="Z118" s="1100">
        <v>51.0</v>
      </c>
      <c r="AA118" s="1100">
        <v>55.0</v>
      </c>
      <c r="AB118" s="1017">
        <f t="shared" si="10"/>
        <v>-4</v>
      </c>
      <c r="AC118" s="1020">
        <f t="shared" si="11"/>
        <v>0.9272727273</v>
      </c>
      <c r="AD118" s="1100">
        <v>0.0</v>
      </c>
      <c r="AE118" s="1329">
        <v>952.0</v>
      </c>
      <c r="AF118" s="1100">
        <v>1.0</v>
      </c>
      <c r="AG118" s="1100">
        <v>0.0</v>
      </c>
      <c r="AH118" s="1100">
        <v>0.0</v>
      </c>
      <c r="AI118" s="1100">
        <v>0.0</v>
      </c>
      <c r="AJ118" s="1100">
        <v>0.0</v>
      </c>
      <c r="AK118" s="1100">
        <v>7.0</v>
      </c>
      <c r="AL118" s="1100">
        <v>2.0</v>
      </c>
      <c r="AM118" s="1100">
        <v>1.0</v>
      </c>
      <c r="AN118" s="1100">
        <v>0.0</v>
      </c>
      <c r="AO118" s="1100">
        <v>0.0</v>
      </c>
      <c r="AP118" s="1100">
        <v>0.0</v>
      </c>
      <c r="AQ118" s="1100">
        <v>0.0</v>
      </c>
      <c r="AR118" s="1100">
        <v>0.0</v>
      </c>
      <c r="AS118" s="1100">
        <v>0.0</v>
      </c>
      <c r="AT118" s="1100">
        <v>0.0</v>
      </c>
      <c r="AU118" s="1100">
        <v>10.0</v>
      </c>
      <c r="AV118" s="1100">
        <v>0.0</v>
      </c>
      <c r="AW118" s="1100">
        <v>0.0</v>
      </c>
      <c r="AX118" s="1100">
        <v>0.0</v>
      </c>
      <c r="AY118" s="1100">
        <v>2.0</v>
      </c>
      <c r="AZ118" s="1239">
        <v>0.0</v>
      </c>
    </row>
    <row r="119">
      <c r="A119" s="938" t="s">
        <v>106</v>
      </c>
      <c r="B119" s="1100" t="str">
        <f>IF(C119&lt;'PlayerGrades+'!$Y$44,"F-",IF(C119&lt;'PlayerGrades+'!$Y$43,"F",IF(C119&lt;'PlayerGrades+'!$Y$42,"F+",IF(C119&lt;'PlayerGrades+'!$Y$41,"E-",IF(C119&lt;'PlayerGrades+'!$Y$40,"E",IF(C119&lt;'PlayerGrades+'!$Y$39,"E+",IF(C119&lt;'PlayerGrades+'!$Y$38,"D-",IF(C119&lt;'PlayerGrades+'!$Y$37,"D",IF(C119&lt;'PlayerGrades+'!$Y$36,"D+",IF(C119&lt;'PlayerGrades+'!$Y$35,"C-",IF(C119&lt;'PlayerGrades+'!$Y$34,"C",IF(C119&lt;'PlayerGrades+'!$Y$33,"C+",IF(C119&lt;'PlayerGrades+'!$Y$32,"B-",IF(C119&lt;'PlayerGrades+'!$Y$31,"B",IF(C119&lt;'PlayerGrades+'!$Y$30,"B+",IF(C119&lt;'PlayerGrades+'!$Y$29,"A-",IF(C119&lt;'PlayerGrades+'!$Y$28,"A",IF(C119&lt;'PlayerGrades+'!$Y$27,"A+",IF(C119&lt;'PlayerGrades+'!$Y$26,"S-",IF(C119&lt;'PlayerGrades+'!$Y$25,"S","S+"))))))))))))))))))))</f>
        <v>E</v>
      </c>
      <c r="C119" s="1105">
        <f>('PlayerGrades+'!$Y$47*(VLOOKUP(E119, 'PlayerGrades+'!$X$3:$Y$23, 2, FALSE)))+('PlayerGrades+'!$Y$48*(VLOOKUP(G119, 'PlayerGrades+'!$X$3:$Y$23, 2, FALSE)))+('PlayerGrades+'!$Y$49*(VLOOKUP(I119, 'PlayerGrades+'!$X$3:$Y$23, 2, FALSE)))+('PlayerGrades+'!$Y$50*(VLOOKUP(K119, 'PlayerGrades+'!$X$3:$Y$23, 2, FALSE)))+('PlayerGrades+'!$Y$51*(VLOOKUP(M119, 'PlayerGrades+'!$X$3:$Y$23, 2, FALSE)))+('PlayerGrades+'!$Y$52*(VLOOKUP(O119, 'PlayerGrades+'!$X$3:$Y$23, 2, FALSE)))+('PlayerGrades+'!$Y$53*(VLOOKUP(Q119, 'PlayerGrades+'!$X$3:$Y$23, 2, FALSE)))+('PlayerGrades+'!$Y$54*(VLOOKUP(S119, 'PlayerGrades+'!$X$3:$Y$23, 2, FALSE)))+('PlayerGrades+'!$Y$55*(VLOOKUP(U119, 'PlayerGrades+'!$X$3:$Y$23, 2, FALSE)))</f>
        <v>10.475</v>
      </c>
      <c r="D119" s="961">
        <f t="shared" si="1"/>
        <v>0</v>
      </c>
      <c r="E119" s="961" t="str">
        <f>IF(D119&lt;'PlayerGrades+'!$AA$21,"F-",IF(D119&lt;'PlayerGrades+'!$AA$20,"F",IF(D119&lt;'PlayerGrades+'!$AA$19,"F+",IF(D119&lt;'PlayerGrades+'!$AA$18,"E-",IF(D119&lt;'PlayerGrades+'!$AA$17,"E",IF(D119&lt;'PlayerGrades+'!$AA$16,"E+",IF(D119&lt;'PlayerGrades+'!$AA$15,"D-",IF(D119&lt;'PlayerGrades+'!$AA$14,"D",IF(D119&lt;'PlayerGrades+'!$AA$13,"D+",IF(D119&lt;'PlayerGrades+'!$AA$12,"C-",IF(D119&lt;'PlayerGrades+'!$AA$11,"C",IF(D119&lt;'PlayerGrades+'!$AA$10,"C+",IF(D119&lt;'PlayerGrades+'!$AA$9,"B-",IF(D119&lt;'PlayerGrades+'!$AA$8,"B",IF(D119&lt;'PlayerGrades+'!$AA$7,"B+",IF(D119&lt;'PlayerGrades+'!$AA$6,"A-",IF(D119&lt;'PlayerGrades+'!$AA$5,"A",IF(D119&lt;'PlayerGrades+'!$AA$4,"A+",IF(D119&lt;'PlayerGrades+'!$AA$3,"S-",IF(D119&lt;'PlayerGrades+'!$AA$2,"S","S+"))))))))))))))))))))</f>
        <v>F-</v>
      </c>
      <c r="F119" s="961">
        <f t="shared" si="2"/>
        <v>0.05018674136</v>
      </c>
      <c r="G119" s="961" t="str">
        <f>IF(F119&lt;'PlayerGrades+'!$AB$21,"F-",IF(F119&lt;'PlayerGrades+'!$AB$20,"F",IF(F119&lt;'PlayerGrades+'!$AB$19,"F+",IF(F119&lt;'PlayerGrades+'!$AB$18,"E-",IF(F119&lt;'PlayerGrades+'!$AB$17,"E",IF(F119&lt;'PlayerGrades+'!$AB$16,"E+",IF(F119&lt;'PlayerGrades+'!$AB$15,"D-",IF(F119&lt;'PlayerGrades+'!$AB$14,"D",IF(F119&lt;'PlayerGrades+'!$AB$13,"D+",IF(F119&lt;'PlayerGrades+'!$AB$12,"C-",IF(F119&lt;'PlayerGrades+'!$AB$11,"C",IF(F119&lt;'PlayerGrades+'!$AB$10,"C+",IF(F119&lt;'PlayerGrades+'!$AB$9,"B-",IF(F119&lt;'PlayerGrades+'!$AB$8,"B",IF(F119&lt;'PlayerGrades+'!$AB$7,"B+",IF(F119&lt;'PlayerGrades+'!$AB$6,"A-",IF(F119&lt;'PlayerGrades+'!$AB$5,"A",IF(F119&lt;'PlayerGrades+'!$AB$4,"A+",IF(F119&lt;'PlayerGrades+'!$AB$3,"S-",IF(F119&lt;'PlayerGrades+'!$AB$2,"S","S+"))))))))))))))))))))</f>
        <v>A</v>
      </c>
      <c r="H119" s="961">
        <f t="shared" si="3"/>
        <v>0.4411764706</v>
      </c>
      <c r="I119" s="961" t="str">
        <f>IF(H119&lt;'PlayerGrades+'!$AC$21,"F-",IF(H119&lt;'PlayerGrades+'!$AC$20,"F",IF(H119&lt;'PlayerGrades+'!$AC$19,"F+",IF(H119&lt;'PlayerGrades+'!$AC$18,"E-",IF(H119&lt;'PlayerGrades+'!$AC$17,"E",IF(H119&lt;'PlayerGrades+'!$AC$16,"E+",IF(H119&lt;'PlayerGrades+'!$AC$15,"D-",IF(H119&lt;'PlayerGrades+'!$AC$14,"D",IF(H119&lt;'PlayerGrades+'!$AC$13,"D+",IF(H119&lt;'PlayerGrades+'!$AC$12,"C-",IF(H119&lt;'PlayerGrades+'!$AC$11,"C",IF(H119&lt;'PlayerGrades+'!$AC$10,"C+",IF(H119&lt;'PlayerGrades+'!$AC$9,"B-",IF(H119&lt;'PlayerGrades+'!$AC$8,"B",IF(H119&lt;'PlayerGrades+'!$AC$7,"B+",IF(H119&lt;'PlayerGrades+'!$AC$6,"A-",IF(H119&lt;'PlayerGrades+'!$AC$5,"A",IF(H119&lt;'PlayerGrades+'!$AC$4,"A+",IF(H119&lt;'PlayerGrades+'!$AC$3,"S-",IF(H119&lt;'PlayerGrades+'!$AC$2,"S","S+"))))))))))))))))))))</f>
        <v>C-</v>
      </c>
      <c r="J119" s="961">
        <f t="shared" si="4"/>
        <v>0</v>
      </c>
      <c r="K119" s="961" t="str">
        <f>IF(J119&lt;'PlayerGrades+'!$AD$21,"F-",IF(J119&lt;'PlayerGrades+'!$AD$20,"F",IF(J119&lt;'PlayerGrades+'!$AD$19,"F+",IF(J119&lt;'PlayerGrades+'!$AD$18,"E-",IF(J119&lt;'PlayerGrades+'!$AD$17,"E",IF(J119&lt;'PlayerGrades+'!$AD$16,"E+",IF(J119&lt;'PlayerGrades+'!$AD$15,"D-",IF(J119&lt;'PlayerGrades+'!$AD$14,"D",IF(J119&lt;'PlayerGrades+'!$AD$13,"D+",IF(J119&lt;'PlayerGrades+'!$AD$12,"C-",IF(J119&lt;'PlayerGrades+'!$AD$11,"C",IF(J119&lt;'PlayerGrades+'!$AD$10,"C+",IF(J119&lt;'PlayerGrades+'!$AD$9,"B-",IF(J119&lt;'PlayerGrades+'!$AD$8,"B",IF(J119&lt;'PlayerGrades+'!$AD$7,"B+",IF(J119&lt;'PlayerGrades+'!$AD$6,"A-",IF(J119&lt;'PlayerGrades+'!$AD$5,"A",IF(J119&lt;'PlayerGrades+'!$AD$4,"A+",IF(J119&lt;'PlayerGrades+'!$AD$3,"S-",IF(J119&lt;'PlayerGrades+'!$AD$2,"S","S+"))))))))))))))))))))</f>
        <v>F-</v>
      </c>
      <c r="L119" s="992">
        <f t="shared" si="5"/>
        <v>0.1260504202</v>
      </c>
      <c r="M119" s="992" t="str">
        <f>IF(L119&lt;'PlayerGrades+'!$AE$21,"F-",IF(L119&lt;'PlayerGrades+'!$AE$20,"F",IF(L119&lt;'PlayerGrades+'!$AE$19,"F+",IF(L119&lt;'PlayerGrades+'!$AE$18,"E-",IF(L119&lt;'PlayerGrades+'!$AE$17,"E",IF(L119&lt;'PlayerGrades+'!$AE$16,"E+",IF(L119&lt;'PlayerGrades+'!$AE$15,"D-",IF(L119&lt;'PlayerGrades+'!$AE$14,"D",IF(L119&lt;'PlayerGrades+'!$AE$13,"D+",IF(L119&lt;'PlayerGrades+'!$AE$12,"C-",IF(L119&lt;'PlayerGrades+'!$AE$11,"C",IF(L119&lt;'PlayerGrades+'!$AE$10,"C+",IF(L119&lt;'PlayerGrades+'!$AE$9,"B-",IF(L119&lt;'PlayerGrades+'!$AE$8,"B",IF(L119&lt;'PlayerGrades+'!$AE$7,"B+",IF(L119&lt;'PlayerGrades+'!$AE$6,"A-",IF(L119&lt;'PlayerGrades+'!$AE$5,"A",IF(L119&lt;'PlayerGrades+'!$AE$4,"A+",IF(L119&lt;'PlayerGrades+'!$AE$3,"S-",IF(L119&lt;'PlayerGrades+'!$AE$2,"S","S+"))))))))))))))))))))</f>
        <v>F-</v>
      </c>
      <c r="N119" s="961">
        <f t="shared" si="6"/>
        <v>0</v>
      </c>
      <c r="O119" s="961" t="str">
        <f>IF(N119&lt;'PlayerGrades+'!$AF$21,"F-",IF(N119&lt;'PlayerGrades+'!$AF$20,"F",IF(N119&lt;'PlayerGrades+'!$AF$19,"F+",IF(N119&lt;'PlayerGrades+'!$AF$18,"E-",IF(N119&lt;'PlayerGrades+'!$AF$17,"E",IF(N119&lt;'PlayerGrades+'!$AF$16,"E+",IF(N119&lt;'PlayerGrades+'!$AF$15,"D-",IF(N119&lt;'PlayerGrades+'!$AF$14,"D",IF(N119&lt;'PlayerGrades+'!$AF$13,"D+",IF(N119&lt;'PlayerGrades+'!$AF$12,"C-",IF(N119&lt;'PlayerGrades+'!$AF$11,"C",IF(N119&lt;'PlayerGrades+'!$AF$10,"C+",IF(N119&lt;'PlayerGrades+'!$AF$9,"B-",IF(N119&lt;'PlayerGrades+'!$AF$8,"B",IF(N119&lt;'PlayerGrades+'!$AF$7,"B+",IF(N119&lt;'PlayerGrades+'!$AF$6,"A-",IF(N119&lt;'PlayerGrades+'!$AF$5,"A",IF(N119&lt;'PlayerGrades+'!$AF$4,"A+",IF(N119&lt;'PlayerGrades+'!$AF$3,"S-",IF(N119&lt;'PlayerGrades+'!$AF$2,"S","S+"))))))))))))))))))))</f>
        <v>F-</v>
      </c>
      <c r="P119" s="961">
        <f t="shared" si="7"/>
        <v>0.1890756303</v>
      </c>
      <c r="Q119" s="961" t="str">
        <f>IF(P119&lt;'PlayerGrades+'!$AG$21,"F-",IF(P119&lt;'PlayerGrades+'!$AG$20,"F",IF(P119&lt;'PlayerGrades+'!$AG$19,"F+",IF(P119&lt;'PlayerGrades+'!$AG$18,"E-",IF(P119&lt;'PlayerGrades+'!$AG$17,"E",IF(P119&lt;'PlayerGrades+'!$AG$16,"E+",IF(P119&lt;'PlayerGrades+'!$AG$15,"D-",IF(P119&lt;'PlayerGrades+'!$AG$14,"D",IF(P119&lt;'PlayerGrades+'!$AG$13,"D+",IF(P119&lt;'PlayerGrades+'!$AG$12,"C-",IF(P119&lt;'PlayerGrades+'!$AG$11,"C",IF(P119&lt;'PlayerGrades+'!$AG$10,"C+",IF(P119&lt;'PlayerGrades+'!$AG$9,"B-",IF(P119&lt;'PlayerGrades+'!$AG$8,"B",IF(P119&lt;'PlayerGrades+'!$AG$7,"B+",IF(P119&lt;'PlayerGrades+'!$AG$6,"A-",IF(P119&lt;'PlayerGrades+'!$AG$5,"A",IF(P119&lt;'PlayerGrades+'!$AG$4,"A+",IF(P119&lt;'PlayerGrades+'!$AG$3,"S-",IF(P119&lt;'PlayerGrades+'!$AG$2,"S","S+"))))))))))))))))))))</f>
        <v>F-</v>
      </c>
      <c r="R119" s="961">
        <f t="shared" si="8"/>
        <v>0.06302521008</v>
      </c>
      <c r="S119" s="961" t="str">
        <f>IF(R119&lt;'PlayerGrades+'!$AH$21,"F-",IF(R119&lt;'PlayerGrades+'!$AH$20,"F",IF(R119&lt;'PlayerGrades+'!$AH$19,"F+",IF(R119&lt;'PlayerGrades+'!$AH$18,"E-",IF(R119&lt;'PlayerGrades+'!$AH$17,"E",IF(R119&lt;'PlayerGrades+'!$AH$16,"E+",IF(R119&lt;'PlayerGrades+'!$AH$15,"D-",IF(R119&lt;'PlayerGrades+'!$AH$14,"D",IF(R119&lt;'PlayerGrades+'!$AH$13,"D+",IF(R119&lt;'PlayerGrades+'!$AH$12,"C-",IF(R119&lt;'PlayerGrades+'!$AH$11,"C",IF(R119&lt;'PlayerGrades+'!$AH$10,"C+",IF(R119&lt;'PlayerGrades+'!$AH$9,"B-",IF(R119&lt;'PlayerGrades+'!$AH$8,"B",IF(R119&lt;'PlayerGrades+'!$AH$7,"B+",IF(R119&lt;'PlayerGrades+'!$AH$6,"A-",IF(R119&lt;'PlayerGrades+'!$AH$5,"A",IF(R119&lt;'PlayerGrades+'!$AH$4,"A+",IF(R119&lt;'PlayerGrades+'!$AH$3,"S-",IF(R119&lt;'PlayerGrades+'!$AH$2,"S","S+"))))))))))))))))))))</f>
        <v>B-</v>
      </c>
      <c r="T119" s="961">
        <f t="shared" si="9"/>
        <v>2.710084034</v>
      </c>
      <c r="U119" s="961" t="str">
        <f>IF(T119&lt;'PlayerGrades+'!$AI$21,"F-",IF(T119&lt;'PlayerGrades+'!$AI$20,"F",IF(T119&lt;'PlayerGrades+'!$AI$19,"F+",IF(T119&lt;'PlayerGrades+'!$AI$18,"E-",IF(T119&lt;'PlayerGrades+'!$AI$17,"E",IF(T119&lt;'PlayerGrades+'!$AI$16,"E+",IF(T119&lt;'PlayerGrades+'!$AI$15,"D-",IF(T119&lt;'PlayerGrades+'!$AI$14,"D",IF(T119&lt;'PlayerGrades+'!$AI$13,"D+",IF(T119&lt;'PlayerGrades+'!$AI$12,"C-",IF(T119&lt;'PlayerGrades+'!$AI$11,"C",IF(T119&lt;'PlayerGrades+'!$AI$10,"C+",IF(T119&lt;'PlayerGrades+'!$AI$9,"B-",IF(T119&lt;'PlayerGrades+'!$AI$8,"B",IF(T119&lt;'PlayerGrades+'!$AI$7,"B+",IF(T119&lt;'PlayerGrades+'!$AI$6,"A-",IF(T119&lt;'PlayerGrades+'!$AI$5,"A",IF(T119&lt;'PlayerGrades+'!$AI$4,"A+",IF(T119&lt;'PlayerGrades+'!$AI$3,"S-",IF(T119&lt;'PlayerGrades+'!$AI$2,"S","S+"))))))))))))))))))))</f>
        <v>D+</v>
      </c>
      <c r="V119" s="1100">
        <v>0.0</v>
      </c>
      <c r="W119" s="1100">
        <v>1.0</v>
      </c>
      <c r="X119" s="1100">
        <v>0.0</v>
      </c>
      <c r="Y119" s="1100">
        <v>0.0</v>
      </c>
      <c r="Z119" s="1100">
        <v>43.0</v>
      </c>
      <c r="AA119" s="1100">
        <v>54.0</v>
      </c>
      <c r="AB119" s="1017">
        <f t="shared" si="10"/>
        <v>-11</v>
      </c>
      <c r="AC119" s="1020">
        <f t="shared" si="11"/>
        <v>0.7962962963</v>
      </c>
      <c r="AD119" s="1100">
        <v>0.0</v>
      </c>
      <c r="AE119" s="1329">
        <v>952.0</v>
      </c>
      <c r="AF119" s="1100">
        <v>0.0</v>
      </c>
      <c r="AG119" s="1100">
        <v>0.0</v>
      </c>
      <c r="AH119" s="1100">
        <v>0.0</v>
      </c>
      <c r="AI119" s="1100">
        <v>0.0</v>
      </c>
      <c r="AJ119" s="1100">
        <v>1.0</v>
      </c>
      <c r="AK119" s="1100">
        <v>2.0</v>
      </c>
      <c r="AL119" s="1100">
        <v>0.0</v>
      </c>
      <c r="AM119" s="1100">
        <v>0.0</v>
      </c>
      <c r="AN119" s="1100">
        <v>0.0</v>
      </c>
      <c r="AO119" s="1100">
        <v>0.0</v>
      </c>
      <c r="AP119" s="1100">
        <v>0.0</v>
      </c>
      <c r="AQ119" s="1100">
        <v>0.0</v>
      </c>
      <c r="AR119" s="1100">
        <v>0.0</v>
      </c>
      <c r="AS119" s="1100">
        <v>0.0</v>
      </c>
      <c r="AT119" s="1100">
        <v>0.0</v>
      </c>
      <c r="AU119" s="1100">
        <v>7.0</v>
      </c>
      <c r="AV119" s="1100">
        <v>0.0</v>
      </c>
      <c r="AW119" s="1100">
        <v>0.0</v>
      </c>
      <c r="AX119" s="1100">
        <v>0.0</v>
      </c>
      <c r="AY119" s="1100">
        <v>1.0</v>
      </c>
      <c r="AZ119" s="1239">
        <v>0.0</v>
      </c>
    </row>
    <row r="120">
      <c r="A120" s="938" t="s">
        <v>41</v>
      </c>
      <c r="B120" s="1100" t="str">
        <f>IF(C120&lt;'PlayerGrades+'!$Y$44,"F-",IF(C120&lt;'PlayerGrades+'!$Y$43,"F",IF(C120&lt;'PlayerGrades+'!$Y$42,"F+",IF(C120&lt;'PlayerGrades+'!$Y$41,"E-",IF(C120&lt;'PlayerGrades+'!$Y$40,"E",IF(C120&lt;'PlayerGrades+'!$Y$39,"E+",IF(C120&lt;'PlayerGrades+'!$Y$38,"D-",IF(C120&lt;'PlayerGrades+'!$Y$37,"D",IF(C120&lt;'PlayerGrades+'!$Y$36,"D+",IF(C120&lt;'PlayerGrades+'!$Y$35,"C-",IF(C120&lt;'PlayerGrades+'!$Y$34,"C",IF(C120&lt;'PlayerGrades+'!$Y$33,"C+",IF(C120&lt;'PlayerGrades+'!$Y$32,"B-",IF(C120&lt;'PlayerGrades+'!$Y$31,"B",IF(C120&lt;'PlayerGrades+'!$Y$30,"B+",IF(C120&lt;'PlayerGrades+'!$Y$29,"A-",IF(C120&lt;'PlayerGrades+'!$Y$28,"A",IF(C120&lt;'PlayerGrades+'!$Y$27,"A+",IF(C120&lt;'PlayerGrades+'!$Y$26,"S-",IF(C120&lt;'PlayerGrades+'!$Y$25,"S","S+"))))))))))))))))))))</f>
        <v>E</v>
      </c>
      <c r="C120" s="1105">
        <f>('PlayerGrades+'!$Y$47*(VLOOKUP(E120, 'PlayerGrades+'!$X$3:$Y$23, 2, FALSE)))+('PlayerGrades+'!$Y$48*(VLOOKUP(G120, 'PlayerGrades+'!$X$3:$Y$23, 2, FALSE)))+('PlayerGrades+'!$Y$49*(VLOOKUP(I120, 'PlayerGrades+'!$X$3:$Y$23, 2, FALSE)))+('PlayerGrades+'!$Y$50*(VLOOKUP(K120, 'PlayerGrades+'!$X$3:$Y$23, 2, FALSE)))+('PlayerGrades+'!$Y$51*(VLOOKUP(M120, 'PlayerGrades+'!$X$3:$Y$23, 2, FALSE)))+('PlayerGrades+'!$Y$52*(VLOOKUP(O120, 'PlayerGrades+'!$X$3:$Y$23, 2, FALSE)))+('PlayerGrades+'!$Y$53*(VLOOKUP(Q120, 'PlayerGrades+'!$X$3:$Y$23, 2, FALSE)))+('PlayerGrades+'!$Y$54*(VLOOKUP(S120, 'PlayerGrades+'!$X$3:$Y$23, 2, FALSE)))+('PlayerGrades+'!$Y$55*(VLOOKUP(U120, 'PlayerGrades+'!$X$3:$Y$23, 2, FALSE)))</f>
        <v>9.4</v>
      </c>
      <c r="D120" s="961">
        <f t="shared" si="1"/>
        <v>0</v>
      </c>
      <c r="E120" s="961" t="str">
        <f>IF(D120&lt;'PlayerGrades+'!$AA$21,"F-",IF(D120&lt;'PlayerGrades+'!$AA$20,"F",IF(D120&lt;'PlayerGrades+'!$AA$19,"F+",IF(D120&lt;'PlayerGrades+'!$AA$18,"E-",IF(D120&lt;'PlayerGrades+'!$AA$17,"E",IF(D120&lt;'PlayerGrades+'!$AA$16,"E+",IF(D120&lt;'PlayerGrades+'!$AA$15,"D-",IF(D120&lt;'PlayerGrades+'!$AA$14,"D",IF(D120&lt;'PlayerGrades+'!$AA$13,"D+",IF(D120&lt;'PlayerGrades+'!$AA$12,"C-",IF(D120&lt;'PlayerGrades+'!$AA$11,"C",IF(D120&lt;'PlayerGrades+'!$AA$10,"C+",IF(D120&lt;'PlayerGrades+'!$AA$9,"B-",IF(D120&lt;'PlayerGrades+'!$AA$8,"B",IF(D120&lt;'PlayerGrades+'!$AA$7,"B+",IF(D120&lt;'PlayerGrades+'!$AA$6,"A-",IF(D120&lt;'PlayerGrades+'!$AA$5,"A",IF(D120&lt;'PlayerGrades+'!$AA$4,"A+",IF(D120&lt;'PlayerGrades+'!$AA$3,"S-",IF(D120&lt;'PlayerGrades+'!$AA$2,"S","S+"))))))))))))))))))))</f>
        <v>F-</v>
      </c>
      <c r="F120" s="961">
        <f t="shared" si="2"/>
        <v>0.04932407746</v>
      </c>
      <c r="G120" s="961" t="str">
        <f>IF(F120&lt;'PlayerGrades+'!$AB$21,"F-",IF(F120&lt;'PlayerGrades+'!$AB$20,"F",IF(F120&lt;'PlayerGrades+'!$AB$19,"F+",IF(F120&lt;'PlayerGrades+'!$AB$18,"E-",IF(F120&lt;'PlayerGrades+'!$AB$17,"E",IF(F120&lt;'PlayerGrades+'!$AB$16,"E+",IF(F120&lt;'PlayerGrades+'!$AB$15,"D-",IF(F120&lt;'PlayerGrades+'!$AB$14,"D",IF(F120&lt;'PlayerGrades+'!$AB$13,"D+",IF(F120&lt;'PlayerGrades+'!$AB$12,"C-",IF(F120&lt;'PlayerGrades+'!$AB$11,"C",IF(F120&lt;'PlayerGrades+'!$AB$10,"C+",IF(F120&lt;'PlayerGrades+'!$AB$9,"B-",IF(F120&lt;'PlayerGrades+'!$AB$8,"B",IF(F120&lt;'PlayerGrades+'!$AB$7,"B+",IF(F120&lt;'PlayerGrades+'!$AB$6,"A-",IF(F120&lt;'PlayerGrades+'!$AB$5,"A",IF(F120&lt;'PlayerGrades+'!$AB$4,"A+",IF(F120&lt;'PlayerGrades+'!$AB$3,"S-",IF(F120&lt;'PlayerGrades+'!$AB$2,"S","S+"))))))))))))))))))))</f>
        <v>A</v>
      </c>
      <c r="H120" s="961">
        <f t="shared" si="3"/>
        <v>0.2521008403</v>
      </c>
      <c r="I120" s="961" t="str">
        <f>IF(H120&lt;'PlayerGrades+'!$AC$21,"F-",IF(H120&lt;'PlayerGrades+'!$AC$20,"F",IF(H120&lt;'PlayerGrades+'!$AC$19,"F+",IF(H120&lt;'PlayerGrades+'!$AC$18,"E-",IF(H120&lt;'PlayerGrades+'!$AC$17,"E",IF(H120&lt;'PlayerGrades+'!$AC$16,"E+",IF(H120&lt;'PlayerGrades+'!$AC$15,"D-",IF(H120&lt;'PlayerGrades+'!$AC$14,"D",IF(H120&lt;'PlayerGrades+'!$AC$13,"D+",IF(H120&lt;'PlayerGrades+'!$AC$12,"C-",IF(H120&lt;'PlayerGrades+'!$AC$11,"C",IF(H120&lt;'PlayerGrades+'!$AC$10,"C+",IF(H120&lt;'PlayerGrades+'!$AC$9,"B-",IF(H120&lt;'PlayerGrades+'!$AC$8,"B",IF(H120&lt;'PlayerGrades+'!$AC$7,"B+",IF(H120&lt;'PlayerGrades+'!$AC$6,"A-",IF(H120&lt;'PlayerGrades+'!$AC$5,"A",IF(H120&lt;'PlayerGrades+'!$AC$4,"A+",IF(H120&lt;'PlayerGrades+'!$AC$3,"S-",IF(H120&lt;'PlayerGrades+'!$AC$2,"S","S+"))))))))))))))))))))</f>
        <v>F+</v>
      </c>
      <c r="J120" s="961">
        <f t="shared" si="4"/>
        <v>0.06302521008</v>
      </c>
      <c r="K120" s="961" t="str">
        <f>IF(J120&lt;'PlayerGrades+'!$AD$21,"F-",IF(J120&lt;'PlayerGrades+'!$AD$20,"F",IF(J120&lt;'PlayerGrades+'!$AD$19,"F+",IF(J120&lt;'PlayerGrades+'!$AD$18,"E-",IF(J120&lt;'PlayerGrades+'!$AD$17,"E",IF(J120&lt;'PlayerGrades+'!$AD$16,"E+",IF(J120&lt;'PlayerGrades+'!$AD$15,"D-",IF(J120&lt;'PlayerGrades+'!$AD$14,"D",IF(J120&lt;'PlayerGrades+'!$AD$13,"D+",IF(J120&lt;'PlayerGrades+'!$AD$12,"C-",IF(J120&lt;'PlayerGrades+'!$AD$11,"C",IF(J120&lt;'PlayerGrades+'!$AD$10,"C+",IF(J120&lt;'PlayerGrades+'!$AD$9,"B-",IF(J120&lt;'PlayerGrades+'!$AD$8,"B",IF(J120&lt;'PlayerGrades+'!$AD$7,"B+",IF(J120&lt;'PlayerGrades+'!$AD$6,"A-",IF(J120&lt;'PlayerGrades+'!$AD$5,"A",IF(J120&lt;'PlayerGrades+'!$AD$4,"A+",IF(J120&lt;'PlayerGrades+'!$AD$3,"S-",IF(J120&lt;'PlayerGrades+'!$AD$2,"S","S+"))))))))))))))))))))</f>
        <v>B+</v>
      </c>
      <c r="L120" s="992">
        <f t="shared" si="5"/>
        <v>0.2521008403</v>
      </c>
      <c r="M120" s="992" t="str">
        <f>IF(L120&lt;'PlayerGrades+'!$AE$21,"F-",IF(L120&lt;'PlayerGrades+'!$AE$20,"F",IF(L120&lt;'PlayerGrades+'!$AE$19,"F+",IF(L120&lt;'PlayerGrades+'!$AE$18,"E-",IF(L120&lt;'PlayerGrades+'!$AE$17,"E",IF(L120&lt;'PlayerGrades+'!$AE$16,"E+",IF(L120&lt;'PlayerGrades+'!$AE$15,"D-",IF(L120&lt;'PlayerGrades+'!$AE$14,"D",IF(L120&lt;'PlayerGrades+'!$AE$13,"D+",IF(L120&lt;'PlayerGrades+'!$AE$12,"C-",IF(L120&lt;'PlayerGrades+'!$AE$11,"C",IF(L120&lt;'PlayerGrades+'!$AE$10,"C+",IF(L120&lt;'PlayerGrades+'!$AE$9,"B-",IF(L120&lt;'PlayerGrades+'!$AE$8,"B",IF(L120&lt;'PlayerGrades+'!$AE$7,"B+",IF(L120&lt;'PlayerGrades+'!$AE$6,"A-",IF(L120&lt;'PlayerGrades+'!$AE$5,"A",IF(L120&lt;'PlayerGrades+'!$AE$4,"A+",IF(L120&lt;'PlayerGrades+'!$AE$3,"S-",IF(L120&lt;'PlayerGrades+'!$AE$2,"S","S+"))))))))))))))))))))</f>
        <v>F</v>
      </c>
      <c r="N120" s="961">
        <f t="shared" si="6"/>
        <v>0</v>
      </c>
      <c r="O120" s="961" t="str">
        <f>IF(N120&lt;'PlayerGrades+'!$AF$21,"F-",IF(N120&lt;'PlayerGrades+'!$AF$20,"F",IF(N120&lt;'PlayerGrades+'!$AF$19,"F+",IF(N120&lt;'PlayerGrades+'!$AF$18,"E-",IF(N120&lt;'PlayerGrades+'!$AF$17,"E",IF(N120&lt;'PlayerGrades+'!$AF$16,"E+",IF(N120&lt;'PlayerGrades+'!$AF$15,"D-",IF(N120&lt;'PlayerGrades+'!$AF$14,"D",IF(N120&lt;'PlayerGrades+'!$AF$13,"D+",IF(N120&lt;'PlayerGrades+'!$AF$12,"C-",IF(N120&lt;'PlayerGrades+'!$AF$11,"C",IF(N120&lt;'PlayerGrades+'!$AF$10,"C+",IF(N120&lt;'PlayerGrades+'!$AF$9,"B-",IF(N120&lt;'PlayerGrades+'!$AF$8,"B",IF(N120&lt;'PlayerGrades+'!$AF$7,"B+",IF(N120&lt;'PlayerGrades+'!$AF$6,"A-",IF(N120&lt;'PlayerGrades+'!$AF$5,"A",IF(N120&lt;'PlayerGrades+'!$AF$4,"A+",IF(N120&lt;'PlayerGrades+'!$AF$3,"S-",IF(N120&lt;'PlayerGrades+'!$AF$2,"S","S+"))))))))))))))))))))</f>
        <v>F-</v>
      </c>
      <c r="P120" s="961">
        <f t="shared" si="7"/>
        <v>0.3151260504</v>
      </c>
      <c r="Q120" s="961" t="str">
        <f>IF(P120&lt;'PlayerGrades+'!$AG$21,"F-",IF(P120&lt;'PlayerGrades+'!$AG$20,"F",IF(P120&lt;'PlayerGrades+'!$AG$19,"F+",IF(P120&lt;'PlayerGrades+'!$AG$18,"E-",IF(P120&lt;'PlayerGrades+'!$AG$17,"E",IF(P120&lt;'PlayerGrades+'!$AG$16,"E+",IF(P120&lt;'PlayerGrades+'!$AG$15,"D-",IF(P120&lt;'PlayerGrades+'!$AG$14,"D",IF(P120&lt;'PlayerGrades+'!$AG$13,"D+",IF(P120&lt;'PlayerGrades+'!$AG$12,"C-",IF(P120&lt;'PlayerGrades+'!$AG$11,"C",IF(P120&lt;'PlayerGrades+'!$AG$10,"C+",IF(P120&lt;'PlayerGrades+'!$AG$9,"B-",IF(P120&lt;'PlayerGrades+'!$AG$8,"B",IF(P120&lt;'PlayerGrades+'!$AG$7,"B+",IF(P120&lt;'PlayerGrades+'!$AG$6,"A-",IF(P120&lt;'PlayerGrades+'!$AG$5,"A",IF(P120&lt;'PlayerGrades+'!$AG$4,"A+",IF(P120&lt;'PlayerGrades+'!$AG$3,"S-",IF(P120&lt;'PlayerGrades+'!$AG$2,"S","S+"))))))))))))))))))))</f>
        <v>F</v>
      </c>
      <c r="R120" s="961">
        <f t="shared" si="8"/>
        <v>0</v>
      </c>
      <c r="S120" s="961" t="str">
        <f>IF(R120&lt;'PlayerGrades+'!$AH$21,"F-",IF(R120&lt;'PlayerGrades+'!$AH$20,"F",IF(R120&lt;'PlayerGrades+'!$AH$19,"F+",IF(R120&lt;'PlayerGrades+'!$AH$18,"E-",IF(R120&lt;'PlayerGrades+'!$AH$17,"E",IF(R120&lt;'PlayerGrades+'!$AH$16,"E+",IF(R120&lt;'PlayerGrades+'!$AH$15,"D-",IF(R120&lt;'PlayerGrades+'!$AH$14,"D",IF(R120&lt;'PlayerGrades+'!$AH$13,"D+",IF(R120&lt;'PlayerGrades+'!$AH$12,"C-",IF(R120&lt;'PlayerGrades+'!$AH$11,"C",IF(R120&lt;'PlayerGrades+'!$AH$10,"C+",IF(R120&lt;'PlayerGrades+'!$AH$9,"B-",IF(R120&lt;'PlayerGrades+'!$AH$8,"B",IF(R120&lt;'PlayerGrades+'!$AH$7,"B+",IF(R120&lt;'PlayerGrades+'!$AH$6,"A-",IF(R120&lt;'PlayerGrades+'!$AH$5,"A",IF(R120&lt;'PlayerGrades+'!$AH$4,"A+",IF(R120&lt;'PlayerGrades+'!$AH$3,"S-",IF(R120&lt;'PlayerGrades+'!$AH$2,"S","S+"))))))))))))))))))))</f>
        <v>F-</v>
      </c>
      <c r="T120" s="961">
        <f t="shared" si="9"/>
        <v>2.268907563</v>
      </c>
      <c r="U120" s="961" t="str">
        <f>IF(T120&lt;'PlayerGrades+'!$AI$21,"F-",IF(T120&lt;'PlayerGrades+'!$AI$20,"F",IF(T120&lt;'PlayerGrades+'!$AI$19,"F+",IF(T120&lt;'PlayerGrades+'!$AI$18,"E-",IF(T120&lt;'PlayerGrades+'!$AI$17,"E",IF(T120&lt;'PlayerGrades+'!$AI$16,"E+",IF(T120&lt;'PlayerGrades+'!$AI$15,"D-",IF(T120&lt;'PlayerGrades+'!$AI$14,"D",IF(T120&lt;'PlayerGrades+'!$AI$13,"D+",IF(T120&lt;'PlayerGrades+'!$AI$12,"C-",IF(T120&lt;'PlayerGrades+'!$AI$11,"C",IF(T120&lt;'PlayerGrades+'!$AI$10,"C+",IF(T120&lt;'PlayerGrades+'!$AI$9,"B-",IF(T120&lt;'PlayerGrades+'!$AI$8,"B",IF(T120&lt;'PlayerGrades+'!$AI$7,"B+",IF(T120&lt;'PlayerGrades+'!$AI$6,"A-",IF(T120&lt;'PlayerGrades+'!$AI$5,"A",IF(T120&lt;'PlayerGrades+'!$AI$4,"A+",IF(T120&lt;'PlayerGrades+'!$AI$3,"S-",IF(T120&lt;'PlayerGrades+'!$AI$2,"S","S+"))))))))))))))))))))</f>
        <v>F+</v>
      </c>
      <c r="V120" s="1100">
        <v>0.0</v>
      </c>
      <c r="W120" s="1100">
        <v>1.0</v>
      </c>
      <c r="X120" s="1100">
        <v>0.0</v>
      </c>
      <c r="Y120" s="1100">
        <v>1.0</v>
      </c>
      <c r="Z120" s="1100">
        <v>36.0</v>
      </c>
      <c r="AA120" s="1100">
        <v>46.0</v>
      </c>
      <c r="AB120" s="1017">
        <f t="shared" si="10"/>
        <v>-10</v>
      </c>
      <c r="AC120" s="1020">
        <f t="shared" si="11"/>
        <v>0.7826086957</v>
      </c>
      <c r="AD120" s="1100">
        <v>0.0</v>
      </c>
      <c r="AE120" s="1329">
        <v>952.0</v>
      </c>
      <c r="AF120" s="1100">
        <v>1.0</v>
      </c>
      <c r="AG120" s="1100">
        <v>0.0</v>
      </c>
      <c r="AH120" s="1100">
        <v>0.0</v>
      </c>
      <c r="AI120" s="1100">
        <v>0.0</v>
      </c>
      <c r="AJ120" s="1100">
        <v>1.0</v>
      </c>
      <c r="AK120" s="1100">
        <v>4.0</v>
      </c>
      <c r="AL120" s="1100">
        <v>0.0</v>
      </c>
      <c r="AM120" s="1100">
        <v>0.0</v>
      </c>
      <c r="AN120" s="1100">
        <v>0.0</v>
      </c>
      <c r="AO120" s="1100">
        <v>0.0</v>
      </c>
      <c r="AP120" s="1100">
        <v>0.0</v>
      </c>
      <c r="AQ120" s="1100">
        <v>0.0</v>
      </c>
      <c r="AR120" s="1100">
        <v>0.0</v>
      </c>
      <c r="AS120" s="1100">
        <v>0.0</v>
      </c>
      <c r="AT120" s="1100">
        <v>0.0</v>
      </c>
      <c r="AU120" s="1100">
        <v>4.0</v>
      </c>
      <c r="AV120" s="1100">
        <v>0.0</v>
      </c>
      <c r="AW120" s="1100">
        <v>0.0</v>
      </c>
      <c r="AX120" s="1100">
        <v>0.0</v>
      </c>
      <c r="AY120" s="1100">
        <v>0.0</v>
      </c>
      <c r="AZ120" s="1239">
        <v>0.0</v>
      </c>
    </row>
    <row r="121">
      <c r="A121" s="1226" t="s">
        <v>380</v>
      </c>
      <c r="B121" s="1227" t="str">
        <f>IF(C121&lt;'PlayerGrades+'!$Y$44,"F-",IF(C121&lt;'PlayerGrades+'!$Y$43,"F",IF(C121&lt;'PlayerGrades+'!$Y$42,"F+",IF(C121&lt;'PlayerGrades+'!$Y$41,"E-",IF(C121&lt;'PlayerGrades+'!$Y$40,"E",IF(C121&lt;'PlayerGrades+'!$Y$39,"E+",IF(C121&lt;'PlayerGrades+'!$Y$38,"D-",IF(C121&lt;'PlayerGrades+'!$Y$37,"D",IF(C121&lt;'PlayerGrades+'!$Y$36,"D+",IF(C121&lt;'PlayerGrades+'!$Y$35,"C-",IF(C121&lt;'PlayerGrades+'!$Y$34,"C",IF(C121&lt;'PlayerGrades+'!$Y$33,"C+",IF(C121&lt;'PlayerGrades+'!$Y$32,"B-",IF(C121&lt;'PlayerGrades+'!$Y$31,"B",IF(C121&lt;'PlayerGrades+'!$Y$30,"B+",IF(C121&lt;'PlayerGrades+'!$Y$29,"A-",IF(C121&lt;'PlayerGrades+'!$Y$28,"A",IF(C121&lt;'PlayerGrades+'!$Y$27,"A+",IF(C121&lt;'PlayerGrades+'!$Y$26,"S-",IF(C121&lt;'PlayerGrades+'!$Y$25,"S","S+"))))))))))))))))))))</f>
        <v>F</v>
      </c>
      <c r="C121" s="1229">
        <f>('PlayerGrades+'!$Y$47*(VLOOKUP(E121, 'PlayerGrades+'!$X$3:$Y$23, 2, FALSE)))+('PlayerGrades+'!$Y$48*(VLOOKUP(G121, 'PlayerGrades+'!$X$3:$Y$23, 2, FALSE)))+('PlayerGrades+'!$Y$49*(VLOOKUP(I121, 'PlayerGrades+'!$X$3:$Y$23, 2, FALSE)))+('PlayerGrades+'!$Y$50*(VLOOKUP(K121, 'PlayerGrades+'!$X$3:$Y$23, 2, FALSE)))+('PlayerGrades+'!$Y$51*(VLOOKUP(M121, 'PlayerGrades+'!$X$3:$Y$23, 2, FALSE)))+('PlayerGrades+'!$Y$52*(VLOOKUP(O121, 'PlayerGrades+'!$X$3:$Y$23, 2, FALSE)))+('PlayerGrades+'!$Y$53*(VLOOKUP(Q121, 'PlayerGrades+'!$X$3:$Y$23, 2, FALSE)))+('PlayerGrades+'!$Y$54*(VLOOKUP(S121, 'PlayerGrades+'!$X$3:$Y$23, 2, FALSE)))+('PlayerGrades+'!$Y$55*(VLOOKUP(U121, 'PlayerGrades+'!$X$3:$Y$23, 2, FALSE)))</f>
        <v>7.25</v>
      </c>
      <c r="D121" s="1230">
        <f t="shared" si="1"/>
        <v>0</v>
      </c>
      <c r="E121" s="1230" t="str">
        <f>IF(D121&lt;'PlayerGrades+'!$AA$21,"F-",IF(D121&lt;'PlayerGrades+'!$AA$20,"F",IF(D121&lt;'PlayerGrades+'!$AA$19,"F+",IF(D121&lt;'PlayerGrades+'!$AA$18,"E-",IF(D121&lt;'PlayerGrades+'!$AA$17,"E",IF(D121&lt;'PlayerGrades+'!$AA$16,"E+",IF(D121&lt;'PlayerGrades+'!$AA$15,"D-",IF(D121&lt;'PlayerGrades+'!$AA$14,"D",IF(D121&lt;'PlayerGrades+'!$AA$13,"D+",IF(D121&lt;'PlayerGrades+'!$AA$12,"C-",IF(D121&lt;'PlayerGrades+'!$AA$11,"C",IF(D121&lt;'PlayerGrades+'!$AA$10,"C+",IF(D121&lt;'PlayerGrades+'!$AA$9,"B-",IF(D121&lt;'PlayerGrades+'!$AA$8,"B",IF(D121&lt;'PlayerGrades+'!$AA$7,"B+",IF(D121&lt;'PlayerGrades+'!$AA$6,"A-",IF(D121&lt;'PlayerGrades+'!$AA$5,"A",IF(D121&lt;'PlayerGrades+'!$AA$4,"A+",IF(D121&lt;'PlayerGrades+'!$AA$3,"S-",IF(D121&lt;'PlayerGrades+'!$AA$2,"S","S+"))))))))))))))))))))</f>
        <v>F-</v>
      </c>
      <c r="F121" s="1230">
        <f t="shared" si="2"/>
        <v>0.04201680672</v>
      </c>
      <c r="G121" s="1230" t="str">
        <f>IF(F121&lt;'PlayerGrades+'!$AB$21,"F-",IF(F121&lt;'PlayerGrades+'!$AB$20,"F",IF(F121&lt;'PlayerGrades+'!$AB$19,"F+",IF(F121&lt;'PlayerGrades+'!$AB$18,"E-",IF(F121&lt;'PlayerGrades+'!$AB$17,"E",IF(F121&lt;'PlayerGrades+'!$AB$16,"E+",IF(F121&lt;'PlayerGrades+'!$AB$15,"D-",IF(F121&lt;'PlayerGrades+'!$AB$14,"D",IF(F121&lt;'PlayerGrades+'!$AB$13,"D+",IF(F121&lt;'PlayerGrades+'!$AB$12,"C-",IF(F121&lt;'PlayerGrades+'!$AB$11,"C",IF(F121&lt;'PlayerGrades+'!$AB$10,"C+",IF(F121&lt;'PlayerGrades+'!$AB$9,"B-",IF(F121&lt;'PlayerGrades+'!$AB$8,"B",IF(F121&lt;'PlayerGrades+'!$AB$7,"B+",IF(F121&lt;'PlayerGrades+'!$AB$6,"A-",IF(F121&lt;'PlayerGrades+'!$AB$5,"A",IF(F121&lt;'PlayerGrades+'!$AB$4,"A+",IF(F121&lt;'PlayerGrades+'!$AB$3,"S-",IF(F121&lt;'PlayerGrades+'!$AB$2,"S","S+"))))))))))))))))))))</f>
        <v>A</v>
      </c>
      <c r="H121" s="1230">
        <f t="shared" si="3"/>
        <v>0.06302521008</v>
      </c>
      <c r="I121" s="1230" t="str">
        <f>IF(H121&lt;'PlayerGrades+'!$AC$21,"F-",IF(H121&lt;'PlayerGrades+'!$AC$20,"F",IF(H121&lt;'PlayerGrades+'!$AC$19,"F+",IF(H121&lt;'PlayerGrades+'!$AC$18,"E-",IF(H121&lt;'PlayerGrades+'!$AC$17,"E",IF(H121&lt;'PlayerGrades+'!$AC$16,"E+",IF(H121&lt;'PlayerGrades+'!$AC$15,"D-",IF(H121&lt;'PlayerGrades+'!$AC$14,"D",IF(H121&lt;'PlayerGrades+'!$AC$13,"D+",IF(H121&lt;'PlayerGrades+'!$AC$12,"C-",IF(H121&lt;'PlayerGrades+'!$AC$11,"C",IF(H121&lt;'PlayerGrades+'!$AC$10,"C+",IF(H121&lt;'PlayerGrades+'!$AC$9,"B-",IF(H121&lt;'PlayerGrades+'!$AC$8,"B",IF(H121&lt;'PlayerGrades+'!$AC$7,"B+",IF(H121&lt;'PlayerGrades+'!$AC$6,"A-",IF(H121&lt;'PlayerGrades+'!$AC$5,"A",IF(H121&lt;'PlayerGrades+'!$AC$4,"A+",IF(H121&lt;'PlayerGrades+'!$AC$3,"S-",IF(H121&lt;'PlayerGrades+'!$AC$2,"S","S+"))))))))))))))))))))</f>
        <v>F-</v>
      </c>
      <c r="J121" s="1230">
        <f t="shared" si="4"/>
        <v>0</v>
      </c>
      <c r="K121" s="1230" t="str">
        <f>IF(J121&lt;'PlayerGrades+'!$AD$21,"F-",IF(J121&lt;'PlayerGrades+'!$AD$20,"F",IF(J121&lt;'PlayerGrades+'!$AD$19,"F+",IF(J121&lt;'PlayerGrades+'!$AD$18,"E-",IF(J121&lt;'PlayerGrades+'!$AD$17,"E",IF(J121&lt;'PlayerGrades+'!$AD$16,"E+",IF(J121&lt;'PlayerGrades+'!$AD$15,"D-",IF(J121&lt;'PlayerGrades+'!$AD$14,"D",IF(J121&lt;'PlayerGrades+'!$AD$13,"D+",IF(J121&lt;'PlayerGrades+'!$AD$12,"C-",IF(J121&lt;'PlayerGrades+'!$AD$11,"C",IF(J121&lt;'PlayerGrades+'!$AD$10,"C+",IF(J121&lt;'PlayerGrades+'!$AD$9,"B-",IF(J121&lt;'PlayerGrades+'!$AD$8,"B",IF(J121&lt;'PlayerGrades+'!$AD$7,"B+",IF(J121&lt;'PlayerGrades+'!$AD$6,"A-",IF(J121&lt;'PlayerGrades+'!$AD$5,"A",IF(J121&lt;'PlayerGrades+'!$AD$4,"A+",IF(J121&lt;'PlayerGrades+'!$AD$3,"S-",IF(J121&lt;'PlayerGrades+'!$AD$2,"S","S+"))))))))))))))))))))</f>
        <v>F-</v>
      </c>
      <c r="L121" s="1231">
        <f t="shared" si="5"/>
        <v>0.2521008403</v>
      </c>
      <c r="M121" s="1231" t="str">
        <f>IF(L121&lt;'PlayerGrades+'!$AE$21,"F-",IF(L121&lt;'PlayerGrades+'!$AE$20,"F",IF(L121&lt;'PlayerGrades+'!$AE$19,"F+",IF(L121&lt;'PlayerGrades+'!$AE$18,"E-",IF(L121&lt;'PlayerGrades+'!$AE$17,"E",IF(L121&lt;'PlayerGrades+'!$AE$16,"E+",IF(L121&lt;'PlayerGrades+'!$AE$15,"D-",IF(L121&lt;'PlayerGrades+'!$AE$14,"D",IF(L121&lt;'PlayerGrades+'!$AE$13,"D+",IF(L121&lt;'PlayerGrades+'!$AE$12,"C-",IF(L121&lt;'PlayerGrades+'!$AE$11,"C",IF(L121&lt;'PlayerGrades+'!$AE$10,"C+",IF(L121&lt;'PlayerGrades+'!$AE$9,"B-",IF(L121&lt;'PlayerGrades+'!$AE$8,"B",IF(L121&lt;'PlayerGrades+'!$AE$7,"B+",IF(L121&lt;'PlayerGrades+'!$AE$6,"A-",IF(L121&lt;'PlayerGrades+'!$AE$5,"A",IF(L121&lt;'PlayerGrades+'!$AE$4,"A+",IF(L121&lt;'PlayerGrades+'!$AE$3,"S-",IF(L121&lt;'PlayerGrades+'!$AE$2,"S","S+"))))))))))))))))))))</f>
        <v>F</v>
      </c>
      <c r="N121" s="1230">
        <f t="shared" si="6"/>
        <v>0.06302521008</v>
      </c>
      <c r="O121" s="1230" t="str">
        <f>IF(N121&lt;'PlayerGrades+'!$AF$21,"F-",IF(N121&lt;'PlayerGrades+'!$AF$20,"F",IF(N121&lt;'PlayerGrades+'!$AF$19,"F+",IF(N121&lt;'PlayerGrades+'!$AF$18,"E-",IF(N121&lt;'PlayerGrades+'!$AF$17,"E",IF(N121&lt;'PlayerGrades+'!$AF$16,"E+",IF(N121&lt;'PlayerGrades+'!$AF$15,"D-",IF(N121&lt;'PlayerGrades+'!$AF$14,"D",IF(N121&lt;'PlayerGrades+'!$AF$13,"D+",IF(N121&lt;'PlayerGrades+'!$AF$12,"C-",IF(N121&lt;'PlayerGrades+'!$AF$11,"C",IF(N121&lt;'PlayerGrades+'!$AF$10,"C+",IF(N121&lt;'PlayerGrades+'!$AF$9,"B-",IF(N121&lt;'PlayerGrades+'!$AF$8,"B",IF(N121&lt;'PlayerGrades+'!$AF$7,"B+",IF(N121&lt;'PlayerGrades+'!$AF$6,"A-",IF(N121&lt;'PlayerGrades+'!$AF$5,"A",IF(N121&lt;'PlayerGrades+'!$AF$4,"A+",IF(N121&lt;'PlayerGrades+'!$AF$3,"S-",IF(N121&lt;'PlayerGrades+'!$AF$2,"S","S+"))))))))))))))))))))</f>
        <v>E-</v>
      </c>
      <c r="P121" s="1230">
        <f t="shared" si="7"/>
        <v>0.3151260504</v>
      </c>
      <c r="Q121" s="1230" t="str">
        <f>IF(P121&lt;'PlayerGrades+'!$AG$21,"F-",IF(P121&lt;'PlayerGrades+'!$AG$20,"F",IF(P121&lt;'PlayerGrades+'!$AG$19,"F+",IF(P121&lt;'PlayerGrades+'!$AG$18,"E-",IF(P121&lt;'PlayerGrades+'!$AG$17,"E",IF(P121&lt;'PlayerGrades+'!$AG$16,"E+",IF(P121&lt;'PlayerGrades+'!$AG$15,"D-",IF(P121&lt;'PlayerGrades+'!$AG$14,"D",IF(P121&lt;'PlayerGrades+'!$AG$13,"D+",IF(P121&lt;'PlayerGrades+'!$AG$12,"C-",IF(P121&lt;'PlayerGrades+'!$AG$11,"C",IF(P121&lt;'PlayerGrades+'!$AG$10,"C+",IF(P121&lt;'PlayerGrades+'!$AG$9,"B-",IF(P121&lt;'PlayerGrades+'!$AG$8,"B",IF(P121&lt;'PlayerGrades+'!$AG$7,"B+",IF(P121&lt;'PlayerGrades+'!$AG$6,"A-",IF(P121&lt;'PlayerGrades+'!$AG$5,"A",IF(P121&lt;'PlayerGrades+'!$AG$4,"A+",IF(P121&lt;'PlayerGrades+'!$AG$3,"S-",IF(P121&lt;'PlayerGrades+'!$AG$2,"S","S+"))))))))))))))))))))</f>
        <v>F</v>
      </c>
      <c r="R121" s="1230">
        <f t="shared" si="8"/>
        <v>0</v>
      </c>
      <c r="S121" s="1230" t="str">
        <f>IF(R121&lt;'PlayerGrades+'!$AH$21,"F-",IF(R121&lt;'PlayerGrades+'!$AH$20,"F",IF(R121&lt;'PlayerGrades+'!$AH$19,"F+",IF(R121&lt;'PlayerGrades+'!$AH$18,"E-",IF(R121&lt;'PlayerGrades+'!$AH$17,"E",IF(R121&lt;'PlayerGrades+'!$AH$16,"E+",IF(R121&lt;'PlayerGrades+'!$AH$15,"D-",IF(R121&lt;'PlayerGrades+'!$AH$14,"D",IF(R121&lt;'PlayerGrades+'!$AH$13,"D+",IF(R121&lt;'PlayerGrades+'!$AH$12,"C-",IF(R121&lt;'PlayerGrades+'!$AH$11,"C",IF(R121&lt;'PlayerGrades+'!$AH$10,"C+",IF(R121&lt;'PlayerGrades+'!$AH$9,"B-",IF(R121&lt;'PlayerGrades+'!$AH$8,"B",IF(R121&lt;'PlayerGrades+'!$AH$7,"B+",IF(R121&lt;'PlayerGrades+'!$AH$6,"A-",IF(R121&lt;'PlayerGrades+'!$AH$5,"A",IF(R121&lt;'PlayerGrades+'!$AH$4,"A+",IF(R121&lt;'PlayerGrades+'!$AH$3,"S-",IF(R121&lt;'PlayerGrades+'!$AH$2,"S","S+"))))))))))))))))))))</f>
        <v>F-</v>
      </c>
      <c r="T121" s="1230">
        <f t="shared" si="9"/>
        <v>2.016806723</v>
      </c>
      <c r="U121" s="1230" t="str">
        <f>IF(T121&lt;'PlayerGrades+'!$AI$21,"F-",IF(T121&lt;'PlayerGrades+'!$AI$20,"F",IF(T121&lt;'PlayerGrades+'!$AI$19,"F+",IF(T121&lt;'PlayerGrades+'!$AI$18,"E-",IF(T121&lt;'PlayerGrades+'!$AI$17,"E",IF(T121&lt;'PlayerGrades+'!$AI$16,"E+",IF(T121&lt;'PlayerGrades+'!$AI$15,"D-",IF(T121&lt;'PlayerGrades+'!$AI$14,"D",IF(T121&lt;'PlayerGrades+'!$AI$13,"D+",IF(T121&lt;'PlayerGrades+'!$AI$12,"C-",IF(T121&lt;'PlayerGrades+'!$AI$11,"C",IF(T121&lt;'PlayerGrades+'!$AI$10,"C+",IF(T121&lt;'PlayerGrades+'!$AI$9,"B-",IF(T121&lt;'PlayerGrades+'!$AI$8,"B",IF(T121&lt;'PlayerGrades+'!$AI$7,"B+",IF(T121&lt;'PlayerGrades+'!$AI$6,"A-",IF(T121&lt;'PlayerGrades+'!$AI$5,"A",IF(T121&lt;'PlayerGrades+'!$AI$4,"A+",IF(T121&lt;'PlayerGrades+'!$AI$3,"S-",IF(T121&lt;'PlayerGrades+'!$AI$2,"S","S+"))))))))))))))))))))</f>
        <v>F-</v>
      </c>
      <c r="V121" s="1227">
        <v>0.0</v>
      </c>
      <c r="W121" s="1227">
        <v>1.0</v>
      </c>
      <c r="X121" s="1227">
        <v>0.0</v>
      </c>
      <c r="Y121" s="1227">
        <v>1.0</v>
      </c>
      <c r="Z121" s="1227">
        <v>32.0</v>
      </c>
      <c r="AA121" s="1227">
        <v>48.0</v>
      </c>
      <c r="AB121" s="1232">
        <f t="shared" si="10"/>
        <v>-16</v>
      </c>
      <c r="AC121" s="1234">
        <f t="shared" si="11"/>
        <v>0.6666666667</v>
      </c>
      <c r="AD121" s="1227">
        <v>1.0</v>
      </c>
      <c r="AE121" s="1368">
        <v>952.0</v>
      </c>
      <c r="AF121" s="1227">
        <v>0.0</v>
      </c>
      <c r="AG121" s="1227">
        <v>0.0</v>
      </c>
      <c r="AH121" s="1227">
        <v>0.0</v>
      </c>
      <c r="AI121" s="1227">
        <v>0.0</v>
      </c>
      <c r="AJ121" s="1227">
        <v>0.0</v>
      </c>
      <c r="AK121" s="1227">
        <v>4.0</v>
      </c>
      <c r="AL121" s="1227">
        <v>1.0</v>
      </c>
      <c r="AM121" s="1227">
        <v>0.0</v>
      </c>
      <c r="AN121" s="1227">
        <v>0.0</v>
      </c>
      <c r="AO121" s="1227">
        <v>0.0</v>
      </c>
      <c r="AP121" s="1227">
        <v>0.0</v>
      </c>
      <c r="AQ121" s="1227">
        <v>0.0</v>
      </c>
      <c r="AR121" s="1227">
        <v>0.0</v>
      </c>
      <c r="AS121" s="1227">
        <v>0.0</v>
      </c>
      <c r="AT121" s="1227">
        <v>0.0</v>
      </c>
      <c r="AU121" s="1227">
        <v>1.0</v>
      </c>
      <c r="AV121" s="1227">
        <v>0.0</v>
      </c>
      <c r="AW121" s="1227">
        <v>0.0</v>
      </c>
      <c r="AX121" s="1227">
        <v>0.0</v>
      </c>
      <c r="AY121" s="1227">
        <v>0.0</v>
      </c>
      <c r="AZ121" s="1369">
        <v>0.0</v>
      </c>
    </row>
  </sheetData>
  <conditionalFormatting sqref="B1:B121">
    <cfRule type="cellIs" dxfId="29" priority="1" operator="equal">
      <formula>"S+"</formula>
    </cfRule>
  </conditionalFormatting>
  <conditionalFormatting sqref="B1:B121">
    <cfRule type="cellIs" dxfId="39" priority="2" operator="equal">
      <formula>"S"</formula>
    </cfRule>
  </conditionalFormatting>
  <conditionalFormatting sqref="B1:B121">
    <cfRule type="cellIs" dxfId="29" priority="3" operator="equal">
      <formula>"S-"</formula>
    </cfRule>
  </conditionalFormatting>
  <conditionalFormatting sqref="B1:B121">
    <cfRule type="cellIs" dxfId="28" priority="4" operator="equal">
      <formula>"A+"</formula>
    </cfRule>
  </conditionalFormatting>
  <conditionalFormatting sqref="B1:B121">
    <cfRule type="cellIs" dxfId="28" priority="5" operator="equal">
      <formula>"A"</formula>
    </cfRule>
  </conditionalFormatting>
  <conditionalFormatting sqref="B1:B121">
    <cfRule type="cellIs" dxfId="28" priority="6" operator="equal">
      <formula>"A-"</formula>
    </cfRule>
  </conditionalFormatting>
  <conditionalFormatting sqref="B1:B121">
    <cfRule type="cellIs" dxfId="23" priority="7" operator="equal">
      <formula>"B+"</formula>
    </cfRule>
  </conditionalFormatting>
  <conditionalFormatting sqref="B1:B121">
    <cfRule type="cellIs" dxfId="23" priority="8" operator="equal">
      <formula>"B"</formula>
    </cfRule>
  </conditionalFormatting>
  <conditionalFormatting sqref="B1:B121">
    <cfRule type="cellIs" dxfId="23" priority="9" operator="equal">
      <formula>"B-"</formula>
    </cfRule>
  </conditionalFormatting>
  <conditionalFormatting sqref="B1:B121">
    <cfRule type="cellIs" dxfId="40" priority="10" operator="equal">
      <formula>"C+"</formula>
    </cfRule>
  </conditionalFormatting>
  <conditionalFormatting sqref="B1:B121">
    <cfRule type="cellIs" dxfId="40" priority="11" operator="equal">
      <formula>"C"</formula>
    </cfRule>
  </conditionalFormatting>
  <conditionalFormatting sqref="B1:B121">
    <cfRule type="cellIs" dxfId="40" priority="12" operator="equal">
      <formula>"C-"</formula>
    </cfRule>
  </conditionalFormatting>
  <conditionalFormatting sqref="B1:B121">
    <cfRule type="cellIs" dxfId="25" priority="13" operator="equal">
      <formula>"D+"</formula>
    </cfRule>
  </conditionalFormatting>
  <conditionalFormatting sqref="B1:B121">
    <cfRule type="cellIs" dxfId="25" priority="14" operator="equal">
      <formula>"D"</formula>
    </cfRule>
  </conditionalFormatting>
  <conditionalFormatting sqref="B1:B121">
    <cfRule type="cellIs" dxfId="25" priority="15" operator="equal">
      <formula>"D-"</formula>
    </cfRule>
  </conditionalFormatting>
  <conditionalFormatting sqref="B1:B121">
    <cfRule type="cellIs" dxfId="26" priority="16" operator="equal">
      <formula>"E+"</formula>
    </cfRule>
  </conditionalFormatting>
  <conditionalFormatting sqref="B1:B121">
    <cfRule type="cellIs" dxfId="26" priority="17" operator="equal">
      <formula>"E"</formula>
    </cfRule>
  </conditionalFormatting>
  <conditionalFormatting sqref="B1:B121">
    <cfRule type="cellIs" dxfId="26" priority="18" operator="equal">
      <formula>"E-"</formula>
    </cfRule>
  </conditionalFormatting>
  <conditionalFormatting sqref="B1:B121">
    <cfRule type="cellIs" dxfId="41" priority="19" operator="equal">
      <formula>"F+"</formula>
    </cfRule>
  </conditionalFormatting>
  <conditionalFormatting sqref="B1:B121">
    <cfRule type="cellIs" dxfId="41" priority="20" operator="equal">
      <formula>"F"</formula>
    </cfRule>
  </conditionalFormatting>
  <conditionalFormatting sqref="B1:B121">
    <cfRule type="cellIs" dxfId="41" priority="21" operator="equal">
      <formula>"F-"</formula>
    </cfRule>
  </conditionalFormatting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3" width="3.25"/>
    <col customWidth="1" min="4" max="4" width="25.13"/>
    <col customWidth="1" min="5" max="5" width="20.13"/>
    <col customWidth="1" min="7" max="7" width="31.38"/>
  </cols>
  <sheetData>
    <row r="1">
      <c r="A1" s="891"/>
      <c r="B1" s="892" t="s">
        <v>400</v>
      </c>
      <c r="C1" s="893"/>
      <c r="D1" s="892" t="s">
        <v>401</v>
      </c>
      <c r="E1" s="40"/>
      <c r="F1" s="893"/>
      <c r="G1" s="40"/>
      <c r="H1" s="40"/>
      <c r="I1" s="40"/>
      <c r="J1" s="40"/>
    </row>
    <row r="2">
      <c r="A2" s="894" t="s">
        <v>402</v>
      </c>
      <c r="B2" s="895" t="s">
        <v>403</v>
      </c>
      <c r="C2" s="896"/>
      <c r="D2" s="897" t="s">
        <v>404</v>
      </c>
      <c r="E2" s="898" t="s">
        <v>405</v>
      </c>
      <c r="F2" s="40"/>
      <c r="G2" s="172" t="s">
        <v>101</v>
      </c>
      <c r="H2" s="125"/>
      <c r="I2" s="176" t="s">
        <v>102</v>
      </c>
      <c r="J2" s="40"/>
    </row>
    <row r="3">
      <c r="A3" s="900" t="s">
        <v>406</v>
      </c>
      <c r="B3" s="901" t="s">
        <v>407</v>
      </c>
      <c r="C3" s="893"/>
      <c r="D3" s="903" t="s">
        <v>408</v>
      </c>
      <c r="E3" s="904" t="s">
        <v>409</v>
      </c>
      <c r="F3" s="40"/>
      <c r="G3" s="179" t="s">
        <v>103</v>
      </c>
      <c r="H3" s="125"/>
      <c r="I3" s="182" t="s">
        <v>105</v>
      </c>
      <c r="J3" s="40"/>
    </row>
    <row r="4">
      <c r="A4" s="905"/>
      <c r="B4" s="901" t="s">
        <v>410</v>
      </c>
      <c r="C4" s="893"/>
      <c r="D4" s="906"/>
      <c r="E4" s="907" t="s">
        <v>411</v>
      </c>
      <c r="F4" s="40"/>
      <c r="G4" s="185" t="s">
        <v>109</v>
      </c>
      <c r="H4" s="125"/>
      <c r="I4" s="182" t="s">
        <v>110</v>
      </c>
      <c r="J4" s="40"/>
    </row>
    <row r="5">
      <c r="A5" s="908"/>
      <c r="B5" s="909" t="s">
        <v>412</v>
      </c>
      <c r="C5" s="896"/>
      <c r="D5" s="910"/>
      <c r="E5" s="911" t="s">
        <v>413</v>
      </c>
      <c r="F5" s="40"/>
      <c r="G5" s="188" t="s">
        <v>111</v>
      </c>
      <c r="H5" s="125"/>
      <c r="I5" s="190" t="s">
        <v>110</v>
      </c>
      <c r="J5" s="40"/>
    </row>
    <row r="6">
      <c r="A6" s="912" t="s">
        <v>414</v>
      </c>
      <c r="B6" s="913" t="s">
        <v>415</v>
      </c>
      <c r="C6" s="893"/>
      <c r="D6" s="914" t="s">
        <v>416</v>
      </c>
      <c r="E6" s="915" t="s">
        <v>417</v>
      </c>
      <c r="F6" s="40"/>
      <c r="G6" s="194" t="s">
        <v>114</v>
      </c>
      <c r="H6" s="125"/>
      <c r="I6" s="182" t="s">
        <v>115</v>
      </c>
      <c r="J6" s="40"/>
    </row>
    <row r="7">
      <c r="A7" s="916"/>
      <c r="B7" s="917" t="s">
        <v>418</v>
      </c>
      <c r="C7" s="893"/>
      <c r="D7" s="918"/>
      <c r="E7" s="919" t="s">
        <v>419</v>
      </c>
      <c r="F7" s="40"/>
      <c r="G7" s="196" t="s">
        <v>116</v>
      </c>
      <c r="H7" s="125"/>
      <c r="I7" s="182" t="s">
        <v>118</v>
      </c>
      <c r="J7" s="40"/>
    </row>
    <row r="8">
      <c r="A8" s="920"/>
      <c r="B8" s="921" t="s">
        <v>420</v>
      </c>
      <c r="C8" s="896"/>
      <c r="D8" s="922"/>
      <c r="E8" s="923" t="s">
        <v>421</v>
      </c>
      <c r="F8" s="40"/>
      <c r="G8" s="202" t="s">
        <v>119</v>
      </c>
      <c r="H8" s="125"/>
      <c r="I8" s="182" t="s">
        <v>121</v>
      </c>
      <c r="J8" s="40"/>
    </row>
    <row r="9">
      <c r="A9" s="924" t="s">
        <v>422</v>
      </c>
      <c r="B9" s="926" t="s">
        <v>423</v>
      </c>
      <c r="C9" s="893"/>
      <c r="D9" s="927"/>
      <c r="E9" s="40"/>
      <c r="F9" s="40"/>
      <c r="G9" s="206" t="s">
        <v>122</v>
      </c>
      <c r="H9" s="125"/>
      <c r="I9" s="182" t="s">
        <v>123</v>
      </c>
      <c r="J9" s="40"/>
    </row>
    <row r="10">
      <c r="A10" s="928"/>
      <c r="B10" s="929" t="s">
        <v>424</v>
      </c>
      <c r="C10" s="893"/>
      <c r="D10" s="927"/>
      <c r="E10" s="40"/>
      <c r="F10" s="40"/>
      <c r="G10" s="208" t="s">
        <v>124</v>
      </c>
      <c r="H10" s="125"/>
      <c r="I10" s="182" t="s">
        <v>123</v>
      </c>
      <c r="J10" s="40"/>
    </row>
    <row r="11">
      <c r="A11" s="928"/>
      <c r="B11" s="929" t="s">
        <v>425</v>
      </c>
      <c r="C11" s="893"/>
      <c r="D11" s="927"/>
      <c r="E11" s="40"/>
      <c r="F11" s="40"/>
      <c r="G11" s="210" t="s">
        <v>126</v>
      </c>
      <c r="H11" s="125"/>
      <c r="I11" s="182" t="s">
        <v>127</v>
      </c>
      <c r="J11" s="40"/>
    </row>
    <row r="12">
      <c r="A12" s="933"/>
      <c r="B12" s="934" t="s">
        <v>426</v>
      </c>
      <c r="C12" s="896"/>
      <c r="D12" s="935"/>
      <c r="E12" s="40"/>
      <c r="F12" s="40"/>
      <c r="G12" s="212" t="s">
        <v>9</v>
      </c>
      <c r="H12" s="125"/>
      <c r="I12" s="182" t="s">
        <v>129</v>
      </c>
      <c r="J12" s="40"/>
    </row>
    <row r="13">
      <c r="A13" s="937" t="s">
        <v>427</v>
      </c>
      <c r="B13" s="940" t="s">
        <v>428</v>
      </c>
      <c r="C13" s="893"/>
      <c r="D13" s="942" t="s">
        <v>424</v>
      </c>
      <c r="E13" s="40"/>
      <c r="F13" s="40"/>
      <c r="G13" s="214" t="s">
        <v>40</v>
      </c>
      <c r="H13" s="125"/>
      <c r="I13" s="182" t="s">
        <v>129</v>
      </c>
      <c r="J13" s="40"/>
    </row>
    <row r="14">
      <c r="A14" s="944"/>
      <c r="B14" s="940" t="s">
        <v>432</v>
      </c>
      <c r="C14" s="893"/>
      <c r="D14" s="942" t="s">
        <v>426</v>
      </c>
      <c r="E14" s="40"/>
      <c r="F14" s="40"/>
      <c r="G14" s="948"/>
      <c r="H14" s="125"/>
      <c r="I14" s="221"/>
      <c r="J14" s="40"/>
    </row>
    <row r="15">
      <c r="A15" s="944"/>
      <c r="B15" s="951"/>
      <c r="C15" s="893"/>
      <c r="D15" s="942" t="s">
        <v>436</v>
      </c>
      <c r="E15" s="953" t="s">
        <v>437</v>
      </c>
      <c r="F15" s="40"/>
      <c r="G15" s="218"/>
      <c r="H15" s="125"/>
      <c r="I15" s="221"/>
      <c r="J15" s="40"/>
    </row>
    <row r="16">
      <c r="A16" s="957"/>
      <c r="B16" s="960"/>
      <c r="C16" s="896"/>
      <c r="D16" s="963" t="s">
        <v>438</v>
      </c>
      <c r="E16" s="40"/>
      <c r="F16" s="40"/>
      <c r="G16" s="40"/>
      <c r="H16" s="40"/>
      <c r="I16" s="40"/>
      <c r="J16" s="40"/>
    </row>
    <row r="17">
      <c r="A17" s="965" t="s">
        <v>440</v>
      </c>
      <c r="B17" s="967" t="s">
        <v>441</v>
      </c>
      <c r="C17" s="893"/>
      <c r="D17" s="968" t="s">
        <v>443</v>
      </c>
      <c r="E17" s="40"/>
      <c r="F17" s="40"/>
      <c r="G17" s="40"/>
      <c r="H17" s="40"/>
      <c r="I17" s="40"/>
      <c r="J17" s="40"/>
    </row>
    <row r="18">
      <c r="A18" s="970"/>
      <c r="B18" s="967" t="s">
        <v>445</v>
      </c>
      <c r="C18" s="893"/>
      <c r="D18" s="968" t="s">
        <v>446</v>
      </c>
      <c r="E18" s="40"/>
      <c r="F18" s="40"/>
      <c r="G18" s="40"/>
      <c r="H18" s="40"/>
      <c r="I18" s="40"/>
      <c r="J18" s="40"/>
    </row>
    <row r="19">
      <c r="A19" s="972"/>
      <c r="B19" s="967" t="s">
        <v>448</v>
      </c>
      <c r="C19" s="893"/>
      <c r="D19" s="968" t="s">
        <v>449</v>
      </c>
      <c r="E19" s="40"/>
      <c r="F19" s="40"/>
      <c r="G19" s="40"/>
      <c r="H19" s="40"/>
      <c r="I19" s="40"/>
      <c r="J19" s="40"/>
    </row>
    <row r="20">
      <c r="A20" s="973"/>
      <c r="B20" s="974" t="s">
        <v>450</v>
      </c>
      <c r="C20" s="896"/>
      <c r="D20" s="975"/>
      <c r="E20" s="40"/>
      <c r="F20" s="40"/>
      <c r="G20" s="40"/>
      <c r="H20" s="40"/>
      <c r="I20" s="40"/>
      <c r="J20" s="40"/>
    </row>
    <row r="21">
      <c r="A21" s="976" t="s">
        <v>451</v>
      </c>
      <c r="B21" s="977" t="s">
        <v>452</v>
      </c>
      <c r="C21" s="893"/>
      <c r="D21" s="978" t="s">
        <v>453</v>
      </c>
      <c r="E21" s="40"/>
      <c r="F21" s="40"/>
      <c r="G21" s="40"/>
      <c r="H21" s="40"/>
      <c r="I21" s="40"/>
      <c r="J21" s="40"/>
    </row>
    <row r="22">
      <c r="A22" s="980"/>
      <c r="B22" s="977" t="s">
        <v>455</v>
      </c>
      <c r="C22" s="893"/>
      <c r="D22" s="982"/>
      <c r="E22" s="40"/>
      <c r="F22" s="40"/>
      <c r="G22" s="40"/>
      <c r="H22" s="40"/>
      <c r="I22" s="40"/>
      <c r="J22" s="40"/>
    </row>
    <row r="23">
      <c r="A23" s="980"/>
      <c r="B23" s="977" t="s">
        <v>456</v>
      </c>
      <c r="C23" s="893"/>
      <c r="D23" s="982"/>
      <c r="E23" s="40"/>
      <c r="F23" s="40"/>
      <c r="G23" s="40"/>
      <c r="H23" s="40"/>
      <c r="I23" s="40"/>
      <c r="J23" s="40"/>
    </row>
    <row r="24">
      <c r="A24" s="984"/>
      <c r="B24" s="985" t="s">
        <v>457</v>
      </c>
      <c r="C24" s="893"/>
      <c r="D24" s="987"/>
      <c r="E24" s="40"/>
      <c r="F24" s="40"/>
      <c r="G24" s="40"/>
      <c r="H24" s="40"/>
      <c r="I24" s="40"/>
      <c r="J24" s="40"/>
    </row>
    <row r="25">
      <c r="A25" s="990"/>
      <c r="B25" s="991" t="s">
        <v>459</v>
      </c>
      <c r="C25" s="893"/>
      <c r="D25" s="991" t="s">
        <v>459</v>
      </c>
      <c r="E25" s="40"/>
      <c r="F25" s="40"/>
      <c r="G25" s="40"/>
      <c r="H25" s="40"/>
      <c r="I25" s="40"/>
      <c r="J25" s="40"/>
    </row>
    <row r="26">
      <c r="A26" s="993" t="s">
        <v>461</v>
      </c>
      <c r="B26" s="994" t="s">
        <v>462</v>
      </c>
      <c r="C26" s="893"/>
      <c r="D26" s="995" t="s">
        <v>464</v>
      </c>
      <c r="E26" s="40"/>
      <c r="F26" s="40"/>
      <c r="G26" s="40"/>
      <c r="H26" s="40"/>
      <c r="I26" s="40"/>
      <c r="J26" s="40"/>
    </row>
    <row r="27">
      <c r="A27" s="996"/>
      <c r="B27" s="998" t="s">
        <v>465</v>
      </c>
      <c r="C27" s="893"/>
      <c r="D27" s="1000" t="s">
        <v>466</v>
      </c>
      <c r="E27" s="40"/>
      <c r="F27" s="40"/>
      <c r="G27" s="40"/>
      <c r="H27" s="40"/>
      <c r="I27" s="40"/>
      <c r="J27" s="40"/>
    </row>
    <row r="28">
      <c r="A28" s="996"/>
      <c r="B28" s="998" t="s">
        <v>467</v>
      </c>
      <c r="C28" s="893"/>
      <c r="D28" s="1003"/>
      <c r="E28" s="40"/>
      <c r="F28" s="40"/>
      <c r="G28" s="40"/>
      <c r="H28" s="40"/>
      <c r="I28" s="40"/>
      <c r="J28" s="40"/>
    </row>
    <row r="29">
      <c r="A29" s="1004"/>
      <c r="B29" s="1006" t="s">
        <v>471</v>
      </c>
      <c r="C29" s="896"/>
      <c r="D29" s="1008"/>
      <c r="E29" s="40"/>
      <c r="F29" s="40"/>
      <c r="G29" s="40"/>
      <c r="H29" s="40"/>
      <c r="I29" s="40"/>
      <c r="J29" s="40"/>
    </row>
    <row r="30">
      <c r="A30" s="1009" t="s">
        <v>473</v>
      </c>
      <c r="B30" s="901" t="s">
        <v>474</v>
      </c>
      <c r="C30" s="893"/>
      <c r="D30" s="906"/>
      <c r="E30" s="40"/>
      <c r="F30" s="40"/>
      <c r="G30" s="40"/>
      <c r="H30" s="40"/>
      <c r="I30" s="40"/>
      <c r="J30" s="40"/>
    </row>
    <row r="31">
      <c r="A31" s="1011"/>
      <c r="B31" s="1012" t="s">
        <v>477</v>
      </c>
      <c r="C31" s="896"/>
      <c r="D31" s="910"/>
      <c r="E31" s="40"/>
      <c r="F31" s="40"/>
      <c r="G31" s="40"/>
      <c r="H31" s="40"/>
      <c r="I31" s="40"/>
      <c r="J31" s="40"/>
    </row>
    <row r="32">
      <c r="A32" s="1014" t="s">
        <v>478</v>
      </c>
      <c r="B32" s="917" t="s">
        <v>480</v>
      </c>
      <c r="C32" s="893"/>
      <c r="D32" s="914" t="s">
        <v>481</v>
      </c>
      <c r="E32" s="40"/>
      <c r="F32" s="40"/>
      <c r="G32" s="40"/>
      <c r="H32" s="40"/>
      <c r="I32" s="40"/>
      <c r="J32" s="40"/>
    </row>
    <row r="33">
      <c r="A33" s="1015"/>
      <c r="B33" s="913" t="s">
        <v>484</v>
      </c>
      <c r="C33" s="893"/>
      <c r="D33" s="914" t="s">
        <v>485</v>
      </c>
      <c r="E33" s="40"/>
      <c r="F33" s="40"/>
      <c r="G33" s="40"/>
      <c r="H33" s="40"/>
      <c r="I33" s="40"/>
      <c r="J33" s="40"/>
    </row>
    <row r="34">
      <c r="A34" s="1016"/>
      <c r="B34" s="1018" t="s">
        <v>487</v>
      </c>
      <c r="C34" s="896"/>
      <c r="D34" s="1019" t="s">
        <v>488</v>
      </c>
      <c r="E34" s="40"/>
      <c r="F34" s="40"/>
      <c r="G34" s="40"/>
      <c r="H34" s="40"/>
      <c r="I34" s="40"/>
      <c r="J34" s="40"/>
    </row>
    <row r="35">
      <c r="A35" s="1024" t="s">
        <v>490</v>
      </c>
      <c r="B35" s="926" t="s">
        <v>423</v>
      </c>
      <c r="C35" s="893"/>
      <c r="D35" s="1026" t="s">
        <v>491</v>
      </c>
      <c r="E35" s="40"/>
      <c r="F35" s="40"/>
      <c r="G35" s="40"/>
      <c r="H35" s="40"/>
      <c r="I35" s="40"/>
      <c r="J35" s="40"/>
    </row>
    <row r="36">
      <c r="A36" s="1029"/>
      <c r="B36" s="929" t="s">
        <v>497</v>
      </c>
      <c r="C36" s="893"/>
      <c r="D36" s="927"/>
      <c r="E36" s="40"/>
      <c r="F36" s="40"/>
      <c r="G36" s="40"/>
      <c r="H36" s="40"/>
      <c r="I36" s="40"/>
      <c r="J36" s="40"/>
    </row>
    <row r="37">
      <c r="A37" s="1030"/>
      <c r="B37" s="1031" t="s">
        <v>498</v>
      </c>
      <c r="C37" s="896"/>
      <c r="D37" s="935"/>
      <c r="E37" s="40"/>
      <c r="F37" s="40"/>
      <c r="G37" s="40"/>
      <c r="H37" s="40"/>
      <c r="I37" s="40"/>
      <c r="J37" s="40"/>
    </row>
    <row r="38">
      <c r="A38" s="937" t="s">
        <v>500</v>
      </c>
      <c r="B38" s="1032" t="s">
        <v>501</v>
      </c>
      <c r="C38" s="893"/>
      <c r="D38" s="1032" t="s">
        <v>503</v>
      </c>
      <c r="E38" s="40"/>
      <c r="F38" s="40"/>
      <c r="G38" s="40"/>
      <c r="H38" s="40"/>
      <c r="I38" s="40"/>
      <c r="J38" s="40"/>
    </row>
    <row r="39">
      <c r="A39" s="1033"/>
      <c r="B39" s="940" t="s">
        <v>504</v>
      </c>
      <c r="C39" s="893"/>
      <c r="D39" s="942" t="s">
        <v>505</v>
      </c>
      <c r="E39" s="40"/>
      <c r="F39" s="40"/>
      <c r="G39" s="40"/>
      <c r="H39" s="40"/>
      <c r="I39" s="40"/>
      <c r="J39" s="40"/>
    </row>
    <row r="40">
      <c r="A40" s="1033"/>
      <c r="B40" s="1034" t="s">
        <v>507</v>
      </c>
      <c r="C40" s="893"/>
      <c r="D40" s="942" t="s">
        <v>510</v>
      </c>
      <c r="E40" s="40"/>
      <c r="F40" s="40"/>
      <c r="G40" s="40"/>
      <c r="H40" s="40"/>
      <c r="I40" s="40"/>
      <c r="J40" s="40"/>
    </row>
    <row r="41">
      <c r="A41" s="1036"/>
      <c r="B41" s="960"/>
      <c r="C41" s="896"/>
      <c r="D41" s="963" t="s">
        <v>511</v>
      </c>
      <c r="E41" s="40"/>
      <c r="F41" s="40"/>
      <c r="G41" s="40"/>
      <c r="H41" s="40"/>
      <c r="I41" s="40"/>
      <c r="J41" s="40"/>
    </row>
    <row r="42">
      <c r="A42" s="965" t="s">
        <v>512</v>
      </c>
      <c r="B42" s="1038" t="s">
        <v>441</v>
      </c>
      <c r="C42" s="893"/>
      <c r="D42" s="968" t="s">
        <v>514</v>
      </c>
      <c r="E42" s="40"/>
      <c r="F42" s="40"/>
      <c r="G42" s="40"/>
      <c r="H42" s="40"/>
      <c r="I42" s="40"/>
      <c r="J42" s="40"/>
    </row>
    <row r="43">
      <c r="A43" s="972"/>
      <c r="B43" s="1038" t="s">
        <v>516</v>
      </c>
      <c r="C43" s="893"/>
      <c r="D43" s="968" t="s">
        <v>517</v>
      </c>
      <c r="E43" s="40"/>
      <c r="F43" s="40"/>
      <c r="G43" s="40"/>
      <c r="H43" s="40"/>
      <c r="I43" s="40"/>
      <c r="J43" s="40"/>
    </row>
    <row r="44">
      <c r="A44" s="972"/>
      <c r="B44" s="1039" t="s">
        <v>518</v>
      </c>
      <c r="C44" s="893"/>
      <c r="D44" s="968" t="s">
        <v>519</v>
      </c>
      <c r="E44" s="40"/>
      <c r="F44" s="40"/>
      <c r="G44" s="40"/>
      <c r="H44" s="40"/>
      <c r="I44" s="40"/>
      <c r="J44" s="40"/>
    </row>
    <row r="45">
      <c r="A45" s="972"/>
      <c r="B45" s="1039" t="s">
        <v>520</v>
      </c>
      <c r="C45" s="893"/>
      <c r="D45" s="968" t="s">
        <v>521</v>
      </c>
      <c r="E45" s="40"/>
      <c r="F45" s="40"/>
      <c r="G45" s="40"/>
      <c r="H45" s="40"/>
      <c r="I45" s="40"/>
      <c r="J45" s="40"/>
    </row>
    <row r="46">
      <c r="A46" s="972"/>
      <c r="B46" s="967" t="s">
        <v>522</v>
      </c>
      <c r="C46" s="893"/>
      <c r="D46" s="968" t="s">
        <v>523</v>
      </c>
      <c r="E46" s="40"/>
      <c r="F46" s="40"/>
      <c r="G46" s="40"/>
      <c r="H46" s="40"/>
      <c r="I46" s="40"/>
      <c r="J46" s="40"/>
    </row>
    <row r="47">
      <c r="A47" s="972"/>
      <c r="B47" s="1041"/>
      <c r="C47" s="893"/>
      <c r="D47" s="968" t="s">
        <v>525</v>
      </c>
      <c r="E47" s="40"/>
      <c r="F47" s="40"/>
      <c r="G47" s="40"/>
      <c r="H47" s="40"/>
      <c r="I47" s="40"/>
      <c r="J47" s="40"/>
    </row>
    <row r="48">
      <c r="A48" s="972"/>
      <c r="B48" s="1041"/>
      <c r="C48" s="893"/>
      <c r="D48" s="968" t="s">
        <v>528</v>
      </c>
      <c r="E48" s="40"/>
      <c r="F48" s="40"/>
      <c r="G48" s="40"/>
      <c r="H48" s="40"/>
      <c r="I48" s="40"/>
      <c r="J48" s="40"/>
    </row>
    <row r="49">
      <c r="A49" s="972"/>
      <c r="B49" s="1041"/>
      <c r="C49" s="893"/>
      <c r="D49" s="968" t="s">
        <v>529</v>
      </c>
      <c r="E49" s="40"/>
      <c r="F49" s="40"/>
      <c r="G49" s="40"/>
      <c r="H49" s="40"/>
      <c r="I49" s="40"/>
      <c r="J49" s="40"/>
    </row>
    <row r="50">
      <c r="A50" s="972"/>
      <c r="B50" s="1041"/>
      <c r="C50" s="893"/>
      <c r="D50" s="968" t="s">
        <v>530</v>
      </c>
      <c r="E50" s="40"/>
      <c r="F50" s="40"/>
      <c r="G50" s="40"/>
      <c r="H50" s="40"/>
      <c r="I50" s="40"/>
      <c r="J50" s="40"/>
    </row>
    <row r="51">
      <c r="A51" s="972"/>
      <c r="B51" s="1041"/>
      <c r="C51" s="893"/>
      <c r="D51" s="968" t="s">
        <v>531</v>
      </c>
      <c r="E51" s="40"/>
      <c r="F51" s="40"/>
      <c r="G51" s="40"/>
      <c r="H51" s="40"/>
      <c r="I51" s="40"/>
      <c r="J51" s="40"/>
    </row>
    <row r="52">
      <c r="A52" s="973"/>
      <c r="B52" s="975"/>
      <c r="C52" s="896"/>
      <c r="D52" s="1044" t="s">
        <v>532</v>
      </c>
      <c r="E52" s="40"/>
      <c r="F52" s="40"/>
      <c r="G52" s="40"/>
      <c r="H52" s="40"/>
      <c r="I52" s="40"/>
      <c r="J52" s="40"/>
    </row>
    <row r="53">
      <c r="A53" s="976" t="s">
        <v>533</v>
      </c>
      <c r="B53" s="977" t="s">
        <v>534</v>
      </c>
      <c r="C53" s="893"/>
      <c r="D53" s="982"/>
      <c r="E53" s="40"/>
      <c r="F53" s="40"/>
      <c r="G53" s="40"/>
      <c r="H53" s="40"/>
      <c r="I53" s="40"/>
      <c r="J53" s="40"/>
    </row>
    <row r="54">
      <c r="A54" s="1046"/>
      <c r="B54" s="1047" t="s">
        <v>537</v>
      </c>
      <c r="C54" s="893"/>
      <c r="D54" s="978" t="s">
        <v>538</v>
      </c>
      <c r="E54" s="40"/>
      <c r="F54" s="40"/>
      <c r="G54" s="40"/>
      <c r="H54" s="40"/>
      <c r="I54" s="40"/>
      <c r="J54" s="40"/>
    </row>
    <row r="55">
      <c r="A55" s="1048"/>
      <c r="B55" s="985" t="s">
        <v>541</v>
      </c>
      <c r="C55" s="893"/>
      <c r="D55" s="1049" t="s">
        <v>542</v>
      </c>
      <c r="E55" s="40"/>
      <c r="F55" s="40"/>
      <c r="G55" s="40"/>
      <c r="H55" s="40"/>
      <c r="I55" s="40"/>
      <c r="J55" s="40"/>
    </row>
    <row r="56">
      <c r="A56" s="1050"/>
      <c r="B56" s="991" t="s">
        <v>544</v>
      </c>
      <c r="C56" s="893"/>
      <c r="D56" s="991" t="s">
        <v>544</v>
      </c>
      <c r="E56" s="40"/>
      <c r="F56" s="40"/>
      <c r="G56" s="40"/>
      <c r="H56" s="40"/>
      <c r="I56" s="40"/>
      <c r="J56" s="40"/>
    </row>
    <row r="57">
      <c r="A57" s="1051" t="s">
        <v>545</v>
      </c>
      <c r="B57" s="998" t="s">
        <v>407</v>
      </c>
      <c r="C57" s="893"/>
      <c r="D57" s="1000" t="s">
        <v>546</v>
      </c>
      <c r="E57" s="40"/>
      <c r="F57" s="40"/>
      <c r="G57" s="40"/>
      <c r="H57" s="40"/>
      <c r="I57" s="40"/>
      <c r="J57" s="40"/>
    </row>
    <row r="58">
      <c r="A58" s="996"/>
      <c r="B58" s="1053" t="s">
        <v>547</v>
      </c>
      <c r="C58" s="893"/>
      <c r="D58" s="1000" t="s">
        <v>548</v>
      </c>
      <c r="E58" s="40"/>
      <c r="F58" s="40"/>
      <c r="G58" s="40"/>
      <c r="H58" s="40"/>
      <c r="I58" s="40"/>
      <c r="J58" s="40"/>
    </row>
    <row r="59">
      <c r="A59" s="1004"/>
      <c r="B59" s="1055" t="s">
        <v>549</v>
      </c>
      <c r="C59" s="896"/>
      <c r="D59" s="1008"/>
      <c r="E59" s="40"/>
      <c r="F59" s="40"/>
      <c r="G59" s="40"/>
      <c r="H59" s="40"/>
      <c r="I59" s="40"/>
      <c r="J59" s="40"/>
    </row>
    <row r="60">
      <c r="A60" s="1009" t="s">
        <v>551</v>
      </c>
      <c r="B60" s="901" t="s">
        <v>474</v>
      </c>
      <c r="C60" s="893"/>
      <c r="D60" s="906"/>
      <c r="E60" s="40"/>
      <c r="F60" s="40"/>
      <c r="G60" s="40"/>
      <c r="H60" s="40"/>
      <c r="I60" s="40"/>
      <c r="J60" s="40"/>
    </row>
    <row r="61">
      <c r="A61" s="1056"/>
      <c r="B61" s="901" t="s">
        <v>552</v>
      </c>
      <c r="C61" s="893"/>
      <c r="D61" s="906"/>
      <c r="E61" s="40"/>
      <c r="F61" s="40"/>
      <c r="G61" s="40"/>
      <c r="H61" s="40"/>
      <c r="I61" s="40"/>
      <c r="J61" s="40"/>
    </row>
    <row r="62">
      <c r="A62" s="1011"/>
      <c r="B62" s="1012" t="s">
        <v>553</v>
      </c>
      <c r="C62" s="896"/>
      <c r="D62" s="910"/>
      <c r="E62" s="40"/>
      <c r="F62" s="40"/>
      <c r="G62" s="40"/>
      <c r="H62" s="40"/>
      <c r="I62" s="40"/>
      <c r="J62" s="40"/>
    </row>
    <row r="63">
      <c r="A63" s="1014" t="s">
        <v>554</v>
      </c>
      <c r="B63" s="913" t="s">
        <v>555</v>
      </c>
      <c r="C63" s="893"/>
      <c r="D63" s="918"/>
      <c r="E63" s="40"/>
      <c r="F63" s="40"/>
      <c r="G63" s="40"/>
      <c r="H63" s="40"/>
      <c r="I63" s="40"/>
      <c r="J63" s="40"/>
    </row>
    <row r="64">
      <c r="A64" s="1016"/>
      <c r="B64" s="921" t="s">
        <v>556</v>
      </c>
      <c r="C64" s="896"/>
      <c r="D64" s="922"/>
      <c r="E64" s="40"/>
      <c r="F64" s="40"/>
      <c r="G64" s="40"/>
      <c r="H64" s="40"/>
      <c r="I64" s="40"/>
      <c r="J64" s="40"/>
    </row>
    <row r="65">
      <c r="A65" s="1024" t="s">
        <v>557</v>
      </c>
      <c r="B65" s="926" t="s">
        <v>558</v>
      </c>
      <c r="C65" s="893"/>
      <c r="D65" s="1026" t="s">
        <v>555</v>
      </c>
      <c r="E65" s="40"/>
      <c r="F65" s="40"/>
      <c r="G65" s="40"/>
      <c r="H65" s="40"/>
      <c r="I65" s="40"/>
      <c r="J65" s="40"/>
    </row>
    <row r="66">
      <c r="A66" s="1029"/>
      <c r="B66" s="926" t="s">
        <v>559</v>
      </c>
      <c r="C66" s="893"/>
      <c r="D66" s="1026" t="s">
        <v>560</v>
      </c>
      <c r="E66" s="40"/>
      <c r="F66" s="40"/>
      <c r="G66" s="40"/>
      <c r="H66" s="40"/>
      <c r="I66" s="40"/>
      <c r="J66" s="40"/>
    </row>
    <row r="67">
      <c r="A67" s="1029"/>
      <c r="B67" s="929" t="s">
        <v>561</v>
      </c>
      <c r="C67" s="893"/>
      <c r="D67" s="927"/>
      <c r="E67" s="40"/>
      <c r="F67" s="40"/>
      <c r="G67" s="40"/>
      <c r="H67" s="40"/>
      <c r="I67" s="40"/>
      <c r="J67" s="40"/>
    </row>
    <row r="68">
      <c r="A68" s="1030"/>
      <c r="B68" s="1031" t="s">
        <v>563</v>
      </c>
      <c r="C68" s="896"/>
      <c r="D68" s="935"/>
      <c r="E68" s="40"/>
      <c r="F68" s="40"/>
      <c r="G68" s="40"/>
      <c r="H68" s="40"/>
      <c r="I68" s="40"/>
      <c r="J68" s="40"/>
    </row>
    <row r="69">
      <c r="A69" s="1059" t="s">
        <v>565</v>
      </c>
      <c r="B69" s="1060" t="s">
        <v>566</v>
      </c>
      <c r="C69" s="896"/>
      <c r="D69" s="960"/>
      <c r="E69" s="40"/>
      <c r="F69" s="40"/>
      <c r="G69" s="40"/>
      <c r="H69" s="40"/>
      <c r="I69" s="40"/>
      <c r="J69" s="40"/>
    </row>
    <row r="70">
      <c r="A70" s="965" t="s">
        <v>567</v>
      </c>
      <c r="B70" s="1062" t="s">
        <v>448</v>
      </c>
      <c r="C70" s="893"/>
      <c r="D70" s="968" t="s">
        <v>477</v>
      </c>
      <c r="E70" s="40"/>
      <c r="F70" s="40"/>
      <c r="G70" s="40"/>
      <c r="H70" s="40"/>
      <c r="I70" s="40"/>
      <c r="J70" s="40"/>
    </row>
    <row r="71">
      <c r="A71" s="973"/>
      <c r="B71" s="1063" t="s">
        <v>571</v>
      </c>
      <c r="C71" s="896"/>
      <c r="D71" s="1044" t="s">
        <v>572</v>
      </c>
      <c r="E71" s="40"/>
      <c r="F71" s="40"/>
      <c r="G71" s="40"/>
      <c r="H71" s="40"/>
      <c r="I71" s="40"/>
      <c r="J71" s="40"/>
    </row>
    <row r="72">
      <c r="A72" s="976" t="s">
        <v>573</v>
      </c>
      <c r="B72" s="1047" t="s">
        <v>574</v>
      </c>
      <c r="C72" s="893"/>
      <c r="D72" s="982"/>
      <c r="E72" s="40"/>
      <c r="F72" s="40"/>
      <c r="G72" s="40"/>
      <c r="H72" s="40"/>
      <c r="I72" s="40"/>
      <c r="J72" s="40"/>
    </row>
    <row r="73">
      <c r="A73" s="1046"/>
      <c r="B73" s="1047" t="s">
        <v>537</v>
      </c>
      <c r="C73" s="893"/>
      <c r="D73" s="982"/>
      <c r="E73" s="40"/>
      <c r="F73" s="40"/>
      <c r="G73" s="40"/>
      <c r="H73" s="40"/>
      <c r="I73" s="40"/>
      <c r="J73" s="40"/>
    </row>
    <row r="74">
      <c r="A74" s="1046"/>
      <c r="B74" s="1065" t="s">
        <v>575</v>
      </c>
      <c r="C74" s="893"/>
      <c r="D74" s="982"/>
      <c r="E74" s="40"/>
      <c r="F74" s="40"/>
      <c r="G74" s="40"/>
      <c r="H74" s="40"/>
      <c r="I74" s="40"/>
      <c r="J74" s="40"/>
    </row>
    <row r="75">
      <c r="A75" s="1048"/>
      <c r="B75" s="1067" t="s">
        <v>576</v>
      </c>
      <c r="C75" s="893"/>
      <c r="D75" s="1069" t="s">
        <v>578</v>
      </c>
      <c r="E75" s="40"/>
      <c r="F75" s="40"/>
      <c r="G75" s="40"/>
      <c r="H75" s="40"/>
      <c r="I75" s="40"/>
      <c r="J75" s="40"/>
    </row>
    <row r="76">
      <c r="A76" s="1071"/>
      <c r="B76" s="1073" t="s">
        <v>579</v>
      </c>
      <c r="C76" s="893"/>
      <c r="D76" s="1074" t="s">
        <v>579</v>
      </c>
      <c r="E76" s="40"/>
      <c r="F76" s="40"/>
      <c r="G76" s="40"/>
      <c r="H76" s="40"/>
      <c r="I76" s="40"/>
      <c r="J76" s="40"/>
    </row>
    <row r="77">
      <c r="A77" s="1051" t="s">
        <v>582</v>
      </c>
      <c r="B77" s="1077" t="s">
        <v>462</v>
      </c>
      <c r="C77" s="893"/>
      <c r="D77" s="1078" t="s">
        <v>504</v>
      </c>
      <c r="E77" s="40"/>
      <c r="F77" s="40"/>
      <c r="G77" s="40"/>
      <c r="H77" s="40"/>
      <c r="I77" s="40"/>
      <c r="J77" s="40"/>
    </row>
    <row r="78">
      <c r="A78" s="996"/>
      <c r="B78" s="1077" t="s">
        <v>586</v>
      </c>
      <c r="C78" s="893"/>
      <c r="D78" s="1003"/>
      <c r="E78" s="40"/>
      <c r="F78" s="40"/>
      <c r="G78" s="40"/>
      <c r="H78" s="40"/>
      <c r="I78" s="40"/>
      <c r="J78" s="40"/>
    </row>
    <row r="79">
      <c r="A79" s="996"/>
      <c r="B79" s="998" t="s">
        <v>588</v>
      </c>
      <c r="C79" s="893"/>
      <c r="D79" s="1003"/>
      <c r="E79" s="40"/>
      <c r="F79" s="40"/>
      <c r="G79" s="40"/>
      <c r="H79" s="40"/>
      <c r="I79" s="40"/>
      <c r="J79" s="40"/>
    </row>
    <row r="80">
      <c r="A80" s="1004"/>
      <c r="B80" s="1072" t="s">
        <v>471</v>
      </c>
      <c r="C80" s="896"/>
      <c r="D80" s="1008"/>
      <c r="E80" s="40"/>
      <c r="F80" s="40"/>
      <c r="G80" s="40"/>
      <c r="H80" s="40"/>
      <c r="I80" s="40"/>
      <c r="J80" s="40"/>
    </row>
    <row r="81">
      <c r="A81" s="1079" t="s">
        <v>589</v>
      </c>
      <c r="B81" s="1081" t="s">
        <v>590</v>
      </c>
      <c r="C81" s="896"/>
      <c r="D81" s="910"/>
      <c r="E81" s="40"/>
      <c r="F81" s="40"/>
      <c r="G81" s="40"/>
      <c r="H81" s="40"/>
      <c r="I81" s="40"/>
      <c r="J81" s="40"/>
    </row>
    <row r="82">
      <c r="A82" s="1014" t="s">
        <v>593</v>
      </c>
      <c r="B82" s="913" t="s">
        <v>594</v>
      </c>
      <c r="C82" s="893"/>
      <c r="D82" s="918"/>
      <c r="E82" s="40"/>
      <c r="F82" s="40"/>
      <c r="G82" s="40"/>
      <c r="H82" s="40"/>
      <c r="I82" s="40"/>
      <c r="J82" s="40"/>
    </row>
    <row r="83">
      <c r="A83" s="1016"/>
      <c r="B83" s="1018" t="s">
        <v>487</v>
      </c>
      <c r="C83" s="896"/>
      <c r="D83" s="922"/>
      <c r="E83" s="40"/>
      <c r="F83" s="40"/>
      <c r="G83" s="40"/>
      <c r="H83" s="40"/>
      <c r="I83" s="40"/>
      <c r="J83" s="40"/>
    </row>
    <row r="84">
      <c r="A84" s="1024" t="s">
        <v>595</v>
      </c>
      <c r="B84" s="1082" t="s">
        <v>596</v>
      </c>
      <c r="C84" s="893"/>
      <c r="D84" s="927"/>
      <c r="E84" s="954"/>
      <c r="F84" s="954"/>
      <c r="G84" s="954"/>
      <c r="H84" s="954"/>
      <c r="I84" s="954"/>
      <c r="J84" s="954"/>
    </row>
    <row r="85">
      <c r="A85" s="1029"/>
      <c r="B85" s="1082" t="s">
        <v>599</v>
      </c>
      <c r="C85" s="893"/>
      <c r="D85" s="927"/>
      <c r="E85" s="954"/>
      <c r="F85" s="954"/>
      <c r="G85" s="954"/>
      <c r="H85" s="954"/>
      <c r="I85" s="954"/>
      <c r="J85" s="954"/>
    </row>
    <row r="86">
      <c r="A86" s="1029"/>
      <c r="B86" s="929" t="s">
        <v>600</v>
      </c>
      <c r="C86" s="893"/>
      <c r="D86" s="927"/>
      <c r="E86" s="954"/>
      <c r="F86" s="954"/>
      <c r="G86" s="954"/>
      <c r="H86" s="954"/>
      <c r="I86" s="954"/>
      <c r="J86" s="954"/>
    </row>
    <row r="87">
      <c r="A87" s="1030"/>
      <c r="B87" s="934" t="s">
        <v>601</v>
      </c>
      <c r="C87" s="896"/>
      <c r="D87" s="935"/>
      <c r="E87" s="954"/>
      <c r="F87" s="954"/>
      <c r="G87" s="954"/>
      <c r="H87" s="954"/>
      <c r="I87" s="954"/>
      <c r="J87" s="954"/>
    </row>
    <row r="88">
      <c r="A88" s="1059" t="s">
        <v>602</v>
      </c>
      <c r="B88" s="1060" t="s">
        <v>428</v>
      </c>
      <c r="C88" s="896"/>
      <c r="D88" s="960"/>
      <c r="E88" s="954"/>
      <c r="F88" s="954"/>
      <c r="G88" s="954"/>
      <c r="H88" s="954"/>
      <c r="I88" s="954"/>
      <c r="J88" s="954"/>
    </row>
    <row r="89">
      <c r="A89" s="965" t="s">
        <v>603</v>
      </c>
      <c r="B89" s="1083" t="s">
        <v>604</v>
      </c>
      <c r="C89" s="893"/>
      <c r="D89" s="1041"/>
      <c r="E89" s="954"/>
      <c r="F89" s="954"/>
      <c r="G89" s="954"/>
      <c r="H89" s="954"/>
      <c r="I89" s="954"/>
      <c r="J89" s="954"/>
    </row>
    <row r="90">
      <c r="A90" s="972"/>
      <c r="B90" s="1083" t="s">
        <v>605</v>
      </c>
      <c r="C90" s="893"/>
      <c r="D90" s="1041"/>
      <c r="E90" s="954"/>
      <c r="F90" s="954"/>
      <c r="G90" s="954"/>
      <c r="H90" s="954"/>
      <c r="I90" s="954"/>
      <c r="J90" s="954"/>
    </row>
    <row r="91">
      <c r="A91" s="973"/>
      <c r="B91" s="1084" t="s">
        <v>606</v>
      </c>
      <c r="C91" s="896"/>
      <c r="D91" s="975"/>
      <c r="E91" s="954"/>
      <c r="F91" s="954"/>
      <c r="G91" s="954"/>
      <c r="H91" s="954"/>
      <c r="I91" s="954"/>
      <c r="J91" s="954"/>
    </row>
    <row r="92">
      <c r="A92" s="976" t="s">
        <v>609</v>
      </c>
      <c r="B92" s="1085" t="s">
        <v>452</v>
      </c>
      <c r="C92" s="893"/>
      <c r="D92" s="982"/>
      <c r="E92" s="40"/>
      <c r="F92" s="40"/>
      <c r="G92" s="40"/>
      <c r="H92" s="40"/>
      <c r="I92" s="40"/>
      <c r="J92" s="40"/>
    </row>
    <row r="93">
      <c r="A93" s="1048"/>
      <c r="B93" s="985" t="s">
        <v>541</v>
      </c>
      <c r="C93" s="893"/>
      <c r="D93" s="1086"/>
      <c r="E93" s="40"/>
      <c r="F93" s="40"/>
      <c r="G93" s="40"/>
      <c r="H93" s="40"/>
      <c r="I93" s="40"/>
      <c r="J93" s="40"/>
    </row>
    <row r="94">
      <c r="A94" s="1050"/>
      <c r="B94" s="991" t="s">
        <v>612</v>
      </c>
      <c r="C94" s="893"/>
      <c r="D94" s="1087" t="s">
        <v>612</v>
      </c>
      <c r="E94" s="40"/>
      <c r="F94" s="40"/>
      <c r="G94" s="40"/>
      <c r="H94" s="40"/>
      <c r="I94" s="40"/>
      <c r="J94" s="40"/>
    </row>
    <row r="95">
      <c r="A95" s="1051" t="s">
        <v>613</v>
      </c>
      <c r="B95" s="893"/>
      <c r="C95" s="893"/>
      <c r="D95" s="893"/>
      <c r="E95" s="40"/>
      <c r="F95" s="40"/>
      <c r="G95" s="40"/>
      <c r="H95" s="40"/>
      <c r="I95" s="40"/>
      <c r="J95" s="40"/>
    </row>
    <row r="96">
      <c r="A96" s="1009" t="s">
        <v>614</v>
      </c>
      <c r="B96" s="893"/>
      <c r="C96" s="893"/>
      <c r="D96" s="893"/>
      <c r="E96" s="40"/>
      <c r="F96" s="40"/>
      <c r="G96" s="40"/>
      <c r="H96" s="40"/>
      <c r="I96" s="40"/>
      <c r="J96" s="40"/>
    </row>
    <row r="97">
      <c r="A97" s="1088" t="s">
        <v>615</v>
      </c>
      <c r="B97" s="896"/>
      <c r="C97" s="896"/>
      <c r="D97" s="896"/>
      <c r="E97" s="40"/>
      <c r="F97" s="40"/>
      <c r="G97" s="40"/>
      <c r="H97" s="40"/>
      <c r="I97" s="40"/>
      <c r="J97" s="40"/>
    </row>
    <row r="98">
      <c r="A98" s="1024" t="s">
        <v>618</v>
      </c>
      <c r="B98" s="1089" t="s">
        <v>619</v>
      </c>
      <c r="C98" s="893"/>
      <c r="D98" s="927"/>
      <c r="E98" s="40"/>
      <c r="F98" s="40"/>
      <c r="G98" s="40"/>
      <c r="H98" s="40"/>
      <c r="I98" s="40"/>
      <c r="J98" s="40"/>
    </row>
    <row r="99">
      <c r="A99" s="1029"/>
      <c r="B99" s="929" t="s">
        <v>620</v>
      </c>
      <c r="C99" s="893"/>
      <c r="D99" s="927"/>
      <c r="E99" s="40"/>
      <c r="F99" s="40"/>
      <c r="G99" s="40"/>
      <c r="H99" s="40"/>
      <c r="I99" s="40"/>
      <c r="J99" s="40"/>
    </row>
    <row r="100">
      <c r="A100" s="1030"/>
      <c r="B100" s="1090" t="s">
        <v>623</v>
      </c>
      <c r="C100" s="896"/>
      <c r="D100" s="935"/>
      <c r="E100" s="40"/>
      <c r="F100" s="40"/>
      <c r="G100" s="40"/>
      <c r="H100" s="40"/>
      <c r="I100" s="40"/>
      <c r="J100" s="40"/>
    </row>
    <row r="101">
      <c r="A101" s="1059" t="s">
        <v>624</v>
      </c>
      <c r="B101" s="1091" t="s">
        <v>625</v>
      </c>
      <c r="C101" s="896"/>
      <c r="D101" s="960"/>
      <c r="E101" s="40"/>
      <c r="F101" s="40"/>
      <c r="G101" s="40"/>
      <c r="H101" s="40"/>
      <c r="I101" s="40"/>
      <c r="J101" s="40"/>
    </row>
    <row r="102">
      <c r="A102" s="965" t="s">
        <v>628</v>
      </c>
      <c r="B102" s="1038" t="s">
        <v>629</v>
      </c>
      <c r="C102" s="893"/>
      <c r="D102" s="1041"/>
      <c r="E102" s="40"/>
      <c r="F102" s="40"/>
      <c r="G102" s="40"/>
      <c r="H102" s="40"/>
      <c r="I102" s="40"/>
      <c r="J102" s="40"/>
    </row>
    <row r="103">
      <c r="A103" s="973"/>
      <c r="B103" s="975"/>
      <c r="C103" s="896"/>
      <c r="D103" s="975"/>
      <c r="E103" s="40"/>
      <c r="F103" s="40"/>
      <c r="G103" s="40"/>
      <c r="H103" s="40"/>
      <c r="I103" s="40"/>
      <c r="J103" s="40"/>
    </row>
    <row r="104">
      <c r="A104" s="976" t="s">
        <v>630</v>
      </c>
      <c r="B104" s="1065" t="s">
        <v>631</v>
      </c>
      <c r="C104" s="893"/>
      <c r="D104" s="982"/>
      <c r="E104" s="40"/>
      <c r="F104" s="40"/>
      <c r="G104" s="40"/>
      <c r="H104" s="40"/>
      <c r="I104" s="40"/>
      <c r="J104" s="40"/>
    </row>
    <row r="105">
      <c r="A105" s="1048"/>
      <c r="B105" s="985" t="s">
        <v>632</v>
      </c>
      <c r="C105" s="893"/>
      <c r="D105" s="1086"/>
      <c r="E105" s="40"/>
      <c r="F105" s="40"/>
      <c r="G105" s="40"/>
      <c r="H105" s="40"/>
      <c r="I105" s="40"/>
      <c r="J105" s="40"/>
    </row>
    <row r="106">
      <c r="A106" s="1071"/>
      <c r="B106" s="1073" t="s">
        <v>633</v>
      </c>
      <c r="C106" s="893"/>
      <c r="D106" s="1074" t="s">
        <v>633</v>
      </c>
      <c r="E106" s="40"/>
      <c r="F106" s="40"/>
      <c r="G106" s="40"/>
      <c r="H106" s="40"/>
      <c r="I106" s="40"/>
      <c r="J106" s="40"/>
    </row>
    <row r="107">
      <c r="A107" s="1051" t="s">
        <v>634</v>
      </c>
      <c r="B107" s="893"/>
      <c r="C107" s="893"/>
      <c r="D107" s="893"/>
      <c r="E107" s="40"/>
      <c r="F107" s="40"/>
      <c r="G107" s="40"/>
      <c r="H107" s="40"/>
      <c r="I107" s="40"/>
      <c r="J107" s="40"/>
    </row>
    <row r="108">
      <c r="A108" s="1009" t="s">
        <v>635</v>
      </c>
      <c r="B108" s="893"/>
      <c r="C108" s="893"/>
      <c r="D108" s="893"/>
      <c r="E108" s="40"/>
      <c r="F108" s="40"/>
      <c r="G108" s="40"/>
      <c r="H108" s="40"/>
      <c r="I108" s="40"/>
      <c r="J108" s="40"/>
    </row>
    <row r="109">
      <c r="A109" s="1014" t="s">
        <v>637</v>
      </c>
      <c r="B109" s="893"/>
      <c r="C109" s="893"/>
      <c r="D109" s="893"/>
      <c r="E109" s="40"/>
      <c r="F109" s="40"/>
      <c r="G109" s="40"/>
      <c r="H109" s="40"/>
      <c r="I109" s="40"/>
      <c r="J109" s="40"/>
    </row>
    <row r="110">
      <c r="A110" s="1024" t="s">
        <v>639</v>
      </c>
      <c r="B110" s="1082" t="s">
        <v>640</v>
      </c>
      <c r="C110" s="893"/>
      <c r="D110" s="1092" t="s">
        <v>620</v>
      </c>
      <c r="E110" s="40"/>
      <c r="F110" s="40"/>
      <c r="G110" s="40"/>
      <c r="H110" s="40"/>
      <c r="I110" s="40"/>
      <c r="J110" s="40"/>
    </row>
    <row r="111">
      <c r="A111" s="1030"/>
      <c r="B111" s="934" t="s">
        <v>641</v>
      </c>
      <c r="C111" s="896"/>
      <c r="D111" s="935"/>
      <c r="E111" s="40"/>
      <c r="F111" s="40"/>
      <c r="G111" s="40"/>
      <c r="H111" s="40"/>
      <c r="I111" s="40"/>
      <c r="J111" s="40"/>
    </row>
    <row r="112">
      <c r="A112" s="1059" t="s">
        <v>642</v>
      </c>
      <c r="B112" s="1091" t="s">
        <v>643</v>
      </c>
      <c r="C112" s="896"/>
      <c r="D112" s="960"/>
      <c r="E112" s="40"/>
      <c r="F112" s="40"/>
      <c r="G112" s="40"/>
      <c r="H112" s="40"/>
      <c r="I112" s="40"/>
      <c r="J112" s="40"/>
    </row>
    <row r="113">
      <c r="A113" s="965" t="s">
        <v>647</v>
      </c>
      <c r="B113" s="1083" t="s">
        <v>648</v>
      </c>
      <c r="C113" s="893"/>
      <c r="D113" s="1093" t="s">
        <v>649</v>
      </c>
      <c r="E113" s="40"/>
      <c r="F113" s="40"/>
      <c r="G113" s="40"/>
      <c r="H113" s="40"/>
      <c r="I113" s="40"/>
      <c r="J113" s="40"/>
    </row>
    <row r="114">
      <c r="A114" s="972"/>
      <c r="B114" s="1083" t="s">
        <v>652</v>
      </c>
      <c r="C114" s="893"/>
      <c r="D114" s="1093" t="s">
        <v>653</v>
      </c>
      <c r="E114" s="40"/>
      <c r="F114" s="40"/>
      <c r="G114" s="40"/>
      <c r="H114" s="40"/>
      <c r="I114" s="40"/>
      <c r="J114" s="40"/>
    </row>
    <row r="115">
      <c r="A115" s="973"/>
      <c r="B115" s="975"/>
      <c r="C115" s="896"/>
      <c r="D115" s="1094" t="s">
        <v>654</v>
      </c>
      <c r="E115" s="40"/>
      <c r="F115" s="40"/>
      <c r="G115" s="40"/>
      <c r="H115" s="40"/>
      <c r="I115" s="40"/>
      <c r="J115" s="40"/>
    </row>
    <row r="116">
      <c r="A116" s="976" t="s">
        <v>655</v>
      </c>
      <c r="B116" s="1065" t="s">
        <v>657</v>
      </c>
      <c r="C116" s="893"/>
      <c r="D116" s="1095" t="s">
        <v>659</v>
      </c>
      <c r="E116" s="40"/>
      <c r="F116" s="40"/>
      <c r="G116" s="40"/>
      <c r="H116" s="40"/>
      <c r="I116" s="40"/>
      <c r="J116" s="40"/>
    </row>
    <row r="117">
      <c r="A117" s="1048"/>
      <c r="B117" s="1096" t="s">
        <v>660</v>
      </c>
      <c r="C117" s="893"/>
      <c r="D117" s="1097" t="s">
        <v>661</v>
      </c>
      <c r="E117" s="40"/>
      <c r="F117" s="40"/>
      <c r="G117" s="40"/>
      <c r="H117" s="40"/>
      <c r="I117" s="40"/>
      <c r="J117" s="40"/>
    </row>
    <row r="118">
      <c r="A118" s="1071"/>
      <c r="B118" s="1073" t="s">
        <v>664</v>
      </c>
      <c r="C118" s="893"/>
      <c r="D118" s="1087" t="s">
        <v>664</v>
      </c>
      <c r="E118" s="40"/>
      <c r="F118" s="40"/>
      <c r="G118" s="40"/>
      <c r="H118" s="40"/>
      <c r="I118" s="40"/>
      <c r="J118" s="40"/>
    </row>
    <row r="119">
      <c r="A119" s="1051" t="s">
        <v>665</v>
      </c>
      <c r="B119" s="1077" t="s">
        <v>643</v>
      </c>
      <c r="C119" s="893"/>
      <c r="D119" s="1003"/>
      <c r="E119" s="904" t="s">
        <v>666</v>
      </c>
      <c r="F119" s="40"/>
      <c r="G119" s="40"/>
      <c r="H119" s="40"/>
      <c r="I119" s="40"/>
      <c r="J119" s="40"/>
    </row>
    <row r="120">
      <c r="A120" s="1009" t="s">
        <v>667</v>
      </c>
      <c r="B120" s="1098" t="s">
        <v>668</v>
      </c>
      <c r="C120" s="893"/>
      <c r="D120" s="903" t="s">
        <v>671</v>
      </c>
      <c r="E120" s="1099" t="s">
        <v>537</v>
      </c>
      <c r="F120" s="40"/>
      <c r="G120" s="40"/>
      <c r="H120" s="40"/>
      <c r="I120" s="40"/>
      <c r="J120" s="40"/>
    </row>
    <row r="121">
      <c r="A121" s="1014" t="s">
        <v>672</v>
      </c>
      <c r="B121" s="913" t="s">
        <v>594</v>
      </c>
      <c r="C121" s="893"/>
      <c r="D121" s="1102" t="s">
        <v>673</v>
      </c>
      <c r="E121" s="1099" t="s">
        <v>547</v>
      </c>
      <c r="F121" s="40"/>
      <c r="G121" s="40"/>
      <c r="H121" s="40"/>
      <c r="I121" s="40"/>
      <c r="J121" s="40"/>
    </row>
    <row r="122">
      <c r="A122" s="916"/>
      <c r="B122" s="918"/>
      <c r="C122" s="893"/>
      <c r="D122" s="1102" t="s">
        <v>677</v>
      </c>
      <c r="E122" s="1103" t="s">
        <v>553</v>
      </c>
      <c r="F122" s="40"/>
      <c r="G122" s="40"/>
      <c r="H122" s="40"/>
      <c r="I122" s="40"/>
      <c r="J122" s="40"/>
    </row>
    <row r="123">
      <c r="A123" s="1024" t="s">
        <v>678</v>
      </c>
      <c r="B123" s="1089" t="s">
        <v>679</v>
      </c>
      <c r="C123" s="893"/>
      <c r="D123" s="927"/>
      <c r="E123" s="1099" t="s">
        <v>680</v>
      </c>
      <c r="F123" s="40"/>
      <c r="G123" s="40"/>
      <c r="H123" s="40"/>
      <c r="I123" s="40"/>
      <c r="J123" s="40"/>
    </row>
    <row r="124">
      <c r="A124" s="937" t="s">
        <v>681</v>
      </c>
      <c r="B124" s="940" t="s">
        <v>683</v>
      </c>
      <c r="C124" s="893"/>
      <c r="D124" s="951"/>
      <c r="E124" s="1103" t="s">
        <v>462</v>
      </c>
      <c r="F124" s="40"/>
      <c r="G124" s="40"/>
      <c r="H124" s="40"/>
      <c r="I124" s="40"/>
      <c r="J124" s="40"/>
    </row>
    <row r="125">
      <c r="A125" s="965" t="s">
        <v>685</v>
      </c>
      <c r="B125" s="1083" t="s">
        <v>643</v>
      </c>
      <c r="C125" s="893"/>
      <c r="D125" s="1093" t="s">
        <v>686</v>
      </c>
      <c r="E125" s="1099" t="s">
        <v>586</v>
      </c>
      <c r="F125" s="11"/>
      <c r="G125" s="11"/>
      <c r="H125" s="11"/>
      <c r="I125" s="11"/>
      <c r="J125" s="11"/>
    </row>
    <row r="126">
      <c r="A126" s="970"/>
      <c r="B126" s="1041"/>
      <c r="C126" s="893"/>
      <c r="D126" s="1093" t="s">
        <v>687</v>
      </c>
      <c r="E126" s="1106"/>
      <c r="F126" s="11"/>
      <c r="G126" s="11"/>
      <c r="H126" s="11"/>
      <c r="I126" s="11"/>
      <c r="J126" s="11"/>
    </row>
    <row r="127">
      <c r="A127" s="970"/>
      <c r="B127" s="1041"/>
      <c r="C127" s="893"/>
      <c r="D127" s="1093" t="s">
        <v>688</v>
      </c>
      <c r="E127" s="1106"/>
      <c r="F127" s="11"/>
      <c r="G127" s="11"/>
      <c r="H127" s="11"/>
      <c r="I127" s="11"/>
      <c r="J127" s="11"/>
    </row>
    <row r="128">
      <c r="A128" s="970"/>
      <c r="B128" s="1041"/>
      <c r="C128" s="893"/>
      <c r="D128" s="1093" t="s">
        <v>689</v>
      </c>
      <c r="E128" s="1106"/>
      <c r="F128" s="11"/>
      <c r="G128" s="11"/>
      <c r="H128" s="11"/>
      <c r="I128" s="11"/>
      <c r="J128" s="11"/>
    </row>
    <row r="129">
      <c r="A129" s="970"/>
      <c r="B129" s="1041"/>
      <c r="C129" s="893"/>
      <c r="D129" s="1093" t="s">
        <v>620</v>
      </c>
      <c r="E129" s="1106"/>
      <c r="F129" s="11"/>
      <c r="G129" s="11"/>
      <c r="H129" s="11"/>
      <c r="I129" s="11"/>
      <c r="J129" s="11"/>
    </row>
    <row r="130">
      <c r="A130" s="970"/>
      <c r="B130" s="1041"/>
      <c r="C130" s="893"/>
      <c r="D130" s="1093" t="s">
        <v>690</v>
      </c>
      <c r="E130" s="1099" t="s">
        <v>471</v>
      </c>
      <c r="F130" s="11"/>
      <c r="G130" s="11"/>
      <c r="H130" s="11"/>
      <c r="I130" s="11"/>
      <c r="J130" s="11"/>
    </row>
    <row r="131">
      <c r="A131" s="970"/>
      <c r="B131" s="1041"/>
      <c r="C131" s="893"/>
      <c r="D131" s="1093" t="s">
        <v>691</v>
      </c>
      <c r="E131" s="1103" t="s">
        <v>590</v>
      </c>
      <c r="F131" s="11"/>
      <c r="G131" s="11"/>
      <c r="H131" s="11"/>
      <c r="I131" s="11"/>
      <c r="J131" s="11"/>
    </row>
    <row r="132">
      <c r="A132" s="970"/>
      <c r="B132" s="1041"/>
      <c r="C132" s="893"/>
      <c r="D132" s="1093" t="s">
        <v>692</v>
      </c>
      <c r="E132" s="1103" t="s">
        <v>518</v>
      </c>
      <c r="F132" s="11"/>
      <c r="G132" s="11"/>
      <c r="H132" s="11"/>
      <c r="I132" s="11"/>
      <c r="J132" s="11"/>
    </row>
    <row r="133">
      <c r="A133" s="970"/>
      <c r="B133" s="1041"/>
      <c r="C133" s="893"/>
      <c r="D133" s="1093" t="s">
        <v>693</v>
      </c>
      <c r="E133" s="1106"/>
      <c r="F133" s="11"/>
      <c r="G133" s="11"/>
      <c r="H133" s="11"/>
      <c r="I133" s="11"/>
      <c r="J133" s="11"/>
    </row>
    <row r="134">
      <c r="A134" s="1108" t="s">
        <v>694</v>
      </c>
      <c r="B134" s="985" t="s">
        <v>697</v>
      </c>
      <c r="C134" s="893"/>
      <c r="D134" s="1086"/>
      <c r="E134" s="1099" t="s">
        <v>596</v>
      </c>
      <c r="F134" s="11"/>
      <c r="G134" s="11"/>
      <c r="H134" s="11"/>
      <c r="I134" s="11"/>
      <c r="J134" s="11"/>
    </row>
    <row r="135">
      <c r="A135" s="1071"/>
      <c r="B135" s="1109" t="s">
        <v>698</v>
      </c>
      <c r="C135" s="893"/>
      <c r="D135" s="1087" t="s">
        <v>698</v>
      </c>
      <c r="E135" s="1103" t="s">
        <v>599</v>
      </c>
      <c r="F135" s="11"/>
      <c r="G135" s="11"/>
      <c r="H135" s="11"/>
      <c r="I135" s="11"/>
      <c r="J135" s="11"/>
    </row>
    <row r="136">
      <c r="A136" s="1051" t="s">
        <v>699</v>
      </c>
      <c r="B136" s="1077" t="s">
        <v>643</v>
      </c>
      <c r="C136" s="893"/>
      <c r="D136" s="1000" t="s">
        <v>462</v>
      </c>
      <c r="E136" s="1103" t="s">
        <v>700</v>
      </c>
      <c r="F136" s="11"/>
      <c r="G136" s="11"/>
      <c r="H136" s="11"/>
      <c r="I136" s="11"/>
      <c r="J136" s="11"/>
    </row>
    <row r="137">
      <c r="A137" s="1111"/>
      <c r="B137" s="1003"/>
      <c r="C137" s="893"/>
      <c r="D137" s="1000" t="s">
        <v>703</v>
      </c>
      <c r="E137" s="1106"/>
      <c r="F137" s="11"/>
      <c r="G137" s="11"/>
      <c r="H137" s="11"/>
      <c r="I137" s="11"/>
      <c r="J137" s="11"/>
    </row>
    <row r="138">
      <c r="A138" s="1009" t="s">
        <v>705</v>
      </c>
      <c r="B138" s="1112" t="s">
        <v>643</v>
      </c>
      <c r="C138" s="893"/>
      <c r="D138" s="906"/>
      <c r="E138" s="1103" t="s">
        <v>708</v>
      </c>
      <c r="F138" s="11"/>
      <c r="G138" s="11"/>
      <c r="H138" s="11"/>
      <c r="I138" s="11"/>
      <c r="J138" s="11"/>
    </row>
    <row r="139">
      <c r="A139" s="1014" t="s">
        <v>709</v>
      </c>
      <c r="B139" s="1113" t="s">
        <v>643</v>
      </c>
      <c r="C139" s="893"/>
      <c r="D139" s="918"/>
      <c r="E139" s="1103" t="s">
        <v>710</v>
      </c>
      <c r="F139" s="11"/>
      <c r="G139" s="11"/>
      <c r="H139" s="11"/>
      <c r="I139" s="11"/>
      <c r="J139" s="11"/>
    </row>
    <row r="140">
      <c r="A140" s="1024" t="s">
        <v>711</v>
      </c>
      <c r="B140" s="1114" t="s">
        <v>623</v>
      </c>
      <c r="C140" s="893"/>
      <c r="D140" s="927"/>
      <c r="E140" s="1099" t="s">
        <v>620</v>
      </c>
      <c r="F140" s="11"/>
      <c r="G140" s="11"/>
      <c r="H140" s="11"/>
      <c r="I140" s="11"/>
      <c r="J140" s="11"/>
    </row>
    <row r="141">
      <c r="A141" s="937" t="s">
        <v>714</v>
      </c>
      <c r="B141" s="1115" t="s">
        <v>643</v>
      </c>
      <c r="C141" s="893"/>
      <c r="D141" s="951"/>
      <c r="E141" s="1103" t="s">
        <v>640</v>
      </c>
      <c r="F141" s="11"/>
      <c r="G141" s="11"/>
      <c r="H141" s="11"/>
      <c r="I141" s="11"/>
      <c r="J141" s="11"/>
    </row>
    <row r="142">
      <c r="A142" s="965" t="s">
        <v>715</v>
      </c>
      <c r="B142" s="967" t="s">
        <v>716</v>
      </c>
      <c r="C142" s="893"/>
      <c r="D142" s="968" t="s">
        <v>717</v>
      </c>
      <c r="E142" s="1099" t="s">
        <v>679</v>
      </c>
      <c r="F142" s="11"/>
      <c r="G142" s="11"/>
      <c r="H142" s="11"/>
      <c r="I142" s="11"/>
      <c r="J142" s="11"/>
    </row>
    <row r="143">
      <c r="A143" s="970"/>
      <c r="B143" s="1041"/>
      <c r="C143" s="893"/>
      <c r="D143" s="968" t="s">
        <v>719</v>
      </c>
      <c r="E143" s="1103" t="s">
        <v>648</v>
      </c>
      <c r="F143" s="11"/>
      <c r="G143" s="11"/>
      <c r="H143" s="11"/>
      <c r="I143" s="11"/>
      <c r="J143" s="11"/>
    </row>
    <row r="144">
      <c r="A144" s="1108" t="s">
        <v>721</v>
      </c>
      <c r="B144" s="1096" t="s">
        <v>643</v>
      </c>
      <c r="C144" s="893"/>
      <c r="D144" s="1116" t="s">
        <v>722</v>
      </c>
      <c r="E144" s="40"/>
      <c r="F144" s="11"/>
      <c r="G144" s="11"/>
      <c r="H144" s="11"/>
      <c r="I144" s="11"/>
      <c r="J144" s="11"/>
    </row>
  </sheetData>
  <mergeCells count="14">
    <mergeCell ref="G9:H9"/>
    <mergeCell ref="G10:H10"/>
    <mergeCell ref="G11:H11"/>
    <mergeCell ref="G12:H12"/>
    <mergeCell ref="G13:H13"/>
    <mergeCell ref="G14:H14"/>
    <mergeCell ref="G15:H15"/>
    <mergeCell ref="G2:H2"/>
    <mergeCell ref="G3:H3"/>
    <mergeCell ref="G4:H4"/>
    <mergeCell ref="G5:H5"/>
    <mergeCell ref="G6:H6"/>
    <mergeCell ref="G7:H7"/>
    <mergeCell ref="G8:H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38"/>
    <col customWidth="1" min="4" max="4" width="13.0"/>
    <col customWidth="1" min="5" max="5" width="20.75"/>
    <col customWidth="1" min="7" max="11" width="31.38"/>
  </cols>
  <sheetData>
    <row r="1">
      <c r="A1" s="939" t="s">
        <v>399</v>
      </c>
      <c r="B1" s="941" t="s">
        <v>429</v>
      </c>
      <c r="C1" s="943" t="s">
        <v>430</v>
      </c>
      <c r="D1" s="945" t="s">
        <v>431</v>
      </c>
      <c r="E1" s="945" t="s">
        <v>433</v>
      </c>
      <c r="F1" s="947" t="s">
        <v>434</v>
      </c>
      <c r="G1" s="949"/>
      <c r="H1" s="950" t="s">
        <v>435</v>
      </c>
      <c r="I1" s="111"/>
      <c r="J1" s="952"/>
      <c r="K1" s="952"/>
    </row>
    <row r="2">
      <c r="A2" s="954"/>
      <c r="B2" s="955"/>
      <c r="C2" s="958"/>
      <c r="D2" s="959"/>
      <c r="E2" s="962"/>
      <c r="F2" s="955"/>
      <c r="G2" s="954"/>
      <c r="H2" s="954"/>
      <c r="I2" s="954"/>
      <c r="J2" s="954"/>
      <c r="K2" s="954"/>
    </row>
    <row r="3">
      <c r="A3" s="964" t="s">
        <v>439</v>
      </c>
      <c r="B3" s="966" t="s">
        <v>41</v>
      </c>
      <c r="C3" s="969" t="s">
        <v>442</v>
      </c>
      <c r="D3" s="971" t="s">
        <v>444</v>
      </c>
      <c r="E3" s="979" t="s">
        <v>447</v>
      </c>
      <c r="F3" s="981" t="s">
        <v>454</v>
      </c>
      <c r="G3" s="983" t="s">
        <v>439</v>
      </c>
      <c r="H3" s="986"/>
      <c r="I3" s="986"/>
      <c r="J3" s="986"/>
      <c r="K3" s="986"/>
    </row>
    <row r="4">
      <c r="A4" s="988"/>
      <c r="B4" s="989" t="s">
        <v>44</v>
      </c>
      <c r="C4" s="969" t="s">
        <v>249</v>
      </c>
      <c r="D4" s="971" t="s">
        <v>458</v>
      </c>
      <c r="E4" s="979" t="s">
        <v>460</v>
      </c>
      <c r="F4" s="997" t="s">
        <v>463</v>
      </c>
      <c r="G4" s="999"/>
      <c r="H4" s="986"/>
      <c r="I4" s="986"/>
      <c r="J4" s="986"/>
      <c r="K4" s="986"/>
    </row>
    <row r="5">
      <c r="A5" s="988"/>
      <c r="B5" s="1001" t="s">
        <v>249</v>
      </c>
      <c r="C5" s="1002" t="s">
        <v>44</v>
      </c>
      <c r="D5" s="971" t="s">
        <v>468</v>
      </c>
      <c r="E5" s="979" t="s">
        <v>469</v>
      </c>
      <c r="F5" s="997" t="s">
        <v>470</v>
      </c>
      <c r="G5" s="999"/>
      <c r="H5" s="1005"/>
      <c r="I5" s="1005"/>
      <c r="J5" s="1005"/>
      <c r="K5" s="1005"/>
    </row>
    <row r="6">
      <c r="A6" s="988"/>
      <c r="B6" s="1007" t="s">
        <v>52</v>
      </c>
      <c r="C6" s="971" t="s">
        <v>46</v>
      </c>
      <c r="D6" s="969" t="s">
        <v>444</v>
      </c>
      <c r="E6" s="979" t="s">
        <v>472</v>
      </c>
      <c r="F6" s="1010" t="s">
        <v>475</v>
      </c>
      <c r="G6" s="999"/>
      <c r="H6" s="1013" t="s">
        <v>476</v>
      </c>
      <c r="I6" s="1005"/>
      <c r="J6" s="1005"/>
      <c r="K6" s="1005"/>
    </row>
    <row r="7">
      <c r="A7" s="988"/>
      <c r="B7" s="966" t="s">
        <v>41</v>
      </c>
      <c r="C7" s="969" t="s">
        <v>49</v>
      </c>
      <c r="D7" s="971" t="s">
        <v>458</v>
      </c>
      <c r="E7" s="979" t="s">
        <v>479</v>
      </c>
      <c r="F7" s="997" t="s">
        <v>482</v>
      </c>
      <c r="G7" s="999"/>
      <c r="H7" s="1013" t="s">
        <v>483</v>
      </c>
      <c r="I7" s="1005"/>
      <c r="J7" s="1005"/>
      <c r="K7" s="1005"/>
    </row>
    <row r="8">
      <c r="A8" s="988"/>
      <c r="B8" s="966" t="s">
        <v>41</v>
      </c>
      <c r="C8" s="969" t="s">
        <v>46</v>
      </c>
      <c r="D8" s="971" t="s">
        <v>458</v>
      </c>
      <c r="E8" s="979" t="s">
        <v>486</v>
      </c>
      <c r="F8" s="1021" t="s">
        <v>489</v>
      </c>
      <c r="G8" s="999"/>
      <c r="H8" s="1013" t="s">
        <v>483</v>
      </c>
      <c r="I8" s="1005"/>
      <c r="J8" s="1005"/>
      <c r="K8" s="1005"/>
    </row>
    <row r="9">
      <c r="A9" s="988"/>
      <c r="B9" s="1025" t="s">
        <v>52</v>
      </c>
      <c r="C9" s="1002" t="s">
        <v>54</v>
      </c>
      <c r="D9" s="971" t="s">
        <v>492</v>
      </c>
      <c r="E9" s="979" t="s">
        <v>493</v>
      </c>
      <c r="F9" s="1028" t="s">
        <v>494</v>
      </c>
      <c r="G9" s="999"/>
      <c r="H9" s="1005"/>
      <c r="I9" s="1005"/>
      <c r="J9" s="1005"/>
      <c r="K9" s="1005"/>
    </row>
    <row r="10">
      <c r="A10" s="988"/>
      <c r="B10" s="966" t="s">
        <v>52</v>
      </c>
      <c r="C10" s="969" t="s">
        <v>9</v>
      </c>
      <c r="D10" s="971" t="s">
        <v>495</v>
      </c>
      <c r="E10" s="979" t="s">
        <v>496</v>
      </c>
      <c r="F10" s="997" t="s">
        <v>499</v>
      </c>
      <c r="G10" s="999"/>
      <c r="H10" s="1013" t="s">
        <v>476</v>
      </c>
      <c r="I10" s="1013" t="s">
        <v>502</v>
      </c>
      <c r="J10" s="1013"/>
      <c r="K10" s="1013"/>
    </row>
    <row r="11">
      <c r="A11" s="988"/>
      <c r="B11" s="966" t="s">
        <v>54</v>
      </c>
      <c r="C11" s="969" t="s">
        <v>48</v>
      </c>
      <c r="D11" s="971" t="s">
        <v>458</v>
      </c>
      <c r="E11" s="979" t="s">
        <v>506</v>
      </c>
      <c r="F11" s="997" t="s">
        <v>508</v>
      </c>
      <c r="G11" s="999"/>
      <c r="H11" s="1035" t="s">
        <v>509</v>
      </c>
      <c r="I11" s="1005"/>
      <c r="J11" s="1005"/>
      <c r="K11" s="1005"/>
    </row>
    <row r="12">
      <c r="A12" s="988"/>
      <c r="B12" s="1037" t="s">
        <v>54</v>
      </c>
      <c r="C12" s="971" t="s">
        <v>46</v>
      </c>
      <c r="D12" s="969" t="s">
        <v>444</v>
      </c>
      <c r="E12" s="979" t="s">
        <v>513</v>
      </c>
      <c r="F12" s="997" t="s">
        <v>515</v>
      </c>
      <c r="G12" s="999"/>
      <c r="H12" s="1035" t="s">
        <v>509</v>
      </c>
      <c r="I12" s="1005"/>
      <c r="J12" s="1005"/>
      <c r="K12" s="1005"/>
    </row>
    <row r="13">
      <c r="A13" s="587"/>
      <c r="B13" s="1025" t="s">
        <v>44</v>
      </c>
      <c r="C13" s="1040" t="s">
        <v>52</v>
      </c>
      <c r="D13" s="1042" t="s">
        <v>524</v>
      </c>
      <c r="E13" s="979" t="s">
        <v>526</v>
      </c>
      <c r="F13" s="997" t="s">
        <v>527</v>
      </c>
      <c r="G13" s="999"/>
      <c r="H13" s="1035" t="s">
        <v>502</v>
      </c>
      <c r="I13" s="1005"/>
      <c r="J13" s="1005"/>
      <c r="K13" s="1005"/>
    </row>
    <row r="14">
      <c r="A14" s="1043"/>
      <c r="B14" s="1045" t="s">
        <v>52</v>
      </c>
      <c r="C14" s="969" t="s">
        <v>44</v>
      </c>
      <c r="D14" s="1042" t="s">
        <v>495</v>
      </c>
      <c r="E14" s="979" t="s">
        <v>535</v>
      </c>
      <c r="F14" s="997" t="s">
        <v>536</v>
      </c>
      <c r="G14" s="999"/>
      <c r="H14" s="1035" t="s">
        <v>502</v>
      </c>
      <c r="I14" s="1005"/>
      <c r="J14" s="1005"/>
      <c r="K14" s="1005"/>
    </row>
    <row r="15">
      <c r="A15" s="1043"/>
      <c r="B15" s="1025" t="s">
        <v>48</v>
      </c>
      <c r="C15" s="1040" t="s">
        <v>44</v>
      </c>
      <c r="D15" s="1042" t="s">
        <v>539</v>
      </c>
      <c r="E15" s="979" t="s">
        <v>540</v>
      </c>
      <c r="F15" s="1010" t="s">
        <v>543</v>
      </c>
      <c r="G15" s="999"/>
      <c r="H15" s="1005"/>
      <c r="I15" s="1005"/>
      <c r="J15" s="1005"/>
      <c r="K15" s="1005"/>
    </row>
    <row r="16">
      <c r="A16" s="1043"/>
      <c r="B16" s="1052" t="s">
        <v>48</v>
      </c>
      <c r="C16" s="1040" t="s">
        <v>52</v>
      </c>
      <c r="D16" s="1042" t="s">
        <v>468</v>
      </c>
      <c r="E16" s="1054" t="s">
        <v>496</v>
      </c>
      <c r="F16" s="1010" t="s">
        <v>550</v>
      </c>
      <c r="G16" s="999"/>
      <c r="H16" s="1035" t="s">
        <v>502</v>
      </c>
      <c r="I16" s="1005"/>
      <c r="J16" s="1005"/>
      <c r="K16" s="1005"/>
    </row>
    <row r="17">
      <c r="A17" s="1043"/>
      <c r="B17" s="1057" t="s">
        <v>46</v>
      </c>
      <c r="C17" s="1058" t="s">
        <v>49</v>
      </c>
      <c r="D17" s="969" t="s">
        <v>492</v>
      </c>
      <c r="E17" s="1054" t="s">
        <v>562</v>
      </c>
      <c r="F17" s="997" t="s">
        <v>564</v>
      </c>
      <c r="G17" s="999"/>
      <c r="H17" s="1013" t="s">
        <v>476</v>
      </c>
      <c r="I17" s="1005"/>
      <c r="J17" s="1005"/>
      <c r="K17" s="1005"/>
    </row>
    <row r="18">
      <c r="A18" s="1061"/>
      <c r="B18" s="1045" t="s">
        <v>54</v>
      </c>
      <c r="C18" s="969" t="s">
        <v>41</v>
      </c>
      <c r="D18" s="1042" t="s">
        <v>568</v>
      </c>
      <c r="E18" s="1054" t="s">
        <v>569</v>
      </c>
      <c r="F18" s="1064" t="s">
        <v>570</v>
      </c>
      <c r="G18" s="1066"/>
      <c r="H18" s="1035" t="s">
        <v>509</v>
      </c>
      <c r="I18" s="1005"/>
      <c r="J18" s="1005"/>
      <c r="K18" s="1005"/>
    </row>
    <row r="19">
      <c r="A19" s="1068" t="s">
        <v>577</v>
      </c>
      <c r="B19" s="955"/>
      <c r="C19" s="962"/>
      <c r="D19" s="959"/>
      <c r="E19" s="962"/>
      <c r="F19" s="1070"/>
      <c r="G19" s="1066"/>
      <c r="H19" s="954"/>
      <c r="I19" s="954"/>
      <c r="J19" s="954"/>
      <c r="K19" s="954"/>
    </row>
    <row r="20">
      <c r="A20" s="988"/>
      <c r="B20" s="923" t="s">
        <v>44</v>
      </c>
      <c r="C20" s="1072" t="s">
        <v>46</v>
      </c>
      <c r="D20" s="1042" t="s">
        <v>458</v>
      </c>
      <c r="E20" s="1054" t="s">
        <v>580</v>
      </c>
      <c r="F20" s="1075" t="s">
        <v>581</v>
      </c>
      <c r="G20" s="939" t="s">
        <v>577</v>
      </c>
      <c r="H20" s="1005"/>
      <c r="I20" s="1005"/>
      <c r="J20" s="1005"/>
      <c r="K20" s="1005"/>
    </row>
    <row r="21">
      <c r="A21" s="988"/>
      <c r="B21" s="1076" t="s">
        <v>46</v>
      </c>
      <c r="C21" s="1040" t="s">
        <v>44</v>
      </c>
      <c r="D21" s="1042" t="s">
        <v>458</v>
      </c>
      <c r="E21" s="1054" t="s">
        <v>583</v>
      </c>
      <c r="F21" s="1075" t="s">
        <v>584</v>
      </c>
      <c r="H21" s="1005"/>
      <c r="I21" s="1005"/>
      <c r="J21" s="1005"/>
      <c r="K21" s="1005"/>
    </row>
    <row r="22">
      <c r="A22" s="988"/>
      <c r="B22" s="898" t="s">
        <v>46</v>
      </c>
      <c r="C22" s="1042" t="s">
        <v>40</v>
      </c>
      <c r="D22" s="969" t="s">
        <v>568</v>
      </c>
      <c r="E22" s="1054" t="s">
        <v>585</v>
      </c>
      <c r="F22" s="1075" t="s">
        <v>587</v>
      </c>
      <c r="H22" s="1013" t="s">
        <v>476</v>
      </c>
      <c r="I22" s="1005"/>
      <c r="J22" s="1005"/>
      <c r="K22" s="1005"/>
    </row>
    <row r="23">
      <c r="A23" s="988"/>
      <c r="B23" s="1080" t="s">
        <v>40</v>
      </c>
      <c r="C23" s="1058" t="s">
        <v>46</v>
      </c>
      <c r="D23" s="969" t="s">
        <v>492</v>
      </c>
      <c r="E23" s="1054" t="s">
        <v>591</v>
      </c>
      <c r="F23" s="1075" t="s">
        <v>592</v>
      </c>
      <c r="H23" s="1013" t="s">
        <v>476</v>
      </c>
      <c r="I23" s="1005"/>
      <c r="J23" s="1005"/>
      <c r="K23" s="1005"/>
    </row>
    <row r="24">
      <c r="A24" s="988"/>
      <c r="B24" s="1037" t="s">
        <v>41</v>
      </c>
      <c r="C24" s="1042" t="s">
        <v>52</v>
      </c>
      <c r="D24" s="969" t="s">
        <v>495</v>
      </c>
      <c r="E24" s="1054" t="s">
        <v>597</v>
      </c>
      <c r="F24" s="1075" t="s">
        <v>598</v>
      </c>
      <c r="H24" s="1013" t="s">
        <v>509</v>
      </c>
      <c r="I24" s="1013" t="s">
        <v>502</v>
      </c>
      <c r="J24" s="1013"/>
      <c r="K24" s="1013"/>
    </row>
    <row r="25">
      <c r="A25" s="988"/>
      <c r="B25" s="1057" t="s">
        <v>49</v>
      </c>
      <c r="C25" s="1058" t="s">
        <v>52</v>
      </c>
      <c r="D25" s="969" t="s">
        <v>492</v>
      </c>
      <c r="E25" s="1054" t="s">
        <v>607</v>
      </c>
      <c r="F25" s="1075" t="s">
        <v>608</v>
      </c>
      <c r="H25" s="1035" t="s">
        <v>502</v>
      </c>
      <c r="I25" s="1005"/>
      <c r="J25" s="1005"/>
      <c r="K25" s="1005"/>
    </row>
    <row r="26">
      <c r="A26" s="988"/>
      <c r="B26" s="1037" t="s">
        <v>54</v>
      </c>
      <c r="C26" s="1042" t="s">
        <v>49</v>
      </c>
      <c r="D26" s="969" t="s">
        <v>458</v>
      </c>
      <c r="E26" s="1054" t="s">
        <v>610</v>
      </c>
      <c r="F26" s="1075" t="s">
        <v>611</v>
      </c>
      <c r="H26" s="1035" t="s">
        <v>509</v>
      </c>
      <c r="I26" s="1005"/>
      <c r="J26" s="1005"/>
      <c r="K26" s="1005"/>
    </row>
    <row r="27">
      <c r="A27" s="988"/>
      <c r="B27" s="1057" t="s">
        <v>49</v>
      </c>
      <c r="C27" s="1058" t="s">
        <v>54</v>
      </c>
      <c r="D27" s="969" t="s">
        <v>524</v>
      </c>
      <c r="E27" s="1054" t="s">
        <v>616</v>
      </c>
      <c r="F27" s="1075" t="s">
        <v>617</v>
      </c>
      <c r="H27" s="1035" t="s">
        <v>509</v>
      </c>
      <c r="I27" s="1005"/>
      <c r="J27" s="1005"/>
      <c r="K27" s="1005"/>
    </row>
    <row r="28">
      <c r="A28" s="988"/>
      <c r="B28" s="1025" t="s">
        <v>9</v>
      </c>
      <c r="C28" s="1040" t="s">
        <v>52</v>
      </c>
      <c r="D28" s="1042" t="s">
        <v>524</v>
      </c>
      <c r="E28" s="1054" t="s">
        <v>621</v>
      </c>
      <c r="F28" s="1075" t="s">
        <v>622</v>
      </c>
      <c r="H28" s="1035" t="s">
        <v>502</v>
      </c>
      <c r="I28" s="1005"/>
      <c r="J28" s="1005"/>
      <c r="K28" s="1005"/>
    </row>
    <row r="29">
      <c r="A29" s="988"/>
      <c r="B29" s="1045" t="s">
        <v>48</v>
      </c>
      <c r="C29" s="969" t="s">
        <v>46</v>
      </c>
      <c r="D29" s="1042" t="s">
        <v>568</v>
      </c>
      <c r="E29" s="1054" t="s">
        <v>626</v>
      </c>
      <c r="F29" s="1075" t="s">
        <v>627</v>
      </c>
      <c r="H29" s="1013" t="s">
        <v>476</v>
      </c>
      <c r="I29" s="1005"/>
      <c r="J29" s="1005"/>
      <c r="K29" s="1005"/>
    </row>
    <row r="30">
      <c r="A30" s="988"/>
      <c r="B30" s="1025" t="s">
        <v>46</v>
      </c>
      <c r="C30" s="1040" t="s">
        <v>48</v>
      </c>
      <c r="D30" s="1042" t="s">
        <v>524</v>
      </c>
      <c r="E30" s="1054" t="s">
        <v>636</v>
      </c>
      <c r="F30" s="1075" t="s">
        <v>638</v>
      </c>
      <c r="H30" s="1013" t="s">
        <v>476</v>
      </c>
      <c r="I30" s="1005"/>
      <c r="J30" s="1005"/>
      <c r="K30" s="1005"/>
    </row>
    <row r="31">
      <c r="A31" s="988"/>
      <c r="B31" s="1037" t="s">
        <v>44</v>
      </c>
      <c r="C31" s="1042" t="s">
        <v>41</v>
      </c>
      <c r="D31" s="969" t="s">
        <v>644</v>
      </c>
      <c r="E31" s="1054" t="s">
        <v>645</v>
      </c>
      <c r="F31" s="1075" t="s">
        <v>646</v>
      </c>
      <c r="H31" s="1005"/>
      <c r="I31" s="1005"/>
      <c r="J31" s="1005"/>
      <c r="K31" s="1005"/>
    </row>
    <row r="32">
      <c r="A32" s="988"/>
      <c r="B32" s="1057" t="s">
        <v>41</v>
      </c>
      <c r="C32" s="1058" t="s">
        <v>44</v>
      </c>
      <c r="D32" s="969" t="s">
        <v>492</v>
      </c>
      <c r="E32" s="1054" t="s">
        <v>650</v>
      </c>
      <c r="F32" s="1075" t="s">
        <v>651</v>
      </c>
      <c r="H32" s="1005"/>
      <c r="I32" s="1005"/>
      <c r="J32" s="1005"/>
      <c r="K32" s="1005"/>
    </row>
    <row r="33">
      <c r="A33" s="988"/>
      <c r="B33" s="1057" t="s">
        <v>44</v>
      </c>
      <c r="C33" s="1058" t="s">
        <v>54</v>
      </c>
      <c r="D33" s="969" t="s">
        <v>468</v>
      </c>
      <c r="E33" s="1054" t="s">
        <v>656</v>
      </c>
      <c r="F33" s="1075" t="s">
        <v>658</v>
      </c>
      <c r="H33" s="1035" t="s">
        <v>509</v>
      </c>
      <c r="I33" s="1005"/>
      <c r="J33" s="1005"/>
      <c r="K33" s="1005"/>
    </row>
    <row r="34">
      <c r="A34" s="988"/>
      <c r="B34" s="1037" t="s">
        <v>54</v>
      </c>
      <c r="C34" s="1042" t="s">
        <v>44</v>
      </c>
      <c r="D34" s="969" t="s">
        <v>458</v>
      </c>
      <c r="E34" s="1054" t="s">
        <v>662</v>
      </c>
      <c r="F34" s="1075" t="s">
        <v>663</v>
      </c>
      <c r="H34" s="1035" t="s">
        <v>509</v>
      </c>
      <c r="I34" s="1005"/>
      <c r="J34" s="1005"/>
      <c r="K34" s="1005"/>
    </row>
    <row r="35">
      <c r="A35" s="1061"/>
      <c r="B35" s="1045" t="s">
        <v>249</v>
      </c>
      <c r="C35" s="969" t="s">
        <v>40</v>
      </c>
      <c r="D35" s="1042" t="s">
        <v>568</v>
      </c>
      <c r="E35" s="1054" t="s">
        <v>669</v>
      </c>
      <c r="F35" s="1101" t="s">
        <v>670</v>
      </c>
      <c r="G35" s="954"/>
      <c r="H35" s="1013" t="s">
        <v>674</v>
      </c>
      <c r="I35" s="1005"/>
      <c r="J35" s="1005"/>
      <c r="K35" s="1005"/>
    </row>
    <row r="36">
      <c r="A36" s="1061"/>
      <c r="B36" s="1025" t="s">
        <v>40</v>
      </c>
      <c r="C36" s="1040" t="s">
        <v>44</v>
      </c>
      <c r="D36" s="1042" t="s">
        <v>524</v>
      </c>
      <c r="E36" s="1054" t="s">
        <v>675</v>
      </c>
      <c r="F36" s="1101" t="s">
        <v>676</v>
      </c>
      <c r="G36" s="954"/>
      <c r="H36" s="1013" t="s">
        <v>674</v>
      </c>
      <c r="I36" s="1005"/>
      <c r="J36" s="1005"/>
      <c r="K36" s="1005"/>
    </row>
    <row r="37">
      <c r="A37" s="1061"/>
      <c r="B37" s="1037" t="s">
        <v>44</v>
      </c>
      <c r="C37" s="1104" t="s">
        <v>9</v>
      </c>
      <c r="D37" s="969" t="s">
        <v>444</v>
      </c>
      <c r="E37" s="1054" t="s">
        <v>682</v>
      </c>
      <c r="F37" s="1101" t="s">
        <v>684</v>
      </c>
      <c r="G37" s="954"/>
      <c r="H37" s="1013" t="s">
        <v>674</v>
      </c>
      <c r="I37" s="1005"/>
      <c r="J37" s="1005"/>
      <c r="K37" s="1005"/>
    </row>
    <row r="38">
      <c r="A38" s="954"/>
      <c r="B38" s="1057" t="s">
        <v>9</v>
      </c>
      <c r="C38" s="1058" t="s">
        <v>44</v>
      </c>
      <c r="D38" s="1107">
        <v>44931.0</v>
      </c>
      <c r="E38" s="1054" t="s">
        <v>695</v>
      </c>
      <c r="F38" s="1110" t="s">
        <v>696</v>
      </c>
      <c r="G38" s="954"/>
      <c r="H38" s="1013" t="s">
        <v>674</v>
      </c>
      <c r="I38" s="1005"/>
      <c r="J38" s="1005"/>
      <c r="K38" s="1005"/>
    </row>
    <row r="39">
      <c r="A39" s="1061"/>
      <c r="B39" s="1045" t="s">
        <v>52</v>
      </c>
      <c r="C39" s="969" t="s">
        <v>40</v>
      </c>
      <c r="D39" s="1042" t="s">
        <v>458</v>
      </c>
      <c r="E39" s="1054" t="s">
        <v>701</v>
      </c>
      <c r="F39" s="1101" t="s">
        <v>702</v>
      </c>
      <c r="G39" s="954"/>
      <c r="H39" s="1013" t="s">
        <v>704</v>
      </c>
      <c r="I39" s="1005"/>
      <c r="J39" s="1005"/>
      <c r="K39" s="1005"/>
    </row>
    <row r="40">
      <c r="A40" s="1061"/>
      <c r="B40" s="1045" t="s">
        <v>44</v>
      </c>
      <c r="C40" s="969" t="s">
        <v>49</v>
      </c>
      <c r="D40" s="1042" t="s">
        <v>444</v>
      </c>
      <c r="E40" s="1054" t="s">
        <v>706</v>
      </c>
      <c r="F40" s="1101" t="s">
        <v>707</v>
      </c>
      <c r="G40" s="954"/>
      <c r="H40" s="1013" t="s">
        <v>674</v>
      </c>
      <c r="I40" s="1005"/>
      <c r="J40" s="1005"/>
      <c r="K40" s="1005"/>
    </row>
    <row r="41">
      <c r="A41" s="1061"/>
      <c r="B41" s="1025" t="s">
        <v>49</v>
      </c>
      <c r="C41" s="1040" t="s">
        <v>44</v>
      </c>
      <c r="D41" s="1042" t="s">
        <v>468</v>
      </c>
      <c r="E41" s="1054" t="s">
        <v>712</v>
      </c>
      <c r="F41" s="1101" t="s">
        <v>713</v>
      </c>
      <c r="G41" s="954"/>
      <c r="H41" s="1013" t="s">
        <v>674</v>
      </c>
      <c r="I41" s="1005"/>
      <c r="J41" s="1005"/>
      <c r="K41" s="1005"/>
    </row>
    <row r="42">
      <c r="A42" s="1061"/>
      <c r="B42" s="1037" t="s">
        <v>52</v>
      </c>
      <c r="C42" s="1042" t="s">
        <v>249</v>
      </c>
      <c r="D42" s="969" t="s">
        <v>568</v>
      </c>
      <c r="E42" s="1054" t="s">
        <v>718</v>
      </c>
      <c r="F42" s="1101" t="s">
        <v>720</v>
      </c>
      <c r="G42" s="954"/>
      <c r="H42" s="1013" t="s">
        <v>704</v>
      </c>
      <c r="I42" s="1005"/>
      <c r="J42" s="1005"/>
      <c r="K42" s="1005"/>
    </row>
    <row r="43">
      <c r="A43" s="954"/>
      <c r="B43" s="1080" t="s">
        <v>249</v>
      </c>
      <c r="C43" s="1117" t="s">
        <v>52</v>
      </c>
      <c r="D43" s="1118" t="s">
        <v>524</v>
      </c>
      <c r="E43" s="1054" t="s">
        <v>723</v>
      </c>
      <c r="F43" s="1119" t="s">
        <v>724</v>
      </c>
      <c r="G43" s="954"/>
      <c r="H43" s="1013" t="s">
        <v>704</v>
      </c>
      <c r="I43" s="1005"/>
      <c r="J43" s="1005"/>
      <c r="K43" s="1005"/>
    </row>
    <row r="44">
      <c r="A44" s="954"/>
      <c r="B44" s="898" t="s">
        <v>52</v>
      </c>
      <c r="C44" s="1120" t="s">
        <v>48</v>
      </c>
      <c r="D44" s="1121">
        <v>45047.0</v>
      </c>
      <c r="E44" s="1054" t="s">
        <v>725</v>
      </c>
      <c r="F44" s="1119" t="s">
        <v>726</v>
      </c>
      <c r="G44" s="954"/>
      <c r="H44" s="1013" t="s">
        <v>704</v>
      </c>
      <c r="I44" s="1005"/>
      <c r="J44" s="1005"/>
      <c r="K44" s="1005"/>
    </row>
    <row r="45">
      <c r="A45" s="954"/>
      <c r="B45" s="923" t="s">
        <v>9</v>
      </c>
      <c r="C45" s="1118" t="s">
        <v>49</v>
      </c>
      <c r="D45" s="1122">
        <v>45049.0</v>
      </c>
      <c r="E45" s="1054" t="s">
        <v>727</v>
      </c>
      <c r="F45" s="1123" t="s">
        <v>728</v>
      </c>
      <c r="G45" s="954"/>
      <c r="H45" s="1013" t="s">
        <v>674</v>
      </c>
      <c r="I45" s="1005"/>
      <c r="J45" s="1005"/>
      <c r="K45" s="1005"/>
    </row>
    <row r="46">
      <c r="A46" s="954"/>
      <c r="B46" s="898" t="s">
        <v>49</v>
      </c>
      <c r="C46" s="1120" t="s">
        <v>9</v>
      </c>
      <c r="D46" s="1121">
        <v>45050.0</v>
      </c>
      <c r="E46" s="1125" t="s">
        <v>730</v>
      </c>
      <c r="F46" s="1119" t="s">
        <v>732</v>
      </c>
      <c r="G46" s="954"/>
      <c r="H46" s="1013" t="s">
        <v>674</v>
      </c>
      <c r="I46" s="1005"/>
      <c r="J46" s="1005"/>
      <c r="K46" s="1005"/>
    </row>
    <row r="47">
      <c r="A47" s="954"/>
      <c r="B47" s="898" t="s">
        <v>44</v>
      </c>
      <c r="C47" s="1120" t="s">
        <v>733</v>
      </c>
      <c r="D47" s="1121">
        <v>45048.0</v>
      </c>
      <c r="E47" s="1127">
        <v>0.5069444444444444</v>
      </c>
      <c r="F47" s="1119" t="s">
        <v>737</v>
      </c>
      <c r="G47" s="954"/>
      <c r="H47" s="1013" t="s">
        <v>674</v>
      </c>
      <c r="I47" s="1005"/>
      <c r="J47" s="1005"/>
      <c r="K47" s="1005"/>
    </row>
    <row r="48">
      <c r="A48" s="954"/>
      <c r="B48" s="898" t="s">
        <v>46</v>
      </c>
      <c r="C48" s="1120" t="s">
        <v>167</v>
      </c>
      <c r="D48" s="1121">
        <v>45050.0</v>
      </c>
      <c r="E48" s="1127">
        <v>0.2881944444444444</v>
      </c>
      <c r="F48" s="1119" t="s">
        <v>741</v>
      </c>
      <c r="G48" s="954"/>
      <c r="H48" s="1013" t="s">
        <v>742</v>
      </c>
      <c r="I48" s="1005"/>
      <c r="J48" s="1005"/>
      <c r="K48" s="1005"/>
    </row>
    <row r="49">
      <c r="A49" s="954"/>
      <c r="B49" s="1080" t="s">
        <v>167</v>
      </c>
      <c r="C49" s="1117" t="s">
        <v>46</v>
      </c>
      <c r="D49" s="1121">
        <v>44962.0</v>
      </c>
      <c r="E49" s="1127">
        <v>0.36736111111111114</v>
      </c>
      <c r="F49" s="1119" t="s">
        <v>743</v>
      </c>
      <c r="G49" s="954"/>
      <c r="H49" s="1013" t="s">
        <v>742</v>
      </c>
      <c r="I49" s="1005"/>
      <c r="J49" s="1005"/>
      <c r="K49" s="1005"/>
    </row>
    <row r="50">
      <c r="A50" s="40"/>
      <c r="B50" s="955"/>
      <c r="C50" s="962"/>
      <c r="D50" s="959"/>
      <c r="E50" s="962"/>
      <c r="F50" s="955"/>
      <c r="G50" s="40"/>
      <c r="H50" s="954"/>
      <c r="I50" s="954"/>
      <c r="J50" s="954"/>
      <c r="K50" s="954"/>
    </row>
    <row r="51">
      <c r="A51" s="1068" t="s">
        <v>744</v>
      </c>
      <c r="B51" s="1045" t="s">
        <v>44</v>
      </c>
      <c r="C51" s="969" t="s">
        <v>167</v>
      </c>
      <c r="D51" s="1042" t="s">
        <v>444</v>
      </c>
      <c r="E51" s="1054" t="s">
        <v>745</v>
      </c>
      <c r="F51" s="997" t="s">
        <v>746</v>
      </c>
      <c r="G51" s="1129" t="s">
        <v>744</v>
      </c>
      <c r="H51" s="1005"/>
      <c r="I51" s="1005"/>
      <c r="J51" s="1005"/>
      <c r="K51" s="1005"/>
    </row>
    <row r="52">
      <c r="A52" s="988"/>
      <c r="B52" s="1025" t="s">
        <v>167</v>
      </c>
      <c r="C52" s="1040" t="s">
        <v>44</v>
      </c>
      <c r="D52" s="1042" t="s">
        <v>524</v>
      </c>
      <c r="E52" s="1054" t="s">
        <v>747</v>
      </c>
      <c r="F52" s="997" t="s">
        <v>748</v>
      </c>
      <c r="G52" s="999"/>
      <c r="H52" s="1005"/>
      <c r="I52" s="1005"/>
      <c r="J52" s="1005"/>
      <c r="K52" s="1005"/>
    </row>
    <row r="53">
      <c r="A53" s="988"/>
      <c r="B53" s="1025" t="s">
        <v>52</v>
      </c>
      <c r="C53" s="1040" t="s">
        <v>49</v>
      </c>
      <c r="D53" s="1042" t="s">
        <v>539</v>
      </c>
      <c r="E53" s="1054" t="s">
        <v>749</v>
      </c>
      <c r="F53" s="997" t="s">
        <v>750</v>
      </c>
      <c r="G53" s="999"/>
      <c r="H53" s="1013" t="s">
        <v>704</v>
      </c>
      <c r="I53" s="1005"/>
      <c r="J53" s="1005"/>
      <c r="K53" s="1005"/>
    </row>
    <row r="54">
      <c r="A54" s="988"/>
      <c r="B54" s="1037" t="s">
        <v>249</v>
      </c>
      <c r="C54" s="1042" t="s">
        <v>9</v>
      </c>
      <c r="D54" s="969" t="s">
        <v>458</v>
      </c>
      <c r="E54" s="1054" t="s">
        <v>751</v>
      </c>
      <c r="F54" s="997" t="s">
        <v>752</v>
      </c>
      <c r="G54" s="999"/>
      <c r="H54" s="1005"/>
      <c r="I54" s="1005"/>
      <c r="J54" s="1005"/>
      <c r="K54" s="1005"/>
    </row>
    <row r="55">
      <c r="A55" s="988"/>
      <c r="B55" s="1057" t="s">
        <v>9</v>
      </c>
      <c r="C55" s="1058" t="s">
        <v>249</v>
      </c>
      <c r="D55" s="969" t="s">
        <v>539</v>
      </c>
      <c r="E55" s="1054" t="s">
        <v>753</v>
      </c>
      <c r="F55" s="997" t="s">
        <v>754</v>
      </c>
      <c r="G55" s="999"/>
      <c r="H55" s="1005"/>
      <c r="I55" s="1005"/>
      <c r="J55" s="1005"/>
      <c r="K55" s="1005"/>
    </row>
    <row r="56">
      <c r="A56" s="988"/>
      <c r="B56" s="1037" t="s">
        <v>249</v>
      </c>
      <c r="C56" s="1042" t="s">
        <v>48</v>
      </c>
      <c r="D56" s="969" t="s">
        <v>495</v>
      </c>
      <c r="E56" s="1054" t="s">
        <v>755</v>
      </c>
      <c r="F56" s="997" t="s">
        <v>756</v>
      </c>
      <c r="G56" s="999"/>
      <c r="H56" s="1005"/>
      <c r="I56" s="1005"/>
      <c r="J56" s="1005"/>
      <c r="K56" s="1005"/>
    </row>
    <row r="57">
      <c r="A57" s="988"/>
      <c r="B57" s="1045" t="s">
        <v>249</v>
      </c>
      <c r="C57" s="969" t="s">
        <v>49</v>
      </c>
      <c r="D57" s="1042" t="s">
        <v>568</v>
      </c>
      <c r="E57" s="1054" t="s">
        <v>757</v>
      </c>
      <c r="F57" s="997" t="s">
        <v>758</v>
      </c>
      <c r="G57" s="999"/>
      <c r="H57" s="1005"/>
      <c r="I57" s="1005"/>
      <c r="J57" s="1005"/>
      <c r="K57" s="1005"/>
    </row>
    <row r="58">
      <c r="A58" s="988"/>
      <c r="B58" s="1130" t="s">
        <v>41</v>
      </c>
      <c r="C58" s="1131" t="s">
        <v>46</v>
      </c>
      <c r="D58" s="1131" t="s">
        <v>444</v>
      </c>
      <c r="E58" s="1054" t="s">
        <v>759</v>
      </c>
      <c r="F58" s="981" t="s">
        <v>454</v>
      </c>
      <c r="G58" s="999"/>
      <c r="H58" s="1005"/>
      <c r="I58" s="1005"/>
      <c r="J58" s="1005"/>
      <c r="K58" s="1005"/>
    </row>
    <row r="59">
      <c r="A59" s="988"/>
      <c r="B59" s="1037" t="s">
        <v>41</v>
      </c>
      <c r="C59" s="1042" t="s">
        <v>249</v>
      </c>
      <c r="D59" s="969" t="s">
        <v>495</v>
      </c>
      <c r="E59" s="1054" t="s">
        <v>760</v>
      </c>
      <c r="F59" s="997" t="s">
        <v>761</v>
      </c>
      <c r="G59" s="999"/>
      <c r="H59" s="1005"/>
      <c r="I59" s="1005"/>
      <c r="J59" s="1005"/>
      <c r="K59" s="1005"/>
    </row>
    <row r="60">
      <c r="A60" s="988"/>
      <c r="B60" s="1132" t="s">
        <v>46</v>
      </c>
      <c r="C60" s="1133" t="s">
        <v>52</v>
      </c>
      <c r="D60" s="1131" t="s">
        <v>524</v>
      </c>
      <c r="E60" s="1054" t="s">
        <v>759</v>
      </c>
      <c r="F60" s="981" t="s">
        <v>454</v>
      </c>
      <c r="G60" s="999"/>
      <c r="H60" s="1005"/>
      <c r="I60" s="1005"/>
      <c r="J60" s="1005"/>
      <c r="K60" s="1005"/>
    </row>
    <row r="61">
      <c r="A61" s="988"/>
      <c r="B61" s="1057" t="s">
        <v>48</v>
      </c>
      <c r="C61" s="1058" t="s">
        <v>41</v>
      </c>
      <c r="D61" s="969" t="s">
        <v>468</v>
      </c>
      <c r="E61" s="1054" t="s">
        <v>762</v>
      </c>
      <c r="F61" s="997" t="s">
        <v>763</v>
      </c>
      <c r="G61" s="999"/>
      <c r="H61" s="1013" t="s">
        <v>483</v>
      </c>
      <c r="I61" s="1013" t="s">
        <v>509</v>
      </c>
      <c r="J61" s="1013"/>
      <c r="K61" s="1013"/>
    </row>
    <row r="62">
      <c r="A62" s="988"/>
      <c r="B62" s="1025" t="s">
        <v>41</v>
      </c>
      <c r="C62" s="1042" t="s">
        <v>167</v>
      </c>
      <c r="D62" s="969" t="s">
        <v>495</v>
      </c>
      <c r="E62" s="1054" t="s">
        <v>764</v>
      </c>
      <c r="F62" s="1134" t="s">
        <v>765</v>
      </c>
      <c r="G62" s="999"/>
      <c r="H62" s="1013" t="s">
        <v>483</v>
      </c>
      <c r="I62" s="1005"/>
      <c r="J62" s="1005"/>
      <c r="K62" s="1005"/>
    </row>
    <row r="63">
      <c r="A63" s="988"/>
      <c r="B63" s="1057" t="s">
        <v>167</v>
      </c>
      <c r="C63" s="969" t="s">
        <v>41</v>
      </c>
      <c r="D63" s="969" t="s">
        <v>468</v>
      </c>
      <c r="E63" s="1054" t="s">
        <v>766</v>
      </c>
      <c r="F63" s="997" t="s">
        <v>767</v>
      </c>
      <c r="G63" s="999"/>
      <c r="H63" s="1013" t="s">
        <v>483</v>
      </c>
      <c r="I63" s="1005"/>
      <c r="J63" s="1005"/>
      <c r="K63" s="1005"/>
    </row>
    <row r="64">
      <c r="A64" s="1135"/>
      <c r="B64" s="1132" t="s">
        <v>46</v>
      </c>
      <c r="C64" s="1131" t="s">
        <v>49</v>
      </c>
      <c r="D64" s="1131" t="s">
        <v>524</v>
      </c>
      <c r="E64" s="1054" t="s">
        <v>759</v>
      </c>
      <c r="F64" s="981" t="s">
        <v>454</v>
      </c>
      <c r="G64" s="1066"/>
      <c r="H64" s="1005"/>
      <c r="I64" s="1005"/>
      <c r="J64" s="1005"/>
      <c r="K64" s="1005"/>
    </row>
    <row r="65">
      <c r="A65" s="1135"/>
      <c r="B65" s="1132" t="s">
        <v>46</v>
      </c>
      <c r="C65" s="1131" t="s">
        <v>54</v>
      </c>
      <c r="D65" s="1131" t="s">
        <v>524</v>
      </c>
      <c r="E65" s="1054" t="s">
        <v>759</v>
      </c>
      <c r="F65" s="981" t="s">
        <v>454</v>
      </c>
      <c r="G65" s="1066"/>
      <c r="H65" s="1005"/>
      <c r="I65" s="1005"/>
      <c r="J65" s="1005"/>
      <c r="K65" s="1005"/>
    </row>
    <row r="66">
      <c r="A66" s="1135"/>
      <c r="B66" s="1057" t="s">
        <v>167</v>
      </c>
      <c r="C66" s="969" t="s">
        <v>249</v>
      </c>
      <c r="D66" s="1042" t="s">
        <v>644</v>
      </c>
      <c r="E66" s="1054" t="s">
        <v>768</v>
      </c>
      <c r="F66" s="1064" t="s">
        <v>769</v>
      </c>
      <c r="G66" s="1066"/>
      <c r="H66" s="1013" t="s">
        <v>674</v>
      </c>
      <c r="I66" s="1005"/>
      <c r="J66" s="1005"/>
      <c r="K66" s="1005"/>
    </row>
    <row r="67">
      <c r="A67" s="1135"/>
      <c r="B67" s="1025" t="s">
        <v>249</v>
      </c>
      <c r="C67" s="1042" t="s">
        <v>167</v>
      </c>
      <c r="D67" s="1042" t="s">
        <v>492</v>
      </c>
      <c r="E67" s="1054" t="s">
        <v>770</v>
      </c>
      <c r="F67" s="1110" t="s">
        <v>771</v>
      </c>
      <c r="G67" s="1066"/>
      <c r="H67" s="1013" t="s">
        <v>674</v>
      </c>
      <c r="I67" s="1005"/>
      <c r="J67" s="1005"/>
      <c r="K67" s="1005"/>
    </row>
    <row r="68">
      <c r="A68" s="40"/>
      <c r="B68" s="1136"/>
      <c r="C68" s="962"/>
      <c r="D68" s="959"/>
      <c r="E68" s="1137"/>
      <c r="F68" s="1136"/>
      <c r="G68" s="40"/>
      <c r="H68" s="954"/>
      <c r="I68" s="954"/>
      <c r="J68" s="954"/>
      <c r="K68" s="954"/>
    </row>
    <row r="69">
      <c r="A69" s="1138" t="s">
        <v>772</v>
      </c>
      <c r="B69" s="1057" t="s">
        <v>54</v>
      </c>
      <c r="C69" s="1058" t="s">
        <v>52</v>
      </c>
      <c r="D69" s="969" t="s">
        <v>773</v>
      </c>
      <c r="E69" s="1054" t="s">
        <v>774</v>
      </c>
      <c r="F69" s="997" t="s">
        <v>775</v>
      </c>
      <c r="G69" s="1141" t="s">
        <v>772</v>
      </c>
      <c r="H69" s="1013" t="s">
        <v>704</v>
      </c>
      <c r="I69" s="1005"/>
      <c r="J69" s="1005"/>
      <c r="K69" s="1005"/>
    </row>
    <row r="70">
      <c r="A70" s="988"/>
      <c r="B70" s="1045" t="s">
        <v>49</v>
      </c>
      <c r="C70" s="969" t="s">
        <v>48</v>
      </c>
      <c r="D70" s="1042" t="s">
        <v>458</v>
      </c>
      <c r="E70" s="1054" t="s">
        <v>776</v>
      </c>
      <c r="F70" s="997" t="s">
        <v>777</v>
      </c>
      <c r="G70" s="999"/>
      <c r="H70" s="1005"/>
      <c r="I70" s="1005"/>
      <c r="J70" s="1005"/>
      <c r="K70" s="1005"/>
    </row>
    <row r="71">
      <c r="A71" s="988"/>
      <c r="B71" s="1045" t="s">
        <v>44</v>
      </c>
      <c r="C71" s="969" t="s">
        <v>40</v>
      </c>
      <c r="D71" s="1042" t="s">
        <v>492</v>
      </c>
      <c r="E71" s="1054" t="s">
        <v>778</v>
      </c>
      <c r="F71" s="997" t="s">
        <v>779</v>
      </c>
      <c r="G71" s="999"/>
      <c r="H71" s="1013" t="s">
        <v>704</v>
      </c>
      <c r="I71" s="1005"/>
      <c r="J71" s="1005"/>
      <c r="K71" s="1005"/>
    </row>
    <row r="72">
      <c r="A72" s="988"/>
      <c r="B72" s="1045" t="s">
        <v>167</v>
      </c>
      <c r="C72" s="969" t="s">
        <v>52</v>
      </c>
      <c r="D72" s="1042" t="s">
        <v>539</v>
      </c>
      <c r="E72" s="1054" t="s">
        <v>780</v>
      </c>
      <c r="F72" s="997" t="s">
        <v>781</v>
      </c>
      <c r="G72" s="999"/>
      <c r="H72" s="1013" t="s">
        <v>704</v>
      </c>
      <c r="I72" s="1005"/>
      <c r="J72" s="1005"/>
      <c r="K72" s="1005"/>
    </row>
    <row r="73">
      <c r="A73" s="988"/>
      <c r="B73" s="1037" t="s">
        <v>49</v>
      </c>
      <c r="C73" s="1042" t="s">
        <v>249</v>
      </c>
      <c r="D73" s="969" t="s">
        <v>644</v>
      </c>
      <c r="E73" s="1054" t="s">
        <v>782</v>
      </c>
      <c r="F73" s="997" t="s">
        <v>783</v>
      </c>
      <c r="G73" s="999"/>
      <c r="H73" s="1005"/>
      <c r="I73" s="1005"/>
      <c r="J73" s="1005"/>
      <c r="K73" s="1005"/>
    </row>
    <row r="74">
      <c r="A74" s="988"/>
      <c r="B74" s="1025" t="s">
        <v>40</v>
      </c>
      <c r="C74" s="1040" t="s">
        <v>249</v>
      </c>
      <c r="D74" s="1042" t="s">
        <v>458</v>
      </c>
      <c r="E74" s="1054" t="s">
        <v>784</v>
      </c>
      <c r="F74" s="997" t="s">
        <v>785</v>
      </c>
      <c r="G74" s="999"/>
      <c r="H74" s="1005"/>
      <c r="I74" s="1005"/>
      <c r="J74" s="1005"/>
      <c r="K74" s="1005"/>
    </row>
    <row r="75">
      <c r="A75" s="40"/>
      <c r="B75" s="1136"/>
      <c r="C75" s="962"/>
      <c r="D75" s="959"/>
      <c r="E75" s="1137"/>
      <c r="F75" s="1136"/>
      <c r="G75" s="40"/>
      <c r="H75" s="954"/>
      <c r="I75" s="954"/>
      <c r="J75" s="954"/>
      <c r="K75" s="954"/>
    </row>
    <row r="76">
      <c r="A76" s="1068" t="s">
        <v>786</v>
      </c>
      <c r="B76" s="1132" t="s">
        <v>46</v>
      </c>
      <c r="C76" s="1131" t="s">
        <v>9</v>
      </c>
      <c r="D76" s="1131" t="s">
        <v>524</v>
      </c>
      <c r="E76" s="1054" t="s">
        <v>447</v>
      </c>
      <c r="F76" s="981" t="s">
        <v>454</v>
      </c>
      <c r="G76" s="1129" t="s">
        <v>786</v>
      </c>
      <c r="H76" s="1005"/>
      <c r="I76" s="1005"/>
      <c r="J76" s="1005"/>
      <c r="K76" s="1005"/>
    </row>
    <row r="77">
      <c r="A77" s="988"/>
      <c r="B77" s="1132" t="s">
        <v>46</v>
      </c>
      <c r="C77" s="1131" t="s">
        <v>249</v>
      </c>
      <c r="D77" s="1131" t="s">
        <v>524</v>
      </c>
      <c r="E77" s="1054" t="s">
        <v>447</v>
      </c>
      <c r="F77" s="981" t="s">
        <v>454</v>
      </c>
      <c r="G77" s="999"/>
      <c r="H77" s="1005"/>
      <c r="I77" s="1005"/>
      <c r="J77" s="1005"/>
      <c r="K77" s="1005"/>
    </row>
    <row r="78">
      <c r="A78" s="988"/>
      <c r="B78" s="1037" t="s">
        <v>49</v>
      </c>
      <c r="C78" s="1042" t="s">
        <v>48</v>
      </c>
      <c r="D78" s="969" t="s">
        <v>568</v>
      </c>
      <c r="E78" s="1054" t="s">
        <v>787</v>
      </c>
      <c r="F78" s="997" t="s">
        <v>788</v>
      </c>
      <c r="G78" s="999"/>
      <c r="H78" s="1005"/>
      <c r="I78" s="1005"/>
      <c r="J78" s="1005"/>
      <c r="K78" s="1005"/>
    </row>
    <row r="79">
      <c r="A79" s="40"/>
      <c r="B79" s="1136"/>
      <c r="C79" s="1146"/>
      <c r="D79" s="1146"/>
      <c r="E79" s="1137"/>
      <c r="F79" s="1136"/>
      <c r="G79" s="40"/>
      <c r="H79" s="40"/>
      <c r="I79" s="40"/>
      <c r="J79" s="40"/>
      <c r="K79" s="40"/>
    </row>
    <row r="80">
      <c r="A80" s="1068" t="s">
        <v>789</v>
      </c>
      <c r="B80" s="1130" t="s">
        <v>249</v>
      </c>
      <c r="C80" s="1131" t="s">
        <v>46</v>
      </c>
      <c r="D80" s="1131" t="s">
        <v>444</v>
      </c>
      <c r="E80" s="1054" t="s">
        <v>759</v>
      </c>
      <c r="F80" s="981" t="s">
        <v>454</v>
      </c>
      <c r="G80" s="1129" t="s">
        <v>789</v>
      </c>
      <c r="H80" s="1005"/>
      <c r="I80" s="1005"/>
      <c r="J80" s="1005"/>
      <c r="K80" s="1005"/>
    </row>
    <row r="81">
      <c r="A81" s="988"/>
      <c r="B81" s="1132" t="s">
        <v>46</v>
      </c>
      <c r="C81" s="1147" t="s">
        <v>9</v>
      </c>
      <c r="D81" s="1131" t="s">
        <v>524</v>
      </c>
      <c r="E81" s="1054" t="s">
        <v>759</v>
      </c>
      <c r="F81" s="981" t="s">
        <v>454</v>
      </c>
      <c r="G81" s="999"/>
      <c r="H81" s="1005"/>
      <c r="I81" s="1005"/>
      <c r="J81" s="1005"/>
      <c r="K81" s="1005"/>
    </row>
    <row r="82">
      <c r="A82" s="988"/>
      <c r="B82" s="1037" t="s">
        <v>41</v>
      </c>
      <c r="C82" s="1042" t="s">
        <v>54</v>
      </c>
      <c r="D82" s="969" t="s">
        <v>644</v>
      </c>
      <c r="E82" s="1054" t="s">
        <v>790</v>
      </c>
      <c r="F82" s="1010" t="s">
        <v>791</v>
      </c>
      <c r="G82" s="999"/>
      <c r="H82" s="1035" t="s">
        <v>509</v>
      </c>
      <c r="I82" s="1005"/>
      <c r="J82" s="1005"/>
      <c r="K82" s="1005"/>
    </row>
    <row r="83">
      <c r="A83" s="988"/>
      <c r="B83" s="1037" t="s">
        <v>49</v>
      </c>
      <c r="C83" s="1104" t="s">
        <v>792</v>
      </c>
      <c r="D83" s="969" t="s">
        <v>458</v>
      </c>
      <c r="E83" s="1054" t="s">
        <v>793</v>
      </c>
      <c r="F83" s="997" t="s">
        <v>794</v>
      </c>
      <c r="G83" s="999"/>
      <c r="H83" s="1005"/>
      <c r="I83" s="1005"/>
      <c r="J83" s="1005"/>
      <c r="K83" s="1005"/>
    </row>
    <row r="84">
      <c r="A84" s="988"/>
      <c r="B84" s="1045" t="s">
        <v>792</v>
      </c>
      <c r="C84" s="969" t="s">
        <v>49</v>
      </c>
      <c r="D84" s="1042" t="s">
        <v>495</v>
      </c>
      <c r="E84" s="1054" t="s">
        <v>795</v>
      </c>
      <c r="F84" s="997" t="s">
        <v>796</v>
      </c>
      <c r="G84" s="999"/>
      <c r="H84" s="1005"/>
      <c r="I84" s="1005"/>
      <c r="J84" s="1005"/>
      <c r="K84" s="1005"/>
    </row>
    <row r="85">
      <c r="A85" s="988"/>
      <c r="B85" s="1025" t="s">
        <v>40</v>
      </c>
      <c r="C85" s="1040" t="s">
        <v>49</v>
      </c>
      <c r="D85" s="1042" t="s">
        <v>524</v>
      </c>
      <c r="E85" s="1054" t="s">
        <v>797</v>
      </c>
      <c r="F85" s="997" t="s">
        <v>798</v>
      </c>
      <c r="G85" s="999"/>
      <c r="H85" s="1005"/>
      <c r="I85" s="1005"/>
      <c r="J85" s="1005"/>
      <c r="K85" s="1005"/>
    </row>
    <row r="86">
      <c r="A86" s="988"/>
      <c r="B86" s="1045" t="s">
        <v>49</v>
      </c>
      <c r="C86" s="969" t="s">
        <v>40</v>
      </c>
      <c r="D86" s="1042" t="s">
        <v>568</v>
      </c>
      <c r="E86" s="1054" t="s">
        <v>799</v>
      </c>
      <c r="F86" s="997" t="s">
        <v>800</v>
      </c>
      <c r="G86" s="999"/>
      <c r="H86" s="1005"/>
      <c r="I86" s="1005"/>
      <c r="J86" s="1005"/>
      <c r="K86" s="1005"/>
    </row>
    <row r="87">
      <c r="A87" s="988"/>
      <c r="B87" s="1025" t="s">
        <v>40</v>
      </c>
      <c r="C87" s="1040" t="s">
        <v>167</v>
      </c>
      <c r="D87" s="1042" t="s">
        <v>468</v>
      </c>
      <c r="E87" s="1054" t="s">
        <v>801</v>
      </c>
      <c r="F87" s="997" t="s">
        <v>802</v>
      </c>
      <c r="G87" s="999"/>
      <c r="H87" s="1005"/>
      <c r="I87" s="1005"/>
      <c r="J87" s="1005"/>
      <c r="K87" s="1005"/>
    </row>
    <row r="88">
      <c r="A88" s="988"/>
      <c r="B88" s="1045" t="s">
        <v>167</v>
      </c>
      <c r="C88" s="969" t="s">
        <v>40</v>
      </c>
      <c r="D88" s="1042" t="s">
        <v>568</v>
      </c>
      <c r="E88" s="1054" t="s">
        <v>803</v>
      </c>
      <c r="F88" s="997" t="s">
        <v>804</v>
      </c>
      <c r="G88" s="999"/>
      <c r="H88" s="1005"/>
      <c r="I88" s="1005"/>
      <c r="J88" s="1005"/>
      <c r="K88" s="1005"/>
    </row>
    <row r="89">
      <c r="A89" s="988"/>
      <c r="B89" s="1045" t="s">
        <v>52</v>
      </c>
      <c r="C89" s="969" t="s">
        <v>167</v>
      </c>
      <c r="D89" s="1042" t="s">
        <v>444</v>
      </c>
      <c r="E89" s="1054" t="s">
        <v>805</v>
      </c>
      <c r="F89" s="997" t="s">
        <v>806</v>
      </c>
      <c r="G89" s="999"/>
      <c r="H89" s="1013" t="s">
        <v>704</v>
      </c>
      <c r="I89" s="1005"/>
      <c r="J89" s="1005"/>
      <c r="K89" s="1005"/>
    </row>
    <row r="90">
      <c r="A90" s="988"/>
      <c r="B90" s="1037" t="s">
        <v>54</v>
      </c>
      <c r="C90" s="1042" t="s">
        <v>167</v>
      </c>
      <c r="D90" s="1118" t="s">
        <v>495</v>
      </c>
      <c r="E90" s="1148" t="s">
        <v>807</v>
      </c>
      <c r="F90" s="1134" t="s">
        <v>765</v>
      </c>
      <c r="G90" s="999"/>
      <c r="H90" s="1035" t="s">
        <v>509</v>
      </c>
      <c r="I90" s="1005"/>
      <c r="J90" s="1005"/>
      <c r="K90" s="1005"/>
    </row>
    <row r="91">
      <c r="A91" s="988"/>
      <c r="B91" s="1150" t="s">
        <v>167</v>
      </c>
      <c r="C91" s="1151" t="s">
        <v>54</v>
      </c>
      <c r="D91" s="1118" t="s">
        <v>773</v>
      </c>
      <c r="E91" s="1125" t="s">
        <v>808</v>
      </c>
      <c r="F91" s="1152" t="s">
        <v>809</v>
      </c>
      <c r="G91" s="999"/>
      <c r="H91" s="1035" t="s">
        <v>509</v>
      </c>
      <c r="I91" s="1005"/>
      <c r="J91" s="1005"/>
      <c r="K91" s="1005"/>
    </row>
    <row r="92">
      <c r="A92" s="40"/>
      <c r="B92" s="1136"/>
      <c r="C92" s="1146"/>
      <c r="D92" s="1153"/>
      <c r="E92" s="962"/>
      <c r="F92" s="955"/>
      <c r="G92" s="40"/>
      <c r="H92" s="40"/>
      <c r="I92" s="40"/>
      <c r="J92" s="40"/>
      <c r="K92" s="40"/>
    </row>
    <row r="93">
      <c r="A93" s="1068" t="s">
        <v>810</v>
      </c>
      <c r="B93" s="1037" t="s">
        <v>48</v>
      </c>
      <c r="C93" s="1042" t="s">
        <v>9</v>
      </c>
      <c r="D93" s="969" t="s">
        <v>444</v>
      </c>
      <c r="E93" s="1054" t="s">
        <v>811</v>
      </c>
      <c r="F93" s="997" t="s">
        <v>812</v>
      </c>
      <c r="G93" s="1129" t="s">
        <v>810</v>
      </c>
      <c r="H93" s="1005"/>
      <c r="I93" s="1005"/>
      <c r="J93" s="1005"/>
      <c r="K93" s="1005"/>
    </row>
    <row r="94">
      <c r="A94" s="988"/>
      <c r="B94" s="1057" t="s">
        <v>9</v>
      </c>
      <c r="C94" s="1058" t="s">
        <v>48</v>
      </c>
      <c r="D94" s="969" t="s">
        <v>524</v>
      </c>
      <c r="E94" s="1054" t="s">
        <v>813</v>
      </c>
      <c r="F94" s="997" t="s">
        <v>814</v>
      </c>
      <c r="G94" s="999"/>
      <c r="H94" s="1005"/>
      <c r="I94" s="1005"/>
      <c r="J94" s="1005"/>
      <c r="K94" s="1005"/>
    </row>
    <row r="95">
      <c r="A95" s="988"/>
      <c r="B95" s="1025" t="s">
        <v>9</v>
      </c>
      <c r="C95" s="1040" t="s">
        <v>54</v>
      </c>
      <c r="D95" s="1042" t="s">
        <v>524</v>
      </c>
      <c r="E95" s="1155" t="s">
        <v>815</v>
      </c>
      <c r="F95" s="1010" t="s">
        <v>816</v>
      </c>
      <c r="G95" s="999"/>
      <c r="H95" s="1005"/>
      <c r="I95" s="1005"/>
      <c r="J95" s="1005"/>
      <c r="K95" s="1005"/>
    </row>
    <row r="96">
      <c r="A96" s="988"/>
      <c r="B96" s="923" t="s">
        <v>54</v>
      </c>
      <c r="C96" s="1118" t="s">
        <v>9</v>
      </c>
      <c r="D96" s="1042" t="s">
        <v>444</v>
      </c>
      <c r="E96" s="1054" t="s">
        <v>479</v>
      </c>
      <c r="F96" s="1010" t="s">
        <v>817</v>
      </c>
      <c r="G96" s="999"/>
      <c r="H96" s="1005"/>
      <c r="I96" s="1005"/>
      <c r="J96" s="1005"/>
      <c r="K96" s="1005"/>
    </row>
    <row r="97">
      <c r="A97" s="988"/>
      <c r="B97" s="923" t="s">
        <v>167</v>
      </c>
      <c r="C97" s="1118" t="s">
        <v>9</v>
      </c>
      <c r="D97" s="1157" t="s">
        <v>444</v>
      </c>
      <c r="E97" s="1158" t="s">
        <v>818</v>
      </c>
      <c r="F97" s="1159" t="s">
        <v>819</v>
      </c>
      <c r="G97" s="999"/>
      <c r="H97" s="1005"/>
      <c r="I97" s="1005"/>
      <c r="J97" s="1005"/>
      <c r="K97" s="1005"/>
    </row>
    <row r="98">
      <c r="A98" s="988"/>
      <c r="B98" s="1076" t="s">
        <v>9</v>
      </c>
      <c r="C98" s="1160" t="s">
        <v>167</v>
      </c>
      <c r="D98" s="1042" t="s">
        <v>773</v>
      </c>
      <c r="E98" s="1054" t="s">
        <v>820</v>
      </c>
      <c r="F98" s="1161" t="s">
        <v>821</v>
      </c>
      <c r="G98" s="999"/>
      <c r="H98" s="1005"/>
      <c r="I98" s="1005"/>
      <c r="J98" s="1005"/>
      <c r="K98" s="1005"/>
    </row>
    <row r="99">
      <c r="A99" s="988"/>
      <c r="B99" s="1162" t="s">
        <v>49</v>
      </c>
      <c r="C99" s="969" t="s">
        <v>41</v>
      </c>
      <c r="D99" s="1157" t="s">
        <v>568</v>
      </c>
      <c r="E99" s="1158" t="s">
        <v>822</v>
      </c>
      <c r="F99" s="1159" t="s">
        <v>823</v>
      </c>
      <c r="G99" s="999"/>
      <c r="H99" s="1005"/>
      <c r="I99" s="1005"/>
      <c r="J99" s="1005"/>
      <c r="K99" s="1005"/>
    </row>
    <row r="100">
      <c r="A100" s="988"/>
      <c r="B100" s="1163" t="s">
        <v>41</v>
      </c>
      <c r="C100" s="1164" t="s">
        <v>9</v>
      </c>
      <c r="D100" s="1157" t="s">
        <v>458</v>
      </c>
      <c r="E100" s="1158" t="s">
        <v>824</v>
      </c>
      <c r="F100" s="1159" t="s">
        <v>825</v>
      </c>
      <c r="G100" s="999"/>
      <c r="H100" s="1005"/>
      <c r="I100" s="1005"/>
      <c r="J100" s="1005"/>
      <c r="K100" s="1005"/>
    </row>
    <row r="101">
      <c r="A101" s="988"/>
      <c r="B101" s="1165" t="s">
        <v>9</v>
      </c>
      <c r="C101" s="1040" t="s">
        <v>41</v>
      </c>
      <c r="D101" s="1042" t="s">
        <v>468</v>
      </c>
      <c r="E101" s="1054" t="s">
        <v>820</v>
      </c>
      <c r="F101" s="1161" t="s">
        <v>826</v>
      </c>
      <c r="G101" s="999"/>
      <c r="H101" s="1005"/>
      <c r="I101" s="1005"/>
      <c r="J101" s="1005"/>
      <c r="K101" s="1005"/>
    </row>
    <row r="102">
      <c r="A102" s="988"/>
      <c r="B102" s="1166" t="s">
        <v>249</v>
      </c>
      <c r="C102" s="1151" t="s">
        <v>54</v>
      </c>
      <c r="D102" s="1164" t="s">
        <v>468</v>
      </c>
      <c r="E102" s="1158" t="s">
        <v>827</v>
      </c>
      <c r="F102" s="1159" t="s">
        <v>828</v>
      </c>
      <c r="G102" s="999"/>
      <c r="H102" s="1005"/>
      <c r="I102" s="1005"/>
      <c r="J102" s="1005"/>
      <c r="K102" s="1005"/>
    </row>
    <row r="103">
      <c r="A103" s="988"/>
      <c r="B103" s="1167" t="s">
        <v>54</v>
      </c>
      <c r="C103" s="1042" t="s">
        <v>249</v>
      </c>
      <c r="D103" s="969" t="s">
        <v>458</v>
      </c>
      <c r="E103" s="1054" t="s">
        <v>829</v>
      </c>
      <c r="F103" s="1161" t="s">
        <v>830</v>
      </c>
      <c r="G103" s="999"/>
      <c r="H103" s="1005"/>
      <c r="I103" s="1005"/>
      <c r="J103" s="1005"/>
      <c r="K103" s="1005"/>
    </row>
    <row r="104">
      <c r="A104" s="988"/>
      <c r="B104" s="1168" t="s">
        <v>48</v>
      </c>
      <c r="C104" s="1157" t="s">
        <v>249</v>
      </c>
      <c r="D104" s="1164" t="s">
        <v>458</v>
      </c>
      <c r="E104" s="1158" t="s">
        <v>831</v>
      </c>
      <c r="F104" s="1159" t="s">
        <v>832</v>
      </c>
      <c r="G104" s="999"/>
      <c r="H104" s="1005"/>
      <c r="I104" s="1005"/>
      <c r="J104" s="1005"/>
      <c r="K104" s="1005"/>
    </row>
    <row r="105">
      <c r="A105" s="988"/>
      <c r="B105" s="1163" t="s">
        <v>48</v>
      </c>
      <c r="C105" s="1164" t="s">
        <v>167</v>
      </c>
      <c r="D105" s="1157" t="s">
        <v>495</v>
      </c>
      <c r="E105" s="1158" t="s">
        <v>833</v>
      </c>
      <c r="F105" s="1159" t="s">
        <v>834</v>
      </c>
      <c r="G105" s="999"/>
      <c r="H105" s="1005"/>
      <c r="I105" s="1005"/>
      <c r="J105" s="1005"/>
      <c r="K105" s="1005"/>
    </row>
    <row r="106">
      <c r="A106" s="988"/>
      <c r="B106" s="1165" t="s">
        <v>167</v>
      </c>
      <c r="C106" s="1040" t="s">
        <v>48</v>
      </c>
      <c r="D106" s="1042" t="s">
        <v>468</v>
      </c>
      <c r="E106" s="1054" t="s">
        <v>835</v>
      </c>
      <c r="F106" s="1161" t="s">
        <v>836</v>
      </c>
      <c r="G106" s="999"/>
      <c r="H106" s="1005"/>
      <c r="I106" s="1005"/>
      <c r="J106" s="1005"/>
      <c r="K106" s="1005"/>
    </row>
    <row r="107">
      <c r="A107" s="988"/>
      <c r="B107" s="1171" t="s">
        <v>48</v>
      </c>
      <c r="C107" s="1172" t="s">
        <v>54</v>
      </c>
      <c r="D107" s="1157" t="s">
        <v>468</v>
      </c>
      <c r="E107" s="1158" t="s">
        <v>837</v>
      </c>
      <c r="F107" s="1159" t="s">
        <v>838</v>
      </c>
      <c r="G107" s="999"/>
      <c r="H107" s="1035" t="s">
        <v>509</v>
      </c>
      <c r="I107" s="1005"/>
      <c r="J107" s="1005"/>
      <c r="K107" s="1005"/>
    </row>
    <row r="108">
      <c r="A108" s="40"/>
      <c r="B108" s="955"/>
      <c r="C108" s="1153"/>
      <c r="D108" s="1153"/>
      <c r="E108" s="962"/>
      <c r="F108" s="1173"/>
      <c r="G108" s="40"/>
      <c r="H108" s="40"/>
      <c r="I108" s="40"/>
      <c r="J108" s="40"/>
      <c r="K108" s="40"/>
    </row>
    <row r="109">
      <c r="A109" s="1138" t="s">
        <v>839</v>
      </c>
      <c r="B109" s="1166" t="s">
        <v>249</v>
      </c>
      <c r="C109" s="1151" t="s">
        <v>41</v>
      </c>
      <c r="D109" s="1164" t="s">
        <v>468</v>
      </c>
      <c r="E109" s="1158" t="s">
        <v>840</v>
      </c>
      <c r="F109" s="1159" t="s">
        <v>841</v>
      </c>
      <c r="G109" s="1141" t="s">
        <v>839</v>
      </c>
      <c r="H109" s="1005"/>
      <c r="I109" s="1005"/>
      <c r="J109" s="1005"/>
      <c r="K109" s="1005"/>
    </row>
    <row r="110">
      <c r="A110" s="988"/>
      <c r="B110" s="1174" t="s">
        <v>52</v>
      </c>
      <c r="C110" s="969" t="s">
        <v>41</v>
      </c>
      <c r="D110" s="1042" t="s">
        <v>458</v>
      </c>
      <c r="E110" s="1054" t="s">
        <v>842</v>
      </c>
      <c r="F110" s="1161" t="s">
        <v>843</v>
      </c>
      <c r="G110" s="999"/>
      <c r="H110" s="1013" t="s">
        <v>704</v>
      </c>
      <c r="I110" s="1005"/>
      <c r="J110" s="1005"/>
      <c r="K110" s="1005"/>
    </row>
    <row r="111">
      <c r="A111" s="988"/>
      <c r="B111" s="1080" t="s">
        <v>40</v>
      </c>
      <c r="C111" s="1058" t="s">
        <v>41</v>
      </c>
      <c r="D111" s="969" t="s">
        <v>492</v>
      </c>
      <c r="E111" s="1054" t="s">
        <v>844</v>
      </c>
      <c r="F111" s="1161" t="s">
        <v>845</v>
      </c>
      <c r="G111" s="999"/>
      <c r="H111" s="1005"/>
      <c r="I111" s="1005"/>
      <c r="J111" s="1005"/>
      <c r="K111" s="1005"/>
    </row>
    <row r="112">
      <c r="A112" s="988"/>
      <c r="B112" s="923" t="s">
        <v>48</v>
      </c>
      <c r="C112" s="969" t="s">
        <v>40</v>
      </c>
      <c r="D112" s="1175"/>
      <c r="E112" s="1054" t="s">
        <v>454</v>
      </c>
      <c r="F112" s="1177" t="s">
        <v>454</v>
      </c>
      <c r="G112" s="999"/>
      <c r="H112" s="1005"/>
      <c r="I112" s="1005"/>
      <c r="J112" s="1005"/>
      <c r="K112" s="1005"/>
    </row>
    <row r="113">
      <c r="A113" s="988"/>
      <c r="B113" s="1076" t="s">
        <v>40</v>
      </c>
      <c r="C113" s="1040" t="s">
        <v>48</v>
      </c>
      <c r="D113" s="1175"/>
      <c r="E113" s="1054" t="s">
        <v>454</v>
      </c>
      <c r="F113" s="1177" t="s">
        <v>454</v>
      </c>
      <c r="G113" s="999"/>
      <c r="H113" s="1005"/>
      <c r="I113" s="1005"/>
      <c r="J113" s="1005"/>
      <c r="K113" s="1005"/>
    </row>
    <row r="114">
      <c r="A114" s="988"/>
      <c r="B114" s="1080" t="s">
        <v>40</v>
      </c>
      <c r="C114" s="1058" t="s">
        <v>52</v>
      </c>
      <c r="D114" s="969" t="s">
        <v>524</v>
      </c>
      <c r="E114" s="1054" t="s">
        <v>846</v>
      </c>
      <c r="F114" s="1161" t="s">
        <v>847</v>
      </c>
      <c r="G114" s="999"/>
      <c r="H114" s="1013" t="s">
        <v>704</v>
      </c>
      <c r="I114" s="1005"/>
      <c r="J114" s="1005"/>
      <c r="K114" s="1005"/>
    </row>
    <row r="115">
      <c r="A115" s="954"/>
      <c r="B115" s="1076" t="s">
        <v>9</v>
      </c>
      <c r="C115" s="1040" t="s">
        <v>40</v>
      </c>
      <c r="D115" s="1178" t="s">
        <v>539</v>
      </c>
      <c r="E115" s="1179" t="s">
        <v>848</v>
      </c>
      <c r="F115" s="1180" t="s">
        <v>849</v>
      </c>
      <c r="G115" s="999"/>
      <c r="H115" s="1005"/>
      <c r="I115" s="1005"/>
      <c r="J115" s="1005"/>
      <c r="K115" s="1005"/>
    </row>
    <row r="116">
      <c r="A116" s="954"/>
      <c r="B116" s="923" t="s">
        <v>40</v>
      </c>
      <c r="C116" s="969" t="s">
        <v>9</v>
      </c>
      <c r="D116" s="1178" t="s">
        <v>644</v>
      </c>
      <c r="E116" s="1179" t="s">
        <v>820</v>
      </c>
      <c r="F116" s="1180" t="s">
        <v>850</v>
      </c>
      <c r="G116" s="999"/>
      <c r="H116" s="1005"/>
      <c r="I116" s="1005"/>
      <c r="J116" s="1005"/>
      <c r="K116" s="1005"/>
    </row>
    <row r="117">
      <c r="A117" s="954"/>
      <c r="B117" s="923" t="s">
        <v>54</v>
      </c>
      <c r="C117" s="969" t="s">
        <v>40</v>
      </c>
      <c r="D117" s="1042" t="s">
        <v>495</v>
      </c>
      <c r="E117" s="1125" t="s">
        <v>851</v>
      </c>
      <c r="F117" s="1181" t="s">
        <v>852</v>
      </c>
      <c r="G117" s="999"/>
      <c r="H117" s="1005"/>
      <c r="I117" s="1005"/>
      <c r="J117" s="1005"/>
      <c r="K117" s="1005"/>
    </row>
    <row r="118">
      <c r="A118" s="954"/>
      <c r="B118" s="1080" t="s">
        <v>40</v>
      </c>
      <c r="C118" s="1117" t="s">
        <v>54</v>
      </c>
      <c r="D118" s="1182"/>
      <c r="E118" s="1125" t="s">
        <v>454</v>
      </c>
      <c r="F118" s="1183" t="s">
        <v>454</v>
      </c>
      <c r="G118" s="999"/>
      <c r="H118" s="1005"/>
      <c r="I118" s="1005"/>
      <c r="J118" s="1005"/>
      <c r="K118" s="1005"/>
    </row>
    <row r="119">
      <c r="A119" s="954"/>
      <c r="B119" s="1080" t="s">
        <v>41</v>
      </c>
      <c r="C119" s="1184" t="s">
        <v>48</v>
      </c>
      <c r="D119" s="1185" t="s">
        <v>539</v>
      </c>
      <c r="E119" s="1179" t="s">
        <v>853</v>
      </c>
      <c r="F119" s="1180" t="s">
        <v>854</v>
      </c>
      <c r="G119" s="954"/>
      <c r="H119" s="1005"/>
      <c r="I119" s="1005"/>
      <c r="J119" s="1005"/>
      <c r="K119" s="1005"/>
    </row>
    <row r="120">
      <c r="A120" s="954"/>
      <c r="B120" s="955"/>
      <c r="C120" s="962"/>
      <c r="D120" s="962"/>
      <c r="E120" s="1186"/>
      <c r="F120" s="40"/>
      <c r="G120" s="954"/>
      <c r="H120" s="40"/>
      <c r="I120" s="40"/>
      <c r="J120" s="986"/>
      <c r="K120" s="1187"/>
    </row>
    <row r="121">
      <c r="A121" s="1138" t="s">
        <v>855</v>
      </c>
      <c r="B121" s="1037" t="s">
        <v>41</v>
      </c>
      <c r="C121" s="1042" t="s">
        <v>49</v>
      </c>
      <c r="D121" s="969" t="s">
        <v>458</v>
      </c>
      <c r="E121" s="1125" t="s">
        <v>856</v>
      </c>
      <c r="F121" s="1152" t="s">
        <v>857</v>
      </c>
      <c r="G121" s="1188" t="s">
        <v>855</v>
      </c>
      <c r="H121" s="1013" t="s">
        <v>858</v>
      </c>
      <c r="I121" s="1013" t="s">
        <v>483</v>
      </c>
      <c r="J121" s="1189">
        <f t="shared" ref="J121:J128" si="1">(E121*24)*60</f>
        <v>845</v>
      </c>
      <c r="K121" s="1187"/>
    </row>
    <row r="122">
      <c r="A122" s="988"/>
      <c r="B122" s="1190" t="s">
        <v>49</v>
      </c>
      <c r="C122" s="1058" t="s">
        <v>41</v>
      </c>
      <c r="D122" s="969" t="s">
        <v>539</v>
      </c>
      <c r="E122" s="1125" t="s">
        <v>859</v>
      </c>
      <c r="F122" s="1152" t="s">
        <v>860</v>
      </c>
      <c r="H122" s="1013" t="s">
        <v>858</v>
      </c>
      <c r="I122" s="1013" t="s">
        <v>483</v>
      </c>
      <c r="J122" s="1189">
        <f t="shared" si="1"/>
        <v>1490</v>
      </c>
      <c r="K122" s="1187"/>
    </row>
    <row r="123">
      <c r="A123" s="988"/>
      <c r="B123" s="1037" t="s">
        <v>54</v>
      </c>
      <c r="C123" s="1042" t="s">
        <v>249</v>
      </c>
      <c r="D123" s="1118" t="s">
        <v>458</v>
      </c>
      <c r="E123" s="1125" t="s">
        <v>861</v>
      </c>
      <c r="F123" s="1152" t="s">
        <v>862</v>
      </c>
      <c r="H123" s="1013" t="s">
        <v>858</v>
      </c>
      <c r="I123" s="1005"/>
      <c r="J123" s="1189">
        <f t="shared" si="1"/>
        <v>829</v>
      </c>
      <c r="K123" s="1187"/>
    </row>
    <row r="124">
      <c r="A124" s="988"/>
      <c r="B124" s="1057" t="s">
        <v>249</v>
      </c>
      <c r="C124" s="1058" t="s">
        <v>54</v>
      </c>
      <c r="D124" s="1118" t="s">
        <v>468</v>
      </c>
      <c r="E124" s="1125" t="s">
        <v>863</v>
      </c>
      <c r="F124" s="1152" t="s">
        <v>864</v>
      </c>
      <c r="H124" s="1013" t="s">
        <v>858</v>
      </c>
      <c r="I124" s="1005"/>
      <c r="J124" s="1189">
        <f t="shared" si="1"/>
        <v>782</v>
      </c>
      <c r="K124" s="1187"/>
    </row>
    <row r="125">
      <c r="A125" s="988"/>
      <c r="B125" s="1171" t="s">
        <v>44</v>
      </c>
      <c r="C125" s="1191" t="s">
        <v>48</v>
      </c>
      <c r="D125" s="1120" t="s">
        <v>468</v>
      </c>
      <c r="E125" s="1125" t="s">
        <v>865</v>
      </c>
      <c r="F125" s="1152" t="s">
        <v>866</v>
      </c>
      <c r="H125" s="1013" t="s">
        <v>858</v>
      </c>
      <c r="I125" s="1005"/>
      <c r="J125" s="1189">
        <f t="shared" si="1"/>
        <v>403</v>
      </c>
      <c r="K125" s="1187"/>
    </row>
    <row r="126">
      <c r="A126" s="988"/>
      <c r="B126" s="1045" t="s">
        <v>48</v>
      </c>
      <c r="C126" s="1192" t="s">
        <v>44</v>
      </c>
      <c r="D126" s="1193" t="s">
        <v>568</v>
      </c>
      <c r="E126" s="1125" t="s">
        <v>867</v>
      </c>
      <c r="F126" s="1152" t="s">
        <v>868</v>
      </c>
      <c r="H126" s="1013" t="s">
        <v>858</v>
      </c>
      <c r="I126" s="1005"/>
      <c r="J126" s="1189">
        <f t="shared" si="1"/>
        <v>1523</v>
      </c>
      <c r="K126" s="1187"/>
    </row>
    <row r="127">
      <c r="A127" s="988"/>
      <c r="B127" s="1162" t="s">
        <v>167</v>
      </c>
      <c r="C127" s="969" t="s">
        <v>52</v>
      </c>
      <c r="D127" s="1120" t="s">
        <v>568</v>
      </c>
      <c r="E127" s="1125" t="s">
        <v>867</v>
      </c>
      <c r="F127" s="1152" t="s">
        <v>869</v>
      </c>
      <c r="H127" s="1013" t="s">
        <v>858</v>
      </c>
      <c r="I127" s="1005"/>
      <c r="J127" s="1189">
        <f t="shared" si="1"/>
        <v>1523</v>
      </c>
      <c r="K127" s="1187"/>
    </row>
    <row r="128">
      <c r="A128" s="988"/>
      <c r="B128" s="1165" t="s">
        <v>52</v>
      </c>
      <c r="C128" s="1040" t="s">
        <v>167</v>
      </c>
      <c r="D128" s="1120" t="s">
        <v>539</v>
      </c>
      <c r="E128" s="1125" t="s">
        <v>870</v>
      </c>
      <c r="F128" s="1180" t="s">
        <v>871</v>
      </c>
      <c r="H128" s="1013" t="s">
        <v>858</v>
      </c>
      <c r="I128" s="1005"/>
      <c r="J128" s="1189">
        <f t="shared" si="1"/>
        <v>1706</v>
      </c>
      <c r="K128" s="1187"/>
    </row>
    <row r="129">
      <c r="A129" s="988"/>
      <c r="B129" s="1194" t="s">
        <v>54</v>
      </c>
      <c r="C129" s="1151" t="s">
        <v>41</v>
      </c>
      <c r="D129" s="1118" t="s">
        <v>468</v>
      </c>
      <c r="E129" s="1125" t="s">
        <v>872</v>
      </c>
      <c r="F129" s="1180" t="s">
        <v>873</v>
      </c>
      <c r="H129" s="1005"/>
      <c r="I129" s="1005"/>
      <c r="J129" s="986"/>
      <c r="K129" s="1187"/>
    </row>
    <row r="130">
      <c r="A130" s="988"/>
      <c r="B130" s="898" t="s">
        <v>41</v>
      </c>
      <c r="C130" s="1042" t="s">
        <v>54</v>
      </c>
      <c r="D130" s="1118" t="s">
        <v>495</v>
      </c>
      <c r="E130" s="1125" t="s">
        <v>874</v>
      </c>
      <c r="F130" s="1180" t="s">
        <v>875</v>
      </c>
      <c r="H130" s="40"/>
      <c r="I130" s="40"/>
      <c r="J130" s="986"/>
      <c r="K130" s="1187"/>
    </row>
    <row r="131">
      <c r="A131" s="1068"/>
      <c r="B131" s="1076" t="s">
        <v>167</v>
      </c>
      <c r="C131" s="1160" t="s">
        <v>48</v>
      </c>
      <c r="D131" s="1120" t="s">
        <v>773</v>
      </c>
      <c r="E131" s="1125" t="s">
        <v>876</v>
      </c>
      <c r="F131" s="1152" t="s">
        <v>877</v>
      </c>
      <c r="G131" s="939"/>
      <c r="H131" s="40"/>
      <c r="I131" s="40"/>
      <c r="J131" s="40"/>
      <c r="K131" s="40"/>
    </row>
    <row r="132">
      <c r="A132" s="1068"/>
      <c r="B132" s="923" t="s">
        <v>48</v>
      </c>
      <c r="C132" s="1192" t="s">
        <v>167</v>
      </c>
      <c r="D132" s="1193" t="s">
        <v>458</v>
      </c>
      <c r="E132" s="1125" t="s">
        <v>878</v>
      </c>
      <c r="F132" s="1152" t="s">
        <v>879</v>
      </c>
      <c r="G132" s="939"/>
      <c r="H132" s="40"/>
      <c r="I132" s="40"/>
      <c r="J132" s="40"/>
      <c r="K132" s="40"/>
    </row>
    <row r="133">
      <c r="A133" s="1068"/>
      <c r="B133" s="923" t="s">
        <v>48</v>
      </c>
      <c r="C133" s="1192" t="s">
        <v>41</v>
      </c>
      <c r="D133" s="1193" t="s">
        <v>444</v>
      </c>
      <c r="E133" s="1125" t="s">
        <v>880</v>
      </c>
      <c r="F133" s="1119" t="s">
        <v>881</v>
      </c>
      <c r="G133" s="939"/>
      <c r="H133" s="40"/>
      <c r="I133" s="40"/>
      <c r="J133" s="40"/>
      <c r="K133" s="40"/>
    </row>
    <row r="134">
      <c r="A134" s="1068"/>
      <c r="B134" s="1080" t="s">
        <v>41</v>
      </c>
      <c r="C134" s="1184" t="s">
        <v>48</v>
      </c>
      <c r="D134" s="1193" t="s">
        <v>492</v>
      </c>
      <c r="E134" s="1125" t="s">
        <v>882</v>
      </c>
      <c r="F134" s="1119" t="s">
        <v>883</v>
      </c>
      <c r="G134" s="939"/>
      <c r="H134" s="40"/>
      <c r="I134" s="40"/>
      <c r="J134" s="40"/>
      <c r="K134" s="40"/>
    </row>
    <row r="135">
      <c r="A135" s="1068"/>
      <c r="B135" s="923" t="s">
        <v>48</v>
      </c>
      <c r="C135" s="1192" t="s">
        <v>41</v>
      </c>
      <c r="D135" s="1193" t="s">
        <v>444</v>
      </c>
      <c r="E135" s="1125" t="s">
        <v>884</v>
      </c>
      <c r="F135" s="1119" t="s">
        <v>885</v>
      </c>
      <c r="G135" s="939"/>
      <c r="H135" s="40"/>
      <c r="I135" s="40"/>
      <c r="J135" s="40"/>
      <c r="K135" s="40"/>
    </row>
    <row r="136">
      <c r="A136" s="1068"/>
      <c r="B136" s="955"/>
      <c r="C136" s="1153"/>
      <c r="D136" s="1153"/>
      <c r="E136" s="962"/>
      <c r="F136" s="1070"/>
      <c r="G136" s="939"/>
      <c r="H136" s="40"/>
      <c r="I136" s="40"/>
      <c r="J136" s="40"/>
      <c r="K136" s="40"/>
    </row>
    <row r="137">
      <c r="A137" s="1068"/>
      <c r="B137" s="955"/>
      <c r="C137" s="1153"/>
      <c r="D137" s="1153"/>
      <c r="E137" s="962"/>
      <c r="F137" s="1070"/>
      <c r="G137" s="939"/>
      <c r="H137" s="40"/>
      <c r="I137" s="40"/>
      <c r="J137" s="40"/>
      <c r="K137" s="40"/>
    </row>
    <row r="138">
      <c r="A138" s="1068"/>
      <c r="B138" s="955"/>
      <c r="C138" s="1153"/>
      <c r="D138" s="1153"/>
      <c r="E138" s="962"/>
      <c r="F138" s="1070"/>
      <c r="G138" s="939"/>
      <c r="H138" s="40"/>
      <c r="I138" s="40"/>
      <c r="J138" s="40"/>
      <c r="K138" s="40"/>
    </row>
    <row r="139">
      <c r="A139" s="40"/>
      <c r="B139" s="955"/>
      <c r="C139" s="1153"/>
      <c r="D139" s="1153"/>
      <c r="E139" s="962"/>
      <c r="F139" s="955"/>
      <c r="G139" s="40"/>
      <c r="H139" s="40"/>
      <c r="I139" s="40"/>
      <c r="J139" s="40"/>
      <c r="K139" s="40"/>
    </row>
    <row r="140">
      <c r="A140" s="1068" t="s">
        <v>855</v>
      </c>
      <c r="B140" s="955"/>
      <c r="C140" s="1153"/>
      <c r="D140" s="1153"/>
      <c r="E140" s="962"/>
      <c r="F140" s="1070"/>
      <c r="G140" s="939" t="s">
        <v>855</v>
      </c>
      <c r="H140" s="40"/>
      <c r="I140" s="40"/>
      <c r="J140" s="40"/>
      <c r="K140" s="40"/>
    </row>
    <row r="141">
      <c r="A141" s="988"/>
      <c r="B141" s="955"/>
      <c r="C141" s="1153"/>
      <c r="D141" s="1153"/>
      <c r="E141" s="962"/>
      <c r="F141" s="1070"/>
      <c r="H141" s="40"/>
      <c r="I141" s="40"/>
      <c r="J141" s="40"/>
      <c r="K141" s="40"/>
    </row>
    <row r="142">
      <c r="A142" s="988"/>
      <c r="B142" s="955"/>
      <c r="C142" s="1153"/>
      <c r="D142" s="1153"/>
      <c r="E142" s="962"/>
      <c r="F142" s="1070"/>
      <c r="H142" s="40"/>
      <c r="I142" s="40"/>
      <c r="J142" s="40"/>
      <c r="K142" s="40"/>
    </row>
    <row r="143">
      <c r="A143" s="988"/>
      <c r="B143" s="955"/>
      <c r="C143" s="1153"/>
      <c r="D143" s="1153"/>
      <c r="E143" s="962"/>
      <c r="F143" s="1070"/>
      <c r="H143" s="40"/>
      <c r="I143" s="40"/>
      <c r="J143" s="40"/>
      <c r="K143" s="40"/>
    </row>
    <row r="144">
      <c r="A144" s="988"/>
      <c r="B144" s="955"/>
      <c r="C144" s="1153"/>
      <c r="D144" s="1153"/>
      <c r="E144" s="962"/>
      <c r="F144" s="1070"/>
      <c r="H144" s="40"/>
      <c r="I144" s="40"/>
      <c r="J144" s="40"/>
      <c r="K144" s="40"/>
    </row>
    <row r="145">
      <c r="A145" s="988"/>
      <c r="B145" s="955"/>
      <c r="C145" s="1153"/>
      <c r="D145" s="1153"/>
      <c r="E145" s="962"/>
      <c r="F145" s="1070"/>
      <c r="H145" s="40"/>
      <c r="I145" s="40"/>
      <c r="J145" s="40"/>
      <c r="K145" s="40"/>
    </row>
    <row r="146">
      <c r="A146" s="988"/>
      <c r="B146" s="955"/>
      <c r="C146" s="1153"/>
      <c r="D146" s="1153"/>
      <c r="E146" s="962"/>
      <c r="F146" s="1070"/>
      <c r="H146" s="40"/>
      <c r="I146" s="40"/>
      <c r="J146" s="40"/>
      <c r="K146" s="40"/>
    </row>
    <row r="147">
      <c r="A147" s="988"/>
      <c r="B147" s="955"/>
      <c r="C147" s="1153"/>
      <c r="D147" s="1153"/>
      <c r="E147" s="962"/>
      <c r="F147" s="1070"/>
      <c r="H147" s="40"/>
      <c r="I147" s="40"/>
      <c r="J147" s="40"/>
      <c r="K147" s="40"/>
    </row>
    <row r="148">
      <c r="A148" s="988"/>
      <c r="B148" s="955"/>
      <c r="C148" s="1153"/>
      <c r="D148" s="1153"/>
      <c r="E148" s="962"/>
      <c r="F148" s="1070"/>
      <c r="H148" s="40"/>
      <c r="I148" s="40"/>
      <c r="J148" s="40"/>
      <c r="K148" s="40"/>
    </row>
    <row r="149">
      <c r="A149" s="988"/>
      <c r="B149" s="955"/>
      <c r="C149" s="1153"/>
      <c r="D149" s="1153"/>
      <c r="E149" s="962"/>
      <c r="F149" s="1070"/>
      <c r="H149" s="40"/>
      <c r="I149" s="40"/>
      <c r="J149" s="40"/>
      <c r="K149" s="40"/>
    </row>
    <row r="150">
      <c r="A150" s="988"/>
      <c r="B150" s="955"/>
      <c r="C150" s="1153"/>
      <c r="D150" s="1153"/>
      <c r="E150" s="962"/>
      <c r="F150" s="1070"/>
      <c r="H150" s="40"/>
      <c r="I150" s="40"/>
      <c r="J150" s="40"/>
      <c r="K150" s="40"/>
    </row>
    <row r="151">
      <c r="A151" s="988"/>
      <c r="B151" s="955"/>
      <c r="C151" s="1153"/>
      <c r="D151" s="1153"/>
      <c r="E151" s="962"/>
      <c r="F151" s="1070"/>
      <c r="H151" s="40"/>
      <c r="I151" s="40"/>
      <c r="J151" s="40"/>
      <c r="K151" s="40"/>
    </row>
    <row r="152">
      <c r="A152" s="988"/>
      <c r="B152" s="955"/>
      <c r="C152" s="1153"/>
      <c r="D152" s="1153"/>
      <c r="E152" s="962"/>
      <c r="F152" s="1070"/>
      <c r="H152" s="40"/>
      <c r="I152" s="40"/>
      <c r="J152" s="40"/>
      <c r="K152" s="40"/>
    </row>
    <row r="153">
      <c r="A153" s="988"/>
      <c r="B153" s="955"/>
      <c r="C153" s="1153"/>
      <c r="D153" s="1153"/>
      <c r="E153" s="962"/>
      <c r="F153" s="1070"/>
      <c r="H153" s="40"/>
      <c r="I153" s="40"/>
      <c r="J153" s="40"/>
      <c r="K153" s="40"/>
    </row>
    <row r="154">
      <c r="A154" s="988"/>
      <c r="B154" s="955"/>
      <c r="C154" s="1153"/>
      <c r="D154" s="1153"/>
      <c r="E154" s="962"/>
      <c r="F154" s="1070"/>
      <c r="H154" s="40"/>
      <c r="I154" s="40"/>
      <c r="J154" s="40"/>
      <c r="K154" s="40"/>
    </row>
    <row r="155">
      <c r="A155" s="988"/>
      <c r="B155" s="955"/>
      <c r="C155" s="1153"/>
      <c r="D155" s="1153"/>
      <c r="E155" s="962"/>
      <c r="F155" s="1070"/>
      <c r="H155" s="40"/>
      <c r="I155" s="40"/>
      <c r="J155" s="40"/>
      <c r="K155" s="40"/>
    </row>
    <row r="156">
      <c r="A156" s="988"/>
      <c r="B156" s="40"/>
      <c r="C156" s="1199"/>
      <c r="D156" s="1199"/>
      <c r="E156" s="1186"/>
      <c r="F156" s="40"/>
      <c r="H156" s="40"/>
      <c r="I156" s="40"/>
      <c r="J156" s="40"/>
      <c r="K156" s="40"/>
    </row>
  </sheetData>
  <mergeCells count="26">
    <mergeCell ref="H1:I1"/>
    <mergeCell ref="C2:D2"/>
    <mergeCell ref="A3:A13"/>
    <mergeCell ref="G3:G17"/>
    <mergeCell ref="C19:D19"/>
    <mergeCell ref="G20:G34"/>
    <mergeCell ref="G51:G63"/>
    <mergeCell ref="G109:G118"/>
    <mergeCell ref="G121:G130"/>
    <mergeCell ref="G140:G156"/>
    <mergeCell ref="C50:D50"/>
    <mergeCell ref="C68:D68"/>
    <mergeCell ref="G69:G74"/>
    <mergeCell ref="C75:D75"/>
    <mergeCell ref="G76:G78"/>
    <mergeCell ref="G80:G91"/>
    <mergeCell ref="G93:G107"/>
    <mergeCell ref="A121:A130"/>
    <mergeCell ref="A140:A156"/>
    <mergeCell ref="A19:A34"/>
    <mergeCell ref="A51:A63"/>
    <mergeCell ref="A69:A74"/>
    <mergeCell ref="A76:A78"/>
    <mergeCell ref="A80:A91"/>
    <mergeCell ref="A93:A107"/>
    <mergeCell ref="A109:A114"/>
  </mergeCells>
  <hyperlinks>
    <hyperlink r:id="rId1" ref="E3"/>
    <hyperlink r:id="rId2" ref="E4"/>
    <hyperlink r:id="rId3" ref="F4"/>
    <hyperlink r:id="rId4" ref="E5"/>
    <hyperlink r:id="rId5" ref="F5"/>
    <hyperlink r:id="rId6" ref="E6"/>
    <hyperlink r:id="rId7" ref="F6"/>
    <hyperlink r:id="rId8" ref="H6"/>
    <hyperlink r:id="rId9" ref="E7"/>
    <hyperlink r:id="rId10" ref="F7"/>
    <hyperlink r:id="rId11" ref="H7"/>
    <hyperlink r:id="rId12" ref="E8"/>
    <hyperlink r:id="rId13" ref="F8"/>
    <hyperlink r:id="rId14" ref="H8"/>
    <hyperlink r:id="rId15" ref="E9"/>
    <hyperlink r:id="rId16" ref="F9"/>
    <hyperlink r:id="rId17" ref="E10"/>
    <hyperlink r:id="rId18" ref="F10"/>
    <hyperlink r:id="rId19" ref="H10"/>
    <hyperlink r:id="rId20" ref="I10"/>
    <hyperlink r:id="rId21" ref="E11"/>
    <hyperlink r:id="rId22" ref="F11"/>
    <hyperlink r:id="rId23" ref="H11"/>
    <hyperlink r:id="rId24" ref="E12"/>
    <hyperlink r:id="rId25" ref="F12"/>
    <hyperlink r:id="rId26" ref="H12"/>
    <hyperlink r:id="rId27" ref="E13"/>
    <hyperlink r:id="rId28" ref="F13"/>
    <hyperlink r:id="rId29" ref="H13"/>
    <hyperlink r:id="rId30" ref="E14"/>
    <hyperlink r:id="rId31" ref="F14"/>
    <hyperlink r:id="rId32" ref="H14"/>
    <hyperlink r:id="rId33" ref="E15"/>
    <hyperlink r:id="rId34" ref="F15"/>
    <hyperlink r:id="rId35" ref="F16"/>
    <hyperlink r:id="rId36" ref="H16"/>
    <hyperlink r:id="rId37" ref="F17"/>
    <hyperlink r:id="rId38" ref="H17"/>
    <hyperlink r:id="rId39" ref="F18"/>
    <hyperlink r:id="rId40" ref="H18"/>
    <hyperlink r:id="rId41" ref="F20"/>
    <hyperlink r:id="rId42" ref="F21"/>
    <hyperlink r:id="rId43" ref="F22"/>
    <hyperlink r:id="rId44" ref="H22"/>
    <hyperlink r:id="rId45" ref="F23"/>
    <hyperlink r:id="rId46" ref="H23"/>
    <hyperlink r:id="rId47" ref="F24"/>
    <hyperlink r:id="rId48" ref="H24"/>
    <hyperlink r:id="rId49" ref="I24"/>
    <hyperlink r:id="rId50" ref="F25"/>
    <hyperlink r:id="rId51" ref="H25"/>
    <hyperlink r:id="rId52" ref="F26"/>
    <hyperlink r:id="rId53" ref="H26"/>
    <hyperlink r:id="rId54" ref="F27"/>
    <hyperlink r:id="rId55" ref="H27"/>
    <hyperlink r:id="rId56" ref="F28"/>
    <hyperlink r:id="rId57" ref="H28"/>
    <hyperlink r:id="rId58" ref="F29"/>
    <hyperlink r:id="rId59" ref="H29"/>
    <hyperlink r:id="rId60" ref="F30"/>
    <hyperlink r:id="rId61" ref="H30"/>
    <hyperlink r:id="rId62" ref="F31"/>
    <hyperlink r:id="rId63" ref="F32"/>
    <hyperlink r:id="rId64" ref="F33"/>
    <hyperlink r:id="rId65" ref="H33"/>
    <hyperlink r:id="rId66" ref="F34"/>
    <hyperlink r:id="rId67" ref="H34"/>
    <hyperlink r:id="rId68" ref="F35"/>
    <hyperlink r:id="rId69" ref="F36"/>
    <hyperlink r:id="rId70" ref="F37"/>
    <hyperlink r:id="rId71" ref="F38"/>
    <hyperlink r:id="rId72" ref="F39"/>
    <hyperlink r:id="rId73" ref="H39"/>
    <hyperlink r:id="rId74" ref="F40"/>
    <hyperlink r:id="rId75" ref="F41"/>
    <hyperlink r:id="rId76" ref="F42"/>
    <hyperlink r:id="rId77" ref="H42"/>
    <hyperlink r:id="rId78" ref="F43"/>
    <hyperlink r:id="rId79" ref="H43"/>
    <hyperlink r:id="rId80" ref="F44"/>
    <hyperlink r:id="rId81" ref="H44"/>
    <hyperlink r:id="rId82" ref="F45"/>
    <hyperlink r:id="rId83" ref="F46"/>
    <hyperlink r:id="rId84" ref="F47"/>
    <hyperlink r:id="rId85" ref="F48"/>
    <hyperlink r:id="rId86" ref="H48"/>
    <hyperlink r:id="rId87" ref="F49"/>
    <hyperlink r:id="rId88" ref="H49"/>
    <hyperlink r:id="rId89" ref="F51"/>
    <hyperlink r:id="rId90" ref="F52"/>
    <hyperlink r:id="rId91" ref="F53"/>
    <hyperlink r:id="rId92" ref="H53"/>
    <hyperlink r:id="rId93" ref="F54"/>
    <hyperlink r:id="rId94" ref="F55"/>
    <hyperlink r:id="rId95" ref="F56"/>
    <hyperlink r:id="rId96" ref="F57"/>
    <hyperlink r:id="rId97" ref="F59"/>
    <hyperlink r:id="rId98" ref="F61"/>
    <hyperlink r:id="rId99" ref="H61"/>
    <hyperlink r:id="rId100" ref="I61"/>
    <hyperlink r:id="rId101" ref="H62"/>
    <hyperlink r:id="rId102" ref="F63"/>
    <hyperlink r:id="rId103" ref="H63"/>
    <hyperlink r:id="rId104" ref="F66"/>
    <hyperlink r:id="rId105" ref="F67"/>
    <hyperlink r:id="rId106" ref="F69"/>
    <hyperlink r:id="rId107" ref="H69"/>
    <hyperlink r:id="rId108" ref="F70"/>
    <hyperlink r:id="rId109" ref="F71"/>
    <hyperlink r:id="rId110" ref="H71"/>
    <hyperlink r:id="rId111" ref="F72"/>
    <hyperlink r:id="rId112" ref="H72"/>
    <hyperlink r:id="rId113" ref="F73"/>
    <hyperlink r:id="rId114" ref="F74"/>
    <hyperlink r:id="rId115" ref="F78"/>
    <hyperlink r:id="rId116" ref="F82"/>
    <hyperlink r:id="rId117" ref="H82"/>
    <hyperlink r:id="rId118" ref="F83"/>
    <hyperlink r:id="rId119" ref="F84"/>
    <hyperlink r:id="rId120" ref="F85"/>
    <hyperlink r:id="rId121" ref="F86"/>
    <hyperlink r:id="rId122" ref="F87"/>
    <hyperlink r:id="rId123" ref="F88"/>
    <hyperlink r:id="rId124" ref="F89"/>
    <hyperlink r:id="rId125" ref="H89"/>
    <hyperlink r:id="rId126" ref="H90"/>
    <hyperlink r:id="rId127" ref="F91"/>
    <hyperlink r:id="rId128" ref="H91"/>
    <hyperlink r:id="rId129" ref="F93"/>
    <hyperlink r:id="rId130" ref="F94"/>
    <hyperlink r:id="rId131" ref="F95"/>
    <hyperlink r:id="rId132" ref="F96"/>
    <hyperlink r:id="rId133" ref="F97"/>
    <hyperlink r:id="rId134" ref="F98"/>
    <hyperlink r:id="rId135" ref="F99"/>
    <hyperlink r:id="rId136" ref="F100"/>
    <hyperlink r:id="rId137" ref="F101"/>
    <hyperlink r:id="rId138" ref="F102"/>
    <hyperlink r:id="rId139" ref="F103"/>
    <hyperlink r:id="rId140" ref="F104"/>
    <hyperlink r:id="rId141" ref="F105"/>
    <hyperlink r:id="rId142" ref="F106"/>
    <hyperlink r:id="rId143" ref="F107"/>
    <hyperlink r:id="rId144" ref="H107"/>
    <hyperlink r:id="rId145" ref="F109"/>
    <hyperlink r:id="rId146" ref="F110"/>
    <hyperlink r:id="rId147" ref="H110"/>
    <hyperlink r:id="rId148" ref="F111"/>
    <hyperlink r:id="rId149" ref="F114"/>
    <hyperlink r:id="rId150" ref="H114"/>
    <hyperlink r:id="rId151" ref="F115"/>
    <hyperlink r:id="rId152" ref="F116"/>
    <hyperlink r:id="rId153" ref="F117"/>
    <hyperlink r:id="rId154" ref="F119"/>
    <hyperlink r:id="rId155" ref="F121"/>
    <hyperlink r:id="rId156" ref="H121"/>
    <hyperlink r:id="rId157" ref="I121"/>
    <hyperlink r:id="rId158" ref="F122"/>
    <hyperlink r:id="rId159" ref="H122"/>
    <hyperlink r:id="rId160" ref="I122"/>
    <hyperlink r:id="rId161" ref="F123"/>
    <hyperlink r:id="rId162" ref="H123"/>
    <hyperlink r:id="rId163" ref="F124"/>
    <hyperlink r:id="rId164" ref="H124"/>
    <hyperlink r:id="rId165" ref="F125"/>
    <hyperlink r:id="rId166" ref="H125"/>
    <hyperlink r:id="rId167" ref="F126"/>
    <hyperlink r:id="rId168" ref="H126"/>
    <hyperlink r:id="rId169" ref="F127"/>
    <hyperlink r:id="rId170" ref="H127"/>
    <hyperlink r:id="rId171" ref="F128"/>
    <hyperlink r:id="rId172" ref="H128"/>
    <hyperlink r:id="rId173" ref="F129"/>
    <hyperlink r:id="rId174" ref="F130"/>
    <hyperlink r:id="rId175" ref="F131"/>
    <hyperlink r:id="rId176" ref="F132"/>
    <hyperlink r:id="rId177" ref="F133"/>
    <hyperlink r:id="rId178" ref="F134"/>
    <hyperlink r:id="rId179" ref="F135"/>
  </hyperlinks>
  <drawing r:id="rId18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1BA1"/>
    <outlinePr summaryBelow="0" summaryRight="0"/>
  </sheetPr>
  <sheetViews>
    <sheetView workbookViewId="0"/>
  </sheetViews>
  <sheetFormatPr customHeight="1" defaultColWidth="12.63" defaultRowHeight="15.75"/>
  <sheetData>
    <row r="1">
      <c r="A1" s="1124" t="s">
        <v>729</v>
      </c>
    </row>
    <row r="5">
      <c r="A5" s="111"/>
      <c r="B5" s="111"/>
      <c r="C5" s="111"/>
      <c r="D5" s="111"/>
      <c r="E5" s="111"/>
      <c r="F5" s="111"/>
      <c r="G5" s="111"/>
      <c r="H5" s="111"/>
    </row>
    <row r="6">
      <c r="A6" s="1126" t="s">
        <v>731</v>
      </c>
      <c r="C6" s="1126" t="s">
        <v>734</v>
      </c>
      <c r="E6" s="1126" t="s">
        <v>735</v>
      </c>
      <c r="G6" s="1126" t="s">
        <v>736</v>
      </c>
    </row>
    <row r="11">
      <c r="A11" s="1126" t="s">
        <v>738</v>
      </c>
      <c r="C11" s="1126" t="s">
        <v>739</v>
      </c>
      <c r="E11" s="1126" t="s">
        <v>740</v>
      </c>
      <c r="G11" s="1128"/>
    </row>
    <row r="16">
      <c r="A16" s="1128"/>
      <c r="C16" s="1128"/>
      <c r="E16" s="1128"/>
      <c r="G16" s="1128"/>
    </row>
    <row r="21">
      <c r="A21" s="1128"/>
      <c r="C21" s="1128"/>
      <c r="E21" s="1128"/>
      <c r="G21" s="1128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  <row r="49">
      <c r="A49" s="11"/>
      <c r="B49" s="11"/>
      <c r="C49" s="11"/>
      <c r="D49" s="11"/>
      <c r="E49" s="11"/>
      <c r="F49" s="11"/>
      <c r="G49" s="11"/>
      <c r="H49" s="11"/>
    </row>
    <row r="50">
      <c r="A50" s="11"/>
      <c r="B50" s="11"/>
      <c r="C50" s="11"/>
      <c r="D50" s="11"/>
      <c r="E50" s="11"/>
      <c r="F50" s="11"/>
      <c r="G50" s="11"/>
      <c r="H50" s="11"/>
    </row>
    <row r="51">
      <c r="A51" s="11"/>
      <c r="B51" s="11"/>
      <c r="C51" s="11"/>
      <c r="D51" s="11"/>
      <c r="E51" s="11"/>
      <c r="F51" s="11"/>
      <c r="G51" s="11"/>
      <c r="H51" s="11"/>
    </row>
    <row r="52">
      <c r="A52" s="11"/>
      <c r="B52" s="11"/>
      <c r="C52" s="11"/>
      <c r="D52" s="11"/>
      <c r="E52" s="11"/>
      <c r="F52" s="11"/>
      <c r="G52" s="11"/>
      <c r="H52" s="11"/>
    </row>
    <row r="53">
      <c r="A53" s="11"/>
      <c r="B53" s="11"/>
      <c r="C53" s="11"/>
      <c r="D53" s="11"/>
      <c r="E53" s="11"/>
      <c r="F53" s="11"/>
      <c r="G53" s="11"/>
      <c r="H53" s="11"/>
    </row>
    <row r="54">
      <c r="A54" s="11"/>
      <c r="B54" s="11"/>
      <c r="C54" s="11"/>
      <c r="D54" s="11"/>
      <c r="E54" s="11"/>
      <c r="F54" s="11"/>
      <c r="G54" s="11"/>
      <c r="H54" s="11"/>
    </row>
    <row r="55">
      <c r="A55" s="11"/>
      <c r="B55" s="11"/>
      <c r="C55" s="11"/>
      <c r="D55" s="11"/>
      <c r="E55" s="11"/>
      <c r="F55" s="11"/>
      <c r="G55" s="11"/>
      <c r="H55" s="11"/>
    </row>
    <row r="56">
      <c r="A56" s="11"/>
      <c r="B56" s="11"/>
      <c r="C56" s="11"/>
      <c r="D56" s="11"/>
      <c r="E56" s="11"/>
      <c r="F56" s="11"/>
      <c r="G56" s="11"/>
      <c r="H56" s="11"/>
    </row>
    <row r="57">
      <c r="A57" s="11"/>
      <c r="B57" s="11"/>
      <c r="C57" s="11"/>
      <c r="D57" s="11"/>
      <c r="E57" s="11"/>
      <c r="F57" s="11"/>
      <c r="G57" s="11"/>
      <c r="H57" s="11"/>
    </row>
    <row r="58">
      <c r="A58" s="11"/>
      <c r="B58" s="11"/>
      <c r="C58" s="11"/>
      <c r="D58" s="11"/>
      <c r="E58" s="11"/>
      <c r="F58" s="11"/>
      <c r="G58" s="11"/>
      <c r="H58" s="11"/>
    </row>
    <row r="59">
      <c r="A59" s="11"/>
      <c r="B59" s="11"/>
      <c r="C59" s="11"/>
      <c r="D59" s="11"/>
      <c r="E59" s="11"/>
      <c r="F59" s="11"/>
      <c r="G59" s="11"/>
      <c r="H59" s="11"/>
    </row>
    <row r="60">
      <c r="A60" s="11"/>
      <c r="B60" s="11"/>
      <c r="C60" s="11"/>
      <c r="D60" s="11"/>
      <c r="E60" s="11"/>
      <c r="F60" s="11"/>
      <c r="G60" s="11"/>
      <c r="H60" s="11"/>
    </row>
    <row r="61">
      <c r="A61" s="11"/>
      <c r="B61" s="11"/>
      <c r="C61" s="11"/>
      <c r="D61" s="11"/>
      <c r="E61" s="11"/>
      <c r="F61" s="11"/>
      <c r="G61" s="11"/>
      <c r="H61" s="11"/>
    </row>
    <row r="62">
      <c r="A62" s="11"/>
      <c r="B62" s="11"/>
      <c r="C62" s="11"/>
      <c r="D62" s="11"/>
      <c r="E62" s="11"/>
      <c r="F62" s="11"/>
      <c r="G62" s="11"/>
      <c r="H62" s="11"/>
    </row>
    <row r="63">
      <c r="A63" s="11"/>
      <c r="B63" s="11"/>
      <c r="C63" s="11"/>
      <c r="D63" s="11"/>
      <c r="E63" s="11"/>
      <c r="F63" s="11"/>
      <c r="G63" s="11"/>
      <c r="H63" s="11"/>
    </row>
    <row r="64">
      <c r="A64" s="11"/>
      <c r="B64" s="11"/>
      <c r="C64" s="11"/>
      <c r="D64" s="11"/>
      <c r="E64" s="11"/>
      <c r="F64" s="11"/>
      <c r="G64" s="11"/>
      <c r="H64" s="11"/>
    </row>
    <row r="65">
      <c r="A65" s="11"/>
      <c r="B65" s="11"/>
      <c r="C65" s="11"/>
      <c r="D65" s="11"/>
      <c r="E65" s="11"/>
      <c r="F65" s="11"/>
      <c r="G65" s="11"/>
      <c r="H65" s="11"/>
    </row>
    <row r="66">
      <c r="A66" s="11"/>
      <c r="B66" s="11"/>
      <c r="C66" s="11"/>
      <c r="D66" s="11"/>
      <c r="E66" s="11"/>
      <c r="F66" s="11"/>
      <c r="G66" s="11"/>
      <c r="H66" s="11"/>
    </row>
    <row r="67">
      <c r="A67" s="11"/>
      <c r="B67" s="11"/>
      <c r="C67" s="11"/>
      <c r="D67" s="11"/>
      <c r="E67" s="11"/>
      <c r="F67" s="11"/>
      <c r="G67" s="11"/>
      <c r="H67" s="11"/>
    </row>
    <row r="68">
      <c r="A68" s="11"/>
      <c r="B68" s="11"/>
      <c r="C68" s="11"/>
      <c r="D68" s="11"/>
      <c r="E68" s="11"/>
      <c r="F68" s="11"/>
      <c r="G68" s="11"/>
      <c r="H68" s="11"/>
    </row>
    <row r="69">
      <c r="A69" s="11"/>
      <c r="B69" s="11"/>
      <c r="C69" s="11"/>
      <c r="D69" s="11"/>
      <c r="E69" s="11"/>
      <c r="F69" s="11"/>
      <c r="G69" s="11"/>
      <c r="H69" s="11"/>
    </row>
    <row r="70">
      <c r="A70" s="11"/>
      <c r="B70" s="11"/>
      <c r="C70" s="11"/>
      <c r="D70" s="11"/>
      <c r="E70" s="11"/>
      <c r="F70" s="11"/>
      <c r="G70" s="11"/>
      <c r="H70" s="11"/>
    </row>
    <row r="71">
      <c r="A71" s="11"/>
      <c r="B71" s="11"/>
      <c r="C71" s="11"/>
      <c r="D71" s="11"/>
      <c r="E71" s="11"/>
      <c r="F71" s="11"/>
      <c r="G71" s="11"/>
      <c r="H71" s="11"/>
    </row>
    <row r="72">
      <c r="A72" s="11"/>
      <c r="B72" s="11"/>
      <c r="C72" s="11"/>
      <c r="D72" s="11"/>
      <c r="E72" s="11"/>
      <c r="F72" s="11"/>
      <c r="G72" s="11"/>
      <c r="H72" s="11"/>
    </row>
    <row r="73">
      <c r="A73" s="11"/>
      <c r="B73" s="11"/>
      <c r="C73" s="11"/>
      <c r="D73" s="11"/>
      <c r="E73" s="11"/>
      <c r="F73" s="11"/>
      <c r="G73" s="11"/>
      <c r="H73" s="11"/>
    </row>
    <row r="74">
      <c r="A74" s="11"/>
      <c r="B74" s="11"/>
      <c r="C74" s="11"/>
      <c r="D74" s="11"/>
      <c r="E74" s="11"/>
      <c r="F74" s="11"/>
      <c r="G74" s="11"/>
      <c r="H74" s="11"/>
    </row>
    <row r="75">
      <c r="A75" s="11"/>
      <c r="B75" s="11"/>
      <c r="C75" s="11"/>
      <c r="D75" s="11"/>
      <c r="E75" s="11"/>
      <c r="F75" s="11"/>
      <c r="G75" s="11"/>
      <c r="H75" s="11"/>
    </row>
    <row r="76">
      <c r="A76" s="11"/>
      <c r="B76" s="11"/>
      <c r="C76" s="11"/>
      <c r="D76" s="11"/>
      <c r="E76" s="11"/>
      <c r="F76" s="11"/>
      <c r="G76" s="11"/>
      <c r="H76" s="11"/>
    </row>
    <row r="77">
      <c r="A77" s="11"/>
      <c r="B77" s="11"/>
      <c r="C77" s="11"/>
      <c r="D77" s="11"/>
      <c r="E77" s="11"/>
      <c r="F77" s="11"/>
      <c r="G77" s="11"/>
      <c r="H77" s="11"/>
    </row>
    <row r="78">
      <c r="A78" s="11"/>
      <c r="B78" s="11"/>
      <c r="C78" s="11"/>
      <c r="D78" s="11"/>
      <c r="E78" s="11"/>
      <c r="F78" s="11"/>
      <c r="G78" s="11"/>
      <c r="H78" s="11"/>
    </row>
    <row r="79">
      <c r="A79" s="11"/>
      <c r="B79" s="11"/>
      <c r="C79" s="11"/>
      <c r="D79" s="11"/>
      <c r="E79" s="11"/>
      <c r="F79" s="11"/>
      <c r="G79" s="11"/>
      <c r="H79" s="11"/>
    </row>
    <row r="80">
      <c r="A80" s="11"/>
      <c r="B80" s="11"/>
      <c r="C80" s="11"/>
      <c r="D80" s="11"/>
      <c r="E80" s="11"/>
      <c r="F80" s="11"/>
      <c r="G80" s="11"/>
      <c r="H80" s="11"/>
    </row>
    <row r="81">
      <c r="A81" s="11"/>
      <c r="B81" s="11"/>
      <c r="C81" s="11"/>
      <c r="D81" s="11"/>
      <c r="E81" s="11"/>
      <c r="F81" s="11"/>
      <c r="G81" s="11"/>
      <c r="H81" s="11"/>
    </row>
    <row r="82">
      <c r="A82" s="11"/>
      <c r="B82" s="11"/>
      <c r="C82" s="11"/>
      <c r="D82" s="11"/>
      <c r="E82" s="11"/>
      <c r="F82" s="11"/>
      <c r="G82" s="11"/>
      <c r="H82" s="11"/>
    </row>
    <row r="83">
      <c r="A83" s="11"/>
      <c r="B83" s="11"/>
      <c r="C83" s="11"/>
      <c r="D83" s="11"/>
      <c r="E83" s="11"/>
      <c r="F83" s="11"/>
      <c r="G83" s="11"/>
      <c r="H83" s="11"/>
    </row>
    <row r="84">
      <c r="A84" s="11"/>
      <c r="B84" s="11"/>
      <c r="C84" s="11"/>
      <c r="D84" s="11"/>
      <c r="E84" s="11"/>
      <c r="F84" s="11"/>
      <c r="G84" s="11"/>
      <c r="H84" s="11"/>
    </row>
    <row r="85">
      <c r="A85" s="11"/>
      <c r="B85" s="11"/>
      <c r="C85" s="11"/>
      <c r="D85" s="11"/>
      <c r="E85" s="11"/>
      <c r="F85" s="11"/>
      <c r="G85" s="11"/>
      <c r="H85" s="11"/>
    </row>
    <row r="86">
      <c r="A86" s="11"/>
      <c r="B86" s="11"/>
      <c r="C86" s="11"/>
      <c r="D86" s="11"/>
      <c r="E86" s="11"/>
      <c r="F86" s="11"/>
      <c r="G86" s="11"/>
      <c r="H86" s="11"/>
    </row>
    <row r="87">
      <c r="A87" s="11"/>
      <c r="B87" s="11"/>
      <c r="C87" s="11"/>
      <c r="D87" s="11"/>
      <c r="E87" s="11"/>
      <c r="F87" s="11"/>
      <c r="G87" s="11"/>
      <c r="H87" s="11"/>
    </row>
    <row r="88">
      <c r="A88" s="11"/>
      <c r="B88" s="11"/>
      <c r="C88" s="11"/>
      <c r="D88" s="11"/>
      <c r="E88" s="11"/>
      <c r="F88" s="11"/>
      <c r="G88" s="11"/>
      <c r="H88" s="11"/>
    </row>
    <row r="89">
      <c r="A89" s="11"/>
      <c r="B89" s="11"/>
      <c r="C89" s="11"/>
      <c r="D89" s="11"/>
      <c r="E89" s="11"/>
      <c r="F89" s="11"/>
      <c r="G89" s="11"/>
      <c r="H89" s="11"/>
    </row>
    <row r="90">
      <c r="A90" s="11"/>
      <c r="B90" s="11"/>
      <c r="C90" s="11"/>
      <c r="D90" s="11"/>
      <c r="E90" s="11"/>
      <c r="F90" s="11"/>
      <c r="G90" s="11"/>
      <c r="H90" s="11"/>
    </row>
    <row r="91">
      <c r="A91" s="11"/>
      <c r="B91" s="11"/>
      <c r="C91" s="11"/>
      <c r="D91" s="11"/>
      <c r="E91" s="11"/>
      <c r="F91" s="11"/>
      <c r="G91" s="11"/>
      <c r="H91" s="11"/>
    </row>
    <row r="92">
      <c r="A92" s="11"/>
      <c r="B92" s="11"/>
      <c r="C92" s="11"/>
      <c r="D92" s="11"/>
      <c r="E92" s="11"/>
      <c r="F92" s="11"/>
      <c r="G92" s="11"/>
      <c r="H92" s="11"/>
    </row>
    <row r="93">
      <c r="A93" s="11"/>
      <c r="B93" s="11"/>
      <c r="C93" s="11"/>
      <c r="D93" s="11"/>
      <c r="E93" s="11"/>
      <c r="F93" s="11"/>
      <c r="G93" s="11"/>
      <c r="H93" s="11"/>
    </row>
    <row r="94">
      <c r="A94" s="11"/>
      <c r="B94" s="11"/>
      <c r="C94" s="11"/>
      <c r="D94" s="11"/>
      <c r="E94" s="11"/>
      <c r="F94" s="11"/>
      <c r="G94" s="11"/>
      <c r="H94" s="11"/>
    </row>
    <row r="95">
      <c r="A95" s="11"/>
      <c r="B95" s="11"/>
      <c r="C95" s="11"/>
      <c r="D95" s="11"/>
      <c r="E95" s="11"/>
      <c r="F95" s="11"/>
      <c r="G95" s="11"/>
      <c r="H95" s="11"/>
    </row>
    <row r="96">
      <c r="A96" s="11"/>
      <c r="B96" s="11"/>
      <c r="C96" s="11"/>
      <c r="D96" s="11"/>
      <c r="E96" s="11"/>
      <c r="F96" s="11"/>
      <c r="G96" s="11"/>
      <c r="H96" s="11"/>
    </row>
    <row r="97">
      <c r="A97" s="11"/>
      <c r="B97" s="11"/>
      <c r="C97" s="11"/>
      <c r="D97" s="11"/>
      <c r="E97" s="11"/>
      <c r="F97" s="11"/>
      <c r="G97" s="11"/>
      <c r="H97" s="11"/>
    </row>
    <row r="98">
      <c r="A98" s="11"/>
      <c r="B98" s="11"/>
      <c r="C98" s="11"/>
      <c r="D98" s="11"/>
      <c r="E98" s="11"/>
      <c r="F98" s="11"/>
      <c r="G98" s="11"/>
      <c r="H98" s="11"/>
    </row>
    <row r="99">
      <c r="A99" s="11"/>
      <c r="B99" s="11"/>
      <c r="C99" s="11"/>
      <c r="D99" s="11"/>
      <c r="E99" s="11"/>
      <c r="F99" s="11"/>
      <c r="G99" s="11"/>
      <c r="H99" s="11"/>
    </row>
    <row r="100">
      <c r="A100" s="11"/>
      <c r="B100" s="11"/>
      <c r="C100" s="11"/>
      <c r="D100" s="11"/>
      <c r="E100" s="11"/>
      <c r="F100" s="11"/>
      <c r="G100" s="11"/>
      <c r="H100" s="11"/>
    </row>
  </sheetData>
  <mergeCells count="17">
    <mergeCell ref="E11:F15"/>
    <mergeCell ref="G11:H15"/>
    <mergeCell ref="A16:B20"/>
    <mergeCell ref="C16:D20"/>
    <mergeCell ref="E16:F20"/>
    <mergeCell ref="G16:H20"/>
    <mergeCell ref="A21:B25"/>
    <mergeCell ref="C21:D25"/>
    <mergeCell ref="E21:F25"/>
    <mergeCell ref="G21:H25"/>
    <mergeCell ref="A1:H5"/>
    <mergeCell ref="A6:B10"/>
    <mergeCell ref="C6:D10"/>
    <mergeCell ref="E6:F10"/>
    <mergeCell ref="G6:H10"/>
    <mergeCell ref="A11:B15"/>
    <mergeCell ref="C11:D1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6.5"/>
    <col customWidth="1" min="3" max="3" width="7.13"/>
    <col customWidth="1" hidden="1" min="4" max="4" width="7.25"/>
    <col customWidth="1" hidden="1" min="5" max="5" width="5.38"/>
    <col customWidth="1" hidden="1" min="6" max="7" width="6.38"/>
    <col customWidth="1" hidden="1" min="8" max="11" width="5.13"/>
    <col customWidth="1" hidden="1" min="12" max="13" width="5.5"/>
    <col customWidth="1" hidden="1" min="14" max="15" width="5.13"/>
    <col customWidth="1" hidden="1" min="16" max="17" width="6.25"/>
    <col customWidth="1" hidden="1" min="18" max="19" width="5.88"/>
    <col customWidth="1" hidden="1" min="20" max="21" width="6.5"/>
    <col customWidth="1" min="22" max="22" width="5.0"/>
    <col customWidth="1" min="23" max="23" width="6.75"/>
    <col customWidth="1" min="24" max="24" width="5.63"/>
    <col customWidth="1" min="25" max="25" width="8.25"/>
    <col customWidth="1" min="26" max="26" width="4.5"/>
    <col customWidth="1" min="27" max="27" width="6.5"/>
    <col customWidth="1" min="28" max="28" width="6.63"/>
    <col customWidth="1" min="29" max="29" width="5.13"/>
    <col customWidth="1" min="30" max="30" width="6.88"/>
    <col customWidth="1" min="31" max="31" width="5.63"/>
    <col customWidth="1" min="32" max="32" width="6.5"/>
    <col customWidth="1" min="33" max="34" width="7.75"/>
    <col customWidth="1" min="35" max="35" width="9.38"/>
    <col customWidth="1" min="36" max="36" width="5.88"/>
    <col customWidth="1" min="37" max="37" width="6.63"/>
    <col customWidth="1" min="38" max="38" width="6.25"/>
    <col customWidth="1" min="39" max="39" width="5.0"/>
    <col customWidth="1" min="40" max="40" width="10.0"/>
    <col customWidth="1" min="41" max="41" width="10.13"/>
    <col customWidth="1" min="42" max="42" width="11.88"/>
    <col customWidth="1" min="43" max="43" width="11.13"/>
    <col customWidth="1" min="44" max="44" width="12.63"/>
    <col customWidth="1" min="45" max="45" width="9.0"/>
    <col customWidth="1" min="46" max="46" width="7.63"/>
    <col customWidth="1" min="47" max="47" width="8.25"/>
    <col customWidth="1" min="48" max="48" width="5.13"/>
    <col customWidth="1" min="49" max="49" width="7.75"/>
    <col customWidth="1" min="50" max="50" width="8.38"/>
    <col customWidth="1" min="51" max="51" width="6.88"/>
    <col customWidth="1" min="52" max="52" width="8.75"/>
  </cols>
  <sheetData>
    <row r="1">
      <c r="A1" s="1139" t="s">
        <v>12</v>
      </c>
      <c r="B1" s="1139" t="s">
        <v>147</v>
      </c>
      <c r="C1" s="1140" t="s">
        <v>213</v>
      </c>
      <c r="D1" s="1142" t="s">
        <v>139</v>
      </c>
      <c r="E1" s="1142"/>
      <c r="F1" s="1142" t="s">
        <v>140</v>
      </c>
      <c r="G1" s="1142"/>
      <c r="H1" s="1142" t="s">
        <v>227</v>
      </c>
      <c r="I1" s="1142"/>
      <c r="J1" s="1142" t="s">
        <v>228</v>
      </c>
      <c r="K1" s="1142"/>
      <c r="L1" s="1142" t="s">
        <v>141</v>
      </c>
      <c r="M1" s="1142"/>
      <c r="N1" s="1142" t="s">
        <v>142</v>
      </c>
      <c r="O1" s="1142"/>
      <c r="P1" s="1142" t="s">
        <v>143</v>
      </c>
      <c r="Q1" s="1143"/>
      <c r="R1" s="1143" t="s">
        <v>144</v>
      </c>
      <c r="S1" s="1143"/>
      <c r="T1" s="1143" t="s">
        <v>145</v>
      </c>
      <c r="U1" s="1143"/>
      <c r="V1" s="883" t="s">
        <v>17</v>
      </c>
      <c r="W1" s="883" t="s">
        <v>18</v>
      </c>
      <c r="X1" s="883" t="s">
        <v>20</v>
      </c>
      <c r="Y1" s="884" t="s">
        <v>21</v>
      </c>
      <c r="Z1" s="883" t="s">
        <v>22</v>
      </c>
      <c r="AA1" s="883" t="s">
        <v>23</v>
      </c>
      <c r="AB1" s="883" t="s">
        <v>313</v>
      </c>
      <c r="AC1" s="885" t="s">
        <v>60</v>
      </c>
      <c r="AD1" s="883" t="s">
        <v>25</v>
      </c>
      <c r="AE1" s="1144" t="s">
        <v>27</v>
      </c>
      <c r="AF1" s="883" t="s">
        <v>230</v>
      </c>
      <c r="AG1" s="883" t="s">
        <v>314</v>
      </c>
      <c r="AH1" s="883" t="s">
        <v>315</v>
      </c>
      <c r="AI1" s="883" t="s">
        <v>316</v>
      </c>
      <c r="AJ1" s="884" t="s">
        <v>31</v>
      </c>
      <c r="AK1" s="883" t="s">
        <v>32</v>
      </c>
      <c r="AL1" s="883" t="s">
        <v>33</v>
      </c>
      <c r="AM1" s="883" t="s">
        <v>317</v>
      </c>
      <c r="AN1" s="883" t="s">
        <v>318</v>
      </c>
      <c r="AO1" s="883" t="s">
        <v>319</v>
      </c>
      <c r="AP1" s="883" t="s">
        <v>320</v>
      </c>
      <c r="AQ1" s="883" t="s">
        <v>321</v>
      </c>
      <c r="AR1" s="883" t="s">
        <v>322</v>
      </c>
      <c r="AS1" s="883" t="s">
        <v>323</v>
      </c>
      <c r="AT1" s="883" t="s">
        <v>35</v>
      </c>
      <c r="AU1" s="883" t="s">
        <v>231</v>
      </c>
      <c r="AV1" s="884" t="s">
        <v>324</v>
      </c>
      <c r="AW1" s="884" t="s">
        <v>325</v>
      </c>
      <c r="AX1" s="884" t="s">
        <v>326</v>
      </c>
      <c r="AY1" s="884" t="s">
        <v>327</v>
      </c>
      <c r="AZ1" s="884" t="s">
        <v>328</v>
      </c>
    </row>
    <row r="2">
      <c r="A2" s="1145" t="s">
        <v>286</v>
      </c>
      <c r="B2" s="946" t="str">
        <f>IF(C2&lt;'PlayerGrades+'!$Y$44,"F-",IF(C2&lt;'PlayerGrades+'!$Y$43,"F",IF(C2&lt;'PlayerGrades+'!$Y$42,"F+",IF(C2&lt;'PlayerGrades+'!$Y$41,"E-",IF(C2&lt;'PlayerGrades+'!$Y$40,"E",IF(C2&lt;'PlayerGrades+'!$Y$39,"E+",IF(C2&lt;'PlayerGrades+'!$Y$38,"D-",IF(C2&lt;'PlayerGrades+'!$Y$37,"D",IF(C2&lt;'PlayerGrades+'!$Y$36,"D+",IF(C2&lt;'PlayerGrades+'!$Y$35,"C-",IF(C2&lt;'PlayerGrades+'!$Y$34,"C",IF(C2&lt;'PlayerGrades+'!$Y$33,"C+",IF(C2&lt;'PlayerGrades+'!$Y$32,"B-",IF(C2&lt;'PlayerGrades+'!$Y$31,"B",IF(C2&lt;'PlayerGrades+'!$Y$30,"B+",IF(C2&lt;'PlayerGrades+'!$Y$29,"A-",IF(C2&lt;'PlayerGrades+'!$Y$28,"A",IF(C2&lt;'PlayerGrades+'!$Y$27,"A+",IF(C2&lt;'PlayerGrades+'!$Y$26,"S-",IF(C2&lt;'PlayerGrades+'!$Y$25,"S","S+"))))))))))))))))))))</f>
        <v>B</v>
      </c>
      <c r="C2" s="1154">
        <f>('PlayerGrades+'!$Y$47*(VLOOKUP(E2, 'PlayerGrades+'!$X$3:$Y$23, 2, FALSE)))+('PlayerGrades+'!$Y$48*(VLOOKUP(G2, 'PlayerGrades+'!$X$3:$Y$23, 2, FALSE)))+('PlayerGrades+'!$Y$49*(VLOOKUP(I2, 'PlayerGrades+'!$X$3:$Y$23, 2, FALSE)))+('PlayerGrades+'!$Y$50*(VLOOKUP(K2, 'PlayerGrades+'!$X$3:$Y$23, 2, FALSE)))+('PlayerGrades+'!$Y$51*(VLOOKUP(M2, 'PlayerGrades+'!$X$3:$Y$23, 2, FALSE)))+('PlayerGrades+'!$Y$52*(VLOOKUP(O2, 'PlayerGrades+'!$X$3:$Y$23, 2, FALSE)))+('PlayerGrades+'!$Y$53*(VLOOKUP(Q2, 'PlayerGrades+'!$X$3:$Y$23, 2, FALSE)))+('PlayerGrades+'!$Y$54*(VLOOKUP(S2, 'PlayerGrades+'!$X$3:$Y$23, 2, FALSE)))+('PlayerGrades+'!$Y$55*(VLOOKUP(U2, 'PlayerGrades+'!$X$3:$Y$23, 2, FALSE)))</f>
        <v>18.45</v>
      </c>
      <c r="D2" s="961">
        <f t="shared" ref="D2:D516" si="1">X2/((AE2*24*60)/60)</f>
        <v>0</v>
      </c>
      <c r="E2" s="961" t="str">
        <f>IF(D2&lt;'PlayerGrades+'!$AA$21,"F-",IF(D2&lt;'PlayerGrades+'!$AA$20,"F",IF(D2&lt;'PlayerGrades+'!$AA$19,"F+",IF(D2&lt;'PlayerGrades+'!$AA$18,"E-",IF(D2&lt;'PlayerGrades+'!$AA$17,"E",IF(D2&lt;'PlayerGrades+'!$AA$16,"E+",IF(D2&lt;'PlayerGrades+'!$AA$15,"D-",IF(D2&lt;'PlayerGrades+'!$AA$14,"D",IF(D2&lt;'PlayerGrades+'!$AA$13,"D+",IF(D2&lt;'PlayerGrades+'!$AA$12,"C-",IF(D2&lt;'PlayerGrades+'!$AA$11,"C",IF(D2&lt;'PlayerGrades+'!$AA$10,"C+",IF(D2&lt;'PlayerGrades+'!$AA$9,"B-",IF(D2&lt;'PlayerGrades+'!$AA$8,"B",IF(D2&lt;'PlayerGrades+'!$AA$7,"B+",IF(D2&lt;'PlayerGrades+'!$AA$6,"A-",IF(D2&lt;'PlayerGrades+'!$AA$5,"A",IF(D2&lt;'PlayerGrades+'!$AA$4,"A+",IF(D2&lt;'PlayerGrades+'!$AA$3,"S-",IF(D2&lt;'PlayerGrades+'!$AA$2,"S","S+"))))))))))))))))))))</f>
        <v>F-</v>
      </c>
      <c r="F2" s="961">
        <f t="shared" ref="F2:F516" si="2">(Z2/AA2)/((AE2*24*60)/60)</f>
        <v>0.1801801802</v>
      </c>
      <c r="G2" s="961" t="str">
        <f>IF(F2&lt;'PlayerGrades+'!$AB$21,"F-",IF(F2&lt;'PlayerGrades+'!$AB$20,"F",IF(F2&lt;'PlayerGrades+'!$AB$19,"F+",IF(F2&lt;'PlayerGrades+'!$AB$18,"E-",IF(F2&lt;'PlayerGrades+'!$AB$17,"E",IF(F2&lt;'PlayerGrades+'!$AB$16,"E+",IF(F2&lt;'PlayerGrades+'!$AB$15,"D-",IF(F2&lt;'PlayerGrades+'!$AB$14,"D",IF(F2&lt;'PlayerGrades+'!$AB$13,"D+",IF(F2&lt;'PlayerGrades+'!$AB$12,"C-",IF(F2&lt;'PlayerGrades+'!$AB$11,"C",IF(F2&lt;'PlayerGrades+'!$AB$10,"C+",IF(F2&lt;'PlayerGrades+'!$AB$9,"B-",IF(F2&lt;'PlayerGrades+'!$AB$8,"B",IF(F2&lt;'PlayerGrades+'!$AB$7,"B+",IF(F2&lt;'PlayerGrades+'!$AB$6,"A-",IF(F2&lt;'PlayerGrades+'!$AB$5,"A",IF(F2&lt;'PlayerGrades+'!$AB$4,"A+",IF(F2&lt;'PlayerGrades+'!$AB$3,"S-",IF(F2&lt;'PlayerGrades+'!$AB$2,"S","S+"))))))))))))))))))))</f>
        <v>A+</v>
      </c>
      <c r="H2" s="961">
        <f t="shared" ref="H2:H516" si="3">(AU2)/((AE2*24*60)/60)</f>
        <v>0</v>
      </c>
      <c r="I2" s="961" t="str">
        <f>IF(H2&lt;'PlayerGrades+'!$AC$21,"F-",IF(H2&lt;'PlayerGrades+'!$AC$20,"F",IF(H2&lt;'PlayerGrades+'!$AC$19,"F+",IF(H2&lt;'PlayerGrades+'!$AC$18,"E-",IF(H2&lt;'PlayerGrades+'!$AC$17,"E",IF(H2&lt;'PlayerGrades+'!$AC$16,"E+",IF(H2&lt;'PlayerGrades+'!$AC$15,"D-",IF(H2&lt;'PlayerGrades+'!$AC$14,"D",IF(H2&lt;'PlayerGrades+'!$AC$13,"D+",IF(H2&lt;'PlayerGrades+'!$AC$12,"C-",IF(H2&lt;'PlayerGrades+'!$AC$11,"C",IF(H2&lt;'PlayerGrades+'!$AC$10,"C+",IF(H2&lt;'PlayerGrades+'!$AC$9,"B-",IF(H2&lt;'PlayerGrades+'!$AC$8,"B",IF(H2&lt;'PlayerGrades+'!$AC$7,"B+",IF(H2&lt;'PlayerGrades+'!$AC$6,"A-",IF(H2&lt;'PlayerGrades+'!$AC$5,"A",IF(H2&lt;'PlayerGrades+'!$AC$4,"A+",IF(H2&lt;'PlayerGrades+'!$AC$3,"S-",IF(H2&lt;'PlayerGrades+'!$AC$2,"S","S+"))))))))))))))))))))</f>
        <v>F-</v>
      </c>
      <c r="J2" s="961">
        <f t="shared" ref="J2:J516" si="4">(AF2)/((AE2*24*60)/60)</f>
        <v>0.1801801802</v>
      </c>
      <c r="K2" s="961" t="str">
        <f>IF(J2&lt;'PlayerGrades+'!$AD$21,"F-",IF(J2&lt;'PlayerGrades+'!$AD$20,"F",IF(J2&lt;'PlayerGrades+'!$AD$19,"F+",IF(J2&lt;'PlayerGrades+'!$AD$18,"E-",IF(J2&lt;'PlayerGrades+'!$AD$17,"E",IF(J2&lt;'PlayerGrades+'!$AD$16,"E+",IF(J2&lt;'PlayerGrades+'!$AD$15,"D-",IF(J2&lt;'PlayerGrades+'!$AD$14,"D",IF(J2&lt;'PlayerGrades+'!$AD$13,"D+",IF(J2&lt;'PlayerGrades+'!$AD$12,"C-",IF(J2&lt;'PlayerGrades+'!$AD$11,"C",IF(J2&lt;'PlayerGrades+'!$AD$10,"C+",IF(J2&lt;'PlayerGrades+'!$AD$9,"B-",IF(J2&lt;'PlayerGrades+'!$AD$8,"B",IF(J2&lt;'PlayerGrades+'!$AD$7,"B+",IF(J2&lt;'PlayerGrades+'!$AD$6,"A-",IF(J2&lt;'PlayerGrades+'!$AD$5,"A",IF(J2&lt;'PlayerGrades+'!$AD$4,"A+",IF(J2&lt;'PlayerGrades+'!$AD$3,"S-",IF(J2&lt;'PlayerGrades+'!$AD$2,"S","S+"))))))))))))))))))))</f>
        <v>S+</v>
      </c>
      <c r="L2" s="1176">
        <f t="shared" ref="L2:L516" si="5">(AK2)/((AE2*24*60)/60)</f>
        <v>1.081081081</v>
      </c>
      <c r="M2" s="992" t="str">
        <f>IF(L2&lt;'PlayerGrades+'!$AE$21,"F-",IF(L2&lt;'PlayerGrades+'!$AE$20,"F",IF(L2&lt;'PlayerGrades+'!$AE$19,"F+",IF(L2&lt;'PlayerGrades+'!$AE$18,"E-",IF(L2&lt;'PlayerGrades+'!$AE$17,"E",IF(L2&lt;'PlayerGrades+'!$AE$16,"E+",IF(L2&lt;'PlayerGrades+'!$AE$15,"D-",IF(L2&lt;'PlayerGrades+'!$AE$14,"D",IF(L2&lt;'PlayerGrades+'!$AE$13,"D+",IF(L2&lt;'PlayerGrades+'!$AE$12,"C-",IF(L2&lt;'PlayerGrades+'!$AE$11,"C",IF(L2&lt;'PlayerGrades+'!$AE$10,"C+",IF(L2&lt;'PlayerGrades+'!$AE$9,"B-",IF(L2&lt;'PlayerGrades+'!$AE$8,"B",IF(L2&lt;'PlayerGrades+'!$AE$7,"B+",IF(L2&lt;'PlayerGrades+'!$AE$6,"A-",IF(L2&lt;'PlayerGrades+'!$AE$5,"A",IF(L2&lt;'PlayerGrades+'!$AE$4,"A+",IF(L2&lt;'PlayerGrades+'!$AE$3,"S-",IF(L2&lt;'PlayerGrades+'!$AE$2,"S","S+"))))))))))))))))))))</f>
        <v>S+</v>
      </c>
      <c r="N2" s="961">
        <f t="shared" ref="N2:N516" si="6">(AL2)/((AE2*24*60)/60)</f>
        <v>0.1801801802</v>
      </c>
      <c r="O2" s="961" t="str">
        <f>IF(N2&lt;'PlayerGrades+'!$AF$21,"F-",IF(N2&lt;'PlayerGrades+'!$AF$20,"F",IF(N2&lt;'PlayerGrades+'!$AF$19,"F+",IF(N2&lt;'PlayerGrades+'!$AF$18,"E-",IF(N2&lt;'PlayerGrades+'!$AF$17,"E",IF(N2&lt;'PlayerGrades+'!$AF$16,"E+",IF(N2&lt;'PlayerGrades+'!$AF$15,"D-",IF(N2&lt;'PlayerGrades+'!$AF$14,"D",IF(N2&lt;'PlayerGrades+'!$AF$13,"D+",IF(N2&lt;'PlayerGrades+'!$AF$12,"C-",IF(N2&lt;'PlayerGrades+'!$AF$11,"C",IF(N2&lt;'PlayerGrades+'!$AF$10,"C+",IF(N2&lt;'PlayerGrades+'!$AF$9,"B-",IF(N2&lt;'PlayerGrades+'!$AF$8,"B",IF(N2&lt;'PlayerGrades+'!$AF$7,"B+",IF(N2&lt;'PlayerGrades+'!$AF$6,"A-",IF(N2&lt;'PlayerGrades+'!$AF$5,"A",IF(N2&lt;'PlayerGrades+'!$AF$4,"A+",IF(N2&lt;'PlayerGrades+'!$AF$3,"S-",IF(N2&lt;'PlayerGrades+'!$AF$2,"S","S+"))))))))))))))))))))</f>
        <v>A</v>
      </c>
      <c r="P2" s="961">
        <f t="shared" ref="P2:P516" si="7">SUM(AJ2:AS2)/((AE2*24*60)/60)</f>
        <v>1.441441441</v>
      </c>
      <c r="Q2" s="961" t="str">
        <f>IF(P2&lt;'PlayerGrades+'!$AG$21,"F-",IF(P2&lt;'PlayerGrades+'!$AG$20,"F",IF(P2&lt;'PlayerGrades+'!$AG$19,"F+",IF(P2&lt;'PlayerGrades+'!$AG$18,"E-",IF(P2&lt;'PlayerGrades+'!$AG$17,"E",IF(P2&lt;'PlayerGrades+'!$AG$16,"E+",IF(P2&lt;'PlayerGrades+'!$AG$15,"D-",IF(P2&lt;'PlayerGrades+'!$AG$14,"D",IF(P2&lt;'PlayerGrades+'!$AG$13,"D+",IF(P2&lt;'PlayerGrades+'!$AG$12,"C-",IF(P2&lt;'PlayerGrades+'!$AG$11,"C",IF(P2&lt;'PlayerGrades+'!$AG$10,"C+",IF(P2&lt;'PlayerGrades+'!$AG$9,"B-",IF(P2&lt;'PlayerGrades+'!$AG$8,"B",IF(P2&lt;'PlayerGrades+'!$AG$7,"B+",IF(P2&lt;'PlayerGrades+'!$AG$6,"A-",IF(P2&lt;'PlayerGrades+'!$AG$5,"A",IF(P2&lt;'PlayerGrades+'!$AG$4,"A+",IF(P2&lt;'PlayerGrades+'!$AG$3,"S-",IF(P2&lt;'PlayerGrades+'!$AG$2,"S","S+"))))))))))))))))))))</f>
        <v>S</v>
      </c>
      <c r="R2" s="961">
        <f t="shared" ref="R2:R516" si="8">sum(AW2:AZ2)/((AE2*24*60)/60)</f>
        <v>0</v>
      </c>
      <c r="S2" s="961" t="str">
        <f>IF(R2&lt;'PlayerGrades+'!$AH$21,"F-",IF(R2&lt;'PlayerGrades+'!$AH$20,"F",IF(R2&lt;'PlayerGrades+'!$AH$19,"F+",IF(R2&lt;'PlayerGrades+'!$AH$18,"E-",IF(R2&lt;'PlayerGrades+'!$AH$17,"E",IF(R2&lt;'PlayerGrades+'!$AH$16,"E+",IF(R2&lt;'PlayerGrades+'!$AH$15,"D-",IF(R2&lt;'PlayerGrades+'!$AH$14,"D",IF(R2&lt;'PlayerGrades+'!$AH$13,"D+",IF(R2&lt;'PlayerGrades+'!$AH$12,"C-",IF(R2&lt;'PlayerGrades+'!$AH$11,"C",IF(R2&lt;'PlayerGrades+'!$AH$10,"C+",IF(R2&lt;'PlayerGrades+'!$AH$9,"B-",IF(R2&lt;'PlayerGrades+'!$AH$8,"B",IF(R2&lt;'PlayerGrades+'!$AH$7,"B+",IF(R2&lt;'PlayerGrades+'!$AH$6,"A-",IF(R2&lt;'PlayerGrades+'!$AH$5,"A",IF(R2&lt;'PlayerGrades+'!$AH$4,"A+",IF(R2&lt;'PlayerGrades+'!$AH$3,"S-",IF(R2&lt;'PlayerGrades+'!$AH$2,"S","S+"))))))))))))))))))))</f>
        <v>F-</v>
      </c>
      <c r="T2" s="961">
        <f t="shared" ref="T2:T516" si="9">(Z2)+((AE2*24*60)/60)</f>
        <v>25.55</v>
      </c>
      <c r="U2" s="961" t="str">
        <f>IF(T2&lt;'PlayerGrades+'!$AI$21,"F-",IF(T2&lt;'PlayerGrades+'!$AI$20,"F",IF(T2&lt;'PlayerGrades+'!$AI$19,"F+",IF(T2&lt;'PlayerGrades+'!$AI$18,"E-",IF(T2&lt;'PlayerGrades+'!$AI$17,"E",IF(T2&lt;'PlayerGrades+'!$AI$16,"E+",IF(T2&lt;'PlayerGrades+'!$AI$15,"D-",IF(T2&lt;'PlayerGrades+'!$AI$14,"D",IF(T2&lt;'PlayerGrades+'!$AI$13,"D+",IF(T2&lt;'PlayerGrades+'!$AI$12,"C-",IF(T2&lt;'PlayerGrades+'!$AI$11,"C",IF(T2&lt;'PlayerGrades+'!$AI$10,"C+",IF(T2&lt;'PlayerGrades+'!$AI$9,"B-",IF(T2&lt;'PlayerGrades+'!$AI$8,"B",IF(T2&lt;'PlayerGrades+'!$AI$7,"B+",IF(T2&lt;'PlayerGrades+'!$AI$6,"A-",IF(T2&lt;'PlayerGrades+'!$AI$5,"A",IF(T2&lt;'PlayerGrades+'!$AI$4,"A+",IF(T2&lt;'PlayerGrades+'!$AI$3,"S-",IF(T2&lt;'PlayerGrades+'!$AI$2,"S","S+"))))))))))))))))))))</f>
        <v>S+</v>
      </c>
      <c r="V2" s="1195">
        <v>1.0</v>
      </c>
      <c r="W2" s="1195">
        <v>0.0</v>
      </c>
      <c r="X2" s="1195">
        <v>0.0</v>
      </c>
      <c r="Y2" s="1195">
        <v>0.0</v>
      </c>
      <c r="Z2" s="1195">
        <v>20.0</v>
      </c>
      <c r="AA2" s="1195">
        <v>20.0</v>
      </c>
      <c r="AB2" s="1195">
        <f t="shared" ref="AB2:AB33" si="10">SUM(Z2)-(AA2)</f>
        <v>0</v>
      </c>
      <c r="AC2" s="1196">
        <f t="shared" ref="AC2:AC33" si="11">IFERROR(Z2/AA2,"")</f>
        <v>1</v>
      </c>
      <c r="AD2" s="1197">
        <v>0.0</v>
      </c>
      <c r="AE2" s="1198" t="s">
        <v>886</v>
      </c>
      <c r="AF2" s="1197">
        <v>1.0</v>
      </c>
      <c r="AG2" s="1197">
        <v>0.0</v>
      </c>
      <c r="AH2" s="1197">
        <v>0.0</v>
      </c>
      <c r="AI2" s="1197">
        <v>0.0</v>
      </c>
      <c r="AJ2" s="1197">
        <v>0.0</v>
      </c>
      <c r="AK2" s="1197">
        <v>6.0</v>
      </c>
      <c r="AL2" s="1197">
        <v>1.0</v>
      </c>
      <c r="AM2" s="1197">
        <v>1.0</v>
      </c>
      <c r="AN2" s="1197">
        <v>0.0</v>
      </c>
      <c r="AO2" s="1197">
        <v>0.0</v>
      </c>
      <c r="AP2" s="1197">
        <v>0.0</v>
      </c>
      <c r="AQ2" s="1197">
        <v>0.0</v>
      </c>
      <c r="AR2" s="1197">
        <v>0.0</v>
      </c>
      <c r="AS2" s="1197">
        <v>0.0</v>
      </c>
      <c r="AT2" s="1197">
        <v>0.0</v>
      </c>
      <c r="AU2" s="1197">
        <v>0.0</v>
      </c>
      <c r="AV2" s="1197">
        <v>0.0</v>
      </c>
      <c r="AW2" s="1197">
        <v>0.0</v>
      </c>
      <c r="AX2" s="1197">
        <v>0.0</v>
      </c>
      <c r="AY2" s="1197">
        <v>0.0</v>
      </c>
      <c r="AZ2" s="1197">
        <v>0.0</v>
      </c>
    </row>
    <row r="3">
      <c r="A3" s="1145" t="s">
        <v>44</v>
      </c>
      <c r="B3" s="946" t="str">
        <f>IF(C3&lt;'PlayerGrades+'!$Y$44,"F-",IF(C3&lt;'PlayerGrades+'!$Y$43,"F",IF(C3&lt;'PlayerGrades+'!$Y$42,"F+",IF(C3&lt;'PlayerGrades+'!$Y$41,"E-",IF(C3&lt;'PlayerGrades+'!$Y$40,"E",IF(C3&lt;'PlayerGrades+'!$Y$39,"E+",IF(C3&lt;'PlayerGrades+'!$Y$38,"D-",IF(C3&lt;'PlayerGrades+'!$Y$37,"D",IF(C3&lt;'PlayerGrades+'!$Y$36,"D+",IF(C3&lt;'PlayerGrades+'!$Y$35,"C-",IF(C3&lt;'PlayerGrades+'!$Y$34,"C",IF(C3&lt;'PlayerGrades+'!$Y$33,"C+",IF(C3&lt;'PlayerGrades+'!$Y$32,"B-",IF(C3&lt;'PlayerGrades+'!$Y$31,"B",IF(C3&lt;'PlayerGrades+'!$Y$30,"B+",IF(C3&lt;'PlayerGrades+'!$Y$29,"A-",IF(C3&lt;'PlayerGrades+'!$Y$28,"A",IF(C3&lt;'PlayerGrades+'!$Y$27,"A+",IF(C3&lt;'PlayerGrades+'!$Y$26,"S-",IF(C3&lt;'PlayerGrades+'!$Y$25,"S","S+"))))))))))))))))))))</f>
        <v>B-</v>
      </c>
      <c r="C3" s="1154">
        <f>('PlayerGrades+'!$Y$47*(VLOOKUP(E3, 'PlayerGrades+'!$X$3:$Y$23, 2, FALSE)))+('PlayerGrades+'!$Y$48*(VLOOKUP(G3, 'PlayerGrades+'!$X$3:$Y$23, 2, FALSE)))+('PlayerGrades+'!$Y$49*(VLOOKUP(I3, 'PlayerGrades+'!$X$3:$Y$23, 2, FALSE)))+('PlayerGrades+'!$Y$50*(VLOOKUP(K3, 'PlayerGrades+'!$X$3:$Y$23, 2, FALSE)))+('PlayerGrades+'!$Y$51*(VLOOKUP(M3, 'PlayerGrades+'!$X$3:$Y$23, 2, FALSE)))+('PlayerGrades+'!$Y$52*(VLOOKUP(O3, 'PlayerGrades+'!$X$3:$Y$23, 2, FALSE)))+('PlayerGrades+'!$Y$53*(VLOOKUP(Q3, 'PlayerGrades+'!$X$3:$Y$23, 2, FALSE)))+('PlayerGrades+'!$Y$54*(VLOOKUP(S3, 'PlayerGrades+'!$X$3:$Y$23, 2, FALSE)))+('PlayerGrades+'!$Y$55*(VLOOKUP(U3, 'PlayerGrades+'!$X$3:$Y$23, 2, FALSE)))</f>
        <v>17.7</v>
      </c>
      <c r="D3" s="961">
        <f t="shared" si="1"/>
        <v>0</v>
      </c>
      <c r="E3" s="961" t="str">
        <f>IF(D3&lt;'PlayerGrades+'!$AA$21,"F-",IF(D3&lt;'PlayerGrades+'!$AA$20,"F",IF(D3&lt;'PlayerGrades+'!$AA$19,"F+",IF(D3&lt;'PlayerGrades+'!$AA$18,"E-",IF(D3&lt;'PlayerGrades+'!$AA$17,"E",IF(D3&lt;'PlayerGrades+'!$AA$16,"E+",IF(D3&lt;'PlayerGrades+'!$AA$15,"D-",IF(D3&lt;'PlayerGrades+'!$AA$14,"D",IF(D3&lt;'PlayerGrades+'!$AA$13,"D+",IF(D3&lt;'PlayerGrades+'!$AA$12,"C-",IF(D3&lt;'PlayerGrades+'!$AA$11,"C",IF(D3&lt;'PlayerGrades+'!$AA$10,"C+",IF(D3&lt;'PlayerGrades+'!$AA$9,"B-",IF(D3&lt;'PlayerGrades+'!$AA$8,"B",IF(D3&lt;'PlayerGrades+'!$AA$7,"B+",IF(D3&lt;'PlayerGrades+'!$AA$6,"A-",IF(D3&lt;'PlayerGrades+'!$AA$5,"A",IF(D3&lt;'PlayerGrades+'!$AA$4,"A+",IF(D3&lt;'PlayerGrades+'!$AA$3,"S-",IF(D3&lt;'PlayerGrades+'!$AA$2,"S","S+"))))))))))))))))))))</f>
        <v>F-</v>
      </c>
      <c r="F3" s="961">
        <f t="shared" si="2"/>
        <v>0.3423423423</v>
      </c>
      <c r="G3" s="961" t="str">
        <f>IF(F3&lt;'PlayerGrades+'!$AB$21,"F-",IF(F3&lt;'PlayerGrades+'!$AB$20,"F",IF(F3&lt;'PlayerGrades+'!$AB$19,"F+",IF(F3&lt;'PlayerGrades+'!$AB$18,"E-",IF(F3&lt;'PlayerGrades+'!$AB$17,"E",IF(F3&lt;'PlayerGrades+'!$AB$16,"E+",IF(F3&lt;'PlayerGrades+'!$AB$15,"D-",IF(F3&lt;'PlayerGrades+'!$AB$14,"D",IF(F3&lt;'PlayerGrades+'!$AB$13,"D+",IF(F3&lt;'PlayerGrades+'!$AB$12,"C-",IF(F3&lt;'PlayerGrades+'!$AB$11,"C",IF(F3&lt;'PlayerGrades+'!$AB$10,"C+",IF(F3&lt;'PlayerGrades+'!$AB$9,"B-",IF(F3&lt;'PlayerGrades+'!$AB$8,"B",IF(F3&lt;'PlayerGrades+'!$AB$7,"B+",IF(F3&lt;'PlayerGrades+'!$AB$6,"A-",IF(F3&lt;'PlayerGrades+'!$AB$5,"A",IF(F3&lt;'PlayerGrades+'!$AB$4,"A+",IF(F3&lt;'PlayerGrades+'!$AB$3,"S-",IF(F3&lt;'PlayerGrades+'!$AB$2,"S","S+"))))))))))))))))))))</f>
        <v>A+</v>
      </c>
      <c r="H3" s="961">
        <f t="shared" si="3"/>
        <v>0</v>
      </c>
      <c r="I3" s="961" t="str">
        <f>IF(H3&lt;'PlayerGrades+'!$AC$21,"F-",IF(H3&lt;'PlayerGrades+'!$AC$20,"F",IF(H3&lt;'PlayerGrades+'!$AC$19,"F+",IF(H3&lt;'PlayerGrades+'!$AC$18,"E-",IF(H3&lt;'PlayerGrades+'!$AC$17,"E",IF(H3&lt;'PlayerGrades+'!$AC$16,"E+",IF(H3&lt;'PlayerGrades+'!$AC$15,"D-",IF(H3&lt;'PlayerGrades+'!$AC$14,"D",IF(H3&lt;'PlayerGrades+'!$AC$13,"D+",IF(H3&lt;'PlayerGrades+'!$AC$12,"C-",IF(H3&lt;'PlayerGrades+'!$AC$11,"C",IF(H3&lt;'PlayerGrades+'!$AC$10,"C+",IF(H3&lt;'PlayerGrades+'!$AC$9,"B-",IF(H3&lt;'PlayerGrades+'!$AC$8,"B",IF(H3&lt;'PlayerGrades+'!$AC$7,"B+",IF(H3&lt;'PlayerGrades+'!$AC$6,"A-",IF(H3&lt;'PlayerGrades+'!$AC$5,"A",IF(H3&lt;'PlayerGrades+'!$AC$4,"A+",IF(H3&lt;'PlayerGrades+'!$AC$3,"S-",IF(H3&lt;'PlayerGrades+'!$AC$2,"S","S+"))))))))))))))))))))</f>
        <v>F-</v>
      </c>
      <c r="J3" s="961">
        <f t="shared" si="4"/>
        <v>0.1801801802</v>
      </c>
      <c r="K3" s="961" t="str">
        <f>IF(J3&lt;'PlayerGrades+'!$AD$21,"F-",IF(J3&lt;'PlayerGrades+'!$AD$20,"F",IF(J3&lt;'PlayerGrades+'!$AD$19,"F+",IF(J3&lt;'PlayerGrades+'!$AD$18,"E-",IF(J3&lt;'PlayerGrades+'!$AD$17,"E",IF(J3&lt;'PlayerGrades+'!$AD$16,"E+",IF(J3&lt;'PlayerGrades+'!$AD$15,"D-",IF(J3&lt;'PlayerGrades+'!$AD$14,"D",IF(J3&lt;'PlayerGrades+'!$AD$13,"D+",IF(J3&lt;'PlayerGrades+'!$AD$12,"C-",IF(J3&lt;'PlayerGrades+'!$AD$11,"C",IF(J3&lt;'PlayerGrades+'!$AD$10,"C+",IF(J3&lt;'PlayerGrades+'!$AD$9,"B-",IF(J3&lt;'PlayerGrades+'!$AD$8,"B",IF(J3&lt;'PlayerGrades+'!$AD$7,"B+",IF(J3&lt;'PlayerGrades+'!$AD$6,"A-",IF(J3&lt;'PlayerGrades+'!$AD$5,"A",IF(J3&lt;'PlayerGrades+'!$AD$4,"A+",IF(J3&lt;'PlayerGrades+'!$AD$3,"S-",IF(J3&lt;'PlayerGrades+'!$AD$2,"S","S+"))))))))))))))))))))</f>
        <v>S+</v>
      </c>
      <c r="L3" s="1176">
        <f t="shared" si="5"/>
        <v>0.5405405405</v>
      </c>
      <c r="M3" s="992" t="str">
        <f>IF(L3&lt;'PlayerGrades+'!$AE$21,"F-",IF(L3&lt;'PlayerGrades+'!$AE$20,"F",IF(L3&lt;'PlayerGrades+'!$AE$19,"F+",IF(L3&lt;'PlayerGrades+'!$AE$18,"E-",IF(L3&lt;'PlayerGrades+'!$AE$17,"E",IF(L3&lt;'PlayerGrades+'!$AE$16,"E+",IF(L3&lt;'PlayerGrades+'!$AE$15,"D-",IF(L3&lt;'PlayerGrades+'!$AE$14,"D",IF(L3&lt;'PlayerGrades+'!$AE$13,"D+",IF(L3&lt;'PlayerGrades+'!$AE$12,"C-",IF(L3&lt;'PlayerGrades+'!$AE$11,"C",IF(L3&lt;'PlayerGrades+'!$AE$10,"C+",IF(L3&lt;'PlayerGrades+'!$AE$9,"B-",IF(L3&lt;'PlayerGrades+'!$AE$8,"B",IF(L3&lt;'PlayerGrades+'!$AE$7,"B+",IF(L3&lt;'PlayerGrades+'!$AE$6,"A-",IF(L3&lt;'PlayerGrades+'!$AE$5,"A",IF(L3&lt;'PlayerGrades+'!$AE$4,"A+",IF(L3&lt;'PlayerGrades+'!$AE$3,"S-",IF(L3&lt;'PlayerGrades+'!$AE$2,"S","S+"))))))))))))))))))))</f>
        <v>A-</v>
      </c>
      <c r="N3" s="961">
        <f t="shared" si="6"/>
        <v>0.1801801802</v>
      </c>
      <c r="O3" s="961" t="str">
        <f>IF(N3&lt;'PlayerGrades+'!$AF$21,"F-",IF(N3&lt;'PlayerGrades+'!$AF$20,"F",IF(N3&lt;'PlayerGrades+'!$AF$19,"F+",IF(N3&lt;'PlayerGrades+'!$AF$18,"E-",IF(N3&lt;'PlayerGrades+'!$AF$17,"E",IF(N3&lt;'PlayerGrades+'!$AF$16,"E+",IF(N3&lt;'PlayerGrades+'!$AF$15,"D-",IF(N3&lt;'PlayerGrades+'!$AF$14,"D",IF(N3&lt;'PlayerGrades+'!$AF$13,"D+",IF(N3&lt;'PlayerGrades+'!$AF$12,"C-",IF(N3&lt;'PlayerGrades+'!$AF$11,"C",IF(N3&lt;'PlayerGrades+'!$AF$10,"C+",IF(N3&lt;'PlayerGrades+'!$AF$9,"B-",IF(N3&lt;'PlayerGrades+'!$AF$8,"B",IF(N3&lt;'PlayerGrades+'!$AF$7,"B+",IF(N3&lt;'PlayerGrades+'!$AF$6,"A-",IF(N3&lt;'PlayerGrades+'!$AF$5,"A",IF(N3&lt;'PlayerGrades+'!$AF$4,"A+",IF(N3&lt;'PlayerGrades+'!$AF$3,"S-",IF(N3&lt;'PlayerGrades+'!$AF$2,"S","S+"))))))))))))))))))))</f>
        <v>A</v>
      </c>
      <c r="P3" s="961">
        <f t="shared" si="7"/>
        <v>0.9009009009</v>
      </c>
      <c r="Q3" s="961" t="str">
        <f>IF(P3&lt;'PlayerGrades+'!$AG$21,"F-",IF(P3&lt;'PlayerGrades+'!$AG$20,"F",IF(P3&lt;'PlayerGrades+'!$AG$19,"F+",IF(P3&lt;'PlayerGrades+'!$AG$18,"E-",IF(P3&lt;'PlayerGrades+'!$AG$17,"E",IF(P3&lt;'PlayerGrades+'!$AG$16,"E+",IF(P3&lt;'PlayerGrades+'!$AG$15,"D-",IF(P3&lt;'PlayerGrades+'!$AG$14,"D",IF(P3&lt;'PlayerGrades+'!$AG$13,"D+",IF(P3&lt;'PlayerGrades+'!$AG$12,"C-",IF(P3&lt;'PlayerGrades+'!$AG$11,"C",IF(P3&lt;'PlayerGrades+'!$AG$10,"C+",IF(P3&lt;'PlayerGrades+'!$AG$9,"B-",IF(P3&lt;'PlayerGrades+'!$AG$8,"B",IF(P3&lt;'PlayerGrades+'!$AG$7,"B+",IF(P3&lt;'PlayerGrades+'!$AG$6,"A-",IF(P3&lt;'PlayerGrades+'!$AG$5,"A",IF(P3&lt;'PlayerGrades+'!$AG$4,"A+",IF(P3&lt;'PlayerGrades+'!$AG$3,"S-",IF(P3&lt;'PlayerGrades+'!$AG$2,"S","S+"))))))))))))))))))))</f>
        <v>A+</v>
      </c>
      <c r="R3" s="961">
        <f t="shared" si="8"/>
        <v>0</v>
      </c>
      <c r="S3" s="961" t="str">
        <f>IF(R3&lt;'PlayerGrades+'!$AH$21,"F-",IF(R3&lt;'PlayerGrades+'!$AH$20,"F",IF(R3&lt;'PlayerGrades+'!$AH$19,"F+",IF(R3&lt;'PlayerGrades+'!$AH$18,"E-",IF(R3&lt;'PlayerGrades+'!$AH$17,"E",IF(R3&lt;'PlayerGrades+'!$AH$16,"E+",IF(R3&lt;'PlayerGrades+'!$AH$15,"D-",IF(R3&lt;'PlayerGrades+'!$AH$14,"D",IF(R3&lt;'PlayerGrades+'!$AH$13,"D+",IF(R3&lt;'PlayerGrades+'!$AH$12,"C-",IF(R3&lt;'PlayerGrades+'!$AH$11,"C",IF(R3&lt;'PlayerGrades+'!$AH$10,"C+",IF(R3&lt;'PlayerGrades+'!$AH$9,"B-",IF(R3&lt;'PlayerGrades+'!$AH$8,"B",IF(R3&lt;'PlayerGrades+'!$AH$7,"B+",IF(R3&lt;'PlayerGrades+'!$AH$6,"A-",IF(R3&lt;'PlayerGrades+'!$AH$5,"A",IF(R3&lt;'PlayerGrades+'!$AH$4,"A+",IF(R3&lt;'PlayerGrades+'!$AH$3,"S-",IF(R3&lt;'PlayerGrades+'!$AH$2,"S","S+"))))))))))))))))))))</f>
        <v>F-</v>
      </c>
      <c r="T3" s="961">
        <f t="shared" si="9"/>
        <v>24.55</v>
      </c>
      <c r="U3" s="961" t="str">
        <f>IF(T3&lt;'PlayerGrades+'!$AI$21,"F-",IF(T3&lt;'PlayerGrades+'!$AI$20,"F",IF(T3&lt;'PlayerGrades+'!$AI$19,"F+",IF(T3&lt;'PlayerGrades+'!$AI$18,"E-",IF(T3&lt;'PlayerGrades+'!$AI$17,"E",IF(T3&lt;'PlayerGrades+'!$AI$16,"E+",IF(T3&lt;'PlayerGrades+'!$AI$15,"D-",IF(T3&lt;'PlayerGrades+'!$AI$14,"D",IF(T3&lt;'PlayerGrades+'!$AI$13,"D+",IF(T3&lt;'PlayerGrades+'!$AI$12,"C-",IF(T3&lt;'PlayerGrades+'!$AI$11,"C",IF(T3&lt;'PlayerGrades+'!$AI$10,"C+",IF(T3&lt;'PlayerGrades+'!$AI$9,"B-",IF(T3&lt;'PlayerGrades+'!$AI$8,"B",IF(T3&lt;'PlayerGrades+'!$AI$7,"B+",IF(T3&lt;'PlayerGrades+'!$AI$6,"A-",IF(T3&lt;'PlayerGrades+'!$AI$5,"A",IF(T3&lt;'PlayerGrades+'!$AI$4,"A+",IF(T3&lt;'PlayerGrades+'!$AI$3,"S-",IF(T3&lt;'PlayerGrades+'!$AI$2,"S","S+"))))))))))))))))))))</f>
        <v>S+</v>
      </c>
      <c r="V3" s="1195">
        <v>1.0</v>
      </c>
      <c r="W3" s="1195">
        <v>0.0</v>
      </c>
      <c r="X3" s="1195">
        <v>0.0</v>
      </c>
      <c r="Y3" s="1195">
        <v>6.0</v>
      </c>
      <c r="Z3" s="1195">
        <v>19.0</v>
      </c>
      <c r="AA3" s="1195">
        <v>10.0</v>
      </c>
      <c r="AB3" s="1195">
        <f t="shared" si="10"/>
        <v>9</v>
      </c>
      <c r="AC3" s="1215">
        <f t="shared" si="11"/>
        <v>1.9</v>
      </c>
      <c r="AD3" s="1216">
        <v>0.0</v>
      </c>
      <c r="AE3" s="1218" t="s">
        <v>886</v>
      </c>
      <c r="AF3" s="1216">
        <v>1.0</v>
      </c>
      <c r="AG3" s="1216">
        <v>0.0</v>
      </c>
      <c r="AH3" s="1216">
        <v>0.0</v>
      </c>
      <c r="AI3" s="1216">
        <v>0.0</v>
      </c>
      <c r="AJ3" s="1216">
        <v>1.0</v>
      </c>
      <c r="AK3" s="1216">
        <v>3.0</v>
      </c>
      <c r="AL3" s="1216">
        <v>1.0</v>
      </c>
      <c r="AM3" s="1216">
        <v>0.0</v>
      </c>
      <c r="AN3" s="1216">
        <v>0.0</v>
      </c>
      <c r="AO3" s="1216">
        <v>0.0</v>
      </c>
      <c r="AP3" s="1216">
        <v>0.0</v>
      </c>
      <c r="AQ3" s="1216">
        <v>0.0</v>
      </c>
      <c r="AR3" s="1216">
        <v>0.0</v>
      </c>
      <c r="AS3" s="1216">
        <v>0.0</v>
      </c>
      <c r="AT3" s="1216">
        <v>0.0</v>
      </c>
      <c r="AU3" s="1216">
        <v>0.0</v>
      </c>
      <c r="AV3" s="1216">
        <v>0.0</v>
      </c>
      <c r="AW3" s="1216">
        <v>0.0</v>
      </c>
      <c r="AX3" s="1216">
        <v>0.0</v>
      </c>
      <c r="AY3" s="1216">
        <v>0.0</v>
      </c>
      <c r="AZ3" s="1216">
        <v>0.0</v>
      </c>
    </row>
    <row r="4">
      <c r="A4" s="1145" t="s">
        <v>66</v>
      </c>
      <c r="B4" s="946" t="str">
        <f>IF(C4&lt;'PlayerGrades+'!$Y$44,"F-",IF(C4&lt;'PlayerGrades+'!$Y$43,"F",IF(C4&lt;'PlayerGrades+'!$Y$42,"F+",IF(C4&lt;'PlayerGrades+'!$Y$41,"E-",IF(C4&lt;'PlayerGrades+'!$Y$40,"E",IF(C4&lt;'PlayerGrades+'!$Y$39,"E+",IF(C4&lt;'PlayerGrades+'!$Y$38,"D-",IF(C4&lt;'PlayerGrades+'!$Y$37,"D",IF(C4&lt;'PlayerGrades+'!$Y$36,"D+",IF(C4&lt;'PlayerGrades+'!$Y$35,"C-",IF(C4&lt;'PlayerGrades+'!$Y$34,"C",IF(C4&lt;'PlayerGrades+'!$Y$33,"C+",IF(C4&lt;'PlayerGrades+'!$Y$32,"B-",IF(C4&lt;'PlayerGrades+'!$Y$31,"B",IF(C4&lt;'PlayerGrades+'!$Y$30,"B+",IF(C4&lt;'PlayerGrades+'!$Y$29,"A-",IF(C4&lt;'PlayerGrades+'!$Y$28,"A",IF(C4&lt;'PlayerGrades+'!$Y$27,"A+",IF(C4&lt;'PlayerGrades+'!$Y$26,"S-",IF(C4&lt;'PlayerGrades+'!$Y$25,"S","S+"))))))))))))))))))))</f>
        <v>D</v>
      </c>
      <c r="C4" s="1154">
        <f>('PlayerGrades+'!$Y$47*(VLOOKUP(E4, 'PlayerGrades+'!$X$3:$Y$23, 2, FALSE)))+('PlayerGrades+'!$Y$48*(VLOOKUP(G4, 'PlayerGrades+'!$X$3:$Y$23, 2, FALSE)))+('PlayerGrades+'!$Y$49*(VLOOKUP(I4, 'PlayerGrades+'!$X$3:$Y$23, 2, FALSE)))+('PlayerGrades+'!$Y$50*(VLOOKUP(K4, 'PlayerGrades+'!$X$3:$Y$23, 2, FALSE)))+('PlayerGrades+'!$Y$51*(VLOOKUP(M4, 'PlayerGrades+'!$X$3:$Y$23, 2, FALSE)))+('PlayerGrades+'!$Y$52*(VLOOKUP(O4, 'PlayerGrades+'!$X$3:$Y$23, 2, FALSE)))+('PlayerGrades+'!$Y$53*(VLOOKUP(Q4, 'PlayerGrades+'!$X$3:$Y$23, 2, FALSE)))+('PlayerGrades+'!$Y$54*(VLOOKUP(S4, 'PlayerGrades+'!$X$3:$Y$23, 2, FALSE)))+('PlayerGrades+'!$Y$55*(VLOOKUP(U4, 'PlayerGrades+'!$X$3:$Y$23, 2, FALSE)))</f>
        <v>13.6</v>
      </c>
      <c r="D4" s="961">
        <f t="shared" si="1"/>
        <v>0</v>
      </c>
      <c r="E4" s="961" t="str">
        <f>IF(D4&lt;'PlayerGrades+'!$AA$21,"F-",IF(D4&lt;'PlayerGrades+'!$AA$20,"F",IF(D4&lt;'PlayerGrades+'!$AA$19,"F+",IF(D4&lt;'PlayerGrades+'!$AA$18,"E-",IF(D4&lt;'PlayerGrades+'!$AA$17,"E",IF(D4&lt;'PlayerGrades+'!$AA$16,"E+",IF(D4&lt;'PlayerGrades+'!$AA$15,"D-",IF(D4&lt;'PlayerGrades+'!$AA$14,"D",IF(D4&lt;'PlayerGrades+'!$AA$13,"D+",IF(D4&lt;'PlayerGrades+'!$AA$12,"C-",IF(D4&lt;'PlayerGrades+'!$AA$11,"C",IF(D4&lt;'PlayerGrades+'!$AA$10,"C+",IF(D4&lt;'PlayerGrades+'!$AA$9,"B-",IF(D4&lt;'PlayerGrades+'!$AA$8,"B",IF(D4&lt;'PlayerGrades+'!$AA$7,"B+",IF(D4&lt;'PlayerGrades+'!$AA$6,"A-",IF(D4&lt;'PlayerGrades+'!$AA$5,"A",IF(D4&lt;'PlayerGrades+'!$AA$4,"A+",IF(D4&lt;'PlayerGrades+'!$AA$3,"S-",IF(D4&lt;'PlayerGrades+'!$AA$2,"S","S+"))))))))))))))))))))</f>
        <v>F-</v>
      </c>
      <c r="F4" s="961">
        <f t="shared" si="2"/>
        <v>0.1483836778</v>
      </c>
      <c r="G4" s="961" t="str">
        <f>IF(F4&lt;'PlayerGrades+'!$AB$21,"F-",IF(F4&lt;'PlayerGrades+'!$AB$20,"F",IF(F4&lt;'PlayerGrades+'!$AB$19,"F+",IF(F4&lt;'PlayerGrades+'!$AB$18,"E-",IF(F4&lt;'PlayerGrades+'!$AB$17,"E",IF(F4&lt;'PlayerGrades+'!$AB$16,"E+",IF(F4&lt;'PlayerGrades+'!$AB$15,"D-",IF(F4&lt;'PlayerGrades+'!$AB$14,"D",IF(F4&lt;'PlayerGrades+'!$AB$13,"D+",IF(F4&lt;'PlayerGrades+'!$AB$12,"C-",IF(F4&lt;'PlayerGrades+'!$AB$11,"C",IF(F4&lt;'PlayerGrades+'!$AB$10,"C+",IF(F4&lt;'PlayerGrades+'!$AB$9,"B-",IF(F4&lt;'PlayerGrades+'!$AB$8,"B",IF(F4&lt;'PlayerGrades+'!$AB$7,"B+",IF(F4&lt;'PlayerGrades+'!$AB$6,"A-",IF(F4&lt;'PlayerGrades+'!$AB$5,"A",IF(F4&lt;'PlayerGrades+'!$AB$4,"A+",IF(F4&lt;'PlayerGrades+'!$AB$3,"S-",IF(F4&lt;'PlayerGrades+'!$AB$2,"S","S+"))))))))))))))))))))</f>
        <v>A+</v>
      </c>
      <c r="H4" s="961">
        <f t="shared" si="3"/>
        <v>0</v>
      </c>
      <c r="I4" s="961" t="str">
        <f>IF(H4&lt;'PlayerGrades+'!$AC$21,"F-",IF(H4&lt;'PlayerGrades+'!$AC$20,"F",IF(H4&lt;'PlayerGrades+'!$AC$19,"F+",IF(H4&lt;'PlayerGrades+'!$AC$18,"E-",IF(H4&lt;'PlayerGrades+'!$AC$17,"E",IF(H4&lt;'PlayerGrades+'!$AC$16,"E+",IF(H4&lt;'PlayerGrades+'!$AC$15,"D-",IF(H4&lt;'PlayerGrades+'!$AC$14,"D",IF(H4&lt;'PlayerGrades+'!$AC$13,"D+",IF(H4&lt;'PlayerGrades+'!$AC$12,"C-",IF(H4&lt;'PlayerGrades+'!$AC$11,"C",IF(H4&lt;'PlayerGrades+'!$AC$10,"C+",IF(H4&lt;'PlayerGrades+'!$AC$9,"B-",IF(H4&lt;'PlayerGrades+'!$AC$8,"B",IF(H4&lt;'PlayerGrades+'!$AC$7,"B+",IF(H4&lt;'PlayerGrades+'!$AC$6,"A-",IF(H4&lt;'PlayerGrades+'!$AC$5,"A",IF(H4&lt;'PlayerGrades+'!$AC$4,"A+",IF(H4&lt;'PlayerGrades+'!$AC$3,"S-",IF(H4&lt;'PlayerGrades+'!$AC$2,"S","S+"))))))))))))))))))))</f>
        <v>F-</v>
      </c>
      <c r="J4" s="961">
        <f t="shared" si="4"/>
        <v>0</v>
      </c>
      <c r="K4" s="961" t="str">
        <f>IF(J4&lt;'PlayerGrades+'!$AD$21,"F-",IF(J4&lt;'PlayerGrades+'!$AD$20,"F",IF(J4&lt;'PlayerGrades+'!$AD$19,"F+",IF(J4&lt;'PlayerGrades+'!$AD$18,"E-",IF(J4&lt;'PlayerGrades+'!$AD$17,"E",IF(J4&lt;'PlayerGrades+'!$AD$16,"E+",IF(J4&lt;'PlayerGrades+'!$AD$15,"D-",IF(J4&lt;'PlayerGrades+'!$AD$14,"D",IF(J4&lt;'PlayerGrades+'!$AD$13,"D+",IF(J4&lt;'PlayerGrades+'!$AD$12,"C-",IF(J4&lt;'PlayerGrades+'!$AD$11,"C",IF(J4&lt;'PlayerGrades+'!$AD$10,"C+",IF(J4&lt;'PlayerGrades+'!$AD$9,"B-",IF(J4&lt;'PlayerGrades+'!$AD$8,"B",IF(J4&lt;'PlayerGrades+'!$AD$7,"B+",IF(J4&lt;'PlayerGrades+'!$AD$6,"A-",IF(J4&lt;'PlayerGrades+'!$AD$5,"A",IF(J4&lt;'PlayerGrades+'!$AD$4,"A+",IF(J4&lt;'PlayerGrades+'!$AD$3,"S-",IF(J4&lt;'PlayerGrades+'!$AD$2,"S","S+"))))))))))))))))))))</f>
        <v>F-</v>
      </c>
      <c r="L4" s="1176">
        <f t="shared" si="5"/>
        <v>0.5405405405</v>
      </c>
      <c r="M4" s="992" t="str">
        <f>IF(L4&lt;'PlayerGrades+'!$AE$21,"F-",IF(L4&lt;'PlayerGrades+'!$AE$20,"F",IF(L4&lt;'PlayerGrades+'!$AE$19,"F+",IF(L4&lt;'PlayerGrades+'!$AE$18,"E-",IF(L4&lt;'PlayerGrades+'!$AE$17,"E",IF(L4&lt;'PlayerGrades+'!$AE$16,"E+",IF(L4&lt;'PlayerGrades+'!$AE$15,"D-",IF(L4&lt;'PlayerGrades+'!$AE$14,"D",IF(L4&lt;'PlayerGrades+'!$AE$13,"D+",IF(L4&lt;'PlayerGrades+'!$AE$12,"C-",IF(L4&lt;'PlayerGrades+'!$AE$11,"C",IF(L4&lt;'PlayerGrades+'!$AE$10,"C+",IF(L4&lt;'PlayerGrades+'!$AE$9,"B-",IF(L4&lt;'PlayerGrades+'!$AE$8,"B",IF(L4&lt;'PlayerGrades+'!$AE$7,"B+",IF(L4&lt;'PlayerGrades+'!$AE$6,"A-",IF(L4&lt;'PlayerGrades+'!$AE$5,"A",IF(L4&lt;'PlayerGrades+'!$AE$4,"A+",IF(L4&lt;'PlayerGrades+'!$AE$3,"S-",IF(L4&lt;'PlayerGrades+'!$AE$2,"S","S+"))))))))))))))))))))</f>
        <v>A-</v>
      </c>
      <c r="N4" s="961">
        <f t="shared" si="6"/>
        <v>0</v>
      </c>
      <c r="O4" s="961" t="str">
        <f>IF(N4&lt;'PlayerGrades+'!$AF$21,"F-",IF(N4&lt;'PlayerGrades+'!$AF$20,"F",IF(N4&lt;'PlayerGrades+'!$AF$19,"F+",IF(N4&lt;'PlayerGrades+'!$AF$18,"E-",IF(N4&lt;'PlayerGrades+'!$AF$17,"E",IF(N4&lt;'PlayerGrades+'!$AF$16,"E+",IF(N4&lt;'PlayerGrades+'!$AF$15,"D-",IF(N4&lt;'PlayerGrades+'!$AF$14,"D",IF(N4&lt;'PlayerGrades+'!$AF$13,"D+",IF(N4&lt;'PlayerGrades+'!$AF$12,"C-",IF(N4&lt;'PlayerGrades+'!$AF$11,"C",IF(N4&lt;'PlayerGrades+'!$AF$10,"C+",IF(N4&lt;'PlayerGrades+'!$AF$9,"B-",IF(N4&lt;'PlayerGrades+'!$AF$8,"B",IF(N4&lt;'PlayerGrades+'!$AF$7,"B+",IF(N4&lt;'PlayerGrades+'!$AF$6,"A-",IF(N4&lt;'PlayerGrades+'!$AF$5,"A",IF(N4&lt;'PlayerGrades+'!$AF$4,"A+",IF(N4&lt;'PlayerGrades+'!$AF$3,"S-",IF(N4&lt;'PlayerGrades+'!$AF$2,"S","S+"))))))))))))))))))))</f>
        <v>F-</v>
      </c>
      <c r="P4" s="961">
        <f t="shared" si="7"/>
        <v>0.5405405405</v>
      </c>
      <c r="Q4" s="961" t="str">
        <f>IF(P4&lt;'PlayerGrades+'!$AG$21,"F-",IF(P4&lt;'PlayerGrades+'!$AG$20,"F",IF(P4&lt;'PlayerGrades+'!$AG$19,"F+",IF(P4&lt;'PlayerGrades+'!$AG$18,"E-",IF(P4&lt;'PlayerGrades+'!$AG$17,"E",IF(P4&lt;'PlayerGrades+'!$AG$16,"E+",IF(P4&lt;'PlayerGrades+'!$AG$15,"D-",IF(P4&lt;'PlayerGrades+'!$AG$14,"D",IF(P4&lt;'PlayerGrades+'!$AG$13,"D+",IF(P4&lt;'PlayerGrades+'!$AG$12,"C-",IF(P4&lt;'PlayerGrades+'!$AG$11,"C",IF(P4&lt;'PlayerGrades+'!$AG$10,"C+",IF(P4&lt;'PlayerGrades+'!$AG$9,"B-",IF(P4&lt;'PlayerGrades+'!$AG$8,"B",IF(P4&lt;'PlayerGrades+'!$AG$7,"B+",IF(P4&lt;'PlayerGrades+'!$AG$6,"A-",IF(P4&lt;'PlayerGrades+'!$AG$5,"A",IF(P4&lt;'PlayerGrades+'!$AG$4,"A+",IF(P4&lt;'PlayerGrades+'!$AG$3,"S-",IF(P4&lt;'PlayerGrades+'!$AG$2,"S","S+"))))))))))))))))))))</f>
        <v>D</v>
      </c>
      <c r="R4" s="961">
        <f t="shared" si="8"/>
        <v>0.1801801802</v>
      </c>
      <c r="S4" s="961" t="str">
        <f>IF(R4&lt;'PlayerGrades+'!$AH$21,"F-",IF(R4&lt;'PlayerGrades+'!$AH$20,"F",IF(R4&lt;'PlayerGrades+'!$AH$19,"F+",IF(R4&lt;'PlayerGrades+'!$AH$18,"E-",IF(R4&lt;'PlayerGrades+'!$AH$17,"E",IF(R4&lt;'PlayerGrades+'!$AH$16,"E+",IF(R4&lt;'PlayerGrades+'!$AH$15,"D-",IF(R4&lt;'PlayerGrades+'!$AH$14,"D",IF(R4&lt;'PlayerGrades+'!$AH$13,"D+",IF(R4&lt;'PlayerGrades+'!$AH$12,"C-",IF(R4&lt;'PlayerGrades+'!$AH$11,"C",IF(R4&lt;'PlayerGrades+'!$AH$10,"C+",IF(R4&lt;'PlayerGrades+'!$AH$9,"B-",IF(R4&lt;'PlayerGrades+'!$AH$8,"B",IF(R4&lt;'PlayerGrades+'!$AH$7,"B+",IF(R4&lt;'PlayerGrades+'!$AH$6,"A-",IF(R4&lt;'PlayerGrades+'!$AH$5,"A",IF(R4&lt;'PlayerGrades+'!$AH$4,"A+",IF(R4&lt;'PlayerGrades+'!$AH$3,"S-",IF(R4&lt;'PlayerGrades+'!$AH$2,"S","S+"))))))))))))))))))))</f>
        <v>S+</v>
      </c>
      <c r="T4" s="961">
        <f t="shared" si="9"/>
        <v>19.55</v>
      </c>
      <c r="U4" s="961" t="str">
        <f>IF(T4&lt;'PlayerGrades+'!$AI$21,"F-",IF(T4&lt;'PlayerGrades+'!$AI$20,"F",IF(T4&lt;'PlayerGrades+'!$AI$19,"F+",IF(T4&lt;'PlayerGrades+'!$AI$18,"E-",IF(T4&lt;'PlayerGrades+'!$AI$17,"E",IF(T4&lt;'PlayerGrades+'!$AI$16,"E+",IF(T4&lt;'PlayerGrades+'!$AI$15,"D-",IF(T4&lt;'PlayerGrades+'!$AI$14,"D",IF(T4&lt;'PlayerGrades+'!$AI$13,"D+",IF(T4&lt;'PlayerGrades+'!$AI$12,"C-",IF(T4&lt;'PlayerGrades+'!$AI$11,"C",IF(T4&lt;'PlayerGrades+'!$AI$10,"C+",IF(T4&lt;'PlayerGrades+'!$AI$9,"B-",IF(T4&lt;'PlayerGrades+'!$AI$8,"B",IF(T4&lt;'PlayerGrades+'!$AI$7,"B+",IF(T4&lt;'PlayerGrades+'!$AI$6,"A-",IF(T4&lt;'PlayerGrades+'!$AI$5,"A",IF(T4&lt;'PlayerGrades+'!$AI$4,"A+",IF(T4&lt;'PlayerGrades+'!$AI$3,"S-",IF(T4&lt;'PlayerGrades+'!$AI$2,"S","S+"))))))))))))))))))))</f>
        <v>S+</v>
      </c>
      <c r="V4" s="1195">
        <v>1.0</v>
      </c>
      <c r="W4" s="1195">
        <v>0.0</v>
      </c>
      <c r="X4" s="1195">
        <v>0.0</v>
      </c>
      <c r="Y4" s="1195">
        <v>0.0</v>
      </c>
      <c r="Z4" s="1195">
        <v>14.0</v>
      </c>
      <c r="AA4" s="1195">
        <v>17.0</v>
      </c>
      <c r="AB4" s="1195">
        <f t="shared" si="10"/>
        <v>-3</v>
      </c>
      <c r="AC4" s="1215">
        <f t="shared" si="11"/>
        <v>0.8235294118</v>
      </c>
      <c r="AD4" s="1216">
        <v>0.0</v>
      </c>
      <c r="AE4" s="1224" t="s">
        <v>886</v>
      </c>
      <c r="AF4" s="1195">
        <v>0.0</v>
      </c>
      <c r="AG4" s="1216">
        <v>0.0</v>
      </c>
      <c r="AH4" s="1216">
        <v>0.0</v>
      </c>
      <c r="AI4" s="1216">
        <v>0.0</v>
      </c>
      <c r="AJ4" s="1195">
        <v>0.0</v>
      </c>
      <c r="AK4" s="1195">
        <v>3.0</v>
      </c>
      <c r="AL4" s="1195">
        <v>0.0</v>
      </c>
      <c r="AM4" s="1195">
        <v>0.0</v>
      </c>
      <c r="AN4" s="1195">
        <v>0.0</v>
      </c>
      <c r="AO4" s="1216">
        <v>0.0</v>
      </c>
      <c r="AP4" s="1216">
        <v>0.0</v>
      </c>
      <c r="AQ4" s="1216">
        <v>0.0</v>
      </c>
      <c r="AR4" s="1216">
        <v>0.0</v>
      </c>
      <c r="AS4" s="1216">
        <v>0.0</v>
      </c>
      <c r="AT4" s="1216">
        <v>0.0</v>
      </c>
      <c r="AU4" s="1195">
        <v>0.0</v>
      </c>
      <c r="AV4" s="1216">
        <v>0.0</v>
      </c>
      <c r="AW4" s="1216">
        <v>0.0</v>
      </c>
      <c r="AX4" s="1216">
        <v>0.0</v>
      </c>
      <c r="AY4" s="1195">
        <v>1.0</v>
      </c>
      <c r="AZ4" s="1195">
        <v>0.0</v>
      </c>
    </row>
    <row r="5">
      <c r="A5" s="1145" t="s">
        <v>48</v>
      </c>
      <c r="B5" s="946" t="str">
        <f>IF(C5&lt;'PlayerGrades+'!$Y$44,"F-",IF(C5&lt;'PlayerGrades+'!$Y$43,"F",IF(C5&lt;'PlayerGrades+'!$Y$42,"F+",IF(C5&lt;'PlayerGrades+'!$Y$41,"E-",IF(C5&lt;'PlayerGrades+'!$Y$40,"E",IF(C5&lt;'PlayerGrades+'!$Y$39,"E+",IF(C5&lt;'PlayerGrades+'!$Y$38,"D-",IF(C5&lt;'PlayerGrades+'!$Y$37,"D",IF(C5&lt;'PlayerGrades+'!$Y$36,"D+",IF(C5&lt;'PlayerGrades+'!$Y$35,"C-",IF(C5&lt;'PlayerGrades+'!$Y$34,"C",IF(C5&lt;'PlayerGrades+'!$Y$33,"C+",IF(C5&lt;'PlayerGrades+'!$Y$32,"B-",IF(C5&lt;'PlayerGrades+'!$Y$31,"B",IF(C5&lt;'PlayerGrades+'!$Y$30,"B+",IF(C5&lt;'PlayerGrades+'!$Y$29,"A-",IF(C5&lt;'PlayerGrades+'!$Y$28,"A",IF(C5&lt;'PlayerGrades+'!$Y$27,"A+",IF(C5&lt;'PlayerGrades+'!$Y$26,"S-",IF(C5&lt;'PlayerGrades+'!$Y$25,"S","S+"))))))))))))))))))))</f>
        <v>D-</v>
      </c>
      <c r="C5" s="1154">
        <f>('PlayerGrades+'!$Y$47*(VLOOKUP(E5, 'PlayerGrades+'!$X$3:$Y$23, 2, FALSE)))+('PlayerGrades+'!$Y$48*(VLOOKUP(G5, 'PlayerGrades+'!$X$3:$Y$23, 2, FALSE)))+('PlayerGrades+'!$Y$49*(VLOOKUP(I5, 'PlayerGrades+'!$X$3:$Y$23, 2, FALSE)))+('PlayerGrades+'!$Y$50*(VLOOKUP(K5, 'PlayerGrades+'!$X$3:$Y$23, 2, FALSE)))+('PlayerGrades+'!$Y$51*(VLOOKUP(M5, 'PlayerGrades+'!$X$3:$Y$23, 2, FALSE)))+('PlayerGrades+'!$Y$52*(VLOOKUP(O5, 'PlayerGrades+'!$X$3:$Y$23, 2, FALSE)))+('PlayerGrades+'!$Y$53*(VLOOKUP(Q5, 'PlayerGrades+'!$X$3:$Y$23, 2, FALSE)))+('PlayerGrades+'!$Y$54*(VLOOKUP(S5, 'PlayerGrades+'!$X$3:$Y$23, 2, FALSE)))+('PlayerGrades+'!$Y$55*(VLOOKUP(U5, 'PlayerGrades+'!$X$3:$Y$23, 2, FALSE)))</f>
        <v>12.1</v>
      </c>
      <c r="D5" s="961">
        <f t="shared" si="1"/>
        <v>0</v>
      </c>
      <c r="E5" s="961" t="str">
        <f>IF(D5&lt;'PlayerGrades+'!$AA$21,"F-",IF(D5&lt;'PlayerGrades+'!$AA$20,"F",IF(D5&lt;'PlayerGrades+'!$AA$19,"F+",IF(D5&lt;'PlayerGrades+'!$AA$18,"E-",IF(D5&lt;'PlayerGrades+'!$AA$17,"E",IF(D5&lt;'PlayerGrades+'!$AA$16,"E+",IF(D5&lt;'PlayerGrades+'!$AA$15,"D-",IF(D5&lt;'PlayerGrades+'!$AA$14,"D",IF(D5&lt;'PlayerGrades+'!$AA$13,"D+",IF(D5&lt;'PlayerGrades+'!$AA$12,"C-",IF(D5&lt;'PlayerGrades+'!$AA$11,"C",IF(D5&lt;'PlayerGrades+'!$AA$10,"C+",IF(D5&lt;'PlayerGrades+'!$AA$9,"B-",IF(D5&lt;'PlayerGrades+'!$AA$8,"B",IF(D5&lt;'PlayerGrades+'!$AA$7,"B+",IF(D5&lt;'PlayerGrades+'!$AA$6,"A-",IF(D5&lt;'PlayerGrades+'!$AA$5,"A",IF(D5&lt;'PlayerGrades+'!$AA$4,"A+",IF(D5&lt;'PlayerGrades+'!$AA$3,"S-",IF(D5&lt;'PlayerGrades+'!$AA$2,"S","S+"))))))))))))))))))))</f>
        <v>F-</v>
      </c>
      <c r="F5" s="961">
        <f t="shared" si="2"/>
        <v>0.1081081081</v>
      </c>
      <c r="G5" s="961" t="str">
        <f>IF(F5&lt;'PlayerGrades+'!$AB$21,"F-",IF(F5&lt;'PlayerGrades+'!$AB$20,"F",IF(F5&lt;'PlayerGrades+'!$AB$19,"F+",IF(F5&lt;'PlayerGrades+'!$AB$18,"E-",IF(F5&lt;'PlayerGrades+'!$AB$17,"E",IF(F5&lt;'PlayerGrades+'!$AB$16,"E+",IF(F5&lt;'PlayerGrades+'!$AB$15,"D-",IF(F5&lt;'PlayerGrades+'!$AB$14,"D",IF(F5&lt;'PlayerGrades+'!$AB$13,"D+",IF(F5&lt;'PlayerGrades+'!$AB$12,"C-",IF(F5&lt;'PlayerGrades+'!$AB$11,"C",IF(F5&lt;'PlayerGrades+'!$AB$10,"C+",IF(F5&lt;'PlayerGrades+'!$AB$9,"B-",IF(F5&lt;'PlayerGrades+'!$AB$8,"B",IF(F5&lt;'PlayerGrades+'!$AB$7,"B+",IF(F5&lt;'PlayerGrades+'!$AB$6,"A-",IF(F5&lt;'PlayerGrades+'!$AB$5,"A",IF(F5&lt;'PlayerGrades+'!$AB$4,"A+",IF(F5&lt;'PlayerGrades+'!$AB$3,"S-",IF(F5&lt;'PlayerGrades+'!$AB$2,"S","S+"))))))))))))))))))))</f>
        <v>A</v>
      </c>
      <c r="H5" s="961">
        <f t="shared" si="3"/>
        <v>0</v>
      </c>
      <c r="I5" s="961" t="str">
        <f>IF(H5&lt;'PlayerGrades+'!$AC$21,"F-",IF(H5&lt;'PlayerGrades+'!$AC$20,"F",IF(H5&lt;'PlayerGrades+'!$AC$19,"F+",IF(H5&lt;'PlayerGrades+'!$AC$18,"E-",IF(H5&lt;'PlayerGrades+'!$AC$17,"E",IF(H5&lt;'PlayerGrades+'!$AC$16,"E+",IF(H5&lt;'PlayerGrades+'!$AC$15,"D-",IF(H5&lt;'PlayerGrades+'!$AC$14,"D",IF(H5&lt;'PlayerGrades+'!$AC$13,"D+",IF(H5&lt;'PlayerGrades+'!$AC$12,"C-",IF(H5&lt;'PlayerGrades+'!$AC$11,"C",IF(H5&lt;'PlayerGrades+'!$AC$10,"C+",IF(H5&lt;'PlayerGrades+'!$AC$9,"B-",IF(H5&lt;'PlayerGrades+'!$AC$8,"B",IF(H5&lt;'PlayerGrades+'!$AC$7,"B+",IF(H5&lt;'PlayerGrades+'!$AC$6,"A-",IF(H5&lt;'PlayerGrades+'!$AC$5,"A",IF(H5&lt;'PlayerGrades+'!$AC$4,"A+",IF(H5&lt;'PlayerGrades+'!$AC$3,"S-",IF(H5&lt;'PlayerGrades+'!$AC$2,"S","S+"))))))))))))))))))))</f>
        <v>F-</v>
      </c>
      <c r="J5" s="961">
        <f t="shared" si="4"/>
        <v>0</v>
      </c>
      <c r="K5" s="961" t="str">
        <f>IF(J5&lt;'PlayerGrades+'!$AD$21,"F-",IF(J5&lt;'PlayerGrades+'!$AD$20,"F",IF(J5&lt;'PlayerGrades+'!$AD$19,"F+",IF(J5&lt;'PlayerGrades+'!$AD$18,"E-",IF(J5&lt;'PlayerGrades+'!$AD$17,"E",IF(J5&lt;'PlayerGrades+'!$AD$16,"E+",IF(J5&lt;'PlayerGrades+'!$AD$15,"D-",IF(J5&lt;'PlayerGrades+'!$AD$14,"D",IF(J5&lt;'PlayerGrades+'!$AD$13,"D+",IF(J5&lt;'PlayerGrades+'!$AD$12,"C-",IF(J5&lt;'PlayerGrades+'!$AD$11,"C",IF(J5&lt;'PlayerGrades+'!$AD$10,"C+",IF(J5&lt;'PlayerGrades+'!$AD$9,"B-",IF(J5&lt;'PlayerGrades+'!$AD$8,"B",IF(J5&lt;'PlayerGrades+'!$AD$7,"B+",IF(J5&lt;'PlayerGrades+'!$AD$6,"A-",IF(J5&lt;'PlayerGrades+'!$AD$5,"A",IF(J5&lt;'PlayerGrades+'!$AD$4,"A+",IF(J5&lt;'PlayerGrades+'!$AD$3,"S-",IF(J5&lt;'PlayerGrades+'!$AD$2,"S","S+"))))))))))))))))))))</f>
        <v>F-</v>
      </c>
      <c r="L5" s="1176">
        <f t="shared" si="5"/>
        <v>0.5405405405</v>
      </c>
      <c r="M5" s="992" t="str">
        <f>IF(L5&lt;'PlayerGrades+'!$AE$21,"F-",IF(L5&lt;'PlayerGrades+'!$AE$20,"F",IF(L5&lt;'PlayerGrades+'!$AE$19,"F+",IF(L5&lt;'PlayerGrades+'!$AE$18,"E-",IF(L5&lt;'PlayerGrades+'!$AE$17,"E",IF(L5&lt;'PlayerGrades+'!$AE$16,"E+",IF(L5&lt;'PlayerGrades+'!$AE$15,"D-",IF(L5&lt;'PlayerGrades+'!$AE$14,"D",IF(L5&lt;'PlayerGrades+'!$AE$13,"D+",IF(L5&lt;'PlayerGrades+'!$AE$12,"C-",IF(L5&lt;'PlayerGrades+'!$AE$11,"C",IF(L5&lt;'PlayerGrades+'!$AE$10,"C+",IF(L5&lt;'PlayerGrades+'!$AE$9,"B-",IF(L5&lt;'PlayerGrades+'!$AE$8,"B",IF(L5&lt;'PlayerGrades+'!$AE$7,"B+",IF(L5&lt;'PlayerGrades+'!$AE$6,"A-",IF(L5&lt;'PlayerGrades+'!$AE$5,"A",IF(L5&lt;'PlayerGrades+'!$AE$4,"A+",IF(L5&lt;'PlayerGrades+'!$AE$3,"S-",IF(L5&lt;'PlayerGrades+'!$AE$2,"S","S+"))))))))))))))))))))</f>
        <v>A-</v>
      </c>
      <c r="N5" s="961">
        <f t="shared" si="6"/>
        <v>0</v>
      </c>
      <c r="O5" s="961" t="str">
        <f>IF(N5&lt;'PlayerGrades+'!$AF$21,"F-",IF(N5&lt;'PlayerGrades+'!$AF$20,"F",IF(N5&lt;'PlayerGrades+'!$AF$19,"F+",IF(N5&lt;'PlayerGrades+'!$AF$18,"E-",IF(N5&lt;'PlayerGrades+'!$AF$17,"E",IF(N5&lt;'PlayerGrades+'!$AF$16,"E+",IF(N5&lt;'PlayerGrades+'!$AF$15,"D-",IF(N5&lt;'PlayerGrades+'!$AF$14,"D",IF(N5&lt;'PlayerGrades+'!$AF$13,"D+",IF(N5&lt;'PlayerGrades+'!$AF$12,"C-",IF(N5&lt;'PlayerGrades+'!$AF$11,"C",IF(N5&lt;'PlayerGrades+'!$AF$10,"C+",IF(N5&lt;'PlayerGrades+'!$AF$9,"B-",IF(N5&lt;'PlayerGrades+'!$AF$8,"B",IF(N5&lt;'PlayerGrades+'!$AF$7,"B+",IF(N5&lt;'PlayerGrades+'!$AF$6,"A-",IF(N5&lt;'PlayerGrades+'!$AF$5,"A",IF(N5&lt;'PlayerGrades+'!$AF$4,"A+",IF(N5&lt;'PlayerGrades+'!$AF$3,"S-",IF(N5&lt;'PlayerGrades+'!$AF$2,"S","S+"))))))))))))))))))))</f>
        <v>F-</v>
      </c>
      <c r="P5" s="961">
        <f t="shared" si="7"/>
        <v>0.5405405405</v>
      </c>
      <c r="Q5" s="961" t="str">
        <f>IF(P5&lt;'PlayerGrades+'!$AG$21,"F-",IF(P5&lt;'PlayerGrades+'!$AG$20,"F",IF(P5&lt;'PlayerGrades+'!$AG$19,"F+",IF(P5&lt;'PlayerGrades+'!$AG$18,"E-",IF(P5&lt;'PlayerGrades+'!$AG$17,"E",IF(P5&lt;'PlayerGrades+'!$AG$16,"E+",IF(P5&lt;'PlayerGrades+'!$AG$15,"D-",IF(P5&lt;'PlayerGrades+'!$AG$14,"D",IF(P5&lt;'PlayerGrades+'!$AG$13,"D+",IF(P5&lt;'PlayerGrades+'!$AG$12,"C-",IF(P5&lt;'PlayerGrades+'!$AG$11,"C",IF(P5&lt;'PlayerGrades+'!$AG$10,"C+",IF(P5&lt;'PlayerGrades+'!$AG$9,"B-",IF(P5&lt;'PlayerGrades+'!$AG$8,"B",IF(P5&lt;'PlayerGrades+'!$AG$7,"B+",IF(P5&lt;'PlayerGrades+'!$AG$6,"A-",IF(P5&lt;'PlayerGrades+'!$AG$5,"A",IF(P5&lt;'PlayerGrades+'!$AG$4,"A+",IF(P5&lt;'PlayerGrades+'!$AG$3,"S-",IF(P5&lt;'PlayerGrades+'!$AG$2,"S","S+"))))))))))))))))))))</f>
        <v>D</v>
      </c>
      <c r="R5" s="961">
        <f t="shared" si="8"/>
        <v>0</v>
      </c>
      <c r="S5" s="961" t="str">
        <f>IF(R5&lt;'PlayerGrades+'!$AH$21,"F-",IF(R5&lt;'PlayerGrades+'!$AH$20,"F",IF(R5&lt;'PlayerGrades+'!$AH$19,"F+",IF(R5&lt;'PlayerGrades+'!$AH$18,"E-",IF(R5&lt;'PlayerGrades+'!$AH$17,"E",IF(R5&lt;'PlayerGrades+'!$AH$16,"E+",IF(R5&lt;'PlayerGrades+'!$AH$15,"D-",IF(R5&lt;'PlayerGrades+'!$AH$14,"D",IF(R5&lt;'PlayerGrades+'!$AH$13,"D+",IF(R5&lt;'PlayerGrades+'!$AH$12,"C-",IF(R5&lt;'PlayerGrades+'!$AH$11,"C",IF(R5&lt;'PlayerGrades+'!$AH$10,"C+",IF(R5&lt;'PlayerGrades+'!$AH$9,"B-",IF(R5&lt;'PlayerGrades+'!$AH$8,"B",IF(R5&lt;'PlayerGrades+'!$AH$7,"B+",IF(R5&lt;'PlayerGrades+'!$AH$6,"A-",IF(R5&lt;'PlayerGrades+'!$AH$5,"A",IF(R5&lt;'PlayerGrades+'!$AH$4,"A+",IF(R5&lt;'PlayerGrades+'!$AH$3,"S-",IF(R5&lt;'PlayerGrades+'!$AH$2,"S","S+"))))))))))))))))))))</f>
        <v>F-</v>
      </c>
      <c r="T5" s="961">
        <f t="shared" si="9"/>
        <v>17.55</v>
      </c>
      <c r="U5" s="961" t="str">
        <f>IF(T5&lt;'PlayerGrades+'!$AI$21,"F-",IF(T5&lt;'PlayerGrades+'!$AI$20,"F",IF(T5&lt;'PlayerGrades+'!$AI$19,"F+",IF(T5&lt;'PlayerGrades+'!$AI$18,"E-",IF(T5&lt;'PlayerGrades+'!$AI$17,"E",IF(T5&lt;'PlayerGrades+'!$AI$16,"E+",IF(T5&lt;'PlayerGrades+'!$AI$15,"D-",IF(T5&lt;'PlayerGrades+'!$AI$14,"D",IF(T5&lt;'PlayerGrades+'!$AI$13,"D+",IF(T5&lt;'PlayerGrades+'!$AI$12,"C-",IF(T5&lt;'PlayerGrades+'!$AI$11,"C",IF(T5&lt;'PlayerGrades+'!$AI$10,"C+",IF(T5&lt;'PlayerGrades+'!$AI$9,"B-",IF(T5&lt;'PlayerGrades+'!$AI$8,"B",IF(T5&lt;'PlayerGrades+'!$AI$7,"B+",IF(T5&lt;'PlayerGrades+'!$AI$6,"A-",IF(T5&lt;'PlayerGrades+'!$AI$5,"A",IF(T5&lt;'PlayerGrades+'!$AI$4,"A+",IF(T5&lt;'PlayerGrades+'!$AI$3,"S-",IF(T5&lt;'PlayerGrades+'!$AI$2,"S","S+"))))))))))))))))))))</f>
        <v>S+</v>
      </c>
      <c r="V5" s="1195">
        <v>1.0</v>
      </c>
      <c r="W5" s="1195">
        <v>0.0</v>
      </c>
      <c r="X5" s="1195">
        <v>0.0</v>
      </c>
      <c r="Y5" s="1195">
        <v>1.0</v>
      </c>
      <c r="Z5" s="1195">
        <v>12.0</v>
      </c>
      <c r="AA5" s="1195">
        <v>20.0</v>
      </c>
      <c r="AB5" s="1195">
        <f t="shared" si="10"/>
        <v>-8</v>
      </c>
      <c r="AC5" s="1215">
        <f t="shared" si="11"/>
        <v>0.6</v>
      </c>
      <c r="AD5" s="1216">
        <v>0.0</v>
      </c>
      <c r="AE5" s="1224" t="s">
        <v>886</v>
      </c>
      <c r="AF5" s="1195">
        <v>0.0</v>
      </c>
      <c r="AG5" s="1216">
        <v>0.0</v>
      </c>
      <c r="AH5" s="1216">
        <v>0.0</v>
      </c>
      <c r="AI5" s="1216">
        <v>0.0</v>
      </c>
      <c r="AJ5" s="1195">
        <v>0.0</v>
      </c>
      <c r="AK5" s="1195">
        <v>3.0</v>
      </c>
      <c r="AL5" s="1195">
        <v>0.0</v>
      </c>
      <c r="AM5" s="1195">
        <v>0.0</v>
      </c>
      <c r="AN5" s="1195">
        <v>0.0</v>
      </c>
      <c r="AO5" s="1216">
        <v>0.0</v>
      </c>
      <c r="AP5" s="1216">
        <v>0.0</v>
      </c>
      <c r="AQ5" s="1216">
        <v>0.0</v>
      </c>
      <c r="AR5" s="1216">
        <v>0.0</v>
      </c>
      <c r="AS5" s="1216">
        <v>0.0</v>
      </c>
      <c r="AT5" s="1216">
        <v>0.0</v>
      </c>
      <c r="AU5" s="1195">
        <v>0.0</v>
      </c>
      <c r="AV5" s="1216">
        <v>0.0</v>
      </c>
      <c r="AW5" s="1216">
        <v>0.0</v>
      </c>
      <c r="AX5" s="1216">
        <v>0.0</v>
      </c>
      <c r="AY5" s="1195">
        <v>0.0</v>
      </c>
      <c r="AZ5" s="1195">
        <v>0.0</v>
      </c>
    </row>
    <row r="6">
      <c r="A6" s="1233" t="s">
        <v>206</v>
      </c>
      <c r="B6" s="1100" t="str">
        <f>IF(C6&lt;'PlayerGrades+'!$Y$44,"F-",IF(C6&lt;'PlayerGrades+'!$Y$43,"F",IF(C6&lt;'PlayerGrades+'!$Y$42,"F+",IF(C6&lt;'PlayerGrades+'!$Y$41,"E-",IF(C6&lt;'PlayerGrades+'!$Y$40,"E",IF(C6&lt;'PlayerGrades+'!$Y$39,"E+",IF(C6&lt;'PlayerGrades+'!$Y$38,"D-",IF(C6&lt;'PlayerGrades+'!$Y$37,"D",IF(C6&lt;'PlayerGrades+'!$Y$36,"D+",IF(C6&lt;'PlayerGrades+'!$Y$35,"C-",IF(C6&lt;'PlayerGrades+'!$Y$34,"C",IF(C6&lt;'PlayerGrades+'!$Y$33,"C+",IF(C6&lt;'PlayerGrades+'!$Y$32,"B-",IF(C6&lt;'PlayerGrades+'!$Y$31,"B",IF(C6&lt;'PlayerGrades+'!$Y$30,"B+",IF(C6&lt;'PlayerGrades+'!$Y$29,"A-",IF(C6&lt;'PlayerGrades+'!$Y$28,"A",IF(C6&lt;'PlayerGrades+'!$Y$27,"A+",IF(C6&lt;'PlayerGrades+'!$Y$26,"S-",IF(C6&lt;'PlayerGrades+'!$Y$25,"S","S+"))))))))))))))))))))</f>
        <v>B</v>
      </c>
      <c r="C6" s="1239">
        <f>('PlayerGrades+'!$Y$47*(VLOOKUP(E6, 'PlayerGrades+'!$X$3:$Y$23, 2, FALSE)))+('PlayerGrades+'!$Y$48*(VLOOKUP(G6, 'PlayerGrades+'!$X$3:$Y$23, 2, FALSE)))+('PlayerGrades+'!$Y$49*(VLOOKUP(I6, 'PlayerGrades+'!$X$3:$Y$23, 2, FALSE)))+('PlayerGrades+'!$Y$50*(VLOOKUP(K6, 'PlayerGrades+'!$X$3:$Y$23, 2, FALSE)))+('PlayerGrades+'!$Y$51*(VLOOKUP(M6, 'PlayerGrades+'!$X$3:$Y$23, 2, FALSE)))+('PlayerGrades+'!$Y$52*(VLOOKUP(O6, 'PlayerGrades+'!$X$3:$Y$23, 2, FALSE)))+('PlayerGrades+'!$Y$53*(VLOOKUP(Q6, 'PlayerGrades+'!$X$3:$Y$23, 2, FALSE)))+('PlayerGrades+'!$Y$54*(VLOOKUP(S6, 'PlayerGrades+'!$X$3:$Y$23, 2, FALSE)))+('PlayerGrades+'!$Y$55*(VLOOKUP(U6, 'PlayerGrades+'!$X$3:$Y$23, 2, FALSE)))</f>
        <v>18.55</v>
      </c>
      <c r="D6" s="961">
        <f t="shared" si="1"/>
        <v>0</v>
      </c>
      <c r="E6" s="961" t="str">
        <f>IF(D6&lt;'PlayerGrades+'!$AA$21,"F-",IF(D6&lt;'PlayerGrades+'!$AA$20,"F",IF(D6&lt;'PlayerGrades+'!$AA$19,"F+",IF(D6&lt;'PlayerGrades+'!$AA$18,"E-",IF(D6&lt;'PlayerGrades+'!$AA$17,"E",IF(D6&lt;'PlayerGrades+'!$AA$16,"E+",IF(D6&lt;'PlayerGrades+'!$AA$15,"D-",IF(D6&lt;'PlayerGrades+'!$AA$14,"D",IF(D6&lt;'PlayerGrades+'!$AA$13,"D+",IF(D6&lt;'PlayerGrades+'!$AA$12,"C-",IF(D6&lt;'PlayerGrades+'!$AA$11,"C",IF(D6&lt;'PlayerGrades+'!$AA$10,"C+",IF(D6&lt;'PlayerGrades+'!$AA$9,"B-",IF(D6&lt;'PlayerGrades+'!$AA$8,"B",IF(D6&lt;'PlayerGrades+'!$AA$7,"B+",IF(D6&lt;'PlayerGrades+'!$AA$6,"A-",IF(D6&lt;'PlayerGrades+'!$AA$5,"A",IF(D6&lt;'PlayerGrades+'!$AA$4,"A+",IF(D6&lt;'PlayerGrades+'!$AA$3,"S-",IF(D6&lt;'PlayerGrades+'!$AA$2,"S","S+"))))))))))))))))))))</f>
        <v>F-</v>
      </c>
      <c r="F6" s="961">
        <f t="shared" si="2"/>
        <v>0.1474201474</v>
      </c>
      <c r="G6" s="961" t="str">
        <f>IF(F6&lt;'PlayerGrades+'!$AB$21,"F-",IF(F6&lt;'PlayerGrades+'!$AB$20,"F",IF(F6&lt;'PlayerGrades+'!$AB$19,"F+",IF(F6&lt;'PlayerGrades+'!$AB$18,"E-",IF(F6&lt;'PlayerGrades+'!$AB$17,"E",IF(F6&lt;'PlayerGrades+'!$AB$16,"E+",IF(F6&lt;'PlayerGrades+'!$AB$15,"D-",IF(F6&lt;'PlayerGrades+'!$AB$14,"D",IF(F6&lt;'PlayerGrades+'!$AB$13,"D+",IF(F6&lt;'PlayerGrades+'!$AB$12,"C-",IF(F6&lt;'PlayerGrades+'!$AB$11,"C",IF(F6&lt;'PlayerGrades+'!$AB$10,"C+",IF(F6&lt;'PlayerGrades+'!$AB$9,"B-",IF(F6&lt;'PlayerGrades+'!$AB$8,"B",IF(F6&lt;'PlayerGrades+'!$AB$7,"B+",IF(F6&lt;'PlayerGrades+'!$AB$6,"A-",IF(F6&lt;'PlayerGrades+'!$AB$5,"A",IF(F6&lt;'PlayerGrades+'!$AB$4,"A+",IF(F6&lt;'PlayerGrades+'!$AB$3,"S-",IF(F6&lt;'PlayerGrades+'!$AB$2,"S","S+"))))))))))))))))))))</f>
        <v>A+</v>
      </c>
      <c r="H6" s="961">
        <f t="shared" si="3"/>
        <v>0.1801801802</v>
      </c>
      <c r="I6" s="961" t="str">
        <f>IF(H6&lt;'PlayerGrades+'!$AC$21,"F-",IF(H6&lt;'PlayerGrades+'!$AC$20,"F",IF(H6&lt;'PlayerGrades+'!$AC$19,"F+",IF(H6&lt;'PlayerGrades+'!$AC$18,"E-",IF(H6&lt;'PlayerGrades+'!$AC$17,"E",IF(H6&lt;'PlayerGrades+'!$AC$16,"E+",IF(H6&lt;'PlayerGrades+'!$AC$15,"D-",IF(H6&lt;'PlayerGrades+'!$AC$14,"D",IF(H6&lt;'PlayerGrades+'!$AC$13,"D+",IF(H6&lt;'PlayerGrades+'!$AC$12,"C-",IF(H6&lt;'PlayerGrades+'!$AC$11,"C",IF(H6&lt;'PlayerGrades+'!$AC$10,"C+",IF(H6&lt;'PlayerGrades+'!$AC$9,"B-",IF(H6&lt;'PlayerGrades+'!$AC$8,"B",IF(H6&lt;'PlayerGrades+'!$AC$7,"B+",IF(H6&lt;'PlayerGrades+'!$AC$6,"A-",IF(H6&lt;'PlayerGrades+'!$AC$5,"A",IF(H6&lt;'PlayerGrades+'!$AC$4,"A+",IF(H6&lt;'PlayerGrades+'!$AC$3,"S-",IF(H6&lt;'PlayerGrades+'!$AC$2,"S","S+"))))))))))))))))))))</f>
        <v>F</v>
      </c>
      <c r="J6" s="961">
        <f t="shared" si="4"/>
        <v>0.1801801802</v>
      </c>
      <c r="K6" s="961" t="str">
        <f>IF(J6&lt;'PlayerGrades+'!$AD$21,"F-",IF(J6&lt;'PlayerGrades+'!$AD$20,"F",IF(J6&lt;'PlayerGrades+'!$AD$19,"F+",IF(J6&lt;'PlayerGrades+'!$AD$18,"E-",IF(J6&lt;'PlayerGrades+'!$AD$17,"E",IF(J6&lt;'PlayerGrades+'!$AD$16,"E+",IF(J6&lt;'PlayerGrades+'!$AD$15,"D-",IF(J6&lt;'PlayerGrades+'!$AD$14,"D",IF(J6&lt;'PlayerGrades+'!$AD$13,"D+",IF(J6&lt;'PlayerGrades+'!$AD$12,"C-",IF(J6&lt;'PlayerGrades+'!$AD$11,"C",IF(J6&lt;'PlayerGrades+'!$AD$10,"C+",IF(J6&lt;'PlayerGrades+'!$AD$9,"B-",IF(J6&lt;'PlayerGrades+'!$AD$8,"B",IF(J6&lt;'PlayerGrades+'!$AD$7,"B+",IF(J6&lt;'PlayerGrades+'!$AD$6,"A-",IF(J6&lt;'PlayerGrades+'!$AD$5,"A",IF(J6&lt;'PlayerGrades+'!$AD$4,"A+",IF(J6&lt;'PlayerGrades+'!$AD$3,"S-",IF(J6&lt;'PlayerGrades+'!$AD$2,"S","S+"))))))))))))))))))))</f>
        <v>S+</v>
      </c>
      <c r="L6" s="1176">
        <f t="shared" si="5"/>
        <v>0.5405405405</v>
      </c>
      <c r="M6" s="992" t="str">
        <f>IF(L6&lt;'PlayerGrades+'!$AE$21,"F-",IF(L6&lt;'PlayerGrades+'!$AE$20,"F",IF(L6&lt;'PlayerGrades+'!$AE$19,"F+",IF(L6&lt;'PlayerGrades+'!$AE$18,"E-",IF(L6&lt;'PlayerGrades+'!$AE$17,"E",IF(L6&lt;'PlayerGrades+'!$AE$16,"E+",IF(L6&lt;'PlayerGrades+'!$AE$15,"D-",IF(L6&lt;'PlayerGrades+'!$AE$14,"D",IF(L6&lt;'PlayerGrades+'!$AE$13,"D+",IF(L6&lt;'PlayerGrades+'!$AE$12,"C-",IF(L6&lt;'PlayerGrades+'!$AE$11,"C",IF(L6&lt;'PlayerGrades+'!$AE$10,"C+",IF(L6&lt;'PlayerGrades+'!$AE$9,"B-",IF(L6&lt;'PlayerGrades+'!$AE$8,"B",IF(L6&lt;'PlayerGrades+'!$AE$7,"B+",IF(L6&lt;'PlayerGrades+'!$AE$6,"A-",IF(L6&lt;'PlayerGrades+'!$AE$5,"A",IF(L6&lt;'PlayerGrades+'!$AE$4,"A+",IF(L6&lt;'PlayerGrades+'!$AE$3,"S-",IF(L6&lt;'PlayerGrades+'!$AE$2,"S","S+"))))))))))))))))))))</f>
        <v>A-</v>
      </c>
      <c r="N6" s="961">
        <f t="shared" si="6"/>
        <v>0.5405405405</v>
      </c>
      <c r="O6" s="961" t="str">
        <f>IF(N6&lt;'PlayerGrades+'!$AF$21,"F-",IF(N6&lt;'PlayerGrades+'!$AF$20,"F",IF(N6&lt;'PlayerGrades+'!$AF$19,"F+",IF(N6&lt;'PlayerGrades+'!$AF$18,"E-",IF(N6&lt;'PlayerGrades+'!$AF$17,"E",IF(N6&lt;'PlayerGrades+'!$AF$16,"E+",IF(N6&lt;'PlayerGrades+'!$AF$15,"D-",IF(N6&lt;'PlayerGrades+'!$AF$14,"D",IF(N6&lt;'PlayerGrades+'!$AF$13,"D+",IF(N6&lt;'PlayerGrades+'!$AF$12,"C-",IF(N6&lt;'PlayerGrades+'!$AF$11,"C",IF(N6&lt;'PlayerGrades+'!$AF$10,"C+",IF(N6&lt;'PlayerGrades+'!$AF$9,"B-",IF(N6&lt;'PlayerGrades+'!$AF$8,"B",IF(N6&lt;'PlayerGrades+'!$AF$7,"B+",IF(N6&lt;'PlayerGrades+'!$AF$6,"A-",IF(N6&lt;'PlayerGrades+'!$AF$5,"A",IF(N6&lt;'PlayerGrades+'!$AF$4,"A+",IF(N6&lt;'PlayerGrades+'!$AF$3,"S-",IF(N6&lt;'PlayerGrades+'!$AF$2,"S","S+"))))))))))))))))))))</f>
        <v>S+</v>
      </c>
      <c r="P6" s="961">
        <f t="shared" si="7"/>
        <v>1.441441441</v>
      </c>
      <c r="Q6" s="961" t="str">
        <f>IF(P6&lt;'PlayerGrades+'!$AG$21,"F-",IF(P6&lt;'PlayerGrades+'!$AG$20,"F",IF(P6&lt;'PlayerGrades+'!$AG$19,"F+",IF(P6&lt;'PlayerGrades+'!$AG$18,"E-",IF(P6&lt;'PlayerGrades+'!$AG$17,"E",IF(P6&lt;'PlayerGrades+'!$AG$16,"E+",IF(P6&lt;'PlayerGrades+'!$AG$15,"D-",IF(P6&lt;'PlayerGrades+'!$AG$14,"D",IF(P6&lt;'PlayerGrades+'!$AG$13,"D+",IF(P6&lt;'PlayerGrades+'!$AG$12,"C-",IF(P6&lt;'PlayerGrades+'!$AG$11,"C",IF(P6&lt;'PlayerGrades+'!$AG$10,"C+",IF(P6&lt;'PlayerGrades+'!$AG$9,"B-",IF(P6&lt;'PlayerGrades+'!$AG$8,"B",IF(P6&lt;'PlayerGrades+'!$AG$7,"B+",IF(P6&lt;'PlayerGrades+'!$AG$6,"A-",IF(P6&lt;'PlayerGrades+'!$AG$5,"A",IF(P6&lt;'PlayerGrades+'!$AG$4,"A+",IF(P6&lt;'PlayerGrades+'!$AG$3,"S-",IF(P6&lt;'PlayerGrades+'!$AG$2,"S","S+"))))))))))))))))))))</f>
        <v>S</v>
      </c>
      <c r="R6" s="961">
        <f t="shared" si="8"/>
        <v>0</v>
      </c>
      <c r="S6" s="961" t="str">
        <f>IF(R6&lt;'PlayerGrades+'!$AH$21,"F-",IF(R6&lt;'PlayerGrades+'!$AH$20,"F",IF(R6&lt;'PlayerGrades+'!$AH$19,"F+",IF(R6&lt;'PlayerGrades+'!$AH$18,"E-",IF(R6&lt;'PlayerGrades+'!$AH$17,"E",IF(R6&lt;'PlayerGrades+'!$AH$16,"E+",IF(R6&lt;'PlayerGrades+'!$AH$15,"D-",IF(R6&lt;'PlayerGrades+'!$AH$14,"D",IF(R6&lt;'PlayerGrades+'!$AH$13,"D+",IF(R6&lt;'PlayerGrades+'!$AH$12,"C-",IF(R6&lt;'PlayerGrades+'!$AH$11,"C",IF(R6&lt;'PlayerGrades+'!$AH$10,"C+",IF(R6&lt;'PlayerGrades+'!$AH$9,"B-",IF(R6&lt;'PlayerGrades+'!$AH$8,"B",IF(R6&lt;'PlayerGrades+'!$AH$7,"B+",IF(R6&lt;'PlayerGrades+'!$AH$6,"A-",IF(R6&lt;'PlayerGrades+'!$AH$5,"A",IF(R6&lt;'PlayerGrades+'!$AH$4,"A+",IF(R6&lt;'PlayerGrades+'!$AH$3,"S-",IF(R6&lt;'PlayerGrades+'!$AH$2,"S","S+"))))))))))))))))))))</f>
        <v>F-</v>
      </c>
      <c r="T6" s="961">
        <f t="shared" si="9"/>
        <v>23.55</v>
      </c>
      <c r="U6" s="961" t="str">
        <f>IF(T6&lt;'PlayerGrades+'!$AI$21,"F-",IF(T6&lt;'PlayerGrades+'!$AI$20,"F",IF(T6&lt;'PlayerGrades+'!$AI$19,"F+",IF(T6&lt;'PlayerGrades+'!$AI$18,"E-",IF(T6&lt;'PlayerGrades+'!$AI$17,"E",IF(T6&lt;'PlayerGrades+'!$AI$16,"E+",IF(T6&lt;'PlayerGrades+'!$AI$15,"D-",IF(T6&lt;'PlayerGrades+'!$AI$14,"D",IF(T6&lt;'PlayerGrades+'!$AI$13,"D+",IF(T6&lt;'PlayerGrades+'!$AI$12,"C-",IF(T6&lt;'PlayerGrades+'!$AI$11,"C",IF(T6&lt;'PlayerGrades+'!$AI$10,"C+",IF(T6&lt;'PlayerGrades+'!$AI$9,"B-",IF(T6&lt;'PlayerGrades+'!$AI$8,"B",IF(T6&lt;'PlayerGrades+'!$AI$7,"B+",IF(T6&lt;'PlayerGrades+'!$AI$6,"A-",IF(T6&lt;'PlayerGrades+'!$AI$5,"A",IF(T6&lt;'PlayerGrades+'!$AI$4,"A+",IF(T6&lt;'PlayerGrades+'!$AI$3,"S-",IF(T6&lt;'PlayerGrades+'!$AI$2,"S","S+"))))))))))))))))))))</f>
        <v>S+</v>
      </c>
      <c r="V6" s="1195">
        <v>0.0</v>
      </c>
      <c r="W6" s="1195">
        <v>1.0</v>
      </c>
      <c r="X6" s="1195">
        <v>0.0</v>
      </c>
      <c r="Y6" s="1195">
        <v>1.0</v>
      </c>
      <c r="Z6" s="1195">
        <v>18.0</v>
      </c>
      <c r="AA6" s="1195">
        <v>22.0</v>
      </c>
      <c r="AB6" s="1195">
        <f t="shared" si="10"/>
        <v>-4</v>
      </c>
      <c r="AC6" s="1215">
        <f t="shared" si="11"/>
        <v>0.8181818182</v>
      </c>
      <c r="AD6" s="1216">
        <v>0.0</v>
      </c>
      <c r="AE6" s="1224" t="s">
        <v>886</v>
      </c>
      <c r="AF6" s="1195">
        <v>1.0</v>
      </c>
      <c r="AG6" s="1216">
        <v>0.0</v>
      </c>
      <c r="AH6" s="1216">
        <v>0.0</v>
      </c>
      <c r="AI6" s="1216">
        <v>0.0</v>
      </c>
      <c r="AJ6" s="1195">
        <v>0.0</v>
      </c>
      <c r="AK6" s="1195">
        <v>3.0</v>
      </c>
      <c r="AL6" s="1195">
        <v>3.0</v>
      </c>
      <c r="AM6" s="1195">
        <v>1.0</v>
      </c>
      <c r="AN6" s="1195">
        <v>1.0</v>
      </c>
      <c r="AO6" s="1216">
        <v>0.0</v>
      </c>
      <c r="AP6" s="1216">
        <v>0.0</v>
      </c>
      <c r="AQ6" s="1216">
        <v>0.0</v>
      </c>
      <c r="AR6" s="1216">
        <v>0.0</v>
      </c>
      <c r="AS6" s="1216">
        <v>0.0</v>
      </c>
      <c r="AT6" s="1216">
        <v>0.0</v>
      </c>
      <c r="AU6" s="1195">
        <v>1.0</v>
      </c>
      <c r="AV6" s="1216">
        <v>0.0</v>
      </c>
      <c r="AW6" s="1216">
        <v>0.0</v>
      </c>
      <c r="AX6" s="1216">
        <v>0.0</v>
      </c>
      <c r="AY6" s="1195">
        <v>0.0</v>
      </c>
      <c r="AZ6" s="1195">
        <v>0.0</v>
      </c>
    </row>
    <row r="7">
      <c r="A7" s="1233" t="s">
        <v>75</v>
      </c>
      <c r="B7" s="1100" t="str">
        <f>IF(C7&lt;'PlayerGrades+'!$Y$44,"F-",IF(C7&lt;'PlayerGrades+'!$Y$43,"F",IF(C7&lt;'PlayerGrades+'!$Y$42,"F+",IF(C7&lt;'PlayerGrades+'!$Y$41,"E-",IF(C7&lt;'PlayerGrades+'!$Y$40,"E",IF(C7&lt;'PlayerGrades+'!$Y$39,"E+",IF(C7&lt;'PlayerGrades+'!$Y$38,"D-",IF(C7&lt;'PlayerGrades+'!$Y$37,"D",IF(C7&lt;'PlayerGrades+'!$Y$36,"D+",IF(C7&lt;'PlayerGrades+'!$Y$35,"C-",IF(C7&lt;'PlayerGrades+'!$Y$34,"C",IF(C7&lt;'PlayerGrades+'!$Y$33,"C+",IF(C7&lt;'PlayerGrades+'!$Y$32,"B-",IF(C7&lt;'PlayerGrades+'!$Y$31,"B",IF(C7&lt;'PlayerGrades+'!$Y$30,"B+",IF(C7&lt;'PlayerGrades+'!$Y$29,"A-",IF(C7&lt;'PlayerGrades+'!$Y$28,"A",IF(C7&lt;'PlayerGrades+'!$Y$27,"A+",IF(C7&lt;'PlayerGrades+'!$Y$26,"S-",IF(C7&lt;'PlayerGrades+'!$Y$25,"S","S+"))))))))))))))))))))</f>
        <v>C</v>
      </c>
      <c r="C7" s="1239">
        <f>('PlayerGrades+'!$Y$47*(VLOOKUP(E7, 'PlayerGrades+'!$X$3:$Y$23, 2, FALSE)))+('PlayerGrades+'!$Y$48*(VLOOKUP(G7, 'PlayerGrades+'!$X$3:$Y$23, 2, FALSE)))+('PlayerGrades+'!$Y$49*(VLOOKUP(I7, 'PlayerGrades+'!$X$3:$Y$23, 2, FALSE)))+('PlayerGrades+'!$Y$50*(VLOOKUP(K7, 'PlayerGrades+'!$X$3:$Y$23, 2, FALSE)))+('PlayerGrades+'!$Y$51*(VLOOKUP(M7, 'PlayerGrades+'!$X$3:$Y$23, 2, FALSE)))+('PlayerGrades+'!$Y$52*(VLOOKUP(O7, 'PlayerGrades+'!$X$3:$Y$23, 2, FALSE)))+('PlayerGrades+'!$Y$53*(VLOOKUP(Q7, 'PlayerGrades+'!$X$3:$Y$23, 2, FALSE)))+('PlayerGrades+'!$Y$54*(VLOOKUP(S7, 'PlayerGrades+'!$X$3:$Y$23, 2, FALSE)))+('PlayerGrades+'!$Y$55*(VLOOKUP(U7, 'PlayerGrades+'!$X$3:$Y$23, 2, FALSE)))</f>
        <v>14.825</v>
      </c>
      <c r="D7" s="961">
        <f t="shared" si="1"/>
        <v>0</v>
      </c>
      <c r="E7" s="961" t="str">
        <f>IF(D7&lt;'PlayerGrades+'!$AA$21,"F-",IF(D7&lt;'PlayerGrades+'!$AA$20,"F",IF(D7&lt;'PlayerGrades+'!$AA$19,"F+",IF(D7&lt;'PlayerGrades+'!$AA$18,"E-",IF(D7&lt;'PlayerGrades+'!$AA$17,"E",IF(D7&lt;'PlayerGrades+'!$AA$16,"E+",IF(D7&lt;'PlayerGrades+'!$AA$15,"D-",IF(D7&lt;'PlayerGrades+'!$AA$14,"D",IF(D7&lt;'PlayerGrades+'!$AA$13,"D+",IF(D7&lt;'PlayerGrades+'!$AA$12,"C-",IF(D7&lt;'PlayerGrades+'!$AA$11,"C",IF(D7&lt;'PlayerGrades+'!$AA$10,"C+",IF(D7&lt;'PlayerGrades+'!$AA$9,"B-",IF(D7&lt;'PlayerGrades+'!$AA$8,"B",IF(D7&lt;'PlayerGrades+'!$AA$7,"B+",IF(D7&lt;'PlayerGrades+'!$AA$6,"A-",IF(D7&lt;'PlayerGrades+'!$AA$5,"A",IF(D7&lt;'PlayerGrades+'!$AA$4,"A+",IF(D7&lt;'PlayerGrades+'!$AA$3,"S-",IF(D7&lt;'PlayerGrades+'!$AA$2,"S","S+"))))))))))))))))))))</f>
        <v>F-</v>
      </c>
      <c r="F7" s="961">
        <f t="shared" si="2"/>
        <v>0.1501501502</v>
      </c>
      <c r="G7" s="961" t="str">
        <f>IF(F7&lt;'PlayerGrades+'!$AB$21,"F-",IF(F7&lt;'PlayerGrades+'!$AB$20,"F",IF(F7&lt;'PlayerGrades+'!$AB$19,"F+",IF(F7&lt;'PlayerGrades+'!$AB$18,"E-",IF(F7&lt;'PlayerGrades+'!$AB$17,"E",IF(F7&lt;'PlayerGrades+'!$AB$16,"E+",IF(F7&lt;'PlayerGrades+'!$AB$15,"D-",IF(F7&lt;'PlayerGrades+'!$AB$14,"D",IF(F7&lt;'PlayerGrades+'!$AB$13,"D+",IF(F7&lt;'PlayerGrades+'!$AB$12,"C-",IF(F7&lt;'PlayerGrades+'!$AB$11,"C",IF(F7&lt;'PlayerGrades+'!$AB$10,"C+",IF(F7&lt;'PlayerGrades+'!$AB$9,"B-",IF(F7&lt;'PlayerGrades+'!$AB$8,"B",IF(F7&lt;'PlayerGrades+'!$AB$7,"B+",IF(F7&lt;'PlayerGrades+'!$AB$6,"A-",IF(F7&lt;'PlayerGrades+'!$AB$5,"A",IF(F7&lt;'PlayerGrades+'!$AB$4,"A+",IF(F7&lt;'PlayerGrades+'!$AB$3,"S-",IF(F7&lt;'PlayerGrades+'!$AB$2,"S","S+"))))))))))))))))))))</f>
        <v>A+</v>
      </c>
      <c r="H7" s="961">
        <f t="shared" si="3"/>
        <v>0.7207207207</v>
      </c>
      <c r="I7" s="961" t="str">
        <f>IF(H7&lt;'PlayerGrades+'!$AC$21,"F-",IF(H7&lt;'PlayerGrades+'!$AC$20,"F",IF(H7&lt;'PlayerGrades+'!$AC$19,"F+",IF(H7&lt;'PlayerGrades+'!$AC$18,"E-",IF(H7&lt;'PlayerGrades+'!$AC$17,"E",IF(H7&lt;'PlayerGrades+'!$AC$16,"E+",IF(H7&lt;'PlayerGrades+'!$AC$15,"D-",IF(H7&lt;'PlayerGrades+'!$AC$14,"D",IF(H7&lt;'PlayerGrades+'!$AC$13,"D+",IF(H7&lt;'PlayerGrades+'!$AC$12,"C-",IF(H7&lt;'PlayerGrades+'!$AC$11,"C",IF(H7&lt;'PlayerGrades+'!$AC$10,"C+",IF(H7&lt;'PlayerGrades+'!$AC$9,"B-",IF(H7&lt;'PlayerGrades+'!$AC$8,"B",IF(H7&lt;'PlayerGrades+'!$AC$7,"B+",IF(H7&lt;'PlayerGrades+'!$AC$6,"A-",IF(H7&lt;'PlayerGrades+'!$AC$5,"A",IF(H7&lt;'PlayerGrades+'!$AC$4,"A+",IF(H7&lt;'PlayerGrades+'!$AC$3,"S-",IF(H7&lt;'PlayerGrades+'!$AC$2,"S","S+"))))))))))))))))))))</f>
        <v>S-</v>
      </c>
      <c r="J7" s="961">
        <f t="shared" si="4"/>
        <v>0</v>
      </c>
      <c r="K7" s="961" t="str">
        <f>IF(J7&lt;'PlayerGrades+'!$AD$21,"F-",IF(J7&lt;'PlayerGrades+'!$AD$20,"F",IF(J7&lt;'PlayerGrades+'!$AD$19,"F+",IF(J7&lt;'PlayerGrades+'!$AD$18,"E-",IF(J7&lt;'PlayerGrades+'!$AD$17,"E",IF(J7&lt;'PlayerGrades+'!$AD$16,"E+",IF(J7&lt;'PlayerGrades+'!$AD$15,"D-",IF(J7&lt;'PlayerGrades+'!$AD$14,"D",IF(J7&lt;'PlayerGrades+'!$AD$13,"D+",IF(J7&lt;'PlayerGrades+'!$AD$12,"C-",IF(J7&lt;'PlayerGrades+'!$AD$11,"C",IF(J7&lt;'PlayerGrades+'!$AD$10,"C+",IF(J7&lt;'PlayerGrades+'!$AD$9,"B-",IF(J7&lt;'PlayerGrades+'!$AD$8,"B",IF(J7&lt;'PlayerGrades+'!$AD$7,"B+",IF(J7&lt;'PlayerGrades+'!$AD$6,"A-",IF(J7&lt;'PlayerGrades+'!$AD$5,"A",IF(J7&lt;'PlayerGrades+'!$AD$4,"A+",IF(J7&lt;'PlayerGrades+'!$AD$3,"S-",IF(J7&lt;'PlayerGrades+'!$AD$2,"S","S+"))))))))))))))))))))</f>
        <v>F-</v>
      </c>
      <c r="L7" s="1176">
        <f t="shared" si="5"/>
        <v>0.1801801802</v>
      </c>
      <c r="M7" s="992" t="str">
        <f>IF(L7&lt;'PlayerGrades+'!$AE$21,"F-",IF(L7&lt;'PlayerGrades+'!$AE$20,"F",IF(L7&lt;'PlayerGrades+'!$AE$19,"F+",IF(L7&lt;'PlayerGrades+'!$AE$18,"E-",IF(L7&lt;'PlayerGrades+'!$AE$17,"E",IF(L7&lt;'PlayerGrades+'!$AE$16,"E+",IF(L7&lt;'PlayerGrades+'!$AE$15,"D-",IF(L7&lt;'PlayerGrades+'!$AE$14,"D",IF(L7&lt;'PlayerGrades+'!$AE$13,"D+",IF(L7&lt;'PlayerGrades+'!$AE$12,"C-",IF(L7&lt;'PlayerGrades+'!$AE$11,"C",IF(L7&lt;'PlayerGrades+'!$AE$10,"C+",IF(L7&lt;'PlayerGrades+'!$AE$9,"B-",IF(L7&lt;'PlayerGrades+'!$AE$8,"B",IF(L7&lt;'PlayerGrades+'!$AE$7,"B+",IF(L7&lt;'PlayerGrades+'!$AE$6,"A-",IF(L7&lt;'PlayerGrades+'!$AE$5,"A",IF(L7&lt;'PlayerGrades+'!$AE$4,"A+",IF(L7&lt;'PlayerGrades+'!$AE$3,"S-",IF(L7&lt;'PlayerGrades+'!$AE$2,"S","S+"))))))))))))))))))))</f>
        <v>F-</v>
      </c>
      <c r="N7" s="961">
        <f t="shared" si="6"/>
        <v>0</v>
      </c>
      <c r="O7" s="961" t="str">
        <f>IF(N7&lt;'PlayerGrades+'!$AF$21,"F-",IF(N7&lt;'PlayerGrades+'!$AF$20,"F",IF(N7&lt;'PlayerGrades+'!$AF$19,"F+",IF(N7&lt;'PlayerGrades+'!$AF$18,"E-",IF(N7&lt;'PlayerGrades+'!$AF$17,"E",IF(N7&lt;'PlayerGrades+'!$AF$16,"E+",IF(N7&lt;'PlayerGrades+'!$AF$15,"D-",IF(N7&lt;'PlayerGrades+'!$AF$14,"D",IF(N7&lt;'PlayerGrades+'!$AF$13,"D+",IF(N7&lt;'PlayerGrades+'!$AF$12,"C-",IF(N7&lt;'PlayerGrades+'!$AF$11,"C",IF(N7&lt;'PlayerGrades+'!$AF$10,"C+",IF(N7&lt;'PlayerGrades+'!$AF$9,"B-",IF(N7&lt;'PlayerGrades+'!$AF$8,"B",IF(N7&lt;'PlayerGrades+'!$AF$7,"B+",IF(N7&lt;'PlayerGrades+'!$AF$6,"A-",IF(N7&lt;'PlayerGrades+'!$AF$5,"A",IF(N7&lt;'PlayerGrades+'!$AF$4,"A+",IF(N7&lt;'PlayerGrades+'!$AF$3,"S-",IF(N7&lt;'PlayerGrades+'!$AF$2,"S","S+"))))))))))))))))))))</f>
        <v>F-</v>
      </c>
      <c r="P7" s="961">
        <f t="shared" si="7"/>
        <v>0.1801801802</v>
      </c>
      <c r="Q7" s="961" t="str">
        <f>IF(P7&lt;'PlayerGrades+'!$AG$21,"F-",IF(P7&lt;'PlayerGrades+'!$AG$20,"F",IF(P7&lt;'PlayerGrades+'!$AG$19,"F+",IF(P7&lt;'PlayerGrades+'!$AG$18,"E-",IF(P7&lt;'PlayerGrades+'!$AG$17,"E",IF(P7&lt;'PlayerGrades+'!$AG$16,"E+",IF(P7&lt;'PlayerGrades+'!$AG$15,"D-",IF(P7&lt;'PlayerGrades+'!$AG$14,"D",IF(P7&lt;'PlayerGrades+'!$AG$13,"D+",IF(P7&lt;'PlayerGrades+'!$AG$12,"C-",IF(P7&lt;'PlayerGrades+'!$AG$11,"C",IF(P7&lt;'PlayerGrades+'!$AG$10,"C+",IF(P7&lt;'PlayerGrades+'!$AG$9,"B-",IF(P7&lt;'PlayerGrades+'!$AG$8,"B",IF(P7&lt;'PlayerGrades+'!$AG$7,"B+",IF(P7&lt;'PlayerGrades+'!$AG$6,"A-",IF(P7&lt;'PlayerGrades+'!$AG$5,"A",IF(P7&lt;'PlayerGrades+'!$AG$4,"A+",IF(P7&lt;'PlayerGrades+'!$AG$3,"S-",IF(P7&lt;'PlayerGrades+'!$AG$2,"S","S+"))))))))))))))))))))</f>
        <v>F-</v>
      </c>
      <c r="R7" s="961">
        <f t="shared" si="8"/>
        <v>0.3603603604</v>
      </c>
      <c r="S7" s="961" t="str">
        <f>IF(R7&lt;'PlayerGrades+'!$AH$21,"F-",IF(R7&lt;'PlayerGrades+'!$AH$20,"F",IF(R7&lt;'PlayerGrades+'!$AH$19,"F+",IF(R7&lt;'PlayerGrades+'!$AH$18,"E-",IF(R7&lt;'PlayerGrades+'!$AH$17,"E",IF(R7&lt;'PlayerGrades+'!$AH$16,"E+",IF(R7&lt;'PlayerGrades+'!$AH$15,"D-",IF(R7&lt;'PlayerGrades+'!$AH$14,"D",IF(R7&lt;'PlayerGrades+'!$AH$13,"D+",IF(R7&lt;'PlayerGrades+'!$AH$12,"C-",IF(R7&lt;'PlayerGrades+'!$AH$11,"C",IF(R7&lt;'PlayerGrades+'!$AH$10,"C+",IF(R7&lt;'PlayerGrades+'!$AH$9,"B-",IF(R7&lt;'PlayerGrades+'!$AH$8,"B",IF(R7&lt;'PlayerGrades+'!$AH$7,"B+",IF(R7&lt;'PlayerGrades+'!$AH$6,"A-",IF(R7&lt;'PlayerGrades+'!$AH$5,"A",IF(R7&lt;'PlayerGrades+'!$AH$4,"A+",IF(R7&lt;'PlayerGrades+'!$AH$3,"S-",IF(R7&lt;'PlayerGrades+'!$AH$2,"S","S+"))))))))))))))))))))</f>
        <v>S+</v>
      </c>
      <c r="T7" s="961">
        <f t="shared" si="9"/>
        <v>20.55</v>
      </c>
      <c r="U7" s="961" t="str">
        <f>IF(T7&lt;'PlayerGrades+'!$AI$21,"F-",IF(T7&lt;'PlayerGrades+'!$AI$20,"F",IF(T7&lt;'PlayerGrades+'!$AI$19,"F+",IF(T7&lt;'PlayerGrades+'!$AI$18,"E-",IF(T7&lt;'PlayerGrades+'!$AI$17,"E",IF(T7&lt;'PlayerGrades+'!$AI$16,"E+",IF(T7&lt;'PlayerGrades+'!$AI$15,"D-",IF(T7&lt;'PlayerGrades+'!$AI$14,"D",IF(T7&lt;'PlayerGrades+'!$AI$13,"D+",IF(T7&lt;'PlayerGrades+'!$AI$12,"C-",IF(T7&lt;'PlayerGrades+'!$AI$11,"C",IF(T7&lt;'PlayerGrades+'!$AI$10,"C+",IF(T7&lt;'PlayerGrades+'!$AI$9,"B-",IF(T7&lt;'PlayerGrades+'!$AI$8,"B",IF(T7&lt;'PlayerGrades+'!$AI$7,"B+",IF(T7&lt;'PlayerGrades+'!$AI$6,"A-",IF(T7&lt;'PlayerGrades+'!$AI$5,"A",IF(T7&lt;'PlayerGrades+'!$AI$4,"A+",IF(T7&lt;'PlayerGrades+'!$AI$3,"S-",IF(T7&lt;'PlayerGrades+'!$AI$2,"S","S+"))))))))))))))))))))</f>
        <v>S+</v>
      </c>
      <c r="V7" s="1195">
        <v>0.0</v>
      </c>
      <c r="W7" s="1195">
        <v>1.0</v>
      </c>
      <c r="X7" s="1195">
        <v>0.0</v>
      </c>
      <c r="Y7" s="1195">
        <v>2.0</v>
      </c>
      <c r="Z7" s="1195">
        <v>15.0</v>
      </c>
      <c r="AA7" s="1195">
        <v>18.0</v>
      </c>
      <c r="AB7" s="1195">
        <f t="shared" si="10"/>
        <v>-3</v>
      </c>
      <c r="AC7" s="1215">
        <f t="shared" si="11"/>
        <v>0.8333333333</v>
      </c>
      <c r="AD7" s="1216">
        <v>0.0</v>
      </c>
      <c r="AE7" s="1224" t="s">
        <v>886</v>
      </c>
      <c r="AF7" s="1195">
        <v>0.0</v>
      </c>
      <c r="AG7" s="1216">
        <v>0.0</v>
      </c>
      <c r="AH7" s="1216">
        <v>0.0</v>
      </c>
      <c r="AI7" s="1216">
        <v>0.0</v>
      </c>
      <c r="AJ7" s="1195">
        <v>0.0</v>
      </c>
      <c r="AK7" s="1195">
        <v>1.0</v>
      </c>
      <c r="AL7" s="1195">
        <v>0.0</v>
      </c>
      <c r="AM7" s="1195">
        <v>0.0</v>
      </c>
      <c r="AN7" s="1195">
        <v>0.0</v>
      </c>
      <c r="AO7" s="1216">
        <v>0.0</v>
      </c>
      <c r="AP7" s="1216">
        <v>0.0</v>
      </c>
      <c r="AQ7" s="1216">
        <v>0.0</v>
      </c>
      <c r="AR7" s="1216">
        <v>0.0</v>
      </c>
      <c r="AS7" s="1216">
        <v>0.0</v>
      </c>
      <c r="AT7" s="1216">
        <v>0.0</v>
      </c>
      <c r="AU7" s="1195">
        <v>4.0</v>
      </c>
      <c r="AV7" s="1216">
        <v>0.0</v>
      </c>
      <c r="AW7" s="1216">
        <v>0.0</v>
      </c>
      <c r="AX7" s="1216">
        <v>0.0</v>
      </c>
      <c r="AY7" s="1195">
        <v>1.0</v>
      </c>
      <c r="AZ7" s="1195">
        <v>1.0</v>
      </c>
    </row>
    <row r="8">
      <c r="A8" s="1233" t="s">
        <v>80</v>
      </c>
      <c r="B8" s="1100" t="str">
        <f>IF(C8&lt;'PlayerGrades+'!$Y$44,"F-",IF(C8&lt;'PlayerGrades+'!$Y$43,"F",IF(C8&lt;'PlayerGrades+'!$Y$42,"F+",IF(C8&lt;'PlayerGrades+'!$Y$41,"E-",IF(C8&lt;'PlayerGrades+'!$Y$40,"E",IF(C8&lt;'PlayerGrades+'!$Y$39,"E+",IF(C8&lt;'PlayerGrades+'!$Y$38,"D-",IF(C8&lt;'PlayerGrades+'!$Y$37,"D",IF(C8&lt;'PlayerGrades+'!$Y$36,"D+",IF(C8&lt;'PlayerGrades+'!$Y$35,"C-",IF(C8&lt;'PlayerGrades+'!$Y$34,"C",IF(C8&lt;'PlayerGrades+'!$Y$33,"C+",IF(C8&lt;'PlayerGrades+'!$Y$32,"B-",IF(C8&lt;'PlayerGrades+'!$Y$31,"B",IF(C8&lt;'PlayerGrades+'!$Y$30,"B+",IF(C8&lt;'PlayerGrades+'!$Y$29,"A-",IF(C8&lt;'PlayerGrades+'!$Y$28,"A",IF(C8&lt;'PlayerGrades+'!$Y$27,"A+",IF(C8&lt;'PlayerGrades+'!$Y$26,"S-",IF(C8&lt;'PlayerGrades+'!$Y$25,"S","S+"))))))))))))))))))))</f>
        <v>D-</v>
      </c>
      <c r="C8" s="1239">
        <f>('PlayerGrades+'!$Y$47*(VLOOKUP(E8, 'PlayerGrades+'!$X$3:$Y$23, 2, FALSE)))+('PlayerGrades+'!$Y$48*(VLOOKUP(G8, 'PlayerGrades+'!$X$3:$Y$23, 2, FALSE)))+('PlayerGrades+'!$Y$49*(VLOOKUP(I8, 'PlayerGrades+'!$X$3:$Y$23, 2, FALSE)))+('PlayerGrades+'!$Y$50*(VLOOKUP(K8, 'PlayerGrades+'!$X$3:$Y$23, 2, FALSE)))+('PlayerGrades+'!$Y$51*(VLOOKUP(M8, 'PlayerGrades+'!$X$3:$Y$23, 2, FALSE)))+('PlayerGrades+'!$Y$52*(VLOOKUP(O8, 'PlayerGrades+'!$X$3:$Y$23, 2, FALSE)))+('PlayerGrades+'!$Y$53*(VLOOKUP(Q8, 'PlayerGrades+'!$X$3:$Y$23, 2, FALSE)))+('PlayerGrades+'!$Y$54*(VLOOKUP(S8, 'PlayerGrades+'!$X$3:$Y$23, 2, FALSE)))+('PlayerGrades+'!$Y$55*(VLOOKUP(U8, 'PlayerGrades+'!$X$3:$Y$23, 2, FALSE)))</f>
        <v>12.3</v>
      </c>
      <c r="D8" s="961">
        <f t="shared" si="1"/>
        <v>0</v>
      </c>
      <c r="E8" s="961" t="str">
        <f>IF(D8&lt;'PlayerGrades+'!$AA$21,"F-",IF(D8&lt;'PlayerGrades+'!$AA$20,"F",IF(D8&lt;'PlayerGrades+'!$AA$19,"F+",IF(D8&lt;'PlayerGrades+'!$AA$18,"E-",IF(D8&lt;'PlayerGrades+'!$AA$17,"E",IF(D8&lt;'PlayerGrades+'!$AA$16,"E+",IF(D8&lt;'PlayerGrades+'!$AA$15,"D-",IF(D8&lt;'PlayerGrades+'!$AA$14,"D",IF(D8&lt;'PlayerGrades+'!$AA$13,"D+",IF(D8&lt;'PlayerGrades+'!$AA$12,"C-",IF(D8&lt;'PlayerGrades+'!$AA$11,"C",IF(D8&lt;'PlayerGrades+'!$AA$10,"C+",IF(D8&lt;'PlayerGrades+'!$AA$9,"B-",IF(D8&lt;'PlayerGrades+'!$AA$8,"B",IF(D8&lt;'PlayerGrades+'!$AA$7,"B+",IF(D8&lt;'PlayerGrades+'!$AA$6,"A-",IF(D8&lt;'PlayerGrades+'!$AA$5,"A",IF(D8&lt;'PlayerGrades+'!$AA$4,"A+",IF(D8&lt;'PlayerGrades+'!$AA$3,"S-",IF(D8&lt;'PlayerGrades+'!$AA$2,"S","S+"))))))))))))))))))))</f>
        <v>F-</v>
      </c>
      <c r="F8" s="961">
        <f t="shared" si="2"/>
        <v>0.06006006006</v>
      </c>
      <c r="G8" s="961" t="str">
        <f>IF(F8&lt;'PlayerGrades+'!$AB$21,"F-",IF(F8&lt;'PlayerGrades+'!$AB$20,"F",IF(F8&lt;'PlayerGrades+'!$AB$19,"F+",IF(F8&lt;'PlayerGrades+'!$AB$18,"E-",IF(F8&lt;'PlayerGrades+'!$AB$17,"E",IF(F8&lt;'PlayerGrades+'!$AB$16,"E+",IF(F8&lt;'PlayerGrades+'!$AB$15,"D-",IF(F8&lt;'PlayerGrades+'!$AB$14,"D",IF(F8&lt;'PlayerGrades+'!$AB$13,"D+",IF(F8&lt;'PlayerGrades+'!$AB$12,"C-",IF(F8&lt;'PlayerGrades+'!$AB$11,"C",IF(F8&lt;'PlayerGrades+'!$AB$10,"C+",IF(F8&lt;'PlayerGrades+'!$AB$9,"B-",IF(F8&lt;'PlayerGrades+'!$AB$8,"B",IF(F8&lt;'PlayerGrades+'!$AB$7,"B+",IF(F8&lt;'PlayerGrades+'!$AB$6,"A-",IF(F8&lt;'PlayerGrades+'!$AB$5,"A",IF(F8&lt;'PlayerGrades+'!$AB$4,"A+",IF(F8&lt;'PlayerGrades+'!$AB$3,"S-",IF(F8&lt;'PlayerGrades+'!$AB$2,"S","S+"))))))))))))))))))))</f>
        <v>A</v>
      </c>
      <c r="H8" s="961">
        <f t="shared" si="3"/>
        <v>0.3603603604</v>
      </c>
      <c r="I8" s="961" t="str">
        <f>IF(H8&lt;'PlayerGrades+'!$AC$21,"F-",IF(H8&lt;'PlayerGrades+'!$AC$20,"F",IF(H8&lt;'PlayerGrades+'!$AC$19,"F+",IF(H8&lt;'PlayerGrades+'!$AC$18,"E-",IF(H8&lt;'PlayerGrades+'!$AC$17,"E",IF(H8&lt;'PlayerGrades+'!$AC$16,"E+",IF(H8&lt;'PlayerGrades+'!$AC$15,"D-",IF(H8&lt;'PlayerGrades+'!$AC$14,"D",IF(H8&lt;'PlayerGrades+'!$AC$13,"D+",IF(H8&lt;'PlayerGrades+'!$AC$12,"C-",IF(H8&lt;'PlayerGrades+'!$AC$11,"C",IF(H8&lt;'PlayerGrades+'!$AC$10,"C+",IF(H8&lt;'PlayerGrades+'!$AC$9,"B-",IF(H8&lt;'PlayerGrades+'!$AC$8,"B",IF(H8&lt;'PlayerGrades+'!$AC$7,"B+",IF(H8&lt;'PlayerGrades+'!$AC$6,"A-",IF(H8&lt;'PlayerGrades+'!$AC$5,"A",IF(H8&lt;'PlayerGrades+'!$AC$4,"A+",IF(H8&lt;'PlayerGrades+'!$AC$3,"S-",IF(H8&lt;'PlayerGrades+'!$AC$2,"S","S+"))))))))))))))))))))</f>
        <v>D-</v>
      </c>
      <c r="J8" s="961">
        <f t="shared" si="4"/>
        <v>0</v>
      </c>
      <c r="K8" s="961" t="str">
        <f>IF(J8&lt;'PlayerGrades+'!$AD$21,"F-",IF(J8&lt;'PlayerGrades+'!$AD$20,"F",IF(J8&lt;'PlayerGrades+'!$AD$19,"F+",IF(J8&lt;'PlayerGrades+'!$AD$18,"E-",IF(J8&lt;'PlayerGrades+'!$AD$17,"E",IF(J8&lt;'PlayerGrades+'!$AD$16,"E+",IF(J8&lt;'PlayerGrades+'!$AD$15,"D-",IF(J8&lt;'PlayerGrades+'!$AD$14,"D",IF(J8&lt;'PlayerGrades+'!$AD$13,"D+",IF(J8&lt;'PlayerGrades+'!$AD$12,"C-",IF(J8&lt;'PlayerGrades+'!$AD$11,"C",IF(J8&lt;'PlayerGrades+'!$AD$10,"C+",IF(J8&lt;'PlayerGrades+'!$AD$9,"B-",IF(J8&lt;'PlayerGrades+'!$AD$8,"B",IF(J8&lt;'PlayerGrades+'!$AD$7,"B+",IF(J8&lt;'PlayerGrades+'!$AD$6,"A-",IF(J8&lt;'PlayerGrades+'!$AD$5,"A",IF(J8&lt;'PlayerGrades+'!$AD$4,"A+",IF(J8&lt;'PlayerGrades+'!$AD$3,"S-",IF(J8&lt;'PlayerGrades+'!$AD$2,"S","S+"))))))))))))))))))))</f>
        <v>F-</v>
      </c>
      <c r="L8" s="1176">
        <f t="shared" si="5"/>
        <v>0.3603603604</v>
      </c>
      <c r="M8" s="992" t="str">
        <f>IF(L8&lt;'PlayerGrades+'!$AE$21,"F-",IF(L8&lt;'PlayerGrades+'!$AE$20,"F",IF(L8&lt;'PlayerGrades+'!$AE$19,"F+",IF(L8&lt;'PlayerGrades+'!$AE$18,"E-",IF(L8&lt;'PlayerGrades+'!$AE$17,"E",IF(L8&lt;'PlayerGrades+'!$AE$16,"E+",IF(L8&lt;'PlayerGrades+'!$AE$15,"D-",IF(L8&lt;'PlayerGrades+'!$AE$14,"D",IF(L8&lt;'PlayerGrades+'!$AE$13,"D+",IF(L8&lt;'PlayerGrades+'!$AE$12,"C-",IF(L8&lt;'PlayerGrades+'!$AE$11,"C",IF(L8&lt;'PlayerGrades+'!$AE$10,"C+",IF(L8&lt;'PlayerGrades+'!$AE$9,"B-",IF(L8&lt;'PlayerGrades+'!$AE$8,"B",IF(L8&lt;'PlayerGrades+'!$AE$7,"B+",IF(L8&lt;'PlayerGrades+'!$AE$6,"A-",IF(L8&lt;'PlayerGrades+'!$AE$5,"A",IF(L8&lt;'PlayerGrades+'!$AE$4,"A+",IF(L8&lt;'PlayerGrades+'!$AE$3,"S-",IF(L8&lt;'PlayerGrades+'!$AE$2,"S","S+"))))))))))))))))))))</f>
        <v>E+</v>
      </c>
      <c r="N8" s="961">
        <f t="shared" si="6"/>
        <v>0</v>
      </c>
      <c r="O8" s="961" t="str">
        <f>IF(N8&lt;'PlayerGrades+'!$AF$21,"F-",IF(N8&lt;'PlayerGrades+'!$AF$20,"F",IF(N8&lt;'PlayerGrades+'!$AF$19,"F+",IF(N8&lt;'PlayerGrades+'!$AF$18,"E-",IF(N8&lt;'PlayerGrades+'!$AF$17,"E",IF(N8&lt;'PlayerGrades+'!$AF$16,"E+",IF(N8&lt;'PlayerGrades+'!$AF$15,"D-",IF(N8&lt;'PlayerGrades+'!$AF$14,"D",IF(N8&lt;'PlayerGrades+'!$AF$13,"D+",IF(N8&lt;'PlayerGrades+'!$AF$12,"C-",IF(N8&lt;'PlayerGrades+'!$AF$11,"C",IF(N8&lt;'PlayerGrades+'!$AF$10,"C+",IF(N8&lt;'PlayerGrades+'!$AF$9,"B-",IF(N8&lt;'PlayerGrades+'!$AF$8,"B",IF(N8&lt;'PlayerGrades+'!$AF$7,"B+",IF(N8&lt;'PlayerGrades+'!$AF$6,"A-",IF(N8&lt;'PlayerGrades+'!$AF$5,"A",IF(N8&lt;'PlayerGrades+'!$AF$4,"A+",IF(N8&lt;'PlayerGrades+'!$AF$3,"S-",IF(N8&lt;'PlayerGrades+'!$AF$2,"S","S+"))))))))))))))))))))</f>
        <v>F-</v>
      </c>
      <c r="P8" s="961">
        <f t="shared" si="7"/>
        <v>0.5405405405</v>
      </c>
      <c r="Q8" s="961" t="str">
        <f>IF(P8&lt;'PlayerGrades+'!$AG$21,"F-",IF(P8&lt;'PlayerGrades+'!$AG$20,"F",IF(P8&lt;'PlayerGrades+'!$AG$19,"F+",IF(P8&lt;'PlayerGrades+'!$AG$18,"E-",IF(P8&lt;'PlayerGrades+'!$AG$17,"E",IF(P8&lt;'PlayerGrades+'!$AG$16,"E+",IF(P8&lt;'PlayerGrades+'!$AG$15,"D-",IF(P8&lt;'PlayerGrades+'!$AG$14,"D",IF(P8&lt;'PlayerGrades+'!$AG$13,"D+",IF(P8&lt;'PlayerGrades+'!$AG$12,"C-",IF(P8&lt;'PlayerGrades+'!$AG$11,"C",IF(P8&lt;'PlayerGrades+'!$AG$10,"C+",IF(P8&lt;'PlayerGrades+'!$AG$9,"B-",IF(P8&lt;'PlayerGrades+'!$AG$8,"B",IF(P8&lt;'PlayerGrades+'!$AG$7,"B+",IF(P8&lt;'PlayerGrades+'!$AG$6,"A-",IF(P8&lt;'PlayerGrades+'!$AG$5,"A",IF(P8&lt;'PlayerGrades+'!$AG$4,"A+",IF(P8&lt;'PlayerGrades+'!$AG$3,"S-",IF(P8&lt;'PlayerGrades+'!$AG$2,"S","S+"))))))))))))))))))))</f>
        <v>D</v>
      </c>
      <c r="R8" s="961">
        <f t="shared" si="8"/>
        <v>0</v>
      </c>
      <c r="S8" s="961" t="str">
        <f>IF(R8&lt;'PlayerGrades+'!$AH$21,"F-",IF(R8&lt;'PlayerGrades+'!$AH$20,"F",IF(R8&lt;'PlayerGrades+'!$AH$19,"F+",IF(R8&lt;'PlayerGrades+'!$AH$18,"E-",IF(R8&lt;'PlayerGrades+'!$AH$17,"E",IF(R8&lt;'PlayerGrades+'!$AH$16,"E+",IF(R8&lt;'PlayerGrades+'!$AH$15,"D-",IF(R8&lt;'PlayerGrades+'!$AH$14,"D",IF(R8&lt;'PlayerGrades+'!$AH$13,"D+",IF(R8&lt;'PlayerGrades+'!$AH$12,"C-",IF(R8&lt;'PlayerGrades+'!$AH$11,"C",IF(R8&lt;'PlayerGrades+'!$AH$10,"C+",IF(R8&lt;'PlayerGrades+'!$AH$9,"B-",IF(R8&lt;'PlayerGrades+'!$AH$8,"B",IF(R8&lt;'PlayerGrades+'!$AH$7,"B+",IF(R8&lt;'PlayerGrades+'!$AH$6,"A-",IF(R8&lt;'PlayerGrades+'!$AH$5,"A",IF(R8&lt;'PlayerGrades+'!$AH$4,"A+",IF(R8&lt;'PlayerGrades+'!$AH$3,"S-",IF(R8&lt;'PlayerGrades+'!$AH$2,"S","S+"))))))))))))))))))))</f>
        <v>F-</v>
      </c>
      <c r="T8" s="961">
        <f t="shared" si="9"/>
        <v>14.55</v>
      </c>
      <c r="U8" s="961" t="str">
        <f>IF(T8&lt;'PlayerGrades+'!$AI$21,"F-",IF(T8&lt;'PlayerGrades+'!$AI$20,"F",IF(T8&lt;'PlayerGrades+'!$AI$19,"F+",IF(T8&lt;'PlayerGrades+'!$AI$18,"E-",IF(T8&lt;'PlayerGrades+'!$AI$17,"E",IF(T8&lt;'PlayerGrades+'!$AI$16,"E+",IF(T8&lt;'PlayerGrades+'!$AI$15,"D-",IF(T8&lt;'PlayerGrades+'!$AI$14,"D",IF(T8&lt;'PlayerGrades+'!$AI$13,"D+",IF(T8&lt;'PlayerGrades+'!$AI$12,"C-",IF(T8&lt;'PlayerGrades+'!$AI$11,"C",IF(T8&lt;'PlayerGrades+'!$AI$10,"C+",IF(T8&lt;'PlayerGrades+'!$AI$9,"B-",IF(T8&lt;'PlayerGrades+'!$AI$8,"B",IF(T8&lt;'PlayerGrades+'!$AI$7,"B+",IF(T8&lt;'PlayerGrades+'!$AI$6,"A-",IF(T8&lt;'PlayerGrades+'!$AI$5,"A",IF(T8&lt;'PlayerGrades+'!$AI$4,"A+",IF(T8&lt;'PlayerGrades+'!$AI$3,"S-",IF(T8&lt;'PlayerGrades+'!$AI$2,"S","S+"))))))))))))))))))))</f>
        <v>S+</v>
      </c>
      <c r="V8" s="1195">
        <v>0.0</v>
      </c>
      <c r="W8" s="1195">
        <v>1.0</v>
      </c>
      <c r="X8" s="1195">
        <v>0.0</v>
      </c>
      <c r="Y8" s="1195">
        <v>2.0</v>
      </c>
      <c r="Z8" s="1195">
        <v>9.0</v>
      </c>
      <c r="AA8" s="1195">
        <v>27.0</v>
      </c>
      <c r="AB8" s="1195">
        <f t="shared" si="10"/>
        <v>-18</v>
      </c>
      <c r="AC8" s="1215">
        <f t="shared" si="11"/>
        <v>0.3333333333</v>
      </c>
      <c r="AD8" s="1216">
        <v>0.0</v>
      </c>
      <c r="AE8" s="1224" t="s">
        <v>886</v>
      </c>
      <c r="AF8" s="1195">
        <v>0.0</v>
      </c>
      <c r="AG8" s="1216">
        <v>0.0</v>
      </c>
      <c r="AH8" s="1216">
        <v>0.0</v>
      </c>
      <c r="AI8" s="1216">
        <v>0.0</v>
      </c>
      <c r="AJ8" s="1195">
        <v>1.0</v>
      </c>
      <c r="AK8" s="1195">
        <v>2.0</v>
      </c>
      <c r="AL8" s="1195">
        <v>0.0</v>
      </c>
      <c r="AM8" s="1195">
        <v>0.0</v>
      </c>
      <c r="AN8" s="1195">
        <v>0.0</v>
      </c>
      <c r="AO8" s="1216">
        <v>0.0</v>
      </c>
      <c r="AP8" s="1216">
        <v>0.0</v>
      </c>
      <c r="AQ8" s="1216">
        <v>0.0</v>
      </c>
      <c r="AR8" s="1216">
        <v>0.0</v>
      </c>
      <c r="AS8" s="1216">
        <v>0.0</v>
      </c>
      <c r="AT8" s="1216">
        <v>0.0</v>
      </c>
      <c r="AU8" s="1195">
        <v>2.0</v>
      </c>
      <c r="AV8" s="1216">
        <v>0.0</v>
      </c>
      <c r="AW8" s="1216">
        <v>0.0</v>
      </c>
      <c r="AX8" s="1216">
        <v>0.0</v>
      </c>
      <c r="AY8" s="1195">
        <v>0.0</v>
      </c>
      <c r="AZ8" s="1195">
        <v>0.0</v>
      </c>
    </row>
    <row r="9">
      <c r="A9" s="1247" t="s">
        <v>249</v>
      </c>
      <c r="B9" s="1100" t="str">
        <f>IF(C9&lt;'PlayerGrades+'!$Y$44,"F-",IF(C9&lt;'PlayerGrades+'!$Y$43,"F",IF(C9&lt;'PlayerGrades+'!$Y$42,"F+",IF(C9&lt;'PlayerGrades+'!$Y$41,"E-",IF(C9&lt;'PlayerGrades+'!$Y$40,"E",IF(C9&lt;'PlayerGrades+'!$Y$39,"E+",IF(C9&lt;'PlayerGrades+'!$Y$38,"D-",IF(C9&lt;'PlayerGrades+'!$Y$37,"D",IF(C9&lt;'PlayerGrades+'!$Y$36,"D+",IF(C9&lt;'PlayerGrades+'!$Y$35,"C-",IF(C9&lt;'PlayerGrades+'!$Y$34,"C",IF(C9&lt;'PlayerGrades+'!$Y$33,"C+",IF(C9&lt;'PlayerGrades+'!$Y$32,"B-",IF(C9&lt;'PlayerGrades+'!$Y$31,"B",IF(C9&lt;'PlayerGrades+'!$Y$30,"B+",IF(C9&lt;'PlayerGrades+'!$Y$29,"A-",IF(C9&lt;'PlayerGrades+'!$Y$28,"A",IF(C9&lt;'PlayerGrades+'!$Y$27,"A+",IF(C9&lt;'PlayerGrades+'!$Y$26,"S-",IF(C9&lt;'PlayerGrades+'!$Y$25,"S","S+"))))))))))))))))))))</f>
        <v>E</v>
      </c>
      <c r="C9" s="1239">
        <f>('PlayerGrades+'!$Y$47*(VLOOKUP(E9, 'PlayerGrades+'!$X$3:$Y$23, 2, FALSE)))+('PlayerGrades+'!$Y$48*(VLOOKUP(G9, 'PlayerGrades+'!$X$3:$Y$23, 2, FALSE)))+('PlayerGrades+'!$Y$49*(VLOOKUP(I9, 'PlayerGrades+'!$X$3:$Y$23, 2, FALSE)))+('PlayerGrades+'!$Y$50*(VLOOKUP(K9, 'PlayerGrades+'!$X$3:$Y$23, 2, FALSE)))+('PlayerGrades+'!$Y$51*(VLOOKUP(M9, 'PlayerGrades+'!$X$3:$Y$23, 2, FALSE)))+('PlayerGrades+'!$Y$52*(VLOOKUP(O9, 'PlayerGrades+'!$X$3:$Y$23, 2, FALSE)))+('PlayerGrades+'!$Y$53*(VLOOKUP(Q9, 'PlayerGrades+'!$X$3:$Y$23, 2, FALSE)))+('PlayerGrades+'!$Y$54*(VLOOKUP(S9, 'PlayerGrades+'!$X$3:$Y$23, 2, FALSE)))+('PlayerGrades+'!$Y$55*(VLOOKUP(U9, 'PlayerGrades+'!$X$3:$Y$23, 2, FALSE)))</f>
        <v>9.85</v>
      </c>
      <c r="D9" s="961">
        <f t="shared" si="1"/>
        <v>0</v>
      </c>
      <c r="E9" s="961" t="str">
        <f>IF(D9&lt;'PlayerGrades+'!$AA$21,"F-",IF(D9&lt;'PlayerGrades+'!$AA$20,"F",IF(D9&lt;'PlayerGrades+'!$AA$19,"F+",IF(D9&lt;'PlayerGrades+'!$AA$18,"E-",IF(D9&lt;'PlayerGrades+'!$AA$17,"E",IF(D9&lt;'PlayerGrades+'!$AA$16,"E+",IF(D9&lt;'PlayerGrades+'!$AA$15,"D-",IF(D9&lt;'PlayerGrades+'!$AA$14,"D",IF(D9&lt;'PlayerGrades+'!$AA$13,"D+",IF(D9&lt;'PlayerGrades+'!$AA$12,"C-",IF(D9&lt;'PlayerGrades+'!$AA$11,"C",IF(D9&lt;'PlayerGrades+'!$AA$10,"C+",IF(D9&lt;'PlayerGrades+'!$AA$9,"B-",IF(D9&lt;'PlayerGrades+'!$AA$8,"B",IF(D9&lt;'PlayerGrades+'!$AA$7,"B+",IF(D9&lt;'PlayerGrades+'!$AA$6,"A-",IF(D9&lt;'PlayerGrades+'!$AA$5,"A",IF(D9&lt;'PlayerGrades+'!$AA$4,"A+",IF(D9&lt;'PlayerGrades+'!$AA$3,"S-",IF(D9&lt;'PlayerGrades+'!$AA$2,"S","S+"))))))))))))))))))))</f>
        <v>F-</v>
      </c>
      <c r="F9" s="961">
        <f t="shared" si="2"/>
        <v>0.04741583689</v>
      </c>
      <c r="G9" s="961" t="str">
        <f>IF(F9&lt;'PlayerGrades+'!$AB$21,"F-",IF(F9&lt;'PlayerGrades+'!$AB$20,"F",IF(F9&lt;'PlayerGrades+'!$AB$19,"F+",IF(F9&lt;'PlayerGrades+'!$AB$18,"E-",IF(F9&lt;'PlayerGrades+'!$AB$17,"E",IF(F9&lt;'PlayerGrades+'!$AB$16,"E+",IF(F9&lt;'PlayerGrades+'!$AB$15,"D-",IF(F9&lt;'PlayerGrades+'!$AB$14,"D",IF(F9&lt;'PlayerGrades+'!$AB$13,"D+",IF(F9&lt;'PlayerGrades+'!$AB$12,"C-",IF(F9&lt;'PlayerGrades+'!$AB$11,"C",IF(F9&lt;'PlayerGrades+'!$AB$10,"C+",IF(F9&lt;'PlayerGrades+'!$AB$9,"B-",IF(F9&lt;'PlayerGrades+'!$AB$8,"B",IF(F9&lt;'PlayerGrades+'!$AB$7,"B+",IF(F9&lt;'PlayerGrades+'!$AB$6,"A-",IF(F9&lt;'PlayerGrades+'!$AB$5,"A",IF(F9&lt;'PlayerGrades+'!$AB$4,"A+",IF(F9&lt;'PlayerGrades+'!$AB$3,"S-",IF(F9&lt;'PlayerGrades+'!$AB$2,"S","S+"))))))))))))))))))))</f>
        <v>A</v>
      </c>
      <c r="H9" s="961">
        <f t="shared" si="3"/>
        <v>0</v>
      </c>
      <c r="I9" s="961" t="str">
        <f>IF(H9&lt;'PlayerGrades+'!$AC$21,"F-",IF(H9&lt;'PlayerGrades+'!$AC$20,"F",IF(H9&lt;'PlayerGrades+'!$AC$19,"F+",IF(H9&lt;'PlayerGrades+'!$AC$18,"E-",IF(H9&lt;'PlayerGrades+'!$AC$17,"E",IF(H9&lt;'PlayerGrades+'!$AC$16,"E+",IF(H9&lt;'PlayerGrades+'!$AC$15,"D-",IF(H9&lt;'PlayerGrades+'!$AC$14,"D",IF(H9&lt;'PlayerGrades+'!$AC$13,"D+",IF(H9&lt;'PlayerGrades+'!$AC$12,"C-",IF(H9&lt;'PlayerGrades+'!$AC$11,"C",IF(H9&lt;'PlayerGrades+'!$AC$10,"C+",IF(H9&lt;'PlayerGrades+'!$AC$9,"B-",IF(H9&lt;'PlayerGrades+'!$AC$8,"B",IF(H9&lt;'PlayerGrades+'!$AC$7,"B+",IF(H9&lt;'PlayerGrades+'!$AC$6,"A-",IF(H9&lt;'PlayerGrades+'!$AC$5,"A",IF(H9&lt;'PlayerGrades+'!$AC$4,"A+",IF(H9&lt;'PlayerGrades+'!$AC$3,"S-",IF(H9&lt;'PlayerGrades+'!$AC$2,"S","S+"))))))))))))))))))))</f>
        <v>F-</v>
      </c>
      <c r="J9" s="961">
        <f t="shared" si="4"/>
        <v>0</v>
      </c>
      <c r="K9" s="961" t="str">
        <f>IF(J9&lt;'PlayerGrades+'!$AD$21,"F-",IF(J9&lt;'PlayerGrades+'!$AD$20,"F",IF(J9&lt;'PlayerGrades+'!$AD$19,"F+",IF(J9&lt;'PlayerGrades+'!$AD$18,"E-",IF(J9&lt;'PlayerGrades+'!$AD$17,"E",IF(J9&lt;'PlayerGrades+'!$AD$16,"E+",IF(J9&lt;'PlayerGrades+'!$AD$15,"D-",IF(J9&lt;'PlayerGrades+'!$AD$14,"D",IF(J9&lt;'PlayerGrades+'!$AD$13,"D+",IF(J9&lt;'PlayerGrades+'!$AD$12,"C-",IF(J9&lt;'PlayerGrades+'!$AD$11,"C",IF(J9&lt;'PlayerGrades+'!$AD$10,"C+",IF(J9&lt;'PlayerGrades+'!$AD$9,"B-",IF(J9&lt;'PlayerGrades+'!$AD$8,"B",IF(J9&lt;'PlayerGrades+'!$AD$7,"B+",IF(J9&lt;'PlayerGrades+'!$AD$6,"A-",IF(J9&lt;'PlayerGrades+'!$AD$5,"A",IF(J9&lt;'PlayerGrades+'!$AD$4,"A+",IF(J9&lt;'PlayerGrades+'!$AD$3,"S-",IF(J9&lt;'PlayerGrades+'!$AD$2,"S","S+"))))))))))))))))))))</f>
        <v>F-</v>
      </c>
      <c r="L9" s="1176">
        <f t="shared" si="5"/>
        <v>0.1801801802</v>
      </c>
      <c r="M9" s="992" t="str">
        <f>IF(L9&lt;'PlayerGrades+'!$AE$21,"F-",IF(L9&lt;'PlayerGrades+'!$AE$20,"F",IF(L9&lt;'PlayerGrades+'!$AE$19,"F+",IF(L9&lt;'PlayerGrades+'!$AE$18,"E-",IF(L9&lt;'PlayerGrades+'!$AE$17,"E",IF(L9&lt;'PlayerGrades+'!$AE$16,"E+",IF(L9&lt;'PlayerGrades+'!$AE$15,"D-",IF(L9&lt;'PlayerGrades+'!$AE$14,"D",IF(L9&lt;'PlayerGrades+'!$AE$13,"D+",IF(L9&lt;'PlayerGrades+'!$AE$12,"C-",IF(L9&lt;'PlayerGrades+'!$AE$11,"C",IF(L9&lt;'PlayerGrades+'!$AE$10,"C+",IF(L9&lt;'PlayerGrades+'!$AE$9,"B-",IF(L9&lt;'PlayerGrades+'!$AE$8,"B",IF(L9&lt;'PlayerGrades+'!$AE$7,"B+",IF(L9&lt;'PlayerGrades+'!$AE$6,"A-",IF(L9&lt;'PlayerGrades+'!$AE$5,"A",IF(L9&lt;'PlayerGrades+'!$AE$4,"A+",IF(L9&lt;'PlayerGrades+'!$AE$3,"S-",IF(L9&lt;'PlayerGrades+'!$AE$2,"S","S+"))))))))))))))))))))</f>
        <v>F-</v>
      </c>
      <c r="N9" s="961">
        <f t="shared" si="6"/>
        <v>0</v>
      </c>
      <c r="O9" s="961" t="str">
        <f>IF(N9&lt;'PlayerGrades+'!$AF$21,"F-",IF(N9&lt;'PlayerGrades+'!$AF$20,"F",IF(N9&lt;'PlayerGrades+'!$AF$19,"F+",IF(N9&lt;'PlayerGrades+'!$AF$18,"E-",IF(N9&lt;'PlayerGrades+'!$AF$17,"E",IF(N9&lt;'PlayerGrades+'!$AF$16,"E+",IF(N9&lt;'PlayerGrades+'!$AF$15,"D-",IF(N9&lt;'PlayerGrades+'!$AF$14,"D",IF(N9&lt;'PlayerGrades+'!$AF$13,"D+",IF(N9&lt;'PlayerGrades+'!$AF$12,"C-",IF(N9&lt;'PlayerGrades+'!$AF$11,"C",IF(N9&lt;'PlayerGrades+'!$AF$10,"C+",IF(N9&lt;'PlayerGrades+'!$AF$9,"B-",IF(N9&lt;'PlayerGrades+'!$AF$8,"B",IF(N9&lt;'PlayerGrades+'!$AF$7,"B+",IF(N9&lt;'PlayerGrades+'!$AF$6,"A-",IF(N9&lt;'PlayerGrades+'!$AF$5,"A",IF(N9&lt;'PlayerGrades+'!$AF$4,"A+",IF(N9&lt;'PlayerGrades+'!$AF$3,"S-",IF(N9&lt;'PlayerGrades+'!$AF$2,"S","S+"))))))))))))))))))))</f>
        <v>F-</v>
      </c>
      <c r="P9" s="961">
        <f t="shared" si="7"/>
        <v>0.3603603604</v>
      </c>
      <c r="Q9" s="961" t="str">
        <f>IF(P9&lt;'PlayerGrades+'!$AG$21,"F-",IF(P9&lt;'PlayerGrades+'!$AG$20,"F",IF(P9&lt;'PlayerGrades+'!$AG$19,"F+",IF(P9&lt;'PlayerGrades+'!$AG$18,"E-",IF(P9&lt;'PlayerGrades+'!$AG$17,"E",IF(P9&lt;'PlayerGrades+'!$AG$16,"E+",IF(P9&lt;'PlayerGrades+'!$AG$15,"D-",IF(P9&lt;'PlayerGrades+'!$AG$14,"D",IF(P9&lt;'PlayerGrades+'!$AG$13,"D+",IF(P9&lt;'PlayerGrades+'!$AG$12,"C-",IF(P9&lt;'PlayerGrades+'!$AG$11,"C",IF(P9&lt;'PlayerGrades+'!$AG$10,"C+",IF(P9&lt;'PlayerGrades+'!$AG$9,"B-",IF(P9&lt;'PlayerGrades+'!$AG$8,"B",IF(P9&lt;'PlayerGrades+'!$AG$7,"B+",IF(P9&lt;'PlayerGrades+'!$AG$6,"A-",IF(P9&lt;'PlayerGrades+'!$AG$5,"A",IF(P9&lt;'PlayerGrades+'!$AG$4,"A+",IF(P9&lt;'PlayerGrades+'!$AG$3,"S-",IF(P9&lt;'PlayerGrades+'!$AG$2,"S","S+"))))))))))))))))))))</f>
        <v>F</v>
      </c>
      <c r="R9" s="961">
        <f t="shared" si="8"/>
        <v>0</v>
      </c>
      <c r="S9" s="961" t="str">
        <f>IF(R9&lt;'PlayerGrades+'!$AH$21,"F-",IF(R9&lt;'PlayerGrades+'!$AH$20,"F",IF(R9&lt;'PlayerGrades+'!$AH$19,"F+",IF(R9&lt;'PlayerGrades+'!$AH$18,"E-",IF(R9&lt;'PlayerGrades+'!$AH$17,"E",IF(R9&lt;'PlayerGrades+'!$AH$16,"E+",IF(R9&lt;'PlayerGrades+'!$AH$15,"D-",IF(R9&lt;'PlayerGrades+'!$AH$14,"D",IF(R9&lt;'PlayerGrades+'!$AH$13,"D+",IF(R9&lt;'PlayerGrades+'!$AH$12,"C-",IF(R9&lt;'PlayerGrades+'!$AH$11,"C",IF(R9&lt;'PlayerGrades+'!$AH$10,"C+",IF(R9&lt;'PlayerGrades+'!$AH$9,"B-",IF(R9&lt;'PlayerGrades+'!$AH$8,"B",IF(R9&lt;'PlayerGrades+'!$AH$7,"B+",IF(R9&lt;'PlayerGrades+'!$AH$6,"A-",IF(R9&lt;'PlayerGrades+'!$AH$5,"A",IF(R9&lt;'PlayerGrades+'!$AH$4,"A+",IF(R9&lt;'PlayerGrades+'!$AH$3,"S-",IF(R9&lt;'PlayerGrades+'!$AH$2,"S","S+"))))))))))))))))))))</f>
        <v>F-</v>
      </c>
      <c r="T9" s="961">
        <f t="shared" si="9"/>
        <v>10.55</v>
      </c>
      <c r="U9" s="961" t="str">
        <f>IF(T9&lt;'PlayerGrades+'!$AI$21,"F-",IF(T9&lt;'PlayerGrades+'!$AI$20,"F",IF(T9&lt;'PlayerGrades+'!$AI$19,"F+",IF(T9&lt;'PlayerGrades+'!$AI$18,"E-",IF(T9&lt;'PlayerGrades+'!$AI$17,"E",IF(T9&lt;'PlayerGrades+'!$AI$16,"E+",IF(T9&lt;'PlayerGrades+'!$AI$15,"D-",IF(T9&lt;'PlayerGrades+'!$AI$14,"D",IF(T9&lt;'PlayerGrades+'!$AI$13,"D+",IF(T9&lt;'PlayerGrades+'!$AI$12,"C-",IF(T9&lt;'PlayerGrades+'!$AI$11,"C",IF(T9&lt;'PlayerGrades+'!$AI$10,"C+",IF(T9&lt;'PlayerGrades+'!$AI$9,"B-",IF(T9&lt;'PlayerGrades+'!$AI$8,"B",IF(T9&lt;'PlayerGrades+'!$AI$7,"B+",IF(T9&lt;'PlayerGrades+'!$AI$6,"A-",IF(T9&lt;'PlayerGrades+'!$AI$5,"A",IF(T9&lt;'PlayerGrades+'!$AI$4,"A+",IF(T9&lt;'PlayerGrades+'!$AI$3,"S-",IF(T9&lt;'PlayerGrades+'!$AI$2,"S","S+"))))))))))))))))))))</f>
        <v>S+</v>
      </c>
      <c r="V9" s="1195">
        <v>0.0</v>
      </c>
      <c r="W9" s="1195">
        <v>1.0</v>
      </c>
      <c r="X9" s="1195">
        <v>0.0</v>
      </c>
      <c r="Y9" s="1251">
        <v>1.0</v>
      </c>
      <c r="Z9" s="1251">
        <v>5.0</v>
      </c>
      <c r="AA9" s="1251">
        <v>19.0</v>
      </c>
      <c r="AB9" s="1195">
        <f t="shared" si="10"/>
        <v>-14</v>
      </c>
      <c r="AC9" s="1215">
        <f t="shared" si="11"/>
        <v>0.2631578947</v>
      </c>
      <c r="AD9" s="1216">
        <v>0.0</v>
      </c>
      <c r="AE9" s="1224" t="s">
        <v>886</v>
      </c>
      <c r="AF9" s="1251">
        <v>0.0</v>
      </c>
      <c r="AG9" s="1216">
        <v>0.0</v>
      </c>
      <c r="AH9" s="1216">
        <v>0.0</v>
      </c>
      <c r="AI9" s="1216">
        <v>0.0</v>
      </c>
      <c r="AJ9" s="1251">
        <v>1.0</v>
      </c>
      <c r="AK9" s="1251">
        <v>1.0</v>
      </c>
      <c r="AL9" s="1251">
        <v>0.0</v>
      </c>
      <c r="AM9" s="1251">
        <v>0.0</v>
      </c>
      <c r="AN9" s="1251">
        <v>0.0</v>
      </c>
      <c r="AO9" s="1216">
        <v>0.0</v>
      </c>
      <c r="AP9" s="1216">
        <v>0.0</v>
      </c>
      <c r="AQ9" s="1216">
        <v>0.0</v>
      </c>
      <c r="AR9" s="1216">
        <v>0.0</v>
      </c>
      <c r="AS9" s="1216">
        <v>0.0</v>
      </c>
      <c r="AT9" s="1216">
        <v>0.0</v>
      </c>
      <c r="AU9" s="1251">
        <v>0.0</v>
      </c>
      <c r="AV9" s="1216">
        <v>0.0</v>
      </c>
      <c r="AW9" s="1216">
        <v>0.0</v>
      </c>
      <c r="AX9" s="1216">
        <v>0.0</v>
      </c>
      <c r="AY9" s="1251">
        <v>0.0</v>
      </c>
      <c r="AZ9" s="1251">
        <v>0.0</v>
      </c>
    </row>
    <row r="10">
      <c r="A10" s="1145" t="s">
        <v>286</v>
      </c>
      <c r="B10" s="1100" t="str">
        <f>IF(C10&lt;'PlayerGrades+'!$Y$44,"F-",IF(C10&lt;'PlayerGrades+'!$Y$43,"F",IF(C10&lt;'PlayerGrades+'!$Y$42,"F+",IF(C10&lt;'PlayerGrades+'!$Y$41,"E-",IF(C10&lt;'PlayerGrades+'!$Y$40,"E",IF(C10&lt;'PlayerGrades+'!$Y$39,"E+",IF(C10&lt;'PlayerGrades+'!$Y$38,"D-",IF(C10&lt;'PlayerGrades+'!$Y$37,"D",IF(C10&lt;'PlayerGrades+'!$Y$36,"D+",IF(C10&lt;'PlayerGrades+'!$Y$35,"C-",IF(C10&lt;'PlayerGrades+'!$Y$34,"C",IF(C10&lt;'PlayerGrades+'!$Y$33,"C+",IF(C10&lt;'PlayerGrades+'!$Y$32,"B-",IF(C10&lt;'PlayerGrades+'!$Y$31,"B",IF(C10&lt;'PlayerGrades+'!$Y$30,"B+",IF(C10&lt;'PlayerGrades+'!$Y$29,"A-",IF(C10&lt;'PlayerGrades+'!$Y$28,"A",IF(C10&lt;'PlayerGrades+'!$Y$27,"A+",IF(C10&lt;'PlayerGrades+'!$Y$26,"S-",IF(C10&lt;'PlayerGrades+'!$Y$25,"S","S+"))))))))))))))))))))</f>
        <v>B</v>
      </c>
      <c r="C10" s="1239">
        <f>('PlayerGrades+'!$Y$47*(VLOOKUP(E10, 'PlayerGrades+'!$X$3:$Y$23, 2, FALSE)))+('PlayerGrades+'!$Y$48*(VLOOKUP(G10, 'PlayerGrades+'!$X$3:$Y$23, 2, FALSE)))+('PlayerGrades+'!$Y$49*(VLOOKUP(I10, 'PlayerGrades+'!$X$3:$Y$23, 2, FALSE)))+('PlayerGrades+'!$Y$50*(VLOOKUP(K10, 'PlayerGrades+'!$X$3:$Y$23, 2, FALSE)))+('PlayerGrades+'!$Y$51*(VLOOKUP(M10, 'PlayerGrades+'!$X$3:$Y$23, 2, FALSE)))+('PlayerGrades+'!$Y$52*(VLOOKUP(O10, 'PlayerGrades+'!$X$3:$Y$23, 2, FALSE)))+('PlayerGrades+'!$Y$53*(VLOOKUP(Q10, 'PlayerGrades+'!$X$3:$Y$23, 2, FALSE)))+('PlayerGrades+'!$Y$54*(VLOOKUP(S10, 'PlayerGrades+'!$X$3:$Y$23, 2, FALSE)))+('PlayerGrades+'!$Y$55*(VLOOKUP(U10, 'PlayerGrades+'!$X$3:$Y$23, 2, FALSE)))</f>
        <v>18.7</v>
      </c>
      <c r="D10" s="961">
        <f t="shared" si="1"/>
        <v>0</v>
      </c>
      <c r="E10" s="961" t="str">
        <f>IF(D10&lt;'PlayerGrades+'!$AA$21,"F-",IF(D10&lt;'PlayerGrades+'!$AA$20,"F",IF(D10&lt;'PlayerGrades+'!$AA$19,"F+",IF(D10&lt;'PlayerGrades+'!$AA$18,"E-",IF(D10&lt;'PlayerGrades+'!$AA$17,"E",IF(D10&lt;'PlayerGrades+'!$AA$16,"E+",IF(D10&lt;'PlayerGrades+'!$AA$15,"D-",IF(D10&lt;'PlayerGrades+'!$AA$14,"D",IF(D10&lt;'PlayerGrades+'!$AA$13,"D+",IF(D10&lt;'PlayerGrades+'!$AA$12,"C-",IF(D10&lt;'PlayerGrades+'!$AA$11,"C",IF(D10&lt;'PlayerGrades+'!$AA$10,"C+",IF(D10&lt;'PlayerGrades+'!$AA$9,"B-",IF(D10&lt;'PlayerGrades+'!$AA$8,"B",IF(D10&lt;'PlayerGrades+'!$AA$7,"B+",IF(D10&lt;'PlayerGrades+'!$AA$6,"A-",IF(D10&lt;'PlayerGrades+'!$AA$5,"A",IF(D10&lt;'PlayerGrades+'!$AA$4,"A+",IF(D10&lt;'PlayerGrades+'!$AA$3,"S-",IF(D10&lt;'PlayerGrades+'!$AA$2,"S","S+"))))))))))))))))))))</f>
        <v>F-</v>
      </c>
      <c r="F10" s="961">
        <f t="shared" si="2"/>
        <v>0.04896669738</v>
      </c>
      <c r="G10" s="961" t="str">
        <f>IF(F10&lt;'PlayerGrades+'!$AB$21,"F-",IF(F10&lt;'PlayerGrades+'!$AB$20,"F",IF(F10&lt;'PlayerGrades+'!$AB$19,"F+",IF(F10&lt;'PlayerGrades+'!$AB$18,"E-",IF(F10&lt;'PlayerGrades+'!$AB$17,"E",IF(F10&lt;'PlayerGrades+'!$AB$16,"E+",IF(F10&lt;'PlayerGrades+'!$AB$15,"D-",IF(F10&lt;'PlayerGrades+'!$AB$14,"D",IF(F10&lt;'PlayerGrades+'!$AB$13,"D+",IF(F10&lt;'PlayerGrades+'!$AB$12,"C-",IF(F10&lt;'PlayerGrades+'!$AB$11,"C",IF(F10&lt;'PlayerGrades+'!$AB$10,"C+",IF(F10&lt;'PlayerGrades+'!$AB$9,"B-",IF(F10&lt;'PlayerGrades+'!$AB$8,"B",IF(F10&lt;'PlayerGrades+'!$AB$7,"B+",IF(F10&lt;'PlayerGrades+'!$AB$6,"A-",IF(F10&lt;'PlayerGrades+'!$AB$5,"A",IF(F10&lt;'PlayerGrades+'!$AB$4,"A+",IF(F10&lt;'PlayerGrades+'!$AB$3,"S-",IF(F10&lt;'PlayerGrades+'!$AB$2,"S","S+"))))))))))))))))))))</f>
        <v>A</v>
      </c>
      <c r="H10" s="961">
        <f t="shared" si="3"/>
        <v>0.785046729</v>
      </c>
      <c r="I10" s="961" t="str">
        <f>IF(H10&lt;'PlayerGrades+'!$AC$21,"F-",IF(H10&lt;'PlayerGrades+'!$AC$20,"F",IF(H10&lt;'PlayerGrades+'!$AC$19,"F+",IF(H10&lt;'PlayerGrades+'!$AC$18,"E-",IF(H10&lt;'PlayerGrades+'!$AC$17,"E",IF(H10&lt;'PlayerGrades+'!$AC$16,"E+",IF(H10&lt;'PlayerGrades+'!$AC$15,"D-",IF(H10&lt;'PlayerGrades+'!$AC$14,"D",IF(H10&lt;'PlayerGrades+'!$AC$13,"D+",IF(H10&lt;'PlayerGrades+'!$AC$12,"C-",IF(H10&lt;'PlayerGrades+'!$AC$11,"C",IF(H10&lt;'PlayerGrades+'!$AC$10,"C+",IF(H10&lt;'PlayerGrades+'!$AC$9,"B-",IF(H10&lt;'PlayerGrades+'!$AC$8,"B",IF(H10&lt;'PlayerGrades+'!$AC$7,"B+",IF(H10&lt;'PlayerGrades+'!$AC$6,"A-",IF(H10&lt;'PlayerGrades+'!$AC$5,"A",IF(H10&lt;'PlayerGrades+'!$AC$4,"A+",IF(H10&lt;'PlayerGrades+'!$AC$3,"S-",IF(H10&lt;'PlayerGrades+'!$AC$2,"S","S+"))))))))))))))))))))</f>
        <v>S-</v>
      </c>
      <c r="J10" s="961">
        <f t="shared" si="4"/>
        <v>0</v>
      </c>
      <c r="K10" s="961" t="str">
        <f>IF(J10&lt;'PlayerGrades+'!$AD$21,"F-",IF(J10&lt;'PlayerGrades+'!$AD$20,"F",IF(J10&lt;'PlayerGrades+'!$AD$19,"F+",IF(J10&lt;'PlayerGrades+'!$AD$18,"E-",IF(J10&lt;'PlayerGrades+'!$AD$17,"E",IF(J10&lt;'PlayerGrades+'!$AD$16,"E+",IF(J10&lt;'PlayerGrades+'!$AD$15,"D-",IF(J10&lt;'PlayerGrades+'!$AD$14,"D",IF(J10&lt;'PlayerGrades+'!$AD$13,"D+",IF(J10&lt;'PlayerGrades+'!$AD$12,"C-",IF(J10&lt;'PlayerGrades+'!$AD$11,"C",IF(J10&lt;'PlayerGrades+'!$AD$10,"C+",IF(J10&lt;'PlayerGrades+'!$AD$9,"B-",IF(J10&lt;'PlayerGrades+'!$AD$8,"B",IF(J10&lt;'PlayerGrades+'!$AD$7,"B+",IF(J10&lt;'PlayerGrades+'!$AD$6,"A-",IF(J10&lt;'PlayerGrades+'!$AD$5,"A",IF(J10&lt;'PlayerGrades+'!$AD$4,"A+",IF(J10&lt;'PlayerGrades+'!$AD$3,"S-",IF(J10&lt;'PlayerGrades+'!$AD$2,"S","S+"))))))))))))))))))))</f>
        <v>F-</v>
      </c>
      <c r="L10" s="1176">
        <f t="shared" si="5"/>
        <v>0.5607476636</v>
      </c>
      <c r="M10" s="992" t="str">
        <f>IF(L10&lt;'PlayerGrades+'!$AE$21,"F-",IF(L10&lt;'PlayerGrades+'!$AE$20,"F",IF(L10&lt;'PlayerGrades+'!$AE$19,"F+",IF(L10&lt;'PlayerGrades+'!$AE$18,"E-",IF(L10&lt;'PlayerGrades+'!$AE$17,"E",IF(L10&lt;'PlayerGrades+'!$AE$16,"E+",IF(L10&lt;'PlayerGrades+'!$AE$15,"D-",IF(L10&lt;'PlayerGrades+'!$AE$14,"D",IF(L10&lt;'PlayerGrades+'!$AE$13,"D+",IF(L10&lt;'PlayerGrades+'!$AE$12,"C-",IF(L10&lt;'PlayerGrades+'!$AE$11,"C",IF(L10&lt;'PlayerGrades+'!$AE$10,"C+",IF(L10&lt;'PlayerGrades+'!$AE$9,"B-",IF(L10&lt;'PlayerGrades+'!$AE$8,"B",IF(L10&lt;'PlayerGrades+'!$AE$7,"B+",IF(L10&lt;'PlayerGrades+'!$AE$6,"A-",IF(L10&lt;'PlayerGrades+'!$AE$5,"A",IF(L10&lt;'PlayerGrades+'!$AE$4,"A+",IF(L10&lt;'PlayerGrades+'!$AE$3,"S-",IF(L10&lt;'PlayerGrades+'!$AE$2,"S","S+"))))))))))))))))))))</f>
        <v>A-</v>
      </c>
      <c r="N10" s="961">
        <f t="shared" si="6"/>
        <v>0.1121495327</v>
      </c>
      <c r="O10" s="961" t="str">
        <f>IF(N10&lt;'PlayerGrades+'!$AF$21,"F-",IF(N10&lt;'PlayerGrades+'!$AF$20,"F",IF(N10&lt;'PlayerGrades+'!$AF$19,"F+",IF(N10&lt;'PlayerGrades+'!$AF$18,"E-",IF(N10&lt;'PlayerGrades+'!$AF$17,"E",IF(N10&lt;'PlayerGrades+'!$AF$16,"E+",IF(N10&lt;'PlayerGrades+'!$AF$15,"D-",IF(N10&lt;'PlayerGrades+'!$AF$14,"D",IF(N10&lt;'PlayerGrades+'!$AF$13,"D+",IF(N10&lt;'PlayerGrades+'!$AF$12,"C-",IF(N10&lt;'PlayerGrades+'!$AF$11,"C",IF(N10&lt;'PlayerGrades+'!$AF$10,"C+",IF(N10&lt;'PlayerGrades+'!$AF$9,"B-",IF(N10&lt;'PlayerGrades+'!$AF$8,"B",IF(N10&lt;'PlayerGrades+'!$AF$7,"B+",IF(N10&lt;'PlayerGrades+'!$AF$6,"A-",IF(N10&lt;'PlayerGrades+'!$AF$5,"A",IF(N10&lt;'PlayerGrades+'!$AF$4,"A+",IF(N10&lt;'PlayerGrades+'!$AF$3,"S-",IF(N10&lt;'PlayerGrades+'!$AF$2,"S","S+"))))))))))))))))))))</f>
        <v>C</v>
      </c>
      <c r="P10" s="961">
        <f t="shared" si="7"/>
        <v>0.6728971963</v>
      </c>
      <c r="Q10" s="961" t="str">
        <f>IF(P10&lt;'PlayerGrades+'!$AG$21,"F-",IF(P10&lt;'PlayerGrades+'!$AG$20,"F",IF(P10&lt;'PlayerGrades+'!$AG$19,"F+",IF(P10&lt;'PlayerGrades+'!$AG$18,"E-",IF(P10&lt;'PlayerGrades+'!$AG$17,"E",IF(P10&lt;'PlayerGrades+'!$AG$16,"E+",IF(P10&lt;'PlayerGrades+'!$AG$15,"D-",IF(P10&lt;'PlayerGrades+'!$AG$14,"D",IF(P10&lt;'PlayerGrades+'!$AG$13,"D+",IF(P10&lt;'PlayerGrades+'!$AG$12,"C-",IF(P10&lt;'PlayerGrades+'!$AG$11,"C",IF(P10&lt;'PlayerGrades+'!$AG$10,"C+",IF(P10&lt;'PlayerGrades+'!$AG$9,"B-",IF(P10&lt;'PlayerGrades+'!$AG$8,"B",IF(P10&lt;'PlayerGrades+'!$AG$7,"B+",IF(P10&lt;'PlayerGrades+'!$AG$6,"A-",IF(P10&lt;'PlayerGrades+'!$AG$5,"A",IF(P10&lt;'PlayerGrades+'!$AG$4,"A+",IF(P10&lt;'PlayerGrades+'!$AG$3,"S-",IF(P10&lt;'PlayerGrades+'!$AG$2,"S","S+"))))))))))))))))))))</f>
        <v>B</v>
      </c>
      <c r="R10" s="961">
        <f t="shared" si="8"/>
        <v>0.1682242991</v>
      </c>
      <c r="S10" s="961" t="str">
        <f>IF(R10&lt;'PlayerGrades+'!$AH$21,"F-",IF(R10&lt;'PlayerGrades+'!$AH$20,"F",IF(R10&lt;'PlayerGrades+'!$AH$19,"F+",IF(R10&lt;'PlayerGrades+'!$AH$18,"E-",IF(R10&lt;'PlayerGrades+'!$AH$17,"E",IF(R10&lt;'PlayerGrades+'!$AH$16,"E+",IF(R10&lt;'PlayerGrades+'!$AH$15,"D-",IF(R10&lt;'PlayerGrades+'!$AH$14,"D",IF(R10&lt;'PlayerGrades+'!$AH$13,"D+",IF(R10&lt;'PlayerGrades+'!$AH$12,"C-",IF(R10&lt;'PlayerGrades+'!$AH$11,"C",IF(R10&lt;'PlayerGrades+'!$AH$10,"C+",IF(R10&lt;'PlayerGrades+'!$AH$9,"B-",IF(R10&lt;'PlayerGrades+'!$AH$8,"B",IF(R10&lt;'PlayerGrades+'!$AH$7,"B+",IF(R10&lt;'PlayerGrades+'!$AH$6,"A-",IF(R10&lt;'PlayerGrades+'!$AH$5,"A",IF(R10&lt;'PlayerGrades+'!$AH$4,"A+",IF(R10&lt;'PlayerGrades+'!$AH$3,"S-",IF(R10&lt;'PlayerGrades+'!$AH$2,"S","S+"))))))))))))))))))))</f>
        <v>S+</v>
      </c>
      <c r="T10" s="961">
        <f t="shared" si="9"/>
        <v>79.83333333</v>
      </c>
      <c r="U10" s="961" t="str">
        <f>IF(T10&lt;'PlayerGrades+'!$AI$21,"F-",IF(T10&lt;'PlayerGrades+'!$AI$20,"F",IF(T10&lt;'PlayerGrades+'!$AI$19,"F+",IF(T10&lt;'PlayerGrades+'!$AI$18,"E-",IF(T10&lt;'PlayerGrades+'!$AI$17,"E",IF(T10&lt;'PlayerGrades+'!$AI$16,"E+",IF(T10&lt;'PlayerGrades+'!$AI$15,"D-",IF(T10&lt;'PlayerGrades+'!$AI$14,"D",IF(T10&lt;'PlayerGrades+'!$AI$13,"D+",IF(T10&lt;'PlayerGrades+'!$AI$12,"C-",IF(T10&lt;'PlayerGrades+'!$AI$11,"C",IF(T10&lt;'PlayerGrades+'!$AI$10,"C+",IF(T10&lt;'PlayerGrades+'!$AI$9,"B-",IF(T10&lt;'PlayerGrades+'!$AI$8,"B",IF(T10&lt;'PlayerGrades+'!$AI$7,"B+",IF(T10&lt;'PlayerGrades+'!$AI$6,"A-",IF(T10&lt;'PlayerGrades+'!$AI$5,"A",IF(T10&lt;'PlayerGrades+'!$AI$4,"A+",IF(T10&lt;'PlayerGrades+'!$AI$3,"S-",IF(T10&lt;'PlayerGrades+'!$AI$2,"S","S+"))))))))))))))))))))</f>
        <v>S+</v>
      </c>
      <c r="V10" s="1254">
        <v>1.0</v>
      </c>
      <c r="W10" s="1254">
        <v>0.0</v>
      </c>
      <c r="X10" s="1254">
        <v>0.0</v>
      </c>
      <c r="Y10" s="1254">
        <v>5.0</v>
      </c>
      <c r="Z10" s="1254">
        <v>62.0</v>
      </c>
      <c r="AA10" s="1254">
        <v>71.0</v>
      </c>
      <c r="AB10" s="1254">
        <f t="shared" si="10"/>
        <v>-9</v>
      </c>
      <c r="AC10" s="1196">
        <f t="shared" si="11"/>
        <v>0.8732394366</v>
      </c>
      <c r="AD10" s="1197">
        <v>0.0</v>
      </c>
      <c r="AE10" s="1198" t="s">
        <v>469</v>
      </c>
      <c r="AF10" s="1254">
        <v>0.0</v>
      </c>
      <c r="AG10" s="1197">
        <v>0.0</v>
      </c>
      <c r="AH10" s="1197">
        <v>0.0</v>
      </c>
      <c r="AI10" s="1197">
        <v>0.0</v>
      </c>
      <c r="AJ10" s="1197">
        <v>0.0</v>
      </c>
      <c r="AK10" s="1197">
        <v>10.0</v>
      </c>
      <c r="AL10" s="1197">
        <v>2.0</v>
      </c>
      <c r="AM10" s="1197">
        <v>0.0</v>
      </c>
      <c r="AN10" s="1197">
        <v>0.0</v>
      </c>
      <c r="AO10" s="1197">
        <v>0.0</v>
      </c>
      <c r="AP10" s="1197">
        <v>0.0</v>
      </c>
      <c r="AQ10" s="1197">
        <v>0.0</v>
      </c>
      <c r="AR10" s="1197">
        <v>0.0</v>
      </c>
      <c r="AS10" s="1197">
        <v>0.0</v>
      </c>
      <c r="AT10" s="1197">
        <v>0.0</v>
      </c>
      <c r="AU10" s="1197">
        <v>14.0</v>
      </c>
      <c r="AV10" s="1255">
        <v>0.0</v>
      </c>
      <c r="AW10" s="1255">
        <v>0.0</v>
      </c>
      <c r="AX10" s="1255">
        <v>0.0</v>
      </c>
      <c r="AY10" s="1197">
        <v>1.0</v>
      </c>
      <c r="AZ10" s="1197">
        <v>2.0</v>
      </c>
    </row>
    <row r="11">
      <c r="A11" s="1145" t="s">
        <v>44</v>
      </c>
      <c r="B11" s="1100" t="str">
        <f>IF(C11&lt;'PlayerGrades+'!$Y$44,"F-",IF(C11&lt;'PlayerGrades+'!$Y$43,"F",IF(C11&lt;'PlayerGrades+'!$Y$42,"F+",IF(C11&lt;'PlayerGrades+'!$Y$41,"E-",IF(C11&lt;'PlayerGrades+'!$Y$40,"E",IF(C11&lt;'PlayerGrades+'!$Y$39,"E+",IF(C11&lt;'PlayerGrades+'!$Y$38,"D-",IF(C11&lt;'PlayerGrades+'!$Y$37,"D",IF(C11&lt;'PlayerGrades+'!$Y$36,"D+",IF(C11&lt;'PlayerGrades+'!$Y$35,"C-",IF(C11&lt;'PlayerGrades+'!$Y$34,"C",IF(C11&lt;'PlayerGrades+'!$Y$33,"C+",IF(C11&lt;'PlayerGrades+'!$Y$32,"B-",IF(C11&lt;'PlayerGrades+'!$Y$31,"B",IF(C11&lt;'PlayerGrades+'!$Y$30,"B+",IF(C11&lt;'PlayerGrades+'!$Y$29,"A-",IF(C11&lt;'PlayerGrades+'!$Y$28,"A",IF(C11&lt;'PlayerGrades+'!$Y$27,"A+",IF(C11&lt;'PlayerGrades+'!$Y$26,"S-",IF(C11&lt;'PlayerGrades+'!$Y$25,"S","S+"))))))))))))))))))))</f>
        <v>C</v>
      </c>
      <c r="C11" s="1239">
        <f>('PlayerGrades+'!$Y$47*(VLOOKUP(E11, 'PlayerGrades+'!$X$3:$Y$23, 2, FALSE)))+('PlayerGrades+'!$Y$48*(VLOOKUP(G11, 'PlayerGrades+'!$X$3:$Y$23, 2, FALSE)))+('PlayerGrades+'!$Y$49*(VLOOKUP(I11, 'PlayerGrades+'!$X$3:$Y$23, 2, FALSE)))+('PlayerGrades+'!$Y$50*(VLOOKUP(K11, 'PlayerGrades+'!$X$3:$Y$23, 2, FALSE)))+('PlayerGrades+'!$Y$51*(VLOOKUP(M11, 'PlayerGrades+'!$X$3:$Y$23, 2, FALSE)))+('PlayerGrades+'!$Y$52*(VLOOKUP(O11, 'PlayerGrades+'!$X$3:$Y$23, 2, FALSE)))+('PlayerGrades+'!$Y$53*(VLOOKUP(Q11, 'PlayerGrades+'!$X$3:$Y$23, 2, FALSE)))+('PlayerGrades+'!$Y$54*(VLOOKUP(S11, 'PlayerGrades+'!$X$3:$Y$23, 2, FALSE)))+('PlayerGrades+'!$Y$55*(VLOOKUP(U11, 'PlayerGrades+'!$X$3:$Y$23, 2, FALSE)))</f>
        <v>15.1375</v>
      </c>
      <c r="D11" s="961">
        <f t="shared" si="1"/>
        <v>0</v>
      </c>
      <c r="E11" s="961" t="str">
        <f>IF(D11&lt;'PlayerGrades+'!$AA$21,"F-",IF(D11&lt;'PlayerGrades+'!$AA$20,"F",IF(D11&lt;'PlayerGrades+'!$AA$19,"F+",IF(D11&lt;'PlayerGrades+'!$AA$18,"E-",IF(D11&lt;'PlayerGrades+'!$AA$17,"E",IF(D11&lt;'PlayerGrades+'!$AA$16,"E+",IF(D11&lt;'PlayerGrades+'!$AA$15,"D-",IF(D11&lt;'PlayerGrades+'!$AA$14,"D",IF(D11&lt;'PlayerGrades+'!$AA$13,"D+",IF(D11&lt;'PlayerGrades+'!$AA$12,"C-",IF(D11&lt;'PlayerGrades+'!$AA$11,"C",IF(D11&lt;'PlayerGrades+'!$AA$10,"C+",IF(D11&lt;'PlayerGrades+'!$AA$9,"B-",IF(D11&lt;'PlayerGrades+'!$AA$8,"B",IF(D11&lt;'PlayerGrades+'!$AA$7,"B+",IF(D11&lt;'PlayerGrades+'!$AA$6,"A-",IF(D11&lt;'PlayerGrades+'!$AA$5,"A",IF(D11&lt;'PlayerGrades+'!$AA$4,"A+",IF(D11&lt;'PlayerGrades+'!$AA$3,"S-",IF(D11&lt;'PlayerGrades+'!$AA$2,"S","S+"))))))))))))))))))))</f>
        <v>F-</v>
      </c>
      <c r="F11" s="961">
        <f t="shared" si="2"/>
        <v>0.03896721052</v>
      </c>
      <c r="G11" s="961" t="str">
        <f>IF(F11&lt;'PlayerGrades+'!$AB$21,"F-",IF(F11&lt;'PlayerGrades+'!$AB$20,"F",IF(F11&lt;'PlayerGrades+'!$AB$19,"F+",IF(F11&lt;'PlayerGrades+'!$AB$18,"E-",IF(F11&lt;'PlayerGrades+'!$AB$17,"E",IF(F11&lt;'PlayerGrades+'!$AB$16,"E+",IF(F11&lt;'PlayerGrades+'!$AB$15,"D-",IF(F11&lt;'PlayerGrades+'!$AB$14,"D",IF(F11&lt;'PlayerGrades+'!$AB$13,"D+",IF(F11&lt;'PlayerGrades+'!$AB$12,"C-",IF(F11&lt;'PlayerGrades+'!$AB$11,"C",IF(F11&lt;'PlayerGrades+'!$AB$10,"C+",IF(F11&lt;'PlayerGrades+'!$AB$9,"B-",IF(F11&lt;'PlayerGrades+'!$AB$8,"B",IF(F11&lt;'PlayerGrades+'!$AB$7,"B+",IF(F11&lt;'PlayerGrades+'!$AB$6,"A-",IF(F11&lt;'PlayerGrades+'!$AB$5,"A",IF(F11&lt;'PlayerGrades+'!$AB$4,"A+",IF(F11&lt;'PlayerGrades+'!$AB$3,"S-",IF(F11&lt;'PlayerGrades+'!$AB$2,"S","S+"))))))))))))))))))))</f>
        <v>A</v>
      </c>
      <c r="H11" s="961">
        <f t="shared" si="3"/>
        <v>0.3925233645</v>
      </c>
      <c r="I11" s="961" t="str">
        <f>IF(H11&lt;'PlayerGrades+'!$AC$21,"F-",IF(H11&lt;'PlayerGrades+'!$AC$20,"F",IF(H11&lt;'PlayerGrades+'!$AC$19,"F+",IF(H11&lt;'PlayerGrades+'!$AC$18,"E-",IF(H11&lt;'PlayerGrades+'!$AC$17,"E",IF(H11&lt;'PlayerGrades+'!$AC$16,"E+",IF(H11&lt;'PlayerGrades+'!$AC$15,"D-",IF(H11&lt;'PlayerGrades+'!$AC$14,"D",IF(H11&lt;'PlayerGrades+'!$AC$13,"D+",IF(H11&lt;'PlayerGrades+'!$AC$12,"C-",IF(H11&lt;'PlayerGrades+'!$AC$11,"C",IF(H11&lt;'PlayerGrades+'!$AC$10,"C+",IF(H11&lt;'PlayerGrades+'!$AC$9,"B-",IF(H11&lt;'PlayerGrades+'!$AC$8,"B",IF(H11&lt;'PlayerGrades+'!$AC$7,"B+",IF(H11&lt;'PlayerGrades+'!$AC$6,"A-",IF(H11&lt;'PlayerGrades+'!$AC$5,"A",IF(H11&lt;'PlayerGrades+'!$AC$4,"A+",IF(H11&lt;'PlayerGrades+'!$AC$3,"S-",IF(H11&lt;'PlayerGrades+'!$AC$2,"S","S+"))))))))))))))))))))</f>
        <v>D</v>
      </c>
      <c r="J11" s="961">
        <f t="shared" si="4"/>
        <v>0.05607476636</v>
      </c>
      <c r="K11" s="961" t="str">
        <f>IF(J11&lt;'PlayerGrades+'!$AD$21,"F-",IF(J11&lt;'PlayerGrades+'!$AD$20,"F",IF(J11&lt;'PlayerGrades+'!$AD$19,"F+",IF(J11&lt;'PlayerGrades+'!$AD$18,"E-",IF(J11&lt;'PlayerGrades+'!$AD$17,"E",IF(J11&lt;'PlayerGrades+'!$AD$16,"E+",IF(J11&lt;'PlayerGrades+'!$AD$15,"D-",IF(J11&lt;'PlayerGrades+'!$AD$14,"D",IF(J11&lt;'PlayerGrades+'!$AD$13,"D+",IF(J11&lt;'PlayerGrades+'!$AD$12,"C-",IF(J11&lt;'PlayerGrades+'!$AD$11,"C",IF(J11&lt;'PlayerGrades+'!$AD$10,"C+",IF(J11&lt;'PlayerGrades+'!$AD$9,"B-",IF(J11&lt;'PlayerGrades+'!$AD$8,"B",IF(J11&lt;'PlayerGrades+'!$AD$7,"B+",IF(J11&lt;'PlayerGrades+'!$AD$6,"A-",IF(J11&lt;'PlayerGrades+'!$AD$5,"A",IF(J11&lt;'PlayerGrades+'!$AD$4,"A+",IF(J11&lt;'PlayerGrades+'!$AD$3,"S-",IF(J11&lt;'PlayerGrades+'!$AD$2,"S","S+"))))))))))))))))))))</f>
        <v>B-</v>
      </c>
      <c r="L11" s="1176">
        <f t="shared" si="5"/>
        <v>0.2242990654</v>
      </c>
      <c r="M11" s="992" t="str">
        <f>IF(L11&lt;'PlayerGrades+'!$AE$21,"F-",IF(L11&lt;'PlayerGrades+'!$AE$20,"F",IF(L11&lt;'PlayerGrades+'!$AE$19,"F+",IF(L11&lt;'PlayerGrades+'!$AE$18,"E-",IF(L11&lt;'PlayerGrades+'!$AE$17,"E",IF(L11&lt;'PlayerGrades+'!$AE$16,"E+",IF(L11&lt;'PlayerGrades+'!$AE$15,"D-",IF(L11&lt;'PlayerGrades+'!$AE$14,"D",IF(L11&lt;'PlayerGrades+'!$AE$13,"D+",IF(L11&lt;'PlayerGrades+'!$AE$12,"C-",IF(L11&lt;'PlayerGrades+'!$AE$11,"C",IF(L11&lt;'PlayerGrades+'!$AE$10,"C+",IF(L11&lt;'PlayerGrades+'!$AE$9,"B-",IF(L11&lt;'PlayerGrades+'!$AE$8,"B",IF(L11&lt;'PlayerGrades+'!$AE$7,"B+",IF(L11&lt;'PlayerGrades+'!$AE$6,"A-",IF(L11&lt;'PlayerGrades+'!$AE$5,"A",IF(L11&lt;'PlayerGrades+'!$AE$4,"A+",IF(L11&lt;'PlayerGrades+'!$AE$3,"S-",IF(L11&lt;'PlayerGrades+'!$AE$2,"S","S+"))))))))))))))))))))</f>
        <v>F</v>
      </c>
      <c r="N11" s="961">
        <f t="shared" si="6"/>
        <v>0.1682242991</v>
      </c>
      <c r="O11" s="961" t="str">
        <f>IF(N11&lt;'PlayerGrades+'!$AF$21,"F-",IF(N11&lt;'PlayerGrades+'!$AF$20,"F",IF(N11&lt;'PlayerGrades+'!$AF$19,"F+",IF(N11&lt;'PlayerGrades+'!$AF$18,"E-",IF(N11&lt;'PlayerGrades+'!$AF$17,"E",IF(N11&lt;'PlayerGrades+'!$AF$16,"E+",IF(N11&lt;'PlayerGrades+'!$AF$15,"D-",IF(N11&lt;'PlayerGrades+'!$AF$14,"D",IF(N11&lt;'PlayerGrades+'!$AF$13,"D+",IF(N11&lt;'PlayerGrades+'!$AF$12,"C-",IF(N11&lt;'PlayerGrades+'!$AF$11,"C",IF(N11&lt;'PlayerGrades+'!$AF$10,"C+",IF(N11&lt;'PlayerGrades+'!$AF$9,"B-",IF(N11&lt;'PlayerGrades+'!$AF$8,"B",IF(N11&lt;'PlayerGrades+'!$AF$7,"B+",IF(N11&lt;'PlayerGrades+'!$AF$6,"A-",IF(N11&lt;'PlayerGrades+'!$AF$5,"A",IF(N11&lt;'PlayerGrades+'!$AF$4,"A+",IF(N11&lt;'PlayerGrades+'!$AF$3,"S-",IF(N11&lt;'PlayerGrades+'!$AF$2,"S","S+"))))))))))))))))))))</f>
        <v>A</v>
      </c>
      <c r="P11" s="961">
        <f t="shared" si="7"/>
        <v>0.3925233645</v>
      </c>
      <c r="Q11" s="961" t="str">
        <f>IF(P11&lt;'PlayerGrades+'!$AG$21,"F-",IF(P11&lt;'PlayerGrades+'!$AG$20,"F",IF(P11&lt;'PlayerGrades+'!$AG$19,"F+",IF(P11&lt;'PlayerGrades+'!$AG$18,"E-",IF(P11&lt;'PlayerGrades+'!$AG$17,"E",IF(P11&lt;'PlayerGrades+'!$AG$16,"E+",IF(P11&lt;'PlayerGrades+'!$AG$15,"D-",IF(P11&lt;'PlayerGrades+'!$AG$14,"D",IF(P11&lt;'PlayerGrades+'!$AG$13,"D+",IF(P11&lt;'PlayerGrades+'!$AG$12,"C-",IF(P11&lt;'PlayerGrades+'!$AG$11,"C",IF(P11&lt;'PlayerGrades+'!$AG$10,"C+",IF(P11&lt;'PlayerGrades+'!$AG$9,"B-",IF(P11&lt;'PlayerGrades+'!$AG$8,"B",IF(P11&lt;'PlayerGrades+'!$AG$7,"B+",IF(P11&lt;'PlayerGrades+'!$AG$6,"A-",IF(P11&lt;'PlayerGrades+'!$AG$5,"A",IF(P11&lt;'PlayerGrades+'!$AG$4,"A+",IF(P11&lt;'PlayerGrades+'!$AG$3,"S-",IF(P11&lt;'PlayerGrades+'!$AG$2,"S","S+"))))))))))))))))))))</f>
        <v>F+</v>
      </c>
      <c r="R11" s="961">
        <f t="shared" si="8"/>
        <v>0.05607476636</v>
      </c>
      <c r="S11" s="961" t="str">
        <f>IF(R11&lt;'PlayerGrades+'!$AH$21,"F-",IF(R11&lt;'PlayerGrades+'!$AH$20,"F",IF(R11&lt;'PlayerGrades+'!$AH$19,"F+",IF(R11&lt;'PlayerGrades+'!$AH$18,"E-",IF(R11&lt;'PlayerGrades+'!$AH$17,"E",IF(R11&lt;'PlayerGrades+'!$AH$16,"E+",IF(R11&lt;'PlayerGrades+'!$AH$15,"D-",IF(R11&lt;'PlayerGrades+'!$AH$14,"D",IF(R11&lt;'PlayerGrades+'!$AH$13,"D+",IF(R11&lt;'PlayerGrades+'!$AH$12,"C-",IF(R11&lt;'PlayerGrades+'!$AH$11,"C",IF(R11&lt;'PlayerGrades+'!$AH$10,"C+",IF(R11&lt;'PlayerGrades+'!$AH$9,"B-",IF(R11&lt;'PlayerGrades+'!$AH$8,"B",IF(R11&lt;'PlayerGrades+'!$AH$7,"B+",IF(R11&lt;'PlayerGrades+'!$AH$6,"A-",IF(R11&lt;'PlayerGrades+'!$AH$5,"A",IF(R11&lt;'PlayerGrades+'!$AH$4,"A+",IF(R11&lt;'PlayerGrades+'!$AH$3,"S-",IF(R11&lt;'PlayerGrades+'!$AH$2,"S","S+"))))))))))))))))))))</f>
        <v>C-</v>
      </c>
      <c r="T11" s="961">
        <f t="shared" si="9"/>
        <v>58.83333333</v>
      </c>
      <c r="U11" s="961" t="str">
        <f>IF(T11&lt;'PlayerGrades+'!$AI$21,"F-",IF(T11&lt;'PlayerGrades+'!$AI$20,"F",IF(T11&lt;'PlayerGrades+'!$AI$19,"F+",IF(T11&lt;'PlayerGrades+'!$AI$18,"E-",IF(T11&lt;'PlayerGrades+'!$AI$17,"E",IF(T11&lt;'PlayerGrades+'!$AI$16,"E+",IF(T11&lt;'PlayerGrades+'!$AI$15,"D-",IF(T11&lt;'PlayerGrades+'!$AI$14,"D",IF(T11&lt;'PlayerGrades+'!$AI$13,"D+",IF(T11&lt;'PlayerGrades+'!$AI$12,"C-",IF(T11&lt;'PlayerGrades+'!$AI$11,"C",IF(T11&lt;'PlayerGrades+'!$AI$10,"C+",IF(T11&lt;'PlayerGrades+'!$AI$9,"B-",IF(T11&lt;'PlayerGrades+'!$AI$8,"B",IF(T11&lt;'PlayerGrades+'!$AI$7,"B+",IF(T11&lt;'PlayerGrades+'!$AI$6,"A-",IF(T11&lt;'PlayerGrades+'!$AI$5,"A",IF(T11&lt;'PlayerGrades+'!$AI$4,"A+",IF(T11&lt;'PlayerGrades+'!$AI$3,"S-",IF(T11&lt;'PlayerGrades+'!$AI$2,"S","S+"))))))))))))))))))))</f>
        <v>S+</v>
      </c>
      <c r="V11" s="1195">
        <v>1.0</v>
      </c>
      <c r="W11" s="1195">
        <v>0.0</v>
      </c>
      <c r="X11" s="1195">
        <v>0.0</v>
      </c>
      <c r="Y11" s="1195">
        <v>6.0</v>
      </c>
      <c r="Z11" s="1195">
        <v>41.0</v>
      </c>
      <c r="AA11" s="1195">
        <v>59.0</v>
      </c>
      <c r="AB11" s="1195">
        <f t="shared" si="10"/>
        <v>-18</v>
      </c>
      <c r="AC11" s="1215">
        <f t="shared" si="11"/>
        <v>0.6949152542</v>
      </c>
      <c r="AD11" s="1216">
        <v>0.0</v>
      </c>
      <c r="AE11" s="1218" t="s">
        <v>469</v>
      </c>
      <c r="AF11" s="1195">
        <v>1.0</v>
      </c>
      <c r="AG11" s="1216">
        <v>0.0</v>
      </c>
      <c r="AH11" s="1216">
        <v>0.0</v>
      </c>
      <c r="AI11" s="1216">
        <v>0.0</v>
      </c>
      <c r="AJ11" s="1216">
        <v>0.0</v>
      </c>
      <c r="AK11" s="1216">
        <v>4.0</v>
      </c>
      <c r="AL11" s="1216">
        <v>3.0</v>
      </c>
      <c r="AM11" s="1216">
        <v>0.0</v>
      </c>
      <c r="AN11" s="1216">
        <v>0.0</v>
      </c>
      <c r="AO11" s="1216">
        <v>0.0</v>
      </c>
      <c r="AP11" s="1216">
        <v>0.0</v>
      </c>
      <c r="AQ11" s="1216">
        <v>0.0</v>
      </c>
      <c r="AR11" s="1216">
        <v>0.0</v>
      </c>
      <c r="AS11" s="1216">
        <v>0.0</v>
      </c>
      <c r="AT11" s="1216">
        <v>0.0</v>
      </c>
      <c r="AU11" s="1216">
        <v>7.0</v>
      </c>
      <c r="AV11" s="1257">
        <v>0.0</v>
      </c>
      <c r="AW11" s="1257">
        <v>0.0</v>
      </c>
      <c r="AX11" s="1257">
        <v>0.0</v>
      </c>
      <c r="AY11" s="1216">
        <v>0.0</v>
      </c>
      <c r="AZ11" s="1216">
        <v>1.0</v>
      </c>
    </row>
    <row r="12">
      <c r="A12" s="1145" t="s">
        <v>66</v>
      </c>
      <c r="B12" s="1100" t="str">
        <f>IF(C12&lt;'PlayerGrades+'!$Y$44,"F-",IF(C12&lt;'PlayerGrades+'!$Y$43,"F",IF(C12&lt;'PlayerGrades+'!$Y$42,"F+",IF(C12&lt;'PlayerGrades+'!$Y$41,"E-",IF(C12&lt;'PlayerGrades+'!$Y$40,"E",IF(C12&lt;'PlayerGrades+'!$Y$39,"E+",IF(C12&lt;'PlayerGrades+'!$Y$38,"D-",IF(C12&lt;'PlayerGrades+'!$Y$37,"D",IF(C12&lt;'PlayerGrades+'!$Y$36,"D+",IF(C12&lt;'PlayerGrades+'!$Y$35,"C-",IF(C12&lt;'PlayerGrades+'!$Y$34,"C",IF(C12&lt;'PlayerGrades+'!$Y$33,"C+",IF(C12&lt;'PlayerGrades+'!$Y$32,"B-",IF(C12&lt;'PlayerGrades+'!$Y$31,"B",IF(C12&lt;'PlayerGrades+'!$Y$30,"B+",IF(C12&lt;'PlayerGrades+'!$Y$29,"A-",IF(C12&lt;'PlayerGrades+'!$Y$28,"A",IF(C12&lt;'PlayerGrades+'!$Y$27,"A+",IF(C12&lt;'PlayerGrades+'!$Y$26,"S-",IF(C12&lt;'PlayerGrades+'!$Y$25,"S","S+"))))))))))))))))))))</f>
        <v>C+</v>
      </c>
      <c r="C12" s="1239">
        <f>('PlayerGrades+'!$Y$47*(VLOOKUP(E12, 'PlayerGrades+'!$X$3:$Y$23, 2, FALSE)))+('PlayerGrades+'!$Y$48*(VLOOKUP(G12, 'PlayerGrades+'!$X$3:$Y$23, 2, FALSE)))+('PlayerGrades+'!$Y$49*(VLOOKUP(I12, 'PlayerGrades+'!$X$3:$Y$23, 2, FALSE)))+('PlayerGrades+'!$Y$50*(VLOOKUP(K12, 'PlayerGrades+'!$X$3:$Y$23, 2, FALSE)))+('PlayerGrades+'!$Y$51*(VLOOKUP(M12, 'PlayerGrades+'!$X$3:$Y$23, 2, FALSE)))+('PlayerGrades+'!$Y$52*(VLOOKUP(O12, 'PlayerGrades+'!$X$3:$Y$23, 2, FALSE)))+('PlayerGrades+'!$Y$53*(VLOOKUP(Q12, 'PlayerGrades+'!$X$3:$Y$23, 2, FALSE)))+('PlayerGrades+'!$Y$54*(VLOOKUP(S12, 'PlayerGrades+'!$X$3:$Y$23, 2, FALSE)))+('PlayerGrades+'!$Y$55*(VLOOKUP(U12, 'PlayerGrades+'!$X$3:$Y$23, 2, FALSE)))</f>
        <v>15.9</v>
      </c>
      <c r="D12" s="961">
        <f t="shared" si="1"/>
        <v>0</v>
      </c>
      <c r="E12" s="961" t="str">
        <f>IF(D12&lt;'PlayerGrades+'!$AA$21,"F-",IF(D12&lt;'PlayerGrades+'!$AA$20,"F",IF(D12&lt;'PlayerGrades+'!$AA$19,"F+",IF(D12&lt;'PlayerGrades+'!$AA$18,"E-",IF(D12&lt;'PlayerGrades+'!$AA$17,"E",IF(D12&lt;'PlayerGrades+'!$AA$16,"E+",IF(D12&lt;'PlayerGrades+'!$AA$15,"D-",IF(D12&lt;'PlayerGrades+'!$AA$14,"D",IF(D12&lt;'PlayerGrades+'!$AA$13,"D+",IF(D12&lt;'PlayerGrades+'!$AA$12,"C-",IF(D12&lt;'PlayerGrades+'!$AA$11,"C",IF(D12&lt;'PlayerGrades+'!$AA$10,"C+",IF(D12&lt;'PlayerGrades+'!$AA$9,"B-",IF(D12&lt;'PlayerGrades+'!$AA$8,"B",IF(D12&lt;'PlayerGrades+'!$AA$7,"B+",IF(D12&lt;'PlayerGrades+'!$AA$6,"A-",IF(D12&lt;'PlayerGrades+'!$AA$5,"A",IF(D12&lt;'PlayerGrades+'!$AA$4,"A+",IF(D12&lt;'PlayerGrades+'!$AA$3,"S-",IF(D12&lt;'PlayerGrades+'!$AA$2,"S","S+"))))))))))))))))))))</f>
        <v>F-</v>
      </c>
      <c r="F12" s="961">
        <f t="shared" si="2"/>
        <v>0.04984423676</v>
      </c>
      <c r="G12" s="961" t="str">
        <f>IF(F12&lt;'PlayerGrades+'!$AB$21,"F-",IF(F12&lt;'PlayerGrades+'!$AB$20,"F",IF(F12&lt;'PlayerGrades+'!$AB$19,"F+",IF(F12&lt;'PlayerGrades+'!$AB$18,"E-",IF(F12&lt;'PlayerGrades+'!$AB$17,"E",IF(F12&lt;'PlayerGrades+'!$AB$16,"E+",IF(F12&lt;'PlayerGrades+'!$AB$15,"D-",IF(F12&lt;'PlayerGrades+'!$AB$14,"D",IF(F12&lt;'PlayerGrades+'!$AB$13,"D+",IF(F12&lt;'PlayerGrades+'!$AB$12,"C-",IF(F12&lt;'PlayerGrades+'!$AB$11,"C",IF(F12&lt;'PlayerGrades+'!$AB$10,"C+",IF(F12&lt;'PlayerGrades+'!$AB$9,"B-",IF(F12&lt;'PlayerGrades+'!$AB$8,"B",IF(F12&lt;'PlayerGrades+'!$AB$7,"B+",IF(F12&lt;'PlayerGrades+'!$AB$6,"A-",IF(F12&lt;'PlayerGrades+'!$AB$5,"A",IF(F12&lt;'PlayerGrades+'!$AB$4,"A+",IF(F12&lt;'PlayerGrades+'!$AB$3,"S-",IF(F12&lt;'PlayerGrades+'!$AB$2,"S","S+"))))))))))))))))))))</f>
        <v>A</v>
      </c>
      <c r="H12" s="961">
        <f t="shared" si="3"/>
        <v>0.2803738318</v>
      </c>
      <c r="I12" s="961" t="str">
        <f>IF(H12&lt;'PlayerGrades+'!$AC$21,"F-",IF(H12&lt;'PlayerGrades+'!$AC$20,"F",IF(H12&lt;'PlayerGrades+'!$AC$19,"F+",IF(H12&lt;'PlayerGrades+'!$AC$18,"E-",IF(H12&lt;'PlayerGrades+'!$AC$17,"E",IF(H12&lt;'PlayerGrades+'!$AC$16,"E+",IF(H12&lt;'PlayerGrades+'!$AC$15,"D-",IF(H12&lt;'PlayerGrades+'!$AC$14,"D",IF(H12&lt;'PlayerGrades+'!$AC$13,"D+",IF(H12&lt;'PlayerGrades+'!$AC$12,"C-",IF(H12&lt;'PlayerGrades+'!$AC$11,"C",IF(H12&lt;'PlayerGrades+'!$AC$10,"C+",IF(H12&lt;'PlayerGrades+'!$AC$9,"B-",IF(H12&lt;'PlayerGrades+'!$AC$8,"B",IF(H12&lt;'PlayerGrades+'!$AC$7,"B+",IF(H12&lt;'PlayerGrades+'!$AC$6,"A-",IF(H12&lt;'PlayerGrades+'!$AC$5,"A",IF(H12&lt;'PlayerGrades+'!$AC$4,"A+",IF(H12&lt;'PlayerGrades+'!$AC$3,"S-",IF(H12&lt;'PlayerGrades+'!$AC$2,"S","S+"))))))))))))))))))))</f>
        <v>F+</v>
      </c>
      <c r="J12" s="961">
        <f t="shared" si="4"/>
        <v>0</v>
      </c>
      <c r="K12" s="961" t="str">
        <f>IF(J12&lt;'PlayerGrades+'!$AD$21,"F-",IF(J12&lt;'PlayerGrades+'!$AD$20,"F",IF(J12&lt;'PlayerGrades+'!$AD$19,"F+",IF(J12&lt;'PlayerGrades+'!$AD$18,"E-",IF(J12&lt;'PlayerGrades+'!$AD$17,"E",IF(J12&lt;'PlayerGrades+'!$AD$16,"E+",IF(J12&lt;'PlayerGrades+'!$AD$15,"D-",IF(J12&lt;'PlayerGrades+'!$AD$14,"D",IF(J12&lt;'PlayerGrades+'!$AD$13,"D+",IF(J12&lt;'PlayerGrades+'!$AD$12,"C-",IF(J12&lt;'PlayerGrades+'!$AD$11,"C",IF(J12&lt;'PlayerGrades+'!$AD$10,"C+",IF(J12&lt;'PlayerGrades+'!$AD$9,"B-",IF(J12&lt;'PlayerGrades+'!$AD$8,"B",IF(J12&lt;'PlayerGrades+'!$AD$7,"B+",IF(J12&lt;'PlayerGrades+'!$AD$6,"A-",IF(J12&lt;'PlayerGrades+'!$AD$5,"A",IF(J12&lt;'PlayerGrades+'!$AD$4,"A+",IF(J12&lt;'PlayerGrades+'!$AD$3,"S-",IF(J12&lt;'PlayerGrades+'!$AD$2,"S","S+"))))))))))))))))))))</f>
        <v>F-</v>
      </c>
      <c r="L12" s="1176">
        <f t="shared" si="5"/>
        <v>0.5046728972</v>
      </c>
      <c r="M12" s="992" t="str">
        <f>IF(L12&lt;'PlayerGrades+'!$AE$21,"F-",IF(L12&lt;'PlayerGrades+'!$AE$20,"F",IF(L12&lt;'PlayerGrades+'!$AE$19,"F+",IF(L12&lt;'PlayerGrades+'!$AE$18,"E-",IF(L12&lt;'PlayerGrades+'!$AE$17,"E",IF(L12&lt;'PlayerGrades+'!$AE$16,"E+",IF(L12&lt;'PlayerGrades+'!$AE$15,"D-",IF(L12&lt;'PlayerGrades+'!$AE$14,"D",IF(L12&lt;'PlayerGrades+'!$AE$13,"D+",IF(L12&lt;'PlayerGrades+'!$AE$12,"C-",IF(L12&lt;'PlayerGrades+'!$AE$11,"C",IF(L12&lt;'PlayerGrades+'!$AE$10,"C+",IF(L12&lt;'PlayerGrades+'!$AE$9,"B-",IF(L12&lt;'PlayerGrades+'!$AE$8,"B",IF(L12&lt;'PlayerGrades+'!$AE$7,"B+",IF(L12&lt;'PlayerGrades+'!$AE$6,"A-",IF(L12&lt;'PlayerGrades+'!$AE$5,"A",IF(L12&lt;'PlayerGrades+'!$AE$4,"A+",IF(L12&lt;'PlayerGrades+'!$AE$3,"S-",IF(L12&lt;'PlayerGrades+'!$AE$2,"S","S+"))))))))))))))))))))</f>
        <v>B</v>
      </c>
      <c r="N12" s="961">
        <f t="shared" si="6"/>
        <v>0.1682242991</v>
      </c>
      <c r="O12" s="961" t="str">
        <f>IF(N12&lt;'PlayerGrades+'!$AF$21,"F-",IF(N12&lt;'PlayerGrades+'!$AF$20,"F",IF(N12&lt;'PlayerGrades+'!$AF$19,"F+",IF(N12&lt;'PlayerGrades+'!$AF$18,"E-",IF(N12&lt;'PlayerGrades+'!$AF$17,"E",IF(N12&lt;'PlayerGrades+'!$AF$16,"E+",IF(N12&lt;'PlayerGrades+'!$AF$15,"D-",IF(N12&lt;'PlayerGrades+'!$AF$14,"D",IF(N12&lt;'PlayerGrades+'!$AF$13,"D+",IF(N12&lt;'PlayerGrades+'!$AF$12,"C-",IF(N12&lt;'PlayerGrades+'!$AF$11,"C",IF(N12&lt;'PlayerGrades+'!$AF$10,"C+",IF(N12&lt;'PlayerGrades+'!$AF$9,"B-",IF(N12&lt;'PlayerGrades+'!$AF$8,"B",IF(N12&lt;'PlayerGrades+'!$AF$7,"B+",IF(N12&lt;'PlayerGrades+'!$AF$6,"A-",IF(N12&lt;'PlayerGrades+'!$AF$5,"A",IF(N12&lt;'PlayerGrades+'!$AF$4,"A+",IF(N12&lt;'PlayerGrades+'!$AF$3,"S-",IF(N12&lt;'PlayerGrades+'!$AF$2,"S","S+"))))))))))))))))))))</f>
        <v>A</v>
      </c>
      <c r="P12" s="961">
        <f t="shared" si="7"/>
        <v>0.7289719626</v>
      </c>
      <c r="Q12" s="961" t="str">
        <f>IF(P12&lt;'PlayerGrades+'!$AG$21,"F-",IF(P12&lt;'PlayerGrades+'!$AG$20,"F",IF(P12&lt;'PlayerGrades+'!$AG$19,"F+",IF(P12&lt;'PlayerGrades+'!$AG$18,"E-",IF(P12&lt;'PlayerGrades+'!$AG$17,"E",IF(P12&lt;'PlayerGrades+'!$AG$16,"E+",IF(P12&lt;'PlayerGrades+'!$AG$15,"D-",IF(P12&lt;'PlayerGrades+'!$AG$14,"D",IF(P12&lt;'PlayerGrades+'!$AG$13,"D+",IF(P12&lt;'PlayerGrades+'!$AG$12,"C-",IF(P12&lt;'PlayerGrades+'!$AG$11,"C",IF(P12&lt;'PlayerGrades+'!$AG$10,"C+",IF(P12&lt;'PlayerGrades+'!$AG$9,"B-",IF(P12&lt;'PlayerGrades+'!$AG$8,"B",IF(P12&lt;'PlayerGrades+'!$AG$7,"B+",IF(P12&lt;'PlayerGrades+'!$AG$6,"A-",IF(P12&lt;'PlayerGrades+'!$AG$5,"A",IF(P12&lt;'PlayerGrades+'!$AG$4,"A+",IF(P12&lt;'PlayerGrades+'!$AG$3,"S-",IF(P12&lt;'PlayerGrades+'!$AG$2,"S","S+"))))))))))))))))))))</f>
        <v>B</v>
      </c>
      <c r="R12" s="961">
        <f t="shared" si="8"/>
        <v>0.2242990654</v>
      </c>
      <c r="S12" s="961" t="str">
        <f>IF(R12&lt;'PlayerGrades+'!$AH$21,"F-",IF(R12&lt;'PlayerGrades+'!$AH$20,"F",IF(R12&lt;'PlayerGrades+'!$AH$19,"F+",IF(R12&lt;'PlayerGrades+'!$AH$18,"E-",IF(R12&lt;'PlayerGrades+'!$AH$17,"E",IF(R12&lt;'PlayerGrades+'!$AH$16,"E+",IF(R12&lt;'PlayerGrades+'!$AH$15,"D-",IF(R12&lt;'PlayerGrades+'!$AH$14,"D",IF(R12&lt;'PlayerGrades+'!$AH$13,"D+",IF(R12&lt;'PlayerGrades+'!$AH$12,"C-",IF(R12&lt;'PlayerGrades+'!$AH$11,"C",IF(R12&lt;'PlayerGrades+'!$AH$10,"C+",IF(R12&lt;'PlayerGrades+'!$AH$9,"B-",IF(R12&lt;'PlayerGrades+'!$AH$8,"B",IF(R12&lt;'PlayerGrades+'!$AH$7,"B+",IF(R12&lt;'PlayerGrades+'!$AH$6,"A-",IF(R12&lt;'PlayerGrades+'!$AH$5,"A",IF(R12&lt;'PlayerGrades+'!$AH$4,"A+",IF(R12&lt;'PlayerGrades+'!$AH$3,"S-",IF(R12&lt;'PlayerGrades+'!$AH$2,"S","S+"))))))))))))))))))))</f>
        <v>S+</v>
      </c>
      <c r="T12" s="961">
        <f t="shared" si="9"/>
        <v>81.83333333</v>
      </c>
      <c r="U12" s="961" t="str">
        <f>IF(T12&lt;'PlayerGrades+'!$AI$21,"F-",IF(T12&lt;'PlayerGrades+'!$AI$20,"F",IF(T12&lt;'PlayerGrades+'!$AI$19,"F+",IF(T12&lt;'PlayerGrades+'!$AI$18,"E-",IF(T12&lt;'PlayerGrades+'!$AI$17,"E",IF(T12&lt;'PlayerGrades+'!$AI$16,"E+",IF(T12&lt;'PlayerGrades+'!$AI$15,"D-",IF(T12&lt;'PlayerGrades+'!$AI$14,"D",IF(T12&lt;'PlayerGrades+'!$AI$13,"D+",IF(T12&lt;'PlayerGrades+'!$AI$12,"C-",IF(T12&lt;'PlayerGrades+'!$AI$11,"C",IF(T12&lt;'PlayerGrades+'!$AI$10,"C+",IF(T12&lt;'PlayerGrades+'!$AI$9,"B-",IF(T12&lt;'PlayerGrades+'!$AI$8,"B",IF(T12&lt;'PlayerGrades+'!$AI$7,"B+",IF(T12&lt;'PlayerGrades+'!$AI$6,"A-",IF(T12&lt;'PlayerGrades+'!$AI$5,"A",IF(T12&lt;'PlayerGrades+'!$AI$4,"A+",IF(T12&lt;'PlayerGrades+'!$AI$3,"S-",IF(T12&lt;'PlayerGrades+'!$AI$2,"S","S+"))))))))))))))))))))</f>
        <v>S+</v>
      </c>
      <c r="V12" s="1195">
        <v>1.0</v>
      </c>
      <c r="W12" s="1195">
        <v>0.0</v>
      </c>
      <c r="X12" s="1195">
        <v>0.0</v>
      </c>
      <c r="Y12" s="1195">
        <v>0.0</v>
      </c>
      <c r="Z12" s="1195">
        <v>64.0</v>
      </c>
      <c r="AA12" s="1195">
        <v>72.0</v>
      </c>
      <c r="AB12" s="1195">
        <f t="shared" si="10"/>
        <v>-8</v>
      </c>
      <c r="AC12" s="1215">
        <f t="shared" si="11"/>
        <v>0.8888888889</v>
      </c>
      <c r="AD12" s="1216">
        <v>0.0</v>
      </c>
      <c r="AE12" s="1218" t="s">
        <v>469</v>
      </c>
      <c r="AF12" s="1195">
        <v>0.0</v>
      </c>
      <c r="AG12" s="1216">
        <v>0.0</v>
      </c>
      <c r="AH12" s="1216">
        <v>0.0</v>
      </c>
      <c r="AI12" s="1216">
        <v>0.0</v>
      </c>
      <c r="AJ12" s="1195">
        <v>1.0</v>
      </c>
      <c r="AK12" s="1195">
        <v>9.0</v>
      </c>
      <c r="AL12" s="1195">
        <v>3.0</v>
      </c>
      <c r="AM12" s="1216">
        <v>0.0</v>
      </c>
      <c r="AN12" s="1216">
        <v>0.0</v>
      </c>
      <c r="AO12" s="1216">
        <v>0.0</v>
      </c>
      <c r="AP12" s="1216">
        <v>0.0</v>
      </c>
      <c r="AQ12" s="1216">
        <v>0.0</v>
      </c>
      <c r="AR12" s="1216">
        <v>0.0</v>
      </c>
      <c r="AS12" s="1216">
        <v>0.0</v>
      </c>
      <c r="AT12" s="1216">
        <v>0.0</v>
      </c>
      <c r="AU12" s="1195">
        <v>5.0</v>
      </c>
      <c r="AV12" s="1257">
        <v>0.0</v>
      </c>
      <c r="AW12" s="1257">
        <v>0.0</v>
      </c>
      <c r="AX12" s="1257">
        <v>0.0</v>
      </c>
      <c r="AY12" s="1195">
        <v>3.0</v>
      </c>
      <c r="AZ12" s="1195">
        <v>1.0</v>
      </c>
    </row>
    <row r="13">
      <c r="A13" s="1145" t="s">
        <v>48</v>
      </c>
      <c r="B13" s="1100" t="str">
        <f>IF(C13&lt;'PlayerGrades+'!$Y$44,"F-",IF(C13&lt;'PlayerGrades+'!$Y$43,"F",IF(C13&lt;'PlayerGrades+'!$Y$42,"F+",IF(C13&lt;'PlayerGrades+'!$Y$41,"E-",IF(C13&lt;'PlayerGrades+'!$Y$40,"E",IF(C13&lt;'PlayerGrades+'!$Y$39,"E+",IF(C13&lt;'PlayerGrades+'!$Y$38,"D-",IF(C13&lt;'PlayerGrades+'!$Y$37,"D",IF(C13&lt;'PlayerGrades+'!$Y$36,"D+",IF(C13&lt;'PlayerGrades+'!$Y$35,"C-",IF(C13&lt;'PlayerGrades+'!$Y$34,"C",IF(C13&lt;'PlayerGrades+'!$Y$33,"C+",IF(C13&lt;'PlayerGrades+'!$Y$32,"B-",IF(C13&lt;'PlayerGrades+'!$Y$31,"B",IF(C13&lt;'PlayerGrades+'!$Y$30,"B+",IF(C13&lt;'PlayerGrades+'!$Y$29,"A-",IF(C13&lt;'PlayerGrades+'!$Y$28,"A",IF(C13&lt;'PlayerGrades+'!$Y$27,"A+",IF(C13&lt;'PlayerGrades+'!$Y$26,"S-",IF(C13&lt;'PlayerGrades+'!$Y$25,"S","S+"))))))))))))))))))))</f>
        <v>E</v>
      </c>
      <c r="C13" s="1239">
        <f>('PlayerGrades+'!$Y$47*(VLOOKUP(E13, 'PlayerGrades+'!$X$3:$Y$23, 2, FALSE)))+('PlayerGrades+'!$Y$48*(VLOOKUP(G13, 'PlayerGrades+'!$X$3:$Y$23, 2, FALSE)))+('PlayerGrades+'!$Y$49*(VLOOKUP(I13, 'PlayerGrades+'!$X$3:$Y$23, 2, FALSE)))+('PlayerGrades+'!$Y$50*(VLOOKUP(K13, 'PlayerGrades+'!$X$3:$Y$23, 2, FALSE)))+('PlayerGrades+'!$Y$51*(VLOOKUP(M13, 'PlayerGrades+'!$X$3:$Y$23, 2, FALSE)))+('PlayerGrades+'!$Y$52*(VLOOKUP(O13, 'PlayerGrades+'!$X$3:$Y$23, 2, FALSE)))+('PlayerGrades+'!$Y$53*(VLOOKUP(Q13, 'PlayerGrades+'!$X$3:$Y$23, 2, FALSE)))+('PlayerGrades+'!$Y$54*(VLOOKUP(S13, 'PlayerGrades+'!$X$3:$Y$23, 2, FALSE)))+('PlayerGrades+'!$Y$55*(VLOOKUP(U13, 'PlayerGrades+'!$X$3:$Y$23, 2, FALSE)))</f>
        <v>10.45</v>
      </c>
      <c r="D13" s="961">
        <f t="shared" si="1"/>
        <v>0</v>
      </c>
      <c r="E13" s="961" t="str">
        <f>IF(D13&lt;'PlayerGrades+'!$AA$21,"F-",IF(D13&lt;'PlayerGrades+'!$AA$20,"F",IF(D13&lt;'PlayerGrades+'!$AA$19,"F+",IF(D13&lt;'PlayerGrades+'!$AA$18,"E-",IF(D13&lt;'PlayerGrades+'!$AA$17,"E",IF(D13&lt;'PlayerGrades+'!$AA$16,"E+",IF(D13&lt;'PlayerGrades+'!$AA$15,"D-",IF(D13&lt;'PlayerGrades+'!$AA$14,"D",IF(D13&lt;'PlayerGrades+'!$AA$13,"D+",IF(D13&lt;'PlayerGrades+'!$AA$12,"C-",IF(D13&lt;'PlayerGrades+'!$AA$11,"C",IF(D13&lt;'PlayerGrades+'!$AA$10,"C+",IF(D13&lt;'PlayerGrades+'!$AA$9,"B-",IF(D13&lt;'PlayerGrades+'!$AA$8,"B",IF(D13&lt;'PlayerGrades+'!$AA$7,"B+",IF(D13&lt;'PlayerGrades+'!$AA$6,"A-",IF(D13&lt;'PlayerGrades+'!$AA$5,"A",IF(D13&lt;'PlayerGrades+'!$AA$4,"A+",IF(D13&lt;'PlayerGrades+'!$AA$3,"S-",IF(D13&lt;'PlayerGrades+'!$AA$2,"S","S+"))))))))))))))))))))</f>
        <v>F-</v>
      </c>
      <c r="F13" s="961">
        <f t="shared" si="2"/>
        <v>0.04556074766</v>
      </c>
      <c r="G13" s="961" t="str">
        <f>IF(F13&lt;'PlayerGrades+'!$AB$21,"F-",IF(F13&lt;'PlayerGrades+'!$AB$20,"F",IF(F13&lt;'PlayerGrades+'!$AB$19,"F+",IF(F13&lt;'PlayerGrades+'!$AB$18,"E-",IF(F13&lt;'PlayerGrades+'!$AB$17,"E",IF(F13&lt;'PlayerGrades+'!$AB$16,"E+",IF(F13&lt;'PlayerGrades+'!$AB$15,"D-",IF(F13&lt;'PlayerGrades+'!$AB$14,"D",IF(F13&lt;'PlayerGrades+'!$AB$13,"D+",IF(F13&lt;'PlayerGrades+'!$AB$12,"C-",IF(F13&lt;'PlayerGrades+'!$AB$11,"C",IF(F13&lt;'PlayerGrades+'!$AB$10,"C+",IF(F13&lt;'PlayerGrades+'!$AB$9,"B-",IF(F13&lt;'PlayerGrades+'!$AB$8,"B",IF(F13&lt;'PlayerGrades+'!$AB$7,"B+",IF(F13&lt;'PlayerGrades+'!$AB$6,"A-",IF(F13&lt;'PlayerGrades+'!$AB$5,"A",IF(F13&lt;'PlayerGrades+'!$AB$4,"A+",IF(F13&lt;'PlayerGrades+'!$AB$3,"S-",IF(F13&lt;'PlayerGrades+'!$AB$2,"S","S+"))))))))))))))))))))</f>
        <v>A</v>
      </c>
      <c r="H13" s="961">
        <f t="shared" si="3"/>
        <v>0.2242990654</v>
      </c>
      <c r="I13" s="961" t="str">
        <f>IF(H13&lt;'PlayerGrades+'!$AC$21,"F-",IF(H13&lt;'PlayerGrades+'!$AC$20,"F",IF(H13&lt;'PlayerGrades+'!$AC$19,"F+",IF(H13&lt;'PlayerGrades+'!$AC$18,"E-",IF(H13&lt;'PlayerGrades+'!$AC$17,"E",IF(H13&lt;'PlayerGrades+'!$AC$16,"E+",IF(H13&lt;'PlayerGrades+'!$AC$15,"D-",IF(H13&lt;'PlayerGrades+'!$AC$14,"D",IF(H13&lt;'PlayerGrades+'!$AC$13,"D+",IF(H13&lt;'PlayerGrades+'!$AC$12,"C-",IF(H13&lt;'PlayerGrades+'!$AC$11,"C",IF(H13&lt;'PlayerGrades+'!$AC$10,"C+",IF(H13&lt;'PlayerGrades+'!$AC$9,"B-",IF(H13&lt;'PlayerGrades+'!$AC$8,"B",IF(H13&lt;'PlayerGrades+'!$AC$7,"B+",IF(H13&lt;'PlayerGrades+'!$AC$6,"A-",IF(H13&lt;'PlayerGrades+'!$AC$5,"A",IF(H13&lt;'PlayerGrades+'!$AC$4,"A+",IF(H13&lt;'PlayerGrades+'!$AC$3,"S-",IF(H13&lt;'PlayerGrades+'!$AC$2,"S","S+"))))))))))))))))))))</f>
        <v>F</v>
      </c>
      <c r="J13" s="961">
        <f t="shared" si="4"/>
        <v>0</v>
      </c>
      <c r="K13" s="961" t="str">
        <f>IF(J13&lt;'PlayerGrades+'!$AD$21,"F-",IF(J13&lt;'PlayerGrades+'!$AD$20,"F",IF(J13&lt;'PlayerGrades+'!$AD$19,"F+",IF(J13&lt;'PlayerGrades+'!$AD$18,"E-",IF(J13&lt;'PlayerGrades+'!$AD$17,"E",IF(J13&lt;'PlayerGrades+'!$AD$16,"E+",IF(J13&lt;'PlayerGrades+'!$AD$15,"D-",IF(J13&lt;'PlayerGrades+'!$AD$14,"D",IF(J13&lt;'PlayerGrades+'!$AD$13,"D+",IF(J13&lt;'PlayerGrades+'!$AD$12,"C-",IF(J13&lt;'PlayerGrades+'!$AD$11,"C",IF(J13&lt;'PlayerGrades+'!$AD$10,"C+",IF(J13&lt;'PlayerGrades+'!$AD$9,"B-",IF(J13&lt;'PlayerGrades+'!$AD$8,"B",IF(J13&lt;'PlayerGrades+'!$AD$7,"B+",IF(J13&lt;'PlayerGrades+'!$AD$6,"A-",IF(J13&lt;'PlayerGrades+'!$AD$5,"A",IF(J13&lt;'PlayerGrades+'!$AD$4,"A+",IF(J13&lt;'PlayerGrades+'!$AD$3,"S-",IF(J13&lt;'PlayerGrades+'!$AD$2,"S","S+"))))))))))))))))))))</f>
        <v>F-</v>
      </c>
      <c r="L13" s="1176">
        <f t="shared" si="5"/>
        <v>0.2803738318</v>
      </c>
      <c r="M13" s="992" t="str">
        <f>IF(L13&lt;'PlayerGrades+'!$AE$21,"F-",IF(L13&lt;'PlayerGrades+'!$AE$20,"F",IF(L13&lt;'PlayerGrades+'!$AE$19,"F+",IF(L13&lt;'PlayerGrades+'!$AE$18,"E-",IF(L13&lt;'PlayerGrades+'!$AE$17,"E",IF(L13&lt;'PlayerGrades+'!$AE$16,"E+",IF(L13&lt;'PlayerGrades+'!$AE$15,"D-",IF(L13&lt;'PlayerGrades+'!$AE$14,"D",IF(L13&lt;'PlayerGrades+'!$AE$13,"D+",IF(L13&lt;'PlayerGrades+'!$AE$12,"C-",IF(L13&lt;'PlayerGrades+'!$AE$11,"C",IF(L13&lt;'PlayerGrades+'!$AE$10,"C+",IF(L13&lt;'PlayerGrades+'!$AE$9,"B-",IF(L13&lt;'PlayerGrades+'!$AE$8,"B",IF(L13&lt;'PlayerGrades+'!$AE$7,"B+",IF(L13&lt;'PlayerGrades+'!$AE$6,"A-",IF(L13&lt;'PlayerGrades+'!$AE$5,"A",IF(L13&lt;'PlayerGrades+'!$AE$4,"A+",IF(L13&lt;'PlayerGrades+'!$AE$3,"S-",IF(L13&lt;'PlayerGrades+'!$AE$2,"S","S+"))))))))))))))))))))</f>
        <v>F+</v>
      </c>
      <c r="N13" s="961">
        <f t="shared" si="6"/>
        <v>0.05607476636</v>
      </c>
      <c r="O13" s="961" t="str">
        <f>IF(N13&lt;'PlayerGrades+'!$AF$21,"F-",IF(N13&lt;'PlayerGrades+'!$AF$20,"F",IF(N13&lt;'PlayerGrades+'!$AF$19,"F+",IF(N13&lt;'PlayerGrades+'!$AF$18,"E-",IF(N13&lt;'PlayerGrades+'!$AF$17,"E",IF(N13&lt;'PlayerGrades+'!$AF$16,"E+",IF(N13&lt;'PlayerGrades+'!$AF$15,"D-",IF(N13&lt;'PlayerGrades+'!$AF$14,"D",IF(N13&lt;'PlayerGrades+'!$AF$13,"D+",IF(N13&lt;'PlayerGrades+'!$AF$12,"C-",IF(N13&lt;'PlayerGrades+'!$AF$11,"C",IF(N13&lt;'PlayerGrades+'!$AF$10,"C+",IF(N13&lt;'PlayerGrades+'!$AF$9,"B-",IF(N13&lt;'PlayerGrades+'!$AF$8,"B",IF(N13&lt;'PlayerGrades+'!$AF$7,"B+",IF(N13&lt;'PlayerGrades+'!$AF$6,"A-",IF(N13&lt;'PlayerGrades+'!$AF$5,"A",IF(N13&lt;'PlayerGrades+'!$AF$4,"A+",IF(N13&lt;'PlayerGrades+'!$AF$3,"S-",IF(N13&lt;'PlayerGrades+'!$AF$2,"S","S+"))))))))))))))))))))</f>
        <v>F+</v>
      </c>
      <c r="P13" s="961">
        <f t="shared" si="7"/>
        <v>0.3364485981</v>
      </c>
      <c r="Q13" s="961" t="str">
        <f>IF(P13&lt;'PlayerGrades+'!$AG$21,"F-",IF(P13&lt;'PlayerGrades+'!$AG$20,"F",IF(P13&lt;'PlayerGrades+'!$AG$19,"F+",IF(P13&lt;'PlayerGrades+'!$AG$18,"E-",IF(P13&lt;'PlayerGrades+'!$AG$17,"E",IF(P13&lt;'PlayerGrades+'!$AG$16,"E+",IF(P13&lt;'PlayerGrades+'!$AG$15,"D-",IF(P13&lt;'PlayerGrades+'!$AG$14,"D",IF(P13&lt;'PlayerGrades+'!$AG$13,"D+",IF(P13&lt;'PlayerGrades+'!$AG$12,"C-",IF(P13&lt;'PlayerGrades+'!$AG$11,"C",IF(P13&lt;'PlayerGrades+'!$AG$10,"C+",IF(P13&lt;'PlayerGrades+'!$AG$9,"B-",IF(P13&lt;'PlayerGrades+'!$AG$8,"B",IF(P13&lt;'PlayerGrades+'!$AG$7,"B+",IF(P13&lt;'PlayerGrades+'!$AG$6,"A-",IF(P13&lt;'PlayerGrades+'!$AG$5,"A",IF(P13&lt;'PlayerGrades+'!$AG$4,"A+",IF(P13&lt;'PlayerGrades+'!$AG$3,"S-",IF(P13&lt;'PlayerGrades+'!$AG$2,"S","S+"))))))))))))))))))))</f>
        <v>F</v>
      </c>
      <c r="R13" s="961">
        <f t="shared" si="8"/>
        <v>0</v>
      </c>
      <c r="S13" s="961" t="str">
        <f>IF(R13&lt;'PlayerGrades+'!$AH$21,"F-",IF(R13&lt;'PlayerGrades+'!$AH$20,"F",IF(R13&lt;'PlayerGrades+'!$AH$19,"F+",IF(R13&lt;'PlayerGrades+'!$AH$18,"E-",IF(R13&lt;'PlayerGrades+'!$AH$17,"E",IF(R13&lt;'PlayerGrades+'!$AH$16,"E+",IF(R13&lt;'PlayerGrades+'!$AH$15,"D-",IF(R13&lt;'PlayerGrades+'!$AH$14,"D",IF(R13&lt;'PlayerGrades+'!$AH$13,"D+",IF(R13&lt;'PlayerGrades+'!$AH$12,"C-",IF(R13&lt;'PlayerGrades+'!$AH$11,"C",IF(R13&lt;'PlayerGrades+'!$AH$10,"C+",IF(R13&lt;'PlayerGrades+'!$AH$9,"B-",IF(R13&lt;'PlayerGrades+'!$AH$8,"B",IF(R13&lt;'PlayerGrades+'!$AH$7,"B+",IF(R13&lt;'PlayerGrades+'!$AH$6,"A-",IF(R13&lt;'PlayerGrades+'!$AH$5,"A",IF(R13&lt;'PlayerGrades+'!$AH$4,"A+",IF(R13&lt;'PlayerGrades+'!$AH$3,"S-",IF(R13&lt;'PlayerGrades+'!$AH$2,"S","S+"))))))))))))))))))))</f>
        <v>F-</v>
      </c>
      <c r="T13" s="961">
        <f t="shared" si="9"/>
        <v>69.83333333</v>
      </c>
      <c r="U13" s="961" t="str">
        <f>IF(T13&lt;'PlayerGrades+'!$AI$21,"F-",IF(T13&lt;'PlayerGrades+'!$AI$20,"F",IF(T13&lt;'PlayerGrades+'!$AI$19,"F+",IF(T13&lt;'PlayerGrades+'!$AI$18,"E-",IF(T13&lt;'PlayerGrades+'!$AI$17,"E",IF(T13&lt;'PlayerGrades+'!$AI$16,"E+",IF(T13&lt;'PlayerGrades+'!$AI$15,"D-",IF(T13&lt;'PlayerGrades+'!$AI$14,"D",IF(T13&lt;'PlayerGrades+'!$AI$13,"D+",IF(T13&lt;'PlayerGrades+'!$AI$12,"C-",IF(T13&lt;'PlayerGrades+'!$AI$11,"C",IF(T13&lt;'PlayerGrades+'!$AI$10,"C+",IF(T13&lt;'PlayerGrades+'!$AI$9,"B-",IF(T13&lt;'PlayerGrades+'!$AI$8,"B",IF(T13&lt;'PlayerGrades+'!$AI$7,"B+",IF(T13&lt;'PlayerGrades+'!$AI$6,"A-",IF(T13&lt;'PlayerGrades+'!$AI$5,"A",IF(T13&lt;'PlayerGrades+'!$AI$4,"A+",IF(T13&lt;'PlayerGrades+'!$AI$3,"S-",IF(T13&lt;'PlayerGrades+'!$AI$2,"S","S+"))))))))))))))))))))</f>
        <v>S+</v>
      </c>
      <c r="V13" s="1195">
        <v>1.0</v>
      </c>
      <c r="W13" s="1195">
        <v>0.0</v>
      </c>
      <c r="X13" s="1195">
        <v>0.0</v>
      </c>
      <c r="Y13" s="1195">
        <v>4.0</v>
      </c>
      <c r="Z13" s="1195">
        <v>52.0</v>
      </c>
      <c r="AA13" s="1195">
        <v>64.0</v>
      </c>
      <c r="AB13" s="1195">
        <f t="shared" si="10"/>
        <v>-12</v>
      </c>
      <c r="AC13" s="1215">
        <f t="shared" si="11"/>
        <v>0.8125</v>
      </c>
      <c r="AD13" s="1216">
        <v>0.0</v>
      </c>
      <c r="AE13" s="1218" t="s">
        <v>469</v>
      </c>
      <c r="AF13" s="1195">
        <v>0.0</v>
      </c>
      <c r="AG13" s="1216">
        <v>0.0</v>
      </c>
      <c r="AH13" s="1216">
        <v>0.0</v>
      </c>
      <c r="AI13" s="1216">
        <v>0.0</v>
      </c>
      <c r="AJ13" s="1195">
        <v>0.0</v>
      </c>
      <c r="AK13" s="1195">
        <v>5.0</v>
      </c>
      <c r="AL13" s="1195">
        <v>1.0</v>
      </c>
      <c r="AM13" s="1216">
        <v>0.0</v>
      </c>
      <c r="AN13" s="1216">
        <v>0.0</v>
      </c>
      <c r="AO13" s="1216">
        <v>0.0</v>
      </c>
      <c r="AP13" s="1216">
        <v>0.0</v>
      </c>
      <c r="AQ13" s="1216">
        <v>0.0</v>
      </c>
      <c r="AR13" s="1216">
        <v>0.0</v>
      </c>
      <c r="AS13" s="1216">
        <v>0.0</v>
      </c>
      <c r="AT13" s="1216">
        <v>0.0</v>
      </c>
      <c r="AU13" s="1195">
        <v>4.0</v>
      </c>
      <c r="AV13" s="1257">
        <v>0.0</v>
      </c>
      <c r="AW13" s="1257">
        <v>0.0</v>
      </c>
      <c r="AX13" s="1257">
        <v>0.0</v>
      </c>
      <c r="AY13" s="1195">
        <v>0.0</v>
      </c>
      <c r="AZ13" s="1195">
        <v>0.0</v>
      </c>
    </row>
    <row r="14">
      <c r="A14" s="1233" t="s">
        <v>206</v>
      </c>
      <c r="B14" s="1100" t="str">
        <f>IF(C14&lt;'PlayerGrades+'!$Y$44,"F-",IF(C14&lt;'PlayerGrades+'!$Y$43,"F",IF(C14&lt;'PlayerGrades+'!$Y$42,"F+",IF(C14&lt;'PlayerGrades+'!$Y$41,"E-",IF(C14&lt;'PlayerGrades+'!$Y$40,"E",IF(C14&lt;'PlayerGrades+'!$Y$39,"E+",IF(C14&lt;'PlayerGrades+'!$Y$38,"D-",IF(C14&lt;'PlayerGrades+'!$Y$37,"D",IF(C14&lt;'PlayerGrades+'!$Y$36,"D+",IF(C14&lt;'PlayerGrades+'!$Y$35,"C-",IF(C14&lt;'PlayerGrades+'!$Y$34,"C",IF(C14&lt;'PlayerGrades+'!$Y$33,"C+",IF(C14&lt;'PlayerGrades+'!$Y$32,"B-",IF(C14&lt;'PlayerGrades+'!$Y$31,"B",IF(C14&lt;'PlayerGrades+'!$Y$30,"B+",IF(C14&lt;'PlayerGrades+'!$Y$29,"A-",IF(C14&lt;'PlayerGrades+'!$Y$28,"A",IF(C14&lt;'PlayerGrades+'!$Y$27,"A+",IF(C14&lt;'PlayerGrades+'!$Y$26,"S-",IF(C14&lt;'PlayerGrades+'!$Y$25,"S","S+"))))))))))))))))))))</f>
        <v>A-</v>
      </c>
      <c r="C14" s="1239">
        <f>('PlayerGrades+'!$Y$47*(VLOOKUP(E14, 'PlayerGrades+'!$X$3:$Y$23, 2, FALSE)))+('PlayerGrades+'!$Y$48*(VLOOKUP(G14, 'PlayerGrades+'!$X$3:$Y$23, 2, FALSE)))+('PlayerGrades+'!$Y$49*(VLOOKUP(I14, 'PlayerGrades+'!$X$3:$Y$23, 2, FALSE)))+('PlayerGrades+'!$Y$50*(VLOOKUP(K14, 'PlayerGrades+'!$X$3:$Y$23, 2, FALSE)))+('PlayerGrades+'!$Y$51*(VLOOKUP(M14, 'PlayerGrades+'!$X$3:$Y$23, 2, FALSE)))+('PlayerGrades+'!$Y$52*(VLOOKUP(O14, 'PlayerGrades+'!$X$3:$Y$23, 2, FALSE)))+('PlayerGrades+'!$Y$53*(VLOOKUP(Q14, 'PlayerGrades+'!$X$3:$Y$23, 2, FALSE)))+('PlayerGrades+'!$Y$54*(VLOOKUP(S14, 'PlayerGrades+'!$X$3:$Y$23, 2, FALSE)))+('PlayerGrades+'!$Y$55*(VLOOKUP(U14, 'PlayerGrades+'!$X$3:$Y$23, 2, FALSE)))</f>
        <v>21.075</v>
      </c>
      <c r="D14" s="961">
        <f t="shared" si="1"/>
        <v>0</v>
      </c>
      <c r="E14" s="961" t="str">
        <f>IF(D14&lt;'PlayerGrades+'!$AA$21,"F-",IF(D14&lt;'PlayerGrades+'!$AA$20,"F",IF(D14&lt;'PlayerGrades+'!$AA$19,"F+",IF(D14&lt;'PlayerGrades+'!$AA$18,"E-",IF(D14&lt;'PlayerGrades+'!$AA$17,"E",IF(D14&lt;'PlayerGrades+'!$AA$16,"E+",IF(D14&lt;'PlayerGrades+'!$AA$15,"D-",IF(D14&lt;'PlayerGrades+'!$AA$14,"D",IF(D14&lt;'PlayerGrades+'!$AA$13,"D+",IF(D14&lt;'PlayerGrades+'!$AA$12,"C-",IF(D14&lt;'PlayerGrades+'!$AA$11,"C",IF(D14&lt;'PlayerGrades+'!$AA$10,"C+",IF(D14&lt;'PlayerGrades+'!$AA$9,"B-",IF(D14&lt;'PlayerGrades+'!$AA$8,"B",IF(D14&lt;'PlayerGrades+'!$AA$7,"B+",IF(D14&lt;'PlayerGrades+'!$AA$6,"A-",IF(D14&lt;'PlayerGrades+'!$AA$5,"A",IF(D14&lt;'PlayerGrades+'!$AA$4,"A+",IF(D14&lt;'PlayerGrades+'!$AA$3,"S-",IF(D14&lt;'PlayerGrades+'!$AA$2,"S","S+"))))))))))))))))))))</f>
        <v>F-</v>
      </c>
      <c r="F14" s="961">
        <f t="shared" si="2"/>
        <v>0.06809078772</v>
      </c>
      <c r="G14" s="961" t="str">
        <f>IF(F14&lt;'PlayerGrades+'!$AB$21,"F-",IF(F14&lt;'PlayerGrades+'!$AB$20,"F",IF(F14&lt;'PlayerGrades+'!$AB$19,"F+",IF(F14&lt;'PlayerGrades+'!$AB$18,"E-",IF(F14&lt;'PlayerGrades+'!$AB$17,"E",IF(F14&lt;'PlayerGrades+'!$AB$16,"E+",IF(F14&lt;'PlayerGrades+'!$AB$15,"D-",IF(F14&lt;'PlayerGrades+'!$AB$14,"D",IF(F14&lt;'PlayerGrades+'!$AB$13,"D+",IF(F14&lt;'PlayerGrades+'!$AB$12,"C-",IF(F14&lt;'PlayerGrades+'!$AB$11,"C",IF(F14&lt;'PlayerGrades+'!$AB$10,"C+",IF(F14&lt;'PlayerGrades+'!$AB$9,"B-",IF(F14&lt;'PlayerGrades+'!$AB$8,"B",IF(F14&lt;'PlayerGrades+'!$AB$7,"B+",IF(F14&lt;'PlayerGrades+'!$AB$6,"A-",IF(F14&lt;'PlayerGrades+'!$AB$5,"A",IF(F14&lt;'PlayerGrades+'!$AB$4,"A+",IF(F14&lt;'PlayerGrades+'!$AB$3,"S-",IF(F14&lt;'PlayerGrades+'!$AB$2,"S","S+"))))))))))))))))))))</f>
        <v>A</v>
      </c>
      <c r="H14" s="961">
        <f t="shared" si="3"/>
        <v>1.065420561</v>
      </c>
      <c r="I14" s="961" t="str">
        <f>IF(H14&lt;'PlayerGrades+'!$AC$21,"F-",IF(H14&lt;'PlayerGrades+'!$AC$20,"F",IF(H14&lt;'PlayerGrades+'!$AC$19,"F+",IF(H14&lt;'PlayerGrades+'!$AC$18,"E-",IF(H14&lt;'PlayerGrades+'!$AC$17,"E",IF(H14&lt;'PlayerGrades+'!$AC$16,"E+",IF(H14&lt;'PlayerGrades+'!$AC$15,"D-",IF(H14&lt;'PlayerGrades+'!$AC$14,"D",IF(H14&lt;'PlayerGrades+'!$AC$13,"D+",IF(H14&lt;'PlayerGrades+'!$AC$12,"C-",IF(H14&lt;'PlayerGrades+'!$AC$11,"C",IF(H14&lt;'PlayerGrades+'!$AC$10,"C+",IF(H14&lt;'PlayerGrades+'!$AC$9,"B-",IF(H14&lt;'PlayerGrades+'!$AC$8,"B",IF(H14&lt;'PlayerGrades+'!$AC$7,"B+",IF(H14&lt;'PlayerGrades+'!$AC$6,"A-",IF(H14&lt;'PlayerGrades+'!$AC$5,"A",IF(H14&lt;'PlayerGrades+'!$AC$4,"A+",IF(H14&lt;'PlayerGrades+'!$AC$3,"S-",IF(H14&lt;'PlayerGrades+'!$AC$2,"S","S+"))))))))))))))))))))</f>
        <v>S+</v>
      </c>
      <c r="J14" s="961">
        <f t="shared" si="4"/>
        <v>0.1121495327</v>
      </c>
      <c r="K14" s="961" t="str">
        <f>IF(J14&lt;'PlayerGrades+'!$AD$21,"F-",IF(J14&lt;'PlayerGrades+'!$AD$20,"F",IF(J14&lt;'PlayerGrades+'!$AD$19,"F+",IF(J14&lt;'PlayerGrades+'!$AD$18,"E-",IF(J14&lt;'PlayerGrades+'!$AD$17,"E",IF(J14&lt;'PlayerGrades+'!$AD$16,"E+",IF(J14&lt;'PlayerGrades+'!$AD$15,"D-",IF(J14&lt;'PlayerGrades+'!$AD$14,"D",IF(J14&lt;'PlayerGrades+'!$AD$13,"D+",IF(J14&lt;'PlayerGrades+'!$AD$12,"C-",IF(J14&lt;'PlayerGrades+'!$AD$11,"C",IF(J14&lt;'PlayerGrades+'!$AD$10,"C+",IF(J14&lt;'PlayerGrades+'!$AD$9,"B-",IF(J14&lt;'PlayerGrades+'!$AD$8,"B",IF(J14&lt;'PlayerGrades+'!$AD$7,"B+",IF(J14&lt;'PlayerGrades+'!$AD$6,"A-",IF(J14&lt;'PlayerGrades+'!$AD$5,"A",IF(J14&lt;'PlayerGrades+'!$AD$4,"A+",IF(J14&lt;'PlayerGrades+'!$AD$3,"S-",IF(J14&lt;'PlayerGrades+'!$AD$2,"S","S+"))))))))))))))))))))</f>
        <v>S-</v>
      </c>
      <c r="L14" s="1176">
        <f t="shared" si="5"/>
        <v>0.5607476636</v>
      </c>
      <c r="M14" s="992" t="str">
        <f>IF(L14&lt;'PlayerGrades+'!$AE$21,"F-",IF(L14&lt;'PlayerGrades+'!$AE$20,"F",IF(L14&lt;'PlayerGrades+'!$AE$19,"F+",IF(L14&lt;'PlayerGrades+'!$AE$18,"E-",IF(L14&lt;'PlayerGrades+'!$AE$17,"E",IF(L14&lt;'PlayerGrades+'!$AE$16,"E+",IF(L14&lt;'PlayerGrades+'!$AE$15,"D-",IF(L14&lt;'PlayerGrades+'!$AE$14,"D",IF(L14&lt;'PlayerGrades+'!$AE$13,"D+",IF(L14&lt;'PlayerGrades+'!$AE$12,"C-",IF(L14&lt;'PlayerGrades+'!$AE$11,"C",IF(L14&lt;'PlayerGrades+'!$AE$10,"C+",IF(L14&lt;'PlayerGrades+'!$AE$9,"B-",IF(L14&lt;'PlayerGrades+'!$AE$8,"B",IF(L14&lt;'PlayerGrades+'!$AE$7,"B+",IF(L14&lt;'PlayerGrades+'!$AE$6,"A-",IF(L14&lt;'PlayerGrades+'!$AE$5,"A",IF(L14&lt;'PlayerGrades+'!$AE$4,"A+",IF(L14&lt;'PlayerGrades+'!$AE$3,"S-",IF(L14&lt;'PlayerGrades+'!$AE$2,"S","S+"))))))))))))))))))))</f>
        <v>A-</v>
      </c>
      <c r="N14" s="961">
        <f t="shared" si="6"/>
        <v>0.1682242991</v>
      </c>
      <c r="O14" s="961" t="str">
        <f>IF(N14&lt;'PlayerGrades+'!$AF$21,"F-",IF(N14&lt;'PlayerGrades+'!$AF$20,"F",IF(N14&lt;'PlayerGrades+'!$AF$19,"F+",IF(N14&lt;'PlayerGrades+'!$AF$18,"E-",IF(N14&lt;'PlayerGrades+'!$AF$17,"E",IF(N14&lt;'PlayerGrades+'!$AF$16,"E+",IF(N14&lt;'PlayerGrades+'!$AF$15,"D-",IF(N14&lt;'PlayerGrades+'!$AF$14,"D",IF(N14&lt;'PlayerGrades+'!$AF$13,"D+",IF(N14&lt;'PlayerGrades+'!$AF$12,"C-",IF(N14&lt;'PlayerGrades+'!$AF$11,"C",IF(N14&lt;'PlayerGrades+'!$AF$10,"C+",IF(N14&lt;'PlayerGrades+'!$AF$9,"B-",IF(N14&lt;'PlayerGrades+'!$AF$8,"B",IF(N14&lt;'PlayerGrades+'!$AF$7,"B+",IF(N14&lt;'PlayerGrades+'!$AF$6,"A-",IF(N14&lt;'PlayerGrades+'!$AF$5,"A",IF(N14&lt;'PlayerGrades+'!$AF$4,"A+",IF(N14&lt;'PlayerGrades+'!$AF$3,"S-",IF(N14&lt;'PlayerGrades+'!$AF$2,"S","S+"))))))))))))))))))))</f>
        <v>A</v>
      </c>
      <c r="P14" s="961">
        <f t="shared" si="7"/>
        <v>0.8971962617</v>
      </c>
      <c r="Q14" s="961" t="str">
        <f>IF(P14&lt;'PlayerGrades+'!$AG$21,"F-",IF(P14&lt;'PlayerGrades+'!$AG$20,"F",IF(P14&lt;'PlayerGrades+'!$AG$19,"F+",IF(P14&lt;'PlayerGrades+'!$AG$18,"E-",IF(P14&lt;'PlayerGrades+'!$AG$17,"E",IF(P14&lt;'PlayerGrades+'!$AG$16,"E+",IF(P14&lt;'PlayerGrades+'!$AG$15,"D-",IF(P14&lt;'PlayerGrades+'!$AG$14,"D",IF(P14&lt;'PlayerGrades+'!$AG$13,"D+",IF(P14&lt;'PlayerGrades+'!$AG$12,"C-",IF(P14&lt;'PlayerGrades+'!$AG$11,"C",IF(P14&lt;'PlayerGrades+'!$AG$10,"C+",IF(P14&lt;'PlayerGrades+'!$AG$9,"B-",IF(P14&lt;'PlayerGrades+'!$AG$8,"B",IF(P14&lt;'PlayerGrades+'!$AG$7,"B+",IF(P14&lt;'PlayerGrades+'!$AG$6,"A-",IF(P14&lt;'PlayerGrades+'!$AG$5,"A",IF(P14&lt;'PlayerGrades+'!$AG$4,"A+",IF(P14&lt;'PlayerGrades+'!$AG$3,"S-",IF(P14&lt;'PlayerGrades+'!$AG$2,"S","S+"))))))))))))))))))))</f>
        <v>A</v>
      </c>
      <c r="R14" s="961">
        <f t="shared" si="8"/>
        <v>0</v>
      </c>
      <c r="S14" s="961" t="str">
        <f>IF(R14&lt;'PlayerGrades+'!$AH$21,"F-",IF(R14&lt;'PlayerGrades+'!$AH$20,"F",IF(R14&lt;'PlayerGrades+'!$AH$19,"F+",IF(R14&lt;'PlayerGrades+'!$AH$18,"E-",IF(R14&lt;'PlayerGrades+'!$AH$17,"E",IF(R14&lt;'PlayerGrades+'!$AH$16,"E+",IF(R14&lt;'PlayerGrades+'!$AH$15,"D-",IF(R14&lt;'PlayerGrades+'!$AH$14,"D",IF(R14&lt;'PlayerGrades+'!$AH$13,"D+",IF(R14&lt;'PlayerGrades+'!$AH$12,"C-",IF(R14&lt;'PlayerGrades+'!$AH$11,"C",IF(R14&lt;'PlayerGrades+'!$AH$10,"C+",IF(R14&lt;'PlayerGrades+'!$AH$9,"B-",IF(R14&lt;'PlayerGrades+'!$AH$8,"B",IF(R14&lt;'PlayerGrades+'!$AH$7,"B+",IF(R14&lt;'PlayerGrades+'!$AH$6,"A-",IF(R14&lt;'PlayerGrades+'!$AH$5,"A",IF(R14&lt;'PlayerGrades+'!$AH$4,"A+",IF(R14&lt;'PlayerGrades+'!$AH$3,"S-",IF(R14&lt;'PlayerGrades+'!$AH$2,"S","S+"))))))))))))))))))))</f>
        <v>F-</v>
      </c>
      <c r="T14" s="961">
        <f t="shared" si="9"/>
        <v>85.83333333</v>
      </c>
      <c r="U14" s="961" t="str">
        <f>IF(T14&lt;'PlayerGrades+'!$AI$21,"F-",IF(T14&lt;'PlayerGrades+'!$AI$20,"F",IF(T14&lt;'PlayerGrades+'!$AI$19,"F+",IF(T14&lt;'PlayerGrades+'!$AI$18,"E-",IF(T14&lt;'PlayerGrades+'!$AI$17,"E",IF(T14&lt;'PlayerGrades+'!$AI$16,"E+",IF(T14&lt;'PlayerGrades+'!$AI$15,"D-",IF(T14&lt;'PlayerGrades+'!$AI$14,"D",IF(T14&lt;'PlayerGrades+'!$AI$13,"D+",IF(T14&lt;'PlayerGrades+'!$AI$12,"C-",IF(T14&lt;'PlayerGrades+'!$AI$11,"C",IF(T14&lt;'PlayerGrades+'!$AI$10,"C+",IF(T14&lt;'PlayerGrades+'!$AI$9,"B-",IF(T14&lt;'PlayerGrades+'!$AI$8,"B",IF(T14&lt;'PlayerGrades+'!$AI$7,"B+",IF(T14&lt;'PlayerGrades+'!$AI$6,"A-",IF(T14&lt;'PlayerGrades+'!$AI$5,"A",IF(T14&lt;'PlayerGrades+'!$AI$4,"A+",IF(T14&lt;'PlayerGrades+'!$AI$3,"S-",IF(T14&lt;'PlayerGrades+'!$AI$2,"S","S+"))))))))))))))))))))</f>
        <v>S+</v>
      </c>
      <c r="V14" s="1195">
        <v>0.0</v>
      </c>
      <c r="W14" s="1195">
        <v>1.0</v>
      </c>
      <c r="X14" s="1195">
        <v>0.0</v>
      </c>
      <c r="Y14" s="1195">
        <v>21.0</v>
      </c>
      <c r="Z14" s="1195">
        <v>68.0</v>
      </c>
      <c r="AA14" s="1195">
        <v>56.0</v>
      </c>
      <c r="AB14" s="1195">
        <f t="shared" si="10"/>
        <v>12</v>
      </c>
      <c r="AC14" s="1215">
        <f t="shared" si="11"/>
        <v>1.214285714</v>
      </c>
      <c r="AD14" s="1216">
        <v>0.0</v>
      </c>
      <c r="AE14" s="1218" t="s">
        <v>469</v>
      </c>
      <c r="AF14" s="1195">
        <v>2.0</v>
      </c>
      <c r="AG14" s="1216">
        <v>0.0</v>
      </c>
      <c r="AH14" s="1216">
        <v>0.0</v>
      </c>
      <c r="AI14" s="1216">
        <v>0.0</v>
      </c>
      <c r="AJ14" s="1195">
        <v>2.0</v>
      </c>
      <c r="AK14" s="1195">
        <v>10.0</v>
      </c>
      <c r="AL14" s="1195">
        <v>3.0</v>
      </c>
      <c r="AM14" s="1195">
        <v>1.0</v>
      </c>
      <c r="AN14" s="1216">
        <v>0.0</v>
      </c>
      <c r="AO14" s="1216">
        <v>0.0</v>
      </c>
      <c r="AP14" s="1216">
        <v>0.0</v>
      </c>
      <c r="AQ14" s="1216">
        <v>0.0</v>
      </c>
      <c r="AR14" s="1216">
        <v>0.0</v>
      </c>
      <c r="AS14" s="1216">
        <v>0.0</v>
      </c>
      <c r="AT14" s="1216">
        <v>0.0</v>
      </c>
      <c r="AU14" s="1195">
        <v>19.0</v>
      </c>
      <c r="AV14" s="1257">
        <v>0.0</v>
      </c>
      <c r="AW14" s="1257">
        <v>0.0</v>
      </c>
      <c r="AX14" s="1257">
        <v>0.0</v>
      </c>
      <c r="AY14" s="1195">
        <v>0.0</v>
      </c>
      <c r="AZ14" s="1195">
        <v>0.0</v>
      </c>
    </row>
    <row r="15">
      <c r="A15" s="1233" t="s">
        <v>75</v>
      </c>
      <c r="B15" s="1100" t="str">
        <f>IF(C15&lt;'PlayerGrades+'!$Y$44,"F-",IF(C15&lt;'PlayerGrades+'!$Y$43,"F",IF(C15&lt;'PlayerGrades+'!$Y$42,"F+",IF(C15&lt;'PlayerGrades+'!$Y$41,"E-",IF(C15&lt;'PlayerGrades+'!$Y$40,"E",IF(C15&lt;'PlayerGrades+'!$Y$39,"E+",IF(C15&lt;'PlayerGrades+'!$Y$38,"D-",IF(C15&lt;'PlayerGrades+'!$Y$37,"D",IF(C15&lt;'PlayerGrades+'!$Y$36,"D+",IF(C15&lt;'PlayerGrades+'!$Y$35,"C-",IF(C15&lt;'PlayerGrades+'!$Y$34,"C",IF(C15&lt;'PlayerGrades+'!$Y$33,"C+",IF(C15&lt;'PlayerGrades+'!$Y$32,"B-",IF(C15&lt;'PlayerGrades+'!$Y$31,"B",IF(C15&lt;'PlayerGrades+'!$Y$30,"B+",IF(C15&lt;'PlayerGrades+'!$Y$29,"A-",IF(C15&lt;'PlayerGrades+'!$Y$28,"A",IF(C15&lt;'PlayerGrades+'!$Y$27,"A+",IF(C15&lt;'PlayerGrades+'!$Y$26,"S-",IF(C15&lt;'PlayerGrades+'!$Y$25,"S","S+"))))))))))))))))))))</f>
        <v>B+</v>
      </c>
      <c r="C15" s="1239">
        <f>('PlayerGrades+'!$Y$47*(VLOOKUP(E15, 'PlayerGrades+'!$X$3:$Y$23, 2, FALSE)))+('PlayerGrades+'!$Y$48*(VLOOKUP(G15, 'PlayerGrades+'!$X$3:$Y$23, 2, FALSE)))+('PlayerGrades+'!$Y$49*(VLOOKUP(I15, 'PlayerGrades+'!$X$3:$Y$23, 2, FALSE)))+('PlayerGrades+'!$Y$50*(VLOOKUP(K15, 'PlayerGrades+'!$X$3:$Y$23, 2, FALSE)))+('PlayerGrades+'!$Y$51*(VLOOKUP(M15, 'PlayerGrades+'!$X$3:$Y$23, 2, FALSE)))+('PlayerGrades+'!$Y$52*(VLOOKUP(O15, 'PlayerGrades+'!$X$3:$Y$23, 2, FALSE)))+('PlayerGrades+'!$Y$53*(VLOOKUP(Q15, 'PlayerGrades+'!$X$3:$Y$23, 2, FALSE)))+('PlayerGrades+'!$Y$54*(VLOOKUP(S15, 'PlayerGrades+'!$X$3:$Y$23, 2, FALSE)))+('PlayerGrades+'!$Y$55*(VLOOKUP(U15, 'PlayerGrades+'!$X$3:$Y$23, 2, FALSE)))</f>
        <v>20.35</v>
      </c>
      <c r="D15" s="961">
        <f t="shared" si="1"/>
        <v>0</v>
      </c>
      <c r="E15" s="961" t="str">
        <f>IF(D15&lt;'PlayerGrades+'!$AA$21,"F-",IF(D15&lt;'PlayerGrades+'!$AA$20,"F",IF(D15&lt;'PlayerGrades+'!$AA$19,"F+",IF(D15&lt;'PlayerGrades+'!$AA$18,"E-",IF(D15&lt;'PlayerGrades+'!$AA$17,"E",IF(D15&lt;'PlayerGrades+'!$AA$16,"E+",IF(D15&lt;'PlayerGrades+'!$AA$15,"D-",IF(D15&lt;'PlayerGrades+'!$AA$14,"D",IF(D15&lt;'PlayerGrades+'!$AA$13,"D+",IF(D15&lt;'PlayerGrades+'!$AA$12,"C-",IF(D15&lt;'PlayerGrades+'!$AA$11,"C",IF(D15&lt;'PlayerGrades+'!$AA$10,"C+",IF(D15&lt;'PlayerGrades+'!$AA$9,"B-",IF(D15&lt;'PlayerGrades+'!$AA$8,"B",IF(D15&lt;'PlayerGrades+'!$AA$7,"B+",IF(D15&lt;'PlayerGrades+'!$AA$6,"A-",IF(D15&lt;'PlayerGrades+'!$AA$5,"A",IF(D15&lt;'PlayerGrades+'!$AA$4,"A+",IF(D15&lt;'PlayerGrades+'!$AA$3,"S-",IF(D15&lt;'PlayerGrades+'!$AA$2,"S","S+"))))))))))))))))))))</f>
        <v>F-</v>
      </c>
      <c r="F15" s="961">
        <f t="shared" si="2"/>
        <v>0.06117247239</v>
      </c>
      <c r="G15" s="961" t="str">
        <f>IF(F15&lt;'PlayerGrades+'!$AB$21,"F-",IF(F15&lt;'PlayerGrades+'!$AB$20,"F",IF(F15&lt;'PlayerGrades+'!$AB$19,"F+",IF(F15&lt;'PlayerGrades+'!$AB$18,"E-",IF(F15&lt;'PlayerGrades+'!$AB$17,"E",IF(F15&lt;'PlayerGrades+'!$AB$16,"E+",IF(F15&lt;'PlayerGrades+'!$AB$15,"D-",IF(F15&lt;'PlayerGrades+'!$AB$14,"D",IF(F15&lt;'PlayerGrades+'!$AB$13,"D+",IF(F15&lt;'PlayerGrades+'!$AB$12,"C-",IF(F15&lt;'PlayerGrades+'!$AB$11,"C",IF(F15&lt;'PlayerGrades+'!$AB$10,"C+",IF(F15&lt;'PlayerGrades+'!$AB$9,"B-",IF(F15&lt;'PlayerGrades+'!$AB$8,"B",IF(F15&lt;'PlayerGrades+'!$AB$7,"B+",IF(F15&lt;'PlayerGrades+'!$AB$6,"A-",IF(F15&lt;'PlayerGrades+'!$AB$5,"A",IF(F15&lt;'PlayerGrades+'!$AB$4,"A+",IF(F15&lt;'PlayerGrades+'!$AB$3,"S-",IF(F15&lt;'PlayerGrades+'!$AB$2,"S","S+"))))))))))))))))))))</f>
        <v>A</v>
      </c>
      <c r="H15" s="961">
        <f t="shared" si="3"/>
        <v>0.785046729</v>
      </c>
      <c r="I15" s="961" t="str">
        <f>IF(H15&lt;'PlayerGrades+'!$AC$21,"F-",IF(H15&lt;'PlayerGrades+'!$AC$20,"F",IF(H15&lt;'PlayerGrades+'!$AC$19,"F+",IF(H15&lt;'PlayerGrades+'!$AC$18,"E-",IF(H15&lt;'PlayerGrades+'!$AC$17,"E",IF(H15&lt;'PlayerGrades+'!$AC$16,"E+",IF(H15&lt;'PlayerGrades+'!$AC$15,"D-",IF(H15&lt;'PlayerGrades+'!$AC$14,"D",IF(H15&lt;'PlayerGrades+'!$AC$13,"D+",IF(H15&lt;'PlayerGrades+'!$AC$12,"C-",IF(H15&lt;'PlayerGrades+'!$AC$11,"C",IF(H15&lt;'PlayerGrades+'!$AC$10,"C+",IF(H15&lt;'PlayerGrades+'!$AC$9,"B-",IF(H15&lt;'PlayerGrades+'!$AC$8,"B",IF(H15&lt;'PlayerGrades+'!$AC$7,"B+",IF(H15&lt;'PlayerGrades+'!$AC$6,"A-",IF(H15&lt;'PlayerGrades+'!$AC$5,"A",IF(H15&lt;'PlayerGrades+'!$AC$4,"A+",IF(H15&lt;'PlayerGrades+'!$AC$3,"S-",IF(H15&lt;'PlayerGrades+'!$AC$2,"S","S+"))))))))))))))))))))</f>
        <v>S-</v>
      </c>
      <c r="J15" s="961">
        <f t="shared" si="4"/>
        <v>0.05607476636</v>
      </c>
      <c r="K15" s="961" t="str">
        <f>IF(J15&lt;'PlayerGrades+'!$AD$21,"F-",IF(J15&lt;'PlayerGrades+'!$AD$20,"F",IF(J15&lt;'PlayerGrades+'!$AD$19,"F+",IF(J15&lt;'PlayerGrades+'!$AD$18,"E-",IF(J15&lt;'PlayerGrades+'!$AD$17,"E",IF(J15&lt;'PlayerGrades+'!$AD$16,"E+",IF(J15&lt;'PlayerGrades+'!$AD$15,"D-",IF(J15&lt;'PlayerGrades+'!$AD$14,"D",IF(J15&lt;'PlayerGrades+'!$AD$13,"D+",IF(J15&lt;'PlayerGrades+'!$AD$12,"C-",IF(J15&lt;'PlayerGrades+'!$AD$11,"C",IF(J15&lt;'PlayerGrades+'!$AD$10,"C+",IF(J15&lt;'PlayerGrades+'!$AD$9,"B-",IF(J15&lt;'PlayerGrades+'!$AD$8,"B",IF(J15&lt;'PlayerGrades+'!$AD$7,"B+",IF(J15&lt;'PlayerGrades+'!$AD$6,"A-",IF(J15&lt;'PlayerGrades+'!$AD$5,"A",IF(J15&lt;'PlayerGrades+'!$AD$4,"A+",IF(J15&lt;'PlayerGrades+'!$AD$3,"S-",IF(J15&lt;'PlayerGrades+'!$AD$2,"S","S+"))))))))))))))))))))</f>
        <v>B-</v>
      </c>
      <c r="L15" s="1176">
        <f t="shared" si="5"/>
        <v>0.7289719626</v>
      </c>
      <c r="M15" s="992" t="str">
        <f>IF(L15&lt;'PlayerGrades+'!$AE$21,"F-",IF(L15&lt;'PlayerGrades+'!$AE$20,"F",IF(L15&lt;'PlayerGrades+'!$AE$19,"F+",IF(L15&lt;'PlayerGrades+'!$AE$18,"E-",IF(L15&lt;'PlayerGrades+'!$AE$17,"E",IF(L15&lt;'PlayerGrades+'!$AE$16,"E+",IF(L15&lt;'PlayerGrades+'!$AE$15,"D-",IF(L15&lt;'PlayerGrades+'!$AE$14,"D",IF(L15&lt;'PlayerGrades+'!$AE$13,"D+",IF(L15&lt;'PlayerGrades+'!$AE$12,"C-",IF(L15&lt;'PlayerGrades+'!$AE$11,"C",IF(L15&lt;'PlayerGrades+'!$AE$10,"C+",IF(L15&lt;'PlayerGrades+'!$AE$9,"B-",IF(L15&lt;'PlayerGrades+'!$AE$8,"B",IF(L15&lt;'PlayerGrades+'!$AE$7,"B+",IF(L15&lt;'PlayerGrades+'!$AE$6,"A-",IF(L15&lt;'PlayerGrades+'!$AE$5,"A",IF(L15&lt;'PlayerGrades+'!$AE$4,"A+",IF(L15&lt;'PlayerGrades+'!$AE$3,"S-",IF(L15&lt;'PlayerGrades+'!$AE$2,"S","S+"))))))))))))))))))))</f>
        <v>S-</v>
      </c>
      <c r="N15" s="961">
        <f t="shared" si="6"/>
        <v>0.1682242991</v>
      </c>
      <c r="O15" s="961" t="str">
        <f>IF(N15&lt;'PlayerGrades+'!$AF$21,"F-",IF(N15&lt;'PlayerGrades+'!$AF$20,"F",IF(N15&lt;'PlayerGrades+'!$AF$19,"F+",IF(N15&lt;'PlayerGrades+'!$AF$18,"E-",IF(N15&lt;'PlayerGrades+'!$AF$17,"E",IF(N15&lt;'PlayerGrades+'!$AF$16,"E+",IF(N15&lt;'PlayerGrades+'!$AF$15,"D-",IF(N15&lt;'PlayerGrades+'!$AF$14,"D",IF(N15&lt;'PlayerGrades+'!$AF$13,"D+",IF(N15&lt;'PlayerGrades+'!$AF$12,"C-",IF(N15&lt;'PlayerGrades+'!$AF$11,"C",IF(N15&lt;'PlayerGrades+'!$AF$10,"C+",IF(N15&lt;'PlayerGrades+'!$AF$9,"B-",IF(N15&lt;'PlayerGrades+'!$AF$8,"B",IF(N15&lt;'PlayerGrades+'!$AF$7,"B+",IF(N15&lt;'PlayerGrades+'!$AF$6,"A-",IF(N15&lt;'PlayerGrades+'!$AF$5,"A",IF(N15&lt;'PlayerGrades+'!$AF$4,"A+",IF(N15&lt;'PlayerGrades+'!$AF$3,"S-",IF(N15&lt;'PlayerGrades+'!$AF$2,"S","S+"))))))))))))))))))))</f>
        <v>A</v>
      </c>
      <c r="P15" s="961">
        <f t="shared" si="7"/>
        <v>1.009345794</v>
      </c>
      <c r="Q15" s="961" t="str">
        <f>IF(P15&lt;'PlayerGrades+'!$AG$21,"F-",IF(P15&lt;'PlayerGrades+'!$AG$20,"F",IF(P15&lt;'PlayerGrades+'!$AG$19,"F+",IF(P15&lt;'PlayerGrades+'!$AG$18,"E-",IF(P15&lt;'PlayerGrades+'!$AG$17,"E",IF(P15&lt;'PlayerGrades+'!$AG$16,"E+",IF(P15&lt;'PlayerGrades+'!$AG$15,"D-",IF(P15&lt;'PlayerGrades+'!$AG$14,"D",IF(P15&lt;'PlayerGrades+'!$AG$13,"D+",IF(P15&lt;'PlayerGrades+'!$AG$12,"C-",IF(P15&lt;'PlayerGrades+'!$AG$11,"C",IF(P15&lt;'PlayerGrades+'!$AG$10,"C+",IF(P15&lt;'PlayerGrades+'!$AG$9,"B-",IF(P15&lt;'PlayerGrades+'!$AG$8,"B",IF(P15&lt;'PlayerGrades+'!$AG$7,"B+",IF(P15&lt;'PlayerGrades+'!$AG$6,"A-",IF(P15&lt;'PlayerGrades+'!$AG$5,"A",IF(P15&lt;'PlayerGrades+'!$AG$4,"A+",IF(P15&lt;'PlayerGrades+'!$AG$3,"S-",IF(P15&lt;'PlayerGrades+'!$AG$2,"S","S+"))))))))))))))))))))</f>
        <v>A+</v>
      </c>
      <c r="R15" s="961">
        <f t="shared" si="8"/>
        <v>0</v>
      </c>
      <c r="S15" s="961" t="str">
        <f>IF(R15&lt;'PlayerGrades+'!$AH$21,"F-",IF(R15&lt;'PlayerGrades+'!$AH$20,"F",IF(R15&lt;'PlayerGrades+'!$AH$19,"F+",IF(R15&lt;'PlayerGrades+'!$AH$18,"E-",IF(R15&lt;'PlayerGrades+'!$AH$17,"E",IF(R15&lt;'PlayerGrades+'!$AH$16,"E+",IF(R15&lt;'PlayerGrades+'!$AH$15,"D-",IF(R15&lt;'PlayerGrades+'!$AH$14,"D",IF(R15&lt;'PlayerGrades+'!$AH$13,"D+",IF(R15&lt;'PlayerGrades+'!$AH$12,"C-",IF(R15&lt;'PlayerGrades+'!$AH$11,"C",IF(R15&lt;'PlayerGrades+'!$AH$10,"C+",IF(R15&lt;'PlayerGrades+'!$AH$9,"B-",IF(R15&lt;'PlayerGrades+'!$AH$8,"B",IF(R15&lt;'PlayerGrades+'!$AH$7,"B+",IF(R15&lt;'PlayerGrades+'!$AH$6,"A-",IF(R15&lt;'PlayerGrades+'!$AH$5,"A",IF(R15&lt;'PlayerGrades+'!$AH$4,"A+",IF(R15&lt;'PlayerGrades+'!$AH$3,"S-",IF(R15&lt;'PlayerGrades+'!$AH$2,"S","S+"))))))))))))))))))))</f>
        <v>F-</v>
      </c>
      <c r="T15" s="961">
        <f t="shared" si="9"/>
        <v>77.83333333</v>
      </c>
      <c r="U15" s="961" t="str">
        <f>IF(T15&lt;'PlayerGrades+'!$AI$21,"F-",IF(T15&lt;'PlayerGrades+'!$AI$20,"F",IF(T15&lt;'PlayerGrades+'!$AI$19,"F+",IF(T15&lt;'PlayerGrades+'!$AI$18,"E-",IF(T15&lt;'PlayerGrades+'!$AI$17,"E",IF(T15&lt;'PlayerGrades+'!$AI$16,"E+",IF(T15&lt;'PlayerGrades+'!$AI$15,"D-",IF(T15&lt;'PlayerGrades+'!$AI$14,"D",IF(T15&lt;'PlayerGrades+'!$AI$13,"D+",IF(T15&lt;'PlayerGrades+'!$AI$12,"C-",IF(T15&lt;'PlayerGrades+'!$AI$11,"C",IF(T15&lt;'PlayerGrades+'!$AI$10,"C+",IF(T15&lt;'PlayerGrades+'!$AI$9,"B-",IF(T15&lt;'PlayerGrades+'!$AI$8,"B",IF(T15&lt;'PlayerGrades+'!$AI$7,"B+",IF(T15&lt;'PlayerGrades+'!$AI$6,"A-",IF(T15&lt;'PlayerGrades+'!$AI$5,"A",IF(T15&lt;'PlayerGrades+'!$AI$4,"A+",IF(T15&lt;'PlayerGrades+'!$AI$3,"S-",IF(T15&lt;'PlayerGrades+'!$AI$2,"S","S+"))))))))))))))))))))</f>
        <v>S+</v>
      </c>
      <c r="V15" s="1195">
        <v>0.0</v>
      </c>
      <c r="W15" s="1195">
        <v>1.0</v>
      </c>
      <c r="X15" s="1195">
        <v>0.0</v>
      </c>
      <c r="Y15" s="1195">
        <v>9.0</v>
      </c>
      <c r="Z15" s="1195">
        <v>60.0</v>
      </c>
      <c r="AA15" s="1195">
        <v>55.0</v>
      </c>
      <c r="AB15" s="1195">
        <f t="shared" si="10"/>
        <v>5</v>
      </c>
      <c r="AC15" s="1215">
        <f t="shared" si="11"/>
        <v>1.090909091</v>
      </c>
      <c r="AD15" s="1216">
        <v>0.0</v>
      </c>
      <c r="AE15" s="1218" t="s">
        <v>469</v>
      </c>
      <c r="AF15" s="1195">
        <v>1.0</v>
      </c>
      <c r="AG15" s="1216">
        <v>0.0</v>
      </c>
      <c r="AH15" s="1216">
        <v>0.0</v>
      </c>
      <c r="AI15" s="1216">
        <v>0.0</v>
      </c>
      <c r="AJ15" s="1195">
        <v>1.0</v>
      </c>
      <c r="AK15" s="1195">
        <v>13.0</v>
      </c>
      <c r="AL15" s="1195">
        <v>3.0</v>
      </c>
      <c r="AM15" s="1195">
        <v>1.0</v>
      </c>
      <c r="AN15" s="1216">
        <v>0.0</v>
      </c>
      <c r="AO15" s="1216">
        <v>0.0</v>
      </c>
      <c r="AP15" s="1216">
        <v>0.0</v>
      </c>
      <c r="AQ15" s="1216">
        <v>0.0</v>
      </c>
      <c r="AR15" s="1216">
        <v>0.0</v>
      </c>
      <c r="AS15" s="1216">
        <v>0.0</v>
      </c>
      <c r="AT15" s="1216">
        <v>0.0</v>
      </c>
      <c r="AU15" s="1195">
        <v>14.0</v>
      </c>
      <c r="AV15" s="1257">
        <v>0.0</v>
      </c>
      <c r="AW15" s="1257">
        <v>0.0</v>
      </c>
      <c r="AX15" s="1257">
        <v>0.0</v>
      </c>
      <c r="AY15" s="1195">
        <v>0.0</v>
      </c>
      <c r="AZ15" s="1195">
        <v>0.0</v>
      </c>
    </row>
    <row r="16">
      <c r="A16" s="1233" t="s">
        <v>80</v>
      </c>
      <c r="B16" s="1100" t="str">
        <f>IF(C16&lt;'PlayerGrades+'!$Y$44,"F-",IF(C16&lt;'PlayerGrades+'!$Y$43,"F",IF(C16&lt;'PlayerGrades+'!$Y$42,"F+",IF(C16&lt;'PlayerGrades+'!$Y$41,"E-",IF(C16&lt;'PlayerGrades+'!$Y$40,"E",IF(C16&lt;'PlayerGrades+'!$Y$39,"E+",IF(C16&lt;'PlayerGrades+'!$Y$38,"D-",IF(C16&lt;'PlayerGrades+'!$Y$37,"D",IF(C16&lt;'PlayerGrades+'!$Y$36,"D+",IF(C16&lt;'PlayerGrades+'!$Y$35,"C-",IF(C16&lt;'PlayerGrades+'!$Y$34,"C",IF(C16&lt;'PlayerGrades+'!$Y$33,"C+",IF(C16&lt;'PlayerGrades+'!$Y$32,"B-",IF(C16&lt;'PlayerGrades+'!$Y$31,"B",IF(C16&lt;'PlayerGrades+'!$Y$30,"B+",IF(C16&lt;'PlayerGrades+'!$Y$29,"A-",IF(C16&lt;'PlayerGrades+'!$Y$28,"A",IF(C16&lt;'PlayerGrades+'!$Y$27,"A+",IF(C16&lt;'PlayerGrades+'!$Y$26,"S-",IF(C16&lt;'PlayerGrades+'!$Y$25,"S","S+"))))))))))))))))))))</f>
        <v>C-</v>
      </c>
      <c r="C16" s="1239">
        <f>('PlayerGrades+'!$Y$47*(VLOOKUP(E16, 'PlayerGrades+'!$X$3:$Y$23, 2, FALSE)))+('PlayerGrades+'!$Y$48*(VLOOKUP(G16, 'PlayerGrades+'!$X$3:$Y$23, 2, FALSE)))+('PlayerGrades+'!$Y$49*(VLOOKUP(I16, 'PlayerGrades+'!$X$3:$Y$23, 2, FALSE)))+('PlayerGrades+'!$Y$50*(VLOOKUP(K16, 'PlayerGrades+'!$X$3:$Y$23, 2, FALSE)))+('PlayerGrades+'!$Y$51*(VLOOKUP(M16, 'PlayerGrades+'!$X$3:$Y$23, 2, FALSE)))+('PlayerGrades+'!$Y$52*(VLOOKUP(O16, 'PlayerGrades+'!$X$3:$Y$23, 2, FALSE)))+('PlayerGrades+'!$Y$53*(VLOOKUP(Q16, 'PlayerGrades+'!$X$3:$Y$23, 2, FALSE)))+('PlayerGrades+'!$Y$54*(VLOOKUP(S16, 'PlayerGrades+'!$X$3:$Y$23, 2, FALSE)))+('PlayerGrades+'!$Y$55*(VLOOKUP(U16, 'PlayerGrades+'!$X$3:$Y$23, 2, FALSE)))</f>
        <v>14.325</v>
      </c>
      <c r="D16" s="961">
        <f t="shared" si="1"/>
        <v>0</v>
      </c>
      <c r="E16" s="961" t="str">
        <f>IF(D16&lt;'PlayerGrades+'!$AA$21,"F-",IF(D16&lt;'PlayerGrades+'!$AA$20,"F",IF(D16&lt;'PlayerGrades+'!$AA$19,"F+",IF(D16&lt;'PlayerGrades+'!$AA$18,"E-",IF(D16&lt;'PlayerGrades+'!$AA$17,"E",IF(D16&lt;'PlayerGrades+'!$AA$16,"E+",IF(D16&lt;'PlayerGrades+'!$AA$15,"D-",IF(D16&lt;'PlayerGrades+'!$AA$14,"D",IF(D16&lt;'PlayerGrades+'!$AA$13,"D+",IF(D16&lt;'PlayerGrades+'!$AA$12,"C-",IF(D16&lt;'PlayerGrades+'!$AA$11,"C",IF(D16&lt;'PlayerGrades+'!$AA$10,"C+",IF(D16&lt;'PlayerGrades+'!$AA$9,"B-",IF(D16&lt;'PlayerGrades+'!$AA$8,"B",IF(D16&lt;'PlayerGrades+'!$AA$7,"B+",IF(D16&lt;'PlayerGrades+'!$AA$6,"A-",IF(D16&lt;'PlayerGrades+'!$AA$5,"A",IF(D16&lt;'PlayerGrades+'!$AA$4,"A+",IF(D16&lt;'PlayerGrades+'!$AA$3,"S-",IF(D16&lt;'PlayerGrades+'!$AA$2,"S","S+"))))))))))))))))))))</f>
        <v>F-</v>
      </c>
      <c r="F16" s="961">
        <f t="shared" si="2"/>
        <v>0.05319913731</v>
      </c>
      <c r="G16" s="961" t="str">
        <f>IF(F16&lt;'PlayerGrades+'!$AB$21,"F-",IF(F16&lt;'PlayerGrades+'!$AB$20,"F",IF(F16&lt;'PlayerGrades+'!$AB$19,"F+",IF(F16&lt;'PlayerGrades+'!$AB$18,"E-",IF(F16&lt;'PlayerGrades+'!$AB$17,"E",IF(F16&lt;'PlayerGrades+'!$AB$16,"E+",IF(F16&lt;'PlayerGrades+'!$AB$15,"D-",IF(F16&lt;'PlayerGrades+'!$AB$14,"D",IF(F16&lt;'PlayerGrades+'!$AB$13,"D+",IF(F16&lt;'PlayerGrades+'!$AB$12,"C-",IF(F16&lt;'PlayerGrades+'!$AB$11,"C",IF(F16&lt;'PlayerGrades+'!$AB$10,"C+",IF(F16&lt;'PlayerGrades+'!$AB$9,"B-",IF(F16&lt;'PlayerGrades+'!$AB$8,"B",IF(F16&lt;'PlayerGrades+'!$AB$7,"B+",IF(F16&lt;'PlayerGrades+'!$AB$6,"A-",IF(F16&lt;'PlayerGrades+'!$AB$5,"A",IF(F16&lt;'PlayerGrades+'!$AB$4,"A+",IF(F16&lt;'PlayerGrades+'!$AB$3,"S-",IF(F16&lt;'PlayerGrades+'!$AB$2,"S","S+"))))))))))))))))))))</f>
        <v>A</v>
      </c>
      <c r="H16" s="961">
        <f t="shared" si="3"/>
        <v>0.3925233645</v>
      </c>
      <c r="I16" s="961" t="str">
        <f>IF(H16&lt;'PlayerGrades+'!$AC$21,"F-",IF(H16&lt;'PlayerGrades+'!$AC$20,"F",IF(H16&lt;'PlayerGrades+'!$AC$19,"F+",IF(H16&lt;'PlayerGrades+'!$AC$18,"E-",IF(H16&lt;'PlayerGrades+'!$AC$17,"E",IF(H16&lt;'PlayerGrades+'!$AC$16,"E+",IF(H16&lt;'PlayerGrades+'!$AC$15,"D-",IF(H16&lt;'PlayerGrades+'!$AC$14,"D",IF(H16&lt;'PlayerGrades+'!$AC$13,"D+",IF(H16&lt;'PlayerGrades+'!$AC$12,"C-",IF(H16&lt;'PlayerGrades+'!$AC$11,"C",IF(H16&lt;'PlayerGrades+'!$AC$10,"C+",IF(H16&lt;'PlayerGrades+'!$AC$9,"B-",IF(H16&lt;'PlayerGrades+'!$AC$8,"B",IF(H16&lt;'PlayerGrades+'!$AC$7,"B+",IF(H16&lt;'PlayerGrades+'!$AC$6,"A-",IF(H16&lt;'PlayerGrades+'!$AC$5,"A",IF(H16&lt;'PlayerGrades+'!$AC$4,"A+",IF(H16&lt;'PlayerGrades+'!$AC$3,"S-",IF(H16&lt;'PlayerGrades+'!$AC$2,"S","S+"))))))))))))))))))))</f>
        <v>D</v>
      </c>
      <c r="J16" s="961">
        <f t="shared" si="4"/>
        <v>0</v>
      </c>
      <c r="K16" s="961" t="str">
        <f>IF(J16&lt;'PlayerGrades+'!$AD$21,"F-",IF(J16&lt;'PlayerGrades+'!$AD$20,"F",IF(J16&lt;'PlayerGrades+'!$AD$19,"F+",IF(J16&lt;'PlayerGrades+'!$AD$18,"E-",IF(J16&lt;'PlayerGrades+'!$AD$17,"E",IF(J16&lt;'PlayerGrades+'!$AD$16,"E+",IF(J16&lt;'PlayerGrades+'!$AD$15,"D-",IF(J16&lt;'PlayerGrades+'!$AD$14,"D",IF(J16&lt;'PlayerGrades+'!$AD$13,"D+",IF(J16&lt;'PlayerGrades+'!$AD$12,"C-",IF(J16&lt;'PlayerGrades+'!$AD$11,"C",IF(J16&lt;'PlayerGrades+'!$AD$10,"C+",IF(J16&lt;'PlayerGrades+'!$AD$9,"B-",IF(J16&lt;'PlayerGrades+'!$AD$8,"B",IF(J16&lt;'PlayerGrades+'!$AD$7,"B+",IF(J16&lt;'PlayerGrades+'!$AD$6,"A-",IF(J16&lt;'PlayerGrades+'!$AD$5,"A",IF(J16&lt;'PlayerGrades+'!$AD$4,"A+",IF(J16&lt;'PlayerGrades+'!$AD$3,"S-",IF(J16&lt;'PlayerGrades+'!$AD$2,"S","S+"))))))))))))))))))))</f>
        <v>F-</v>
      </c>
      <c r="L16" s="1176">
        <f t="shared" si="5"/>
        <v>0.4485981308</v>
      </c>
      <c r="M16" s="992" t="str">
        <f>IF(L16&lt;'PlayerGrades+'!$AE$21,"F-",IF(L16&lt;'PlayerGrades+'!$AE$20,"F",IF(L16&lt;'PlayerGrades+'!$AE$19,"F+",IF(L16&lt;'PlayerGrades+'!$AE$18,"E-",IF(L16&lt;'PlayerGrades+'!$AE$17,"E",IF(L16&lt;'PlayerGrades+'!$AE$16,"E+",IF(L16&lt;'PlayerGrades+'!$AE$15,"D-",IF(L16&lt;'PlayerGrades+'!$AE$14,"D",IF(L16&lt;'PlayerGrades+'!$AE$13,"D+",IF(L16&lt;'PlayerGrades+'!$AE$12,"C-",IF(L16&lt;'PlayerGrades+'!$AE$11,"C",IF(L16&lt;'PlayerGrades+'!$AE$10,"C+",IF(L16&lt;'PlayerGrades+'!$AE$9,"B-",IF(L16&lt;'PlayerGrades+'!$AE$8,"B",IF(L16&lt;'PlayerGrades+'!$AE$7,"B+",IF(L16&lt;'PlayerGrades+'!$AE$6,"A-",IF(L16&lt;'PlayerGrades+'!$AE$5,"A",IF(L16&lt;'PlayerGrades+'!$AE$4,"A+",IF(L16&lt;'PlayerGrades+'!$AE$3,"S-",IF(L16&lt;'PlayerGrades+'!$AE$2,"S","S+"))))))))))))))))))))</f>
        <v>B-</v>
      </c>
      <c r="N16" s="961">
        <f t="shared" si="6"/>
        <v>0.1121495327</v>
      </c>
      <c r="O16" s="961" t="str">
        <f>IF(N16&lt;'PlayerGrades+'!$AF$21,"F-",IF(N16&lt;'PlayerGrades+'!$AF$20,"F",IF(N16&lt;'PlayerGrades+'!$AF$19,"F+",IF(N16&lt;'PlayerGrades+'!$AF$18,"E-",IF(N16&lt;'PlayerGrades+'!$AF$17,"E",IF(N16&lt;'PlayerGrades+'!$AF$16,"E+",IF(N16&lt;'PlayerGrades+'!$AF$15,"D-",IF(N16&lt;'PlayerGrades+'!$AF$14,"D",IF(N16&lt;'PlayerGrades+'!$AF$13,"D+",IF(N16&lt;'PlayerGrades+'!$AF$12,"C-",IF(N16&lt;'PlayerGrades+'!$AF$11,"C",IF(N16&lt;'PlayerGrades+'!$AF$10,"C+",IF(N16&lt;'PlayerGrades+'!$AF$9,"B-",IF(N16&lt;'PlayerGrades+'!$AF$8,"B",IF(N16&lt;'PlayerGrades+'!$AF$7,"B+",IF(N16&lt;'PlayerGrades+'!$AF$6,"A-",IF(N16&lt;'PlayerGrades+'!$AF$5,"A",IF(N16&lt;'PlayerGrades+'!$AF$4,"A+",IF(N16&lt;'PlayerGrades+'!$AF$3,"S-",IF(N16&lt;'PlayerGrades+'!$AF$2,"S","S+"))))))))))))))))))))</f>
        <v>C</v>
      </c>
      <c r="P16" s="961">
        <f t="shared" si="7"/>
        <v>0.5607476636</v>
      </c>
      <c r="Q16" s="961" t="str">
        <f>IF(P16&lt;'PlayerGrades+'!$AG$21,"F-",IF(P16&lt;'PlayerGrades+'!$AG$20,"F",IF(P16&lt;'PlayerGrades+'!$AG$19,"F+",IF(P16&lt;'PlayerGrades+'!$AG$18,"E-",IF(P16&lt;'PlayerGrades+'!$AG$17,"E",IF(P16&lt;'PlayerGrades+'!$AG$16,"E+",IF(P16&lt;'PlayerGrades+'!$AG$15,"D-",IF(P16&lt;'PlayerGrades+'!$AG$14,"D",IF(P16&lt;'PlayerGrades+'!$AG$13,"D+",IF(P16&lt;'PlayerGrades+'!$AG$12,"C-",IF(P16&lt;'PlayerGrades+'!$AG$11,"C",IF(P16&lt;'PlayerGrades+'!$AG$10,"C+",IF(P16&lt;'PlayerGrades+'!$AG$9,"B-",IF(P16&lt;'PlayerGrades+'!$AG$8,"B",IF(P16&lt;'PlayerGrades+'!$AG$7,"B+",IF(P16&lt;'PlayerGrades+'!$AG$6,"A-",IF(P16&lt;'PlayerGrades+'!$AG$5,"A",IF(P16&lt;'PlayerGrades+'!$AG$4,"A+",IF(P16&lt;'PlayerGrades+'!$AG$3,"S-",IF(P16&lt;'PlayerGrades+'!$AG$2,"S","S+"))))))))))))))))))))</f>
        <v>D+</v>
      </c>
      <c r="R16" s="961">
        <f t="shared" si="8"/>
        <v>0</v>
      </c>
      <c r="S16" s="961" t="str">
        <f>IF(R16&lt;'PlayerGrades+'!$AH$21,"F-",IF(R16&lt;'PlayerGrades+'!$AH$20,"F",IF(R16&lt;'PlayerGrades+'!$AH$19,"F+",IF(R16&lt;'PlayerGrades+'!$AH$18,"E-",IF(R16&lt;'PlayerGrades+'!$AH$17,"E",IF(R16&lt;'PlayerGrades+'!$AH$16,"E+",IF(R16&lt;'PlayerGrades+'!$AH$15,"D-",IF(R16&lt;'PlayerGrades+'!$AH$14,"D",IF(R16&lt;'PlayerGrades+'!$AH$13,"D+",IF(R16&lt;'PlayerGrades+'!$AH$12,"C-",IF(R16&lt;'PlayerGrades+'!$AH$11,"C",IF(R16&lt;'PlayerGrades+'!$AH$10,"C+",IF(R16&lt;'PlayerGrades+'!$AH$9,"B-",IF(R16&lt;'PlayerGrades+'!$AH$8,"B",IF(R16&lt;'PlayerGrades+'!$AH$7,"B+",IF(R16&lt;'PlayerGrades+'!$AH$6,"A-",IF(R16&lt;'PlayerGrades+'!$AH$5,"A",IF(R16&lt;'PlayerGrades+'!$AH$4,"A+",IF(R16&lt;'PlayerGrades+'!$AH$3,"S-",IF(R16&lt;'PlayerGrades+'!$AH$2,"S","S+"))))))))))))))))))))</f>
        <v>F-</v>
      </c>
      <c r="T16" s="961">
        <f t="shared" si="9"/>
        <v>91.83333333</v>
      </c>
      <c r="U16" s="961" t="str">
        <f>IF(T16&lt;'PlayerGrades+'!$AI$21,"F-",IF(T16&lt;'PlayerGrades+'!$AI$20,"F",IF(T16&lt;'PlayerGrades+'!$AI$19,"F+",IF(T16&lt;'PlayerGrades+'!$AI$18,"E-",IF(T16&lt;'PlayerGrades+'!$AI$17,"E",IF(T16&lt;'PlayerGrades+'!$AI$16,"E+",IF(T16&lt;'PlayerGrades+'!$AI$15,"D-",IF(T16&lt;'PlayerGrades+'!$AI$14,"D",IF(T16&lt;'PlayerGrades+'!$AI$13,"D+",IF(T16&lt;'PlayerGrades+'!$AI$12,"C-",IF(T16&lt;'PlayerGrades+'!$AI$11,"C",IF(T16&lt;'PlayerGrades+'!$AI$10,"C+",IF(T16&lt;'PlayerGrades+'!$AI$9,"B-",IF(T16&lt;'PlayerGrades+'!$AI$8,"B",IF(T16&lt;'PlayerGrades+'!$AI$7,"B+",IF(T16&lt;'PlayerGrades+'!$AI$6,"A-",IF(T16&lt;'PlayerGrades+'!$AI$5,"A",IF(T16&lt;'PlayerGrades+'!$AI$4,"A+",IF(T16&lt;'PlayerGrades+'!$AI$3,"S-",IF(T16&lt;'PlayerGrades+'!$AI$2,"S","S+"))))))))))))))))))))</f>
        <v>S+</v>
      </c>
      <c r="V16" s="1195">
        <v>0.0</v>
      </c>
      <c r="W16" s="1195">
        <v>1.0</v>
      </c>
      <c r="X16" s="1195">
        <v>0.0</v>
      </c>
      <c r="Y16" s="1195">
        <v>2.0</v>
      </c>
      <c r="Z16" s="1195">
        <v>74.0</v>
      </c>
      <c r="AA16" s="1195">
        <v>78.0</v>
      </c>
      <c r="AB16" s="1195">
        <f t="shared" si="10"/>
        <v>-4</v>
      </c>
      <c r="AC16" s="1215">
        <f t="shared" si="11"/>
        <v>0.9487179487</v>
      </c>
      <c r="AD16" s="1216">
        <v>0.0</v>
      </c>
      <c r="AE16" s="1218" t="s">
        <v>469</v>
      </c>
      <c r="AF16" s="1195">
        <v>0.0</v>
      </c>
      <c r="AG16" s="1216">
        <v>0.0</v>
      </c>
      <c r="AH16" s="1216">
        <v>0.0</v>
      </c>
      <c r="AI16" s="1216">
        <v>0.0</v>
      </c>
      <c r="AJ16" s="1195">
        <v>0.0</v>
      </c>
      <c r="AK16" s="1195">
        <v>8.0</v>
      </c>
      <c r="AL16" s="1195">
        <v>2.0</v>
      </c>
      <c r="AM16" s="1195">
        <v>0.0</v>
      </c>
      <c r="AN16" s="1216">
        <v>0.0</v>
      </c>
      <c r="AO16" s="1216">
        <v>0.0</v>
      </c>
      <c r="AP16" s="1216">
        <v>0.0</v>
      </c>
      <c r="AQ16" s="1216">
        <v>0.0</v>
      </c>
      <c r="AR16" s="1216">
        <v>0.0</v>
      </c>
      <c r="AS16" s="1216">
        <v>0.0</v>
      </c>
      <c r="AT16" s="1216">
        <v>0.0</v>
      </c>
      <c r="AU16" s="1195">
        <v>7.0</v>
      </c>
      <c r="AV16" s="1257">
        <v>0.0</v>
      </c>
      <c r="AW16" s="1257">
        <v>0.0</v>
      </c>
      <c r="AX16" s="1257">
        <v>0.0</v>
      </c>
      <c r="AY16" s="1195">
        <v>0.0</v>
      </c>
      <c r="AZ16" s="1195">
        <v>0.0</v>
      </c>
    </row>
    <row r="17">
      <c r="A17" s="1247" t="s">
        <v>249</v>
      </c>
      <c r="B17" s="1100" t="str">
        <f>IF(C17&lt;'PlayerGrades+'!$Y$44,"F-",IF(C17&lt;'PlayerGrades+'!$Y$43,"F",IF(C17&lt;'PlayerGrades+'!$Y$42,"F+",IF(C17&lt;'PlayerGrades+'!$Y$41,"E-",IF(C17&lt;'PlayerGrades+'!$Y$40,"E",IF(C17&lt;'PlayerGrades+'!$Y$39,"E+",IF(C17&lt;'PlayerGrades+'!$Y$38,"D-",IF(C17&lt;'PlayerGrades+'!$Y$37,"D",IF(C17&lt;'PlayerGrades+'!$Y$36,"D+",IF(C17&lt;'PlayerGrades+'!$Y$35,"C-",IF(C17&lt;'PlayerGrades+'!$Y$34,"C",IF(C17&lt;'PlayerGrades+'!$Y$33,"C+",IF(C17&lt;'PlayerGrades+'!$Y$32,"B-",IF(C17&lt;'PlayerGrades+'!$Y$31,"B",IF(C17&lt;'PlayerGrades+'!$Y$30,"B+",IF(C17&lt;'PlayerGrades+'!$Y$29,"A-",IF(C17&lt;'PlayerGrades+'!$Y$28,"A",IF(C17&lt;'PlayerGrades+'!$Y$27,"A+",IF(C17&lt;'PlayerGrades+'!$Y$26,"S-",IF(C17&lt;'PlayerGrades+'!$Y$25,"S","S+"))))))))))))))))))))</f>
        <v>C</v>
      </c>
      <c r="C17" s="1239">
        <f>('PlayerGrades+'!$Y$47*(VLOOKUP(E17, 'PlayerGrades+'!$X$3:$Y$23, 2, FALSE)))+('PlayerGrades+'!$Y$48*(VLOOKUP(G17, 'PlayerGrades+'!$X$3:$Y$23, 2, FALSE)))+('PlayerGrades+'!$Y$49*(VLOOKUP(I17, 'PlayerGrades+'!$X$3:$Y$23, 2, FALSE)))+('PlayerGrades+'!$Y$50*(VLOOKUP(K17, 'PlayerGrades+'!$X$3:$Y$23, 2, FALSE)))+('PlayerGrades+'!$Y$51*(VLOOKUP(M17, 'PlayerGrades+'!$X$3:$Y$23, 2, FALSE)))+('PlayerGrades+'!$Y$52*(VLOOKUP(O17, 'PlayerGrades+'!$X$3:$Y$23, 2, FALSE)))+('PlayerGrades+'!$Y$53*(VLOOKUP(Q17, 'PlayerGrades+'!$X$3:$Y$23, 2, FALSE)))+('PlayerGrades+'!$Y$54*(VLOOKUP(S17, 'PlayerGrades+'!$X$3:$Y$23, 2, FALSE)))+('PlayerGrades+'!$Y$55*(VLOOKUP(U17, 'PlayerGrades+'!$X$3:$Y$23, 2, FALSE)))</f>
        <v>14.925</v>
      </c>
      <c r="D17" s="961">
        <f t="shared" si="1"/>
        <v>0</v>
      </c>
      <c r="E17" s="961" t="str">
        <f>IF(D17&lt;'PlayerGrades+'!$AA$21,"F-",IF(D17&lt;'PlayerGrades+'!$AA$20,"F",IF(D17&lt;'PlayerGrades+'!$AA$19,"F+",IF(D17&lt;'PlayerGrades+'!$AA$18,"E-",IF(D17&lt;'PlayerGrades+'!$AA$17,"E",IF(D17&lt;'PlayerGrades+'!$AA$16,"E+",IF(D17&lt;'PlayerGrades+'!$AA$15,"D-",IF(D17&lt;'PlayerGrades+'!$AA$14,"D",IF(D17&lt;'PlayerGrades+'!$AA$13,"D+",IF(D17&lt;'PlayerGrades+'!$AA$12,"C-",IF(D17&lt;'PlayerGrades+'!$AA$11,"C",IF(D17&lt;'PlayerGrades+'!$AA$10,"C+",IF(D17&lt;'PlayerGrades+'!$AA$9,"B-",IF(D17&lt;'PlayerGrades+'!$AA$8,"B",IF(D17&lt;'PlayerGrades+'!$AA$7,"B+",IF(D17&lt;'PlayerGrades+'!$AA$6,"A-",IF(D17&lt;'PlayerGrades+'!$AA$5,"A",IF(D17&lt;'PlayerGrades+'!$AA$4,"A+",IF(D17&lt;'PlayerGrades+'!$AA$3,"S-",IF(D17&lt;'PlayerGrades+'!$AA$2,"S","S+"))))))))))))))))))))</f>
        <v>F-</v>
      </c>
      <c r="F17" s="961">
        <f t="shared" si="2"/>
        <v>0.02973661852</v>
      </c>
      <c r="G17" s="961" t="str">
        <f>IF(F17&lt;'PlayerGrades+'!$AB$21,"F-",IF(F17&lt;'PlayerGrades+'!$AB$20,"F",IF(F17&lt;'PlayerGrades+'!$AB$19,"F+",IF(F17&lt;'PlayerGrades+'!$AB$18,"E-",IF(F17&lt;'PlayerGrades+'!$AB$17,"E",IF(F17&lt;'PlayerGrades+'!$AB$16,"E+",IF(F17&lt;'PlayerGrades+'!$AB$15,"D-",IF(F17&lt;'PlayerGrades+'!$AB$14,"D",IF(F17&lt;'PlayerGrades+'!$AB$13,"D+",IF(F17&lt;'PlayerGrades+'!$AB$12,"C-",IF(F17&lt;'PlayerGrades+'!$AB$11,"C",IF(F17&lt;'PlayerGrades+'!$AB$10,"C+",IF(F17&lt;'PlayerGrades+'!$AB$9,"B-",IF(F17&lt;'PlayerGrades+'!$AB$8,"B",IF(F17&lt;'PlayerGrades+'!$AB$7,"B+",IF(F17&lt;'PlayerGrades+'!$AB$6,"A-",IF(F17&lt;'PlayerGrades+'!$AB$5,"A",IF(F17&lt;'PlayerGrades+'!$AB$4,"A+",IF(F17&lt;'PlayerGrades+'!$AB$3,"S-",IF(F17&lt;'PlayerGrades+'!$AB$2,"S","S+"))))))))))))))))))))</f>
        <v>A</v>
      </c>
      <c r="H17" s="961">
        <f t="shared" si="3"/>
        <v>0.2242990654</v>
      </c>
      <c r="I17" s="961" t="str">
        <f>IF(H17&lt;'PlayerGrades+'!$AC$21,"F-",IF(H17&lt;'PlayerGrades+'!$AC$20,"F",IF(H17&lt;'PlayerGrades+'!$AC$19,"F+",IF(H17&lt;'PlayerGrades+'!$AC$18,"E-",IF(H17&lt;'PlayerGrades+'!$AC$17,"E",IF(H17&lt;'PlayerGrades+'!$AC$16,"E+",IF(H17&lt;'PlayerGrades+'!$AC$15,"D-",IF(H17&lt;'PlayerGrades+'!$AC$14,"D",IF(H17&lt;'PlayerGrades+'!$AC$13,"D+",IF(H17&lt;'PlayerGrades+'!$AC$12,"C-",IF(H17&lt;'PlayerGrades+'!$AC$11,"C",IF(H17&lt;'PlayerGrades+'!$AC$10,"C+",IF(H17&lt;'PlayerGrades+'!$AC$9,"B-",IF(H17&lt;'PlayerGrades+'!$AC$8,"B",IF(H17&lt;'PlayerGrades+'!$AC$7,"B+",IF(H17&lt;'PlayerGrades+'!$AC$6,"A-",IF(H17&lt;'PlayerGrades+'!$AC$5,"A",IF(H17&lt;'PlayerGrades+'!$AC$4,"A+",IF(H17&lt;'PlayerGrades+'!$AC$3,"S-",IF(H17&lt;'PlayerGrades+'!$AC$2,"S","S+"))))))))))))))))))))</f>
        <v>F</v>
      </c>
      <c r="J17" s="961">
        <f t="shared" si="4"/>
        <v>0.05607476636</v>
      </c>
      <c r="K17" s="961" t="str">
        <f>IF(J17&lt;'PlayerGrades+'!$AD$21,"F-",IF(J17&lt;'PlayerGrades+'!$AD$20,"F",IF(J17&lt;'PlayerGrades+'!$AD$19,"F+",IF(J17&lt;'PlayerGrades+'!$AD$18,"E-",IF(J17&lt;'PlayerGrades+'!$AD$17,"E",IF(J17&lt;'PlayerGrades+'!$AD$16,"E+",IF(J17&lt;'PlayerGrades+'!$AD$15,"D-",IF(J17&lt;'PlayerGrades+'!$AD$14,"D",IF(J17&lt;'PlayerGrades+'!$AD$13,"D+",IF(J17&lt;'PlayerGrades+'!$AD$12,"C-",IF(J17&lt;'PlayerGrades+'!$AD$11,"C",IF(J17&lt;'PlayerGrades+'!$AD$10,"C+",IF(J17&lt;'PlayerGrades+'!$AD$9,"B-",IF(J17&lt;'PlayerGrades+'!$AD$8,"B",IF(J17&lt;'PlayerGrades+'!$AD$7,"B+",IF(J17&lt;'PlayerGrades+'!$AD$6,"A-",IF(J17&lt;'PlayerGrades+'!$AD$5,"A",IF(J17&lt;'PlayerGrades+'!$AD$4,"A+",IF(J17&lt;'PlayerGrades+'!$AD$3,"S-",IF(J17&lt;'PlayerGrades+'!$AD$2,"S","S+"))))))))))))))))))))</f>
        <v>B-</v>
      </c>
      <c r="L17" s="1176">
        <f t="shared" si="5"/>
        <v>0.3364485981</v>
      </c>
      <c r="M17" s="992" t="str">
        <f>IF(L17&lt;'PlayerGrades+'!$AE$21,"F-",IF(L17&lt;'PlayerGrades+'!$AE$20,"F",IF(L17&lt;'PlayerGrades+'!$AE$19,"F+",IF(L17&lt;'PlayerGrades+'!$AE$18,"E-",IF(L17&lt;'PlayerGrades+'!$AE$17,"E",IF(L17&lt;'PlayerGrades+'!$AE$16,"E+",IF(L17&lt;'PlayerGrades+'!$AE$15,"D-",IF(L17&lt;'PlayerGrades+'!$AE$14,"D",IF(L17&lt;'PlayerGrades+'!$AE$13,"D+",IF(L17&lt;'PlayerGrades+'!$AE$12,"C-",IF(L17&lt;'PlayerGrades+'!$AE$11,"C",IF(L17&lt;'PlayerGrades+'!$AE$10,"C+",IF(L17&lt;'PlayerGrades+'!$AE$9,"B-",IF(L17&lt;'PlayerGrades+'!$AE$8,"B",IF(L17&lt;'PlayerGrades+'!$AE$7,"B+",IF(L17&lt;'PlayerGrades+'!$AE$6,"A-",IF(L17&lt;'PlayerGrades+'!$AE$5,"A",IF(L17&lt;'PlayerGrades+'!$AE$4,"A+",IF(L17&lt;'PlayerGrades+'!$AE$3,"S-",IF(L17&lt;'PlayerGrades+'!$AE$2,"S","S+"))))))))))))))))))))</f>
        <v>E</v>
      </c>
      <c r="N17" s="961">
        <f t="shared" si="6"/>
        <v>0.1682242991</v>
      </c>
      <c r="O17" s="961" t="str">
        <f>IF(N17&lt;'PlayerGrades+'!$AF$21,"F-",IF(N17&lt;'PlayerGrades+'!$AF$20,"F",IF(N17&lt;'PlayerGrades+'!$AF$19,"F+",IF(N17&lt;'PlayerGrades+'!$AF$18,"E-",IF(N17&lt;'PlayerGrades+'!$AF$17,"E",IF(N17&lt;'PlayerGrades+'!$AF$16,"E+",IF(N17&lt;'PlayerGrades+'!$AF$15,"D-",IF(N17&lt;'PlayerGrades+'!$AF$14,"D",IF(N17&lt;'PlayerGrades+'!$AF$13,"D+",IF(N17&lt;'PlayerGrades+'!$AF$12,"C-",IF(N17&lt;'PlayerGrades+'!$AF$11,"C",IF(N17&lt;'PlayerGrades+'!$AF$10,"C+",IF(N17&lt;'PlayerGrades+'!$AF$9,"B-",IF(N17&lt;'PlayerGrades+'!$AF$8,"B",IF(N17&lt;'PlayerGrades+'!$AF$7,"B+",IF(N17&lt;'PlayerGrades+'!$AF$6,"A-",IF(N17&lt;'PlayerGrades+'!$AF$5,"A",IF(N17&lt;'PlayerGrades+'!$AF$4,"A+",IF(N17&lt;'PlayerGrades+'!$AF$3,"S-",IF(N17&lt;'PlayerGrades+'!$AF$2,"S","S+"))))))))))))))))))))</f>
        <v>A</v>
      </c>
      <c r="P17" s="961">
        <f t="shared" si="7"/>
        <v>0.6168224299</v>
      </c>
      <c r="Q17" s="961" t="str">
        <f>IF(P17&lt;'PlayerGrades+'!$AG$21,"F-",IF(P17&lt;'PlayerGrades+'!$AG$20,"F",IF(P17&lt;'PlayerGrades+'!$AG$19,"F+",IF(P17&lt;'PlayerGrades+'!$AG$18,"E-",IF(P17&lt;'PlayerGrades+'!$AG$17,"E",IF(P17&lt;'PlayerGrades+'!$AG$16,"E+",IF(P17&lt;'PlayerGrades+'!$AG$15,"D-",IF(P17&lt;'PlayerGrades+'!$AG$14,"D",IF(P17&lt;'PlayerGrades+'!$AG$13,"D+",IF(P17&lt;'PlayerGrades+'!$AG$12,"C-",IF(P17&lt;'PlayerGrades+'!$AG$11,"C",IF(P17&lt;'PlayerGrades+'!$AG$10,"C+",IF(P17&lt;'PlayerGrades+'!$AG$9,"B-",IF(P17&lt;'PlayerGrades+'!$AG$8,"B",IF(P17&lt;'PlayerGrades+'!$AG$7,"B+",IF(P17&lt;'PlayerGrades+'!$AG$6,"A-",IF(P17&lt;'PlayerGrades+'!$AG$5,"A",IF(P17&lt;'PlayerGrades+'!$AG$4,"A+",IF(P17&lt;'PlayerGrades+'!$AG$3,"S-",IF(P17&lt;'PlayerGrades+'!$AG$2,"S","S+"))))))))))))))))))))</f>
        <v>B-</v>
      </c>
      <c r="R17" s="961">
        <f t="shared" si="8"/>
        <v>0</v>
      </c>
      <c r="S17" s="961" t="str">
        <f>IF(R17&lt;'PlayerGrades+'!$AH$21,"F-",IF(R17&lt;'PlayerGrades+'!$AH$20,"F",IF(R17&lt;'PlayerGrades+'!$AH$19,"F+",IF(R17&lt;'PlayerGrades+'!$AH$18,"E-",IF(R17&lt;'PlayerGrades+'!$AH$17,"E",IF(R17&lt;'PlayerGrades+'!$AH$16,"E+",IF(R17&lt;'PlayerGrades+'!$AH$15,"D-",IF(R17&lt;'PlayerGrades+'!$AH$14,"D",IF(R17&lt;'PlayerGrades+'!$AH$13,"D+",IF(R17&lt;'PlayerGrades+'!$AH$12,"C-",IF(R17&lt;'PlayerGrades+'!$AH$11,"C",IF(R17&lt;'PlayerGrades+'!$AH$10,"C+",IF(R17&lt;'PlayerGrades+'!$AH$9,"B-",IF(R17&lt;'PlayerGrades+'!$AH$8,"B",IF(R17&lt;'PlayerGrades+'!$AH$7,"B+",IF(R17&lt;'PlayerGrades+'!$AH$6,"A-",IF(R17&lt;'PlayerGrades+'!$AH$5,"A",IF(R17&lt;'PlayerGrades+'!$AH$4,"A+",IF(R17&lt;'PlayerGrades+'!$AH$3,"S-",IF(R17&lt;'PlayerGrades+'!$AH$2,"S","S+"))))))))))))))))))))</f>
        <v>F-</v>
      </c>
      <c r="T17" s="961">
        <f t="shared" si="9"/>
        <v>52.83333333</v>
      </c>
      <c r="U17" s="961" t="str">
        <f>IF(T17&lt;'PlayerGrades+'!$AI$21,"F-",IF(T17&lt;'PlayerGrades+'!$AI$20,"F",IF(T17&lt;'PlayerGrades+'!$AI$19,"F+",IF(T17&lt;'PlayerGrades+'!$AI$18,"E-",IF(T17&lt;'PlayerGrades+'!$AI$17,"E",IF(T17&lt;'PlayerGrades+'!$AI$16,"E+",IF(T17&lt;'PlayerGrades+'!$AI$15,"D-",IF(T17&lt;'PlayerGrades+'!$AI$14,"D",IF(T17&lt;'PlayerGrades+'!$AI$13,"D+",IF(T17&lt;'PlayerGrades+'!$AI$12,"C-",IF(T17&lt;'PlayerGrades+'!$AI$11,"C",IF(T17&lt;'PlayerGrades+'!$AI$10,"C+",IF(T17&lt;'PlayerGrades+'!$AI$9,"B-",IF(T17&lt;'PlayerGrades+'!$AI$8,"B",IF(T17&lt;'PlayerGrades+'!$AI$7,"B+",IF(T17&lt;'PlayerGrades+'!$AI$6,"A-",IF(T17&lt;'PlayerGrades+'!$AI$5,"A",IF(T17&lt;'PlayerGrades+'!$AI$4,"A+",IF(T17&lt;'PlayerGrades+'!$AI$3,"S-",IF(T17&lt;'PlayerGrades+'!$AI$2,"S","S+"))))))))))))))))))))</f>
        <v>S+</v>
      </c>
      <c r="V17" s="1195">
        <v>0.0</v>
      </c>
      <c r="W17" s="1195">
        <v>1.0</v>
      </c>
      <c r="X17" s="1195">
        <v>0.0</v>
      </c>
      <c r="Y17" s="1251">
        <v>1.0</v>
      </c>
      <c r="Z17" s="1251">
        <v>35.0</v>
      </c>
      <c r="AA17" s="1251">
        <v>66.0</v>
      </c>
      <c r="AB17" s="1195">
        <f t="shared" si="10"/>
        <v>-31</v>
      </c>
      <c r="AC17" s="1215">
        <f t="shared" si="11"/>
        <v>0.5303030303</v>
      </c>
      <c r="AD17" s="1216">
        <v>0.0</v>
      </c>
      <c r="AE17" s="1218" t="s">
        <v>469</v>
      </c>
      <c r="AF17" s="1251">
        <v>1.0</v>
      </c>
      <c r="AG17" s="1216">
        <v>0.0</v>
      </c>
      <c r="AH17" s="1216">
        <v>0.0</v>
      </c>
      <c r="AI17" s="1216">
        <v>0.0</v>
      </c>
      <c r="AJ17" s="1251">
        <v>1.0</v>
      </c>
      <c r="AK17" s="1251">
        <v>6.0</v>
      </c>
      <c r="AL17" s="1251">
        <v>3.0</v>
      </c>
      <c r="AM17" s="1251">
        <v>1.0</v>
      </c>
      <c r="AN17" s="1216">
        <v>0.0</v>
      </c>
      <c r="AO17" s="1216">
        <v>0.0</v>
      </c>
      <c r="AP17" s="1216">
        <v>0.0</v>
      </c>
      <c r="AQ17" s="1216">
        <v>0.0</v>
      </c>
      <c r="AR17" s="1216">
        <v>0.0</v>
      </c>
      <c r="AS17" s="1216">
        <v>0.0</v>
      </c>
      <c r="AT17" s="1216">
        <v>0.0</v>
      </c>
      <c r="AU17" s="1251">
        <v>4.0</v>
      </c>
      <c r="AV17" s="1295">
        <v>0.0</v>
      </c>
      <c r="AW17" s="1295">
        <v>0.0</v>
      </c>
      <c r="AX17" s="1295">
        <v>0.0</v>
      </c>
      <c r="AY17" s="1251">
        <v>0.0</v>
      </c>
      <c r="AZ17" s="1251">
        <v>0.0</v>
      </c>
    </row>
    <row r="18">
      <c r="A18" s="1145" t="s">
        <v>286</v>
      </c>
      <c r="B18" s="1100" t="str">
        <f>IF(C18&lt;'PlayerGrades+'!$Y$44,"F-",IF(C18&lt;'PlayerGrades+'!$Y$43,"F",IF(C18&lt;'PlayerGrades+'!$Y$42,"F+",IF(C18&lt;'PlayerGrades+'!$Y$41,"E-",IF(C18&lt;'PlayerGrades+'!$Y$40,"E",IF(C18&lt;'PlayerGrades+'!$Y$39,"E+",IF(C18&lt;'PlayerGrades+'!$Y$38,"D-",IF(C18&lt;'PlayerGrades+'!$Y$37,"D",IF(C18&lt;'PlayerGrades+'!$Y$36,"D+",IF(C18&lt;'PlayerGrades+'!$Y$35,"C-",IF(C18&lt;'PlayerGrades+'!$Y$34,"C",IF(C18&lt;'PlayerGrades+'!$Y$33,"C+",IF(C18&lt;'PlayerGrades+'!$Y$32,"B-",IF(C18&lt;'PlayerGrades+'!$Y$31,"B",IF(C18&lt;'PlayerGrades+'!$Y$30,"B+",IF(C18&lt;'PlayerGrades+'!$Y$29,"A-",IF(C18&lt;'PlayerGrades+'!$Y$28,"A",IF(C18&lt;'PlayerGrades+'!$Y$27,"A+",IF(C18&lt;'PlayerGrades+'!$Y$26,"S-",IF(C18&lt;'PlayerGrades+'!$Y$25,"S","S+"))))))))))))))))))))</f>
        <v>A-</v>
      </c>
      <c r="C18" s="1239">
        <f>('PlayerGrades+'!$Y$47*(VLOOKUP(E18, 'PlayerGrades+'!$X$3:$Y$23, 2, FALSE)))+('PlayerGrades+'!$Y$48*(VLOOKUP(G18, 'PlayerGrades+'!$X$3:$Y$23, 2, FALSE)))+('PlayerGrades+'!$Y$49*(VLOOKUP(I18, 'PlayerGrades+'!$X$3:$Y$23, 2, FALSE)))+('PlayerGrades+'!$Y$50*(VLOOKUP(K18, 'PlayerGrades+'!$X$3:$Y$23, 2, FALSE)))+('PlayerGrades+'!$Y$51*(VLOOKUP(M18, 'PlayerGrades+'!$X$3:$Y$23, 2, FALSE)))+('PlayerGrades+'!$Y$52*(VLOOKUP(O18, 'PlayerGrades+'!$X$3:$Y$23, 2, FALSE)))+('PlayerGrades+'!$Y$53*(VLOOKUP(Q18, 'PlayerGrades+'!$X$3:$Y$23, 2, FALSE)))+('PlayerGrades+'!$Y$54*(VLOOKUP(S18, 'PlayerGrades+'!$X$3:$Y$23, 2, FALSE)))+('PlayerGrades+'!$Y$55*(VLOOKUP(U18, 'PlayerGrades+'!$X$3:$Y$23, 2, FALSE)))</f>
        <v>21.475</v>
      </c>
      <c r="D18" s="961">
        <f t="shared" si="1"/>
        <v>0.3234501348</v>
      </c>
      <c r="E18" s="961" t="str">
        <f>IF(D18&lt;'PlayerGrades+'!$AA$21,"F-",IF(D18&lt;'PlayerGrades+'!$AA$20,"F",IF(D18&lt;'PlayerGrades+'!$AA$19,"F+",IF(D18&lt;'PlayerGrades+'!$AA$18,"E-",IF(D18&lt;'PlayerGrades+'!$AA$17,"E",IF(D18&lt;'PlayerGrades+'!$AA$16,"E+",IF(D18&lt;'PlayerGrades+'!$AA$15,"D-",IF(D18&lt;'PlayerGrades+'!$AA$14,"D",IF(D18&lt;'PlayerGrades+'!$AA$13,"D+",IF(D18&lt;'PlayerGrades+'!$AA$12,"C-",IF(D18&lt;'PlayerGrades+'!$AA$11,"C",IF(D18&lt;'PlayerGrades+'!$AA$10,"C+",IF(D18&lt;'PlayerGrades+'!$AA$9,"B-",IF(D18&lt;'PlayerGrades+'!$AA$8,"B",IF(D18&lt;'PlayerGrades+'!$AA$7,"B+",IF(D18&lt;'PlayerGrades+'!$AA$6,"A-",IF(D18&lt;'PlayerGrades+'!$AA$5,"A",IF(D18&lt;'PlayerGrades+'!$AA$4,"A+",IF(D18&lt;'PlayerGrades+'!$AA$3,"S-",IF(D18&lt;'PlayerGrades+'!$AA$2,"S","S+"))))))))))))))))))))</f>
        <v>S+</v>
      </c>
      <c r="F18" s="961">
        <f t="shared" si="2"/>
        <v>0.3450134771</v>
      </c>
      <c r="G18" s="961" t="str">
        <f>IF(F18&lt;'PlayerGrades+'!$AB$21,"F-",IF(F18&lt;'PlayerGrades+'!$AB$20,"F",IF(F18&lt;'PlayerGrades+'!$AB$19,"F+",IF(F18&lt;'PlayerGrades+'!$AB$18,"E-",IF(F18&lt;'PlayerGrades+'!$AB$17,"E",IF(F18&lt;'PlayerGrades+'!$AB$16,"E+",IF(F18&lt;'PlayerGrades+'!$AB$15,"D-",IF(F18&lt;'PlayerGrades+'!$AB$14,"D",IF(F18&lt;'PlayerGrades+'!$AB$13,"D+",IF(F18&lt;'PlayerGrades+'!$AB$12,"C-",IF(F18&lt;'PlayerGrades+'!$AB$11,"C",IF(F18&lt;'PlayerGrades+'!$AB$10,"C+",IF(F18&lt;'PlayerGrades+'!$AB$9,"B-",IF(F18&lt;'PlayerGrades+'!$AB$8,"B",IF(F18&lt;'PlayerGrades+'!$AB$7,"B+",IF(F18&lt;'PlayerGrades+'!$AB$6,"A-",IF(F18&lt;'PlayerGrades+'!$AB$5,"A",IF(F18&lt;'PlayerGrades+'!$AB$4,"A+",IF(F18&lt;'PlayerGrades+'!$AB$3,"S-",IF(F18&lt;'PlayerGrades+'!$AB$2,"S","S+"))))))))))))))))))))</f>
        <v>A+</v>
      </c>
      <c r="H18" s="961">
        <f t="shared" si="3"/>
        <v>0.1617250674</v>
      </c>
      <c r="I18" s="961" t="str">
        <f>IF(H18&lt;'PlayerGrades+'!$AC$21,"F-",IF(H18&lt;'PlayerGrades+'!$AC$20,"F",IF(H18&lt;'PlayerGrades+'!$AC$19,"F+",IF(H18&lt;'PlayerGrades+'!$AC$18,"E-",IF(H18&lt;'PlayerGrades+'!$AC$17,"E",IF(H18&lt;'PlayerGrades+'!$AC$16,"E+",IF(H18&lt;'PlayerGrades+'!$AC$15,"D-",IF(H18&lt;'PlayerGrades+'!$AC$14,"D",IF(H18&lt;'PlayerGrades+'!$AC$13,"D+",IF(H18&lt;'PlayerGrades+'!$AC$12,"C-",IF(H18&lt;'PlayerGrades+'!$AC$11,"C",IF(H18&lt;'PlayerGrades+'!$AC$10,"C+",IF(H18&lt;'PlayerGrades+'!$AC$9,"B-",IF(H18&lt;'PlayerGrades+'!$AC$8,"B",IF(H18&lt;'PlayerGrades+'!$AC$7,"B+",IF(H18&lt;'PlayerGrades+'!$AC$6,"A-",IF(H18&lt;'PlayerGrades+'!$AC$5,"A",IF(H18&lt;'PlayerGrades+'!$AC$4,"A+",IF(H18&lt;'PlayerGrades+'!$AC$3,"S-",IF(H18&lt;'PlayerGrades+'!$AC$2,"S","S+"))))))))))))))))))))</f>
        <v>F-</v>
      </c>
      <c r="J18" s="961">
        <f t="shared" si="4"/>
        <v>0</v>
      </c>
      <c r="K18" s="961" t="str">
        <f>IF(J18&lt;'PlayerGrades+'!$AD$21,"F-",IF(J18&lt;'PlayerGrades+'!$AD$20,"F",IF(J18&lt;'PlayerGrades+'!$AD$19,"F+",IF(J18&lt;'PlayerGrades+'!$AD$18,"E-",IF(J18&lt;'PlayerGrades+'!$AD$17,"E",IF(J18&lt;'PlayerGrades+'!$AD$16,"E+",IF(J18&lt;'PlayerGrades+'!$AD$15,"D-",IF(J18&lt;'PlayerGrades+'!$AD$14,"D",IF(J18&lt;'PlayerGrades+'!$AD$13,"D+",IF(J18&lt;'PlayerGrades+'!$AD$12,"C-",IF(J18&lt;'PlayerGrades+'!$AD$11,"C",IF(J18&lt;'PlayerGrades+'!$AD$10,"C+",IF(J18&lt;'PlayerGrades+'!$AD$9,"B-",IF(J18&lt;'PlayerGrades+'!$AD$8,"B",IF(J18&lt;'PlayerGrades+'!$AD$7,"B+",IF(J18&lt;'PlayerGrades+'!$AD$6,"A-",IF(J18&lt;'PlayerGrades+'!$AD$5,"A",IF(J18&lt;'PlayerGrades+'!$AD$4,"A+",IF(J18&lt;'PlayerGrades+'!$AD$3,"S-",IF(J18&lt;'PlayerGrades+'!$AD$2,"S","S+"))))))))))))))))))))</f>
        <v>F-</v>
      </c>
      <c r="L18" s="1176">
        <f t="shared" si="5"/>
        <v>1.455525606</v>
      </c>
      <c r="M18" s="992" t="str">
        <f>IF(L18&lt;'PlayerGrades+'!$AE$21,"F-",IF(L18&lt;'PlayerGrades+'!$AE$20,"F",IF(L18&lt;'PlayerGrades+'!$AE$19,"F+",IF(L18&lt;'PlayerGrades+'!$AE$18,"E-",IF(L18&lt;'PlayerGrades+'!$AE$17,"E",IF(L18&lt;'PlayerGrades+'!$AE$16,"E+",IF(L18&lt;'PlayerGrades+'!$AE$15,"D-",IF(L18&lt;'PlayerGrades+'!$AE$14,"D",IF(L18&lt;'PlayerGrades+'!$AE$13,"D+",IF(L18&lt;'PlayerGrades+'!$AE$12,"C-",IF(L18&lt;'PlayerGrades+'!$AE$11,"C",IF(L18&lt;'PlayerGrades+'!$AE$10,"C+",IF(L18&lt;'PlayerGrades+'!$AE$9,"B-",IF(L18&lt;'PlayerGrades+'!$AE$8,"B",IF(L18&lt;'PlayerGrades+'!$AE$7,"B+",IF(L18&lt;'PlayerGrades+'!$AE$6,"A-",IF(L18&lt;'PlayerGrades+'!$AE$5,"A",IF(L18&lt;'PlayerGrades+'!$AE$4,"A+",IF(L18&lt;'PlayerGrades+'!$AE$3,"S-",IF(L18&lt;'PlayerGrades+'!$AE$2,"S","S+"))))))))))))))))))))</f>
        <v>S+</v>
      </c>
      <c r="N18" s="961">
        <f t="shared" si="6"/>
        <v>0.4851752022</v>
      </c>
      <c r="O18" s="961" t="str">
        <f>IF(N18&lt;'PlayerGrades+'!$AF$21,"F-",IF(N18&lt;'PlayerGrades+'!$AF$20,"F",IF(N18&lt;'PlayerGrades+'!$AF$19,"F+",IF(N18&lt;'PlayerGrades+'!$AF$18,"E-",IF(N18&lt;'PlayerGrades+'!$AF$17,"E",IF(N18&lt;'PlayerGrades+'!$AF$16,"E+",IF(N18&lt;'PlayerGrades+'!$AF$15,"D-",IF(N18&lt;'PlayerGrades+'!$AF$14,"D",IF(N18&lt;'PlayerGrades+'!$AF$13,"D+",IF(N18&lt;'PlayerGrades+'!$AF$12,"C-",IF(N18&lt;'PlayerGrades+'!$AF$11,"C",IF(N18&lt;'PlayerGrades+'!$AF$10,"C+",IF(N18&lt;'PlayerGrades+'!$AF$9,"B-",IF(N18&lt;'PlayerGrades+'!$AF$8,"B",IF(N18&lt;'PlayerGrades+'!$AF$7,"B+",IF(N18&lt;'PlayerGrades+'!$AF$6,"A-",IF(N18&lt;'PlayerGrades+'!$AF$5,"A",IF(N18&lt;'PlayerGrades+'!$AF$4,"A+",IF(N18&lt;'PlayerGrades+'!$AF$3,"S-",IF(N18&lt;'PlayerGrades+'!$AF$2,"S","S+"))))))))))))))))))))</f>
        <v>S+</v>
      </c>
      <c r="P18" s="961">
        <f t="shared" si="7"/>
        <v>1.940700809</v>
      </c>
      <c r="Q18" s="961" t="str">
        <f>IF(P18&lt;'PlayerGrades+'!$AG$21,"F-",IF(P18&lt;'PlayerGrades+'!$AG$20,"F",IF(P18&lt;'PlayerGrades+'!$AG$19,"F+",IF(P18&lt;'PlayerGrades+'!$AG$18,"E-",IF(P18&lt;'PlayerGrades+'!$AG$17,"E",IF(P18&lt;'PlayerGrades+'!$AG$16,"E+",IF(P18&lt;'PlayerGrades+'!$AG$15,"D-",IF(P18&lt;'PlayerGrades+'!$AG$14,"D",IF(P18&lt;'PlayerGrades+'!$AG$13,"D+",IF(P18&lt;'PlayerGrades+'!$AG$12,"C-",IF(P18&lt;'PlayerGrades+'!$AG$11,"C",IF(P18&lt;'PlayerGrades+'!$AG$10,"C+",IF(P18&lt;'PlayerGrades+'!$AG$9,"B-",IF(P18&lt;'PlayerGrades+'!$AG$8,"B",IF(P18&lt;'PlayerGrades+'!$AG$7,"B+",IF(P18&lt;'PlayerGrades+'!$AG$6,"A-",IF(P18&lt;'PlayerGrades+'!$AG$5,"A",IF(P18&lt;'PlayerGrades+'!$AG$4,"A+",IF(P18&lt;'PlayerGrades+'!$AG$3,"S-",IF(P18&lt;'PlayerGrades+'!$AG$2,"S","S+"))))))))))))))))))))</f>
        <v>S+</v>
      </c>
      <c r="R18" s="961">
        <f t="shared" si="8"/>
        <v>0</v>
      </c>
      <c r="S18" s="961" t="str">
        <f>IF(R18&lt;'PlayerGrades+'!$AH$21,"F-",IF(R18&lt;'PlayerGrades+'!$AH$20,"F",IF(R18&lt;'PlayerGrades+'!$AH$19,"F+",IF(R18&lt;'PlayerGrades+'!$AH$18,"E-",IF(R18&lt;'PlayerGrades+'!$AH$17,"E",IF(R18&lt;'PlayerGrades+'!$AH$16,"E+",IF(R18&lt;'PlayerGrades+'!$AH$15,"D-",IF(R18&lt;'PlayerGrades+'!$AH$14,"D",IF(R18&lt;'PlayerGrades+'!$AH$13,"D+",IF(R18&lt;'PlayerGrades+'!$AH$12,"C-",IF(R18&lt;'PlayerGrades+'!$AH$11,"C",IF(R18&lt;'PlayerGrades+'!$AH$10,"C+",IF(R18&lt;'PlayerGrades+'!$AH$9,"B-",IF(R18&lt;'PlayerGrades+'!$AH$8,"B",IF(R18&lt;'PlayerGrades+'!$AH$7,"B+",IF(R18&lt;'PlayerGrades+'!$AH$6,"A-",IF(R18&lt;'PlayerGrades+'!$AH$5,"A",IF(R18&lt;'PlayerGrades+'!$AH$4,"A+",IF(R18&lt;'PlayerGrades+'!$AH$3,"S-",IF(R18&lt;'PlayerGrades+'!$AH$2,"S","S+"))))))))))))))))))))</f>
        <v>F-</v>
      </c>
      <c r="T18" s="961">
        <f t="shared" si="9"/>
        <v>38.18333333</v>
      </c>
      <c r="U18" s="961" t="str">
        <f>IF(T18&lt;'PlayerGrades+'!$AI$21,"F-",IF(T18&lt;'PlayerGrades+'!$AI$20,"F",IF(T18&lt;'PlayerGrades+'!$AI$19,"F+",IF(T18&lt;'PlayerGrades+'!$AI$18,"E-",IF(T18&lt;'PlayerGrades+'!$AI$17,"E",IF(T18&lt;'PlayerGrades+'!$AI$16,"E+",IF(T18&lt;'PlayerGrades+'!$AI$15,"D-",IF(T18&lt;'PlayerGrades+'!$AI$14,"D",IF(T18&lt;'PlayerGrades+'!$AI$13,"D+",IF(T18&lt;'PlayerGrades+'!$AI$12,"C-",IF(T18&lt;'PlayerGrades+'!$AI$11,"C",IF(T18&lt;'PlayerGrades+'!$AI$10,"C+",IF(T18&lt;'PlayerGrades+'!$AI$9,"B-",IF(T18&lt;'PlayerGrades+'!$AI$8,"B",IF(T18&lt;'PlayerGrades+'!$AI$7,"B+",IF(T18&lt;'PlayerGrades+'!$AI$6,"A-",IF(T18&lt;'PlayerGrades+'!$AI$5,"A",IF(T18&lt;'PlayerGrades+'!$AI$4,"A+",IF(T18&lt;'PlayerGrades+'!$AI$3,"S-",IF(T18&lt;'PlayerGrades+'!$AI$2,"S","S+"))))))))))))))))))))</f>
        <v>S+</v>
      </c>
      <c r="V18" s="1254">
        <v>1.0</v>
      </c>
      <c r="W18" s="1254">
        <v>0.0</v>
      </c>
      <c r="X18" s="1254">
        <v>2.0</v>
      </c>
      <c r="Y18" s="1254">
        <v>10.0</v>
      </c>
      <c r="Z18" s="1254">
        <v>32.0</v>
      </c>
      <c r="AA18" s="1254">
        <v>15.0</v>
      </c>
      <c r="AB18" s="1254">
        <f t="shared" si="10"/>
        <v>17</v>
      </c>
      <c r="AC18" s="1196">
        <f t="shared" si="11"/>
        <v>2.133333333</v>
      </c>
      <c r="AD18" s="1254">
        <v>0.0</v>
      </c>
      <c r="AE18" s="1330">
        <v>0.25763888888888886</v>
      </c>
      <c r="AF18" s="1254">
        <v>0.0</v>
      </c>
      <c r="AG18" s="1197">
        <v>0.0</v>
      </c>
      <c r="AH18" s="1197">
        <v>0.0</v>
      </c>
      <c r="AI18" s="1197">
        <v>0.0</v>
      </c>
      <c r="AJ18" s="1197">
        <v>0.0</v>
      </c>
      <c r="AK18" s="1216">
        <v>9.0</v>
      </c>
      <c r="AL18" s="1197">
        <v>3.0</v>
      </c>
      <c r="AM18" s="1255">
        <v>0.0</v>
      </c>
      <c r="AN18" s="1255">
        <v>0.0</v>
      </c>
      <c r="AO18" s="1255">
        <v>0.0</v>
      </c>
      <c r="AP18" s="1255">
        <v>0.0</v>
      </c>
      <c r="AQ18" s="1255">
        <v>0.0</v>
      </c>
      <c r="AR18" s="1255">
        <v>0.0</v>
      </c>
      <c r="AS18" s="1255">
        <v>0.0</v>
      </c>
      <c r="AT18" s="1255">
        <v>0.0</v>
      </c>
      <c r="AU18" s="1197">
        <v>1.0</v>
      </c>
      <c r="AV18" s="1255">
        <v>0.0</v>
      </c>
      <c r="AW18" s="1255">
        <v>0.0</v>
      </c>
      <c r="AX18" s="1255">
        <v>0.0</v>
      </c>
      <c r="AY18" s="1255">
        <v>0.0</v>
      </c>
      <c r="AZ18" s="1255">
        <v>0.0</v>
      </c>
    </row>
    <row r="19">
      <c r="A19" s="1233" t="s">
        <v>160</v>
      </c>
      <c r="B19" s="1100" t="str">
        <f>IF(C19&lt;'PlayerGrades+'!$Y$44,"F-",IF(C19&lt;'PlayerGrades+'!$Y$43,"F",IF(C19&lt;'PlayerGrades+'!$Y$42,"F+",IF(C19&lt;'PlayerGrades+'!$Y$41,"E-",IF(C19&lt;'PlayerGrades+'!$Y$40,"E",IF(C19&lt;'PlayerGrades+'!$Y$39,"E+",IF(C19&lt;'PlayerGrades+'!$Y$38,"D-",IF(C19&lt;'PlayerGrades+'!$Y$37,"D",IF(C19&lt;'PlayerGrades+'!$Y$36,"D+",IF(C19&lt;'PlayerGrades+'!$Y$35,"C-",IF(C19&lt;'PlayerGrades+'!$Y$34,"C",IF(C19&lt;'PlayerGrades+'!$Y$33,"C+",IF(C19&lt;'PlayerGrades+'!$Y$32,"B-",IF(C19&lt;'PlayerGrades+'!$Y$31,"B",IF(C19&lt;'PlayerGrades+'!$Y$30,"B+",IF(C19&lt;'PlayerGrades+'!$Y$29,"A-",IF(C19&lt;'PlayerGrades+'!$Y$28,"A",IF(C19&lt;'PlayerGrades+'!$Y$27,"A+",IF(C19&lt;'PlayerGrades+'!$Y$26,"S-",IF(C19&lt;'PlayerGrades+'!$Y$25,"S","S+"))))))))))))))))))))</f>
        <v>C+</v>
      </c>
      <c r="C19" s="1239">
        <f>('PlayerGrades+'!$Y$47*(VLOOKUP(E19, 'PlayerGrades+'!$X$3:$Y$23, 2, FALSE)))+('PlayerGrades+'!$Y$48*(VLOOKUP(G19, 'PlayerGrades+'!$X$3:$Y$23, 2, FALSE)))+('PlayerGrades+'!$Y$49*(VLOOKUP(I19, 'PlayerGrades+'!$X$3:$Y$23, 2, FALSE)))+('PlayerGrades+'!$Y$50*(VLOOKUP(K19, 'PlayerGrades+'!$X$3:$Y$23, 2, FALSE)))+('PlayerGrades+'!$Y$51*(VLOOKUP(M19, 'PlayerGrades+'!$X$3:$Y$23, 2, FALSE)))+('PlayerGrades+'!$Y$52*(VLOOKUP(O19, 'PlayerGrades+'!$X$3:$Y$23, 2, FALSE)))+('PlayerGrades+'!$Y$53*(VLOOKUP(Q19, 'PlayerGrades+'!$X$3:$Y$23, 2, FALSE)))+('PlayerGrades+'!$Y$54*(VLOOKUP(S19, 'PlayerGrades+'!$X$3:$Y$23, 2, FALSE)))+('PlayerGrades+'!$Y$55*(VLOOKUP(U19, 'PlayerGrades+'!$X$3:$Y$23, 2, FALSE)))</f>
        <v>15.525</v>
      </c>
      <c r="D19" s="961">
        <f t="shared" si="1"/>
        <v>0.1617250674</v>
      </c>
      <c r="E19" s="961" t="str">
        <f>IF(D19&lt;'PlayerGrades+'!$AA$21,"F-",IF(D19&lt;'PlayerGrades+'!$AA$20,"F",IF(D19&lt;'PlayerGrades+'!$AA$19,"F+",IF(D19&lt;'PlayerGrades+'!$AA$18,"E-",IF(D19&lt;'PlayerGrades+'!$AA$17,"E",IF(D19&lt;'PlayerGrades+'!$AA$16,"E+",IF(D19&lt;'PlayerGrades+'!$AA$15,"D-",IF(D19&lt;'PlayerGrades+'!$AA$14,"D",IF(D19&lt;'PlayerGrades+'!$AA$13,"D+",IF(D19&lt;'PlayerGrades+'!$AA$12,"C-",IF(D19&lt;'PlayerGrades+'!$AA$11,"C",IF(D19&lt;'PlayerGrades+'!$AA$10,"C+",IF(D19&lt;'PlayerGrades+'!$AA$9,"B-",IF(D19&lt;'PlayerGrades+'!$AA$8,"B",IF(D19&lt;'PlayerGrades+'!$AA$7,"B+",IF(D19&lt;'PlayerGrades+'!$AA$6,"A-",IF(D19&lt;'PlayerGrades+'!$AA$5,"A",IF(D19&lt;'PlayerGrades+'!$AA$4,"A+",IF(D19&lt;'PlayerGrades+'!$AA$3,"S-",IF(D19&lt;'PlayerGrades+'!$AA$2,"S","S+"))))))))))))))))))))</f>
        <v>S</v>
      </c>
      <c r="F19" s="961">
        <f t="shared" si="2"/>
        <v>0.1455525606</v>
      </c>
      <c r="G19" s="961" t="str">
        <f>IF(F19&lt;'PlayerGrades+'!$AB$21,"F-",IF(F19&lt;'PlayerGrades+'!$AB$20,"F",IF(F19&lt;'PlayerGrades+'!$AB$19,"F+",IF(F19&lt;'PlayerGrades+'!$AB$18,"E-",IF(F19&lt;'PlayerGrades+'!$AB$17,"E",IF(F19&lt;'PlayerGrades+'!$AB$16,"E+",IF(F19&lt;'PlayerGrades+'!$AB$15,"D-",IF(F19&lt;'PlayerGrades+'!$AB$14,"D",IF(F19&lt;'PlayerGrades+'!$AB$13,"D+",IF(F19&lt;'PlayerGrades+'!$AB$12,"C-",IF(F19&lt;'PlayerGrades+'!$AB$11,"C",IF(F19&lt;'PlayerGrades+'!$AB$10,"C+",IF(F19&lt;'PlayerGrades+'!$AB$9,"B-",IF(F19&lt;'PlayerGrades+'!$AB$8,"B",IF(F19&lt;'PlayerGrades+'!$AB$7,"B+",IF(F19&lt;'PlayerGrades+'!$AB$6,"A-",IF(F19&lt;'PlayerGrades+'!$AB$5,"A",IF(F19&lt;'PlayerGrades+'!$AB$4,"A+",IF(F19&lt;'PlayerGrades+'!$AB$3,"S-",IF(F19&lt;'PlayerGrades+'!$AB$2,"S","S+"))))))))))))))))))))</f>
        <v>A+</v>
      </c>
      <c r="H19" s="961">
        <f t="shared" si="3"/>
        <v>0.3234501348</v>
      </c>
      <c r="I19" s="961" t="str">
        <f>IF(H19&lt;'PlayerGrades+'!$AC$21,"F-",IF(H19&lt;'PlayerGrades+'!$AC$20,"F",IF(H19&lt;'PlayerGrades+'!$AC$19,"F+",IF(H19&lt;'PlayerGrades+'!$AC$18,"E-",IF(H19&lt;'PlayerGrades+'!$AC$17,"E",IF(H19&lt;'PlayerGrades+'!$AC$16,"E+",IF(H19&lt;'PlayerGrades+'!$AC$15,"D-",IF(H19&lt;'PlayerGrades+'!$AC$14,"D",IF(H19&lt;'PlayerGrades+'!$AC$13,"D+",IF(H19&lt;'PlayerGrades+'!$AC$12,"C-",IF(H19&lt;'PlayerGrades+'!$AC$11,"C",IF(H19&lt;'PlayerGrades+'!$AC$10,"C+",IF(H19&lt;'PlayerGrades+'!$AC$9,"B-",IF(H19&lt;'PlayerGrades+'!$AC$8,"B",IF(H19&lt;'PlayerGrades+'!$AC$7,"B+",IF(H19&lt;'PlayerGrades+'!$AC$6,"A-",IF(H19&lt;'PlayerGrades+'!$AC$5,"A",IF(H19&lt;'PlayerGrades+'!$AC$4,"A+",IF(H19&lt;'PlayerGrades+'!$AC$3,"S-",IF(H19&lt;'PlayerGrades+'!$AC$2,"S","S+"))))))))))))))))))))</f>
        <v>E</v>
      </c>
      <c r="J19" s="961">
        <f t="shared" si="4"/>
        <v>0</v>
      </c>
      <c r="K19" s="961" t="str">
        <f>IF(J19&lt;'PlayerGrades+'!$AD$21,"F-",IF(J19&lt;'PlayerGrades+'!$AD$20,"F",IF(J19&lt;'PlayerGrades+'!$AD$19,"F+",IF(J19&lt;'PlayerGrades+'!$AD$18,"E-",IF(J19&lt;'PlayerGrades+'!$AD$17,"E",IF(J19&lt;'PlayerGrades+'!$AD$16,"E+",IF(J19&lt;'PlayerGrades+'!$AD$15,"D-",IF(J19&lt;'PlayerGrades+'!$AD$14,"D",IF(J19&lt;'PlayerGrades+'!$AD$13,"D+",IF(J19&lt;'PlayerGrades+'!$AD$12,"C-",IF(J19&lt;'PlayerGrades+'!$AD$11,"C",IF(J19&lt;'PlayerGrades+'!$AD$10,"C+",IF(J19&lt;'PlayerGrades+'!$AD$9,"B-",IF(J19&lt;'PlayerGrades+'!$AD$8,"B",IF(J19&lt;'PlayerGrades+'!$AD$7,"B+",IF(J19&lt;'PlayerGrades+'!$AD$6,"A-",IF(J19&lt;'PlayerGrades+'!$AD$5,"A",IF(J19&lt;'PlayerGrades+'!$AD$4,"A+",IF(J19&lt;'PlayerGrades+'!$AD$3,"S-",IF(J19&lt;'PlayerGrades+'!$AD$2,"S","S+"))))))))))))))))))))</f>
        <v>F-</v>
      </c>
      <c r="L19" s="1176">
        <f t="shared" si="5"/>
        <v>0.1617250674</v>
      </c>
      <c r="M19" s="992" t="str">
        <f>IF(L19&lt;'PlayerGrades+'!$AE$21,"F-",IF(L19&lt;'PlayerGrades+'!$AE$20,"F",IF(L19&lt;'PlayerGrades+'!$AE$19,"F+",IF(L19&lt;'PlayerGrades+'!$AE$18,"E-",IF(L19&lt;'PlayerGrades+'!$AE$17,"E",IF(L19&lt;'PlayerGrades+'!$AE$16,"E+",IF(L19&lt;'PlayerGrades+'!$AE$15,"D-",IF(L19&lt;'PlayerGrades+'!$AE$14,"D",IF(L19&lt;'PlayerGrades+'!$AE$13,"D+",IF(L19&lt;'PlayerGrades+'!$AE$12,"C-",IF(L19&lt;'PlayerGrades+'!$AE$11,"C",IF(L19&lt;'PlayerGrades+'!$AE$10,"C+",IF(L19&lt;'PlayerGrades+'!$AE$9,"B-",IF(L19&lt;'PlayerGrades+'!$AE$8,"B",IF(L19&lt;'PlayerGrades+'!$AE$7,"B+",IF(L19&lt;'PlayerGrades+'!$AE$6,"A-",IF(L19&lt;'PlayerGrades+'!$AE$5,"A",IF(L19&lt;'PlayerGrades+'!$AE$4,"A+",IF(L19&lt;'PlayerGrades+'!$AE$3,"S-",IF(L19&lt;'PlayerGrades+'!$AE$2,"S","S+"))))))))))))))))))))</f>
        <v>F-</v>
      </c>
      <c r="N19" s="961">
        <f t="shared" si="6"/>
        <v>0</v>
      </c>
      <c r="O19" s="961" t="str">
        <f>IF(N19&lt;'PlayerGrades+'!$AF$21,"F-",IF(N19&lt;'PlayerGrades+'!$AF$20,"F",IF(N19&lt;'PlayerGrades+'!$AF$19,"F+",IF(N19&lt;'PlayerGrades+'!$AF$18,"E-",IF(N19&lt;'PlayerGrades+'!$AF$17,"E",IF(N19&lt;'PlayerGrades+'!$AF$16,"E+",IF(N19&lt;'PlayerGrades+'!$AF$15,"D-",IF(N19&lt;'PlayerGrades+'!$AF$14,"D",IF(N19&lt;'PlayerGrades+'!$AF$13,"D+",IF(N19&lt;'PlayerGrades+'!$AF$12,"C-",IF(N19&lt;'PlayerGrades+'!$AF$11,"C",IF(N19&lt;'PlayerGrades+'!$AF$10,"C+",IF(N19&lt;'PlayerGrades+'!$AF$9,"B-",IF(N19&lt;'PlayerGrades+'!$AF$8,"B",IF(N19&lt;'PlayerGrades+'!$AF$7,"B+",IF(N19&lt;'PlayerGrades+'!$AF$6,"A-",IF(N19&lt;'PlayerGrades+'!$AF$5,"A",IF(N19&lt;'PlayerGrades+'!$AF$4,"A+",IF(N19&lt;'PlayerGrades+'!$AF$3,"S-",IF(N19&lt;'PlayerGrades+'!$AF$2,"S","S+"))))))))))))))))))))</f>
        <v>F-</v>
      </c>
      <c r="P19" s="961">
        <f t="shared" si="7"/>
        <v>0.1617250674</v>
      </c>
      <c r="Q19" s="961" t="str">
        <f>IF(P19&lt;'PlayerGrades+'!$AG$21,"F-",IF(P19&lt;'PlayerGrades+'!$AG$20,"F",IF(P19&lt;'PlayerGrades+'!$AG$19,"F+",IF(P19&lt;'PlayerGrades+'!$AG$18,"E-",IF(P19&lt;'PlayerGrades+'!$AG$17,"E",IF(P19&lt;'PlayerGrades+'!$AG$16,"E+",IF(P19&lt;'PlayerGrades+'!$AG$15,"D-",IF(P19&lt;'PlayerGrades+'!$AG$14,"D",IF(P19&lt;'PlayerGrades+'!$AG$13,"D+",IF(P19&lt;'PlayerGrades+'!$AG$12,"C-",IF(P19&lt;'PlayerGrades+'!$AG$11,"C",IF(P19&lt;'PlayerGrades+'!$AG$10,"C+",IF(P19&lt;'PlayerGrades+'!$AG$9,"B-",IF(P19&lt;'PlayerGrades+'!$AG$8,"B",IF(P19&lt;'PlayerGrades+'!$AG$7,"B+",IF(P19&lt;'PlayerGrades+'!$AG$6,"A-",IF(P19&lt;'PlayerGrades+'!$AG$5,"A",IF(P19&lt;'PlayerGrades+'!$AG$4,"A+",IF(P19&lt;'PlayerGrades+'!$AG$3,"S-",IF(P19&lt;'PlayerGrades+'!$AG$2,"S","S+"))))))))))))))))))))</f>
        <v>F-</v>
      </c>
      <c r="R19" s="961">
        <f t="shared" si="8"/>
        <v>0</v>
      </c>
      <c r="S19" s="961" t="str">
        <f>IF(R19&lt;'PlayerGrades+'!$AH$21,"F-",IF(R19&lt;'PlayerGrades+'!$AH$20,"F",IF(R19&lt;'PlayerGrades+'!$AH$19,"F+",IF(R19&lt;'PlayerGrades+'!$AH$18,"E-",IF(R19&lt;'PlayerGrades+'!$AH$17,"E",IF(R19&lt;'PlayerGrades+'!$AH$16,"E+",IF(R19&lt;'PlayerGrades+'!$AH$15,"D-",IF(R19&lt;'PlayerGrades+'!$AH$14,"D",IF(R19&lt;'PlayerGrades+'!$AH$13,"D+",IF(R19&lt;'PlayerGrades+'!$AH$12,"C-",IF(R19&lt;'PlayerGrades+'!$AH$11,"C",IF(R19&lt;'PlayerGrades+'!$AH$10,"C+",IF(R19&lt;'PlayerGrades+'!$AH$9,"B-",IF(R19&lt;'PlayerGrades+'!$AH$8,"B",IF(R19&lt;'PlayerGrades+'!$AH$7,"B+",IF(R19&lt;'PlayerGrades+'!$AH$6,"A-",IF(R19&lt;'PlayerGrades+'!$AH$5,"A",IF(R19&lt;'PlayerGrades+'!$AH$4,"A+",IF(R19&lt;'PlayerGrades+'!$AH$3,"S-",IF(R19&lt;'PlayerGrades+'!$AH$2,"S","S+"))))))))))))))))))))</f>
        <v>F-</v>
      </c>
      <c r="T19" s="961">
        <f t="shared" si="9"/>
        <v>24.18333333</v>
      </c>
      <c r="U19" s="961" t="str">
        <f>IF(T19&lt;'PlayerGrades+'!$AI$21,"F-",IF(T19&lt;'PlayerGrades+'!$AI$20,"F",IF(T19&lt;'PlayerGrades+'!$AI$19,"F+",IF(T19&lt;'PlayerGrades+'!$AI$18,"E-",IF(T19&lt;'PlayerGrades+'!$AI$17,"E",IF(T19&lt;'PlayerGrades+'!$AI$16,"E+",IF(T19&lt;'PlayerGrades+'!$AI$15,"D-",IF(T19&lt;'PlayerGrades+'!$AI$14,"D",IF(T19&lt;'PlayerGrades+'!$AI$13,"D+",IF(T19&lt;'PlayerGrades+'!$AI$12,"C-",IF(T19&lt;'PlayerGrades+'!$AI$11,"C",IF(T19&lt;'PlayerGrades+'!$AI$10,"C+",IF(T19&lt;'PlayerGrades+'!$AI$9,"B-",IF(T19&lt;'PlayerGrades+'!$AI$8,"B",IF(T19&lt;'PlayerGrades+'!$AI$7,"B+",IF(T19&lt;'PlayerGrades+'!$AI$6,"A-",IF(T19&lt;'PlayerGrades+'!$AI$5,"A",IF(T19&lt;'PlayerGrades+'!$AI$4,"A+",IF(T19&lt;'PlayerGrades+'!$AI$3,"S-",IF(T19&lt;'PlayerGrades+'!$AI$2,"S","S+"))))))))))))))))))))</f>
        <v>S+</v>
      </c>
      <c r="V19" s="1195">
        <v>1.0</v>
      </c>
      <c r="W19" s="1195">
        <v>0.0</v>
      </c>
      <c r="X19" s="1195">
        <v>1.0</v>
      </c>
      <c r="Y19" s="1195">
        <v>1.0</v>
      </c>
      <c r="Z19" s="1195">
        <v>18.0</v>
      </c>
      <c r="AA19" s="1195">
        <v>20.0</v>
      </c>
      <c r="AB19" s="1195">
        <f t="shared" si="10"/>
        <v>-2</v>
      </c>
      <c r="AC19" s="1215">
        <f t="shared" si="11"/>
        <v>0.9</v>
      </c>
      <c r="AD19" s="1195">
        <v>0.0</v>
      </c>
      <c r="AE19" s="1365">
        <v>0.25763888888888886</v>
      </c>
      <c r="AF19" s="1195">
        <v>0.0</v>
      </c>
      <c r="AG19" s="1216">
        <v>0.0</v>
      </c>
      <c r="AH19" s="1216">
        <v>0.0</v>
      </c>
      <c r="AI19" s="1216">
        <v>0.0</v>
      </c>
      <c r="AJ19" s="1216">
        <v>0.0</v>
      </c>
      <c r="AK19" s="1216">
        <v>1.0</v>
      </c>
      <c r="AL19" s="1216">
        <v>0.0</v>
      </c>
      <c r="AM19" s="1257">
        <v>0.0</v>
      </c>
      <c r="AN19" s="1257">
        <v>0.0</v>
      </c>
      <c r="AO19" s="1257">
        <v>0.0</v>
      </c>
      <c r="AP19" s="1257">
        <v>0.0</v>
      </c>
      <c r="AQ19" s="1257">
        <v>0.0</v>
      </c>
      <c r="AR19" s="1257">
        <v>0.0</v>
      </c>
      <c r="AS19" s="1257">
        <v>0.0</v>
      </c>
      <c r="AT19" s="1257">
        <v>0.0</v>
      </c>
      <c r="AU19" s="1216">
        <v>2.0</v>
      </c>
      <c r="AV19" s="1257">
        <v>0.0</v>
      </c>
      <c r="AW19" s="1257">
        <v>0.0</v>
      </c>
      <c r="AX19" s="1257">
        <v>0.0</v>
      </c>
      <c r="AY19" s="1257">
        <v>0.0</v>
      </c>
      <c r="AZ19" s="1257">
        <v>0.0</v>
      </c>
    </row>
    <row r="20">
      <c r="A20" s="1233" t="s">
        <v>74</v>
      </c>
      <c r="B20" s="1100" t="str">
        <f>IF(C20&lt;'PlayerGrades+'!$Y$44,"F-",IF(C20&lt;'PlayerGrades+'!$Y$43,"F",IF(C20&lt;'PlayerGrades+'!$Y$42,"F+",IF(C20&lt;'PlayerGrades+'!$Y$41,"E-",IF(C20&lt;'PlayerGrades+'!$Y$40,"E",IF(C20&lt;'PlayerGrades+'!$Y$39,"E+",IF(C20&lt;'PlayerGrades+'!$Y$38,"D-",IF(C20&lt;'PlayerGrades+'!$Y$37,"D",IF(C20&lt;'PlayerGrades+'!$Y$36,"D+",IF(C20&lt;'PlayerGrades+'!$Y$35,"C-",IF(C20&lt;'PlayerGrades+'!$Y$34,"C",IF(C20&lt;'PlayerGrades+'!$Y$33,"C+",IF(C20&lt;'PlayerGrades+'!$Y$32,"B-",IF(C20&lt;'PlayerGrades+'!$Y$31,"B",IF(C20&lt;'PlayerGrades+'!$Y$30,"B+",IF(C20&lt;'PlayerGrades+'!$Y$29,"A-",IF(C20&lt;'PlayerGrades+'!$Y$28,"A",IF(C20&lt;'PlayerGrades+'!$Y$27,"A+",IF(C20&lt;'PlayerGrades+'!$Y$26,"S-",IF(C20&lt;'PlayerGrades+'!$Y$25,"S","S+"))))))))))))))))))))</f>
        <v>C-</v>
      </c>
      <c r="C20" s="1239">
        <f>('PlayerGrades+'!$Y$47*(VLOOKUP(E20, 'PlayerGrades+'!$X$3:$Y$23, 2, FALSE)))+('PlayerGrades+'!$Y$48*(VLOOKUP(G20, 'PlayerGrades+'!$X$3:$Y$23, 2, FALSE)))+('PlayerGrades+'!$Y$49*(VLOOKUP(I20, 'PlayerGrades+'!$X$3:$Y$23, 2, FALSE)))+('PlayerGrades+'!$Y$50*(VLOOKUP(K20, 'PlayerGrades+'!$X$3:$Y$23, 2, FALSE)))+('PlayerGrades+'!$Y$51*(VLOOKUP(M20, 'PlayerGrades+'!$X$3:$Y$23, 2, FALSE)))+('PlayerGrades+'!$Y$52*(VLOOKUP(O20, 'PlayerGrades+'!$X$3:$Y$23, 2, FALSE)))+('PlayerGrades+'!$Y$53*(VLOOKUP(Q20, 'PlayerGrades+'!$X$3:$Y$23, 2, FALSE)))+('PlayerGrades+'!$Y$54*(VLOOKUP(S20, 'PlayerGrades+'!$X$3:$Y$23, 2, FALSE)))+('PlayerGrades+'!$Y$55*(VLOOKUP(U20, 'PlayerGrades+'!$X$3:$Y$23, 2, FALSE)))</f>
        <v>14.35</v>
      </c>
      <c r="D20" s="961">
        <f t="shared" si="1"/>
        <v>0</v>
      </c>
      <c r="E20" s="961" t="str">
        <f>IF(D20&lt;'PlayerGrades+'!$AA$21,"F-",IF(D20&lt;'PlayerGrades+'!$AA$20,"F",IF(D20&lt;'PlayerGrades+'!$AA$19,"F+",IF(D20&lt;'PlayerGrades+'!$AA$18,"E-",IF(D20&lt;'PlayerGrades+'!$AA$17,"E",IF(D20&lt;'PlayerGrades+'!$AA$16,"E+",IF(D20&lt;'PlayerGrades+'!$AA$15,"D-",IF(D20&lt;'PlayerGrades+'!$AA$14,"D",IF(D20&lt;'PlayerGrades+'!$AA$13,"D+",IF(D20&lt;'PlayerGrades+'!$AA$12,"C-",IF(D20&lt;'PlayerGrades+'!$AA$11,"C",IF(D20&lt;'PlayerGrades+'!$AA$10,"C+",IF(D20&lt;'PlayerGrades+'!$AA$9,"B-",IF(D20&lt;'PlayerGrades+'!$AA$8,"B",IF(D20&lt;'PlayerGrades+'!$AA$7,"B+",IF(D20&lt;'PlayerGrades+'!$AA$6,"A-",IF(D20&lt;'PlayerGrades+'!$AA$5,"A",IF(D20&lt;'PlayerGrades+'!$AA$4,"A+",IF(D20&lt;'PlayerGrades+'!$AA$3,"S-",IF(D20&lt;'PlayerGrades+'!$AA$2,"S","S+"))))))))))))))))))))</f>
        <v>F-</v>
      </c>
      <c r="F20" s="961">
        <f t="shared" si="2"/>
        <v>0.1309202926</v>
      </c>
      <c r="G20" s="961" t="str">
        <f>IF(F20&lt;'PlayerGrades+'!$AB$21,"F-",IF(F20&lt;'PlayerGrades+'!$AB$20,"F",IF(F20&lt;'PlayerGrades+'!$AB$19,"F+",IF(F20&lt;'PlayerGrades+'!$AB$18,"E-",IF(F20&lt;'PlayerGrades+'!$AB$17,"E",IF(F20&lt;'PlayerGrades+'!$AB$16,"E+",IF(F20&lt;'PlayerGrades+'!$AB$15,"D-",IF(F20&lt;'PlayerGrades+'!$AB$14,"D",IF(F20&lt;'PlayerGrades+'!$AB$13,"D+",IF(F20&lt;'PlayerGrades+'!$AB$12,"C-",IF(F20&lt;'PlayerGrades+'!$AB$11,"C",IF(F20&lt;'PlayerGrades+'!$AB$10,"C+",IF(F20&lt;'PlayerGrades+'!$AB$9,"B-",IF(F20&lt;'PlayerGrades+'!$AB$8,"B",IF(F20&lt;'PlayerGrades+'!$AB$7,"B+",IF(F20&lt;'PlayerGrades+'!$AB$6,"A-",IF(F20&lt;'PlayerGrades+'!$AB$5,"A",IF(F20&lt;'PlayerGrades+'!$AB$4,"A+",IF(F20&lt;'PlayerGrades+'!$AB$3,"S-",IF(F20&lt;'PlayerGrades+'!$AB$2,"S","S+"))))))))))))))))))))</f>
        <v>A+</v>
      </c>
      <c r="H20" s="961">
        <f t="shared" si="3"/>
        <v>0.3234501348</v>
      </c>
      <c r="I20" s="961" t="str">
        <f>IF(H20&lt;'PlayerGrades+'!$AC$21,"F-",IF(H20&lt;'PlayerGrades+'!$AC$20,"F",IF(H20&lt;'PlayerGrades+'!$AC$19,"F+",IF(H20&lt;'PlayerGrades+'!$AC$18,"E-",IF(H20&lt;'PlayerGrades+'!$AC$17,"E",IF(H20&lt;'PlayerGrades+'!$AC$16,"E+",IF(H20&lt;'PlayerGrades+'!$AC$15,"D-",IF(H20&lt;'PlayerGrades+'!$AC$14,"D",IF(H20&lt;'PlayerGrades+'!$AC$13,"D+",IF(H20&lt;'PlayerGrades+'!$AC$12,"C-",IF(H20&lt;'PlayerGrades+'!$AC$11,"C",IF(H20&lt;'PlayerGrades+'!$AC$10,"C+",IF(H20&lt;'PlayerGrades+'!$AC$9,"B-",IF(H20&lt;'PlayerGrades+'!$AC$8,"B",IF(H20&lt;'PlayerGrades+'!$AC$7,"B+",IF(H20&lt;'PlayerGrades+'!$AC$6,"A-",IF(H20&lt;'PlayerGrades+'!$AC$5,"A",IF(H20&lt;'PlayerGrades+'!$AC$4,"A+",IF(H20&lt;'PlayerGrades+'!$AC$3,"S-",IF(H20&lt;'PlayerGrades+'!$AC$2,"S","S+"))))))))))))))))))))</f>
        <v>E</v>
      </c>
      <c r="J20" s="961">
        <f t="shared" si="4"/>
        <v>0</v>
      </c>
      <c r="K20" s="961" t="str">
        <f>IF(J20&lt;'PlayerGrades+'!$AD$21,"F-",IF(J20&lt;'PlayerGrades+'!$AD$20,"F",IF(J20&lt;'PlayerGrades+'!$AD$19,"F+",IF(J20&lt;'PlayerGrades+'!$AD$18,"E-",IF(J20&lt;'PlayerGrades+'!$AD$17,"E",IF(J20&lt;'PlayerGrades+'!$AD$16,"E+",IF(J20&lt;'PlayerGrades+'!$AD$15,"D-",IF(J20&lt;'PlayerGrades+'!$AD$14,"D",IF(J20&lt;'PlayerGrades+'!$AD$13,"D+",IF(J20&lt;'PlayerGrades+'!$AD$12,"C-",IF(J20&lt;'PlayerGrades+'!$AD$11,"C",IF(J20&lt;'PlayerGrades+'!$AD$10,"C+",IF(J20&lt;'PlayerGrades+'!$AD$9,"B-",IF(J20&lt;'PlayerGrades+'!$AD$8,"B",IF(J20&lt;'PlayerGrades+'!$AD$7,"B+",IF(J20&lt;'PlayerGrades+'!$AD$6,"A-",IF(J20&lt;'PlayerGrades+'!$AD$5,"A",IF(J20&lt;'PlayerGrades+'!$AD$4,"A+",IF(J20&lt;'PlayerGrades+'!$AD$3,"S-",IF(J20&lt;'PlayerGrades+'!$AD$2,"S","S+"))))))))))))))))))))</f>
        <v>F-</v>
      </c>
      <c r="L20" s="1176">
        <f t="shared" si="5"/>
        <v>0.6469002695</v>
      </c>
      <c r="M20" s="992" t="str">
        <f>IF(L20&lt;'PlayerGrades+'!$AE$21,"F-",IF(L20&lt;'PlayerGrades+'!$AE$20,"F",IF(L20&lt;'PlayerGrades+'!$AE$19,"F+",IF(L20&lt;'PlayerGrades+'!$AE$18,"E-",IF(L20&lt;'PlayerGrades+'!$AE$17,"E",IF(L20&lt;'PlayerGrades+'!$AE$16,"E+",IF(L20&lt;'PlayerGrades+'!$AE$15,"D-",IF(L20&lt;'PlayerGrades+'!$AE$14,"D",IF(L20&lt;'PlayerGrades+'!$AE$13,"D+",IF(L20&lt;'PlayerGrades+'!$AE$12,"C-",IF(L20&lt;'PlayerGrades+'!$AE$11,"C",IF(L20&lt;'PlayerGrades+'!$AE$10,"C+",IF(L20&lt;'PlayerGrades+'!$AE$9,"B-",IF(L20&lt;'PlayerGrades+'!$AE$8,"B",IF(L20&lt;'PlayerGrades+'!$AE$7,"B+",IF(L20&lt;'PlayerGrades+'!$AE$6,"A-",IF(L20&lt;'PlayerGrades+'!$AE$5,"A",IF(L20&lt;'PlayerGrades+'!$AE$4,"A+",IF(L20&lt;'PlayerGrades+'!$AE$3,"S-",IF(L20&lt;'PlayerGrades+'!$AE$2,"S","S+"))))))))))))))))))))</f>
        <v>A+</v>
      </c>
      <c r="N20" s="961">
        <f t="shared" si="6"/>
        <v>0</v>
      </c>
      <c r="O20" s="961" t="str">
        <f>IF(N20&lt;'PlayerGrades+'!$AF$21,"F-",IF(N20&lt;'PlayerGrades+'!$AF$20,"F",IF(N20&lt;'PlayerGrades+'!$AF$19,"F+",IF(N20&lt;'PlayerGrades+'!$AF$18,"E-",IF(N20&lt;'PlayerGrades+'!$AF$17,"E",IF(N20&lt;'PlayerGrades+'!$AF$16,"E+",IF(N20&lt;'PlayerGrades+'!$AF$15,"D-",IF(N20&lt;'PlayerGrades+'!$AF$14,"D",IF(N20&lt;'PlayerGrades+'!$AF$13,"D+",IF(N20&lt;'PlayerGrades+'!$AF$12,"C-",IF(N20&lt;'PlayerGrades+'!$AF$11,"C",IF(N20&lt;'PlayerGrades+'!$AF$10,"C+",IF(N20&lt;'PlayerGrades+'!$AF$9,"B-",IF(N20&lt;'PlayerGrades+'!$AF$8,"B",IF(N20&lt;'PlayerGrades+'!$AF$7,"B+",IF(N20&lt;'PlayerGrades+'!$AF$6,"A-",IF(N20&lt;'PlayerGrades+'!$AF$5,"A",IF(N20&lt;'PlayerGrades+'!$AF$4,"A+",IF(N20&lt;'PlayerGrades+'!$AF$3,"S-",IF(N20&lt;'PlayerGrades+'!$AF$2,"S","S+"))))))))))))))))))))</f>
        <v>F-</v>
      </c>
      <c r="P20" s="961">
        <f t="shared" si="7"/>
        <v>0.8086253369</v>
      </c>
      <c r="Q20" s="961" t="str">
        <f>IF(P20&lt;'PlayerGrades+'!$AG$21,"F-",IF(P20&lt;'PlayerGrades+'!$AG$20,"F",IF(P20&lt;'PlayerGrades+'!$AG$19,"F+",IF(P20&lt;'PlayerGrades+'!$AG$18,"E-",IF(P20&lt;'PlayerGrades+'!$AG$17,"E",IF(P20&lt;'PlayerGrades+'!$AG$16,"E+",IF(P20&lt;'PlayerGrades+'!$AG$15,"D-",IF(P20&lt;'PlayerGrades+'!$AG$14,"D",IF(P20&lt;'PlayerGrades+'!$AG$13,"D+",IF(P20&lt;'PlayerGrades+'!$AG$12,"C-",IF(P20&lt;'PlayerGrades+'!$AG$11,"C",IF(P20&lt;'PlayerGrades+'!$AG$10,"C+",IF(P20&lt;'PlayerGrades+'!$AG$9,"B-",IF(P20&lt;'PlayerGrades+'!$AG$8,"B",IF(P20&lt;'PlayerGrades+'!$AG$7,"B+",IF(P20&lt;'PlayerGrades+'!$AG$6,"A-",IF(P20&lt;'PlayerGrades+'!$AG$5,"A",IF(P20&lt;'PlayerGrades+'!$AG$4,"A+",IF(P20&lt;'PlayerGrades+'!$AG$3,"S-",IF(P20&lt;'PlayerGrades+'!$AG$2,"S","S+"))))))))))))))))))))</f>
        <v>A-</v>
      </c>
      <c r="R20" s="961">
        <f t="shared" si="8"/>
        <v>0</v>
      </c>
      <c r="S20" s="961" t="str">
        <f>IF(R20&lt;'PlayerGrades+'!$AH$21,"F-",IF(R20&lt;'PlayerGrades+'!$AH$20,"F",IF(R20&lt;'PlayerGrades+'!$AH$19,"F+",IF(R20&lt;'PlayerGrades+'!$AH$18,"E-",IF(R20&lt;'PlayerGrades+'!$AH$17,"E",IF(R20&lt;'PlayerGrades+'!$AH$16,"E+",IF(R20&lt;'PlayerGrades+'!$AH$15,"D-",IF(R20&lt;'PlayerGrades+'!$AH$14,"D",IF(R20&lt;'PlayerGrades+'!$AH$13,"D+",IF(R20&lt;'PlayerGrades+'!$AH$12,"C-",IF(R20&lt;'PlayerGrades+'!$AH$11,"C",IF(R20&lt;'PlayerGrades+'!$AH$10,"C+",IF(R20&lt;'PlayerGrades+'!$AH$9,"B-",IF(R20&lt;'PlayerGrades+'!$AH$8,"B",IF(R20&lt;'PlayerGrades+'!$AH$7,"B+",IF(R20&lt;'PlayerGrades+'!$AH$6,"A-",IF(R20&lt;'PlayerGrades+'!$AH$5,"A",IF(R20&lt;'PlayerGrades+'!$AH$4,"A+",IF(R20&lt;'PlayerGrades+'!$AH$3,"S-",IF(R20&lt;'PlayerGrades+'!$AH$2,"S","S+"))))))))))))))))))))</f>
        <v>F-</v>
      </c>
      <c r="T20" s="961">
        <f t="shared" si="9"/>
        <v>23.18333333</v>
      </c>
      <c r="U20" s="961" t="str">
        <f>IF(T20&lt;'PlayerGrades+'!$AI$21,"F-",IF(T20&lt;'PlayerGrades+'!$AI$20,"F",IF(T20&lt;'PlayerGrades+'!$AI$19,"F+",IF(T20&lt;'PlayerGrades+'!$AI$18,"E-",IF(T20&lt;'PlayerGrades+'!$AI$17,"E",IF(T20&lt;'PlayerGrades+'!$AI$16,"E+",IF(T20&lt;'PlayerGrades+'!$AI$15,"D-",IF(T20&lt;'PlayerGrades+'!$AI$14,"D",IF(T20&lt;'PlayerGrades+'!$AI$13,"D+",IF(T20&lt;'PlayerGrades+'!$AI$12,"C-",IF(T20&lt;'PlayerGrades+'!$AI$11,"C",IF(T20&lt;'PlayerGrades+'!$AI$10,"C+",IF(T20&lt;'PlayerGrades+'!$AI$9,"B-",IF(T20&lt;'PlayerGrades+'!$AI$8,"B",IF(T20&lt;'PlayerGrades+'!$AI$7,"B+",IF(T20&lt;'PlayerGrades+'!$AI$6,"A-",IF(T20&lt;'PlayerGrades+'!$AI$5,"A",IF(T20&lt;'PlayerGrades+'!$AI$4,"A+",IF(T20&lt;'PlayerGrades+'!$AI$3,"S-",IF(T20&lt;'PlayerGrades+'!$AI$2,"S","S+"))))))))))))))))))))</f>
        <v>S+</v>
      </c>
      <c r="V20" s="1195">
        <v>1.0</v>
      </c>
      <c r="W20" s="1195">
        <v>0.0</v>
      </c>
      <c r="X20" s="1195">
        <v>0.0</v>
      </c>
      <c r="Y20" s="1195">
        <v>0.0</v>
      </c>
      <c r="Z20" s="1195">
        <v>17.0</v>
      </c>
      <c r="AA20" s="1195">
        <v>21.0</v>
      </c>
      <c r="AB20" s="1195">
        <f t="shared" si="10"/>
        <v>-4</v>
      </c>
      <c r="AC20" s="1215">
        <f t="shared" si="11"/>
        <v>0.8095238095</v>
      </c>
      <c r="AD20" s="1195">
        <v>0.0</v>
      </c>
      <c r="AE20" s="1365">
        <v>0.25763888888888886</v>
      </c>
      <c r="AF20" s="1195">
        <v>0.0</v>
      </c>
      <c r="AG20" s="1216">
        <v>0.0</v>
      </c>
      <c r="AH20" s="1216">
        <v>0.0</v>
      </c>
      <c r="AI20" s="1216">
        <v>0.0</v>
      </c>
      <c r="AJ20" s="1195">
        <v>1.0</v>
      </c>
      <c r="AK20" s="1216">
        <v>4.0</v>
      </c>
      <c r="AL20" s="1195">
        <v>0.0</v>
      </c>
      <c r="AM20" s="1257">
        <v>0.0</v>
      </c>
      <c r="AN20" s="1257">
        <v>0.0</v>
      </c>
      <c r="AO20" s="1257">
        <v>0.0</v>
      </c>
      <c r="AP20" s="1257">
        <v>0.0</v>
      </c>
      <c r="AQ20" s="1257">
        <v>0.0</v>
      </c>
      <c r="AR20" s="1257">
        <v>0.0</v>
      </c>
      <c r="AS20" s="1257">
        <v>0.0</v>
      </c>
      <c r="AT20" s="1257">
        <v>0.0</v>
      </c>
      <c r="AU20" s="1195">
        <v>2.0</v>
      </c>
      <c r="AV20" s="1257">
        <v>0.0</v>
      </c>
      <c r="AW20" s="1257">
        <v>0.0</v>
      </c>
      <c r="AX20" s="1257">
        <v>0.0</v>
      </c>
      <c r="AY20" s="1257">
        <v>0.0</v>
      </c>
      <c r="AZ20" s="1257">
        <v>0.0</v>
      </c>
    </row>
    <row r="21">
      <c r="A21" s="1233" t="s">
        <v>162</v>
      </c>
      <c r="B21" s="1100" t="str">
        <f>IF(C21&lt;'PlayerGrades+'!$Y$44,"F-",IF(C21&lt;'PlayerGrades+'!$Y$43,"F",IF(C21&lt;'PlayerGrades+'!$Y$42,"F+",IF(C21&lt;'PlayerGrades+'!$Y$41,"E-",IF(C21&lt;'PlayerGrades+'!$Y$40,"E",IF(C21&lt;'PlayerGrades+'!$Y$39,"E+",IF(C21&lt;'PlayerGrades+'!$Y$38,"D-",IF(C21&lt;'PlayerGrades+'!$Y$37,"D",IF(C21&lt;'PlayerGrades+'!$Y$36,"D+",IF(C21&lt;'PlayerGrades+'!$Y$35,"C-",IF(C21&lt;'PlayerGrades+'!$Y$34,"C",IF(C21&lt;'PlayerGrades+'!$Y$33,"C+",IF(C21&lt;'PlayerGrades+'!$Y$32,"B-",IF(C21&lt;'PlayerGrades+'!$Y$31,"B",IF(C21&lt;'PlayerGrades+'!$Y$30,"B+",IF(C21&lt;'PlayerGrades+'!$Y$29,"A-",IF(C21&lt;'PlayerGrades+'!$Y$28,"A",IF(C21&lt;'PlayerGrades+'!$Y$27,"A+",IF(C21&lt;'PlayerGrades+'!$Y$26,"S-",IF(C21&lt;'PlayerGrades+'!$Y$25,"S","S+"))))))))))))))))))))</f>
        <v>C+</v>
      </c>
      <c r="C21" s="1239">
        <f>('PlayerGrades+'!$Y$47*(VLOOKUP(E21, 'PlayerGrades+'!$X$3:$Y$23, 2, FALSE)))+('PlayerGrades+'!$Y$48*(VLOOKUP(G21, 'PlayerGrades+'!$X$3:$Y$23, 2, FALSE)))+('PlayerGrades+'!$Y$49*(VLOOKUP(I21, 'PlayerGrades+'!$X$3:$Y$23, 2, FALSE)))+('PlayerGrades+'!$Y$50*(VLOOKUP(K21, 'PlayerGrades+'!$X$3:$Y$23, 2, FALSE)))+('PlayerGrades+'!$Y$51*(VLOOKUP(M21, 'PlayerGrades+'!$X$3:$Y$23, 2, FALSE)))+('PlayerGrades+'!$Y$52*(VLOOKUP(O21, 'PlayerGrades+'!$X$3:$Y$23, 2, FALSE)))+('PlayerGrades+'!$Y$53*(VLOOKUP(Q21, 'PlayerGrades+'!$X$3:$Y$23, 2, FALSE)))+('PlayerGrades+'!$Y$54*(VLOOKUP(S21, 'PlayerGrades+'!$X$3:$Y$23, 2, FALSE)))+('PlayerGrades+'!$Y$55*(VLOOKUP(U21, 'PlayerGrades+'!$X$3:$Y$23, 2, FALSE)))</f>
        <v>16.225</v>
      </c>
      <c r="D21" s="961">
        <f t="shared" si="1"/>
        <v>0.3234501348</v>
      </c>
      <c r="E21" s="961" t="str">
        <f>IF(D21&lt;'PlayerGrades+'!$AA$21,"F-",IF(D21&lt;'PlayerGrades+'!$AA$20,"F",IF(D21&lt;'PlayerGrades+'!$AA$19,"F+",IF(D21&lt;'PlayerGrades+'!$AA$18,"E-",IF(D21&lt;'PlayerGrades+'!$AA$17,"E",IF(D21&lt;'PlayerGrades+'!$AA$16,"E+",IF(D21&lt;'PlayerGrades+'!$AA$15,"D-",IF(D21&lt;'PlayerGrades+'!$AA$14,"D",IF(D21&lt;'PlayerGrades+'!$AA$13,"D+",IF(D21&lt;'PlayerGrades+'!$AA$12,"C-",IF(D21&lt;'PlayerGrades+'!$AA$11,"C",IF(D21&lt;'PlayerGrades+'!$AA$10,"C+",IF(D21&lt;'PlayerGrades+'!$AA$9,"B-",IF(D21&lt;'PlayerGrades+'!$AA$8,"B",IF(D21&lt;'PlayerGrades+'!$AA$7,"B+",IF(D21&lt;'PlayerGrades+'!$AA$6,"A-",IF(D21&lt;'PlayerGrades+'!$AA$5,"A",IF(D21&lt;'PlayerGrades+'!$AA$4,"A+",IF(D21&lt;'PlayerGrades+'!$AA$3,"S-",IF(D21&lt;'PlayerGrades+'!$AA$2,"S","S+"))))))))))))))))))))</f>
        <v>S+</v>
      </c>
      <c r="F21" s="961">
        <f t="shared" si="2"/>
        <v>0.1168014376</v>
      </c>
      <c r="G21" s="961" t="str">
        <f>IF(F21&lt;'PlayerGrades+'!$AB$21,"F-",IF(F21&lt;'PlayerGrades+'!$AB$20,"F",IF(F21&lt;'PlayerGrades+'!$AB$19,"F+",IF(F21&lt;'PlayerGrades+'!$AB$18,"E-",IF(F21&lt;'PlayerGrades+'!$AB$17,"E",IF(F21&lt;'PlayerGrades+'!$AB$16,"E+",IF(F21&lt;'PlayerGrades+'!$AB$15,"D-",IF(F21&lt;'PlayerGrades+'!$AB$14,"D",IF(F21&lt;'PlayerGrades+'!$AB$13,"D+",IF(F21&lt;'PlayerGrades+'!$AB$12,"C-",IF(F21&lt;'PlayerGrades+'!$AB$11,"C",IF(F21&lt;'PlayerGrades+'!$AB$10,"C+",IF(F21&lt;'PlayerGrades+'!$AB$9,"B-",IF(F21&lt;'PlayerGrades+'!$AB$8,"B",IF(F21&lt;'PlayerGrades+'!$AB$7,"B+",IF(F21&lt;'PlayerGrades+'!$AB$6,"A-",IF(F21&lt;'PlayerGrades+'!$AB$5,"A",IF(F21&lt;'PlayerGrades+'!$AB$4,"A+",IF(F21&lt;'PlayerGrades+'!$AB$3,"S-",IF(F21&lt;'PlayerGrades+'!$AB$2,"S","S+"))))))))))))))))))))</f>
        <v>A+</v>
      </c>
      <c r="H21" s="961">
        <f t="shared" si="3"/>
        <v>0.1617250674</v>
      </c>
      <c r="I21" s="961" t="str">
        <f>IF(H21&lt;'PlayerGrades+'!$AC$21,"F-",IF(H21&lt;'PlayerGrades+'!$AC$20,"F",IF(H21&lt;'PlayerGrades+'!$AC$19,"F+",IF(H21&lt;'PlayerGrades+'!$AC$18,"E-",IF(H21&lt;'PlayerGrades+'!$AC$17,"E",IF(H21&lt;'PlayerGrades+'!$AC$16,"E+",IF(H21&lt;'PlayerGrades+'!$AC$15,"D-",IF(H21&lt;'PlayerGrades+'!$AC$14,"D",IF(H21&lt;'PlayerGrades+'!$AC$13,"D+",IF(H21&lt;'PlayerGrades+'!$AC$12,"C-",IF(H21&lt;'PlayerGrades+'!$AC$11,"C",IF(H21&lt;'PlayerGrades+'!$AC$10,"C+",IF(H21&lt;'PlayerGrades+'!$AC$9,"B-",IF(H21&lt;'PlayerGrades+'!$AC$8,"B",IF(H21&lt;'PlayerGrades+'!$AC$7,"B+",IF(H21&lt;'PlayerGrades+'!$AC$6,"A-",IF(H21&lt;'PlayerGrades+'!$AC$5,"A",IF(H21&lt;'PlayerGrades+'!$AC$4,"A+",IF(H21&lt;'PlayerGrades+'!$AC$3,"S-",IF(H21&lt;'PlayerGrades+'!$AC$2,"S","S+"))))))))))))))))))))</f>
        <v>F-</v>
      </c>
      <c r="J21" s="961">
        <f t="shared" si="4"/>
        <v>0</v>
      </c>
      <c r="K21" s="961" t="str">
        <f>IF(J21&lt;'PlayerGrades+'!$AD$21,"F-",IF(J21&lt;'PlayerGrades+'!$AD$20,"F",IF(J21&lt;'PlayerGrades+'!$AD$19,"F+",IF(J21&lt;'PlayerGrades+'!$AD$18,"E-",IF(J21&lt;'PlayerGrades+'!$AD$17,"E",IF(J21&lt;'PlayerGrades+'!$AD$16,"E+",IF(J21&lt;'PlayerGrades+'!$AD$15,"D-",IF(J21&lt;'PlayerGrades+'!$AD$14,"D",IF(J21&lt;'PlayerGrades+'!$AD$13,"D+",IF(J21&lt;'PlayerGrades+'!$AD$12,"C-",IF(J21&lt;'PlayerGrades+'!$AD$11,"C",IF(J21&lt;'PlayerGrades+'!$AD$10,"C+",IF(J21&lt;'PlayerGrades+'!$AD$9,"B-",IF(J21&lt;'PlayerGrades+'!$AD$8,"B",IF(J21&lt;'PlayerGrades+'!$AD$7,"B+",IF(J21&lt;'PlayerGrades+'!$AD$6,"A-",IF(J21&lt;'PlayerGrades+'!$AD$5,"A",IF(J21&lt;'PlayerGrades+'!$AD$4,"A+",IF(J21&lt;'PlayerGrades+'!$AD$3,"S-",IF(J21&lt;'PlayerGrades+'!$AD$2,"S","S+"))))))))))))))))))))</f>
        <v>F-</v>
      </c>
      <c r="L21" s="1176">
        <f t="shared" si="5"/>
        <v>0.1617250674</v>
      </c>
      <c r="M21" s="992" t="str">
        <f>IF(L21&lt;'PlayerGrades+'!$AE$21,"F-",IF(L21&lt;'PlayerGrades+'!$AE$20,"F",IF(L21&lt;'PlayerGrades+'!$AE$19,"F+",IF(L21&lt;'PlayerGrades+'!$AE$18,"E-",IF(L21&lt;'PlayerGrades+'!$AE$17,"E",IF(L21&lt;'PlayerGrades+'!$AE$16,"E+",IF(L21&lt;'PlayerGrades+'!$AE$15,"D-",IF(L21&lt;'PlayerGrades+'!$AE$14,"D",IF(L21&lt;'PlayerGrades+'!$AE$13,"D+",IF(L21&lt;'PlayerGrades+'!$AE$12,"C-",IF(L21&lt;'PlayerGrades+'!$AE$11,"C",IF(L21&lt;'PlayerGrades+'!$AE$10,"C+",IF(L21&lt;'PlayerGrades+'!$AE$9,"B-",IF(L21&lt;'PlayerGrades+'!$AE$8,"B",IF(L21&lt;'PlayerGrades+'!$AE$7,"B+",IF(L21&lt;'PlayerGrades+'!$AE$6,"A-",IF(L21&lt;'PlayerGrades+'!$AE$5,"A",IF(L21&lt;'PlayerGrades+'!$AE$4,"A+",IF(L21&lt;'PlayerGrades+'!$AE$3,"S-",IF(L21&lt;'PlayerGrades+'!$AE$2,"S","S+"))))))))))))))))))))</f>
        <v>F-</v>
      </c>
      <c r="N21" s="961">
        <f t="shared" si="6"/>
        <v>0</v>
      </c>
      <c r="O21" s="961" t="str">
        <f>IF(N21&lt;'PlayerGrades+'!$AF$21,"F-",IF(N21&lt;'PlayerGrades+'!$AF$20,"F",IF(N21&lt;'PlayerGrades+'!$AF$19,"F+",IF(N21&lt;'PlayerGrades+'!$AF$18,"E-",IF(N21&lt;'PlayerGrades+'!$AF$17,"E",IF(N21&lt;'PlayerGrades+'!$AF$16,"E+",IF(N21&lt;'PlayerGrades+'!$AF$15,"D-",IF(N21&lt;'PlayerGrades+'!$AF$14,"D",IF(N21&lt;'PlayerGrades+'!$AF$13,"D+",IF(N21&lt;'PlayerGrades+'!$AF$12,"C-",IF(N21&lt;'PlayerGrades+'!$AF$11,"C",IF(N21&lt;'PlayerGrades+'!$AF$10,"C+",IF(N21&lt;'PlayerGrades+'!$AF$9,"B-",IF(N21&lt;'PlayerGrades+'!$AF$8,"B",IF(N21&lt;'PlayerGrades+'!$AF$7,"B+",IF(N21&lt;'PlayerGrades+'!$AF$6,"A-",IF(N21&lt;'PlayerGrades+'!$AF$5,"A",IF(N21&lt;'PlayerGrades+'!$AF$4,"A+",IF(N21&lt;'PlayerGrades+'!$AF$3,"S-",IF(N21&lt;'PlayerGrades+'!$AF$2,"S","S+"))))))))))))))))))))</f>
        <v>F-</v>
      </c>
      <c r="P21" s="961">
        <f t="shared" si="7"/>
        <v>0.1617250674</v>
      </c>
      <c r="Q21" s="961" t="str">
        <f>IF(P21&lt;'PlayerGrades+'!$AG$21,"F-",IF(P21&lt;'PlayerGrades+'!$AG$20,"F",IF(P21&lt;'PlayerGrades+'!$AG$19,"F+",IF(P21&lt;'PlayerGrades+'!$AG$18,"E-",IF(P21&lt;'PlayerGrades+'!$AG$17,"E",IF(P21&lt;'PlayerGrades+'!$AG$16,"E+",IF(P21&lt;'PlayerGrades+'!$AG$15,"D-",IF(P21&lt;'PlayerGrades+'!$AG$14,"D",IF(P21&lt;'PlayerGrades+'!$AG$13,"D+",IF(P21&lt;'PlayerGrades+'!$AG$12,"C-",IF(P21&lt;'PlayerGrades+'!$AG$11,"C",IF(P21&lt;'PlayerGrades+'!$AG$10,"C+",IF(P21&lt;'PlayerGrades+'!$AG$9,"B-",IF(P21&lt;'PlayerGrades+'!$AG$8,"B",IF(P21&lt;'PlayerGrades+'!$AG$7,"B+",IF(P21&lt;'PlayerGrades+'!$AG$6,"A-",IF(P21&lt;'PlayerGrades+'!$AG$5,"A",IF(P21&lt;'PlayerGrades+'!$AG$4,"A+",IF(P21&lt;'PlayerGrades+'!$AG$3,"S-",IF(P21&lt;'PlayerGrades+'!$AG$2,"S","S+"))))))))))))))))))))</f>
        <v>F-</v>
      </c>
      <c r="R21" s="961">
        <f t="shared" si="8"/>
        <v>0.1617250674</v>
      </c>
      <c r="S21" s="961" t="str">
        <f>IF(R21&lt;'PlayerGrades+'!$AH$21,"F-",IF(R21&lt;'PlayerGrades+'!$AH$20,"F",IF(R21&lt;'PlayerGrades+'!$AH$19,"F+",IF(R21&lt;'PlayerGrades+'!$AH$18,"E-",IF(R21&lt;'PlayerGrades+'!$AH$17,"E",IF(R21&lt;'PlayerGrades+'!$AH$16,"E+",IF(R21&lt;'PlayerGrades+'!$AH$15,"D-",IF(R21&lt;'PlayerGrades+'!$AH$14,"D",IF(R21&lt;'PlayerGrades+'!$AH$13,"D+",IF(R21&lt;'PlayerGrades+'!$AH$12,"C-",IF(R21&lt;'PlayerGrades+'!$AH$11,"C",IF(R21&lt;'PlayerGrades+'!$AH$10,"C+",IF(R21&lt;'PlayerGrades+'!$AH$9,"B-",IF(R21&lt;'PlayerGrades+'!$AH$8,"B",IF(R21&lt;'PlayerGrades+'!$AH$7,"B+",IF(R21&lt;'PlayerGrades+'!$AH$6,"A-",IF(R21&lt;'PlayerGrades+'!$AH$5,"A",IF(R21&lt;'PlayerGrades+'!$AH$4,"A+",IF(R21&lt;'PlayerGrades+'!$AH$3,"S-",IF(R21&lt;'PlayerGrades+'!$AH$2,"S","S+"))))))))))))))))))))</f>
        <v>S+</v>
      </c>
      <c r="T21" s="961">
        <f t="shared" si="9"/>
        <v>19.18333333</v>
      </c>
      <c r="U21" s="961" t="str">
        <f>IF(T21&lt;'PlayerGrades+'!$AI$21,"F-",IF(T21&lt;'PlayerGrades+'!$AI$20,"F",IF(T21&lt;'PlayerGrades+'!$AI$19,"F+",IF(T21&lt;'PlayerGrades+'!$AI$18,"E-",IF(T21&lt;'PlayerGrades+'!$AI$17,"E",IF(T21&lt;'PlayerGrades+'!$AI$16,"E+",IF(T21&lt;'PlayerGrades+'!$AI$15,"D-",IF(T21&lt;'PlayerGrades+'!$AI$14,"D",IF(T21&lt;'PlayerGrades+'!$AI$13,"D+",IF(T21&lt;'PlayerGrades+'!$AI$12,"C-",IF(T21&lt;'PlayerGrades+'!$AI$11,"C",IF(T21&lt;'PlayerGrades+'!$AI$10,"C+",IF(T21&lt;'PlayerGrades+'!$AI$9,"B-",IF(T21&lt;'PlayerGrades+'!$AI$8,"B",IF(T21&lt;'PlayerGrades+'!$AI$7,"B+",IF(T21&lt;'PlayerGrades+'!$AI$6,"A-",IF(T21&lt;'PlayerGrades+'!$AI$5,"A",IF(T21&lt;'PlayerGrades+'!$AI$4,"A+",IF(T21&lt;'PlayerGrades+'!$AI$3,"S-",IF(T21&lt;'PlayerGrades+'!$AI$2,"S","S+"))))))))))))))))))))</f>
        <v>S+</v>
      </c>
      <c r="V21" s="1195">
        <v>1.0</v>
      </c>
      <c r="W21" s="1195">
        <v>0.0</v>
      </c>
      <c r="X21" s="1195">
        <v>2.0</v>
      </c>
      <c r="Y21" s="1195">
        <v>2.0</v>
      </c>
      <c r="Z21" s="1195">
        <v>13.0</v>
      </c>
      <c r="AA21" s="1195">
        <v>18.0</v>
      </c>
      <c r="AB21" s="1195">
        <f t="shared" si="10"/>
        <v>-5</v>
      </c>
      <c r="AC21" s="1215">
        <f t="shared" si="11"/>
        <v>0.7222222222</v>
      </c>
      <c r="AD21" s="1195">
        <v>0.0</v>
      </c>
      <c r="AE21" s="1365">
        <v>0.25763888888888886</v>
      </c>
      <c r="AF21" s="1195">
        <v>0.0</v>
      </c>
      <c r="AG21" s="1216">
        <v>0.0</v>
      </c>
      <c r="AH21" s="1216">
        <v>0.0</v>
      </c>
      <c r="AI21" s="1216">
        <v>0.0</v>
      </c>
      <c r="AJ21" s="1195">
        <v>0.0</v>
      </c>
      <c r="AK21" s="1216">
        <v>1.0</v>
      </c>
      <c r="AL21" s="1195">
        <v>0.0</v>
      </c>
      <c r="AM21" s="1257">
        <v>0.0</v>
      </c>
      <c r="AN21" s="1257">
        <v>0.0</v>
      </c>
      <c r="AO21" s="1257">
        <v>0.0</v>
      </c>
      <c r="AP21" s="1257">
        <v>0.0</v>
      </c>
      <c r="AQ21" s="1257">
        <v>0.0</v>
      </c>
      <c r="AR21" s="1257">
        <v>0.0</v>
      </c>
      <c r="AS21" s="1257">
        <v>0.0</v>
      </c>
      <c r="AT21" s="1257">
        <v>0.0</v>
      </c>
      <c r="AU21" s="1195">
        <v>1.0</v>
      </c>
      <c r="AV21" s="1257">
        <v>0.0</v>
      </c>
      <c r="AW21" s="1257">
        <v>0.0</v>
      </c>
      <c r="AX21" s="1257">
        <v>0.0</v>
      </c>
      <c r="AY21" s="1257">
        <v>0.0</v>
      </c>
      <c r="AZ21" s="1216">
        <v>1.0</v>
      </c>
    </row>
    <row r="22">
      <c r="A22" s="1233" t="s">
        <v>69</v>
      </c>
      <c r="B22" s="1100" t="str">
        <f>IF(C22&lt;'PlayerGrades+'!$Y$44,"F-",IF(C22&lt;'PlayerGrades+'!$Y$43,"F",IF(C22&lt;'PlayerGrades+'!$Y$42,"F+",IF(C22&lt;'PlayerGrades+'!$Y$41,"E-",IF(C22&lt;'PlayerGrades+'!$Y$40,"E",IF(C22&lt;'PlayerGrades+'!$Y$39,"E+",IF(C22&lt;'PlayerGrades+'!$Y$38,"D-",IF(C22&lt;'PlayerGrades+'!$Y$37,"D",IF(C22&lt;'PlayerGrades+'!$Y$36,"D+",IF(C22&lt;'PlayerGrades+'!$Y$35,"C-",IF(C22&lt;'PlayerGrades+'!$Y$34,"C",IF(C22&lt;'PlayerGrades+'!$Y$33,"C+",IF(C22&lt;'PlayerGrades+'!$Y$32,"B-",IF(C22&lt;'PlayerGrades+'!$Y$31,"B",IF(C22&lt;'PlayerGrades+'!$Y$30,"B+",IF(C22&lt;'PlayerGrades+'!$Y$29,"A-",IF(C22&lt;'PlayerGrades+'!$Y$28,"A",IF(C22&lt;'PlayerGrades+'!$Y$27,"A+",IF(C22&lt;'PlayerGrades+'!$Y$26,"S-",IF(C22&lt;'PlayerGrades+'!$Y$25,"S","S+"))))))))))))))))))))</f>
        <v>D+</v>
      </c>
      <c r="C22" s="1239">
        <f>('PlayerGrades+'!$Y$47*(VLOOKUP(E22, 'PlayerGrades+'!$X$3:$Y$23, 2, FALSE)))+('PlayerGrades+'!$Y$48*(VLOOKUP(G22, 'PlayerGrades+'!$X$3:$Y$23, 2, FALSE)))+('PlayerGrades+'!$Y$49*(VLOOKUP(I22, 'PlayerGrades+'!$X$3:$Y$23, 2, FALSE)))+('PlayerGrades+'!$Y$50*(VLOOKUP(K22, 'PlayerGrades+'!$X$3:$Y$23, 2, FALSE)))+('PlayerGrades+'!$Y$51*(VLOOKUP(M22, 'PlayerGrades+'!$X$3:$Y$23, 2, FALSE)))+('PlayerGrades+'!$Y$52*(VLOOKUP(O22, 'PlayerGrades+'!$X$3:$Y$23, 2, FALSE)))+('PlayerGrades+'!$Y$53*(VLOOKUP(Q22, 'PlayerGrades+'!$X$3:$Y$23, 2, FALSE)))+('PlayerGrades+'!$Y$54*(VLOOKUP(S22, 'PlayerGrades+'!$X$3:$Y$23, 2, FALSE)))+('PlayerGrades+'!$Y$55*(VLOOKUP(U22, 'PlayerGrades+'!$X$3:$Y$23, 2, FALSE)))</f>
        <v>13.85</v>
      </c>
      <c r="D22" s="961">
        <f t="shared" si="1"/>
        <v>0</v>
      </c>
      <c r="E22" s="961" t="str">
        <f>IF(D22&lt;'PlayerGrades+'!$AA$21,"F-",IF(D22&lt;'PlayerGrades+'!$AA$20,"F",IF(D22&lt;'PlayerGrades+'!$AA$19,"F+",IF(D22&lt;'PlayerGrades+'!$AA$18,"E-",IF(D22&lt;'PlayerGrades+'!$AA$17,"E",IF(D22&lt;'PlayerGrades+'!$AA$16,"E+",IF(D22&lt;'PlayerGrades+'!$AA$15,"D-",IF(D22&lt;'PlayerGrades+'!$AA$14,"D",IF(D22&lt;'PlayerGrades+'!$AA$13,"D+",IF(D22&lt;'PlayerGrades+'!$AA$12,"C-",IF(D22&lt;'PlayerGrades+'!$AA$11,"C",IF(D22&lt;'PlayerGrades+'!$AA$10,"C+",IF(D22&lt;'PlayerGrades+'!$AA$9,"B-",IF(D22&lt;'PlayerGrades+'!$AA$8,"B",IF(D22&lt;'PlayerGrades+'!$AA$7,"B+",IF(D22&lt;'PlayerGrades+'!$AA$6,"A-",IF(D22&lt;'PlayerGrades+'!$AA$5,"A",IF(D22&lt;'PlayerGrades+'!$AA$4,"A+",IF(D22&lt;'PlayerGrades+'!$AA$3,"S-",IF(D22&lt;'PlayerGrades+'!$AA$2,"S","S+"))))))))))))))))))))</f>
        <v>F-</v>
      </c>
      <c r="F22" s="961">
        <f t="shared" si="2"/>
        <v>0.09912181549</v>
      </c>
      <c r="G22" s="961" t="str">
        <f>IF(F22&lt;'PlayerGrades+'!$AB$21,"F-",IF(F22&lt;'PlayerGrades+'!$AB$20,"F",IF(F22&lt;'PlayerGrades+'!$AB$19,"F+",IF(F22&lt;'PlayerGrades+'!$AB$18,"E-",IF(F22&lt;'PlayerGrades+'!$AB$17,"E",IF(F22&lt;'PlayerGrades+'!$AB$16,"E+",IF(F22&lt;'PlayerGrades+'!$AB$15,"D-",IF(F22&lt;'PlayerGrades+'!$AB$14,"D",IF(F22&lt;'PlayerGrades+'!$AB$13,"D+",IF(F22&lt;'PlayerGrades+'!$AB$12,"C-",IF(F22&lt;'PlayerGrades+'!$AB$11,"C",IF(F22&lt;'PlayerGrades+'!$AB$10,"C+",IF(F22&lt;'PlayerGrades+'!$AB$9,"B-",IF(F22&lt;'PlayerGrades+'!$AB$8,"B",IF(F22&lt;'PlayerGrades+'!$AB$7,"B+",IF(F22&lt;'PlayerGrades+'!$AB$6,"A-",IF(F22&lt;'PlayerGrades+'!$AB$5,"A",IF(F22&lt;'PlayerGrades+'!$AB$4,"A+",IF(F22&lt;'PlayerGrades+'!$AB$3,"S-",IF(F22&lt;'PlayerGrades+'!$AB$2,"S","S+"))))))))))))))))))))</f>
        <v>A</v>
      </c>
      <c r="H22" s="961">
        <f t="shared" si="3"/>
        <v>0.1617250674</v>
      </c>
      <c r="I22" s="961" t="str">
        <f>IF(H22&lt;'PlayerGrades+'!$AC$21,"F-",IF(H22&lt;'PlayerGrades+'!$AC$20,"F",IF(H22&lt;'PlayerGrades+'!$AC$19,"F+",IF(H22&lt;'PlayerGrades+'!$AC$18,"E-",IF(H22&lt;'PlayerGrades+'!$AC$17,"E",IF(H22&lt;'PlayerGrades+'!$AC$16,"E+",IF(H22&lt;'PlayerGrades+'!$AC$15,"D-",IF(H22&lt;'PlayerGrades+'!$AC$14,"D",IF(H22&lt;'PlayerGrades+'!$AC$13,"D+",IF(H22&lt;'PlayerGrades+'!$AC$12,"C-",IF(H22&lt;'PlayerGrades+'!$AC$11,"C",IF(H22&lt;'PlayerGrades+'!$AC$10,"C+",IF(H22&lt;'PlayerGrades+'!$AC$9,"B-",IF(H22&lt;'PlayerGrades+'!$AC$8,"B",IF(H22&lt;'PlayerGrades+'!$AC$7,"B+",IF(H22&lt;'PlayerGrades+'!$AC$6,"A-",IF(H22&lt;'PlayerGrades+'!$AC$5,"A",IF(H22&lt;'PlayerGrades+'!$AC$4,"A+",IF(H22&lt;'PlayerGrades+'!$AC$3,"S-",IF(H22&lt;'PlayerGrades+'!$AC$2,"S","S+"))))))))))))))))))))</f>
        <v>F-</v>
      </c>
      <c r="J22" s="961">
        <f t="shared" si="4"/>
        <v>0</v>
      </c>
      <c r="K22" s="961" t="str">
        <f>IF(J22&lt;'PlayerGrades+'!$AD$21,"F-",IF(J22&lt;'PlayerGrades+'!$AD$20,"F",IF(J22&lt;'PlayerGrades+'!$AD$19,"F+",IF(J22&lt;'PlayerGrades+'!$AD$18,"E-",IF(J22&lt;'PlayerGrades+'!$AD$17,"E",IF(J22&lt;'PlayerGrades+'!$AD$16,"E+",IF(J22&lt;'PlayerGrades+'!$AD$15,"D-",IF(J22&lt;'PlayerGrades+'!$AD$14,"D",IF(J22&lt;'PlayerGrades+'!$AD$13,"D+",IF(J22&lt;'PlayerGrades+'!$AD$12,"C-",IF(J22&lt;'PlayerGrades+'!$AD$11,"C",IF(J22&lt;'PlayerGrades+'!$AD$10,"C+",IF(J22&lt;'PlayerGrades+'!$AD$9,"B-",IF(J22&lt;'PlayerGrades+'!$AD$8,"B",IF(J22&lt;'PlayerGrades+'!$AD$7,"B+",IF(J22&lt;'PlayerGrades+'!$AD$6,"A-",IF(J22&lt;'PlayerGrades+'!$AD$5,"A",IF(J22&lt;'PlayerGrades+'!$AD$4,"A+",IF(J22&lt;'PlayerGrades+'!$AD$3,"S-",IF(J22&lt;'PlayerGrades+'!$AD$2,"S","S+"))))))))))))))))))))</f>
        <v>F-</v>
      </c>
      <c r="L22" s="1176">
        <f t="shared" si="5"/>
        <v>0.9703504043</v>
      </c>
      <c r="M22" s="992" t="str">
        <f>IF(L22&lt;'PlayerGrades+'!$AE$21,"F-",IF(L22&lt;'PlayerGrades+'!$AE$20,"F",IF(L22&lt;'PlayerGrades+'!$AE$19,"F+",IF(L22&lt;'PlayerGrades+'!$AE$18,"E-",IF(L22&lt;'PlayerGrades+'!$AE$17,"E",IF(L22&lt;'PlayerGrades+'!$AE$16,"E+",IF(L22&lt;'PlayerGrades+'!$AE$15,"D-",IF(L22&lt;'PlayerGrades+'!$AE$14,"D",IF(L22&lt;'PlayerGrades+'!$AE$13,"D+",IF(L22&lt;'PlayerGrades+'!$AE$12,"C-",IF(L22&lt;'PlayerGrades+'!$AE$11,"C",IF(L22&lt;'PlayerGrades+'!$AE$10,"C+",IF(L22&lt;'PlayerGrades+'!$AE$9,"B-",IF(L22&lt;'PlayerGrades+'!$AE$8,"B",IF(L22&lt;'PlayerGrades+'!$AE$7,"B+",IF(L22&lt;'PlayerGrades+'!$AE$6,"A-",IF(L22&lt;'PlayerGrades+'!$AE$5,"A",IF(L22&lt;'PlayerGrades+'!$AE$4,"A+",IF(L22&lt;'PlayerGrades+'!$AE$3,"S-",IF(L22&lt;'PlayerGrades+'!$AE$2,"S","S+"))))))))))))))))))))</f>
        <v>S+</v>
      </c>
      <c r="N22" s="961">
        <f t="shared" si="6"/>
        <v>0</v>
      </c>
      <c r="O22" s="961" t="str">
        <f>IF(N22&lt;'PlayerGrades+'!$AF$21,"F-",IF(N22&lt;'PlayerGrades+'!$AF$20,"F",IF(N22&lt;'PlayerGrades+'!$AF$19,"F+",IF(N22&lt;'PlayerGrades+'!$AF$18,"E-",IF(N22&lt;'PlayerGrades+'!$AF$17,"E",IF(N22&lt;'PlayerGrades+'!$AF$16,"E+",IF(N22&lt;'PlayerGrades+'!$AF$15,"D-",IF(N22&lt;'PlayerGrades+'!$AF$14,"D",IF(N22&lt;'PlayerGrades+'!$AF$13,"D+",IF(N22&lt;'PlayerGrades+'!$AF$12,"C-",IF(N22&lt;'PlayerGrades+'!$AF$11,"C",IF(N22&lt;'PlayerGrades+'!$AF$10,"C+",IF(N22&lt;'PlayerGrades+'!$AF$9,"B-",IF(N22&lt;'PlayerGrades+'!$AF$8,"B",IF(N22&lt;'PlayerGrades+'!$AF$7,"B+",IF(N22&lt;'PlayerGrades+'!$AF$6,"A-",IF(N22&lt;'PlayerGrades+'!$AF$5,"A",IF(N22&lt;'PlayerGrades+'!$AF$4,"A+",IF(N22&lt;'PlayerGrades+'!$AF$3,"S-",IF(N22&lt;'PlayerGrades+'!$AF$2,"S","S+"))))))))))))))))))))</f>
        <v>F-</v>
      </c>
      <c r="P22" s="961">
        <f t="shared" si="7"/>
        <v>0.9703504043</v>
      </c>
      <c r="Q22" s="961" t="str">
        <f>IF(P22&lt;'PlayerGrades+'!$AG$21,"F-",IF(P22&lt;'PlayerGrades+'!$AG$20,"F",IF(P22&lt;'PlayerGrades+'!$AG$19,"F+",IF(P22&lt;'PlayerGrades+'!$AG$18,"E-",IF(P22&lt;'PlayerGrades+'!$AG$17,"E",IF(P22&lt;'PlayerGrades+'!$AG$16,"E+",IF(P22&lt;'PlayerGrades+'!$AG$15,"D-",IF(P22&lt;'PlayerGrades+'!$AG$14,"D",IF(P22&lt;'PlayerGrades+'!$AG$13,"D+",IF(P22&lt;'PlayerGrades+'!$AG$12,"C-",IF(P22&lt;'PlayerGrades+'!$AG$11,"C",IF(P22&lt;'PlayerGrades+'!$AG$10,"C+",IF(P22&lt;'PlayerGrades+'!$AG$9,"B-",IF(P22&lt;'PlayerGrades+'!$AG$8,"B",IF(P22&lt;'PlayerGrades+'!$AG$7,"B+",IF(P22&lt;'PlayerGrades+'!$AG$6,"A-",IF(P22&lt;'PlayerGrades+'!$AG$5,"A",IF(P22&lt;'PlayerGrades+'!$AG$4,"A+",IF(P22&lt;'PlayerGrades+'!$AG$3,"S-",IF(P22&lt;'PlayerGrades+'!$AG$2,"S","S+"))))))))))))))))))))</f>
        <v>A+</v>
      </c>
      <c r="R22" s="961">
        <f t="shared" si="8"/>
        <v>0</v>
      </c>
      <c r="S22" s="961" t="str">
        <f>IF(R22&lt;'PlayerGrades+'!$AH$21,"F-",IF(R22&lt;'PlayerGrades+'!$AH$20,"F",IF(R22&lt;'PlayerGrades+'!$AH$19,"F+",IF(R22&lt;'PlayerGrades+'!$AH$18,"E-",IF(R22&lt;'PlayerGrades+'!$AH$17,"E",IF(R22&lt;'PlayerGrades+'!$AH$16,"E+",IF(R22&lt;'PlayerGrades+'!$AH$15,"D-",IF(R22&lt;'PlayerGrades+'!$AH$14,"D",IF(R22&lt;'PlayerGrades+'!$AH$13,"D+",IF(R22&lt;'PlayerGrades+'!$AH$12,"C-",IF(R22&lt;'PlayerGrades+'!$AH$11,"C",IF(R22&lt;'PlayerGrades+'!$AH$10,"C+",IF(R22&lt;'PlayerGrades+'!$AH$9,"B-",IF(R22&lt;'PlayerGrades+'!$AH$8,"B",IF(R22&lt;'PlayerGrades+'!$AH$7,"B+",IF(R22&lt;'PlayerGrades+'!$AH$6,"A-",IF(R22&lt;'PlayerGrades+'!$AH$5,"A",IF(R22&lt;'PlayerGrades+'!$AH$4,"A+",IF(R22&lt;'PlayerGrades+'!$AH$3,"S-",IF(R22&lt;'PlayerGrades+'!$AH$2,"S","S+"))))))))))))))))))))</f>
        <v>F-</v>
      </c>
      <c r="T22" s="961">
        <f t="shared" si="9"/>
        <v>25.18333333</v>
      </c>
      <c r="U22" s="961" t="str">
        <f>IF(T22&lt;'PlayerGrades+'!$AI$21,"F-",IF(T22&lt;'PlayerGrades+'!$AI$20,"F",IF(T22&lt;'PlayerGrades+'!$AI$19,"F+",IF(T22&lt;'PlayerGrades+'!$AI$18,"E-",IF(T22&lt;'PlayerGrades+'!$AI$17,"E",IF(T22&lt;'PlayerGrades+'!$AI$16,"E+",IF(T22&lt;'PlayerGrades+'!$AI$15,"D-",IF(T22&lt;'PlayerGrades+'!$AI$14,"D",IF(T22&lt;'PlayerGrades+'!$AI$13,"D+",IF(T22&lt;'PlayerGrades+'!$AI$12,"C-",IF(T22&lt;'PlayerGrades+'!$AI$11,"C",IF(T22&lt;'PlayerGrades+'!$AI$10,"C+",IF(T22&lt;'PlayerGrades+'!$AI$9,"B-",IF(T22&lt;'PlayerGrades+'!$AI$8,"B",IF(T22&lt;'PlayerGrades+'!$AI$7,"B+",IF(T22&lt;'PlayerGrades+'!$AI$6,"A-",IF(T22&lt;'PlayerGrades+'!$AI$5,"A",IF(T22&lt;'PlayerGrades+'!$AI$4,"A+",IF(T22&lt;'PlayerGrades+'!$AI$3,"S-",IF(T22&lt;'PlayerGrades+'!$AI$2,"S","S+"))))))))))))))))))))</f>
        <v>S+</v>
      </c>
      <c r="V22" s="1195">
        <v>0.0</v>
      </c>
      <c r="W22" s="1195">
        <v>1.0</v>
      </c>
      <c r="X22" s="1195">
        <v>0.0</v>
      </c>
      <c r="Y22" s="1195">
        <v>0.0</v>
      </c>
      <c r="Z22" s="1195">
        <v>19.0</v>
      </c>
      <c r="AA22" s="1195">
        <v>31.0</v>
      </c>
      <c r="AB22" s="1195">
        <f t="shared" si="10"/>
        <v>-12</v>
      </c>
      <c r="AC22" s="1215">
        <f t="shared" si="11"/>
        <v>0.6129032258</v>
      </c>
      <c r="AD22" s="1195">
        <v>1.0</v>
      </c>
      <c r="AE22" s="1365">
        <v>0.25763888888888886</v>
      </c>
      <c r="AF22" s="1195">
        <v>0.0</v>
      </c>
      <c r="AG22" s="1216">
        <v>0.0</v>
      </c>
      <c r="AH22" s="1216">
        <v>0.0</v>
      </c>
      <c r="AI22" s="1216">
        <v>0.0</v>
      </c>
      <c r="AJ22" s="1195">
        <v>0.0</v>
      </c>
      <c r="AK22" s="1216">
        <v>6.0</v>
      </c>
      <c r="AL22" s="1195">
        <v>0.0</v>
      </c>
      <c r="AM22" s="1257">
        <v>0.0</v>
      </c>
      <c r="AN22" s="1257">
        <v>0.0</v>
      </c>
      <c r="AO22" s="1257">
        <v>0.0</v>
      </c>
      <c r="AP22" s="1257">
        <v>0.0</v>
      </c>
      <c r="AQ22" s="1257">
        <v>0.0</v>
      </c>
      <c r="AR22" s="1257">
        <v>0.0</v>
      </c>
      <c r="AS22" s="1257">
        <v>0.0</v>
      </c>
      <c r="AT22" s="1257">
        <v>0.0</v>
      </c>
      <c r="AU22" s="1195">
        <v>1.0</v>
      </c>
      <c r="AV22" s="1257">
        <v>0.0</v>
      </c>
      <c r="AW22" s="1257">
        <v>0.0</v>
      </c>
      <c r="AX22" s="1257">
        <v>0.0</v>
      </c>
      <c r="AY22" s="1257">
        <v>0.0</v>
      </c>
      <c r="AZ22" s="1257">
        <v>0.0</v>
      </c>
    </row>
    <row r="23">
      <c r="A23" s="1233" t="s">
        <v>46</v>
      </c>
      <c r="B23" s="1100" t="str">
        <f>IF(C23&lt;'PlayerGrades+'!$Y$44,"F-",IF(C23&lt;'PlayerGrades+'!$Y$43,"F",IF(C23&lt;'PlayerGrades+'!$Y$42,"F+",IF(C23&lt;'PlayerGrades+'!$Y$41,"E-",IF(C23&lt;'PlayerGrades+'!$Y$40,"E",IF(C23&lt;'PlayerGrades+'!$Y$39,"E+",IF(C23&lt;'PlayerGrades+'!$Y$38,"D-",IF(C23&lt;'PlayerGrades+'!$Y$37,"D",IF(C23&lt;'PlayerGrades+'!$Y$36,"D+",IF(C23&lt;'PlayerGrades+'!$Y$35,"C-",IF(C23&lt;'PlayerGrades+'!$Y$34,"C",IF(C23&lt;'PlayerGrades+'!$Y$33,"C+",IF(C23&lt;'PlayerGrades+'!$Y$32,"B-",IF(C23&lt;'PlayerGrades+'!$Y$31,"B",IF(C23&lt;'PlayerGrades+'!$Y$30,"B+",IF(C23&lt;'PlayerGrades+'!$Y$29,"A-",IF(C23&lt;'PlayerGrades+'!$Y$28,"A",IF(C23&lt;'PlayerGrades+'!$Y$27,"A+",IF(C23&lt;'PlayerGrades+'!$Y$26,"S-",IF(C23&lt;'PlayerGrades+'!$Y$25,"S","S+"))))))))))))))))))))</f>
        <v>C+</v>
      </c>
      <c r="C23" s="1239">
        <f>('PlayerGrades+'!$Y$47*(VLOOKUP(E23, 'PlayerGrades+'!$X$3:$Y$23, 2, FALSE)))+('PlayerGrades+'!$Y$48*(VLOOKUP(G23, 'PlayerGrades+'!$X$3:$Y$23, 2, FALSE)))+('PlayerGrades+'!$Y$49*(VLOOKUP(I23, 'PlayerGrades+'!$X$3:$Y$23, 2, FALSE)))+('PlayerGrades+'!$Y$50*(VLOOKUP(K23, 'PlayerGrades+'!$X$3:$Y$23, 2, FALSE)))+('PlayerGrades+'!$Y$51*(VLOOKUP(M23, 'PlayerGrades+'!$X$3:$Y$23, 2, FALSE)))+('PlayerGrades+'!$Y$52*(VLOOKUP(O23, 'PlayerGrades+'!$X$3:$Y$23, 2, FALSE)))+('PlayerGrades+'!$Y$53*(VLOOKUP(Q23, 'PlayerGrades+'!$X$3:$Y$23, 2, FALSE)))+('PlayerGrades+'!$Y$54*(VLOOKUP(S23, 'PlayerGrades+'!$X$3:$Y$23, 2, FALSE)))+('PlayerGrades+'!$Y$55*(VLOOKUP(U23, 'PlayerGrades+'!$X$3:$Y$23, 2, FALSE)))</f>
        <v>15.45</v>
      </c>
      <c r="D23" s="961">
        <f t="shared" si="1"/>
        <v>0</v>
      </c>
      <c r="E23" s="961" t="str">
        <f>IF(D23&lt;'PlayerGrades+'!$AA$21,"F-",IF(D23&lt;'PlayerGrades+'!$AA$20,"F",IF(D23&lt;'PlayerGrades+'!$AA$19,"F+",IF(D23&lt;'PlayerGrades+'!$AA$18,"E-",IF(D23&lt;'PlayerGrades+'!$AA$17,"E",IF(D23&lt;'PlayerGrades+'!$AA$16,"E+",IF(D23&lt;'PlayerGrades+'!$AA$15,"D-",IF(D23&lt;'PlayerGrades+'!$AA$14,"D",IF(D23&lt;'PlayerGrades+'!$AA$13,"D+",IF(D23&lt;'PlayerGrades+'!$AA$12,"C-",IF(D23&lt;'PlayerGrades+'!$AA$11,"C",IF(D23&lt;'PlayerGrades+'!$AA$10,"C+",IF(D23&lt;'PlayerGrades+'!$AA$9,"B-",IF(D23&lt;'PlayerGrades+'!$AA$8,"B",IF(D23&lt;'PlayerGrades+'!$AA$7,"B+",IF(D23&lt;'PlayerGrades+'!$AA$6,"A-",IF(D23&lt;'PlayerGrades+'!$AA$5,"A",IF(D23&lt;'PlayerGrades+'!$AA$4,"A+",IF(D23&lt;'PlayerGrades+'!$AA$3,"S-",IF(D23&lt;'PlayerGrades+'!$AA$2,"S","S+"))))))))))))))))))))</f>
        <v>F-</v>
      </c>
      <c r="F23" s="961">
        <f t="shared" si="2"/>
        <v>0.08591644205</v>
      </c>
      <c r="G23" s="961" t="str">
        <f>IF(F23&lt;'PlayerGrades+'!$AB$21,"F-",IF(F23&lt;'PlayerGrades+'!$AB$20,"F",IF(F23&lt;'PlayerGrades+'!$AB$19,"F+",IF(F23&lt;'PlayerGrades+'!$AB$18,"E-",IF(F23&lt;'PlayerGrades+'!$AB$17,"E",IF(F23&lt;'PlayerGrades+'!$AB$16,"E+",IF(F23&lt;'PlayerGrades+'!$AB$15,"D-",IF(F23&lt;'PlayerGrades+'!$AB$14,"D",IF(F23&lt;'PlayerGrades+'!$AB$13,"D+",IF(F23&lt;'PlayerGrades+'!$AB$12,"C-",IF(F23&lt;'PlayerGrades+'!$AB$11,"C",IF(F23&lt;'PlayerGrades+'!$AB$10,"C+",IF(F23&lt;'PlayerGrades+'!$AB$9,"B-",IF(F23&lt;'PlayerGrades+'!$AB$8,"B",IF(F23&lt;'PlayerGrades+'!$AB$7,"B+",IF(F23&lt;'PlayerGrades+'!$AB$6,"A-",IF(F23&lt;'PlayerGrades+'!$AB$5,"A",IF(F23&lt;'PlayerGrades+'!$AB$4,"A+",IF(F23&lt;'PlayerGrades+'!$AB$3,"S-",IF(F23&lt;'PlayerGrades+'!$AB$2,"S","S+"))))))))))))))))))))</f>
        <v>A</v>
      </c>
      <c r="H23" s="961">
        <f t="shared" si="3"/>
        <v>0.3234501348</v>
      </c>
      <c r="I23" s="961" t="str">
        <f>IF(H23&lt;'PlayerGrades+'!$AC$21,"F-",IF(H23&lt;'PlayerGrades+'!$AC$20,"F",IF(H23&lt;'PlayerGrades+'!$AC$19,"F+",IF(H23&lt;'PlayerGrades+'!$AC$18,"E-",IF(H23&lt;'PlayerGrades+'!$AC$17,"E",IF(H23&lt;'PlayerGrades+'!$AC$16,"E+",IF(H23&lt;'PlayerGrades+'!$AC$15,"D-",IF(H23&lt;'PlayerGrades+'!$AC$14,"D",IF(H23&lt;'PlayerGrades+'!$AC$13,"D+",IF(H23&lt;'PlayerGrades+'!$AC$12,"C-",IF(H23&lt;'PlayerGrades+'!$AC$11,"C",IF(H23&lt;'PlayerGrades+'!$AC$10,"C+",IF(H23&lt;'PlayerGrades+'!$AC$9,"B-",IF(H23&lt;'PlayerGrades+'!$AC$8,"B",IF(H23&lt;'PlayerGrades+'!$AC$7,"B+",IF(H23&lt;'PlayerGrades+'!$AC$6,"A-",IF(H23&lt;'PlayerGrades+'!$AC$5,"A",IF(H23&lt;'PlayerGrades+'!$AC$4,"A+",IF(H23&lt;'PlayerGrades+'!$AC$3,"S-",IF(H23&lt;'PlayerGrades+'!$AC$2,"S","S+"))))))))))))))))))))</f>
        <v>E</v>
      </c>
      <c r="J23" s="961">
        <f t="shared" si="4"/>
        <v>0</v>
      </c>
      <c r="K23" s="961" t="str">
        <f>IF(J23&lt;'PlayerGrades+'!$AD$21,"F-",IF(J23&lt;'PlayerGrades+'!$AD$20,"F",IF(J23&lt;'PlayerGrades+'!$AD$19,"F+",IF(J23&lt;'PlayerGrades+'!$AD$18,"E-",IF(J23&lt;'PlayerGrades+'!$AD$17,"E",IF(J23&lt;'PlayerGrades+'!$AD$16,"E+",IF(J23&lt;'PlayerGrades+'!$AD$15,"D-",IF(J23&lt;'PlayerGrades+'!$AD$14,"D",IF(J23&lt;'PlayerGrades+'!$AD$13,"D+",IF(J23&lt;'PlayerGrades+'!$AD$12,"C-",IF(J23&lt;'PlayerGrades+'!$AD$11,"C",IF(J23&lt;'PlayerGrades+'!$AD$10,"C+",IF(J23&lt;'PlayerGrades+'!$AD$9,"B-",IF(J23&lt;'PlayerGrades+'!$AD$8,"B",IF(J23&lt;'PlayerGrades+'!$AD$7,"B+",IF(J23&lt;'PlayerGrades+'!$AD$6,"A-",IF(J23&lt;'PlayerGrades+'!$AD$5,"A",IF(J23&lt;'PlayerGrades+'!$AD$4,"A+",IF(J23&lt;'PlayerGrades+'!$AD$3,"S-",IF(J23&lt;'PlayerGrades+'!$AD$2,"S","S+"))))))))))))))))))))</f>
        <v>F-</v>
      </c>
      <c r="L23" s="1176">
        <f t="shared" si="5"/>
        <v>0.4851752022</v>
      </c>
      <c r="M23" s="992" t="str">
        <f>IF(L23&lt;'PlayerGrades+'!$AE$21,"F-",IF(L23&lt;'PlayerGrades+'!$AE$20,"F",IF(L23&lt;'PlayerGrades+'!$AE$19,"F+",IF(L23&lt;'PlayerGrades+'!$AE$18,"E-",IF(L23&lt;'PlayerGrades+'!$AE$17,"E",IF(L23&lt;'PlayerGrades+'!$AE$16,"E+",IF(L23&lt;'PlayerGrades+'!$AE$15,"D-",IF(L23&lt;'PlayerGrades+'!$AE$14,"D",IF(L23&lt;'PlayerGrades+'!$AE$13,"D+",IF(L23&lt;'PlayerGrades+'!$AE$12,"C-",IF(L23&lt;'PlayerGrades+'!$AE$11,"C",IF(L23&lt;'PlayerGrades+'!$AE$10,"C+",IF(L23&lt;'PlayerGrades+'!$AE$9,"B-",IF(L23&lt;'PlayerGrades+'!$AE$8,"B",IF(L23&lt;'PlayerGrades+'!$AE$7,"B+",IF(L23&lt;'PlayerGrades+'!$AE$6,"A-",IF(L23&lt;'PlayerGrades+'!$AE$5,"A",IF(L23&lt;'PlayerGrades+'!$AE$4,"A+",IF(L23&lt;'PlayerGrades+'!$AE$3,"S-",IF(L23&lt;'PlayerGrades+'!$AE$2,"S","S+"))))))))))))))))))))</f>
        <v>B</v>
      </c>
      <c r="N23" s="961">
        <f t="shared" si="6"/>
        <v>0.1617250674</v>
      </c>
      <c r="O23" s="961" t="str">
        <f>IF(N23&lt;'PlayerGrades+'!$AF$21,"F-",IF(N23&lt;'PlayerGrades+'!$AF$20,"F",IF(N23&lt;'PlayerGrades+'!$AF$19,"F+",IF(N23&lt;'PlayerGrades+'!$AF$18,"E-",IF(N23&lt;'PlayerGrades+'!$AF$17,"E",IF(N23&lt;'PlayerGrades+'!$AF$16,"E+",IF(N23&lt;'PlayerGrades+'!$AF$15,"D-",IF(N23&lt;'PlayerGrades+'!$AF$14,"D",IF(N23&lt;'PlayerGrades+'!$AF$13,"D+",IF(N23&lt;'PlayerGrades+'!$AF$12,"C-",IF(N23&lt;'PlayerGrades+'!$AF$11,"C",IF(N23&lt;'PlayerGrades+'!$AF$10,"C+",IF(N23&lt;'PlayerGrades+'!$AF$9,"B-",IF(N23&lt;'PlayerGrades+'!$AF$8,"B",IF(N23&lt;'PlayerGrades+'!$AF$7,"B+",IF(N23&lt;'PlayerGrades+'!$AF$6,"A-",IF(N23&lt;'PlayerGrades+'!$AF$5,"A",IF(N23&lt;'PlayerGrades+'!$AF$4,"A+",IF(N23&lt;'PlayerGrades+'!$AF$3,"S-",IF(N23&lt;'PlayerGrades+'!$AF$2,"S","S+"))))))))))))))))))))</f>
        <v>A-</v>
      </c>
      <c r="P23" s="961">
        <f t="shared" si="7"/>
        <v>0.9703504043</v>
      </c>
      <c r="Q23" s="961" t="str">
        <f>IF(P23&lt;'PlayerGrades+'!$AG$21,"F-",IF(P23&lt;'PlayerGrades+'!$AG$20,"F",IF(P23&lt;'PlayerGrades+'!$AG$19,"F+",IF(P23&lt;'PlayerGrades+'!$AG$18,"E-",IF(P23&lt;'PlayerGrades+'!$AG$17,"E",IF(P23&lt;'PlayerGrades+'!$AG$16,"E+",IF(P23&lt;'PlayerGrades+'!$AG$15,"D-",IF(P23&lt;'PlayerGrades+'!$AG$14,"D",IF(P23&lt;'PlayerGrades+'!$AG$13,"D+",IF(P23&lt;'PlayerGrades+'!$AG$12,"C-",IF(P23&lt;'PlayerGrades+'!$AG$11,"C",IF(P23&lt;'PlayerGrades+'!$AG$10,"C+",IF(P23&lt;'PlayerGrades+'!$AG$9,"B-",IF(P23&lt;'PlayerGrades+'!$AG$8,"B",IF(P23&lt;'PlayerGrades+'!$AG$7,"B+",IF(P23&lt;'PlayerGrades+'!$AG$6,"A-",IF(P23&lt;'PlayerGrades+'!$AG$5,"A",IF(P23&lt;'PlayerGrades+'!$AG$4,"A+",IF(P23&lt;'PlayerGrades+'!$AG$3,"S-",IF(P23&lt;'PlayerGrades+'!$AG$2,"S","S+"))))))))))))))))))))</f>
        <v>A+</v>
      </c>
      <c r="R23" s="961">
        <f t="shared" si="8"/>
        <v>0</v>
      </c>
      <c r="S23" s="961" t="str">
        <f>IF(R23&lt;'PlayerGrades+'!$AH$21,"F-",IF(R23&lt;'PlayerGrades+'!$AH$20,"F",IF(R23&lt;'PlayerGrades+'!$AH$19,"F+",IF(R23&lt;'PlayerGrades+'!$AH$18,"E-",IF(R23&lt;'PlayerGrades+'!$AH$17,"E",IF(R23&lt;'PlayerGrades+'!$AH$16,"E+",IF(R23&lt;'PlayerGrades+'!$AH$15,"D-",IF(R23&lt;'PlayerGrades+'!$AH$14,"D",IF(R23&lt;'PlayerGrades+'!$AH$13,"D+",IF(R23&lt;'PlayerGrades+'!$AH$12,"C-",IF(R23&lt;'PlayerGrades+'!$AH$11,"C",IF(R23&lt;'PlayerGrades+'!$AH$10,"C+",IF(R23&lt;'PlayerGrades+'!$AH$9,"B-",IF(R23&lt;'PlayerGrades+'!$AH$8,"B",IF(R23&lt;'PlayerGrades+'!$AH$7,"B+",IF(R23&lt;'PlayerGrades+'!$AH$6,"A-",IF(R23&lt;'PlayerGrades+'!$AH$5,"A",IF(R23&lt;'PlayerGrades+'!$AH$4,"A+",IF(R23&lt;'PlayerGrades+'!$AH$3,"S-",IF(R23&lt;'PlayerGrades+'!$AH$2,"S","S+"))))))))))))))))))))</f>
        <v>F-</v>
      </c>
      <c r="T23" s="961">
        <f t="shared" si="9"/>
        <v>23.18333333</v>
      </c>
      <c r="U23" s="961" t="str">
        <f>IF(T23&lt;'PlayerGrades+'!$AI$21,"F-",IF(T23&lt;'PlayerGrades+'!$AI$20,"F",IF(T23&lt;'PlayerGrades+'!$AI$19,"F+",IF(T23&lt;'PlayerGrades+'!$AI$18,"E-",IF(T23&lt;'PlayerGrades+'!$AI$17,"E",IF(T23&lt;'PlayerGrades+'!$AI$16,"E+",IF(T23&lt;'PlayerGrades+'!$AI$15,"D-",IF(T23&lt;'PlayerGrades+'!$AI$14,"D",IF(T23&lt;'PlayerGrades+'!$AI$13,"D+",IF(T23&lt;'PlayerGrades+'!$AI$12,"C-",IF(T23&lt;'PlayerGrades+'!$AI$11,"C",IF(T23&lt;'PlayerGrades+'!$AI$10,"C+",IF(T23&lt;'PlayerGrades+'!$AI$9,"B-",IF(T23&lt;'PlayerGrades+'!$AI$8,"B",IF(T23&lt;'PlayerGrades+'!$AI$7,"B+",IF(T23&lt;'PlayerGrades+'!$AI$6,"A-",IF(T23&lt;'PlayerGrades+'!$AI$5,"A",IF(T23&lt;'PlayerGrades+'!$AI$4,"A+",IF(T23&lt;'PlayerGrades+'!$AI$3,"S-",IF(T23&lt;'PlayerGrades+'!$AI$2,"S","S+"))))))))))))))))))))</f>
        <v>S+</v>
      </c>
      <c r="V23" s="1195">
        <v>0.0</v>
      </c>
      <c r="W23" s="1195">
        <v>1.0</v>
      </c>
      <c r="X23" s="1195">
        <v>0.0</v>
      </c>
      <c r="Y23" s="1195">
        <v>0.0</v>
      </c>
      <c r="Z23" s="1195">
        <v>17.0</v>
      </c>
      <c r="AA23" s="1195">
        <v>32.0</v>
      </c>
      <c r="AB23" s="1195">
        <f t="shared" si="10"/>
        <v>-15</v>
      </c>
      <c r="AC23" s="1215">
        <f t="shared" si="11"/>
        <v>0.53125</v>
      </c>
      <c r="AD23" s="1195">
        <v>0.0</v>
      </c>
      <c r="AE23" s="1365">
        <v>0.25763888888888886</v>
      </c>
      <c r="AF23" s="1195">
        <v>0.0</v>
      </c>
      <c r="AG23" s="1216">
        <v>0.0</v>
      </c>
      <c r="AH23" s="1216">
        <v>0.0</v>
      </c>
      <c r="AI23" s="1216">
        <v>0.0</v>
      </c>
      <c r="AJ23" s="1195">
        <v>1.0</v>
      </c>
      <c r="AK23" s="1216">
        <v>3.0</v>
      </c>
      <c r="AL23" s="1195">
        <v>1.0</v>
      </c>
      <c r="AM23" s="1216">
        <v>1.0</v>
      </c>
      <c r="AN23" s="1257">
        <v>0.0</v>
      </c>
      <c r="AO23" s="1257">
        <v>0.0</v>
      </c>
      <c r="AP23" s="1257">
        <v>0.0</v>
      </c>
      <c r="AQ23" s="1257">
        <v>0.0</v>
      </c>
      <c r="AR23" s="1257">
        <v>0.0</v>
      </c>
      <c r="AS23" s="1257">
        <v>0.0</v>
      </c>
      <c r="AT23" s="1257">
        <v>0.0</v>
      </c>
      <c r="AU23" s="1195">
        <v>2.0</v>
      </c>
      <c r="AV23" s="1257">
        <v>0.0</v>
      </c>
      <c r="AW23" s="1257">
        <v>0.0</v>
      </c>
      <c r="AX23" s="1257">
        <v>0.0</v>
      </c>
      <c r="AY23" s="1257">
        <v>0.0</v>
      </c>
      <c r="AZ23" s="1257">
        <v>0.0</v>
      </c>
    </row>
    <row r="24">
      <c r="A24" s="1233" t="s">
        <v>1014</v>
      </c>
      <c r="B24" s="1100" t="str">
        <f>IF(C24&lt;'PlayerGrades+'!$Y$44,"F-",IF(C24&lt;'PlayerGrades+'!$Y$43,"F",IF(C24&lt;'PlayerGrades+'!$Y$42,"F+",IF(C24&lt;'PlayerGrades+'!$Y$41,"E-",IF(C24&lt;'PlayerGrades+'!$Y$40,"E",IF(C24&lt;'PlayerGrades+'!$Y$39,"E+",IF(C24&lt;'PlayerGrades+'!$Y$38,"D-",IF(C24&lt;'PlayerGrades+'!$Y$37,"D",IF(C24&lt;'PlayerGrades+'!$Y$36,"D+",IF(C24&lt;'PlayerGrades+'!$Y$35,"C-",IF(C24&lt;'PlayerGrades+'!$Y$34,"C",IF(C24&lt;'PlayerGrades+'!$Y$33,"C+",IF(C24&lt;'PlayerGrades+'!$Y$32,"B-",IF(C24&lt;'PlayerGrades+'!$Y$31,"B",IF(C24&lt;'PlayerGrades+'!$Y$30,"B+",IF(C24&lt;'PlayerGrades+'!$Y$29,"A-",IF(C24&lt;'PlayerGrades+'!$Y$28,"A",IF(C24&lt;'PlayerGrades+'!$Y$27,"A+",IF(C24&lt;'PlayerGrades+'!$Y$26,"S-",IF(C24&lt;'PlayerGrades+'!$Y$25,"S","S+"))))))))))))))))))))</f>
        <v>D</v>
      </c>
      <c r="C24" s="1239">
        <f>('PlayerGrades+'!$Y$47*(VLOOKUP(E24, 'PlayerGrades+'!$X$3:$Y$23, 2, FALSE)))+('PlayerGrades+'!$Y$48*(VLOOKUP(G24, 'PlayerGrades+'!$X$3:$Y$23, 2, FALSE)))+('PlayerGrades+'!$Y$49*(VLOOKUP(I24, 'PlayerGrades+'!$X$3:$Y$23, 2, FALSE)))+('PlayerGrades+'!$Y$50*(VLOOKUP(K24, 'PlayerGrades+'!$X$3:$Y$23, 2, FALSE)))+('PlayerGrades+'!$Y$51*(VLOOKUP(M24, 'PlayerGrades+'!$X$3:$Y$23, 2, FALSE)))+('PlayerGrades+'!$Y$52*(VLOOKUP(O24, 'PlayerGrades+'!$X$3:$Y$23, 2, FALSE)))+('PlayerGrades+'!$Y$53*(VLOOKUP(Q24, 'PlayerGrades+'!$X$3:$Y$23, 2, FALSE)))+('PlayerGrades+'!$Y$54*(VLOOKUP(S24, 'PlayerGrades+'!$X$3:$Y$23, 2, FALSE)))+('PlayerGrades+'!$Y$55*(VLOOKUP(U24, 'PlayerGrades+'!$X$3:$Y$23, 2, FALSE)))</f>
        <v>12.45</v>
      </c>
      <c r="D24" s="961">
        <f t="shared" si="1"/>
        <v>0</v>
      </c>
      <c r="E24" s="961" t="str">
        <f>IF(D24&lt;'PlayerGrades+'!$AA$21,"F-",IF(D24&lt;'PlayerGrades+'!$AA$20,"F",IF(D24&lt;'PlayerGrades+'!$AA$19,"F+",IF(D24&lt;'PlayerGrades+'!$AA$18,"E-",IF(D24&lt;'PlayerGrades+'!$AA$17,"E",IF(D24&lt;'PlayerGrades+'!$AA$16,"E+",IF(D24&lt;'PlayerGrades+'!$AA$15,"D-",IF(D24&lt;'PlayerGrades+'!$AA$14,"D",IF(D24&lt;'PlayerGrades+'!$AA$13,"D+",IF(D24&lt;'PlayerGrades+'!$AA$12,"C-",IF(D24&lt;'PlayerGrades+'!$AA$11,"C",IF(D24&lt;'PlayerGrades+'!$AA$10,"C+",IF(D24&lt;'PlayerGrades+'!$AA$9,"B-",IF(D24&lt;'PlayerGrades+'!$AA$8,"B",IF(D24&lt;'PlayerGrades+'!$AA$7,"B+",IF(D24&lt;'PlayerGrades+'!$AA$6,"A-",IF(D24&lt;'PlayerGrades+'!$AA$5,"A",IF(D24&lt;'PlayerGrades+'!$AA$4,"A+",IF(D24&lt;'PlayerGrades+'!$AA$3,"S-",IF(D24&lt;'PlayerGrades+'!$AA$2,"S","S+"))))))))))))))))))))</f>
        <v>F-</v>
      </c>
      <c r="F24" s="961">
        <f t="shared" si="2"/>
        <v>0.09952311839</v>
      </c>
      <c r="G24" s="961" t="str">
        <f>IF(F24&lt;'PlayerGrades+'!$AB$21,"F-",IF(F24&lt;'PlayerGrades+'!$AB$20,"F",IF(F24&lt;'PlayerGrades+'!$AB$19,"F+",IF(F24&lt;'PlayerGrades+'!$AB$18,"E-",IF(F24&lt;'PlayerGrades+'!$AB$17,"E",IF(F24&lt;'PlayerGrades+'!$AB$16,"E+",IF(F24&lt;'PlayerGrades+'!$AB$15,"D-",IF(F24&lt;'PlayerGrades+'!$AB$14,"D",IF(F24&lt;'PlayerGrades+'!$AB$13,"D+",IF(F24&lt;'PlayerGrades+'!$AB$12,"C-",IF(F24&lt;'PlayerGrades+'!$AB$11,"C",IF(F24&lt;'PlayerGrades+'!$AB$10,"C+",IF(F24&lt;'PlayerGrades+'!$AB$9,"B-",IF(F24&lt;'PlayerGrades+'!$AB$8,"B",IF(F24&lt;'PlayerGrades+'!$AB$7,"B+",IF(F24&lt;'PlayerGrades+'!$AB$6,"A-",IF(F24&lt;'PlayerGrades+'!$AB$5,"A",IF(F24&lt;'PlayerGrades+'!$AB$4,"A+",IF(F24&lt;'PlayerGrades+'!$AB$3,"S-",IF(F24&lt;'PlayerGrades+'!$AB$2,"S","S+"))))))))))))))))))))</f>
        <v>A</v>
      </c>
      <c r="H24" s="961">
        <f t="shared" si="3"/>
        <v>0.3234501348</v>
      </c>
      <c r="I24" s="961" t="str">
        <f>IF(H24&lt;'PlayerGrades+'!$AC$21,"F-",IF(H24&lt;'PlayerGrades+'!$AC$20,"F",IF(H24&lt;'PlayerGrades+'!$AC$19,"F+",IF(H24&lt;'PlayerGrades+'!$AC$18,"E-",IF(H24&lt;'PlayerGrades+'!$AC$17,"E",IF(H24&lt;'PlayerGrades+'!$AC$16,"E+",IF(H24&lt;'PlayerGrades+'!$AC$15,"D-",IF(H24&lt;'PlayerGrades+'!$AC$14,"D",IF(H24&lt;'PlayerGrades+'!$AC$13,"D+",IF(H24&lt;'PlayerGrades+'!$AC$12,"C-",IF(H24&lt;'PlayerGrades+'!$AC$11,"C",IF(H24&lt;'PlayerGrades+'!$AC$10,"C+",IF(H24&lt;'PlayerGrades+'!$AC$9,"B-",IF(H24&lt;'PlayerGrades+'!$AC$8,"B",IF(H24&lt;'PlayerGrades+'!$AC$7,"B+",IF(H24&lt;'PlayerGrades+'!$AC$6,"A-",IF(H24&lt;'PlayerGrades+'!$AC$5,"A",IF(H24&lt;'PlayerGrades+'!$AC$4,"A+",IF(H24&lt;'PlayerGrades+'!$AC$3,"S-",IF(H24&lt;'PlayerGrades+'!$AC$2,"S","S+"))))))))))))))))))))</f>
        <v>E</v>
      </c>
      <c r="J24" s="961">
        <f t="shared" si="4"/>
        <v>0</v>
      </c>
      <c r="K24" s="961" t="str">
        <f>IF(J24&lt;'PlayerGrades+'!$AD$21,"F-",IF(J24&lt;'PlayerGrades+'!$AD$20,"F",IF(J24&lt;'PlayerGrades+'!$AD$19,"F+",IF(J24&lt;'PlayerGrades+'!$AD$18,"E-",IF(J24&lt;'PlayerGrades+'!$AD$17,"E",IF(J24&lt;'PlayerGrades+'!$AD$16,"E+",IF(J24&lt;'PlayerGrades+'!$AD$15,"D-",IF(J24&lt;'PlayerGrades+'!$AD$14,"D",IF(J24&lt;'PlayerGrades+'!$AD$13,"D+",IF(J24&lt;'PlayerGrades+'!$AD$12,"C-",IF(J24&lt;'PlayerGrades+'!$AD$11,"C",IF(J24&lt;'PlayerGrades+'!$AD$10,"C+",IF(J24&lt;'PlayerGrades+'!$AD$9,"B-",IF(J24&lt;'PlayerGrades+'!$AD$8,"B",IF(J24&lt;'PlayerGrades+'!$AD$7,"B+",IF(J24&lt;'PlayerGrades+'!$AD$6,"A-",IF(J24&lt;'PlayerGrades+'!$AD$5,"A",IF(J24&lt;'PlayerGrades+'!$AD$4,"A+",IF(J24&lt;'PlayerGrades+'!$AD$3,"S-",IF(J24&lt;'PlayerGrades+'!$AD$2,"S","S+"))))))))))))))))))))</f>
        <v>F-</v>
      </c>
      <c r="L24" s="1176">
        <f t="shared" si="5"/>
        <v>0.4851752022</v>
      </c>
      <c r="M24" s="992" t="str">
        <f>IF(L24&lt;'PlayerGrades+'!$AE$21,"F-",IF(L24&lt;'PlayerGrades+'!$AE$20,"F",IF(L24&lt;'PlayerGrades+'!$AE$19,"F+",IF(L24&lt;'PlayerGrades+'!$AE$18,"E-",IF(L24&lt;'PlayerGrades+'!$AE$17,"E",IF(L24&lt;'PlayerGrades+'!$AE$16,"E+",IF(L24&lt;'PlayerGrades+'!$AE$15,"D-",IF(L24&lt;'PlayerGrades+'!$AE$14,"D",IF(L24&lt;'PlayerGrades+'!$AE$13,"D+",IF(L24&lt;'PlayerGrades+'!$AE$12,"C-",IF(L24&lt;'PlayerGrades+'!$AE$11,"C",IF(L24&lt;'PlayerGrades+'!$AE$10,"C+",IF(L24&lt;'PlayerGrades+'!$AE$9,"B-",IF(L24&lt;'PlayerGrades+'!$AE$8,"B",IF(L24&lt;'PlayerGrades+'!$AE$7,"B+",IF(L24&lt;'PlayerGrades+'!$AE$6,"A-",IF(L24&lt;'PlayerGrades+'!$AE$5,"A",IF(L24&lt;'PlayerGrades+'!$AE$4,"A+",IF(L24&lt;'PlayerGrades+'!$AE$3,"S-",IF(L24&lt;'PlayerGrades+'!$AE$2,"S","S+"))))))))))))))))))))</f>
        <v>B</v>
      </c>
      <c r="N24" s="961">
        <f t="shared" si="6"/>
        <v>0</v>
      </c>
      <c r="O24" s="961" t="str">
        <f>IF(N24&lt;'PlayerGrades+'!$AF$21,"F-",IF(N24&lt;'PlayerGrades+'!$AF$20,"F",IF(N24&lt;'PlayerGrades+'!$AF$19,"F+",IF(N24&lt;'PlayerGrades+'!$AF$18,"E-",IF(N24&lt;'PlayerGrades+'!$AF$17,"E",IF(N24&lt;'PlayerGrades+'!$AF$16,"E+",IF(N24&lt;'PlayerGrades+'!$AF$15,"D-",IF(N24&lt;'PlayerGrades+'!$AF$14,"D",IF(N24&lt;'PlayerGrades+'!$AF$13,"D+",IF(N24&lt;'PlayerGrades+'!$AF$12,"C-",IF(N24&lt;'PlayerGrades+'!$AF$11,"C",IF(N24&lt;'PlayerGrades+'!$AF$10,"C+",IF(N24&lt;'PlayerGrades+'!$AF$9,"B-",IF(N24&lt;'PlayerGrades+'!$AF$8,"B",IF(N24&lt;'PlayerGrades+'!$AF$7,"B+",IF(N24&lt;'PlayerGrades+'!$AF$6,"A-",IF(N24&lt;'PlayerGrades+'!$AF$5,"A",IF(N24&lt;'PlayerGrades+'!$AF$4,"A+",IF(N24&lt;'PlayerGrades+'!$AF$3,"S-",IF(N24&lt;'PlayerGrades+'!$AF$2,"S","S+"))))))))))))))))))))</f>
        <v>F-</v>
      </c>
      <c r="P24" s="961">
        <f t="shared" si="7"/>
        <v>0.4851752022</v>
      </c>
      <c r="Q24" s="961" t="str">
        <f>IF(P24&lt;'PlayerGrades+'!$AG$21,"F-",IF(P24&lt;'PlayerGrades+'!$AG$20,"F",IF(P24&lt;'PlayerGrades+'!$AG$19,"F+",IF(P24&lt;'PlayerGrades+'!$AG$18,"E-",IF(P24&lt;'PlayerGrades+'!$AG$17,"E",IF(P24&lt;'PlayerGrades+'!$AG$16,"E+",IF(P24&lt;'PlayerGrades+'!$AG$15,"D-",IF(P24&lt;'PlayerGrades+'!$AG$14,"D",IF(P24&lt;'PlayerGrades+'!$AG$13,"D+",IF(P24&lt;'PlayerGrades+'!$AG$12,"C-",IF(P24&lt;'PlayerGrades+'!$AG$11,"C",IF(P24&lt;'PlayerGrades+'!$AG$10,"C+",IF(P24&lt;'PlayerGrades+'!$AG$9,"B-",IF(P24&lt;'PlayerGrades+'!$AG$8,"B",IF(P24&lt;'PlayerGrades+'!$AG$7,"B+",IF(P24&lt;'PlayerGrades+'!$AG$6,"A-",IF(P24&lt;'PlayerGrades+'!$AG$5,"A",IF(P24&lt;'PlayerGrades+'!$AG$4,"A+",IF(P24&lt;'PlayerGrades+'!$AG$3,"S-",IF(P24&lt;'PlayerGrades+'!$AG$2,"S","S+"))))))))))))))))))))</f>
        <v>E+</v>
      </c>
      <c r="R24" s="961">
        <f t="shared" si="8"/>
        <v>0</v>
      </c>
      <c r="S24" s="961" t="str">
        <f>IF(R24&lt;'PlayerGrades+'!$AH$21,"F-",IF(R24&lt;'PlayerGrades+'!$AH$20,"F",IF(R24&lt;'PlayerGrades+'!$AH$19,"F+",IF(R24&lt;'PlayerGrades+'!$AH$18,"E-",IF(R24&lt;'PlayerGrades+'!$AH$17,"E",IF(R24&lt;'PlayerGrades+'!$AH$16,"E+",IF(R24&lt;'PlayerGrades+'!$AH$15,"D-",IF(R24&lt;'PlayerGrades+'!$AH$14,"D",IF(R24&lt;'PlayerGrades+'!$AH$13,"D+",IF(R24&lt;'PlayerGrades+'!$AH$12,"C-",IF(R24&lt;'PlayerGrades+'!$AH$11,"C",IF(R24&lt;'PlayerGrades+'!$AH$10,"C+",IF(R24&lt;'PlayerGrades+'!$AH$9,"B-",IF(R24&lt;'PlayerGrades+'!$AH$8,"B",IF(R24&lt;'PlayerGrades+'!$AH$7,"B+",IF(R24&lt;'PlayerGrades+'!$AH$6,"A-",IF(R24&lt;'PlayerGrades+'!$AH$5,"A",IF(R24&lt;'PlayerGrades+'!$AH$4,"A+",IF(R24&lt;'PlayerGrades+'!$AH$3,"S-",IF(R24&lt;'PlayerGrades+'!$AH$2,"S","S+"))))))))))))))))))))</f>
        <v>F-</v>
      </c>
      <c r="T24" s="961">
        <f t="shared" si="9"/>
        <v>22.18333333</v>
      </c>
      <c r="U24" s="961" t="str">
        <f>IF(T24&lt;'PlayerGrades+'!$AI$21,"F-",IF(T24&lt;'PlayerGrades+'!$AI$20,"F",IF(T24&lt;'PlayerGrades+'!$AI$19,"F+",IF(T24&lt;'PlayerGrades+'!$AI$18,"E-",IF(T24&lt;'PlayerGrades+'!$AI$17,"E",IF(T24&lt;'PlayerGrades+'!$AI$16,"E+",IF(T24&lt;'PlayerGrades+'!$AI$15,"D-",IF(T24&lt;'PlayerGrades+'!$AI$14,"D",IF(T24&lt;'PlayerGrades+'!$AI$13,"D+",IF(T24&lt;'PlayerGrades+'!$AI$12,"C-",IF(T24&lt;'PlayerGrades+'!$AI$11,"C",IF(T24&lt;'PlayerGrades+'!$AI$10,"C+",IF(T24&lt;'PlayerGrades+'!$AI$9,"B-",IF(T24&lt;'PlayerGrades+'!$AI$8,"B",IF(T24&lt;'PlayerGrades+'!$AI$7,"B+",IF(T24&lt;'PlayerGrades+'!$AI$6,"A-",IF(T24&lt;'PlayerGrades+'!$AI$5,"A",IF(T24&lt;'PlayerGrades+'!$AI$4,"A+",IF(T24&lt;'PlayerGrades+'!$AI$3,"S-",IF(T24&lt;'PlayerGrades+'!$AI$2,"S","S+"))))))))))))))))))))</f>
        <v>S+</v>
      </c>
      <c r="V24" s="1195">
        <v>0.0</v>
      </c>
      <c r="W24" s="1195">
        <v>1.0</v>
      </c>
      <c r="X24" s="1195">
        <v>0.0</v>
      </c>
      <c r="Y24" s="1195">
        <v>1.0</v>
      </c>
      <c r="Z24" s="1195">
        <v>16.0</v>
      </c>
      <c r="AA24" s="1195">
        <v>26.0</v>
      </c>
      <c r="AB24" s="1195">
        <f t="shared" si="10"/>
        <v>-10</v>
      </c>
      <c r="AC24" s="1215">
        <f t="shared" si="11"/>
        <v>0.6153846154</v>
      </c>
      <c r="AD24" s="1195">
        <v>0.0</v>
      </c>
      <c r="AE24" s="1365">
        <v>0.25763888888888886</v>
      </c>
      <c r="AF24" s="1195">
        <v>0.0</v>
      </c>
      <c r="AG24" s="1216">
        <v>0.0</v>
      </c>
      <c r="AH24" s="1216">
        <v>0.0</v>
      </c>
      <c r="AI24" s="1216">
        <v>0.0</v>
      </c>
      <c r="AJ24" s="1195">
        <v>0.0</v>
      </c>
      <c r="AK24" s="1216">
        <v>3.0</v>
      </c>
      <c r="AL24" s="1195">
        <v>0.0</v>
      </c>
      <c r="AM24" s="1257">
        <v>0.0</v>
      </c>
      <c r="AN24" s="1257">
        <v>0.0</v>
      </c>
      <c r="AO24" s="1257">
        <v>0.0</v>
      </c>
      <c r="AP24" s="1257">
        <v>0.0</v>
      </c>
      <c r="AQ24" s="1257">
        <v>0.0</v>
      </c>
      <c r="AR24" s="1257">
        <v>0.0</v>
      </c>
      <c r="AS24" s="1257">
        <v>0.0</v>
      </c>
      <c r="AT24" s="1257">
        <v>0.0</v>
      </c>
      <c r="AU24" s="1195">
        <v>2.0</v>
      </c>
      <c r="AV24" s="1257">
        <v>0.0</v>
      </c>
      <c r="AW24" s="1257">
        <v>0.0</v>
      </c>
      <c r="AX24" s="1257">
        <v>0.0</v>
      </c>
      <c r="AY24" s="1257">
        <v>0.0</v>
      </c>
      <c r="AZ24" s="1257">
        <v>0.0</v>
      </c>
    </row>
    <row r="25">
      <c r="A25" s="1247" t="s">
        <v>1015</v>
      </c>
      <c r="B25" s="1100" t="str">
        <f>IF(C25&lt;'PlayerGrades+'!$Y$44,"F-",IF(C25&lt;'PlayerGrades+'!$Y$43,"F",IF(C25&lt;'PlayerGrades+'!$Y$42,"F+",IF(C25&lt;'PlayerGrades+'!$Y$41,"E-",IF(C25&lt;'PlayerGrades+'!$Y$40,"E",IF(C25&lt;'PlayerGrades+'!$Y$39,"E+",IF(C25&lt;'PlayerGrades+'!$Y$38,"D-",IF(C25&lt;'PlayerGrades+'!$Y$37,"D",IF(C25&lt;'PlayerGrades+'!$Y$36,"D+",IF(C25&lt;'PlayerGrades+'!$Y$35,"C-",IF(C25&lt;'PlayerGrades+'!$Y$34,"C",IF(C25&lt;'PlayerGrades+'!$Y$33,"C+",IF(C25&lt;'PlayerGrades+'!$Y$32,"B-",IF(C25&lt;'PlayerGrades+'!$Y$31,"B",IF(C25&lt;'PlayerGrades+'!$Y$30,"B+",IF(C25&lt;'PlayerGrades+'!$Y$29,"A-",IF(C25&lt;'PlayerGrades+'!$Y$28,"A",IF(C25&lt;'PlayerGrades+'!$Y$27,"A+",IF(C25&lt;'PlayerGrades+'!$Y$26,"S-",IF(C25&lt;'PlayerGrades+'!$Y$25,"S","S+"))))))))))))))))))))</f>
        <v>E</v>
      </c>
      <c r="C25" s="1239">
        <f>('PlayerGrades+'!$Y$47*(VLOOKUP(E25, 'PlayerGrades+'!$X$3:$Y$23, 2, FALSE)))+('PlayerGrades+'!$Y$48*(VLOOKUP(G25, 'PlayerGrades+'!$X$3:$Y$23, 2, FALSE)))+('PlayerGrades+'!$Y$49*(VLOOKUP(I25, 'PlayerGrades+'!$X$3:$Y$23, 2, FALSE)))+('PlayerGrades+'!$Y$50*(VLOOKUP(K25, 'PlayerGrades+'!$X$3:$Y$23, 2, FALSE)))+('PlayerGrades+'!$Y$51*(VLOOKUP(M25, 'PlayerGrades+'!$X$3:$Y$23, 2, FALSE)))+('PlayerGrades+'!$Y$52*(VLOOKUP(O25, 'PlayerGrades+'!$X$3:$Y$23, 2, FALSE)))+('PlayerGrades+'!$Y$53*(VLOOKUP(Q25, 'PlayerGrades+'!$X$3:$Y$23, 2, FALSE)))+('PlayerGrades+'!$Y$54*(VLOOKUP(S25, 'PlayerGrades+'!$X$3:$Y$23, 2, FALSE)))+('PlayerGrades+'!$Y$55*(VLOOKUP(U25, 'PlayerGrades+'!$X$3:$Y$23, 2, FALSE)))</f>
        <v>9.725</v>
      </c>
      <c r="D25" s="961">
        <f t="shared" si="1"/>
        <v>0</v>
      </c>
      <c r="E25" s="961" t="str">
        <f>IF(D25&lt;'PlayerGrades+'!$AA$21,"F-",IF(D25&lt;'PlayerGrades+'!$AA$20,"F",IF(D25&lt;'PlayerGrades+'!$AA$19,"F+",IF(D25&lt;'PlayerGrades+'!$AA$18,"E-",IF(D25&lt;'PlayerGrades+'!$AA$17,"E",IF(D25&lt;'PlayerGrades+'!$AA$16,"E+",IF(D25&lt;'PlayerGrades+'!$AA$15,"D-",IF(D25&lt;'PlayerGrades+'!$AA$14,"D",IF(D25&lt;'PlayerGrades+'!$AA$13,"D+",IF(D25&lt;'PlayerGrades+'!$AA$12,"C-",IF(D25&lt;'PlayerGrades+'!$AA$11,"C",IF(D25&lt;'PlayerGrades+'!$AA$10,"C+",IF(D25&lt;'PlayerGrades+'!$AA$9,"B-",IF(D25&lt;'PlayerGrades+'!$AA$8,"B",IF(D25&lt;'PlayerGrades+'!$AA$7,"B+",IF(D25&lt;'PlayerGrades+'!$AA$6,"A-",IF(D25&lt;'PlayerGrades+'!$AA$5,"A",IF(D25&lt;'PlayerGrades+'!$AA$4,"A+",IF(D25&lt;'PlayerGrades+'!$AA$3,"S-",IF(D25&lt;'PlayerGrades+'!$AA$2,"S","S+"))))))))))))))))))))</f>
        <v>F-</v>
      </c>
      <c r="F25" s="961">
        <f t="shared" si="2"/>
        <v>0.04043126685</v>
      </c>
      <c r="G25" s="961" t="str">
        <f>IF(F25&lt;'PlayerGrades+'!$AB$21,"F-",IF(F25&lt;'PlayerGrades+'!$AB$20,"F",IF(F25&lt;'PlayerGrades+'!$AB$19,"F+",IF(F25&lt;'PlayerGrades+'!$AB$18,"E-",IF(F25&lt;'PlayerGrades+'!$AB$17,"E",IF(F25&lt;'PlayerGrades+'!$AB$16,"E+",IF(F25&lt;'PlayerGrades+'!$AB$15,"D-",IF(F25&lt;'PlayerGrades+'!$AB$14,"D",IF(F25&lt;'PlayerGrades+'!$AB$13,"D+",IF(F25&lt;'PlayerGrades+'!$AB$12,"C-",IF(F25&lt;'PlayerGrades+'!$AB$11,"C",IF(F25&lt;'PlayerGrades+'!$AB$10,"C+",IF(F25&lt;'PlayerGrades+'!$AB$9,"B-",IF(F25&lt;'PlayerGrades+'!$AB$8,"B",IF(F25&lt;'PlayerGrades+'!$AB$7,"B+",IF(F25&lt;'PlayerGrades+'!$AB$6,"A-",IF(F25&lt;'PlayerGrades+'!$AB$5,"A",IF(F25&lt;'PlayerGrades+'!$AB$4,"A+",IF(F25&lt;'PlayerGrades+'!$AB$3,"S-",IF(F25&lt;'PlayerGrades+'!$AB$2,"S","S+"))))))))))))))))))))</f>
        <v>A</v>
      </c>
      <c r="H25" s="961">
        <f t="shared" si="3"/>
        <v>0</v>
      </c>
      <c r="I25" s="961" t="str">
        <f>IF(H25&lt;'PlayerGrades+'!$AC$21,"F-",IF(H25&lt;'PlayerGrades+'!$AC$20,"F",IF(H25&lt;'PlayerGrades+'!$AC$19,"F+",IF(H25&lt;'PlayerGrades+'!$AC$18,"E-",IF(H25&lt;'PlayerGrades+'!$AC$17,"E",IF(H25&lt;'PlayerGrades+'!$AC$16,"E+",IF(H25&lt;'PlayerGrades+'!$AC$15,"D-",IF(H25&lt;'PlayerGrades+'!$AC$14,"D",IF(H25&lt;'PlayerGrades+'!$AC$13,"D+",IF(H25&lt;'PlayerGrades+'!$AC$12,"C-",IF(H25&lt;'PlayerGrades+'!$AC$11,"C",IF(H25&lt;'PlayerGrades+'!$AC$10,"C+",IF(H25&lt;'PlayerGrades+'!$AC$9,"B-",IF(H25&lt;'PlayerGrades+'!$AC$8,"B",IF(H25&lt;'PlayerGrades+'!$AC$7,"B+",IF(H25&lt;'PlayerGrades+'!$AC$6,"A-",IF(H25&lt;'PlayerGrades+'!$AC$5,"A",IF(H25&lt;'PlayerGrades+'!$AC$4,"A+",IF(H25&lt;'PlayerGrades+'!$AC$3,"S-",IF(H25&lt;'PlayerGrades+'!$AC$2,"S","S+"))))))))))))))))))))</f>
        <v>F-</v>
      </c>
      <c r="J25" s="961">
        <f t="shared" si="4"/>
        <v>0</v>
      </c>
      <c r="K25" s="961" t="str">
        <f>IF(J25&lt;'PlayerGrades+'!$AD$21,"F-",IF(J25&lt;'PlayerGrades+'!$AD$20,"F",IF(J25&lt;'PlayerGrades+'!$AD$19,"F+",IF(J25&lt;'PlayerGrades+'!$AD$18,"E-",IF(J25&lt;'PlayerGrades+'!$AD$17,"E",IF(J25&lt;'PlayerGrades+'!$AD$16,"E+",IF(J25&lt;'PlayerGrades+'!$AD$15,"D-",IF(J25&lt;'PlayerGrades+'!$AD$14,"D",IF(J25&lt;'PlayerGrades+'!$AD$13,"D+",IF(J25&lt;'PlayerGrades+'!$AD$12,"C-",IF(J25&lt;'PlayerGrades+'!$AD$11,"C",IF(J25&lt;'PlayerGrades+'!$AD$10,"C+",IF(J25&lt;'PlayerGrades+'!$AD$9,"B-",IF(J25&lt;'PlayerGrades+'!$AD$8,"B",IF(J25&lt;'PlayerGrades+'!$AD$7,"B+",IF(J25&lt;'PlayerGrades+'!$AD$6,"A-",IF(J25&lt;'PlayerGrades+'!$AD$5,"A",IF(J25&lt;'PlayerGrades+'!$AD$4,"A+",IF(J25&lt;'PlayerGrades+'!$AD$3,"S-",IF(J25&lt;'PlayerGrades+'!$AD$2,"S","S+"))))))))))))))))))))</f>
        <v>F-</v>
      </c>
      <c r="L25" s="1176">
        <f t="shared" si="5"/>
        <v>0</v>
      </c>
      <c r="M25" s="992" t="str">
        <f>IF(L25&lt;'PlayerGrades+'!$AE$21,"F-",IF(L25&lt;'PlayerGrades+'!$AE$20,"F",IF(L25&lt;'PlayerGrades+'!$AE$19,"F+",IF(L25&lt;'PlayerGrades+'!$AE$18,"E-",IF(L25&lt;'PlayerGrades+'!$AE$17,"E",IF(L25&lt;'PlayerGrades+'!$AE$16,"E+",IF(L25&lt;'PlayerGrades+'!$AE$15,"D-",IF(L25&lt;'PlayerGrades+'!$AE$14,"D",IF(L25&lt;'PlayerGrades+'!$AE$13,"D+",IF(L25&lt;'PlayerGrades+'!$AE$12,"C-",IF(L25&lt;'PlayerGrades+'!$AE$11,"C",IF(L25&lt;'PlayerGrades+'!$AE$10,"C+",IF(L25&lt;'PlayerGrades+'!$AE$9,"B-",IF(L25&lt;'PlayerGrades+'!$AE$8,"B",IF(L25&lt;'PlayerGrades+'!$AE$7,"B+",IF(L25&lt;'PlayerGrades+'!$AE$6,"A-",IF(L25&lt;'PlayerGrades+'!$AE$5,"A",IF(L25&lt;'PlayerGrades+'!$AE$4,"A+",IF(L25&lt;'PlayerGrades+'!$AE$3,"S-",IF(L25&lt;'PlayerGrades+'!$AE$2,"S","S+"))))))))))))))))))))</f>
        <v>F-</v>
      </c>
      <c r="N25" s="961">
        <f t="shared" si="6"/>
        <v>0</v>
      </c>
      <c r="O25" s="961" t="str">
        <f>IF(N25&lt;'PlayerGrades+'!$AF$21,"F-",IF(N25&lt;'PlayerGrades+'!$AF$20,"F",IF(N25&lt;'PlayerGrades+'!$AF$19,"F+",IF(N25&lt;'PlayerGrades+'!$AF$18,"E-",IF(N25&lt;'PlayerGrades+'!$AF$17,"E",IF(N25&lt;'PlayerGrades+'!$AF$16,"E+",IF(N25&lt;'PlayerGrades+'!$AF$15,"D-",IF(N25&lt;'PlayerGrades+'!$AF$14,"D",IF(N25&lt;'PlayerGrades+'!$AF$13,"D+",IF(N25&lt;'PlayerGrades+'!$AF$12,"C-",IF(N25&lt;'PlayerGrades+'!$AF$11,"C",IF(N25&lt;'PlayerGrades+'!$AF$10,"C+",IF(N25&lt;'PlayerGrades+'!$AF$9,"B-",IF(N25&lt;'PlayerGrades+'!$AF$8,"B",IF(N25&lt;'PlayerGrades+'!$AF$7,"B+",IF(N25&lt;'PlayerGrades+'!$AF$6,"A-",IF(N25&lt;'PlayerGrades+'!$AF$5,"A",IF(N25&lt;'PlayerGrades+'!$AF$4,"A+",IF(N25&lt;'PlayerGrades+'!$AF$3,"S-",IF(N25&lt;'PlayerGrades+'!$AF$2,"S","S+"))))))))))))))))))))</f>
        <v>F-</v>
      </c>
      <c r="P25" s="961">
        <f t="shared" si="7"/>
        <v>0</v>
      </c>
      <c r="Q25" s="961" t="str">
        <f>IF(P25&lt;'PlayerGrades+'!$AG$21,"F-",IF(P25&lt;'PlayerGrades+'!$AG$20,"F",IF(P25&lt;'PlayerGrades+'!$AG$19,"F+",IF(P25&lt;'PlayerGrades+'!$AG$18,"E-",IF(P25&lt;'PlayerGrades+'!$AG$17,"E",IF(P25&lt;'PlayerGrades+'!$AG$16,"E+",IF(P25&lt;'PlayerGrades+'!$AG$15,"D-",IF(P25&lt;'PlayerGrades+'!$AG$14,"D",IF(P25&lt;'PlayerGrades+'!$AG$13,"D+",IF(P25&lt;'PlayerGrades+'!$AG$12,"C-",IF(P25&lt;'PlayerGrades+'!$AG$11,"C",IF(P25&lt;'PlayerGrades+'!$AG$10,"C+",IF(P25&lt;'PlayerGrades+'!$AG$9,"B-",IF(P25&lt;'PlayerGrades+'!$AG$8,"B",IF(P25&lt;'PlayerGrades+'!$AG$7,"B+",IF(P25&lt;'PlayerGrades+'!$AG$6,"A-",IF(P25&lt;'PlayerGrades+'!$AG$5,"A",IF(P25&lt;'PlayerGrades+'!$AG$4,"A+",IF(P25&lt;'PlayerGrades+'!$AG$3,"S-",IF(P25&lt;'PlayerGrades+'!$AG$2,"S","S+"))))))))))))))))))))</f>
        <v>F-</v>
      </c>
      <c r="R25" s="961">
        <f t="shared" si="8"/>
        <v>0</v>
      </c>
      <c r="S25" s="961" t="str">
        <f>IF(R25&lt;'PlayerGrades+'!$AH$21,"F-",IF(R25&lt;'PlayerGrades+'!$AH$20,"F",IF(R25&lt;'PlayerGrades+'!$AH$19,"F+",IF(R25&lt;'PlayerGrades+'!$AH$18,"E-",IF(R25&lt;'PlayerGrades+'!$AH$17,"E",IF(R25&lt;'PlayerGrades+'!$AH$16,"E+",IF(R25&lt;'PlayerGrades+'!$AH$15,"D-",IF(R25&lt;'PlayerGrades+'!$AH$14,"D",IF(R25&lt;'PlayerGrades+'!$AH$13,"D+",IF(R25&lt;'PlayerGrades+'!$AH$12,"C-",IF(R25&lt;'PlayerGrades+'!$AH$11,"C",IF(R25&lt;'PlayerGrades+'!$AH$10,"C+",IF(R25&lt;'PlayerGrades+'!$AH$9,"B-",IF(R25&lt;'PlayerGrades+'!$AH$8,"B",IF(R25&lt;'PlayerGrades+'!$AH$7,"B+",IF(R25&lt;'PlayerGrades+'!$AH$6,"A-",IF(R25&lt;'PlayerGrades+'!$AH$5,"A",IF(R25&lt;'PlayerGrades+'!$AH$4,"A+",IF(R25&lt;'PlayerGrades+'!$AH$3,"S-",IF(R25&lt;'PlayerGrades+'!$AH$2,"S","S+"))))))))))))))))))))</f>
        <v>F-</v>
      </c>
      <c r="T25" s="961">
        <f t="shared" si="9"/>
        <v>12.18333333</v>
      </c>
      <c r="U25" s="961" t="str">
        <f>IF(T25&lt;'PlayerGrades+'!$AI$21,"F-",IF(T25&lt;'PlayerGrades+'!$AI$20,"F",IF(T25&lt;'PlayerGrades+'!$AI$19,"F+",IF(T25&lt;'PlayerGrades+'!$AI$18,"E-",IF(T25&lt;'PlayerGrades+'!$AI$17,"E",IF(T25&lt;'PlayerGrades+'!$AI$16,"E+",IF(T25&lt;'PlayerGrades+'!$AI$15,"D-",IF(T25&lt;'PlayerGrades+'!$AI$14,"D",IF(T25&lt;'PlayerGrades+'!$AI$13,"D+",IF(T25&lt;'PlayerGrades+'!$AI$12,"C-",IF(T25&lt;'PlayerGrades+'!$AI$11,"C",IF(T25&lt;'PlayerGrades+'!$AI$10,"C+",IF(T25&lt;'PlayerGrades+'!$AI$9,"B-",IF(T25&lt;'PlayerGrades+'!$AI$8,"B",IF(T25&lt;'PlayerGrades+'!$AI$7,"B+",IF(T25&lt;'PlayerGrades+'!$AI$6,"A-",IF(T25&lt;'PlayerGrades+'!$AI$5,"A",IF(T25&lt;'PlayerGrades+'!$AI$4,"A+",IF(T25&lt;'PlayerGrades+'!$AI$3,"S-",IF(T25&lt;'PlayerGrades+'!$AI$2,"S","S+"))))))))))))))))))))</f>
        <v>S+</v>
      </c>
      <c r="V25" s="1195">
        <v>0.0</v>
      </c>
      <c r="W25" s="1195">
        <v>1.0</v>
      </c>
      <c r="X25" s="1195">
        <v>0.0</v>
      </c>
      <c r="Y25" s="1251">
        <v>0.0</v>
      </c>
      <c r="Z25" s="1251">
        <v>6.0</v>
      </c>
      <c r="AA25" s="1251">
        <v>24.0</v>
      </c>
      <c r="AB25" s="1195">
        <f t="shared" si="10"/>
        <v>-18</v>
      </c>
      <c r="AC25" s="1215">
        <f t="shared" si="11"/>
        <v>0.25</v>
      </c>
      <c r="AD25" s="1195">
        <v>0.0</v>
      </c>
      <c r="AE25" s="1365">
        <v>0.25763888888888886</v>
      </c>
      <c r="AF25" s="1195">
        <v>0.0</v>
      </c>
      <c r="AG25" s="1216">
        <v>0.0</v>
      </c>
      <c r="AH25" s="1216">
        <v>0.0</v>
      </c>
      <c r="AI25" s="1216">
        <v>0.0</v>
      </c>
      <c r="AJ25" s="1251">
        <v>0.0</v>
      </c>
      <c r="AK25" s="1216">
        <v>0.0</v>
      </c>
      <c r="AL25" s="1251">
        <v>0.0</v>
      </c>
      <c r="AM25" s="1295">
        <v>0.0</v>
      </c>
      <c r="AN25" s="1295">
        <v>0.0</v>
      </c>
      <c r="AO25" s="1295">
        <v>0.0</v>
      </c>
      <c r="AP25" s="1295">
        <v>0.0</v>
      </c>
      <c r="AQ25" s="1295">
        <v>0.0</v>
      </c>
      <c r="AR25" s="1295">
        <v>0.0</v>
      </c>
      <c r="AS25" s="1295">
        <v>0.0</v>
      </c>
      <c r="AT25" s="1295">
        <v>0.0</v>
      </c>
      <c r="AU25" s="1251">
        <v>0.0</v>
      </c>
      <c r="AV25" s="1295">
        <v>0.0</v>
      </c>
      <c r="AW25" s="1295">
        <v>0.0</v>
      </c>
      <c r="AX25" s="1295">
        <v>0.0</v>
      </c>
      <c r="AY25" s="1295">
        <v>0.0</v>
      </c>
      <c r="AZ25" s="1295">
        <v>0.0</v>
      </c>
    </row>
    <row r="26">
      <c r="A26" s="1370" t="s">
        <v>62</v>
      </c>
      <c r="B26" s="1100" t="str">
        <f>IF(C26&lt;'PlayerGrades+'!$Y$44,"F-",IF(C26&lt;'PlayerGrades+'!$Y$43,"F",IF(C26&lt;'PlayerGrades+'!$Y$42,"F+",IF(C26&lt;'PlayerGrades+'!$Y$41,"E-",IF(C26&lt;'PlayerGrades+'!$Y$40,"E",IF(C26&lt;'PlayerGrades+'!$Y$39,"E+",IF(C26&lt;'PlayerGrades+'!$Y$38,"D-",IF(C26&lt;'PlayerGrades+'!$Y$37,"D",IF(C26&lt;'PlayerGrades+'!$Y$36,"D+",IF(C26&lt;'PlayerGrades+'!$Y$35,"C-",IF(C26&lt;'PlayerGrades+'!$Y$34,"C",IF(C26&lt;'PlayerGrades+'!$Y$33,"C+",IF(C26&lt;'PlayerGrades+'!$Y$32,"B-",IF(C26&lt;'PlayerGrades+'!$Y$31,"B",IF(C26&lt;'PlayerGrades+'!$Y$30,"B+",IF(C26&lt;'PlayerGrades+'!$Y$29,"A-",IF(C26&lt;'PlayerGrades+'!$Y$28,"A",IF(C26&lt;'PlayerGrades+'!$Y$27,"A+",IF(C26&lt;'PlayerGrades+'!$Y$26,"S-",IF(C26&lt;'PlayerGrades+'!$Y$25,"S","S+"))))))))))))))))))))</f>
        <v>A</v>
      </c>
      <c r="C26" s="1239">
        <f>('PlayerGrades+'!$Y$47*(VLOOKUP(E26, 'PlayerGrades+'!$X$3:$Y$23, 2, FALSE)))+('PlayerGrades+'!$Y$48*(VLOOKUP(G26, 'PlayerGrades+'!$X$3:$Y$23, 2, FALSE)))+('PlayerGrades+'!$Y$49*(VLOOKUP(I26, 'PlayerGrades+'!$X$3:$Y$23, 2, FALSE)))+('PlayerGrades+'!$Y$50*(VLOOKUP(K26, 'PlayerGrades+'!$X$3:$Y$23, 2, FALSE)))+('PlayerGrades+'!$Y$51*(VLOOKUP(M26, 'PlayerGrades+'!$X$3:$Y$23, 2, FALSE)))+('PlayerGrades+'!$Y$52*(VLOOKUP(O26, 'PlayerGrades+'!$X$3:$Y$23, 2, FALSE)))+('PlayerGrades+'!$Y$53*(VLOOKUP(Q26, 'PlayerGrades+'!$X$3:$Y$23, 2, FALSE)))+('PlayerGrades+'!$Y$54*(VLOOKUP(S26, 'PlayerGrades+'!$X$3:$Y$23, 2, FALSE)))+('PlayerGrades+'!$Y$55*(VLOOKUP(U26, 'PlayerGrades+'!$X$3:$Y$23, 2, FALSE)))</f>
        <v>23.1</v>
      </c>
      <c r="D26" s="961">
        <f t="shared" si="1"/>
        <v>0.2580645161</v>
      </c>
      <c r="E26" s="961" t="str">
        <f>IF(D26&lt;'PlayerGrades+'!$AA$21,"F-",IF(D26&lt;'PlayerGrades+'!$AA$20,"F",IF(D26&lt;'PlayerGrades+'!$AA$19,"F+",IF(D26&lt;'PlayerGrades+'!$AA$18,"E-",IF(D26&lt;'PlayerGrades+'!$AA$17,"E",IF(D26&lt;'PlayerGrades+'!$AA$16,"E+",IF(D26&lt;'PlayerGrades+'!$AA$15,"D-",IF(D26&lt;'PlayerGrades+'!$AA$14,"D",IF(D26&lt;'PlayerGrades+'!$AA$13,"D+",IF(D26&lt;'PlayerGrades+'!$AA$12,"C-",IF(D26&lt;'PlayerGrades+'!$AA$11,"C",IF(D26&lt;'PlayerGrades+'!$AA$10,"C+",IF(D26&lt;'PlayerGrades+'!$AA$9,"B-",IF(D26&lt;'PlayerGrades+'!$AA$8,"B",IF(D26&lt;'PlayerGrades+'!$AA$7,"B+",IF(D26&lt;'PlayerGrades+'!$AA$6,"A-",IF(D26&lt;'PlayerGrades+'!$AA$5,"A",IF(D26&lt;'PlayerGrades+'!$AA$4,"A+",IF(D26&lt;'PlayerGrades+'!$AA$3,"S-",IF(D26&lt;'PlayerGrades+'!$AA$2,"S","S+"))))))))))))))))))))</f>
        <v>S+</v>
      </c>
      <c r="F26" s="961">
        <f t="shared" si="2"/>
        <v>0.1290322581</v>
      </c>
      <c r="G26" s="961" t="str">
        <f>IF(F26&lt;'PlayerGrades+'!$AB$21,"F-",IF(F26&lt;'PlayerGrades+'!$AB$20,"F",IF(F26&lt;'PlayerGrades+'!$AB$19,"F+",IF(F26&lt;'PlayerGrades+'!$AB$18,"E-",IF(F26&lt;'PlayerGrades+'!$AB$17,"E",IF(F26&lt;'PlayerGrades+'!$AB$16,"E+",IF(F26&lt;'PlayerGrades+'!$AB$15,"D-",IF(F26&lt;'PlayerGrades+'!$AB$14,"D",IF(F26&lt;'PlayerGrades+'!$AB$13,"D+",IF(F26&lt;'PlayerGrades+'!$AB$12,"C-",IF(F26&lt;'PlayerGrades+'!$AB$11,"C",IF(F26&lt;'PlayerGrades+'!$AB$10,"C+",IF(F26&lt;'PlayerGrades+'!$AB$9,"B-",IF(F26&lt;'PlayerGrades+'!$AB$8,"B",IF(F26&lt;'PlayerGrades+'!$AB$7,"B+",IF(F26&lt;'PlayerGrades+'!$AB$6,"A-",IF(F26&lt;'PlayerGrades+'!$AB$5,"A",IF(F26&lt;'PlayerGrades+'!$AB$4,"A+",IF(F26&lt;'PlayerGrades+'!$AB$3,"S-",IF(F26&lt;'PlayerGrades+'!$AB$2,"S","S+"))))))))))))))))))))</f>
        <v>A+</v>
      </c>
      <c r="H26" s="961">
        <f t="shared" si="3"/>
        <v>0.6451612903</v>
      </c>
      <c r="I26" s="961" t="str">
        <f>IF(H26&lt;'PlayerGrades+'!$AC$21,"F-",IF(H26&lt;'PlayerGrades+'!$AC$20,"F",IF(H26&lt;'PlayerGrades+'!$AC$19,"F+",IF(H26&lt;'PlayerGrades+'!$AC$18,"E-",IF(H26&lt;'PlayerGrades+'!$AC$17,"E",IF(H26&lt;'PlayerGrades+'!$AC$16,"E+",IF(H26&lt;'PlayerGrades+'!$AC$15,"D-",IF(H26&lt;'PlayerGrades+'!$AC$14,"D",IF(H26&lt;'PlayerGrades+'!$AC$13,"D+",IF(H26&lt;'PlayerGrades+'!$AC$12,"C-",IF(H26&lt;'PlayerGrades+'!$AC$11,"C",IF(H26&lt;'PlayerGrades+'!$AC$10,"C+",IF(H26&lt;'PlayerGrades+'!$AC$9,"B-",IF(H26&lt;'PlayerGrades+'!$AC$8,"B",IF(H26&lt;'PlayerGrades+'!$AC$7,"B+",IF(H26&lt;'PlayerGrades+'!$AC$6,"A-",IF(H26&lt;'PlayerGrades+'!$AC$5,"A",IF(H26&lt;'PlayerGrades+'!$AC$4,"A+",IF(H26&lt;'PlayerGrades+'!$AC$3,"S-",IF(H26&lt;'PlayerGrades+'!$AC$2,"S","S+"))))))))))))))))))))</f>
        <v>A</v>
      </c>
      <c r="J26" s="961">
        <f t="shared" si="4"/>
        <v>0</v>
      </c>
      <c r="K26" s="961" t="str">
        <f>IF(J26&lt;'PlayerGrades+'!$AD$21,"F-",IF(J26&lt;'PlayerGrades+'!$AD$20,"F",IF(J26&lt;'PlayerGrades+'!$AD$19,"F+",IF(J26&lt;'PlayerGrades+'!$AD$18,"E-",IF(J26&lt;'PlayerGrades+'!$AD$17,"E",IF(J26&lt;'PlayerGrades+'!$AD$16,"E+",IF(J26&lt;'PlayerGrades+'!$AD$15,"D-",IF(J26&lt;'PlayerGrades+'!$AD$14,"D",IF(J26&lt;'PlayerGrades+'!$AD$13,"D+",IF(J26&lt;'PlayerGrades+'!$AD$12,"C-",IF(J26&lt;'PlayerGrades+'!$AD$11,"C",IF(J26&lt;'PlayerGrades+'!$AD$10,"C+",IF(J26&lt;'PlayerGrades+'!$AD$9,"B-",IF(J26&lt;'PlayerGrades+'!$AD$8,"B",IF(J26&lt;'PlayerGrades+'!$AD$7,"B+",IF(J26&lt;'PlayerGrades+'!$AD$6,"A-",IF(J26&lt;'PlayerGrades+'!$AD$5,"A",IF(J26&lt;'PlayerGrades+'!$AD$4,"A+",IF(J26&lt;'PlayerGrades+'!$AD$3,"S-",IF(J26&lt;'PlayerGrades+'!$AD$2,"S","S+"))))))))))))))))))))</f>
        <v>F-</v>
      </c>
      <c r="L26" s="1176">
        <f t="shared" si="5"/>
        <v>0.6451612903</v>
      </c>
      <c r="M26" s="992" t="str">
        <f>IF(L26&lt;'PlayerGrades+'!$AE$21,"F-",IF(L26&lt;'PlayerGrades+'!$AE$20,"F",IF(L26&lt;'PlayerGrades+'!$AE$19,"F+",IF(L26&lt;'PlayerGrades+'!$AE$18,"E-",IF(L26&lt;'PlayerGrades+'!$AE$17,"E",IF(L26&lt;'PlayerGrades+'!$AE$16,"E+",IF(L26&lt;'PlayerGrades+'!$AE$15,"D-",IF(L26&lt;'PlayerGrades+'!$AE$14,"D",IF(L26&lt;'PlayerGrades+'!$AE$13,"D+",IF(L26&lt;'PlayerGrades+'!$AE$12,"C-",IF(L26&lt;'PlayerGrades+'!$AE$11,"C",IF(L26&lt;'PlayerGrades+'!$AE$10,"C+",IF(L26&lt;'PlayerGrades+'!$AE$9,"B-",IF(L26&lt;'PlayerGrades+'!$AE$8,"B",IF(L26&lt;'PlayerGrades+'!$AE$7,"B+",IF(L26&lt;'PlayerGrades+'!$AE$6,"A-",IF(L26&lt;'PlayerGrades+'!$AE$5,"A",IF(L26&lt;'PlayerGrades+'!$AE$4,"A+",IF(L26&lt;'PlayerGrades+'!$AE$3,"S-",IF(L26&lt;'PlayerGrades+'!$AE$2,"S","S+"))))))))))))))))))))</f>
        <v>A+</v>
      </c>
      <c r="N26" s="961">
        <f t="shared" si="6"/>
        <v>0.1290322581</v>
      </c>
      <c r="O26" s="961" t="str">
        <f>IF(N26&lt;'PlayerGrades+'!$AF$21,"F-",IF(N26&lt;'PlayerGrades+'!$AF$20,"F",IF(N26&lt;'PlayerGrades+'!$AF$19,"F+",IF(N26&lt;'PlayerGrades+'!$AF$18,"E-",IF(N26&lt;'PlayerGrades+'!$AF$17,"E",IF(N26&lt;'PlayerGrades+'!$AF$16,"E+",IF(N26&lt;'PlayerGrades+'!$AF$15,"D-",IF(N26&lt;'PlayerGrades+'!$AF$14,"D",IF(N26&lt;'PlayerGrades+'!$AF$13,"D+",IF(N26&lt;'PlayerGrades+'!$AF$12,"C-",IF(N26&lt;'PlayerGrades+'!$AF$11,"C",IF(N26&lt;'PlayerGrades+'!$AF$10,"C+",IF(N26&lt;'PlayerGrades+'!$AF$9,"B-",IF(N26&lt;'PlayerGrades+'!$AF$8,"B",IF(N26&lt;'PlayerGrades+'!$AF$7,"B+",IF(N26&lt;'PlayerGrades+'!$AF$6,"A-",IF(N26&lt;'PlayerGrades+'!$AF$5,"A",IF(N26&lt;'PlayerGrades+'!$AF$4,"A+",IF(N26&lt;'PlayerGrades+'!$AF$3,"S-",IF(N26&lt;'PlayerGrades+'!$AF$2,"S","S+"))))))))))))))))))))</f>
        <v>C+</v>
      </c>
      <c r="P26" s="961">
        <f t="shared" si="7"/>
        <v>0.9032258065</v>
      </c>
      <c r="Q26" s="961" t="str">
        <f>IF(P26&lt;'PlayerGrades+'!$AG$21,"F-",IF(P26&lt;'PlayerGrades+'!$AG$20,"F",IF(P26&lt;'PlayerGrades+'!$AG$19,"F+",IF(P26&lt;'PlayerGrades+'!$AG$18,"E-",IF(P26&lt;'PlayerGrades+'!$AG$17,"E",IF(P26&lt;'PlayerGrades+'!$AG$16,"E+",IF(P26&lt;'PlayerGrades+'!$AG$15,"D-",IF(P26&lt;'PlayerGrades+'!$AG$14,"D",IF(P26&lt;'PlayerGrades+'!$AG$13,"D+",IF(P26&lt;'PlayerGrades+'!$AG$12,"C-",IF(P26&lt;'PlayerGrades+'!$AG$11,"C",IF(P26&lt;'PlayerGrades+'!$AG$10,"C+",IF(P26&lt;'PlayerGrades+'!$AG$9,"B-",IF(P26&lt;'PlayerGrades+'!$AG$8,"B",IF(P26&lt;'PlayerGrades+'!$AG$7,"B+",IF(P26&lt;'PlayerGrades+'!$AG$6,"A-",IF(P26&lt;'PlayerGrades+'!$AG$5,"A",IF(P26&lt;'PlayerGrades+'!$AG$4,"A+",IF(P26&lt;'PlayerGrades+'!$AG$3,"S-",IF(P26&lt;'PlayerGrades+'!$AG$2,"S","S+"))))))))))))))))))))</f>
        <v>A+</v>
      </c>
      <c r="R26" s="961">
        <f t="shared" si="8"/>
        <v>0</v>
      </c>
      <c r="S26" s="961" t="str">
        <f>IF(R26&lt;'PlayerGrades+'!$AH$21,"F-",IF(R26&lt;'PlayerGrades+'!$AH$20,"F",IF(R26&lt;'PlayerGrades+'!$AH$19,"F+",IF(R26&lt;'PlayerGrades+'!$AH$18,"E-",IF(R26&lt;'PlayerGrades+'!$AH$17,"E",IF(R26&lt;'PlayerGrades+'!$AH$16,"E+",IF(R26&lt;'PlayerGrades+'!$AH$15,"D-",IF(R26&lt;'PlayerGrades+'!$AH$14,"D",IF(R26&lt;'PlayerGrades+'!$AH$13,"D+",IF(R26&lt;'PlayerGrades+'!$AH$12,"C-",IF(R26&lt;'PlayerGrades+'!$AH$11,"C",IF(R26&lt;'PlayerGrades+'!$AH$10,"C+",IF(R26&lt;'PlayerGrades+'!$AH$9,"B-",IF(R26&lt;'PlayerGrades+'!$AH$8,"B",IF(R26&lt;'PlayerGrades+'!$AH$7,"B+",IF(R26&lt;'PlayerGrades+'!$AH$6,"A-",IF(R26&lt;'PlayerGrades+'!$AH$5,"A",IF(R26&lt;'PlayerGrades+'!$AH$4,"A+",IF(R26&lt;'PlayerGrades+'!$AH$3,"S-",IF(R26&lt;'PlayerGrades+'!$AH$2,"S","S+"))))))))))))))))))))</f>
        <v>F-</v>
      </c>
      <c r="T26" s="961">
        <f t="shared" si="9"/>
        <v>36.75</v>
      </c>
      <c r="U26" s="961" t="str">
        <f>IF(T26&lt;'PlayerGrades+'!$AI$21,"F-",IF(T26&lt;'PlayerGrades+'!$AI$20,"F",IF(T26&lt;'PlayerGrades+'!$AI$19,"F+",IF(T26&lt;'PlayerGrades+'!$AI$18,"E-",IF(T26&lt;'PlayerGrades+'!$AI$17,"E",IF(T26&lt;'PlayerGrades+'!$AI$16,"E+",IF(T26&lt;'PlayerGrades+'!$AI$15,"D-",IF(T26&lt;'PlayerGrades+'!$AI$14,"D",IF(T26&lt;'PlayerGrades+'!$AI$13,"D+",IF(T26&lt;'PlayerGrades+'!$AI$12,"C-",IF(T26&lt;'PlayerGrades+'!$AI$11,"C",IF(T26&lt;'PlayerGrades+'!$AI$10,"C+",IF(T26&lt;'PlayerGrades+'!$AI$9,"B-",IF(T26&lt;'PlayerGrades+'!$AI$8,"B",IF(T26&lt;'PlayerGrades+'!$AI$7,"B+",IF(T26&lt;'PlayerGrades+'!$AI$6,"A-",IF(T26&lt;'PlayerGrades+'!$AI$5,"A",IF(T26&lt;'PlayerGrades+'!$AI$4,"A+",IF(T26&lt;'PlayerGrades+'!$AI$3,"S-",IF(T26&lt;'PlayerGrades+'!$AI$2,"S","S+"))))))))))))))))))))</f>
        <v>S+</v>
      </c>
      <c r="V26" s="1254">
        <v>1.0</v>
      </c>
      <c r="W26" s="1254">
        <v>0.0</v>
      </c>
      <c r="X26" s="1254">
        <v>2.0</v>
      </c>
      <c r="Y26" s="1254">
        <v>2.0</v>
      </c>
      <c r="Z26" s="1254">
        <v>29.0</v>
      </c>
      <c r="AA26" s="1254">
        <v>29.0</v>
      </c>
      <c r="AB26" s="1254">
        <f t="shared" si="10"/>
        <v>0</v>
      </c>
      <c r="AC26" s="1196">
        <f t="shared" si="11"/>
        <v>1</v>
      </c>
      <c r="AD26" s="1197">
        <v>0.0</v>
      </c>
      <c r="AE26" s="1371">
        <v>0.3229166666666667</v>
      </c>
      <c r="AF26" s="1372">
        <v>0.0</v>
      </c>
      <c r="AG26" s="1197">
        <v>0.0</v>
      </c>
      <c r="AH26" s="1197">
        <v>0.0</v>
      </c>
      <c r="AI26" s="1197">
        <v>0.0</v>
      </c>
      <c r="AJ26" s="1197">
        <v>1.0</v>
      </c>
      <c r="AK26" s="1197">
        <v>5.0</v>
      </c>
      <c r="AL26" s="1197">
        <v>1.0</v>
      </c>
      <c r="AM26" s="1197">
        <v>0.0</v>
      </c>
      <c r="AN26" s="1197">
        <v>0.0</v>
      </c>
      <c r="AO26" s="1197">
        <v>0.0</v>
      </c>
      <c r="AP26" s="1197">
        <v>0.0</v>
      </c>
      <c r="AQ26" s="1197">
        <v>0.0</v>
      </c>
      <c r="AR26" s="1197">
        <v>0.0</v>
      </c>
      <c r="AS26" s="1197">
        <v>0.0</v>
      </c>
      <c r="AT26" s="1197">
        <v>0.0</v>
      </c>
      <c r="AU26" s="1197">
        <v>5.0</v>
      </c>
      <c r="AV26" s="1197">
        <v>0.0</v>
      </c>
      <c r="AW26" s="1197">
        <v>0.0</v>
      </c>
      <c r="AX26" s="1197">
        <v>0.0</v>
      </c>
      <c r="AY26" s="1197">
        <v>0.0</v>
      </c>
      <c r="AZ26" s="1197">
        <v>0.0</v>
      </c>
    </row>
    <row r="27">
      <c r="A27" s="1233" t="s">
        <v>106</v>
      </c>
      <c r="B27" s="1100" t="str">
        <f>IF(C27&lt;'PlayerGrades+'!$Y$44,"F-",IF(C27&lt;'PlayerGrades+'!$Y$43,"F",IF(C27&lt;'PlayerGrades+'!$Y$42,"F+",IF(C27&lt;'PlayerGrades+'!$Y$41,"E-",IF(C27&lt;'PlayerGrades+'!$Y$40,"E",IF(C27&lt;'PlayerGrades+'!$Y$39,"E+",IF(C27&lt;'PlayerGrades+'!$Y$38,"D-",IF(C27&lt;'PlayerGrades+'!$Y$37,"D",IF(C27&lt;'PlayerGrades+'!$Y$36,"D+",IF(C27&lt;'PlayerGrades+'!$Y$35,"C-",IF(C27&lt;'PlayerGrades+'!$Y$34,"C",IF(C27&lt;'PlayerGrades+'!$Y$33,"C+",IF(C27&lt;'PlayerGrades+'!$Y$32,"B-",IF(C27&lt;'PlayerGrades+'!$Y$31,"B",IF(C27&lt;'PlayerGrades+'!$Y$30,"B+",IF(C27&lt;'PlayerGrades+'!$Y$29,"A-",IF(C27&lt;'PlayerGrades+'!$Y$28,"A",IF(C27&lt;'PlayerGrades+'!$Y$27,"A+",IF(C27&lt;'PlayerGrades+'!$Y$26,"S-",IF(C27&lt;'PlayerGrades+'!$Y$25,"S","S+"))))))))))))))))))))</f>
        <v>S-</v>
      </c>
      <c r="C27" s="1239">
        <f>('PlayerGrades+'!$Y$47*(VLOOKUP(E27, 'PlayerGrades+'!$X$3:$Y$23, 2, FALSE)))+('PlayerGrades+'!$Y$48*(VLOOKUP(G27, 'PlayerGrades+'!$X$3:$Y$23, 2, FALSE)))+('PlayerGrades+'!$Y$49*(VLOOKUP(I27, 'PlayerGrades+'!$X$3:$Y$23, 2, FALSE)))+('PlayerGrades+'!$Y$50*(VLOOKUP(K27, 'PlayerGrades+'!$X$3:$Y$23, 2, FALSE)))+('PlayerGrades+'!$Y$51*(VLOOKUP(M27, 'PlayerGrades+'!$X$3:$Y$23, 2, FALSE)))+('PlayerGrades+'!$Y$52*(VLOOKUP(O27, 'PlayerGrades+'!$X$3:$Y$23, 2, FALSE)))+('PlayerGrades+'!$Y$53*(VLOOKUP(Q27, 'PlayerGrades+'!$X$3:$Y$23, 2, FALSE)))+('PlayerGrades+'!$Y$54*(VLOOKUP(S27, 'PlayerGrades+'!$X$3:$Y$23, 2, FALSE)))+('PlayerGrades+'!$Y$55*(VLOOKUP(U27, 'PlayerGrades+'!$X$3:$Y$23, 2, FALSE)))</f>
        <v>25.6</v>
      </c>
      <c r="D27" s="961">
        <f t="shared" si="1"/>
        <v>0.2580645161</v>
      </c>
      <c r="E27" s="961" t="str">
        <f>IF(D27&lt;'PlayerGrades+'!$AA$21,"F-",IF(D27&lt;'PlayerGrades+'!$AA$20,"F",IF(D27&lt;'PlayerGrades+'!$AA$19,"F+",IF(D27&lt;'PlayerGrades+'!$AA$18,"E-",IF(D27&lt;'PlayerGrades+'!$AA$17,"E",IF(D27&lt;'PlayerGrades+'!$AA$16,"E+",IF(D27&lt;'PlayerGrades+'!$AA$15,"D-",IF(D27&lt;'PlayerGrades+'!$AA$14,"D",IF(D27&lt;'PlayerGrades+'!$AA$13,"D+",IF(D27&lt;'PlayerGrades+'!$AA$12,"C-",IF(D27&lt;'PlayerGrades+'!$AA$11,"C",IF(D27&lt;'PlayerGrades+'!$AA$10,"C+",IF(D27&lt;'PlayerGrades+'!$AA$9,"B-",IF(D27&lt;'PlayerGrades+'!$AA$8,"B",IF(D27&lt;'PlayerGrades+'!$AA$7,"B+",IF(D27&lt;'PlayerGrades+'!$AA$6,"A-",IF(D27&lt;'PlayerGrades+'!$AA$5,"A",IF(D27&lt;'PlayerGrades+'!$AA$4,"A+",IF(D27&lt;'PlayerGrades+'!$AA$3,"S-",IF(D27&lt;'PlayerGrades+'!$AA$2,"S","S+"))))))))))))))))))))</f>
        <v>S+</v>
      </c>
      <c r="F27" s="961">
        <f t="shared" si="2"/>
        <v>0.1290322581</v>
      </c>
      <c r="G27" s="961" t="str">
        <f>IF(F27&lt;'PlayerGrades+'!$AB$21,"F-",IF(F27&lt;'PlayerGrades+'!$AB$20,"F",IF(F27&lt;'PlayerGrades+'!$AB$19,"F+",IF(F27&lt;'PlayerGrades+'!$AB$18,"E-",IF(F27&lt;'PlayerGrades+'!$AB$17,"E",IF(F27&lt;'PlayerGrades+'!$AB$16,"E+",IF(F27&lt;'PlayerGrades+'!$AB$15,"D-",IF(F27&lt;'PlayerGrades+'!$AB$14,"D",IF(F27&lt;'PlayerGrades+'!$AB$13,"D+",IF(F27&lt;'PlayerGrades+'!$AB$12,"C-",IF(F27&lt;'PlayerGrades+'!$AB$11,"C",IF(F27&lt;'PlayerGrades+'!$AB$10,"C+",IF(F27&lt;'PlayerGrades+'!$AB$9,"B-",IF(F27&lt;'PlayerGrades+'!$AB$8,"B",IF(F27&lt;'PlayerGrades+'!$AB$7,"B+",IF(F27&lt;'PlayerGrades+'!$AB$6,"A-",IF(F27&lt;'PlayerGrades+'!$AB$5,"A",IF(F27&lt;'PlayerGrades+'!$AB$4,"A+",IF(F27&lt;'PlayerGrades+'!$AB$3,"S-",IF(F27&lt;'PlayerGrades+'!$AB$2,"S","S+"))))))))))))))))))))</f>
        <v>A+</v>
      </c>
      <c r="H27" s="961">
        <f t="shared" si="3"/>
        <v>0.6451612903</v>
      </c>
      <c r="I27" s="961" t="str">
        <f>IF(H27&lt;'PlayerGrades+'!$AC$21,"F-",IF(H27&lt;'PlayerGrades+'!$AC$20,"F",IF(H27&lt;'PlayerGrades+'!$AC$19,"F+",IF(H27&lt;'PlayerGrades+'!$AC$18,"E-",IF(H27&lt;'PlayerGrades+'!$AC$17,"E",IF(H27&lt;'PlayerGrades+'!$AC$16,"E+",IF(H27&lt;'PlayerGrades+'!$AC$15,"D-",IF(H27&lt;'PlayerGrades+'!$AC$14,"D",IF(H27&lt;'PlayerGrades+'!$AC$13,"D+",IF(H27&lt;'PlayerGrades+'!$AC$12,"C-",IF(H27&lt;'PlayerGrades+'!$AC$11,"C",IF(H27&lt;'PlayerGrades+'!$AC$10,"C+",IF(H27&lt;'PlayerGrades+'!$AC$9,"B-",IF(H27&lt;'PlayerGrades+'!$AC$8,"B",IF(H27&lt;'PlayerGrades+'!$AC$7,"B+",IF(H27&lt;'PlayerGrades+'!$AC$6,"A-",IF(H27&lt;'PlayerGrades+'!$AC$5,"A",IF(H27&lt;'PlayerGrades+'!$AC$4,"A+",IF(H27&lt;'PlayerGrades+'!$AC$3,"S-",IF(H27&lt;'PlayerGrades+'!$AC$2,"S","S+"))))))))))))))))))))</f>
        <v>A</v>
      </c>
      <c r="J27" s="961">
        <f t="shared" si="4"/>
        <v>0.1290322581</v>
      </c>
      <c r="K27" s="961" t="str">
        <f>IF(J27&lt;'PlayerGrades+'!$AD$21,"F-",IF(J27&lt;'PlayerGrades+'!$AD$20,"F",IF(J27&lt;'PlayerGrades+'!$AD$19,"F+",IF(J27&lt;'PlayerGrades+'!$AD$18,"E-",IF(J27&lt;'PlayerGrades+'!$AD$17,"E",IF(J27&lt;'PlayerGrades+'!$AD$16,"E+",IF(J27&lt;'PlayerGrades+'!$AD$15,"D-",IF(J27&lt;'PlayerGrades+'!$AD$14,"D",IF(J27&lt;'PlayerGrades+'!$AD$13,"D+",IF(J27&lt;'PlayerGrades+'!$AD$12,"C-",IF(J27&lt;'PlayerGrades+'!$AD$11,"C",IF(J27&lt;'PlayerGrades+'!$AD$10,"C+",IF(J27&lt;'PlayerGrades+'!$AD$9,"B-",IF(J27&lt;'PlayerGrades+'!$AD$8,"B",IF(J27&lt;'PlayerGrades+'!$AD$7,"B+",IF(J27&lt;'PlayerGrades+'!$AD$6,"A-",IF(J27&lt;'PlayerGrades+'!$AD$5,"A",IF(J27&lt;'PlayerGrades+'!$AD$4,"A+",IF(J27&lt;'PlayerGrades+'!$AD$3,"S-",IF(J27&lt;'PlayerGrades+'!$AD$2,"S","S+"))))))))))))))))))))</f>
        <v>S</v>
      </c>
      <c r="L27" s="1176">
        <f t="shared" si="5"/>
        <v>0.6451612903</v>
      </c>
      <c r="M27" s="992" t="str">
        <f>IF(L27&lt;'PlayerGrades+'!$AE$21,"F-",IF(L27&lt;'PlayerGrades+'!$AE$20,"F",IF(L27&lt;'PlayerGrades+'!$AE$19,"F+",IF(L27&lt;'PlayerGrades+'!$AE$18,"E-",IF(L27&lt;'PlayerGrades+'!$AE$17,"E",IF(L27&lt;'PlayerGrades+'!$AE$16,"E+",IF(L27&lt;'PlayerGrades+'!$AE$15,"D-",IF(L27&lt;'PlayerGrades+'!$AE$14,"D",IF(L27&lt;'PlayerGrades+'!$AE$13,"D+",IF(L27&lt;'PlayerGrades+'!$AE$12,"C-",IF(L27&lt;'PlayerGrades+'!$AE$11,"C",IF(L27&lt;'PlayerGrades+'!$AE$10,"C+",IF(L27&lt;'PlayerGrades+'!$AE$9,"B-",IF(L27&lt;'PlayerGrades+'!$AE$8,"B",IF(L27&lt;'PlayerGrades+'!$AE$7,"B+",IF(L27&lt;'PlayerGrades+'!$AE$6,"A-",IF(L27&lt;'PlayerGrades+'!$AE$5,"A",IF(L27&lt;'PlayerGrades+'!$AE$4,"A+",IF(L27&lt;'PlayerGrades+'!$AE$3,"S-",IF(L27&lt;'PlayerGrades+'!$AE$2,"S","S+"))))))))))))))))))))</f>
        <v>A+</v>
      </c>
      <c r="N27" s="961">
        <f t="shared" si="6"/>
        <v>0.1290322581</v>
      </c>
      <c r="O27" s="961" t="str">
        <f>IF(N27&lt;'PlayerGrades+'!$AF$21,"F-",IF(N27&lt;'PlayerGrades+'!$AF$20,"F",IF(N27&lt;'PlayerGrades+'!$AF$19,"F+",IF(N27&lt;'PlayerGrades+'!$AF$18,"E-",IF(N27&lt;'PlayerGrades+'!$AF$17,"E",IF(N27&lt;'PlayerGrades+'!$AF$16,"E+",IF(N27&lt;'PlayerGrades+'!$AF$15,"D-",IF(N27&lt;'PlayerGrades+'!$AF$14,"D",IF(N27&lt;'PlayerGrades+'!$AF$13,"D+",IF(N27&lt;'PlayerGrades+'!$AF$12,"C-",IF(N27&lt;'PlayerGrades+'!$AF$11,"C",IF(N27&lt;'PlayerGrades+'!$AF$10,"C+",IF(N27&lt;'PlayerGrades+'!$AF$9,"B-",IF(N27&lt;'PlayerGrades+'!$AF$8,"B",IF(N27&lt;'PlayerGrades+'!$AF$7,"B+",IF(N27&lt;'PlayerGrades+'!$AF$6,"A-",IF(N27&lt;'PlayerGrades+'!$AF$5,"A",IF(N27&lt;'PlayerGrades+'!$AF$4,"A+",IF(N27&lt;'PlayerGrades+'!$AF$3,"S-",IF(N27&lt;'PlayerGrades+'!$AF$2,"S","S+"))))))))))))))))))))</f>
        <v>C+</v>
      </c>
      <c r="P27" s="961">
        <f t="shared" si="7"/>
        <v>1.161290323</v>
      </c>
      <c r="Q27" s="961" t="str">
        <f>IF(P27&lt;'PlayerGrades+'!$AG$21,"F-",IF(P27&lt;'PlayerGrades+'!$AG$20,"F",IF(P27&lt;'PlayerGrades+'!$AG$19,"F+",IF(P27&lt;'PlayerGrades+'!$AG$18,"E-",IF(P27&lt;'PlayerGrades+'!$AG$17,"E",IF(P27&lt;'PlayerGrades+'!$AG$16,"E+",IF(P27&lt;'PlayerGrades+'!$AG$15,"D-",IF(P27&lt;'PlayerGrades+'!$AG$14,"D",IF(P27&lt;'PlayerGrades+'!$AG$13,"D+",IF(P27&lt;'PlayerGrades+'!$AG$12,"C-",IF(P27&lt;'PlayerGrades+'!$AG$11,"C",IF(P27&lt;'PlayerGrades+'!$AG$10,"C+",IF(P27&lt;'PlayerGrades+'!$AG$9,"B-",IF(P27&lt;'PlayerGrades+'!$AG$8,"B",IF(P27&lt;'PlayerGrades+'!$AG$7,"B+",IF(P27&lt;'PlayerGrades+'!$AG$6,"A-",IF(P27&lt;'PlayerGrades+'!$AG$5,"A",IF(P27&lt;'PlayerGrades+'!$AG$4,"A+",IF(P27&lt;'PlayerGrades+'!$AG$3,"S-",IF(P27&lt;'PlayerGrades+'!$AG$2,"S","S+"))))))))))))))))))))</f>
        <v>S-</v>
      </c>
      <c r="R27" s="961">
        <f t="shared" si="8"/>
        <v>0</v>
      </c>
      <c r="S27" s="961" t="str">
        <f>IF(R27&lt;'PlayerGrades+'!$AH$21,"F-",IF(R27&lt;'PlayerGrades+'!$AH$20,"F",IF(R27&lt;'PlayerGrades+'!$AH$19,"F+",IF(R27&lt;'PlayerGrades+'!$AH$18,"E-",IF(R27&lt;'PlayerGrades+'!$AH$17,"E",IF(R27&lt;'PlayerGrades+'!$AH$16,"E+",IF(R27&lt;'PlayerGrades+'!$AH$15,"D-",IF(R27&lt;'PlayerGrades+'!$AH$14,"D",IF(R27&lt;'PlayerGrades+'!$AH$13,"D+",IF(R27&lt;'PlayerGrades+'!$AH$12,"C-",IF(R27&lt;'PlayerGrades+'!$AH$11,"C",IF(R27&lt;'PlayerGrades+'!$AH$10,"C+",IF(R27&lt;'PlayerGrades+'!$AH$9,"B-",IF(R27&lt;'PlayerGrades+'!$AH$8,"B",IF(R27&lt;'PlayerGrades+'!$AH$7,"B+",IF(R27&lt;'PlayerGrades+'!$AH$6,"A-",IF(R27&lt;'PlayerGrades+'!$AH$5,"A",IF(R27&lt;'PlayerGrades+'!$AH$4,"A+",IF(R27&lt;'PlayerGrades+'!$AH$3,"S-",IF(R27&lt;'PlayerGrades+'!$AH$2,"S","S+"))))))))))))))))))))</f>
        <v>F-</v>
      </c>
      <c r="T27" s="961">
        <f t="shared" si="9"/>
        <v>28.75</v>
      </c>
      <c r="U27" s="961" t="str">
        <f>IF(T27&lt;'PlayerGrades+'!$AI$21,"F-",IF(T27&lt;'PlayerGrades+'!$AI$20,"F",IF(T27&lt;'PlayerGrades+'!$AI$19,"F+",IF(T27&lt;'PlayerGrades+'!$AI$18,"E-",IF(T27&lt;'PlayerGrades+'!$AI$17,"E",IF(T27&lt;'PlayerGrades+'!$AI$16,"E+",IF(T27&lt;'PlayerGrades+'!$AI$15,"D-",IF(T27&lt;'PlayerGrades+'!$AI$14,"D",IF(T27&lt;'PlayerGrades+'!$AI$13,"D+",IF(T27&lt;'PlayerGrades+'!$AI$12,"C-",IF(T27&lt;'PlayerGrades+'!$AI$11,"C",IF(T27&lt;'PlayerGrades+'!$AI$10,"C+",IF(T27&lt;'PlayerGrades+'!$AI$9,"B-",IF(T27&lt;'PlayerGrades+'!$AI$8,"B",IF(T27&lt;'PlayerGrades+'!$AI$7,"B+",IF(T27&lt;'PlayerGrades+'!$AI$6,"A-",IF(T27&lt;'PlayerGrades+'!$AI$5,"A",IF(T27&lt;'PlayerGrades+'!$AI$4,"A+",IF(T27&lt;'PlayerGrades+'!$AI$3,"S-",IF(T27&lt;'PlayerGrades+'!$AI$2,"S","S+"))))))))))))))))))))</f>
        <v>S+</v>
      </c>
      <c r="V27" s="1195">
        <v>1.0</v>
      </c>
      <c r="W27" s="1195">
        <v>0.0</v>
      </c>
      <c r="X27" s="1195">
        <v>2.0</v>
      </c>
      <c r="Y27" s="1195">
        <v>1.0</v>
      </c>
      <c r="Z27" s="1195">
        <v>21.0</v>
      </c>
      <c r="AA27" s="1195">
        <v>21.0</v>
      </c>
      <c r="AB27" s="1195">
        <f t="shared" si="10"/>
        <v>0</v>
      </c>
      <c r="AC27" s="1215">
        <f t="shared" si="11"/>
        <v>1</v>
      </c>
      <c r="AD27" s="1216">
        <v>0.0</v>
      </c>
      <c r="AE27" s="1373">
        <v>0.3229166666666667</v>
      </c>
      <c r="AF27" s="1374">
        <v>1.0</v>
      </c>
      <c r="AG27" s="1216">
        <v>0.0</v>
      </c>
      <c r="AH27" s="1216">
        <v>0.0</v>
      </c>
      <c r="AI27" s="1216">
        <v>0.0</v>
      </c>
      <c r="AJ27" s="1216">
        <v>3.0</v>
      </c>
      <c r="AK27" s="1216">
        <v>5.0</v>
      </c>
      <c r="AL27" s="1216">
        <v>1.0</v>
      </c>
      <c r="AM27" s="1216">
        <v>0.0</v>
      </c>
      <c r="AN27" s="1216">
        <v>0.0</v>
      </c>
      <c r="AO27" s="1216">
        <v>0.0</v>
      </c>
      <c r="AP27" s="1216">
        <v>0.0</v>
      </c>
      <c r="AQ27" s="1216">
        <v>0.0</v>
      </c>
      <c r="AR27" s="1216">
        <v>0.0</v>
      </c>
      <c r="AS27" s="1216">
        <v>0.0</v>
      </c>
      <c r="AT27" s="1216">
        <v>0.0</v>
      </c>
      <c r="AU27" s="1216">
        <v>5.0</v>
      </c>
      <c r="AV27" s="1216">
        <v>0.0</v>
      </c>
      <c r="AW27" s="1216">
        <v>0.0</v>
      </c>
      <c r="AX27" s="1216">
        <v>0.0</v>
      </c>
      <c r="AY27" s="1216">
        <v>0.0</v>
      </c>
      <c r="AZ27" s="1216">
        <v>0.0</v>
      </c>
    </row>
    <row r="28">
      <c r="A28" s="1233" t="s">
        <v>79</v>
      </c>
      <c r="B28" s="1100" t="str">
        <f>IF(C28&lt;'PlayerGrades+'!$Y$44,"F-",IF(C28&lt;'PlayerGrades+'!$Y$43,"F",IF(C28&lt;'PlayerGrades+'!$Y$42,"F+",IF(C28&lt;'PlayerGrades+'!$Y$41,"E-",IF(C28&lt;'PlayerGrades+'!$Y$40,"E",IF(C28&lt;'PlayerGrades+'!$Y$39,"E+",IF(C28&lt;'PlayerGrades+'!$Y$38,"D-",IF(C28&lt;'PlayerGrades+'!$Y$37,"D",IF(C28&lt;'PlayerGrades+'!$Y$36,"D+",IF(C28&lt;'PlayerGrades+'!$Y$35,"C-",IF(C28&lt;'PlayerGrades+'!$Y$34,"C",IF(C28&lt;'PlayerGrades+'!$Y$33,"C+",IF(C28&lt;'PlayerGrades+'!$Y$32,"B-",IF(C28&lt;'PlayerGrades+'!$Y$31,"B",IF(C28&lt;'PlayerGrades+'!$Y$30,"B+",IF(C28&lt;'PlayerGrades+'!$Y$29,"A-",IF(C28&lt;'PlayerGrades+'!$Y$28,"A",IF(C28&lt;'PlayerGrades+'!$Y$27,"A+",IF(C28&lt;'PlayerGrades+'!$Y$26,"S-",IF(C28&lt;'PlayerGrades+'!$Y$25,"S","S+"))))))))))))))))))))</f>
        <v>A-</v>
      </c>
      <c r="C28" s="1239">
        <f>('PlayerGrades+'!$Y$47*(VLOOKUP(E28, 'PlayerGrades+'!$X$3:$Y$23, 2, FALSE)))+('PlayerGrades+'!$Y$48*(VLOOKUP(G28, 'PlayerGrades+'!$X$3:$Y$23, 2, FALSE)))+('PlayerGrades+'!$Y$49*(VLOOKUP(I28, 'PlayerGrades+'!$X$3:$Y$23, 2, FALSE)))+('PlayerGrades+'!$Y$50*(VLOOKUP(K28, 'PlayerGrades+'!$X$3:$Y$23, 2, FALSE)))+('PlayerGrades+'!$Y$51*(VLOOKUP(M28, 'PlayerGrades+'!$X$3:$Y$23, 2, FALSE)))+('PlayerGrades+'!$Y$52*(VLOOKUP(O28, 'PlayerGrades+'!$X$3:$Y$23, 2, FALSE)))+('PlayerGrades+'!$Y$53*(VLOOKUP(Q28, 'PlayerGrades+'!$X$3:$Y$23, 2, FALSE)))+('PlayerGrades+'!$Y$54*(VLOOKUP(S28, 'PlayerGrades+'!$X$3:$Y$23, 2, FALSE)))+('PlayerGrades+'!$Y$55*(VLOOKUP(U28, 'PlayerGrades+'!$X$3:$Y$23, 2, FALSE)))</f>
        <v>20.8</v>
      </c>
      <c r="D28" s="961">
        <f t="shared" si="1"/>
        <v>0.1290322581</v>
      </c>
      <c r="E28" s="961" t="str">
        <f>IF(D28&lt;'PlayerGrades+'!$AA$21,"F-",IF(D28&lt;'PlayerGrades+'!$AA$20,"F",IF(D28&lt;'PlayerGrades+'!$AA$19,"F+",IF(D28&lt;'PlayerGrades+'!$AA$18,"E-",IF(D28&lt;'PlayerGrades+'!$AA$17,"E",IF(D28&lt;'PlayerGrades+'!$AA$16,"E+",IF(D28&lt;'PlayerGrades+'!$AA$15,"D-",IF(D28&lt;'PlayerGrades+'!$AA$14,"D",IF(D28&lt;'PlayerGrades+'!$AA$13,"D+",IF(D28&lt;'PlayerGrades+'!$AA$12,"C-",IF(D28&lt;'PlayerGrades+'!$AA$11,"C",IF(D28&lt;'PlayerGrades+'!$AA$10,"C+",IF(D28&lt;'PlayerGrades+'!$AA$9,"B-",IF(D28&lt;'PlayerGrades+'!$AA$8,"B",IF(D28&lt;'PlayerGrades+'!$AA$7,"B+",IF(D28&lt;'PlayerGrades+'!$AA$6,"A-",IF(D28&lt;'PlayerGrades+'!$AA$5,"A",IF(D28&lt;'PlayerGrades+'!$AA$4,"A+",IF(D28&lt;'PlayerGrades+'!$AA$3,"S-",IF(D28&lt;'PlayerGrades+'!$AA$2,"S","S+"))))))))))))))))))))</f>
        <v>S-</v>
      </c>
      <c r="F28" s="961">
        <f t="shared" si="2"/>
        <v>0.09290322581</v>
      </c>
      <c r="G28" s="961" t="str">
        <f>IF(F28&lt;'PlayerGrades+'!$AB$21,"F-",IF(F28&lt;'PlayerGrades+'!$AB$20,"F",IF(F28&lt;'PlayerGrades+'!$AB$19,"F+",IF(F28&lt;'PlayerGrades+'!$AB$18,"E-",IF(F28&lt;'PlayerGrades+'!$AB$17,"E",IF(F28&lt;'PlayerGrades+'!$AB$16,"E+",IF(F28&lt;'PlayerGrades+'!$AB$15,"D-",IF(F28&lt;'PlayerGrades+'!$AB$14,"D",IF(F28&lt;'PlayerGrades+'!$AB$13,"D+",IF(F28&lt;'PlayerGrades+'!$AB$12,"C-",IF(F28&lt;'PlayerGrades+'!$AB$11,"C",IF(F28&lt;'PlayerGrades+'!$AB$10,"C+",IF(F28&lt;'PlayerGrades+'!$AB$9,"B-",IF(F28&lt;'PlayerGrades+'!$AB$8,"B",IF(F28&lt;'PlayerGrades+'!$AB$7,"B+",IF(F28&lt;'PlayerGrades+'!$AB$6,"A-",IF(F28&lt;'PlayerGrades+'!$AB$5,"A",IF(F28&lt;'PlayerGrades+'!$AB$4,"A+",IF(F28&lt;'PlayerGrades+'!$AB$3,"S-",IF(F28&lt;'PlayerGrades+'!$AB$2,"S","S+"))))))))))))))))))))</f>
        <v>A</v>
      </c>
      <c r="H28" s="961">
        <f t="shared" si="3"/>
        <v>0.1290322581</v>
      </c>
      <c r="I28" s="961" t="str">
        <f>IF(H28&lt;'PlayerGrades+'!$AC$21,"F-",IF(H28&lt;'PlayerGrades+'!$AC$20,"F",IF(H28&lt;'PlayerGrades+'!$AC$19,"F+",IF(H28&lt;'PlayerGrades+'!$AC$18,"E-",IF(H28&lt;'PlayerGrades+'!$AC$17,"E",IF(H28&lt;'PlayerGrades+'!$AC$16,"E+",IF(H28&lt;'PlayerGrades+'!$AC$15,"D-",IF(H28&lt;'PlayerGrades+'!$AC$14,"D",IF(H28&lt;'PlayerGrades+'!$AC$13,"D+",IF(H28&lt;'PlayerGrades+'!$AC$12,"C-",IF(H28&lt;'PlayerGrades+'!$AC$11,"C",IF(H28&lt;'PlayerGrades+'!$AC$10,"C+",IF(H28&lt;'PlayerGrades+'!$AC$9,"B-",IF(H28&lt;'PlayerGrades+'!$AC$8,"B",IF(H28&lt;'PlayerGrades+'!$AC$7,"B+",IF(H28&lt;'PlayerGrades+'!$AC$6,"A-",IF(H28&lt;'PlayerGrades+'!$AC$5,"A",IF(H28&lt;'PlayerGrades+'!$AC$4,"A+",IF(H28&lt;'PlayerGrades+'!$AC$3,"S-",IF(H28&lt;'PlayerGrades+'!$AC$2,"S","S+"))))))))))))))))))))</f>
        <v>F-</v>
      </c>
      <c r="J28" s="961">
        <f t="shared" si="4"/>
        <v>0</v>
      </c>
      <c r="K28" s="961" t="str">
        <f>IF(J28&lt;'PlayerGrades+'!$AD$21,"F-",IF(J28&lt;'PlayerGrades+'!$AD$20,"F",IF(J28&lt;'PlayerGrades+'!$AD$19,"F+",IF(J28&lt;'PlayerGrades+'!$AD$18,"E-",IF(J28&lt;'PlayerGrades+'!$AD$17,"E",IF(J28&lt;'PlayerGrades+'!$AD$16,"E+",IF(J28&lt;'PlayerGrades+'!$AD$15,"D-",IF(J28&lt;'PlayerGrades+'!$AD$14,"D",IF(J28&lt;'PlayerGrades+'!$AD$13,"D+",IF(J28&lt;'PlayerGrades+'!$AD$12,"C-",IF(J28&lt;'PlayerGrades+'!$AD$11,"C",IF(J28&lt;'PlayerGrades+'!$AD$10,"C+",IF(J28&lt;'PlayerGrades+'!$AD$9,"B-",IF(J28&lt;'PlayerGrades+'!$AD$8,"B",IF(J28&lt;'PlayerGrades+'!$AD$7,"B+",IF(J28&lt;'PlayerGrades+'!$AD$6,"A-",IF(J28&lt;'PlayerGrades+'!$AD$5,"A",IF(J28&lt;'PlayerGrades+'!$AD$4,"A+",IF(J28&lt;'PlayerGrades+'!$AD$3,"S-",IF(J28&lt;'PlayerGrades+'!$AD$2,"S","S+"))))))))))))))))))))</f>
        <v>F-</v>
      </c>
      <c r="L28" s="1176">
        <f t="shared" si="5"/>
        <v>0.5161290323</v>
      </c>
      <c r="M28" s="992" t="str">
        <f>IF(L28&lt;'PlayerGrades+'!$AE$21,"F-",IF(L28&lt;'PlayerGrades+'!$AE$20,"F",IF(L28&lt;'PlayerGrades+'!$AE$19,"F+",IF(L28&lt;'PlayerGrades+'!$AE$18,"E-",IF(L28&lt;'PlayerGrades+'!$AE$17,"E",IF(L28&lt;'PlayerGrades+'!$AE$16,"E+",IF(L28&lt;'PlayerGrades+'!$AE$15,"D-",IF(L28&lt;'PlayerGrades+'!$AE$14,"D",IF(L28&lt;'PlayerGrades+'!$AE$13,"D+",IF(L28&lt;'PlayerGrades+'!$AE$12,"C-",IF(L28&lt;'PlayerGrades+'!$AE$11,"C",IF(L28&lt;'PlayerGrades+'!$AE$10,"C+",IF(L28&lt;'PlayerGrades+'!$AE$9,"B-",IF(L28&lt;'PlayerGrades+'!$AE$8,"B",IF(L28&lt;'PlayerGrades+'!$AE$7,"B+",IF(L28&lt;'PlayerGrades+'!$AE$6,"A-",IF(L28&lt;'PlayerGrades+'!$AE$5,"A",IF(L28&lt;'PlayerGrades+'!$AE$4,"A+",IF(L28&lt;'PlayerGrades+'!$AE$3,"S-",IF(L28&lt;'PlayerGrades+'!$AE$2,"S","S+"))))))))))))))))))))</f>
        <v>B+</v>
      </c>
      <c r="N28" s="961">
        <f t="shared" si="6"/>
        <v>0.2580645161</v>
      </c>
      <c r="O28" s="961" t="str">
        <f>IF(N28&lt;'PlayerGrades+'!$AF$21,"F-",IF(N28&lt;'PlayerGrades+'!$AF$20,"F",IF(N28&lt;'PlayerGrades+'!$AF$19,"F+",IF(N28&lt;'PlayerGrades+'!$AF$18,"E-",IF(N28&lt;'PlayerGrades+'!$AF$17,"E",IF(N28&lt;'PlayerGrades+'!$AF$16,"E+",IF(N28&lt;'PlayerGrades+'!$AF$15,"D-",IF(N28&lt;'PlayerGrades+'!$AF$14,"D",IF(N28&lt;'PlayerGrades+'!$AF$13,"D+",IF(N28&lt;'PlayerGrades+'!$AF$12,"C-",IF(N28&lt;'PlayerGrades+'!$AF$11,"C",IF(N28&lt;'PlayerGrades+'!$AF$10,"C+",IF(N28&lt;'PlayerGrades+'!$AF$9,"B-",IF(N28&lt;'PlayerGrades+'!$AF$8,"B",IF(N28&lt;'PlayerGrades+'!$AF$7,"B+",IF(N28&lt;'PlayerGrades+'!$AF$6,"A-",IF(N28&lt;'PlayerGrades+'!$AF$5,"A",IF(N28&lt;'PlayerGrades+'!$AF$4,"A+",IF(N28&lt;'PlayerGrades+'!$AF$3,"S-",IF(N28&lt;'PlayerGrades+'!$AF$2,"S","S+"))))))))))))))))))))</f>
        <v>S-</v>
      </c>
      <c r="P28" s="961">
        <f t="shared" si="7"/>
        <v>1.032258065</v>
      </c>
      <c r="Q28" s="961" t="str">
        <f>IF(P28&lt;'PlayerGrades+'!$AG$21,"F-",IF(P28&lt;'PlayerGrades+'!$AG$20,"F",IF(P28&lt;'PlayerGrades+'!$AG$19,"F+",IF(P28&lt;'PlayerGrades+'!$AG$18,"E-",IF(P28&lt;'PlayerGrades+'!$AG$17,"E",IF(P28&lt;'PlayerGrades+'!$AG$16,"E+",IF(P28&lt;'PlayerGrades+'!$AG$15,"D-",IF(P28&lt;'PlayerGrades+'!$AG$14,"D",IF(P28&lt;'PlayerGrades+'!$AG$13,"D+",IF(P28&lt;'PlayerGrades+'!$AG$12,"C-",IF(P28&lt;'PlayerGrades+'!$AG$11,"C",IF(P28&lt;'PlayerGrades+'!$AG$10,"C+",IF(P28&lt;'PlayerGrades+'!$AG$9,"B-",IF(P28&lt;'PlayerGrades+'!$AG$8,"B",IF(P28&lt;'PlayerGrades+'!$AG$7,"B+",IF(P28&lt;'PlayerGrades+'!$AG$6,"A-",IF(P28&lt;'PlayerGrades+'!$AG$5,"A",IF(P28&lt;'PlayerGrades+'!$AG$4,"A+",IF(P28&lt;'PlayerGrades+'!$AG$3,"S-",IF(P28&lt;'PlayerGrades+'!$AG$2,"S","S+"))))))))))))))))))))</f>
        <v>A+</v>
      </c>
      <c r="R28" s="961">
        <f t="shared" si="8"/>
        <v>0.2580645161</v>
      </c>
      <c r="S28" s="961" t="str">
        <f>IF(R28&lt;'PlayerGrades+'!$AH$21,"F-",IF(R28&lt;'PlayerGrades+'!$AH$20,"F",IF(R28&lt;'PlayerGrades+'!$AH$19,"F+",IF(R28&lt;'PlayerGrades+'!$AH$18,"E-",IF(R28&lt;'PlayerGrades+'!$AH$17,"E",IF(R28&lt;'PlayerGrades+'!$AH$16,"E+",IF(R28&lt;'PlayerGrades+'!$AH$15,"D-",IF(R28&lt;'PlayerGrades+'!$AH$14,"D",IF(R28&lt;'PlayerGrades+'!$AH$13,"D+",IF(R28&lt;'PlayerGrades+'!$AH$12,"C-",IF(R28&lt;'PlayerGrades+'!$AH$11,"C",IF(R28&lt;'PlayerGrades+'!$AH$10,"C+",IF(R28&lt;'PlayerGrades+'!$AH$9,"B-",IF(R28&lt;'PlayerGrades+'!$AH$8,"B",IF(R28&lt;'PlayerGrades+'!$AH$7,"B+",IF(R28&lt;'PlayerGrades+'!$AH$6,"A-",IF(R28&lt;'PlayerGrades+'!$AH$5,"A",IF(R28&lt;'PlayerGrades+'!$AH$4,"A+",IF(R28&lt;'PlayerGrades+'!$AH$3,"S-",IF(R28&lt;'PlayerGrades+'!$AH$2,"S","S+"))))))))))))))))))))</f>
        <v>S+</v>
      </c>
      <c r="T28" s="961">
        <f t="shared" si="9"/>
        <v>25.75</v>
      </c>
      <c r="U28" s="961" t="str">
        <f>IF(T28&lt;'PlayerGrades+'!$AI$21,"F-",IF(T28&lt;'PlayerGrades+'!$AI$20,"F",IF(T28&lt;'PlayerGrades+'!$AI$19,"F+",IF(T28&lt;'PlayerGrades+'!$AI$18,"E-",IF(T28&lt;'PlayerGrades+'!$AI$17,"E",IF(T28&lt;'PlayerGrades+'!$AI$16,"E+",IF(T28&lt;'PlayerGrades+'!$AI$15,"D-",IF(T28&lt;'PlayerGrades+'!$AI$14,"D",IF(T28&lt;'PlayerGrades+'!$AI$13,"D+",IF(T28&lt;'PlayerGrades+'!$AI$12,"C-",IF(T28&lt;'PlayerGrades+'!$AI$11,"C",IF(T28&lt;'PlayerGrades+'!$AI$10,"C+",IF(T28&lt;'PlayerGrades+'!$AI$9,"B-",IF(T28&lt;'PlayerGrades+'!$AI$8,"B",IF(T28&lt;'PlayerGrades+'!$AI$7,"B+",IF(T28&lt;'PlayerGrades+'!$AI$6,"A-",IF(T28&lt;'PlayerGrades+'!$AI$5,"A",IF(T28&lt;'PlayerGrades+'!$AI$4,"A+",IF(T28&lt;'PlayerGrades+'!$AI$3,"S-",IF(T28&lt;'PlayerGrades+'!$AI$2,"S","S+"))))))))))))))))))))</f>
        <v>S+</v>
      </c>
      <c r="V28" s="1195">
        <v>1.0</v>
      </c>
      <c r="W28" s="1195">
        <v>0.0</v>
      </c>
      <c r="X28" s="1374">
        <v>1.0</v>
      </c>
      <c r="Y28" s="1374">
        <v>3.0</v>
      </c>
      <c r="Z28" s="1374">
        <v>18.0</v>
      </c>
      <c r="AA28" s="1374">
        <v>25.0</v>
      </c>
      <c r="AB28" s="1195">
        <f t="shared" si="10"/>
        <v>-7</v>
      </c>
      <c r="AC28" s="1215">
        <f t="shared" si="11"/>
        <v>0.72</v>
      </c>
      <c r="AD28" s="1216">
        <v>0.0</v>
      </c>
      <c r="AE28" s="1373">
        <v>0.3229166666666667</v>
      </c>
      <c r="AF28" s="1374">
        <v>0.0</v>
      </c>
      <c r="AG28" s="1216">
        <v>0.0</v>
      </c>
      <c r="AH28" s="1216">
        <v>0.0</v>
      </c>
      <c r="AI28" s="1216">
        <v>0.0</v>
      </c>
      <c r="AJ28" s="1216">
        <v>1.0</v>
      </c>
      <c r="AK28" s="1374">
        <v>4.0</v>
      </c>
      <c r="AL28" s="1374">
        <v>2.0</v>
      </c>
      <c r="AM28" s="1216">
        <v>1.0</v>
      </c>
      <c r="AN28" s="1216">
        <v>0.0</v>
      </c>
      <c r="AO28" s="1216">
        <v>0.0</v>
      </c>
      <c r="AP28" s="1216">
        <v>0.0</v>
      </c>
      <c r="AQ28" s="1216">
        <v>0.0</v>
      </c>
      <c r="AR28" s="1216">
        <v>0.0</v>
      </c>
      <c r="AS28" s="1216">
        <v>0.0</v>
      </c>
      <c r="AT28" s="1216">
        <v>0.0</v>
      </c>
      <c r="AU28" s="1374">
        <v>1.0</v>
      </c>
      <c r="AV28" s="1216">
        <v>0.0</v>
      </c>
      <c r="AW28" s="1216">
        <v>0.0</v>
      </c>
      <c r="AX28" s="1374">
        <v>0.0</v>
      </c>
      <c r="AY28" s="1374">
        <v>0.0</v>
      </c>
      <c r="AZ28" s="1374">
        <v>2.0</v>
      </c>
    </row>
    <row r="29">
      <c r="A29" s="1233" t="s">
        <v>41</v>
      </c>
      <c r="B29" s="1100" t="str">
        <f>IF(C29&lt;'PlayerGrades+'!$Y$44,"F-",IF(C29&lt;'PlayerGrades+'!$Y$43,"F",IF(C29&lt;'PlayerGrades+'!$Y$42,"F+",IF(C29&lt;'PlayerGrades+'!$Y$41,"E-",IF(C29&lt;'PlayerGrades+'!$Y$40,"E",IF(C29&lt;'PlayerGrades+'!$Y$39,"E+",IF(C29&lt;'PlayerGrades+'!$Y$38,"D-",IF(C29&lt;'PlayerGrades+'!$Y$37,"D",IF(C29&lt;'PlayerGrades+'!$Y$36,"D+",IF(C29&lt;'PlayerGrades+'!$Y$35,"C-",IF(C29&lt;'PlayerGrades+'!$Y$34,"C",IF(C29&lt;'PlayerGrades+'!$Y$33,"C+",IF(C29&lt;'PlayerGrades+'!$Y$32,"B-",IF(C29&lt;'PlayerGrades+'!$Y$31,"B",IF(C29&lt;'PlayerGrades+'!$Y$30,"B+",IF(C29&lt;'PlayerGrades+'!$Y$29,"A-",IF(C29&lt;'PlayerGrades+'!$Y$28,"A",IF(C29&lt;'PlayerGrades+'!$Y$27,"A+",IF(C29&lt;'PlayerGrades+'!$Y$26,"S-",IF(C29&lt;'PlayerGrades+'!$Y$25,"S","S+"))))))))))))))))))))</f>
        <v>D</v>
      </c>
      <c r="C29" s="1239">
        <f>('PlayerGrades+'!$Y$47*(VLOOKUP(E29, 'PlayerGrades+'!$X$3:$Y$23, 2, FALSE)))+('PlayerGrades+'!$Y$48*(VLOOKUP(G29, 'PlayerGrades+'!$X$3:$Y$23, 2, FALSE)))+('PlayerGrades+'!$Y$49*(VLOOKUP(I29, 'PlayerGrades+'!$X$3:$Y$23, 2, FALSE)))+('PlayerGrades+'!$Y$50*(VLOOKUP(K29, 'PlayerGrades+'!$X$3:$Y$23, 2, FALSE)))+('PlayerGrades+'!$Y$51*(VLOOKUP(M29, 'PlayerGrades+'!$X$3:$Y$23, 2, FALSE)))+('PlayerGrades+'!$Y$52*(VLOOKUP(O29, 'PlayerGrades+'!$X$3:$Y$23, 2, FALSE)))+('PlayerGrades+'!$Y$53*(VLOOKUP(Q29, 'PlayerGrades+'!$X$3:$Y$23, 2, FALSE)))+('PlayerGrades+'!$Y$54*(VLOOKUP(S29, 'PlayerGrades+'!$X$3:$Y$23, 2, FALSE)))+('PlayerGrades+'!$Y$55*(VLOOKUP(U29, 'PlayerGrades+'!$X$3:$Y$23, 2, FALSE)))</f>
        <v>13.325</v>
      </c>
      <c r="D29" s="961">
        <f t="shared" si="1"/>
        <v>0</v>
      </c>
      <c r="E29" s="961" t="str">
        <f>IF(D29&lt;'PlayerGrades+'!$AA$21,"F-",IF(D29&lt;'PlayerGrades+'!$AA$20,"F",IF(D29&lt;'PlayerGrades+'!$AA$19,"F+",IF(D29&lt;'PlayerGrades+'!$AA$18,"E-",IF(D29&lt;'PlayerGrades+'!$AA$17,"E",IF(D29&lt;'PlayerGrades+'!$AA$16,"E+",IF(D29&lt;'PlayerGrades+'!$AA$15,"D-",IF(D29&lt;'PlayerGrades+'!$AA$14,"D",IF(D29&lt;'PlayerGrades+'!$AA$13,"D+",IF(D29&lt;'PlayerGrades+'!$AA$12,"C-",IF(D29&lt;'PlayerGrades+'!$AA$11,"C",IF(D29&lt;'PlayerGrades+'!$AA$10,"C+",IF(D29&lt;'PlayerGrades+'!$AA$9,"B-",IF(D29&lt;'PlayerGrades+'!$AA$8,"B",IF(D29&lt;'PlayerGrades+'!$AA$7,"B+",IF(D29&lt;'PlayerGrades+'!$AA$6,"A-",IF(D29&lt;'PlayerGrades+'!$AA$5,"A",IF(D29&lt;'PlayerGrades+'!$AA$4,"A+",IF(D29&lt;'PlayerGrades+'!$AA$3,"S-",IF(D29&lt;'PlayerGrades+'!$AA$2,"S","S+"))))))))))))))))))))</f>
        <v>F-</v>
      </c>
      <c r="F29" s="961">
        <f t="shared" si="2"/>
        <v>0.08064516129</v>
      </c>
      <c r="G29" s="961" t="str">
        <f>IF(F29&lt;'PlayerGrades+'!$AB$21,"F-",IF(F29&lt;'PlayerGrades+'!$AB$20,"F",IF(F29&lt;'PlayerGrades+'!$AB$19,"F+",IF(F29&lt;'PlayerGrades+'!$AB$18,"E-",IF(F29&lt;'PlayerGrades+'!$AB$17,"E",IF(F29&lt;'PlayerGrades+'!$AB$16,"E+",IF(F29&lt;'PlayerGrades+'!$AB$15,"D-",IF(F29&lt;'PlayerGrades+'!$AB$14,"D",IF(F29&lt;'PlayerGrades+'!$AB$13,"D+",IF(F29&lt;'PlayerGrades+'!$AB$12,"C-",IF(F29&lt;'PlayerGrades+'!$AB$11,"C",IF(F29&lt;'PlayerGrades+'!$AB$10,"C+",IF(F29&lt;'PlayerGrades+'!$AB$9,"B-",IF(F29&lt;'PlayerGrades+'!$AB$8,"B",IF(F29&lt;'PlayerGrades+'!$AB$7,"B+",IF(F29&lt;'PlayerGrades+'!$AB$6,"A-",IF(F29&lt;'PlayerGrades+'!$AB$5,"A",IF(F29&lt;'PlayerGrades+'!$AB$4,"A+",IF(F29&lt;'PlayerGrades+'!$AB$3,"S-",IF(F29&lt;'PlayerGrades+'!$AB$2,"S","S+"))))))))))))))))))))</f>
        <v>A</v>
      </c>
      <c r="H29" s="961">
        <f t="shared" si="3"/>
        <v>0.3870967742</v>
      </c>
      <c r="I29" s="961" t="str">
        <f>IF(H29&lt;'PlayerGrades+'!$AC$21,"F-",IF(H29&lt;'PlayerGrades+'!$AC$20,"F",IF(H29&lt;'PlayerGrades+'!$AC$19,"F+",IF(H29&lt;'PlayerGrades+'!$AC$18,"E-",IF(H29&lt;'PlayerGrades+'!$AC$17,"E",IF(H29&lt;'PlayerGrades+'!$AC$16,"E+",IF(H29&lt;'PlayerGrades+'!$AC$15,"D-",IF(H29&lt;'PlayerGrades+'!$AC$14,"D",IF(H29&lt;'PlayerGrades+'!$AC$13,"D+",IF(H29&lt;'PlayerGrades+'!$AC$12,"C-",IF(H29&lt;'PlayerGrades+'!$AC$11,"C",IF(H29&lt;'PlayerGrades+'!$AC$10,"C+",IF(H29&lt;'PlayerGrades+'!$AC$9,"B-",IF(H29&lt;'PlayerGrades+'!$AC$8,"B",IF(H29&lt;'PlayerGrades+'!$AC$7,"B+",IF(H29&lt;'PlayerGrades+'!$AC$6,"A-",IF(H29&lt;'PlayerGrades+'!$AC$5,"A",IF(H29&lt;'PlayerGrades+'!$AC$4,"A+",IF(H29&lt;'PlayerGrades+'!$AC$3,"S-",IF(H29&lt;'PlayerGrades+'!$AC$2,"S","S+"))))))))))))))))))))</f>
        <v>D</v>
      </c>
      <c r="J29" s="961">
        <f t="shared" si="4"/>
        <v>0</v>
      </c>
      <c r="K29" s="961" t="str">
        <f>IF(J29&lt;'PlayerGrades+'!$AD$21,"F-",IF(J29&lt;'PlayerGrades+'!$AD$20,"F",IF(J29&lt;'PlayerGrades+'!$AD$19,"F+",IF(J29&lt;'PlayerGrades+'!$AD$18,"E-",IF(J29&lt;'PlayerGrades+'!$AD$17,"E",IF(J29&lt;'PlayerGrades+'!$AD$16,"E+",IF(J29&lt;'PlayerGrades+'!$AD$15,"D-",IF(J29&lt;'PlayerGrades+'!$AD$14,"D",IF(J29&lt;'PlayerGrades+'!$AD$13,"D+",IF(J29&lt;'PlayerGrades+'!$AD$12,"C-",IF(J29&lt;'PlayerGrades+'!$AD$11,"C",IF(J29&lt;'PlayerGrades+'!$AD$10,"C+",IF(J29&lt;'PlayerGrades+'!$AD$9,"B-",IF(J29&lt;'PlayerGrades+'!$AD$8,"B",IF(J29&lt;'PlayerGrades+'!$AD$7,"B+",IF(J29&lt;'PlayerGrades+'!$AD$6,"A-",IF(J29&lt;'PlayerGrades+'!$AD$5,"A",IF(J29&lt;'PlayerGrades+'!$AD$4,"A+",IF(J29&lt;'PlayerGrades+'!$AD$3,"S-",IF(J29&lt;'PlayerGrades+'!$AD$2,"S","S+"))))))))))))))))))))</f>
        <v>F-</v>
      </c>
      <c r="L29" s="1176">
        <f t="shared" si="5"/>
        <v>0.3870967742</v>
      </c>
      <c r="M29" s="992" t="str">
        <f>IF(L29&lt;'PlayerGrades+'!$AE$21,"F-",IF(L29&lt;'PlayerGrades+'!$AE$20,"F",IF(L29&lt;'PlayerGrades+'!$AE$19,"F+",IF(L29&lt;'PlayerGrades+'!$AE$18,"E-",IF(L29&lt;'PlayerGrades+'!$AE$17,"E",IF(L29&lt;'PlayerGrades+'!$AE$16,"E+",IF(L29&lt;'PlayerGrades+'!$AE$15,"D-",IF(L29&lt;'PlayerGrades+'!$AE$14,"D",IF(L29&lt;'PlayerGrades+'!$AE$13,"D+",IF(L29&lt;'PlayerGrades+'!$AE$12,"C-",IF(L29&lt;'PlayerGrades+'!$AE$11,"C",IF(L29&lt;'PlayerGrades+'!$AE$10,"C+",IF(L29&lt;'PlayerGrades+'!$AE$9,"B-",IF(L29&lt;'PlayerGrades+'!$AE$8,"B",IF(L29&lt;'PlayerGrades+'!$AE$7,"B+",IF(L29&lt;'PlayerGrades+'!$AE$6,"A-",IF(L29&lt;'PlayerGrades+'!$AE$5,"A",IF(L29&lt;'PlayerGrades+'!$AE$4,"A+",IF(L29&lt;'PlayerGrades+'!$AE$3,"S-",IF(L29&lt;'PlayerGrades+'!$AE$2,"S","S+"))))))))))))))))))))</f>
        <v>D</v>
      </c>
      <c r="N29" s="961">
        <f t="shared" si="6"/>
        <v>0</v>
      </c>
      <c r="O29" s="961" t="str">
        <f>IF(N29&lt;'PlayerGrades+'!$AF$21,"F-",IF(N29&lt;'PlayerGrades+'!$AF$20,"F",IF(N29&lt;'PlayerGrades+'!$AF$19,"F+",IF(N29&lt;'PlayerGrades+'!$AF$18,"E-",IF(N29&lt;'PlayerGrades+'!$AF$17,"E",IF(N29&lt;'PlayerGrades+'!$AF$16,"E+",IF(N29&lt;'PlayerGrades+'!$AF$15,"D-",IF(N29&lt;'PlayerGrades+'!$AF$14,"D",IF(N29&lt;'PlayerGrades+'!$AF$13,"D+",IF(N29&lt;'PlayerGrades+'!$AF$12,"C-",IF(N29&lt;'PlayerGrades+'!$AF$11,"C",IF(N29&lt;'PlayerGrades+'!$AF$10,"C+",IF(N29&lt;'PlayerGrades+'!$AF$9,"B-",IF(N29&lt;'PlayerGrades+'!$AF$8,"B",IF(N29&lt;'PlayerGrades+'!$AF$7,"B+",IF(N29&lt;'PlayerGrades+'!$AF$6,"A-",IF(N29&lt;'PlayerGrades+'!$AF$5,"A",IF(N29&lt;'PlayerGrades+'!$AF$4,"A+",IF(N29&lt;'PlayerGrades+'!$AF$3,"S-",IF(N29&lt;'PlayerGrades+'!$AF$2,"S","S+"))))))))))))))))))))</f>
        <v>F-</v>
      </c>
      <c r="P29" s="961">
        <f t="shared" si="7"/>
        <v>0.6451612903</v>
      </c>
      <c r="Q29" s="961" t="str">
        <f>IF(P29&lt;'PlayerGrades+'!$AG$21,"F-",IF(P29&lt;'PlayerGrades+'!$AG$20,"F",IF(P29&lt;'PlayerGrades+'!$AG$19,"F+",IF(P29&lt;'PlayerGrades+'!$AG$18,"E-",IF(P29&lt;'PlayerGrades+'!$AG$17,"E",IF(P29&lt;'PlayerGrades+'!$AG$16,"E+",IF(P29&lt;'PlayerGrades+'!$AG$15,"D-",IF(P29&lt;'PlayerGrades+'!$AG$14,"D",IF(P29&lt;'PlayerGrades+'!$AG$13,"D+",IF(P29&lt;'PlayerGrades+'!$AG$12,"C-",IF(P29&lt;'PlayerGrades+'!$AG$11,"C",IF(P29&lt;'PlayerGrades+'!$AG$10,"C+",IF(P29&lt;'PlayerGrades+'!$AG$9,"B-",IF(P29&lt;'PlayerGrades+'!$AG$8,"B",IF(P29&lt;'PlayerGrades+'!$AG$7,"B+",IF(P29&lt;'PlayerGrades+'!$AG$6,"A-",IF(P29&lt;'PlayerGrades+'!$AG$5,"A",IF(P29&lt;'PlayerGrades+'!$AG$4,"A+",IF(P29&lt;'PlayerGrades+'!$AG$3,"S-",IF(P29&lt;'PlayerGrades+'!$AG$2,"S","S+"))))))))))))))))))))</f>
        <v>B-</v>
      </c>
      <c r="R29" s="961">
        <f t="shared" si="8"/>
        <v>0</v>
      </c>
      <c r="S29" s="961" t="str">
        <f>IF(R29&lt;'PlayerGrades+'!$AH$21,"F-",IF(R29&lt;'PlayerGrades+'!$AH$20,"F",IF(R29&lt;'PlayerGrades+'!$AH$19,"F+",IF(R29&lt;'PlayerGrades+'!$AH$18,"E-",IF(R29&lt;'PlayerGrades+'!$AH$17,"E",IF(R29&lt;'PlayerGrades+'!$AH$16,"E+",IF(R29&lt;'PlayerGrades+'!$AH$15,"D-",IF(R29&lt;'PlayerGrades+'!$AH$14,"D",IF(R29&lt;'PlayerGrades+'!$AH$13,"D+",IF(R29&lt;'PlayerGrades+'!$AH$12,"C-",IF(R29&lt;'PlayerGrades+'!$AH$11,"C",IF(R29&lt;'PlayerGrades+'!$AH$10,"C+",IF(R29&lt;'PlayerGrades+'!$AH$9,"B-",IF(R29&lt;'PlayerGrades+'!$AH$8,"B",IF(R29&lt;'PlayerGrades+'!$AH$7,"B+",IF(R29&lt;'PlayerGrades+'!$AH$6,"A-",IF(R29&lt;'PlayerGrades+'!$AH$5,"A",IF(R29&lt;'PlayerGrades+'!$AH$4,"A+",IF(R29&lt;'PlayerGrades+'!$AH$3,"S-",IF(R29&lt;'PlayerGrades+'!$AH$2,"S","S+"))))))))))))))))))))</f>
        <v>F-</v>
      </c>
      <c r="T29" s="961">
        <f t="shared" si="9"/>
        <v>22.75</v>
      </c>
      <c r="U29" s="961" t="str">
        <f>IF(T29&lt;'PlayerGrades+'!$AI$21,"F-",IF(T29&lt;'PlayerGrades+'!$AI$20,"F",IF(T29&lt;'PlayerGrades+'!$AI$19,"F+",IF(T29&lt;'PlayerGrades+'!$AI$18,"E-",IF(T29&lt;'PlayerGrades+'!$AI$17,"E",IF(T29&lt;'PlayerGrades+'!$AI$16,"E+",IF(T29&lt;'PlayerGrades+'!$AI$15,"D-",IF(T29&lt;'PlayerGrades+'!$AI$14,"D",IF(T29&lt;'PlayerGrades+'!$AI$13,"D+",IF(T29&lt;'PlayerGrades+'!$AI$12,"C-",IF(T29&lt;'PlayerGrades+'!$AI$11,"C",IF(T29&lt;'PlayerGrades+'!$AI$10,"C+",IF(T29&lt;'PlayerGrades+'!$AI$9,"B-",IF(T29&lt;'PlayerGrades+'!$AI$8,"B",IF(T29&lt;'PlayerGrades+'!$AI$7,"B+",IF(T29&lt;'PlayerGrades+'!$AI$6,"A-",IF(T29&lt;'PlayerGrades+'!$AI$5,"A",IF(T29&lt;'PlayerGrades+'!$AI$4,"A+",IF(T29&lt;'PlayerGrades+'!$AI$3,"S-",IF(T29&lt;'PlayerGrades+'!$AI$2,"S","S+"))))))))))))))))))))</f>
        <v>S+</v>
      </c>
      <c r="V29" s="1195">
        <v>1.0</v>
      </c>
      <c r="W29" s="1195">
        <v>0.0</v>
      </c>
      <c r="X29" s="1374">
        <v>0.0</v>
      </c>
      <c r="Y29" s="1374">
        <v>0.0</v>
      </c>
      <c r="Z29" s="1374">
        <v>15.0</v>
      </c>
      <c r="AA29" s="1374">
        <v>24.0</v>
      </c>
      <c r="AB29" s="1195">
        <f t="shared" si="10"/>
        <v>-9</v>
      </c>
      <c r="AC29" s="1215">
        <f t="shared" si="11"/>
        <v>0.625</v>
      </c>
      <c r="AD29" s="1216">
        <v>0.0</v>
      </c>
      <c r="AE29" s="1373">
        <v>0.3229166666666667</v>
      </c>
      <c r="AF29" s="1374">
        <v>0.0</v>
      </c>
      <c r="AG29" s="1216">
        <v>0.0</v>
      </c>
      <c r="AH29" s="1216">
        <v>0.0</v>
      </c>
      <c r="AI29" s="1216">
        <v>0.0</v>
      </c>
      <c r="AJ29" s="1216">
        <v>2.0</v>
      </c>
      <c r="AK29" s="1374">
        <v>3.0</v>
      </c>
      <c r="AL29" s="1374">
        <v>0.0</v>
      </c>
      <c r="AM29" s="1216">
        <v>0.0</v>
      </c>
      <c r="AN29" s="1216">
        <v>0.0</v>
      </c>
      <c r="AO29" s="1216">
        <v>0.0</v>
      </c>
      <c r="AP29" s="1216">
        <v>0.0</v>
      </c>
      <c r="AQ29" s="1216">
        <v>0.0</v>
      </c>
      <c r="AR29" s="1216">
        <v>0.0</v>
      </c>
      <c r="AS29" s="1216">
        <v>0.0</v>
      </c>
      <c r="AT29" s="1216">
        <v>0.0</v>
      </c>
      <c r="AU29" s="1374">
        <v>3.0</v>
      </c>
      <c r="AV29" s="1216">
        <v>0.0</v>
      </c>
      <c r="AW29" s="1216">
        <v>0.0</v>
      </c>
      <c r="AX29" s="1374">
        <v>0.0</v>
      </c>
      <c r="AY29" s="1374">
        <v>0.0</v>
      </c>
      <c r="AZ29" s="1374">
        <v>0.0</v>
      </c>
    </row>
    <row r="30">
      <c r="A30" s="1233" t="s">
        <v>1016</v>
      </c>
      <c r="B30" s="1100" t="str">
        <f>IF(C30&lt;'PlayerGrades+'!$Y$44,"F-",IF(C30&lt;'PlayerGrades+'!$Y$43,"F",IF(C30&lt;'PlayerGrades+'!$Y$42,"F+",IF(C30&lt;'PlayerGrades+'!$Y$41,"E-",IF(C30&lt;'PlayerGrades+'!$Y$40,"E",IF(C30&lt;'PlayerGrades+'!$Y$39,"E+",IF(C30&lt;'PlayerGrades+'!$Y$38,"D-",IF(C30&lt;'PlayerGrades+'!$Y$37,"D",IF(C30&lt;'PlayerGrades+'!$Y$36,"D+",IF(C30&lt;'PlayerGrades+'!$Y$35,"C-",IF(C30&lt;'PlayerGrades+'!$Y$34,"C",IF(C30&lt;'PlayerGrades+'!$Y$33,"C+",IF(C30&lt;'PlayerGrades+'!$Y$32,"B-",IF(C30&lt;'PlayerGrades+'!$Y$31,"B",IF(C30&lt;'PlayerGrades+'!$Y$30,"B+",IF(C30&lt;'PlayerGrades+'!$Y$29,"A-",IF(C30&lt;'PlayerGrades+'!$Y$28,"A",IF(C30&lt;'PlayerGrades+'!$Y$27,"A+",IF(C30&lt;'PlayerGrades+'!$Y$26,"S-",IF(C30&lt;'PlayerGrades+'!$Y$25,"S","S+"))))))))))))))))))))</f>
        <v>A-</v>
      </c>
      <c r="C30" s="1239">
        <f>('PlayerGrades+'!$Y$47*(VLOOKUP(E30, 'PlayerGrades+'!$X$3:$Y$23, 2, FALSE)))+('PlayerGrades+'!$Y$48*(VLOOKUP(G30, 'PlayerGrades+'!$X$3:$Y$23, 2, FALSE)))+('PlayerGrades+'!$Y$49*(VLOOKUP(I30, 'PlayerGrades+'!$X$3:$Y$23, 2, FALSE)))+('PlayerGrades+'!$Y$50*(VLOOKUP(K30, 'PlayerGrades+'!$X$3:$Y$23, 2, FALSE)))+('PlayerGrades+'!$Y$51*(VLOOKUP(M30, 'PlayerGrades+'!$X$3:$Y$23, 2, FALSE)))+('PlayerGrades+'!$Y$52*(VLOOKUP(O30, 'PlayerGrades+'!$X$3:$Y$23, 2, FALSE)))+('PlayerGrades+'!$Y$53*(VLOOKUP(Q30, 'PlayerGrades+'!$X$3:$Y$23, 2, FALSE)))+('PlayerGrades+'!$Y$54*(VLOOKUP(S30, 'PlayerGrades+'!$X$3:$Y$23, 2, FALSE)))+('PlayerGrades+'!$Y$55*(VLOOKUP(U30, 'PlayerGrades+'!$X$3:$Y$23, 2, FALSE)))</f>
        <v>20.8375</v>
      </c>
      <c r="D30" s="961">
        <f t="shared" si="1"/>
        <v>0.1290322581</v>
      </c>
      <c r="E30" s="961" t="str">
        <f>IF(D30&lt;'PlayerGrades+'!$AA$21,"F-",IF(D30&lt;'PlayerGrades+'!$AA$20,"F",IF(D30&lt;'PlayerGrades+'!$AA$19,"F+",IF(D30&lt;'PlayerGrades+'!$AA$18,"E-",IF(D30&lt;'PlayerGrades+'!$AA$17,"E",IF(D30&lt;'PlayerGrades+'!$AA$16,"E+",IF(D30&lt;'PlayerGrades+'!$AA$15,"D-",IF(D30&lt;'PlayerGrades+'!$AA$14,"D",IF(D30&lt;'PlayerGrades+'!$AA$13,"D+",IF(D30&lt;'PlayerGrades+'!$AA$12,"C-",IF(D30&lt;'PlayerGrades+'!$AA$11,"C",IF(D30&lt;'PlayerGrades+'!$AA$10,"C+",IF(D30&lt;'PlayerGrades+'!$AA$9,"B-",IF(D30&lt;'PlayerGrades+'!$AA$8,"B",IF(D30&lt;'PlayerGrades+'!$AA$7,"B+",IF(D30&lt;'PlayerGrades+'!$AA$6,"A-",IF(D30&lt;'PlayerGrades+'!$AA$5,"A",IF(D30&lt;'PlayerGrades+'!$AA$4,"A+",IF(D30&lt;'PlayerGrades+'!$AA$3,"S-",IF(D30&lt;'PlayerGrades+'!$AA$2,"S","S+"))))))))))))))))))))</f>
        <v>S-</v>
      </c>
      <c r="F30" s="961">
        <f t="shared" si="2"/>
        <v>0.1042183623</v>
      </c>
      <c r="G30" s="961" t="str">
        <f>IF(F30&lt;'PlayerGrades+'!$AB$21,"F-",IF(F30&lt;'PlayerGrades+'!$AB$20,"F",IF(F30&lt;'PlayerGrades+'!$AB$19,"F+",IF(F30&lt;'PlayerGrades+'!$AB$18,"E-",IF(F30&lt;'PlayerGrades+'!$AB$17,"E",IF(F30&lt;'PlayerGrades+'!$AB$16,"E+",IF(F30&lt;'PlayerGrades+'!$AB$15,"D-",IF(F30&lt;'PlayerGrades+'!$AB$14,"D",IF(F30&lt;'PlayerGrades+'!$AB$13,"D+",IF(F30&lt;'PlayerGrades+'!$AB$12,"C-",IF(F30&lt;'PlayerGrades+'!$AB$11,"C",IF(F30&lt;'PlayerGrades+'!$AB$10,"C+",IF(F30&lt;'PlayerGrades+'!$AB$9,"B-",IF(F30&lt;'PlayerGrades+'!$AB$8,"B",IF(F30&lt;'PlayerGrades+'!$AB$7,"B+",IF(F30&lt;'PlayerGrades+'!$AB$6,"A-",IF(F30&lt;'PlayerGrades+'!$AB$5,"A",IF(F30&lt;'PlayerGrades+'!$AB$4,"A+",IF(F30&lt;'PlayerGrades+'!$AB$3,"S-",IF(F30&lt;'PlayerGrades+'!$AB$2,"S","S+"))))))))))))))))))))</f>
        <v>A</v>
      </c>
      <c r="H30" s="961">
        <f t="shared" si="3"/>
        <v>0.2580645161</v>
      </c>
      <c r="I30" s="961" t="str">
        <f>IF(H30&lt;'PlayerGrades+'!$AC$21,"F-",IF(H30&lt;'PlayerGrades+'!$AC$20,"F",IF(H30&lt;'PlayerGrades+'!$AC$19,"F+",IF(H30&lt;'PlayerGrades+'!$AC$18,"E-",IF(H30&lt;'PlayerGrades+'!$AC$17,"E",IF(H30&lt;'PlayerGrades+'!$AC$16,"E+",IF(H30&lt;'PlayerGrades+'!$AC$15,"D-",IF(H30&lt;'PlayerGrades+'!$AC$14,"D",IF(H30&lt;'PlayerGrades+'!$AC$13,"D+",IF(H30&lt;'PlayerGrades+'!$AC$12,"C-",IF(H30&lt;'PlayerGrades+'!$AC$11,"C",IF(H30&lt;'PlayerGrades+'!$AC$10,"C+",IF(H30&lt;'PlayerGrades+'!$AC$9,"B-",IF(H30&lt;'PlayerGrades+'!$AC$8,"B",IF(H30&lt;'PlayerGrades+'!$AC$7,"B+",IF(H30&lt;'PlayerGrades+'!$AC$6,"A-",IF(H30&lt;'PlayerGrades+'!$AC$5,"A",IF(H30&lt;'PlayerGrades+'!$AC$4,"A+",IF(H30&lt;'PlayerGrades+'!$AC$3,"S-",IF(H30&lt;'PlayerGrades+'!$AC$2,"S","S+"))))))))))))))))))))</f>
        <v>F+</v>
      </c>
      <c r="J30" s="961">
        <f t="shared" si="4"/>
        <v>0</v>
      </c>
      <c r="K30" s="961" t="str">
        <f>IF(J30&lt;'PlayerGrades+'!$AD$21,"F-",IF(J30&lt;'PlayerGrades+'!$AD$20,"F",IF(J30&lt;'PlayerGrades+'!$AD$19,"F+",IF(J30&lt;'PlayerGrades+'!$AD$18,"E-",IF(J30&lt;'PlayerGrades+'!$AD$17,"E",IF(J30&lt;'PlayerGrades+'!$AD$16,"E+",IF(J30&lt;'PlayerGrades+'!$AD$15,"D-",IF(J30&lt;'PlayerGrades+'!$AD$14,"D",IF(J30&lt;'PlayerGrades+'!$AD$13,"D+",IF(J30&lt;'PlayerGrades+'!$AD$12,"C-",IF(J30&lt;'PlayerGrades+'!$AD$11,"C",IF(J30&lt;'PlayerGrades+'!$AD$10,"C+",IF(J30&lt;'PlayerGrades+'!$AD$9,"B-",IF(J30&lt;'PlayerGrades+'!$AD$8,"B",IF(J30&lt;'PlayerGrades+'!$AD$7,"B+",IF(J30&lt;'PlayerGrades+'!$AD$6,"A-",IF(J30&lt;'PlayerGrades+'!$AD$5,"A",IF(J30&lt;'PlayerGrades+'!$AD$4,"A+",IF(J30&lt;'PlayerGrades+'!$AD$3,"S-",IF(J30&lt;'PlayerGrades+'!$AD$2,"S","S+"))))))))))))))))))))</f>
        <v>F-</v>
      </c>
      <c r="L30" s="1176">
        <f t="shared" si="5"/>
        <v>0.7741935484</v>
      </c>
      <c r="M30" s="992" t="str">
        <f>IF(L30&lt;'PlayerGrades+'!$AE$21,"F-",IF(L30&lt;'PlayerGrades+'!$AE$20,"F",IF(L30&lt;'PlayerGrades+'!$AE$19,"F+",IF(L30&lt;'PlayerGrades+'!$AE$18,"E-",IF(L30&lt;'PlayerGrades+'!$AE$17,"E",IF(L30&lt;'PlayerGrades+'!$AE$16,"E+",IF(L30&lt;'PlayerGrades+'!$AE$15,"D-",IF(L30&lt;'PlayerGrades+'!$AE$14,"D",IF(L30&lt;'PlayerGrades+'!$AE$13,"D+",IF(L30&lt;'PlayerGrades+'!$AE$12,"C-",IF(L30&lt;'PlayerGrades+'!$AE$11,"C",IF(L30&lt;'PlayerGrades+'!$AE$10,"C+",IF(L30&lt;'PlayerGrades+'!$AE$9,"B-",IF(L30&lt;'PlayerGrades+'!$AE$8,"B",IF(L30&lt;'PlayerGrades+'!$AE$7,"B+",IF(L30&lt;'PlayerGrades+'!$AE$6,"A-",IF(L30&lt;'PlayerGrades+'!$AE$5,"A",IF(L30&lt;'PlayerGrades+'!$AE$4,"A+",IF(L30&lt;'PlayerGrades+'!$AE$3,"S-",IF(L30&lt;'PlayerGrades+'!$AE$2,"S","S+"))))))))))))))))))))</f>
        <v>S-</v>
      </c>
      <c r="N30" s="961">
        <f t="shared" si="6"/>
        <v>0.1290322581</v>
      </c>
      <c r="O30" s="961" t="str">
        <f>IF(N30&lt;'PlayerGrades+'!$AF$21,"F-",IF(N30&lt;'PlayerGrades+'!$AF$20,"F",IF(N30&lt;'PlayerGrades+'!$AF$19,"F+",IF(N30&lt;'PlayerGrades+'!$AF$18,"E-",IF(N30&lt;'PlayerGrades+'!$AF$17,"E",IF(N30&lt;'PlayerGrades+'!$AF$16,"E+",IF(N30&lt;'PlayerGrades+'!$AF$15,"D-",IF(N30&lt;'PlayerGrades+'!$AF$14,"D",IF(N30&lt;'PlayerGrades+'!$AF$13,"D+",IF(N30&lt;'PlayerGrades+'!$AF$12,"C-",IF(N30&lt;'PlayerGrades+'!$AF$11,"C",IF(N30&lt;'PlayerGrades+'!$AF$10,"C+",IF(N30&lt;'PlayerGrades+'!$AF$9,"B-",IF(N30&lt;'PlayerGrades+'!$AF$8,"B",IF(N30&lt;'PlayerGrades+'!$AF$7,"B+",IF(N30&lt;'PlayerGrades+'!$AF$6,"A-",IF(N30&lt;'PlayerGrades+'!$AF$5,"A",IF(N30&lt;'PlayerGrades+'!$AF$4,"A+",IF(N30&lt;'PlayerGrades+'!$AF$3,"S-",IF(N30&lt;'PlayerGrades+'!$AF$2,"S","S+"))))))))))))))))))))</f>
        <v>C+</v>
      </c>
      <c r="P30" s="961">
        <f t="shared" si="7"/>
        <v>0.9032258065</v>
      </c>
      <c r="Q30" s="961" t="str">
        <f>IF(P30&lt;'PlayerGrades+'!$AG$21,"F-",IF(P30&lt;'PlayerGrades+'!$AG$20,"F",IF(P30&lt;'PlayerGrades+'!$AG$19,"F+",IF(P30&lt;'PlayerGrades+'!$AG$18,"E-",IF(P30&lt;'PlayerGrades+'!$AG$17,"E",IF(P30&lt;'PlayerGrades+'!$AG$16,"E+",IF(P30&lt;'PlayerGrades+'!$AG$15,"D-",IF(P30&lt;'PlayerGrades+'!$AG$14,"D",IF(P30&lt;'PlayerGrades+'!$AG$13,"D+",IF(P30&lt;'PlayerGrades+'!$AG$12,"C-",IF(P30&lt;'PlayerGrades+'!$AG$11,"C",IF(P30&lt;'PlayerGrades+'!$AG$10,"C+",IF(P30&lt;'PlayerGrades+'!$AG$9,"B-",IF(P30&lt;'PlayerGrades+'!$AG$8,"B",IF(P30&lt;'PlayerGrades+'!$AG$7,"B+",IF(P30&lt;'PlayerGrades+'!$AG$6,"A-",IF(P30&lt;'PlayerGrades+'!$AG$5,"A",IF(P30&lt;'PlayerGrades+'!$AG$4,"A+",IF(P30&lt;'PlayerGrades+'!$AG$3,"S-",IF(P30&lt;'PlayerGrades+'!$AG$2,"S","S+"))))))))))))))))))))</f>
        <v>A+</v>
      </c>
      <c r="R30" s="961">
        <f t="shared" si="8"/>
        <v>0.1290322581</v>
      </c>
      <c r="S30" s="961" t="str">
        <f>IF(R30&lt;'PlayerGrades+'!$AH$21,"F-",IF(R30&lt;'PlayerGrades+'!$AH$20,"F",IF(R30&lt;'PlayerGrades+'!$AH$19,"F+",IF(R30&lt;'PlayerGrades+'!$AH$18,"E-",IF(R30&lt;'PlayerGrades+'!$AH$17,"E",IF(R30&lt;'PlayerGrades+'!$AH$16,"E+",IF(R30&lt;'PlayerGrades+'!$AH$15,"D-",IF(R30&lt;'PlayerGrades+'!$AH$14,"D",IF(R30&lt;'PlayerGrades+'!$AH$13,"D+",IF(R30&lt;'PlayerGrades+'!$AH$12,"C-",IF(R30&lt;'PlayerGrades+'!$AH$11,"C",IF(R30&lt;'PlayerGrades+'!$AH$10,"C+",IF(R30&lt;'PlayerGrades+'!$AH$9,"B-",IF(R30&lt;'PlayerGrades+'!$AH$8,"B",IF(R30&lt;'PlayerGrades+'!$AH$7,"B+",IF(R30&lt;'PlayerGrades+'!$AH$6,"A-",IF(R30&lt;'PlayerGrades+'!$AH$5,"A",IF(R30&lt;'PlayerGrades+'!$AH$4,"A+",IF(R30&lt;'PlayerGrades+'!$AH$3,"S-",IF(R30&lt;'PlayerGrades+'!$AH$2,"S","S+"))))))))))))))))))))</f>
        <v>S</v>
      </c>
      <c r="T30" s="961">
        <f t="shared" si="9"/>
        <v>28.75</v>
      </c>
      <c r="U30" s="961" t="str">
        <f>IF(T30&lt;'PlayerGrades+'!$AI$21,"F-",IF(T30&lt;'PlayerGrades+'!$AI$20,"F",IF(T30&lt;'PlayerGrades+'!$AI$19,"F+",IF(T30&lt;'PlayerGrades+'!$AI$18,"E-",IF(T30&lt;'PlayerGrades+'!$AI$17,"E",IF(T30&lt;'PlayerGrades+'!$AI$16,"E+",IF(T30&lt;'PlayerGrades+'!$AI$15,"D-",IF(T30&lt;'PlayerGrades+'!$AI$14,"D",IF(T30&lt;'PlayerGrades+'!$AI$13,"D+",IF(T30&lt;'PlayerGrades+'!$AI$12,"C-",IF(T30&lt;'PlayerGrades+'!$AI$11,"C",IF(T30&lt;'PlayerGrades+'!$AI$10,"C+",IF(T30&lt;'PlayerGrades+'!$AI$9,"B-",IF(T30&lt;'PlayerGrades+'!$AI$8,"B",IF(T30&lt;'PlayerGrades+'!$AI$7,"B+",IF(T30&lt;'PlayerGrades+'!$AI$6,"A-",IF(T30&lt;'PlayerGrades+'!$AI$5,"A",IF(T30&lt;'PlayerGrades+'!$AI$4,"A+",IF(T30&lt;'PlayerGrades+'!$AI$3,"S-",IF(T30&lt;'PlayerGrades+'!$AI$2,"S","S+"))))))))))))))))))))</f>
        <v>S+</v>
      </c>
      <c r="V30" s="1195">
        <v>0.0</v>
      </c>
      <c r="W30" s="1195">
        <v>1.0</v>
      </c>
      <c r="X30" s="1374">
        <v>1.0</v>
      </c>
      <c r="Y30" s="1374">
        <v>5.0</v>
      </c>
      <c r="Z30" s="1374">
        <v>21.0</v>
      </c>
      <c r="AA30" s="1374">
        <v>26.0</v>
      </c>
      <c r="AB30" s="1195">
        <f t="shared" si="10"/>
        <v>-5</v>
      </c>
      <c r="AC30" s="1215">
        <f t="shared" si="11"/>
        <v>0.8076923077</v>
      </c>
      <c r="AD30" s="1216">
        <v>0.0</v>
      </c>
      <c r="AE30" s="1373">
        <v>0.3229166666666667</v>
      </c>
      <c r="AF30" s="1374">
        <v>0.0</v>
      </c>
      <c r="AG30" s="1216">
        <v>0.0</v>
      </c>
      <c r="AH30" s="1216">
        <v>0.0</v>
      </c>
      <c r="AI30" s="1216">
        <v>0.0</v>
      </c>
      <c r="AJ30" s="1216">
        <v>0.0</v>
      </c>
      <c r="AK30" s="1374">
        <v>6.0</v>
      </c>
      <c r="AL30" s="1374">
        <v>1.0</v>
      </c>
      <c r="AM30" s="1216">
        <v>0.0</v>
      </c>
      <c r="AN30" s="1216">
        <v>0.0</v>
      </c>
      <c r="AO30" s="1216">
        <v>0.0</v>
      </c>
      <c r="AP30" s="1216">
        <v>0.0</v>
      </c>
      <c r="AQ30" s="1216">
        <v>0.0</v>
      </c>
      <c r="AR30" s="1216">
        <v>0.0</v>
      </c>
      <c r="AS30" s="1216">
        <v>0.0</v>
      </c>
      <c r="AT30" s="1216">
        <v>0.0</v>
      </c>
      <c r="AU30" s="1374">
        <v>2.0</v>
      </c>
      <c r="AV30" s="1216">
        <v>1.0</v>
      </c>
      <c r="AW30" s="1216">
        <v>0.0</v>
      </c>
      <c r="AX30" s="1374">
        <v>1.0</v>
      </c>
      <c r="AY30" s="1374">
        <v>0.0</v>
      </c>
      <c r="AZ30" s="1374">
        <v>0.0</v>
      </c>
    </row>
    <row r="31">
      <c r="A31" s="1233" t="s">
        <v>222</v>
      </c>
      <c r="B31" s="1100" t="str">
        <f>IF(C31&lt;'PlayerGrades+'!$Y$44,"F-",IF(C31&lt;'PlayerGrades+'!$Y$43,"F",IF(C31&lt;'PlayerGrades+'!$Y$42,"F+",IF(C31&lt;'PlayerGrades+'!$Y$41,"E-",IF(C31&lt;'PlayerGrades+'!$Y$40,"E",IF(C31&lt;'PlayerGrades+'!$Y$39,"E+",IF(C31&lt;'PlayerGrades+'!$Y$38,"D-",IF(C31&lt;'PlayerGrades+'!$Y$37,"D",IF(C31&lt;'PlayerGrades+'!$Y$36,"D+",IF(C31&lt;'PlayerGrades+'!$Y$35,"C-",IF(C31&lt;'PlayerGrades+'!$Y$34,"C",IF(C31&lt;'PlayerGrades+'!$Y$33,"C+",IF(C31&lt;'PlayerGrades+'!$Y$32,"B-",IF(C31&lt;'PlayerGrades+'!$Y$31,"B",IF(C31&lt;'PlayerGrades+'!$Y$30,"B+",IF(C31&lt;'PlayerGrades+'!$Y$29,"A-",IF(C31&lt;'PlayerGrades+'!$Y$28,"A",IF(C31&lt;'PlayerGrades+'!$Y$27,"A+",IF(C31&lt;'PlayerGrades+'!$Y$26,"S-",IF(C31&lt;'PlayerGrades+'!$Y$25,"S","S+"))))))))))))))))))))</f>
        <v>D-</v>
      </c>
      <c r="C31" s="1239">
        <f>('PlayerGrades+'!$Y$47*(VLOOKUP(E31, 'PlayerGrades+'!$X$3:$Y$23, 2, FALSE)))+('PlayerGrades+'!$Y$48*(VLOOKUP(G31, 'PlayerGrades+'!$X$3:$Y$23, 2, FALSE)))+('PlayerGrades+'!$Y$49*(VLOOKUP(I31, 'PlayerGrades+'!$X$3:$Y$23, 2, FALSE)))+('PlayerGrades+'!$Y$50*(VLOOKUP(K31, 'PlayerGrades+'!$X$3:$Y$23, 2, FALSE)))+('PlayerGrades+'!$Y$51*(VLOOKUP(M31, 'PlayerGrades+'!$X$3:$Y$23, 2, FALSE)))+('PlayerGrades+'!$Y$52*(VLOOKUP(O31, 'PlayerGrades+'!$X$3:$Y$23, 2, FALSE)))+('PlayerGrades+'!$Y$53*(VLOOKUP(Q31, 'PlayerGrades+'!$X$3:$Y$23, 2, FALSE)))+('PlayerGrades+'!$Y$54*(VLOOKUP(S31, 'PlayerGrades+'!$X$3:$Y$23, 2, FALSE)))+('PlayerGrades+'!$Y$55*(VLOOKUP(U31, 'PlayerGrades+'!$X$3:$Y$23, 2, FALSE)))</f>
        <v>12.4125</v>
      </c>
      <c r="D31" s="961">
        <f t="shared" si="1"/>
        <v>0</v>
      </c>
      <c r="E31" s="961" t="str">
        <f>IF(D31&lt;'PlayerGrades+'!$AA$21,"F-",IF(D31&lt;'PlayerGrades+'!$AA$20,"F",IF(D31&lt;'PlayerGrades+'!$AA$19,"F+",IF(D31&lt;'PlayerGrades+'!$AA$18,"E-",IF(D31&lt;'PlayerGrades+'!$AA$17,"E",IF(D31&lt;'PlayerGrades+'!$AA$16,"E+",IF(D31&lt;'PlayerGrades+'!$AA$15,"D-",IF(D31&lt;'PlayerGrades+'!$AA$14,"D",IF(D31&lt;'PlayerGrades+'!$AA$13,"D+",IF(D31&lt;'PlayerGrades+'!$AA$12,"C-",IF(D31&lt;'PlayerGrades+'!$AA$11,"C",IF(D31&lt;'PlayerGrades+'!$AA$10,"C+",IF(D31&lt;'PlayerGrades+'!$AA$9,"B-",IF(D31&lt;'PlayerGrades+'!$AA$8,"B",IF(D31&lt;'PlayerGrades+'!$AA$7,"B+",IF(D31&lt;'PlayerGrades+'!$AA$6,"A-",IF(D31&lt;'PlayerGrades+'!$AA$5,"A",IF(D31&lt;'PlayerGrades+'!$AA$4,"A+",IF(D31&lt;'PlayerGrades+'!$AA$3,"S-",IF(D31&lt;'PlayerGrades+'!$AA$2,"S","S+"))))))))))))))))))))</f>
        <v>F-</v>
      </c>
      <c r="F31" s="961">
        <f t="shared" si="2"/>
        <v>0.07311827957</v>
      </c>
      <c r="G31" s="961" t="str">
        <f>IF(F31&lt;'PlayerGrades+'!$AB$21,"F-",IF(F31&lt;'PlayerGrades+'!$AB$20,"F",IF(F31&lt;'PlayerGrades+'!$AB$19,"F+",IF(F31&lt;'PlayerGrades+'!$AB$18,"E-",IF(F31&lt;'PlayerGrades+'!$AB$17,"E",IF(F31&lt;'PlayerGrades+'!$AB$16,"E+",IF(F31&lt;'PlayerGrades+'!$AB$15,"D-",IF(F31&lt;'PlayerGrades+'!$AB$14,"D",IF(F31&lt;'PlayerGrades+'!$AB$13,"D+",IF(F31&lt;'PlayerGrades+'!$AB$12,"C-",IF(F31&lt;'PlayerGrades+'!$AB$11,"C",IF(F31&lt;'PlayerGrades+'!$AB$10,"C+",IF(F31&lt;'PlayerGrades+'!$AB$9,"B-",IF(F31&lt;'PlayerGrades+'!$AB$8,"B",IF(F31&lt;'PlayerGrades+'!$AB$7,"B+",IF(F31&lt;'PlayerGrades+'!$AB$6,"A-",IF(F31&lt;'PlayerGrades+'!$AB$5,"A",IF(F31&lt;'PlayerGrades+'!$AB$4,"A+",IF(F31&lt;'PlayerGrades+'!$AB$3,"S-",IF(F31&lt;'PlayerGrades+'!$AB$2,"S","S+"))))))))))))))))))))</f>
        <v>A</v>
      </c>
      <c r="H31" s="961">
        <f t="shared" si="3"/>
        <v>0.3870967742</v>
      </c>
      <c r="I31" s="961" t="str">
        <f>IF(H31&lt;'PlayerGrades+'!$AC$21,"F-",IF(H31&lt;'PlayerGrades+'!$AC$20,"F",IF(H31&lt;'PlayerGrades+'!$AC$19,"F+",IF(H31&lt;'PlayerGrades+'!$AC$18,"E-",IF(H31&lt;'PlayerGrades+'!$AC$17,"E",IF(H31&lt;'PlayerGrades+'!$AC$16,"E+",IF(H31&lt;'PlayerGrades+'!$AC$15,"D-",IF(H31&lt;'PlayerGrades+'!$AC$14,"D",IF(H31&lt;'PlayerGrades+'!$AC$13,"D+",IF(H31&lt;'PlayerGrades+'!$AC$12,"C-",IF(H31&lt;'PlayerGrades+'!$AC$11,"C",IF(H31&lt;'PlayerGrades+'!$AC$10,"C+",IF(H31&lt;'PlayerGrades+'!$AC$9,"B-",IF(H31&lt;'PlayerGrades+'!$AC$8,"B",IF(H31&lt;'PlayerGrades+'!$AC$7,"B+",IF(H31&lt;'PlayerGrades+'!$AC$6,"A-",IF(H31&lt;'PlayerGrades+'!$AC$5,"A",IF(H31&lt;'PlayerGrades+'!$AC$4,"A+",IF(H31&lt;'PlayerGrades+'!$AC$3,"S-",IF(H31&lt;'PlayerGrades+'!$AC$2,"S","S+"))))))))))))))))))))</f>
        <v>D</v>
      </c>
      <c r="J31" s="961">
        <f t="shared" si="4"/>
        <v>0</v>
      </c>
      <c r="K31" s="961" t="str">
        <f>IF(J31&lt;'PlayerGrades+'!$AD$21,"F-",IF(J31&lt;'PlayerGrades+'!$AD$20,"F",IF(J31&lt;'PlayerGrades+'!$AD$19,"F+",IF(J31&lt;'PlayerGrades+'!$AD$18,"E-",IF(J31&lt;'PlayerGrades+'!$AD$17,"E",IF(J31&lt;'PlayerGrades+'!$AD$16,"E+",IF(J31&lt;'PlayerGrades+'!$AD$15,"D-",IF(J31&lt;'PlayerGrades+'!$AD$14,"D",IF(J31&lt;'PlayerGrades+'!$AD$13,"D+",IF(J31&lt;'PlayerGrades+'!$AD$12,"C-",IF(J31&lt;'PlayerGrades+'!$AD$11,"C",IF(J31&lt;'PlayerGrades+'!$AD$10,"C+",IF(J31&lt;'PlayerGrades+'!$AD$9,"B-",IF(J31&lt;'PlayerGrades+'!$AD$8,"B",IF(J31&lt;'PlayerGrades+'!$AD$7,"B+",IF(J31&lt;'PlayerGrades+'!$AD$6,"A-",IF(J31&lt;'PlayerGrades+'!$AD$5,"A",IF(J31&lt;'PlayerGrades+'!$AD$4,"A+",IF(J31&lt;'PlayerGrades+'!$AD$3,"S-",IF(J31&lt;'PlayerGrades+'!$AD$2,"S","S+"))))))))))))))))))))</f>
        <v>F-</v>
      </c>
      <c r="L31" s="1176">
        <f t="shared" si="5"/>
        <v>0.2580645161</v>
      </c>
      <c r="M31" s="992" t="str">
        <f>IF(L31&lt;'PlayerGrades+'!$AE$21,"F-",IF(L31&lt;'PlayerGrades+'!$AE$20,"F",IF(L31&lt;'PlayerGrades+'!$AE$19,"F+",IF(L31&lt;'PlayerGrades+'!$AE$18,"E-",IF(L31&lt;'PlayerGrades+'!$AE$17,"E",IF(L31&lt;'PlayerGrades+'!$AE$16,"E+",IF(L31&lt;'PlayerGrades+'!$AE$15,"D-",IF(L31&lt;'PlayerGrades+'!$AE$14,"D",IF(L31&lt;'PlayerGrades+'!$AE$13,"D+",IF(L31&lt;'PlayerGrades+'!$AE$12,"C-",IF(L31&lt;'PlayerGrades+'!$AE$11,"C",IF(L31&lt;'PlayerGrades+'!$AE$10,"C+",IF(L31&lt;'PlayerGrades+'!$AE$9,"B-",IF(L31&lt;'PlayerGrades+'!$AE$8,"B",IF(L31&lt;'PlayerGrades+'!$AE$7,"B+",IF(L31&lt;'PlayerGrades+'!$AE$6,"A-",IF(L31&lt;'PlayerGrades+'!$AE$5,"A",IF(L31&lt;'PlayerGrades+'!$AE$4,"A+",IF(L31&lt;'PlayerGrades+'!$AE$3,"S-",IF(L31&lt;'PlayerGrades+'!$AE$2,"S","S+"))))))))))))))))))))</f>
        <v>F</v>
      </c>
      <c r="N31" s="961">
        <f t="shared" si="6"/>
        <v>0</v>
      </c>
      <c r="O31" s="961" t="str">
        <f>IF(N31&lt;'PlayerGrades+'!$AF$21,"F-",IF(N31&lt;'PlayerGrades+'!$AF$20,"F",IF(N31&lt;'PlayerGrades+'!$AF$19,"F+",IF(N31&lt;'PlayerGrades+'!$AF$18,"E-",IF(N31&lt;'PlayerGrades+'!$AF$17,"E",IF(N31&lt;'PlayerGrades+'!$AF$16,"E+",IF(N31&lt;'PlayerGrades+'!$AF$15,"D-",IF(N31&lt;'PlayerGrades+'!$AF$14,"D",IF(N31&lt;'PlayerGrades+'!$AF$13,"D+",IF(N31&lt;'PlayerGrades+'!$AF$12,"C-",IF(N31&lt;'PlayerGrades+'!$AF$11,"C",IF(N31&lt;'PlayerGrades+'!$AF$10,"C+",IF(N31&lt;'PlayerGrades+'!$AF$9,"B-",IF(N31&lt;'PlayerGrades+'!$AF$8,"B",IF(N31&lt;'PlayerGrades+'!$AF$7,"B+",IF(N31&lt;'PlayerGrades+'!$AF$6,"A-",IF(N31&lt;'PlayerGrades+'!$AF$5,"A",IF(N31&lt;'PlayerGrades+'!$AF$4,"A+",IF(N31&lt;'PlayerGrades+'!$AF$3,"S-",IF(N31&lt;'PlayerGrades+'!$AF$2,"S","S+"))))))))))))))))))))</f>
        <v>F-</v>
      </c>
      <c r="P31" s="961">
        <f t="shared" si="7"/>
        <v>0.2580645161</v>
      </c>
      <c r="Q31" s="961" t="str">
        <f>IF(P31&lt;'PlayerGrades+'!$AG$21,"F-",IF(P31&lt;'PlayerGrades+'!$AG$20,"F",IF(P31&lt;'PlayerGrades+'!$AG$19,"F+",IF(P31&lt;'PlayerGrades+'!$AG$18,"E-",IF(P31&lt;'PlayerGrades+'!$AG$17,"E",IF(P31&lt;'PlayerGrades+'!$AG$16,"E+",IF(P31&lt;'PlayerGrades+'!$AG$15,"D-",IF(P31&lt;'PlayerGrades+'!$AG$14,"D",IF(P31&lt;'PlayerGrades+'!$AG$13,"D+",IF(P31&lt;'PlayerGrades+'!$AG$12,"C-",IF(P31&lt;'PlayerGrades+'!$AG$11,"C",IF(P31&lt;'PlayerGrades+'!$AG$10,"C+",IF(P31&lt;'PlayerGrades+'!$AG$9,"B-",IF(P31&lt;'PlayerGrades+'!$AG$8,"B",IF(P31&lt;'PlayerGrades+'!$AG$7,"B+",IF(P31&lt;'PlayerGrades+'!$AG$6,"A-",IF(P31&lt;'PlayerGrades+'!$AG$5,"A",IF(P31&lt;'PlayerGrades+'!$AG$4,"A+",IF(P31&lt;'PlayerGrades+'!$AG$3,"S-",IF(P31&lt;'PlayerGrades+'!$AG$2,"S","S+"))))))))))))))))))))</f>
        <v>F-</v>
      </c>
      <c r="R31" s="961">
        <f t="shared" si="8"/>
        <v>0.1290322581</v>
      </c>
      <c r="S31" s="961" t="str">
        <f>IF(R31&lt;'PlayerGrades+'!$AH$21,"F-",IF(R31&lt;'PlayerGrades+'!$AH$20,"F",IF(R31&lt;'PlayerGrades+'!$AH$19,"F+",IF(R31&lt;'PlayerGrades+'!$AH$18,"E-",IF(R31&lt;'PlayerGrades+'!$AH$17,"E",IF(R31&lt;'PlayerGrades+'!$AH$16,"E+",IF(R31&lt;'PlayerGrades+'!$AH$15,"D-",IF(R31&lt;'PlayerGrades+'!$AH$14,"D",IF(R31&lt;'PlayerGrades+'!$AH$13,"D+",IF(R31&lt;'PlayerGrades+'!$AH$12,"C-",IF(R31&lt;'PlayerGrades+'!$AH$11,"C",IF(R31&lt;'PlayerGrades+'!$AH$10,"C+",IF(R31&lt;'PlayerGrades+'!$AH$9,"B-",IF(R31&lt;'PlayerGrades+'!$AH$8,"B",IF(R31&lt;'PlayerGrades+'!$AH$7,"B+",IF(R31&lt;'PlayerGrades+'!$AH$6,"A-",IF(R31&lt;'PlayerGrades+'!$AH$5,"A",IF(R31&lt;'PlayerGrades+'!$AH$4,"A+",IF(R31&lt;'PlayerGrades+'!$AH$3,"S-",IF(R31&lt;'PlayerGrades+'!$AH$2,"S","S+"))))))))))))))))))))</f>
        <v>S</v>
      </c>
      <c r="T31" s="961">
        <f t="shared" si="9"/>
        <v>24.75</v>
      </c>
      <c r="U31" s="961" t="str">
        <f>IF(T31&lt;'PlayerGrades+'!$AI$21,"F-",IF(T31&lt;'PlayerGrades+'!$AI$20,"F",IF(T31&lt;'PlayerGrades+'!$AI$19,"F+",IF(T31&lt;'PlayerGrades+'!$AI$18,"E-",IF(T31&lt;'PlayerGrades+'!$AI$17,"E",IF(T31&lt;'PlayerGrades+'!$AI$16,"E+",IF(T31&lt;'PlayerGrades+'!$AI$15,"D-",IF(T31&lt;'PlayerGrades+'!$AI$14,"D",IF(T31&lt;'PlayerGrades+'!$AI$13,"D+",IF(T31&lt;'PlayerGrades+'!$AI$12,"C-",IF(T31&lt;'PlayerGrades+'!$AI$11,"C",IF(T31&lt;'PlayerGrades+'!$AI$10,"C+",IF(T31&lt;'PlayerGrades+'!$AI$9,"B-",IF(T31&lt;'PlayerGrades+'!$AI$8,"B",IF(T31&lt;'PlayerGrades+'!$AI$7,"B+",IF(T31&lt;'PlayerGrades+'!$AI$6,"A-",IF(T31&lt;'PlayerGrades+'!$AI$5,"A",IF(T31&lt;'PlayerGrades+'!$AI$4,"A+",IF(T31&lt;'PlayerGrades+'!$AI$3,"S-",IF(T31&lt;'PlayerGrades+'!$AI$2,"S","S+"))))))))))))))))))))</f>
        <v>S+</v>
      </c>
      <c r="V31" s="1195">
        <v>0.0</v>
      </c>
      <c r="W31" s="1195">
        <v>1.0</v>
      </c>
      <c r="X31" s="1374">
        <v>0.0</v>
      </c>
      <c r="Y31" s="1374">
        <v>0.0</v>
      </c>
      <c r="Z31" s="1374">
        <v>17.0</v>
      </c>
      <c r="AA31" s="1374">
        <v>30.0</v>
      </c>
      <c r="AB31" s="1195">
        <f t="shared" si="10"/>
        <v>-13</v>
      </c>
      <c r="AC31" s="1215">
        <f t="shared" si="11"/>
        <v>0.5666666667</v>
      </c>
      <c r="AD31" s="1216">
        <v>0.0</v>
      </c>
      <c r="AE31" s="1373">
        <v>0.3229166666666667</v>
      </c>
      <c r="AF31" s="1374">
        <v>0.0</v>
      </c>
      <c r="AG31" s="1216">
        <v>0.0</v>
      </c>
      <c r="AH31" s="1216">
        <v>0.0</v>
      </c>
      <c r="AI31" s="1216">
        <v>0.0</v>
      </c>
      <c r="AJ31" s="1216">
        <v>0.0</v>
      </c>
      <c r="AK31" s="1374">
        <v>2.0</v>
      </c>
      <c r="AL31" s="1374">
        <v>0.0</v>
      </c>
      <c r="AM31" s="1216">
        <v>0.0</v>
      </c>
      <c r="AN31" s="1216">
        <v>0.0</v>
      </c>
      <c r="AO31" s="1216">
        <v>0.0</v>
      </c>
      <c r="AP31" s="1216">
        <v>0.0</v>
      </c>
      <c r="AQ31" s="1216">
        <v>0.0</v>
      </c>
      <c r="AR31" s="1216">
        <v>0.0</v>
      </c>
      <c r="AS31" s="1216">
        <v>0.0</v>
      </c>
      <c r="AT31" s="1216">
        <v>0.0</v>
      </c>
      <c r="AU31" s="1374">
        <v>3.0</v>
      </c>
      <c r="AV31" s="1216">
        <v>0.0</v>
      </c>
      <c r="AW31" s="1216">
        <v>0.0</v>
      </c>
      <c r="AX31" s="1374">
        <v>0.0</v>
      </c>
      <c r="AY31" s="1374">
        <v>1.0</v>
      </c>
      <c r="AZ31" s="1374">
        <v>0.0</v>
      </c>
    </row>
    <row r="32">
      <c r="A32" s="1233" t="s">
        <v>49</v>
      </c>
      <c r="B32" s="1100" t="str">
        <f>IF(C32&lt;'PlayerGrades+'!$Y$44,"F-",IF(C32&lt;'PlayerGrades+'!$Y$43,"F",IF(C32&lt;'PlayerGrades+'!$Y$42,"F+",IF(C32&lt;'PlayerGrades+'!$Y$41,"E-",IF(C32&lt;'PlayerGrades+'!$Y$40,"E",IF(C32&lt;'PlayerGrades+'!$Y$39,"E+",IF(C32&lt;'PlayerGrades+'!$Y$38,"D-",IF(C32&lt;'PlayerGrades+'!$Y$37,"D",IF(C32&lt;'PlayerGrades+'!$Y$36,"D+",IF(C32&lt;'PlayerGrades+'!$Y$35,"C-",IF(C32&lt;'PlayerGrades+'!$Y$34,"C",IF(C32&lt;'PlayerGrades+'!$Y$33,"C+",IF(C32&lt;'PlayerGrades+'!$Y$32,"B-",IF(C32&lt;'PlayerGrades+'!$Y$31,"B",IF(C32&lt;'PlayerGrades+'!$Y$30,"B+",IF(C32&lt;'PlayerGrades+'!$Y$29,"A-",IF(C32&lt;'PlayerGrades+'!$Y$28,"A",IF(C32&lt;'PlayerGrades+'!$Y$27,"A+",IF(C32&lt;'PlayerGrades+'!$Y$26,"S-",IF(C32&lt;'PlayerGrades+'!$Y$25,"S","S+"))))))))))))))))))))</f>
        <v>E</v>
      </c>
      <c r="C32" s="1239">
        <f>('PlayerGrades+'!$Y$47*(VLOOKUP(E32, 'PlayerGrades+'!$X$3:$Y$23, 2, FALSE)))+('PlayerGrades+'!$Y$48*(VLOOKUP(G32, 'PlayerGrades+'!$X$3:$Y$23, 2, FALSE)))+('PlayerGrades+'!$Y$49*(VLOOKUP(I32, 'PlayerGrades+'!$X$3:$Y$23, 2, FALSE)))+('PlayerGrades+'!$Y$50*(VLOOKUP(K32, 'PlayerGrades+'!$X$3:$Y$23, 2, FALSE)))+('PlayerGrades+'!$Y$51*(VLOOKUP(M32, 'PlayerGrades+'!$X$3:$Y$23, 2, FALSE)))+('PlayerGrades+'!$Y$52*(VLOOKUP(O32, 'PlayerGrades+'!$X$3:$Y$23, 2, FALSE)))+('PlayerGrades+'!$Y$53*(VLOOKUP(Q32, 'PlayerGrades+'!$X$3:$Y$23, 2, FALSE)))+('PlayerGrades+'!$Y$54*(VLOOKUP(S32, 'PlayerGrades+'!$X$3:$Y$23, 2, FALSE)))+('PlayerGrades+'!$Y$55*(VLOOKUP(U32, 'PlayerGrades+'!$X$3:$Y$23, 2, FALSE)))</f>
        <v>10.225</v>
      </c>
      <c r="D32" s="961">
        <f t="shared" si="1"/>
        <v>0</v>
      </c>
      <c r="E32" s="961" t="str">
        <f>IF(D32&lt;'PlayerGrades+'!$AA$21,"F-",IF(D32&lt;'PlayerGrades+'!$AA$20,"F",IF(D32&lt;'PlayerGrades+'!$AA$19,"F+",IF(D32&lt;'PlayerGrades+'!$AA$18,"E-",IF(D32&lt;'PlayerGrades+'!$AA$17,"E",IF(D32&lt;'PlayerGrades+'!$AA$16,"E+",IF(D32&lt;'PlayerGrades+'!$AA$15,"D-",IF(D32&lt;'PlayerGrades+'!$AA$14,"D",IF(D32&lt;'PlayerGrades+'!$AA$13,"D+",IF(D32&lt;'PlayerGrades+'!$AA$12,"C-",IF(D32&lt;'PlayerGrades+'!$AA$11,"C",IF(D32&lt;'PlayerGrades+'!$AA$10,"C+",IF(D32&lt;'PlayerGrades+'!$AA$9,"B-",IF(D32&lt;'PlayerGrades+'!$AA$8,"B",IF(D32&lt;'PlayerGrades+'!$AA$7,"B+",IF(D32&lt;'PlayerGrades+'!$AA$6,"A-",IF(D32&lt;'PlayerGrades+'!$AA$5,"A",IF(D32&lt;'PlayerGrades+'!$AA$4,"A+",IF(D32&lt;'PlayerGrades+'!$AA$3,"S-",IF(D32&lt;'PlayerGrades+'!$AA$2,"S","S+"))))))))))))))))))))</f>
        <v>F-</v>
      </c>
      <c r="F32" s="961">
        <f t="shared" si="2"/>
        <v>0.08294930876</v>
      </c>
      <c r="G32" s="961" t="str">
        <f>IF(F32&lt;'PlayerGrades+'!$AB$21,"F-",IF(F32&lt;'PlayerGrades+'!$AB$20,"F",IF(F32&lt;'PlayerGrades+'!$AB$19,"F+",IF(F32&lt;'PlayerGrades+'!$AB$18,"E-",IF(F32&lt;'PlayerGrades+'!$AB$17,"E",IF(F32&lt;'PlayerGrades+'!$AB$16,"E+",IF(F32&lt;'PlayerGrades+'!$AB$15,"D-",IF(F32&lt;'PlayerGrades+'!$AB$14,"D",IF(F32&lt;'PlayerGrades+'!$AB$13,"D+",IF(F32&lt;'PlayerGrades+'!$AB$12,"C-",IF(F32&lt;'PlayerGrades+'!$AB$11,"C",IF(F32&lt;'PlayerGrades+'!$AB$10,"C+",IF(F32&lt;'PlayerGrades+'!$AB$9,"B-",IF(F32&lt;'PlayerGrades+'!$AB$8,"B",IF(F32&lt;'PlayerGrades+'!$AB$7,"B+",IF(F32&lt;'PlayerGrades+'!$AB$6,"A-",IF(F32&lt;'PlayerGrades+'!$AB$5,"A",IF(F32&lt;'PlayerGrades+'!$AB$4,"A+",IF(F32&lt;'PlayerGrades+'!$AB$3,"S-",IF(F32&lt;'PlayerGrades+'!$AB$2,"S","S+"))))))))))))))))))))</f>
        <v>A</v>
      </c>
      <c r="H32" s="961">
        <f t="shared" si="3"/>
        <v>0.2580645161</v>
      </c>
      <c r="I32" s="961" t="str">
        <f>IF(H32&lt;'PlayerGrades+'!$AC$21,"F-",IF(H32&lt;'PlayerGrades+'!$AC$20,"F",IF(H32&lt;'PlayerGrades+'!$AC$19,"F+",IF(H32&lt;'PlayerGrades+'!$AC$18,"E-",IF(H32&lt;'PlayerGrades+'!$AC$17,"E",IF(H32&lt;'PlayerGrades+'!$AC$16,"E+",IF(H32&lt;'PlayerGrades+'!$AC$15,"D-",IF(H32&lt;'PlayerGrades+'!$AC$14,"D",IF(H32&lt;'PlayerGrades+'!$AC$13,"D+",IF(H32&lt;'PlayerGrades+'!$AC$12,"C-",IF(H32&lt;'PlayerGrades+'!$AC$11,"C",IF(H32&lt;'PlayerGrades+'!$AC$10,"C+",IF(H32&lt;'PlayerGrades+'!$AC$9,"B-",IF(H32&lt;'PlayerGrades+'!$AC$8,"B",IF(H32&lt;'PlayerGrades+'!$AC$7,"B+",IF(H32&lt;'PlayerGrades+'!$AC$6,"A-",IF(H32&lt;'PlayerGrades+'!$AC$5,"A",IF(H32&lt;'PlayerGrades+'!$AC$4,"A+",IF(H32&lt;'PlayerGrades+'!$AC$3,"S-",IF(H32&lt;'PlayerGrades+'!$AC$2,"S","S+"))))))))))))))))))))</f>
        <v>F+</v>
      </c>
      <c r="J32" s="961">
        <f t="shared" si="4"/>
        <v>0</v>
      </c>
      <c r="K32" s="961" t="str">
        <f>IF(J32&lt;'PlayerGrades+'!$AD$21,"F-",IF(J32&lt;'PlayerGrades+'!$AD$20,"F",IF(J32&lt;'PlayerGrades+'!$AD$19,"F+",IF(J32&lt;'PlayerGrades+'!$AD$18,"E-",IF(J32&lt;'PlayerGrades+'!$AD$17,"E",IF(J32&lt;'PlayerGrades+'!$AD$16,"E+",IF(J32&lt;'PlayerGrades+'!$AD$15,"D-",IF(J32&lt;'PlayerGrades+'!$AD$14,"D",IF(J32&lt;'PlayerGrades+'!$AD$13,"D+",IF(J32&lt;'PlayerGrades+'!$AD$12,"C-",IF(J32&lt;'PlayerGrades+'!$AD$11,"C",IF(J32&lt;'PlayerGrades+'!$AD$10,"C+",IF(J32&lt;'PlayerGrades+'!$AD$9,"B-",IF(J32&lt;'PlayerGrades+'!$AD$8,"B",IF(J32&lt;'PlayerGrades+'!$AD$7,"B+",IF(J32&lt;'PlayerGrades+'!$AD$6,"A-",IF(J32&lt;'PlayerGrades+'!$AD$5,"A",IF(J32&lt;'PlayerGrades+'!$AD$4,"A+",IF(J32&lt;'PlayerGrades+'!$AD$3,"S-",IF(J32&lt;'PlayerGrades+'!$AD$2,"S","S+"))))))))))))))))))))</f>
        <v>F-</v>
      </c>
      <c r="L32" s="1176">
        <f t="shared" si="5"/>
        <v>0.2580645161</v>
      </c>
      <c r="M32" s="992" t="str">
        <f>IF(L32&lt;'PlayerGrades+'!$AE$21,"F-",IF(L32&lt;'PlayerGrades+'!$AE$20,"F",IF(L32&lt;'PlayerGrades+'!$AE$19,"F+",IF(L32&lt;'PlayerGrades+'!$AE$18,"E-",IF(L32&lt;'PlayerGrades+'!$AE$17,"E",IF(L32&lt;'PlayerGrades+'!$AE$16,"E+",IF(L32&lt;'PlayerGrades+'!$AE$15,"D-",IF(L32&lt;'PlayerGrades+'!$AE$14,"D",IF(L32&lt;'PlayerGrades+'!$AE$13,"D+",IF(L32&lt;'PlayerGrades+'!$AE$12,"C-",IF(L32&lt;'PlayerGrades+'!$AE$11,"C",IF(L32&lt;'PlayerGrades+'!$AE$10,"C+",IF(L32&lt;'PlayerGrades+'!$AE$9,"B-",IF(L32&lt;'PlayerGrades+'!$AE$8,"B",IF(L32&lt;'PlayerGrades+'!$AE$7,"B+",IF(L32&lt;'PlayerGrades+'!$AE$6,"A-",IF(L32&lt;'PlayerGrades+'!$AE$5,"A",IF(L32&lt;'PlayerGrades+'!$AE$4,"A+",IF(L32&lt;'PlayerGrades+'!$AE$3,"S-",IF(L32&lt;'PlayerGrades+'!$AE$2,"S","S+"))))))))))))))))))))</f>
        <v>F</v>
      </c>
      <c r="N32" s="961">
        <f t="shared" si="6"/>
        <v>0</v>
      </c>
      <c r="O32" s="961" t="str">
        <f>IF(N32&lt;'PlayerGrades+'!$AF$21,"F-",IF(N32&lt;'PlayerGrades+'!$AF$20,"F",IF(N32&lt;'PlayerGrades+'!$AF$19,"F+",IF(N32&lt;'PlayerGrades+'!$AF$18,"E-",IF(N32&lt;'PlayerGrades+'!$AF$17,"E",IF(N32&lt;'PlayerGrades+'!$AF$16,"E+",IF(N32&lt;'PlayerGrades+'!$AF$15,"D-",IF(N32&lt;'PlayerGrades+'!$AF$14,"D",IF(N32&lt;'PlayerGrades+'!$AF$13,"D+",IF(N32&lt;'PlayerGrades+'!$AF$12,"C-",IF(N32&lt;'PlayerGrades+'!$AF$11,"C",IF(N32&lt;'PlayerGrades+'!$AF$10,"C+",IF(N32&lt;'PlayerGrades+'!$AF$9,"B-",IF(N32&lt;'PlayerGrades+'!$AF$8,"B",IF(N32&lt;'PlayerGrades+'!$AF$7,"B+",IF(N32&lt;'PlayerGrades+'!$AF$6,"A-",IF(N32&lt;'PlayerGrades+'!$AF$5,"A",IF(N32&lt;'PlayerGrades+'!$AF$4,"A+",IF(N32&lt;'PlayerGrades+'!$AF$3,"S-",IF(N32&lt;'PlayerGrades+'!$AF$2,"S","S+"))))))))))))))))))))</f>
        <v>F-</v>
      </c>
      <c r="P32" s="961">
        <f t="shared" si="7"/>
        <v>0.2580645161</v>
      </c>
      <c r="Q32" s="961" t="str">
        <f>IF(P32&lt;'PlayerGrades+'!$AG$21,"F-",IF(P32&lt;'PlayerGrades+'!$AG$20,"F",IF(P32&lt;'PlayerGrades+'!$AG$19,"F+",IF(P32&lt;'PlayerGrades+'!$AG$18,"E-",IF(P32&lt;'PlayerGrades+'!$AG$17,"E",IF(P32&lt;'PlayerGrades+'!$AG$16,"E+",IF(P32&lt;'PlayerGrades+'!$AG$15,"D-",IF(P32&lt;'PlayerGrades+'!$AG$14,"D",IF(P32&lt;'PlayerGrades+'!$AG$13,"D+",IF(P32&lt;'PlayerGrades+'!$AG$12,"C-",IF(P32&lt;'PlayerGrades+'!$AG$11,"C",IF(P32&lt;'PlayerGrades+'!$AG$10,"C+",IF(P32&lt;'PlayerGrades+'!$AG$9,"B-",IF(P32&lt;'PlayerGrades+'!$AG$8,"B",IF(P32&lt;'PlayerGrades+'!$AG$7,"B+",IF(P32&lt;'PlayerGrades+'!$AG$6,"A-",IF(P32&lt;'PlayerGrades+'!$AG$5,"A",IF(P32&lt;'PlayerGrades+'!$AG$4,"A+",IF(P32&lt;'PlayerGrades+'!$AG$3,"S-",IF(P32&lt;'PlayerGrades+'!$AG$2,"S","S+"))))))))))))))))))))</f>
        <v>F-</v>
      </c>
      <c r="R32" s="961">
        <f t="shared" si="8"/>
        <v>0</v>
      </c>
      <c r="S32" s="961" t="str">
        <f>IF(R32&lt;'PlayerGrades+'!$AH$21,"F-",IF(R32&lt;'PlayerGrades+'!$AH$20,"F",IF(R32&lt;'PlayerGrades+'!$AH$19,"F+",IF(R32&lt;'PlayerGrades+'!$AH$18,"E-",IF(R32&lt;'PlayerGrades+'!$AH$17,"E",IF(R32&lt;'PlayerGrades+'!$AH$16,"E+",IF(R32&lt;'PlayerGrades+'!$AH$15,"D-",IF(R32&lt;'PlayerGrades+'!$AH$14,"D",IF(R32&lt;'PlayerGrades+'!$AH$13,"D+",IF(R32&lt;'PlayerGrades+'!$AH$12,"C-",IF(R32&lt;'PlayerGrades+'!$AH$11,"C",IF(R32&lt;'PlayerGrades+'!$AH$10,"C+",IF(R32&lt;'PlayerGrades+'!$AH$9,"B-",IF(R32&lt;'PlayerGrades+'!$AH$8,"B",IF(R32&lt;'PlayerGrades+'!$AH$7,"B+",IF(R32&lt;'PlayerGrades+'!$AH$6,"A-",IF(R32&lt;'PlayerGrades+'!$AH$5,"A",IF(R32&lt;'PlayerGrades+'!$AH$4,"A+",IF(R32&lt;'PlayerGrades+'!$AH$3,"S-",IF(R32&lt;'PlayerGrades+'!$AH$2,"S","S+"))))))))))))))))))))</f>
        <v>F-</v>
      </c>
      <c r="T32" s="961">
        <f t="shared" si="9"/>
        <v>25.75</v>
      </c>
      <c r="U32" s="961" t="str">
        <f>IF(T32&lt;'PlayerGrades+'!$AI$21,"F-",IF(T32&lt;'PlayerGrades+'!$AI$20,"F",IF(T32&lt;'PlayerGrades+'!$AI$19,"F+",IF(T32&lt;'PlayerGrades+'!$AI$18,"E-",IF(T32&lt;'PlayerGrades+'!$AI$17,"E",IF(T32&lt;'PlayerGrades+'!$AI$16,"E+",IF(T32&lt;'PlayerGrades+'!$AI$15,"D-",IF(T32&lt;'PlayerGrades+'!$AI$14,"D",IF(T32&lt;'PlayerGrades+'!$AI$13,"D+",IF(T32&lt;'PlayerGrades+'!$AI$12,"C-",IF(T32&lt;'PlayerGrades+'!$AI$11,"C",IF(T32&lt;'PlayerGrades+'!$AI$10,"C+",IF(T32&lt;'PlayerGrades+'!$AI$9,"B-",IF(T32&lt;'PlayerGrades+'!$AI$8,"B",IF(T32&lt;'PlayerGrades+'!$AI$7,"B+",IF(T32&lt;'PlayerGrades+'!$AI$6,"A-",IF(T32&lt;'PlayerGrades+'!$AI$5,"A",IF(T32&lt;'PlayerGrades+'!$AI$4,"A+",IF(T32&lt;'PlayerGrades+'!$AI$3,"S-",IF(T32&lt;'PlayerGrades+'!$AI$2,"S","S+"))))))))))))))))))))</f>
        <v>S+</v>
      </c>
      <c r="V32" s="1195">
        <v>0.0</v>
      </c>
      <c r="W32" s="1195">
        <v>1.0</v>
      </c>
      <c r="X32" s="1374">
        <v>0.0</v>
      </c>
      <c r="Y32" s="1374">
        <v>3.0</v>
      </c>
      <c r="Z32" s="1374">
        <v>18.0</v>
      </c>
      <c r="AA32" s="1374">
        <v>28.0</v>
      </c>
      <c r="AB32" s="1195">
        <f t="shared" si="10"/>
        <v>-10</v>
      </c>
      <c r="AC32" s="1215">
        <f t="shared" si="11"/>
        <v>0.6428571429</v>
      </c>
      <c r="AD32" s="1216">
        <v>0.0</v>
      </c>
      <c r="AE32" s="1373">
        <v>0.3229166666666667</v>
      </c>
      <c r="AF32" s="1374">
        <v>0.0</v>
      </c>
      <c r="AG32" s="1216">
        <v>0.0</v>
      </c>
      <c r="AH32" s="1216">
        <v>0.0</v>
      </c>
      <c r="AI32" s="1216">
        <v>0.0</v>
      </c>
      <c r="AJ32" s="1216">
        <v>0.0</v>
      </c>
      <c r="AK32" s="1374">
        <v>2.0</v>
      </c>
      <c r="AL32" s="1374">
        <v>0.0</v>
      </c>
      <c r="AM32" s="1216">
        <v>0.0</v>
      </c>
      <c r="AN32" s="1216">
        <v>0.0</v>
      </c>
      <c r="AO32" s="1216">
        <v>0.0</v>
      </c>
      <c r="AP32" s="1216">
        <v>0.0</v>
      </c>
      <c r="AQ32" s="1216">
        <v>0.0</v>
      </c>
      <c r="AR32" s="1216">
        <v>0.0</v>
      </c>
      <c r="AS32" s="1216">
        <v>0.0</v>
      </c>
      <c r="AT32" s="1216">
        <v>0.0</v>
      </c>
      <c r="AU32" s="1374">
        <v>2.0</v>
      </c>
      <c r="AV32" s="1216">
        <v>0.0</v>
      </c>
      <c r="AW32" s="1216">
        <v>0.0</v>
      </c>
      <c r="AX32" s="1374">
        <v>0.0</v>
      </c>
      <c r="AY32" s="1374">
        <v>0.0</v>
      </c>
      <c r="AZ32" s="1374">
        <v>0.0</v>
      </c>
    </row>
    <row r="33">
      <c r="A33" s="1247" t="s">
        <v>396</v>
      </c>
      <c r="B33" s="1100" t="str">
        <f>IF(C33&lt;'PlayerGrades+'!$Y$44,"F-",IF(C33&lt;'PlayerGrades+'!$Y$43,"F",IF(C33&lt;'PlayerGrades+'!$Y$42,"F+",IF(C33&lt;'PlayerGrades+'!$Y$41,"E-",IF(C33&lt;'PlayerGrades+'!$Y$40,"E",IF(C33&lt;'PlayerGrades+'!$Y$39,"E+",IF(C33&lt;'PlayerGrades+'!$Y$38,"D-",IF(C33&lt;'PlayerGrades+'!$Y$37,"D",IF(C33&lt;'PlayerGrades+'!$Y$36,"D+",IF(C33&lt;'PlayerGrades+'!$Y$35,"C-",IF(C33&lt;'PlayerGrades+'!$Y$34,"C",IF(C33&lt;'PlayerGrades+'!$Y$33,"C+",IF(C33&lt;'PlayerGrades+'!$Y$32,"B-",IF(C33&lt;'PlayerGrades+'!$Y$31,"B",IF(C33&lt;'PlayerGrades+'!$Y$30,"B+",IF(C33&lt;'PlayerGrades+'!$Y$29,"A-",IF(C33&lt;'PlayerGrades+'!$Y$28,"A",IF(C33&lt;'PlayerGrades+'!$Y$27,"A+",IF(C33&lt;'PlayerGrades+'!$Y$26,"S-",IF(C33&lt;'PlayerGrades+'!$Y$25,"S","S+"))))))))))))))))))))</f>
        <v>E</v>
      </c>
      <c r="C33" s="1239">
        <f>('PlayerGrades+'!$Y$47*(VLOOKUP(E33, 'PlayerGrades+'!$X$3:$Y$23, 2, FALSE)))+('PlayerGrades+'!$Y$48*(VLOOKUP(G33, 'PlayerGrades+'!$X$3:$Y$23, 2, FALSE)))+('PlayerGrades+'!$Y$49*(VLOOKUP(I33, 'PlayerGrades+'!$X$3:$Y$23, 2, FALSE)))+('PlayerGrades+'!$Y$50*(VLOOKUP(K33, 'PlayerGrades+'!$X$3:$Y$23, 2, FALSE)))+('PlayerGrades+'!$Y$51*(VLOOKUP(M33, 'PlayerGrades+'!$X$3:$Y$23, 2, FALSE)))+('PlayerGrades+'!$Y$52*(VLOOKUP(O33, 'PlayerGrades+'!$X$3:$Y$23, 2, FALSE)))+('PlayerGrades+'!$Y$53*(VLOOKUP(Q33, 'PlayerGrades+'!$X$3:$Y$23, 2, FALSE)))+('PlayerGrades+'!$Y$54*(VLOOKUP(S33, 'PlayerGrades+'!$X$3:$Y$23, 2, FALSE)))+('PlayerGrades+'!$Y$55*(VLOOKUP(U33, 'PlayerGrades+'!$X$3:$Y$23, 2, FALSE)))</f>
        <v>9.825</v>
      </c>
      <c r="D33" s="961">
        <f t="shared" si="1"/>
        <v>0</v>
      </c>
      <c r="E33" s="961" t="str">
        <f>IF(D33&lt;'PlayerGrades+'!$AA$21,"F-",IF(D33&lt;'PlayerGrades+'!$AA$20,"F",IF(D33&lt;'PlayerGrades+'!$AA$19,"F+",IF(D33&lt;'PlayerGrades+'!$AA$18,"E-",IF(D33&lt;'PlayerGrades+'!$AA$17,"E",IF(D33&lt;'PlayerGrades+'!$AA$16,"E+",IF(D33&lt;'PlayerGrades+'!$AA$15,"D-",IF(D33&lt;'PlayerGrades+'!$AA$14,"D",IF(D33&lt;'PlayerGrades+'!$AA$13,"D+",IF(D33&lt;'PlayerGrades+'!$AA$12,"C-",IF(D33&lt;'PlayerGrades+'!$AA$11,"C",IF(D33&lt;'PlayerGrades+'!$AA$10,"C+",IF(D33&lt;'PlayerGrades+'!$AA$9,"B-",IF(D33&lt;'PlayerGrades+'!$AA$8,"B",IF(D33&lt;'PlayerGrades+'!$AA$7,"B+",IF(D33&lt;'PlayerGrades+'!$AA$6,"A-",IF(D33&lt;'PlayerGrades+'!$AA$5,"A",IF(D33&lt;'PlayerGrades+'!$AA$4,"A+",IF(D33&lt;'PlayerGrades+'!$AA$3,"S-",IF(D33&lt;'PlayerGrades+'!$AA$2,"S","S+"))))))))))))))))))))</f>
        <v>F-</v>
      </c>
      <c r="F33" s="961">
        <f t="shared" si="2"/>
        <v>0.07373271889</v>
      </c>
      <c r="G33" s="961" t="str">
        <f>IF(F33&lt;'PlayerGrades+'!$AB$21,"F-",IF(F33&lt;'PlayerGrades+'!$AB$20,"F",IF(F33&lt;'PlayerGrades+'!$AB$19,"F+",IF(F33&lt;'PlayerGrades+'!$AB$18,"E-",IF(F33&lt;'PlayerGrades+'!$AB$17,"E",IF(F33&lt;'PlayerGrades+'!$AB$16,"E+",IF(F33&lt;'PlayerGrades+'!$AB$15,"D-",IF(F33&lt;'PlayerGrades+'!$AB$14,"D",IF(F33&lt;'PlayerGrades+'!$AB$13,"D+",IF(F33&lt;'PlayerGrades+'!$AB$12,"C-",IF(F33&lt;'PlayerGrades+'!$AB$11,"C",IF(F33&lt;'PlayerGrades+'!$AB$10,"C+",IF(F33&lt;'PlayerGrades+'!$AB$9,"B-",IF(F33&lt;'PlayerGrades+'!$AB$8,"B",IF(F33&lt;'PlayerGrades+'!$AB$7,"B+",IF(F33&lt;'PlayerGrades+'!$AB$6,"A-",IF(F33&lt;'PlayerGrades+'!$AB$5,"A",IF(F33&lt;'PlayerGrades+'!$AB$4,"A+",IF(F33&lt;'PlayerGrades+'!$AB$3,"S-",IF(F33&lt;'PlayerGrades+'!$AB$2,"S","S+"))))))))))))))))))))</f>
        <v>A</v>
      </c>
      <c r="H33" s="961">
        <f t="shared" si="3"/>
        <v>0</v>
      </c>
      <c r="I33" s="961" t="str">
        <f>IF(H33&lt;'PlayerGrades+'!$AC$21,"F-",IF(H33&lt;'PlayerGrades+'!$AC$20,"F",IF(H33&lt;'PlayerGrades+'!$AC$19,"F+",IF(H33&lt;'PlayerGrades+'!$AC$18,"E-",IF(H33&lt;'PlayerGrades+'!$AC$17,"E",IF(H33&lt;'PlayerGrades+'!$AC$16,"E+",IF(H33&lt;'PlayerGrades+'!$AC$15,"D-",IF(H33&lt;'PlayerGrades+'!$AC$14,"D",IF(H33&lt;'PlayerGrades+'!$AC$13,"D+",IF(H33&lt;'PlayerGrades+'!$AC$12,"C-",IF(H33&lt;'PlayerGrades+'!$AC$11,"C",IF(H33&lt;'PlayerGrades+'!$AC$10,"C+",IF(H33&lt;'PlayerGrades+'!$AC$9,"B-",IF(H33&lt;'PlayerGrades+'!$AC$8,"B",IF(H33&lt;'PlayerGrades+'!$AC$7,"B+",IF(H33&lt;'PlayerGrades+'!$AC$6,"A-",IF(H33&lt;'PlayerGrades+'!$AC$5,"A",IF(H33&lt;'PlayerGrades+'!$AC$4,"A+",IF(H33&lt;'PlayerGrades+'!$AC$3,"S-",IF(H33&lt;'PlayerGrades+'!$AC$2,"S","S+"))))))))))))))))))))</f>
        <v>F-</v>
      </c>
      <c r="J33" s="961">
        <f t="shared" si="4"/>
        <v>0</v>
      </c>
      <c r="K33" s="961" t="str">
        <f>IF(J33&lt;'PlayerGrades+'!$AD$21,"F-",IF(J33&lt;'PlayerGrades+'!$AD$20,"F",IF(J33&lt;'PlayerGrades+'!$AD$19,"F+",IF(J33&lt;'PlayerGrades+'!$AD$18,"E-",IF(J33&lt;'PlayerGrades+'!$AD$17,"E",IF(J33&lt;'PlayerGrades+'!$AD$16,"E+",IF(J33&lt;'PlayerGrades+'!$AD$15,"D-",IF(J33&lt;'PlayerGrades+'!$AD$14,"D",IF(J33&lt;'PlayerGrades+'!$AD$13,"D+",IF(J33&lt;'PlayerGrades+'!$AD$12,"C-",IF(J33&lt;'PlayerGrades+'!$AD$11,"C",IF(J33&lt;'PlayerGrades+'!$AD$10,"C+",IF(J33&lt;'PlayerGrades+'!$AD$9,"B-",IF(J33&lt;'PlayerGrades+'!$AD$8,"B",IF(J33&lt;'PlayerGrades+'!$AD$7,"B+",IF(J33&lt;'PlayerGrades+'!$AD$6,"A-",IF(J33&lt;'PlayerGrades+'!$AD$5,"A",IF(J33&lt;'PlayerGrades+'!$AD$4,"A+",IF(J33&lt;'PlayerGrades+'!$AD$3,"S-",IF(J33&lt;'PlayerGrades+'!$AD$2,"S","S+"))))))))))))))))))))</f>
        <v>F-</v>
      </c>
      <c r="L33" s="1176">
        <f t="shared" si="5"/>
        <v>0.2580645161</v>
      </c>
      <c r="M33" s="992" t="str">
        <f>IF(L33&lt;'PlayerGrades+'!$AE$21,"F-",IF(L33&lt;'PlayerGrades+'!$AE$20,"F",IF(L33&lt;'PlayerGrades+'!$AE$19,"F+",IF(L33&lt;'PlayerGrades+'!$AE$18,"E-",IF(L33&lt;'PlayerGrades+'!$AE$17,"E",IF(L33&lt;'PlayerGrades+'!$AE$16,"E+",IF(L33&lt;'PlayerGrades+'!$AE$15,"D-",IF(L33&lt;'PlayerGrades+'!$AE$14,"D",IF(L33&lt;'PlayerGrades+'!$AE$13,"D+",IF(L33&lt;'PlayerGrades+'!$AE$12,"C-",IF(L33&lt;'PlayerGrades+'!$AE$11,"C",IF(L33&lt;'PlayerGrades+'!$AE$10,"C+",IF(L33&lt;'PlayerGrades+'!$AE$9,"B-",IF(L33&lt;'PlayerGrades+'!$AE$8,"B",IF(L33&lt;'PlayerGrades+'!$AE$7,"B+",IF(L33&lt;'PlayerGrades+'!$AE$6,"A-",IF(L33&lt;'PlayerGrades+'!$AE$5,"A",IF(L33&lt;'PlayerGrades+'!$AE$4,"A+",IF(L33&lt;'PlayerGrades+'!$AE$3,"S-",IF(L33&lt;'PlayerGrades+'!$AE$2,"S","S+"))))))))))))))))))))</f>
        <v>F</v>
      </c>
      <c r="N33" s="961">
        <f t="shared" si="6"/>
        <v>0</v>
      </c>
      <c r="O33" s="961" t="str">
        <f>IF(N33&lt;'PlayerGrades+'!$AF$21,"F-",IF(N33&lt;'PlayerGrades+'!$AF$20,"F",IF(N33&lt;'PlayerGrades+'!$AF$19,"F+",IF(N33&lt;'PlayerGrades+'!$AF$18,"E-",IF(N33&lt;'PlayerGrades+'!$AF$17,"E",IF(N33&lt;'PlayerGrades+'!$AF$16,"E+",IF(N33&lt;'PlayerGrades+'!$AF$15,"D-",IF(N33&lt;'PlayerGrades+'!$AF$14,"D",IF(N33&lt;'PlayerGrades+'!$AF$13,"D+",IF(N33&lt;'PlayerGrades+'!$AF$12,"C-",IF(N33&lt;'PlayerGrades+'!$AF$11,"C",IF(N33&lt;'PlayerGrades+'!$AF$10,"C+",IF(N33&lt;'PlayerGrades+'!$AF$9,"B-",IF(N33&lt;'PlayerGrades+'!$AF$8,"B",IF(N33&lt;'PlayerGrades+'!$AF$7,"B+",IF(N33&lt;'PlayerGrades+'!$AF$6,"A-",IF(N33&lt;'PlayerGrades+'!$AF$5,"A",IF(N33&lt;'PlayerGrades+'!$AF$4,"A+",IF(N33&lt;'PlayerGrades+'!$AF$3,"S-",IF(N33&lt;'PlayerGrades+'!$AF$2,"S","S+"))))))))))))))))))))</f>
        <v>F-</v>
      </c>
      <c r="P33" s="961">
        <f t="shared" si="7"/>
        <v>0.2580645161</v>
      </c>
      <c r="Q33" s="961" t="str">
        <f>IF(P33&lt;'PlayerGrades+'!$AG$21,"F-",IF(P33&lt;'PlayerGrades+'!$AG$20,"F",IF(P33&lt;'PlayerGrades+'!$AG$19,"F+",IF(P33&lt;'PlayerGrades+'!$AG$18,"E-",IF(P33&lt;'PlayerGrades+'!$AG$17,"E",IF(P33&lt;'PlayerGrades+'!$AG$16,"E+",IF(P33&lt;'PlayerGrades+'!$AG$15,"D-",IF(P33&lt;'PlayerGrades+'!$AG$14,"D",IF(P33&lt;'PlayerGrades+'!$AG$13,"D+",IF(P33&lt;'PlayerGrades+'!$AG$12,"C-",IF(P33&lt;'PlayerGrades+'!$AG$11,"C",IF(P33&lt;'PlayerGrades+'!$AG$10,"C+",IF(P33&lt;'PlayerGrades+'!$AG$9,"B-",IF(P33&lt;'PlayerGrades+'!$AG$8,"B",IF(P33&lt;'PlayerGrades+'!$AG$7,"B+",IF(P33&lt;'PlayerGrades+'!$AG$6,"A-",IF(P33&lt;'PlayerGrades+'!$AG$5,"A",IF(P33&lt;'PlayerGrades+'!$AG$4,"A+",IF(P33&lt;'PlayerGrades+'!$AG$3,"S-",IF(P33&lt;'PlayerGrades+'!$AG$2,"S","S+"))))))))))))))))))))</f>
        <v>F-</v>
      </c>
      <c r="R33" s="961">
        <f t="shared" si="8"/>
        <v>0</v>
      </c>
      <c r="S33" s="961" t="str">
        <f>IF(R33&lt;'PlayerGrades+'!$AH$21,"F-",IF(R33&lt;'PlayerGrades+'!$AH$20,"F",IF(R33&lt;'PlayerGrades+'!$AH$19,"F+",IF(R33&lt;'PlayerGrades+'!$AH$18,"E-",IF(R33&lt;'PlayerGrades+'!$AH$17,"E",IF(R33&lt;'PlayerGrades+'!$AH$16,"E+",IF(R33&lt;'PlayerGrades+'!$AH$15,"D-",IF(R33&lt;'PlayerGrades+'!$AH$14,"D",IF(R33&lt;'PlayerGrades+'!$AH$13,"D+",IF(R33&lt;'PlayerGrades+'!$AH$12,"C-",IF(R33&lt;'PlayerGrades+'!$AH$11,"C",IF(R33&lt;'PlayerGrades+'!$AH$10,"C+",IF(R33&lt;'PlayerGrades+'!$AH$9,"B-",IF(R33&lt;'PlayerGrades+'!$AH$8,"B",IF(R33&lt;'PlayerGrades+'!$AH$7,"B+",IF(R33&lt;'PlayerGrades+'!$AH$6,"A-",IF(R33&lt;'PlayerGrades+'!$AH$5,"A",IF(R33&lt;'PlayerGrades+'!$AH$4,"A+",IF(R33&lt;'PlayerGrades+'!$AH$3,"S-",IF(R33&lt;'PlayerGrades+'!$AH$2,"S","S+"))))))))))))))))))))</f>
        <v>F-</v>
      </c>
      <c r="T33" s="961">
        <f t="shared" si="9"/>
        <v>23.75</v>
      </c>
      <c r="U33" s="961" t="str">
        <f>IF(T33&lt;'PlayerGrades+'!$AI$21,"F-",IF(T33&lt;'PlayerGrades+'!$AI$20,"F",IF(T33&lt;'PlayerGrades+'!$AI$19,"F+",IF(T33&lt;'PlayerGrades+'!$AI$18,"E-",IF(T33&lt;'PlayerGrades+'!$AI$17,"E",IF(T33&lt;'PlayerGrades+'!$AI$16,"E+",IF(T33&lt;'PlayerGrades+'!$AI$15,"D-",IF(T33&lt;'PlayerGrades+'!$AI$14,"D",IF(T33&lt;'PlayerGrades+'!$AI$13,"D+",IF(T33&lt;'PlayerGrades+'!$AI$12,"C-",IF(T33&lt;'PlayerGrades+'!$AI$11,"C",IF(T33&lt;'PlayerGrades+'!$AI$10,"C+",IF(T33&lt;'PlayerGrades+'!$AI$9,"B-",IF(T33&lt;'PlayerGrades+'!$AI$8,"B",IF(T33&lt;'PlayerGrades+'!$AI$7,"B+",IF(T33&lt;'PlayerGrades+'!$AI$6,"A-",IF(T33&lt;'PlayerGrades+'!$AI$5,"A",IF(T33&lt;'PlayerGrades+'!$AI$4,"A+",IF(T33&lt;'PlayerGrades+'!$AI$3,"S-",IF(T33&lt;'PlayerGrades+'!$AI$2,"S","S+"))))))))))))))))))))</f>
        <v>S+</v>
      </c>
      <c r="V33" s="1195">
        <v>0.0</v>
      </c>
      <c r="W33" s="1195">
        <v>1.0</v>
      </c>
      <c r="X33" s="1374">
        <v>0.0</v>
      </c>
      <c r="Y33" s="1376">
        <v>0.0</v>
      </c>
      <c r="Z33" s="1376">
        <v>16.0</v>
      </c>
      <c r="AA33" s="1376">
        <v>28.0</v>
      </c>
      <c r="AB33" s="1195">
        <f t="shared" si="10"/>
        <v>-12</v>
      </c>
      <c r="AC33" s="1215">
        <f t="shared" si="11"/>
        <v>0.5714285714</v>
      </c>
      <c r="AD33" s="1216">
        <v>0.0</v>
      </c>
      <c r="AE33" s="1373">
        <v>0.3229166666666667</v>
      </c>
      <c r="AF33" s="1374">
        <v>0.0</v>
      </c>
      <c r="AG33" s="1216">
        <v>0.0</v>
      </c>
      <c r="AH33" s="1216">
        <v>0.0</v>
      </c>
      <c r="AI33" s="1216">
        <v>0.0</v>
      </c>
      <c r="AJ33" s="1216">
        <v>0.0</v>
      </c>
      <c r="AK33" s="1376">
        <v>2.0</v>
      </c>
      <c r="AL33" s="1376">
        <v>0.0</v>
      </c>
      <c r="AM33" s="1216">
        <v>0.0</v>
      </c>
      <c r="AN33" s="1216">
        <v>0.0</v>
      </c>
      <c r="AO33" s="1216">
        <v>0.0</v>
      </c>
      <c r="AP33" s="1216">
        <v>0.0</v>
      </c>
      <c r="AQ33" s="1216">
        <v>0.0</v>
      </c>
      <c r="AR33" s="1216">
        <v>0.0</v>
      </c>
      <c r="AS33" s="1216">
        <v>0.0</v>
      </c>
      <c r="AT33" s="1216">
        <v>0.0</v>
      </c>
      <c r="AU33" s="1376">
        <v>0.0</v>
      </c>
      <c r="AV33" s="1216">
        <v>0.0</v>
      </c>
      <c r="AW33" s="1216">
        <v>0.0</v>
      </c>
      <c r="AX33" s="1376">
        <v>0.0</v>
      </c>
      <c r="AY33" s="1376">
        <v>0.0</v>
      </c>
      <c r="AZ33" s="1376">
        <v>0.0</v>
      </c>
    </row>
    <row r="34">
      <c r="A34" s="1377"/>
      <c r="B34" s="611" t="str">
        <f>IF(C34&lt;'PlayerGrades+'!$Y$44,"F-",IF(C34&lt;'PlayerGrades+'!$Y$43,"F",IF(C34&lt;'PlayerGrades+'!$Y$42,"F+",IF(C34&lt;'PlayerGrades+'!$Y$41,"E-",IF(C34&lt;'PlayerGrades+'!$Y$40,"E",IF(C34&lt;'PlayerGrades+'!$Y$39,"E+",IF(C34&lt;'PlayerGrades+'!$Y$38,"D-",IF(C34&lt;'PlayerGrades+'!$Y$37,"D",IF(C34&lt;'PlayerGrades+'!$Y$36,"D+",IF(C34&lt;'PlayerGrades+'!$Y$35,"C-",IF(C34&lt;'PlayerGrades+'!$Y$34,"C",IF(C34&lt;'PlayerGrades+'!$Y$33,"C+",IF(C34&lt;'PlayerGrades+'!$Y$32,"B-",IF(C34&lt;'PlayerGrades+'!$Y$31,"B",IF(C34&lt;'PlayerGrades+'!$Y$30,"B+",IF(C34&lt;'PlayerGrades+'!$Y$29,"A-",IF(C34&lt;'PlayerGrades+'!$Y$28,"A",IF(C34&lt;'PlayerGrades+'!$Y$27,"A+",IF(C34&lt;'PlayerGrades+'!$Y$26,"S-",IF(C34&lt;'PlayerGrades+'!$Y$25,"S","S+"))))))))))))))))))))</f>
        <v>#DIV/0!</v>
      </c>
      <c r="C34" s="1378" t="str">
        <f>('PlayerGrades+'!$Y$47*(VLOOKUP(E34, 'PlayerGrades+'!$X$3:$Y$23, 2, FALSE)))+('PlayerGrades+'!$Y$48*(VLOOKUP(G34, 'PlayerGrades+'!$X$3:$Y$23, 2, FALSE)))+('PlayerGrades+'!$Y$49*(VLOOKUP(I34, 'PlayerGrades+'!$X$3:$Y$23, 2, FALSE)))+('PlayerGrades+'!$Y$50*(VLOOKUP(K34, 'PlayerGrades+'!$X$3:$Y$23, 2, FALSE)))+('PlayerGrades+'!$Y$51*(VLOOKUP(M34, 'PlayerGrades+'!$X$3:$Y$23, 2, FALSE)))+('PlayerGrades+'!$Y$52*(VLOOKUP(O34, 'PlayerGrades+'!$X$3:$Y$23, 2, FALSE)))+('PlayerGrades+'!$Y$53*(VLOOKUP(Q34, 'PlayerGrades+'!$X$3:$Y$23, 2, FALSE)))+('PlayerGrades+'!$Y$54*(VLOOKUP(S34, 'PlayerGrades+'!$X$3:$Y$23, 2, FALSE)))+('PlayerGrades+'!$Y$55*(VLOOKUP(U34, 'PlayerGrades+'!$X$3:$Y$23, 2, FALSE)))</f>
        <v>#DIV/0!</v>
      </c>
      <c r="D34" s="961" t="str">
        <f t="shared" si="1"/>
        <v>#DIV/0!</v>
      </c>
      <c r="E34" s="961" t="str">
        <f>IF(D34&lt;'PlayerGrades+'!$AA$21,"F-",IF(D34&lt;'PlayerGrades+'!$AA$20,"F",IF(D34&lt;'PlayerGrades+'!$AA$19,"F+",IF(D34&lt;'PlayerGrades+'!$AA$18,"E-",IF(D34&lt;'PlayerGrades+'!$AA$17,"E",IF(D34&lt;'PlayerGrades+'!$AA$16,"E+",IF(D34&lt;'PlayerGrades+'!$AA$15,"D-",IF(D34&lt;'PlayerGrades+'!$AA$14,"D",IF(D34&lt;'PlayerGrades+'!$AA$13,"D+",IF(D34&lt;'PlayerGrades+'!$AA$12,"C-",IF(D34&lt;'PlayerGrades+'!$AA$11,"C",IF(D34&lt;'PlayerGrades+'!$AA$10,"C+",IF(D34&lt;'PlayerGrades+'!$AA$9,"B-",IF(D34&lt;'PlayerGrades+'!$AA$8,"B",IF(D34&lt;'PlayerGrades+'!$AA$7,"B+",IF(D34&lt;'PlayerGrades+'!$AA$6,"A-",IF(D34&lt;'PlayerGrades+'!$AA$5,"A",IF(D34&lt;'PlayerGrades+'!$AA$4,"A+",IF(D34&lt;'PlayerGrades+'!$AA$3,"S-",IF(D34&lt;'PlayerGrades+'!$AA$2,"S","S+"))))))))))))))))))))</f>
        <v>#DIV/0!</v>
      </c>
      <c r="F34" s="961" t="str">
        <f t="shared" si="2"/>
        <v>#DIV/0!</v>
      </c>
      <c r="G34" s="961" t="str">
        <f>IF(F34&lt;'PlayerGrades+'!$AB$21,"F-",IF(F34&lt;'PlayerGrades+'!$AB$20,"F",IF(F34&lt;'PlayerGrades+'!$AB$19,"F+",IF(F34&lt;'PlayerGrades+'!$AB$18,"E-",IF(F34&lt;'PlayerGrades+'!$AB$17,"E",IF(F34&lt;'PlayerGrades+'!$AB$16,"E+",IF(F34&lt;'PlayerGrades+'!$AB$15,"D-",IF(F34&lt;'PlayerGrades+'!$AB$14,"D",IF(F34&lt;'PlayerGrades+'!$AB$13,"D+",IF(F34&lt;'PlayerGrades+'!$AB$12,"C-",IF(F34&lt;'PlayerGrades+'!$AB$11,"C",IF(F34&lt;'PlayerGrades+'!$AB$10,"C+",IF(F34&lt;'PlayerGrades+'!$AB$9,"B-",IF(F34&lt;'PlayerGrades+'!$AB$8,"B",IF(F34&lt;'PlayerGrades+'!$AB$7,"B+",IF(F34&lt;'PlayerGrades+'!$AB$6,"A-",IF(F34&lt;'PlayerGrades+'!$AB$5,"A",IF(F34&lt;'PlayerGrades+'!$AB$4,"A+",IF(F34&lt;'PlayerGrades+'!$AB$3,"S-",IF(F34&lt;'PlayerGrades+'!$AB$2,"S","S+"))))))))))))))))))))</f>
        <v>#DIV/0!</v>
      </c>
      <c r="H34" s="961" t="str">
        <f t="shared" si="3"/>
        <v>#DIV/0!</v>
      </c>
      <c r="I34" s="961" t="str">
        <f>IF(H34&lt;'PlayerGrades+'!$AC$21,"F-",IF(H34&lt;'PlayerGrades+'!$AC$20,"F",IF(H34&lt;'PlayerGrades+'!$AC$19,"F+",IF(H34&lt;'PlayerGrades+'!$AC$18,"E-",IF(H34&lt;'PlayerGrades+'!$AC$17,"E",IF(H34&lt;'PlayerGrades+'!$AC$16,"E+",IF(H34&lt;'PlayerGrades+'!$AC$15,"D-",IF(H34&lt;'PlayerGrades+'!$AC$14,"D",IF(H34&lt;'PlayerGrades+'!$AC$13,"D+",IF(H34&lt;'PlayerGrades+'!$AC$12,"C-",IF(H34&lt;'PlayerGrades+'!$AC$11,"C",IF(H34&lt;'PlayerGrades+'!$AC$10,"C+",IF(H34&lt;'PlayerGrades+'!$AC$9,"B-",IF(H34&lt;'PlayerGrades+'!$AC$8,"B",IF(H34&lt;'PlayerGrades+'!$AC$7,"B+",IF(H34&lt;'PlayerGrades+'!$AC$6,"A-",IF(H34&lt;'PlayerGrades+'!$AC$5,"A",IF(H34&lt;'PlayerGrades+'!$AC$4,"A+",IF(H34&lt;'PlayerGrades+'!$AC$3,"S-",IF(H34&lt;'PlayerGrades+'!$AC$2,"S","S+"))))))))))))))))))))</f>
        <v>#DIV/0!</v>
      </c>
      <c r="J34" s="961" t="str">
        <f t="shared" si="4"/>
        <v>#DIV/0!</v>
      </c>
      <c r="K34" s="961" t="str">
        <f>IF(J34&lt;'PlayerGrades+'!$AD$21,"F-",IF(J34&lt;'PlayerGrades+'!$AD$20,"F",IF(J34&lt;'PlayerGrades+'!$AD$19,"F+",IF(J34&lt;'PlayerGrades+'!$AD$18,"E-",IF(J34&lt;'PlayerGrades+'!$AD$17,"E",IF(J34&lt;'PlayerGrades+'!$AD$16,"E+",IF(J34&lt;'PlayerGrades+'!$AD$15,"D-",IF(J34&lt;'PlayerGrades+'!$AD$14,"D",IF(J34&lt;'PlayerGrades+'!$AD$13,"D+",IF(J34&lt;'PlayerGrades+'!$AD$12,"C-",IF(J34&lt;'PlayerGrades+'!$AD$11,"C",IF(J34&lt;'PlayerGrades+'!$AD$10,"C+",IF(J34&lt;'PlayerGrades+'!$AD$9,"B-",IF(J34&lt;'PlayerGrades+'!$AD$8,"B",IF(J34&lt;'PlayerGrades+'!$AD$7,"B+",IF(J34&lt;'PlayerGrades+'!$AD$6,"A-",IF(J34&lt;'PlayerGrades+'!$AD$5,"A",IF(J34&lt;'PlayerGrades+'!$AD$4,"A+",IF(J34&lt;'PlayerGrades+'!$AD$3,"S-",IF(J34&lt;'PlayerGrades+'!$AD$2,"S","S+"))))))))))))))))))))</f>
        <v>#DIV/0!</v>
      </c>
      <c r="L34" s="1176" t="str">
        <f t="shared" si="5"/>
        <v>#DIV/0!</v>
      </c>
      <c r="M34" s="992" t="str">
        <f>IF(L34&lt;'PlayerGrades+'!$AE$21,"F-",IF(L34&lt;'PlayerGrades+'!$AE$20,"F",IF(L34&lt;'PlayerGrades+'!$AE$19,"F+",IF(L34&lt;'PlayerGrades+'!$AE$18,"E-",IF(L34&lt;'PlayerGrades+'!$AE$17,"E",IF(L34&lt;'PlayerGrades+'!$AE$16,"E+",IF(L34&lt;'PlayerGrades+'!$AE$15,"D-",IF(L34&lt;'PlayerGrades+'!$AE$14,"D",IF(L34&lt;'PlayerGrades+'!$AE$13,"D+",IF(L34&lt;'PlayerGrades+'!$AE$12,"C-",IF(L34&lt;'PlayerGrades+'!$AE$11,"C",IF(L34&lt;'PlayerGrades+'!$AE$10,"C+",IF(L34&lt;'PlayerGrades+'!$AE$9,"B-",IF(L34&lt;'PlayerGrades+'!$AE$8,"B",IF(L34&lt;'PlayerGrades+'!$AE$7,"B+",IF(L34&lt;'PlayerGrades+'!$AE$6,"A-",IF(L34&lt;'PlayerGrades+'!$AE$5,"A",IF(L34&lt;'PlayerGrades+'!$AE$4,"A+",IF(L34&lt;'PlayerGrades+'!$AE$3,"S-",IF(L34&lt;'PlayerGrades+'!$AE$2,"S","S+"))))))))))))))))))))</f>
        <v>#DIV/0!</v>
      </c>
      <c r="N34" s="961" t="str">
        <f t="shared" si="6"/>
        <v>#DIV/0!</v>
      </c>
      <c r="O34" s="961" t="str">
        <f>IF(N34&lt;'PlayerGrades+'!$AF$21,"F-",IF(N34&lt;'PlayerGrades+'!$AF$20,"F",IF(N34&lt;'PlayerGrades+'!$AF$19,"F+",IF(N34&lt;'PlayerGrades+'!$AF$18,"E-",IF(N34&lt;'PlayerGrades+'!$AF$17,"E",IF(N34&lt;'PlayerGrades+'!$AF$16,"E+",IF(N34&lt;'PlayerGrades+'!$AF$15,"D-",IF(N34&lt;'PlayerGrades+'!$AF$14,"D",IF(N34&lt;'PlayerGrades+'!$AF$13,"D+",IF(N34&lt;'PlayerGrades+'!$AF$12,"C-",IF(N34&lt;'PlayerGrades+'!$AF$11,"C",IF(N34&lt;'PlayerGrades+'!$AF$10,"C+",IF(N34&lt;'PlayerGrades+'!$AF$9,"B-",IF(N34&lt;'PlayerGrades+'!$AF$8,"B",IF(N34&lt;'PlayerGrades+'!$AF$7,"B+",IF(N34&lt;'PlayerGrades+'!$AF$6,"A-",IF(N34&lt;'PlayerGrades+'!$AF$5,"A",IF(N34&lt;'PlayerGrades+'!$AF$4,"A+",IF(N34&lt;'PlayerGrades+'!$AF$3,"S-",IF(N34&lt;'PlayerGrades+'!$AF$2,"S","S+"))))))))))))))))))))</f>
        <v>#DIV/0!</v>
      </c>
      <c r="P34" s="961" t="str">
        <f t="shared" si="7"/>
        <v>#DIV/0!</v>
      </c>
      <c r="Q34" s="961" t="str">
        <f>IF(P34&lt;'PlayerGrades+'!$AG$21,"F-",IF(P34&lt;'PlayerGrades+'!$AG$20,"F",IF(P34&lt;'PlayerGrades+'!$AG$19,"F+",IF(P34&lt;'PlayerGrades+'!$AG$18,"E-",IF(P34&lt;'PlayerGrades+'!$AG$17,"E",IF(P34&lt;'PlayerGrades+'!$AG$16,"E+",IF(P34&lt;'PlayerGrades+'!$AG$15,"D-",IF(P34&lt;'PlayerGrades+'!$AG$14,"D",IF(P34&lt;'PlayerGrades+'!$AG$13,"D+",IF(P34&lt;'PlayerGrades+'!$AG$12,"C-",IF(P34&lt;'PlayerGrades+'!$AG$11,"C",IF(P34&lt;'PlayerGrades+'!$AG$10,"C+",IF(P34&lt;'PlayerGrades+'!$AG$9,"B-",IF(P34&lt;'PlayerGrades+'!$AG$8,"B",IF(P34&lt;'PlayerGrades+'!$AG$7,"B+",IF(P34&lt;'PlayerGrades+'!$AG$6,"A-",IF(P34&lt;'PlayerGrades+'!$AG$5,"A",IF(P34&lt;'PlayerGrades+'!$AG$4,"A+",IF(P34&lt;'PlayerGrades+'!$AG$3,"S-",IF(P34&lt;'PlayerGrades+'!$AG$2,"S","S+"))))))))))))))))))))</f>
        <v>#DIV/0!</v>
      </c>
      <c r="R34" s="961" t="str">
        <f t="shared" si="8"/>
        <v>#DIV/0!</v>
      </c>
      <c r="S34" s="961" t="str">
        <f>IF(R34&lt;'PlayerGrades+'!$AH$21,"F-",IF(R34&lt;'PlayerGrades+'!$AH$20,"F",IF(R34&lt;'PlayerGrades+'!$AH$19,"F+",IF(R34&lt;'PlayerGrades+'!$AH$18,"E-",IF(R34&lt;'PlayerGrades+'!$AH$17,"E",IF(R34&lt;'PlayerGrades+'!$AH$16,"E+",IF(R34&lt;'PlayerGrades+'!$AH$15,"D-",IF(R34&lt;'PlayerGrades+'!$AH$14,"D",IF(R34&lt;'PlayerGrades+'!$AH$13,"D+",IF(R34&lt;'PlayerGrades+'!$AH$12,"C-",IF(R34&lt;'PlayerGrades+'!$AH$11,"C",IF(R34&lt;'PlayerGrades+'!$AH$10,"C+",IF(R34&lt;'PlayerGrades+'!$AH$9,"B-",IF(R34&lt;'PlayerGrades+'!$AH$8,"B",IF(R34&lt;'PlayerGrades+'!$AH$7,"B+",IF(R34&lt;'PlayerGrades+'!$AH$6,"A-",IF(R34&lt;'PlayerGrades+'!$AH$5,"A",IF(R34&lt;'PlayerGrades+'!$AH$4,"A+",IF(R34&lt;'PlayerGrades+'!$AH$3,"S-",IF(R34&lt;'PlayerGrades+'!$AH$2,"S","S+"))))))))))))))))))))</f>
        <v>#DIV/0!</v>
      </c>
      <c r="T34" s="961">
        <f t="shared" si="9"/>
        <v>0</v>
      </c>
      <c r="U34" s="961" t="str">
        <f>IF(T34&lt;'PlayerGrades+'!$AI$21,"F-",IF(T34&lt;'PlayerGrades+'!$AI$20,"F",IF(T34&lt;'PlayerGrades+'!$AI$19,"F+",IF(T34&lt;'PlayerGrades+'!$AI$18,"E-",IF(T34&lt;'PlayerGrades+'!$AI$17,"E",IF(T34&lt;'PlayerGrades+'!$AI$16,"E+",IF(T34&lt;'PlayerGrades+'!$AI$15,"D-",IF(T34&lt;'PlayerGrades+'!$AI$14,"D",IF(T34&lt;'PlayerGrades+'!$AI$13,"D+",IF(T34&lt;'PlayerGrades+'!$AI$12,"C-",IF(T34&lt;'PlayerGrades+'!$AI$11,"C",IF(T34&lt;'PlayerGrades+'!$AI$10,"C+",IF(T34&lt;'PlayerGrades+'!$AI$9,"B-",IF(T34&lt;'PlayerGrades+'!$AI$8,"B",IF(T34&lt;'PlayerGrades+'!$AI$7,"B+",IF(T34&lt;'PlayerGrades+'!$AI$6,"A-",IF(T34&lt;'PlayerGrades+'!$AI$5,"A",IF(T34&lt;'PlayerGrades+'!$AI$4,"A+",IF(T34&lt;'PlayerGrades+'!$AI$3,"S-",IF(T34&lt;'PlayerGrades+'!$AI$2,"S","S+"))))))))))))))))))))</f>
        <v>F-</v>
      </c>
      <c r="V34" s="1379"/>
      <c r="W34" s="1379"/>
      <c r="X34" s="1379"/>
      <c r="Y34" s="1379"/>
      <c r="Z34" s="1380"/>
      <c r="AA34" s="1380"/>
      <c r="AB34" s="1380"/>
      <c r="AC34" s="1381"/>
      <c r="AD34" s="1380"/>
      <c r="AE34" s="1380"/>
      <c r="AF34" s="1380"/>
      <c r="AG34" s="1380"/>
      <c r="AH34" s="1380"/>
      <c r="AI34" s="1380"/>
      <c r="AJ34" s="1380"/>
      <c r="AK34" s="1380"/>
      <c r="AL34" s="1380"/>
      <c r="AM34" s="1380"/>
      <c r="AN34" s="1380"/>
      <c r="AO34" s="1380"/>
      <c r="AP34" s="1380"/>
      <c r="AQ34" s="1380"/>
      <c r="AR34" s="1380"/>
      <c r="AS34" s="1380"/>
      <c r="AT34" s="1380"/>
      <c r="AU34" s="1380"/>
      <c r="AV34" s="1380"/>
      <c r="AW34" s="1380"/>
      <c r="AX34" s="1380"/>
      <c r="AY34" s="1380"/>
      <c r="AZ34" s="1380"/>
    </row>
    <row r="35">
      <c r="A35" s="1382"/>
      <c r="B35" s="611" t="str">
        <f>IF(C35&lt;'PlayerGrades+'!$Y$44,"F-",IF(C35&lt;'PlayerGrades+'!$Y$43,"F",IF(C35&lt;'PlayerGrades+'!$Y$42,"F+",IF(C35&lt;'PlayerGrades+'!$Y$41,"E-",IF(C35&lt;'PlayerGrades+'!$Y$40,"E",IF(C35&lt;'PlayerGrades+'!$Y$39,"E+",IF(C35&lt;'PlayerGrades+'!$Y$38,"D-",IF(C35&lt;'PlayerGrades+'!$Y$37,"D",IF(C35&lt;'PlayerGrades+'!$Y$36,"D+",IF(C35&lt;'PlayerGrades+'!$Y$35,"C-",IF(C35&lt;'PlayerGrades+'!$Y$34,"C",IF(C35&lt;'PlayerGrades+'!$Y$33,"C+",IF(C35&lt;'PlayerGrades+'!$Y$32,"B-",IF(C35&lt;'PlayerGrades+'!$Y$31,"B",IF(C35&lt;'PlayerGrades+'!$Y$30,"B+",IF(C35&lt;'PlayerGrades+'!$Y$29,"A-",IF(C35&lt;'PlayerGrades+'!$Y$28,"A",IF(C35&lt;'PlayerGrades+'!$Y$27,"A+",IF(C35&lt;'PlayerGrades+'!$Y$26,"S-",IF(C35&lt;'PlayerGrades+'!$Y$25,"S","S+"))))))))))))))))))))</f>
        <v>#DIV/0!</v>
      </c>
      <c r="C35" s="1378" t="str">
        <f>('PlayerGrades+'!$Y$47*(VLOOKUP(E35, 'PlayerGrades+'!$X$3:$Y$23, 2, FALSE)))+('PlayerGrades+'!$Y$48*(VLOOKUP(G35, 'PlayerGrades+'!$X$3:$Y$23, 2, FALSE)))+('PlayerGrades+'!$Y$49*(VLOOKUP(I35, 'PlayerGrades+'!$X$3:$Y$23, 2, FALSE)))+('PlayerGrades+'!$Y$50*(VLOOKUP(K35, 'PlayerGrades+'!$X$3:$Y$23, 2, FALSE)))+('PlayerGrades+'!$Y$51*(VLOOKUP(M35, 'PlayerGrades+'!$X$3:$Y$23, 2, FALSE)))+('PlayerGrades+'!$Y$52*(VLOOKUP(O35, 'PlayerGrades+'!$X$3:$Y$23, 2, FALSE)))+('PlayerGrades+'!$Y$53*(VLOOKUP(Q35, 'PlayerGrades+'!$X$3:$Y$23, 2, FALSE)))+('PlayerGrades+'!$Y$54*(VLOOKUP(S35, 'PlayerGrades+'!$X$3:$Y$23, 2, FALSE)))+('PlayerGrades+'!$Y$55*(VLOOKUP(U35, 'PlayerGrades+'!$X$3:$Y$23, 2, FALSE)))</f>
        <v>#DIV/0!</v>
      </c>
      <c r="D35" s="961" t="str">
        <f t="shared" si="1"/>
        <v>#DIV/0!</v>
      </c>
      <c r="E35" s="961" t="str">
        <f>IF(D35&lt;'PlayerGrades+'!$AA$21,"F-",IF(D35&lt;'PlayerGrades+'!$AA$20,"F",IF(D35&lt;'PlayerGrades+'!$AA$19,"F+",IF(D35&lt;'PlayerGrades+'!$AA$18,"E-",IF(D35&lt;'PlayerGrades+'!$AA$17,"E",IF(D35&lt;'PlayerGrades+'!$AA$16,"E+",IF(D35&lt;'PlayerGrades+'!$AA$15,"D-",IF(D35&lt;'PlayerGrades+'!$AA$14,"D",IF(D35&lt;'PlayerGrades+'!$AA$13,"D+",IF(D35&lt;'PlayerGrades+'!$AA$12,"C-",IF(D35&lt;'PlayerGrades+'!$AA$11,"C",IF(D35&lt;'PlayerGrades+'!$AA$10,"C+",IF(D35&lt;'PlayerGrades+'!$AA$9,"B-",IF(D35&lt;'PlayerGrades+'!$AA$8,"B",IF(D35&lt;'PlayerGrades+'!$AA$7,"B+",IF(D35&lt;'PlayerGrades+'!$AA$6,"A-",IF(D35&lt;'PlayerGrades+'!$AA$5,"A",IF(D35&lt;'PlayerGrades+'!$AA$4,"A+",IF(D35&lt;'PlayerGrades+'!$AA$3,"S-",IF(D35&lt;'PlayerGrades+'!$AA$2,"S","S+"))))))))))))))))))))</f>
        <v>#DIV/0!</v>
      </c>
      <c r="F35" s="961" t="str">
        <f t="shared" si="2"/>
        <v>#DIV/0!</v>
      </c>
      <c r="G35" s="961" t="str">
        <f>IF(F35&lt;'PlayerGrades+'!$AB$21,"F-",IF(F35&lt;'PlayerGrades+'!$AB$20,"F",IF(F35&lt;'PlayerGrades+'!$AB$19,"F+",IF(F35&lt;'PlayerGrades+'!$AB$18,"E-",IF(F35&lt;'PlayerGrades+'!$AB$17,"E",IF(F35&lt;'PlayerGrades+'!$AB$16,"E+",IF(F35&lt;'PlayerGrades+'!$AB$15,"D-",IF(F35&lt;'PlayerGrades+'!$AB$14,"D",IF(F35&lt;'PlayerGrades+'!$AB$13,"D+",IF(F35&lt;'PlayerGrades+'!$AB$12,"C-",IF(F35&lt;'PlayerGrades+'!$AB$11,"C",IF(F35&lt;'PlayerGrades+'!$AB$10,"C+",IF(F35&lt;'PlayerGrades+'!$AB$9,"B-",IF(F35&lt;'PlayerGrades+'!$AB$8,"B",IF(F35&lt;'PlayerGrades+'!$AB$7,"B+",IF(F35&lt;'PlayerGrades+'!$AB$6,"A-",IF(F35&lt;'PlayerGrades+'!$AB$5,"A",IF(F35&lt;'PlayerGrades+'!$AB$4,"A+",IF(F35&lt;'PlayerGrades+'!$AB$3,"S-",IF(F35&lt;'PlayerGrades+'!$AB$2,"S","S+"))))))))))))))))))))</f>
        <v>#DIV/0!</v>
      </c>
      <c r="H35" s="961" t="str">
        <f t="shared" si="3"/>
        <v>#DIV/0!</v>
      </c>
      <c r="I35" s="961" t="str">
        <f>IF(H35&lt;'PlayerGrades+'!$AC$21,"F-",IF(H35&lt;'PlayerGrades+'!$AC$20,"F",IF(H35&lt;'PlayerGrades+'!$AC$19,"F+",IF(H35&lt;'PlayerGrades+'!$AC$18,"E-",IF(H35&lt;'PlayerGrades+'!$AC$17,"E",IF(H35&lt;'PlayerGrades+'!$AC$16,"E+",IF(H35&lt;'PlayerGrades+'!$AC$15,"D-",IF(H35&lt;'PlayerGrades+'!$AC$14,"D",IF(H35&lt;'PlayerGrades+'!$AC$13,"D+",IF(H35&lt;'PlayerGrades+'!$AC$12,"C-",IF(H35&lt;'PlayerGrades+'!$AC$11,"C",IF(H35&lt;'PlayerGrades+'!$AC$10,"C+",IF(H35&lt;'PlayerGrades+'!$AC$9,"B-",IF(H35&lt;'PlayerGrades+'!$AC$8,"B",IF(H35&lt;'PlayerGrades+'!$AC$7,"B+",IF(H35&lt;'PlayerGrades+'!$AC$6,"A-",IF(H35&lt;'PlayerGrades+'!$AC$5,"A",IF(H35&lt;'PlayerGrades+'!$AC$4,"A+",IF(H35&lt;'PlayerGrades+'!$AC$3,"S-",IF(H35&lt;'PlayerGrades+'!$AC$2,"S","S+"))))))))))))))))))))</f>
        <v>#DIV/0!</v>
      </c>
      <c r="J35" s="961" t="str">
        <f t="shared" si="4"/>
        <v>#DIV/0!</v>
      </c>
      <c r="K35" s="961" t="str">
        <f>IF(J35&lt;'PlayerGrades+'!$AD$21,"F-",IF(J35&lt;'PlayerGrades+'!$AD$20,"F",IF(J35&lt;'PlayerGrades+'!$AD$19,"F+",IF(J35&lt;'PlayerGrades+'!$AD$18,"E-",IF(J35&lt;'PlayerGrades+'!$AD$17,"E",IF(J35&lt;'PlayerGrades+'!$AD$16,"E+",IF(J35&lt;'PlayerGrades+'!$AD$15,"D-",IF(J35&lt;'PlayerGrades+'!$AD$14,"D",IF(J35&lt;'PlayerGrades+'!$AD$13,"D+",IF(J35&lt;'PlayerGrades+'!$AD$12,"C-",IF(J35&lt;'PlayerGrades+'!$AD$11,"C",IF(J35&lt;'PlayerGrades+'!$AD$10,"C+",IF(J35&lt;'PlayerGrades+'!$AD$9,"B-",IF(J35&lt;'PlayerGrades+'!$AD$8,"B",IF(J35&lt;'PlayerGrades+'!$AD$7,"B+",IF(J35&lt;'PlayerGrades+'!$AD$6,"A-",IF(J35&lt;'PlayerGrades+'!$AD$5,"A",IF(J35&lt;'PlayerGrades+'!$AD$4,"A+",IF(J35&lt;'PlayerGrades+'!$AD$3,"S-",IF(J35&lt;'PlayerGrades+'!$AD$2,"S","S+"))))))))))))))))))))</f>
        <v>#DIV/0!</v>
      </c>
      <c r="L35" s="1176" t="str">
        <f t="shared" si="5"/>
        <v>#DIV/0!</v>
      </c>
      <c r="M35" s="992" t="str">
        <f>IF(L35&lt;'PlayerGrades+'!$AE$21,"F-",IF(L35&lt;'PlayerGrades+'!$AE$20,"F",IF(L35&lt;'PlayerGrades+'!$AE$19,"F+",IF(L35&lt;'PlayerGrades+'!$AE$18,"E-",IF(L35&lt;'PlayerGrades+'!$AE$17,"E",IF(L35&lt;'PlayerGrades+'!$AE$16,"E+",IF(L35&lt;'PlayerGrades+'!$AE$15,"D-",IF(L35&lt;'PlayerGrades+'!$AE$14,"D",IF(L35&lt;'PlayerGrades+'!$AE$13,"D+",IF(L35&lt;'PlayerGrades+'!$AE$12,"C-",IF(L35&lt;'PlayerGrades+'!$AE$11,"C",IF(L35&lt;'PlayerGrades+'!$AE$10,"C+",IF(L35&lt;'PlayerGrades+'!$AE$9,"B-",IF(L35&lt;'PlayerGrades+'!$AE$8,"B",IF(L35&lt;'PlayerGrades+'!$AE$7,"B+",IF(L35&lt;'PlayerGrades+'!$AE$6,"A-",IF(L35&lt;'PlayerGrades+'!$AE$5,"A",IF(L35&lt;'PlayerGrades+'!$AE$4,"A+",IF(L35&lt;'PlayerGrades+'!$AE$3,"S-",IF(L35&lt;'PlayerGrades+'!$AE$2,"S","S+"))))))))))))))))))))</f>
        <v>#DIV/0!</v>
      </c>
      <c r="N35" s="961" t="str">
        <f t="shared" si="6"/>
        <v>#DIV/0!</v>
      </c>
      <c r="O35" s="961" t="str">
        <f>IF(N35&lt;'PlayerGrades+'!$AF$21,"F-",IF(N35&lt;'PlayerGrades+'!$AF$20,"F",IF(N35&lt;'PlayerGrades+'!$AF$19,"F+",IF(N35&lt;'PlayerGrades+'!$AF$18,"E-",IF(N35&lt;'PlayerGrades+'!$AF$17,"E",IF(N35&lt;'PlayerGrades+'!$AF$16,"E+",IF(N35&lt;'PlayerGrades+'!$AF$15,"D-",IF(N35&lt;'PlayerGrades+'!$AF$14,"D",IF(N35&lt;'PlayerGrades+'!$AF$13,"D+",IF(N35&lt;'PlayerGrades+'!$AF$12,"C-",IF(N35&lt;'PlayerGrades+'!$AF$11,"C",IF(N35&lt;'PlayerGrades+'!$AF$10,"C+",IF(N35&lt;'PlayerGrades+'!$AF$9,"B-",IF(N35&lt;'PlayerGrades+'!$AF$8,"B",IF(N35&lt;'PlayerGrades+'!$AF$7,"B+",IF(N35&lt;'PlayerGrades+'!$AF$6,"A-",IF(N35&lt;'PlayerGrades+'!$AF$5,"A",IF(N35&lt;'PlayerGrades+'!$AF$4,"A+",IF(N35&lt;'PlayerGrades+'!$AF$3,"S-",IF(N35&lt;'PlayerGrades+'!$AF$2,"S","S+"))))))))))))))))))))</f>
        <v>#DIV/0!</v>
      </c>
      <c r="P35" s="961" t="str">
        <f t="shared" si="7"/>
        <v>#DIV/0!</v>
      </c>
      <c r="Q35" s="961" t="str">
        <f>IF(P35&lt;'PlayerGrades+'!$AG$21,"F-",IF(P35&lt;'PlayerGrades+'!$AG$20,"F",IF(P35&lt;'PlayerGrades+'!$AG$19,"F+",IF(P35&lt;'PlayerGrades+'!$AG$18,"E-",IF(P35&lt;'PlayerGrades+'!$AG$17,"E",IF(P35&lt;'PlayerGrades+'!$AG$16,"E+",IF(P35&lt;'PlayerGrades+'!$AG$15,"D-",IF(P35&lt;'PlayerGrades+'!$AG$14,"D",IF(P35&lt;'PlayerGrades+'!$AG$13,"D+",IF(P35&lt;'PlayerGrades+'!$AG$12,"C-",IF(P35&lt;'PlayerGrades+'!$AG$11,"C",IF(P35&lt;'PlayerGrades+'!$AG$10,"C+",IF(P35&lt;'PlayerGrades+'!$AG$9,"B-",IF(P35&lt;'PlayerGrades+'!$AG$8,"B",IF(P35&lt;'PlayerGrades+'!$AG$7,"B+",IF(P35&lt;'PlayerGrades+'!$AG$6,"A-",IF(P35&lt;'PlayerGrades+'!$AG$5,"A",IF(P35&lt;'PlayerGrades+'!$AG$4,"A+",IF(P35&lt;'PlayerGrades+'!$AG$3,"S-",IF(P35&lt;'PlayerGrades+'!$AG$2,"S","S+"))))))))))))))))))))</f>
        <v>#DIV/0!</v>
      </c>
      <c r="R35" s="961" t="str">
        <f t="shared" si="8"/>
        <v>#DIV/0!</v>
      </c>
      <c r="S35" s="961" t="str">
        <f>IF(R35&lt;'PlayerGrades+'!$AH$21,"F-",IF(R35&lt;'PlayerGrades+'!$AH$20,"F",IF(R35&lt;'PlayerGrades+'!$AH$19,"F+",IF(R35&lt;'PlayerGrades+'!$AH$18,"E-",IF(R35&lt;'PlayerGrades+'!$AH$17,"E",IF(R35&lt;'PlayerGrades+'!$AH$16,"E+",IF(R35&lt;'PlayerGrades+'!$AH$15,"D-",IF(R35&lt;'PlayerGrades+'!$AH$14,"D",IF(R35&lt;'PlayerGrades+'!$AH$13,"D+",IF(R35&lt;'PlayerGrades+'!$AH$12,"C-",IF(R35&lt;'PlayerGrades+'!$AH$11,"C",IF(R35&lt;'PlayerGrades+'!$AH$10,"C+",IF(R35&lt;'PlayerGrades+'!$AH$9,"B-",IF(R35&lt;'PlayerGrades+'!$AH$8,"B",IF(R35&lt;'PlayerGrades+'!$AH$7,"B+",IF(R35&lt;'PlayerGrades+'!$AH$6,"A-",IF(R35&lt;'PlayerGrades+'!$AH$5,"A",IF(R35&lt;'PlayerGrades+'!$AH$4,"A+",IF(R35&lt;'PlayerGrades+'!$AH$3,"S-",IF(R35&lt;'PlayerGrades+'!$AH$2,"S","S+"))))))))))))))))))))</f>
        <v>#DIV/0!</v>
      </c>
      <c r="T35" s="961">
        <f t="shared" si="9"/>
        <v>0</v>
      </c>
      <c r="U35" s="961" t="str">
        <f>IF(T35&lt;'PlayerGrades+'!$AI$21,"F-",IF(T35&lt;'PlayerGrades+'!$AI$20,"F",IF(T35&lt;'PlayerGrades+'!$AI$19,"F+",IF(T35&lt;'PlayerGrades+'!$AI$18,"E-",IF(T35&lt;'PlayerGrades+'!$AI$17,"E",IF(T35&lt;'PlayerGrades+'!$AI$16,"E+",IF(T35&lt;'PlayerGrades+'!$AI$15,"D-",IF(T35&lt;'PlayerGrades+'!$AI$14,"D",IF(T35&lt;'PlayerGrades+'!$AI$13,"D+",IF(T35&lt;'PlayerGrades+'!$AI$12,"C-",IF(T35&lt;'PlayerGrades+'!$AI$11,"C",IF(T35&lt;'PlayerGrades+'!$AI$10,"C+",IF(T35&lt;'PlayerGrades+'!$AI$9,"B-",IF(T35&lt;'PlayerGrades+'!$AI$8,"B",IF(T35&lt;'PlayerGrades+'!$AI$7,"B+",IF(T35&lt;'PlayerGrades+'!$AI$6,"A-",IF(T35&lt;'PlayerGrades+'!$AI$5,"A",IF(T35&lt;'PlayerGrades+'!$AI$4,"A+",IF(T35&lt;'PlayerGrades+'!$AI$3,"S-",IF(T35&lt;'PlayerGrades+'!$AI$2,"S","S+"))))))))))))))))))))</f>
        <v>F-</v>
      </c>
      <c r="Z35" s="1383"/>
      <c r="AA35" s="1383"/>
      <c r="AB35" s="1383"/>
      <c r="AC35" s="1384"/>
      <c r="AD35" s="1383"/>
      <c r="AE35" s="1383"/>
      <c r="AF35" s="1383"/>
      <c r="AG35" s="1383"/>
      <c r="AH35" s="1383"/>
      <c r="AI35" s="1383"/>
      <c r="AJ35" s="1383"/>
      <c r="AK35" s="1383"/>
      <c r="AL35" s="1383"/>
      <c r="AM35" s="1383"/>
      <c r="AN35" s="1383"/>
      <c r="AO35" s="1383"/>
      <c r="AP35" s="1383"/>
      <c r="AQ35" s="1383"/>
      <c r="AR35" s="1383"/>
      <c r="AS35" s="1383"/>
      <c r="AT35" s="1383"/>
      <c r="AU35" s="1383"/>
      <c r="AV35" s="1383"/>
      <c r="AW35" s="1383"/>
      <c r="AX35" s="1383"/>
      <c r="AY35" s="1383"/>
      <c r="AZ35" s="1383"/>
    </row>
    <row r="36">
      <c r="A36" s="1382"/>
      <c r="B36" s="611" t="str">
        <f>IF(C36&lt;'PlayerGrades+'!$Y$44,"F-",IF(C36&lt;'PlayerGrades+'!$Y$43,"F",IF(C36&lt;'PlayerGrades+'!$Y$42,"F+",IF(C36&lt;'PlayerGrades+'!$Y$41,"E-",IF(C36&lt;'PlayerGrades+'!$Y$40,"E",IF(C36&lt;'PlayerGrades+'!$Y$39,"E+",IF(C36&lt;'PlayerGrades+'!$Y$38,"D-",IF(C36&lt;'PlayerGrades+'!$Y$37,"D",IF(C36&lt;'PlayerGrades+'!$Y$36,"D+",IF(C36&lt;'PlayerGrades+'!$Y$35,"C-",IF(C36&lt;'PlayerGrades+'!$Y$34,"C",IF(C36&lt;'PlayerGrades+'!$Y$33,"C+",IF(C36&lt;'PlayerGrades+'!$Y$32,"B-",IF(C36&lt;'PlayerGrades+'!$Y$31,"B",IF(C36&lt;'PlayerGrades+'!$Y$30,"B+",IF(C36&lt;'PlayerGrades+'!$Y$29,"A-",IF(C36&lt;'PlayerGrades+'!$Y$28,"A",IF(C36&lt;'PlayerGrades+'!$Y$27,"A+",IF(C36&lt;'PlayerGrades+'!$Y$26,"S-",IF(C36&lt;'PlayerGrades+'!$Y$25,"S","S+"))))))))))))))))))))</f>
        <v>#DIV/0!</v>
      </c>
      <c r="C36" s="1378" t="str">
        <f>('PlayerGrades+'!$Y$47*(VLOOKUP(E36, 'PlayerGrades+'!$X$3:$Y$23, 2, FALSE)))+('PlayerGrades+'!$Y$48*(VLOOKUP(G36, 'PlayerGrades+'!$X$3:$Y$23, 2, FALSE)))+('PlayerGrades+'!$Y$49*(VLOOKUP(I36, 'PlayerGrades+'!$X$3:$Y$23, 2, FALSE)))+('PlayerGrades+'!$Y$50*(VLOOKUP(K36, 'PlayerGrades+'!$X$3:$Y$23, 2, FALSE)))+('PlayerGrades+'!$Y$51*(VLOOKUP(M36, 'PlayerGrades+'!$X$3:$Y$23, 2, FALSE)))+('PlayerGrades+'!$Y$52*(VLOOKUP(O36, 'PlayerGrades+'!$X$3:$Y$23, 2, FALSE)))+('PlayerGrades+'!$Y$53*(VLOOKUP(Q36, 'PlayerGrades+'!$X$3:$Y$23, 2, FALSE)))+('PlayerGrades+'!$Y$54*(VLOOKUP(S36, 'PlayerGrades+'!$X$3:$Y$23, 2, FALSE)))+('PlayerGrades+'!$Y$55*(VLOOKUP(U36, 'PlayerGrades+'!$X$3:$Y$23, 2, FALSE)))</f>
        <v>#DIV/0!</v>
      </c>
      <c r="D36" s="961" t="str">
        <f t="shared" si="1"/>
        <v>#DIV/0!</v>
      </c>
      <c r="E36" s="961" t="str">
        <f>IF(D36&lt;'PlayerGrades+'!$AA$21,"F-",IF(D36&lt;'PlayerGrades+'!$AA$20,"F",IF(D36&lt;'PlayerGrades+'!$AA$19,"F+",IF(D36&lt;'PlayerGrades+'!$AA$18,"E-",IF(D36&lt;'PlayerGrades+'!$AA$17,"E",IF(D36&lt;'PlayerGrades+'!$AA$16,"E+",IF(D36&lt;'PlayerGrades+'!$AA$15,"D-",IF(D36&lt;'PlayerGrades+'!$AA$14,"D",IF(D36&lt;'PlayerGrades+'!$AA$13,"D+",IF(D36&lt;'PlayerGrades+'!$AA$12,"C-",IF(D36&lt;'PlayerGrades+'!$AA$11,"C",IF(D36&lt;'PlayerGrades+'!$AA$10,"C+",IF(D36&lt;'PlayerGrades+'!$AA$9,"B-",IF(D36&lt;'PlayerGrades+'!$AA$8,"B",IF(D36&lt;'PlayerGrades+'!$AA$7,"B+",IF(D36&lt;'PlayerGrades+'!$AA$6,"A-",IF(D36&lt;'PlayerGrades+'!$AA$5,"A",IF(D36&lt;'PlayerGrades+'!$AA$4,"A+",IF(D36&lt;'PlayerGrades+'!$AA$3,"S-",IF(D36&lt;'PlayerGrades+'!$AA$2,"S","S+"))))))))))))))))))))</f>
        <v>#DIV/0!</v>
      </c>
      <c r="F36" s="961" t="str">
        <f t="shared" si="2"/>
        <v>#DIV/0!</v>
      </c>
      <c r="G36" s="961" t="str">
        <f>IF(F36&lt;'PlayerGrades+'!$AB$21,"F-",IF(F36&lt;'PlayerGrades+'!$AB$20,"F",IF(F36&lt;'PlayerGrades+'!$AB$19,"F+",IF(F36&lt;'PlayerGrades+'!$AB$18,"E-",IF(F36&lt;'PlayerGrades+'!$AB$17,"E",IF(F36&lt;'PlayerGrades+'!$AB$16,"E+",IF(F36&lt;'PlayerGrades+'!$AB$15,"D-",IF(F36&lt;'PlayerGrades+'!$AB$14,"D",IF(F36&lt;'PlayerGrades+'!$AB$13,"D+",IF(F36&lt;'PlayerGrades+'!$AB$12,"C-",IF(F36&lt;'PlayerGrades+'!$AB$11,"C",IF(F36&lt;'PlayerGrades+'!$AB$10,"C+",IF(F36&lt;'PlayerGrades+'!$AB$9,"B-",IF(F36&lt;'PlayerGrades+'!$AB$8,"B",IF(F36&lt;'PlayerGrades+'!$AB$7,"B+",IF(F36&lt;'PlayerGrades+'!$AB$6,"A-",IF(F36&lt;'PlayerGrades+'!$AB$5,"A",IF(F36&lt;'PlayerGrades+'!$AB$4,"A+",IF(F36&lt;'PlayerGrades+'!$AB$3,"S-",IF(F36&lt;'PlayerGrades+'!$AB$2,"S","S+"))))))))))))))))))))</f>
        <v>#DIV/0!</v>
      </c>
      <c r="H36" s="961" t="str">
        <f t="shared" si="3"/>
        <v>#DIV/0!</v>
      </c>
      <c r="I36" s="961" t="str">
        <f>IF(H36&lt;'PlayerGrades+'!$AC$21,"F-",IF(H36&lt;'PlayerGrades+'!$AC$20,"F",IF(H36&lt;'PlayerGrades+'!$AC$19,"F+",IF(H36&lt;'PlayerGrades+'!$AC$18,"E-",IF(H36&lt;'PlayerGrades+'!$AC$17,"E",IF(H36&lt;'PlayerGrades+'!$AC$16,"E+",IF(H36&lt;'PlayerGrades+'!$AC$15,"D-",IF(H36&lt;'PlayerGrades+'!$AC$14,"D",IF(H36&lt;'PlayerGrades+'!$AC$13,"D+",IF(H36&lt;'PlayerGrades+'!$AC$12,"C-",IF(H36&lt;'PlayerGrades+'!$AC$11,"C",IF(H36&lt;'PlayerGrades+'!$AC$10,"C+",IF(H36&lt;'PlayerGrades+'!$AC$9,"B-",IF(H36&lt;'PlayerGrades+'!$AC$8,"B",IF(H36&lt;'PlayerGrades+'!$AC$7,"B+",IF(H36&lt;'PlayerGrades+'!$AC$6,"A-",IF(H36&lt;'PlayerGrades+'!$AC$5,"A",IF(H36&lt;'PlayerGrades+'!$AC$4,"A+",IF(H36&lt;'PlayerGrades+'!$AC$3,"S-",IF(H36&lt;'PlayerGrades+'!$AC$2,"S","S+"))))))))))))))))))))</f>
        <v>#DIV/0!</v>
      </c>
      <c r="J36" s="961" t="str">
        <f t="shared" si="4"/>
        <v>#DIV/0!</v>
      </c>
      <c r="K36" s="961" t="str">
        <f>IF(J36&lt;'PlayerGrades+'!$AD$21,"F-",IF(J36&lt;'PlayerGrades+'!$AD$20,"F",IF(J36&lt;'PlayerGrades+'!$AD$19,"F+",IF(J36&lt;'PlayerGrades+'!$AD$18,"E-",IF(J36&lt;'PlayerGrades+'!$AD$17,"E",IF(J36&lt;'PlayerGrades+'!$AD$16,"E+",IF(J36&lt;'PlayerGrades+'!$AD$15,"D-",IF(J36&lt;'PlayerGrades+'!$AD$14,"D",IF(J36&lt;'PlayerGrades+'!$AD$13,"D+",IF(J36&lt;'PlayerGrades+'!$AD$12,"C-",IF(J36&lt;'PlayerGrades+'!$AD$11,"C",IF(J36&lt;'PlayerGrades+'!$AD$10,"C+",IF(J36&lt;'PlayerGrades+'!$AD$9,"B-",IF(J36&lt;'PlayerGrades+'!$AD$8,"B",IF(J36&lt;'PlayerGrades+'!$AD$7,"B+",IF(J36&lt;'PlayerGrades+'!$AD$6,"A-",IF(J36&lt;'PlayerGrades+'!$AD$5,"A",IF(J36&lt;'PlayerGrades+'!$AD$4,"A+",IF(J36&lt;'PlayerGrades+'!$AD$3,"S-",IF(J36&lt;'PlayerGrades+'!$AD$2,"S","S+"))))))))))))))))))))</f>
        <v>#DIV/0!</v>
      </c>
      <c r="L36" s="1176" t="str">
        <f t="shared" si="5"/>
        <v>#DIV/0!</v>
      </c>
      <c r="M36" s="992" t="str">
        <f>IF(L36&lt;'PlayerGrades+'!$AE$21,"F-",IF(L36&lt;'PlayerGrades+'!$AE$20,"F",IF(L36&lt;'PlayerGrades+'!$AE$19,"F+",IF(L36&lt;'PlayerGrades+'!$AE$18,"E-",IF(L36&lt;'PlayerGrades+'!$AE$17,"E",IF(L36&lt;'PlayerGrades+'!$AE$16,"E+",IF(L36&lt;'PlayerGrades+'!$AE$15,"D-",IF(L36&lt;'PlayerGrades+'!$AE$14,"D",IF(L36&lt;'PlayerGrades+'!$AE$13,"D+",IF(L36&lt;'PlayerGrades+'!$AE$12,"C-",IF(L36&lt;'PlayerGrades+'!$AE$11,"C",IF(L36&lt;'PlayerGrades+'!$AE$10,"C+",IF(L36&lt;'PlayerGrades+'!$AE$9,"B-",IF(L36&lt;'PlayerGrades+'!$AE$8,"B",IF(L36&lt;'PlayerGrades+'!$AE$7,"B+",IF(L36&lt;'PlayerGrades+'!$AE$6,"A-",IF(L36&lt;'PlayerGrades+'!$AE$5,"A",IF(L36&lt;'PlayerGrades+'!$AE$4,"A+",IF(L36&lt;'PlayerGrades+'!$AE$3,"S-",IF(L36&lt;'PlayerGrades+'!$AE$2,"S","S+"))))))))))))))))))))</f>
        <v>#DIV/0!</v>
      </c>
      <c r="N36" s="961" t="str">
        <f t="shared" si="6"/>
        <v>#DIV/0!</v>
      </c>
      <c r="O36" s="961" t="str">
        <f>IF(N36&lt;'PlayerGrades+'!$AF$21,"F-",IF(N36&lt;'PlayerGrades+'!$AF$20,"F",IF(N36&lt;'PlayerGrades+'!$AF$19,"F+",IF(N36&lt;'PlayerGrades+'!$AF$18,"E-",IF(N36&lt;'PlayerGrades+'!$AF$17,"E",IF(N36&lt;'PlayerGrades+'!$AF$16,"E+",IF(N36&lt;'PlayerGrades+'!$AF$15,"D-",IF(N36&lt;'PlayerGrades+'!$AF$14,"D",IF(N36&lt;'PlayerGrades+'!$AF$13,"D+",IF(N36&lt;'PlayerGrades+'!$AF$12,"C-",IF(N36&lt;'PlayerGrades+'!$AF$11,"C",IF(N36&lt;'PlayerGrades+'!$AF$10,"C+",IF(N36&lt;'PlayerGrades+'!$AF$9,"B-",IF(N36&lt;'PlayerGrades+'!$AF$8,"B",IF(N36&lt;'PlayerGrades+'!$AF$7,"B+",IF(N36&lt;'PlayerGrades+'!$AF$6,"A-",IF(N36&lt;'PlayerGrades+'!$AF$5,"A",IF(N36&lt;'PlayerGrades+'!$AF$4,"A+",IF(N36&lt;'PlayerGrades+'!$AF$3,"S-",IF(N36&lt;'PlayerGrades+'!$AF$2,"S","S+"))))))))))))))))))))</f>
        <v>#DIV/0!</v>
      </c>
      <c r="P36" s="961" t="str">
        <f t="shared" si="7"/>
        <v>#DIV/0!</v>
      </c>
      <c r="Q36" s="961" t="str">
        <f>IF(P36&lt;'PlayerGrades+'!$AG$21,"F-",IF(P36&lt;'PlayerGrades+'!$AG$20,"F",IF(P36&lt;'PlayerGrades+'!$AG$19,"F+",IF(P36&lt;'PlayerGrades+'!$AG$18,"E-",IF(P36&lt;'PlayerGrades+'!$AG$17,"E",IF(P36&lt;'PlayerGrades+'!$AG$16,"E+",IF(P36&lt;'PlayerGrades+'!$AG$15,"D-",IF(P36&lt;'PlayerGrades+'!$AG$14,"D",IF(P36&lt;'PlayerGrades+'!$AG$13,"D+",IF(P36&lt;'PlayerGrades+'!$AG$12,"C-",IF(P36&lt;'PlayerGrades+'!$AG$11,"C",IF(P36&lt;'PlayerGrades+'!$AG$10,"C+",IF(P36&lt;'PlayerGrades+'!$AG$9,"B-",IF(P36&lt;'PlayerGrades+'!$AG$8,"B",IF(P36&lt;'PlayerGrades+'!$AG$7,"B+",IF(P36&lt;'PlayerGrades+'!$AG$6,"A-",IF(P36&lt;'PlayerGrades+'!$AG$5,"A",IF(P36&lt;'PlayerGrades+'!$AG$4,"A+",IF(P36&lt;'PlayerGrades+'!$AG$3,"S-",IF(P36&lt;'PlayerGrades+'!$AG$2,"S","S+"))))))))))))))))))))</f>
        <v>#DIV/0!</v>
      </c>
      <c r="R36" s="961" t="str">
        <f t="shared" si="8"/>
        <v>#DIV/0!</v>
      </c>
      <c r="S36" s="961" t="str">
        <f>IF(R36&lt;'PlayerGrades+'!$AH$21,"F-",IF(R36&lt;'PlayerGrades+'!$AH$20,"F",IF(R36&lt;'PlayerGrades+'!$AH$19,"F+",IF(R36&lt;'PlayerGrades+'!$AH$18,"E-",IF(R36&lt;'PlayerGrades+'!$AH$17,"E",IF(R36&lt;'PlayerGrades+'!$AH$16,"E+",IF(R36&lt;'PlayerGrades+'!$AH$15,"D-",IF(R36&lt;'PlayerGrades+'!$AH$14,"D",IF(R36&lt;'PlayerGrades+'!$AH$13,"D+",IF(R36&lt;'PlayerGrades+'!$AH$12,"C-",IF(R36&lt;'PlayerGrades+'!$AH$11,"C",IF(R36&lt;'PlayerGrades+'!$AH$10,"C+",IF(R36&lt;'PlayerGrades+'!$AH$9,"B-",IF(R36&lt;'PlayerGrades+'!$AH$8,"B",IF(R36&lt;'PlayerGrades+'!$AH$7,"B+",IF(R36&lt;'PlayerGrades+'!$AH$6,"A-",IF(R36&lt;'PlayerGrades+'!$AH$5,"A",IF(R36&lt;'PlayerGrades+'!$AH$4,"A+",IF(R36&lt;'PlayerGrades+'!$AH$3,"S-",IF(R36&lt;'PlayerGrades+'!$AH$2,"S","S+"))))))))))))))))))))</f>
        <v>#DIV/0!</v>
      </c>
      <c r="T36" s="961">
        <f t="shared" si="9"/>
        <v>0</v>
      </c>
      <c r="U36" s="961" t="str">
        <f>IF(T36&lt;'PlayerGrades+'!$AI$21,"F-",IF(T36&lt;'PlayerGrades+'!$AI$20,"F",IF(T36&lt;'PlayerGrades+'!$AI$19,"F+",IF(T36&lt;'PlayerGrades+'!$AI$18,"E-",IF(T36&lt;'PlayerGrades+'!$AI$17,"E",IF(T36&lt;'PlayerGrades+'!$AI$16,"E+",IF(T36&lt;'PlayerGrades+'!$AI$15,"D-",IF(T36&lt;'PlayerGrades+'!$AI$14,"D",IF(T36&lt;'PlayerGrades+'!$AI$13,"D+",IF(T36&lt;'PlayerGrades+'!$AI$12,"C-",IF(T36&lt;'PlayerGrades+'!$AI$11,"C",IF(T36&lt;'PlayerGrades+'!$AI$10,"C+",IF(T36&lt;'PlayerGrades+'!$AI$9,"B-",IF(T36&lt;'PlayerGrades+'!$AI$8,"B",IF(T36&lt;'PlayerGrades+'!$AI$7,"B+",IF(T36&lt;'PlayerGrades+'!$AI$6,"A-",IF(T36&lt;'PlayerGrades+'!$AI$5,"A",IF(T36&lt;'PlayerGrades+'!$AI$4,"A+",IF(T36&lt;'PlayerGrades+'!$AI$3,"S-",IF(T36&lt;'PlayerGrades+'!$AI$2,"S","S+"))))))))))))))))))))</f>
        <v>F-</v>
      </c>
      <c r="Z36" s="1383"/>
      <c r="AA36" s="1383"/>
      <c r="AB36" s="1383"/>
      <c r="AC36" s="1384"/>
      <c r="AD36" s="1383"/>
      <c r="AE36" s="1383"/>
      <c r="AF36" s="1383"/>
      <c r="AG36" s="1383"/>
      <c r="AH36" s="1383"/>
      <c r="AI36" s="1383"/>
      <c r="AJ36" s="1383"/>
      <c r="AK36" s="1383"/>
      <c r="AL36" s="1383"/>
      <c r="AM36" s="1383"/>
      <c r="AN36" s="1383"/>
      <c r="AO36" s="1383"/>
      <c r="AP36" s="1383"/>
      <c r="AQ36" s="1383"/>
      <c r="AR36" s="1383"/>
      <c r="AS36" s="1383"/>
      <c r="AT36" s="1383"/>
      <c r="AU36" s="1383"/>
      <c r="AV36" s="1383"/>
      <c r="AW36" s="1383"/>
      <c r="AX36" s="1383"/>
      <c r="AY36" s="1383"/>
      <c r="AZ36" s="1383"/>
    </row>
    <row r="37">
      <c r="A37" s="1382"/>
      <c r="B37" s="611" t="str">
        <f>IF(C37&lt;'PlayerGrades+'!$Y$44,"F-",IF(C37&lt;'PlayerGrades+'!$Y$43,"F",IF(C37&lt;'PlayerGrades+'!$Y$42,"F+",IF(C37&lt;'PlayerGrades+'!$Y$41,"E-",IF(C37&lt;'PlayerGrades+'!$Y$40,"E",IF(C37&lt;'PlayerGrades+'!$Y$39,"E+",IF(C37&lt;'PlayerGrades+'!$Y$38,"D-",IF(C37&lt;'PlayerGrades+'!$Y$37,"D",IF(C37&lt;'PlayerGrades+'!$Y$36,"D+",IF(C37&lt;'PlayerGrades+'!$Y$35,"C-",IF(C37&lt;'PlayerGrades+'!$Y$34,"C",IF(C37&lt;'PlayerGrades+'!$Y$33,"C+",IF(C37&lt;'PlayerGrades+'!$Y$32,"B-",IF(C37&lt;'PlayerGrades+'!$Y$31,"B",IF(C37&lt;'PlayerGrades+'!$Y$30,"B+",IF(C37&lt;'PlayerGrades+'!$Y$29,"A-",IF(C37&lt;'PlayerGrades+'!$Y$28,"A",IF(C37&lt;'PlayerGrades+'!$Y$27,"A+",IF(C37&lt;'PlayerGrades+'!$Y$26,"S-",IF(C37&lt;'PlayerGrades+'!$Y$25,"S","S+"))))))))))))))))))))</f>
        <v>#DIV/0!</v>
      </c>
      <c r="C37" s="1378" t="str">
        <f>('PlayerGrades+'!$Y$47*(VLOOKUP(E37, 'PlayerGrades+'!$X$3:$Y$23, 2, FALSE)))+('PlayerGrades+'!$Y$48*(VLOOKUP(G37, 'PlayerGrades+'!$X$3:$Y$23, 2, FALSE)))+('PlayerGrades+'!$Y$49*(VLOOKUP(I37, 'PlayerGrades+'!$X$3:$Y$23, 2, FALSE)))+('PlayerGrades+'!$Y$50*(VLOOKUP(K37, 'PlayerGrades+'!$X$3:$Y$23, 2, FALSE)))+('PlayerGrades+'!$Y$51*(VLOOKUP(M37, 'PlayerGrades+'!$X$3:$Y$23, 2, FALSE)))+('PlayerGrades+'!$Y$52*(VLOOKUP(O37, 'PlayerGrades+'!$X$3:$Y$23, 2, FALSE)))+('PlayerGrades+'!$Y$53*(VLOOKUP(Q37, 'PlayerGrades+'!$X$3:$Y$23, 2, FALSE)))+('PlayerGrades+'!$Y$54*(VLOOKUP(S37, 'PlayerGrades+'!$X$3:$Y$23, 2, FALSE)))+('PlayerGrades+'!$Y$55*(VLOOKUP(U37, 'PlayerGrades+'!$X$3:$Y$23, 2, FALSE)))</f>
        <v>#DIV/0!</v>
      </c>
      <c r="D37" s="961" t="str">
        <f t="shared" si="1"/>
        <v>#DIV/0!</v>
      </c>
      <c r="E37" s="961" t="str">
        <f>IF(D37&lt;'PlayerGrades+'!$AA$21,"F-",IF(D37&lt;'PlayerGrades+'!$AA$20,"F",IF(D37&lt;'PlayerGrades+'!$AA$19,"F+",IF(D37&lt;'PlayerGrades+'!$AA$18,"E-",IF(D37&lt;'PlayerGrades+'!$AA$17,"E",IF(D37&lt;'PlayerGrades+'!$AA$16,"E+",IF(D37&lt;'PlayerGrades+'!$AA$15,"D-",IF(D37&lt;'PlayerGrades+'!$AA$14,"D",IF(D37&lt;'PlayerGrades+'!$AA$13,"D+",IF(D37&lt;'PlayerGrades+'!$AA$12,"C-",IF(D37&lt;'PlayerGrades+'!$AA$11,"C",IF(D37&lt;'PlayerGrades+'!$AA$10,"C+",IF(D37&lt;'PlayerGrades+'!$AA$9,"B-",IF(D37&lt;'PlayerGrades+'!$AA$8,"B",IF(D37&lt;'PlayerGrades+'!$AA$7,"B+",IF(D37&lt;'PlayerGrades+'!$AA$6,"A-",IF(D37&lt;'PlayerGrades+'!$AA$5,"A",IF(D37&lt;'PlayerGrades+'!$AA$4,"A+",IF(D37&lt;'PlayerGrades+'!$AA$3,"S-",IF(D37&lt;'PlayerGrades+'!$AA$2,"S","S+"))))))))))))))))))))</f>
        <v>#DIV/0!</v>
      </c>
      <c r="F37" s="961" t="str">
        <f t="shared" si="2"/>
        <v>#DIV/0!</v>
      </c>
      <c r="G37" s="961" t="str">
        <f>IF(F37&lt;'PlayerGrades+'!$AB$21,"F-",IF(F37&lt;'PlayerGrades+'!$AB$20,"F",IF(F37&lt;'PlayerGrades+'!$AB$19,"F+",IF(F37&lt;'PlayerGrades+'!$AB$18,"E-",IF(F37&lt;'PlayerGrades+'!$AB$17,"E",IF(F37&lt;'PlayerGrades+'!$AB$16,"E+",IF(F37&lt;'PlayerGrades+'!$AB$15,"D-",IF(F37&lt;'PlayerGrades+'!$AB$14,"D",IF(F37&lt;'PlayerGrades+'!$AB$13,"D+",IF(F37&lt;'PlayerGrades+'!$AB$12,"C-",IF(F37&lt;'PlayerGrades+'!$AB$11,"C",IF(F37&lt;'PlayerGrades+'!$AB$10,"C+",IF(F37&lt;'PlayerGrades+'!$AB$9,"B-",IF(F37&lt;'PlayerGrades+'!$AB$8,"B",IF(F37&lt;'PlayerGrades+'!$AB$7,"B+",IF(F37&lt;'PlayerGrades+'!$AB$6,"A-",IF(F37&lt;'PlayerGrades+'!$AB$5,"A",IF(F37&lt;'PlayerGrades+'!$AB$4,"A+",IF(F37&lt;'PlayerGrades+'!$AB$3,"S-",IF(F37&lt;'PlayerGrades+'!$AB$2,"S","S+"))))))))))))))))))))</f>
        <v>#DIV/0!</v>
      </c>
      <c r="H37" s="961" t="str">
        <f t="shared" si="3"/>
        <v>#DIV/0!</v>
      </c>
      <c r="I37" s="961" t="str">
        <f>IF(H37&lt;'PlayerGrades+'!$AC$21,"F-",IF(H37&lt;'PlayerGrades+'!$AC$20,"F",IF(H37&lt;'PlayerGrades+'!$AC$19,"F+",IF(H37&lt;'PlayerGrades+'!$AC$18,"E-",IF(H37&lt;'PlayerGrades+'!$AC$17,"E",IF(H37&lt;'PlayerGrades+'!$AC$16,"E+",IF(H37&lt;'PlayerGrades+'!$AC$15,"D-",IF(H37&lt;'PlayerGrades+'!$AC$14,"D",IF(H37&lt;'PlayerGrades+'!$AC$13,"D+",IF(H37&lt;'PlayerGrades+'!$AC$12,"C-",IF(H37&lt;'PlayerGrades+'!$AC$11,"C",IF(H37&lt;'PlayerGrades+'!$AC$10,"C+",IF(H37&lt;'PlayerGrades+'!$AC$9,"B-",IF(H37&lt;'PlayerGrades+'!$AC$8,"B",IF(H37&lt;'PlayerGrades+'!$AC$7,"B+",IF(H37&lt;'PlayerGrades+'!$AC$6,"A-",IF(H37&lt;'PlayerGrades+'!$AC$5,"A",IF(H37&lt;'PlayerGrades+'!$AC$4,"A+",IF(H37&lt;'PlayerGrades+'!$AC$3,"S-",IF(H37&lt;'PlayerGrades+'!$AC$2,"S","S+"))))))))))))))))))))</f>
        <v>#DIV/0!</v>
      </c>
      <c r="J37" s="961" t="str">
        <f t="shared" si="4"/>
        <v>#DIV/0!</v>
      </c>
      <c r="K37" s="961" t="str">
        <f>IF(J37&lt;'PlayerGrades+'!$AD$21,"F-",IF(J37&lt;'PlayerGrades+'!$AD$20,"F",IF(J37&lt;'PlayerGrades+'!$AD$19,"F+",IF(J37&lt;'PlayerGrades+'!$AD$18,"E-",IF(J37&lt;'PlayerGrades+'!$AD$17,"E",IF(J37&lt;'PlayerGrades+'!$AD$16,"E+",IF(J37&lt;'PlayerGrades+'!$AD$15,"D-",IF(J37&lt;'PlayerGrades+'!$AD$14,"D",IF(J37&lt;'PlayerGrades+'!$AD$13,"D+",IF(J37&lt;'PlayerGrades+'!$AD$12,"C-",IF(J37&lt;'PlayerGrades+'!$AD$11,"C",IF(J37&lt;'PlayerGrades+'!$AD$10,"C+",IF(J37&lt;'PlayerGrades+'!$AD$9,"B-",IF(J37&lt;'PlayerGrades+'!$AD$8,"B",IF(J37&lt;'PlayerGrades+'!$AD$7,"B+",IF(J37&lt;'PlayerGrades+'!$AD$6,"A-",IF(J37&lt;'PlayerGrades+'!$AD$5,"A",IF(J37&lt;'PlayerGrades+'!$AD$4,"A+",IF(J37&lt;'PlayerGrades+'!$AD$3,"S-",IF(J37&lt;'PlayerGrades+'!$AD$2,"S","S+"))))))))))))))))))))</f>
        <v>#DIV/0!</v>
      </c>
      <c r="L37" s="1176" t="str">
        <f t="shared" si="5"/>
        <v>#DIV/0!</v>
      </c>
      <c r="M37" s="992" t="str">
        <f>IF(L37&lt;'PlayerGrades+'!$AE$21,"F-",IF(L37&lt;'PlayerGrades+'!$AE$20,"F",IF(L37&lt;'PlayerGrades+'!$AE$19,"F+",IF(L37&lt;'PlayerGrades+'!$AE$18,"E-",IF(L37&lt;'PlayerGrades+'!$AE$17,"E",IF(L37&lt;'PlayerGrades+'!$AE$16,"E+",IF(L37&lt;'PlayerGrades+'!$AE$15,"D-",IF(L37&lt;'PlayerGrades+'!$AE$14,"D",IF(L37&lt;'PlayerGrades+'!$AE$13,"D+",IF(L37&lt;'PlayerGrades+'!$AE$12,"C-",IF(L37&lt;'PlayerGrades+'!$AE$11,"C",IF(L37&lt;'PlayerGrades+'!$AE$10,"C+",IF(L37&lt;'PlayerGrades+'!$AE$9,"B-",IF(L37&lt;'PlayerGrades+'!$AE$8,"B",IF(L37&lt;'PlayerGrades+'!$AE$7,"B+",IF(L37&lt;'PlayerGrades+'!$AE$6,"A-",IF(L37&lt;'PlayerGrades+'!$AE$5,"A",IF(L37&lt;'PlayerGrades+'!$AE$4,"A+",IF(L37&lt;'PlayerGrades+'!$AE$3,"S-",IF(L37&lt;'PlayerGrades+'!$AE$2,"S","S+"))))))))))))))))))))</f>
        <v>#DIV/0!</v>
      </c>
      <c r="N37" s="961" t="str">
        <f t="shared" si="6"/>
        <v>#DIV/0!</v>
      </c>
      <c r="O37" s="961" t="str">
        <f>IF(N37&lt;'PlayerGrades+'!$AF$21,"F-",IF(N37&lt;'PlayerGrades+'!$AF$20,"F",IF(N37&lt;'PlayerGrades+'!$AF$19,"F+",IF(N37&lt;'PlayerGrades+'!$AF$18,"E-",IF(N37&lt;'PlayerGrades+'!$AF$17,"E",IF(N37&lt;'PlayerGrades+'!$AF$16,"E+",IF(N37&lt;'PlayerGrades+'!$AF$15,"D-",IF(N37&lt;'PlayerGrades+'!$AF$14,"D",IF(N37&lt;'PlayerGrades+'!$AF$13,"D+",IF(N37&lt;'PlayerGrades+'!$AF$12,"C-",IF(N37&lt;'PlayerGrades+'!$AF$11,"C",IF(N37&lt;'PlayerGrades+'!$AF$10,"C+",IF(N37&lt;'PlayerGrades+'!$AF$9,"B-",IF(N37&lt;'PlayerGrades+'!$AF$8,"B",IF(N37&lt;'PlayerGrades+'!$AF$7,"B+",IF(N37&lt;'PlayerGrades+'!$AF$6,"A-",IF(N37&lt;'PlayerGrades+'!$AF$5,"A",IF(N37&lt;'PlayerGrades+'!$AF$4,"A+",IF(N37&lt;'PlayerGrades+'!$AF$3,"S-",IF(N37&lt;'PlayerGrades+'!$AF$2,"S","S+"))))))))))))))))))))</f>
        <v>#DIV/0!</v>
      </c>
      <c r="P37" s="961" t="str">
        <f t="shared" si="7"/>
        <v>#DIV/0!</v>
      </c>
      <c r="Q37" s="961" t="str">
        <f>IF(P37&lt;'PlayerGrades+'!$AG$21,"F-",IF(P37&lt;'PlayerGrades+'!$AG$20,"F",IF(P37&lt;'PlayerGrades+'!$AG$19,"F+",IF(P37&lt;'PlayerGrades+'!$AG$18,"E-",IF(P37&lt;'PlayerGrades+'!$AG$17,"E",IF(P37&lt;'PlayerGrades+'!$AG$16,"E+",IF(P37&lt;'PlayerGrades+'!$AG$15,"D-",IF(P37&lt;'PlayerGrades+'!$AG$14,"D",IF(P37&lt;'PlayerGrades+'!$AG$13,"D+",IF(P37&lt;'PlayerGrades+'!$AG$12,"C-",IF(P37&lt;'PlayerGrades+'!$AG$11,"C",IF(P37&lt;'PlayerGrades+'!$AG$10,"C+",IF(P37&lt;'PlayerGrades+'!$AG$9,"B-",IF(P37&lt;'PlayerGrades+'!$AG$8,"B",IF(P37&lt;'PlayerGrades+'!$AG$7,"B+",IF(P37&lt;'PlayerGrades+'!$AG$6,"A-",IF(P37&lt;'PlayerGrades+'!$AG$5,"A",IF(P37&lt;'PlayerGrades+'!$AG$4,"A+",IF(P37&lt;'PlayerGrades+'!$AG$3,"S-",IF(P37&lt;'PlayerGrades+'!$AG$2,"S","S+"))))))))))))))))))))</f>
        <v>#DIV/0!</v>
      </c>
      <c r="R37" s="961" t="str">
        <f t="shared" si="8"/>
        <v>#DIV/0!</v>
      </c>
      <c r="S37" s="961" t="str">
        <f>IF(R37&lt;'PlayerGrades+'!$AH$21,"F-",IF(R37&lt;'PlayerGrades+'!$AH$20,"F",IF(R37&lt;'PlayerGrades+'!$AH$19,"F+",IF(R37&lt;'PlayerGrades+'!$AH$18,"E-",IF(R37&lt;'PlayerGrades+'!$AH$17,"E",IF(R37&lt;'PlayerGrades+'!$AH$16,"E+",IF(R37&lt;'PlayerGrades+'!$AH$15,"D-",IF(R37&lt;'PlayerGrades+'!$AH$14,"D",IF(R37&lt;'PlayerGrades+'!$AH$13,"D+",IF(R37&lt;'PlayerGrades+'!$AH$12,"C-",IF(R37&lt;'PlayerGrades+'!$AH$11,"C",IF(R37&lt;'PlayerGrades+'!$AH$10,"C+",IF(R37&lt;'PlayerGrades+'!$AH$9,"B-",IF(R37&lt;'PlayerGrades+'!$AH$8,"B",IF(R37&lt;'PlayerGrades+'!$AH$7,"B+",IF(R37&lt;'PlayerGrades+'!$AH$6,"A-",IF(R37&lt;'PlayerGrades+'!$AH$5,"A",IF(R37&lt;'PlayerGrades+'!$AH$4,"A+",IF(R37&lt;'PlayerGrades+'!$AH$3,"S-",IF(R37&lt;'PlayerGrades+'!$AH$2,"S","S+"))))))))))))))))))))</f>
        <v>#DIV/0!</v>
      </c>
      <c r="T37" s="961">
        <f t="shared" si="9"/>
        <v>0</v>
      </c>
      <c r="U37" s="961" t="str">
        <f>IF(T37&lt;'PlayerGrades+'!$AI$21,"F-",IF(T37&lt;'PlayerGrades+'!$AI$20,"F",IF(T37&lt;'PlayerGrades+'!$AI$19,"F+",IF(T37&lt;'PlayerGrades+'!$AI$18,"E-",IF(T37&lt;'PlayerGrades+'!$AI$17,"E",IF(T37&lt;'PlayerGrades+'!$AI$16,"E+",IF(T37&lt;'PlayerGrades+'!$AI$15,"D-",IF(T37&lt;'PlayerGrades+'!$AI$14,"D",IF(T37&lt;'PlayerGrades+'!$AI$13,"D+",IF(T37&lt;'PlayerGrades+'!$AI$12,"C-",IF(T37&lt;'PlayerGrades+'!$AI$11,"C",IF(T37&lt;'PlayerGrades+'!$AI$10,"C+",IF(T37&lt;'PlayerGrades+'!$AI$9,"B-",IF(T37&lt;'PlayerGrades+'!$AI$8,"B",IF(T37&lt;'PlayerGrades+'!$AI$7,"B+",IF(T37&lt;'PlayerGrades+'!$AI$6,"A-",IF(T37&lt;'PlayerGrades+'!$AI$5,"A",IF(T37&lt;'PlayerGrades+'!$AI$4,"A+",IF(T37&lt;'PlayerGrades+'!$AI$3,"S-",IF(T37&lt;'PlayerGrades+'!$AI$2,"S","S+"))))))))))))))))))))</f>
        <v>F-</v>
      </c>
      <c r="Z37" s="1383"/>
      <c r="AA37" s="1383"/>
      <c r="AB37" s="1383"/>
      <c r="AC37" s="1384"/>
      <c r="AD37" s="1383"/>
      <c r="AE37" s="1383"/>
      <c r="AF37" s="1383"/>
      <c r="AG37" s="1383"/>
      <c r="AH37" s="1383"/>
      <c r="AI37" s="1383"/>
      <c r="AJ37" s="1383"/>
      <c r="AK37" s="1383"/>
      <c r="AL37" s="1383"/>
      <c r="AM37" s="1383"/>
      <c r="AN37" s="1383"/>
      <c r="AO37" s="1383"/>
      <c r="AP37" s="1383"/>
      <c r="AQ37" s="1383"/>
      <c r="AR37" s="1383"/>
      <c r="AS37" s="1383"/>
      <c r="AT37" s="1383"/>
      <c r="AU37" s="1383"/>
      <c r="AV37" s="1383"/>
      <c r="AW37" s="1383"/>
      <c r="AX37" s="1383"/>
      <c r="AY37" s="1383"/>
      <c r="AZ37" s="1383"/>
    </row>
    <row r="38">
      <c r="A38" s="1382"/>
      <c r="B38" s="611" t="str">
        <f>IF(C38&lt;'PlayerGrades+'!$Y$44,"F-",IF(C38&lt;'PlayerGrades+'!$Y$43,"F",IF(C38&lt;'PlayerGrades+'!$Y$42,"F+",IF(C38&lt;'PlayerGrades+'!$Y$41,"E-",IF(C38&lt;'PlayerGrades+'!$Y$40,"E",IF(C38&lt;'PlayerGrades+'!$Y$39,"E+",IF(C38&lt;'PlayerGrades+'!$Y$38,"D-",IF(C38&lt;'PlayerGrades+'!$Y$37,"D",IF(C38&lt;'PlayerGrades+'!$Y$36,"D+",IF(C38&lt;'PlayerGrades+'!$Y$35,"C-",IF(C38&lt;'PlayerGrades+'!$Y$34,"C",IF(C38&lt;'PlayerGrades+'!$Y$33,"C+",IF(C38&lt;'PlayerGrades+'!$Y$32,"B-",IF(C38&lt;'PlayerGrades+'!$Y$31,"B",IF(C38&lt;'PlayerGrades+'!$Y$30,"B+",IF(C38&lt;'PlayerGrades+'!$Y$29,"A-",IF(C38&lt;'PlayerGrades+'!$Y$28,"A",IF(C38&lt;'PlayerGrades+'!$Y$27,"A+",IF(C38&lt;'PlayerGrades+'!$Y$26,"S-",IF(C38&lt;'PlayerGrades+'!$Y$25,"S","S+"))))))))))))))))))))</f>
        <v>#DIV/0!</v>
      </c>
      <c r="C38" s="1378" t="str">
        <f>('PlayerGrades+'!$Y$47*(VLOOKUP(E38, 'PlayerGrades+'!$X$3:$Y$23, 2, FALSE)))+('PlayerGrades+'!$Y$48*(VLOOKUP(G38, 'PlayerGrades+'!$X$3:$Y$23, 2, FALSE)))+('PlayerGrades+'!$Y$49*(VLOOKUP(I38, 'PlayerGrades+'!$X$3:$Y$23, 2, FALSE)))+('PlayerGrades+'!$Y$50*(VLOOKUP(K38, 'PlayerGrades+'!$X$3:$Y$23, 2, FALSE)))+('PlayerGrades+'!$Y$51*(VLOOKUP(M38, 'PlayerGrades+'!$X$3:$Y$23, 2, FALSE)))+('PlayerGrades+'!$Y$52*(VLOOKUP(O38, 'PlayerGrades+'!$X$3:$Y$23, 2, FALSE)))+('PlayerGrades+'!$Y$53*(VLOOKUP(Q38, 'PlayerGrades+'!$X$3:$Y$23, 2, FALSE)))+('PlayerGrades+'!$Y$54*(VLOOKUP(S38, 'PlayerGrades+'!$X$3:$Y$23, 2, FALSE)))+('PlayerGrades+'!$Y$55*(VLOOKUP(U38, 'PlayerGrades+'!$X$3:$Y$23, 2, FALSE)))</f>
        <v>#DIV/0!</v>
      </c>
      <c r="D38" s="961" t="str">
        <f t="shared" si="1"/>
        <v>#DIV/0!</v>
      </c>
      <c r="E38" s="961" t="str">
        <f>IF(D38&lt;'PlayerGrades+'!$AA$21,"F-",IF(D38&lt;'PlayerGrades+'!$AA$20,"F",IF(D38&lt;'PlayerGrades+'!$AA$19,"F+",IF(D38&lt;'PlayerGrades+'!$AA$18,"E-",IF(D38&lt;'PlayerGrades+'!$AA$17,"E",IF(D38&lt;'PlayerGrades+'!$AA$16,"E+",IF(D38&lt;'PlayerGrades+'!$AA$15,"D-",IF(D38&lt;'PlayerGrades+'!$AA$14,"D",IF(D38&lt;'PlayerGrades+'!$AA$13,"D+",IF(D38&lt;'PlayerGrades+'!$AA$12,"C-",IF(D38&lt;'PlayerGrades+'!$AA$11,"C",IF(D38&lt;'PlayerGrades+'!$AA$10,"C+",IF(D38&lt;'PlayerGrades+'!$AA$9,"B-",IF(D38&lt;'PlayerGrades+'!$AA$8,"B",IF(D38&lt;'PlayerGrades+'!$AA$7,"B+",IF(D38&lt;'PlayerGrades+'!$AA$6,"A-",IF(D38&lt;'PlayerGrades+'!$AA$5,"A",IF(D38&lt;'PlayerGrades+'!$AA$4,"A+",IF(D38&lt;'PlayerGrades+'!$AA$3,"S-",IF(D38&lt;'PlayerGrades+'!$AA$2,"S","S+"))))))))))))))))))))</f>
        <v>#DIV/0!</v>
      </c>
      <c r="F38" s="961" t="str">
        <f t="shared" si="2"/>
        <v>#DIV/0!</v>
      </c>
      <c r="G38" s="961" t="str">
        <f>IF(F38&lt;'PlayerGrades+'!$AB$21,"F-",IF(F38&lt;'PlayerGrades+'!$AB$20,"F",IF(F38&lt;'PlayerGrades+'!$AB$19,"F+",IF(F38&lt;'PlayerGrades+'!$AB$18,"E-",IF(F38&lt;'PlayerGrades+'!$AB$17,"E",IF(F38&lt;'PlayerGrades+'!$AB$16,"E+",IF(F38&lt;'PlayerGrades+'!$AB$15,"D-",IF(F38&lt;'PlayerGrades+'!$AB$14,"D",IF(F38&lt;'PlayerGrades+'!$AB$13,"D+",IF(F38&lt;'PlayerGrades+'!$AB$12,"C-",IF(F38&lt;'PlayerGrades+'!$AB$11,"C",IF(F38&lt;'PlayerGrades+'!$AB$10,"C+",IF(F38&lt;'PlayerGrades+'!$AB$9,"B-",IF(F38&lt;'PlayerGrades+'!$AB$8,"B",IF(F38&lt;'PlayerGrades+'!$AB$7,"B+",IF(F38&lt;'PlayerGrades+'!$AB$6,"A-",IF(F38&lt;'PlayerGrades+'!$AB$5,"A",IF(F38&lt;'PlayerGrades+'!$AB$4,"A+",IF(F38&lt;'PlayerGrades+'!$AB$3,"S-",IF(F38&lt;'PlayerGrades+'!$AB$2,"S","S+"))))))))))))))))))))</f>
        <v>#DIV/0!</v>
      </c>
      <c r="H38" s="961" t="str">
        <f t="shared" si="3"/>
        <v>#DIV/0!</v>
      </c>
      <c r="I38" s="961" t="str">
        <f>IF(H38&lt;'PlayerGrades+'!$AC$21,"F-",IF(H38&lt;'PlayerGrades+'!$AC$20,"F",IF(H38&lt;'PlayerGrades+'!$AC$19,"F+",IF(H38&lt;'PlayerGrades+'!$AC$18,"E-",IF(H38&lt;'PlayerGrades+'!$AC$17,"E",IF(H38&lt;'PlayerGrades+'!$AC$16,"E+",IF(H38&lt;'PlayerGrades+'!$AC$15,"D-",IF(H38&lt;'PlayerGrades+'!$AC$14,"D",IF(H38&lt;'PlayerGrades+'!$AC$13,"D+",IF(H38&lt;'PlayerGrades+'!$AC$12,"C-",IF(H38&lt;'PlayerGrades+'!$AC$11,"C",IF(H38&lt;'PlayerGrades+'!$AC$10,"C+",IF(H38&lt;'PlayerGrades+'!$AC$9,"B-",IF(H38&lt;'PlayerGrades+'!$AC$8,"B",IF(H38&lt;'PlayerGrades+'!$AC$7,"B+",IF(H38&lt;'PlayerGrades+'!$AC$6,"A-",IF(H38&lt;'PlayerGrades+'!$AC$5,"A",IF(H38&lt;'PlayerGrades+'!$AC$4,"A+",IF(H38&lt;'PlayerGrades+'!$AC$3,"S-",IF(H38&lt;'PlayerGrades+'!$AC$2,"S","S+"))))))))))))))))))))</f>
        <v>#DIV/0!</v>
      </c>
      <c r="J38" s="961" t="str">
        <f t="shared" si="4"/>
        <v>#DIV/0!</v>
      </c>
      <c r="K38" s="961" t="str">
        <f>IF(J38&lt;'PlayerGrades+'!$AD$21,"F-",IF(J38&lt;'PlayerGrades+'!$AD$20,"F",IF(J38&lt;'PlayerGrades+'!$AD$19,"F+",IF(J38&lt;'PlayerGrades+'!$AD$18,"E-",IF(J38&lt;'PlayerGrades+'!$AD$17,"E",IF(J38&lt;'PlayerGrades+'!$AD$16,"E+",IF(J38&lt;'PlayerGrades+'!$AD$15,"D-",IF(J38&lt;'PlayerGrades+'!$AD$14,"D",IF(J38&lt;'PlayerGrades+'!$AD$13,"D+",IF(J38&lt;'PlayerGrades+'!$AD$12,"C-",IF(J38&lt;'PlayerGrades+'!$AD$11,"C",IF(J38&lt;'PlayerGrades+'!$AD$10,"C+",IF(J38&lt;'PlayerGrades+'!$AD$9,"B-",IF(J38&lt;'PlayerGrades+'!$AD$8,"B",IF(J38&lt;'PlayerGrades+'!$AD$7,"B+",IF(J38&lt;'PlayerGrades+'!$AD$6,"A-",IF(J38&lt;'PlayerGrades+'!$AD$5,"A",IF(J38&lt;'PlayerGrades+'!$AD$4,"A+",IF(J38&lt;'PlayerGrades+'!$AD$3,"S-",IF(J38&lt;'PlayerGrades+'!$AD$2,"S","S+"))))))))))))))))))))</f>
        <v>#DIV/0!</v>
      </c>
      <c r="L38" s="1176" t="str">
        <f t="shared" si="5"/>
        <v>#DIV/0!</v>
      </c>
      <c r="M38" s="992" t="str">
        <f>IF(L38&lt;'PlayerGrades+'!$AE$21,"F-",IF(L38&lt;'PlayerGrades+'!$AE$20,"F",IF(L38&lt;'PlayerGrades+'!$AE$19,"F+",IF(L38&lt;'PlayerGrades+'!$AE$18,"E-",IF(L38&lt;'PlayerGrades+'!$AE$17,"E",IF(L38&lt;'PlayerGrades+'!$AE$16,"E+",IF(L38&lt;'PlayerGrades+'!$AE$15,"D-",IF(L38&lt;'PlayerGrades+'!$AE$14,"D",IF(L38&lt;'PlayerGrades+'!$AE$13,"D+",IF(L38&lt;'PlayerGrades+'!$AE$12,"C-",IF(L38&lt;'PlayerGrades+'!$AE$11,"C",IF(L38&lt;'PlayerGrades+'!$AE$10,"C+",IF(L38&lt;'PlayerGrades+'!$AE$9,"B-",IF(L38&lt;'PlayerGrades+'!$AE$8,"B",IF(L38&lt;'PlayerGrades+'!$AE$7,"B+",IF(L38&lt;'PlayerGrades+'!$AE$6,"A-",IF(L38&lt;'PlayerGrades+'!$AE$5,"A",IF(L38&lt;'PlayerGrades+'!$AE$4,"A+",IF(L38&lt;'PlayerGrades+'!$AE$3,"S-",IF(L38&lt;'PlayerGrades+'!$AE$2,"S","S+"))))))))))))))))))))</f>
        <v>#DIV/0!</v>
      </c>
      <c r="N38" s="961" t="str">
        <f t="shared" si="6"/>
        <v>#DIV/0!</v>
      </c>
      <c r="O38" s="961" t="str">
        <f>IF(N38&lt;'PlayerGrades+'!$AF$21,"F-",IF(N38&lt;'PlayerGrades+'!$AF$20,"F",IF(N38&lt;'PlayerGrades+'!$AF$19,"F+",IF(N38&lt;'PlayerGrades+'!$AF$18,"E-",IF(N38&lt;'PlayerGrades+'!$AF$17,"E",IF(N38&lt;'PlayerGrades+'!$AF$16,"E+",IF(N38&lt;'PlayerGrades+'!$AF$15,"D-",IF(N38&lt;'PlayerGrades+'!$AF$14,"D",IF(N38&lt;'PlayerGrades+'!$AF$13,"D+",IF(N38&lt;'PlayerGrades+'!$AF$12,"C-",IF(N38&lt;'PlayerGrades+'!$AF$11,"C",IF(N38&lt;'PlayerGrades+'!$AF$10,"C+",IF(N38&lt;'PlayerGrades+'!$AF$9,"B-",IF(N38&lt;'PlayerGrades+'!$AF$8,"B",IF(N38&lt;'PlayerGrades+'!$AF$7,"B+",IF(N38&lt;'PlayerGrades+'!$AF$6,"A-",IF(N38&lt;'PlayerGrades+'!$AF$5,"A",IF(N38&lt;'PlayerGrades+'!$AF$4,"A+",IF(N38&lt;'PlayerGrades+'!$AF$3,"S-",IF(N38&lt;'PlayerGrades+'!$AF$2,"S","S+"))))))))))))))))))))</f>
        <v>#DIV/0!</v>
      </c>
      <c r="P38" s="961" t="str">
        <f t="shared" si="7"/>
        <v>#DIV/0!</v>
      </c>
      <c r="Q38" s="961" t="str">
        <f>IF(P38&lt;'PlayerGrades+'!$AG$21,"F-",IF(P38&lt;'PlayerGrades+'!$AG$20,"F",IF(P38&lt;'PlayerGrades+'!$AG$19,"F+",IF(P38&lt;'PlayerGrades+'!$AG$18,"E-",IF(P38&lt;'PlayerGrades+'!$AG$17,"E",IF(P38&lt;'PlayerGrades+'!$AG$16,"E+",IF(P38&lt;'PlayerGrades+'!$AG$15,"D-",IF(P38&lt;'PlayerGrades+'!$AG$14,"D",IF(P38&lt;'PlayerGrades+'!$AG$13,"D+",IF(P38&lt;'PlayerGrades+'!$AG$12,"C-",IF(P38&lt;'PlayerGrades+'!$AG$11,"C",IF(P38&lt;'PlayerGrades+'!$AG$10,"C+",IF(P38&lt;'PlayerGrades+'!$AG$9,"B-",IF(P38&lt;'PlayerGrades+'!$AG$8,"B",IF(P38&lt;'PlayerGrades+'!$AG$7,"B+",IF(P38&lt;'PlayerGrades+'!$AG$6,"A-",IF(P38&lt;'PlayerGrades+'!$AG$5,"A",IF(P38&lt;'PlayerGrades+'!$AG$4,"A+",IF(P38&lt;'PlayerGrades+'!$AG$3,"S-",IF(P38&lt;'PlayerGrades+'!$AG$2,"S","S+"))))))))))))))))))))</f>
        <v>#DIV/0!</v>
      </c>
      <c r="R38" s="961" t="str">
        <f t="shared" si="8"/>
        <v>#DIV/0!</v>
      </c>
      <c r="S38" s="961" t="str">
        <f>IF(R38&lt;'PlayerGrades+'!$AH$21,"F-",IF(R38&lt;'PlayerGrades+'!$AH$20,"F",IF(R38&lt;'PlayerGrades+'!$AH$19,"F+",IF(R38&lt;'PlayerGrades+'!$AH$18,"E-",IF(R38&lt;'PlayerGrades+'!$AH$17,"E",IF(R38&lt;'PlayerGrades+'!$AH$16,"E+",IF(R38&lt;'PlayerGrades+'!$AH$15,"D-",IF(R38&lt;'PlayerGrades+'!$AH$14,"D",IF(R38&lt;'PlayerGrades+'!$AH$13,"D+",IF(R38&lt;'PlayerGrades+'!$AH$12,"C-",IF(R38&lt;'PlayerGrades+'!$AH$11,"C",IF(R38&lt;'PlayerGrades+'!$AH$10,"C+",IF(R38&lt;'PlayerGrades+'!$AH$9,"B-",IF(R38&lt;'PlayerGrades+'!$AH$8,"B",IF(R38&lt;'PlayerGrades+'!$AH$7,"B+",IF(R38&lt;'PlayerGrades+'!$AH$6,"A-",IF(R38&lt;'PlayerGrades+'!$AH$5,"A",IF(R38&lt;'PlayerGrades+'!$AH$4,"A+",IF(R38&lt;'PlayerGrades+'!$AH$3,"S-",IF(R38&lt;'PlayerGrades+'!$AH$2,"S","S+"))))))))))))))))))))</f>
        <v>#DIV/0!</v>
      </c>
      <c r="T38" s="961">
        <f t="shared" si="9"/>
        <v>0</v>
      </c>
      <c r="U38" s="961" t="str">
        <f>IF(T38&lt;'PlayerGrades+'!$AI$21,"F-",IF(T38&lt;'PlayerGrades+'!$AI$20,"F",IF(T38&lt;'PlayerGrades+'!$AI$19,"F+",IF(T38&lt;'PlayerGrades+'!$AI$18,"E-",IF(T38&lt;'PlayerGrades+'!$AI$17,"E",IF(T38&lt;'PlayerGrades+'!$AI$16,"E+",IF(T38&lt;'PlayerGrades+'!$AI$15,"D-",IF(T38&lt;'PlayerGrades+'!$AI$14,"D",IF(T38&lt;'PlayerGrades+'!$AI$13,"D+",IF(T38&lt;'PlayerGrades+'!$AI$12,"C-",IF(T38&lt;'PlayerGrades+'!$AI$11,"C",IF(T38&lt;'PlayerGrades+'!$AI$10,"C+",IF(T38&lt;'PlayerGrades+'!$AI$9,"B-",IF(T38&lt;'PlayerGrades+'!$AI$8,"B",IF(T38&lt;'PlayerGrades+'!$AI$7,"B+",IF(T38&lt;'PlayerGrades+'!$AI$6,"A-",IF(T38&lt;'PlayerGrades+'!$AI$5,"A",IF(T38&lt;'PlayerGrades+'!$AI$4,"A+",IF(T38&lt;'PlayerGrades+'!$AI$3,"S-",IF(T38&lt;'PlayerGrades+'!$AI$2,"S","S+"))))))))))))))))))))</f>
        <v>F-</v>
      </c>
      <c r="Z38" s="1383"/>
      <c r="AA38" s="1383"/>
      <c r="AB38" s="1383"/>
      <c r="AC38" s="1384"/>
      <c r="AD38" s="1383"/>
      <c r="AE38" s="1383"/>
      <c r="AF38" s="1383"/>
      <c r="AG38" s="1383"/>
      <c r="AH38" s="1383"/>
      <c r="AI38" s="1383"/>
      <c r="AJ38" s="1383"/>
      <c r="AK38" s="1383"/>
      <c r="AL38" s="1383"/>
      <c r="AM38" s="1383"/>
      <c r="AN38" s="1383"/>
      <c r="AO38" s="1383"/>
      <c r="AP38" s="1383"/>
      <c r="AQ38" s="1383"/>
      <c r="AR38" s="1383"/>
      <c r="AS38" s="1383"/>
      <c r="AT38" s="1383"/>
      <c r="AU38" s="1383"/>
      <c r="AV38" s="1383"/>
      <c r="AW38" s="1383"/>
      <c r="AX38" s="1383"/>
      <c r="AY38" s="1383"/>
      <c r="AZ38" s="1383"/>
    </row>
    <row r="39">
      <c r="A39" s="1382"/>
      <c r="B39" s="611" t="str">
        <f>IF(C39&lt;'PlayerGrades+'!$Y$44,"F-",IF(C39&lt;'PlayerGrades+'!$Y$43,"F",IF(C39&lt;'PlayerGrades+'!$Y$42,"F+",IF(C39&lt;'PlayerGrades+'!$Y$41,"E-",IF(C39&lt;'PlayerGrades+'!$Y$40,"E",IF(C39&lt;'PlayerGrades+'!$Y$39,"E+",IF(C39&lt;'PlayerGrades+'!$Y$38,"D-",IF(C39&lt;'PlayerGrades+'!$Y$37,"D",IF(C39&lt;'PlayerGrades+'!$Y$36,"D+",IF(C39&lt;'PlayerGrades+'!$Y$35,"C-",IF(C39&lt;'PlayerGrades+'!$Y$34,"C",IF(C39&lt;'PlayerGrades+'!$Y$33,"C+",IF(C39&lt;'PlayerGrades+'!$Y$32,"B-",IF(C39&lt;'PlayerGrades+'!$Y$31,"B",IF(C39&lt;'PlayerGrades+'!$Y$30,"B+",IF(C39&lt;'PlayerGrades+'!$Y$29,"A-",IF(C39&lt;'PlayerGrades+'!$Y$28,"A",IF(C39&lt;'PlayerGrades+'!$Y$27,"A+",IF(C39&lt;'PlayerGrades+'!$Y$26,"S-",IF(C39&lt;'PlayerGrades+'!$Y$25,"S","S+"))))))))))))))))))))</f>
        <v>#DIV/0!</v>
      </c>
      <c r="C39" s="1378" t="str">
        <f>('PlayerGrades+'!$Y$47*(VLOOKUP(E39, 'PlayerGrades+'!$X$3:$Y$23, 2, FALSE)))+('PlayerGrades+'!$Y$48*(VLOOKUP(G39, 'PlayerGrades+'!$X$3:$Y$23, 2, FALSE)))+('PlayerGrades+'!$Y$49*(VLOOKUP(I39, 'PlayerGrades+'!$X$3:$Y$23, 2, FALSE)))+('PlayerGrades+'!$Y$50*(VLOOKUP(K39, 'PlayerGrades+'!$X$3:$Y$23, 2, FALSE)))+('PlayerGrades+'!$Y$51*(VLOOKUP(M39, 'PlayerGrades+'!$X$3:$Y$23, 2, FALSE)))+('PlayerGrades+'!$Y$52*(VLOOKUP(O39, 'PlayerGrades+'!$X$3:$Y$23, 2, FALSE)))+('PlayerGrades+'!$Y$53*(VLOOKUP(Q39, 'PlayerGrades+'!$X$3:$Y$23, 2, FALSE)))+('PlayerGrades+'!$Y$54*(VLOOKUP(S39, 'PlayerGrades+'!$X$3:$Y$23, 2, FALSE)))+('PlayerGrades+'!$Y$55*(VLOOKUP(U39, 'PlayerGrades+'!$X$3:$Y$23, 2, FALSE)))</f>
        <v>#DIV/0!</v>
      </c>
      <c r="D39" s="961" t="str">
        <f t="shared" si="1"/>
        <v>#DIV/0!</v>
      </c>
      <c r="E39" s="961" t="str">
        <f>IF(D39&lt;'PlayerGrades+'!$AA$21,"F-",IF(D39&lt;'PlayerGrades+'!$AA$20,"F",IF(D39&lt;'PlayerGrades+'!$AA$19,"F+",IF(D39&lt;'PlayerGrades+'!$AA$18,"E-",IF(D39&lt;'PlayerGrades+'!$AA$17,"E",IF(D39&lt;'PlayerGrades+'!$AA$16,"E+",IF(D39&lt;'PlayerGrades+'!$AA$15,"D-",IF(D39&lt;'PlayerGrades+'!$AA$14,"D",IF(D39&lt;'PlayerGrades+'!$AA$13,"D+",IF(D39&lt;'PlayerGrades+'!$AA$12,"C-",IF(D39&lt;'PlayerGrades+'!$AA$11,"C",IF(D39&lt;'PlayerGrades+'!$AA$10,"C+",IF(D39&lt;'PlayerGrades+'!$AA$9,"B-",IF(D39&lt;'PlayerGrades+'!$AA$8,"B",IF(D39&lt;'PlayerGrades+'!$AA$7,"B+",IF(D39&lt;'PlayerGrades+'!$AA$6,"A-",IF(D39&lt;'PlayerGrades+'!$AA$5,"A",IF(D39&lt;'PlayerGrades+'!$AA$4,"A+",IF(D39&lt;'PlayerGrades+'!$AA$3,"S-",IF(D39&lt;'PlayerGrades+'!$AA$2,"S","S+"))))))))))))))))))))</f>
        <v>#DIV/0!</v>
      </c>
      <c r="F39" s="961" t="str">
        <f t="shared" si="2"/>
        <v>#DIV/0!</v>
      </c>
      <c r="G39" s="961" t="str">
        <f>IF(F39&lt;'PlayerGrades+'!$AB$21,"F-",IF(F39&lt;'PlayerGrades+'!$AB$20,"F",IF(F39&lt;'PlayerGrades+'!$AB$19,"F+",IF(F39&lt;'PlayerGrades+'!$AB$18,"E-",IF(F39&lt;'PlayerGrades+'!$AB$17,"E",IF(F39&lt;'PlayerGrades+'!$AB$16,"E+",IF(F39&lt;'PlayerGrades+'!$AB$15,"D-",IF(F39&lt;'PlayerGrades+'!$AB$14,"D",IF(F39&lt;'PlayerGrades+'!$AB$13,"D+",IF(F39&lt;'PlayerGrades+'!$AB$12,"C-",IF(F39&lt;'PlayerGrades+'!$AB$11,"C",IF(F39&lt;'PlayerGrades+'!$AB$10,"C+",IF(F39&lt;'PlayerGrades+'!$AB$9,"B-",IF(F39&lt;'PlayerGrades+'!$AB$8,"B",IF(F39&lt;'PlayerGrades+'!$AB$7,"B+",IF(F39&lt;'PlayerGrades+'!$AB$6,"A-",IF(F39&lt;'PlayerGrades+'!$AB$5,"A",IF(F39&lt;'PlayerGrades+'!$AB$4,"A+",IF(F39&lt;'PlayerGrades+'!$AB$3,"S-",IF(F39&lt;'PlayerGrades+'!$AB$2,"S","S+"))))))))))))))))))))</f>
        <v>#DIV/0!</v>
      </c>
      <c r="H39" s="961" t="str">
        <f t="shared" si="3"/>
        <v>#DIV/0!</v>
      </c>
      <c r="I39" s="961" t="str">
        <f>IF(H39&lt;'PlayerGrades+'!$AC$21,"F-",IF(H39&lt;'PlayerGrades+'!$AC$20,"F",IF(H39&lt;'PlayerGrades+'!$AC$19,"F+",IF(H39&lt;'PlayerGrades+'!$AC$18,"E-",IF(H39&lt;'PlayerGrades+'!$AC$17,"E",IF(H39&lt;'PlayerGrades+'!$AC$16,"E+",IF(H39&lt;'PlayerGrades+'!$AC$15,"D-",IF(H39&lt;'PlayerGrades+'!$AC$14,"D",IF(H39&lt;'PlayerGrades+'!$AC$13,"D+",IF(H39&lt;'PlayerGrades+'!$AC$12,"C-",IF(H39&lt;'PlayerGrades+'!$AC$11,"C",IF(H39&lt;'PlayerGrades+'!$AC$10,"C+",IF(H39&lt;'PlayerGrades+'!$AC$9,"B-",IF(H39&lt;'PlayerGrades+'!$AC$8,"B",IF(H39&lt;'PlayerGrades+'!$AC$7,"B+",IF(H39&lt;'PlayerGrades+'!$AC$6,"A-",IF(H39&lt;'PlayerGrades+'!$AC$5,"A",IF(H39&lt;'PlayerGrades+'!$AC$4,"A+",IF(H39&lt;'PlayerGrades+'!$AC$3,"S-",IF(H39&lt;'PlayerGrades+'!$AC$2,"S","S+"))))))))))))))))))))</f>
        <v>#DIV/0!</v>
      </c>
      <c r="J39" s="961" t="str">
        <f t="shared" si="4"/>
        <v>#DIV/0!</v>
      </c>
      <c r="K39" s="961" t="str">
        <f>IF(J39&lt;'PlayerGrades+'!$AD$21,"F-",IF(J39&lt;'PlayerGrades+'!$AD$20,"F",IF(J39&lt;'PlayerGrades+'!$AD$19,"F+",IF(J39&lt;'PlayerGrades+'!$AD$18,"E-",IF(J39&lt;'PlayerGrades+'!$AD$17,"E",IF(J39&lt;'PlayerGrades+'!$AD$16,"E+",IF(J39&lt;'PlayerGrades+'!$AD$15,"D-",IF(J39&lt;'PlayerGrades+'!$AD$14,"D",IF(J39&lt;'PlayerGrades+'!$AD$13,"D+",IF(J39&lt;'PlayerGrades+'!$AD$12,"C-",IF(J39&lt;'PlayerGrades+'!$AD$11,"C",IF(J39&lt;'PlayerGrades+'!$AD$10,"C+",IF(J39&lt;'PlayerGrades+'!$AD$9,"B-",IF(J39&lt;'PlayerGrades+'!$AD$8,"B",IF(J39&lt;'PlayerGrades+'!$AD$7,"B+",IF(J39&lt;'PlayerGrades+'!$AD$6,"A-",IF(J39&lt;'PlayerGrades+'!$AD$5,"A",IF(J39&lt;'PlayerGrades+'!$AD$4,"A+",IF(J39&lt;'PlayerGrades+'!$AD$3,"S-",IF(J39&lt;'PlayerGrades+'!$AD$2,"S","S+"))))))))))))))))))))</f>
        <v>#DIV/0!</v>
      </c>
      <c r="L39" s="1176" t="str">
        <f t="shared" si="5"/>
        <v>#DIV/0!</v>
      </c>
      <c r="M39" s="992" t="str">
        <f>IF(L39&lt;'PlayerGrades+'!$AE$21,"F-",IF(L39&lt;'PlayerGrades+'!$AE$20,"F",IF(L39&lt;'PlayerGrades+'!$AE$19,"F+",IF(L39&lt;'PlayerGrades+'!$AE$18,"E-",IF(L39&lt;'PlayerGrades+'!$AE$17,"E",IF(L39&lt;'PlayerGrades+'!$AE$16,"E+",IF(L39&lt;'PlayerGrades+'!$AE$15,"D-",IF(L39&lt;'PlayerGrades+'!$AE$14,"D",IF(L39&lt;'PlayerGrades+'!$AE$13,"D+",IF(L39&lt;'PlayerGrades+'!$AE$12,"C-",IF(L39&lt;'PlayerGrades+'!$AE$11,"C",IF(L39&lt;'PlayerGrades+'!$AE$10,"C+",IF(L39&lt;'PlayerGrades+'!$AE$9,"B-",IF(L39&lt;'PlayerGrades+'!$AE$8,"B",IF(L39&lt;'PlayerGrades+'!$AE$7,"B+",IF(L39&lt;'PlayerGrades+'!$AE$6,"A-",IF(L39&lt;'PlayerGrades+'!$AE$5,"A",IF(L39&lt;'PlayerGrades+'!$AE$4,"A+",IF(L39&lt;'PlayerGrades+'!$AE$3,"S-",IF(L39&lt;'PlayerGrades+'!$AE$2,"S","S+"))))))))))))))))))))</f>
        <v>#DIV/0!</v>
      </c>
      <c r="N39" s="961" t="str">
        <f t="shared" si="6"/>
        <v>#DIV/0!</v>
      </c>
      <c r="O39" s="961" t="str">
        <f>IF(N39&lt;'PlayerGrades+'!$AF$21,"F-",IF(N39&lt;'PlayerGrades+'!$AF$20,"F",IF(N39&lt;'PlayerGrades+'!$AF$19,"F+",IF(N39&lt;'PlayerGrades+'!$AF$18,"E-",IF(N39&lt;'PlayerGrades+'!$AF$17,"E",IF(N39&lt;'PlayerGrades+'!$AF$16,"E+",IF(N39&lt;'PlayerGrades+'!$AF$15,"D-",IF(N39&lt;'PlayerGrades+'!$AF$14,"D",IF(N39&lt;'PlayerGrades+'!$AF$13,"D+",IF(N39&lt;'PlayerGrades+'!$AF$12,"C-",IF(N39&lt;'PlayerGrades+'!$AF$11,"C",IF(N39&lt;'PlayerGrades+'!$AF$10,"C+",IF(N39&lt;'PlayerGrades+'!$AF$9,"B-",IF(N39&lt;'PlayerGrades+'!$AF$8,"B",IF(N39&lt;'PlayerGrades+'!$AF$7,"B+",IF(N39&lt;'PlayerGrades+'!$AF$6,"A-",IF(N39&lt;'PlayerGrades+'!$AF$5,"A",IF(N39&lt;'PlayerGrades+'!$AF$4,"A+",IF(N39&lt;'PlayerGrades+'!$AF$3,"S-",IF(N39&lt;'PlayerGrades+'!$AF$2,"S","S+"))))))))))))))))))))</f>
        <v>#DIV/0!</v>
      </c>
      <c r="P39" s="961" t="str">
        <f t="shared" si="7"/>
        <v>#DIV/0!</v>
      </c>
      <c r="Q39" s="961" t="str">
        <f>IF(P39&lt;'PlayerGrades+'!$AG$21,"F-",IF(P39&lt;'PlayerGrades+'!$AG$20,"F",IF(P39&lt;'PlayerGrades+'!$AG$19,"F+",IF(P39&lt;'PlayerGrades+'!$AG$18,"E-",IF(P39&lt;'PlayerGrades+'!$AG$17,"E",IF(P39&lt;'PlayerGrades+'!$AG$16,"E+",IF(P39&lt;'PlayerGrades+'!$AG$15,"D-",IF(P39&lt;'PlayerGrades+'!$AG$14,"D",IF(P39&lt;'PlayerGrades+'!$AG$13,"D+",IF(P39&lt;'PlayerGrades+'!$AG$12,"C-",IF(P39&lt;'PlayerGrades+'!$AG$11,"C",IF(P39&lt;'PlayerGrades+'!$AG$10,"C+",IF(P39&lt;'PlayerGrades+'!$AG$9,"B-",IF(P39&lt;'PlayerGrades+'!$AG$8,"B",IF(P39&lt;'PlayerGrades+'!$AG$7,"B+",IF(P39&lt;'PlayerGrades+'!$AG$6,"A-",IF(P39&lt;'PlayerGrades+'!$AG$5,"A",IF(P39&lt;'PlayerGrades+'!$AG$4,"A+",IF(P39&lt;'PlayerGrades+'!$AG$3,"S-",IF(P39&lt;'PlayerGrades+'!$AG$2,"S","S+"))))))))))))))))))))</f>
        <v>#DIV/0!</v>
      </c>
      <c r="R39" s="961" t="str">
        <f t="shared" si="8"/>
        <v>#DIV/0!</v>
      </c>
      <c r="S39" s="961" t="str">
        <f>IF(R39&lt;'PlayerGrades+'!$AH$21,"F-",IF(R39&lt;'PlayerGrades+'!$AH$20,"F",IF(R39&lt;'PlayerGrades+'!$AH$19,"F+",IF(R39&lt;'PlayerGrades+'!$AH$18,"E-",IF(R39&lt;'PlayerGrades+'!$AH$17,"E",IF(R39&lt;'PlayerGrades+'!$AH$16,"E+",IF(R39&lt;'PlayerGrades+'!$AH$15,"D-",IF(R39&lt;'PlayerGrades+'!$AH$14,"D",IF(R39&lt;'PlayerGrades+'!$AH$13,"D+",IF(R39&lt;'PlayerGrades+'!$AH$12,"C-",IF(R39&lt;'PlayerGrades+'!$AH$11,"C",IF(R39&lt;'PlayerGrades+'!$AH$10,"C+",IF(R39&lt;'PlayerGrades+'!$AH$9,"B-",IF(R39&lt;'PlayerGrades+'!$AH$8,"B",IF(R39&lt;'PlayerGrades+'!$AH$7,"B+",IF(R39&lt;'PlayerGrades+'!$AH$6,"A-",IF(R39&lt;'PlayerGrades+'!$AH$5,"A",IF(R39&lt;'PlayerGrades+'!$AH$4,"A+",IF(R39&lt;'PlayerGrades+'!$AH$3,"S-",IF(R39&lt;'PlayerGrades+'!$AH$2,"S","S+"))))))))))))))))))))</f>
        <v>#DIV/0!</v>
      </c>
      <c r="T39" s="961">
        <f t="shared" si="9"/>
        <v>0</v>
      </c>
      <c r="U39" s="961" t="str">
        <f>IF(T39&lt;'PlayerGrades+'!$AI$21,"F-",IF(T39&lt;'PlayerGrades+'!$AI$20,"F",IF(T39&lt;'PlayerGrades+'!$AI$19,"F+",IF(T39&lt;'PlayerGrades+'!$AI$18,"E-",IF(T39&lt;'PlayerGrades+'!$AI$17,"E",IF(T39&lt;'PlayerGrades+'!$AI$16,"E+",IF(T39&lt;'PlayerGrades+'!$AI$15,"D-",IF(T39&lt;'PlayerGrades+'!$AI$14,"D",IF(T39&lt;'PlayerGrades+'!$AI$13,"D+",IF(T39&lt;'PlayerGrades+'!$AI$12,"C-",IF(T39&lt;'PlayerGrades+'!$AI$11,"C",IF(T39&lt;'PlayerGrades+'!$AI$10,"C+",IF(T39&lt;'PlayerGrades+'!$AI$9,"B-",IF(T39&lt;'PlayerGrades+'!$AI$8,"B",IF(T39&lt;'PlayerGrades+'!$AI$7,"B+",IF(T39&lt;'PlayerGrades+'!$AI$6,"A-",IF(T39&lt;'PlayerGrades+'!$AI$5,"A",IF(T39&lt;'PlayerGrades+'!$AI$4,"A+",IF(T39&lt;'PlayerGrades+'!$AI$3,"S-",IF(T39&lt;'PlayerGrades+'!$AI$2,"S","S+"))))))))))))))))))))</f>
        <v>F-</v>
      </c>
      <c r="Z39" s="1383"/>
      <c r="AA39" s="1383"/>
      <c r="AB39" s="1383"/>
      <c r="AC39" s="1384"/>
      <c r="AD39" s="1383"/>
      <c r="AE39" s="1383"/>
      <c r="AF39" s="1383"/>
      <c r="AG39" s="1383"/>
      <c r="AH39" s="1383"/>
      <c r="AI39" s="1383"/>
      <c r="AJ39" s="1383"/>
      <c r="AK39" s="1383"/>
      <c r="AL39" s="1383"/>
      <c r="AM39" s="1383"/>
      <c r="AN39" s="1383"/>
      <c r="AO39" s="1383"/>
      <c r="AP39" s="1383"/>
      <c r="AQ39" s="1383"/>
      <c r="AR39" s="1383"/>
      <c r="AS39" s="1383"/>
      <c r="AT39" s="1383"/>
      <c r="AU39" s="1383"/>
      <c r="AV39" s="1383"/>
      <c r="AW39" s="1383"/>
      <c r="AX39" s="1383"/>
      <c r="AY39" s="1383"/>
      <c r="AZ39" s="1383"/>
    </row>
    <row r="40">
      <c r="A40" s="1382"/>
      <c r="B40" s="611" t="str">
        <f>IF(C40&lt;'PlayerGrades+'!$Y$44,"F-",IF(C40&lt;'PlayerGrades+'!$Y$43,"F",IF(C40&lt;'PlayerGrades+'!$Y$42,"F+",IF(C40&lt;'PlayerGrades+'!$Y$41,"E-",IF(C40&lt;'PlayerGrades+'!$Y$40,"E",IF(C40&lt;'PlayerGrades+'!$Y$39,"E+",IF(C40&lt;'PlayerGrades+'!$Y$38,"D-",IF(C40&lt;'PlayerGrades+'!$Y$37,"D",IF(C40&lt;'PlayerGrades+'!$Y$36,"D+",IF(C40&lt;'PlayerGrades+'!$Y$35,"C-",IF(C40&lt;'PlayerGrades+'!$Y$34,"C",IF(C40&lt;'PlayerGrades+'!$Y$33,"C+",IF(C40&lt;'PlayerGrades+'!$Y$32,"B-",IF(C40&lt;'PlayerGrades+'!$Y$31,"B",IF(C40&lt;'PlayerGrades+'!$Y$30,"B+",IF(C40&lt;'PlayerGrades+'!$Y$29,"A-",IF(C40&lt;'PlayerGrades+'!$Y$28,"A",IF(C40&lt;'PlayerGrades+'!$Y$27,"A+",IF(C40&lt;'PlayerGrades+'!$Y$26,"S-",IF(C40&lt;'PlayerGrades+'!$Y$25,"S","S+"))))))))))))))))))))</f>
        <v>#DIV/0!</v>
      </c>
      <c r="C40" s="1378" t="str">
        <f>('PlayerGrades+'!$Y$47*(VLOOKUP(E40, 'PlayerGrades+'!$X$3:$Y$23, 2, FALSE)))+('PlayerGrades+'!$Y$48*(VLOOKUP(G40, 'PlayerGrades+'!$X$3:$Y$23, 2, FALSE)))+('PlayerGrades+'!$Y$49*(VLOOKUP(I40, 'PlayerGrades+'!$X$3:$Y$23, 2, FALSE)))+('PlayerGrades+'!$Y$50*(VLOOKUP(K40, 'PlayerGrades+'!$X$3:$Y$23, 2, FALSE)))+('PlayerGrades+'!$Y$51*(VLOOKUP(M40, 'PlayerGrades+'!$X$3:$Y$23, 2, FALSE)))+('PlayerGrades+'!$Y$52*(VLOOKUP(O40, 'PlayerGrades+'!$X$3:$Y$23, 2, FALSE)))+('PlayerGrades+'!$Y$53*(VLOOKUP(Q40, 'PlayerGrades+'!$X$3:$Y$23, 2, FALSE)))+('PlayerGrades+'!$Y$54*(VLOOKUP(S40, 'PlayerGrades+'!$X$3:$Y$23, 2, FALSE)))+('PlayerGrades+'!$Y$55*(VLOOKUP(U40, 'PlayerGrades+'!$X$3:$Y$23, 2, FALSE)))</f>
        <v>#DIV/0!</v>
      </c>
      <c r="D40" s="961" t="str">
        <f t="shared" si="1"/>
        <v>#DIV/0!</v>
      </c>
      <c r="E40" s="961" t="str">
        <f>IF(D40&lt;'PlayerGrades+'!$AA$21,"F-",IF(D40&lt;'PlayerGrades+'!$AA$20,"F",IF(D40&lt;'PlayerGrades+'!$AA$19,"F+",IF(D40&lt;'PlayerGrades+'!$AA$18,"E-",IF(D40&lt;'PlayerGrades+'!$AA$17,"E",IF(D40&lt;'PlayerGrades+'!$AA$16,"E+",IF(D40&lt;'PlayerGrades+'!$AA$15,"D-",IF(D40&lt;'PlayerGrades+'!$AA$14,"D",IF(D40&lt;'PlayerGrades+'!$AA$13,"D+",IF(D40&lt;'PlayerGrades+'!$AA$12,"C-",IF(D40&lt;'PlayerGrades+'!$AA$11,"C",IF(D40&lt;'PlayerGrades+'!$AA$10,"C+",IF(D40&lt;'PlayerGrades+'!$AA$9,"B-",IF(D40&lt;'PlayerGrades+'!$AA$8,"B",IF(D40&lt;'PlayerGrades+'!$AA$7,"B+",IF(D40&lt;'PlayerGrades+'!$AA$6,"A-",IF(D40&lt;'PlayerGrades+'!$AA$5,"A",IF(D40&lt;'PlayerGrades+'!$AA$4,"A+",IF(D40&lt;'PlayerGrades+'!$AA$3,"S-",IF(D40&lt;'PlayerGrades+'!$AA$2,"S","S+"))))))))))))))))))))</f>
        <v>#DIV/0!</v>
      </c>
      <c r="F40" s="961" t="str">
        <f t="shared" si="2"/>
        <v>#DIV/0!</v>
      </c>
      <c r="G40" s="961" t="str">
        <f>IF(F40&lt;'PlayerGrades+'!$AB$21,"F-",IF(F40&lt;'PlayerGrades+'!$AB$20,"F",IF(F40&lt;'PlayerGrades+'!$AB$19,"F+",IF(F40&lt;'PlayerGrades+'!$AB$18,"E-",IF(F40&lt;'PlayerGrades+'!$AB$17,"E",IF(F40&lt;'PlayerGrades+'!$AB$16,"E+",IF(F40&lt;'PlayerGrades+'!$AB$15,"D-",IF(F40&lt;'PlayerGrades+'!$AB$14,"D",IF(F40&lt;'PlayerGrades+'!$AB$13,"D+",IF(F40&lt;'PlayerGrades+'!$AB$12,"C-",IF(F40&lt;'PlayerGrades+'!$AB$11,"C",IF(F40&lt;'PlayerGrades+'!$AB$10,"C+",IF(F40&lt;'PlayerGrades+'!$AB$9,"B-",IF(F40&lt;'PlayerGrades+'!$AB$8,"B",IF(F40&lt;'PlayerGrades+'!$AB$7,"B+",IF(F40&lt;'PlayerGrades+'!$AB$6,"A-",IF(F40&lt;'PlayerGrades+'!$AB$5,"A",IF(F40&lt;'PlayerGrades+'!$AB$4,"A+",IF(F40&lt;'PlayerGrades+'!$AB$3,"S-",IF(F40&lt;'PlayerGrades+'!$AB$2,"S","S+"))))))))))))))))))))</f>
        <v>#DIV/0!</v>
      </c>
      <c r="H40" s="961" t="str">
        <f t="shared" si="3"/>
        <v>#DIV/0!</v>
      </c>
      <c r="I40" s="961" t="str">
        <f>IF(H40&lt;'PlayerGrades+'!$AC$21,"F-",IF(H40&lt;'PlayerGrades+'!$AC$20,"F",IF(H40&lt;'PlayerGrades+'!$AC$19,"F+",IF(H40&lt;'PlayerGrades+'!$AC$18,"E-",IF(H40&lt;'PlayerGrades+'!$AC$17,"E",IF(H40&lt;'PlayerGrades+'!$AC$16,"E+",IF(H40&lt;'PlayerGrades+'!$AC$15,"D-",IF(H40&lt;'PlayerGrades+'!$AC$14,"D",IF(H40&lt;'PlayerGrades+'!$AC$13,"D+",IF(H40&lt;'PlayerGrades+'!$AC$12,"C-",IF(H40&lt;'PlayerGrades+'!$AC$11,"C",IF(H40&lt;'PlayerGrades+'!$AC$10,"C+",IF(H40&lt;'PlayerGrades+'!$AC$9,"B-",IF(H40&lt;'PlayerGrades+'!$AC$8,"B",IF(H40&lt;'PlayerGrades+'!$AC$7,"B+",IF(H40&lt;'PlayerGrades+'!$AC$6,"A-",IF(H40&lt;'PlayerGrades+'!$AC$5,"A",IF(H40&lt;'PlayerGrades+'!$AC$4,"A+",IF(H40&lt;'PlayerGrades+'!$AC$3,"S-",IF(H40&lt;'PlayerGrades+'!$AC$2,"S","S+"))))))))))))))))))))</f>
        <v>#DIV/0!</v>
      </c>
      <c r="J40" s="961" t="str">
        <f t="shared" si="4"/>
        <v>#DIV/0!</v>
      </c>
      <c r="K40" s="961" t="str">
        <f>IF(J40&lt;'PlayerGrades+'!$AD$21,"F-",IF(J40&lt;'PlayerGrades+'!$AD$20,"F",IF(J40&lt;'PlayerGrades+'!$AD$19,"F+",IF(J40&lt;'PlayerGrades+'!$AD$18,"E-",IF(J40&lt;'PlayerGrades+'!$AD$17,"E",IF(J40&lt;'PlayerGrades+'!$AD$16,"E+",IF(J40&lt;'PlayerGrades+'!$AD$15,"D-",IF(J40&lt;'PlayerGrades+'!$AD$14,"D",IF(J40&lt;'PlayerGrades+'!$AD$13,"D+",IF(J40&lt;'PlayerGrades+'!$AD$12,"C-",IF(J40&lt;'PlayerGrades+'!$AD$11,"C",IF(J40&lt;'PlayerGrades+'!$AD$10,"C+",IF(J40&lt;'PlayerGrades+'!$AD$9,"B-",IF(J40&lt;'PlayerGrades+'!$AD$8,"B",IF(J40&lt;'PlayerGrades+'!$AD$7,"B+",IF(J40&lt;'PlayerGrades+'!$AD$6,"A-",IF(J40&lt;'PlayerGrades+'!$AD$5,"A",IF(J40&lt;'PlayerGrades+'!$AD$4,"A+",IF(J40&lt;'PlayerGrades+'!$AD$3,"S-",IF(J40&lt;'PlayerGrades+'!$AD$2,"S","S+"))))))))))))))))))))</f>
        <v>#DIV/0!</v>
      </c>
      <c r="L40" s="1176" t="str">
        <f t="shared" si="5"/>
        <v>#DIV/0!</v>
      </c>
      <c r="M40" s="992" t="str">
        <f>IF(L40&lt;'PlayerGrades+'!$AE$21,"F-",IF(L40&lt;'PlayerGrades+'!$AE$20,"F",IF(L40&lt;'PlayerGrades+'!$AE$19,"F+",IF(L40&lt;'PlayerGrades+'!$AE$18,"E-",IF(L40&lt;'PlayerGrades+'!$AE$17,"E",IF(L40&lt;'PlayerGrades+'!$AE$16,"E+",IF(L40&lt;'PlayerGrades+'!$AE$15,"D-",IF(L40&lt;'PlayerGrades+'!$AE$14,"D",IF(L40&lt;'PlayerGrades+'!$AE$13,"D+",IF(L40&lt;'PlayerGrades+'!$AE$12,"C-",IF(L40&lt;'PlayerGrades+'!$AE$11,"C",IF(L40&lt;'PlayerGrades+'!$AE$10,"C+",IF(L40&lt;'PlayerGrades+'!$AE$9,"B-",IF(L40&lt;'PlayerGrades+'!$AE$8,"B",IF(L40&lt;'PlayerGrades+'!$AE$7,"B+",IF(L40&lt;'PlayerGrades+'!$AE$6,"A-",IF(L40&lt;'PlayerGrades+'!$AE$5,"A",IF(L40&lt;'PlayerGrades+'!$AE$4,"A+",IF(L40&lt;'PlayerGrades+'!$AE$3,"S-",IF(L40&lt;'PlayerGrades+'!$AE$2,"S","S+"))))))))))))))))))))</f>
        <v>#DIV/0!</v>
      </c>
      <c r="N40" s="961" t="str">
        <f t="shared" si="6"/>
        <v>#DIV/0!</v>
      </c>
      <c r="O40" s="961" t="str">
        <f>IF(N40&lt;'PlayerGrades+'!$AF$21,"F-",IF(N40&lt;'PlayerGrades+'!$AF$20,"F",IF(N40&lt;'PlayerGrades+'!$AF$19,"F+",IF(N40&lt;'PlayerGrades+'!$AF$18,"E-",IF(N40&lt;'PlayerGrades+'!$AF$17,"E",IF(N40&lt;'PlayerGrades+'!$AF$16,"E+",IF(N40&lt;'PlayerGrades+'!$AF$15,"D-",IF(N40&lt;'PlayerGrades+'!$AF$14,"D",IF(N40&lt;'PlayerGrades+'!$AF$13,"D+",IF(N40&lt;'PlayerGrades+'!$AF$12,"C-",IF(N40&lt;'PlayerGrades+'!$AF$11,"C",IF(N40&lt;'PlayerGrades+'!$AF$10,"C+",IF(N40&lt;'PlayerGrades+'!$AF$9,"B-",IF(N40&lt;'PlayerGrades+'!$AF$8,"B",IF(N40&lt;'PlayerGrades+'!$AF$7,"B+",IF(N40&lt;'PlayerGrades+'!$AF$6,"A-",IF(N40&lt;'PlayerGrades+'!$AF$5,"A",IF(N40&lt;'PlayerGrades+'!$AF$4,"A+",IF(N40&lt;'PlayerGrades+'!$AF$3,"S-",IF(N40&lt;'PlayerGrades+'!$AF$2,"S","S+"))))))))))))))))))))</f>
        <v>#DIV/0!</v>
      </c>
      <c r="P40" s="961" t="str">
        <f t="shared" si="7"/>
        <v>#DIV/0!</v>
      </c>
      <c r="Q40" s="961" t="str">
        <f>IF(P40&lt;'PlayerGrades+'!$AG$21,"F-",IF(P40&lt;'PlayerGrades+'!$AG$20,"F",IF(P40&lt;'PlayerGrades+'!$AG$19,"F+",IF(P40&lt;'PlayerGrades+'!$AG$18,"E-",IF(P40&lt;'PlayerGrades+'!$AG$17,"E",IF(P40&lt;'PlayerGrades+'!$AG$16,"E+",IF(P40&lt;'PlayerGrades+'!$AG$15,"D-",IF(P40&lt;'PlayerGrades+'!$AG$14,"D",IF(P40&lt;'PlayerGrades+'!$AG$13,"D+",IF(P40&lt;'PlayerGrades+'!$AG$12,"C-",IF(P40&lt;'PlayerGrades+'!$AG$11,"C",IF(P40&lt;'PlayerGrades+'!$AG$10,"C+",IF(P40&lt;'PlayerGrades+'!$AG$9,"B-",IF(P40&lt;'PlayerGrades+'!$AG$8,"B",IF(P40&lt;'PlayerGrades+'!$AG$7,"B+",IF(P40&lt;'PlayerGrades+'!$AG$6,"A-",IF(P40&lt;'PlayerGrades+'!$AG$5,"A",IF(P40&lt;'PlayerGrades+'!$AG$4,"A+",IF(P40&lt;'PlayerGrades+'!$AG$3,"S-",IF(P40&lt;'PlayerGrades+'!$AG$2,"S","S+"))))))))))))))))))))</f>
        <v>#DIV/0!</v>
      </c>
      <c r="R40" s="961" t="str">
        <f t="shared" si="8"/>
        <v>#DIV/0!</v>
      </c>
      <c r="S40" s="961" t="str">
        <f>IF(R40&lt;'PlayerGrades+'!$AH$21,"F-",IF(R40&lt;'PlayerGrades+'!$AH$20,"F",IF(R40&lt;'PlayerGrades+'!$AH$19,"F+",IF(R40&lt;'PlayerGrades+'!$AH$18,"E-",IF(R40&lt;'PlayerGrades+'!$AH$17,"E",IF(R40&lt;'PlayerGrades+'!$AH$16,"E+",IF(R40&lt;'PlayerGrades+'!$AH$15,"D-",IF(R40&lt;'PlayerGrades+'!$AH$14,"D",IF(R40&lt;'PlayerGrades+'!$AH$13,"D+",IF(R40&lt;'PlayerGrades+'!$AH$12,"C-",IF(R40&lt;'PlayerGrades+'!$AH$11,"C",IF(R40&lt;'PlayerGrades+'!$AH$10,"C+",IF(R40&lt;'PlayerGrades+'!$AH$9,"B-",IF(R40&lt;'PlayerGrades+'!$AH$8,"B",IF(R40&lt;'PlayerGrades+'!$AH$7,"B+",IF(R40&lt;'PlayerGrades+'!$AH$6,"A-",IF(R40&lt;'PlayerGrades+'!$AH$5,"A",IF(R40&lt;'PlayerGrades+'!$AH$4,"A+",IF(R40&lt;'PlayerGrades+'!$AH$3,"S-",IF(R40&lt;'PlayerGrades+'!$AH$2,"S","S+"))))))))))))))))))))</f>
        <v>#DIV/0!</v>
      </c>
      <c r="T40" s="961">
        <f t="shared" si="9"/>
        <v>0</v>
      </c>
      <c r="U40" s="961" t="str">
        <f>IF(T40&lt;'PlayerGrades+'!$AI$21,"F-",IF(T40&lt;'PlayerGrades+'!$AI$20,"F",IF(T40&lt;'PlayerGrades+'!$AI$19,"F+",IF(T40&lt;'PlayerGrades+'!$AI$18,"E-",IF(T40&lt;'PlayerGrades+'!$AI$17,"E",IF(T40&lt;'PlayerGrades+'!$AI$16,"E+",IF(T40&lt;'PlayerGrades+'!$AI$15,"D-",IF(T40&lt;'PlayerGrades+'!$AI$14,"D",IF(T40&lt;'PlayerGrades+'!$AI$13,"D+",IF(T40&lt;'PlayerGrades+'!$AI$12,"C-",IF(T40&lt;'PlayerGrades+'!$AI$11,"C",IF(T40&lt;'PlayerGrades+'!$AI$10,"C+",IF(T40&lt;'PlayerGrades+'!$AI$9,"B-",IF(T40&lt;'PlayerGrades+'!$AI$8,"B",IF(T40&lt;'PlayerGrades+'!$AI$7,"B+",IF(T40&lt;'PlayerGrades+'!$AI$6,"A-",IF(T40&lt;'PlayerGrades+'!$AI$5,"A",IF(T40&lt;'PlayerGrades+'!$AI$4,"A+",IF(T40&lt;'PlayerGrades+'!$AI$3,"S-",IF(T40&lt;'PlayerGrades+'!$AI$2,"S","S+"))))))))))))))))))))</f>
        <v>F-</v>
      </c>
      <c r="Z40" s="1383"/>
      <c r="AA40" s="1383"/>
      <c r="AB40" s="1383"/>
      <c r="AC40" s="1384"/>
      <c r="AD40" s="1383"/>
      <c r="AE40" s="1383"/>
      <c r="AF40" s="1383"/>
      <c r="AG40" s="1383"/>
      <c r="AH40" s="1383"/>
      <c r="AI40" s="1383"/>
      <c r="AJ40" s="1383"/>
      <c r="AK40" s="1383"/>
      <c r="AL40" s="1383"/>
      <c r="AM40" s="1383"/>
      <c r="AN40" s="1383"/>
      <c r="AO40" s="1383"/>
      <c r="AP40" s="1383"/>
      <c r="AQ40" s="1383"/>
      <c r="AR40" s="1383"/>
      <c r="AS40" s="1383"/>
      <c r="AT40" s="1383"/>
      <c r="AU40" s="1383"/>
      <c r="AV40" s="1383"/>
      <c r="AW40" s="1383"/>
      <c r="AX40" s="1383"/>
      <c r="AY40" s="1383"/>
      <c r="AZ40" s="1383"/>
    </row>
    <row r="41">
      <c r="A41" s="1385"/>
      <c r="B41" s="611" t="str">
        <f>IF(C41&lt;'PlayerGrades+'!$Y$44,"F-",IF(C41&lt;'PlayerGrades+'!$Y$43,"F",IF(C41&lt;'PlayerGrades+'!$Y$42,"F+",IF(C41&lt;'PlayerGrades+'!$Y$41,"E-",IF(C41&lt;'PlayerGrades+'!$Y$40,"E",IF(C41&lt;'PlayerGrades+'!$Y$39,"E+",IF(C41&lt;'PlayerGrades+'!$Y$38,"D-",IF(C41&lt;'PlayerGrades+'!$Y$37,"D",IF(C41&lt;'PlayerGrades+'!$Y$36,"D+",IF(C41&lt;'PlayerGrades+'!$Y$35,"C-",IF(C41&lt;'PlayerGrades+'!$Y$34,"C",IF(C41&lt;'PlayerGrades+'!$Y$33,"C+",IF(C41&lt;'PlayerGrades+'!$Y$32,"B-",IF(C41&lt;'PlayerGrades+'!$Y$31,"B",IF(C41&lt;'PlayerGrades+'!$Y$30,"B+",IF(C41&lt;'PlayerGrades+'!$Y$29,"A-",IF(C41&lt;'PlayerGrades+'!$Y$28,"A",IF(C41&lt;'PlayerGrades+'!$Y$27,"A+",IF(C41&lt;'PlayerGrades+'!$Y$26,"S-",IF(C41&lt;'PlayerGrades+'!$Y$25,"S","S+"))))))))))))))))))))</f>
        <v>#DIV/0!</v>
      </c>
      <c r="C41" s="1378" t="str">
        <f>('PlayerGrades+'!$Y$47*(VLOOKUP(E41, 'PlayerGrades+'!$X$3:$Y$23, 2, FALSE)))+('PlayerGrades+'!$Y$48*(VLOOKUP(G41, 'PlayerGrades+'!$X$3:$Y$23, 2, FALSE)))+('PlayerGrades+'!$Y$49*(VLOOKUP(I41, 'PlayerGrades+'!$X$3:$Y$23, 2, FALSE)))+('PlayerGrades+'!$Y$50*(VLOOKUP(K41, 'PlayerGrades+'!$X$3:$Y$23, 2, FALSE)))+('PlayerGrades+'!$Y$51*(VLOOKUP(M41, 'PlayerGrades+'!$X$3:$Y$23, 2, FALSE)))+('PlayerGrades+'!$Y$52*(VLOOKUP(O41, 'PlayerGrades+'!$X$3:$Y$23, 2, FALSE)))+('PlayerGrades+'!$Y$53*(VLOOKUP(Q41, 'PlayerGrades+'!$X$3:$Y$23, 2, FALSE)))+('PlayerGrades+'!$Y$54*(VLOOKUP(S41, 'PlayerGrades+'!$X$3:$Y$23, 2, FALSE)))+('PlayerGrades+'!$Y$55*(VLOOKUP(U41, 'PlayerGrades+'!$X$3:$Y$23, 2, FALSE)))</f>
        <v>#DIV/0!</v>
      </c>
      <c r="D41" s="961" t="str">
        <f t="shared" si="1"/>
        <v>#DIV/0!</v>
      </c>
      <c r="E41" s="961" t="str">
        <f>IF(D41&lt;'PlayerGrades+'!$AA$21,"F-",IF(D41&lt;'PlayerGrades+'!$AA$20,"F",IF(D41&lt;'PlayerGrades+'!$AA$19,"F+",IF(D41&lt;'PlayerGrades+'!$AA$18,"E-",IF(D41&lt;'PlayerGrades+'!$AA$17,"E",IF(D41&lt;'PlayerGrades+'!$AA$16,"E+",IF(D41&lt;'PlayerGrades+'!$AA$15,"D-",IF(D41&lt;'PlayerGrades+'!$AA$14,"D",IF(D41&lt;'PlayerGrades+'!$AA$13,"D+",IF(D41&lt;'PlayerGrades+'!$AA$12,"C-",IF(D41&lt;'PlayerGrades+'!$AA$11,"C",IF(D41&lt;'PlayerGrades+'!$AA$10,"C+",IF(D41&lt;'PlayerGrades+'!$AA$9,"B-",IF(D41&lt;'PlayerGrades+'!$AA$8,"B",IF(D41&lt;'PlayerGrades+'!$AA$7,"B+",IF(D41&lt;'PlayerGrades+'!$AA$6,"A-",IF(D41&lt;'PlayerGrades+'!$AA$5,"A",IF(D41&lt;'PlayerGrades+'!$AA$4,"A+",IF(D41&lt;'PlayerGrades+'!$AA$3,"S-",IF(D41&lt;'PlayerGrades+'!$AA$2,"S","S+"))))))))))))))))))))</f>
        <v>#DIV/0!</v>
      </c>
      <c r="F41" s="961" t="str">
        <f t="shared" si="2"/>
        <v>#DIV/0!</v>
      </c>
      <c r="G41" s="961" t="str">
        <f>IF(F41&lt;'PlayerGrades+'!$AB$21,"F-",IF(F41&lt;'PlayerGrades+'!$AB$20,"F",IF(F41&lt;'PlayerGrades+'!$AB$19,"F+",IF(F41&lt;'PlayerGrades+'!$AB$18,"E-",IF(F41&lt;'PlayerGrades+'!$AB$17,"E",IF(F41&lt;'PlayerGrades+'!$AB$16,"E+",IF(F41&lt;'PlayerGrades+'!$AB$15,"D-",IF(F41&lt;'PlayerGrades+'!$AB$14,"D",IF(F41&lt;'PlayerGrades+'!$AB$13,"D+",IF(F41&lt;'PlayerGrades+'!$AB$12,"C-",IF(F41&lt;'PlayerGrades+'!$AB$11,"C",IF(F41&lt;'PlayerGrades+'!$AB$10,"C+",IF(F41&lt;'PlayerGrades+'!$AB$9,"B-",IF(F41&lt;'PlayerGrades+'!$AB$8,"B",IF(F41&lt;'PlayerGrades+'!$AB$7,"B+",IF(F41&lt;'PlayerGrades+'!$AB$6,"A-",IF(F41&lt;'PlayerGrades+'!$AB$5,"A",IF(F41&lt;'PlayerGrades+'!$AB$4,"A+",IF(F41&lt;'PlayerGrades+'!$AB$3,"S-",IF(F41&lt;'PlayerGrades+'!$AB$2,"S","S+"))))))))))))))))))))</f>
        <v>#DIV/0!</v>
      </c>
      <c r="H41" s="961" t="str">
        <f t="shared" si="3"/>
        <v>#DIV/0!</v>
      </c>
      <c r="I41" s="961" t="str">
        <f>IF(H41&lt;'PlayerGrades+'!$AC$21,"F-",IF(H41&lt;'PlayerGrades+'!$AC$20,"F",IF(H41&lt;'PlayerGrades+'!$AC$19,"F+",IF(H41&lt;'PlayerGrades+'!$AC$18,"E-",IF(H41&lt;'PlayerGrades+'!$AC$17,"E",IF(H41&lt;'PlayerGrades+'!$AC$16,"E+",IF(H41&lt;'PlayerGrades+'!$AC$15,"D-",IF(H41&lt;'PlayerGrades+'!$AC$14,"D",IF(H41&lt;'PlayerGrades+'!$AC$13,"D+",IF(H41&lt;'PlayerGrades+'!$AC$12,"C-",IF(H41&lt;'PlayerGrades+'!$AC$11,"C",IF(H41&lt;'PlayerGrades+'!$AC$10,"C+",IF(H41&lt;'PlayerGrades+'!$AC$9,"B-",IF(H41&lt;'PlayerGrades+'!$AC$8,"B",IF(H41&lt;'PlayerGrades+'!$AC$7,"B+",IF(H41&lt;'PlayerGrades+'!$AC$6,"A-",IF(H41&lt;'PlayerGrades+'!$AC$5,"A",IF(H41&lt;'PlayerGrades+'!$AC$4,"A+",IF(H41&lt;'PlayerGrades+'!$AC$3,"S-",IF(H41&lt;'PlayerGrades+'!$AC$2,"S","S+"))))))))))))))))))))</f>
        <v>#DIV/0!</v>
      </c>
      <c r="J41" s="961" t="str">
        <f t="shared" si="4"/>
        <v>#DIV/0!</v>
      </c>
      <c r="K41" s="961" t="str">
        <f>IF(J41&lt;'PlayerGrades+'!$AD$21,"F-",IF(J41&lt;'PlayerGrades+'!$AD$20,"F",IF(J41&lt;'PlayerGrades+'!$AD$19,"F+",IF(J41&lt;'PlayerGrades+'!$AD$18,"E-",IF(J41&lt;'PlayerGrades+'!$AD$17,"E",IF(J41&lt;'PlayerGrades+'!$AD$16,"E+",IF(J41&lt;'PlayerGrades+'!$AD$15,"D-",IF(J41&lt;'PlayerGrades+'!$AD$14,"D",IF(J41&lt;'PlayerGrades+'!$AD$13,"D+",IF(J41&lt;'PlayerGrades+'!$AD$12,"C-",IF(J41&lt;'PlayerGrades+'!$AD$11,"C",IF(J41&lt;'PlayerGrades+'!$AD$10,"C+",IF(J41&lt;'PlayerGrades+'!$AD$9,"B-",IF(J41&lt;'PlayerGrades+'!$AD$8,"B",IF(J41&lt;'PlayerGrades+'!$AD$7,"B+",IF(J41&lt;'PlayerGrades+'!$AD$6,"A-",IF(J41&lt;'PlayerGrades+'!$AD$5,"A",IF(J41&lt;'PlayerGrades+'!$AD$4,"A+",IF(J41&lt;'PlayerGrades+'!$AD$3,"S-",IF(J41&lt;'PlayerGrades+'!$AD$2,"S","S+"))))))))))))))))))))</f>
        <v>#DIV/0!</v>
      </c>
      <c r="L41" s="1176" t="str">
        <f t="shared" si="5"/>
        <v>#DIV/0!</v>
      </c>
      <c r="M41" s="992" t="str">
        <f>IF(L41&lt;'PlayerGrades+'!$AE$21,"F-",IF(L41&lt;'PlayerGrades+'!$AE$20,"F",IF(L41&lt;'PlayerGrades+'!$AE$19,"F+",IF(L41&lt;'PlayerGrades+'!$AE$18,"E-",IF(L41&lt;'PlayerGrades+'!$AE$17,"E",IF(L41&lt;'PlayerGrades+'!$AE$16,"E+",IF(L41&lt;'PlayerGrades+'!$AE$15,"D-",IF(L41&lt;'PlayerGrades+'!$AE$14,"D",IF(L41&lt;'PlayerGrades+'!$AE$13,"D+",IF(L41&lt;'PlayerGrades+'!$AE$12,"C-",IF(L41&lt;'PlayerGrades+'!$AE$11,"C",IF(L41&lt;'PlayerGrades+'!$AE$10,"C+",IF(L41&lt;'PlayerGrades+'!$AE$9,"B-",IF(L41&lt;'PlayerGrades+'!$AE$8,"B",IF(L41&lt;'PlayerGrades+'!$AE$7,"B+",IF(L41&lt;'PlayerGrades+'!$AE$6,"A-",IF(L41&lt;'PlayerGrades+'!$AE$5,"A",IF(L41&lt;'PlayerGrades+'!$AE$4,"A+",IF(L41&lt;'PlayerGrades+'!$AE$3,"S-",IF(L41&lt;'PlayerGrades+'!$AE$2,"S","S+"))))))))))))))))))))</f>
        <v>#DIV/0!</v>
      </c>
      <c r="N41" s="961" t="str">
        <f t="shared" si="6"/>
        <v>#DIV/0!</v>
      </c>
      <c r="O41" s="961" t="str">
        <f>IF(N41&lt;'PlayerGrades+'!$AF$21,"F-",IF(N41&lt;'PlayerGrades+'!$AF$20,"F",IF(N41&lt;'PlayerGrades+'!$AF$19,"F+",IF(N41&lt;'PlayerGrades+'!$AF$18,"E-",IF(N41&lt;'PlayerGrades+'!$AF$17,"E",IF(N41&lt;'PlayerGrades+'!$AF$16,"E+",IF(N41&lt;'PlayerGrades+'!$AF$15,"D-",IF(N41&lt;'PlayerGrades+'!$AF$14,"D",IF(N41&lt;'PlayerGrades+'!$AF$13,"D+",IF(N41&lt;'PlayerGrades+'!$AF$12,"C-",IF(N41&lt;'PlayerGrades+'!$AF$11,"C",IF(N41&lt;'PlayerGrades+'!$AF$10,"C+",IF(N41&lt;'PlayerGrades+'!$AF$9,"B-",IF(N41&lt;'PlayerGrades+'!$AF$8,"B",IF(N41&lt;'PlayerGrades+'!$AF$7,"B+",IF(N41&lt;'PlayerGrades+'!$AF$6,"A-",IF(N41&lt;'PlayerGrades+'!$AF$5,"A",IF(N41&lt;'PlayerGrades+'!$AF$4,"A+",IF(N41&lt;'PlayerGrades+'!$AF$3,"S-",IF(N41&lt;'PlayerGrades+'!$AF$2,"S","S+"))))))))))))))))))))</f>
        <v>#DIV/0!</v>
      </c>
      <c r="P41" s="961" t="str">
        <f t="shared" si="7"/>
        <v>#DIV/0!</v>
      </c>
      <c r="Q41" s="961" t="str">
        <f>IF(P41&lt;'PlayerGrades+'!$AG$21,"F-",IF(P41&lt;'PlayerGrades+'!$AG$20,"F",IF(P41&lt;'PlayerGrades+'!$AG$19,"F+",IF(P41&lt;'PlayerGrades+'!$AG$18,"E-",IF(P41&lt;'PlayerGrades+'!$AG$17,"E",IF(P41&lt;'PlayerGrades+'!$AG$16,"E+",IF(P41&lt;'PlayerGrades+'!$AG$15,"D-",IF(P41&lt;'PlayerGrades+'!$AG$14,"D",IF(P41&lt;'PlayerGrades+'!$AG$13,"D+",IF(P41&lt;'PlayerGrades+'!$AG$12,"C-",IF(P41&lt;'PlayerGrades+'!$AG$11,"C",IF(P41&lt;'PlayerGrades+'!$AG$10,"C+",IF(P41&lt;'PlayerGrades+'!$AG$9,"B-",IF(P41&lt;'PlayerGrades+'!$AG$8,"B",IF(P41&lt;'PlayerGrades+'!$AG$7,"B+",IF(P41&lt;'PlayerGrades+'!$AG$6,"A-",IF(P41&lt;'PlayerGrades+'!$AG$5,"A",IF(P41&lt;'PlayerGrades+'!$AG$4,"A+",IF(P41&lt;'PlayerGrades+'!$AG$3,"S-",IF(P41&lt;'PlayerGrades+'!$AG$2,"S","S+"))))))))))))))))))))</f>
        <v>#DIV/0!</v>
      </c>
      <c r="R41" s="961" t="str">
        <f t="shared" si="8"/>
        <v>#DIV/0!</v>
      </c>
      <c r="S41" s="961" t="str">
        <f>IF(R41&lt;'PlayerGrades+'!$AH$21,"F-",IF(R41&lt;'PlayerGrades+'!$AH$20,"F",IF(R41&lt;'PlayerGrades+'!$AH$19,"F+",IF(R41&lt;'PlayerGrades+'!$AH$18,"E-",IF(R41&lt;'PlayerGrades+'!$AH$17,"E",IF(R41&lt;'PlayerGrades+'!$AH$16,"E+",IF(R41&lt;'PlayerGrades+'!$AH$15,"D-",IF(R41&lt;'PlayerGrades+'!$AH$14,"D",IF(R41&lt;'PlayerGrades+'!$AH$13,"D+",IF(R41&lt;'PlayerGrades+'!$AH$12,"C-",IF(R41&lt;'PlayerGrades+'!$AH$11,"C",IF(R41&lt;'PlayerGrades+'!$AH$10,"C+",IF(R41&lt;'PlayerGrades+'!$AH$9,"B-",IF(R41&lt;'PlayerGrades+'!$AH$8,"B",IF(R41&lt;'PlayerGrades+'!$AH$7,"B+",IF(R41&lt;'PlayerGrades+'!$AH$6,"A-",IF(R41&lt;'PlayerGrades+'!$AH$5,"A",IF(R41&lt;'PlayerGrades+'!$AH$4,"A+",IF(R41&lt;'PlayerGrades+'!$AH$3,"S-",IF(R41&lt;'PlayerGrades+'!$AH$2,"S","S+"))))))))))))))))))))</f>
        <v>#DIV/0!</v>
      </c>
      <c r="T41" s="961">
        <f t="shared" si="9"/>
        <v>0</v>
      </c>
      <c r="U41" s="961" t="str">
        <f>IF(T41&lt;'PlayerGrades+'!$AI$21,"F-",IF(T41&lt;'PlayerGrades+'!$AI$20,"F",IF(T41&lt;'PlayerGrades+'!$AI$19,"F+",IF(T41&lt;'PlayerGrades+'!$AI$18,"E-",IF(T41&lt;'PlayerGrades+'!$AI$17,"E",IF(T41&lt;'PlayerGrades+'!$AI$16,"E+",IF(T41&lt;'PlayerGrades+'!$AI$15,"D-",IF(T41&lt;'PlayerGrades+'!$AI$14,"D",IF(T41&lt;'PlayerGrades+'!$AI$13,"D+",IF(T41&lt;'PlayerGrades+'!$AI$12,"C-",IF(T41&lt;'PlayerGrades+'!$AI$11,"C",IF(T41&lt;'PlayerGrades+'!$AI$10,"C+",IF(T41&lt;'PlayerGrades+'!$AI$9,"B-",IF(T41&lt;'PlayerGrades+'!$AI$8,"B",IF(T41&lt;'PlayerGrades+'!$AI$7,"B+",IF(T41&lt;'PlayerGrades+'!$AI$6,"A-",IF(T41&lt;'PlayerGrades+'!$AI$5,"A",IF(T41&lt;'PlayerGrades+'!$AI$4,"A+",IF(T41&lt;'PlayerGrades+'!$AI$3,"S-",IF(T41&lt;'PlayerGrades+'!$AI$2,"S","S+"))))))))))))))))))))</f>
        <v>F-</v>
      </c>
      <c r="V41" s="1386"/>
      <c r="W41" s="1386"/>
      <c r="X41" s="1386"/>
      <c r="Y41" s="1386"/>
      <c r="Z41" s="1387"/>
      <c r="AA41" s="1387"/>
      <c r="AB41" s="1387"/>
      <c r="AC41" s="1388"/>
      <c r="AD41" s="1387"/>
      <c r="AE41" s="1387"/>
      <c r="AF41" s="1387"/>
      <c r="AG41" s="1387"/>
      <c r="AH41" s="1387"/>
      <c r="AI41" s="1387"/>
      <c r="AJ41" s="1387"/>
      <c r="AK41" s="1387"/>
      <c r="AL41" s="1387"/>
      <c r="AM41" s="1387"/>
      <c r="AN41" s="1387"/>
      <c r="AO41" s="1387"/>
      <c r="AP41" s="1387"/>
      <c r="AQ41" s="1387"/>
      <c r="AR41" s="1387"/>
      <c r="AS41" s="1387"/>
      <c r="AT41" s="1387"/>
      <c r="AU41" s="1387"/>
      <c r="AV41" s="1387"/>
      <c r="AW41" s="1387"/>
      <c r="AX41" s="1387"/>
      <c r="AY41" s="1387"/>
      <c r="AZ41" s="1387"/>
    </row>
    <row r="42">
      <c r="A42" s="1389"/>
      <c r="B42" s="611" t="str">
        <f>IF(C42&lt;'PlayerGrades+'!$Y$44,"F-",IF(C42&lt;'PlayerGrades+'!$Y$43,"F",IF(C42&lt;'PlayerGrades+'!$Y$42,"F+",IF(C42&lt;'PlayerGrades+'!$Y$41,"E-",IF(C42&lt;'PlayerGrades+'!$Y$40,"E",IF(C42&lt;'PlayerGrades+'!$Y$39,"E+",IF(C42&lt;'PlayerGrades+'!$Y$38,"D-",IF(C42&lt;'PlayerGrades+'!$Y$37,"D",IF(C42&lt;'PlayerGrades+'!$Y$36,"D+",IF(C42&lt;'PlayerGrades+'!$Y$35,"C-",IF(C42&lt;'PlayerGrades+'!$Y$34,"C",IF(C42&lt;'PlayerGrades+'!$Y$33,"C+",IF(C42&lt;'PlayerGrades+'!$Y$32,"B-",IF(C42&lt;'PlayerGrades+'!$Y$31,"B",IF(C42&lt;'PlayerGrades+'!$Y$30,"B+",IF(C42&lt;'PlayerGrades+'!$Y$29,"A-",IF(C42&lt;'PlayerGrades+'!$Y$28,"A",IF(C42&lt;'PlayerGrades+'!$Y$27,"A+",IF(C42&lt;'PlayerGrades+'!$Y$26,"S-",IF(C42&lt;'PlayerGrades+'!$Y$25,"S","S+"))))))))))))))))))))</f>
        <v>#DIV/0!</v>
      </c>
      <c r="C42" s="1378" t="str">
        <f>('PlayerGrades+'!$Y$47*(VLOOKUP(E42, 'PlayerGrades+'!$X$3:$Y$23, 2, FALSE)))+('PlayerGrades+'!$Y$48*(VLOOKUP(G42, 'PlayerGrades+'!$X$3:$Y$23, 2, FALSE)))+('PlayerGrades+'!$Y$49*(VLOOKUP(I42, 'PlayerGrades+'!$X$3:$Y$23, 2, FALSE)))+('PlayerGrades+'!$Y$50*(VLOOKUP(K42, 'PlayerGrades+'!$X$3:$Y$23, 2, FALSE)))+('PlayerGrades+'!$Y$51*(VLOOKUP(M42, 'PlayerGrades+'!$X$3:$Y$23, 2, FALSE)))+('PlayerGrades+'!$Y$52*(VLOOKUP(O42, 'PlayerGrades+'!$X$3:$Y$23, 2, FALSE)))+('PlayerGrades+'!$Y$53*(VLOOKUP(Q42, 'PlayerGrades+'!$X$3:$Y$23, 2, FALSE)))+('PlayerGrades+'!$Y$54*(VLOOKUP(S42, 'PlayerGrades+'!$X$3:$Y$23, 2, FALSE)))+('PlayerGrades+'!$Y$55*(VLOOKUP(U42, 'PlayerGrades+'!$X$3:$Y$23, 2, FALSE)))</f>
        <v>#DIV/0!</v>
      </c>
      <c r="D42" s="961" t="str">
        <f t="shared" si="1"/>
        <v>#DIV/0!</v>
      </c>
      <c r="E42" s="961" t="str">
        <f>IF(D42&lt;'PlayerGrades+'!$AA$21,"F-",IF(D42&lt;'PlayerGrades+'!$AA$20,"F",IF(D42&lt;'PlayerGrades+'!$AA$19,"F+",IF(D42&lt;'PlayerGrades+'!$AA$18,"E-",IF(D42&lt;'PlayerGrades+'!$AA$17,"E",IF(D42&lt;'PlayerGrades+'!$AA$16,"E+",IF(D42&lt;'PlayerGrades+'!$AA$15,"D-",IF(D42&lt;'PlayerGrades+'!$AA$14,"D",IF(D42&lt;'PlayerGrades+'!$AA$13,"D+",IF(D42&lt;'PlayerGrades+'!$AA$12,"C-",IF(D42&lt;'PlayerGrades+'!$AA$11,"C",IF(D42&lt;'PlayerGrades+'!$AA$10,"C+",IF(D42&lt;'PlayerGrades+'!$AA$9,"B-",IF(D42&lt;'PlayerGrades+'!$AA$8,"B",IF(D42&lt;'PlayerGrades+'!$AA$7,"B+",IF(D42&lt;'PlayerGrades+'!$AA$6,"A-",IF(D42&lt;'PlayerGrades+'!$AA$5,"A",IF(D42&lt;'PlayerGrades+'!$AA$4,"A+",IF(D42&lt;'PlayerGrades+'!$AA$3,"S-",IF(D42&lt;'PlayerGrades+'!$AA$2,"S","S+"))))))))))))))))))))</f>
        <v>#DIV/0!</v>
      </c>
      <c r="F42" s="961" t="str">
        <f t="shared" si="2"/>
        <v>#DIV/0!</v>
      </c>
      <c r="G42" s="961" t="str">
        <f>IF(F42&lt;'PlayerGrades+'!$AB$21,"F-",IF(F42&lt;'PlayerGrades+'!$AB$20,"F",IF(F42&lt;'PlayerGrades+'!$AB$19,"F+",IF(F42&lt;'PlayerGrades+'!$AB$18,"E-",IF(F42&lt;'PlayerGrades+'!$AB$17,"E",IF(F42&lt;'PlayerGrades+'!$AB$16,"E+",IF(F42&lt;'PlayerGrades+'!$AB$15,"D-",IF(F42&lt;'PlayerGrades+'!$AB$14,"D",IF(F42&lt;'PlayerGrades+'!$AB$13,"D+",IF(F42&lt;'PlayerGrades+'!$AB$12,"C-",IF(F42&lt;'PlayerGrades+'!$AB$11,"C",IF(F42&lt;'PlayerGrades+'!$AB$10,"C+",IF(F42&lt;'PlayerGrades+'!$AB$9,"B-",IF(F42&lt;'PlayerGrades+'!$AB$8,"B",IF(F42&lt;'PlayerGrades+'!$AB$7,"B+",IF(F42&lt;'PlayerGrades+'!$AB$6,"A-",IF(F42&lt;'PlayerGrades+'!$AB$5,"A",IF(F42&lt;'PlayerGrades+'!$AB$4,"A+",IF(F42&lt;'PlayerGrades+'!$AB$3,"S-",IF(F42&lt;'PlayerGrades+'!$AB$2,"S","S+"))))))))))))))))))))</f>
        <v>#DIV/0!</v>
      </c>
      <c r="H42" s="961" t="str">
        <f t="shared" si="3"/>
        <v>#DIV/0!</v>
      </c>
      <c r="I42" s="961" t="str">
        <f>IF(H42&lt;'PlayerGrades+'!$AC$21,"F-",IF(H42&lt;'PlayerGrades+'!$AC$20,"F",IF(H42&lt;'PlayerGrades+'!$AC$19,"F+",IF(H42&lt;'PlayerGrades+'!$AC$18,"E-",IF(H42&lt;'PlayerGrades+'!$AC$17,"E",IF(H42&lt;'PlayerGrades+'!$AC$16,"E+",IF(H42&lt;'PlayerGrades+'!$AC$15,"D-",IF(H42&lt;'PlayerGrades+'!$AC$14,"D",IF(H42&lt;'PlayerGrades+'!$AC$13,"D+",IF(H42&lt;'PlayerGrades+'!$AC$12,"C-",IF(H42&lt;'PlayerGrades+'!$AC$11,"C",IF(H42&lt;'PlayerGrades+'!$AC$10,"C+",IF(H42&lt;'PlayerGrades+'!$AC$9,"B-",IF(H42&lt;'PlayerGrades+'!$AC$8,"B",IF(H42&lt;'PlayerGrades+'!$AC$7,"B+",IF(H42&lt;'PlayerGrades+'!$AC$6,"A-",IF(H42&lt;'PlayerGrades+'!$AC$5,"A",IF(H42&lt;'PlayerGrades+'!$AC$4,"A+",IF(H42&lt;'PlayerGrades+'!$AC$3,"S-",IF(H42&lt;'PlayerGrades+'!$AC$2,"S","S+"))))))))))))))))))))</f>
        <v>#DIV/0!</v>
      </c>
      <c r="J42" s="961" t="str">
        <f t="shared" si="4"/>
        <v>#DIV/0!</v>
      </c>
      <c r="K42" s="961" t="str">
        <f>IF(J42&lt;'PlayerGrades+'!$AD$21,"F-",IF(J42&lt;'PlayerGrades+'!$AD$20,"F",IF(J42&lt;'PlayerGrades+'!$AD$19,"F+",IF(J42&lt;'PlayerGrades+'!$AD$18,"E-",IF(J42&lt;'PlayerGrades+'!$AD$17,"E",IF(J42&lt;'PlayerGrades+'!$AD$16,"E+",IF(J42&lt;'PlayerGrades+'!$AD$15,"D-",IF(J42&lt;'PlayerGrades+'!$AD$14,"D",IF(J42&lt;'PlayerGrades+'!$AD$13,"D+",IF(J42&lt;'PlayerGrades+'!$AD$12,"C-",IF(J42&lt;'PlayerGrades+'!$AD$11,"C",IF(J42&lt;'PlayerGrades+'!$AD$10,"C+",IF(J42&lt;'PlayerGrades+'!$AD$9,"B-",IF(J42&lt;'PlayerGrades+'!$AD$8,"B",IF(J42&lt;'PlayerGrades+'!$AD$7,"B+",IF(J42&lt;'PlayerGrades+'!$AD$6,"A-",IF(J42&lt;'PlayerGrades+'!$AD$5,"A",IF(J42&lt;'PlayerGrades+'!$AD$4,"A+",IF(J42&lt;'PlayerGrades+'!$AD$3,"S-",IF(J42&lt;'PlayerGrades+'!$AD$2,"S","S+"))))))))))))))))))))</f>
        <v>#DIV/0!</v>
      </c>
      <c r="L42" s="1176" t="str">
        <f t="shared" si="5"/>
        <v>#DIV/0!</v>
      </c>
      <c r="M42" s="992" t="str">
        <f>IF(L42&lt;'PlayerGrades+'!$AE$21,"F-",IF(L42&lt;'PlayerGrades+'!$AE$20,"F",IF(L42&lt;'PlayerGrades+'!$AE$19,"F+",IF(L42&lt;'PlayerGrades+'!$AE$18,"E-",IF(L42&lt;'PlayerGrades+'!$AE$17,"E",IF(L42&lt;'PlayerGrades+'!$AE$16,"E+",IF(L42&lt;'PlayerGrades+'!$AE$15,"D-",IF(L42&lt;'PlayerGrades+'!$AE$14,"D",IF(L42&lt;'PlayerGrades+'!$AE$13,"D+",IF(L42&lt;'PlayerGrades+'!$AE$12,"C-",IF(L42&lt;'PlayerGrades+'!$AE$11,"C",IF(L42&lt;'PlayerGrades+'!$AE$10,"C+",IF(L42&lt;'PlayerGrades+'!$AE$9,"B-",IF(L42&lt;'PlayerGrades+'!$AE$8,"B",IF(L42&lt;'PlayerGrades+'!$AE$7,"B+",IF(L42&lt;'PlayerGrades+'!$AE$6,"A-",IF(L42&lt;'PlayerGrades+'!$AE$5,"A",IF(L42&lt;'PlayerGrades+'!$AE$4,"A+",IF(L42&lt;'PlayerGrades+'!$AE$3,"S-",IF(L42&lt;'PlayerGrades+'!$AE$2,"S","S+"))))))))))))))))))))</f>
        <v>#DIV/0!</v>
      </c>
      <c r="N42" s="961" t="str">
        <f t="shared" si="6"/>
        <v>#DIV/0!</v>
      </c>
      <c r="O42" s="961" t="str">
        <f>IF(N42&lt;'PlayerGrades+'!$AF$21,"F-",IF(N42&lt;'PlayerGrades+'!$AF$20,"F",IF(N42&lt;'PlayerGrades+'!$AF$19,"F+",IF(N42&lt;'PlayerGrades+'!$AF$18,"E-",IF(N42&lt;'PlayerGrades+'!$AF$17,"E",IF(N42&lt;'PlayerGrades+'!$AF$16,"E+",IF(N42&lt;'PlayerGrades+'!$AF$15,"D-",IF(N42&lt;'PlayerGrades+'!$AF$14,"D",IF(N42&lt;'PlayerGrades+'!$AF$13,"D+",IF(N42&lt;'PlayerGrades+'!$AF$12,"C-",IF(N42&lt;'PlayerGrades+'!$AF$11,"C",IF(N42&lt;'PlayerGrades+'!$AF$10,"C+",IF(N42&lt;'PlayerGrades+'!$AF$9,"B-",IF(N42&lt;'PlayerGrades+'!$AF$8,"B",IF(N42&lt;'PlayerGrades+'!$AF$7,"B+",IF(N42&lt;'PlayerGrades+'!$AF$6,"A-",IF(N42&lt;'PlayerGrades+'!$AF$5,"A",IF(N42&lt;'PlayerGrades+'!$AF$4,"A+",IF(N42&lt;'PlayerGrades+'!$AF$3,"S-",IF(N42&lt;'PlayerGrades+'!$AF$2,"S","S+"))))))))))))))))))))</f>
        <v>#DIV/0!</v>
      </c>
      <c r="P42" s="961" t="str">
        <f t="shared" si="7"/>
        <v>#DIV/0!</v>
      </c>
      <c r="Q42" s="961" t="str">
        <f>IF(P42&lt;'PlayerGrades+'!$AG$21,"F-",IF(P42&lt;'PlayerGrades+'!$AG$20,"F",IF(P42&lt;'PlayerGrades+'!$AG$19,"F+",IF(P42&lt;'PlayerGrades+'!$AG$18,"E-",IF(P42&lt;'PlayerGrades+'!$AG$17,"E",IF(P42&lt;'PlayerGrades+'!$AG$16,"E+",IF(P42&lt;'PlayerGrades+'!$AG$15,"D-",IF(P42&lt;'PlayerGrades+'!$AG$14,"D",IF(P42&lt;'PlayerGrades+'!$AG$13,"D+",IF(P42&lt;'PlayerGrades+'!$AG$12,"C-",IF(P42&lt;'PlayerGrades+'!$AG$11,"C",IF(P42&lt;'PlayerGrades+'!$AG$10,"C+",IF(P42&lt;'PlayerGrades+'!$AG$9,"B-",IF(P42&lt;'PlayerGrades+'!$AG$8,"B",IF(P42&lt;'PlayerGrades+'!$AG$7,"B+",IF(P42&lt;'PlayerGrades+'!$AG$6,"A-",IF(P42&lt;'PlayerGrades+'!$AG$5,"A",IF(P42&lt;'PlayerGrades+'!$AG$4,"A+",IF(P42&lt;'PlayerGrades+'!$AG$3,"S-",IF(P42&lt;'PlayerGrades+'!$AG$2,"S","S+"))))))))))))))))))))</f>
        <v>#DIV/0!</v>
      </c>
      <c r="R42" s="961" t="str">
        <f t="shared" si="8"/>
        <v>#DIV/0!</v>
      </c>
      <c r="S42" s="961" t="str">
        <f>IF(R42&lt;'PlayerGrades+'!$AH$21,"F-",IF(R42&lt;'PlayerGrades+'!$AH$20,"F",IF(R42&lt;'PlayerGrades+'!$AH$19,"F+",IF(R42&lt;'PlayerGrades+'!$AH$18,"E-",IF(R42&lt;'PlayerGrades+'!$AH$17,"E",IF(R42&lt;'PlayerGrades+'!$AH$16,"E+",IF(R42&lt;'PlayerGrades+'!$AH$15,"D-",IF(R42&lt;'PlayerGrades+'!$AH$14,"D",IF(R42&lt;'PlayerGrades+'!$AH$13,"D+",IF(R42&lt;'PlayerGrades+'!$AH$12,"C-",IF(R42&lt;'PlayerGrades+'!$AH$11,"C",IF(R42&lt;'PlayerGrades+'!$AH$10,"C+",IF(R42&lt;'PlayerGrades+'!$AH$9,"B-",IF(R42&lt;'PlayerGrades+'!$AH$8,"B",IF(R42&lt;'PlayerGrades+'!$AH$7,"B+",IF(R42&lt;'PlayerGrades+'!$AH$6,"A-",IF(R42&lt;'PlayerGrades+'!$AH$5,"A",IF(R42&lt;'PlayerGrades+'!$AH$4,"A+",IF(R42&lt;'PlayerGrades+'!$AH$3,"S-",IF(R42&lt;'PlayerGrades+'!$AH$2,"S","S+"))))))))))))))))))))</f>
        <v>#DIV/0!</v>
      </c>
      <c r="T42" s="961">
        <f t="shared" si="9"/>
        <v>0</v>
      </c>
      <c r="U42" s="961" t="str">
        <f>IF(T42&lt;'PlayerGrades+'!$AI$21,"F-",IF(T42&lt;'PlayerGrades+'!$AI$20,"F",IF(T42&lt;'PlayerGrades+'!$AI$19,"F+",IF(T42&lt;'PlayerGrades+'!$AI$18,"E-",IF(T42&lt;'PlayerGrades+'!$AI$17,"E",IF(T42&lt;'PlayerGrades+'!$AI$16,"E+",IF(T42&lt;'PlayerGrades+'!$AI$15,"D-",IF(T42&lt;'PlayerGrades+'!$AI$14,"D",IF(T42&lt;'PlayerGrades+'!$AI$13,"D+",IF(T42&lt;'PlayerGrades+'!$AI$12,"C-",IF(T42&lt;'PlayerGrades+'!$AI$11,"C",IF(T42&lt;'PlayerGrades+'!$AI$10,"C+",IF(T42&lt;'PlayerGrades+'!$AI$9,"B-",IF(T42&lt;'PlayerGrades+'!$AI$8,"B",IF(T42&lt;'PlayerGrades+'!$AI$7,"B+",IF(T42&lt;'PlayerGrades+'!$AI$6,"A-",IF(T42&lt;'PlayerGrades+'!$AI$5,"A",IF(T42&lt;'PlayerGrades+'!$AI$4,"A+",IF(T42&lt;'PlayerGrades+'!$AI$3,"S-",IF(T42&lt;'PlayerGrades+'!$AI$2,"S","S+"))))))))))))))))))))</f>
        <v>F-</v>
      </c>
      <c r="V42" s="1379"/>
      <c r="W42" s="1379"/>
      <c r="X42" s="1379"/>
      <c r="Y42" s="1379"/>
      <c r="Z42" s="1379"/>
      <c r="AA42" s="1379"/>
      <c r="AB42" s="1379"/>
      <c r="AC42" s="1390"/>
      <c r="AD42" s="1379"/>
      <c r="AE42" s="1379"/>
      <c r="AF42" s="1379"/>
      <c r="AG42" s="1379"/>
      <c r="AH42" s="1379"/>
      <c r="AI42" s="1379"/>
      <c r="AJ42" s="1379"/>
      <c r="AK42" s="1379"/>
      <c r="AL42" s="1379"/>
      <c r="AM42" s="1379"/>
      <c r="AN42" s="1379"/>
      <c r="AO42" s="1379"/>
      <c r="AP42" s="1379"/>
      <c r="AQ42" s="1379"/>
      <c r="AR42" s="1379"/>
      <c r="AS42" s="1379"/>
      <c r="AT42" s="1379"/>
      <c r="AU42" s="1379"/>
      <c r="AV42" s="1379"/>
      <c r="AW42" s="1379"/>
      <c r="AX42" s="1379"/>
      <c r="AY42" s="1379"/>
      <c r="AZ42" s="1379"/>
    </row>
    <row r="43">
      <c r="A43" s="1391"/>
      <c r="B43" s="611" t="str">
        <f>IF(C43&lt;'PlayerGrades+'!$Y$44,"F-",IF(C43&lt;'PlayerGrades+'!$Y$43,"F",IF(C43&lt;'PlayerGrades+'!$Y$42,"F+",IF(C43&lt;'PlayerGrades+'!$Y$41,"E-",IF(C43&lt;'PlayerGrades+'!$Y$40,"E",IF(C43&lt;'PlayerGrades+'!$Y$39,"E+",IF(C43&lt;'PlayerGrades+'!$Y$38,"D-",IF(C43&lt;'PlayerGrades+'!$Y$37,"D",IF(C43&lt;'PlayerGrades+'!$Y$36,"D+",IF(C43&lt;'PlayerGrades+'!$Y$35,"C-",IF(C43&lt;'PlayerGrades+'!$Y$34,"C",IF(C43&lt;'PlayerGrades+'!$Y$33,"C+",IF(C43&lt;'PlayerGrades+'!$Y$32,"B-",IF(C43&lt;'PlayerGrades+'!$Y$31,"B",IF(C43&lt;'PlayerGrades+'!$Y$30,"B+",IF(C43&lt;'PlayerGrades+'!$Y$29,"A-",IF(C43&lt;'PlayerGrades+'!$Y$28,"A",IF(C43&lt;'PlayerGrades+'!$Y$27,"A+",IF(C43&lt;'PlayerGrades+'!$Y$26,"S-",IF(C43&lt;'PlayerGrades+'!$Y$25,"S","S+"))))))))))))))))))))</f>
        <v>#DIV/0!</v>
      </c>
      <c r="C43" s="1378" t="str">
        <f>('PlayerGrades+'!$Y$47*(VLOOKUP(E43, 'PlayerGrades+'!$X$3:$Y$23, 2, FALSE)))+('PlayerGrades+'!$Y$48*(VLOOKUP(G43, 'PlayerGrades+'!$X$3:$Y$23, 2, FALSE)))+('PlayerGrades+'!$Y$49*(VLOOKUP(I43, 'PlayerGrades+'!$X$3:$Y$23, 2, FALSE)))+('PlayerGrades+'!$Y$50*(VLOOKUP(K43, 'PlayerGrades+'!$X$3:$Y$23, 2, FALSE)))+('PlayerGrades+'!$Y$51*(VLOOKUP(M43, 'PlayerGrades+'!$X$3:$Y$23, 2, FALSE)))+('PlayerGrades+'!$Y$52*(VLOOKUP(O43, 'PlayerGrades+'!$X$3:$Y$23, 2, FALSE)))+('PlayerGrades+'!$Y$53*(VLOOKUP(Q43, 'PlayerGrades+'!$X$3:$Y$23, 2, FALSE)))+('PlayerGrades+'!$Y$54*(VLOOKUP(S43, 'PlayerGrades+'!$X$3:$Y$23, 2, FALSE)))+('PlayerGrades+'!$Y$55*(VLOOKUP(U43, 'PlayerGrades+'!$X$3:$Y$23, 2, FALSE)))</f>
        <v>#DIV/0!</v>
      </c>
      <c r="D43" s="961" t="str">
        <f t="shared" si="1"/>
        <v>#DIV/0!</v>
      </c>
      <c r="E43" s="961" t="str">
        <f>IF(D43&lt;'PlayerGrades+'!$AA$21,"F-",IF(D43&lt;'PlayerGrades+'!$AA$20,"F",IF(D43&lt;'PlayerGrades+'!$AA$19,"F+",IF(D43&lt;'PlayerGrades+'!$AA$18,"E-",IF(D43&lt;'PlayerGrades+'!$AA$17,"E",IF(D43&lt;'PlayerGrades+'!$AA$16,"E+",IF(D43&lt;'PlayerGrades+'!$AA$15,"D-",IF(D43&lt;'PlayerGrades+'!$AA$14,"D",IF(D43&lt;'PlayerGrades+'!$AA$13,"D+",IF(D43&lt;'PlayerGrades+'!$AA$12,"C-",IF(D43&lt;'PlayerGrades+'!$AA$11,"C",IF(D43&lt;'PlayerGrades+'!$AA$10,"C+",IF(D43&lt;'PlayerGrades+'!$AA$9,"B-",IF(D43&lt;'PlayerGrades+'!$AA$8,"B",IF(D43&lt;'PlayerGrades+'!$AA$7,"B+",IF(D43&lt;'PlayerGrades+'!$AA$6,"A-",IF(D43&lt;'PlayerGrades+'!$AA$5,"A",IF(D43&lt;'PlayerGrades+'!$AA$4,"A+",IF(D43&lt;'PlayerGrades+'!$AA$3,"S-",IF(D43&lt;'PlayerGrades+'!$AA$2,"S","S+"))))))))))))))))))))</f>
        <v>#DIV/0!</v>
      </c>
      <c r="F43" s="961" t="str">
        <f t="shared" si="2"/>
        <v>#DIV/0!</v>
      </c>
      <c r="G43" s="961" t="str">
        <f>IF(F43&lt;'PlayerGrades+'!$AB$21,"F-",IF(F43&lt;'PlayerGrades+'!$AB$20,"F",IF(F43&lt;'PlayerGrades+'!$AB$19,"F+",IF(F43&lt;'PlayerGrades+'!$AB$18,"E-",IF(F43&lt;'PlayerGrades+'!$AB$17,"E",IF(F43&lt;'PlayerGrades+'!$AB$16,"E+",IF(F43&lt;'PlayerGrades+'!$AB$15,"D-",IF(F43&lt;'PlayerGrades+'!$AB$14,"D",IF(F43&lt;'PlayerGrades+'!$AB$13,"D+",IF(F43&lt;'PlayerGrades+'!$AB$12,"C-",IF(F43&lt;'PlayerGrades+'!$AB$11,"C",IF(F43&lt;'PlayerGrades+'!$AB$10,"C+",IF(F43&lt;'PlayerGrades+'!$AB$9,"B-",IF(F43&lt;'PlayerGrades+'!$AB$8,"B",IF(F43&lt;'PlayerGrades+'!$AB$7,"B+",IF(F43&lt;'PlayerGrades+'!$AB$6,"A-",IF(F43&lt;'PlayerGrades+'!$AB$5,"A",IF(F43&lt;'PlayerGrades+'!$AB$4,"A+",IF(F43&lt;'PlayerGrades+'!$AB$3,"S-",IF(F43&lt;'PlayerGrades+'!$AB$2,"S","S+"))))))))))))))))))))</f>
        <v>#DIV/0!</v>
      </c>
      <c r="H43" s="961" t="str">
        <f t="shared" si="3"/>
        <v>#DIV/0!</v>
      </c>
      <c r="I43" s="961" t="str">
        <f>IF(H43&lt;'PlayerGrades+'!$AC$21,"F-",IF(H43&lt;'PlayerGrades+'!$AC$20,"F",IF(H43&lt;'PlayerGrades+'!$AC$19,"F+",IF(H43&lt;'PlayerGrades+'!$AC$18,"E-",IF(H43&lt;'PlayerGrades+'!$AC$17,"E",IF(H43&lt;'PlayerGrades+'!$AC$16,"E+",IF(H43&lt;'PlayerGrades+'!$AC$15,"D-",IF(H43&lt;'PlayerGrades+'!$AC$14,"D",IF(H43&lt;'PlayerGrades+'!$AC$13,"D+",IF(H43&lt;'PlayerGrades+'!$AC$12,"C-",IF(H43&lt;'PlayerGrades+'!$AC$11,"C",IF(H43&lt;'PlayerGrades+'!$AC$10,"C+",IF(H43&lt;'PlayerGrades+'!$AC$9,"B-",IF(H43&lt;'PlayerGrades+'!$AC$8,"B",IF(H43&lt;'PlayerGrades+'!$AC$7,"B+",IF(H43&lt;'PlayerGrades+'!$AC$6,"A-",IF(H43&lt;'PlayerGrades+'!$AC$5,"A",IF(H43&lt;'PlayerGrades+'!$AC$4,"A+",IF(H43&lt;'PlayerGrades+'!$AC$3,"S-",IF(H43&lt;'PlayerGrades+'!$AC$2,"S","S+"))))))))))))))))))))</f>
        <v>#DIV/0!</v>
      </c>
      <c r="J43" s="961" t="str">
        <f t="shared" si="4"/>
        <v>#DIV/0!</v>
      </c>
      <c r="K43" s="961" t="str">
        <f>IF(J43&lt;'PlayerGrades+'!$AD$21,"F-",IF(J43&lt;'PlayerGrades+'!$AD$20,"F",IF(J43&lt;'PlayerGrades+'!$AD$19,"F+",IF(J43&lt;'PlayerGrades+'!$AD$18,"E-",IF(J43&lt;'PlayerGrades+'!$AD$17,"E",IF(J43&lt;'PlayerGrades+'!$AD$16,"E+",IF(J43&lt;'PlayerGrades+'!$AD$15,"D-",IF(J43&lt;'PlayerGrades+'!$AD$14,"D",IF(J43&lt;'PlayerGrades+'!$AD$13,"D+",IF(J43&lt;'PlayerGrades+'!$AD$12,"C-",IF(J43&lt;'PlayerGrades+'!$AD$11,"C",IF(J43&lt;'PlayerGrades+'!$AD$10,"C+",IF(J43&lt;'PlayerGrades+'!$AD$9,"B-",IF(J43&lt;'PlayerGrades+'!$AD$8,"B",IF(J43&lt;'PlayerGrades+'!$AD$7,"B+",IF(J43&lt;'PlayerGrades+'!$AD$6,"A-",IF(J43&lt;'PlayerGrades+'!$AD$5,"A",IF(J43&lt;'PlayerGrades+'!$AD$4,"A+",IF(J43&lt;'PlayerGrades+'!$AD$3,"S-",IF(J43&lt;'PlayerGrades+'!$AD$2,"S","S+"))))))))))))))))))))</f>
        <v>#DIV/0!</v>
      </c>
      <c r="L43" s="1176" t="str">
        <f t="shared" si="5"/>
        <v>#DIV/0!</v>
      </c>
      <c r="M43" s="992" t="str">
        <f>IF(L43&lt;'PlayerGrades+'!$AE$21,"F-",IF(L43&lt;'PlayerGrades+'!$AE$20,"F",IF(L43&lt;'PlayerGrades+'!$AE$19,"F+",IF(L43&lt;'PlayerGrades+'!$AE$18,"E-",IF(L43&lt;'PlayerGrades+'!$AE$17,"E",IF(L43&lt;'PlayerGrades+'!$AE$16,"E+",IF(L43&lt;'PlayerGrades+'!$AE$15,"D-",IF(L43&lt;'PlayerGrades+'!$AE$14,"D",IF(L43&lt;'PlayerGrades+'!$AE$13,"D+",IF(L43&lt;'PlayerGrades+'!$AE$12,"C-",IF(L43&lt;'PlayerGrades+'!$AE$11,"C",IF(L43&lt;'PlayerGrades+'!$AE$10,"C+",IF(L43&lt;'PlayerGrades+'!$AE$9,"B-",IF(L43&lt;'PlayerGrades+'!$AE$8,"B",IF(L43&lt;'PlayerGrades+'!$AE$7,"B+",IF(L43&lt;'PlayerGrades+'!$AE$6,"A-",IF(L43&lt;'PlayerGrades+'!$AE$5,"A",IF(L43&lt;'PlayerGrades+'!$AE$4,"A+",IF(L43&lt;'PlayerGrades+'!$AE$3,"S-",IF(L43&lt;'PlayerGrades+'!$AE$2,"S","S+"))))))))))))))))))))</f>
        <v>#DIV/0!</v>
      </c>
      <c r="N43" s="961" t="str">
        <f t="shared" si="6"/>
        <v>#DIV/0!</v>
      </c>
      <c r="O43" s="961" t="str">
        <f>IF(N43&lt;'PlayerGrades+'!$AF$21,"F-",IF(N43&lt;'PlayerGrades+'!$AF$20,"F",IF(N43&lt;'PlayerGrades+'!$AF$19,"F+",IF(N43&lt;'PlayerGrades+'!$AF$18,"E-",IF(N43&lt;'PlayerGrades+'!$AF$17,"E",IF(N43&lt;'PlayerGrades+'!$AF$16,"E+",IF(N43&lt;'PlayerGrades+'!$AF$15,"D-",IF(N43&lt;'PlayerGrades+'!$AF$14,"D",IF(N43&lt;'PlayerGrades+'!$AF$13,"D+",IF(N43&lt;'PlayerGrades+'!$AF$12,"C-",IF(N43&lt;'PlayerGrades+'!$AF$11,"C",IF(N43&lt;'PlayerGrades+'!$AF$10,"C+",IF(N43&lt;'PlayerGrades+'!$AF$9,"B-",IF(N43&lt;'PlayerGrades+'!$AF$8,"B",IF(N43&lt;'PlayerGrades+'!$AF$7,"B+",IF(N43&lt;'PlayerGrades+'!$AF$6,"A-",IF(N43&lt;'PlayerGrades+'!$AF$5,"A",IF(N43&lt;'PlayerGrades+'!$AF$4,"A+",IF(N43&lt;'PlayerGrades+'!$AF$3,"S-",IF(N43&lt;'PlayerGrades+'!$AF$2,"S","S+"))))))))))))))))))))</f>
        <v>#DIV/0!</v>
      </c>
      <c r="P43" s="961" t="str">
        <f t="shared" si="7"/>
        <v>#DIV/0!</v>
      </c>
      <c r="Q43" s="961" t="str">
        <f>IF(P43&lt;'PlayerGrades+'!$AG$21,"F-",IF(P43&lt;'PlayerGrades+'!$AG$20,"F",IF(P43&lt;'PlayerGrades+'!$AG$19,"F+",IF(P43&lt;'PlayerGrades+'!$AG$18,"E-",IF(P43&lt;'PlayerGrades+'!$AG$17,"E",IF(P43&lt;'PlayerGrades+'!$AG$16,"E+",IF(P43&lt;'PlayerGrades+'!$AG$15,"D-",IF(P43&lt;'PlayerGrades+'!$AG$14,"D",IF(P43&lt;'PlayerGrades+'!$AG$13,"D+",IF(P43&lt;'PlayerGrades+'!$AG$12,"C-",IF(P43&lt;'PlayerGrades+'!$AG$11,"C",IF(P43&lt;'PlayerGrades+'!$AG$10,"C+",IF(P43&lt;'PlayerGrades+'!$AG$9,"B-",IF(P43&lt;'PlayerGrades+'!$AG$8,"B",IF(P43&lt;'PlayerGrades+'!$AG$7,"B+",IF(P43&lt;'PlayerGrades+'!$AG$6,"A-",IF(P43&lt;'PlayerGrades+'!$AG$5,"A",IF(P43&lt;'PlayerGrades+'!$AG$4,"A+",IF(P43&lt;'PlayerGrades+'!$AG$3,"S-",IF(P43&lt;'PlayerGrades+'!$AG$2,"S","S+"))))))))))))))))))))</f>
        <v>#DIV/0!</v>
      </c>
      <c r="R43" s="961" t="str">
        <f t="shared" si="8"/>
        <v>#DIV/0!</v>
      </c>
      <c r="S43" s="961" t="str">
        <f>IF(R43&lt;'PlayerGrades+'!$AH$21,"F-",IF(R43&lt;'PlayerGrades+'!$AH$20,"F",IF(R43&lt;'PlayerGrades+'!$AH$19,"F+",IF(R43&lt;'PlayerGrades+'!$AH$18,"E-",IF(R43&lt;'PlayerGrades+'!$AH$17,"E",IF(R43&lt;'PlayerGrades+'!$AH$16,"E+",IF(R43&lt;'PlayerGrades+'!$AH$15,"D-",IF(R43&lt;'PlayerGrades+'!$AH$14,"D",IF(R43&lt;'PlayerGrades+'!$AH$13,"D+",IF(R43&lt;'PlayerGrades+'!$AH$12,"C-",IF(R43&lt;'PlayerGrades+'!$AH$11,"C",IF(R43&lt;'PlayerGrades+'!$AH$10,"C+",IF(R43&lt;'PlayerGrades+'!$AH$9,"B-",IF(R43&lt;'PlayerGrades+'!$AH$8,"B",IF(R43&lt;'PlayerGrades+'!$AH$7,"B+",IF(R43&lt;'PlayerGrades+'!$AH$6,"A-",IF(R43&lt;'PlayerGrades+'!$AH$5,"A",IF(R43&lt;'PlayerGrades+'!$AH$4,"A+",IF(R43&lt;'PlayerGrades+'!$AH$3,"S-",IF(R43&lt;'PlayerGrades+'!$AH$2,"S","S+"))))))))))))))))))))</f>
        <v>#DIV/0!</v>
      </c>
      <c r="T43" s="961">
        <f t="shared" si="9"/>
        <v>0</v>
      </c>
      <c r="U43" s="961" t="str">
        <f>IF(T43&lt;'PlayerGrades+'!$AI$21,"F-",IF(T43&lt;'PlayerGrades+'!$AI$20,"F",IF(T43&lt;'PlayerGrades+'!$AI$19,"F+",IF(T43&lt;'PlayerGrades+'!$AI$18,"E-",IF(T43&lt;'PlayerGrades+'!$AI$17,"E",IF(T43&lt;'PlayerGrades+'!$AI$16,"E+",IF(T43&lt;'PlayerGrades+'!$AI$15,"D-",IF(T43&lt;'PlayerGrades+'!$AI$14,"D",IF(T43&lt;'PlayerGrades+'!$AI$13,"D+",IF(T43&lt;'PlayerGrades+'!$AI$12,"C-",IF(T43&lt;'PlayerGrades+'!$AI$11,"C",IF(T43&lt;'PlayerGrades+'!$AI$10,"C+",IF(T43&lt;'PlayerGrades+'!$AI$9,"B-",IF(T43&lt;'PlayerGrades+'!$AI$8,"B",IF(T43&lt;'PlayerGrades+'!$AI$7,"B+",IF(T43&lt;'PlayerGrades+'!$AI$6,"A-",IF(T43&lt;'PlayerGrades+'!$AI$5,"A",IF(T43&lt;'PlayerGrades+'!$AI$4,"A+",IF(T43&lt;'PlayerGrades+'!$AI$3,"S-",IF(T43&lt;'PlayerGrades+'!$AI$2,"S","S+"))))))))))))))))))))</f>
        <v>F-</v>
      </c>
      <c r="AC43" s="1392"/>
    </row>
    <row r="44">
      <c r="A44" s="1391"/>
      <c r="B44" s="611" t="str">
        <f>IF(C44&lt;'PlayerGrades+'!$Y$44,"F-",IF(C44&lt;'PlayerGrades+'!$Y$43,"F",IF(C44&lt;'PlayerGrades+'!$Y$42,"F+",IF(C44&lt;'PlayerGrades+'!$Y$41,"E-",IF(C44&lt;'PlayerGrades+'!$Y$40,"E",IF(C44&lt;'PlayerGrades+'!$Y$39,"E+",IF(C44&lt;'PlayerGrades+'!$Y$38,"D-",IF(C44&lt;'PlayerGrades+'!$Y$37,"D",IF(C44&lt;'PlayerGrades+'!$Y$36,"D+",IF(C44&lt;'PlayerGrades+'!$Y$35,"C-",IF(C44&lt;'PlayerGrades+'!$Y$34,"C",IF(C44&lt;'PlayerGrades+'!$Y$33,"C+",IF(C44&lt;'PlayerGrades+'!$Y$32,"B-",IF(C44&lt;'PlayerGrades+'!$Y$31,"B",IF(C44&lt;'PlayerGrades+'!$Y$30,"B+",IF(C44&lt;'PlayerGrades+'!$Y$29,"A-",IF(C44&lt;'PlayerGrades+'!$Y$28,"A",IF(C44&lt;'PlayerGrades+'!$Y$27,"A+",IF(C44&lt;'PlayerGrades+'!$Y$26,"S-",IF(C44&lt;'PlayerGrades+'!$Y$25,"S","S+"))))))))))))))))))))</f>
        <v>#DIV/0!</v>
      </c>
      <c r="C44" s="1378" t="str">
        <f>('PlayerGrades+'!$Y$47*(VLOOKUP(E44, 'PlayerGrades+'!$X$3:$Y$23, 2, FALSE)))+('PlayerGrades+'!$Y$48*(VLOOKUP(G44, 'PlayerGrades+'!$X$3:$Y$23, 2, FALSE)))+('PlayerGrades+'!$Y$49*(VLOOKUP(I44, 'PlayerGrades+'!$X$3:$Y$23, 2, FALSE)))+('PlayerGrades+'!$Y$50*(VLOOKUP(K44, 'PlayerGrades+'!$X$3:$Y$23, 2, FALSE)))+('PlayerGrades+'!$Y$51*(VLOOKUP(M44, 'PlayerGrades+'!$X$3:$Y$23, 2, FALSE)))+('PlayerGrades+'!$Y$52*(VLOOKUP(O44, 'PlayerGrades+'!$X$3:$Y$23, 2, FALSE)))+('PlayerGrades+'!$Y$53*(VLOOKUP(Q44, 'PlayerGrades+'!$X$3:$Y$23, 2, FALSE)))+('PlayerGrades+'!$Y$54*(VLOOKUP(S44, 'PlayerGrades+'!$X$3:$Y$23, 2, FALSE)))+('PlayerGrades+'!$Y$55*(VLOOKUP(U44, 'PlayerGrades+'!$X$3:$Y$23, 2, FALSE)))</f>
        <v>#DIV/0!</v>
      </c>
      <c r="D44" s="961" t="str">
        <f t="shared" si="1"/>
        <v>#DIV/0!</v>
      </c>
      <c r="E44" s="961" t="str">
        <f>IF(D44&lt;'PlayerGrades+'!$AA$21,"F-",IF(D44&lt;'PlayerGrades+'!$AA$20,"F",IF(D44&lt;'PlayerGrades+'!$AA$19,"F+",IF(D44&lt;'PlayerGrades+'!$AA$18,"E-",IF(D44&lt;'PlayerGrades+'!$AA$17,"E",IF(D44&lt;'PlayerGrades+'!$AA$16,"E+",IF(D44&lt;'PlayerGrades+'!$AA$15,"D-",IF(D44&lt;'PlayerGrades+'!$AA$14,"D",IF(D44&lt;'PlayerGrades+'!$AA$13,"D+",IF(D44&lt;'PlayerGrades+'!$AA$12,"C-",IF(D44&lt;'PlayerGrades+'!$AA$11,"C",IF(D44&lt;'PlayerGrades+'!$AA$10,"C+",IF(D44&lt;'PlayerGrades+'!$AA$9,"B-",IF(D44&lt;'PlayerGrades+'!$AA$8,"B",IF(D44&lt;'PlayerGrades+'!$AA$7,"B+",IF(D44&lt;'PlayerGrades+'!$AA$6,"A-",IF(D44&lt;'PlayerGrades+'!$AA$5,"A",IF(D44&lt;'PlayerGrades+'!$AA$4,"A+",IF(D44&lt;'PlayerGrades+'!$AA$3,"S-",IF(D44&lt;'PlayerGrades+'!$AA$2,"S","S+"))))))))))))))))))))</f>
        <v>#DIV/0!</v>
      </c>
      <c r="F44" s="961" t="str">
        <f t="shared" si="2"/>
        <v>#DIV/0!</v>
      </c>
      <c r="G44" s="961" t="str">
        <f>IF(F44&lt;'PlayerGrades+'!$AB$21,"F-",IF(F44&lt;'PlayerGrades+'!$AB$20,"F",IF(F44&lt;'PlayerGrades+'!$AB$19,"F+",IF(F44&lt;'PlayerGrades+'!$AB$18,"E-",IF(F44&lt;'PlayerGrades+'!$AB$17,"E",IF(F44&lt;'PlayerGrades+'!$AB$16,"E+",IF(F44&lt;'PlayerGrades+'!$AB$15,"D-",IF(F44&lt;'PlayerGrades+'!$AB$14,"D",IF(F44&lt;'PlayerGrades+'!$AB$13,"D+",IF(F44&lt;'PlayerGrades+'!$AB$12,"C-",IF(F44&lt;'PlayerGrades+'!$AB$11,"C",IF(F44&lt;'PlayerGrades+'!$AB$10,"C+",IF(F44&lt;'PlayerGrades+'!$AB$9,"B-",IF(F44&lt;'PlayerGrades+'!$AB$8,"B",IF(F44&lt;'PlayerGrades+'!$AB$7,"B+",IF(F44&lt;'PlayerGrades+'!$AB$6,"A-",IF(F44&lt;'PlayerGrades+'!$AB$5,"A",IF(F44&lt;'PlayerGrades+'!$AB$4,"A+",IF(F44&lt;'PlayerGrades+'!$AB$3,"S-",IF(F44&lt;'PlayerGrades+'!$AB$2,"S","S+"))))))))))))))))))))</f>
        <v>#DIV/0!</v>
      </c>
      <c r="H44" s="961" t="str">
        <f t="shared" si="3"/>
        <v>#DIV/0!</v>
      </c>
      <c r="I44" s="961" t="str">
        <f>IF(H44&lt;'PlayerGrades+'!$AC$21,"F-",IF(H44&lt;'PlayerGrades+'!$AC$20,"F",IF(H44&lt;'PlayerGrades+'!$AC$19,"F+",IF(H44&lt;'PlayerGrades+'!$AC$18,"E-",IF(H44&lt;'PlayerGrades+'!$AC$17,"E",IF(H44&lt;'PlayerGrades+'!$AC$16,"E+",IF(H44&lt;'PlayerGrades+'!$AC$15,"D-",IF(H44&lt;'PlayerGrades+'!$AC$14,"D",IF(H44&lt;'PlayerGrades+'!$AC$13,"D+",IF(H44&lt;'PlayerGrades+'!$AC$12,"C-",IF(H44&lt;'PlayerGrades+'!$AC$11,"C",IF(H44&lt;'PlayerGrades+'!$AC$10,"C+",IF(H44&lt;'PlayerGrades+'!$AC$9,"B-",IF(H44&lt;'PlayerGrades+'!$AC$8,"B",IF(H44&lt;'PlayerGrades+'!$AC$7,"B+",IF(H44&lt;'PlayerGrades+'!$AC$6,"A-",IF(H44&lt;'PlayerGrades+'!$AC$5,"A",IF(H44&lt;'PlayerGrades+'!$AC$4,"A+",IF(H44&lt;'PlayerGrades+'!$AC$3,"S-",IF(H44&lt;'PlayerGrades+'!$AC$2,"S","S+"))))))))))))))))))))</f>
        <v>#DIV/0!</v>
      </c>
      <c r="J44" s="961" t="str">
        <f t="shared" si="4"/>
        <v>#DIV/0!</v>
      </c>
      <c r="K44" s="961" t="str">
        <f>IF(J44&lt;'PlayerGrades+'!$AD$21,"F-",IF(J44&lt;'PlayerGrades+'!$AD$20,"F",IF(J44&lt;'PlayerGrades+'!$AD$19,"F+",IF(J44&lt;'PlayerGrades+'!$AD$18,"E-",IF(J44&lt;'PlayerGrades+'!$AD$17,"E",IF(J44&lt;'PlayerGrades+'!$AD$16,"E+",IF(J44&lt;'PlayerGrades+'!$AD$15,"D-",IF(J44&lt;'PlayerGrades+'!$AD$14,"D",IF(J44&lt;'PlayerGrades+'!$AD$13,"D+",IF(J44&lt;'PlayerGrades+'!$AD$12,"C-",IF(J44&lt;'PlayerGrades+'!$AD$11,"C",IF(J44&lt;'PlayerGrades+'!$AD$10,"C+",IF(J44&lt;'PlayerGrades+'!$AD$9,"B-",IF(J44&lt;'PlayerGrades+'!$AD$8,"B",IF(J44&lt;'PlayerGrades+'!$AD$7,"B+",IF(J44&lt;'PlayerGrades+'!$AD$6,"A-",IF(J44&lt;'PlayerGrades+'!$AD$5,"A",IF(J44&lt;'PlayerGrades+'!$AD$4,"A+",IF(J44&lt;'PlayerGrades+'!$AD$3,"S-",IF(J44&lt;'PlayerGrades+'!$AD$2,"S","S+"))))))))))))))))))))</f>
        <v>#DIV/0!</v>
      </c>
      <c r="L44" s="1176" t="str">
        <f t="shared" si="5"/>
        <v>#DIV/0!</v>
      </c>
      <c r="M44" s="992" t="str">
        <f>IF(L44&lt;'PlayerGrades+'!$AE$21,"F-",IF(L44&lt;'PlayerGrades+'!$AE$20,"F",IF(L44&lt;'PlayerGrades+'!$AE$19,"F+",IF(L44&lt;'PlayerGrades+'!$AE$18,"E-",IF(L44&lt;'PlayerGrades+'!$AE$17,"E",IF(L44&lt;'PlayerGrades+'!$AE$16,"E+",IF(L44&lt;'PlayerGrades+'!$AE$15,"D-",IF(L44&lt;'PlayerGrades+'!$AE$14,"D",IF(L44&lt;'PlayerGrades+'!$AE$13,"D+",IF(L44&lt;'PlayerGrades+'!$AE$12,"C-",IF(L44&lt;'PlayerGrades+'!$AE$11,"C",IF(L44&lt;'PlayerGrades+'!$AE$10,"C+",IF(L44&lt;'PlayerGrades+'!$AE$9,"B-",IF(L44&lt;'PlayerGrades+'!$AE$8,"B",IF(L44&lt;'PlayerGrades+'!$AE$7,"B+",IF(L44&lt;'PlayerGrades+'!$AE$6,"A-",IF(L44&lt;'PlayerGrades+'!$AE$5,"A",IF(L44&lt;'PlayerGrades+'!$AE$4,"A+",IF(L44&lt;'PlayerGrades+'!$AE$3,"S-",IF(L44&lt;'PlayerGrades+'!$AE$2,"S","S+"))))))))))))))))))))</f>
        <v>#DIV/0!</v>
      </c>
      <c r="N44" s="961" t="str">
        <f t="shared" si="6"/>
        <v>#DIV/0!</v>
      </c>
      <c r="O44" s="961" t="str">
        <f>IF(N44&lt;'PlayerGrades+'!$AF$21,"F-",IF(N44&lt;'PlayerGrades+'!$AF$20,"F",IF(N44&lt;'PlayerGrades+'!$AF$19,"F+",IF(N44&lt;'PlayerGrades+'!$AF$18,"E-",IF(N44&lt;'PlayerGrades+'!$AF$17,"E",IF(N44&lt;'PlayerGrades+'!$AF$16,"E+",IF(N44&lt;'PlayerGrades+'!$AF$15,"D-",IF(N44&lt;'PlayerGrades+'!$AF$14,"D",IF(N44&lt;'PlayerGrades+'!$AF$13,"D+",IF(N44&lt;'PlayerGrades+'!$AF$12,"C-",IF(N44&lt;'PlayerGrades+'!$AF$11,"C",IF(N44&lt;'PlayerGrades+'!$AF$10,"C+",IF(N44&lt;'PlayerGrades+'!$AF$9,"B-",IF(N44&lt;'PlayerGrades+'!$AF$8,"B",IF(N44&lt;'PlayerGrades+'!$AF$7,"B+",IF(N44&lt;'PlayerGrades+'!$AF$6,"A-",IF(N44&lt;'PlayerGrades+'!$AF$5,"A",IF(N44&lt;'PlayerGrades+'!$AF$4,"A+",IF(N44&lt;'PlayerGrades+'!$AF$3,"S-",IF(N44&lt;'PlayerGrades+'!$AF$2,"S","S+"))))))))))))))))))))</f>
        <v>#DIV/0!</v>
      </c>
      <c r="P44" s="961" t="str">
        <f t="shared" si="7"/>
        <v>#DIV/0!</v>
      </c>
      <c r="Q44" s="961" t="str">
        <f>IF(P44&lt;'PlayerGrades+'!$AG$21,"F-",IF(P44&lt;'PlayerGrades+'!$AG$20,"F",IF(P44&lt;'PlayerGrades+'!$AG$19,"F+",IF(P44&lt;'PlayerGrades+'!$AG$18,"E-",IF(P44&lt;'PlayerGrades+'!$AG$17,"E",IF(P44&lt;'PlayerGrades+'!$AG$16,"E+",IF(P44&lt;'PlayerGrades+'!$AG$15,"D-",IF(P44&lt;'PlayerGrades+'!$AG$14,"D",IF(P44&lt;'PlayerGrades+'!$AG$13,"D+",IF(P44&lt;'PlayerGrades+'!$AG$12,"C-",IF(P44&lt;'PlayerGrades+'!$AG$11,"C",IF(P44&lt;'PlayerGrades+'!$AG$10,"C+",IF(P44&lt;'PlayerGrades+'!$AG$9,"B-",IF(P44&lt;'PlayerGrades+'!$AG$8,"B",IF(P44&lt;'PlayerGrades+'!$AG$7,"B+",IF(P44&lt;'PlayerGrades+'!$AG$6,"A-",IF(P44&lt;'PlayerGrades+'!$AG$5,"A",IF(P44&lt;'PlayerGrades+'!$AG$4,"A+",IF(P44&lt;'PlayerGrades+'!$AG$3,"S-",IF(P44&lt;'PlayerGrades+'!$AG$2,"S","S+"))))))))))))))))))))</f>
        <v>#DIV/0!</v>
      </c>
      <c r="R44" s="961" t="str">
        <f t="shared" si="8"/>
        <v>#DIV/0!</v>
      </c>
      <c r="S44" s="961" t="str">
        <f>IF(R44&lt;'PlayerGrades+'!$AH$21,"F-",IF(R44&lt;'PlayerGrades+'!$AH$20,"F",IF(R44&lt;'PlayerGrades+'!$AH$19,"F+",IF(R44&lt;'PlayerGrades+'!$AH$18,"E-",IF(R44&lt;'PlayerGrades+'!$AH$17,"E",IF(R44&lt;'PlayerGrades+'!$AH$16,"E+",IF(R44&lt;'PlayerGrades+'!$AH$15,"D-",IF(R44&lt;'PlayerGrades+'!$AH$14,"D",IF(R44&lt;'PlayerGrades+'!$AH$13,"D+",IF(R44&lt;'PlayerGrades+'!$AH$12,"C-",IF(R44&lt;'PlayerGrades+'!$AH$11,"C",IF(R44&lt;'PlayerGrades+'!$AH$10,"C+",IF(R44&lt;'PlayerGrades+'!$AH$9,"B-",IF(R44&lt;'PlayerGrades+'!$AH$8,"B",IF(R44&lt;'PlayerGrades+'!$AH$7,"B+",IF(R44&lt;'PlayerGrades+'!$AH$6,"A-",IF(R44&lt;'PlayerGrades+'!$AH$5,"A",IF(R44&lt;'PlayerGrades+'!$AH$4,"A+",IF(R44&lt;'PlayerGrades+'!$AH$3,"S-",IF(R44&lt;'PlayerGrades+'!$AH$2,"S","S+"))))))))))))))))))))</f>
        <v>#DIV/0!</v>
      </c>
      <c r="T44" s="961">
        <f t="shared" si="9"/>
        <v>0</v>
      </c>
      <c r="U44" s="961" t="str">
        <f>IF(T44&lt;'PlayerGrades+'!$AI$21,"F-",IF(T44&lt;'PlayerGrades+'!$AI$20,"F",IF(T44&lt;'PlayerGrades+'!$AI$19,"F+",IF(T44&lt;'PlayerGrades+'!$AI$18,"E-",IF(T44&lt;'PlayerGrades+'!$AI$17,"E",IF(T44&lt;'PlayerGrades+'!$AI$16,"E+",IF(T44&lt;'PlayerGrades+'!$AI$15,"D-",IF(T44&lt;'PlayerGrades+'!$AI$14,"D",IF(T44&lt;'PlayerGrades+'!$AI$13,"D+",IF(T44&lt;'PlayerGrades+'!$AI$12,"C-",IF(T44&lt;'PlayerGrades+'!$AI$11,"C",IF(T44&lt;'PlayerGrades+'!$AI$10,"C+",IF(T44&lt;'PlayerGrades+'!$AI$9,"B-",IF(T44&lt;'PlayerGrades+'!$AI$8,"B",IF(T44&lt;'PlayerGrades+'!$AI$7,"B+",IF(T44&lt;'PlayerGrades+'!$AI$6,"A-",IF(T44&lt;'PlayerGrades+'!$AI$5,"A",IF(T44&lt;'PlayerGrades+'!$AI$4,"A+",IF(T44&lt;'PlayerGrades+'!$AI$3,"S-",IF(T44&lt;'PlayerGrades+'!$AI$2,"S","S+"))))))))))))))))))))</f>
        <v>F-</v>
      </c>
      <c r="AC44" s="1392"/>
    </row>
    <row r="45">
      <c r="A45" s="1391"/>
      <c r="B45" s="611" t="str">
        <f>IF(C45&lt;'PlayerGrades+'!$Y$44,"F-",IF(C45&lt;'PlayerGrades+'!$Y$43,"F",IF(C45&lt;'PlayerGrades+'!$Y$42,"F+",IF(C45&lt;'PlayerGrades+'!$Y$41,"E-",IF(C45&lt;'PlayerGrades+'!$Y$40,"E",IF(C45&lt;'PlayerGrades+'!$Y$39,"E+",IF(C45&lt;'PlayerGrades+'!$Y$38,"D-",IF(C45&lt;'PlayerGrades+'!$Y$37,"D",IF(C45&lt;'PlayerGrades+'!$Y$36,"D+",IF(C45&lt;'PlayerGrades+'!$Y$35,"C-",IF(C45&lt;'PlayerGrades+'!$Y$34,"C",IF(C45&lt;'PlayerGrades+'!$Y$33,"C+",IF(C45&lt;'PlayerGrades+'!$Y$32,"B-",IF(C45&lt;'PlayerGrades+'!$Y$31,"B",IF(C45&lt;'PlayerGrades+'!$Y$30,"B+",IF(C45&lt;'PlayerGrades+'!$Y$29,"A-",IF(C45&lt;'PlayerGrades+'!$Y$28,"A",IF(C45&lt;'PlayerGrades+'!$Y$27,"A+",IF(C45&lt;'PlayerGrades+'!$Y$26,"S-",IF(C45&lt;'PlayerGrades+'!$Y$25,"S","S+"))))))))))))))))))))</f>
        <v>#DIV/0!</v>
      </c>
      <c r="C45" s="1378" t="str">
        <f>('PlayerGrades+'!$Y$47*(VLOOKUP(E45, 'PlayerGrades+'!$X$3:$Y$23, 2, FALSE)))+('PlayerGrades+'!$Y$48*(VLOOKUP(G45, 'PlayerGrades+'!$X$3:$Y$23, 2, FALSE)))+('PlayerGrades+'!$Y$49*(VLOOKUP(I45, 'PlayerGrades+'!$X$3:$Y$23, 2, FALSE)))+('PlayerGrades+'!$Y$50*(VLOOKUP(K45, 'PlayerGrades+'!$X$3:$Y$23, 2, FALSE)))+('PlayerGrades+'!$Y$51*(VLOOKUP(M45, 'PlayerGrades+'!$X$3:$Y$23, 2, FALSE)))+('PlayerGrades+'!$Y$52*(VLOOKUP(O45, 'PlayerGrades+'!$X$3:$Y$23, 2, FALSE)))+('PlayerGrades+'!$Y$53*(VLOOKUP(Q45, 'PlayerGrades+'!$X$3:$Y$23, 2, FALSE)))+('PlayerGrades+'!$Y$54*(VLOOKUP(S45, 'PlayerGrades+'!$X$3:$Y$23, 2, FALSE)))+('PlayerGrades+'!$Y$55*(VLOOKUP(U45, 'PlayerGrades+'!$X$3:$Y$23, 2, FALSE)))</f>
        <v>#DIV/0!</v>
      </c>
      <c r="D45" s="961" t="str">
        <f t="shared" si="1"/>
        <v>#DIV/0!</v>
      </c>
      <c r="E45" s="961" t="str">
        <f>IF(D45&lt;'PlayerGrades+'!$AA$21,"F-",IF(D45&lt;'PlayerGrades+'!$AA$20,"F",IF(D45&lt;'PlayerGrades+'!$AA$19,"F+",IF(D45&lt;'PlayerGrades+'!$AA$18,"E-",IF(D45&lt;'PlayerGrades+'!$AA$17,"E",IF(D45&lt;'PlayerGrades+'!$AA$16,"E+",IF(D45&lt;'PlayerGrades+'!$AA$15,"D-",IF(D45&lt;'PlayerGrades+'!$AA$14,"D",IF(D45&lt;'PlayerGrades+'!$AA$13,"D+",IF(D45&lt;'PlayerGrades+'!$AA$12,"C-",IF(D45&lt;'PlayerGrades+'!$AA$11,"C",IF(D45&lt;'PlayerGrades+'!$AA$10,"C+",IF(D45&lt;'PlayerGrades+'!$AA$9,"B-",IF(D45&lt;'PlayerGrades+'!$AA$8,"B",IF(D45&lt;'PlayerGrades+'!$AA$7,"B+",IF(D45&lt;'PlayerGrades+'!$AA$6,"A-",IF(D45&lt;'PlayerGrades+'!$AA$5,"A",IF(D45&lt;'PlayerGrades+'!$AA$4,"A+",IF(D45&lt;'PlayerGrades+'!$AA$3,"S-",IF(D45&lt;'PlayerGrades+'!$AA$2,"S","S+"))))))))))))))))))))</f>
        <v>#DIV/0!</v>
      </c>
      <c r="F45" s="961" t="str">
        <f t="shared" si="2"/>
        <v>#DIV/0!</v>
      </c>
      <c r="G45" s="961" t="str">
        <f>IF(F45&lt;'PlayerGrades+'!$AB$21,"F-",IF(F45&lt;'PlayerGrades+'!$AB$20,"F",IF(F45&lt;'PlayerGrades+'!$AB$19,"F+",IF(F45&lt;'PlayerGrades+'!$AB$18,"E-",IF(F45&lt;'PlayerGrades+'!$AB$17,"E",IF(F45&lt;'PlayerGrades+'!$AB$16,"E+",IF(F45&lt;'PlayerGrades+'!$AB$15,"D-",IF(F45&lt;'PlayerGrades+'!$AB$14,"D",IF(F45&lt;'PlayerGrades+'!$AB$13,"D+",IF(F45&lt;'PlayerGrades+'!$AB$12,"C-",IF(F45&lt;'PlayerGrades+'!$AB$11,"C",IF(F45&lt;'PlayerGrades+'!$AB$10,"C+",IF(F45&lt;'PlayerGrades+'!$AB$9,"B-",IF(F45&lt;'PlayerGrades+'!$AB$8,"B",IF(F45&lt;'PlayerGrades+'!$AB$7,"B+",IF(F45&lt;'PlayerGrades+'!$AB$6,"A-",IF(F45&lt;'PlayerGrades+'!$AB$5,"A",IF(F45&lt;'PlayerGrades+'!$AB$4,"A+",IF(F45&lt;'PlayerGrades+'!$AB$3,"S-",IF(F45&lt;'PlayerGrades+'!$AB$2,"S","S+"))))))))))))))))))))</f>
        <v>#DIV/0!</v>
      </c>
      <c r="H45" s="961" t="str">
        <f t="shared" si="3"/>
        <v>#DIV/0!</v>
      </c>
      <c r="I45" s="961" t="str">
        <f>IF(H45&lt;'PlayerGrades+'!$AC$21,"F-",IF(H45&lt;'PlayerGrades+'!$AC$20,"F",IF(H45&lt;'PlayerGrades+'!$AC$19,"F+",IF(H45&lt;'PlayerGrades+'!$AC$18,"E-",IF(H45&lt;'PlayerGrades+'!$AC$17,"E",IF(H45&lt;'PlayerGrades+'!$AC$16,"E+",IF(H45&lt;'PlayerGrades+'!$AC$15,"D-",IF(H45&lt;'PlayerGrades+'!$AC$14,"D",IF(H45&lt;'PlayerGrades+'!$AC$13,"D+",IF(H45&lt;'PlayerGrades+'!$AC$12,"C-",IF(H45&lt;'PlayerGrades+'!$AC$11,"C",IF(H45&lt;'PlayerGrades+'!$AC$10,"C+",IF(H45&lt;'PlayerGrades+'!$AC$9,"B-",IF(H45&lt;'PlayerGrades+'!$AC$8,"B",IF(H45&lt;'PlayerGrades+'!$AC$7,"B+",IF(H45&lt;'PlayerGrades+'!$AC$6,"A-",IF(H45&lt;'PlayerGrades+'!$AC$5,"A",IF(H45&lt;'PlayerGrades+'!$AC$4,"A+",IF(H45&lt;'PlayerGrades+'!$AC$3,"S-",IF(H45&lt;'PlayerGrades+'!$AC$2,"S","S+"))))))))))))))))))))</f>
        <v>#DIV/0!</v>
      </c>
      <c r="J45" s="961" t="str">
        <f t="shared" si="4"/>
        <v>#DIV/0!</v>
      </c>
      <c r="K45" s="961" t="str">
        <f>IF(J45&lt;'PlayerGrades+'!$AD$21,"F-",IF(J45&lt;'PlayerGrades+'!$AD$20,"F",IF(J45&lt;'PlayerGrades+'!$AD$19,"F+",IF(J45&lt;'PlayerGrades+'!$AD$18,"E-",IF(J45&lt;'PlayerGrades+'!$AD$17,"E",IF(J45&lt;'PlayerGrades+'!$AD$16,"E+",IF(J45&lt;'PlayerGrades+'!$AD$15,"D-",IF(J45&lt;'PlayerGrades+'!$AD$14,"D",IF(J45&lt;'PlayerGrades+'!$AD$13,"D+",IF(J45&lt;'PlayerGrades+'!$AD$12,"C-",IF(J45&lt;'PlayerGrades+'!$AD$11,"C",IF(J45&lt;'PlayerGrades+'!$AD$10,"C+",IF(J45&lt;'PlayerGrades+'!$AD$9,"B-",IF(J45&lt;'PlayerGrades+'!$AD$8,"B",IF(J45&lt;'PlayerGrades+'!$AD$7,"B+",IF(J45&lt;'PlayerGrades+'!$AD$6,"A-",IF(J45&lt;'PlayerGrades+'!$AD$5,"A",IF(J45&lt;'PlayerGrades+'!$AD$4,"A+",IF(J45&lt;'PlayerGrades+'!$AD$3,"S-",IF(J45&lt;'PlayerGrades+'!$AD$2,"S","S+"))))))))))))))))))))</f>
        <v>#DIV/0!</v>
      </c>
      <c r="L45" s="1176" t="str">
        <f t="shared" si="5"/>
        <v>#DIV/0!</v>
      </c>
      <c r="M45" s="992" t="str">
        <f>IF(L45&lt;'PlayerGrades+'!$AE$21,"F-",IF(L45&lt;'PlayerGrades+'!$AE$20,"F",IF(L45&lt;'PlayerGrades+'!$AE$19,"F+",IF(L45&lt;'PlayerGrades+'!$AE$18,"E-",IF(L45&lt;'PlayerGrades+'!$AE$17,"E",IF(L45&lt;'PlayerGrades+'!$AE$16,"E+",IF(L45&lt;'PlayerGrades+'!$AE$15,"D-",IF(L45&lt;'PlayerGrades+'!$AE$14,"D",IF(L45&lt;'PlayerGrades+'!$AE$13,"D+",IF(L45&lt;'PlayerGrades+'!$AE$12,"C-",IF(L45&lt;'PlayerGrades+'!$AE$11,"C",IF(L45&lt;'PlayerGrades+'!$AE$10,"C+",IF(L45&lt;'PlayerGrades+'!$AE$9,"B-",IF(L45&lt;'PlayerGrades+'!$AE$8,"B",IF(L45&lt;'PlayerGrades+'!$AE$7,"B+",IF(L45&lt;'PlayerGrades+'!$AE$6,"A-",IF(L45&lt;'PlayerGrades+'!$AE$5,"A",IF(L45&lt;'PlayerGrades+'!$AE$4,"A+",IF(L45&lt;'PlayerGrades+'!$AE$3,"S-",IF(L45&lt;'PlayerGrades+'!$AE$2,"S","S+"))))))))))))))))))))</f>
        <v>#DIV/0!</v>
      </c>
      <c r="N45" s="961" t="str">
        <f t="shared" si="6"/>
        <v>#DIV/0!</v>
      </c>
      <c r="O45" s="961" t="str">
        <f>IF(N45&lt;'PlayerGrades+'!$AF$21,"F-",IF(N45&lt;'PlayerGrades+'!$AF$20,"F",IF(N45&lt;'PlayerGrades+'!$AF$19,"F+",IF(N45&lt;'PlayerGrades+'!$AF$18,"E-",IF(N45&lt;'PlayerGrades+'!$AF$17,"E",IF(N45&lt;'PlayerGrades+'!$AF$16,"E+",IF(N45&lt;'PlayerGrades+'!$AF$15,"D-",IF(N45&lt;'PlayerGrades+'!$AF$14,"D",IF(N45&lt;'PlayerGrades+'!$AF$13,"D+",IF(N45&lt;'PlayerGrades+'!$AF$12,"C-",IF(N45&lt;'PlayerGrades+'!$AF$11,"C",IF(N45&lt;'PlayerGrades+'!$AF$10,"C+",IF(N45&lt;'PlayerGrades+'!$AF$9,"B-",IF(N45&lt;'PlayerGrades+'!$AF$8,"B",IF(N45&lt;'PlayerGrades+'!$AF$7,"B+",IF(N45&lt;'PlayerGrades+'!$AF$6,"A-",IF(N45&lt;'PlayerGrades+'!$AF$5,"A",IF(N45&lt;'PlayerGrades+'!$AF$4,"A+",IF(N45&lt;'PlayerGrades+'!$AF$3,"S-",IF(N45&lt;'PlayerGrades+'!$AF$2,"S","S+"))))))))))))))))))))</f>
        <v>#DIV/0!</v>
      </c>
      <c r="P45" s="961" t="str">
        <f t="shared" si="7"/>
        <v>#DIV/0!</v>
      </c>
      <c r="Q45" s="961" t="str">
        <f>IF(P45&lt;'PlayerGrades+'!$AG$21,"F-",IF(P45&lt;'PlayerGrades+'!$AG$20,"F",IF(P45&lt;'PlayerGrades+'!$AG$19,"F+",IF(P45&lt;'PlayerGrades+'!$AG$18,"E-",IF(P45&lt;'PlayerGrades+'!$AG$17,"E",IF(P45&lt;'PlayerGrades+'!$AG$16,"E+",IF(P45&lt;'PlayerGrades+'!$AG$15,"D-",IF(P45&lt;'PlayerGrades+'!$AG$14,"D",IF(P45&lt;'PlayerGrades+'!$AG$13,"D+",IF(P45&lt;'PlayerGrades+'!$AG$12,"C-",IF(P45&lt;'PlayerGrades+'!$AG$11,"C",IF(P45&lt;'PlayerGrades+'!$AG$10,"C+",IF(P45&lt;'PlayerGrades+'!$AG$9,"B-",IF(P45&lt;'PlayerGrades+'!$AG$8,"B",IF(P45&lt;'PlayerGrades+'!$AG$7,"B+",IF(P45&lt;'PlayerGrades+'!$AG$6,"A-",IF(P45&lt;'PlayerGrades+'!$AG$5,"A",IF(P45&lt;'PlayerGrades+'!$AG$4,"A+",IF(P45&lt;'PlayerGrades+'!$AG$3,"S-",IF(P45&lt;'PlayerGrades+'!$AG$2,"S","S+"))))))))))))))))))))</f>
        <v>#DIV/0!</v>
      </c>
      <c r="R45" s="961" t="str">
        <f t="shared" si="8"/>
        <v>#DIV/0!</v>
      </c>
      <c r="S45" s="961" t="str">
        <f>IF(R45&lt;'PlayerGrades+'!$AH$21,"F-",IF(R45&lt;'PlayerGrades+'!$AH$20,"F",IF(R45&lt;'PlayerGrades+'!$AH$19,"F+",IF(R45&lt;'PlayerGrades+'!$AH$18,"E-",IF(R45&lt;'PlayerGrades+'!$AH$17,"E",IF(R45&lt;'PlayerGrades+'!$AH$16,"E+",IF(R45&lt;'PlayerGrades+'!$AH$15,"D-",IF(R45&lt;'PlayerGrades+'!$AH$14,"D",IF(R45&lt;'PlayerGrades+'!$AH$13,"D+",IF(R45&lt;'PlayerGrades+'!$AH$12,"C-",IF(R45&lt;'PlayerGrades+'!$AH$11,"C",IF(R45&lt;'PlayerGrades+'!$AH$10,"C+",IF(R45&lt;'PlayerGrades+'!$AH$9,"B-",IF(R45&lt;'PlayerGrades+'!$AH$8,"B",IF(R45&lt;'PlayerGrades+'!$AH$7,"B+",IF(R45&lt;'PlayerGrades+'!$AH$6,"A-",IF(R45&lt;'PlayerGrades+'!$AH$5,"A",IF(R45&lt;'PlayerGrades+'!$AH$4,"A+",IF(R45&lt;'PlayerGrades+'!$AH$3,"S-",IF(R45&lt;'PlayerGrades+'!$AH$2,"S","S+"))))))))))))))))))))</f>
        <v>#DIV/0!</v>
      </c>
      <c r="T45" s="961">
        <f t="shared" si="9"/>
        <v>0</v>
      </c>
      <c r="U45" s="961" t="str">
        <f>IF(T45&lt;'PlayerGrades+'!$AI$21,"F-",IF(T45&lt;'PlayerGrades+'!$AI$20,"F",IF(T45&lt;'PlayerGrades+'!$AI$19,"F+",IF(T45&lt;'PlayerGrades+'!$AI$18,"E-",IF(T45&lt;'PlayerGrades+'!$AI$17,"E",IF(T45&lt;'PlayerGrades+'!$AI$16,"E+",IF(T45&lt;'PlayerGrades+'!$AI$15,"D-",IF(T45&lt;'PlayerGrades+'!$AI$14,"D",IF(T45&lt;'PlayerGrades+'!$AI$13,"D+",IF(T45&lt;'PlayerGrades+'!$AI$12,"C-",IF(T45&lt;'PlayerGrades+'!$AI$11,"C",IF(T45&lt;'PlayerGrades+'!$AI$10,"C+",IF(T45&lt;'PlayerGrades+'!$AI$9,"B-",IF(T45&lt;'PlayerGrades+'!$AI$8,"B",IF(T45&lt;'PlayerGrades+'!$AI$7,"B+",IF(T45&lt;'PlayerGrades+'!$AI$6,"A-",IF(T45&lt;'PlayerGrades+'!$AI$5,"A",IF(T45&lt;'PlayerGrades+'!$AI$4,"A+",IF(T45&lt;'PlayerGrades+'!$AI$3,"S-",IF(T45&lt;'PlayerGrades+'!$AI$2,"S","S+"))))))))))))))))))))</f>
        <v>F-</v>
      </c>
      <c r="AC45" s="1392"/>
    </row>
    <row r="46">
      <c r="A46" s="1391"/>
      <c r="B46" s="611" t="str">
        <f>IF(C46&lt;'PlayerGrades+'!$Y$44,"F-",IF(C46&lt;'PlayerGrades+'!$Y$43,"F",IF(C46&lt;'PlayerGrades+'!$Y$42,"F+",IF(C46&lt;'PlayerGrades+'!$Y$41,"E-",IF(C46&lt;'PlayerGrades+'!$Y$40,"E",IF(C46&lt;'PlayerGrades+'!$Y$39,"E+",IF(C46&lt;'PlayerGrades+'!$Y$38,"D-",IF(C46&lt;'PlayerGrades+'!$Y$37,"D",IF(C46&lt;'PlayerGrades+'!$Y$36,"D+",IF(C46&lt;'PlayerGrades+'!$Y$35,"C-",IF(C46&lt;'PlayerGrades+'!$Y$34,"C",IF(C46&lt;'PlayerGrades+'!$Y$33,"C+",IF(C46&lt;'PlayerGrades+'!$Y$32,"B-",IF(C46&lt;'PlayerGrades+'!$Y$31,"B",IF(C46&lt;'PlayerGrades+'!$Y$30,"B+",IF(C46&lt;'PlayerGrades+'!$Y$29,"A-",IF(C46&lt;'PlayerGrades+'!$Y$28,"A",IF(C46&lt;'PlayerGrades+'!$Y$27,"A+",IF(C46&lt;'PlayerGrades+'!$Y$26,"S-",IF(C46&lt;'PlayerGrades+'!$Y$25,"S","S+"))))))))))))))))))))</f>
        <v>#DIV/0!</v>
      </c>
      <c r="C46" s="1378" t="str">
        <f>('PlayerGrades+'!$Y$47*(VLOOKUP(E46, 'PlayerGrades+'!$X$3:$Y$23, 2, FALSE)))+('PlayerGrades+'!$Y$48*(VLOOKUP(G46, 'PlayerGrades+'!$X$3:$Y$23, 2, FALSE)))+('PlayerGrades+'!$Y$49*(VLOOKUP(I46, 'PlayerGrades+'!$X$3:$Y$23, 2, FALSE)))+('PlayerGrades+'!$Y$50*(VLOOKUP(K46, 'PlayerGrades+'!$X$3:$Y$23, 2, FALSE)))+('PlayerGrades+'!$Y$51*(VLOOKUP(M46, 'PlayerGrades+'!$X$3:$Y$23, 2, FALSE)))+('PlayerGrades+'!$Y$52*(VLOOKUP(O46, 'PlayerGrades+'!$X$3:$Y$23, 2, FALSE)))+('PlayerGrades+'!$Y$53*(VLOOKUP(Q46, 'PlayerGrades+'!$X$3:$Y$23, 2, FALSE)))+('PlayerGrades+'!$Y$54*(VLOOKUP(S46, 'PlayerGrades+'!$X$3:$Y$23, 2, FALSE)))+('PlayerGrades+'!$Y$55*(VLOOKUP(U46, 'PlayerGrades+'!$X$3:$Y$23, 2, FALSE)))</f>
        <v>#DIV/0!</v>
      </c>
      <c r="D46" s="961" t="str">
        <f t="shared" si="1"/>
        <v>#DIV/0!</v>
      </c>
      <c r="E46" s="961" t="str">
        <f>IF(D46&lt;'PlayerGrades+'!$AA$21,"F-",IF(D46&lt;'PlayerGrades+'!$AA$20,"F",IF(D46&lt;'PlayerGrades+'!$AA$19,"F+",IF(D46&lt;'PlayerGrades+'!$AA$18,"E-",IF(D46&lt;'PlayerGrades+'!$AA$17,"E",IF(D46&lt;'PlayerGrades+'!$AA$16,"E+",IF(D46&lt;'PlayerGrades+'!$AA$15,"D-",IF(D46&lt;'PlayerGrades+'!$AA$14,"D",IF(D46&lt;'PlayerGrades+'!$AA$13,"D+",IF(D46&lt;'PlayerGrades+'!$AA$12,"C-",IF(D46&lt;'PlayerGrades+'!$AA$11,"C",IF(D46&lt;'PlayerGrades+'!$AA$10,"C+",IF(D46&lt;'PlayerGrades+'!$AA$9,"B-",IF(D46&lt;'PlayerGrades+'!$AA$8,"B",IF(D46&lt;'PlayerGrades+'!$AA$7,"B+",IF(D46&lt;'PlayerGrades+'!$AA$6,"A-",IF(D46&lt;'PlayerGrades+'!$AA$5,"A",IF(D46&lt;'PlayerGrades+'!$AA$4,"A+",IF(D46&lt;'PlayerGrades+'!$AA$3,"S-",IF(D46&lt;'PlayerGrades+'!$AA$2,"S","S+"))))))))))))))))))))</f>
        <v>#DIV/0!</v>
      </c>
      <c r="F46" s="961" t="str">
        <f t="shared" si="2"/>
        <v>#DIV/0!</v>
      </c>
      <c r="G46" s="961" t="str">
        <f>IF(F46&lt;'PlayerGrades+'!$AB$21,"F-",IF(F46&lt;'PlayerGrades+'!$AB$20,"F",IF(F46&lt;'PlayerGrades+'!$AB$19,"F+",IF(F46&lt;'PlayerGrades+'!$AB$18,"E-",IF(F46&lt;'PlayerGrades+'!$AB$17,"E",IF(F46&lt;'PlayerGrades+'!$AB$16,"E+",IF(F46&lt;'PlayerGrades+'!$AB$15,"D-",IF(F46&lt;'PlayerGrades+'!$AB$14,"D",IF(F46&lt;'PlayerGrades+'!$AB$13,"D+",IF(F46&lt;'PlayerGrades+'!$AB$12,"C-",IF(F46&lt;'PlayerGrades+'!$AB$11,"C",IF(F46&lt;'PlayerGrades+'!$AB$10,"C+",IF(F46&lt;'PlayerGrades+'!$AB$9,"B-",IF(F46&lt;'PlayerGrades+'!$AB$8,"B",IF(F46&lt;'PlayerGrades+'!$AB$7,"B+",IF(F46&lt;'PlayerGrades+'!$AB$6,"A-",IF(F46&lt;'PlayerGrades+'!$AB$5,"A",IF(F46&lt;'PlayerGrades+'!$AB$4,"A+",IF(F46&lt;'PlayerGrades+'!$AB$3,"S-",IF(F46&lt;'PlayerGrades+'!$AB$2,"S","S+"))))))))))))))))))))</f>
        <v>#DIV/0!</v>
      </c>
      <c r="H46" s="961" t="str">
        <f t="shared" si="3"/>
        <v>#DIV/0!</v>
      </c>
      <c r="I46" s="961" t="str">
        <f>IF(H46&lt;'PlayerGrades+'!$AC$21,"F-",IF(H46&lt;'PlayerGrades+'!$AC$20,"F",IF(H46&lt;'PlayerGrades+'!$AC$19,"F+",IF(H46&lt;'PlayerGrades+'!$AC$18,"E-",IF(H46&lt;'PlayerGrades+'!$AC$17,"E",IF(H46&lt;'PlayerGrades+'!$AC$16,"E+",IF(H46&lt;'PlayerGrades+'!$AC$15,"D-",IF(H46&lt;'PlayerGrades+'!$AC$14,"D",IF(H46&lt;'PlayerGrades+'!$AC$13,"D+",IF(H46&lt;'PlayerGrades+'!$AC$12,"C-",IF(H46&lt;'PlayerGrades+'!$AC$11,"C",IF(H46&lt;'PlayerGrades+'!$AC$10,"C+",IF(H46&lt;'PlayerGrades+'!$AC$9,"B-",IF(H46&lt;'PlayerGrades+'!$AC$8,"B",IF(H46&lt;'PlayerGrades+'!$AC$7,"B+",IF(H46&lt;'PlayerGrades+'!$AC$6,"A-",IF(H46&lt;'PlayerGrades+'!$AC$5,"A",IF(H46&lt;'PlayerGrades+'!$AC$4,"A+",IF(H46&lt;'PlayerGrades+'!$AC$3,"S-",IF(H46&lt;'PlayerGrades+'!$AC$2,"S","S+"))))))))))))))))))))</f>
        <v>#DIV/0!</v>
      </c>
      <c r="J46" s="961" t="str">
        <f t="shared" si="4"/>
        <v>#DIV/0!</v>
      </c>
      <c r="K46" s="961" t="str">
        <f>IF(J46&lt;'PlayerGrades+'!$AD$21,"F-",IF(J46&lt;'PlayerGrades+'!$AD$20,"F",IF(J46&lt;'PlayerGrades+'!$AD$19,"F+",IF(J46&lt;'PlayerGrades+'!$AD$18,"E-",IF(J46&lt;'PlayerGrades+'!$AD$17,"E",IF(J46&lt;'PlayerGrades+'!$AD$16,"E+",IF(J46&lt;'PlayerGrades+'!$AD$15,"D-",IF(J46&lt;'PlayerGrades+'!$AD$14,"D",IF(J46&lt;'PlayerGrades+'!$AD$13,"D+",IF(J46&lt;'PlayerGrades+'!$AD$12,"C-",IF(J46&lt;'PlayerGrades+'!$AD$11,"C",IF(J46&lt;'PlayerGrades+'!$AD$10,"C+",IF(J46&lt;'PlayerGrades+'!$AD$9,"B-",IF(J46&lt;'PlayerGrades+'!$AD$8,"B",IF(J46&lt;'PlayerGrades+'!$AD$7,"B+",IF(J46&lt;'PlayerGrades+'!$AD$6,"A-",IF(J46&lt;'PlayerGrades+'!$AD$5,"A",IF(J46&lt;'PlayerGrades+'!$AD$4,"A+",IF(J46&lt;'PlayerGrades+'!$AD$3,"S-",IF(J46&lt;'PlayerGrades+'!$AD$2,"S","S+"))))))))))))))))))))</f>
        <v>#DIV/0!</v>
      </c>
      <c r="L46" s="1176" t="str">
        <f t="shared" si="5"/>
        <v>#DIV/0!</v>
      </c>
      <c r="M46" s="992" t="str">
        <f>IF(L46&lt;'PlayerGrades+'!$AE$21,"F-",IF(L46&lt;'PlayerGrades+'!$AE$20,"F",IF(L46&lt;'PlayerGrades+'!$AE$19,"F+",IF(L46&lt;'PlayerGrades+'!$AE$18,"E-",IF(L46&lt;'PlayerGrades+'!$AE$17,"E",IF(L46&lt;'PlayerGrades+'!$AE$16,"E+",IF(L46&lt;'PlayerGrades+'!$AE$15,"D-",IF(L46&lt;'PlayerGrades+'!$AE$14,"D",IF(L46&lt;'PlayerGrades+'!$AE$13,"D+",IF(L46&lt;'PlayerGrades+'!$AE$12,"C-",IF(L46&lt;'PlayerGrades+'!$AE$11,"C",IF(L46&lt;'PlayerGrades+'!$AE$10,"C+",IF(L46&lt;'PlayerGrades+'!$AE$9,"B-",IF(L46&lt;'PlayerGrades+'!$AE$8,"B",IF(L46&lt;'PlayerGrades+'!$AE$7,"B+",IF(L46&lt;'PlayerGrades+'!$AE$6,"A-",IF(L46&lt;'PlayerGrades+'!$AE$5,"A",IF(L46&lt;'PlayerGrades+'!$AE$4,"A+",IF(L46&lt;'PlayerGrades+'!$AE$3,"S-",IF(L46&lt;'PlayerGrades+'!$AE$2,"S","S+"))))))))))))))))))))</f>
        <v>#DIV/0!</v>
      </c>
      <c r="N46" s="961" t="str">
        <f t="shared" si="6"/>
        <v>#DIV/0!</v>
      </c>
      <c r="O46" s="961" t="str">
        <f>IF(N46&lt;'PlayerGrades+'!$AF$21,"F-",IF(N46&lt;'PlayerGrades+'!$AF$20,"F",IF(N46&lt;'PlayerGrades+'!$AF$19,"F+",IF(N46&lt;'PlayerGrades+'!$AF$18,"E-",IF(N46&lt;'PlayerGrades+'!$AF$17,"E",IF(N46&lt;'PlayerGrades+'!$AF$16,"E+",IF(N46&lt;'PlayerGrades+'!$AF$15,"D-",IF(N46&lt;'PlayerGrades+'!$AF$14,"D",IF(N46&lt;'PlayerGrades+'!$AF$13,"D+",IF(N46&lt;'PlayerGrades+'!$AF$12,"C-",IF(N46&lt;'PlayerGrades+'!$AF$11,"C",IF(N46&lt;'PlayerGrades+'!$AF$10,"C+",IF(N46&lt;'PlayerGrades+'!$AF$9,"B-",IF(N46&lt;'PlayerGrades+'!$AF$8,"B",IF(N46&lt;'PlayerGrades+'!$AF$7,"B+",IF(N46&lt;'PlayerGrades+'!$AF$6,"A-",IF(N46&lt;'PlayerGrades+'!$AF$5,"A",IF(N46&lt;'PlayerGrades+'!$AF$4,"A+",IF(N46&lt;'PlayerGrades+'!$AF$3,"S-",IF(N46&lt;'PlayerGrades+'!$AF$2,"S","S+"))))))))))))))))))))</f>
        <v>#DIV/0!</v>
      </c>
      <c r="P46" s="961" t="str">
        <f t="shared" si="7"/>
        <v>#DIV/0!</v>
      </c>
      <c r="Q46" s="961" t="str">
        <f>IF(P46&lt;'PlayerGrades+'!$AG$21,"F-",IF(P46&lt;'PlayerGrades+'!$AG$20,"F",IF(P46&lt;'PlayerGrades+'!$AG$19,"F+",IF(P46&lt;'PlayerGrades+'!$AG$18,"E-",IF(P46&lt;'PlayerGrades+'!$AG$17,"E",IF(P46&lt;'PlayerGrades+'!$AG$16,"E+",IF(P46&lt;'PlayerGrades+'!$AG$15,"D-",IF(P46&lt;'PlayerGrades+'!$AG$14,"D",IF(P46&lt;'PlayerGrades+'!$AG$13,"D+",IF(P46&lt;'PlayerGrades+'!$AG$12,"C-",IF(P46&lt;'PlayerGrades+'!$AG$11,"C",IF(P46&lt;'PlayerGrades+'!$AG$10,"C+",IF(P46&lt;'PlayerGrades+'!$AG$9,"B-",IF(P46&lt;'PlayerGrades+'!$AG$8,"B",IF(P46&lt;'PlayerGrades+'!$AG$7,"B+",IF(P46&lt;'PlayerGrades+'!$AG$6,"A-",IF(P46&lt;'PlayerGrades+'!$AG$5,"A",IF(P46&lt;'PlayerGrades+'!$AG$4,"A+",IF(P46&lt;'PlayerGrades+'!$AG$3,"S-",IF(P46&lt;'PlayerGrades+'!$AG$2,"S","S+"))))))))))))))))))))</f>
        <v>#DIV/0!</v>
      </c>
      <c r="R46" s="961" t="str">
        <f t="shared" si="8"/>
        <v>#DIV/0!</v>
      </c>
      <c r="S46" s="961" t="str">
        <f>IF(R46&lt;'PlayerGrades+'!$AH$21,"F-",IF(R46&lt;'PlayerGrades+'!$AH$20,"F",IF(R46&lt;'PlayerGrades+'!$AH$19,"F+",IF(R46&lt;'PlayerGrades+'!$AH$18,"E-",IF(R46&lt;'PlayerGrades+'!$AH$17,"E",IF(R46&lt;'PlayerGrades+'!$AH$16,"E+",IF(R46&lt;'PlayerGrades+'!$AH$15,"D-",IF(R46&lt;'PlayerGrades+'!$AH$14,"D",IF(R46&lt;'PlayerGrades+'!$AH$13,"D+",IF(R46&lt;'PlayerGrades+'!$AH$12,"C-",IF(R46&lt;'PlayerGrades+'!$AH$11,"C",IF(R46&lt;'PlayerGrades+'!$AH$10,"C+",IF(R46&lt;'PlayerGrades+'!$AH$9,"B-",IF(R46&lt;'PlayerGrades+'!$AH$8,"B",IF(R46&lt;'PlayerGrades+'!$AH$7,"B+",IF(R46&lt;'PlayerGrades+'!$AH$6,"A-",IF(R46&lt;'PlayerGrades+'!$AH$5,"A",IF(R46&lt;'PlayerGrades+'!$AH$4,"A+",IF(R46&lt;'PlayerGrades+'!$AH$3,"S-",IF(R46&lt;'PlayerGrades+'!$AH$2,"S","S+"))))))))))))))))))))</f>
        <v>#DIV/0!</v>
      </c>
      <c r="T46" s="961">
        <f t="shared" si="9"/>
        <v>0</v>
      </c>
      <c r="U46" s="961" t="str">
        <f>IF(T46&lt;'PlayerGrades+'!$AI$21,"F-",IF(T46&lt;'PlayerGrades+'!$AI$20,"F",IF(T46&lt;'PlayerGrades+'!$AI$19,"F+",IF(T46&lt;'PlayerGrades+'!$AI$18,"E-",IF(T46&lt;'PlayerGrades+'!$AI$17,"E",IF(T46&lt;'PlayerGrades+'!$AI$16,"E+",IF(T46&lt;'PlayerGrades+'!$AI$15,"D-",IF(T46&lt;'PlayerGrades+'!$AI$14,"D",IF(T46&lt;'PlayerGrades+'!$AI$13,"D+",IF(T46&lt;'PlayerGrades+'!$AI$12,"C-",IF(T46&lt;'PlayerGrades+'!$AI$11,"C",IF(T46&lt;'PlayerGrades+'!$AI$10,"C+",IF(T46&lt;'PlayerGrades+'!$AI$9,"B-",IF(T46&lt;'PlayerGrades+'!$AI$8,"B",IF(T46&lt;'PlayerGrades+'!$AI$7,"B+",IF(T46&lt;'PlayerGrades+'!$AI$6,"A-",IF(T46&lt;'PlayerGrades+'!$AI$5,"A",IF(T46&lt;'PlayerGrades+'!$AI$4,"A+",IF(T46&lt;'PlayerGrades+'!$AI$3,"S-",IF(T46&lt;'PlayerGrades+'!$AI$2,"S","S+"))))))))))))))))))))</f>
        <v>F-</v>
      </c>
      <c r="AC46" s="1392"/>
    </row>
    <row r="47">
      <c r="A47" s="1391"/>
      <c r="B47" s="611" t="str">
        <f>IF(C47&lt;'PlayerGrades+'!$Y$44,"F-",IF(C47&lt;'PlayerGrades+'!$Y$43,"F",IF(C47&lt;'PlayerGrades+'!$Y$42,"F+",IF(C47&lt;'PlayerGrades+'!$Y$41,"E-",IF(C47&lt;'PlayerGrades+'!$Y$40,"E",IF(C47&lt;'PlayerGrades+'!$Y$39,"E+",IF(C47&lt;'PlayerGrades+'!$Y$38,"D-",IF(C47&lt;'PlayerGrades+'!$Y$37,"D",IF(C47&lt;'PlayerGrades+'!$Y$36,"D+",IF(C47&lt;'PlayerGrades+'!$Y$35,"C-",IF(C47&lt;'PlayerGrades+'!$Y$34,"C",IF(C47&lt;'PlayerGrades+'!$Y$33,"C+",IF(C47&lt;'PlayerGrades+'!$Y$32,"B-",IF(C47&lt;'PlayerGrades+'!$Y$31,"B",IF(C47&lt;'PlayerGrades+'!$Y$30,"B+",IF(C47&lt;'PlayerGrades+'!$Y$29,"A-",IF(C47&lt;'PlayerGrades+'!$Y$28,"A",IF(C47&lt;'PlayerGrades+'!$Y$27,"A+",IF(C47&lt;'PlayerGrades+'!$Y$26,"S-",IF(C47&lt;'PlayerGrades+'!$Y$25,"S","S+"))))))))))))))))))))</f>
        <v>#DIV/0!</v>
      </c>
      <c r="C47" s="1378" t="str">
        <f>('PlayerGrades+'!$Y$47*(VLOOKUP(E47, 'PlayerGrades+'!$X$3:$Y$23, 2, FALSE)))+('PlayerGrades+'!$Y$48*(VLOOKUP(G47, 'PlayerGrades+'!$X$3:$Y$23, 2, FALSE)))+('PlayerGrades+'!$Y$49*(VLOOKUP(I47, 'PlayerGrades+'!$X$3:$Y$23, 2, FALSE)))+('PlayerGrades+'!$Y$50*(VLOOKUP(K47, 'PlayerGrades+'!$X$3:$Y$23, 2, FALSE)))+('PlayerGrades+'!$Y$51*(VLOOKUP(M47, 'PlayerGrades+'!$X$3:$Y$23, 2, FALSE)))+('PlayerGrades+'!$Y$52*(VLOOKUP(O47, 'PlayerGrades+'!$X$3:$Y$23, 2, FALSE)))+('PlayerGrades+'!$Y$53*(VLOOKUP(Q47, 'PlayerGrades+'!$X$3:$Y$23, 2, FALSE)))+('PlayerGrades+'!$Y$54*(VLOOKUP(S47, 'PlayerGrades+'!$X$3:$Y$23, 2, FALSE)))+('PlayerGrades+'!$Y$55*(VLOOKUP(U47, 'PlayerGrades+'!$X$3:$Y$23, 2, FALSE)))</f>
        <v>#DIV/0!</v>
      </c>
      <c r="D47" s="961" t="str">
        <f t="shared" si="1"/>
        <v>#DIV/0!</v>
      </c>
      <c r="E47" s="961" t="str">
        <f>IF(D47&lt;'PlayerGrades+'!$AA$21,"F-",IF(D47&lt;'PlayerGrades+'!$AA$20,"F",IF(D47&lt;'PlayerGrades+'!$AA$19,"F+",IF(D47&lt;'PlayerGrades+'!$AA$18,"E-",IF(D47&lt;'PlayerGrades+'!$AA$17,"E",IF(D47&lt;'PlayerGrades+'!$AA$16,"E+",IF(D47&lt;'PlayerGrades+'!$AA$15,"D-",IF(D47&lt;'PlayerGrades+'!$AA$14,"D",IF(D47&lt;'PlayerGrades+'!$AA$13,"D+",IF(D47&lt;'PlayerGrades+'!$AA$12,"C-",IF(D47&lt;'PlayerGrades+'!$AA$11,"C",IF(D47&lt;'PlayerGrades+'!$AA$10,"C+",IF(D47&lt;'PlayerGrades+'!$AA$9,"B-",IF(D47&lt;'PlayerGrades+'!$AA$8,"B",IF(D47&lt;'PlayerGrades+'!$AA$7,"B+",IF(D47&lt;'PlayerGrades+'!$AA$6,"A-",IF(D47&lt;'PlayerGrades+'!$AA$5,"A",IF(D47&lt;'PlayerGrades+'!$AA$4,"A+",IF(D47&lt;'PlayerGrades+'!$AA$3,"S-",IF(D47&lt;'PlayerGrades+'!$AA$2,"S","S+"))))))))))))))))))))</f>
        <v>#DIV/0!</v>
      </c>
      <c r="F47" s="961" t="str">
        <f t="shared" si="2"/>
        <v>#DIV/0!</v>
      </c>
      <c r="G47" s="961" t="str">
        <f>IF(F47&lt;'PlayerGrades+'!$AB$21,"F-",IF(F47&lt;'PlayerGrades+'!$AB$20,"F",IF(F47&lt;'PlayerGrades+'!$AB$19,"F+",IF(F47&lt;'PlayerGrades+'!$AB$18,"E-",IF(F47&lt;'PlayerGrades+'!$AB$17,"E",IF(F47&lt;'PlayerGrades+'!$AB$16,"E+",IF(F47&lt;'PlayerGrades+'!$AB$15,"D-",IF(F47&lt;'PlayerGrades+'!$AB$14,"D",IF(F47&lt;'PlayerGrades+'!$AB$13,"D+",IF(F47&lt;'PlayerGrades+'!$AB$12,"C-",IF(F47&lt;'PlayerGrades+'!$AB$11,"C",IF(F47&lt;'PlayerGrades+'!$AB$10,"C+",IF(F47&lt;'PlayerGrades+'!$AB$9,"B-",IF(F47&lt;'PlayerGrades+'!$AB$8,"B",IF(F47&lt;'PlayerGrades+'!$AB$7,"B+",IF(F47&lt;'PlayerGrades+'!$AB$6,"A-",IF(F47&lt;'PlayerGrades+'!$AB$5,"A",IF(F47&lt;'PlayerGrades+'!$AB$4,"A+",IF(F47&lt;'PlayerGrades+'!$AB$3,"S-",IF(F47&lt;'PlayerGrades+'!$AB$2,"S","S+"))))))))))))))))))))</f>
        <v>#DIV/0!</v>
      </c>
      <c r="H47" s="961" t="str">
        <f t="shared" si="3"/>
        <v>#DIV/0!</v>
      </c>
      <c r="I47" s="961" t="str">
        <f>IF(H47&lt;'PlayerGrades+'!$AC$21,"F-",IF(H47&lt;'PlayerGrades+'!$AC$20,"F",IF(H47&lt;'PlayerGrades+'!$AC$19,"F+",IF(H47&lt;'PlayerGrades+'!$AC$18,"E-",IF(H47&lt;'PlayerGrades+'!$AC$17,"E",IF(H47&lt;'PlayerGrades+'!$AC$16,"E+",IF(H47&lt;'PlayerGrades+'!$AC$15,"D-",IF(H47&lt;'PlayerGrades+'!$AC$14,"D",IF(H47&lt;'PlayerGrades+'!$AC$13,"D+",IF(H47&lt;'PlayerGrades+'!$AC$12,"C-",IF(H47&lt;'PlayerGrades+'!$AC$11,"C",IF(H47&lt;'PlayerGrades+'!$AC$10,"C+",IF(H47&lt;'PlayerGrades+'!$AC$9,"B-",IF(H47&lt;'PlayerGrades+'!$AC$8,"B",IF(H47&lt;'PlayerGrades+'!$AC$7,"B+",IF(H47&lt;'PlayerGrades+'!$AC$6,"A-",IF(H47&lt;'PlayerGrades+'!$AC$5,"A",IF(H47&lt;'PlayerGrades+'!$AC$4,"A+",IF(H47&lt;'PlayerGrades+'!$AC$3,"S-",IF(H47&lt;'PlayerGrades+'!$AC$2,"S","S+"))))))))))))))))))))</f>
        <v>#DIV/0!</v>
      </c>
      <c r="J47" s="961" t="str">
        <f t="shared" si="4"/>
        <v>#DIV/0!</v>
      </c>
      <c r="K47" s="961" t="str">
        <f>IF(J47&lt;'PlayerGrades+'!$AD$21,"F-",IF(J47&lt;'PlayerGrades+'!$AD$20,"F",IF(J47&lt;'PlayerGrades+'!$AD$19,"F+",IF(J47&lt;'PlayerGrades+'!$AD$18,"E-",IF(J47&lt;'PlayerGrades+'!$AD$17,"E",IF(J47&lt;'PlayerGrades+'!$AD$16,"E+",IF(J47&lt;'PlayerGrades+'!$AD$15,"D-",IF(J47&lt;'PlayerGrades+'!$AD$14,"D",IF(J47&lt;'PlayerGrades+'!$AD$13,"D+",IF(J47&lt;'PlayerGrades+'!$AD$12,"C-",IF(J47&lt;'PlayerGrades+'!$AD$11,"C",IF(J47&lt;'PlayerGrades+'!$AD$10,"C+",IF(J47&lt;'PlayerGrades+'!$AD$9,"B-",IF(J47&lt;'PlayerGrades+'!$AD$8,"B",IF(J47&lt;'PlayerGrades+'!$AD$7,"B+",IF(J47&lt;'PlayerGrades+'!$AD$6,"A-",IF(J47&lt;'PlayerGrades+'!$AD$5,"A",IF(J47&lt;'PlayerGrades+'!$AD$4,"A+",IF(J47&lt;'PlayerGrades+'!$AD$3,"S-",IF(J47&lt;'PlayerGrades+'!$AD$2,"S","S+"))))))))))))))))))))</f>
        <v>#DIV/0!</v>
      </c>
      <c r="L47" s="1176" t="str">
        <f t="shared" si="5"/>
        <v>#DIV/0!</v>
      </c>
      <c r="M47" s="992" t="str">
        <f>IF(L47&lt;'PlayerGrades+'!$AE$21,"F-",IF(L47&lt;'PlayerGrades+'!$AE$20,"F",IF(L47&lt;'PlayerGrades+'!$AE$19,"F+",IF(L47&lt;'PlayerGrades+'!$AE$18,"E-",IF(L47&lt;'PlayerGrades+'!$AE$17,"E",IF(L47&lt;'PlayerGrades+'!$AE$16,"E+",IF(L47&lt;'PlayerGrades+'!$AE$15,"D-",IF(L47&lt;'PlayerGrades+'!$AE$14,"D",IF(L47&lt;'PlayerGrades+'!$AE$13,"D+",IF(L47&lt;'PlayerGrades+'!$AE$12,"C-",IF(L47&lt;'PlayerGrades+'!$AE$11,"C",IF(L47&lt;'PlayerGrades+'!$AE$10,"C+",IF(L47&lt;'PlayerGrades+'!$AE$9,"B-",IF(L47&lt;'PlayerGrades+'!$AE$8,"B",IF(L47&lt;'PlayerGrades+'!$AE$7,"B+",IF(L47&lt;'PlayerGrades+'!$AE$6,"A-",IF(L47&lt;'PlayerGrades+'!$AE$5,"A",IF(L47&lt;'PlayerGrades+'!$AE$4,"A+",IF(L47&lt;'PlayerGrades+'!$AE$3,"S-",IF(L47&lt;'PlayerGrades+'!$AE$2,"S","S+"))))))))))))))))))))</f>
        <v>#DIV/0!</v>
      </c>
      <c r="N47" s="961" t="str">
        <f t="shared" si="6"/>
        <v>#DIV/0!</v>
      </c>
      <c r="O47" s="961" t="str">
        <f>IF(N47&lt;'PlayerGrades+'!$AF$21,"F-",IF(N47&lt;'PlayerGrades+'!$AF$20,"F",IF(N47&lt;'PlayerGrades+'!$AF$19,"F+",IF(N47&lt;'PlayerGrades+'!$AF$18,"E-",IF(N47&lt;'PlayerGrades+'!$AF$17,"E",IF(N47&lt;'PlayerGrades+'!$AF$16,"E+",IF(N47&lt;'PlayerGrades+'!$AF$15,"D-",IF(N47&lt;'PlayerGrades+'!$AF$14,"D",IF(N47&lt;'PlayerGrades+'!$AF$13,"D+",IF(N47&lt;'PlayerGrades+'!$AF$12,"C-",IF(N47&lt;'PlayerGrades+'!$AF$11,"C",IF(N47&lt;'PlayerGrades+'!$AF$10,"C+",IF(N47&lt;'PlayerGrades+'!$AF$9,"B-",IF(N47&lt;'PlayerGrades+'!$AF$8,"B",IF(N47&lt;'PlayerGrades+'!$AF$7,"B+",IF(N47&lt;'PlayerGrades+'!$AF$6,"A-",IF(N47&lt;'PlayerGrades+'!$AF$5,"A",IF(N47&lt;'PlayerGrades+'!$AF$4,"A+",IF(N47&lt;'PlayerGrades+'!$AF$3,"S-",IF(N47&lt;'PlayerGrades+'!$AF$2,"S","S+"))))))))))))))))))))</f>
        <v>#DIV/0!</v>
      </c>
      <c r="P47" s="961" t="str">
        <f t="shared" si="7"/>
        <v>#DIV/0!</v>
      </c>
      <c r="Q47" s="961" t="str">
        <f>IF(P47&lt;'PlayerGrades+'!$AG$21,"F-",IF(P47&lt;'PlayerGrades+'!$AG$20,"F",IF(P47&lt;'PlayerGrades+'!$AG$19,"F+",IF(P47&lt;'PlayerGrades+'!$AG$18,"E-",IF(P47&lt;'PlayerGrades+'!$AG$17,"E",IF(P47&lt;'PlayerGrades+'!$AG$16,"E+",IF(P47&lt;'PlayerGrades+'!$AG$15,"D-",IF(P47&lt;'PlayerGrades+'!$AG$14,"D",IF(P47&lt;'PlayerGrades+'!$AG$13,"D+",IF(P47&lt;'PlayerGrades+'!$AG$12,"C-",IF(P47&lt;'PlayerGrades+'!$AG$11,"C",IF(P47&lt;'PlayerGrades+'!$AG$10,"C+",IF(P47&lt;'PlayerGrades+'!$AG$9,"B-",IF(P47&lt;'PlayerGrades+'!$AG$8,"B",IF(P47&lt;'PlayerGrades+'!$AG$7,"B+",IF(P47&lt;'PlayerGrades+'!$AG$6,"A-",IF(P47&lt;'PlayerGrades+'!$AG$5,"A",IF(P47&lt;'PlayerGrades+'!$AG$4,"A+",IF(P47&lt;'PlayerGrades+'!$AG$3,"S-",IF(P47&lt;'PlayerGrades+'!$AG$2,"S","S+"))))))))))))))))))))</f>
        <v>#DIV/0!</v>
      </c>
      <c r="R47" s="961" t="str">
        <f t="shared" si="8"/>
        <v>#DIV/0!</v>
      </c>
      <c r="S47" s="961" t="str">
        <f>IF(R47&lt;'PlayerGrades+'!$AH$21,"F-",IF(R47&lt;'PlayerGrades+'!$AH$20,"F",IF(R47&lt;'PlayerGrades+'!$AH$19,"F+",IF(R47&lt;'PlayerGrades+'!$AH$18,"E-",IF(R47&lt;'PlayerGrades+'!$AH$17,"E",IF(R47&lt;'PlayerGrades+'!$AH$16,"E+",IF(R47&lt;'PlayerGrades+'!$AH$15,"D-",IF(R47&lt;'PlayerGrades+'!$AH$14,"D",IF(R47&lt;'PlayerGrades+'!$AH$13,"D+",IF(R47&lt;'PlayerGrades+'!$AH$12,"C-",IF(R47&lt;'PlayerGrades+'!$AH$11,"C",IF(R47&lt;'PlayerGrades+'!$AH$10,"C+",IF(R47&lt;'PlayerGrades+'!$AH$9,"B-",IF(R47&lt;'PlayerGrades+'!$AH$8,"B",IF(R47&lt;'PlayerGrades+'!$AH$7,"B+",IF(R47&lt;'PlayerGrades+'!$AH$6,"A-",IF(R47&lt;'PlayerGrades+'!$AH$5,"A",IF(R47&lt;'PlayerGrades+'!$AH$4,"A+",IF(R47&lt;'PlayerGrades+'!$AH$3,"S-",IF(R47&lt;'PlayerGrades+'!$AH$2,"S","S+"))))))))))))))))))))</f>
        <v>#DIV/0!</v>
      </c>
      <c r="T47" s="961">
        <f t="shared" si="9"/>
        <v>0</v>
      </c>
      <c r="U47" s="961" t="str">
        <f>IF(T47&lt;'PlayerGrades+'!$AI$21,"F-",IF(T47&lt;'PlayerGrades+'!$AI$20,"F",IF(T47&lt;'PlayerGrades+'!$AI$19,"F+",IF(T47&lt;'PlayerGrades+'!$AI$18,"E-",IF(T47&lt;'PlayerGrades+'!$AI$17,"E",IF(T47&lt;'PlayerGrades+'!$AI$16,"E+",IF(T47&lt;'PlayerGrades+'!$AI$15,"D-",IF(T47&lt;'PlayerGrades+'!$AI$14,"D",IF(T47&lt;'PlayerGrades+'!$AI$13,"D+",IF(T47&lt;'PlayerGrades+'!$AI$12,"C-",IF(T47&lt;'PlayerGrades+'!$AI$11,"C",IF(T47&lt;'PlayerGrades+'!$AI$10,"C+",IF(T47&lt;'PlayerGrades+'!$AI$9,"B-",IF(T47&lt;'PlayerGrades+'!$AI$8,"B",IF(T47&lt;'PlayerGrades+'!$AI$7,"B+",IF(T47&lt;'PlayerGrades+'!$AI$6,"A-",IF(T47&lt;'PlayerGrades+'!$AI$5,"A",IF(T47&lt;'PlayerGrades+'!$AI$4,"A+",IF(T47&lt;'PlayerGrades+'!$AI$3,"S-",IF(T47&lt;'PlayerGrades+'!$AI$2,"S","S+"))))))))))))))))))))</f>
        <v>F-</v>
      </c>
      <c r="AC47" s="1392"/>
    </row>
    <row r="48">
      <c r="A48" s="1391"/>
      <c r="B48" s="611" t="str">
        <f>IF(C48&lt;'PlayerGrades+'!$Y$44,"F-",IF(C48&lt;'PlayerGrades+'!$Y$43,"F",IF(C48&lt;'PlayerGrades+'!$Y$42,"F+",IF(C48&lt;'PlayerGrades+'!$Y$41,"E-",IF(C48&lt;'PlayerGrades+'!$Y$40,"E",IF(C48&lt;'PlayerGrades+'!$Y$39,"E+",IF(C48&lt;'PlayerGrades+'!$Y$38,"D-",IF(C48&lt;'PlayerGrades+'!$Y$37,"D",IF(C48&lt;'PlayerGrades+'!$Y$36,"D+",IF(C48&lt;'PlayerGrades+'!$Y$35,"C-",IF(C48&lt;'PlayerGrades+'!$Y$34,"C",IF(C48&lt;'PlayerGrades+'!$Y$33,"C+",IF(C48&lt;'PlayerGrades+'!$Y$32,"B-",IF(C48&lt;'PlayerGrades+'!$Y$31,"B",IF(C48&lt;'PlayerGrades+'!$Y$30,"B+",IF(C48&lt;'PlayerGrades+'!$Y$29,"A-",IF(C48&lt;'PlayerGrades+'!$Y$28,"A",IF(C48&lt;'PlayerGrades+'!$Y$27,"A+",IF(C48&lt;'PlayerGrades+'!$Y$26,"S-",IF(C48&lt;'PlayerGrades+'!$Y$25,"S","S+"))))))))))))))))))))</f>
        <v>#DIV/0!</v>
      </c>
      <c r="C48" s="1378" t="str">
        <f>('PlayerGrades+'!$Y$47*(VLOOKUP(E48, 'PlayerGrades+'!$X$3:$Y$23, 2, FALSE)))+('PlayerGrades+'!$Y$48*(VLOOKUP(G48, 'PlayerGrades+'!$X$3:$Y$23, 2, FALSE)))+('PlayerGrades+'!$Y$49*(VLOOKUP(I48, 'PlayerGrades+'!$X$3:$Y$23, 2, FALSE)))+('PlayerGrades+'!$Y$50*(VLOOKUP(K48, 'PlayerGrades+'!$X$3:$Y$23, 2, FALSE)))+('PlayerGrades+'!$Y$51*(VLOOKUP(M48, 'PlayerGrades+'!$X$3:$Y$23, 2, FALSE)))+('PlayerGrades+'!$Y$52*(VLOOKUP(O48, 'PlayerGrades+'!$X$3:$Y$23, 2, FALSE)))+('PlayerGrades+'!$Y$53*(VLOOKUP(Q48, 'PlayerGrades+'!$X$3:$Y$23, 2, FALSE)))+('PlayerGrades+'!$Y$54*(VLOOKUP(S48, 'PlayerGrades+'!$X$3:$Y$23, 2, FALSE)))+('PlayerGrades+'!$Y$55*(VLOOKUP(U48, 'PlayerGrades+'!$X$3:$Y$23, 2, FALSE)))</f>
        <v>#DIV/0!</v>
      </c>
      <c r="D48" s="961" t="str">
        <f t="shared" si="1"/>
        <v>#DIV/0!</v>
      </c>
      <c r="E48" s="961" t="str">
        <f>IF(D48&lt;'PlayerGrades+'!$AA$21,"F-",IF(D48&lt;'PlayerGrades+'!$AA$20,"F",IF(D48&lt;'PlayerGrades+'!$AA$19,"F+",IF(D48&lt;'PlayerGrades+'!$AA$18,"E-",IF(D48&lt;'PlayerGrades+'!$AA$17,"E",IF(D48&lt;'PlayerGrades+'!$AA$16,"E+",IF(D48&lt;'PlayerGrades+'!$AA$15,"D-",IF(D48&lt;'PlayerGrades+'!$AA$14,"D",IF(D48&lt;'PlayerGrades+'!$AA$13,"D+",IF(D48&lt;'PlayerGrades+'!$AA$12,"C-",IF(D48&lt;'PlayerGrades+'!$AA$11,"C",IF(D48&lt;'PlayerGrades+'!$AA$10,"C+",IF(D48&lt;'PlayerGrades+'!$AA$9,"B-",IF(D48&lt;'PlayerGrades+'!$AA$8,"B",IF(D48&lt;'PlayerGrades+'!$AA$7,"B+",IF(D48&lt;'PlayerGrades+'!$AA$6,"A-",IF(D48&lt;'PlayerGrades+'!$AA$5,"A",IF(D48&lt;'PlayerGrades+'!$AA$4,"A+",IF(D48&lt;'PlayerGrades+'!$AA$3,"S-",IF(D48&lt;'PlayerGrades+'!$AA$2,"S","S+"))))))))))))))))))))</f>
        <v>#DIV/0!</v>
      </c>
      <c r="F48" s="961" t="str">
        <f t="shared" si="2"/>
        <v>#DIV/0!</v>
      </c>
      <c r="G48" s="961" t="str">
        <f>IF(F48&lt;'PlayerGrades+'!$AB$21,"F-",IF(F48&lt;'PlayerGrades+'!$AB$20,"F",IF(F48&lt;'PlayerGrades+'!$AB$19,"F+",IF(F48&lt;'PlayerGrades+'!$AB$18,"E-",IF(F48&lt;'PlayerGrades+'!$AB$17,"E",IF(F48&lt;'PlayerGrades+'!$AB$16,"E+",IF(F48&lt;'PlayerGrades+'!$AB$15,"D-",IF(F48&lt;'PlayerGrades+'!$AB$14,"D",IF(F48&lt;'PlayerGrades+'!$AB$13,"D+",IF(F48&lt;'PlayerGrades+'!$AB$12,"C-",IF(F48&lt;'PlayerGrades+'!$AB$11,"C",IF(F48&lt;'PlayerGrades+'!$AB$10,"C+",IF(F48&lt;'PlayerGrades+'!$AB$9,"B-",IF(F48&lt;'PlayerGrades+'!$AB$8,"B",IF(F48&lt;'PlayerGrades+'!$AB$7,"B+",IF(F48&lt;'PlayerGrades+'!$AB$6,"A-",IF(F48&lt;'PlayerGrades+'!$AB$5,"A",IF(F48&lt;'PlayerGrades+'!$AB$4,"A+",IF(F48&lt;'PlayerGrades+'!$AB$3,"S-",IF(F48&lt;'PlayerGrades+'!$AB$2,"S","S+"))))))))))))))))))))</f>
        <v>#DIV/0!</v>
      </c>
      <c r="H48" s="961" t="str">
        <f t="shared" si="3"/>
        <v>#DIV/0!</v>
      </c>
      <c r="I48" s="961" t="str">
        <f>IF(H48&lt;'PlayerGrades+'!$AC$21,"F-",IF(H48&lt;'PlayerGrades+'!$AC$20,"F",IF(H48&lt;'PlayerGrades+'!$AC$19,"F+",IF(H48&lt;'PlayerGrades+'!$AC$18,"E-",IF(H48&lt;'PlayerGrades+'!$AC$17,"E",IF(H48&lt;'PlayerGrades+'!$AC$16,"E+",IF(H48&lt;'PlayerGrades+'!$AC$15,"D-",IF(H48&lt;'PlayerGrades+'!$AC$14,"D",IF(H48&lt;'PlayerGrades+'!$AC$13,"D+",IF(H48&lt;'PlayerGrades+'!$AC$12,"C-",IF(H48&lt;'PlayerGrades+'!$AC$11,"C",IF(H48&lt;'PlayerGrades+'!$AC$10,"C+",IF(H48&lt;'PlayerGrades+'!$AC$9,"B-",IF(H48&lt;'PlayerGrades+'!$AC$8,"B",IF(H48&lt;'PlayerGrades+'!$AC$7,"B+",IF(H48&lt;'PlayerGrades+'!$AC$6,"A-",IF(H48&lt;'PlayerGrades+'!$AC$5,"A",IF(H48&lt;'PlayerGrades+'!$AC$4,"A+",IF(H48&lt;'PlayerGrades+'!$AC$3,"S-",IF(H48&lt;'PlayerGrades+'!$AC$2,"S","S+"))))))))))))))))))))</f>
        <v>#DIV/0!</v>
      </c>
      <c r="J48" s="961" t="str">
        <f t="shared" si="4"/>
        <v>#DIV/0!</v>
      </c>
      <c r="K48" s="961" t="str">
        <f>IF(J48&lt;'PlayerGrades+'!$AD$21,"F-",IF(J48&lt;'PlayerGrades+'!$AD$20,"F",IF(J48&lt;'PlayerGrades+'!$AD$19,"F+",IF(J48&lt;'PlayerGrades+'!$AD$18,"E-",IF(J48&lt;'PlayerGrades+'!$AD$17,"E",IF(J48&lt;'PlayerGrades+'!$AD$16,"E+",IF(J48&lt;'PlayerGrades+'!$AD$15,"D-",IF(J48&lt;'PlayerGrades+'!$AD$14,"D",IF(J48&lt;'PlayerGrades+'!$AD$13,"D+",IF(J48&lt;'PlayerGrades+'!$AD$12,"C-",IF(J48&lt;'PlayerGrades+'!$AD$11,"C",IF(J48&lt;'PlayerGrades+'!$AD$10,"C+",IF(J48&lt;'PlayerGrades+'!$AD$9,"B-",IF(J48&lt;'PlayerGrades+'!$AD$8,"B",IF(J48&lt;'PlayerGrades+'!$AD$7,"B+",IF(J48&lt;'PlayerGrades+'!$AD$6,"A-",IF(J48&lt;'PlayerGrades+'!$AD$5,"A",IF(J48&lt;'PlayerGrades+'!$AD$4,"A+",IF(J48&lt;'PlayerGrades+'!$AD$3,"S-",IF(J48&lt;'PlayerGrades+'!$AD$2,"S","S+"))))))))))))))))))))</f>
        <v>#DIV/0!</v>
      </c>
      <c r="L48" s="1176" t="str">
        <f t="shared" si="5"/>
        <v>#DIV/0!</v>
      </c>
      <c r="M48" s="992" t="str">
        <f>IF(L48&lt;'PlayerGrades+'!$AE$21,"F-",IF(L48&lt;'PlayerGrades+'!$AE$20,"F",IF(L48&lt;'PlayerGrades+'!$AE$19,"F+",IF(L48&lt;'PlayerGrades+'!$AE$18,"E-",IF(L48&lt;'PlayerGrades+'!$AE$17,"E",IF(L48&lt;'PlayerGrades+'!$AE$16,"E+",IF(L48&lt;'PlayerGrades+'!$AE$15,"D-",IF(L48&lt;'PlayerGrades+'!$AE$14,"D",IF(L48&lt;'PlayerGrades+'!$AE$13,"D+",IF(L48&lt;'PlayerGrades+'!$AE$12,"C-",IF(L48&lt;'PlayerGrades+'!$AE$11,"C",IF(L48&lt;'PlayerGrades+'!$AE$10,"C+",IF(L48&lt;'PlayerGrades+'!$AE$9,"B-",IF(L48&lt;'PlayerGrades+'!$AE$8,"B",IF(L48&lt;'PlayerGrades+'!$AE$7,"B+",IF(L48&lt;'PlayerGrades+'!$AE$6,"A-",IF(L48&lt;'PlayerGrades+'!$AE$5,"A",IF(L48&lt;'PlayerGrades+'!$AE$4,"A+",IF(L48&lt;'PlayerGrades+'!$AE$3,"S-",IF(L48&lt;'PlayerGrades+'!$AE$2,"S","S+"))))))))))))))))))))</f>
        <v>#DIV/0!</v>
      </c>
      <c r="N48" s="961" t="str">
        <f t="shared" si="6"/>
        <v>#DIV/0!</v>
      </c>
      <c r="O48" s="961" t="str">
        <f>IF(N48&lt;'PlayerGrades+'!$AF$21,"F-",IF(N48&lt;'PlayerGrades+'!$AF$20,"F",IF(N48&lt;'PlayerGrades+'!$AF$19,"F+",IF(N48&lt;'PlayerGrades+'!$AF$18,"E-",IF(N48&lt;'PlayerGrades+'!$AF$17,"E",IF(N48&lt;'PlayerGrades+'!$AF$16,"E+",IF(N48&lt;'PlayerGrades+'!$AF$15,"D-",IF(N48&lt;'PlayerGrades+'!$AF$14,"D",IF(N48&lt;'PlayerGrades+'!$AF$13,"D+",IF(N48&lt;'PlayerGrades+'!$AF$12,"C-",IF(N48&lt;'PlayerGrades+'!$AF$11,"C",IF(N48&lt;'PlayerGrades+'!$AF$10,"C+",IF(N48&lt;'PlayerGrades+'!$AF$9,"B-",IF(N48&lt;'PlayerGrades+'!$AF$8,"B",IF(N48&lt;'PlayerGrades+'!$AF$7,"B+",IF(N48&lt;'PlayerGrades+'!$AF$6,"A-",IF(N48&lt;'PlayerGrades+'!$AF$5,"A",IF(N48&lt;'PlayerGrades+'!$AF$4,"A+",IF(N48&lt;'PlayerGrades+'!$AF$3,"S-",IF(N48&lt;'PlayerGrades+'!$AF$2,"S","S+"))))))))))))))))))))</f>
        <v>#DIV/0!</v>
      </c>
      <c r="P48" s="961" t="str">
        <f t="shared" si="7"/>
        <v>#DIV/0!</v>
      </c>
      <c r="Q48" s="961" t="str">
        <f>IF(P48&lt;'PlayerGrades+'!$AG$21,"F-",IF(P48&lt;'PlayerGrades+'!$AG$20,"F",IF(P48&lt;'PlayerGrades+'!$AG$19,"F+",IF(P48&lt;'PlayerGrades+'!$AG$18,"E-",IF(P48&lt;'PlayerGrades+'!$AG$17,"E",IF(P48&lt;'PlayerGrades+'!$AG$16,"E+",IF(P48&lt;'PlayerGrades+'!$AG$15,"D-",IF(P48&lt;'PlayerGrades+'!$AG$14,"D",IF(P48&lt;'PlayerGrades+'!$AG$13,"D+",IF(P48&lt;'PlayerGrades+'!$AG$12,"C-",IF(P48&lt;'PlayerGrades+'!$AG$11,"C",IF(P48&lt;'PlayerGrades+'!$AG$10,"C+",IF(P48&lt;'PlayerGrades+'!$AG$9,"B-",IF(P48&lt;'PlayerGrades+'!$AG$8,"B",IF(P48&lt;'PlayerGrades+'!$AG$7,"B+",IF(P48&lt;'PlayerGrades+'!$AG$6,"A-",IF(P48&lt;'PlayerGrades+'!$AG$5,"A",IF(P48&lt;'PlayerGrades+'!$AG$4,"A+",IF(P48&lt;'PlayerGrades+'!$AG$3,"S-",IF(P48&lt;'PlayerGrades+'!$AG$2,"S","S+"))))))))))))))))))))</f>
        <v>#DIV/0!</v>
      </c>
      <c r="R48" s="961" t="str">
        <f t="shared" si="8"/>
        <v>#DIV/0!</v>
      </c>
      <c r="S48" s="961" t="str">
        <f>IF(R48&lt;'PlayerGrades+'!$AH$21,"F-",IF(R48&lt;'PlayerGrades+'!$AH$20,"F",IF(R48&lt;'PlayerGrades+'!$AH$19,"F+",IF(R48&lt;'PlayerGrades+'!$AH$18,"E-",IF(R48&lt;'PlayerGrades+'!$AH$17,"E",IF(R48&lt;'PlayerGrades+'!$AH$16,"E+",IF(R48&lt;'PlayerGrades+'!$AH$15,"D-",IF(R48&lt;'PlayerGrades+'!$AH$14,"D",IF(R48&lt;'PlayerGrades+'!$AH$13,"D+",IF(R48&lt;'PlayerGrades+'!$AH$12,"C-",IF(R48&lt;'PlayerGrades+'!$AH$11,"C",IF(R48&lt;'PlayerGrades+'!$AH$10,"C+",IF(R48&lt;'PlayerGrades+'!$AH$9,"B-",IF(R48&lt;'PlayerGrades+'!$AH$8,"B",IF(R48&lt;'PlayerGrades+'!$AH$7,"B+",IF(R48&lt;'PlayerGrades+'!$AH$6,"A-",IF(R48&lt;'PlayerGrades+'!$AH$5,"A",IF(R48&lt;'PlayerGrades+'!$AH$4,"A+",IF(R48&lt;'PlayerGrades+'!$AH$3,"S-",IF(R48&lt;'PlayerGrades+'!$AH$2,"S","S+"))))))))))))))))))))</f>
        <v>#DIV/0!</v>
      </c>
      <c r="T48" s="961">
        <f t="shared" si="9"/>
        <v>0</v>
      </c>
      <c r="U48" s="961" t="str">
        <f>IF(T48&lt;'PlayerGrades+'!$AI$21,"F-",IF(T48&lt;'PlayerGrades+'!$AI$20,"F",IF(T48&lt;'PlayerGrades+'!$AI$19,"F+",IF(T48&lt;'PlayerGrades+'!$AI$18,"E-",IF(T48&lt;'PlayerGrades+'!$AI$17,"E",IF(T48&lt;'PlayerGrades+'!$AI$16,"E+",IF(T48&lt;'PlayerGrades+'!$AI$15,"D-",IF(T48&lt;'PlayerGrades+'!$AI$14,"D",IF(T48&lt;'PlayerGrades+'!$AI$13,"D+",IF(T48&lt;'PlayerGrades+'!$AI$12,"C-",IF(T48&lt;'PlayerGrades+'!$AI$11,"C",IF(T48&lt;'PlayerGrades+'!$AI$10,"C+",IF(T48&lt;'PlayerGrades+'!$AI$9,"B-",IF(T48&lt;'PlayerGrades+'!$AI$8,"B",IF(T48&lt;'PlayerGrades+'!$AI$7,"B+",IF(T48&lt;'PlayerGrades+'!$AI$6,"A-",IF(T48&lt;'PlayerGrades+'!$AI$5,"A",IF(T48&lt;'PlayerGrades+'!$AI$4,"A+",IF(T48&lt;'PlayerGrades+'!$AI$3,"S-",IF(T48&lt;'PlayerGrades+'!$AI$2,"S","S+"))))))))))))))))))))</f>
        <v>F-</v>
      </c>
      <c r="AC48" s="1392"/>
    </row>
    <row r="49">
      <c r="A49" s="1393"/>
      <c r="B49" s="611" t="str">
        <f>IF(C49&lt;'PlayerGrades+'!$Y$44,"F-",IF(C49&lt;'PlayerGrades+'!$Y$43,"F",IF(C49&lt;'PlayerGrades+'!$Y$42,"F+",IF(C49&lt;'PlayerGrades+'!$Y$41,"E-",IF(C49&lt;'PlayerGrades+'!$Y$40,"E",IF(C49&lt;'PlayerGrades+'!$Y$39,"E+",IF(C49&lt;'PlayerGrades+'!$Y$38,"D-",IF(C49&lt;'PlayerGrades+'!$Y$37,"D",IF(C49&lt;'PlayerGrades+'!$Y$36,"D+",IF(C49&lt;'PlayerGrades+'!$Y$35,"C-",IF(C49&lt;'PlayerGrades+'!$Y$34,"C",IF(C49&lt;'PlayerGrades+'!$Y$33,"C+",IF(C49&lt;'PlayerGrades+'!$Y$32,"B-",IF(C49&lt;'PlayerGrades+'!$Y$31,"B",IF(C49&lt;'PlayerGrades+'!$Y$30,"B+",IF(C49&lt;'PlayerGrades+'!$Y$29,"A-",IF(C49&lt;'PlayerGrades+'!$Y$28,"A",IF(C49&lt;'PlayerGrades+'!$Y$27,"A+",IF(C49&lt;'PlayerGrades+'!$Y$26,"S-",IF(C49&lt;'PlayerGrades+'!$Y$25,"S","S+"))))))))))))))))))))</f>
        <v>#DIV/0!</v>
      </c>
      <c r="C49" s="1378" t="str">
        <f>('PlayerGrades+'!$Y$47*(VLOOKUP(E49, 'PlayerGrades+'!$X$3:$Y$23, 2, FALSE)))+('PlayerGrades+'!$Y$48*(VLOOKUP(G49, 'PlayerGrades+'!$X$3:$Y$23, 2, FALSE)))+('PlayerGrades+'!$Y$49*(VLOOKUP(I49, 'PlayerGrades+'!$X$3:$Y$23, 2, FALSE)))+('PlayerGrades+'!$Y$50*(VLOOKUP(K49, 'PlayerGrades+'!$X$3:$Y$23, 2, FALSE)))+('PlayerGrades+'!$Y$51*(VLOOKUP(M49, 'PlayerGrades+'!$X$3:$Y$23, 2, FALSE)))+('PlayerGrades+'!$Y$52*(VLOOKUP(O49, 'PlayerGrades+'!$X$3:$Y$23, 2, FALSE)))+('PlayerGrades+'!$Y$53*(VLOOKUP(Q49, 'PlayerGrades+'!$X$3:$Y$23, 2, FALSE)))+('PlayerGrades+'!$Y$54*(VLOOKUP(S49, 'PlayerGrades+'!$X$3:$Y$23, 2, FALSE)))+('PlayerGrades+'!$Y$55*(VLOOKUP(U49, 'PlayerGrades+'!$X$3:$Y$23, 2, FALSE)))</f>
        <v>#DIV/0!</v>
      </c>
      <c r="D49" s="961" t="str">
        <f t="shared" si="1"/>
        <v>#DIV/0!</v>
      </c>
      <c r="E49" s="961" t="str">
        <f>IF(D49&lt;'PlayerGrades+'!$AA$21,"F-",IF(D49&lt;'PlayerGrades+'!$AA$20,"F",IF(D49&lt;'PlayerGrades+'!$AA$19,"F+",IF(D49&lt;'PlayerGrades+'!$AA$18,"E-",IF(D49&lt;'PlayerGrades+'!$AA$17,"E",IF(D49&lt;'PlayerGrades+'!$AA$16,"E+",IF(D49&lt;'PlayerGrades+'!$AA$15,"D-",IF(D49&lt;'PlayerGrades+'!$AA$14,"D",IF(D49&lt;'PlayerGrades+'!$AA$13,"D+",IF(D49&lt;'PlayerGrades+'!$AA$12,"C-",IF(D49&lt;'PlayerGrades+'!$AA$11,"C",IF(D49&lt;'PlayerGrades+'!$AA$10,"C+",IF(D49&lt;'PlayerGrades+'!$AA$9,"B-",IF(D49&lt;'PlayerGrades+'!$AA$8,"B",IF(D49&lt;'PlayerGrades+'!$AA$7,"B+",IF(D49&lt;'PlayerGrades+'!$AA$6,"A-",IF(D49&lt;'PlayerGrades+'!$AA$5,"A",IF(D49&lt;'PlayerGrades+'!$AA$4,"A+",IF(D49&lt;'PlayerGrades+'!$AA$3,"S-",IF(D49&lt;'PlayerGrades+'!$AA$2,"S","S+"))))))))))))))))))))</f>
        <v>#DIV/0!</v>
      </c>
      <c r="F49" s="961" t="str">
        <f t="shared" si="2"/>
        <v>#DIV/0!</v>
      </c>
      <c r="G49" s="961" t="str">
        <f>IF(F49&lt;'PlayerGrades+'!$AB$21,"F-",IF(F49&lt;'PlayerGrades+'!$AB$20,"F",IF(F49&lt;'PlayerGrades+'!$AB$19,"F+",IF(F49&lt;'PlayerGrades+'!$AB$18,"E-",IF(F49&lt;'PlayerGrades+'!$AB$17,"E",IF(F49&lt;'PlayerGrades+'!$AB$16,"E+",IF(F49&lt;'PlayerGrades+'!$AB$15,"D-",IF(F49&lt;'PlayerGrades+'!$AB$14,"D",IF(F49&lt;'PlayerGrades+'!$AB$13,"D+",IF(F49&lt;'PlayerGrades+'!$AB$12,"C-",IF(F49&lt;'PlayerGrades+'!$AB$11,"C",IF(F49&lt;'PlayerGrades+'!$AB$10,"C+",IF(F49&lt;'PlayerGrades+'!$AB$9,"B-",IF(F49&lt;'PlayerGrades+'!$AB$8,"B",IF(F49&lt;'PlayerGrades+'!$AB$7,"B+",IF(F49&lt;'PlayerGrades+'!$AB$6,"A-",IF(F49&lt;'PlayerGrades+'!$AB$5,"A",IF(F49&lt;'PlayerGrades+'!$AB$4,"A+",IF(F49&lt;'PlayerGrades+'!$AB$3,"S-",IF(F49&lt;'PlayerGrades+'!$AB$2,"S","S+"))))))))))))))))))))</f>
        <v>#DIV/0!</v>
      </c>
      <c r="H49" s="961" t="str">
        <f t="shared" si="3"/>
        <v>#DIV/0!</v>
      </c>
      <c r="I49" s="961" t="str">
        <f>IF(H49&lt;'PlayerGrades+'!$AC$21,"F-",IF(H49&lt;'PlayerGrades+'!$AC$20,"F",IF(H49&lt;'PlayerGrades+'!$AC$19,"F+",IF(H49&lt;'PlayerGrades+'!$AC$18,"E-",IF(H49&lt;'PlayerGrades+'!$AC$17,"E",IF(H49&lt;'PlayerGrades+'!$AC$16,"E+",IF(H49&lt;'PlayerGrades+'!$AC$15,"D-",IF(H49&lt;'PlayerGrades+'!$AC$14,"D",IF(H49&lt;'PlayerGrades+'!$AC$13,"D+",IF(H49&lt;'PlayerGrades+'!$AC$12,"C-",IF(H49&lt;'PlayerGrades+'!$AC$11,"C",IF(H49&lt;'PlayerGrades+'!$AC$10,"C+",IF(H49&lt;'PlayerGrades+'!$AC$9,"B-",IF(H49&lt;'PlayerGrades+'!$AC$8,"B",IF(H49&lt;'PlayerGrades+'!$AC$7,"B+",IF(H49&lt;'PlayerGrades+'!$AC$6,"A-",IF(H49&lt;'PlayerGrades+'!$AC$5,"A",IF(H49&lt;'PlayerGrades+'!$AC$4,"A+",IF(H49&lt;'PlayerGrades+'!$AC$3,"S-",IF(H49&lt;'PlayerGrades+'!$AC$2,"S","S+"))))))))))))))))))))</f>
        <v>#DIV/0!</v>
      </c>
      <c r="J49" s="961" t="str">
        <f t="shared" si="4"/>
        <v>#DIV/0!</v>
      </c>
      <c r="K49" s="961" t="str">
        <f>IF(J49&lt;'PlayerGrades+'!$AD$21,"F-",IF(J49&lt;'PlayerGrades+'!$AD$20,"F",IF(J49&lt;'PlayerGrades+'!$AD$19,"F+",IF(J49&lt;'PlayerGrades+'!$AD$18,"E-",IF(J49&lt;'PlayerGrades+'!$AD$17,"E",IF(J49&lt;'PlayerGrades+'!$AD$16,"E+",IF(J49&lt;'PlayerGrades+'!$AD$15,"D-",IF(J49&lt;'PlayerGrades+'!$AD$14,"D",IF(J49&lt;'PlayerGrades+'!$AD$13,"D+",IF(J49&lt;'PlayerGrades+'!$AD$12,"C-",IF(J49&lt;'PlayerGrades+'!$AD$11,"C",IF(J49&lt;'PlayerGrades+'!$AD$10,"C+",IF(J49&lt;'PlayerGrades+'!$AD$9,"B-",IF(J49&lt;'PlayerGrades+'!$AD$8,"B",IF(J49&lt;'PlayerGrades+'!$AD$7,"B+",IF(J49&lt;'PlayerGrades+'!$AD$6,"A-",IF(J49&lt;'PlayerGrades+'!$AD$5,"A",IF(J49&lt;'PlayerGrades+'!$AD$4,"A+",IF(J49&lt;'PlayerGrades+'!$AD$3,"S-",IF(J49&lt;'PlayerGrades+'!$AD$2,"S","S+"))))))))))))))))))))</f>
        <v>#DIV/0!</v>
      </c>
      <c r="L49" s="1176" t="str">
        <f t="shared" si="5"/>
        <v>#DIV/0!</v>
      </c>
      <c r="M49" s="992" t="str">
        <f>IF(L49&lt;'PlayerGrades+'!$AE$21,"F-",IF(L49&lt;'PlayerGrades+'!$AE$20,"F",IF(L49&lt;'PlayerGrades+'!$AE$19,"F+",IF(L49&lt;'PlayerGrades+'!$AE$18,"E-",IF(L49&lt;'PlayerGrades+'!$AE$17,"E",IF(L49&lt;'PlayerGrades+'!$AE$16,"E+",IF(L49&lt;'PlayerGrades+'!$AE$15,"D-",IF(L49&lt;'PlayerGrades+'!$AE$14,"D",IF(L49&lt;'PlayerGrades+'!$AE$13,"D+",IF(L49&lt;'PlayerGrades+'!$AE$12,"C-",IF(L49&lt;'PlayerGrades+'!$AE$11,"C",IF(L49&lt;'PlayerGrades+'!$AE$10,"C+",IF(L49&lt;'PlayerGrades+'!$AE$9,"B-",IF(L49&lt;'PlayerGrades+'!$AE$8,"B",IF(L49&lt;'PlayerGrades+'!$AE$7,"B+",IF(L49&lt;'PlayerGrades+'!$AE$6,"A-",IF(L49&lt;'PlayerGrades+'!$AE$5,"A",IF(L49&lt;'PlayerGrades+'!$AE$4,"A+",IF(L49&lt;'PlayerGrades+'!$AE$3,"S-",IF(L49&lt;'PlayerGrades+'!$AE$2,"S","S+"))))))))))))))))))))</f>
        <v>#DIV/0!</v>
      </c>
      <c r="N49" s="961" t="str">
        <f t="shared" si="6"/>
        <v>#DIV/0!</v>
      </c>
      <c r="O49" s="961" t="str">
        <f>IF(N49&lt;'PlayerGrades+'!$AF$21,"F-",IF(N49&lt;'PlayerGrades+'!$AF$20,"F",IF(N49&lt;'PlayerGrades+'!$AF$19,"F+",IF(N49&lt;'PlayerGrades+'!$AF$18,"E-",IF(N49&lt;'PlayerGrades+'!$AF$17,"E",IF(N49&lt;'PlayerGrades+'!$AF$16,"E+",IF(N49&lt;'PlayerGrades+'!$AF$15,"D-",IF(N49&lt;'PlayerGrades+'!$AF$14,"D",IF(N49&lt;'PlayerGrades+'!$AF$13,"D+",IF(N49&lt;'PlayerGrades+'!$AF$12,"C-",IF(N49&lt;'PlayerGrades+'!$AF$11,"C",IF(N49&lt;'PlayerGrades+'!$AF$10,"C+",IF(N49&lt;'PlayerGrades+'!$AF$9,"B-",IF(N49&lt;'PlayerGrades+'!$AF$8,"B",IF(N49&lt;'PlayerGrades+'!$AF$7,"B+",IF(N49&lt;'PlayerGrades+'!$AF$6,"A-",IF(N49&lt;'PlayerGrades+'!$AF$5,"A",IF(N49&lt;'PlayerGrades+'!$AF$4,"A+",IF(N49&lt;'PlayerGrades+'!$AF$3,"S-",IF(N49&lt;'PlayerGrades+'!$AF$2,"S","S+"))))))))))))))))))))</f>
        <v>#DIV/0!</v>
      </c>
      <c r="P49" s="961" t="str">
        <f t="shared" si="7"/>
        <v>#DIV/0!</v>
      </c>
      <c r="Q49" s="961" t="str">
        <f>IF(P49&lt;'PlayerGrades+'!$AG$21,"F-",IF(P49&lt;'PlayerGrades+'!$AG$20,"F",IF(P49&lt;'PlayerGrades+'!$AG$19,"F+",IF(P49&lt;'PlayerGrades+'!$AG$18,"E-",IF(P49&lt;'PlayerGrades+'!$AG$17,"E",IF(P49&lt;'PlayerGrades+'!$AG$16,"E+",IF(P49&lt;'PlayerGrades+'!$AG$15,"D-",IF(P49&lt;'PlayerGrades+'!$AG$14,"D",IF(P49&lt;'PlayerGrades+'!$AG$13,"D+",IF(P49&lt;'PlayerGrades+'!$AG$12,"C-",IF(P49&lt;'PlayerGrades+'!$AG$11,"C",IF(P49&lt;'PlayerGrades+'!$AG$10,"C+",IF(P49&lt;'PlayerGrades+'!$AG$9,"B-",IF(P49&lt;'PlayerGrades+'!$AG$8,"B",IF(P49&lt;'PlayerGrades+'!$AG$7,"B+",IF(P49&lt;'PlayerGrades+'!$AG$6,"A-",IF(P49&lt;'PlayerGrades+'!$AG$5,"A",IF(P49&lt;'PlayerGrades+'!$AG$4,"A+",IF(P49&lt;'PlayerGrades+'!$AG$3,"S-",IF(P49&lt;'PlayerGrades+'!$AG$2,"S","S+"))))))))))))))))))))</f>
        <v>#DIV/0!</v>
      </c>
      <c r="R49" s="961" t="str">
        <f t="shared" si="8"/>
        <v>#DIV/0!</v>
      </c>
      <c r="S49" s="961" t="str">
        <f>IF(R49&lt;'PlayerGrades+'!$AH$21,"F-",IF(R49&lt;'PlayerGrades+'!$AH$20,"F",IF(R49&lt;'PlayerGrades+'!$AH$19,"F+",IF(R49&lt;'PlayerGrades+'!$AH$18,"E-",IF(R49&lt;'PlayerGrades+'!$AH$17,"E",IF(R49&lt;'PlayerGrades+'!$AH$16,"E+",IF(R49&lt;'PlayerGrades+'!$AH$15,"D-",IF(R49&lt;'PlayerGrades+'!$AH$14,"D",IF(R49&lt;'PlayerGrades+'!$AH$13,"D+",IF(R49&lt;'PlayerGrades+'!$AH$12,"C-",IF(R49&lt;'PlayerGrades+'!$AH$11,"C",IF(R49&lt;'PlayerGrades+'!$AH$10,"C+",IF(R49&lt;'PlayerGrades+'!$AH$9,"B-",IF(R49&lt;'PlayerGrades+'!$AH$8,"B",IF(R49&lt;'PlayerGrades+'!$AH$7,"B+",IF(R49&lt;'PlayerGrades+'!$AH$6,"A-",IF(R49&lt;'PlayerGrades+'!$AH$5,"A",IF(R49&lt;'PlayerGrades+'!$AH$4,"A+",IF(R49&lt;'PlayerGrades+'!$AH$3,"S-",IF(R49&lt;'PlayerGrades+'!$AH$2,"S","S+"))))))))))))))))))))</f>
        <v>#DIV/0!</v>
      </c>
      <c r="T49" s="961">
        <f t="shared" si="9"/>
        <v>0</v>
      </c>
      <c r="U49" s="961" t="str">
        <f>IF(T49&lt;'PlayerGrades+'!$AI$21,"F-",IF(T49&lt;'PlayerGrades+'!$AI$20,"F",IF(T49&lt;'PlayerGrades+'!$AI$19,"F+",IF(T49&lt;'PlayerGrades+'!$AI$18,"E-",IF(T49&lt;'PlayerGrades+'!$AI$17,"E",IF(T49&lt;'PlayerGrades+'!$AI$16,"E+",IF(T49&lt;'PlayerGrades+'!$AI$15,"D-",IF(T49&lt;'PlayerGrades+'!$AI$14,"D",IF(T49&lt;'PlayerGrades+'!$AI$13,"D+",IF(T49&lt;'PlayerGrades+'!$AI$12,"C-",IF(T49&lt;'PlayerGrades+'!$AI$11,"C",IF(T49&lt;'PlayerGrades+'!$AI$10,"C+",IF(T49&lt;'PlayerGrades+'!$AI$9,"B-",IF(T49&lt;'PlayerGrades+'!$AI$8,"B",IF(T49&lt;'PlayerGrades+'!$AI$7,"B+",IF(T49&lt;'PlayerGrades+'!$AI$6,"A-",IF(T49&lt;'PlayerGrades+'!$AI$5,"A",IF(T49&lt;'PlayerGrades+'!$AI$4,"A+",IF(T49&lt;'PlayerGrades+'!$AI$3,"S-",IF(T49&lt;'PlayerGrades+'!$AI$2,"S","S+"))))))))))))))))))))</f>
        <v>F-</v>
      </c>
      <c r="V49" s="1386"/>
      <c r="W49" s="1386"/>
      <c r="X49" s="1386"/>
      <c r="Y49" s="1386"/>
      <c r="Z49" s="1386"/>
      <c r="AA49" s="1386"/>
      <c r="AB49" s="1386"/>
      <c r="AC49" s="1397"/>
      <c r="AD49" s="1386"/>
      <c r="AE49" s="1386"/>
      <c r="AF49" s="1386"/>
      <c r="AG49" s="1386"/>
      <c r="AH49" s="1386"/>
      <c r="AI49" s="1386"/>
      <c r="AJ49" s="1386"/>
      <c r="AK49" s="1386"/>
      <c r="AL49" s="1386"/>
      <c r="AM49" s="1386"/>
      <c r="AN49" s="1386"/>
      <c r="AO49" s="1386"/>
      <c r="AP49" s="1386"/>
      <c r="AQ49" s="1386"/>
      <c r="AR49" s="1386"/>
      <c r="AS49" s="1386"/>
      <c r="AT49" s="1386"/>
      <c r="AU49" s="1386"/>
      <c r="AV49" s="1386"/>
      <c r="AW49" s="1386"/>
      <c r="AX49" s="1386"/>
      <c r="AY49" s="1386"/>
      <c r="AZ49" s="1386"/>
    </row>
    <row r="50">
      <c r="A50" s="1389"/>
      <c r="B50" s="611" t="str">
        <f>IF(C50&lt;'PlayerGrades+'!$Y$44,"F-",IF(C50&lt;'PlayerGrades+'!$Y$43,"F",IF(C50&lt;'PlayerGrades+'!$Y$42,"F+",IF(C50&lt;'PlayerGrades+'!$Y$41,"E-",IF(C50&lt;'PlayerGrades+'!$Y$40,"E",IF(C50&lt;'PlayerGrades+'!$Y$39,"E+",IF(C50&lt;'PlayerGrades+'!$Y$38,"D-",IF(C50&lt;'PlayerGrades+'!$Y$37,"D",IF(C50&lt;'PlayerGrades+'!$Y$36,"D+",IF(C50&lt;'PlayerGrades+'!$Y$35,"C-",IF(C50&lt;'PlayerGrades+'!$Y$34,"C",IF(C50&lt;'PlayerGrades+'!$Y$33,"C+",IF(C50&lt;'PlayerGrades+'!$Y$32,"B-",IF(C50&lt;'PlayerGrades+'!$Y$31,"B",IF(C50&lt;'PlayerGrades+'!$Y$30,"B+",IF(C50&lt;'PlayerGrades+'!$Y$29,"A-",IF(C50&lt;'PlayerGrades+'!$Y$28,"A",IF(C50&lt;'PlayerGrades+'!$Y$27,"A+",IF(C50&lt;'PlayerGrades+'!$Y$26,"S-",IF(C50&lt;'PlayerGrades+'!$Y$25,"S","S+"))))))))))))))))))))</f>
        <v>#DIV/0!</v>
      </c>
      <c r="C50" s="1378" t="str">
        <f>('PlayerGrades+'!$Y$47*(VLOOKUP(E50, 'PlayerGrades+'!$X$3:$Y$23, 2, FALSE)))+('PlayerGrades+'!$Y$48*(VLOOKUP(G50, 'PlayerGrades+'!$X$3:$Y$23, 2, FALSE)))+('PlayerGrades+'!$Y$49*(VLOOKUP(I50, 'PlayerGrades+'!$X$3:$Y$23, 2, FALSE)))+('PlayerGrades+'!$Y$50*(VLOOKUP(K50, 'PlayerGrades+'!$X$3:$Y$23, 2, FALSE)))+('PlayerGrades+'!$Y$51*(VLOOKUP(M50, 'PlayerGrades+'!$X$3:$Y$23, 2, FALSE)))+('PlayerGrades+'!$Y$52*(VLOOKUP(O50, 'PlayerGrades+'!$X$3:$Y$23, 2, FALSE)))+('PlayerGrades+'!$Y$53*(VLOOKUP(Q50, 'PlayerGrades+'!$X$3:$Y$23, 2, FALSE)))+('PlayerGrades+'!$Y$54*(VLOOKUP(S50, 'PlayerGrades+'!$X$3:$Y$23, 2, FALSE)))+('PlayerGrades+'!$Y$55*(VLOOKUP(U50, 'PlayerGrades+'!$X$3:$Y$23, 2, FALSE)))</f>
        <v>#DIV/0!</v>
      </c>
      <c r="D50" s="961" t="str">
        <f t="shared" si="1"/>
        <v>#DIV/0!</v>
      </c>
      <c r="E50" s="961" t="str">
        <f>IF(D50&lt;'PlayerGrades+'!$AA$21,"F-",IF(D50&lt;'PlayerGrades+'!$AA$20,"F",IF(D50&lt;'PlayerGrades+'!$AA$19,"F+",IF(D50&lt;'PlayerGrades+'!$AA$18,"E-",IF(D50&lt;'PlayerGrades+'!$AA$17,"E",IF(D50&lt;'PlayerGrades+'!$AA$16,"E+",IF(D50&lt;'PlayerGrades+'!$AA$15,"D-",IF(D50&lt;'PlayerGrades+'!$AA$14,"D",IF(D50&lt;'PlayerGrades+'!$AA$13,"D+",IF(D50&lt;'PlayerGrades+'!$AA$12,"C-",IF(D50&lt;'PlayerGrades+'!$AA$11,"C",IF(D50&lt;'PlayerGrades+'!$AA$10,"C+",IF(D50&lt;'PlayerGrades+'!$AA$9,"B-",IF(D50&lt;'PlayerGrades+'!$AA$8,"B",IF(D50&lt;'PlayerGrades+'!$AA$7,"B+",IF(D50&lt;'PlayerGrades+'!$AA$6,"A-",IF(D50&lt;'PlayerGrades+'!$AA$5,"A",IF(D50&lt;'PlayerGrades+'!$AA$4,"A+",IF(D50&lt;'PlayerGrades+'!$AA$3,"S-",IF(D50&lt;'PlayerGrades+'!$AA$2,"S","S+"))))))))))))))))))))</f>
        <v>#DIV/0!</v>
      </c>
      <c r="F50" s="961" t="str">
        <f t="shared" si="2"/>
        <v>#DIV/0!</v>
      </c>
      <c r="G50" s="961" t="str">
        <f>IF(F50&lt;'PlayerGrades+'!$AB$21,"F-",IF(F50&lt;'PlayerGrades+'!$AB$20,"F",IF(F50&lt;'PlayerGrades+'!$AB$19,"F+",IF(F50&lt;'PlayerGrades+'!$AB$18,"E-",IF(F50&lt;'PlayerGrades+'!$AB$17,"E",IF(F50&lt;'PlayerGrades+'!$AB$16,"E+",IF(F50&lt;'PlayerGrades+'!$AB$15,"D-",IF(F50&lt;'PlayerGrades+'!$AB$14,"D",IF(F50&lt;'PlayerGrades+'!$AB$13,"D+",IF(F50&lt;'PlayerGrades+'!$AB$12,"C-",IF(F50&lt;'PlayerGrades+'!$AB$11,"C",IF(F50&lt;'PlayerGrades+'!$AB$10,"C+",IF(F50&lt;'PlayerGrades+'!$AB$9,"B-",IF(F50&lt;'PlayerGrades+'!$AB$8,"B",IF(F50&lt;'PlayerGrades+'!$AB$7,"B+",IF(F50&lt;'PlayerGrades+'!$AB$6,"A-",IF(F50&lt;'PlayerGrades+'!$AB$5,"A",IF(F50&lt;'PlayerGrades+'!$AB$4,"A+",IF(F50&lt;'PlayerGrades+'!$AB$3,"S-",IF(F50&lt;'PlayerGrades+'!$AB$2,"S","S+"))))))))))))))))))))</f>
        <v>#DIV/0!</v>
      </c>
      <c r="H50" s="961" t="str">
        <f t="shared" si="3"/>
        <v>#DIV/0!</v>
      </c>
      <c r="I50" s="961" t="str">
        <f>IF(H50&lt;'PlayerGrades+'!$AC$21,"F-",IF(H50&lt;'PlayerGrades+'!$AC$20,"F",IF(H50&lt;'PlayerGrades+'!$AC$19,"F+",IF(H50&lt;'PlayerGrades+'!$AC$18,"E-",IF(H50&lt;'PlayerGrades+'!$AC$17,"E",IF(H50&lt;'PlayerGrades+'!$AC$16,"E+",IF(H50&lt;'PlayerGrades+'!$AC$15,"D-",IF(H50&lt;'PlayerGrades+'!$AC$14,"D",IF(H50&lt;'PlayerGrades+'!$AC$13,"D+",IF(H50&lt;'PlayerGrades+'!$AC$12,"C-",IF(H50&lt;'PlayerGrades+'!$AC$11,"C",IF(H50&lt;'PlayerGrades+'!$AC$10,"C+",IF(H50&lt;'PlayerGrades+'!$AC$9,"B-",IF(H50&lt;'PlayerGrades+'!$AC$8,"B",IF(H50&lt;'PlayerGrades+'!$AC$7,"B+",IF(H50&lt;'PlayerGrades+'!$AC$6,"A-",IF(H50&lt;'PlayerGrades+'!$AC$5,"A",IF(H50&lt;'PlayerGrades+'!$AC$4,"A+",IF(H50&lt;'PlayerGrades+'!$AC$3,"S-",IF(H50&lt;'PlayerGrades+'!$AC$2,"S","S+"))))))))))))))))))))</f>
        <v>#DIV/0!</v>
      </c>
      <c r="J50" s="961" t="str">
        <f t="shared" si="4"/>
        <v>#DIV/0!</v>
      </c>
      <c r="K50" s="961" t="str">
        <f>IF(J50&lt;'PlayerGrades+'!$AD$21,"F-",IF(J50&lt;'PlayerGrades+'!$AD$20,"F",IF(J50&lt;'PlayerGrades+'!$AD$19,"F+",IF(J50&lt;'PlayerGrades+'!$AD$18,"E-",IF(J50&lt;'PlayerGrades+'!$AD$17,"E",IF(J50&lt;'PlayerGrades+'!$AD$16,"E+",IF(J50&lt;'PlayerGrades+'!$AD$15,"D-",IF(J50&lt;'PlayerGrades+'!$AD$14,"D",IF(J50&lt;'PlayerGrades+'!$AD$13,"D+",IF(J50&lt;'PlayerGrades+'!$AD$12,"C-",IF(J50&lt;'PlayerGrades+'!$AD$11,"C",IF(J50&lt;'PlayerGrades+'!$AD$10,"C+",IF(J50&lt;'PlayerGrades+'!$AD$9,"B-",IF(J50&lt;'PlayerGrades+'!$AD$8,"B",IF(J50&lt;'PlayerGrades+'!$AD$7,"B+",IF(J50&lt;'PlayerGrades+'!$AD$6,"A-",IF(J50&lt;'PlayerGrades+'!$AD$5,"A",IF(J50&lt;'PlayerGrades+'!$AD$4,"A+",IF(J50&lt;'PlayerGrades+'!$AD$3,"S-",IF(J50&lt;'PlayerGrades+'!$AD$2,"S","S+"))))))))))))))))))))</f>
        <v>#DIV/0!</v>
      </c>
      <c r="L50" s="1176" t="str">
        <f t="shared" si="5"/>
        <v>#DIV/0!</v>
      </c>
      <c r="M50" s="992" t="str">
        <f>IF(L50&lt;'PlayerGrades+'!$AE$21,"F-",IF(L50&lt;'PlayerGrades+'!$AE$20,"F",IF(L50&lt;'PlayerGrades+'!$AE$19,"F+",IF(L50&lt;'PlayerGrades+'!$AE$18,"E-",IF(L50&lt;'PlayerGrades+'!$AE$17,"E",IF(L50&lt;'PlayerGrades+'!$AE$16,"E+",IF(L50&lt;'PlayerGrades+'!$AE$15,"D-",IF(L50&lt;'PlayerGrades+'!$AE$14,"D",IF(L50&lt;'PlayerGrades+'!$AE$13,"D+",IF(L50&lt;'PlayerGrades+'!$AE$12,"C-",IF(L50&lt;'PlayerGrades+'!$AE$11,"C",IF(L50&lt;'PlayerGrades+'!$AE$10,"C+",IF(L50&lt;'PlayerGrades+'!$AE$9,"B-",IF(L50&lt;'PlayerGrades+'!$AE$8,"B",IF(L50&lt;'PlayerGrades+'!$AE$7,"B+",IF(L50&lt;'PlayerGrades+'!$AE$6,"A-",IF(L50&lt;'PlayerGrades+'!$AE$5,"A",IF(L50&lt;'PlayerGrades+'!$AE$4,"A+",IF(L50&lt;'PlayerGrades+'!$AE$3,"S-",IF(L50&lt;'PlayerGrades+'!$AE$2,"S","S+"))))))))))))))))))))</f>
        <v>#DIV/0!</v>
      </c>
      <c r="N50" s="961" t="str">
        <f t="shared" si="6"/>
        <v>#DIV/0!</v>
      </c>
      <c r="O50" s="961" t="str">
        <f>IF(N50&lt;'PlayerGrades+'!$AF$21,"F-",IF(N50&lt;'PlayerGrades+'!$AF$20,"F",IF(N50&lt;'PlayerGrades+'!$AF$19,"F+",IF(N50&lt;'PlayerGrades+'!$AF$18,"E-",IF(N50&lt;'PlayerGrades+'!$AF$17,"E",IF(N50&lt;'PlayerGrades+'!$AF$16,"E+",IF(N50&lt;'PlayerGrades+'!$AF$15,"D-",IF(N50&lt;'PlayerGrades+'!$AF$14,"D",IF(N50&lt;'PlayerGrades+'!$AF$13,"D+",IF(N50&lt;'PlayerGrades+'!$AF$12,"C-",IF(N50&lt;'PlayerGrades+'!$AF$11,"C",IF(N50&lt;'PlayerGrades+'!$AF$10,"C+",IF(N50&lt;'PlayerGrades+'!$AF$9,"B-",IF(N50&lt;'PlayerGrades+'!$AF$8,"B",IF(N50&lt;'PlayerGrades+'!$AF$7,"B+",IF(N50&lt;'PlayerGrades+'!$AF$6,"A-",IF(N50&lt;'PlayerGrades+'!$AF$5,"A",IF(N50&lt;'PlayerGrades+'!$AF$4,"A+",IF(N50&lt;'PlayerGrades+'!$AF$3,"S-",IF(N50&lt;'PlayerGrades+'!$AF$2,"S","S+"))))))))))))))))))))</f>
        <v>#DIV/0!</v>
      </c>
      <c r="P50" s="961" t="str">
        <f t="shared" si="7"/>
        <v>#DIV/0!</v>
      </c>
      <c r="Q50" s="961" t="str">
        <f>IF(P50&lt;'PlayerGrades+'!$AG$21,"F-",IF(P50&lt;'PlayerGrades+'!$AG$20,"F",IF(P50&lt;'PlayerGrades+'!$AG$19,"F+",IF(P50&lt;'PlayerGrades+'!$AG$18,"E-",IF(P50&lt;'PlayerGrades+'!$AG$17,"E",IF(P50&lt;'PlayerGrades+'!$AG$16,"E+",IF(P50&lt;'PlayerGrades+'!$AG$15,"D-",IF(P50&lt;'PlayerGrades+'!$AG$14,"D",IF(P50&lt;'PlayerGrades+'!$AG$13,"D+",IF(P50&lt;'PlayerGrades+'!$AG$12,"C-",IF(P50&lt;'PlayerGrades+'!$AG$11,"C",IF(P50&lt;'PlayerGrades+'!$AG$10,"C+",IF(P50&lt;'PlayerGrades+'!$AG$9,"B-",IF(P50&lt;'PlayerGrades+'!$AG$8,"B",IF(P50&lt;'PlayerGrades+'!$AG$7,"B+",IF(P50&lt;'PlayerGrades+'!$AG$6,"A-",IF(P50&lt;'PlayerGrades+'!$AG$5,"A",IF(P50&lt;'PlayerGrades+'!$AG$4,"A+",IF(P50&lt;'PlayerGrades+'!$AG$3,"S-",IF(P50&lt;'PlayerGrades+'!$AG$2,"S","S+"))))))))))))))))))))</f>
        <v>#DIV/0!</v>
      </c>
      <c r="R50" s="961" t="str">
        <f t="shared" si="8"/>
        <v>#DIV/0!</v>
      </c>
      <c r="S50" s="961" t="str">
        <f>IF(R50&lt;'PlayerGrades+'!$AH$21,"F-",IF(R50&lt;'PlayerGrades+'!$AH$20,"F",IF(R50&lt;'PlayerGrades+'!$AH$19,"F+",IF(R50&lt;'PlayerGrades+'!$AH$18,"E-",IF(R50&lt;'PlayerGrades+'!$AH$17,"E",IF(R50&lt;'PlayerGrades+'!$AH$16,"E+",IF(R50&lt;'PlayerGrades+'!$AH$15,"D-",IF(R50&lt;'PlayerGrades+'!$AH$14,"D",IF(R50&lt;'PlayerGrades+'!$AH$13,"D+",IF(R50&lt;'PlayerGrades+'!$AH$12,"C-",IF(R50&lt;'PlayerGrades+'!$AH$11,"C",IF(R50&lt;'PlayerGrades+'!$AH$10,"C+",IF(R50&lt;'PlayerGrades+'!$AH$9,"B-",IF(R50&lt;'PlayerGrades+'!$AH$8,"B",IF(R50&lt;'PlayerGrades+'!$AH$7,"B+",IF(R50&lt;'PlayerGrades+'!$AH$6,"A-",IF(R50&lt;'PlayerGrades+'!$AH$5,"A",IF(R50&lt;'PlayerGrades+'!$AH$4,"A+",IF(R50&lt;'PlayerGrades+'!$AH$3,"S-",IF(R50&lt;'PlayerGrades+'!$AH$2,"S","S+"))))))))))))))))))))</f>
        <v>#DIV/0!</v>
      </c>
      <c r="T50" s="961">
        <f t="shared" si="9"/>
        <v>0</v>
      </c>
      <c r="U50" s="961" t="str">
        <f>IF(T50&lt;'PlayerGrades+'!$AI$21,"F-",IF(T50&lt;'PlayerGrades+'!$AI$20,"F",IF(T50&lt;'PlayerGrades+'!$AI$19,"F+",IF(T50&lt;'PlayerGrades+'!$AI$18,"E-",IF(T50&lt;'PlayerGrades+'!$AI$17,"E",IF(T50&lt;'PlayerGrades+'!$AI$16,"E+",IF(T50&lt;'PlayerGrades+'!$AI$15,"D-",IF(T50&lt;'PlayerGrades+'!$AI$14,"D",IF(T50&lt;'PlayerGrades+'!$AI$13,"D+",IF(T50&lt;'PlayerGrades+'!$AI$12,"C-",IF(T50&lt;'PlayerGrades+'!$AI$11,"C",IF(T50&lt;'PlayerGrades+'!$AI$10,"C+",IF(T50&lt;'PlayerGrades+'!$AI$9,"B-",IF(T50&lt;'PlayerGrades+'!$AI$8,"B",IF(T50&lt;'PlayerGrades+'!$AI$7,"B+",IF(T50&lt;'PlayerGrades+'!$AI$6,"A-",IF(T50&lt;'PlayerGrades+'!$AI$5,"A",IF(T50&lt;'PlayerGrades+'!$AI$4,"A+",IF(T50&lt;'PlayerGrades+'!$AI$3,"S-",IF(T50&lt;'PlayerGrades+'!$AI$2,"S","S+"))))))))))))))))))))</f>
        <v>F-</v>
      </c>
      <c r="V50" s="1379"/>
      <c r="W50" s="1379"/>
      <c r="X50" s="1379"/>
      <c r="Y50" s="1379"/>
      <c r="Z50" s="1379"/>
      <c r="AA50" s="1379"/>
      <c r="AB50" s="1379"/>
      <c r="AC50" s="1390"/>
      <c r="AD50" s="1379"/>
      <c r="AE50" s="1379"/>
      <c r="AF50" s="1379"/>
      <c r="AG50" s="1379"/>
      <c r="AH50" s="1379"/>
      <c r="AI50" s="1379"/>
      <c r="AJ50" s="1379"/>
      <c r="AK50" s="1379"/>
      <c r="AL50" s="1379"/>
      <c r="AM50" s="1379"/>
      <c r="AN50" s="1379"/>
      <c r="AO50" s="1379"/>
      <c r="AP50" s="1379"/>
      <c r="AQ50" s="1379"/>
      <c r="AR50" s="1379"/>
      <c r="AS50" s="1379"/>
      <c r="AT50" s="1379"/>
      <c r="AU50" s="1379"/>
      <c r="AV50" s="1379"/>
      <c r="AW50" s="1379"/>
      <c r="AX50" s="1379"/>
      <c r="AY50" s="1379"/>
      <c r="AZ50" s="1379"/>
    </row>
    <row r="51">
      <c r="A51" s="1391"/>
      <c r="B51" s="611" t="str">
        <f>IF(C51&lt;'PlayerGrades+'!$Y$44,"F-",IF(C51&lt;'PlayerGrades+'!$Y$43,"F",IF(C51&lt;'PlayerGrades+'!$Y$42,"F+",IF(C51&lt;'PlayerGrades+'!$Y$41,"E-",IF(C51&lt;'PlayerGrades+'!$Y$40,"E",IF(C51&lt;'PlayerGrades+'!$Y$39,"E+",IF(C51&lt;'PlayerGrades+'!$Y$38,"D-",IF(C51&lt;'PlayerGrades+'!$Y$37,"D",IF(C51&lt;'PlayerGrades+'!$Y$36,"D+",IF(C51&lt;'PlayerGrades+'!$Y$35,"C-",IF(C51&lt;'PlayerGrades+'!$Y$34,"C",IF(C51&lt;'PlayerGrades+'!$Y$33,"C+",IF(C51&lt;'PlayerGrades+'!$Y$32,"B-",IF(C51&lt;'PlayerGrades+'!$Y$31,"B",IF(C51&lt;'PlayerGrades+'!$Y$30,"B+",IF(C51&lt;'PlayerGrades+'!$Y$29,"A-",IF(C51&lt;'PlayerGrades+'!$Y$28,"A",IF(C51&lt;'PlayerGrades+'!$Y$27,"A+",IF(C51&lt;'PlayerGrades+'!$Y$26,"S-",IF(C51&lt;'PlayerGrades+'!$Y$25,"S","S+"))))))))))))))))))))</f>
        <v>#DIV/0!</v>
      </c>
      <c r="C51" s="1378" t="str">
        <f>('PlayerGrades+'!$Y$47*(VLOOKUP(E51, 'PlayerGrades+'!$X$3:$Y$23, 2, FALSE)))+('PlayerGrades+'!$Y$48*(VLOOKUP(G51, 'PlayerGrades+'!$X$3:$Y$23, 2, FALSE)))+('PlayerGrades+'!$Y$49*(VLOOKUP(I51, 'PlayerGrades+'!$X$3:$Y$23, 2, FALSE)))+('PlayerGrades+'!$Y$50*(VLOOKUP(K51, 'PlayerGrades+'!$X$3:$Y$23, 2, FALSE)))+('PlayerGrades+'!$Y$51*(VLOOKUP(M51, 'PlayerGrades+'!$X$3:$Y$23, 2, FALSE)))+('PlayerGrades+'!$Y$52*(VLOOKUP(O51, 'PlayerGrades+'!$X$3:$Y$23, 2, FALSE)))+('PlayerGrades+'!$Y$53*(VLOOKUP(Q51, 'PlayerGrades+'!$X$3:$Y$23, 2, FALSE)))+('PlayerGrades+'!$Y$54*(VLOOKUP(S51, 'PlayerGrades+'!$X$3:$Y$23, 2, FALSE)))+('PlayerGrades+'!$Y$55*(VLOOKUP(U51, 'PlayerGrades+'!$X$3:$Y$23, 2, FALSE)))</f>
        <v>#DIV/0!</v>
      </c>
      <c r="D51" s="961" t="str">
        <f t="shared" si="1"/>
        <v>#DIV/0!</v>
      </c>
      <c r="E51" s="961" t="str">
        <f>IF(D51&lt;'PlayerGrades+'!$AA$21,"F-",IF(D51&lt;'PlayerGrades+'!$AA$20,"F",IF(D51&lt;'PlayerGrades+'!$AA$19,"F+",IF(D51&lt;'PlayerGrades+'!$AA$18,"E-",IF(D51&lt;'PlayerGrades+'!$AA$17,"E",IF(D51&lt;'PlayerGrades+'!$AA$16,"E+",IF(D51&lt;'PlayerGrades+'!$AA$15,"D-",IF(D51&lt;'PlayerGrades+'!$AA$14,"D",IF(D51&lt;'PlayerGrades+'!$AA$13,"D+",IF(D51&lt;'PlayerGrades+'!$AA$12,"C-",IF(D51&lt;'PlayerGrades+'!$AA$11,"C",IF(D51&lt;'PlayerGrades+'!$AA$10,"C+",IF(D51&lt;'PlayerGrades+'!$AA$9,"B-",IF(D51&lt;'PlayerGrades+'!$AA$8,"B",IF(D51&lt;'PlayerGrades+'!$AA$7,"B+",IF(D51&lt;'PlayerGrades+'!$AA$6,"A-",IF(D51&lt;'PlayerGrades+'!$AA$5,"A",IF(D51&lt;'PlayerGrades+'!$AA$4,"A+",IF(D51&lt;'PlayerGrades+'!$AA$3,"S-",IF(D51&lt;'PlayerGrades+'!$AA$2,"S","S+"))))))))))))))))))))</f>
        <v>#DIV/0!</v>
      </c>
      <c r="F51" s="961" t="str">
        <f t="shared" si="2"/>
        <v>#DIV/0!</v>
      </c>
      <c r="G51" s="961" t="str">
        <f>IF(F51&lt;'PlayerGrades+'!$AB$21,"F-",IF(F51&lt;'PlayerGrades+'!$AB$20,"F",IF(F51&lt;'PlayerGrades+'!$AB$19,"F+",IF(F51&lt;'PlayerGrades+'!$AB$18,"E-",IF(F51&lt;'PlayerGrades+'!$AB$17,"E",IF(F51&lt;'PlayerGrades+'!$AB$16,"E+",IF(F51&lt;'PlayerGrades+'!$AB$15,"D-",IF(F51&lt;'PlayerGrades+'!$AB$14,"D",IF(F51&lt;'PlayerGrades+'!$AB$13,"D+",IF(F51&lt;'PlayerGrades+'!$AB$12,"C-",IF(F51&lt;'PlayerGrades+'!$AB$11,"C",IF(F51&lt;'PlayerGrades+'!$AB$10,"C+",IF(F51&lt;'PlayerGrades+'!$AB$9,"B-",IF(F51&lt;'PlayerGrades+'!$AB$8,"B",IF(F51&lt;'PlayerGrades+'!$AB$7,"B+",IF(F51&lt;'PlayerGrades+'!$AB$6,"A-",IF(F51&lt;'PlayerGrades+'!$AB$5,"A",IF(F51&lt;'PlayerGrades+'!$AB$4,"A+",IF(F51&lt;'PlayerGrades+'!$AB$3,"S-",IF(F51&lt;'PlayerGrades+'!$AB$2,"S","S+"))))))))))))))))))))</f>
        <v>#DIV/0!</v>
      </c>
      <c r="H51" s="961" t="str">
        <f t="shared" si="3"/>
        <v>#DIV/0!</v>
      </c>
      <c r="I51" s="961" t="str">
        <f>IF(H51&lt;'PlayerGrades+'!$AC$21,"F-",IF(H51&lt;'PlayerGrades+'!$AC$20,"F",IF(H51&lt;'PlayerGrades+'!$AC$19,"F+",IF(H51&lt;'PlayerGrades+'!$AC$18,"E-",IF(H51&lt;'PlayerGrades+'!$AC$17,"E",IF(H51&lt;'PlayerGrades+'!$AC$16,"E+",IF(H51&lt;'PlayerGrades+'!$AC$15,"D-",IF(H51&lt;'PlayerGrades+'!$AC$14,"D",IF(H51&lt;'PlayerGrades+'!$AC$13,"D+",IF(H51&lt;'PlayerGrades+'!$AC$12,"C-",IF(H51&lt;'PlayerGrades+'!$AC$11,"C",IF(H51&lt;'PlayerGrades+'!$AC$10,"C+",IF(H51&lt;'PlayerGrades+'!$AC$9,"B-",IF(H51&lt;'PlayerGrades+'!$AC$8,"B",IF(H51&lt;'PlayerGrades+'!$AC$7,"B+",IF(H51&lt;'PlayerGrades+'!$AC$6,"A-",IF(H51&lt;'PlayerGrades+'!$AC$5,"A",IF(H51&lt;'PlayerGrades+'!$AC$4,"A+",IF(H51&lt;'PlayerGrades+'!$AC$3,"S-",IF(H51&lt;'PlayerGrades+'!$AC$2,"S","S+"))))))))))))))))))))</f>
        <v>#DIV/0!</v>
      </c>
      <c r="J51" s="961" t="str">
        <f t="shared" si="4"/>
        <v>#DIV/0!</v>
      </c>
      <c r="K51" s="961" t="str">
        <f>IF(J51&lt;'PlayerGrades+'!$AD$21,"F-",IF(J51&lt;'PlayerGrades+'!$AD$20,"F",IF(J51&lt;'PlayerGrades+'!$AD$19,"F+",IF(J51&lt;'PlayerGrades+'!$AD$18,"E-",IF(J51&lt;'PlayerGrades+'!$AD$17,"E",IF(J51&lt;'PlayerGrades+'!$AD$16,"E+",IF(J51&lt;'PlayerGrades+'!$AD$15,"D-",IF(J51&lt;'PlayerGrades+'!$AD$14,"D",IF(J51&lt;'PlayerGrades+'!$AD$13,"D+",IF(J51&lt;'PlayerGrades+'!$AD$12,"C-",IF(J51&lt;'PlayerGrades+'!$AD$11,"C",IF(J51&lt;'PlayerGrades+'!$AD$10,"C+",IF(J51&lt;'PlayerGrades+'!$AD$9,"B-",IF(J51&lt;'PlayerGrades+'!$AD$8,"B",IF(J51&lt;'PlayerGrades+'!$AD$7,"B+",IF(J51&lt;'PlayerGrades+'!$AD$6,"A-",IF(J51&lt;'PlayerGrades+'!$AD$5,"A",IF(J51&lt;'PlayerGrades+'!$AD$4,"A+",IF(J51&lt;'PlayerGrades+'!$AD$3,"S-",IF(J51&lt;'PlayerGrades+'!$AD$2,"S","S+"))))))))))))))))))))</f>
        <v>#DIV/0!</v>
      </c>
      <c r="L51" s="1176" t="str">
        <f t="shared" si="5"/>
        <v>#DIV/0!</v>
      </c>
      <c r="M51" s="992" t="str">
        <f>IF(L51&lt;'PlayerGrades+'!$AE$21,"F-",IF(L51&lt;'PlayerGrades+'!$AE$20,"F",IF(L51&lt;'PlayerGrades+'!$AE$19,"F+",IF(L51&lt;'PlayerGrades+'!$AE$18,"E-",IF(L51&lt;'PlayerGrades+'!$AE$17,"E",IF(L51&lt;'PlayerGrades+'!$AE$16,"E+",IF(L51&lt;'PlayerGrades+'!$AE$15,"D-",IF(L51&lt;'PlayerGrades+'!$AE$14,"D",IF(L51&lt;'PlayerGrades+'!$AE$13,"D+",IF(L51&lt;'PlayerGrades+'!$AE$12,"C-",IF(L51&lt;'PlayerGrades+'!$AE$11,"C",IF(L51&lt;'PlayerGrades+'!$AE$10,"C+",IF(L51&lt;'PlayerGrades+'!$AE$9,"B-",IF(L51&lt;'PlayerGrades+'!$AE$8,"B",IF(L51&lt;'PlayerGrades+'!$AE$7,"B+",IF(L51&lt;'PlayerGrades+'!$AE$6,"A-",IF(L51&lt;'PlayerGrades+'!$AE$5,"A",IF(L51&lt;'PlayerGrades+'!$AE$4,"A+",IF(L51&lt;'PlayerGrades+'!$AE$3,"S-",IF(L51&lt;'PlayerGrades+'!$AE$2,"S","S+"))))))))))))))))))))</f>
        <v>#DIV/0!</v>
      </c>
      <c r="N51" s="961" t="str">
        <f t="shared" si="6"/>
        <v>#DIV/0!</v>
      </c>
      <c r="O51" s="961" t="str">
        <f>IF(N51&lt;'PlayerGrades+'!$AF$21,"F-",IF(N51&lt;'PlayerGrades+'!$AF$20,"F",IF(N51&lt;'PlayerGrades+'!$AF$19,"F+",IF(N51&lt;'PlayerGrades+'!$AF$18,"E-",IF(N51&lt;'PlayerGrades+'!$AF$17,"E",IF(N51&lt;'PlayerGrades+'!$AF$16,"E+",IF(N51&lt;'PlayerGrades+'!$AF$15,"D-",IF(N51&lt;'PlayerGrades+'!$AF$14,"D",IF(N51&lt;'PlayerGrades+'!$AF$13,"D+",IF(N51&lt;'PlayerGrades+'!$AF$12,"C-",IF(N51&lt;'PlayerGrades+'!$AF$11,"C",IF(N51&lt;'PlayerGrades+'!$AF$10,"C+",IF(N51&lt;'PlayerGrades+'!$AF$9,"B-",IF(N51&lt;'PlayerGrades+'!$AF$8,"B",IF(N51&lt;'PlayerGrades+'!$AF$7,"B+",IF(N51&lt;'PlayerGrades+'!$AF$6,"A-",IF(N51&lt;'PlayerGrades+'!$AF$5,"A",IF(N51&lt;'PlayerGrades+'!$AF$4,"A+",IF(N51&lt;'PlayerGrades+'!$AF$3,"S-",IF(N51&lt;'PlayerGrades+'!$AF$2,"S","S+"))))))))))))))))))))</f>
        <v>#DIV/0!</v>
      </c>
      <c r="P51" s="961" t="str">
        <f t="shared" si="7"/>
        <v>#DIV/0!</v>
      </c>
      <c r="Q51" s="961" t="str">
        <f>IF(P51&lt;'PlayerGrades+'!$AG$21,"F-",IF(P51&lt;'PlayerGrades+'!$AG$20,"F",IF(P51&lt;'PlayerGrades+'!$AG$19,"F+",IF(P51&lt;'PlayerGrades+'!$AG$18,"E-",IF(P51&lt;'PlayerGrades+'!$AG$17,"E",IF(P51&lt;'PlayerGrades+'!$AG$16,"E+",IF(P51&lt;'PlayerGrades+'!$AG$15,"D-",IF(P51&lt;'PlayerGrades+'!$AG$14,"D",IF(P51&lt;'PlayerGrades+'!$AG$13,"D+",IF(P51&lt;'PlayerGrades+'!$AG$12,"C-",IF(P51&lt;'PlayerGrades+'!$AG$11,"C",IF(P51&lt;'PlayerGrades+'!$AG$10,"C+",IF(P51&lt;'PlayerGrades+'!$AG$9,"B-",IF(P51&lt;'PlayerGrades+'!$AG$8,"B",IF(P51&lt;'PlayerGrades+'!$AG$7,"B+",IF(P51&lt;'PlayerGrades+'!$AG$6,"A-",IF(P51&lt;'PlayerGrades+'!$AG$5,"A",IF(P51&lt;'PlayerGrades+'!$AG$4,"A+",IF(P51&lt;'PlayerGrades+'!$AG$3,"S-",IF(P51&lt;'PlayerGrades+'!$AG$2,"S","S+"))))))))))))))))))))</f>
        <v>#DIV/0!</v>
      </c>
      <c r="R51" s="961" t="str">
        <f t="shared" si="8"/>
        <v>#DIV/0!</v>
      </c>
      <c r="S51" s="961" t="str">
        <f>IF(R51&lt;'PlayerGrades+'!$AH$21,"F-",IF(R51&lt;'PlayerGrades+'!$AH$20,"F",IF(R51&lt;'PlayerGrades+'!$AH$19,"F+",IF(R51&lt;'PlayerGrades+'!$AH$18,"E-",IF(R51&lt;'PlayerGrades+'!$AH$17,"E",IF(R51&lt;'PlayerGrades+'!$AH$16,"E+",IF(R51&lt;'PlayerGrades+'!$AH$15,"D-",IF(R51&lt;'PlayerGrades+'!$AH$14,"D",IF(R51&lt;'PlayerGrades+'!$AH$13,"D+",IF(R51&lt;'PlayerGrades+'!$AH$12,"C-",IF(R51&lt;'PlayerGrades+'!$AH$11,"C",IF(R51&lt;'PlayerGrades+'!$AH$10,"C+",IF(R51&lt;'PlayerGrades+'!$AH$9,"B-",IF(R51&lt;'PlayerGrades+'!$AH$8,"B",IF(R51&lt;'PlayerGrades+'!$AH$7,"B+",IF(R51&lt;'PlayerGrades+'!$AH$6,"A-",IF(R51&lt;'PlayerGrades+'!$AH$5,"A",IF(R51&lt;'PlayerGrades+'!$AH$4,"A+",IF(R51&lt;'PlayerGrades+'!$AH$3,"S-",IF(R51&lt;'PlayerGrades+'!$AH$2,"S","S+"))))))))))))))))))))</f>
        <v>#DIV/0!</v>
      </c>
      <c r="T51" s="961">
        <f t="shared" si="9"/>
        <v>0</v>
      </c>
      <c r="U51" s="961" t="str">
        <f>IF(T51&lt;'PlayerGrades+'!$AI$21,"F-",IF(T51&lt;'PlayerGrades+'!$AI$20,"F",IF(T51&lt;'PlayerGrades+'!$AI$19,"F+",IF(T51&lt;'PlayerGrades+'!$AI$18,"E-",IF(T51&lt;'PlayerGrades+'!$AI$17,"E",IF(T51&lt;'PlayerGrades+'!$AI$16,"E+",IF(T51&lt;'PlayerGrades+'!$AI$15,"D-",IF(T51&lt;'PlayerGrades+'!$AI$14,"D",IF(T51&lt;'PlayerGrades+'!$AI$13,"D+",IF(T51&lt;'PlayerGrades+'!$AI$12,"C-",IF(T51&lt;'PlayerGrades+'!$AI$11,"C",IF(T51&lt;'PlayerGrades+'!$AI$10,"C+",IF(T51&lt;'PlayerGrades+'!$AI$9,"B-",IF(T51&lt;'PlayerGrades+'!$AI$8,"B",IF(T51&lt;'PlayerGrades+'!$AI$7,"B+",IF(T51&lt;'PlayerGrades+'!$AI$6,"A-",IF(T51&lt;'PlayerGrades+'!$AI$5,"A",IF(T51&lt;'PlayerGrades+'!$AI$4,"A+",IF(T51&lt;'PlayerGrades+'!$AI$3,"S-",IF(T51&lt;'PlayerGrades+'!$AI$2,"S","S+"))))))))))))))))))))</f>
        <v>F-</v>
      </c>
      <c r="AC51" s="1392"/>
    </row>
    <row r="52">
      <c r="A52" s="1391"/>
      <c r="B52" s="611" t="str">
        <f>IF(C52&lt;'PlayerGrades+'!$Y$44,"F-",IF(C52&lt;'PlayerGrades+'!$Y$43,"F",IF(C52&lt;'PlayerGrades+'!$Y$42,"F+",IF(C52&lt;'PlayerGrades+'!$Y$41,"E-",IF(C52&lt;'PlayerGrades+'!$Y$40,"E",IF(C52&lt;'PlayerGrades+'!$Y$39,"E+",IF(C52&lt;'PlayerGrades+'!$Y$38,"D-",IF(C52&lt;'PlayerGrades+'!$Y$37,"D",IF(C52&lt;'PlayerGrades+'!$Y$36,"D+",IF(C52&lt;'PlayerGrades+'!$Y$35,"C-",IF(C52&lt;'PlayerGrades+'!$Y$34,"C",IF(C52&lt;'PlayerGrades+'!$Y$33,"C+",IF(C52&lt;'PlayerGrades+'!$Y$32,"B-",IF(C52&lt;'PlayerGrades+'!$Y$31,"B",IF(C52&lt;'PlayerGrades+'!$Y$30,"B+",IF(C52&lt;'PlayerGrades+'!$Y$29,"A-",IF(C52&lt;'PlayerGrades+'!$Y$28,"A",IF(C52&lt;'PlayerGrades+'!$Y$27,"A+",IF(C52&lt;'PlayerGrades+'!$Y$26,"S-",IF(C52&lt;'PlayerGrades+'!$Y$25,"S","S+"))))))))))))))))))))</f>
        <v>#DIV/0!</v>
      </c>
      <c r="C52" s="1378" t="str">
        <f>('PlayerGrades+'!$Y$47*(VLOOKUP(E52, 'PlayerGrades+'!$X$3:$Y$23, 2, FALSE)))+('PlayerGrades+'!$Y$48*(VLOOKUP(G52, 'PlayerGrades+'!$X$3:$Y$23, 2, FALSE)))+('PlayerGrades+'!$Y$49*(VLOOKUP(I52, 'PlayerGrades+'!$X$3:$Y$23, 2, FALSE)))+('PlayerGrades+'!$Y$50*(VLOOKUP(K52, 'PlayerGrades+'!$X$3:$Y$23, 2, FALSE)))+('PlayerGrades+'!$Y$51*(VLOOKUP(M52, 'PlayerGrades+'!$X$3:$Y$23, 2, FALSE)))+('PlayerGrades+'!$Y$52*(VLOOKUP(O52, 'PlayerGrades+'!$X$3:$Y$23, 2, FALSE)))+('PlayerGrades+'!$Y$53*(VLOOKUP(Q52, 'PlayerGrades+'!$X$3:$Y$23, 2, FALSE)))+('PlayerGrades+'!$Y$54*(VLOOKUP(S52, 'PlayerGrades+'!$X$3:$Y$23, 2, FALSE)))+('PlayerGrades+'!$Y$55*(VLOOKUP(U52, 'PlayerGrades+'!$X$3:$Y$23, 2, FALSE)))</f>
        <v>#DIV/0!</v>
      </c>
      <c r="D52" s="961" t="str">
        <f t="shared" si="1"/>
        <v>#DIV/0!</v>
      </c>
      <c r="E52" s="961" t="str">
        <f>IF(D52&lt;'PlayerGrades+'!$AA$21,"F-",IF(D52&lt;'PlayerGrades+'!$AA$20,"F",IF(D52&lt;'PlayerGrades+'!$AA$19,"F+",IF(D52&lt;'PlayerGrades+'!$AA$18,"E-",IF(D52&lt;'PlayerGrades+'!$AA$17,"E",IF(D52&lt;'PlayerGrades+'!$AA$16,"E+",IF(D52&lt;'PlayerGrades+'!$AA$15,"D-",IF(D52&lt;'PlayerGrades+'!$AA$14,"D",IF(D52&lt;'PlayerGrades+'!$AA$13,"D+",IF(D52&lt;'PlayerGrades+'!$AA$12,"C-",IF(D52&lt;'PlayerGrades+'!$AA$11,"C",IF(D52&lt;'PlayerGrades+'!$AA$10,"C+",IF(D52&lt;'PlayerGrades+'!$AA$9,"B-",IF(D52&lt;'PlayerGrades+'!$AA$8,"B",IF(D52&lt;'PlayerGrades+'!$AA$7,"B+",IF(D52&lt;'PlayerGrades+'!$AA$6,"A-",IF(D52&lt;'PlayerGrades+'!$AA$5,"A",IF(D52&lt;'PlayerGrades+'!$AA$4,"A+",IF(D52&lt;'PlayerGrades+'!$AA$3,"S-",IF(D52&lt;'PlayerGrades+'!$AA$2,"S","S+"))))))))))))))))))))</f>
        <v>#DIV/0!</v>
      </c>
      <c r="F52" s="961" t="str">
        <f t="shared" si="2"/>
        <v>#DIV/0!</v>
      </c>
      <c r="G52" s="961" t="str">
        <f>IF(F52&lt;'PlayerGrades+'!$AB$21,"F-",IF(F52&lt;'PlayerGrades+'!$AB$20,"F",IF(F52&lt;'PlayerGrades+'!$AB$19,"F+",IF(F52&lt;'PlayerGrades+'!$AB$18,"E-",IF(F52&lt;'PlayerGrades+'!$AB$17,"E",IF(F52&lt;'PlayerGrades+'!$AB$16,"E+",IF(F52&lt;'PlayerGrades+'!$AB$15,"D-",IF(F52&lt;'PlayerGrades+'!$AB$14,"D",IF(F52&lt;'PlayerGrades+'!$AB$13,"D+",IF(F52&lt;'PlayerGrades+'!$AB$12,"C-",IF(F52&lt;'PlayerGrades+'!$AB$11,"C",IF(F52&lt;'PlayerGrades+'!$AB$10,"C+",IF(F52&lt;'PlayerGrades+'!$AB$9,"B-",IF(F52&lt;'PlayerGrades+'!$AB$8,"B",IF(F52&lt;'PlayerGrades+'!$AB$7,"B+",IF(F52&lt;'PlayerGrades+'!$AB$6,"A-",IF(F52&lt;'PlayerGrades+'!$AB$5,"A",IF(F52&lt;'PlayerGrades+'!$AB$4,"A+",IF(F52&lt;'PlayerGrades+'!$AB$3,"S-",IF(F52&lt;'PlayerGrades+'!$AB$2,"S","S+"))))))))))))))))))))</f>
        <v>#DIV/0!</v>
      </c>
      <c r="H52" s="961" t="str">
        <f t="shared" si="3"/>
        <v>#DIV/0!</v>
      </c>
      <c r="I52" s="961" t="str">
        <f>IF(H52&lt;'PlayerGrades+'!$AC$21,"F-",IF(H52&lt;'PlayerGrades+'!$AC$20,"F",IF(H52&lt;'PlayerGrades+'!$AC$19,"F+",IF(H52&lt;'PlayerGrades+'!$AC$18,"E-",IF(H52&lt;'PlayerGrades+'!$AC$17,"E",IF(H52&lt;'PlayerGrades+'!$AC$16,"E+",IF(H52&lt;'PlayerGrades+'!$AC$15,"D-",IF(H52&lt;'PlayerGrades+'!$AC$14,"D",IF(H52&lt;'PlayerGrades+'!$AC$13,"D+",IF(H52&lt;'PlayerGrades+'!$AC$12,"C-",IF(H52&lt;'PlayerGrades+'!$AC$11,"C",IF(H52&lt;'PlayerGrades+'!$AC$10,"C+",IF(H52&lt;'PlayerGrades+'!$AC$9,"B-",IF(H52&lt;'PlayerGrades+'!$AC$8,"B",IF(H52&lt;'PlayerGrades+'!$AC$7,"B+",IF(H52&lt;'PlayerGrades+'!$AC$6,"A-",IF(H52&lt;'PlayerGrades+'!$AC$5,"A",IF(H52&lt;'PlayerGrades+'!$AC$4,"A+",IF(H52&lt;'PlayerGrades+'!$AC$3,"S-",IF(H52&lt;'PlayerGrades+'!$AC$2,"S","S+"))))))))))))))))))))</f>
        <v>#DIV/0!</v>
      </c>
      <c r="J52" s="961" t="str">
        <f t="shared" si="4"/>
        <v>#DIV/0!</v>
      </c>
      <c r="K52" s="961" t="str">
        <f>IF(J52&lt;'PlayerGrades+'!$AD$21,"F-",IF(J52&lt;'PlayerGrades+'!$AD$20,"F",IF(J52&lt;'PlayerGrades+'!$AD$19,"F+",IF(J52&lt;'PlayerGrades+'!$AD$18,"E-",IF(J52&lt;'PlayerGrades+'!$AD$17,"E",IF(J52&lt;'PlayerGrades+'!$AD$16,"E+",IF(J52&lt;'PlayerGrades+'!$AD$15,"D-",IF(J52&lt;'PlayerGrades+'!$AD$14,"D",IF(J52&lt;'PlayerGrades+'!$AD$13,"D+",IF(J52&lt;'PlayerGrades+'!$AD$12,"C-",IF(J52&lt;'PlayerGrades+'!$AD$11,"C",IF(J52&lt;'PlayerGrades+'!$AD$10,"C+",IF(J52&lt;'PlayerGrades+'!$AD$9,"B-",IF(J52&lt;'PlayerGrades+'!$AD$8,"B",IF(J52&lt;'PlayerGrades+'!$AD$7,"B+",IF(J52&lt;'PlayerGrades+'!$AD$6,"A-",IF(J52&lt;'PlayerGrades+'!$AD$5,"A",IF(J52&lt;'PlayerGrades+'!$AD$4,"A+",IF(J52&lt;'PlayerGrades+'!$AD$3,"S-",IF(J52&lt;'PlayerGrades+'!$AD$2,"S","S+"))))))))))))))))))))</f>
        <v>#DIV/0!</v>
      </c>
      <c r="L52" s="1176" t="str">
        <f t="shared" si="5"/>
        <v>#DIV/0!</v>
      </c>
      <c r="M52" s="992" t="str">
        <f>IF(L52&lt;'PlayerGrades+'!$AE$21,"F-",IF(L52&lt;'PlayerGrades+'!$AE$20,"F",IF(L52&lt;'PlayerGrades+'!$AE$19,"F+",IF(L52&lt;'PlayerGrades+'!$AE$18,"E-",IF(L52&lt;'PlayerGrades+'!$AE$17,"E",IF(L52&lt;'PlayerGrades+'!$AE$16,"E+",IF(L52&lt;'PlayerGrades+'!$AE$15,"D-",IF(L52&lt;'PlayerGrades+'!$AE$14,"D",IF(L52&lt;'PlayerGrades+'!$AE$13,"D+",IF(L52&lt;'PlayerGrades+'!$AE$12,"C-",IF(L52&lt;'PlayerGrades+'!$AE$11,"C",IF(L52&lt;'PlayerGrades+'!$AE$10,"C+",IF(L52&lt;'PlayerGrades+'!$AE$9,"B-",IF(L52&lt;'PlayerGrades+'!$AE$8,"B",IF(L52&lt;'PlayerGrades+'!$AE$7,"B+",IF(L52&lt;'PlayerGrades+'!$AE$6,"A-",IF(L52&lt;'PlayerGrades+'!$AE$5,"A",IF(L52&lt;'PlayerGrades+'!$AE$4,"A+",IF(L52&lt;'PlayerGrades+'!$AE$3,"S-",IF(L52&lt;'PlayerGrades+'!$AE$2,"S","S+"))))))))))))))))))))</f>
        <v>#DIV/0!</v>
      </c>
      <c r="N52" s="961" t="str">
        <f t="shared" si="6"/>
        <v>#DIV/0!</v>
      </c>
      <c r="O52" s="961" t="str">
        <f>IF(N52&lt;'PlayerGrades+'!$AF$21,"F-",IF(N52&lt;'PlayerGrades+'!$AF$20,"F",IF(N52&lt;'PlayerGrades+'!$AF$19,"F+",IF(N52&lt;'PlayerGrades+'!$AF$18,"E-",IF(N52&lt;'PlayerGrades+'!$AF$17,"E",IF(N52&lt;'PlayerGrades+'!$AF$16,"E+",IF(N52&lt;'PlayerGrades+'!$AF$15,"D-",IF(N52&lt;'PlayerGrades+'!$AF$14,"D",IF(N52&lt;'PlayerGrades+'!$AF$13,"D+",IF(N52&lt;'PlayerGrades+'!$AF$12,"C-",IF(N52&lt;'PlayerGrades+'!$AF$11,"C",IF(N52&lt;'PlayerGrades+'!$AF$10,"C+",IF(N52&lt;'PlayerGrades+'!$AF$9,"B-",IF(N52&lt;'PlayerGrades+'!$AF$8,"B",IF(N52&lt;'PlayerGrades+'!$AF$7,"B+",IF(N52&lt;'PlayerGrades+'!$AF$6,"A-",IF(N52&lt;'PlayerGrades+'!$AF$5,"A",IF(N52&lt;'PlayerGrades+'!$AF$4,"A+",IF(N52&lt;'PlayerGrades+'!$AF$3,"S-",IF(N52&lt;'PlayerGrades+'!$AF$2,"S","S+"))))))))))))))))))))</f>
        <v>#DIV/0!</v>
      </c>
      <c r="P52" s="961" t="str">
        <f t="shared" si="7"/>
        <v>#DIV/0!</v>
      </c>
      <c r="Q52" s="961" t="str">
        <f>IF(P52&lt;'PlayerGrades+'!$AG$21,"F-",IF(P52&lt;'PlayerGrades+'!$AG$20,"F",IF(P52&lt;'PlayerGrades+'!$AG$19,"F+",IF(P52&lt;'PlayerGrades+'!$AG$18,"E-",IF(P52&lt;'PlayerGrades+'!$AG$17,"E",IF(P52&lt;'PlayerGrades+'!$AG$16,"E+",IF(P52&lt;'PlayerGrades+'!$AG$15,"D-",IF(P52&lt;'PlayerGrades+'!$AG$14,"D",IF(P52&lt;'PlayerGrades+'!$AG$13,"D+",IF(P52&lt;'PlayerGrades+'!$AG$12,"C-",IF(P52&lt;'PlayerGrades+'!$AG$11,"C",IF(P52&lt;'PlayerGrades+'!$AG$10,"C+",IF(P52&lt;'PlayerGrades+'!$AG$9,"B-",IF(P52&lt;'PlayerGrades+'!$AG$8,"B",IF(P52&lt;'PlayerGrades+'!$AG$7,"B+",IF(P52&lt;'PlayerGrades+'!$AG$6,"A-",IF(P52&lt;'PlayerGrades+'!$AG$5,"A",IF(P52&lt;'PlayerGrades+'!$AG$4,"A+",IF(P52&lt;'PlayerGrades+'!$AG$3,"S-",IF(P52&lt;'PlayerGrades+'!$AG$2,"S","S+"))))))))))))))))))))</f>
        <v>#DIV/0!</v>
      </c>
      <c r="R52" s="961" t="str">
        <f t="shared" si="8"/>
        <v>#DIV/0!</v>
      </c>
      <c r="S52" s="961" t="str">
        <f>IF(R52&lt;'PlayerGrades+'!$AH$21,"F-",IF(R52&lt;'PlayerGrades+'!$AH$20,"F",IF(R52&lt;'PlayerGrades+'!$AH$19,"F+",IF(R52&lt;'PlayerGrades+'!$AH$18,"E-",IF(R52&lt;'PlayerGrades+'!$AH$17,"E",IF(R52&lt;'PlayerGrades+'!$AH$16,"E+",IF(R52&lt;'PlayerGrades+'!$AH$15,"D-",IF(R52&lt;'PlayerGrades+'!$AH$14,"D",IF(R52&lt;'PlayerGrades+'!$AH$13,"D+",IF(R52&lt;'PlayerGrades+'!$AH$12,"C-",IF(R52&lt;'PlayerGrades+'!$AH$11,"C",IF(R52&lt;'PlayerGrades+'!$AH$10,"C+",IF(R52&lt;'PlayerGrades+'!$AH$9,"B-",IF(R52&lt;'PlayerGrades+'!$AH$8,"B",IF(R52&lt;'PlayerGrades+'!$AH$7,"B+",IF(R52&lt;'PlayerGrades+'!$AH$6,"A-",IF(R52&lt;'PlayerGrades+'!$AH$5,"A",IF(R52&lt;'PlayerGrades+'!$AH$4,"A+",IF(R52&lt;'PlayerGrades+'!$AH$3,"S-",IF(R52&lt;'PlayerGrades+'!$AH$2,"S","S+"))))))))))))))))))))</f>
        <v>#DIV/0!</v>
      </c>
      <c r="T52" s="961">
        <f t="shared" si="9"/>
        <v>0</v>
      </c>
      <c r="U52" s="961" t="str">
        <f>IF(T52&lt;'PlayerGrades+'!$AI$21,"F-",IF(T52&lt;'PlayerGrades+'!$AI$20,"F",IF(T52&lt;'PlayerGrades+'!$AI$19,"F+",IF(T52&lt;'PlayerGrades+'!$AI$18,"E-",IF(T52&lt;'PlayerGrades+'!$AI$17,"E",IF(T52&lt;'PlayerGrades+'!$AI$16,"E+",IF(T52&lt;'PlayerGrades+'!$AI$15,"D-",IF(T52&lt;'PlayerGrades+'!$AI$14,"D",IF(T52&lt;'PlayerGrades+'!$AI$13,"D+",IF(T52&lt;'PlayerGrades+'!$AI$12,"C-",IF(T52&lt;'PlayerGrades+'!$AI$11,"C",IF(T52&lt;'PlayerGrades+'!$AI$10,"C+",IF(T52&lt;'PlayerGrades+'!$AI$9,"B-",IF(T52&lt;'PlayerGrades+'!$AI$8,"B",IF(T52&lt;'PlayerGrades+'!$AI$7,"B+",IF(T52&lt;'PlayerGrades+'!$AI$6,"A-",IF(T52&lt;'PlayerGrades+'!$AI$5,"A",IF(T52&lt;'PlayerGrades+'!$AI$4,"A+",IF(T52&lt;'PlayerGrades+'!$AI$3,"S-",IF(T52&lt;'PlayerGrades+'!$AI$2,"S","S+"))))))))))))))))))))</f>
        <v>F-</v>
      </c>
      <c r="AC52" s="1392"/>
    </row>
    <row r="53">
      <c r="A53" s="1391"/>
      <c r="B53" s="611" t="str">
        <f>IF(C53&lt;'PlayerGrades+'!$Y$44,"F-",IF(C53&lt;'PlayerGrades+'!$Y$43,"F",IF(C53&lt;'PlayerGrades+'!$Y$42,"F+",IF(C53&lt;'PlayerGrades+'!$Y$41,"E-",IF(C53&lt;'PlayerGrades+'!$Y$40,"E",IF(C53&lt;'PlayerGrades+'!$Y$39,"E+",IF(C53&lt;'PlayerGrades+'!$Y$38,"D-",IF(C53&lt;'PlayerGrades+'!$Y$37,"D",IF(C53&lt;'PlayerGrades+'!$Y$36,"D+",IF(C53&lt;'PlayerGrades+'!$Y$35,"C-",IF(C53&lt;'PlayerGrades+'!$Y$34,"C",IF(C53&lt;'PlayerGrades+'!$Y$33,"C+",IF(C53&lt;'PlayerGrades+'!$Y$32,"B-",IF(C53&lt;'PlayerGrades+'!$Y$31,"B",IF(C53&lt;'PlayerGrades+'!$Y$30,"B+",IF(C53&lt;'PlayerGrades+'!$Y$29,"A-",IF(C53&lt;'PlayerGrades+'!$Y$28,"A",IF(C53&lt;'PlayerGrades+'!$Y$27,"A+",IF(C53&lt;'PlayerGrades+'!$Y$26,"S-",IF(C53&lt;'PlayerGrades+'!$Y$25,"S","S+"))))))))))))))))))))</f>
        <v>#DIV/0!</v>
      </c>
      <c r="C53" s="1378" t="str">
        <f>('PlayerGrades+'!$Y$47*(VLOOKUP(E53, 'PlayerGrades+'!$X$3:$Y$23, 2, FALSE)))+('PlayerGrades+'!$Y$48*(VLOOKUP(G53, 'PlayerGrades+'!$X$3:$Y$23, 2, FALSE)))+('PlayerGrades+'!$Y$49*(VLOOKUP(I53, 'PlayerGrades+'!$X$3:$Y$23, 2, FALSE)))+('PlayerGrades+'!$Y$50*(VLOOKUP(K53, 'PlayerGrades+'!$X$3:$Y$23, 2, FALSE)))+('PlayerGrades+'!$Y$51*(VLOOKUP(M53, 'PlayerGrades+'!$X$3:$Y$23, 2, FALSE)))+('PlayerGrades+'!$Y$52*(VLOOKUP(O53, 'PlayerGrades+'!$X$3:$Y$23, 2, FALSE)))+('PlayerGrades+'!$Y$53*(VLOOKUP(Q53, 'PlayerGrades+'!$X$3:$Y$23, 2, FALSE)))+('PlayerGrades+'!$Y$54*(VLOOKUP(S53, 'PlayerGrades+'!$X$3:$Y$23, 2, FALSE)))+('PlayerGrades+'!$Y$55*(VLOOKUP(U53, 'PlayerGrades+'!$X$3:$Y$23, 2, FALSE)))</f>
        <v>#DIV/0!</v>
      </c>
      <c r="D53" s="961" t="str">
        <f t="shared" si="1"/>
        <v>#DIV/0!</v>
      </c>
      <c r="E53" s="961" t="str">
        <f>IF(D53&lt;'PlayerGrades+'!$AA$21,"F-",IF(D53&lt;'PlayerGrades+'!$AA$20,"F",IF(D53&lt;'PlayerGrades+'!$AA$19,"F+",IF(D53&lt;'PlayerGrades+'!$AA$18,"E-",IF(D53&lt;'PlayerGrades+'!$AA$17,"E",IF(D53&lt;'PlayerGrades+'!$AA$16,"E+",IF(D53&lt;'PlayerGrades+'!$AA$15,"D-",IF(D53&lt;'PlayerGrades+'!$AA$14,"D",IF(D53&lt;'PlayerGrades+'!$AA$13,"D+",IF(D53&lt;'PlayerGrades+'!$AA$12,"C-",IF(D53&lt;'PlayerGrades+'!$AA$11,"C",IF(D53&lt;'PlayerGrades+'!$AA$10,"C+",IF(D53&lt;'PlayerGrades+'!$AA$9,"B-",IF(D53&lt;'PlayerGrades+'!$AA$8,"B",IF(D53&lt;'PlayerGrades+'!$AA$7,"B+",IF(D53&lt;'PlayerGrades+'!$AA$6,"A-",IF(D53&lt;'PlayerGrades+'!$AA$5,"A",IF(D53&lt;'PlayerGrades+'!$AA$4,"A+",IF(D53&lt;'PlayerGrades+'!$AA$3,"S-",IF(D53&lt;'PlayerGrades+'!$AA$2,"S","S+"))))))))))))))))))))</f>
        <v>#DIV/0!</v>
      </c>
      <c r="F53" s="961" t="str">
        <f t="shared" si="2"/>
        <v>#DIV/0!</v>
      </c>
      <c r="G53" s="961" t="str">
        <f>IF(F53&lt;'PlayerGrades+'!$AB$21,"F-",IF(F53&lt;'PlayerGrades+'!$AB$20,"F",IF(F53&lt;'PlayerGrades+'!$AB$19,"F+",IF(F53&lt;'PlayerGrades+'!$AB$18,"E-",IF(F53&lt;'PlayerGrades+'!$AB$17,"E",IF(F53&lt;'PlayerGrades+'!$AB$16,"E+",IF(F53&lt;'PlayerGrades+'!$AB$15,"D-",IF(F53&lt;'PlayerGrades+'!$AB$14,"D",IF(F53&lt;'PlayerGrades+'!$AB$13,"D+",IF(F53&lt;'PlayerGrades+'!$AB$12,"C-",IF(F53&lt;'PlayerGrades+'!$AB$11,"C",IF(F53&lt;'PlayerGrades+'!$AB$10,"C+",IF(F53&lt;'PlayerGrades+'!$AB$9,"B-",IF(F53&lt;'PlayerGrades+'!$AB$8,"B",IF(F53&lt;'PlayerGrades+'!$AB$7,"B+",IF(F53&lt;'PlayerGrades+'!$AB$6,"A-",IF(F53&lt;'PlayerGrades+'!$AB$5,"A",IF(F53&lt;'PlayerGrades+'!$AB$4,"A+",IF(F53&lt;'PlayerGrades+'!$AB$3,"S-",IF(F53&lt;'PlayerGrades+'!$AB$2,"S","S+"))))))))))))))))))))</f>
        <v>#DIV/0!</v>
      </c>
      <c r="H53" s="961" t="str">
        <f t="shared" si="3"/>
        <v>#DIV/0!</v>
      </c>
      <c r="I53" s="961" t="str">
        <f>IF(H53&lt;'PlayerGrades+'!$AC$21,"F-",IF(H53&lt;'PlayerGrades+'!$AC$20,"F",IF(H53&lt;'PlayerGrades+'!$AC$19,"F+",IF(H53&lt;'PlayerGrades+'!$AC$18,"E-",IF(H53&lt;'PlayerGrades+'!$AC$17,"E",IF(H53&lt;'PlayerGrades+'!$AC$16,"E+",IF(H53&lt;'PlayerGrades+'!$AC$15,"D-",IF(H53&lt;'PlayerGrades+'!$AC$14,"D",IF(H53&lt;'PlayerGrades+'!$AC$13,"D+",IF(H53&lt;'PlayerGrades+'!$AC$12,"C-",IF(H53&lt;'PlayerGrades+'!$AC$11,"C",IF(H53&lt;'PlayerGrades+'!$AC$10,"C+",IF(H53&lt;'PlayerGrades+'!$AC$9,"B-",IF(H53&lt;'PlayerGrades+'!$AC$8,"B",IF(H53&lt;'PlayerGrades+'!$AC$7,"B+",IF(H53&lt;'PlayerGrades+'!$AC$6,"A-",IF(H53&lt;'PlayerGrades+'!$AC$5,"A",IF(H53&lt;'PlayerGrades+'!$AC$4,"A+",IF(H53&lt;'PlayerGrades+'!$AC$3,"S-",IF(H53&lt;'PlayerGrades+'!$AC$2,"S","S+"))))))))))))))))))))</f>
        <v>#DIV/0!</v>
      </c>
      <c r="J53" s="961" t="str">
        <f t="shared" si="4"/>
        <v>#DIV/0!</v>
      </c>
      <c r="K53" s="961" t="str">
        <f>IF(J53&lt;'PlayerGrades+'!$AD$21,"F-",IF(J53&lt;'PlayerGrades+'!$AD$20,"F",IF(J53&lt;'PlayerGrades+'!$AD$19,"F+",IF(J53&lt;'PlayerGrades+'!$AD$18,"E-",IF(J53&lt;'PlayerGrades+'!$AD$17,"E",IF(J53&lt;'PlayerGrades+'!$AD$16,"E+",IF(J53&lt;'PlayerGrades+'!$AD$15,"D-",IF(J53&lt;'PlayerGrades+'!$AD$14,"D",IF(J53&lt;'PlayerGrades+'!$AD$13,"D+",IF(J53&lt;'PlayerGrades+'!$AD$12,"C-",IF(J53&lt;'PlayerGrades+'!$AD$11,"C",IF(J53&lt;'PlayerGrades+'!$AD$10,"C+",IF(J53&lt;'PlayerGrades+'!$AD$9,"B-",IF(J53&lt;'PlayerGrades+'!$AD$8,"B",IF(J53&lt;'PlayerGrades+'!$AD$7,"B+",IF(J53&lt;'PlayerGrades+'!$AD$6,"A-",IF(J53&lt;'PlayerGrades+'!$AD$5,"A",IF(J53&lt;'PlayerGrades+'!$AD$4,"A+",IF(J53&lt;'PlayerGrades+'!$AD$3,"S-",IF(J53&lt;'PlayerGrades+'!$AD$2,"S","S+"))))))))))))))))))))</f>
        <v>#DIV/0!</v>
      </c>
      <c r="L53" s="1176" t="str">
        <f t="shared" si="5"/>
        <v>#DIV/0!</v>
      </c>
      <c r="M53" s="992" t="str">
        <f>IF(L53&lt;'PlayerGrades+'!$AE$21,"F-",IF(L53&lt;'PlayerGrades+'!$AE$20,"F",IF(L53&lt;'PlayerGrades+'!$AE$19,"F+",IF(L53&lt;'PlayerGrades+'!$AE$18,"E-",IF(L53&lt;'PlayerGrades+'!$AE$17,"E",IF(L53&lt;'PlayerGrades+'!$AE$16,"E+",IF(L53&lt;'PlayerGrades+'!$AE$15,"D-",IF(L53&lt;'PlayerGrades+'!$AE$14,"D",IF(L53&lt;'PlayerGrades+'!$AE$13,"D+",IF(L53&lt;'PlayerGrades+'!$AE$12,"C-",IF(L53&lt;'PlayerGrades+'!$AE$11,"C",IF(L53&lt;'PlayerGrades+'!$AE$10,"C+",IF(L53&lt;'PlayerGrades+'!$AE$9,"B-",IF(L53&lt;'PlayerGrades+'!$AE$8,"B",IF(L53&lt;'PlayerGrades+'!$AE$7,"B+",IF(L53&lt;'PlayerGrades+'!$AE$6,"A-",IF(L53&lt;'PlayerGrades+'!$AE$5,"A",IF(L53&lt;'PlayerGrades+'!$AE$4,"A+",IF(L53&lt;'PlayerGrades+'!$AE$3,"S-",IF(L53&lt;'PlayerGrades+'!$AE$2,"S","S+"))))))))))))))))))))</f>
        <v>#DIV/0!</v>
      </c>
      <c r="N53" s="961" t="str">
        <f t="shared" si="6"/>
        <v>#DIV/0!</v>
      </c>
      <c r="O53" s="961" t="str">
        <f>IF(N53&lt;'PlayerGrades+'!$AF$21,"F-",IF(N53&lt;'PlayerGrades+'!$AF$20,"F",IF(N53&lt;'PlayerGrades+'!$AF$19,"F+",IF(N53&lt;'PlayerGrades+'!$AF$18,"E-",IF(N53&lt;'PlayerGrades+'!$AF$17,"E",IF(N53&lt;'PlayerGrades+'!$AF$16,"E+",IF(N53&lt;'PlayerGrades+'!$AF$15,"D-",IF(N53&lt;'PlayerGrades+'!$AF$14,"D",IF(N53&lt;'PlayerGrades+'!$AF$13,"D+",IF(N53&lt;'PlayerGrades+'!$AF$12,"C-",IF(N53&lt;'PlayerGrades+'!$AF$11,"C",IF(N53&lt;'PlayerGrades+'!$AF$10,"C+",IF(N53&lt;'PlayerGrades+'!$AF$9,"B-",IF(N53&lt;'PlayerGrades+'!$AF$8,"B",IF(N53&lt;'PlayerGrades+'!$AF$7,"B+",IF(N53&lt;'PlayerGrades+'!$AF$6,"A-",IF(N53&lt;'PlayerGrades+'!$AF$5,"A",IF(N53&lt;'PlayerGrades+'!$AF$4,"A+",IF(N53&lt;'PlayerGrades+'!$AF$3,"S-",IF(N53&lt;'PlayerGrades+'!$AF$2,"S","S+"))))))))))))))))))))</f>
        <v>#DIV/0!</v>
      </c>
      <c r="P53" s="961" t="str">
        <f t="shared" si="7"/>
        <v>#DIV/0!</v>
      </c>
      <c r="Q53" s="961" t="str">
        <f>IF(P53&lt;'PlayerGrades+'!$AG$21,"F-",IF(P53&lt;'PlayerGrades+'!$AG$20,"F",IF(P53&lt;'PlayerGrades+'!$AG$19,"F+",IF(P53&lt;'PlayerGrades+'!$AG$18,"E-",IF(P53&lt;'PlayerGrades+'!$AG$17,"E",IF(P53&lt;'PlayerGrades+'!$AG$16,"E+",IF(P53&lt;'PlayerGrades+'!$AG$15,"D-",IF(P53&lt;'PlayerGrades+'!$AG$14,"D",IF(P53&lt;'PlayerGrades+'!$AG$13,"D+",IF(P53&lt;'PlayerGrades+'!$AG$12,"C-",IF(P53&lt;'PlayerGrades+'!$AG$11,"C",IF(P53&lt;'PlayerGrades+'!$AG$10,"C+",IF(P53&lt;'PlayerGrades+'!$AG$9,"B-",IF(P53&lt;'PlayerGrades+'!$AG$8,"B",IF(P53&lt;'PlayerGrades+'!$AG$7,"B+",IF(P53&lt;'PlayerGrades+'!$AG$6,"A-",IF(P53&lt;'PlayerGrades+'!$AG$5,"A",IF(P53&lt;'PlayerGrades+'!$AG$4,"A+",IF(P53&lt;'PlayerGrades+'!$AG$3,"S-",IF(P53&lt;'PlayerGrades+'!$AG$2,"S","S+"))))))))))))))))))))</f>
        <v>#DIV/0!</v>
      </c>
      <c r="R53" s="961" t="str">
        <f t="shared" si="8"/>
        <v>#DIV/0!</v>
      </c>
      <c r="S53" s="961" t="str">
        <f>IF(R53&lt;'PlayerGrades+'!$AH$21,"F-",IF(R53&lt;'PlayerGrades+'!$AH$20,"F",IF(R53&lt;'PlayerGrades+'!$AH$19,"F+",IF(R53&lt;'PlayerGrades+'!$AH$18,"E-",IF(R53&lt;'PlayerGrades+'!$AH$17,"E",IF(R53&lt;'PlayerGrades+'!$AH$16,"E+",IF(R53&lt;'PlayerGrades+'!$AH$15,"D-",IF(R53&lt;'PlayerGrades+'!$AH$14,"D",IF(R53&lt;'PlayerGrades+'!$AH$13,"D+",IF(R53&lt;'PlayerGrades+'!$AH$12,"C-",IF(R53&lt;'PlayerGrades+'!$AH$11,"C",IF(R53&lt;'PlayerGrades+'!$AH$10,"C+",IF(R53&lt;'PlayerGrades+'!$AH$9,"B-",IF(R53&lt;'PlayerGrades+'!$AH$8,"B",IF(R53&lt;'PlayerGrades+'!$AH$7,"B+",IF(R53&lt;'PlayerGrades+'!$AH$6,"A-",IF(R53&lt;'PlayerGrades+'!$AH$5,"A",IF(R53&lt;'PlayerGrades+'!$AH$4,"A+",IF(R53&lt;'PlayerGrades+'!$AH$3,"S-",IF(R53&lt;'PlayerGrades+'!$AH$2,"S","S+"))))))))))))))))))))</f>
        <v>#DIV/0!</v>
      </c>
      <c r="T53" s="961">
        <f t="shared" si="9"/>
        <v>0</v>
      </c>
      <c r="U53" s="961" t="str">
        <f>IF(T53&lt;'PlayerGrades+'!$AI$21,"F-",IF(T53&lt;'PlayerGrades+'!$AI$20,"F",IF(T53&lt;'PlayerGrades+'!$AI$19,"F+",IF(T53&lt;'PlayerGrades+'!$AI$18,"E-",IF(T53&lt;'PlayerGrades+'!$AI$17,"E",IF(T53&lt;'PlayerGrades+'!$AI$16,"E+",IF(T53&lt;'PlayerGrades+'!$AI$15,"D-",IF(T53&lt;'PlayerGrades+'!$AI$14,"D",IF(T53&lt;'PlayerGrades+'!$AI$13,"D+",IF(T53&lt;'PlayerGrades+'!$AI$12,"C-",IF(T53&lt;'PlayerGrades+'!$AI$11,"C",IF(T53&lt;'PlayerGrades+'!$AI$10,"C+",IF(T53&lt;'PlayerGrades+'!$AI$9,"B-",IF(T53&lt;'PlayerGrades+'!$AI$8,"B",IF(T53&lt;'PlayerGrades+'!$AI$7,"B+",IF(T53&lt;'PlayerGrades+'!$AI$6,"A-",IF(T53&lt;'PlayerGrades+'!$AI$5,"A",IF(T53&lt;'PlayerGrades+'!$AI$4,"A+",IF(T53&lt;'PlayerGrades+'!$AI$3,"S-",IF(T53&lt;'PlayerGrades+'!$AI$2,"S","S+"))))))))))))))))))))</f>
        <v>F-</v>
      </c>
      <c r="AC53" s="1392"/>
    </row>
    <row r="54">
      <c r="A54" s="1391"/>
      <c r="B54" s="611" t="str">
        <f>IF(C54&lt;'PlayerGrades+'!$Y$44,"F-",IF(C54&lt;'PlayerGrades+'!$Y$43,"F",IF(C54&lt;'PlayerGrades+'!$Y$42,"F+",IF(C54&lt;'PlayerGrades+'!$Y$41,"E-",IF(C54&lt;'PlayerGrades+'!$Y$40,"E",IF(C54&lt;'PlayerGrades+'!$Y$39,"E+",IF(C54&lt;'PlayerGrades+'!$Y$38,"D-",IF(C54&lt;'PlayerGrades+'!$Y$37,"D",IF(C54&lt;'PlayerGrades+'!$Y$36,"D+",IF(C54&lt;'PlayerGrades+'!$Y$35,"C-",IF(C54&lt;'PlayerGrades+'!$Y$34,"C",IF(C54&lt;'PlayerGrades+'!$Y$33,"C+",IF(C54&lt;'PlayerGrades+'!$Y$32,"B-",IF(C54&lt;'PlayerGrades+'!$Y$31,"B",IF(C54&lt;'PlayerGrades+'!$Y$30,"B+",IF(C54&lt;'PlayerGrades+'!$Y$29,"A-",IF(C54&lt;'PlayerGrades+'!$Y$28,"A",IF(C54&lt;'PlayerGrades+'!$Y$27,"A+",IF(C54&lt;'PlayerGrades+'!$Y$26,"S-",IF(C54&lt;'PlayerGrades+'!$Y$25,"S","S+"))))))))))))))))))))</f>
        <v>#DIV/0!</v>
      </c>
      <c r="C54" s="1378" t="str">
        <f>('PlayerGrades+'!$Y$47*(VLOOKUP(E54, 'PlayerGrades+'!$X$3:$Y$23, 2, FALSE)))+('PlayerGrades+'!$Y$48*(VLOOKUP(G54, 'PlayerGrades+'!$X$3:$Y$23, 2, FALSE)))+('PlayerGrades+'!$Y$49*(VLOOKUP(I54, 'PlayerGrades+'!$X$3:$Y$23, 2, FALSE)))+('PlayerGrades+'!$Y$50*(VLOOKUP(K54, 'PlayerGrades+'!$X$3:$Y$23, 2, FALSE)))+('PlayerGrades+'!$Y$51*(VLOOKUP(M54, 'PlayerGrades+'!$X$3:$Y$23, 2, FALSE)))+('PlayerGrades+'!$Y$52*(VLOOKUP(O54, 'PlayerGrades+'!$X$3:$Y$23, 2, FALSE)))+('PlayerGrades+'!$Y$53*(VLOOKUP(Q54, 'PlayerGrades+'!$X$3:$Y$23, 2, FALSE)))+('PlayerGrades+'!$Y$54*(VLOOKUP(S54, 'PlayerGrades+'!$X$3:$Y$23, 2, FALSE)))+('PlayerGrades+'!$Y$55*(VLOOKUP(U54, 'PlayerGrades+'!$X$3:$Y$23, 2, FALSE)))</f>
        <v>#DIV/0!</v>
      </c>
      <c r="D54" s="961" t="str">
        <f t="shared" si="1"/>
        <v>#DIV/0!</v>
      </c>
      <c r="E54" s="961" t="str">
        <f>IF(D54&lt;'PlayerGrades+'!$AA$21,"F-",IF(D54&lt;'PlayerGrades+'!$AA$20,"F",IF(D54&lt;'PlayerGrades+'!$AA$19,"F+",IF(D54&lt;'PlayerGrades+'!$AA$18,"E-",IF(D54&lt;'PlayerGrades+'!$AA$17,"E",IF(D54&lt;'PlayerGrades+'!$AA$16,"E+",IF(D54&lt;'PlayerGrades+'!$AA$15,"D-",IF(D54&lt;'PlayerGrades+'!$AA$14,"D",IF(D54&lt;'PlayerGrades+'!$AA$13,"D+",IF(D54&lt;'PlayerGrades+'!$AA$12,"C-",IF(D54&lt;'PlayerGrades+'!$AA$11,"C",IF(D54&lt;'PlayerGrades+'!$AA$10,"C+",IF(D54&lt;'PlayerGrades+'!$AA$9,"B-",IF(D54&lt;'PlayerGrades+'!$AA$8,"B",IF(D54&lt;'PlayerGrades+'!$AA$7,"B+",IF(D54&lt;'PlayerGrades+'!$AA$6,"A-",IF(D54&lt;'PlayerGrades+'!$AA$5,"A",IF(D54&lt;'PlayerGrades+'!$AA$4,"A+",IF(D54&lt;'PlayerGrades+'!$AA$3,"S-",IF(D54&lt;'PlayerGrades+'!$AA$2,"S","S+"))))))))))))))))))))</f>
        <v>#DIV/0!</v>
      </c>
      <c r="F54" s="961" t="str">
        <f t="shared" si="2"/>
        <v>#DIV/0!</v>
      </c>
      <c r="G54" s="961" t="str">
        <f>IF(F54&lt;'PlayerGrades+'!$AB$21,"F-",IF(F54&lt;'PlayerGrades+'!$AB$20,"F",IF(F54&lt;'PlayerGrades+'!$AB$19,"F+",IF(F54&lt;'PlayerGrades+'!$AB$18,"E-",IF(F54&lt;'PlayerGrades+'!$AB$17,"E",IF(F54&lt;'PlayerGrades+'!$AB$16,"E+",IF(F54&lt;'PlayerGrades+'!$AB$15,"D-",IF(F54&lt;'PlayerGrades+'!$AB$14,"D",IF(F54&lt;'PlayerGrades+'!$AB$13,"D+",IF(F54&lt;'PlayerGrades+'!$AB$12,"C-",IF(F54&lt;'PlayerGrades+'!$AB$11,"C",IF(F54&lt;'PlayerGrades+'!$AB$10,"C+",IF(F54&lt;'PlayerGrades+'!$AB$9,"B-",IF(F54&lt;'PlayerGrades+'!$AB$8,"B",IF(F54&lt;'PlayerGrades+'!$AB$7,"B+",IF(F54&lt;'PlayerGrades+'!$AB$6,"A-",IF(F54&lt;'PlayerGrades+'!$AB$5,"A",IF(F54&lt;'PlayerGrades+'!$AB$4,"A+",IF(F54&lt;'PlayerGrades+'!$AB$3,"S-",IF(F54&lt;'PlayerGrades+'!$AB$2,"S","S+"))))))))))))))))))))</f>
        <v>#DIV/0!</v>
      </c>
      <c r="H54" s="961" t="str">
        <f t="shared" si="3"/>
        <v>#DIV/0!</v>
      </c>
      <c r="I54" s="961" t="str">
        <f>IF(H54&lt;'PlayerGrades+'!$AC$21,"F-",IF(H54&lt;'PlayerGrades+'!$AC$20,"F",IF(H54&lt;'PlayerGrades+'!$AC$19,"F+",IF(H54&lt;'PlayerGrades+'!$AC$18,"E-",IF(H54&lt;'PlayerGrades+'!$AC$17,"E",IF(H54&lt;'PlayerGrades+'!$AC$16,"E+",IF(H54&lt;'PlayerGrades+'!$AC$15,"D-",IF(H54&lt;'PlayerGrades+'!$AC$14,"D",IF(H54&lt;'PlayerGrades+'!$AC$13,"D+",IF(H54&lt;'PlayerGrades+'!$AC$12,"C-",IF(H54&lt;'PlayerGrades+'!$AC$11,"C",IF(H54&lt;'PlayerGrades+'!$AC$10,"C+",IF(H54&lt;'PlayerGrades+'!$AC$9,"B-",IF(H54&lt;'PlayerGrades+'!$AC$8,"B",IF(H54&lt;'PlayerGrades+'!$AC$7,"B+",IF(H54&lt;'PlayerGrades+'!$AC$6,"A-",IF(H54&lt;'PlayerGrades+'!$AC$5,"A",IF(H54&lt;'PlayerGrades+'!$AC$4,"A+",IF(H54&lt;'PlayerGrades+'!$AC$3,"S-",IF(H54&lt;'PlayerGrades+'!$AC$2,"S","S+"))))))))))))))))))))</f>
        <v>#DIV/0!</v>
      </c>
      <c r="J54" s="961" t="str">
        <f t="shared" si="4"/>
        <v>#DIV/0!</v>
      </c>
      <c r="K54" s="961" t="str">
        <f>IF(J54&lt;'PlayerGrades+'!$AD$21,"F-",IF(J54&lt;'PlayerGrades+'!$AD$20,"F",IF(J54&lt;'PlayerGrades+'!$AD$19,"F+",IF(J54&lt;'PlayerGrades+'!$AD$18,"E-",IF(J54&lt;'PlayerGrades+'!$AD$17,"E",IF(J54&lt;'PlayerGrades+'!$AD$16,"E+",IF(J54&lt;'PlayerGrades+'!$AD$15,"D-",IF(J54&lt;'PlayerGrades+'!$AD$14,"D",IF(J54&lt;'PlayerGrades+'!$AD$13,"D+",IF(J54&lt;'PlayerGrades+'!$AD$12,"C-",IF(J54&lt;'PlayerGrades+'!$AD$11,"C",IF(J54&lt;'PlayerGrades+'!$AD$10,"C+",IF(J54&lt;'PlayerGrades+'!$AD$9,"B-",IF(J54&lt;'PlayerGrades+'!$AD$8,"B",IF(J54&lt;'PlayerGrades+'!$AD$7,"B+",IF(J54&lt;'PlayerGrades+'!$AD$6,"A-",IF(J54&lt;'PlayerGrades+'!$AD$5,"A",IF(J54&lt;'PlayerGrades+'!$AD$4,"A+",IF(J54&lt;'PlayerGrades+'!$AD$3,"S-",IF(J54&lt;'PlayerGrades+'!$AD$2,"S","S+"))))))))))))))))))))</f>
        <v>#DIV/0!</v>
      </c>
      <c r="L54" s="1176" t="str">
        <f t="shared" si="5"/>
        <v>#DIV/0!</v>
      </c>
      <c r="M54" s="992" t="str">
        <f>IF(L54&lt;'PlayerGrades+'!$AE$21,"F-",IF(L54&lt;'PlayerGrades+'!$AE$20,"F",IF(L54&lt;'PlayerGrades+'!$AE$19,"F+",IF(L54&lt;'PlayerGrades+'!$AE$18,"E-",IF(L54&lt;'PlayerGrades+'!$AE$17,"E",IF(L54&lt;'PlayerGrades+'!$AE$16,"E+",IF(L54&lt;'PlayerGrades+'!$AE$15,"D-",IF(L54&lt;'PlayerGrades+'!$AE$14,"D",IF(L54&lt;'PlayerGrades+'!$AE$13,"D+",IF(L54&lt;'PlayerGrades+'!$AE$12,"C-",IF(L54&lt;'PlayerGrades+'!$AE$11,"C",IF(L54&lt;'PlayerGrades+'!$AE$10,"C+",IF(L54&lt;'PlayerGrades+'!$AE$9,"B-",IF(L54&lt;'PlayerGrades+'!$AE$8,"B",IF(L54&lt;'PlayerGrades+'!$AE$7,"B+",IF(L54&lt;'PlayerGrades+'!$AE$6,"A-",IF(L54&lt;'PlayerGrades+'!$AE$5,"A",IF(L54&lt;'PlayerGrades+'!$AE$4,"A+",IF(L54&lt;'PlayerGrades+'!$AE$3,"S-",IF(L54&lt;'PlayerGrades+'!$AE$2,"S","S+"))))))))))))))))))))</f>
        <v>#DIV/0!</v>
      </c>
      <c r="N54" s="961" t="str">
        <f t="shared" si="6"/>
        <v>#DIV/0!</v>
      </c>
      <c r="O54" s="961" t="str">
        <f>IF(N54&lt;'PlayerGrades+'!$AF$21,"F-",IF(N54&lt;'PlayerGrades+'!$AF$20,"F",IF(N54&lt;'PlayerGrades+'!$AF$19,"F+",IF(N54&lt;'PlayerGrades+'!$AF$18,"E-",IF(N54&lt;'PlayerGrades+'!$AF$17,"E",IF(N54&lt;'PlayerGrades+'!$AF$16,"E+",IF(N54&lt;'PlayerGrades+'!$AF$15,"D-",IF(N54&lt;'PlayerGrades+'!$AF$14,"D",IF(N54&lt;'PlayerGrades+'!$AF$13,"D+",IF(N54&lt;'PlayerGrades+'!$AF$12,"C-",IF(N54&lt;'PlayerGrades+'!$AF$11,"C",IF(N54&lt;'PlayerGrades+'!$AF$10,"C+",IF(N54&lt;'PlayerGrades+'!$AF$9,"B-",IF(N54&lt;'PlayerGrades+'!$AF$8,"B",IF(N54&lt;'PlayerGrades+'!$AF$7,"B+",IF(N54&lt;'PlayerGrades+'!$AF$6,"A-",IF(N54&lt;'PlayerGrades+'!$AF$5,"A",IF(N54&lt;'PlayerGrades+'!$AF$4,"A+",IF(N54&lt;'PlayerGrades+'!$AF$3,"S-",IF(N54&lt;'PlayerGrades+'!$AF$2,"S","S+"))))))))))))))))))))</f>
        <v>#DIV/0!</v>
      </c>
      <c r="P54" s="961" t="str">
        <f t="shared" si="7"/>
        <v>#DIV/0!</v>
      </c>
      <c r="Q54" s="961" t="str">
        <f>IF(P54&lt;'PlayerGrades+'!$AG$21,"F-",IF(P54&lt;'PlayerGrades+'!$AG$20,"F",IF(P54&lt;'PlayerGrades+'!$AG$19,"F+",IF(P54&lt;'PlayerGrades+'!$AG$18,"E-",IF(P54&lt;'PlayerGrades+'!$AG$17,"E",IF(P54&lt;'PlayerGrades+'!$AG$16,"E+",IF(P54&lt;'PlayerGrades+'!$AG$15,"D-",IF(P54&lt;'PlayerGrades+'!$AG$14,"D",IF(P54&lt;'PlayerGrades+'!$AG$13,"D+",IF(P54&lt;'PlayerGrades+'!$AG$12,"C-",IF(P54&lt;'PlayerGrades+'!$AG$11,"C",IF(P54&lt;'PlayerGrades+'!$AG$10,"C+",IF(P54&lt;'PlayerGrades+'!$AG$9,"B-",IF(P54&lt;'PlayerGrades+'!$AG$8,"B",IF(P54&lt;'PlayerGrades+'!$AG$7,"B+",IF(P54&lt;'PlayerGrades+'!$AG$6,"A-",IF(P54&lt;'PlayerGrades+'!$AG$5,"A",IF(P54&lt;'PlayerGrades+'!$AG$4,"A+",IF(P54&lt;'PlayerGrades+'!$AG$3,"S-",IF(P54&lt;'PlayerGrades+'!$AG$2,"S","S+"))))))))))))))))))))</f>
        <v>#DIV/0!</v>
      </c>
      <c r="R54" s="961" t="str">
        <f t="shared" si="8"/>
        <v>#DIV/0!</v>
      </c>
      <c r="S54" s="961" t="str">
        <f>IF(R54&lt;'PlayerGrades+'!$AH$21,"F-",IF(R54&lt;'PlayerGrades+'!$AH$20,"F",IF(R54&lt;'PlayerGrades+'!$AH$19,"F+",IF(R54&lt;'PlayerGrades+'!$AH$18,"E-",IF(R54&lt;'PlayerGrades+'!$AH$17,"E",IF(R54&lt;'PlayerGrades+'!$AH$16,"E+",IF(R54&lt;'PlayerGrades+'!$AH$15,"D-",IF(R54&lt;'PlayerGrades+'!$AH$14,"D",IF(R54&lt;'PlayerGrades+'!$AH$13,"D+",IF(R54&lt;'PlayerGrades+'!$AH$12,"C-",IF(R54&lt;'PlayerGrades+'!$AH$11,"C",IF(R54&lt;'PlayerGrades+'!$AH$10,"C+",IF(R54&lt;'PlayerGrades+'!$AH$9,"B-",IF(R54&lt;'PlayerGrades+'!$AH$8,"B",IF(R54&lt;'PlayerGrades+'!$AH$7,"B+",IF(R54&lt;'PlayerGrades+'!$AH$6,"A-",IF(R54&lt;'PlayerGrades+'!$AH$5,"A",IF(R54&lt;'PlayerGrades+'!$AH$4,"A+",IF(R54&lt;'PlayerGrades+'!$AH$3,"S-",IF(R54&lt;'PlayerGrades+'!$AH$2,"S","S+"))))))))))))))))))))</f>
        <v>#DIV/0!</v>
      </c>
      <c r="T54" s="961">
        <f t="shared" si="9"/>
        <v>0</v>
      </c>
      <c r="U54" s="961" t="str">
        <f>IF(T54&lt;'PlayerGrades+'!$AI$21,"F-",IF(T54&lt;'PlayerGrades+'!$AI$20,"F",IF(T54&lt;'PlayerGrades+'!$AI$19,"F+",IF(T54&lt;'PlayerGrades+'!$AI$18,"E-",IF(T54&lt;'PlayerGrades+'!$AI$17,"E",IF(T54&lt;'PlayerGrades+'!$AI$16,"E+",IF(T54&lt;'PlayerGrades+'!$AI$15,"D-",IF(T54&lt;'PlayerGrades+'!$AI$14,"D",IF(T54&lt;'PlayerGrades+'!$AI$13,"D+",IF(T54&lt;'PlayerGrades+'!$AI$12,"C-",IF(T54&lt;'PlayerGrades+'!$AI$11,"C",IF(T54&lt;'PlayerGrades+'!$AI$10,"C+",IF(T54&lt;'PlayerGrades+'!$AI$9,"B-",IF(T54&lt;'PlayerGrades+'!$AI$8,"B",IF(T54&lt;'PlayerGrades+'!$AI$7,"B+",IF(T54&lt;'PlayerGrades+'!$AI$6,"A-",IF(T54&lt;'PlayerGrades+'!$AI$5,"A",IF(T54&lt;'PlayerGrades+'!$AI$4,"A+",IF(T54&lt;'PlayerGrades+'!$AI$3,"S-",IF(T54&lt;'PlayerGrades+'!$AI$2,"S","S+"))))))))))))))))))))</f>
        <v>F-</v>
      </c>
      <c r="AC54" s="1392"/>
    </row>
    <row r="55">
      <c r="A55" s="1391"/>
      <c r="B55" s="611" t="str">
        <f>IF(C55&lt;'PlayerGrades+'!$Y$44,"F-",IF(C55&lt;'PlayerGrades+'!$Y$43,"F",IF(C55&lt;'PlayerGrades+'!$Y$42,"F+",IF(C55&lt;'PlayerGrades+'!$Y$41,"E-",IF(C55&lt;'PlayerGrades+'!$Y$40,"E",IF(C55&lt;'PlayerGrades+'!$Y$39,"E+",IF(C55&lt;'PlayerGrades+'!$Y$38,"D-",IF(C55&lt;'PlayerGrades+'!$Y$37,"D",IF(C55&lt;'PlayerGrades+'!$Y$36,"D+",IF(C55&lt;'PlayerGrades+'!$Y$35,"C-",IF(C55&lt;'PlayerGrades+'!$Y$34,"C",IF(C55&lt;'PlayerGrades+'!$Y$33,"C+",IF(C55&lt;'PlayerGrades+'!$Y$32,"B-",IF(C55&lt;'PlayerGrades+'!$Y$31,"B",IF(C55&lt;'PlayerGrades+'!$Y$30,"B+",IF(C55&lt;'PlayerGrades+'!$Y$29,"A-",IF(C55&lt;'PlayerGrades+'!$Y$28,"A",IF(C55&lt;'PlayerGrades+'!$Y$27,"A+",IF(C55&lt;'PlayerGrades+'!$Y$26,"S-",IF(C55&lt;'PlayerGrades+'!$Y$25,"S","S+"))))))))))))))))))))</f>
        <v>#DIV/0!</v>
      </c>
      <c r="C55" s="1378" t="str">
        <f>('PlayerGrades+'!$Y$47*(VLOOKUP(E55, 'PlayerGrades+'!$X$3:$Y$23, 2, FALSE)))+('PlayerGrades+'!$Y$48*(VLOOKUP(G55, 'PlayerGrades+'!$X$3:$Y$23, 2, FALSE)))+('PlayerGrades+'!$Y$49*(VLOOKUP(I55, 'PlayerGrades+'!$X$3:$Y$23, 2, FALSE)))+('PlayerGrades+'!$Y$50*(VLOOKUP(K55, 'PlayerGrades+'!$X$3:$Y$23, 2, FALSE)))+('PlayerGrades+'!$Y$51*(VLOOKUP(M55, 'PlayerGrades+'!$X$3:$Y$23, 2, FALSE)))+('PlayerGrades+'!$Y$52*(VLOOKUP(O55, 'PlayerGrades+'!$X$3:$Y$23, 2, FALSE)))+('PlayerGrades+'!$Y$53*(VLOOKUP(Q55, 'PlayerGrades+'!$X$3:$Y$23, 2, FALSE)))+('PlayerGrades+'!$Y$54*(VLOOKUP(S55, 'PlayerGrades+'!$X$3:$Y$23, 2, FALSE)))+('PlayerGrades+'!$Y$55*(VLOOKUP(U55, 'PlayerGrades+'!$X$3:$Y$23, 2, FALSE)))</f>
        <v>#DIV/0!</v>
      </c>
      <c r="D55" s="961" t="str">
        <f t="shared" si="1"/>
        <v>#DIV/0!</v>
      </c>
      <c r="E55" s="961" t="str">
        <f>IF(D55&lt;'PlayerGrades+'!$AA$21,"F-",IF(D55&lt;'PlayerGrades+'!$AA$20,"F",IF(D55&lt;'PlayerGrades+'!$AA$19,"F+",IF(D55&lt;'PlayerGrades+'!$AA$18,"E-",IF(D55&lt;'PlayerGrades+'!$AA$17,"E",IF(D55&lt;'PlayerGrades+'!$AA$16,"E+",IF(D55&lt;'PlayerGrades+'!$AA$15,"D-",IF(D55&lt;'PlayerGrades+'!$AA$14,"D",IF(D55&lt;'PlayerGrades+'!$AA$13,"D+",IF(D55&lt;'PlayerGrades+'!$AA$12,"C-",IF(D55&lt;'PlayerGrades+'!$AA$11,"C",IF(D55&lt;'PlayerGrades+'!$AA$10,"C+",IF(D55&lt;'PlayerGrades+'!$AA$9,"B-",IF(D55&lt;'PlayerGrades+'!$AA$8,"B",IF(D55&lt;'PlayerGrades+'!$AA$7,"B+",IF(D55&lt;'PlayerGrades+'!$AA$6,"A-",IF(D55&lt;'PlayerGrades+'!$AA$5,"A",IF(D55&lt;'PlayerGrades+'!$AA$4,"A+",IF(D55&lt;'PlayerGrades+'!$AA$3,"S-",IF(D55&lt;'PlayerGrades+'!$AA$2,"S","S+"))))))))))))))))))))</f>
        <v>#DIV/0!</v>
      </c>
      <c r="F55" s="961" t="str">
        <f t="shared" si="2"/>
        <v>#DIV/0!</v>
      </c>
      <c r="G55" s="961" t="str">
        <f>IF(F55&lt;'PlayerGrades+'!$AB$21,"F-",IF(F55&lt;'PlayerGrades+'!$AB$20,"F",IF(F55&lt;'PlayerGrades+'!$AB$19,"F+",IF(F55&lt;'PlayerGrades+'!$AB$18,"E-",IF(F55&lt;'PlayerGrades+'!$AB$17,"E",IF(F55&lt;'PlayerGrades+'!$AB$16,"E+",IF(F55&lt;'PlayerGrades+'!$AB$15,"D-",IF(F55&lt;'PlayerGrades+'!$AB$14,"D",IF(F55&lt;'PlayerGrades+'!$AB$13,"D+",IF(F55&lt;'PlayerGrades+'!$AB$12,"C-",IF(F55&lt;'PlayerGrades+'!$AB$11,"C",IF(F55&lt;'PlayerGrades+'!$AB$10,"C+",IF(F55&lt;'PlayerGrades+'!$AB$9,"B-",IF(F55&lt;'PlayerGrades+'!$AB$8,"B",IF(F55&lt;'PlayerGrades+'!$AB$7,"B+",IF(F55&lt;'PlayerGrades+'!$AB$6,"A-",IF(F55&lt;'PlayerGrades+'!$AB$5,"A",IF(F55&lt;'PlayerGrades+'!$AB$4,"A+",IF(F55&lt;'PlayerGrades+'!$AB$3,"S-",IF(F55&lt;'PlayerGrades+'!$AB$2,"S","S+"))))))))))))))))))))</f>
        <v>#DIV/0!</v>
      </c>
      <c r="H55" s="961" t="str">
        <f t="shared" si="3"/>
        <v>#DIV/0!</v>
      </c>
      <c r="I55" s="961" t="str">
        <f>IF(H55&lt;'PlayerGrades+'!$AC$21,"F-",IF(H55&lt;'PlayerGrades+'!$AC$20,"F",IF(H55&lt;'PlayerGrades+'!$AC$19,"F+",IF(H55&lt;'PlayerGrades+'!$AC$18,"E-",IF(H55&lt;'PlayerGrades+'!$AC$17,"E",IF(H55&lt;'PlayerGrades+'!$AC$16,"E+",IF(H55&lt;'PlayerGrades+'!$AC$15,"D-",IF(H55&lt;'PlayerGrades+'!$AC$14,"D",IF(H55&lt;'PlayerGrades+'!$AC$13,"D+",IF(H55&lt;'PlayerGrades+'!$AC$12,"C-",IF(H55&lt;'PlayerGrades+'!$AC$11,"C",IF(H55&lt;'PlayerGrades+'!$AC$10,"C+",IF(H55&lt;'PlayerGrades+'!$AC$9,"B-",IF(H55&lt;'PlayerGrades+'!$AC$8,"B",IF(H55&lt;'PlayerGrades+'!$AC$7,"B+",IF(H55&lt;'PlayerGrades+'!$AC$6,"A-",IF(H55&lt;'PlayerGrades+'!$AC$5,"A",IF(H55&lt;'PlayerGrades+'!$AC$4,"A+",IF(H55&lt;'PlayerGrades+'!$AC$3,"S-",IF(H55&lt;'PlayerGrades+'!$AC$2,"S","S+"))))))))))))))))))))</f>
        <v>#DIV/0!</v>
      </c>
      <c r="J55" s="961" t="str">
        <f t="shared" si="4"/>
        <v>#DIV/0!</v>
      </c>
      <c r="K55" s="961" t="str">
        <f>IF(J55&lt;'PlayerGrades+'!$AD$21,"F-",IF(J55&lt;'PlayerGrades+'!$AD$20,"F",IF(J55&lt;'PlayerGrades+'!$AD$19,"F+",IF(J55&lt;'PlayerGrades+'!$AD$18,"E-",IF(J55&lt;'PlayerGrades+'!$AD$17,"E",IF(J55&lt;'PlayerGrades+'!$AD$16,"E+",IF(J55&lt;'PlayerGrades+'!$AD$15,"D-",IF(J55&lt;'PlayerGrades+'!$AD$14,"D",IF(J55&lt;'PlayerGrades+'!$AD$13,"D+",IF(J55&lt;'PlayerGrades+'!$AD$12,"C-",IF(J55&lt;'PlayerGrades+'!$AD$11,"C",IF(J55&lt;'PlayerGrades+'!$AD$10,"C+",IF(J55&lt;'PlayerGrades+'!$AD$9,"B-",IF(J55&lt;'PlayerGrades+'!$AD$8,"B",IF(J55&lt;'PlayerGrades+'!$AD$7,"B+",IF(J55&lt;'PlayerGrades+'!$AD$6,"A-",IF(J55&lt;'PlayerGrades+'!$AD$5,"A",IF(J55&lt;'PlayerGrades+'!$AD$4,"A+",IF(J55&lt;'PlayerGrades+'!$AD$3,"S-",IF(J55&lt;'PlayerGrades+'!$AD$2,"S","S+"))))))))))))))))))))</f>
        <v>#DIV/0!</v>
      </c>
      <c r="L55" s="1176" t="str">
        <f t="shared" si="5"/>
        <v>#DIV/0!</v>
      </c>
      <c r="M55" s="992" t="str">
        <f>IF(L55&lt;'PlayerGrades+'!$AE$21,"F-",IF(L55&lt;'PlayerGrades+'!$AE$20,"F",IF(L55&lt;'PlayerGrades+'!$AE$19,"F+",IF(L55&lt;'PlayerGrades+'!$AE$18,"E-",IF(L55&lt;'PlayerGrades+'!$AE$17,"E",IF(L55&lt;'PlayerGrades+'!$AE$16,"E+",IF(L55&lt;'PlayerGrades+'!$AE$15,"D-",IF(L55&lt;'PlayerGrades+'!$AE$14,"D",IF(L55&lt;'PlayerGrades+'!$AE$13,"D+",IF(L55&lt;'PlayerGrades+'!$AE$12,"C-",IF(L55&lt;'PlayerGrades+'!$AE$11,"C",IF(L55&lt;'PlayerGrades+'!$AE$10,"C+",IF(L55&lt;'PlayerGrades+'!$AE$9,"B-",IF(L55&lt;'PlayerGrades+'!$AE$8,"B",IF(L55&lt;'PlayerGrades+'!$AE$7,"B+",IF(L55&lt;'PlayerGrades+'!$AE$6,"A-",IF(L55&lt;'PlayerGrades+'!$AE$5,"A",IF(L55&lt;'PlayerGrades+'!$AE$4,"A+",IF(L55&lt;'PlayerGrades+'!$AE$3,"S-",IF(L55&lt;'PlayerGrades+'!$AE$2,"S","S+"))))))))))))))))))))</f>
        <v>#DIV/0!</v>
      </c>
      <c r="N55" s="961" t="str">
        <f t="shared" si="6"/>
        <v>#DIV/0!</v>
      </c>
      <c r="O55" s="961" t="str">
        <f>IF(N55&lt;'PlayerGrades+'!$AF$21,"F-",IF(N55&lt;'PlayerGrades+'!$AF$20,"F",IF(N55&lt;'PlayerGrades+'!$AF$19,"F+",IF(N55&lt;'PlayerGrades+'!$AF$18,"E-",IF(N55&lt;'PlayerGrades+'!$AF$17,"E",IF(N55&lt;'PlayerGrades+'!$AF$16,"E+",IF(N55&lt;'PlayerGrades+'!$AF$15,"D-",IF(N55&lt;'PlayerGrades+'!$AF$14,"D",IF(N55&lt;'PlayerGrades+'!$AF$13,"D+",IF(N55&lt;'PlayerGrades+'!$AF$12,"C-",IF(N55&lt;'PlayerGrades+'!$AF$11,"C",IF(N55&lt;'PlayerGrades+'!$AF$10,"C+",IF(N55&lt;'PlayerGrades+'!$AF$9,"B-",IF(N55&lt;'PlayerGrades+'!$AF$8,"B",IF(N55&lt;'PlayerGrades+'!$AF$7,"B+",IF(N55&lt;'PlayerGrades+'!$AF$6,"A-",IF(N55&lt;'PlayerGrades+'!$AF$5,"A",IF(N55&lt;'PlayerGrades+'!$AF$4,"A+",IF(N55&lt;'PlayerGrades+'!$AF$3,"S-",IF(N55&lt;'PlayerGrades+'!$AF$2,"S","S+"))))))))))))))))))))</f>
        <v>#DIV/0!</v>
      </c>
      <c r="P55" s="961" t="str">
        <f t="shared" si="7"/>
        <v>#DIV/0!</v>
      </c>
      <c r="Q55" s="961" t="str">
        <f>IF(P55&lt;'PlayerGrades+'!$AG$21,"F-",IF(P55&lt;'PlayerGrades+'!$AG$20,"F",IF(P55&lt;'PlayerGrades+'!$AG$19,"F+",IF(P55&lt;'PlayerGrades+'!$AG$18,"E-",IF(P55&lt;'PlayerGrades+'!$AG$17,"E",IF(P55&lt;'PlayerGrades+'!$AG$16,"E+",IF(P55&lt;'PlayerGrades+'!$AG$15,"D-",IF(P55&lt;'PlayerGrades+'!$AG$14,"D",IF(P55&lt;'PlayerGrades+'!$AG$13,"D+",IF(P55&lt;'PlayerGrades+'!$AG$12,"C-",IF(P55&lt;'PlayerGrades+'!$AG$11,"C",IF(P55&lt;'PlayerGrades+'!$AG$10,"C+",IF(P55&lt;'PlayerGrades+'!$AG$9,"B-",IF(P55&lt;'PlayerGrades+'!$AG$8,"B",IF(P55&lt;'PlayerGrades+'!$AG$7,"B+",IF(P55&lt;'PlayerGrades+'!$AG$6,"A-",IF(P55&lt;'PlayerGrades+'!$AG$5,"A",IF(P55&lt;'PlayerGrades+'!$AG$4,"A+",IF(P55&lt;'PlayerGrades+'!$AG$3,"S-",IF(P55&lt;'PlayerGrades+'!$AG$2,"S","S+"))))))))))))))))))))</f>
        <v>#DIV/0!</v>
      </c>
      <c r="R55" s="961" t="str">
        <f t="shared" si="8"/>
        <v>#DIV/0!</v>
      </c>
      <c r="S55" s="961" t="str">
        <f>IF(R55&lt;'PlayerGrades+'!$AH$21,"F-",IF(R55&lt;'PlayerGrades+'!$AH$20,"F",IF(R55&lt;'PlayerGrades+'!$AH$19,"F+",IF(R55&lt;'PlayerGrades+'!$AH$18,"E-",IF(R55&lt;'PlayerGrades+'!$AH$17,"E",IF(R55&lt;'PlayerGrades+'!$AH$16,"E+",IF(R55&lt;'PlayerGrades+'!$AH$15,"D-",IF(R55&lt;'PlayerGrades+'!$AH$14,"D",IF(R55&lt;'PlayerGrades+'!$AH$13,"D+",IF(R55&lt;'PlayerGrades+'!$AH$12,"C-",IF(R55&lt;'PlayerGrades+'!$AH$11,"C",IF(R55&lt;'PlayerGrades+'!$AH$10,"C+",IF(R55&lt;'PlayerGrades+'!$AH$9,"B-",IF(R55&lt;'PlayerGrades+'!$AH$8,"B",IF(R55&lt;'PlayerGrades+'!$AH$7,"B+",IF(R55&lt;'PlayerGrades+'!$AH$6,"A-",IF(R55&lt;'PlayerGrades+'!$AH$5,"A",IF(R55&lt;'PlayerGrades+'!$AH$4,"A+",IF(R55&lt;'PlayerGrades+'!$AH$3,"S-",IF(R55&lt;'PlayerGrades+'!$AH$2,"S","S+"))))))))))))))))))))</f>
        <v>#DIV/0!</v>
      </c>
      <c r="T55" s="961">
        <f t="shared" si="9"/>
        <v>0</v>
      </c>
      <c r="U55" s="961" t="str">
        <f>IF(T55&lt;'PlayerGrades+'!$AI$21,"F-",IF(T55&lt;'PlayerGrades+'!$AI$20,"F",IF(T55&lt;'PlayerGrades+'!$AI$19,"F+",IF(T55&lt;'PlayerGrades+'!$AI$18,"E-",IF(T55&lt;'PlayerGrades+'!$AI$17,"E",IF(T55&lt;'PlayerGrades+'!$AI$16,"E+",IF(T55&lt;'PlayerGrades+'!$AI$15,"D-",IF(T55&lt;'PlayerGrades+'!$AI$14,"D",IF(T55&lt;'PlayerGrades+'!$AI$13,"D+",IF(T55&lt;'PlayerGrades+'!$AI$12,"C-",IF(T55&lt;'PlayerGrades+'!$AI$11,"C",IF(T55&lt;'PlayerGrades+'!$AI$10,"C+",IF(T55&lt;'PlayerGrades+'!$AI$9,"B-",IF(T55&lt;'PlayerGrades+'!$AI$8,"B",IF(T55&lt;'PlayerGrades+'!$AI$7,"B+",IF(T55&lt;'PlayerGrades+'!$AI$6,"A-",IF(T55&lt;'PlayerGrades+'!$AI$5,"A",IF(T55&lt;'PlayerGrades+'!$AI$4,"A+",IF(T55&lt;'PlayerGrades+'!$AI$3,"S-",IF(T55&lt;'PlayerGrades+'!$AI$2,"S","S+"))))))))))))))))))))</f>
        <v>F-</v>
      </c>
      <c r="AC55" s="1392"/>
    </row>
    <row r="56">
      <c r="A56" s="1391"/>
      <c r="B56" s="611" t="str">
        <f>IF(C56&lt;'PlayerGrades+'!$Y$44,"F-",IF(C56&lt;'PlayerGrades+'!$Y$43,"F",IF(C56&lt;'PlayerGrades+'!$Y$42,"F+",IF(C56&lt;'PlayerGrades+'!$Y$41,"E-",IF(C56&lt;'PlayerGrades+'!$Y$40,"E",IF(C56&lt;'PlayerGrades+'!$Y$39,"E+",IF(C56&lt;'PlayerGrades+'!$Y$38,"D-",IF(C56&lt;'PlayerGrades+'!$Y$37,"D",IF(C56&lt;'PlayerGrades+'!$Y$36,"D+",IF(C56&lt;'PlayerGrades+'!$Y$35,"C-",IF(C56&lt;'PlayerGrades+'!$Y$34,"C",IF(C56&lt;'PlayerGrades+'!$Y$33,"C+",IF(C56&lt;'PlayerGrades+'!$Y$32,"B-",IF(C56&lt;'PlayerGrades+'!$Y$31,"B",IF(C56&lt;'PlayerGrades+'!$Y$30,"B+",IF(C56&lt;'PlayerGrades+'!$Y$29,"A-",IF(C56&lt;'PlayerGrades+'!$Y$28,"A",IF(C56&lt;'PlayerGrades+'!$Y$27,"A+",IF(C56&lt;'PlayerGrades+'!$Y$26,"S-",IF(C56&lt;'PlayerGrades+'!$Y$25,"S","S+"))))))))))))))))))))</f>
        <v>#DIV/0!</v>
      </c>
      <c r="C56" s="1378" t="str">
        <f>('PlayerGrades+'!$Y$47*(VLOOKUP(E56, 'PlayerGrades+'!$X$3:$Y$23, 2, FALSE)))+('PlayerGrades+'!$Y$48*(VLOOKUP(G56, 'PlayerGrades+'!$X$3:$Y$23, 2, FALSE)))+('PlayerGrades+'!$Y$49*(VLOOKUP(I56, 'PlayerGrades+'!$X$3:$Y$23, 2, FALSE)))+('PlayerGrades+'!$Y$50*(VLOOKUP(K56, 'PlayerGrades+'!$X$3:$Y$23, 2, FALSE)))+('PlayerGrades+'!$Y$51*(VLOOKUP(M56, 'PlayerGrades+'!$X$3:$Y$23, 2, FALSE)))+('PlayerGrades+'!$Y$52*(VLOOKUP(O56, 'PlayerGrades+'!$X$3:$Y$23, 2, FALSE)))+('PlayerGrades+'!$Y$53*(VLOOKUP(Q56, 'PlayerGrades+'!$X$3:$Y$23, 2, FALSE)))+('PlayerGrades+'!$Y$54*(VLOOKUP(S56, 'PlayerGrades+'!$X$3:$Y$23, 2, FALSE)))+('PlayerGrades+'!$Y$55*(VLOOKUP(U56, 'PlayerGrades+'!$X$3:$Y$23, 2, FALSE)))</f>
        <v>#DIV/0!</v>
      </c>
      <c r="D56" s="961" t="str">
        <f t="shared" si="1"/>
        <v>#DIV/0!</v>
      </c>
      <c r="E56" s="961" t="str">
        <f>IF(D56&lt;'PlayerGrades+'!$AA$21,"F-",IF(D56&lt;'PlayerGrades+'!$AA$20,"F",IF(D56&lt;'PlayerGrades+'!$AA$19,"F+",IF(D56&lt;'PlayerGrades+'!$AA$18,"E-",IF(D56&lt;'PlayerGrades+'!$AA$17,"E",IF(D56&lt;'PlayerGrades+'!$AA$16,"E+",IF(D56&lt;'PlayerGrades+'!$AA$15,"D-",IF(D56&lt;'PlayerGrades+'!$AA$14,"D",IF(D56&lt;'PlayerGrades+'!$AA$13,"D+",IF(D56&lt;'PlayerGrades+'!$AA$12,"C-",IF(D56&lt;'PlayerGrades+'!$AA$11,"C",IF(D56&lt;'PlayerGrades+'!$AA$10,"C+",IF(D56&lt;'PlayerGrades+'!$AA$9,"B-",IF(D56&lt;'PlayerGrades+'!$AA$8,"B",IF(D56&lt;'PlayerGrades+'!$AA$7,"B+",IF(D56&lt;'PlayerGrades+'!$AA$6,"A-",IF(D56&lt;'PlayerGrades+'!$AA$5,"A",IF(D56&lt;'PlayerGrades+'!$AA$4,"A+",IF(D56&lt;'PlayerGrades+'!$AA$3,"S-",IF(D56&lt;'PlayerGrades+'!$AA$2,"S","S+"))))))))))))))))))))</f>
        <v>#DIV/0!</v>
      </c>
      <c r="F56" s="961" t="str">
        <f t="shared" si="2"/>
        <v>#DIV/0!</v>
      </c>
      <c r="G56" s="961" t="str">
        <f>IF(F56&lt;'PlayerGrades+'!$AB$21,"F-",IF(F56&lt;'PlayerGrades+'!$AB$20,"F",IF(F56&lt;'PlayerGrades+'!$AB$19,"F+",IF(F56&lt;'PlayerGrades+'!$AB$18,"E-",IF(F56&lt;'PlayerGrades+'!$AB$17,"E",IF(F56&lt;'PlayerGrades+'!$AB$16,"E+",IF(F56&lt;'PlayerGrades+'!$AB$15,"D-",IF(F56&lt;'PlayerGrades+'!$AB$14,"D",IF(F56&lt;'PlayerGrades+'!$AB$13,"D+",IF(F56&lt;'PlayerGrades+'!$AB$12,"C-",IF(F56&lt;'PlayerGrades+'!$AB$11,"C",IF(F56&lt;'PlayerGrades+'!$AB$10,"C+",IF(F56&lt;'PlayerGrades+'!$AB$9,"B-",IF(F56&lt;'PlayerGrades+'!$AB$8,"B",IF(F56&lt;'PlayerGrades+'!$AB$7,"B+",IF(F56&lt;'PlayerGrades+'!$AB$6,"A-",IF(F56&lt;'PlayerGrades+'!$AB$5,"A",IF(F56&lt;'PlayerGrades+'!$AB$4,"A+",IF(F56&lt;'PlayerGrades+'!$AB$3,"S-",IF(F56&lt;'PlayerGrades+'!$AB$2,"S","S+"))))))))))))))))))))</f>
        <v>#DIV/0!</v>
      </c>
      <c r="H56" s="961" t="str">
        <f t="shared" si="3"/>
        <v>#DIV/0!</v>
      </c>
      <c r="I56" s="961" t="str">
        <f>IF(H56&lt;'PlayerGrades+'!$AC$21,"F-",IF(H56&lt;'PlayerGrades+'!$AC$20,"F",IF(H56&lt;'PlayerGrades+'!$AC$19,"F+",IF(H56&lt;'PlayerGrades+'!$AC$18,"E-",IF(H56&lt;'PlayerGrades+'!$AC$17,"E",IF(H56&lt;'PlayerGrades+'!$AC$16,"E+",IF(H56&lt;'PlayerGrades+'!$AC$15,"D-",IF(H56&lt;'PlayerGrades+'!$AC$14,"D",IF(H56&lt;'PlayerGrades+'!$AC$13,"D+",IF(H56&lt;'PlayerGrades+'!$AC$12,"C-",IF(H56&lt;'PlayerGrades+'!$AC$11,"C",IF(H56&lt;'PlayerGrades+'!$AC$10,"C+",IF(H56&lt;'PlayerGrades+'!$AC$9,"B-",IF(H56&lt;'PlayerGrades+'!$AC$8,"B",IF(H56&lt;'PlayerGrades+'!$AC$7,"B+",IF(H56&lt;'PlayerGrades+'!$AC$6,"A-",IF(H56&lt;'PlayerGrades+'!$AC$5,"A",IF(H56&lt;'PlayerGrades+'!$AC$4,"A+",IF(H56&lt;'PlayerGrades+'!$AC$3,"S-",IF(H56&lt;'PlayerGrades+'!$AC$2,"S","S+"))))))))))))))))))))</f>
        <v>#DIV/0!</v>
      </c>
      <c r="J56" s="961" t="str">
        <f t="shared" si="4"/>
        <v>#DIV/0!</v>
      </c>
      <c r="K56" s="961" t="str">
        <f>IF(J56&lt;'PlayerGrades+'!$AD$21,"F-",IF(J56&lt;'PlayerGrades+'!$AD$20,"F",IF(J56&lt;'PlayerGrades+'!$AD$19,"F+",IF(J56&lt;'PlayerGrades+'!$AD$18,"E-",IF(J56&lt;'PlayerGrades+'!$AD$17,"E",IF(J56&lt;'PlayerGrades+'!$AD$16,"E+",IF(J56&lt;'PlayerGrades+'!$AD$15,"D-",IF(J56&lt;'PlayerGrades+'!$AD$14,"D",IF(J56&lt;'PlayerGrades+'!$AD$13,"D+",IF(J56&lt;'PlayerGrades+'!$AD$12,"C-",IF(J56&lt;'PlayerGrades+'!$AD$11,"C",IF(J56&lt;'PlayerGrades+'!$AD$10,"C+",IF(J56&lt;'PlayerGrades+'!$AD$9,"B-",IF(J56&lt;'PlayerGrades+'!$AD$8,"B",IF(J56&lt;'PlayerGrades+'!$AD$7,"B+",IF(J56&lt;'PlayerGrades+'!$AD$6,"A-",IF(J56&lt;'PlayerGrades+'!$AD$5,"A",IF(J56&lt;'PlayerGrades+'!$AD$4,"A+",IF(J56&lt;'PlayerGrades+'!$AD$3,"S-",IF(J56&lt;'PlayerGrades+'!$AD$2,"S","S+"))))))))))))))))))))</f>
        <v>#DIV/0!</v>
      </c>
      <c r="L56" s="1176" t="str">
        <f t="shared" si="5"/>
        <v>#DIV/0!</v>
      </c>
      <c r="M56" s="992" t="str">
        <f>IF(L56&lt;'PlayerGrades+'!$AE$21,"F-",IF(L56&lt;'PlayerGrades+'!$AE$20,"F",IF(L56&lt;'PlayerGrades+'!$AE$19,"F+",IF(L56&lt;'PlayerGrades+'!$AE$18,"E-",IF(L56&lt;'PlayerGrades+'!$AE$17,"E",IF(L56&lt;'PlayerGrades+'!$AE$16,"E+",IF(L56&lt;'PlayerGrades+'!$AE$15,"D-",IF(L56&lt;'PlayerGrades+'!$AE$14,"D",IF(L56&lt;'PlayerGrades+'!$AE$13,"D+",IF(L56&lt;'PlayerGrades+'!$AE$12,"C-",IF(L56&lt;'PlayerGrades+'!$AE$11,"C",IF(L56&lt;'PlayerGrades+'!$AE$10,"C+",IF(L56&lt;'PlayerGrades+'!$AE$9,"B-",IF(L56&lt;'PlayerGrades+'!$AE$8,"B",IF(L56&lt;'PlayerGrades+'!$AE$7,"B+",IF(L56&lt;'PlayerGrades+'!$AE$6,"A-",IF(L56&lt;'PlayerGrades+'!$AE$5,"A",IF(L56&lt;'PlayerGrades+'!$AE$4,"A+",IF(L56&lt;'PlayerGrades+'!$AE$3,"S-",IF(L56&lt;'PlayerGrades+'!$AE$2,"S","S+"))))))))))))))))))))</f>
        <v>#DIV/0!</v>
      </c>
      <c r="N56" s="961" t="str">
        <f t="shared" si="6"/>
        <v>#DIV/0!</v>
      </c>
      <c r="O56" s="961" t="str">
        <f>IF(N56&lt;'PlayerGrades+'!$AF$21,"F-",IF(N56&lt;'PlayerGrades+'!$AF$20,"F",IF(N56&lt;'PlayerGrades+'!$AF$19,"F+",IF(N56&lt;'PlayerGrades+'!$AF$18,"E-",IF(N56&lt;'PlayerGrades+'!$AF$17,"E",IF(N56&lt;'PlayerGrades+'!$AF$16,"E+",IF(N56&lt;'PlayerGrades+'!$AF$15,"D-",IF(N56&lt;'PlayerGrades+'!$AF$14,"D",IF(N56&lt;'PlayerGrades+'!$AF$13,"D+",IF(N56&lt;'PlayerGrades+'!$AF$12,"C-",IF(N56&lt;'PlayerGrades+'!$AF$11,"C",IF(N56&lt;'PlayerGrades+'!$AF$10,"C+",IF(N56&lt;'PlayerGrades+'!$AF$9,"B-",IF(N56&lt;'PlayerGrades+'!$AF$8,"B",IF(N56&lt;'PlayerGrades+'!$AF$7,"B+",IF(N56&lt;'PlayerGrades+'!$AF$6,"A-",IF(N56&lt;'PlayerGrades+'!$AF$5,"A",IF(N56&lt;'PlayerGrades+'!$AF$4,"A+",IF(N56&lt;'PlayerGrades+'!$AF$3,"S-",IF(N56&lt;'PlayerGrades+'!$AF$2,"S","S+"))))))))))))))))))))</f>
        <v>#DIV/0!</v>
      </c>
      <c r="P56" s="961" t="str">
        <f t="shared" si="7"/>
        <v>#DIV/0!</v>
      </c>
      <c r="Q56" s="961" t="str">
        <f>IF(P56&lt;'PlayerGrades+'!$AG$21,"F-",IF(P56&lt;'PlayerGrades+'!$AG$20,"F",IF(P56&lt;'PlayerGrades+'!$AG$19,"F+",IF(P56&lt;'PlayerGrades+'!$AG$18,"E-",IF(P56&lt;'PlayerGrades+'!$AG$17,"E",IF(P56&lt;'PlayerGrades+'!$AG$16,"E+",IF(P56&lt;'PlayerGrades+'!$AG$15,"D-",IF(P56&lt;'PlayerGrades+'!$AG$14,"D",IF(P56&lt;'PlayerGrades+'!$AG$13,"D+",IF(P56&lt;'PlayerGrades+'!$AG$12,"C-",IF(P56&lt;'PlayerGrades+'!$AG$11,"C",IF(P56&lt;'PlayerGrades+'!$AG$10,"C+",IF(P56&lt;'PlayerGrades+'!$AG$9,"B-",IF(P56&lt;'PlayerGrades+'!$AG$8,"B",IF(P56&lt;'PlayerGrades+'!$AG$7,"B+",IF(P56&lt;'PlayerGrades+'!$AG$6,"A-",IF(P56&lt;'PlayerGrades+'!$AG$5,"A",IF(P56&lt;'PlayerGrades+'!$AG$4,"A+",IF(P56&lt;'PlayerGrades+'!$AG$3,"S-",IF(P56&lt;'PlayerGrades+'!$AG$2,"S","S+"))))))))))))))))))))</f>
        <v>#DIV/0!</v>
      </c>
      <c r="R56" s="961" t="str">
        <f t="shared" si="8"/>
        <v>#DIV/0!</v>
      </c>
      <c r="S56" s="961" t="str">
        <f>IF(R56&lt;'PlayerGrades+'!$AH$21,"F-",IF(R56&lt;'PlayerGrades+'!$AH$20,"F",IF(R56&lt;'PlayerGrades+'!$AH$19,"F+",IF(R56&lt;'PlayerGrades+'!$AH$18,"E-",IF(R56&lt;'PlayerGrades+'!$AH$17,"E",IF(R56&lt;'PlayerGrades+'!$AH$16,"E+",IF(R56&lt;'PlayerGrades+'!$AH$15,"D-",IF(R56&lt;'PlayerGrades+'!$AH$14,"D",IF(R56&lt;'PlayerGrades+'!$AH$13,"D+",IF(R56&lt;'PlayerGrades+'!$AH$12,"C-",IF(R56&lt;'PlayerGrades+'!$AH$11,"C",IF(R56&lt;'PlayerGrades+'!$AH$10,"C+",IF(R56&lt;'PlayerGrades+'!$AH$9,"B-",IF(R56&lt;'PlayerGrades+'!$AH$8,"B",IF(R56&lt;'PlayerGrades+'!$AH$7,"B+",IF(R56&lt;'PlayerGrades+'!$AH$6,"A-",IF(R56&lt;'PlayerGrades+'!$AH$5,"A",IF(R56&lt;'PlayerGrades+'!$AH$4,"A+",IF(R56&lt;'PlayerGrades+'!$AH$3,"S-",IF(R56&lt;'PlayerGrades+'!$AH$2,"S","S+"))))))))))))))))))))</f>
        <v>#DIV/0!</v>
      </c>
      <c r="T56" s="961">
        <f t="shared" si="9"/>
        <v>0</v>
      </c>
      <c r="U56" s="961" t="str">
        <f>IF(T56&lt;'PlayerGrades+'!$AI$21,"F-",IF(T56&lt;'PlayerGrades+'!$AI$20,"F",IF(T56&lt;'PlayerGrades+'!$AI$19,"F+",IF(T56&lt;'PlayerGrades+'!$AI$18,"E-",IF(T56&lt;'PlayerGrades+'!$AI$17,"E",IF(T56&lt;'PlayerGrades+'!$AI$16,"E+",IF(T56&lt;'PlayerGrades+'!$AI$15,"D-",IF(T56&lt;'PlayerGrades+'!$AI$14,"D",IF(T56&lt;'PlayerGrades+'!$AI$13,"D+",IF(T56&lt;'PlayerGrades+'!$AI$12,"C-",IF(T56&lt;'PlayerGrades+'!$AI$11,"C",IF(T56&lt;'PlayerGrades+'!$AI$10,"C+",IF(T56&lt;'PlayerGrades+'!$AI$9,"B-",IF(T56&lt;'PlayerGrades+'!$AI$8,"B",IF(T56&lt;'PlayerGrades+'!$AI$7,"B+",IF(T56&lt;'PlayerGrades+'!$AI$6,"A-",IF(T56&lt;'PlayerGrades+'!$AI$5,"A",IF(T56&lt;'PlayerGrades+'!$AI$4,"A+",IF(T56&lt;'PlayerGrades+'!$AI$3,"S-",IF(T56&lt;'PlayerGrades+'!$AI$2,"S","S+"))))))))))))))))))))</f>
        <v>F-</v>
      </c>
      <c r="AC56" s="1392"/>
    </row>
    <row r="57">
      <c r="A57" s="1393"/>
      <c r="B57" s="611" t="str">
        <f>IF(C57&lt;'PlayerGrades+'!$Y$44,"F-",IF(C57&lt;'PlayerGrades+'!$Y$43,"F",IF(C57&lt;'PlayerGrades+'!$Y$42,"F+",IF(C57&lt;'PlayerGrades+'!$Y$41,"E-",IF(C57&lt;'PlayerGrades+'!$Y$40,"E",IF(C57&lt;'PlayerGrades+'!$Y$39,"E+",IF(C57&lt;'PlayerGrades+'!$Y$38,"D-",IF(C57&lt;'PlayerGrades+'!$Y$37,"D",IF(C57&lt;'PlayerGrades+'!$Y$36,"D+",IF(C57&lt;'PlayerGrades+'!$Y$35,"C-",IF(C57&lt;'PlayerGrades+'!$Y$34,"C",IF(C57&lt;'PlayerGrades+'!$Y$33,"C+",IF(C57&lt;'PlayerGrades+'!$Y$32,"B-",IF(C57&lt;'PlayerGrades+'!$Y$31,"B",IF(C57&lt;'PlayerGrades+'!$Y$30,"B+",IF(C57&lt;'PlayerGrades+'!$Y$29,"A-",IF(C57&lt;'PlayerGrades+'!$Y$28,"A",IF(C57&lt;'PlayerGrades+'!$Y$27,"A+",IF(C57&lt;'PlayerGrades+'!$Y$26,"S-",IF(C57&lt;'PlayerGrades+'!$Y$25,"S","S+"))))))))))))))))))))</f>
        <v>#DIV/0!</v>
      </c>
      <c r="C57" s="1378" t="str">
        <f>('PlayerGrades+'!$Y$47*(VLOOKUP(E57, 'PlayerGrades+'!$X$3:$Y$23, 2, FALSE)))+('PlayerGrades+'!$Y$48*(VLOOKUP(G57, 'PlayerGrades+'!$X$3:$Y$23, 2, FALSE)))+('PlayerGrades+'!$Y$49*(VLOOKUP(I57, 'PlayerGrades+'!$X$3:$Y$23, 2, FALSE)))+('PlayerGrades+'!$Y$50*(VLOOKUP(K57, 'PlayerGrades+'!$X$3:$Y$23, 2, FALSE)))+('PlayerGrades+'!$Y$51*(VLOOKUP(M57, 'PlayerGrades+'!$X$3:$Y$23, 2, FALSE)))+('PlayerGrades+'!$Y$52*(VLOOKUP(O57, 'PlayerGrades+'!$X$3:$Y$23, 2, FALSE)))+('PlayerGrades+'!$Y$53*(VLOOKUP(Q57, 'PlayerGrades+'!$X$3:$Y$23, 2, FALSE)))+('PlayerGrades+'!$Y$54*(VLOOKUP(S57, 'PlayerGrades+'!$X$3:$Y$23, 2, FALSE)))+('PlayerGrades+'!$Y$55*(VLOOKUP(U57, 'PlayerGrades+'!$X$3:$Y$23, 2, FALSE)))</f>
        <v>#DIV/0!</v>
      </c>
      <c r="D57" s="961" t="str">
        <f t="shared" si="1"/>
        <v>#DIV/0!</v>
      </c>
      <c r="E57" s="961" t="str">
        <f>IF(D57&lt;'PlayerGrades+'!$AA$21,"F-",IF(D57&lt;'PlayerGrades+'!$AA$20,"F",IF(D57&lt;'PlayerGrades+'!$AA$19,"F+",IF(D57&lt;'PlayerGrades+'!$AA$18,"E-",IF(D57&lt;'PlayerGrades+'!$AA$17,"E",IF(D57&lt;'PlayerGrades+'!$AA$16,"E+",IF(D57&lt;'PlayerGrades+'!$AA$15,"D-",IF(D57&lt;'PlayerGrades+'!$AA$14,"D",IF(D57&lt;'PlayerGrades+'!$AA$13,"D+",IF(D57&lt;'PlayerGrades+'!$AA$12,"C-",IF(D57&lt;'PlayerGrades+'!$AA$11,"C",IF(D57&lt;'PlayerGrades+'!$AA$10,"C+",IF(D57&lt;'PlayerGrades+'!$AA$9,"B-",IF(D57&lt;'PlayerGrades+'!$AA$8,"B",IF(D57&lt;'PlayerGrades+'!$AA$7,"B+",IF(D57&lt;'PlayerGrades+'!$AA$6,"A-",IF(D57&lt;'PlayerGrades+'!$AA$5,"A",IF(D57&lt;'PlayerGrades+'!$AA$4,"A+",IF(D57&lt;'PlayerGrades+'!$AA$3,"S-",IF(D57&lt;'PlayerGrades+'!$AA$2,"S","S+"))))))))))))))))))))</f>
        <v>#DIV/0!</v>
      </c>
      <c r="F57" s="961" t="str">
        <f t="shared" si="2"/>
        <v>#DIV/0!</v>
      </c>
      <c r="G57" s="961" t="str">
        <f>IF(F57&lt;'PlayerGrades+'!$AB$21,"F-",IF(F57&lt;'PlayerGrades+'!$AB$20,"F",IF(F57&lt;'PlayerGrades+'!$AB$19,"F+",IF(F57&lt;'PlayerGrades+'!$AB$18,"E-",IF(F57&lt;'PlayerGrades+'!$AB$17,"E",IF(F57&lt;'PlayerGrades+'!$AB$16,"E+",IF(F57&lt;'PlayerGrades+'!$AB$15,"D-",IF(F57&lt;'PlayerGrades+'!$AB$14,"D",IF(F57&lt;'PlayerGrades+'!$AB$13,"D+",IF(F57&lt;'PlayerGrades+'!$AB$12,"C-",IF(F57&lt;'PlayerGrades+'!$AB$11,"C",IF(F57&lt;'PlayerGrades+'!$AB$10,"C+",IF(F57&lt;'PlayerGrades+'!$AB$9,"B-",IF(F57&lt;'PlayerGrades+'!$AB$8,"B",IF(F57&lt;'PlayerGrades+'!$AB$7,"B+",IF(F57&lt;'PlayerGrades+'!$AB$6,"A-",IF(F57&lt;'PlayerGrades+'!$AB$5,"A",IF(F57&lt;'PlayerGrades+'!$AB$4,"A+",IF(F57&lt;'PlayerGrades+'!$AB$3,"S-",IF(F57&lt;'PlayerGrades+'!$AB$2,"S","S+"))))))))))))))))))))</f>
        <v>#DIV/0!</v>
      </c>
      <c r="H57" s="961" t="str">
        <f t="shared" si="3"/>
        <v>#DIV/0!</v>
      </c>
      <c r="I57" s="961" t="str">
        <f>IF(H57&lt;'PlayerGrades+'!$AC$21,"F-",IF(H57&lt;'PlayerGrades+'!$AC$20,"F",IF(H57&lt;'PlayerGrades+'!$AC$19,"F+",IF(H57&lt;'PlayerGrades+'!$AC$18,"E-",IF(H57&lt;'PlayerGrades+'!$AC$17,"E",IF(H57&lt;'PlayerGrades+'!$AC$16,"E+",IF(H57&lt;'PlayerGrades+'!$AC$15,"D-",IF(H57&lt;'PlayerGrades+'!$AC$14,"D",IF(H57&lt;'PlayerGrades+'!$AC$13,"D+",IF(H57&lt;'PlayerGrades+'!$AC$12,"C-",IF(H57&lt;'PlayerGrades+'!$AC$11,"C",IF(H57&lt;'PlayerGrades+'!$AC$10,"C+",IF(H57&lt;'PlayerGrades+'!$AC$9,"B-",IF(H57&lt;'PlayerGrades+'!$AC$8,"B",IF(H57&lt;'PlayerGrades+'!$AC$7,"B+",IF(H57&lt;'PlayerGrades+'!$AC$6,"A-",IF(H57&lt;'PlayerGrades+'!$AC$5,"A",IF(H57&lt;'PlayerGrades+'!$AC$4,"A+",IF(H57&lt;'PlayerGrades+'!$AC$3,"S-",IF(H57&lt;'PlayerGrades+'!$AC$2,"S","S+"))))))))))))))))))))</f>
        <v>#DIV/0!</v>
      </c>
      <c r="J57" s="961" t="str">
        <f t="shared" si="4"/>
        <v>#DIV/0!</v>
      </c>
      <c r="K57" s="961" t="str">
        <f>IF(J57&lt;'PlayerGrades+'!$AD$21,"F-",IF(J57&lt;'PlayerGrades+'!$AD$20,"F",IF(J57&lt;'PlayerGrades+'!$AD$19,"F+",IF(J57&lt;'PlayerGrades+'!$AD$18,"E-",IF(J57&lt;'PlayerGrades+'!$AD$17,"E",IF(J57&lt;'PlayerGrades+'!$AD$16,"E+",IF(J57&lt;'PlayerGrades+'!$AD$15,"D-",IF(J57&lt;'PlayerGrades+'!$AD$14,"D",IF(J57&lt;'PlayerGrades+'!$AD$13,"D+",IF(J57&lt;'PlayerGrades+'!$AD$12,"C-",IF(J57&lt;'PlayerGrades+'!$AD$11,"C",IF(J57&lt;'PlayerGrades+'!$AD$10,"C+",IF(J57&lt;'PlayerGrades+'!$AD$9,"B-",IF(J57&lt;'PlayerGrades+'!$AD$8,"B",IF(J57&lt;'PlayerGrades+'!$AD$7,"B+",IF(J57&lt;'PlayerGrades+'!$AD$6,"A-",IF(J57&lt;'PlayerGrades+'!$AD$5,"A",IF(J57&lt;'PlayerGrades+'!$AD$4,"A+",IF(J57&lt;'PlayerGrades+'!$AD$3,"S-",IF(J57&lt;'PlayerGrades+'!$AD$2,"S","S+"))))))))))))))))))))</f>
        <v>#DIV/0!</v>
      </c>
      <c r="L57" s="1176" t="str">
        <f t="shared" si="5"/>
        <v>#DIV/0!</v>
      </c>
      <c r="M57" s="992" t="str">
        <f>IF(L57&lt;'PlayerGrades+'!$AE$21,"F-",IF(L57&lt;'PlayerGrades+'!$AE$20,"F",IF(L57&lt;'PlayerGrades+'!$AE$19,"F+",IF(L57&lt;'PlayerGrades+'!$AE$18,"E-",IF(L57&lt;'PlayerGrades+'!$AE$17,"E",IF(L57&lt;'PlayerGrades+'!$AE$16,"E+",IF(L57&lt;'PlayerGrades+'!$AE$15,"D-",IF(L57&lt;'PlayerGrades+'!$AE$14,"D",IF(L57&lt;'PlayerGrades+'!$AE$13,"D+",IF(L57&lt;'PlayerGrades+'!$AE$12,"C-",IF(L57&lt;'PlayerGrades+'!$AE$11,"C",IF(L57&lt;'PlayerGrades+'!$AE$10,"C+",IF(L57&lt;'PlayerGrades+'!$AE$9,"B-",IF(L57&lt;'PlayerGrades+'!$AE$8,"B",IF(L57&lt;'PlayerGrades+'!$AE$7,"B+",IF(L57&lt;'PlayerGrades+'!$AE$6,"A-",IF(L57&lt;'PlayerGrades+'!$AE$5,"A",IF(L57&lt;'PlayerGrades+'!$AE$4,"A+",IF(L57&lt;'PlayerGrades+'!$AE$3,"S-",IF(L57&lt;'PlayerGrades+'!$AE$2,"S","S+"))))))))))))))))))))</f>
        <v>#DIV/0!</v>
      </c>
      <c r="N57" s="961" t="str">
        <f t="shared" si="6"/>
        <v>#DIV/0!</v>
      </c>
      <c r="O57" s="961" t="str">
        <f>IF(N57&lt;'PlayerGrades+'!$AF$21,"F-",IF(N57&lt;'PlayerGrades+'!$AF$20,"F",IF(N57&lt;'PlayerGrades+'!$AF$19,"F+",IF(N57&lt;'PlayerGrades+'!$AF$18,"E-",IF(N57&lt;'PlayerGrades+'!$AF$17,"E",IF(N57&lt;'PlayerGrades+'!$AF$16,"E+",IF(N57&lt;'PlayerGrades+'!$AF$15,"D-",IF(N57&lt;'PlayerGrades+'!$AF$14,"D",IF(N57&lt;'PlayerGrades+'!$AF$13,"D+",IF(N57&lt;'PlayerGrades+'!$AF$12,"C-",IF(N57&lt;'PlayerGrades+'!$AF$11,"C",IF(N57&lt;'PlayerGrades+'!$AF$10,"C+",IF(N57&lt;'PlayerGrades+'!$AF$9,"B-",IF(N57&lt;'PlayerGrades+'!$AF$8,"B",IF(N57&lt;'PlayerGrades+'!$AF$7,"B+",IF(N57&lt;'PlayerGrades+'!$AF$6,"A-",IF(N57&lt;'PlayerGrades+'!$AF$5,"A",IF(N57&lt;'PlayerGrades+'!$AF$4,"A+",IF(N57&lt;'PlayerGrades+'!$AF$3,"S-",IF(N57&lt;'PlayerGrades+'!$AF$2,"S","S+"))))))))))))))))))))</f>
        <v>#DIV/0!</v>
      </c>
      <c r="P57" s="961" t="str">
        <f t="shared" si="7"/>
        <v>#DIV/0!</v>
      </c>
      <c r="Q57" s="961" t="str">
        <f>IF(P57&lt;'PlayerGrades+'!$AG$21,"F-",IF(P57&lt;'PlayerGrades+'!$AG$20,"F",IF(P57&lt;'PlayerGrades+'!$AG$19,"F+",IF(P57&lt;'PlayerGrades+'!$AG$18,"E-",IF(P57&lt;'PlayerGrades+'!$AG$17,"E",IF(P57&lt;'PlayerGrades+'!$AG$16,"E+",IF(P57&lt;'PlayerGrades+'!$AG$15,"D-",IF(P57&lt;'PlayerGrades+'!$AG$14,"D",IF(P57&lt;'PlayerGrades+'!$AG$13,"D+",IF(P57&lt;'PlayerGrades+'!$AG$12,"C-",IF(P57&lt;'PlayerGrades+'!$AG$11,"C",IF(P57&lt;'PlayerGrades+'!$AG$10,"C+",IF(P57&lt;'PlayerGrades+'!$AG$9,"B-",IF(P57&lt;'PlayerGrades+'!$AG$8,"B",IF(P57&lt;'PlayerGrades+'!$AG$7,"B+",IF(P57&lt;'PlayerGrades+'!$AG$6,"A-",IF(P57&lt;'PlayerGrades+'!$AG$5,"A",IF(P57&lt;'PlayerGrades+'!$AG$4,"A+",IF(P57&lt;'PlayerGrades+'!$AG$3,"S-",IF(P57&lt;'PlayerGrades+'!$AG$2,"S","S+"))))))))))))))))))))</f>
        <v>#DIV/0!</v>
      </c>
      <c r="R57" s="961" t="str">
        <f t="shared" si="8"/>
        <v>#DIV/0!</v>
      </c>
      <c r="S57" s="961" t="str">
        <f>IF(R57&lt;'PlayerGrades+'!$AH$21,"F-",IF(R57&lt;'PlayerGrades+'!$AH$20,"F",IF(R57&lt;'PlayerGrades+'!$AH$19,"F+",IF(R57&lt;'PlayerGrades+'!$AH$18,"E-",IF(R57&lt;'PlayerGrades+'!$AH$17,"E",IF(R57&lt;'PlayerGrades+'!$AH$16,"E+",IF(R57&lt;'PlayerGrades+'!$AH$15,"D-",IF(R57&lt;'PlayerGrades+'!$AH$14,"D",IF(R57&lt;'PlayerGrades+'!$AH$13,"D+",IF(R57&lt;'PlayerGrades+'!$AH$12,"C-",IF(R57&lt;'PlayerGrades+'!$AH$11,"C",IF(R57&lt;'PlayerGrades+'!$AH$10,"C+",IF(R57&lt;'PlayerGrades+'!$AH$9,"B-",IF(R57&lt;'PlayerGrades+'!$AH$8,"B",IF(R57&lt;'PlayerGrades+'!$AH$7,"B+",IF(R57&lt;'PlayerGrades+'!$AH$6,"A-",IF(R57&lt;'PlayerGrades+'!$AH$5,"A",IF(R57&lt;'PlayerGrades+'!$AH$4,"A+",IF(R57&lt;'PlayerGrades+'!$AH$3,"S-",IF(R57&lt;'PlayerGrades+'!$AH$2,"S","S+"))))))))))))))))))))</f>
        <v>#DIV/0!</v>
      </c>
      <c r="T57" s="961">
        <f t="shared" si="9"/>
        <v>0</v>
      </c>
      <c r="U57" s="961" t="str">
        <f>IF(T57&lt;'PlayerGrades+'!$AI$21,"F-",IF(T57&lt;'PlayerGrades+'!$AI$20,"F",IF(T57&lt;'PlayerGrades+'!$AI$19,"F+",IF(T57&lt;'PlayerGrades+'!$AI$18,"E-",IF(T57&lt;'PlayerGrades+'!$AI$17,"E",IF(T57&lt;'PlayerGrades+'!$AI$16,"E+",IF(T57&lt;'PlayerGrades+'!$AI$15,"D-",IF(T57&lt;'PlayerGrades+'!$AI$14,"D",IF(T57&lt;'PlayerGrades+'!$AI$13,"D+",IF(T57&lt;'PlayerGrades+'!$AI$12,"C-",IF(T57&lt;'PlayerGrades+'!$AI$11,"C",IF(T57&lt;'PlayerGrades+'!$AI$10,"C+",IF(T57&lt;'PlayerGrades+'!$AI$9,"B-",IF(T57&lt;'PlayerGrades+'!$AI$8,"B",IF(T57&lt;'PlayerGrades+'!$AI$7,"B+",IF(T57&lt;'PlayerGrades+'!$AI$6,"A-",IF(T57&lt;'PlayerGrades+'!$AI$5,"A",IF(T57&lt;'PlayerGrades+'!$AI$4,"A+",IF(T57&lt;'PlayerGrades+'!$AI$3,"S-",IF(T57&lt;'PlayerGrades+'!$AI$2,"S","S+"))))))))))))))))))))</f>
        <v>F-</v>
      </c>
      <c r="V57" s="1386"/>
      <c r="W57" s="1386"/>
      <c r="X57" s="1386"/>
      <c r="Y57" s="1386"/>
      <c r="Z57" s="1386"/>
      <c r="AA57" s="1386"/>
      <c r="AB57" s="1386"/>
      <c r="AC57" s="1397"/>
      <c r="AD57" s="1386"/>
      <c r="AE57" s="1386"/>
      <c r="AF57" s="1386"/>
      <c r="AG57" s="1386"/>
      <c r="AH57" s="1386"/>
      <c r="AI57" s="1386"/>
      <c r="AJ57" s="1386"/>
      <c r="AK57" s="1386"/>
      <c r="AL57" s="1386"/>
      <c r="AM57" s="1386"/>
      <c r="AN57" s="1386"/>
      <c r="AO57" s="1386"/>
      <c r="AP57" s="1386"/>
      <c r="AQ57" s="1386"/>
      <c r="AR57" s="1386"/>
      <c r="AS57" s="1386"/>
      <c r="AT57" s="1386"/>
      <c r="AU57" s="1386"/>
      <c r="AV57" s="1386"/>
      <c r="AW57" s="1386"/>
      <c r="AX57" s="1386"/>
      <c r="AY57" s="1386"/>
      <c r="AZ57" s="1386"/>
    </row>
    <row r="58">
      <c r="A58" s="1389"/>
      <c r="B58" s="611" t="str">
        <f>IF(C58&lt;'PlayerGrades+'!$Y$44,"F-",IF(C58&lt;'PlayerGrades+'!$Y$43,"F",IF(C58&lt;'PlayerGrades+'!$Y$42,"F+",IF(C58&lt;'PlayerGrades+'!$Y$41,"E-",IF(C58&lt;'PlayerGrades+'!$Y$40,"E",IF(C58&lt;'PlayerGrades+'!$Y$39,"E+",IF(C58&lt;'PlayerGrades+'!$Y$38,"D-",IF(C58&lt;'PlayerGrades+'!$Y$37,"D",IF(C58&lt;'PlayerGrades+'!$Y$36,"D+",IF(C58&lt;'PlayerGrades+'!$Y$35,"C-",IF(C58&lt;'PlayerGrades+'!$Y$34,"C",IF(C58&lt;'PlayerGrades+'!$Y$33,"C+",IF(C58&lt;'PlayerGrades+'!$Y$32,"B-",IF(C58&lt;'PlayerGrades+'!$Y$31,"B",IF(C58&lt;'PlayerGrades+'!$Y$30,"B+",IF(C58&lt;'PlayerGrades+'!$Y$29,"A-",IF(C58&lt;'PlayerGrades+'!$Y$28,"A",IF(C58&lt;'PlayerGrades+'!$Y$27,"A+",IF(C58&lt;'PlayerGrades+'!$Y$26,"S-",IF(C58&lt;'PlayerGrades+'!$Y$25,"S","S+"))))))))))))))))))))</f>
        <v>#DIV/0!</v>
      </c>
      <c r="C58" s="1378" t="str">
        <f>('PlayerGrades+'!$Y$47*(VLOOKUP(E58, 'PlayerGrades+'!$X$3:$Y$23, 2, FALSE)))+('PlayerGrades+'!$Y$48*(VLOOKUP(G58, 'PlayerGrades+'!$X$3:$Y$23, 2, FALSE)))+('PlayerGrades+'!$Y$49*(VLOOKUP(I58, 'PlayerGrades+'!$X$3:$Y$23, 2, FALSE)))+('PlayerGrades+'!$Y$50*(VLOOKUP(K58, 'PlayerGrades+'!$X$3:$Y$23, 2, FALSE)))+('PlayerGrades+'!$Y$51*(VLOOKUP(M58, 'PlayerGrades+'!$X$3:$Y$23, 2, FALSE)))+('PlayerGrades+'!$Y$52*(VLOOKUP(O58, 'PlayerGrades+'!$X$3:$Y$23, 2, FALSE)))+('PlayerGrades+'!$Y$53*(VLOOKUP(Q58, 'PlayerGrades+'!$X$3:$Y$23, 2, FALSE)))+('PlayerGrades+'!$Y$54*(VLOOKUP(S58, 'PlayerGrades+'!$X$3:$Y$23, 2, FALSE)))+('PlayerGrades+'!$Y$55*(VLOOKUP(U58, 'PlayerGrades+'!$X$3:$Y$23, 2, FALSE)))</f>
        <v>#DIV/0!</v>
      </c>
      <c r="D58" s="961" t="str">
        <f t="shared" si="1"/>
        <v>#DIV/0!</v>
      </c>
      <c r="E58" s="961" t="str">
        <f>IF(D58&lt;'PlayerGrades+'!$AA$21,"F-",IF(D58&lt;'PlayerGrades+'!$AA$20,"F",IF(D58&lt;'PlayerGrades+'!$AA$19,"F+",IF(D58&lt;'PlayerGrades+'!$AA$18,"E-",IF(D58&lt;'PlayerGrades+'!$AA$17,"E",IF(D58&lt;'PlayerGrades+'!$AA$16,"E+",IF(D58&lt;'PlayerGrades+'!$AA$15,"D-",IF(D58&lt;'PlayerGrades+'!$AA$14,"D",IF(D58&lt;'PlayerGrades+'!$AA$13,"D+",IF(D58&lt;'PlayerGrades+'!$AA$12,"C-",IF(D58&lt;'PlayerGrades+'!$AA$11,"C",IF(D58&lt;'PlayerGrades+'!$AA$10,"C+",IF(D58&lt;'PlayerGrades+'!$AA$9,"B-",IF(D58&lt;'PlayerGrades+'!$AA$8,"B",IF(D58&lt;'PlayerGrades+'!$AA$7,"B+",IF(D58&lt;'PlayerGrades+'!$AA$6,"A-",IF(D58&lt;'PlayerGrades+'!$AA$5,"A",IF(D58&lt;'PlayerGrades+'!$AA$4,"A+",IF(D58&lt;'PlayerGrades+'!$AA$3,"S-",IF(D58&lt;'PlayerGrades+'!$AA$2,"S","S+"))))))))))))))))))))</f>
        <v>#DIV/0!</v>
      </c>
      <c r="F58" s="961" t="str">
        <f t="shared" si="2"/>
        <v>#DIV/0!</v>
      </c>
      <c r="G58" s="961" t="str">
        <f>IF(F58&lt;'PlayerGrades+'!$AB$21,"F-",IF(F58&lt;'PlayerGrades+'!$AB$20,"F",IF(F58&lt;'PlayerGrades+'!$AB$19,"F+",IF(F58&lt;'PlayerGrades+'!$AB$18,"E-",IF(F58&lt;'PlayerGrades+'!$AB$17,"E",IF(F58&lt;'PlayerGrades+'!$AB$16,"E+",IF(F58&lt;'PlayerGrades+'!$AB$15,"D-",IF(F58&lt;'PlayerGrades+'!$AB$14,"D",IF(F58&lt;'PlayerGrades+'!$AB$13,"D+",IF(F58&lt;'PlayerGrades+'!$AB$12,"C-",IF(F58&lt;'PlayerGrades+'!$AB$11,"C",IF(F58&lt;'PlayerGrades+'!$AB$10,"C+",IF(F58&lt;'PlayerGrades+'!$AB$9,"B-",IF(F58&lt;'PlayerGrades+'!$AB$8,"B",IF(F58&lt;'PlayerGrades+'!$AB$7,"B+",IF(F58&lt;'PlayerGrades+'!$AB$6,"A-",IF(F58&lt;'PlayerGrades+'!$AB$5,"A",IF(F58&lt;'PlayerGrades+'!$AB$4,"A+",IF(F58&lt;'PlayerGrades+'!$AB$3,"S-",IF(F58&lt;'PlayerGrades+'!$AB$2,"S","S+"))))))))))))))))))))</f>
        <v>#DIV/0!</v>
      </c>
      <c r="H58" s="961" t="str">
        <f t="shared" si="3"/>
        <v>#DIV/0!</v>
      </c>
      <c r="I58" s="961" t="str">
        <f>IF(H58&lt;'PlayerGrades+'!$AC$21,"F-",IF(H58&lt;'PlayerGrades+'!$AC$20,"F",IF(H58&lt;'PlayerGrades+'!$AC$19,"F+",IF(H58&lt;'PlayerGrades+'!$AC$18,"E-",IF(H58&lt;'PlayerGrades+'!$AC$17,"E",IF(H58&lt;'PlayerGrades+'!$AC$16,"E+",IF(H58&lt;'PlayerGrades+'!$AC$15,"D-",IF(H58&lt;'PlayerGrades+'!$AC$14,"D",IF(H58&lt;'PlayerGrades+'!$AC$13,"D+",IF(H58&lt;'PlayerGrades+'!$AC$12,"C-",IF(H58&lt;'PlayerGrades+'!$AC$11,"C",IF(H58&lt;'PlayerGrades+'!$AC$10,"C+",IF(H58&lt;'PlayerGrades+'!$AC$9,"B-",IF(H58&lt;'PlayerGrades+'!$AC$8,"B",IF(H58&lt;'PlayerGrades+'!$AC$7,"B+",IF(H58&lt;'PlayerGrades+'!$AC$6,"A-",IF(H58&lt;'PlayerGrades+'!$AC$5,"A",IF(H58&lt;'PlayerGrades+'!$AC$4,"A+",IF(H58&lt;'PlayerGrades+'!$AC$3,"S-",IF(H58&lt;'PlayerGrades+'!$AC$2,"S","S+"))))))))))))))))))))</f>
        <v>#DIV/0!</v>
      </c>
      <c r="J58" s="961" t="str">
        <f t="shared" si="4"/>
        <v>#DIV/0!</v>
      </c>
      <c r="K58" s="961" t="str">
        <f>IF(J58&lt;'PlayerGrades+'!$AD$21,"F-",IF(J58&lt;'PlayerGrades+'!$AD$20,"F",IF(J58&lt;'PlayerGrades+'!$AD$19,"F+",IF(J58&lt;'PlayerGrades+'!$AD$18,"E-",IF(J58&lt;'PlayerGrades+'!$AD$17,"E",IF(J58&lt;'PlayerGrades+'!$AD$16,"E+",IF(J58&lt;'PlayerGrades+'!$AD$15,"D-",IF(J58&lt;'PlayerGrades+'!$AD$14,"D",IF(J58&lt;'PlayerGrades+'!$AD$13,"D+",IF(J58&lt;'PlayerGrades+'!$AD$12,"C-",IF(J58&lt;'PlayerGrades+'!$AD$11,"C",IF(J58&lt;'PlayerGrades+'!$AD$10,"C+",IF(J58&lt;'PlayerGrades+'!$AD$9,"B-",IF(J58&lt;'PlayerGrades+'!$AD$8,"B",IF(J58&lt;'PlayerGrades+'!$AD$7,"B+",IF(J58&lt;'PlayerGrades+'!$AD$6,"A-",IF(J58&lt;'PlayerGrades+'!$AD$5,"A",IF(J58&lt;'PlayerGrades+'!$AD$4,"A+",IF(J58&lt;'PlayerGrades+'!$AD$3,"S-",IF(J58&lt;'PlayerGrades+'!$AD$2,"S","S+"))))))))))))))))))))</f>
        <v>#DIV/0!</v>
      </c>
      <c r="L58" s="1176" t="str">
        <f t="shared" si="5"/>
        <v>#DIV/0!</v>
      </c>
      <c r="M58" s="992" t="str">
        <f>IF(L58&lt;'PlayerGrades+'!$AE$21,"F-",IF(L58&lt;'PlayerGrades+'!$AE$20,"F",IF(L58&lt;'PlayerGrades+'!$AE$19,"F+",IF(L58&lt;'PlayerGrades+'!$AE$18,"E-",IF(L58&lt;'PlayerGrades+'!$AE$17,"E",IF(L58&lt;'PlayerGrades+'!$AE$16,"E+",IF(L58&lt;'PlayerGrades+'!$AE$15,"D-",IF(L58&lt;'PlayerGrades+'!$AE$14,"D",IF(L58&lt;'PlayerGrades+'!$AE$13,"D+",IF(L58&lt;'PlayerGrades+'!$AE$12,"C-",IF(L58&lt;'PlayerGrades+'!$AE$11,"C",IF(L58&lt;'PlayerGrades+'!$AE$10,"C+",IF(L58&lt;'PlayerGrades+'!$AE$9,"B-",IF(L58&lt;'PlayerGrades+'!$AE$8,"B",IF(L58&lt;'PlayerGrades+'!$AE$7,"B+",IF(L58&lt;'PlayerGrades+'!$AE$6,"A-",IF(L58&lt;'PlayerGrades+'!$AE$5,"A",IF(L58&lt;'PlayerGrades+'!$AE$4,"A+",IF(L58&lt;'PlayerGrades+'!$AE$3,"S-",IF(L58&lt;'PlayerGrades+'!$AE$2,"S","S+"))))))))))))))))))))</f>
        <v>#DIV/0!</v>
      </c>
      <c r="N58" s="961" t="str">
        <f t="shared" si="6"/>
        <v>#DIV/0!</v>
      </c>
      <c r="O58" s="961" t="str">
        <f>IF(N58&lt;'PlayerGrades+'!$AF$21,"F-",IF(N58&lt;'PlayerGrades+'!$AF$20,"F",IF(N58&lt;'PlayerGrades+'!$AF$19,"F+",IF(N58&lt;'PlayerGrades+'!$AF$18,"E-",IF(N58&lt;'PlayerGrades+'!$AF$17,"E",IF(N58&lt;'PlayerGrades+'!$AF$16,"E+",IF(N58&lt;'PlayerGrades+'!$AF$15,"D-",IF(N58&lt;'PlayerGrades+'!$AF$14,"D",IF(N58&lt;'PlayerGrades+'!$AF$13,"D+",IF(N58&lt;'PlayerGrades+'!$AF$12,"C-",IF(N58&lt;'PlayerGrades+'!$AF$11,"C",IF(N58&lt;'PlayerGrades+'!$AF$10,"C+",IF(N58&lt;'PlayerGrades+'!$AF$9,"B-",IF(N58&lt;'PlayerGrades+'!$AF$8,"B",IF(N58&lt;'PlayerGrades+'!$AF$7,"B+",IF(N58&lt;'PlayerGrades+'!$AF$6,"A-",IF(N58&lt;'PlayerGrades+'!$AF$5,"A",IF(N58&lt;'PlayerGrades+'!$AF$4,"A+",IF(N58&lt;'PlayerGrades+'!$AF$3,"S-",IF(N58&lt;'PlayerGrades+'!$AF$2,"S","S+"))))))))))))))))))))</f>
        <v>#DIV/0!</v>
      </c>
      <c r="P58" s="961" t="str">
        <f t="shared" si="7"/>
        <v>#DIV/0!</v>
      </c>
      <c r="Q58" s="961" t="str">
        <f>IF(P58&lt;'PlayerGrades+'!$AG$21,"F-",IF(P58&lt;'PlayerGrades+'!$AG$20,"F",IF(P58&lt;'PlayerGrades+'!$AG$19,"F+",IF(P58&lt;'PlayerGrades+'!$AG$18,"E-",IF(P58&lt;'PlayerGrades+'!$AG$17,"E",IF(P58&lt;'PlayerGrades+'!$AG$16,"E+",IF(P58&lt;'PlayerGrades+'!$AG$15,"D-",IF(P58&lt;'PlayerGrades+'!$AG$14,"D",IF(P58&lt;'PlayerGrades+'!$AG$13,"D+",IF(P58&lt;'PlayerGrades+'!$AG$12,"C-",IF(P58&lt;'PlayerGrades+'!$AG$11,"C",IF(P58&lt;'PlayerGrades+'!$AG$10,"C+",IF(P58&lt;'PlayerGrades+'!$AG$9,"B-",IF(P58&lt;'PlayerGrades+'!$AG$8,"B",IF(P58&lt;'PlayerGrades+'!$AG$7,"B+",IF(P58&lt;'PlayerGrades+'!$AG$6,"A-",IF(P58&lt;'PlayerGrades+'!$AG$5,"A",IF(P58&lt;'PlayerGrades+'!$AG$4,"A+",IF(P58&lt;'PlayerGrades+'!$AG$3,"S-",IF(P58&lt;'PlayerGrades+'!$AG$2,"S","S+"))))))))))))))))))))</f>
        <v>#DIV/0!</v>
      </c>
      <c r="R58" s="961" t="str">
        <f t="shared" si="8"/>
        <v>#DIV/0!</v>
      </c>
      <c r="S58" s="961" t="str">
        <f>IF(R58&lt;'PlayerGrades+'!$AH$21,"F-",IF(R58&lt;'PlayerGrades+'!$AH$20,"F",IF(R58&lt;'PlayerGrades+'!$AH$19,"F+",IF(R58&lt;'PlayerGrades+'!$AH$18,"E-",IF(R58&lt;'PlayerGrades+'!$AH$17,"E",IF(R58&lt;'PlayerGrades+'!$AH$16,"E+",IF(R58&lt;'PlayerGrades+'!$AH$15,"D-",IF(R58&lt;'PlayerGrades+'!$AH$14,"D",IF(R58&lt;'PlayerGrades+'!$AH$13,"D+",IF(R58&lt;'PlayerGrades+'!$AH$12,"C-",IF(R58&lt;'PlayerGrades+'!$AH$11,"C",IF(R58&lt;'PlayerGrades+'!$AH$10,"C+",IF(R58&lt;'PlayerGrades+'!$AH$9,"B-",IF(R58&lt;'PlayerGrades+'!$AH$8,"B",IF(R58&lt;'PlayerGrades+'!$AH$7,"B+",IF(R58&lt;'PlayerGrades+'!$AH$6,"A-",IF(R58&lt;'PlayerGrades+'!$AH$5,"A",IF(R58&lt;'PlayerGrades+'!$AH$4,"A+",IF(R58&lt;'PlayerGrades+'!$AH$3,"S-",IF(R58&lt;'PlayerGrades+'!$AH$2,"S","S+"))))))))))))))))))))</f>
        <v>#DIV/0!</v>
      </c>
      <c r="T58" s="961">
        <f t="shared" si="9"/>
        <v>0</v>
      </c>
      <c r="U58" s="961" t="str">
        <f>IF(T58&lt;'PlayerGrades+'!$AI$21,"F-",IF(T58&lt;'PlayerGrades+'!$AI$20,"F",IF(T58&lt;'PlayerGrades+'!$AI$19,"F+",IF(T58&lt;'PlayerGrades+'!$AI$18,"E-",IF(T58&lt;'PlayerGrades+'!$AI$17,"E",IF(T58&lt;'PlayerGrades+'!$AI$16,"E+",IF(T58&lt;'PlayerGrades+'!$AI$15,"D-",IF(T58&lt;'PlayerGrades+'!$AI$14,"D",IF(T58&lt;'PlayerGrades+'!$AI$13,"D+",IF(T58&lt;'PlayerGrades+'!$AI$12,"C-",IF(T58&lt;'PlayerGrades+'!$AI$11,"C",IF(T58&lt;'PlayerGrades+'!$AI$10,"C+",IF(T58&lt;'PlayerGrades+'!$AI$9,"B-",IF(T58&lt;'PlayerGrades+'!$AI$8,"B",IF(T58&lt;'PlayerGrades+'!$AI$7,"B+",IF(T58&lt;'PlayerGrades+'!$AI$6,"A-",IF(T58&lt;'PlayerGrades+'!$AI$5,"A",IF(T58&lt;'PlayerGrades+'!$AI$4,"A+",IF(T58&lt;'PlayerGrades+'!$AI$3,"S-",IF(T58&lt;'PlayerGrades+'!$AI$2,"S","S+"))))))))))))))))))))</f>
        <v>F-</v>
      </c>
      <c r="V58" s="1379"/>
      <c r="W58" s="1379"/>
      <c r="X58" s="1379"/>
      <c r="Y58" s="1379"/>
      <c r="Z58" s="1379"/>
      <c r="AA58" s="1379"/>
      <c r="AB58" s="1379"/>
      <c r="AC58" s="1390"/>
      <c r="AD58" s="1379"/>
      <c r="AE58" s="1379"/>
      <c r="AF58" s="1379"/>
      <c r="AG58" s="1379"/>
      <c r="AH58" s="1379"/>
      <c r="AI58" s="1379"/>
      <c r="AJ58" s="1379"/>
      <c r="AK58" s="1379"/>
      <c r="AL58" s="1379"/>
      <c r="AM58" s="1379"/>
      <c r="AN58" s="1379"/>
      <c r="AO58" s="1379"/>
      <c r="AP58" s="1379"/>
      <c r="AQ58" s="1379"/>
      <c r="AR58" s="1379"/>
      <c r="AS58" s="1379"/>
      <c r="AT58" s="1379"/>
      <c r="AU58" s="1379"/>
      <c r="AV58" s="1379"/>
      <c r="AW58" s="1379"/>
      <c r="AX58" s="1379"/>
      <c r="AY58" s="1379"/>
      <c r="AZ58" s="1379"/>
    </row>
    <row r="59">
      <c r="A59" s="1391"/>
      <c r="B59" s="611" t="str">
        <f>IF(C59&lt;'PlayerGrades+'!$Y$44,"F-",IF(C59&lt;'PlayerGrades+'!$Y$43,"F",IF(C59&lt;'PlayerGrades+'!$Y$42,"F+",IF(C59&lt;'PlayerGrades+'!$Y$41,"E-",IF(C59&lt;'PlayerGrades+'!$Y$40,"E",IF(C59&lt;'PlayerGrades+'!$Y$39,"E+",IF(C59&lt;'PlayerGrades+'!$Y$38,"D-",IF(C59&lt;'PlayerGrades+'!$Y$37,"D",IF(C59&lt;'PlayerGrades+'!$Y$36,"D+",IF(C59&lt;'PlayerGrades+'!$Y$35,"C-",IF(C59&lt;'PlayerGrades+'!$Y$34,"C",IF(C59&lt;'PlayerGrades+'!$Y$33,"C+",IF(C59&lt;'PlayerGrades+'!$Y$32,"B-",IF(C59&lt;'PlayerGrades+'!$Y$31,"B",IF(C59&lt;'PlayerGrades+'!$Y$30,"B+",IF(C59&lt;'PlayerGrades+'!$Y$29,"A-",IF(C59&lt;'PlayerGrades+'!$Y$28,"A",IF(C59&lt;'PlayerGrades+'!$Y$27,"A+",IF(C59&lt;'PlayerGrades+'!$Y$26,"S-",IF(C59&lt;'PlayerGrades+'!$Y$25,"S","S+"))))))))))))))))))))</f>
        <v>#DIV/0!</v>
      </c>
      <c r="C59" s="1378" t="str">
        <f>('PlayerGrades+'!$Y$47*(VLOOKUP(E59, 'PlayerGrades+'!$X$3:$Y$23, 2, FALSE)))+('PlayerGrades+'!$Y$48*(VLOOKUP(G59, 'PlayerGrades+'!$X$3:$Y$23, 2, FALSE)))+('PlayerGrades+'!$Y$49*(VLOOKUP(I59, 'PlayerGrades+'!$X$3:$Y$23, 2, FALSE)))+('PlayerGrades+'!$Y$50*(VLOOKUP(K59, 'PlayerGrades+'!$X$3:$Y$23, 2, FALSE)))+('PlayerGrades+'!$Y$51*(VLOOKUP(M59, 'PlayerGrades+'!$X$3:$Y$23, 2, FALSE)))+('PlayerGrades+'!$Y$52*(VLOOKUP(O59, 'PlayerGrades+'!$X$3:$Y$23, 2, FALSE)))+('PlayerGrades+'!$Y$53*(VLOOKUP(Q59, 'PlayerGrades+'!$X$3:$Y$23, 2, FALSE)))+('PlayerGrades+'!$Y$54*(VLOOKUP(S59, 'PlayerGrades+'!$X$3:$Y$23, 2, FALSE)))+('PlayerGrades+'!$Y$55*(VLOOKUP(U59, 'PlayerGrades+'!$X$3:$Y$23, 2, FALSE)))</f>
        <v>#DIV/0!</v>
      </c>
      <c r="D59" s="961" t="str">
        <f t="shared" si="1"/>
        <v>#DIV/0!</v>
      </c>
      <c r="E59" s="961" t="str">
        <f>IF(D59&lt;'PlayerGrades+'!$AA$21,"F-",IF(D59&lt;'PlayerGrades+'!$AA$20,"F",IF(D59&lt;'PlayerGrades+'!$AA$19,"F+",IF(D59&lt;'PlayerGrades+'!$AA$18,"E-",IF(D59&lt;'PlayerGrades+'!$AA$17,"E",IF(D59&lt;'PlayerGrades+'!$AA$16,"E+",IF(D59&lt;'PlayerGrades+'!$AA$15,"D-",IF(D59&lt;'PlayerGrades+'!$AA$14,"D",IF(D59&lt;'PlayerGrades+'!$AA$13,"D+",IF(D59&lt;'PlayerGrades+'!$AA$12,"C-",IF(D59&lt;'PlayerGrades+'!$AA$11,"C",IF(D59&lt;'PlayerGrades+'!$AA$10,"C+",IF(D59&lt;'PlayerGrades+'!$AA$9,"B-",IF(D59&lt;'PlayerGrades+'!$AA$8,"B",IF(D59&lt;'PlayerGrades+'!$AA$7,"B+",IF(D59&lt;'PlayerGrades+'!$AA$6,"A-",IF(D59&lt;'PlayerGrades+'!$AA$5,"A",IF(D59&lt;'PlayerGrades+'!$AA$4,"A+",IF(D59&lt;'PlayerGrades+'!$AA$3,"S-",IF(D59&lt;'PlayerGrades+'!$AA$2,"S","S+"))))))))))))))))))))</f>
        <v>#DIV/0!</v>
      </c>
      <c r="F59" s="961" t="str">
        <f t="shared" si="2"/>
        <v>#DIV/0!</v>
      </c>
      <c r="G59" s="961" t="str">
        <f>IF(F59&lt;'PlayerGrades+'!$AB$21,"F-",IF(F59&lt;'PlayerGrades+'!$AB$20,"F",IF(F59&lt;'PlayerGrades+'!$AB$19,"F+",IF(F59&lt;'PlayerGrades+'!$AB$18,"E-",IF(F59&lt;'PlayerGrades+'!$AB$17,"E",IF(F59&lt;'PlayerGrades+'!$AB$16,"E+",IF(F59&lt;'PlayerGrades+'!$AB$15,"D-",IF(F59&lt;'PlayerGrades+'!$AB$14,"D",IF(F59&lt;'PlayerGrades+'!$AB$13,"D+",IF(F59&lt;'PlayerGrades+'!$AB$12,"C-",IF(F59&lt;'PlayerGrades+'!$AB$11,"C",IF(F59&lt;'PlayerGrades+'!$AB$10,"C+",IF(F59&lt;'PlayerGrades+'!$AB$9,"B-",IF(F59&lt;'PlayerGrades+'!$AB$8,"B",IF(F59&lt;'PlayerGrades+'!$AB$7,"B+",IF(F59&lt;'PlayerGrades+'!$AB$6,"A-",IF(F59&lt;'PlayerGrades+'!$AB$5,"A",IF(F59&lt;'PlayerGrades+'!$AB$4,"A+",IF(F59&lt;'PlayerGrades+'!$AB$3,"S-",IF(F59&lt;'PlayerGrades+'!$AB$2,"S","S+"))))))))))))))))))))</f>
        <v>#DIV/0!</v>
      </c>
      <c r="H59" s="961" t="str">
        <f t="shared" si="3"/>
        <v>#DIV/0!</v>
      </c>
      <c r="I59" s="961" t="str">
        <f>IF(H59&lt;'PlayerGrades+'!$AC$21,"F-",IF(H59&lt;'PlayerGrades+'!$AC$20,"F",IF(H59&lt;'PlayerGrades+'!$AC$19,"F+",IF(H59&lt;'PlayerGrades+'!$AC$18,"E-",IF(H59&lt;'PlayerGrades+'!$AC$17,"E",IF(H59&lt;'PlayerGrades+'!$AC$16,"E+",IF(H59&lt;'PlayerGrades+'!$AC$15,"D-",IF(H59&lt;'PlayerGrades+'!$AC$14,"D",IF(H59&lt;'PlayerGrades+'!$AC$13,"D+",IF(H59&lt;'PlayerGrades+'!$AC$12,"C-",IF(H59&lt;'PlayerGrades+'!$AC$11,"C",IF(H59&lt;'PlayerGrades+'!$AC$10,"C+",IF(H59&lt;'PlayerGrades+'!$AC$9,"B-",IF(H59&lt;'PlayerGrades+'!$AC$8,"B",IF(H59&lt;'PlayerGrades+'!$AC$7,"B+",IF(H59&lt;'PlayerGrades+'!$AC$6,"A-",IF(H59&lt;'PlayerGrades+'!$AC$5,"A",IF(H59&lt;'PlayerGrades+'!$AC$4,"A+",IF(H59&lt;'PlayerGrades+'!$AC$3,"S-",IF(H59&lt;'PlayerGrades+'!$AC$2,"S","S+"))))))))))))))))))))</f>
        <v>#DIV/0!</v>
      </c>
      <c r="J59" s="961" t="str">
        <f t="shared" si="4"/>
        <v>#DIV/0!</v>
      </c>
      <c r="K59" s="961" t="str">
        <f>IF(J59&lt;'PlayerGrades+'!$AD$21,"F-",IF(J59&lt;'PlayerGrades+'!$AD$20,"F",IF(J59&lt;'PlayerGrades+'!$AD$19,"F+",IF(J59&lt;'PlayerGrades+'!$AD$18,"E-",IF(J59&lt;'PlayerGrades+'!$AD$17,"E",IF(J59&lt;'PlayerGrades+'!$AD$16,"E+",IF(J59&lt;'PlayerGrades+'!$AD$15,"D-",IF(J59&lt;'PlayerGrades+'!$AD$14,"D",IF(J59&lt;'PlayerGrades+'!$AD$13,"D+",IF(J59&lt;'PlayerGrades+'!$AD$12,"C-",IF(J59&lt;'PlayerGrades+'!$AD$11,"C",IF(J59&lt;'PlayerGrades+'!$AD$10,"C+",IF(J59&lt;'PlayerGrades+'!$AD$9,"B-",IF(J59&lt;'PlayerGrades+'!$AD$8,"B",IF(J59&lt;'PlayerGrades+'!$AD$7,"B+",IF(J59&lt;'PlayerGrades+'!$AD$6,"A-",IF(J59&lt;'PlayerGrades+'!$AD$5,"A",IF(J59&lt;'PlayerGrades+'!$AD$4,"A+",IF(J59&lt;'PlayerGrades+'!$AD$3,"S-",IF(J59&lt;'PlayerGrades+'!$AD$2,"S","S+"))))))))))))))))))))</f>
        <v>#DIV/0!</v>
      </c>
      <c r="L59" s="1176" t="str">
        <f t="shared" si="5"/>
        <v>#DIV/0!</v>
      </c>
      <c r="M59" s="992" t="str">
        <f>IF(L59&lt;'PlayerGrades+'!$AE$21,"F-",IF(L59&lt;'PlayerGrades+'!$AE$20,"F",IF(L59&lt;'PlayerGrades+'!$AE$19,"F+",IF(L59&lt;'PlayerGrades+'!$AE$18,"E-",IF(L59&lt;'PlayerGrades+'!$AE$17,"E",IF(L59&lt;'PlayerGrades+'!$AE$16,"E+",IF(L59&lt;'PlayerGrades+'!$AE$15,"D-",IF(L59&lt;'PlayerGrades+'!$AE$14,"D",IF(L59&lt;'PlayerGrades+'!$AE$13,"D+",IF(L59&lt;'PlayerGrades+'!$AE$12,"C-",IF(L59&lt;'PlayerGrades+'!$AE$11,"C",IF(L59&lt;'PlayerGrades+'!$AE$10,"C+",IF(L59&lt;'PlayerGrades+'!$AE$9,"B-",IF(L59&lt;'PlayerGrades+'!$AE$8,"B",IF(L59&lt;'PlayerGrades+'!$AE$7,"B+",IF(L59&lt;'PlayerGrades+'!$AE$6,"A-",IF(L59&lt;'PlayerGrades+'!$AE$5,"A",IF(L59&lt;'PlayerGrades+'!$AE$4,"A+",IF(L59&lt;'PlayerGrades+'!$AE$3,"S-",IF(L59&lt;'PlayerGrades+'!$AE$2,"S","S+"))))))))))))))))))))</f>
        <v>#DIV/0!</v>
      </c>
      <c r="N59" s="961" t="str">
        <f t="shared" si="6"/>
        <v>#DIV/0!</v>
      </c>
      <c r="O59" s="961" t="str">
        <f>IF(N59&lt;'PlayerGrades+'!$AF$21,"F-",IF(N59&lt;'PlayerGrades+'!$AF$20,"F",IF(N59&lt;'PlayerGrades+'!$AF$19,"F+",IF(N59&lt;'PlayerGrades+'!$AF$18,"E-",IF(N59&lt;'PlayerGrades+'!$AF$17,"E",IF(N59&lt;'PlayerGrades+'!$AF$16,"E+",IF(N59&lt;'PlayerGrades+'!$AF$15,"D-",IF(N59&lt;'PlayerGrades+'!$AF$14,"D",IF(N59&lt;'PlayerGrades+'!$AF$13,"D+",IF(N59&lt;'PlayerGrades+'!$AF$12,"C-",IF(N59&lt;'PlayerGrades+'!$AF$11,"C",IF(N59&lt;'PlayerGrades+'!$AF$10,"C+",IF(N59&lt;'PlayerGrades+'!$AF$9,"B-",IF(N59&lt;'PlayerGrades+'!$AF$8,"B",IF(N59&lt;'PlayerGrades+'!$AF$7,"B+",IF(N59&lt;'PlayerGrades+'!$AF$6,"A-",IF(N59&lt;'PlayerGrades+'!$AF$5,"A",IF(N59&lt;'PlayerGrades+'!$AF$4,"A+",IF(N59&lt;'PlayerGrades+'!$AF$3,"S-",IF(N59&lt;'PlayerGrades+'!$AF$2,"S","S+"))))))))))))))))))))</f>
        <v>#DIV/0!</v>
      </c>
      <c r="P59" s="961" t="str">
        <f t="shared" si="7"/>
        <v>#DIV/0!</v>
      </c>
      <c r="Q59" s="961" t="str">
        <f>IF(P59&lt;'PlayerGrades+'!$AG$21,"F-",IF(P59&lt;'PlayerGrades+'!$AG$20,"F",IF(P59&lt;'PlayerGrades+'!$AG$19,"F+",IF(P59&lt;'PlayerGrades+'!$AG$18,"E-",IF(P59&lt;'PlayerGrades+'!$AG$17,"E",IF(P59&lt;'PlayerGrades+'!$AG$16,"E+",IF(P59&lt;'PlayerGrades+'!$AG$15,"D-",IF(P59&lt;'PlayerGrades+'!$AG$14,"D",IF(P59&lt;'PlayerGrades+'!$AG$13,"D+",IF(P59&lt;'PlayerGrades+'!$AG$12,"C-",IF(P59&lt;'PlayerGrades+'!$AG$11,"C",IF(P59&lt;'PlayerGrades+'!$AG$10,"C+",IF(P59&lt;'PlayerGrades+'!$AG$9,"B-",IF(P59&lt;'PlayerGrades+'!$AG$8,"B",IF(P59&lt;'PlayerGrades+'!$AG$7,"B+",IF(P59&lt;'PlayerGrades+'!$AG$6,"A-",IF(P59&lt;'PlayerGrades+'!$AG$5,"A",IF(P59&lt;'PlayerGrades+'!$AG$4,"A+",IF(P59&lt;'PlayerGrades+'!$AG$3,"S-",IF(P59&lt;'PlayerGrades+'!$AG$2,"S","S+"))))))))))))))))))))</f>
        <v>#DIV/0!</v>
      </c>
      <c r="R59" s="961" t="str">
        <f t="shared" si="8"/>
        <v>#DIV/0!</v>
      </c>
      <c r="S59" s="961" t="str">
        <f>IF(R59&lt;'PlayerGrades+'!$AH$21,"F-",IF(R59&lt;'PlayerGrades+'!$AH$20,"F",IF(R59&lt;'PlayerGrades+'!$AH$19,"F+",IF(R59&lt;'PlayerGrades+'!$AH$18,"E-",IF(R59&lt;'PlayerGrades+'!$AH$17,"E",IF(R59&lt;'PlayerGrades+'!$AH$16,"E+",IF(R59&lt;'PlayerGrades+'!$AH$15,"D-",IF(R59&lt;'PlayerGrades+'!$AH$14,"D",IF(R59&lt;'PlayerGrades+'!$AH$13,"D+",IF(R59&lt;'PlayerGrades+'!$AH$12,"C-",IF(R59&lt;'PlayerGrades+'!$AH$11,"C",IF(R59&lt;'PlayerGrades+'!$AH$10,"C+",IF(R59&lt;'PlayerGrades+'!$AH$9,"B-",IF(R59&lt;'PlayerGrades+'!$AH$8,"B",IF(R59&lt;'PlayerGrades+'!$AH$7,"B+",IF(R59&lt;'PlayerGrades+'!$AH$6,"A-",IF(R59&lt;'PlayerGrades+'!$AH$5,"A",IF(R59&lt;'PlayerGrades+'!$AH$4,"A+",IF(R59&lt;'PlayerGrades+'!$AH$3,"S-",IF(R59&lt;'PlayerGrades+'!$AH$2,"S","S+"))))))))))))))))))))</f>
        <v>#DIV/0!</v>
      </c>
      <c r="T59" s="961">
        <f t="shared" si="9"/>
        <v>0</v>
      </c>
      <c r="U59" s="961" t="str">
        <f>IF(T59&lt;'PlayerGrades+'!$AI$21,"F-",IF(T59&lt;'PlayerGrades+'!$AI$20,"F",IF(T59&lt;'PlayerGrades+'!$AI$19,"F+",IF(T59&lt;'PlayerGrades+'!$AI$18,"E-",IF(T59&lt;'PlayerGrades+'!$AI$17,"E",IF(T59&lt;'PlayerGrades+'!$AI$16,"E+",IF(T59&lt;'PlayerGrades+'!$AI$15,"D-",IF(T59&lt;'PlayerGrades+'!$AI$14,"D",IF(T59&lt;'PlayerGrades+'!$AI$13,"D+",IF(T59&lt;'PlayerGrades+'!$AI$12,"C-",IF(T59&lt;'PlayerGrades+'!$AI$11,"C",IF(T59&lt;'PlayerGrades+'!$AI$10,"C+",IF(T59&lt;'PlayerGrades+'!$AI$9,"B-",IF(T59&lt;'PlayerGrades+'!$AI$8,"B",IF(T59&lt;'PlayerGrades+'!$AI$7,"B+",IF(T59&lt;'PlayerGrades+'!$AI$6,"A-",IF(T59&lt;'PlayerGrades+'!$AI$5,"A",IF(T59&lt;'PlayerGrades+'!$AI$4,"A+",IF(T59&lt;'PlayerGrades+'!$AI$3,"S-",IF(T59&lt;'PlayerGrades+'!$AI$2,"S","S+"))))))))))))))))))))</f>
        <v>F-</v>
      </c>
      <c r="AC59" s="1392"/>
    </row>
    <row r="60">
      <c r="A60" s="1391"/>
      <c r="B60" s="611" t="str">
        <f>IF(C60&lt;'PlayerGrades+'!$Y$44,"F-",IF(C60&lt;'PlayerGrades+'!$Y$43,"F",IF(C60&lt;'PlayerGrades+'!$Y$42,"F+",IF(C60&lt;'PlayerGrades+'!$Y$41,"E-",IF(C60&lt;'PlayerGrades+'!$Y$40,"E",IF(C60&lt;'PlayerGrades+'!$Y$39,"E+",IF(C60&lt;'PlayerGrades+'!$Y$38,"D-",IF(C60&lt;'PlayerGrades+'!$Y$37,"D",IF(C60&lt;'PlayerGrades+'!$Y$36,"D+",IF(C60&lt;'PlayerGrades+'!$Y$35,"C-",IF(C60&lt;'PlayerGrades+'!$Y$34,"C",IF(C60&lt;'PlayerGrades+'!$Y$33,"C+",IF(C60&lt;'PlayerGrades+'!$Y$32,"B-",IF(C60&lt;'PlayerGrades+'!$Y$31,"B",IF(C60&lt;'PlayerGrades+'!$Y$30,"B+",IF(C60&lt;'PlayerGrades+'!$Y$29,"A-",IF(C60&lt;'PlayerGrades+'!$Y$28,"A",IF(C60&lt;'PlayerGrades+'!$Y$27,"A+",IF(C60&lt;'PlayerGrades+'!$Y$26,"S-",IF(C60&lt;'PlayerGrades+'!$Y$25,"S","S+"))))))))))))))))))))</f>
        <v>#DIV/0!</v>
      </c>
      <c r="C60" s="1378" t="str">
        <f>('PlayerGrades+'!$Y$47*(VLOOKUP(E60, 'PlayerGrades+'!$X$3:$Y$23, 2, FALSE)))+('PlayerGrades+'!$Y$48*(VLOOKUP(G60, 'PlayerGrades+'!$X$3:$Y$23, 2, FALSE)))+('PlayerGrades+'!$Y$49*(VLOOKUP(I60, 'PlayerGrades+'!$X$3:$Y$23, 2, FALSE)))+('PlayerGrades+'!$Y$50*(VLOOKUP(K60, 'PlayerGrades+'!$X$3:$Y$23, 2, FALSE)))+('PlayerGrades+'!$Y$51*(VLOOKUP(M60, 'PlayerGrades+'!$X$3:$Y$23, 2, FALSE)))+('PlayerGrades+'!$Y$52*(VLOOKUP(O60, 'PlayerGrades+'!$X$3:$Y$23, 2, FALSE)))+('PlayerGrades+'!$Y$53*(VLOOKUP(Q60, 'PlayerGrades+'!$X$3:$Y$23, 2, FALSE)))+('PlayerGrades+'!$Y$54*(VLOOKUP(S60, 'PlayerGrades+'!$X$3:$Y$23, 2, FALSE)))+('PlayerGrades+'!$Y$55*(VLOOKUP(U60, 'PlayerGrades+'!$X$3:$Y$23, 2, FALSE)))</f>
        <v>#DIV/0!</v>
      </c>
      <c r="D60" s="961" t="str">
        <f t="shared" si="1"/>
        <v>#DIV/0!</v>
      </c>
      <c r="E60" s="961" t="str">
        <f>IF(D60&lt;'PlayerGrades+'!$AA$21,"F-",IF(D60&lt;'PlayerGrades+'!$AA$20,"F",IF(D60&lt;'PlayerGrades+'!$AA$19,"F+",IF(D60&lt;'PlayerGrades+'!$AA$18,"E-",IF(D60&lt;'PlayerGrades+'!$AA$17,"E",IF(D60&lt;'PlayerGrades+'!$AA$16,"E+",IF(D60&lt;'PlayerGrades+'!$AA$15,"D-",IF(D60&lt;'PlayerGrades+'!$AA$14,"D",IF(D60&lt;'PlayerGrades+'!$AA$13,"D+",IF(D60&lt;'PlayerGrades+'!$AA$12,"C-",IF(D60&lt;'PlayerGrades+'!$AA$11,"C",IF(D60&lt;'PlayerGrades+'!$AA$10,"C+",IF(D60&lt;'PlayerGrades+'!$AA$9,"B-",IF(D60&lt;'PlayerGrades+'!$AA$8,"B",IF(D60&lt;'PlayerGrades+'!$AA$7,"B+",IF(D60&lt;'PlayerGrades+'!$AA$6,"A-",IF(D60&lt;'PlayerGrades+'!$AA$5,"A",IF(D60&lt;'PlayerGrades+'!$AA$4,"A+",IF(D60&lt;'PlayerGrades+'!$AA$3,"S-",IF(D60&lt;'PlayerGrades+'!$AA$2,"S","S+"))))))))))))))))))))</f>
        <v>#DIV/0!</v>
      </c>
      <c r="F60" s="961" t="str">
        <f t="shared" si="2"/>
        <v>#DIV/0!</v>
      </c>
      <c r="G60" s="961" t="str">
        <f>IF(F60&lt;'PlayerGrades+'!$AB$21,"F-",IF(F60&lt;'PlayerGrades+'!$AB$20,"F",IF(F60&lt;'PlayerGrades+'!$AB$19,"F+",IF(F60&lt;'PlayerGrades+'!$AB$18,"E-",IF(F60&lt;'PlayerGrades+'!$AB$17,"E",IF(F60&lt;'PlayerGrades+'!$AB$16,"E+",IF(F60&lt;'PlayerGrades+'!$AB$15,"D-",IF(F60&lt;'PlayerGrades+'!$AB$14,"D",IF(F60&lt;'PlayerGrades+'!$AB$13,"D+",IF(F60&lt;'PlayerGrades+'!$AB$12,"C-",IF(F60&lt;'PlayerGrades+'!$AB$11,"C",IF(F60&lt;'PlayerGrades+'!$AB$10,"C+",IF(F60&lt;'PlayerGrades+'!$AB$9,"B-",IF(F60&lt;'PlayerGrades+'!$AB$8,"B",IF(F60&lt;'PlayerGrades+'!$AB$7,"B+",IF(F60&lt;'PlayerGrades+'!$AB$6,"A-",IF(F60&lt;'PlayerGrades+'!$AB$5,"A",IF(F60&lt;'PlayerGrades+'!$AB$4,"A+",IF(F60&lt;'PlayerGrades+'!$AB$3,"S-",IF(F60&lt;'PlayerGrades+'!$AB$2,"S","S+"))))))))))))))))))))</f>
        <v>#DIV/0!</v>
      </c>
      <c r="H60" s="961" t="str">
        <f t="shared" si="3"/>
        <v>#DIV/0!</v>
      </c>
      <c r="I60" s="961" t="str">
        <f>IF(H60&lt;'PlayerGrades+'!$AC$21,"F-",IF(H60&lt;'PlayerGrades+'!$AC$20,"F",IF(H60&lt;'PlayerGrades+'!$AC$19,"F+",IF(H60&lt;'PlayerGrades+'!$AC$18,"E-",IF(H60&lt;'PlayerGrades+'!$AC$17,"E",IF(H60&lt;'PlayerGrades+'!$AC$16,"E+",IF(H60&lt;'PlayerGrades+'!$AC$15,"D-",IF(H60&lt;'PlayerGrades+'!$AC$14,"D",IF(H60&lt;'PlayerGrades+'!$AC$13,"D+",IF(H60&lt;'PlayerGrades+'!$AC$12,"C-",IF(H60&lt;'PlayerGrades+'!$AC$11,"C",IF(H60&lt;'PlayerGrades+'!$AC$10,"C+",IF(H60&lt;'PlayerGrades+'!$AC$9,"B-",IF(H60&lt;'PlayerGrades+'!$AC$8,"B",IF(H60&lt;'PlayerGrades+'!$AC$7,"B+",IF(H60&lt;'PlayerGrades+'!$AC$6,"A-",IF(H60&lt;'PlayerGrades+'!$AC$5,"A",IF(H60&lt;'PlayerGrades+'!$AC$4,"A+",IF(H60&lt;'PlayerGrades+'!$AC$3,"S-",IF(H60&lt;'PlayerGrades+'!$AC$2,"S","S+"))))))))))))))))))))</f>
        <v>#DIV/0!</v>
      </c>
      <c r="J60" s="961" t="str">
        <f t="shared" si="4"/>
        <v>#DIV/0!</v>
      </c>
      <c r="K60" s="961" t="str">
        <f>IF(J60&lt;'PlayerGrades+'!$AD$21,"F-",IF(J60&lt;'PlayerGrades+'!$AD$20,"F",IF(J60&lt;'PlayerGrades+'!$AD$19,"F+",IF(J60&lt;'PlayerGrades+'!$AD$18,"E-",IF(J60&lt;'PlayerGrades+'!$AD$17,"E",IF(J60&lt;'PlayerGrades+'!$AD$16,"E+",IF(J60&lt;'PlayerGrades+'!$AD$15,"D-",IF(J60&lt;'PlayerGrades+'!$AD$14,"D",IF(J60&lt;'PlayerGrades+'!$AD$13,"D+",IF(J60&lt;'PlayerGrades+'!$AD$12,"C-",IF(J60&lt;'PlayerGrades+'!$AD$11,"C",IF(J60&lt;'PlayerGrades+'!$AD$10,"C+",IF(J60&lt;'PlayerGrades+'!$AD$9,"B-",IF(J60&lt;'PlayerGrades+'!$AD$8,"B",IF(J60&lt;'PlayerGrades+'!$AD$7,"B+",IF(J60&lt;'PlayerGrades+'!$AD$6,"A-",IF(J60&lt;'PlayerGrades+'!$AD$5,"A",IF(J60&lt;'PlayerGrades+'!$AD$4,"A+",IF(J60&lt;'PlayerGrades+'!$AD$3,"S-",IF(J60&lt;'PlayerGrades+'!$AD$2,"S","S+"))))))))))))))))))))</f>
        <v>#DIV/0!</v>
      </c>
      <c r="L60" s="1176" t="str">
        <f t="shared" si="5"/>
        <v>#DIV/0!</v>
      </c>
      <c r="M60" s="992" t="str">
        <f>IF(L60&lt;'PlayerGrades+'!$AE$21,"F-",IF(L60&lt;'PlayerGrades+'!$AE$20,"F",IF(L60&lt;'PlayerGrades+'!$AE$19,"F+",IF(L60&lt;'PlayerGrades+'!$AE$18,"E-",IF(L60&lt;'PlayerGrades+'!$AE$17,"E",IF(L60&lt;'PlayerGrades+'!$AE$16,"E+",IF(L60&lt;'PlayerGrades+'!$AE$15,"D-",IF(L60&lt;'PlayerGrades+'!$AE$14,"D",IF(L60&lt;'PlayerGrades+'!$AE$13,"D+",IF(L60&lt;'PlayerGrades+'!$AE$12,"C-",IF(L60&lt;'PlayerGrades+'!$AE$11,"C",IF(L60&lt;'PlayerGrades+'!$AE$10,"C+",IF(L60&lt;'PlayerGrades+'!$AE$9,"B-",IF(L60&lt;'PlayerGrades+'!$AE$8,"B",IF(L60&lt;'PlayerGrades+'!$AE$7,"B+",IF(L60&lt;'PlayerGrades+'!$AE$6,"A-",IF(L60&lt;'PlayerGrades+'!$AE$5,"A",IF(L60&lt;'PlayerGrades+'!$AE$4,"A+",IF(L60&lt;'PlayerGrades+'!$AE$3,"S-",IF(L60&lt;'PlayerGrades+'!$AE$2,"S","S+"))))))))))))))))))))</f>
        <v>#DIV/0!</v>
      </c>
      <c r="N60" s="961" t="str">
        <f t="shared" si="6"/>
        <v>#DIV/0!</v>
      </c>
      <c r="O60" s="961" t="str">
        <f>IF(N60&lt;'PlayerGrades+'!$AF$21,"F-",IF(N60&lt;'PlayerGrades+'!$AF$20,"F",IF(N60&lt;'PlayerGrades+'!$AF$19,"F+",IF(N60&lt;'PlayerGrades+'!$AF$18,"E-",IF(N60&lt;'PlayerGrades+'!$AF$17,"E",IF(N60&lt;'PlayerGrades+'!$AF$16,"E+",IF(N60&lt;'PlayerGrades+'!$AF$15,"D-",IF(N60&lt;'PlayerGrades+'!$AF$14,"D",IF(N60&lt;'PlayerGrades+'!$AF$13,"D+",IF(N60&lt;'PlayerGrades+'!$AF$12,"C-",IF(N60&lt;'PlayerGrades+'!$AF$11,"C",IF(N60&lt;'PlayerGrades+'!$AF$10,"C+",IF(N60&lt;'PlayerGrades+'!$AF$9,"B-",IF(N60&lt;'PlayerGrades+'!$AF$8,"B",IF(N60&lt;'PlayerGrades+'!$AF$7,"B+",IF(N60&lt;'PlayerGrades+'!$AF$6,"A-",IF(N60&lt;'PlayerGrades+'!$AF$5,"A",IF(N60&lt;'PlayerGrades+'!$AF$4,"A+",IF(N60&lt;'PlayerGrades+'!$AF$3,"S-",IF(N60&lt;'PlayerGrades+'!$AF$2,"S","S+"))))))))))))))))))))</f>
        <v>#DIV/0!</v>
      </c>
      <c r="P60" s="961" t="str">
        <f t="shared" si="7"/>
        <v>#DIV/0!</v>
      </c>
      <c r="Q60" s="961" t="str">
        <f>IF(P60&lt;'PlayerGrades+'!$AG$21,"F-",IF(P60&lt;'PlayerGrades+'!$AG$20,"F",IF(P60&lt;'PlayerGrades+'!$AG$19,"F+",IF(P60&lt;'PlayerGrades+'!$AG$18,"E-",IF(P60&lt;'PlayerGrades+'!$AG$17,"E",IF(P60&lt;'PlayerGrades+'!$AG$16,"E+",IF(P60&lt;'PlayerGrades+'!$AG$15,"D-",IF(P60&lt;'PlayerGrades+'!$AG$14,"D",IF(P60&lt;'PlayerGrades+'!$AG$13,"D+",IF(P60&lt;'PlayerGrades+'!$AG$12,"C-",IF(P60&lt;'PlayerGrades+'!$AG$11,"C",IF(P60&lt;'PlayerGrades+'!$AG$10,"C+",IF(P60&lt;'PlayerGrades+'!$AG$9,"B-",IF(P60&lt;'PlayerGrades+'!$AG$8,"B",IF(P60&lt;'PlayerGrades+'!$AG$7,"B+",IF(P60&lt;'PlayerGrades+'!$AG$6,"A-",IF(P60&lt;'PlayerGrades+'!$AG$5,"A",IF(P60&lt;'PlayerGrades+'!$AG$4,"A+",IF(P60&lt;'PlayerGrades+'!$AG$3,"S-",IF(P60&lt;'PlayerGrades+'!$AG$2,"S","S+"))))))))))))))))))))</f>
        <v>#DIV/0!</v>
      </c>
      <c r="R60" s="961" t="str">
        <f t="shared" si="8"/>
        <v>#DIV/0!</v>
      </c>
      <c r="S60" s="961" t="str">
        <f>IF(R60&lt;'PlayerGrades+'!$AH$21,"F-",IF(R60&lt;'PlayerGrades+'!$AH$20,"F",IF(R60&lt;'PlayerGrades+'!$AH$19,"F+",IF(R60&lt;'PlayerGrades+'!$AH$18,"E-",IF(R60&lt;'PlayerGrades+'!$AH$17,"E",IF(R60&lt;'PlayerGrades+'!$AH$16,"E+",IF(R60&lt;'PlayerGrades+'!$AH$15,"D-",IF(R60&lt;'PlayerGrades+'!$AH$14,"D",IF(R60&lt;'PlayerGrades+'!$AH$13,"D+",IF(R60&lt;'PlayerGrades+'!$AH$12,"C-",IF(R60&lt;'PlayerGrades+'!$AH$11,"C",IF(R60&lt;'PlayerGrades+'!$AH$10,"C+",IF(R60&lt;'PlayerGrades+'!$AH$9,"B-",IF(R60&lt;'PlayerGrades+'!$AH$8,"B",IF(R60&lt;'PlayerGrades+'!$AH$7,"B+",IF(R60&lt;'PlayerGrades+'!$AH$6,"A-",IF(R60&lt;'PlayerGrades+'!$AH$5,"A",IF(R60&lt;'PlayerGrades+'!$AH$4,"A+",IF(R60&lt;'PlayerGrades+'!$AH$3,"S-",IF(R60&lt;'PlayerGrades+'!$AH$2,"S","S+"))))))))))))))))))))</f>
        <v>#DIV/0!</v>
      </c>
      <c r="T60" s="961">
        <f t="shared" si="9"/>
        <v>0</v>
      </c>
      <c r="U60" s="961" t="str">
        <f>IF(T60&lt;'PlayerGrades+'!$AI$21,"F-",IF(T60&lt;'PlayerGrades+'!$AI$20,"F",IF(T60&lt;'PlayerGrades+'!$AI$19,"F+",IF(T60&lt;'PlayerGrades+'!$AI$18,"E-",IF(T60&lt;'PlayerGrades+'!$AI$17,"E",IF(T60&lt;'PlayerGrades+'!$AI$16,"E+",IF(T60&lt;'PlayerGrades+'!$AI$15,"D-",IF(T60&lt;'PlayerGrades+'!$AI$14,"D",IF(T60&lt;'PlayerGrades+'!$AI$13,"D+",IF(T60&lt;'PlayerGrades+'!$AI$12,"C-",IF(T60&lt;'PlayerGrades+'!$AI$11,"C",IF(T60&lt;'PlayerGrades+'!$AI$10,"C+",IF(T60&lt;'PlayerGrades+'!$AI$9,"B-",IF(T60&lt;'PlayerGrades+'!$AI$8,"B",IF(T60&lt;'PlayerGrades+'!$AI$7,"B+",IF(T60&lt;'PlayerGrades+'!$AI$6,"A-",IF(T60&lt;'PlayerGrades+'!$AI$5,"A",IF(T60&lt;'PlayerGrades+'!$AI$4,"A+",IF(T60&lt;'PlayerGrades+'!$AI$3,"S-",IF(T60&lt;'PlayerGrades+'!$AI$2,"S","S+"))))))))))))))))))))</f>
        <v>F-</v>
      </c>
      <c r="AC60" s="1392"/>
    </row>
    <row r="61">
      <c r="A61" s="1391"/>
      <c r="B61" s="611" t="str">
        <f>IF(C61&lt;'PlayerGrades+'!$Y$44,"F-",IF(C61&lt;'PlayerGrades+'!$Y$43,"F",IF(C61&lt;'PlayerGrades+'!$Y$42,"F+",IF(C61&lt;'PlayerGrades+'!$Y$41,"E-",IF(C61&lt;'PlayerGrades+'!$Y$40,"E",IF(C61&lt;'PlayerGrades+'!$Y$39,"E+",IF(C61&lt;'PlayerGrades+'!$Y$38,"D-",IF(C61&lt;'PlayerGrades+'!$Y$37,"D",IF(C61&lt;'PlayerGrades+'!$Y$36,"D+",IF(C61&lt;'PlayerGrades+'!$Y$35,"C-",IF(C61&lt;'PlayerGrades+'!$Y$34,"C",IF(C61&lt;'PlayerGrades+'!$Y$33,"C+",IF(C61&lt;'PlayerGrades+'!$Y$32,"B-",IF(C61&lt;'PlayerGrades+'!$Y$31,"B",IF(C61&lt;'PlayerGrades+'!$Y$30,"B+",IF(C61&lt;'PlayerGrades+'!$Y$29,"A-",IF(C61&lt;'PlayerGrades+'!$Y$28,"A",IF(C61&lt;'PlayerGrades+'!$Y$27,"A+",IF(C61&lt;'PlayerGrades+'!$Y$26,"S-",IF(C61&lt;'PlayerGrades+'!$Y$25,"S","S+"))))))))))))))))))))</f>
        <v>#DIV/0!</v>
      </c>
      <c r="C61" s="1378" t="str">
        <f>('PlayerGrades+'!$Y$47*(VLOOKUP(E61, 'PlayerGrades+'!$X$3:$Y$23, 2, FALSE)))+('PlayerGrades+'!$Y$48*(VLOOKUP(G61, 'PlayerGrades+'!$X$3:$Y$23, 2, FALSE)))+('PlayerGrades+'!$Y$49*(VLOOKUP(I61, 'PlayerGrades+'!$X$3:$Y$23, 2, FALSE)))+('PlayerGrades+'!$Y$50*(VLOOKUP(K61, 'PlayerGrades+'!$X$3:$Y$23, 2, FALSE)))+('PlayerGrades+'!$Y$51*(VLOOKUP(M61, 'PlayerGrades+'!$X$3:$Y$23, 2, FALSE)))+('PlayerGrades+'!$Y$52*(VLOOKUP(O61, 'PlayerGrades+'!$X$3:$Y$23, 2, FALSE)))+('PlayerGrades+'!$Y$53*(VLOOKUP(Q61, 'PlayerGrades+'!$X$3:$Y$23, 2, FALSE)))+('PlayerGrades+'!$Y$54*(VLOOKUP(S61, 'PlayerGrades+'!$X$3:$Y$23, 2, FALSE)))+('PlayerGrades+'!$Y$55*(VLOOKUP(U61, 'PlayerGrades+'!$X$3:$Y$23, 2, FALSE)))</f>
        <v>#DIV/0!</v>
      </c>
      <c r="D61" s="961" t="str">
        <f t="shared" si="1"/>
        <v>#DIV/0!</v>
      </c>
      <c r="E61" s="961" t="str">
        <f>IF(D61&lt;'PlayerGrades+'!$AA$21,"F-",IF(D61&lt;'PlayerGrades+'!$AA$20,"F",IF(D61&lt;'PlayerGrades+'!$AA$19,"F+",IF(D61&lt;'PlayerGrades+'!$AA$18,"E-",IF(D61&lt;'PlayerGrades+'!$AA$17,"E",IF(D61&lt;'PlayerGrades+'!$AA$16,"E+",IF(D61&lt;'PlayerGrades+'!$AA$15,"D-",IF(D61&lt;'PlayerGrades+'!$AA$14,"D",IF(D61&lt;'PlayerGrades+'!$AA$13,"D+",IF(D61&lt;'PlayerGrades+'!$AA$12,"C-",IF(D61&lt;'PlayerGrades+'!$AA$11,"C",IF(D61&lt;'PlayerGrades+'!$AA$10,"C+",IF(D61&lt;'PlayerGrades+'!$AA$9,"B-",IF(D61&lt;'PlayerGrades+'!$AA$8,"B",IF(D61&lt;'PlayerGrades+'!$AA$7,"B+",IF(D61&lt;'PlayerGrades+'!$AA$6,"A-",IF(D61&lt;'PlayerGrades+'!$AA$5,"A",IF(D61&lt;'PlayerGrades+'!$AA$4,"A+",IF(D61&lt;'PlayerGrades+'!$AA$3,"S-",IF(D61&lt;'PlayerGrades+'!$AA$2,"S","S+"))))))))))))))))))))</f>
        <v>#DIV/0!</v>
      </c>
      <c r="F61" s="961" t="str">
        <f t="shared" si="2"/>
        <v>#DIV/0!</v>
      </c>
      <c r="G61" s="961" t="str">
        <f>IF(F61&lt;'PlayerGrades+'!$AB$21,"F-",IF(F61&lt;'PlayerGrades+'!$AB$20,"F",IF(F61&lt;'PlayerGrades+'!$AB$19,"F+",IF(F61&lt;'PlayerGrades+'!$AB$18,"E-",IF(F61&lt;'PlayerGrades+'!$AB$17,"E",IF(F61&lt;'PlayerGrades+'!$AB$16,"E+",IF(F61&lt;'PlayerGrades+'!$AB$15,"D-",IF(F61&lt;'PlayerGrades+'!$AB$14,"D",IF(F61&lt;'PlayerGrades+'!$AB$13,"D+",IF(F61&lt;'PlayerGrades+'!$AB$12,"C-",IF(F61&lt;'PlayerGrades+'!$AB$11,"C",IF(F61&lt;'PlayerGrades+'!$AB$10,"C+",IF(F61&lt;'PlayerGrades+'!$AB$9,"B-",IF(F61&lt;'PlayerGrades+'!$AB$8,"B",IF(F61&lt;'PlayerGrades+'!$AB$7,"B+",IF(F61&lt;'PlayerGrades+'!$AB$6,"A-",IF(F61&lt;'PlayerGrades+'!$AB$5,"A",IF(F61&lt;'PlayerGrades+'!$AB$4,"A+",IF(F61&lt;'PlayerGrades+'!$AB$3,"S-",IF(F61&lt;'PlayerGrades+'!$AB$2,"S","S+"))))))))))))))))))))</f>
        <v>#DIV/0!</v>
      </c>
      <c r="H61" s="961" t="str">
        <f t="shared" si="3"/>
        <v>#DIV/0!</v>
      </c>
      <c r="I61" s="961" t="str">
        <f>IF(H61&lt;'PlayerGrades+'!$AC$21,"F-",IF(H61&lt;'PlayerGrades+'!$AC$20,"F",IF(H61&lt;'PlayerGrades+'!$AC$19,"F+",IF(H61&lt;'PlayerGrades+'!$AC$18,"E-",IF(H61&lt;'PlayerGrades+'!$AC$17,"E",IF(H61&lt;'PlayerGrades+'!$AC$16,"E+",IF(H61&lt;'PlayerGrades+'!$AC$15,"D-",IF(H61&lt;'PlayerGrades+'!$AC$14,"D",IF(H61&lt;'PlayerGrades+'!$AC$13,"D+",IF(H61&lt;'PlayerGrades+'!$AC$12,"C-",IF(H61&lt;'PlayerGrades+'!$AC$11,"C",IF(H61&lt;'PlayerGrades+'!$AC$10,"C+",IF(H61&lt;'PlayerGrades+'!$AC$9,"B-",IF(H61&lt;'PlayerGrades+'!$AC$8,"B",IF(H61&lt;'PlayerGrades+'!$AC$7,"B+",IF(H61&lt;'PlayerGrades+'!$AC$6,"A-",IF(H61&lt;'PlayerGrades+'!$AC$5,"A",IF(H61&lt;'PlayerGrades+'!$AC$4,"A+",IF(H61&lt;'PlayerGrades+'!$AC$3,"S-",IF(H61&lt;'PlayerGrades+'!$AC$2,"S","S+"))))))))))))))))))))</f>
        <v>#DIV/0!</v>
      </c>
      <c r="J61" s="961" t="str">
        <f t="shared" si="4"/>
        <v>#DIV/0!</v>
      </c>
      <c r="K61" s="961" t="str">
        <f>IF(J61&lt;'PlayerGrades+'!$AD$21,"F-",IF(J61&lt;'PlayerGrades+'!$AD$20,"F",IF(J61&lt;'PlayerGrades+'!$AD$19,"F+",IF(J61&lt;'PlayerGrades+'!$AD$18,"E-",IF(J61&lt;'PlayerGrades+'!$AD$17,"E",IF(J61&lt;'PlayerGrades+'!$AD$16,"E+",IF(J61&lt;'PlayerGrades+'!$AD$15,"D-",IF(J61&lt;'PlayerGrades+'!$AD$14,"D",IF(J61&lt;'PlayerGrades+'!$AD$13,"D+",IF(J61&lt;'PlayerGrades+'!$AD$12,"C-",IF(J61&lt;'PlayerGrades+'!$AD$11,"C",IF(J61&lt;'PlayerGrades+'!$AD$10,"C+",IF(J61&lt;'PlayerGrades+'!$AD$9,"B-",IF(J61&lt;'PlayerGrades+'!$AD$8,"B",IF(J61&lt;'PlayerGrades+'!$AD$7,"B+",IF(J61&lt;'PlayerGrades+'!$AD$6,"A-",IF(J61&lt;'PlayerGrades+'!$AD$5,"A",IF(J61&lt;'PlayerGrades+'!$AD$4,"A+",IF(J61&lt;'PlayerGrades+'!$AD$3,"S-",IF(J61&lt;'PlayerGrades+'!$AD$2,"S","S+"))))))))))))))))))))</f>
        <v>#DIV/0!</v>
      </c>
      <c r="L61" s="1176" t="str">
        <f t="shared" si="5"/>
        <v>#DIV/0!</v>
      </c>
      <c r="M61" s="992" t="str">
        <f>IF(L61&lt;'PlayerGrades+'!$AE$21,"F-",IF(L61&lt;'PlayerGrades+'!$AE$20,"F",IF(L61&lt;'PlayerGrades+'!$AE$19,"F+",IF(L61&lt;'PlayerGrades+'!$AE$18,"E-",IF(L61&lt;'PlayerGrades+'!$AE$17,"E",IF(L61&lt;'PlayerGrades+'!$AE$16,"E+",IF(L61&lt;'PlayerGrades+'!$AE$15,"D-",IF(L61&lt;'PlayerGrades+'!$AE$14,"D",IF(L61&lt;'PlayerGrades+'!$AE$13,"D+",IF(L61&lt;'PlayerGrades+'!$AE$12,"C-",IF(L61&lt;'PlayerGrades+'!$AE$11,"C",IF(L61&lt;'PlayerGrades+'!$AE$10,"C+",IF(L61&lt;'PlayerGrades+'!$AE$9,"B-",IF(L61&lt;'PlayerGrades+'!$AE$8,"B",IF(L61&lt;'PlayerGrades+'!$AE$7,"B+",IF(L61&lt;'PlayerGrades+'!$AE$6,"A-",IF(L61&lt;'PlayerGrades+'!$AE$5,"A",IF(L61&lt;'PlayerGrades+'!$AE$4,"A+",IF(L61&lt;'PlayerGrades+'!$AE$3,"S-",IF(L61&lt;'PlayerGrades+'!$AE$2,"S","S+"))))))))))))))))))))</f>
        <v>#DIV/0!</v>
      </c>
      <c r="N61" s="961" t="str">
        <f t="shared" si="6"/>
        <v>#DIV/0!</v>
      </c>
      <c r="O61" s="961" t="str">
        <f>IF(N61&lt;'PlayerGrades+'!$AF$21,"F-",IF(N61&lt;'PlayerGrades+'!$AF$20,"F",IF(N61&lt;'PlayerGrades+'!$AF$19,"F+",IF(N61&lt;'PlayerGrades+'!$AF$18,"E-",IF(N61&lt;'PlayerGrades+'!$AF$17,"E",IF(N61&lt;'PlayerGrades+'!$AF$16,"E+",IF(N61&lt;'PlayerGrades+'!$AF$15,"D-",IF(N61&lt;'PlayerGrades+'!$AF$14,"D",IF(N61&lt;'PlayerGrades+'!$AF$13,"D+",IF(N61&lt;'PlayerGrades+'!$AF$12,"C-",IF(N61&lt;'PlayerGrades+'!$AF$11,"C",IF(N61&lt;'PlayerGrades+'!$AF$10,"C+",IF(N61&lt;'PlayerGrades+'!$AF$9,"B-",IF(N61&lt;'PlayerGrades+'!$AF$8,"B",IF(N61&lt;'PlayerGrades+'!$AF$7,"B+",IF(N61&lt;'PlayerGrades+'!$AF$6,"A-",IF(N61&lt;'PlayerGrades+'!$AF$5,"A",IF(N61&lt;'PlayerGrades+'!$AF$4,"A+",IF(N61&lt;'PlayerGrades+'!$AF$3,"S-",IF(N61&lt;'PlayerGrades+'!$AF$2,"S","S+"))))))))))))))))))))</f>
        <v>#DIV/0!</v>
      </c>
      <c r="P61" s="961" t="str">
        <f t="shared" si="7"/>
        <v>#DIV/0!</v>
      </c>
      <c r="Q61" s="961" t="str">
        <f>IF(P61&lt;'PlayerGrades+'!$AG$21,"F-",IF(P61&lt;'PlayerGrades+'!$AG$20,"F",IF(P61&lt;'PlayerGrades+'!$AG$19,"F+",IF(P61&lt;'PlayerGrades+'!$AG$18,"E-",IF(P61&lt;'PlayerGrades+'!$AG$17,"E",IF(P61&lt;'PlayerGrades+'!$AG$16,"E+",IF(P61&lt;'PlayerGrades+'!$AG$15,"D-",IF(P61&lt;'PlayerGrades+'!$AG$14,"D",IF(P61&lt;'PlayerGrades+'!$AG$13,"D+",IF(P61&lt;'PlayerGrades+'!$AG$12,"C-",IF(P61&lt;'PlayerGrades+'!$AG$11,"C",IF(P61&lt;'PlayerGrades+'!$AG$10,"C+",IF(P61&lt;'PlayerGrades+'!$AG$9,"B-",IF(P61&lt;'PlayerGrades+'!$AG$8,"B",IF(P61&lt;'PlayerGrades+'!$AG$7,"B+",IF(P61&lt;'PlayerGrades+'!$AG$6,"A-",IF(P61&lt;'PlayerGrades+'!$AG$5,"A",IF(P61&lt;'PlayerGrades+'!$AG$4,"A+",IF(P61&lt;'PlayerGrades+'!$AG$3,"S-",IF(P61&lt;'PlayerGrades+'!$AG$2,"S","S+"))))))))))))))))))))</f>
        <v>#DIV/0!</v>
      </c>
      <c r="R61" s="961" t="str">
        <f t="shared" si="8"/>
        <v>#DIV/0!</v>
      </c>
      <c r="S61" s="961" t="str">
        <f>IF(R61&lt;'PlayerGrades+'!$AH$21,"F-",IF(R61&lt;'PlayerGrades+'!$AH$20,"F",IF(R61&lt;'PlayerGrades+'!$AH$19,"F+",IF(R61&lt;'PlayerGrades+'!$AH$18,"E-",IF(R61&lt;'PlayerGrades+'!$AH$17,"E",IF(R61&lt;'PlayerGrades+'!$AH$16,"E+",IF(R61&lt;'PlayerGrades+'!$AH$15,"D-",IF(R61&lt;'PlayerGrades+'!$AH$14,"D",IF(R61&lt;'PlayerGrades+'!$AH$13,"D+",IF(R61&lt;'PlayerGrades+'!$AH$12,"C-",IF(R61&lt;'PlayerGrades+'!$AH$11,"C",IF(R61&lt;'PlayerGrades+'!$AH$10,"C+",IF(R61&lt;'PlayerGrades+'!$AH$9,"B-",IF(R61&lt;'PlayerGrades+'!$AH$8,"B",IF(R61&lt;'PlayerGrades+'!$AH$7,"B+",IF(R61&lt;'PlayerGrades+'!$AH$6,"A-",IF(R61&lt;'PlayerGrades+'!$AH$5,"A",IF(R61&lt;'PlayerGrades+'!$AH$4,"A+",IF(R61&lt;'PlayerGrades+'!$AH$3,"S-",IF(R61&lt;'PlayerGrades+'!$AH$2,"S","S+"))))))))))))))))))))</f>
        <v>#DIV/0!</v>
      </c>
      <c r="T61" s="961">
        <f t="shared" si="9"/>
        <v>0</v>
      </c>
      <c r="U61" s="961" t="str">
        <f>IF(T61&lt;'PlayerGrades+'!$AI$21,"F-",IF(T61&lt;'PlayerGrades+'!$AI$20,"F",IF(T61&lt;'PlayerGrades+'!$AI$19,"F+",IF(T61&lt;'PlayerGrades+'!$AI$18,"E-",IF(T61&lt;'PlayerGrades+'!$AI$17,"E",IF(T61&lt;'PlayerGrades+'!$AI$16,"E+",IF(T61&lt;'PlayerGrades+'!$AI$15,"D-",IF(T61&lt;'PlayerGrades+'!$AI$14,"D",IF(T61&lt;'PlayerGrades+'!$AI$13,"D+",IF(T61&lt;'PlayerGrades+'!$AI$12,"C-",IF(T61&lt;'PlayerGrades+'!$AI$11,"C",IF(T61&lt;'PlayerGrades+'!$AI$10,"C+",IF(T61&lt;'PlayerGrades+'!$AI$9,"B-",IF(T61&lt;'PlayerGrades+'!$AI$8,"B",IF(T61&lt;'PlayerGrades+'!$AI$7,"B+",IF(T61&lt;'PlayerGrades+'!$AI$6,"A-",IF(T61&lt;'PlayerGrades+'!$AI$5,"A",IF(T61&lt;'PlayerGrades+'!$AI$4,"A+",IF(T61&lt;'PlayerGrades+'!$AI$3,"S-",IF(T61&lt;'PlayerGrades+'!$AI$2,"S","S+"))))))))))))))))))))</f>
        <v>F-</v>
      </c>
      <c r="AC61" s="1392"/>
    </row>
    <row r="62">
      <c r="A62" s="1391"/>
      <c r="B62" s="611" t="str">
        <f>IF(C62&lt;'PlayerGrades+'!$Y$44,"F-",IF(C62&lt;'PlayerGrades+'!$Y$43,"F",IF(C62&lt;'PlayerGrades+'!$Y$42,"F+",IF(C62&lt;'PlayerGrades+'!$Y$41,"E-",IF(C62&lt;'PlayerGrades+'!$Y$40,"E",IF(C62&lt;'PlayerGrades+'!$Y$39,"E+",IF(C62&lt;'PlayerGrades+'!$Y$38,"D-",IF(C62&lt;'PlayerGrades+'!$Y$37,"D",IF(C62&lt;'PlayerGrades+'!$Y$36,"D+",IF(C62&lt;'PlayerGrades+'!$Y$35,"C-",IF(C62&lt;'PlayerGrades+'!$Y$34,"C",IF(C62&lt;'PlayerGrades+'!$Y$33,"C+",IF(C62&lt;'PlayerGrades+'!$Y$32,"B-",IF(C62&lt;'PlayerGrades+'!$Y$31,"B",IF(C62&lt;'PlayerGrades+'!$Y$30,"B+",IF(C62&lt;'PlayerGrades+'!$Y$29,"A-",IF(C62&lt;'PlayerGrades+'!$Y$28,"A",IF(C62&lt;'PlayerGrades+'!$Y$27,"A+",IF(C62&lt;'PlayerGrades+'!$Y$26,"S-",IF(C62&lt;'PlayerGrades+'!$Y$25,"S","S+"))))))))))))))))))))</f>
        <v>#DIV/0!</v>
      </c>
      <c r="C62" s="1378" t="str">
        <f>('PlayerGrades+'!$Y$47*(VLOOKUP(E62, 'PlayerGrades+'!$X$3:$Y$23, 2, FALSE)))+('PlayerGrades+'!$Y$48*(VLOOKUP(G62, 'PlayerGrades+'!$X$3:$Y$23, 2, FALSE)))+('PlayerGrades+'!$Y$49*(VLOOKUP(I62, 'PlayerGrades+'!$X$3:$Y$23, 2, FALSE)))+('PlayerGrades+'!$Y$50*(VLOOKUP(K62, 'PlayerGrades+'!$X$3:$Y$23, 2, FALSE)))+('PlayerGrades+'!$Y$51*(VLOOKUP(M62, 'PlayerGrades+'!$X$3:$Y$23, 2, FALSE)))+('PlayerGrades+'!$Y$52*(VLOOKUP(O62, 'PlayerGrades+'!$X$3:$Y$23, 2, FALSE)))+('PlayerGrades+'!$Y$53*(VLOOKUP(Q62, 'PlayerGrades+'!$X$3:$Y$23, 2, FALSE)))+('PlayerGrades+'!$Y$54*(VLOOKUP(S62, 'PlayerGrades+'!$X$3:$Y$23, 2, FALSE)))+('PlayerGrades+'!$Y$55*(VLOOKUP(U62, 'PlayerGrades+'!$X$3:$Y$23, 2, FALSE)))</f>
        <v>#DIV/0!</v>
      </c>
      <c r="D62" s="961" t="str">
        <f t="shared" si="1"/>
        <v>#DIV/0!</v>
      </c>
      <c r="E62" s="961" t="str">
        <f>IF(D62&lt;'PlayerGrades+'!$AA$21,"F-",IF(D62&lt;'PlayerGrades+'!$AA$20,"F",IF(D62&lt;'PlayerGrades+'!$AA$19,"F+",IF(D62&lt;'PlayerGrades+'!$AA$18,"E-",IF(D62&lt;'PlayerGrades+'!$AA$17,"E",IF(D62&lt;'PlayerGrades+'!$AA$16,"E+",IF(D62&lt;'PlayerGrades+'!$AA$15,"D-",IF(D62&lt;'PlayerGrades+'!$AA$14,"D",IF(D62&lt;'PlayerGrades+'!$AA$13,"D+",IF(D62&lt;'PlayerGrades+'!$AA$12,"C-",IF(D62&lt;'PlayerGrades+'!$AA$11,"C",IF(D62&lt;'PlayerGrades+'!$AA$10,"C+",IF(D62&lt;'PlayerGrades+'!$AA$9,"B-",IF(D62&lt;'PlayerGrades+'!$AA$8,"B",IF(D62&lt;'PlayerGrades+'!$AA$7,"B+",IF(D62&lt;'PlayerGrades+'!$AA$6,"A-",IF(D62&lt;'PlayerGrades+'!$AA$5,"A",IF(D62&lt;'PlayerGrades+'!$AA$4,"A+",IF(D62&lt;'PlayerGrades+'!$AA$3,"S-",IF(D62&lt;'PlayerGrades+'!$AA$2,"S","S+"))))))))))))))))))))</f>
        <v>#DIV/0!</v>
      </c>
      <c r="F62" s="961" t="str">
        <f t="shared" si="2"/>
        <v>#DIV/0!</v>
      </c>
      <c r="G62" s="961" t="str">
        <f>IF(F62&lt;'PlayerGrades+'!$AB$21,"F-",IF(F62&lt;'PlayerGrades+'!$AB$20,"F",IF(F62&lt;'PlayerGrades+'!$AB$19,"F+",IF(F62&lt;'PlayerGrades+'!$AB$18,"E-",IF(F62&lt;'PlayerGrades+'!$AB$17,"E",IF(F62&lt;'PlayerGrades+'!$AB$16,"E+",IF(F62&lt;'PlayerGrades+'!$AB$15,"D-",IF(F62&lt;'PlayerGrades+'!$AB$14,"D",IF(F62&lt;'PlayerGrades+'!$AB$13,"D+",IF(F62&lt;'PlayerGrades+'!$AB$12,"C-",IF(F62&lt;'PlayerGrades+'!$AB$11,"C",IF(F62&lt;'PlayerGrades+'!$AB$10,"C+",IF(F62&lt;'PlayerGrades+'!$AB$9,"B-",IF(F62&lt;'PlayerGrades+'!$AB$8,"B",IF(F62&lt;'PlayerGrades+'!$AB$7,"B+",IF(F62&lt;'PlayerGrades+'!$AB$6,"A-",IF(F62&lt;'PlayerGrades+'!$AB$5,"A",IF(F62&lt;'PlayerGrades+'!$AB$4,"A+",IF(F62&lt;'PlayerGrades+'!$AB$3,"S-",IF(F62&lt;'PlayerGrades+'!$AB$2,"S","S+"))))))))))))))))))))</f>
        <v>#DIV/0!</v>
      </c>
      <c r="H62" s="961" t="str">
        <f t="shared" si="3"/>
        <v>#DIV/0!</v>
      </c>
      <c r="I62" s="961" t="str">
        <f>IF(H62&lt;'PlayerGrades+'!$AC$21,"F-",IF(H62&lt;'PlayerGrades+'!$AC$20,"F",IF(H62&lt;'PlayerGrades+'!$AC$19,"F+",IF(H62&lt;'PlayerGrades+'!$AC$18,"E-",IF(H62&lt;'PlayerGrades+'!$AC$17,"E",IF(H62&lt;'PlayerGrades+'!$AC$16,"E+",IF(H62&lt;'PlayerGrades+'!$AC$15,"D-",IF(H62&lt;'PlayerGrades+'!$AC$14,"D",IF(H62&lt;'PlayerGrades+'!$AC$13,"D+",IF(H62&lt;'PlayerGrades+'!$AC$12,"C-",IF(H62&lt;'PlayerGrades+'!$AC$11,"C",IF(H62&lt;'PlayerGrades+'!$AC$10,"C+",IF(H62&lt;'PlayerGrades+'!$AC$9,"B-",IF(H62&lt;'PlayerGrades+'!$AC$8,"B",IF(H62&lt;'PlayerGrades+'!$AC$7,"B+",IF(H62&lt;'PlayerGrades+'!$AC$6,"A-",IF(H62&lt;'PlayerGrades+'!$AC$5,"A",IF(H62&lt;'PlayerGrades+'!$AC$4,"A+",IF(H62&lt;'PlayerGrades+'!$AC$3,"S-",IF(H62&lt;'PlayerGrades+'!$AC$2,"S","S+"))))))))))))))))))))</f>
        <v>#DIV/0!</v>
      </c>
      <c r="J62" s="961" t="str">
        <f t="shared" si="4"/>
        <v>#DIV/0!</v>
      </c>
      <c r="K62" s="961" t="str">
        <f>IF(J62&lt;'PlayerGrades+'!$AD$21,"F-",IF(J62&lt;'PlayerGrades+'!$AD$20,"F",IF(J62&lt;'PlayerGrades+'!$AD$19,"F+",IF(J62&lt;'PlayerGrades+'!$AD$18,"E-",IF(J62&lt;'PlayerGrades+'!$AD$17,"E",IF(J62&lt;'PlayerGrades+'!$AD$16,"E+",IF(J62&lt;'PlayerGrades+'!$AD$15,"D-",IF(J62&lt;'PlayerGrades+'!$AD$14,"D",IF(J62&lt;'PlayerGrades+'!$AD$13,"D+",IF(J62&lt;'PlayerGrades+'!$AD$12,"C-",IF(J62&lt;'PlayerGrades+'!$AD$11,"C",IF(J62&lt;'PlayerGrades+'!$AD$10,"C+",IF(J62&lt;'PlayerGrades+'!$AD$9,"B-",IF(J62&lt;'PlayerGrades+'!$AD$8,"B",IF(J62&lt;'PlayerGrades+'!$AD$7,"B+",IF(J62&lt;'PlayerGrades+'!$AD$6,"A-",IF(J62&lt;'PlayerGrades+'!$AD$5,"A",IF(J62&lt;'PlayerGrades+'!$AD$4,"A+",IF(J62&lt;'PlayerGrades+'!$AD$3,"S-",IF(J62&lt;'PlayerGrades+'!$AD$2,"S","S+"))))))))))))))))))))</f>
        <v>#DIV/0!</v>
      </c>
      <c r="L62" s="1176" t="str">
        <f t="shared" si="5"/>
        <v>#DIV/0!</v>
      </c>
      <c r="M62" s="992" t="str">
        <f>IF(L62&lt;'PlayerGrades+'!$AE$21,"F-",IF(L62&lt;'PlayerGrades+'!$AE$20,"F",IF(L62&lt;'PlayerGrades+'!$AE$19,"F+",IF(L62&lt;'PlayerGrades+'!$AE$18,"E-",IF(L62&lt;'PlayerGrades+'!$AE$17,"E",IF(L62&lt;'PlayerGrades+'!$AE$16,"E+",IF(L62&lt;'PlayerGrades+'!$AE$15,"D-",IF(L62&lt;'PlayerGrades+'!$AE$14,"D",IF(L62&lt;'PlayerGrades+'!$AE$13,"D+",IF(L62&lt;'PlayerGrades+'!$AE$12,"C-",IF(L62&lt;'PlayerGrades+'!$AE$11,"C",IF(L62&lt;'PlayerGrades+'!$AE$10,"C+",IF(L62&lt;'PlayerGrades+'!$AE$9,"B-",IF(L62&lt;'PlayerGrades+'!$AE$8,"B",IF(L62&lt;'PlayerGrades+'!$AE$7,"B+",IF(L62&lt;'PlayerGrades+'!$AE$6,"A-",IF(L62&lt;'PlayerGrades+'!$AE$5,"A",IF(L62&lt;'PlayerGrades+'!$AE$4,"A+",IF(L62&lt;'PlayerGrades+'!$AE$3,"S-",IF(L62&lt;'PlayerGrades+'!$AE$2,"S","S+"))))))))))))))))))))</f>
        <v>#DIV/0!</v>
      </c>
      <c r="N62" s="961" t="str">
        <f t="shared" si="6"/>
        <v>#DIV/0!</v>
      </c>
      <c r="O62" s="961" t="str">
        <f>IF(N62&lt;'PlayerGrades+'!$AF$21,"F-",IF(N62&lt;'PlayerGrades+'!$AF$20,"F",IF(N62&lt;'PlayerGrades+'!$AF$19,"F+",IF(N62&lt;'PlayerGrades+'!$AF$18,"E-",IF(N62&lt;'PlayerGrades+'!$AF$17,"E",IF(N62&lt;'PlayerGrades+'!$AF$16,"E+",IF(N62&lt;'PlayerGrades+'!$AF$15,"D-",IF(N62&lt;'PlayerGrades+'!$AF$14,"D",IF(N62&lt;'PlayerGrades+'!$AF$13,"D+",IF(N62&lt;'PlayerGrades+'!$AF$12,"C-",IF(N62&lt;'PlayerGrades+'!$AF$11,"C",IF(N62&lt;'PlayerGrades+'!$AF$10,"C+",IF(N62&lt;'PlayerGrades+'!$AF$9,"B-",IF(N62&lt;'PlayerGrades+'!$AF$8,"B",IF(N62&lt;'PlayerGrades+'!$AF$7,"B+",IF(N62&lt;'PlayerGrades+'!$AF$6,"A-",IF(N62&lt;'PlayerGrades+'!$AF$5,"A",IF(N62&lt;'PlayerGrades+'!$AF$4,"A+",IF(N62&lt;'PlayerGrades+'!$AF$3,"S-",IF(N62&lt;'PlayerGrades+'!$AF$2,"S","S+"))))))))))))))))))))</f>
        <v>#DIV/0!</v>
      </c>
      <c r="P62" s="961" t="str">
        <f t="shared" si="7"/>
        <v>#DIV/0!</v>
      </c>
      <c r="Q62" s="961" t="str">
        <f>IF(P62&lt;'PlayerGrades+'!$AG$21,"F-",IF(P62&lt;'PlayerGrades+'!$AG$20,"F",IF(P62&lt;'PlayerGrades+'!$AG$19,"F+",IF(P62&lt;'PlayerGrades+'!$AG$18,"E-",IF(P62&lt;'PlayerGrades+'!$AG$17,"E",IF(P62&lt;'PlayerGrades+'!$AG$16,"E+",IF(P62&lt;'PlayerGrades+'!$AG$15,"D-",IF(P62&lt;'PlayerGrades+'!$AG$14,"D",IF(P62&lt;'PlayerGrades+'!$AG$13,"D+",IF(P62&lt;'PlayerGrades+'!$AG$12,"C-",IF(P62&lt;'PlayerGrades+'!$AG$11,"C",IF(P62&lt;'PlayerGrades+'!$AG$10,"C+",IF(P62&lt;'PlayerGrades+'!$AG$9,"B-",IF(P62&lt;'PlayerGrades+'!$AG$8,"B",IF(P62&lt;'PlayerGrades+'!$AG$7,"B+",IF(P62&lt;'PlayerGrades+'!$AG$6,"A-",IF(P62&lt;'PlayerGrades+'!$AG$5,"A",IF(P62&lt;'PlayerGrades+'!$AG$4,"A+",IF(P62&lt;'PlayerGrades+'!$AG$3,"S-",IF(P62&lt;'PlayerGrades+'!$AG$2,"S","S+"))))))))))))))))))))</f>
        <v>#DIV/0!</v>
      </c>
      <c r="R62" s="961" t="str">
        <f t="shared" si="8"/>
        <v>#DIV/0!</v>
      </c>
      <c r="S62" s="961" t="str">
        <f>IF(R62&lt;'PlayerGrades+'!$AH$21,"F-",IF(R62&lt;'PlayerGrades+'!$AH$20,"F",IF(R62&lt;'PlayerGrades+'!$AH$19,"F+",IF(R62&lt;'PlayerGrades+'!$AH$18,"E-",IF(R62&lt;'PlayerGrades+'!$AH$17,"E",IF(R62&lt;'PlayerGrades+'!$AH$16,"E+",IF(R62&lt;'PlayerGrades+'!$AH$15,"D-",IF(R62&lt;'PlayerGrades+'!$AH$14,"D",IF(R62&lt;'PlayerGrades+'!$AH$13,"D+",IF(R62&lt;'PlayerGrades+'!$AH$12,"C-",IF(R62&lt;'PlayerGrades+'!$AH$11,"C",IF(R62&lt;'PlayerGrades+'!$AH$10,"C+",IF(R62&lt;'PlayerGrades+'!$AH$9,"B-",IF(R62&lt;'PlayerGrades+'!$AH$8,"B",IF(R62&lt;'PlayerGrades+'!$AH$7,"B+",IF(R62&lt;'PlayerGrades+'!$AH$6,"A-",IF(R62&lt;'PlayerGrades+'!$AH$5,"A",IF(R62&lt;'PlayerGrades+'!$AH$4,"A+",IF(R62&lt;'PlayerGrades+'!$AH$3,"S-",IF(R62&lt;'PlayerGrades+'!$AH$2,"S","S+"))))))))))))))))))))</f>
        <v>#DIV/0!</v>
      </c>
      <c r="T62" s="961">
        <f t="shared" si="9"/>
        <v>0</v>
      </c>
      <c r="U62" s="961" t="str">
        <f>IF(T62&lt;'PlayerGrades+'!$AI$21,"F-",IF(T62&lt;'PlayerGrades+'!$AI$20,"F",IF(T62&lt;'PlayerGrades+'!$AI$19,"F+",IF(T62&lt;'PlayerGrades+'!$AI$18,"E-",IF(T62&lt;'PlayerGrades+'!$AI$17,"E",IF(T62&lt;'PlayerGrades+'!$AI$16,"E+",IF(T62&lt;'PlayerGrades+'!$AI$15,"D-",IF(T62&lt;'PlayerGrades+'!$AI$14,"D",IF(T62&lt;'PlayerGrades+'!$AI$13,"D+",IF(T62&lt;'PlayerGrades+'!$AI$12,"C-",IF(T62&lt;'PlayerGrades+'!$AI$11,"C",IF(T62&lt;'PlayerGrades+'!$AI$10,"C+",IF(T62&lt;'PlayerGrades+'!$AI$9,"B-",IF(T62&lt;'PlayerGrades+'!$AI$8,"B",IF(T62&lt;'PlayerGrades+'!$AI$7,"B+",IF(T62&lt;'PlayerGrades+'!$AI$6,"A-",IF(T62&lt;'PlayerGrades+'!$AI$5,"A",IF(T62&lt;'PlayerGrades+'!$AI$4,"A+",IF(T62&lt;'PlayerGrades+'!$AI$3,"S-",IF(T62&lt;'PlayerGrades+'!$AI$2,"S","S+"))))))))))))))))))))</f>
        <v>F-</v>
      </c>
      <c r="AC62" s="1392"/>
    </row>
    <row r="63">
      <c r="A63" s="1391"/>
      <c r="B63" s="611" t="str">
        <f>IF(C63&lt;'PlayerGrades+'!$Y$44,"F-",IF(C63&lt;'PlayerGrades+'!$Y$43,"F",IF(C63&lt;'PlayerGrades+'!$Y$42,"F+",IF(C63&lt;'PlayerGrades+'!$Y$41,"E-",IF(C63&lt;'PlayerGrades+'!$Y$40,"E",IF(C63&lt;'PlayerGrades+'!$Y$39,"E+",IF(C63&lt;'PlayerGrades+'!$Y$38,"D-",IF(C63&lt;'PlayerGrades+'!$Y$37,"D",IF(C63&lt;'PlayerGrades+'!$Y$36,"D+",IF(C63&lt;'PlayerGrades+'!$Y$35,"C-",IF(C63&lt;'PlayerGrades+'!$Y$34,"C",IF(C63&lt;'PlayerGrades+'!$Y$33,"C+",IF(C63&lt;'PlayerGrades+'!$Y$32,"B-",IF(C63&lt;'PlayerGrades+'!$Y$31,"B",IF(C63&lt;'PlayerGrades+'!$Y$30,"B+",IF(C63&lt;'PlayerGrades+'!$Y$29,"A-",IF(C63&lt;'PlayerGrades+'!$Y$28,"A",IF(C63&lt;'PlayerGrades+'!$Y$27,"A+",IF(C63&lt;'PlayerGrades+'!$Y$26,"S-",IF(C63&lt;'PlayerGrades+'!$Y$25,"S","S+"))))))))))))))))))))</f>
        <v>#DIV/0!</v>
      </c>
      <c r="C63" s="1378" t="str">
        <f>('PlayerGrades+'!$Y$47*(VLOOKUP(E63, 'PlayerGrades+'!$X$3:$Y$23, 2, FALSE)))+('PlayerGrades+'!$Y$48*(VLOOKUP(G63, 'PlayerGrades+'!$X$3:$Y$23, 2, FALSE)))+('PlayerGrades+'!$Y$49*(VLOOKUP(I63, 'PlayerGrades+'!$X$3:$Y$23, 2, FALSE)))+('PlayerGrades+'!$Y$50*(VLOOKUP(K63, 'PlayerGrades+'!$X$3:$Y$23, 2, FALSE)))+('PlayerGrades+'!$Y$51*(VLOOKUP(M63, 'PlayerGrades+'!$X$3:$Y$23, 2, FALSE)))+('PlayerGrades+'!$Y$52*(VLOOKUP(O63, 'PlayerGrades+'!$X$3:$Y$23, 2, FALSE)))+('PlayerGrades+'!$Y$53*(VLOOKUP(Q63, 'PlayerGrades+'!$X$3:$Y$23, 2, FALSE)))+('PlayerGrades+'!$Y$54*(VLOOKUP(S63, 'PlayerGrades+'!$X$3:$Y$23, 2, FALSE)))+('PlayerGrades+'!$Y$55*(VLOOKUP(U63, 'PlayerGrades+'!$X$3:$Y$23, 2, FALSE)))</f>
        <v>#DIV/0!</v>
      </c>
      <c r="D63" s="961" t="str">
        <f t="shared" si="1"/>
        <v>#DIV/0!</v>
      </c>
      <c r="E63" s="961" t="str">
        <f>IF(D63&lt;'PlayerGrades+'!$AA$21,"F-",IF(D63&lt;'PlayerGrades+'!$AA$20,"F",IF(D63&lt;'PlayerGrades+'!$AA$19,"F+",IF(D63&lt;'PlayerGrades+'!$AA$18,"E-",IF(D63&lt;'PlayerGrades+'!$AA$17,"E",IF(D63&lt;'PlayerGrades+'!$AA$16,"E+",IF(D63&lt;'PlayerGrades+'!$AA$15,"D-",IF(D63&lt;'PlayerGrades+'!$AA$14,"D",IF(D63&lt;'PlayerGrades+'!$AA$13,"D+",IF(D63&lt;'PlayerGrades+'!$AA$12,"C-",IF(D63&lt;'PlayerGrades+'!$AA$11,"C",IF(D63&lt;'PlayerGrades+'!$AA$10,"C+",IF(D63&lt;'PlayerGrades+'!$AA$9,"B-",IF(D63&lt;'PlayerGrades+'!$AA$8,"B",IF(D63&lt;'PlayerGrades+'!$AA$7,"B+",IF(D63&lt;'PlayerGrades+'!$AA$6,"A-",IF(D63&lt;'PlayerGrades+'!$AA$5,"A",IF(D63&lt;'PlayerGrades+'!$AA$4,"A+",IF(D63&lt;'PlayerGrades+'!$AA$3,"S-",IF(D63&lt;'PlayerGrades+'!$AA$2,"S","S+"))))))))))))))))))))</f>
        <v>#DIV/0!</v>
      </c>
      <c r="F63" s="961" t="str">
        <f t="shared" si="2"/>
        <v>#DIV/0!</v>
      </c>
      <c r="G63" s="961" t="str">
        <f>IF(F63&lt;'PlayerGrades+'!$AB$21,"F-",IF(F63&lt;'PlayerGrades+'!$AB$20,"F",IF(F63&lt;'PlayerGrades+'!$AB$19,"F+",IF(F63&lt;'PlayerGrades+'!$AB$18,"E-",IF(F63&lt;'PlayerGrades+'!$AB$17,"E",IF(F63&lt;'PlayerGrades+'!$AB$16,"E+",IF(F63&lt;'PlayerGrades+'!$AB$15,"D-",IF(F63&lt;'PlayerGrades+'!$AB$14,"D",IF(F63&lt;'PlayerGrades+'!$AB$13,"D+",IF(F63&lt;'PlayerGrades+'!$AB$12,"C-",IF(F63&lt;'PlayerGrades+'!$AB$11,"C",IF(F63&lt;'PlayerGrades+'!$AB$10,"C+",IF(F63&lt;'PlayerGrades+'!$AB$9,"B-",IF(F63&lt;'PlayerGrades+'!$AB$8,"B",IF(F63&lt;'PlayerGrades+'!$AB$7,"B+",IF(F63&lt;'PlayerGrades+'!$AB$6,"A-",IF(F63&lt;'PlayerGrades+'!$AB$5,"A",IF(F63&lt;'PlayerGrades+'!$AB$4,"A+",IF(F63&lt;'PlayerGrades+'!$AB$3,"S-",IF(F63&lt;'PlayerGrades+'!$AB$2,"S","S+"))))))))))))))))))))</f>
        <v>#DIV/0!</v>
      </c>
      <c r="H63" s="961" t="str">
        <f t="shared" si="3"/>
        <v>#DIV/0!</v>
      </c>
      <c r="I63" s="961" t="str">
        <f>IF(H63&lt;'PlayerGrades+'!$AC$21,"F-",IF(H63&lt;'PlayerGrades+'!$AC$20,"F",IF(H63&lt;'PlayerGrades+'!$AC$19,"F+",IF(H63&lt;'PlayerGrades+'!$AC$18,"E-",IF(H63&lt;'PlayerGrades+'!$AC$17,"E",IF(H63&lt;'PlayerGrades+'!$AC$16,"E+",IF(H63&lt;'PlayerGrades+'!$AC$15,"D-",IF(H63&lt;'PlayerGrades+'!$AC$14,"D",IF(H63&lt;'PlayerGrades+'!$AC$13,"D+",IF(H63&lt;'PlayerGrades+'!$AC$12,"C-",IF(H63&lt;'PlayerGrades+'!$AC$11,"C",IF(H63&lt;'PlayerGrades+'!$AC$10,"C+",IF(H63&lt;'PlayerGrades+'!$AC$9,"B-",IF(H63&lt;'PlayerGrades+'!$AC$8,"B",IF(H63&lt;'PlayerGrades+'!$AC$7,"B+",IF(H63&lt;'PlayerGrades+'!$AC$6,"A-",IF(H63&lt;'PlayerGrades+'!$AC$5,"A",IF(H63&lt;'PlayerGrades+'!$AC$4,"A+",IF(H63&lt;'PlayerGrades+'!$AC$3,"S-",IF(H63&lt;'PlayerGrades+'!$AC$2,"S","S+"))))))))))))))))))))</f>
        <v>#DIV/0!</v>
      </c>
      <c r="J63" s="961" t="str">
        <f t="shared" si="4"/>
        <v>#DIV/0!</v>
      </c>
      <c r="K63" s="961" t="str">
        <f>IF(J63&lt;'PlayerGrades+'!$AD$21,"F-",IF(J63&lt;'PlayerGrades+'!$AD$20,"F",IF(J63&lt;'PlayerGrades+'!$AD$19,"F+",IF(J63&lt;'PlayerGrades+'!$AD$18,"E-",IF(J63&lt;'PlayerGrades+'!$AD$17,"E",IF(J63&lt;'PlayerGrades+'!$AD$16,"E+",IF(J63&lt;'PlayerGrades+'!$AD$15,"D-",IF(J63&lt;'PlayerGrades+'!$AD$14,"D",IF(J63&lt;'PlayerGrades+'!$AD$13,"D+",IF(J63&lt;'PlayerGrades+'!$AD$12,"C-",IF(J63&lt;'PlayerGrades+'!$AD$11,"C",IF(J63&lt;'PlayerGrades+'!$AD$10,"C+",IF(J63&lt;'PlayerGrades+'!$AD$9,"B-",IF(J63&lt;'PlayerGrades+'!$AD$8,"B",IF(J63&lt;'PlayerGrades+'!$AD$7,"B+",IF(J63&lt;'PlayerGrades+'!$AD$6,"A-",IF(J63&lt;'PlayerGrades+'!$AD$5,"A",IF(J63&lt;'PlayerGrades+'!$AD$4,"A+",IF(J63&lt;'PlayerGrades+'!$AD$3,"S-",IF(J63&lt;'PlayerGrades+'!$AD$2,"S","S+"))))))))))))))))))))</f>
        <v>#DIV/0!</v>
      </c>
      <c r="L63" s="1176" t="str">
        <f t="shared" si="5"/>
        <v>#DIV/0!</v>
      </c>
      <c r="M63" s="992" t="str">
        <f>IF(L63&lt;'PlayerGrades+'!$AE$21,"F-",IF(L63&lt;'PlayerGrades+'!$AE$20,"F",IF(L63&lt;'PlayerGrades+'!$AE$19,"F+",IF(L63&lt;'PlayerGrades+'!$AE$18,"E-",IF(L63&lt;'PlayerGrades+'!$AE$17,"E",IF(L63&lt;'PlayerGrades+'!$AE$16,"E+",IF(L63&lt;'PlayerGrades+'!$AE$15,"D-",IF(L63&lt;'PlayerGrades+'!$AE$14,"D",IF(L63&lt;'PlayerGrades+'!$AE$13,"D+",IF(L63&lt;'PlayerGrades+'!$AE$12,"C-",IF(L63&lt;'PlayerGrades+'!$AE$11,"C",IF(L63&lt;'PlayerGrades+'!$AE$10,"C+",IF(L63&lt;'PlayerGrades+'!$AE$9,"B-",IF(L63&lt;'PlayerGrades+'!$AE$8,"B",IF(L63&lt;'PlayerGrades+'!$AE$7,"B+",IF(L63&lt;'PlayerGrades+'!$AE$6,"A-",IF(L63&lt;'PlayerGrades+'!$AE$5,"A",IF(L63&lt;'PlayerGrades+'!$AE$4,"A+",IF(L63&lt;'PlayerGrades+'!$AE$3,"S-",IF(L63&lt;'PlayerGrades+'!$AE$2,"S","S+"))))))))))))))))))))</f>
        <v>#DIV/0!</v>
      </c>
      <c r="N63" s="961" t="str">
        <f t="shared" si="6"/>
        <v>#DIV/0!</v>
      </c>
      <c r="O63" s="961" t="str">
        <f>IF(N63&lt;'PlayerGrades+'!$AF$21,"F-",IF(N63&lt;'PlayerGrades+'!$AF$20,"F",IF(N63&lt;'PlayerGrades+'!$AF$19,"F+",IF(N63&lt;'PlayerGrades+'!$AF$18,"E-",IF(N63&lt;'PlayerGrades+'!$AF$17,"E",IF(N63&lt;'PlayerGrades+'!$AF$16,"E+",IF(N63&lt;'PlayerGrades+'!$AF$15,"D-",IF(N63&lt;'PlayerGrades+'!$AF$14,"D",IF(N63&lt;'PlayerGrades+'!$AF$13,"D+",IF(N63&lt;'PlayerGrades+'!$AF$12,"C-",IF(N63&lt;'PlayerGrades+'!$AF$11,"C",IF(N63&lt;'PlayerGrades+'!$AF$10,"C+",IF(N63&lt;'PlayerGrades+'!$AF$9,"B-",IF(N63&lt;'PlayerGrades+'!$AF$8,"B",IF(N63&lt;'PlayerGrades+'!$AF$7,"B+",IF(N63&lt;'PlayerGrades+'!$AF$6,"A-",IF(N63&lt;'PlayerGrades+'!$AF$5,"A",IF(N63&lt;'PlayerGrades+'!$AF$4,"A+",IF(N63&lt;'PlayerGrades+'!$AF$3,"S-",IF(N63&lt;'PlayerGrades+'!$AF$2,"S","S+"))))))))))))))))))))</f>
        <v>#DIV/0!</v>
      </c>
      <c r="P63" s="961" t="str">
        <f t="shared" si="7"/>
        <v>#DIV/0!</v>
      </c>
      <c r="Q63" s="961" t="str">
        <f>IF(P63&lt;'PlayerGrades+'!$AG$21,"F-",IF(P63&lt;'PlayerGrades+'!$AG$20,"F",IF(P63&lt;'PlayerGrades+'!$AG$19,"F+",IF(P63&lt;'PlayerGrades+'!$AG$18,"E-",IF(P63&lt;'PlayerGrades+'!$AG$17,"E",IF(P63&lt;'PlayerGrades+'!$AG$16,"E+",IF(P63&lt;'PlayerGrades+'!$AG$15,"D-",IF(P63&lt;'PlayerGrades+'!$AG$14,"D",IF(P63&lt;'PlayerGrades+'!$AG$13,"D+",IF(P63&lt;'PlayerGrades+'!$AG$12,"C-",IF(P63&lt;'PlayerGrades+'!$AG$11,"C",IF(P63&lt;'PlayerGrades+'!$AG$10,"C+",IF(P63&lt;'PlayerGrades+'!$AG$9,"B-",IF(P63&lt;'PlayerGrades+'!$AG$8,"B",IF(P63&lt;'PlayerGrades+'!$AG$7,"B+",IF(P63&lt;'PlayerGrades+'!$AG$6,"A-",IF(P63&lt;'PlayerGrades+'!$AG$5,"A",IF(P63&lt;'PlayerGrades+'!$AG$4,"A+",IF(P63&lt;'PlayerGrades+'!$AG$3,"S-",IF(P63&lt;'PlayerGrades+'!$AG$2,"S","S+"))))))))))))))))))))</f>
        <v>#DIV/0!</v>
      </c>
      <c r="R63" s="961" t="str">
        <f t="shared" si="8"/>
        <v>#DIV/0!</v>
      </c>
      <c r="S63" s="961" t="str">
        <f>IF(R63&lt;'PlayerGrades+'!$AH$21,"F-",IF(R63&lt;'PlayerGrades+'!$AH$20,"F",IF(R63&lt;'PlayerGrades+'!$AH$19,"F+",IF(R63&lt;'PlayerGrades+'!$AH$18,"E-",IF(R63&lt;'PlayerGrades+'!$AH$17,"E",IF(R63&lt;'PlayerGrades+'!$AH$16,"E+",IF(R63&lt;'PlayerGrades+'!$AH$15,"D-",IF(R63&lt;'PlayerGrades+'!$AH$14,"D",IF(R63&lt;'PlayerGrades+'!$AH$13,"D+",IF(R63&lt;'PlayerGrades+'!$AH$12,"C-",IF(R63&lt;'PlayerGrades+'!$AH$11,"C",IF(R63&lt;'PlayerGrades+'!$AH$10,"C+",IF(R63&lt;'PlayerGrades+'!$AH$9,"B-",IF(R63&lt;'PlayerGrades+'!$AH$8,"B",IF(R63&lt;'PlayerGrades+'!$AH$7,"B+",IF(R63&lt;'PlayerGrades+'!$AH$6,"A-",IF(R63&lt;'PlayerGrades+'!$AH$5,"A",IF(R63&lt;'PlayerGrades+'!$AH$4,"A+",IF(R63&lt;'PlayerGrades+'!$AH$3,"S-",IF(R63&lt;'PlayerGrades+'!$AH$2,"S","S+"))))))))))))))))))))</f>
        <v>#DIV/0!</v>
      </c>
      <c r="T63" s="961">
        <f t="shared" si="9"/>
        <v>0</v>
      </c>
      <c r="U63" s="961" t="str">
        <f>IF(T63&lt;'PlayerGrades+'!$AI$21,"F-",IF(T63&lt;'PlayerGrades+'!$AI$20,"F",IF(T63&lt;'PlayerGrades+'!$AI$19,"F+",IF(T63&lt;'PlayerGrades+'!$AI$18,"E-",IF(T63&lt;'PlayerGrades+'!$AI$17,"E",IF(T63&lt;'PlayerGrades+'!$AI$16,"E+",IF(T63&lt;'PlayerGrades+'!$AI$15,"D-",IF(T63&lt;'PlayerGrades+'!$AI$14,"D",IF(T63&lt;'PlayerGrades+'!$AI$13,"D+",IF(T63&lt;'PlayerGrades+'!$AI$12,"C-",IF(T63&lt;'PlayerGrades+'!$AI$11,"C",IF(T63&lt;'PlayerGrades+'!$AI$10,"C+",IF(T63&lt;'PlayerGrades+'!$AI$9,"B-",IF(T63&lt;'PlayerGrades+'!$AI$8,"B",IF(T63&lt;'PlayerGrades+'!$AI$7,"B+",IF(T63&lt;'PlayerGrades+'!$AI$6,"A-",IF(T63&lt;'PlayerGrades+'!$AI$5,"A",IF(T63&lt;'PlayerGrades+'!$AI$4,"A+",IF(T63&lt;'PlayerGrades+'!$AI$3,"S-",IF(T63&lt;'PlayerGrades+'!$AI$2,"S","S+"))))))))))))))))))))</f>
        <v>F-</v>
      </c>
      <c r="AC63" s="1392"/>
    </row>
    <row r="64">
      <c r="A64" s="1391"/>
      <c r="B64" s="611" t="str">
        <f>IF(C64&lt;'PlayerGrades+'!$Y$44,"F-",IF(C64&lt;'PlayerGrades+'!$Y$43,"F",IF(C64&lt;'PlayerGrades+'!$Y$42,"F+",IF(C64&lt;'PlayerGrades+'!$Y$41,"E-",IF(C64&lt;'PlayerGrades+'!$Y$40,"E",IF(C64&lt;'PlayerGrades+'!$Y$39,"E+",IF(C64&lt;'PlayerGrades+'!$Y$38,"D-",IF(C64&lt;'PlayerGrades+'!$Y$37,"D",IF(C64&lt;'PlayerGrades+'!$Y$36,"D+",IF(C64&lt;'PlayerGrades+'!$Y$35,"C-",IF(C64&lt;'PlayerGrades+'!$Y$34,"C",IF(C64&lt;'PlayerGrades+'!$Y$33,"C+",IF(C64&lt;'PlayerGrades+'!$Y$32,"B-",IF(C64&lt;'PlayerGrades+'!$Y$31,"B",IF(C64&lt;'PlayerGrades+'!$Y$30,"B+",IF(C64&lt;'PlayerGrades+'!$Y$29,"A-",IF(C64&lt;'PlayerGrades+'!$Y$28,"A",IF(C64&lt;'PlayerGrades+'!$Y$27,"A+",IF(C64&lt;'PlayerGrades+'!$Y$26,"S-",IF(C64&lt;'PlayerGrades+'!$Y$25,"S","S+"))))))))))))))))))))</f>
        <v>#DIV/0!</v>
      </c>
      <c r="C64" s="1378" t="str">
        <f>('PlayerGrades+'!$Y$47*(VLOOKUP(E64, 'PlayerGrades+'!$X$3:$Y$23, 2, FALSE)))+('PlayerGrades+'!$Y$48*(VLOOKUP(G64, 'PlayerGrades+'!$X$3:$Y$23, 2, FALSE)))+('PlayerGrades+'!$Y$49*(VLOOKUP(I64, 'PlayerGrades+'!$X$3:$Y$23, 2, FALSE)))+('PlayerGrades+'!$Y$50*(VLOOKUP(K64, 'PlayerGrades+'!$X$3:$Y$23, 2, FALSE)))+('PlayerGrades+'!$Y$51*(VLOOKUP(M64, 'PlayerGrades+'!$X$3:$Y$23, 2, FALSE)))+('PlayerGrades+'!$Y$52*(VLOOKUP(O64, 'PlayerGrades+'!$X$3:$Y$23, 2, FALSE)))+('PlayerGrades+'!$Y$53*(VLOOKUP(Q64, 'PlayerGrades+'!$X$3:$Y$23, 2, FALSE)))+('PlayerGrades+'!$Y$54*(VLOOKUP(S64, 'PlayerGrades+'!$X$3:$Y$23, 2, FALSE)))+('PlayerGrades+'!$Y$55*(VLOOKUP(U64, 'PlayerGrades+'!$X$3:$Y$23, 2, FALSE)))</f>
        <v>#DIV/0!</v>
      </c>
      <c r="D64" s="961" t="str">
        <f t="shared" si="1"/>
        <v>#DIV/0!</v>
      </c>
      <c r="E64" s="961" t="str">
        <f>IF(D64&lt;'PlayerGrades+'!$AA$21,"F-",IF(D64&lt;'PlayerGrades+'!$AA$20,"F",IF(D64&lt;'PlayerGrades+'!$AA$19,"F+",IF(D64&lt;'PlayerGrades+'!$AA$18,"E-",IF(D64&lt;'PlayerGrades+'!$AA$17,"E",IF(D64&lt;'PlayerGrades+'!$AA$16,"E+",IF(D64&lt;'PlayerGrades+'!$AA$15,"D-",IF(D64&lt;'PlayerGrades+'!$AA$14,"D",IF(D64&lt;'PlayerGrades+'!$AA$13,"D+",IF(D64&lt;'PlayerGrades+'!$AA$12,"C-",IF(D64&lt;'PlayerGrades+'!$AA$11,"C",IF(D64&lt;'PlayerGrades+'!$AA$10,"C+",IF(D64&lt;'PlayerGrades+'!$AA$9,"B-",IF(D64&lt;'PlayerGrades+'!$AA$8,"B",IF(D64&lt;'PlayerGrades+'!$AA$7,"B+",IF(D64&lt;'PlayerGrades+'!$AA$6,"A-",IF(D64&lt;'PlayerGrades+'!$AA$5,"A",IF(D64&lt;'PlayerGrades+'!$AA$4,"A+",IF(D64&lt;'PlayerGrades+'!$AA$3,"S-",IF(D64&lt;'PlayerGrades+'!$AA$2,"S","S+"))))))))))))))))))))</f>
        <v>#DIV/0!</v>
      </c>
      <c r="F64" s="961" t="str">
        <f t="shared" si="2"/>
        <v>#DIV/0!</v>
      </c>
      <c r="G64" s="961" t="str">
        <f>IF(F64&lt;'PlayerGrades+'!$AB$21,"F-",IF(F64&lt;'PlayerGrades+'!$AB$20,"F",IF(F64&lt;'PlayerGrades+'!$AB$19,"F+",IF(F64&lt;'PlayerGrades+'!$AB$18,"E-",IF(F64&lt;'PlayerGrades+'!$AB$17,"E",IF(F64&lt;'PlayerGrades+'!$AB$16,"E+",IF(F64&lt;'PlayerGrades+'!$AB$15,"D-",IF(F64&lt;'PlayerGrades+'!$AB$14,"D",IF(F64&lt;'PlayerGrades+'!$AB$13,"D+",IF(F64&lt;'PlayerGrades+'!$AB$12,"C-",IF(F64&lt;'PlayerGrades+'!$AB$11,"C",IF(F64&lt;'PlayerGrades+'!$AB$10,"C+",IF(F64&lt;'PlayerGrades+'!$AB$9,"B-",IF(F64&lt;'PlayerGrades+'!$AB$8,"B",IF(F64&lt;'PlayerGrades+'!$AB$7,"B+",IF(F64&lt;'PlayerGrades+'!$AB$6,"A-",IF(F64&lt;'PlayerGrades+'!$AB$5,"A",IF(F64&lt;'PlayerGrades+'!$AB$4,"A+",IF(F64&lt;'PlayerGrades+'!$AB$3,"S-",IF(F64&lt;'PlayerGrades+'!$AB$2,"S","S+"))))))))))))))))))))</f>
        <v>#DIV/0!</v>
      </c>
      <c r="H64" s="961" t="str">
        <f t="shared" si="3"/>
        <v>#DIV/0!</v>
      </c>
      <c r="I64" s="961" t="str">
        <f>IF(H64&lt;'PlayerGrades+'!$AC$21,"F-",IF(H64&lt;'PlayerGrades+'!$AC$20,"F",IF(H64&lt;'PlayerGrades+'!$AC$19,"F+",IF(H64&lt;'PlayerGrades+'!$AC$18,"E-",IF(H64&lt;'PlayerGrades+'!$AC$17,"E",IF(H64&lt;'PlayerGrades+'!$AC$16,"E+",IF(H64&lt;'PlayerGrades+'!$AC$15,"D-",IF(H64&lt;'PlayerGrades+'!$AC$14,"D",IF(H64&lt;'PlayerGrades+'!$AC$13,"D+",IF(H64&lt;'PlayerGrades+'!$AC$12,"C-",IF(H64&lt;'PlayerGrades+'!$AC$11,"C",IF(H64&lt;'PlayerGrades+'!$AC$10,"C+",IF(H64&lt;'PlayerGrades+'!$AC$9,"B-",IF(H64&lt;'PlayerGrades+'!$AC$8,"B",IF(H64&lt;'PlayerGrades+'!$AC$7,"B+",IF(H64&lt;'PlayerGrades+'!$AC$6,"A-",IF(H64&lt;'PlayerGrades+'!$AC$5,"A",IF(H64&lt;'PlayerGrades+'!$AC$4,"A+",IF(H64&lt;'PlayerGrades+'!$AC$3,"S-",IF(H64&lt;'PlayerGrades+'!$AC$2,"S","S+"))))))))))))))))))))</f>
        <v>#DIV/0!</v>
      </c>
      <c r="J64" s="961" t="str">
        <f t="shared" si="4"/>
        <v>#DIV/0!</v>
      </c>
      <c r="K64" s="961" t="str">
        <f>IF(J64&lt;'PlayerGrades+'!$AD$21,"F-",IF(J64&lt;'PlayerGrades+'!$AD$20,"F",IF(J64&lt;'PlayerGrades+'!$AD$19,"F+",IF(J64&lt;'PlayerGrades+'!$AD$18,"E-",IF(J64&lt;'PlayerGrades+'!$AD$17,"E",IF(J64&lt;'PlayerGrades+'!$AD$16,"E+",IF(J64&lt;'PlayerGrades+'!$AD$15,"D-",IF(J64&lt;'PlayerGrades+'!$AD$14,"D",IF(J64&lt;'PlayerGrades+'!$AD$13,"D+",IF(J64&lt;'PlayerGrades+'!$AD$12,"C-",IF(J64&lt;'PlayerGrades+'!$AD$11,"C",IF(J64&lt;'PlayerGrades+'!$AD$10,"C+",IF(J64&lt;'PlayerGrades+'!$AD$9,"B-",IF(J64&lt;'PlayerGrades+'!$AD$8,"B",IF(J64&lt;'PlayerGrades+'!$AD$7,"B+",IF(J64&lt;'PlayerGrades+'!$AD$6,"A-",IF(J64&lt;'PlayerGrades+'!$AD$5,"A",IF(J64&lt;'PlayerGrades+'!$AD$4,"A+",IF(J64&lt;'PlayerGrades+'!$AD$3,"S-",IF(J64&lt;'PlayerGrades+'!$AD$2,"S","S+"))))))))))))))))))))</f>
        <v>#DIV/0!</v>
      </c>
      <c r="L64" s="1176" t="str">
        <f t="shared" si="5"/>
        <v>#DIV/0!</v>
      </c>
      <c r="M64" s="992" t="str">
        <f>IF(L64&lt;'PlayerGrades+'!$AE$21,"F-",IF(L64&lt;'PlayerGrades+'!$AE$20,"F",IF(L64&lt;'PlayerGrades+'!$AE$19,"F+",IF(L64&lt;'PlayerGrades+'!$AE$18,"E-",IF(L64&lt;'PlayerGrades+'!$AE$17,"E",IF(L64&lt;'PlayerGrades+'!$AE$16,"E+",IF(L64&lt;'PlayerGrades+'!$AE$15,"D-",IF(L64&lt;'PlayerGrades+'!$AE$14,"D",IF(L64&lt;'PlayerGrades+'!$AE$13,"D+",IF(L64&lt;'PlayerGrades+'!$AE$12,"C-",IF(L64&lt;'PlayerGrades+'!$AE$11,"C",IF(L64&lt;'PlayerGrades+'!$AE$10,"C+",IF(L64&lt;'PlayerGrades+'!$AE$9,"B-",IF(L64&lt;'PlayerGrades+'!$AE$8,"B",IF(L64&lt;'PlayerGrades+'!$AE$7,"B+",IF(L64&lt;'PlayerGrades+'!$AE$6,"A-",IF(L64&lt;'PlayerGrades+'!$AE$5,"A",IF(L64&lt;'PlayerGrades+'!$AE$4,"A+",IF(L64&lt;'PlayerGrades+'!$AE$3,"S-",IF(L64&lt;'PlayerGrades+'!$AE$2,"S","S+"))))))))))))))))))))</f>
        <v>#DIV/0!</v>
      </c>
      <c r="N64" s="961" t="str">
        <f t="shared" si="6"/>
        <v>#DIV/0!</v>
      </c>
      <c r="O64" s="961" t="str">
        <f>IF(N64&lt;'PlayerGrades+'!$AF$21,"F-",IF(N64&lt;'PlayerGrades+'!$AF$20,"F",IF(N64&lt;'PlayerGrades+'!$AF$19,"F+",IF(N64&lt;'PlayerGrades+'!$AF$18,"E-",IF(N64&lt;'PlayerGrades+'!$AF$17,"E",IF(N64&lt;'PlayerGrades+'!$AF$16,"E+",IF(N64&lt;'PlayerGrades+'!$AF$15,"D-",IF(N64&lt;'PlayerGrades+'!$AF$14,"D",IF(N64&lt;'PlayerGrades+'!$AF$13,"D+",IF(N64&lt;'PlayerGrades+'!$AF$12,"C-",IF(N64&lt;'PlayerGrades+'!$AF$11,"C",IF(N64&lt;'PlayerGrades+'!$AF$10,"C+",IF(N64&lt;'PlayerGrades+'!$AF$9,"B-",IF(N64&lt;'PlayerGrades+'!$AF$8,"B",IF(N64&lt;'PlayerGrades+'!$AF$7,"B+",IF(N64&lt;'PlayerGrades+'!$AF$6,"A-",IF(N64&lt;'PlayerGrades+'!$AF$5,"A",IF(N64&lt;'PlayerGrades+'!$AF$4,"A+",IF(N64&lt;'PlayerGrades+'!$AF$3,"S-",IF(N64&lt;'PlayerGrades+'!$AF$2,"S","S+"))))))))))))))))))))</f>
        <v>#DIV/0!</v>
      </c>
      <c r="P64" s="961" t="str">
        <f t="shared" si="7"/>
        <v>#DIV/0!</v>
      </c>
      <c r="Q64" s="961" t="str">
        <f>IF(P64&lt;'PlayerGrades+'!$AG$21,"F-",IF(P64&lt;'PlayerGrades+'!$AG$20,"F",IF(P64&lt;'PlayerGrades+'!$AG$19,"F+",IF(P64&lt;'PlayerGrades+'!$AG$18,"E-",IF(P64&lt;'PlayerGrades+'!$AG$17,"E",IF(P64&lt;'PlayerGrades+'!$AG$16,"E+",IF(P64&lt;'PlayerGrades+'!$AG$15,"D-",IF(P64&lt;'PlayerGrades+'!$AG$14,"D",IF(P64&lt;'PlayerGrades+'!$AG$13,"D+",IF(P64&lt;'PlayerGrades+'!$AG$12,"C-",IF(P64&lt;'PlayerGrades+'!$AG$11,"C",IF(P64&lt;'PlayerGrades+'!$AG$10,"C+",IF(P64&lt;'PlayerGrades+'!$AG$9,"B-",IF(P64&lt;'PlayerGrades+'!$AG$8,"B",IF(P64&lt;'PlayerGrades+'!$AG$7,"B+",IF(P64&lt;'PlayerGrades+'!$AG$6,"A-",IF(P64&lt;'PlayerGrades+'!$AG$5,"A",IF(P64&lt;'PlayerGrades+'!$AG$4,"A+",IF(P64&lt;'PlayerGrades+'!$AG$3,"S-",IF(P64&lt;'PlayerGrades+'!$AG$2,"S","S+"))))))))))))))))))))</f>
        <v>#DIV/0!</v>
      </c>
      <c r="R64" s="961" t="str">
        <f t="shared" si="8"/>
        <v>#DIV/0!</v>
      </c>
      <c r="S64" s="961" t="str">
        <f>IF(R64&lt;'PlayerGrades+'!$AH$21,"F-",IF(R64&lt;'PlayerGrades+'!$AH$20,"F",IF(R64&lt;'PlayerGrades+'!$AH$19,"F+",IF(R64&lt;'PlayerGrades+'!$AH$18,"E-",IF(R64&lt;'PlayerGrades+'!$AH$17,"E",IF(R64&lt;'PlayerGrades+'!$AH$16,"E+",IF(R64&lt;'PlayerGrades+'!$AH$15,"D-",IF(R64&lt;'PlayerGrades+'!$AH$14,"D",IF(R64&lt;'PlayerGrades+'!$AH$13,"D+",IF(R64&lt;'PlayerGrades+'!$AH$12,"C-",IF(R64&lt;'PlayerGrades+'!$AH$11,"C",IF(R64&lt;'PlayerGrades+'!$AH$10,"C+",IF(R64&lt;'PlayerGrades+'!$AH$9,"B-",IF(R64&lt;'PlayerGrades+'!$AH$8,"B",IF(R64&lt;'PlayerGrades+'!$AH$7,"B+",IF(R64&lt;'PlayerGrades+'!$AH$6,"A-",IF(R64&lt;'PlayerGrades+'!$AH$5,"A",IF(R64&lt;'PlayerGrades+'!$AH$4,"A+",IF(R64&lt;'PlayerGrades+'!$AH$3,"S-",IF(R64&lt;'PlayerGrades+'!$AH$2,"S","S+"))))))))))))))))))))</f>
        <v>#DIV/0!</v>
      </c>
      <c r="T64" s="961">
        <f t="shared" si="9"/>
        <v>0</v>
      </c>
      <c r="U64" s="961" t="str">
        <f>IF(T64&lt;'PlayerGrades+'!$AI$21,"F-",IF(T64&lt;'PlayerGrades+'!$AI$20,"F",IF(T64&lt;'PlayerGrades+'!$AI$19,"F+",IF(T64&lt;'PlayerGrades+'!$AI$18,"E-",IF(T64&lt;'PlayerGrades+'!$AI$17,"E",IF(T64&lt;'PlayerGrades+'!$AI$16,"E+",IF(T64&lt;'PlayerGrades+'!$AI$15,"D-",IF(T64&lt;'PlayerGrades+'!$AI$14,"D",IF(T64&lt;'PlayerGrades+'!$AI$13,"D+",IF(T64&lt;'PlayerGrades+'!$AI$12,"C-",IF(T64&lt;'PlayerGrades+'!$AI$11,"C",IF(T64&lt;'PlayerGrades+'!$AI$10,"C+",IF(T64&lt;'PlayerGrades+'!$AI$9,"B-",IF(T64&lt;'PlayerGrades+'!$AI$8,"B",IF(T64&lt;'PlayerGrades+'!$AI$7,"B+",IF(T64&lt;'PlayerGrades+'!$AI$6,"A-",IF(T64&lt;'PlayerGrades+'!$AI$5,"A",IF(T64&lt;'PlayerGrades+'!$AI$4,"A+",IF(T64&lt;'PlayerGrades+'!$AI$3,"S-",IF(T64&lt;'PlayerGrades+'!$AI$2,"S","S+"))))))))))))))))))))</f>
        <v>F-</v>
      </c>
      <c r="AC64" s="1392"/>
    </row>
    <row r="65">
      <c r="A65" s="1393"/>
      <c r="B65" s="611" t="str">
        <f>IF(C65&lt;'PlayerGrades+'!$Y$44,"F-",IF(C65&lt;'PlayerGrades+'!$Y$43,"F",IF(C65&lt;'PlayerGrades+'!$Y$42,"F+",IF(C65&lt;'PlayerGrades+'!$Y$41,"E-",IF(C65&lt;'PlayerGrades+'!$Y$40,"E",IF(C65&lt;'PlayerGrades+'!$Y$39,"E+",IF(C65&lt;'PlayerGrades+'!$Y$38,"D-",IF(C65&lt;'PlayerGrades+'!$Y$37,"D",IF(C65&lt;'PlayerGrades+'!$Y$36,"D+",IF(C65&lt;'PlayerGrades+'!$Y$35,"C-",IF(C65&lt;'PlayerGrades+'!$Y$34,"C",IF(C65&lt;'PlayerGrades+'!$Y$33,"C+",IF(C65&lt;'PlayerGrades+'!$Y$32,"B-",IF(C65&lt;'PlayerGrades+'!$Y$31,"B",IF(C65&lt;'PlayerGrades+'!$Y$30,"B+",IF(C65&lt;'PlayerGrades+'!$Y$29,"A-",IF(C65&lt;'PlayerGrades+'!$Y$28,"A",IF(C65&lt;'PlayerGrades+'!$Y$27,"A+",IF(C65&lt;'PlayerGrades+'!$Y$26,"S-",IF(C65&lt;'PlayerGrades+'!$Y$25,"S","S+"))))))))))))))))))))</f>
        <v>#DIV/0!</v>
      </c>
      <c r="C65" s="1378" t="str">
        <f>('PlayerGrades+'!$Y$47*(VLOOKUP(E65, 'PlayerGrades+'!$X$3:$Y$23, 2, FALSE)))+('PlayerGrades+'!$Y$48*(VLOOKUP(G65, 'PlayerGrades+'!$X$3:$Y$23, 2, FALSE)))+('PlayerGrades+'!$Y$49*(VLOOKUP(I65, 'PlayerGrades+'!$X$3:$Y$23, 2, FALSE)))+('PlayerGrades+'!$Y$50*(VLOOKUP(K65, 'PlayerGrades+'!$X$3:$Y$23, 2, FALSE)))+('PlayerGrades+'!$Y$51*(VLOOKUP(M65, 'PlayerGrades+'!$X$3:$Y$23, 2, FALSE)))+('PlayerGrades+'!$Y$52*(VLOOKUP(O65, 'PlayerGrades+'!$X$3:$Y$23, 2, FALSE)))+('PlayerGrades+'!$Y$53*(VLOOKUP(Q65, 'PlayerGrades+'!$X$3:$Y$23, 2, FALSE)))+('PlayerGrades+'!$Y$54*(VLOOKUP(S65, 'PlayerGrades+'!$X$3:$Y$23, 2, FALSE)))+('PlayerGrades+'!$Y$55*(VLOOKUP(U65, 'PlayerGrades+'!$X$3:$Y$23, 2, FALSE)))</f>
        <v>#DIV/0!</v>
      </c>
      <c r="D65" s="961" t="str">
        <f t="shared" si="1"/>
        <v>#DIV/0!</v>
      </c>
      <c r="E65" s="961" t="str">
        <f>IF(D65&lt;'PlayerGrades+'!$AA$21,"F-",IF(D65&lt;'PlayerGrades+'!$AA$20,"F",IF(D65&lt;'PlayerGrades+'!$AA$19,"F+",IF(D65&lt;'PlayerGrades+'!$AA$18,"E-",IF(D65&lt;'PlayerGrades+'!$AA$17,"E",IF(D65&lt;'PlayerGrades+'!$AA$16,"E+",IF(D65&lt;'PlayerGrades+'!$AA$15,"D-",IF(D65&lt;'PlayerGrades+'!$AA$14,"D",IF(D65&lt;'PlayerGrades+'!$AA$13,"D+",IF(D65&lt;'PlayerGrades+'!$AA$12,"C-",IF(D65&lt;'PlayerGrades+'!$AA$11,"C",IF(D65&lt;'PlayerGrades+'!$AA$10,"C+",IF(D65&lt;'PlayerGrades+'!$AA$9,"B-",IF(D65&lt;'PlayerGrades+'!$AA$8,"B",IF(D65&lt;'PlayerGrades+'!$AA$7,"B+",IF(D65&lt;'PlayerGrades+'!$AA$6,"A-",IF(D65&lt;'PlayerGrades+'!$AA$5,"A",IF(D65&lt;'PlayerGrades+'!$AA$4,"A+",IF(D65&lt;'PlayerGrades+'!$AA$3,"S-",IF(D65&lt;'PlayerGrades+'!$AA$2,"S","S+"))))))))))))))))))))</f>
        <v>#DIV/0!</v>
      </c>
      <c r="F65" s="961" t="str">
        <f t="shared" si="2"/>
        <v>#DIV/0!</v>
      </c>
      <c r="G65" s="961" t="str">
        <f>IF(F65&lt;'PlayerGrades+'!$AB$21,"F-",IF(F65&lt;'PlayerGrades+'!$AB$20,"F",IF(F65&lt;'PlayerGrades+'!$AB$19,"F+",IF(F65&lt;'PlayerGrades+'!$AB$18,"E-",IF(F65&lt;'PlayerGrades+'!$AB$17,"E",IF(F65&lt;'PlayerGrades+'!$AB$16,"E+",IF(F65&lt;'PlayerGrades+'!$AB$15,"D-",IF(F65&lt;'PlayerGrades+'!$AB$14,"D",IF(F65&lt;'PlayerGrades+'!$AB$13,"D+",IF(F65&lt;'PlayerGrades+'!$AB$12,"C-",IF(F65&lt;'PlayerGrades+'!$AB$11,"C",IF(F65&lt;'PlayerGrades+'!$AB$10,"C+",IF(F65&lt;'PlayerGrades+'!$AB$9,"B-",IF(F65&lt;'PlayerGrades+'!$AB$8,"B",IF(F65&lt;'PlayerGrades+'!$AB$7,"B+",IF(F65&lt;'PlayerGrades+'!$AB$6,"A-",IF(F65&lt;'PlayerGrades+'!$AB$5,"A",IF(F65&lt;'PlayerGrades+'!$AB$4,"A+",IF(F65&lt;'PlayerGrades+'!$AB$3,"S-",IF(F65&lt;'PlayerGrades+'!$AB$2,"S","S+"))))))))))))))))))))</f>
        <v>#DIV/0!</v>
      </c>
      <c r="H65" s="961" t="str">
        <f t="shared" si="3"/>
        <v>#DIV/0!</v>
      </c>
      <c r="I65" s="961" t="str">
        <f>IF(H65&lt;'PlayerGrades+'!$AC$21,"F-",IF(H65&lt;'PlayerGrades+'!$AC$20,"F",IF(H65&lt;'PlayerGrades+'!$AC$19,"F+",IF(H65&lt;'PlayerGrades+'!$AC$18,"E-",IF(H65&lt;'PlayerGrades+'!$AC$17,"E",IF(H65&lt;'PlayerGrades+'!$AC$16,"E+",IF(H65&lt;'PlayerGrades+'!$AC$15,"D-",IF(H65&lt;'PlayerGrades+'!$AC$14,"D",IF(H65&lt;'PlayerGrades+'!$AC$13,"D+",IF(H65&lt;'PlayerGrades+'!$AC$12,"C-",IF(H65&lt;'PlayerGrades+'!$AC$11,"C",IF(H65&lt;'PlayerGrades+'!$AC$10,"C+",IF(H65&lt;'PlayerGrades+'!$AC$9,"B-",IF(H65&lt;'PlayerGrades+'!$AC$8,"B",IF(H65&lt;'PlayerGrades+'!$AC$7,"B+",IF(H65&lt;'PlayerGrades+'!$AC$6,"A-",IF(H65&lt;'PlayerGrades+'!$AC$5,"A",IF(H65&lt;'PlayerGrades+'!$AC$4,"A+",IF(H65&lt;'PlayerGrades+'!$AC$3,"S-",IF(H65&lt;'PlayerGrades+'!$AC$2,"S","S+"))))))))))))))))))))</f>
        <v>#DIV/0!</v>
      </c>
      <c r="J65" s="961" t="str">
        <f t="shared" si="4"/>
        <v>#DIV/0!</v>
      </c>
      <c r="K65" s="961" t="str">
        <f>IF(J65&lt;'PlayerGrades+'!$AD$21,"F-",IF(J65&lt;'PlayerGrades+'!$AD$20,"F",IF(J65&lt;'PlayerGrades+'!$AD$19,"F+",IF(J65&lt;'PlayerGrades+'!$AD$18,"E-",IF(J65&lt;'PlayerGrades+'!$AD$17,"E",IF(J65&lt;'PlayerGrades+'!$AD$16,"E+",IF(J65&lt;'PlayerGrades+'!$AD$15,"D-",IF(J65&lt;'PlayerGrades+'!$AD$14,"D",IF(J65&lt;'PlayerGrades+'!$AD$13,"D+",IF(J65&lt;'PlayerGrades+'!$AD$12,"C-",IF(J65&lt;'PlayerGrades+'!$AD$11,"C",IF(J65&lt;'PlayerGrades+'!$AD$10,"C+",IF(J65&lt;'PlayerGrades+'!$AD$9,"B-",IF(J65&lt;'PlayerGrades+'!$AD$8,"B",IF(J65&lt;'PlayerGrades+'!$AD$7,"B+",IF(J65&lt;'PlayerGrades+'!$AD$6,"A-",IF(J65&lt;'PlayerGrades+'!$AD$5,"A",IF(J65&lt;'PlayerGrades+'!$AD$4,"A+",IF(J65&lt;'PlayerGrades+'!$AD$3,"S-",IF(J65&lt;'PlayerGrades+'!$AD$2,"S","S+"))))))))))))))))))))</f>
        <v>#DIV/0!</v>
      </c>
      <c r="L65" s="1176" t="str">
        <f t="shared" si="5"/>
        <v>#DIV/0!</v>
      </c>
      <c r="M65" s="992" t="str">
        <f>IF(L65&lt;'PlayerGrades+'!$AE$21,"F-",IF(L65&lt;'PlayerGrades+'!$AE$20,"F",IF(L65&lt;'PlayerGrades+'!$AE$19,"F+",IF(L65&lt;'PlayerGrades+'!$AE$18,"E-",IF(L65&lt;'PlayerGrades+'!$AE$17,"E",IF(L65&lt;'PlayerGrades+'!$AE$16,"E+",IF(L65&lt;'PlayerGrades+'!$AE$15,"D-",IF(L65&lt;'PlayerGrades+'!$AE$14,"D",IF(L65&lt;'PlayerGrades+'!$AE$13,"D+",IF(L65&lt;'PlayerGrades+'!$AE$12,"C-",IF(L65&lt;'PlayerGrades+'!$AE$11,"C",IF(L65&lt;'PlayerGrades+'!$AE$10,"C+",IF(L65&lt;'PlayerGrades+'!$AE$9,"B-",IF(L65&lt;'PlayerGrades+'!$AE$8,"B",IF(L65&lt;'PlayerGrades+'!$AE$7,"B+",IF(L65&lt;'PlayerGrades+'!$AE$6,"A-",IF(L65&lt;'PlayerGrades+'!$AE$5,"A",IF(L65&lt;'PlayerGrades+'!$AE$4,"A+",IF(L65&lt;'PlayerGrades+'!$AE$3,"S-",IF(L65&lt;'PlayerGrades+'!$AE$2,"S","S+"))))))))))))))))))))</f>
        <v>#DIV/0!</v>
      </c>
      <c r="N65" s="961" t="str">
        <f t="shared" si="6"/>
        <v>#DIV/0!</v>
      </c>
      <c r="O65" s="961" t="str">
        <f>IF(N65&lt;'PlayerGrades+'!$AF$21,"F-",IF(N65&lt;'PlayerGrades+'!$AF$20,"F",IF(N65&lt;'PlayerGrades+'!$AF$19,"F+",IF(N65&lt;'PlayerGrades+'!$AF$18,"E-",IF(N65&lt;'PlayerGrades+'!$AF$17,"E",IF(N65&lt;'PlayerGrades+'!$AF$16,"E+",IF(N65&lt;'PlayerGrades+'!$AF$15,"D-",IF(N65&lt;'PlayerGrades+'!$AF$14,"D",IF(N65&lt;'PlayerGrades+'!$AF$13,"D+",IF(N65&lt;'PlayerGrades+'!$AF$12,"C-",IF(N65&lt;'PlayerGrades+'!$AF$11,"C",IF(N65&lt;'PlayerGrades+'!$AF$10,"C+",IF(N65&lt;'PlayerGrades+'!$AF$9,"B-",IF(N65&lt;'PlayerGrades+'!$AF$8,"B",IF(N65&lt;'PlayerGrades+'!$AF$7,"B+",IF(N65&lt;'PlayerGrades+'!$AF$6,"A-",IF(N65&lt;'PlayerGrades+'!$AF$5,"A",IF(N65&lt;'PlayerGrades+'!$AF$4,"A+",IF(N65&lt;'PlayerGrades+'!$AF$3,"S-",IF(N65&lt;'PlayerGrades+'!$AF$2,"S","S+"))))))))))))))))))))</f>
        <v>#DIV/0!</v>
      </c>
      <c r="P65" s="961" t="str">
        <f t="shared" si="7"/>
        <v>#DIV/0!</v>
      </c>
      <c r="Q65" s="961" t="str">
        <f>IF(P65&lt;'PlayerGrades+'!$AG$21,"F-",IF(P65&lt;'PlayerGrades+'!$AG$20,"F",IF(P65&lt;'PlayerGrades+'!$AG$19,"F+",IF(P65&lt;'PlayerGrades+'!$AG$18,"E-",IF(P65&lt;'PlayerGrades+'!$AG$17,"E",IF(P65&lt;'PlayerGrades+'!$AG$16,"E+",IF(P65&lt;'PlayerGrades+'!$AG$15,"D-",IF(P65&lt;'PlayerGrades+'!$AG$14,"D",IF(P65&lt;'PlayerGrades+'!$AG$13,"D+",IF(P65&lt;'PlayerGrades+'!$AG$12,"C-",IF(P65&lt;'PlayerGrades+'!$AG$11,"C",IF(P65&lt;'PlayerGrades+'!$AG$10,"C+",IF(P65&lt;'PlayerGrades+'!$AG$9,"B-",IF(P65&lt;'PlayerGrades+'!$AG$8,"B",IF(P65&lt;'PlayerGrades+'!$AG$7,"B+",IF(P65&lt;'PlayerGrades+'!$AG$6,"A-",IF(P65&lt;'PlayerGrades+'!$AG$5,"A",IF(P65&lt;'PlayerGrades+'!$AG$4,"A+",IF(P65&lt;'PlayerGrades+'!$AG$3,"S-",IF(P65&lt;'PlayerGrades+'!$AG$2,"S","S+"))))))))))))))))))))</f>
        <v>#DIV/0!</v>
      </c>
      <c r="R65" s="961" t="str">
        <f t="shared" si="8"/>
        <v>#DIV/0!</v>
      </c>
      <c r="S65" s="961" t="str">
        <f>IF(R65&lt;'PlayerGrades+'!$AH$21,"F-",IF(R65&lt;'PlayerGrades+'!$AH$20,"F",IF(R65&lt;'PlayerGrades+'!$AH$19,"F+",IF(R65&lt;'PlayerGrades+'!$AH$18,"E-",IF(R65&lt;'PlayerGrades+'!$AH$17,"E",IF(R65&lt;'PlayerGrades+'!$AH$16,"E+",IF(R65&lt;'PlayerGrades+'!$AH$15,"D-",IF(R65&lt;'PlayerGrades+'!$AH$14,"D",IF(R65&lt;'PlayerGrades+'!$AH$13,"D+",IF(R65&lt;'PlayerGrades+'!$AH$12,"C-",IF(R65&lt;'PlayerGrades+'!$AH$11,"C",IF(R65&lt;'PlayerGrades+'!$AH$10,"C+",IF(R65&lt;'PlayerGrades+'!$AH$9,"B-",IF(R65&lt;'PlayerGrades+'!$AH$8,"B",IF(R65&lt;'PlayerGrades+'!$AH$7,"B+",IF(R65&lt;'PlayerGrades+'!$AH$6,"A-",IF(R65&lt;'PlayerGrades+'!$AH$5,"A",IF(R65&lt;'PlayerGrades+'!$AH$4,"A+",IF(R65&lt;'PlayerGrades+'!$AH$3,"S-",IF(R65&lt;'PlayerGrades+'!$AH$2,"S","S+"))))))))))))))))))))</f>
        <v>#DIV/0!</v>
      </c>
      <c r="T65" s="961">
        <f t="shared" si="9"/>
        <v>0</v>
      </c>
      <c r="U65" s="961" t="str">
        <f>IF(T65&lt;'PlayerGrades+'!$AI$21,"F-",IF(T65&lt;'PlayerGrades+'!$AI$20,"F",IF(T65&lt;'PlayerGrades+'!$AI$19,"F+",IF(T65&lt;'PlayerGrades+'!$AI$18,"E-",IF(T65&lt;'PlayerGrades+'!$AI$17,"E",IF(T65&lt;'PlayerGrades+'!$AI$16,"E+",IF(T65&lt;'PlayerGrades+'!$AI$15,"D-",IF(T65&lt;'PlayerGrades+'!$AI$14,"D",IF(T65&lt;'PlayerGrades+'!$AI$13,"D+",IF(T65&lt;'PlayerGrades+'!$AI$12,"C-",IF(T65&lt;'PlayerGrades+'!$AI$11,"C",IF(T65&lt;'PlayerGrades+'!$AI$10,"C+",IF(T65&lt;'PlayerGrades+'!$AI$9,"B-",IF(T65&lt;'PlayerGrades+'!$AI$8,"B",IF(T65&lt;'PlayerGrades+'!$AI$7,"B+",IF(T65&lt;'PlayerGrades+'!$AI$6,"A-",IF(T65&lt;'PlayerGrades+'!$AI$5,"A",IF(T65&lt;'PlayerGrades+'!$AI$4,"A+",IF(T65&lt;'PlayerGrades+'!$AI$3,"S-",IF(T65&lt;'PlayerGrades+'!$AI$2,"S","S+"))))))))))))))))))))</f>
        <v>F-</v>
      </c>
      <c r="V65" s="1386"/>
      <c r="W65" s="1386"/>
      <c r="X65" s="1386"/>
      <c r="Y65" s="1386"/>
      <c r="Z65" s="1386"/>
      <c r="AA65" s="1386"/>
      <c r="AB65" s="1386"/>
      <c r="AC65" s="1397"/>
      <c r="AD65" s="1386"/>
      <c r="AE65" s="1386"/>
      <c r="AF65" s="1386"/>
      <c r="AG65" s="1386"/>
      <c r="AH65" s="1386"/>
      <c r="AI65" s="1386"/>
      <c r="AJ65" s="1386"/>
      <c r="AK65" s="1386"/>
      <c r="AL65" s="1386"/>
      <c r="AM65" s="1386"/>
      <c r="AN65" s="1386"/>
      <c r="AO65" s="1386"/>
      <c r="AP65" s="1386"/>
      <c r="AQ65" s="1386"/>
      <c r="AR65" s="1386"/>
      <c r="AS65" s="1386"/>
      <c r="AT65" s="1386"/>
      <c r="AU65" s="1386"/>
      <c r="AV65" s="1386"/>
      <c r="AW65" s="1386"/>
      <c r="AX65" s="1386"/>
      <c r="AY65" s="1386"/>
      <c r="AZ65" s="1386"/>
    </row>
    <row r="66">
      <c r="A66" s="1389"/>
      <c r="B66" s="611" t="str">
        <f>IF(C66&lt;'PlayerGrades+'!$Y$44,"F-",IF(C66&lt;'PlayerGrades+'!$Y$43,"F",IF(C66&lt;'PlayerGrades+'!$Y$42,"F+",IF(C66&lt;'PlayerGrades+'!$Y$41,"E-",IF(C66&lt;'PlayerGrades+'!$Y$40,"E",IF(C66&lt;'PlayerGrades+'!$Y$39,"E+",IF(C66&lt;'PlayerGrades+'!$Y$38,"D-",IF(C66&lt;'PlayerGrades+'!$Y$37,"D",IF(C66&lt;'PlayerGrades+'!$Y$36,"D+",IF(C66&lt;'PlayerGrades+'!$Y$35,"C-",IF(C66&lt;'PlayerGrades+'!$Y$34,"C",IF(C66&lt;'PlayerGrades+'!$Y$33,"C+",IF(C66&lt;'PlayerGrades+'!$Y$32,"B-",IF(C66&lt;'PlayerGrades+'!$Y$31,"B",IF(C66&lt;'PlayerGrades+'!$Y$30,"B+",IF(C66&lt;'PlayerGrades+'!$Y$29,"A-",IF(C66&lt;'PlayerGrades+'!$Y$28,"A",IF(C66&lt;'PlayerGrades+'!$Y$27,"A+",IF(C66&lt;'PlayerGrades+'!$Y$26,"S-",IF(C66&lt;'PlayerGrades+'!$Y$25,"S","S+"))))))))))))))))))))</f>
        <v>#DIV/0!</v>
      </c>
      <c r="C66" s="1378" t="str">
        <f>('PlayerGrades+'!$Y$47*(VLOOKUP(E66, 'PlayerGrades+'!$X$3:$Y$23, 2, FALSE)))+('PlayerGrades+'!$Y$48*(VLOOKUP(G66, 'PlayerGrades+'!$X$3:$Y$23, 2, FALSE)))+('PlayerGrades+'!$Y$49*(VLOOKUP(I66, 'PlayerGrades+'!$X$3:$Y$23, 2, FALSE)))+('PlayerGrades+'!$Y$50*(VLOOKUP(K66, 'PlayerGrades+'!$X$3:$Y$23, 2, FALSE)))+('PlayerGrades+'!$Y$51*(VLOOKUP(M66, 'PlayerGrades+'!$X$3:$Y$23, 2, FALSE)))+('PlayerGrades+'!$Y$52*(VLOOKUP(O66, 'PlayerGrades+'!$X$3:$Y$23, 2, FALSE)))+('PlayerGrades+'!$Y$53*(VLOOKUP(Q66, 'PlayerGrades+'!$X$3:$Y$23, 2, FALSE)))+('PlayerGrades+'!$Y$54*(VLOOKUP(S66, 'PlayerGrades+'!$X$3:$Y$23, 2, FALSE)))+('PlayerGrades+'!$Y$55*(VLOOKUP(U66, 'PlayerGrades+'!$X$3:$Y$23, 2, FALSE)))</f>
        <v>#DIV/0!</v>
      </c>
      <c r="D66" s="961" t="str">
        <f t="shared" si="1"/>
        <v>#DIV/0!</v>
      </c>
      <c r="E66" s="961" t="str">
        <f>IF(D66&lt;'PlayerGrades+'!$AA$21,"F-",IF(D66&lt;'PlayerGrades+'!$AA$20,"F",IF(D66&lt;'PlayerGrades+'!$AA$19,"F+",IF(D66&lt;'PlayerGrades+'!$AA$18,"E-",IF(D66&lt;'PlayerGrades+'!$AA$17,"E",IF(D66&lt;'PlayerGrades+'!$AA$16,"E+",IF(D66&lt;'PlayerGrades+'!$AA$15,"D-",IF(D66&lt;'PlayerGrades+'!$AA$14,"D",IF(D66&lt;'PlayerGrades+'!$AA$13,"D+",IF(D66&lt;'PlayerGrades+'!$AA$12,"C-",IF(D66&lt;'PlayerGrades+'!$AA$11,"C",IF(D66&lt;'PlayerGrades+'!$AA$10,"C+",IF(D66&lt;'PlayerGrades+'!$AA$9,"B-",IF(D66&lt;'PlayerGrades+'!$AA$8,"B",IF(D66&lt;'PlayerGrades+'!$AA$7,"B+",IF(D66&lt;'PlayerGrades+'!$AA$6,"A-",IF(D66&lt;'PlayerGrades+'!$AA$5,"A",IF(D66&lt;'PlayerGrades+'!$AA$4,"A+",IF(D66&lt;'PlayerGrades+'!$AA$3,"S-",IF(D66&lt;'PlayerGrades+'!$AA$2,"S","S+"))))))))))))))))))))</f>
        <v>#DIV/0!</v>
      </c>
      <c r="F66" s="961" t="str">
        <f t="shared" si="2"/>
        <v>#DIV/0!</v>
      </c>
      <c r="G66" s="961" t="str">
        <f>IF(F66&lt;'PlayerGrades+'!$AB$21,"F-",IF(F66&lt;'PlayerGrades+'!$AB$20,"F",IF(F66&lt;'PlayerGrades+'!$AB$19,"F+",IF(F66&lt;'PlayerGrades+'!$AB$18,"E-",IF(F66&lt;'PlayerGrades+'!$AB$17,"E",IF(F66&lt;'PlayerGrades+'!$AB$16,"E+",IF(F66&lt;'PlayerGrades+'!$AB$15,"D-",IF(F66&lt;'PlayerGrades+'!$AB$14,"D",IF(F66&lt;'PlayerGrades+'!$AB$13,"D+",IF(F66&lt;'PlayerGrades+'!$AB$12,"C-",IF(F66&lt;'PlayerGrades+'!$AB$11,"C",IF(F66&lt;'PlayerGrades+'!$AB$10,"C+",IF(F66&lt;'PlayerGrades+'!$AB$9,"B-",IF(F66&lt;'PlayerGrades+'!$AB$8,"B",IF(F66&lt;'PlayerGrades+'!$AB$7,"B+",IF(F66&lt;'PlayerGrades+'!$AB$6,"A-",IF(F66&lt;'PlayerGrades+'!$AB$5,"A",IF(F66&lt;'PlayerGrades+'!$AB$4,"A+",IF(F66&lt;'PlayerGrades+'!$AB$3,"S-",IF(F66&lt;'PlayerGrades+'!$AB$2,"S","S+"))))))))))))))))))))</f>
        <v>#DIV/0!</v>
      </c>
      <c r="H66" s="961" t="str">
        <f t="shared" si="3"/>
        <v>#DIV/0!</v>
      </c>
      <c r="I66" s="961" t="str">
        <f>IF(H66&lt;'PlayerGrades+'!$AC$21,"F-",IF(H66&lt;'PlayerGrades+'!$AC$20,"F",IF(H66&lt;'PlayerGrades+'!$AC$19,"F+",IF(H66&lt;'PlayerGrades+'!$AC$18,"E-",IF(H66&lt;'PlayerGrades+'!$AC$17,"E",IF(H66&lt;'PlayerGrades+'!$AC$16,"E+",IF(H66&lt;'PlayerGrades+'!$AC$15,"D-",IF(H66&lt;'PlayerGrades+'!$AC$14,"D",IF(H66&lt;'PlayerGrades+'!$AC$13,"D+",IF(H66&lt;'PlayerGrades+'!$AC$12,"C-",IF(H66&lt;'PlayerGrades+'!$AC$11,"C",IF(H66&lt;'PlayerGrades+'!$AC$10,"C+",IF(H66&lt;'PlayerGrades+'!$AC$9,"B-",IF(H66&lt;'PlayerGrades+'!$AC$8,"B",IF(H66&lt;'PlayerGrades+'!$AC$7,"B+",IF(H66&lt;'PlayerGrades+'!$AC$6,"A-",IF(H66&lt;'PlayerGrades+'!$AC$5,"A",IF(H66&lt;'PlayerGrades+'!$AC$4,"A+",IF(H66&lt;'PlayerGrades+'!$AC$3,"S-",IF(H66&lt;'PlayerGrades+'!$AC$2,"S","S+"))))))))))))))))))))</f>
        <v>#DIV/0!</v>
      </c>
      <c r="J66" s="961" t="str">
        <f t="shared" si="4"/>
        <v>#DIV/0!</v>
      </c>
      <c r="K66" s="961" t="str">
        <f>IF(J66&lt;'PlayerGrades+'!$AD$21,"F-",IF(J66&lt;'PlayerGrades+'!$AD$20,"F",IF(J66&lt;'PlayerGrades+'!$AD$19,"F+",IF(J66&lt;'PlayerGrades+'!$AD$18,"E-",IF(J66&lt;'PlayerGrades+'!$AD$17,"E",IF(J66&lt;'PlayerGrades+'!$AD$16,"E+",IF(J66&lt;'PlayerGrades+'!$AD$15,"D-",IF(J66&lt;'PlayerGrades+'!$AD$14,"D",IF(J66&lt;'PlayerGrades+'!$AD$13,"D+",IF(J66&lt;'PlayerGrades+'!$AD$12,"C-",IF(J66&lt;'PlayerGrades+'!$AD$11,"C",IF(J66&lt;'PlayerGrades+'!$AD$10,"C+",IF(J66&lt;'PlayerGrades+'!$AD$9,"B-",IF(J66&lt;'PlayerGrades+'!$AD$8,"B",IF(J66&lt;'PlayerGrades+'!$AD$7,"B+",IF(J66&lt;'PlayerGrades+'!$AD$6,"A-",IF(J66&lt;'PlayerGrades+'!$AD$5,"A",IF(J66&lt;'PlayerGrades+'!$AD$4,"A+",IF(J66&lt;'PlayerGrades+'!$AD$3,"S-",IF(J66&lt;'PlayerGrades+'!$AD$2,"S","S+"))))))))))))))))))))</f>
        <v>#DIV/0!</v>
      </c>
      <c r="L66" s="1176" t="str">
        <f t="shared" si="5"/>
        <v>#DIV/0!</v>
      </c>
      <c r="M66" s="992" t="str">
        <f>IF(L66&lt;'PlayerGrades+'!$AE$21,"F-",IF(L66&lt;'PlayerGrades+'!$AE$20,"F",IF(L66&lt;'PlayerGrades+'!$AE$19,"F+",IF(L66&lt;'PlayerGrades+'!$AE$18,"E-",IF(L66&lt;'PlayerGrades+'!$AE$17,"E",IF(L66&lt;'PlayerGrades+'!$AE$16,"E+",IF(L66&lt;'PlayerGrades+'!$AE$15,"D-",IF(L66&lt;'PlayerGrades+'!$AE$14,"D",IF(L66&lt;'PlayerGrades+'!$AE$13,"D+",IF(L66&lt;'PlayerGrades+'!$AE$12,"C-",IF(L66&lt;'PlayerGrades+'!$AE$11,"C",IF(L66&lt;'PlayerGrades+'!$AE$10,"C+",IF(L66&lt;'PlayerGrades+'!$AE$9,"B-",IF(L66&lt;'PlayerGrades+'!$AE$8,"B",IF(L66&lt;'PlayerGrades+'!$AE$7,"B+",IF(L66&lt;'PlayerGrades+'!$AE$6,"A-",IF(L66&lt;'PlayerGrades+'!$AE$5,"A",IF(L66&lt;'PlayerGrades+'!$AE$4,"A+",IF(L66&lt;'PlayerGrades+'!$AE$3,"S-",IF(L66&lt;'PlayerGrades+'!$AE$2,"S","S+"))))))))))))))))))))</f>
        <v>#DIV/0!</v>
      </c>
      <c r="N66" s="961" t="str">
        <f t="shared" si="6"/>
        <v>#DIV/0!</v>
      </c>
      <c r="O66" s="961" t="str">
        <f>IF(N66&lt;'PlayerGrades+'!$AF$21,"F-",IF(N66&lt;'PlayerGrades+'!$AF$20,"F",IF(N66&lt;'PlayerGrades+'!$AF$19,"F+",IF(N66&lt;'PlayerGrades+'!$AF$18,"E-",IF(N66&lt;'PlayerGrades+'!$AF$17,"E",IF(N66&lt;'PlayerGrades+'!$AF$16,"E+",IF(N66&lt;'PlayerGrades+'!$AF$15,"D-",IF(N66&lt;'PlayerGrades+'!$AF$14,"D",IF(N66&lt;'PlayerGrades+'!$AF$13,"D+",IF(N66&lt;'PlayerGrades+'!$AF$12,"C-",IF(N66&lt;'PlayerGrades+'!$AF$11,"C",IF(N66&lt;'PlayerGrades+'!$AF$10,"C+",IF(N66&lt;'PlayerGrades+'!$AF$9,"B-",IF(N66&lt;'PlayerGrades+'!$AF$8,"B",IF(N66&lt;'PlayerGrades+'!$AF$7,"B+",IF(N66&lt;'PlayerGrades+'!$AF$6,"A-",IF(N66&lt;'PlayerGrades+'!$AF$5,"A",IF(N66&lt;'PlayerGrades+'!$AF$4,"A+",IF(N66&lt;'PlayerGrades+'!$AF$3,"S-",IF(N66&lt;'PlayerGrades+'!$AF$2,"S","S+"))))))))))))))))))))</f>
        <v>#DIV/0!</v>
      </c>
      <c r="P66" s="961" t="str">
        <f t="shared" si="7"/>
        <v>#DIV/0!</v>
      </c>
      <c r="Q66" s="961" t="str">
        <f>IF(P66&lt;'PlayerGrades+'!$AG$21,"F-",IF(P66&lt;'PlayerGrades+'!$AG$20,"F",IF(P66&lt;'PlayerGrades+'!$AG$19,"F+",IF(P66&lt;'PlayerGrades+'!$AG$18,"E-",IF(P66&lt;'PlayerGrades+'!$AG$17,"E",IF(P66&lt;'PlayerGrades+'!$AG$16,"E+",IF(P66&lt;'PlayerGrades+'!$AG$15,"D-",IF(P66&lt;'PlayerGrades+'!$AG$14,"D",IF(P66&lt;'PlayerGrades+'!$AG$13,"D+",IF(P66&lt;'PlayerGrades+'!$AG$12,"C-",IF(P66&lt;'PlayerGrades+'!$AG$11,"C",IF(P66&lt;'PlayerGrades+'!$AG$10,"C+",IF(P66&lt;'PlayerGrades+'!$AG$9,"B-",IF(P66&lt;'PlayerGrades+'!$AG$8,"B",IF(P66&lt;'PlayerGrades+'!$AG$7,"B+",IF(P66&lt;'PlayerGrades+'!$AG$6,"A-",IF(P66&lt;'PlayerGrades+'!$AG$5,"A",IF(P66&lt;'PlayerGrades+'!$AG$4,"A+",IF(P66&lt;'PlayerGrades+'!$AG$3,"S-",IF(P66&lt;'PlayerGrades+'!$AG$2,"S","S+"))))))))))))))))))))</f>
        <v>#DIV/0!</v>
      </c>
      <c r="R66" s="961" t="str">
        <f t="shared" si="8"/>
        <v>#DIV/0!</v>
      </c>
      <c r="S66" s="961" t="str">
        <f>IF(R66&lt;'PlayerGrades+'!$AH$21,"F-",IF(R66&lt;'PlayerGrades+'!$AH$20,"F",IF(R66&lt;'PlayerGrades+'!$AH$19,"F+",IF(R66&lt;'PlayerGrades+'!$AH$18,"E-",IF(R66&lt;'PlayerGrades+'!$AH$17,"E",IF(R66&lt;'PlayerGrades+'!$AH$16,"E+",IF(R66&lt;'PlayerGrades+'!$AH$15,"D-",IF(R66&lt;'PlayerGrades+'!$AH$14,"D",IF(R66&lt;'PlayerGrades+'!$AH$13,"D+",IF(R66&lt;'PlayerGrades+'!$AH$12,"C-",IF(R66&lt;'PlayerGrades+'!$AH$11,"C",IF(R66&lt;'PlayerGrades+'!$AH$10,"C+",IF(R66&lt;'PlayerGrades+'!$AH$9,"B-",IF(R66&lt;'PlayerGrades+'!$AH$8,"B",IF(R66&lt;'PlayerGrades+'!$AH$7,"B+",IF(R66&lt;'PlayerGrades+'!$AH$6,"A-",IF(R66&lt;'PlayerGrades+'!$AH$5,"A",IF(R66&lt;'PlayerGrades+'!$AH$4,"A+",IF(R66&lt;'PlayerGrades+'!$AH$3,"S-",IF(R66&lt;'PlayerGrades+'!$AH$2,"S","S+"))))))))))))))))))))</f>
        <v>#DIV/0!</v>
      </c>
      <c r="T66" s="961">
        <f t="shared" si="9"/>
        <v>0</v>
      </c>
      <c r="U66" s="961" t="str">
        <f>IF(T66&lt;'PlayerGrades+'!$AI$21,"F-",IF(T66&lt;'PlayerGrades+'!$AI$20,"F",IF(T66&lt;'PlayerGrades+'!$AI$19,"F+",IF(T66&lt;'PlayerGrades+'!$AI$18,"E-",IF(T66&lt;'PlayerGrades+'!$AI$17,"E",IF(T66&lt;'PlayerGrades+'!$AI$16,"E+",IF(T66&lt;'PlayerGrades+'!$AI$15,"D-",IF(T66&lt;'PlayerGrades+'!$AI$14,"D",IF(T66&lt;'PlayerGrades+'!$AI$13,"D+",IF(T66&lt;'PlayerGrades+'!$AI$12,"C-",IF(T66&lt;'PlayerGrades+'!$AI$11,"C",IF(T66&lt;'PlayerGrades+'!$AI$10,"C+",IF(T66&lt;'PlayerGrades+'!$AI$9,"B-",IF(T66&lt;'PlayerGrades+'!$AI$8,"B",IF(T66&lt;'PlayerGrades+'!$AI$7,"B+",IF(T66&lt;'PlayerGrades+'!$AI$6,"A-",IF(T66&lt;'PlayerGrades+'!$AI$5,"A",IF(T66&lt;'PlayerGrades+'!$AI$4,"A+",IF(T66&lt;'PlayerGrades+'!$AI$3,"S-",IF(T66&lt;'PlayerGrades+'!$AI$2,"S","S+"))))))))))))))))))))</f>
        <v>F-</v>
      </c>
      <c r="V66" s="1379"/>
      <c r="W66" s="1379"/>
      <c r="X66" s="1379"/>
      <c r="Y66" s="1379"/>
      <c r="Z66" s="1379"/>
      <c r="AA66" s="1379"/>
      <c r="AB66" s="1379"/>
      <c r="AC66" s="1390"/>
      <c r="AD66" s="1379"/>
      <c r="AE66" s="1379"/>
      <c r="AF66" s="1379"/>
      <c r="AG66" s="1379"/>
      <c r="AH66" s="1379"/>
      <c r="AI66" s="1379"/>
      <c r="AJ66" s="1379"/>
      <c r="AK66" s="1379"/>
      <c r="AL66" s="1379"/>
      <c r="AM66" s="1379"/>
      <c r="AN66" s="1379"/>
      <c r="AO66" s="1379"/>
      <c r="AP66" s="1379"/>
      <c r="AQ66" s="1379"/>
      <c r="AR66" s="1379"/>
      <c r="AS66" s="1379"/>
      <c r="AT66" s="1379"/>
      <c r="AU66" s="1379"/>
      <c r="AV66" s="1379"/>
      <c r="AW66" s="1379"/>
      <c r="AX66" s="1379"/>
      <c r="AY66" s="1379"/>
      <c r="AZ66" s="1379"/>
    </row>
    <row r="67">
      <c r="A67" s="1391"/>
      <c r="B67" s="611" t="str">
        <f>IF(C67&lt;'PlayerGrades+'!$Y$44,"F-",IF(C67&lt;'PlayerGrades+'!$Y$43,"F",IF(C67&lt;'PlayerGrades+'!$Y$42,"F+",IF(C67&lt;'PlayerGrades+'!$Y$41,"E-",IF(C67&lt;'PlayerGrades+'!$Y$40,"E",IF(C67&lt;'PlayerGrades+'!$Y$39,"E+",IF(C67&lt;'PlayerGrades+'!$Y$38,"D-",IF(C67&lt;'PlayerGrades+'!$Y$37,"D",IF(C67&lt;'PlayerGrades+'!$Y$36,"D+",IF(C67&lt;'PlayerGrades+'!$Y$35,"C-",IF(C67&lt;'PlayerGrades+'!$Y$34,"C",IF(C67&lt;'PlayerGrades+'!$Y$33,"C+",IF(C67&lt;'PlayerGrades+'!$Y$32,"B-",IF(C67&lt;'PlayerGrades+'!$Y$31,"B",IF(C67&lt;'PlayerGrades+'!$Y$30,"B+",IF(C67&lt;'PlayerGrades+'!$Y$29,"A-",IF(C67&lt;'PlayerGrades+'!$Y$28,"A",IF(C67&lt;'PlayerGrades+'!$Y$27,"A+",IF(C67&lt;'PlayerGrades+'!$Y$26,"S-",IF(C67&lt;'PlayerGrades+'!$Y$25,"S","S+"))))))))))))))))))))</f>
        <v>#DIV/0!</v>
      </c>
      <c r="C67" s="1378" t="str">
        <f>('PlayerGrades+'!$Y$47*(VLOOKUP(E67, 'PlayerGrades+'!$X$3:$Y$23, 2, FALSE)))+('PlayerGrades+'!$Y$48*(VLOOKUP(G67, 'PlayerGrades+'!$X$3:$Y$23, 2, FALSE)))+('PlayerGrades+'!$Y$49*(VLOOKUP(I67, 'PlayerGrades+'!$X$3:$Y$23, 2, FALSE)))+('PlayerGrades+'!$Y$50*(VLOOKUP(K67, 'PlayerGrades+'!$X$3:$Y$23, 2, FALSE)))+('PlayerGrades+'!$Y$51*(VLOOKUP(M67, 'PlayerGrades+'!$X$3:$Y$23, 2, FALSE)))+('PlayerGrades+'!$Y$52*(VLOOKUP(O67, 'PlayerGrades+'!$X$3:$Y$23, 2, FALSE)))+('PlayerGrades+'!$Y$53*(VLOOKUP(Q67, 'PlayerGrades+'!$X$3:$Y$23, 2, FALSE)))+('PlayerGrades+'!$Y$54*(VLOOKUP(S67, 'PlayerGrades+'!$X$3:$Y$23, 2, FALSE)))+('PlayerGrades+'!$Y$55*(VLOOKUP(U67, 'PlayerGrades+'!$X$3:$Y$23, 2, FALSE)))</f>
        <v>#DIV/0!</v>
      </c>
      <c r="D67" s="961" t="str">
        <f t="shared" si="1"/>
        <v>#DIV/0!</v>
      </c>
      <c r="E67" s="961" t="str">
        <f>IF(D67&lt;'PlayerGrades+'!$AA$21,"F-",IF(D67&lt;'PlayerGrades+'!$AA$20,"F",IF(D67&lt;'PlayerGrades+'!$AA$19,"F+",IF(D67&lt;'PlayerGrades+'!$AA$18,"E-",IF(D67&lt;'PlayerGrades+'!$AA$17,"E",IF(D67&lt;'PlayerGrades+'!$AA$16,"E+",IF(D67&lt;'PlayerGrades+'!$AA$15,"D-",IF(D67&lt;'PlayerGrades+'!$AA$14,"D",IF(D67&lt;'PlayerGrades+'!$AA$13,"D+",IF(D67&lt;'PlayerGrades+'!$AA$12,"C-",IF(D67&lt;'PlayerGrades+'!$AA$11,"C",IF(D67&lt;'PlayerGrades+'!$AA$10,"C+",IF(D67&lt;'PlayerGrades+'!$AA$9,"B-",IF(D67&lt;'PlayerGrades+'!$AA$8,"B",IF(D67&lt;'PlayerGrades+'!$AA$7,"B+",IF(D67&lt;'PlayerGrades+'!$AA$6,"A-",IF(D67&lt;'PlayerGrades+'!$AA$5,"A",IF(D67&lt;'PlayerGrades+'!$AA$4,"A+",IF(D67&lt;'PlayerGrades+'!$AA$3,"S-",IF(D67&lt;'PlayerGrades+'!$AA$2,"S","S+"))))))))))))))))))))</f>
        <v>#DIV/0!</v>
      </c>
      <c r="F67" s="961" t="str">
        <f t="shared" si="2"/>
        <v>#DIV/0!</v>
      </c>
      <c r="G67" s="961" t="str">
        <f>IF(F67&lt;'PlayerGrades+'!$AB$21,"F-",IF(F67&lt;'PlayerGrades+'!$AB$20,"F",IF(F67&lt;'PlayerGrades+'!$AB$19,"F+",IF(F67&lt;'PlayerGrades+'!$AB$18,"E-",IF(F67&lt;'PlayerGrades+'!$AB$17,"E",IF(F67&lt;'PlayerGrades+'!$AB$16,"E+",IF(F67&lt;'PlayerGrades+'!$AB$15,"D-",IF(F67&lt;'PlayerGrades+'!$AB$14,"D",IF(F67&lt;'PlayerGrades+'!$AB$13,"D+",IF(F67&lt;'PlayerGrades+'!$AB$12,"C-",IF(F67&lt;'PlayerGrades+'!$AB$11,"C",IF(F67&lt;'PlayerGrades+'!$AB$10,"C+",IF(F67&lt;'PlayerGrades+'!$AB$9,"B-",IF(F67&lt;'PlayerGrades+'!$AB$8,"B",IF(F67&lt;'PlayerGrades+'!$AB$7,"B+",IF(F67&lt;'PlayerGrades+'!$AB$6,"A-",IF(F67&lt;'PlayerGrades+'!$AB$5,"A",IF(F67&lt;'PlayerGrades+'!$AB$4,"A+",IF(F67&lt;'PlayerGrades+'!$AB$3,"S-",IF(F67&lt;'PlayerGrades+'!$AB$2,"S","S+"))))))))))))))))))))</f>
        <v>#DIV/0!</v>
      </c>
      <c r="H67" s="961" t="str">
        <f t="shared" si="3"/>
        <v>#DIV/0!</v>
      </c>
      <c r="I67" s="961" t="str">
        <f>IF(H67&lt;'PlayerGrades+'!$AC$21,"F-",IF(H67&lt;'PlayerGrades+'!$AC$20,"F",IF(H67&lt;'PlayerGrades+'!$AC$19,"F+",IF(H67&lt;'PlayerGrades+'!$AC$18,"E-",IF(H67&lt;'PlayerGrades+'!$AC$17,"E",IF(H67&lt;'PlayerGrades+'!$AC$16,"E+",IF(H67&lt;'PlayerGrades+'!$AC$15,"D-",IF(H67&lt;'PlayerGrades+'!$AC$14,"D",IF(H67&lt;'PlayerGrades+'!$AC$13,"D+",IF(H67&lt;'PlayerGrades+'!$AC$12,"C-",IF(H67&lt;'PlayerGrades+'!$AC$11,"C",IF(H67&lt;'PlayerGrades+'!$AC$10,"C+",IF(H67&lt;'PlayerGrades+'!$AC$9,"B-",IF(H67&lt;'PlayerGrades+'!$AC$8,"B",IF(H67&lt;'PlayerGrades+'!$AC$7,"B+",IF(H67&lt;'PlayerGrades+'!$AC$6,"A-",IF(H67&lt;'PlayerGrades+'!$AC$5,"A",IF(H67&lt;'PlayerGrades+'!$AC$4,"A+",IF(H67&lt;'PlayerGrades+'!$AC$3,"S-",IF(H67&lt;'PlayerGrades+'!$AC$2,"S","S+"))))))))))))))))))))</f>
        <v>#DIV/0!</v>
      </c>
      <c r="J67" s="961" t="str">
        <f t="shared" si="4"/>
        <v>#DIV/0!</v>
      </c>
      <c r="K67" s="961" t="str">
        <f>IF(J67&lt;'PlayerGrades+'!$AD$21,"F-",IF(J67&lt;'PlayerGrades+'!$AD$20,"F",IF(J67&lt;'PlayerGrades+'!$AD$19,"F+",IF(J67&lt;'PlayerGrades+'!$AD$18,"E-",IF(J67&lt;'PlayerGrades+'!$AD$17,"E",IF(J67&lt;'PlayerGrades+'!$AD$16,"E+",IF(J67&lt;'PlayerGrades+'!$AD$15,"D-",IF(J67&lt;'PlayerGrades+'!$AD$14,"D",IF(J67&lt;'PlayerGrades+'!$AD$13,"D+",IF(J67&lt;'PlayerGrades+'!$AD$12,"C-",IF(J67&lt;'PlayerGrades+'!$AD$11,"C",IF(J67&lt;'PlayerGrades+'!$AD$10,"C+",IF(J67&lt;'PlayerGrades+'!$AD$9,"B-",IF(J67&lt;'PlayerGrades+'!$AD$8,"B",IF(J67&lt;'PlayerGrades+'!$AD$7,"B+",IF(J67&lt;'PlayerGrades+'!$AD$6,"A-",IF(J67&lt;'PlayerGrades+'!$AD$5,"A",IF(J67&lt;'PlayerGrades+'!$AD$4,"A+",IF(J67&lt;'PlayerGrades+'!$AD$3,"S-",IF(J67&lt;'PlayerGrades+'!$AD$2,"S","S+"))))))))))))))))))))</f>
        <v>#DIV/0!</v>
      </c>
      <c r="L67" s="1176" t="str">
        <f t="shared" si="5"/>
        <v>#DIV/0!</v>
      </c>
      <c r="M67" s="992" t="str">
        <f>IF(L67&lt;'PlayerGrades+'!$AE$21,"F-",IF(L67&lt;'PlayerGrades+'!$AE$20,"F",IF(L67&lt;'PlayerGrades+'!$AE$19,"F+",IF(L67&lt;'PlayerGrades+'!$AE$18,"E-",IF(L67&lt;'PlayerGrades+'!$AE$17,"E",IF(L67&lt;'PlayerGrades+'!$AE$16,"E+",IF(L67&lt;'PlayerGrades+'!$AE$15,"D-",IF(L67&lt;'PlayerGrades+'!$AE$14,"D",IF(L67&lt;'PlayerGrades+'!$AE$13,"D+",IF(L67&lt;'PlayerGrades+'!$AE$12,"C-",IF(L67&lt;'PlayerGrades+'!$AE$11,"C",IF(L67&lt;'PlayerGrades+'!$AE$10,"C+",IF(L67&lt;'PlayerGrades+'!$AE$9,"B-",IF(L67&lt;'PlayerGrades+'!$AE$8,"B",IF(L67&lt;'PlayerGrades+'!$AE$7,"B+",IF(L67&lt;'PlayerGrades+'!$AE$6,"A-",IF(L67&lt;'PlayerGrades+'!$AE$5,"A",IF(L67&lt;'PlayerGrades+'!$AE$4,"A+",IF(L67&lt;'PlayerGrades+'!$AE$3,"S-",IF(L67&lt;'PlayerGrades+'!$AE$2,"S","S+"))))))))))))))))))))</f>
        <v>#DIV/0!</v>
      </c>
      <c r="N67" s="961" t="str">
        <f t="shared" si="6"/>
        <v>#DIV/0!</v>
      </c>
      <c r="O67" s="961" t="str">
        <f>IF(N67&lt;'PlayerGrades+'!$AF$21,"F-",IF(N67&lt;'PlayerGrades+'!$AF$20,"F",IF(N67&lt;'PlayerGrades+'!$AF$19,"F+",IF(N67&lt;'PlayerGrades+'!$AF$18,"E-",IF(N67&lt;'PlayerGrades+'!$AF$17,"E",IF(N67&lt;'PlayerGrades+'!$AF$16,"E+",IF(N67&lt;'PlayerGrades+'!$AF$15,"D-",IF(N67&lt;'PlayerGrades+'!$AF$14,"D",IF(N67&lt;'PlayerGrades+'!$AF$13,"D+",IF(N67&lt;'PlayerGrades+'!$AF$12,"C-",IF(N67&lt;'PlayerGrades+'!$AF$11,"C",IF(N67&lt;'PlayerGrades+'!$AF$10,"C+",IF(N67&lt;'PlayerGrades+'!$AF$9,"B-",IF(N67&lt;'PlayerGrades+'!$AF$8,"B",IF(N67&lt;'PlayerGrades+'!$AF$7,"B+",IF(N67&lt;'PlayerGrades+'!$AF$6,"A-",IF(N67&lt;'PlayerGrades+'!$AF$5,"A",IF(N67&lt;'PlayerGrades+'!$AF$4,"A+",IF(N67&lt;'PlayerGrades+'!$AF$3,"S-",IF(N67&lt;'PlayerGrades+'!$AF$2,"S","S+"))))))))))))))))))))</f>
        <v>#DIV/0!</v>
      </c>
      <c r="P67" s="961" t="str">
        <f t="shared" si="7"/>
        <v>#DIV/0!</v>
      </c>
      <c r="Q67" s="961" t="str">
        <f>IF(P67&lt;'PlayerGrades+'!$AG$21,"F-",IF(P67&lt;'PlayerGrades+'!$AG$20,"F",IF(P67&lt;'PlayerGrades+'!$AG$19,"F+",IF(P67&lt;'PlayerGrades+'!$AG$18,"E-",IF(P67&lt;'PlayerGrades+'!$AG$17,"E",IF(P67&lt;'PlayerGrades+'!$AG$16,"E+",IF(P67&lt;'PlayerGrades+'!$AG$15,"D-",IF(P67&lt;'PlayerGrades+'!$AG$14,"D",IF(P67&lt;'PlayerGrades+'!$AG$13,"D+",IF(P67&lt;'PlayerGrades+'!$AG$12,"C-",IF(P67&lt;'PlayerGrades+'!$AG$11,"C",IF(P67&lt;'PlayerGrades+'!$AG$10,"C+",IF(P67&lt;'PlayerGrades+'!$AG$9,"B-",IF(P67&lt;'PlayerGrades+'!$AG$8,"B",IF(P67&lt;'PlayerGrades+'!$AG$7,"B+",IF(P67&lt;'PlayerGrades+'!$AG$6,"A-",IF(P67&lt;'PlayerGrades+'!$AG$5,"A",IF(P67&lt;'PlayerGrades+'!$AG$4,"A+",IF(P67&lt;'PlayerGrades+'!$AG$3,"S-",IF(P67&lt;'PlayerGrades+'!$AG$2,"S","S+"))))))))))))))))))))</f>
        <v>#DIV/0!</v>
      </c>
      <c r="R67" s="961" t="str">
        <f t="shared" si="8"/>
        <v>#DIV/0!</v>
      </c>
      <c r="S67" s="961" t="str">
        <f>IF(R67&lt;'PlayerGrades+'!$AH$21,"F-",IF(R67&lt;'PlayerGrades+'!$AH$20,"F",IF(R67&lt;'PlayerGrades+'!$AH$19,"F+",IF(R67&lt;'PlayerGrades+'!$AH$18,"E-",IF(R67&lt;'PlayerGrades+'!$AH$17,"E",IF(R67&lt;'PlayerGrades+'!$AH$16,"E+",IF(R67&lt;'PlayerGrades+'!$AH$15,"D-",IF(R67&lt;'PlayerGrades+'!$AH$14,"D",IF(R67&lt;'PlayerGrades+'!$AH$13,"D+",IF(R67&lt;'PlayerGrades+'!$AH$12,"C-",IF(R67&lt;'PlayerGrades+'!$AH$11,"C",IF(R67&lt;'PlayerGrades+'!$AH$10,"C+",IF(R67&lt;'PlayerGrades+'!$AH$9,"B-",IF(R67&lt;'PlayerGrades+'!$AH$8,"B",IF(R67&lt;'PlayerGrades+'!$AH$7,"B+",IF(R67&lt;'PlayerGrades+'!$AH$6,"A-",IF(R67&lt;'PlayerGrades+'!$AH$5,"A",IF(R67&lt;'PlayerGrades+'!$AH$4,"A+",IF(R67&lt;'PlayerGrades+'!$AH$3,"S-",IF(R67&lt;'PlayerGrades+'!$AH$2,"S","S+"))))))))))))))))))))</f>
        <v>#DIV/0!</v>
      </c>
      <c r="T67" s="961">
        <f t="shared" si="9"/>
        <v>0</v>
      </c>
      <c r="U67" s="961" t="str">
        <f>IF(T67&lt;'PlayerGrades+'!$AI$21,"F-",IF(T67&lt;'PlayerGrades+'!$AI$20,"F",IF(T67&lt;'PlayerGrades+'!$AI$19,"F+",IF(T67&lt;'PlayerGrades+'!$AI$18,"E-",IF(T67&lt;'PlayerGrades+'!$AI$17,"E",IF(T67&lt;'PlayerGrades+'!$AI$16,"E+",IF(T67&lt;'PlayerGrades+'!$AI$15,"D-",IF(T67&lt;'PlayerGrades+'!$AI$14,"D",IF(T67&lt;'PlayerGrades+'!$AI$13,"D+",IF(T67&lt;'PlayerGrades+'!$AI$12,"C-",IF(T67&lt;'PlayerGrades+'!$AI$11,"C",IF(T67&lt;'PlayerGrades+'!$AI$10,"C+",IF(T67&lt;'PlayerGrades+'!$AI$9,"B-",IF(T67&lt;'PlayerGrades+'!$AI$8,"B",IF(T67&lt;'PlayerGrades+'!$AI$7,"B+",IF(T67&lt;'PlayerGrades+'!$AI$6,"A-",IF(T67&lt;'PlayerGrades+'!$AI$5,"A",IF(T67&lt;'PlayerGrades+'!$AI$4,"A+",IF(T67&lt;'PlayerGrades+'!$AI$3,"S-",IF(T67&lt;'PlayerGrades+'!$AI$2,"S","S+"))))))))))))))))))))</f>
        <v>F-</v>
      </c>
      <c r="AC67" s="1392"/>
    </row>
    <row r="68">
      <c r="A68" s="1391"/>
      <c r="B68" s="611" t="str">
        <f>IF(C68&lt;'PlayerGrades+'!$Y$44,"F-",IF(C68&lt;'PlayerGrades+'!$Y$43,"F",IF(C68&lt;'PlayerGrades+'!$Y$42,"F+",IF(C68&lt;'PlayerGrades+'!$Y$41,"E-",IF(C68&lt;'PlayerGrades+'!$Y$40,"E",IF(C68&lt;'PlayerGrades+'!$Y$39,"E+",IF(C68&lt;'PlayerGrades+'!$Y$38,"D-",IF(C68&lt;'PlayerGrades+'!$Y$37,"D",IF(C68&lt;'PlayerGrades+'!$Y$36,"D+",IF(C68&lt;'PlayerGrades+'!$Y$35,"C-",IF(C68&lt;'PlayerGrades+'!$Y$34,"C",IF(C68&lt;'PlayerGrades+'!$Y$33,"C+",IF(C68&lt;'PlayerGrades+'!$Y$32,"B-",IF(C68&lt;'PlayerGrades+'!$Y$31,"B",IF(C68&lt;'PlayerGrades+'!$Y$30,"B+",IF(C68&lt;'PlayerGrades+'!$Y$29,"A-",IF(C68&lt;'PlayerGrades+'!$Y$28,"A",IF(C68&lt;'PlayerGrades+'!$Y$27,"A+",IF(C68&lt;'PlayerGrades+'!$Y$26,"S-",IF(C68&lt;'PlayerGrades+'!$Y$25,"S","S+"))))))))))))))))))))</f>
        <v>#DIV/0!</v>
      </c>
      <c r="C68" s="1378" t="str">
        <f>('PlayerGrades+'!$Y$47*(VLOOKUP(E68, 'PlayerGrades+'!$X$3:$Y$23, 2, FALSE)))+('PlayerGrades+'!$Y$48*(VLOOKUP(G68, 'PlayerGrades+'!$X$3:$Y$23, 2, FALSE)))+('PlayerGrades+'!$Y$49*(VLOOKUP(I68, 'PlayerGrades+'!$X$3:$Y$23, 2, FALSE)))+('PlayerGrades+'!$Y$50*(VLOOKUP(K68, 'PlayerGrades+'!$X$3:$Y$23, 2, FALSE)))+('PlayerGrades+'!$Y$51*(VLOOKUP(M68, 'PlayerGrades+'!$X$3:$Y$23, 2, FALSE)))+('PlayerGrades+'!$Y$52*(VLOOKUP(O68, 'PlayerGrades+'!$X$3:$Y$23, 2, FALSE)))+('PlayerGrades+'!$Y$53*(VLOOKUP(Q68, 'PlayerGrades+'!$X$3:$Y$23, 2, FALSE)))+('PlayerGrades+'!$Y$54*(VLOOKUP(S68, 'PlayerGrades+'!$X$3:$Y$23, 2, FALSE)))+('PlayerGrades+'!$Y$55*(VLOOKUP(U68, 'PlayerGrades+'!$X$3:$Y$23, 2, FALSE)))</f>
        <v>#DIV/0!</v>
      </c>
      <c r="D68" s="961" t="str">
        <f t="shared" si="1"/>
        <v>#DIV/0!</v>
      </c>
      <c r="E68" s="961" t="str">
        <f>IF(D68&lt;'PlayerGrades+'!$AA$21,"F-",IF(D68&lt;'PlayerGrades+'!$AA$20,"F",IF(D68&lt;'PlayerGrades+'!$AA$19,"F+",IF(D68&lt;'PlayerGrades+'!$AA$18,"E-",IF(D68&lt;'PlayerGrades+'!$AA$17,"E",IF(D68&lt;'PlayerGrades+'!$AA$16,"E+",IF(D68&lt;'PlayerGrades+'!$AA$15,"D-",IF(D68&lt;'PlayerGrades+'!$AA$14,"D",IF(D68&lt;'PlayerGrades+'!$AA$13,"D+",IF(D68&lt;'PlayerGrades+'!$AA$12,"C-",IF(D68&lt;'PlayerGrades+'!$AA$11,"C",IF(D68&lt;'PlayerGrades+'!$AA$10,"C+",IF(D68&lt;'PlayerGrades+'!$AA$9,"B-",IF(D68&lt;'PlayerGrades+'!$AA$8,"B",IF(D68&lt;'PlayerGrades+'!$AA$7,"B+",IF(D68&lt;'PlayerGrades+'!$AA$6,"A-",IF(D68&lt;'PlayerGrades+'!$AA$5,"A",IF(D68&lt;'PlayerGrades+'!$AA$4,"A+",IF(D68&lt;'PlayerGrades+'!$AA$3,"S-",IF(D68&lt;'PlayerGrades+'!$AA$2,"S","S+"))))))))))))))))))))</f>
        <v>#DIV/0!</v>
      </c>
      <c r="F68" s="961" t="str">
        <f t="shared" si="2"/>
        <v>#DIV/0!</v>
      </c>
      <c r="G68" s="961" t="str">
        <f>IF(F68&lt;'PlayerGrades+'!$AB$21,"F-",IF(F68&lt;'PlayerGrades+'!$AB$20,"F",IF(F68&lt;'PlayerGrades+'!$AB$19,"F+",IF(F68&lt;'PlayerGrades+'!$AB$18,"E-",IF(F68&lt;'PlayerGrades+'!$AB$17,"E",IF(F68&lt;'PlayerGrades+'!$AB$16,"E+",IF(F68&lt;'PlayerGrades+'!$AB$15,"D-",IF(F68&lt;'PlayerGrades+'!$AB$14,"D",IF(F68&lt;'PlayerGrades+'!$AB$13,"D+",IF(F68&lt;'PlayerGrades+'!$AB$12,"C-",IF(F68&lt;'PlayerGrades+'!$AB$11,"C",IF(F68&lt;'PlayerGrades+'!$AB$10,"C+",IF(F68&lt;'PlayerGrades+'!$AB$9,"B-",IF(F68&lt;'PlayerGrades+'!$AB$8,"B",IF(F68&lt;'PlayerGrades+'!$AB$7,"B+",IF(F68&lt;'PlayerGrades+'!$AB$6,"A-",IF(F68&lt;'PlayerGrades+'!$AB$5,"A",IF(F68&lt;'PlayerGrades+'!$AB$4,"A+",IF(F68&lt;'PlayerGrades+'!$AB$3,"S-",IF(F68&lt;'PlayerGrades+'!$AB$2,"S","S+"))))))))))))))))))))</f>
        <v>#DIV/0!</v>
      </c>
      <c r="H68" s="961" t="str">
        <f t="shared" si="3"/>
        <v>#DIV/0!</v>
      </c>
      <c r="I68" s="961" t="str">
        <f>IF(H68&lt;'PlayerGrades+'!$AC$21,"F-",IF(H68&lt;'PlayerGrades+'!$AC$20,"F",IF(H68&lt;'PlayerGrades+'!$AC$19,"F+",IF(H68&lt;'PlayerGrades+'!$AC$18,"E-",IF(H68&lt;'PlayerGrades+'!$AC$17,"E",IF(H68&lt;'PlayerGrades+'!$AC$16,"E+",IF(H68&lt;'PlayerGrades+'!$AC$15,"D-",IF(H68&lt;'PlayerGrades+'!$AC$14,"D",IF(H68&lt;'PlayerGrades+'!$AC$13,"D+",IF(H68&lt;'PlayerGrades+'!$AC$12,"C-",IF(H68&lt;'PlayerGrades+'!$AC$11,"C",IF(H68&lt;'PlayerGrades+'!$AC$10,"C+",IF(H68&lt;'PlayerGrades+'!$AC$9,"B-",IF(H68&lt;'PlayerGrades+'!$AC$8,"B",IF(H68&lt;'PlayerGrades+'!$AC$7,"B+",IF(H68&lt;'PlayerGrades+'!$AC$6,"A-",IF(H68&lt;'PlayerGrades+'!$AC$5,"A",IF(H68&lt;'PlayerGrades+'!$AC$4,"A+",IF(H68&lt;'PlayerGrades+'!$AC$3,"S-",IF(H68&lt;'PlayerGrades+'!$AC$2,"S","S+"))))))))))))))))))))</f>
        <v>#DIV/0!</v>
      </c>
      <c r="J68" s="961" t="str">
        <f t="shared" si="4"/>
        <v>#DIV/0!</v>
      </c>
      <c r="K68" s="961" t="str">
        <f>IF(J68&lt;'PlayerGrades+'!$AD$21,"F-",IF(J68&lt;'PlayerGrades+'!$AD$20,"F",IF(J68&lt;'PlayerGrades+'!$AD$19,"F+",IF(J68&lt;'PlayerGrades+'!$AD$18,"E-",IF(J68&lt;'PlayerGrades+'!$AD$17,"E",IF(J68&lt;'PlayerGrades+'!$AD$16,"E+",IF(J68&lt;'PlayerGrades+'!$AD$15,"D-",IF(J68&lt;'PlayerGrades+'!$AD$14,"D",IF(J68&lt;'PlayerGrades+'!$AD$13,"D+",IF(J68&lt;'PlayerGrades+'!$AD$12,"C-",IF(J68&lt;'PlayerGrades+'!$AD$11,"C",IF(J68&lt;'PlayerGrades+'!$AD$10,"C+",IF(J68&lt;'PlayerGrades+'!$AD$9,"B-",IF(J68&lt;'PlayerGrades+'!$AD$8,"B",IF(J68&lt;'PlayerGrades+'!$AD$7,"B+",IF(J68&lt;'PlayerGrades+'!$AD$6,"A-",IF(J68&lt;'PlayerGrades+'!$AD$5,"A",IF(J68&lt;'PlayerGrades+'!$AD$4,"A+",IF(J68&lt;'PlayerGrades+'!$AD$3,"S-",IF(J68&lt;'PlayerGrades+'!$AD$2,"S","S+"))))))))))))))))))))</f>
        <v>#DIV/0!</v>
      </c>
      <c r="L68" s="1176" t="str">
        <f t="shared" si="5"/>
        <v>#DIV/0!</v>
      </c>
      <c r="M68" s="992" t="str">
        <f>IF(L68&lt;'PlayerGrades+'!$AE$21,"F-",IF(L68&lt;'PlayerGrades+'!$AE$20,"F",IF(L68&lt;'PlayerGrades+'!$AE$19,"F+",IF(L68&lt;'PlayerGrades+'!$AE$18,"E-",IF(L68&lt;'PlayerGrades+'!$AE$17,"E",IF(L68&lt;'PlayerGrades+'!$AE$16,"E+",IF(L68&lt;'PlayerGrades+'!$AE$15,"D-",IF(L68&lt;'PlayerGrades+'!$AE$14,"D",IF(L68&lt;'PlayerGrades+'!$AE$13,"D+",IF(L68&lt;'PlayerGrades+'!$AE$12,"C-",IF(L68&lt;'PlayerGrades+'!$AE$11,"C",IF(L68&lt;'PlayerGrades+'!$AE$10,"C+",IF(L68&lt;'PlayerGrades+'!$AE$9,"B-",IF(L68&lt;'PlayerGrades+'!$AE$8,"B",IF(L68&lt;'PlayerGrades+'!$AE$7,"B+",IF(L68&lt;'PlayerGrades+'!$AE$6,"A-",IF(L68&lt;'PlayerGrades+'!$AE$5,"A",IF(L68&lt;'PlayerGrades+'!$AE$4,"A+",IF(L68&lt;'PlayerGrades+'!$AE$3,"S-",IF(L68&lt;'PlayerGrades+'!$AE$2,"S","S+"))))))))))))))))))))</f>
        <v>#DIV/0!</v>
      </c>
      <c r="N68" s="961" t="str">
        <f t="shared" si="6"/>
        <v>#DIV/0!</v>
      </c>
      <c r="O68" s="961" t="str">
        <f>IF(N68&lt;'PlayerGrades+'!$AF$21,"F-",IF(N68&lt;'PlayerGrades+'!$AF$20,"F",IF(N68&lt;'PlayerGrades+'!$AF$19,"F+",IF(N68&lt;'PlayerGrades+'!$AF$18,"E-",IF(N68&lt;'PlayerGrades+'!$AF$17,"E",IF(N68&lt;'PlayerGrades+'!$AF$16,"E+",IF(N68&lt;'PlayerGrades+'!$AF$15,"D-",IF(N68&lt;'PlayerGrades+'!$AF$14,"D",IF(N68&lt;'PlayerGrades+'!$AF$13,"D+",IF(N68&lt;'PlayerGrades+'!$AF$12,"C-",IF(N68&lt;'PlayerGrades+'!$AF$11,"C",IF(N68&lt;'PlayerGrades+'!$AF$10,"C+",IF(N68&lt;'PlayerGrades+'!$AF$9,"B-",IF(N68&lt;'PlayerGrades+'!$AF$8,"B",IF(N68&lt;'PlayerGrades+'!$AF$7,"B+",IF(N68&lt;'PlayerGrades+'!$AF$6,"A-",IF(N68&lt;'PlayerGrades+'!$AF$5,"A",IF(N68&lt;'PlayerGrades+'!$AF$4,"A+",IF(N68&lt;'PlayerGrades+'!$AF$3,"S-",IF(N68&lt;'PlayerGrades+'!$AF$2,"S","S+"))))))))))))))))))))</f>
        <v>#DIV/0!</v>
      </c>
      <c r="P68" s="961" t="str">
        <f t="shared" si="7"/>
        <v>#DIV/0!</v>
      </c>
      <c r="Q68" s="961" t="str">
        <f>IF(P68&lt;'PlayerGrades+'!$AG$21,"F-",IF(P68&lt;'PlayerGrades+'!$AG$20,"F",IF(P68&lt;'PlayerGrades+'!$AG$19,"F+",IF(P68&lt;'PlayerGrades+'!$AG$18,"E-",IF(P68&lt;'PlayerGrades+'!$AG$17,"E",IF(P68&lt;'PlayerGrades+'!$AG$16,"E+",IF(P68&lt;'PlayerGrades+'!$AG$15,"D-",IF(P68&lt;'PlayerGrades+'!$AG$14,"D",IF(P68&lt;'PlayerGrades+'!$AG$13,"D+",IF(P68&lt;'PlayerGrades+'!$AG$12,"C-",IF(P68&lt;'PlayerGrades+'!$AG$11,"C",IF(P68&lt;'PlayerGrades+'!$AG$10,"C+",IF(P68&lt;'PlayerGrades+'!$AG$9,"B-",IF(P68&lt;'PlayerGrades+'!$AG$8,"B",IF(P68&lt;'PlayerGrades+'!$AG$7,"B+",IF(P68&lt;'PlayerGrades+'!$AG$6,"A-",IF(P68&lt;'PlayerGrades+'!$AG$5,"A",IF(P68&lt;'PlayerGrades+'!$AG$4,"A+",IF(P68&lt;'PlayerGrades+'!$AG$3,"S-",IF(P68&lt;'PlayerGrades+'!$AG$2,"S","S+"))))))))))))))))))))</f>
        <v>#DIV/0!</v>
      </c>
      <c r="R68" s="961" t="str">
        <f t="shared" si="8"/>
        <v>#DIV/0!</v>
      </c>
      <c r="S68" s="961" t="str">
        <f>IF(R68&lt;'PlayerGrades+'!$AH$21,"F-",IF(R68&lt;'PlayerGrades+'!$AH$20,"F",IF(R68&lt;'PlayerGrades+'!$AH$19,"F+",IF(R68&lt;'PlayerGrades+'!$AH$18,"E-",IF(R68&lt;'PlayerGrades+'!$AH$17,"E",IF(R68&lt;'PlayerGrades+'!$AH$16,"E+",IF(R68&lt;'PlayerGrades+'!$AH$15,"D-",IF(R68&lt;'PlayerGrades+'!$AH$14,"D",IF(R68&lt;'PlayerGrades+'!$AH$13,"D+",IF(R68&lt;'PlayerGrades+'!$AH$12,"C-",IF(R68&lt;'PlayerGrades+'!$AH$11,"C",IF(R68&lt;'PlayerGrades+'!$AH$10,"C+",IF(R68&lt;'PlayerGrades+'!$AH$9,"B-",IF(R68&lt;'PlayerGrades+'!$AH$8,"B",IF(R68&lt;'PlayerGrades+'!$AH$7,"B+",IF(R68&lt;'PlayerGrades+'!$AH$6,"A-",IF(R68&lt;'PlayerGrades+'!$AH$5,"A",IF(R68&lt;'PlayerGrades+'!$AH$4,"A+",IF(R68&lt;'PlayerGrades+'!$AH$3,"S-",IF(R68&lt;'PlayerGrades+'!$AH$2,"S","S+"))))))))))))))))))))</f>
        <v>#DIV/0!</v>
      </c>
      <c r="T68" s="961">
        <f t="shared" si="9"/>
        <v>0</v>
      </c>
      <c r="U68" s="961" t="str">
        <f>IF(T68&lt;'PlayerGrades+'!$AI$21,"F-",IF(T68&lt;'PlayerGrades+'!$AI$20,"F",IF(T68&lt;'PlayerGrades+'!$AI$19,"F+",IF(T68&lt;'PlayerGrades+'!$AI$18,"E-",IF(T68&lt;'PlayerGrades+'!$AI$17,"E",IF(T68&lt;'PlayerGrades+'!$AI$16,"E+",IF(T68&lt;'PlayerGrades+'!$AI$15,"D-",IF(T68&lt;'PlayerGrades+'!$AI$14,"D",IF(T68&lt;'PlayerGrades+'!$AI$13,"D+",IF(T68&lt;'PlayerGrades+'!$AI$12,"C-",IF(T68&lt;'PlayerGrades+'!$AI$11,"C",IF(T68&lt;'PlayerGrades+'!$AI$10,"C+",IF(T68&lt;'PlayerGrades+'!$AI$9,"B-",IF(T68&lt;'PlayerGrades+'!$AI$8,"B",IF(T68&lt;'PlayerGrades+'!$AI$7,"B+",IF(T68&lt;'PlayerGrades+'!$AI$6,"A-",IF(T68&lt;'PlayerGrades+'!$AI$5,"A",IF(T68&lt;'PlayerGrades+'!$AI$4,"A+",IF(T68&lt;'PlayerGrades+'!$AI$3,"S-",IF(T68&lt;'PlayerGrades+'!$AI$2,"S","S+"))))))))))))))))))))</f>
        <v>F-</v>
      </c>
      <c r="AC68" s="1392"/>
    </row>
    <row r="69">
      <c r="A69" s="1391"/>
      <c r="B69" s="611" t="str">
        <f>IF(C69&lt;'PlayerGrades+'!$Y$44,"F-",IF(C69&lt;'PlayerGrades+'!$Y$43,"F",IF(C69&lt;'PlayerGrades+'!$Y$42,"F+",IF(C69&lt;'PlayerGrades+'!$Y$41,"E-",IF(C69&lt;'PlayerGrades+'!$Y$40,"E",IF(C69&lt;'PlayerGrades+'!$Y$39,"E+",IF(C69&lt;'PlayerGrades+'!$Y$38,"D-",IF(C69&lt;'PlayerGrades+'!$Y$37,"D",IF(C69&lt;'PlayerGrades+'!$Y$36,"D+",IF(C69&lt;'PlayerGrades+'!$Y$35,"C-",IF(C69&lt;'PlayerGrades+'!$Y$34,"C",IF(C69&lt;'PlayerGrades+'!$Y$33,"C+",IF(C69&lt;'PlayerGrades+'!$Y$32,"B-",IF(C69&lt;'PlayerGrades+'!$Y$31,"B",IF(C69&lt;'PlayerGrades+'!$Y$30,"B+",IF(C69&lt;'PlayerGrades+'!$Y$29,"A-",IF(C69&lt;'PlayerGrades+'!$Y$28,"A",IF(C69&lt;'PlayerGrades+'!$Y$27,"A+",IF(C69&lt;'PlayerGrades+'!$Y$26,"S-",IF(C69&lt;'PlayerGrades+'!$Y$25,"S","S+"))))))))))))))))))))</f>
        <v>#DIV/0!</v>
      </c>
      <c r="C69" s="1378" t="str">
        <f>('PlayerGrades+'!$Y$47*(VLOOKUP(E69, 'PlayerGrades+'!$X$3:$Y$23, 2, FALSE)))+('PlayerGrades+'!$Y$48*(VLOOKUP(G69, 'PlayerGrades+'!$X$3:$Y$23, 2, FALSE)))+('PlayerGrades+'!$Y$49*(VLOOKUP(I69, 'PlayerGrades+'!$X$3:$Y$23, 2, FALSE)))+('PlayerGrades+'!$Y$50*(VLOOKUP(K69, 'PlayerGrades+'!$X$3:$Y$23, 2, FALSE)))+('PlayerGrades+'!$Y$51*(VLOOKUP(M69, 'PlayerGrades+'!$X$3:$Y$23, 2, FALSE)))+('PlayerGrades+'!$Y$52*(VLOOKUP(O69, 'PlayerGrades+'!$X$3:$Y$23, 2, FALSE)))+('PlayerGrades+'!$Y$53*(VLOOKUP(Q69, 'PlayerGrades+'!$X$3:$Y$23, 2, FALSE)))+('PlayerGrades+'!$Y$54*(VLOOKUP(S69, 'PlayerGrades+'!$X$3:$Y$23, 2, FALSE)))+('PlayerGrades+'!$Y$55*(VLOOKUP(U69, 'PlayerGrades+'!$X$3:$Y$23, 2, FALSE)))</f>
        <v>#DIV/0!</v>
      </c>
      <c r="D69" s="961" t="str">
        <f t="shared" si="1"/>
        <v>#DIV/0!</v>
      </c>
      <c r="E69" s="961" t="str">
        <f>IF(D69&lt;'PlayerGrades+'!$AA$21,"F-",IF(D69&lt;'PlayerGrades+'!$AA$20,"F",IF(D69&lt;'PlayerGrades+'!$AA$19,"F+",IF(D69&lt;'PlayerGrades+'!$AA$18,"E-",IF(D69&lt;'PlayerGrades+'!$AA$17,"E",IF(D69&lt;'PlayerGrades+'!$AA$16,"E+",IF(D69&lt;'PlayerGrades+'!$AA$15,"D-",IF(D69&lt;'PlayerGrades+'!$AA$14,"D",IF(D69&lt;'PlayerGrades+'!$AA$13,"D+",IF(D69&lt;'PlayerGrades+'!$AA$12,"C-",IF(D69&lt;'PlayerGrades+'!$AA$11,"C",IF(D69&lt;'PlayerGrades+'!$AA$10,"C+",IF(D69&lt;'PlayerGrades+'!$AA$9,"B-",IF(D69&lt;'PlayerGrades+'!$AA$8,"B",IF(D69&lt;'PlayerGrades+'!$AA$7,"B+",IF(D69&lt;'PlayerGrades+'!$AA$6,"A-",IF(D69&lt;'PlayerGrades+'!$AA$5,"A",IF(D69&lt;'PlayerGrades+'!$AA$4,"A+",IF(D69&lt;'PlayerGrades+'!$AA$3,"S-",IF(D69&lt;'PlayerGrades+'!$AA$2,"S","S+"))))))))))))))))))))</f>
        <v>#DIV/0!</v>
      </c>
      <c r="F69" s="961" t="str">
        <f t="shared" si="2"/>
        <v>#DIV/0!</v>
      </c>
      <c r="G69" s="961" t="str">
        <f>IF(F69&lt;'PlayerGrades+'!$AB$21,"F-",IF(F69&lt;'PlayerGrades+'!$AB$20,"F",IF(F69&lt;'PlayerGrades+'!$AB$19,"F+",IF(F69&lt;'PlayerGrades+'!$AB$18,"E-",IF(F69&lt;'PlayerGrades+'!$AB$17,"E",IF(F69&lt;'PlayerGrades+'!$AB$16,"E+",IF(F69&lt;'PlayerGrades+'!$AB$15,"D-",IF(F69&lt;'PlayerGrades+'!$AB$14,"D",IF(F69&lt;'PlayerGrades+'!$AB$13,"D+",IF(F69&lt;'PlayerGrades+'!$AB$12,"C-",IF(F69&lt;'PlayerGrades+'!$AB$11,"C",IF(F69&lt;'PlayerGrades+'!$AB$10,"C+",IF(F69&lt;'PlayerGrades+'!$AB$9,"B-",IF(F69&lt;'PlayerGrades+'!$AB$8,"B",IF(F69&lt;'PlayerGrades+'!$AB$7,"B+",IF(F69&lt;'PlayerGrades+'!$AB$6,"A-",IF(F69&lt;'PlayerGrades+'!$AB$5,"A",IF(F69&lt;'PlayerGrades+'!$AB$4,"A+",IF(F69&lt;'PlayerGrades+'!$AB$3,"S-",IF(F69&lt;'PlayerGrades+'!$AB$2,"S","S+"))))))))))))))))))))</f>
        <v>#DIV/0!</v>
      </c>
      <c r="H69" s="961" t="str">
        <f t="shared" si="3"/>
        <v>#DIV/0!</v>
      </c>
      <c r="I69" s="961" t="str">
        <f>IF(H69&lt;'PlayerGrades+'!$AC$21,"F-",IF(H69&lt;'PlayerGrades+'!$AC$20,"F",IF(H69&lt;'PlayerGrades+'!$AC$19,"F+",IF(H69&lt;'PlayerGrades+'!$AC$18,"E-",IF(H69&lt;'PlayerGrades+'!$AC$17,"E",IF(H69&lt;'PlayerGrades+'!$AC$16,"E+",IF(H69&lt;'PlayerGrades+'!$AC$15,"D-",IF(H69&lt;'PlayerGrades+'!$AC$14,"D",IF(H69&lt;'PlayerGrades+'!$AC$13,"D+",IF(H69&lt;'PlayerGrades+'!$AC$12,"C-",IF(H69&lt;'PlayerGrades+'!$AC$11,"C",IF(H69&lt;'PlayerGrades+'!$AC$10,"C+",IF(H69&lt;'PlayerGrades+'!$AC$9,"B-",IF(H69&lt;'PlayerGrades+'!$AC$8,"B",IF(H69&lt;'PlayerGrades+'!$AC$7,"B+",IF(H69&lt;'PlayerGrades+'!$AC$6,"A-",IF(H69&lt;'PlayerGrades+'!$AC$5,"A",IF(H69&lt;'PlayerGrades+'!$AC$4,"A+",IF(H69&lt;'PlayerGrades+'!$AC$3,"S-",IF(H69&lt;'PlayerGrades+'!$AC$2,"S","S+"))))))))))))))))))))</f>
        <v>#DIV/0!</v>
      </c>
      <c r="J69" s="961" t="str">
        <f t="shared" si="4"/>
        <v>#DIV/0!</v>
      </c>
      <c r="K69" s="961" t="str">
        <f>IF(J69&lt;'PlayerGrades+'!$AD$21,"F-",IF(J69&lt;'PlayerGrades+'!$AD$20,"F",IF(J69&lt;'PlayerGrades+'!$AD$19,"F+",IF(J69&lt;'PlayerGrades+'!$AD$18,"E-",IF(J69&lt;'PlayerGrades+'!$AD$17,"E",IF(J69&lt;'PlayerGrades+'!$AD$16,"E+",IF(J69&lt;'PlayerGrades+'!$AD$15,"D-",IF(J69&lt;'PlayerGrades+'!$AD$14,"D",IF(J69&lt;'PlayerGrades+'!$AD$13,"D+",IF(J69&lt;'PlayerGrades+'!$AD$12,"C-",IF(J69&lt;'PlayerGrades+'!$AD$11,"C",IF(J69&lt;'PlayerGrades+'!$AD$10,"C+",IF(J69&lt;'PlayerGrades+'!$AD$9,"B-",IF(J69&lt;'PlayerGrades+'!$AD$8,"B",IF(J69&lt;'PlayerGrades+'!$AD$7,"B+",IF(J69&lt;'PlayerGrades+'!$AD$6,"A-",IF(J69&lt;'PlayerGrades+'!$AD$5,"A",IF(J69&lt;'PlayerGrades+'!$AD$4,"A+",IF(J69&lt;'PlayerGrades+'!$AD$3,"S-",IF(J69&lt;'PlayerGrades+'!$AD$2,"S","S+"))))))))))))))))))))</f>
        <v>#DIV/0!</v>
      </c>
      <c r="L69" s="1176" t="str">
        <f t="shared" si="5"/>
        <v>#DIV/0!</v>
      </c>
      <c r="M69" s="992" t="str">
        <f>IF(L69&lt;'PlayerGrades+'!$AE$21,"F-",IF(L69&lt;'PlayerGrades+'!$AE$20,"F",IF(L69&lt;'PlayerGrades+'!$AE$19,"F+",IF(L69&lt;'PlayerGrades+'!$AE$18,"E-",IF(L69&lt;'PlayerGrades+'!$AE$17,"E",IF(L69&lt;'PlayerGrades+'!$AE$16,"E+",IF(L69&lt;'PlayerGrades+'!$AE$15,"D-",IF(L69&lt;'PlayerGrades+'!$AE$14,"D",IF(L69&lt;'PlayerGrades+'!$AE$13,"D+",IF(L69&lt;'PlayerGrades+'!$AE$12,"C-",IF(L69&lt;'PlayerGrades+'!$AE$11,"C",IF(L69&lt;'PlayerGrades+'!$AE$10,"C+",IF(L69&lt;'PlayerGrades+'!$AE$9,"B-",IF(L69&lt;'PlayerGrades+'!$AE$8,"B",IF(L69&lt;'PlayerGrades+'!$AE$7,"B+",IF(L69&lt;'PlayerGrades+'!$AE$6,"A-",IF(L69&lt;'PlayerGrades+'!$AE$5,"A",IF(L69&lt;'PlayerGrades+'!$AE$4,"A+",IF(L69&lt;'PlayerGrades+'!$AE$3,"S-",IF(L69&lt;'PlayerGrades+'!$AE$2,"S","S+"))))))))))))))))))))</f>
        <v>#DIV/0!</v>
      </c>
      <c r="N69" s="961" t="str">
        <f t="shared" si="6"/>
        <v>#DIV/0!</v>
      </c>
      <c r="O69" s="961" t="str">
        <f>IF(N69&lt;'PlayerGrades+'!$AF$21,"F-",IF(N69&lt;'PlayerGrades+'!$AF$20,"F",IF(N69&lt;'PlayerGrades+'!$AF$19,"F+",IF(N69&lt;'PlayerGrades+'!$AF$18,"E-",IF(N69&lt;'PlayerGrades+'!$AF$17,"E",IF(N69&lt;'PlayerGrades+'!$AF$16,"E+",IF(N69&lt;'PlayerGrades+'!$AF$15,"D-",IF(N69&lt;'PlayerGrades+'!$AF$14,"D",IF(N69&lt;'PlayerGrades+'!$AF$13,"D+",IF(N69&lt;'PlayerGrades+'!$AF$12,"C-",IF(N69&lt;'PlayerGrades+'!$AF$11,"C",IF(N69&lt;'PlayerGrades+'!$AF$10,"C+",IF(N69&lt;'PlayerGrades+'!$AF$9,"B-",IF(N69&lt;'PlayerGrades+'!$AF$8,"B",IF(N69&lt;'PlayerGrades+'!$AF$7,"B+",IF(N69&lt;'PlayerGrades+'!$AF$6,"A-",IF(N69&lt;'PlayerGrades+'!$AF$5,"A",IF(N69&lt;'PlayerGrades+'!$AF$4,"A+",IF(N69&lt;'PlayerGrades+'!$AF$3,"S-",IF(N69&lt;'PlayerGrades+'!$AF$2,"S","S+"))))))))))))))))))))</f>
        <v>#DIV/0!</v>
      </c>
      <c r="P69" s="961" t="str">
        <f t="shared" si="7"/>
        <v>#DIV/0!</v>
      </c>
      <c r="Q69" s="961" t="str">
        <f>IF(P69&lt;'PlayerGrades+'!$AG$21,"F-",IF(P69&lt;'PlayerGrades+'!$AG$20,"F",IF(P69&lt;'PlayerGrades+'!$AG$19,"F+",IF(P69&lt;'PlayerGrades+'!$AG$18,"E-",IF(P69&lt;'PlayerGrades+'!$AG$17,"E",IF(P69&lt;'PlayerGrades+'!$AG$16,"E+",IF(P69&lt;'PlayerGrades+'!$AG$15,"D-",IF(P69&lt;'PlayerGrades+'!$AG$14,"D",IF(P69&lt;'PlayerGrades+'!$AG$13,"D+",IF(P69&lt;'PlayerGrades+'!$AG$12,"C-",IF(P69&lt;'PlayerGrades+'!$AG$11,"C",IF(P69&lt;'PlayerGrades+'!$AG$10,"C+",IF(P69&lt;'PlayerGrades+'!$AG$9,"B-",IF(P69&lt;'PlayerGrades+'!$AG$8,"B",IF(P69&lt;'PlayerGrades+'!$AG$7,"B+",IF(P69&lt;'PlayerGrades+'!$AG$6,"A-",IF(P69&lt;'PlayerGrades+'!$AG$5,"A",IF(P69&lt;'PlayerGrades+'!$AG$4,"A+",IF(P69&lt;'PlayerGrades+'!$AG$3,"S-",IF(P69&lt;'PlayerGrades+'!$AG$2,"S","S+"))))))))))))))))))))</f>
        <v>#DIV/0!</v>
      </c>
      <c r="R69" s="961" t="str">
        <f t="shared" si="8"/>
        <v>#DIV/0!</v>
      </c>
      <c r="S69" s="961" t="str">
        <f>IF(R69&lt;'PlayerGrades+'!$AH$21,"F-",IF(R69&lt;'PlayerGrades+'!$AH$20,"F",IF(R69&lt;'PlayerGrades+'!$AH$19,"F+",IF(R69&lt;'PlayerGrades+'!$AH$18,"E-",IF(R69&lt;'PlayerGrades+'!$AH$17,"E",IF(R69&lt;'PlayerGrades+'!$AH$16,"E+",IF(R69&lt;'PlayerGrades+'!$AH$15,"D-",IF(R69&lt;'PlayerGrades+'!$AH$14,"D",IF(R69&lt;'PlayerGrades+'!$AH$13,"D+",IF(R69&lt;'PlayerGrades+'!$AH$12,"C-",IF(R69&lt;'PlayerGrades+'!$AH$11,"C",IF(R69&lt;'PlayerGrades+'!$AH$10,"C+",IF(R69&lt;'PlayerGrades+'!$AH$9,"B-",IF(R69&lt;'PlayerGrades+'!$AH$8,"B",IF(R69&lt;'PlayerGrades+'!$AH$7,"B+",IF(R69&lt;'PlayerGrades+'!$AH$6,"A-",IF(R69&lt;'PlayerGrades+'!$AH$5,"A",IF(R69&lt;'PlayerGrades+'!$AH$4,"A+",IF(R69&lt;'PlayerGrades+'!$AH$3,"S-",IF(R69&lt;'PlayerGrades+'!$AH$2,"S","S+"))))))))))))))))))))</f>
        <v>#DIV/0!</v>
      </c>
      <c r="T69" s="961">
        <f t="shared" si="9"/>
        <v>0</v>
      </c>
      <c r="U69" s="961" t="str">
        <f>IF(T69&lt;'PlayerGrades+'!$AI$21,"F-",IF(T69&lt;'PlayerGrades+'!$AI$20,"F",IF(T69&lt;'PlayerGrades+'!$AI$19,"F+",IF(T69&lt;'PlayerGrades+'!$AI$18,"E-",IF(T69&lt;'PlayerGrades+'!$AI$17,"E",IF(T69&lt;'PlayerGrades+'!$AI$16,"E+",IF(T69&lt;'PlayerGrades+'!$AI$15,"D-",IF(T69&lt;'PlayerGrades+'!$AI$14,"D",IF(T69&lt;'PlayerGrades+'!$AI$13,"D+",IF(T69&lt;'PlayerGrades+'!$AI$12,"C-",IF(T69&lt;'PlayerGrades+'!$AI$11,"C",IF(T69&lt;'PlayerGrades+'!$AI$10,"C+",IF(T69&lt;'PlayerGrades+'!$AI$9,"B-",IF(T69&lt;'PlayerGrades+'!$AI$8,"B",IF(T69&lt;'PlayerGrades+'!$AI$7,"B+",IF(T69&lt;'PlayerGrades+'!$AI$6,"A-",IF(T69&lt;'PlayerGrades+'!$AI$5,"A",IF(T69&lt;'PlayerGrades+'!$AI$4,"A+",IF(T69&lt;'PlayerGrades+'!$AI$3,"S-",IF(T69&lt;'PlayerGrades+'!$AI$2,"S","S+"))))))))))))))))))))</f>
        <v>F-</v>
      </c>
      <c r="AC69" s="1392"/>
    </row>
    <row r="70">
      <c r="A70" s="1391"/>
      <c r="B70" s="611" t="str">
        <f>IF(C70&lt;'PlayerGrades+'!$Y$44,"F-",IF(C70&lt;'PlayerGrades+'!$Y$43,"F",IF(C70&lt;'PlayerGrades+'!$Y$42,"F+",IF(C70&lt;'PlayerGrades+'!$Y$41,"E-",IF(C70&lt;'PlayerGrades+'!$Y$40,"E",IF(C70&lt;'PlayerGrades+'!$Y$39,"E+",IF(C70&lt;'PlayerGrades+'!$Y$38,"D-",IF(C70&lt;'PlayerGrades+'!$Y$37,"D",IF(C70&lt;'PlayerGrades+'!$Y$36,"D+",IF(C70&lt;'PlayerGrades+'!$Y$35,"C-",IF(C70&lt;'PlayerGrades+'!$Y$34,"C",IF(C70&lt;'PlayerGrades+'!$Y$33,"C+",IF(C70&lt;'PlayerGrades+'!$Y$32,"B-",IF(C70&lt;'PlayerGrades+'!$Y$31,"B",IF(C70&lt;'PlayerGrades+'!$Y$30,"B+",IF(C70&lt;'PlayerGrades+'!$Y$29,"A-",IF(C70&lt;'PlayerGrades+'!$Y$28,"A",IF(C70&lt;'PlayerGrades+'!$Y$27,"A+",IF(C70&lt;'PlayerGrades+'!$Y$26,"S-",IF(C70&lt;'PlayerGrades+'!$Y$25,"S","S+"))))))))))))))))))))</f>
        <v>#DIV/0!</v>
      </c>
      <c r="C70" s="1378" t="str">
        <f>('PlayerGrades+'!$Y$47*(VLOOKUP(E70, 'PlayerGrades+'!$X$3:$Y$23, 2, FALSE)))+('PlayerGrades+'!$Y$48*(VLOOKUP(G70, 'PlayerGrades+'!$X$3:$Y$23, 2, FALSE)))+('PlayerGrades+'!$Y$49*(VLOOKUP(I70, 'PlayerGrades+'!$X$3:$Y$23, 2, FALSE)))+('PlayerGrades+'!$Y$50*(VLOOKUP(K70, 'PlayerGrades+'!$X$3:$Y$23, 2, FALSE)))+('PlayerGrades+'!$Y$51*(VLOOKUP(M70, 'PlayerGrades+'!$X$3:$Y$23, 2, FALSE)))+('PlayerGrades+'!$Y$52*(VLOOKUP(O70, 'PlayerGrades+'!$X$3:$Y$23, 2, FALSE)))+('PlayerGrades+'!$Y$53*(VLOOKUP(Q70, 'PlayerGrades+'!$X$3:$Y$23, 2, FALSE)))+('PlayerGrades+'!$Y$54*(VLOOKUP(S70, 'PlayerGrades+'!$X$3:$Y$23, 2, FALSE)))+('PlayerGrades+'!$Y$55*(VLOOKUP(U70, 'PlayerGrades+'!$X$3:$Y$23, 2, FALSE)))</f>
        <v>#DIV/0!</v>
      </c>
      <c r="D70" s="961" t="str">
        <f t="shared" si="1"/>
        <v>#DIV/0!</v>
      </c>
      <c r="E70" s="961" t="str">
        <f>IF(D70&lt;'PlayerGrades+'!$AA$21,"F-",IF(D70&lt;'PlayerGrades+'!$AA$20,"F",IF(D70&lt;'PlayerGrades+'!$AA$19,"F+",IF(D70&lt;'PlayerGrades+'!$AA$18,"E-",IF(D70&lt;'PlayerGrades+'!$AA$17,"E",IF(D70&lt;'PlayerGrades+'!$AA$16,"E+",IF(D70&lt;'PlayerGrades+'!$AA$15,"D-",IF(D70&lt;'PlayerGrades+'!$AA$14,"D",IF(D70&lt;'PlayerGrades+'!$AA$13,"D+",IF(D70&lt;'PlayerGrades+'!$AA$12,"C-",IF(D70&lt;'PlayerGrades+'!$AA$11,"C",IF(D70&lt;'PlayerGrades+'!$AA$10,"C+",IF(D70&lt;'PlayerGrades+'!$AA$9,"B-",IF(D70&lt;'PlayerGrades+'!$AA$8,"B",IF(D70&lt;'PlayerGrades+'!$AA$7,"B+",IF(D70&lt;'PlayerGrades+'!$AA$6,"A-",IF(D70&lt;'PlayerGrades+'!$AA$5,"A",IF(D70&lt;'PlayerGrades+'!$AA$4,"A+",IF(D70&lt;'PlayerGrades+'!$AA$3,"S-",IF(D70&lt;'PlayerGrades+'!$AA$2,"S","S+"))))))))))))))))))))</f>
        <v>#DIV/0!</v>
      </c>
      <c r="F70" s="961" t="str">
        <f t="shared" si="2"/>
        <v>#DIV/0!</v>
      </c>
      <c r="G70" s="961" t="str">
        <f>IF(F70&lt;'PlayerGrades+'!$AB$21,"F-",IF(F70&lt;'PlayerGrades+'!$AB$20,"F",IF(F70&lt;'PlayerGrades+'!$AB$19,"F+",IF(F70&lt;'PlayerGrades+'!$AB$18,"E-",IF(F70&lt;'PlayerGrades+'!$AB$17,"E",IF(F70&lt;'PlayerGrades+'!$AB$16,"E+",IF(F70&lt;'PlayerGrades+'!$AB$15,"D-",IF(F70&lt;'PlayerGrades+'!$AB$14,"D",IF(F70&lt;'PlayerGrades+'!$AB$13,"D+",IF(F70&lt;'PlayerGrades+'!$AB$12,"C-",IF(F70&lt;'PlayerGrades+'!$AB$11,"C",IF(F70&lt;'PlayerGrades+'!$AB$10,"C+",IF(F70&lt;'PlayerGrades+'!$AB$9,"B-",IF(F70&lt;'PlayerGrades+'!$AB$8,"B",IF(F70&lt;'PlayerGrades+'!$AB$7,"B+",IF(F70&lt;'PlayerGrades+'!$AB$6,"A-",IF(F70&lt;'PlayerGrades+'!$AB$5,"A",IF(F70&lt;'PlayerGrades+'!$AB$4,"A+",IF(F70&lt;'PlayerGrades+'!$AB$3,"S-",IF(F70&lt;'PlayerGrades+'!$AB$2,"S","S+"))))))))))))))))))))</f>
        <v>#DIV/0!</v>
      </c>
      <c r="H70" s="961" t="str">
        <f t="shared" si="3"/>
        <v>#DIV/0!</v>
      </c>
      <c r="I70" s="961" t="str">
        <f>IF(H70&lt;'PlayerGrades+'!$AC$21,"F-",IF(H70&lt;'PlayerGrades+'!$AC$20,"F",IF(H70&lt;'PlayerGrades+'!$AC$19,"F+",IF(H70&lt;'PlayerGrades+'!$AC$18,"E-",IF(H70&lt;'PlayerGrades+'!$AC$17,"E",IF(H70&lt;'PlayerGrades+'!$AC$16,"E+",IF(H70&lt;'PlayerGrades+'!$AC$15,"D-",IF(H70&lt;'PlayerGrades+'!$AC$14,"D",IF(H70&lt;'PlayerGrades+'!$AC$13,"D+",IF(H70&lt;'PlayerGrades+'!$AC$12,"C-",IF(H70&lt;'PlayerGrades+'!$AC$11,"C",IF(H70&lt;'PlayerGrades+'!$AC$10,"C+",IF(H70&lt;'PlayerGrades+'!$AC$9,"B-",IF(H70&lt;'PlayerGrades+'!$AC$8,"B",IF(H70&lt;'PlayerGrades+'!$AC$7,"B+",IF(H70&lt;'PlayerGrades+'!$AC$6,"A-",IF(H70&lt;'PlayerGrades+'!$AC$5,"A",IF(H70&lt;'PlayerGrades+'!$AC$4,"A+",IF(H70&lt;'PlayerGrades+'!$AC$3,"S-",IF(H70&lt;'PlayerGrades+'!$AC$2,"S","S+"))))))))))))))))))))</f>
        <v>#DIV/0!</v>
      </c>
      <c r="J70" s="961" t="str">
        <f t="shared" si="4"/>
        <v>#DIV/0!</v>
      </c>
      <c r="K70" s="961" t="str">
        <f>IF(J70&lt;'PlayerGrades+'!$AD$21,"F-",IF(J70&lt;'PlayerGrades+'!$AD$20,"F",IF(J70&lt;'PlayerGrades+'!$AD$19,"F+",IF(J70&lt;'PlayerGrades+'!$AD$18,"E-",IF(J70&lt;'PlayerGrades+'!$AD$17,"E",IF(J70&lt;'PlayerGrades+'!$AD$16,"E+",IF(J70&lt;'PlayerGrades+'!$AD$15,"D-",IF(J70&lt;'PlayerGrades+'!$AD$14,"D",IF(J70&lt;'PlayerGrades+'!$AD$13,"D+",IF(J70&lt;'PlayerGrades+'!$AD$12,"C-",IF(J70&lt;'PlayerGrades+'!$AD$11,"C",IF(J70&lt;'PlayerGrades+'!$AD$10,"C+",IF(J70&lt;'PlayerGrades+'!$AD$9,"B-",IF(J70&lt;'PlayerGrades+'!$AD$8,"B",IF(J70&lt;'PlayerGrades+'!$AD$7,"B+",IF(J70&lt;'PlayerGrades+'!$AD$6,"A-",IF(J70&lt;'PlayerGrades+'!$AD$5,"A",IF(J70&lt;'PlayerGrades+'!$AD$4,"A+",IF(J70&lt;'PlayerGrades+'!$AD$3,"S-",IF(J70&lt;'PlayerGrades+'!$AD$2,"S","S+"))))))))))))))))))))</f>
        <v>#DIV/0!</v>
      </c>
      <c r="L70" s="1176" t="str">
        <f t="shared" si="5"/>
        <v>#DIV/0!</v>
      </c>
      <c r="M70" s="992" t="str">
        <f>IF(L70&lt;'PlayerGrades+'!$AE$21,"F-",IF(L70&lt;'PlayerGrades+'!$AE$20,"F",IF(L70&lt;'PlayerGrades+'!$AE$19,"F+",IF(L70&lt;'PlayerGrades+'!$AE$18,"E-",IF(L70&lt;'PlayerGrades+'!$AE$17,"E",IF(L70&lt;'PlayerGrades+'!$AE$16,"E+",IF(L70&lt;'PlayerGrades+'!$AE$15,"D-",IF(L70&lt;'PlayerGrades+'!$AE$14,"D",IF(L70&lt;'PlayerGrades+'!$AE$13,"D+",IF(L70&lt;'PlayerGrades+'!$AE$12,"C-",IF(L70&lt;'PlayerGrades+'!$AE$11,"C",IF(L70&lt;'PlayerGrades+'!$AE$10,"C+",IF(L70&lt;'PlayerGrades+'!$AE$9,"B-",IF(L70&lt;'PlayerGrades+'!$AE$8,"B",IF(L70&lt;'PlayerGrades+'!$AE$7,"B+",IF(L70&lt;'PlayerGrades+'!$AE$6,"A-",IF(L70&lt;'PlayerGrades+'!$AE$5,"A",IF(L70&lt;'PlayerGrades+'!$AE$4,"A+",IF(L70&lt;'PlayerGrades+'!$AE$3,"S-",IF(L70&lt;'PlayerGrades+'!$AE$2,"S","S+"))))))))))))))))))))</f>
        <v>#DIV/0!</v>
      </c>
      <c r="N70" s="961" t="str">
        <f t="shared" si="6"/>
        <v>#DIV/0!</v>
      </c>
      <c r="O70" s="961" t="str">
        <f>IF(N70&lt;'PlayerGrades+'!$AF$21,"F-",IF(N70&lt;'PlayerGrades+'!$AF$20,"F",IF(N70&lt;'PlayerGrades+'!$AF$19,"F+",IF(N70&lt;'PlayerGrades+'!$AF$18,"E-",IF(N70&lt;'PlayerGrades+'!$AF$17,"E",IF(N70&lt;'PlayerGrades+'!$AF$16,"E+",IF(N70&lt;'PlayerGrades+'!$AF$15,"D-",IF(N70&lt;'PlayerGrades+'!$AF$14,"D",IF(N70&lt;'PlayerGrades+'!$AF$13,"D+",IF(N70&lt;'PlayerGrades+'!$AF$12,"C-",IF(N70&lt;'PlayerGrades+'!$AF$11,"C",IF(N70&lt;'PlayerGrades+'!$AF$10,"C+",IF(N70&lt;'PlayerGrades+'!$AF$9,"B-",IF(N70&lt;'PlayerGrades+'!$AF$8,"B",IF(N70&lt;'PlayerGrades+'!$AF$7,"B+",IF(N70&lt;'PlayerGrades+'!$AF$6,"A-",IF(N70&lt;'PlayerGrades+'!$AF$5,"A",IF(N70&lt;'PlayerGrades+'!$AF$4,"A+",IF(N70&lt;'PlayerGrades+'!$AF$3,"S-",IF(N70&lt;'PlayerGrades+'!$AF$2,"S","S+"))))))))))))))))))))</f>
        <v>#DIV/0!</v>
      </c>
      <c r="P70" s="961" t="str">
        <f t="shared" si="7"/>
        <v>#DIV/0!</v>
      </c>
      <c r="Q70" s="961" t="str">
        <f>IF(P70&lt;'PlayerGrades+'!$AG$21,"F-",IF(P70&lt;'PlayerGrades+'!$AG$20,"F",IF(P70&lt;'PlayerGrades+'!$AG$19,"F+",IF(P70&lt;'PlayerGrades+'!$AG$18,"E-",IF(P70&lt;'PlayerGrades+'!$AG$17,"E",IF(P70&lt;'PlayerGrades+'!$AG$16,"E+",IF(P70&lt;'PlayerGrades+'!$AG$15,"D-",IF(P70&lt;'PlayerGrades+'!$AG$14,"D",IF(P70&lt;'PlayerGrades+'!$AG$13,"D+",IF(P70&lt;'PlayerGrades+'!$AG$12,"C-",IF(P70&lt;'PlayerGrades+'!$AG$11,"C",IF(P70&lt;'PlayerGrades+'!$AG$10,"C+",IF(P70&lt;'PlayerGrades+'!$AG$9,"B-",IF(P70&lt;'PlayerGrades+'!$AG$8,"B",IF(P70&lt;'PlayerGrades+'!$AG$7,"B+",IF(P70&lt;'PlayerGrades+'!$AG$6,"A-",IF(P70&lt;'PlayerGrades+'!$AG$5,"A",IF(P70&lt;'PlayerGrades+'!$AG$4,"A+",IF(P70&lt;'PlayerGrades+'!$AG$3,"S-",IF(P70&lt;'PlayerGrades+'!$AG$2,"S","S+"))))))))))))))))))))</f>
        <v>#DIV/0!</v>
      </c>
      <c r="R70" s="961" t="str">
        <f t="shared" si="8"/>
        <v>#DIV/0!</v>
      </c>
      <c r="S70" s="961" t="str">
        <f>IF(R70&lt;'PlayerGrades+'!$AH$21,"F-",IF(R70&lt;'PlayerGrades+'!$AH$20,"F",IF(R70&lt;'PlayerGrades+'!$AH$19,"F+",IF(R70&lt;'PlayerGrades+'!$AH$18,"E-",IF(R70&lt;'PlayerGrades+'!$AH$17,"E",IF(R70&lt;'PlayerGrades+'!$AH$16,"E+",IF(R70&lt;'PlayerGrades+'!$AH$15,"D-",IF(R70&lt;'PlayerGrades+'!$AH$14,"D",IF(R70&lt;'PlayerGrades+'!$AH$13,"D+",IF(R70&lt;'PlayerGrades+'!$AH$12,"C-",IF(R70&lt;'PlayerGrades+'!$AH$11,"C",IF(R70&lt;'PlayerGrades+'!$AH$10,"C+",IF(R70&lt;'PlayerGrades+'!$AH$9,"B-",IF(R70&lt;'PlayerGrades+'!$AH$8,"B",IF(R70&lt;'PlayerGrades+'!$AH$7,"B+",IF(R70&lt;'PlayerGrades+'!$AH$6,"A-",IF(R70&lt;'PlayerGrades+'!$AH$5,"A",IF(R70&lt;'PlayerGrades+'!$AH$4,"A+",IF(R70&lt;'PlayerGrades+'!$AH$3,"S-",IF(R70&lt;'PlayerGrades+'!$AH$2,"S","S+"))))))))))))))))))))</f>
        <v>#DIV/0!</v>
      </c>
      <c r="T70" s="961">
        <f t="shared" si="9"/>
        <v>0</v>
      </c>
      <c r="U70" s="961" t="str">
        <f>IF(T70&lt;'PlayerGrades+'!$AI$21,"F-",IF(T70&lt;'PlayerGrades+'!$AI$20,"F",IF(T70&lt;'PlayerGrades+'!$AI$19,"F+",IF(T70&lt;'PlayerGrades+'!$AI$18,"E-",IF(T70&lt;'PlayerGrades+'!$AI$17,"E",IF(T70&lt;'PlayerGrades+'!$AI$16,"E+",IF(T70&lt;'PlayerGrades+'!$AI$15,"D-",IF(T70&lt;'PlayerGrades+'!$AI$14,"D",IF(T70&lt;'PlayerGrades+'!$AI$13,"D+",IF(T70&lt;'PlayerGrades+'!$AI$12,"C-",IF(T70&lt;'PlayerGrades+'!$AI$11,"C",IF(T70&lt;'PlayerGrades+'!$AI$10,"C+",IF(T70&lt;'PlayerGrades+'!$AI$9,"B-",IF(T70&lt;'PlayerGrades+'!$AI$8,"B",IF(T70&lt;'PlayerGrades+'!$AI$7,"B+",IF(T70&lt;'PlayerGrades+'!$AI$6,"A-",IF(T70&lt;'PlayerGrades+'!$AI$5,"A",IF(T70&lt;'PlayerGrades+'!$AI$4,"A+",IF(T70&lt;'PlayerGrades+'!$AI$3,"S-",IF(T70&lt;'PlayerGrades+'!$AI$2,"S","S+"))))))))))))))))))))</f>
        <v>F-</v>
      </c>
      <c r="AC70" s="1392"/>
    </row>
    <row r="71">
      <c r="A71" s="1391"/>
      <c r="B71" s="611" t="str">
        <f>IF(C71&lt;'PlayerGrades+'!$Y$44,"F-",IF(C71&lt;'PlayerGrades+'!$Y$43,"F",IF(C71&lt;'PlayerGrades+'!$Y$42,"F+",IF(C71&lt;'PlayerGrades+'!$Y$41,"E-",IF(C71&lt;'PlayerGrades+'!$Y$40,"E",IF(C71&lt;'PlayerGrades+'!$Y$39,"E+",IF(C71&lt;'PlayerGrades+'!$Y$38,"D-",IF(C71&lt;'PlayerGrades+'!$Y$37,"D",IF(C71&lt;'PlayerGrades+'!$Y$36,"D+",IF(C71&lt;'PlayerGrades+'!$Y$35,"C-",IF(C71&lt;'PlayerGrades+'!$Y$34,"C",IF(C71&lt;'PlayerGrades+'!$Y$33,"C+",IF(C71&lt;'PlayerGrades+'!$Y$32,"B-",IF(C71&lt;'PlayerGrades+'!$Y$31,"B",IF(C71&lt;'PlayerGrades+'!$Y$30,"B+",IF(C71&lt;'PlayerGrades+'!$Y$29,"A-",IF(C71&lt;'PlayerGrades+'!$Y$28,"A",IF(C71&lt;'PlayerGrades+'!$Y$27,"A+",IF(C71&lt;'PlayerGrades+'!$Y$26,"S-",IF(C71&lt;'PlayerGrades+'!$Y$25,"S","S+"))))))))))))))))))))</f>
        <v>#DIV/0!</v>
      </c>
      <c r="C71" s="1378" t="str">
        <f>('PlayerGrades+'!$Y$47*(VLOOKUP(E71, 'PlayerGrades+'!$X$3:$Y$23, 2, FALSE)))+('PlayerGrades+'!$Y$48*(VLOOKUP(G71, 'PlayerGrades+'!$X$3:$Y$23, 2, FALSE)))+('PlayerGrades+'!$Y$49*(VLOOKUP(I71, 'PlayerGrades+'!$X$3:$Y$23, 2, FALSE)))+('PlayerGrades+'!$Y$50*(VLOOKUP(K71, 'PlayerGrades+'!$X$3:$Y$23, 2, FALSE)))+('PlayerGrades+'!$Y$51*(VLOOKUP(M71, 'PlayerGrades+'!$X$3:$Y$23, 2, FALSE)))+('PlayerGrades+'!$Y$52*(VLOOKUP(O71, 'PlayerGrades+'!$X$3:$Y$23, 2, FALSE)))+('PlayerGrades+'!$Y$53*(VLOOKUP(Q71, 'PlayerGrades+'!$X$3:$Y$23, 2, FALSE)))+('PlayerGrades+'!$Y$54*(VLOOKUP(S71, 'PlayerGrades+'!$X$3:$Y$23, 2, FALSE)))+('PlayerGrades+'!$Y$55*(VLOOKUP(U71, 'PlayerGrades+'!$X$3:$Y$23, 2, FALSE)))</f>
        <v>#DIV/0!</v>
      </c>
      <c r="D71" s="961" t="str">
        <f t="shared" si="1"/>
        <v>#DIV/0!</v>
      </c>
      <c r="E71" s="961" t="str">
        <f>IF(D71&lt;'PlayerGrades+'!$AA$21,"F-",IF(D71&lt;'PlayerGrades+'!$AA$20,"F",IF(D71&lt;'PlayerGrades+'!$AA$19,"F+",IF(D71&lt;'PlayerGrades+'!$AA$18,"E-",IF(D71&lt;'PlayerGrades+'!$AA$17,"E",IF(D71&lt;'PlayerGrades+'!$AA$16,"E+",IF(D71&lt;'PlayerGrades+'!$AA$15,"D-",IF(D71&lt;'PlayerGrades+'!$AA$14,"D",IF(D71&lt;'PlayerGrades+'!$AA$13,"D+",IF(D71&lt;'PlayerGrades+'!$AA$12,"C-",IF(D71&lt;'PlayerGrades+'!$AA$11,"C",IF(D71&lt;'PlayerGrades+'!$AA$10,"C+",IF(D71&lt;'PlayerGrades+'!$AA$9,"B-",IF(D71&lt;'PlayerGrades+'!$AA$8,"B",IF(D71&lt;'PlayerGrades+'!$AA$7,"B+",IF(D71&lt;'PlayerGrades+'!$AA$6,"A-",IF(D71&lt;'PlayerGrades+'!$AA$5,"A",IF(D71&lt;'PlayerGrades+'!$AA$4,"A+",IF(D71&lt;'PlayerGrades+'!$AA$3,"S-",IF(D71&lt;'PlayerGrades+'!$AA$2,"S","S+"))))))))))))))))))))</f>
        <v>#DIV/0!</v>
      </c>
      <c r="F71" s="961" t="str">
        <f t="shared" si="2"/>
        <v>#DIV/0!</v>
      </c>
      <c r="G71" s="961" t="str">
        <f>IF(F71&lt;'PlayerGrades+'!$AB$21,"F-",IF(F71&lt;'PlayerGrades+'!$AB$20,"F",IF(F71&lt;'PlayerGrades+'!$AB$19,"F+",IF(F71&lt;'PlayerGrades+'!$AB$18,"E-",IF(F71&lt;'PlayerGrades+'!$AB$17,"E",IF(F71&lt;'PlayerGrades+'!$AB$16,"E+",IF(F71&lt;'PlayerGrades+'!$AB$15,"D-",IF(F71&lt;'PlayerGrades+'!$AB$14,"D",IF(F71&lt;'PlayerGrades+'!$AB$13,"D+",IF(F71&lt;'PlayerGrades+'!$AB$12,"C-",IF(F71&lt;'PlayerGrades+'!$AB$11,"C",IF(F71&lt;'PlayerGrades+'!$AB$10,"C+",IF(F71&lt;'PlayerGrades+'!$AB$9,"B-",IF(F71&lt;'PlayerGrades+'!$AB$8,"B",IF(F71&lt;'PlayerGrades+'!$AB$7,"B+",IF(F71&lt;'PlayerGrades+'!$AB$6,"A-",IF(F71&lt;'PlayerGrades+'!$AB$5,"A",IF(F71&lt;'PlayerGrades+'!$AB$4,"A+",IF(F71&lt;'PlayerGrades+'!$AB$3,"S-",IF(F71&lt;'PlayerGrades+'!$AB$2,"S","S+"))))))))))))))))))))</f>
        <v>#DIV/0!</v>
      </c>
      <c r="H71" s="961" t="str">
        <f t="shared" si="3"/>
        <v>#DIV/0!</v>
      </c>
      <c r="I71" s="961" t="str">
        <f>IF(H71&lt;'PlayerGrades+'!$AC$21,"F-",IF(H71&lt;'PlayerGrades+'!$AC$20,"F",IF(H71&lt;'PlayerGrades+'!$AC$19,"F+",IF(H71&lt;'PlayerGrades+'!$AC$18,"E-",IF(H71&lt;'PlayerGrades+'!$AC$17,"E",IF(H71&lt;'PlayerGrades+'!$AC$16,"E+",IF(H71&lt;'PlayerGrades+'!$AC$15,"D-",IF(H71&lt;'PlayerGrades+'!$AC$14,"D",IF(H71&lt;'PlayerGrades+'!$AC$13,"D+",IF(H71&lt;'PlayerGrades+'!$AC$12,"C-",IF(H71&lt;'PlayerGrades+'!$AC$11,"C",IF(H71&lt;'PlayerGrades+'!$AC$10,"C+",IF(H71&lt;'PlayerGrades+'!$AC$9,"B-",IF(H71&lt;'PlayerGrades+'!$AC$8,"B",IF(H71&lt;'PlayerGrades+'!$AC$7,"B+",IF(H71&lt;'PlayerGrades+'!$AC$6,"A-",IF(H71&lt;'PlayerGrades+'!$AC$5,"A",IF(H71&lt;'PlayerGrades+'!$AC$4,"A+",IF(H71&lt;'PlayerGrades+'!$AC$3,"S-",IF(H71&lt;'PlayerGrades+'!$AC$2,"S","S+"))))))))))))))))))))</f>
        <v>#DIV/0!</v>
      </c>
      <c r="J71" s="961" t="str">
        <f t="shared" si="4"/>
        <v>#DIV/0!</v>
      </c>
      <c r="K71" s="961" t="str">
        <f>IF(J71&lt;'PlayerGrades+'!$AD$21,"F-",IF(J71&lt;'PlayerGrades+'!$AD$20,"F",IF(J71&lt;'PlayerGrades+'!$AD$19,"F+",IF(J71&lt;'PlayerGrades+'!$AD$18,"E-",IF(J71&lt;'PlayerGrades+'!$AD$17,"E",IF(J71&lt;'PlayerGrades+'!$AD$16,"E+",IF(J71&lt;'PlayerGrades+'!$AD$15,"D-",IF(J71&lt;'PlayerGrades+'!$AD$14,"D",IF(J71&lt;'PlayerGrades+'!$AD$13,"D+",IF(J71&lt;'PlayerGrades+'!$AD$12,"C-",IF(J71&lt;'PlayerGrades+'!$AD$11,"C",IF(J71&lt;'PlayerGrades+'!$AD$10,"C+",IF(J71&lt;'PlayerGrades+'!$AD$9,"B-",IF(J71&lt;'PlayerGrades+'!$AD$8,"B",IF(J71&lt;'PlayerGrades+'!$AD$7,"B+",IF(J71&lt;'PlayerGrades+'!$AD$6,"A-",IF(J71&lt;'PlayerGrades+'!$AD$5,"A",IF(J71&lt;'PlayerGrades+'!$AD$4,"A+",IF(J71&lt;'PlayerGrades+'!$AD$3,"S-",IF(J71&lt;'PlayerGrades+'!$AD$2,"S","S+"))))))))))))))))))))</f>
        <v>#DIV/0!</v>
      </c>
      <c r="L71" s="1176" t="str">
        <f t="shared" si="5"/>
        <v>#DIV/0!</v>
      </c>
      <c r="M71" s="992" t="str">
        <f>IF(L71&lt;'PlayerGrades+'!$AE$21,"F-",IF(L71&lt;'PlayerGrades+'!$AE$20,"F",IF(L71&lt;'PlayerGrades+'!$AE$19,"F+",IF(L71&lt;'PlayerGrades+'!$AE$18,"E-",IF(L71&lt;'PlayerGrades+'!$AE$17,"E",IF(L71&lt;'PlayerGrades+'!$AE$16,"E+",IF(L71&lt;'PlayerGrades+'!$AE$15,"D-",IF(L71&lt;'PlayerGrades+'!$AE$14,"D",IF(L71&lt;'PlayerGrades+'!$AE$13,"D+",IF(L71&lt;'PlayerGrades+'!$AE$12,"C-",IF(L71&lt;'PlayerGrades+'!$AE$11,"C",IF(L71&lt;'PlayerGrades+'!$AE$10,"C+",IF(L71&lt;'PlayerGrades+'!$AE$9,"B-",IF(L71&lt;'PlayerGrades+'!$AE$8,"B",IF(L71&lt;'PlayerGrades+'!$AE$7,"B+",IF(L71&lt;'PlayerGrades+'!$AE$6,"A-",IF(L71&lt;'PlayerGrades+'!$AE$5,"A",IF(L71&lt;'PlayerGrades+'!$AE$4,"A+",IF(L71&lt;'PlayerGrades+'!$AE$3,"S-",IF(L71&lt;'PlayerGrades+'!$AE$2,"S","S+"))))))))))))))))))))</f>
        <v>#DIV/0!</v>
      </c>
      <c r="N71" s="961" t="str">
        <f t="shared" si="6"/>
        <v>#DIV/0!</v>
      </c>
      <c r="O71" s="961" t="str">
        <f>IF(N71&lt;'PlayerGrades+'!$AF$21,"F-",IF(N71&lt;'PlayerGrades+'!$AF$20,"F",IF(N71&lt;'PlayerGrades+'!$AF$19,"F+",IF(N71&lt;'PlayerGrades+'!$AF$18,"E-",IF(N71&lt;'PlayerGrades+'!$AF$17,"E",IF(N71&lt;'PlayerGrades+'!$AF$16,"E+",IF(N71&lt;'PlayerGrades+'!$AF$15,"D-",IF(N71&lt;'PlayerGrades+'!$AF$14,"D",IF(N71&lt;'PlayerGrades+'!$AF$13,"D+",IF(N71&lt;'PlayerGrades+'!$AF$12,"C-",IF(N71&lt;'PlayerGrades+'!$AF$11,"C",IF(N71&lt;'PlayerGrades+'!$AF$10,"C+",IF(N71&lt;'PlayerGrades+'!$AF$9,"B-",IF(N71&lt;'PlayerGrades+'!$AF$8,"B",IF(N71&lt;'PlayerGrades+'!$AF$7,"B+",IF(N71&lt;'PlayerGrades+'!$AF$6,"A-",IF(N71&lt;'PlayerGrades+'!$AF$5,"A",IF(N71&lt;'PlayerGrades+'!$AF$4,"A+",IF(N71&lt;'PlayerGrades+'!$AF$3,"S-",IF(N71&lt;'PlayerGrades+'!$AF$2,"S","S+"))))))))))))))))))))</f>
        <v>#DIV/0!</v>
      </c>
      <c r="P71" s="961" t="str">
        <f t="shared" si="7"/>
        <v>#DIV/0!</v>
      </c>
      <c r="Q71" s="961" t="str">
        <f>IF(P71&lt;'PlayerGrades+'!$AG$21,"F-",IF(P71&lt;'PlayerGrades+'!$AG$20,"F",IF(P71&lt;'PlayerGrades+'!$AG$19,"F+",IF(P71&lt;'PlayerGrades+'!$AG$18,"E-",IF(P71&lt;'PlayerGrades+'!$AG$17,"E",IF(P71&lt;'PlayerGrades+'!$AG$16,"E+",IF(P71&lt;'PlayerGrades+'!$AG$15,"D-",IF(P71&lt;'PlayerGrades+'!$AG$14,"D",IF(P71&lt;'PlayerGrades+'!$AG$13,"D+",IF(P71&lt;'PlayerGrades+'!$AG$12,"C-",IF(P71&lt;'PlayerGrades+'!$AG$11,"C",IF(P71&lt;'PlayerGrades+'!$AG$10,"C+",IF(P71&lt;'PlayerGrades+'!$AG$9,"B-",IF(P71&lt;'PlayerGrades+'!$AG$8,"B",IF(P71&lt;'PlayerGrades+'!$AG$7,"B+",IF(P71&lt;'PlayerGrades+'!$AG$6,"A-",IF(P71&lt;'PlayerGrades+'!$AG$5,"A",IF(P71&lt;'PlayerGrades+'!$AG$4,"A+",IF(P71&lt;'PlayerGrades+'!$AG$3,"S-",IF(P71&lt;'PlayerGrades+'!$AG$2,"S","S+"))))))))))))))))))))</f>
        <v>#DIV/0!</v>
      </c>
      <c r="R71" s="961" t="str">
        <f t="shared" si="8"/>
        <v>#DIV/0!</v>
      </c>
      <c r="S71" s="961" t="str">
        <f>IF(R71&lt;'PlayerGrades+'!$AH$21,"F-",IF(R71&lt;'PlayerGrades+'!$AH$20,"F",IF(R71&lt;'PlayerGrades+'!$AH$19,"F+",IF(R71&lt;'PlayerGrades+'!$AH$18,"E-",IF(R71&lt;'PlayerGrades+'!$AH$17,"E",IF(R71&lt;'PlayerGrades+'!$AH$16,"E+",IF(R71&lt;'PlayerGrades+'!$AH$15,"D-",IF(R71&lt;'PlayerGrades+'!$AH$14,"D",IF(R71&lt;'PlayerGrades+'!$AH$13,"D+",IF(R71&lt;'PlayerGrades+'!$AH$12,"C-",IF(R71&lt;'PlayerGrades+'!$AH$11,"C",IF(R71&lt;'PlayerGrades+'!$AH$10,"C+",IF(R71&lt;'PlayerGrades+'!$AH$9,"B-",IF(R71&lt;'PlayerGrades+'!$AH$8,"B",IF(R71&lt;'PlayerGrades+'!$AH$7,"B+",IF(R71&lt;'PlayerGrades+'!$AH$6,"A-",IF(R71&lt;'PlayerGrades+'!$AH$5,"A",IF(R71&lt;'PlayerGrades+'!$AH$4,"A+",IF(R71&lt;'PlayerGrades+'!$AH$3,"S-",IF(R71&lt;'PlayerGrades+'!$AH$2,"S","S+"))))))))))))))))))))</f>
        <v>#DIV/0!</v>
      </c>
      <c r="T71" s="961">
        <f t="shared" si="9"/>
        <v>0</v>
      </c>
      <c r="U71" s="961" t="str">
        <f>IF(T71&lt;'PlayerGrades+'!$AI$21,"F-",IF(T71&lt;'PlayerGrades+'!$AI$20,"F",IF(T71&lt;'PlayerGrades+'!$AI$19,"F+",IF(T71&lt;'PlayerGrades+'!$AI$18,"E-",IF(T71&lt;'PlayerGrades+'!$AI$17,"E",IF(T71&lt;'PlayerGrades+'!$AI$16,"E+",IF(T71&lt;'PlayerGrades+'!$AI$15,"D-",IF(T71&lt;'PlayerGrades+'!$AI$14,"D",IF(T71&lt;'PlayerGrades+'!$AI$13,"D+",IF(T71&lt;'PlayerGrades+'!$AI$12,"C-",IF(T71&lt;'PlayerGrades+'!$AI$11,"C",IF(T71&lt;'PlayerGrades+'!$AI$10,"C+",IF(T71&lt;'PlayerGrades+'!$AI$9,"B-",IF(T71&lt;'PlayerGrades+'!$AI$8,"B",IF(T71&lt;'PlayerGrades+'!$AI$7,"B+",IF(T71&lt;'PlayerGrades+'!$AI$6,"A-",IF(T71&lt;'PlayerGrades+'!$AI$5,"A",IF(T71&lt;'PlayerGrades+'!$AI$4,"A+",IF(T71&lt;'PlayerGrades+'!$AI$3,"S-",IF(T71&lt;'PlayerGrades+'!$AI$2,"S","S+"))))))))))))))))))))</f>
        <v>F-</v>
      </c>
      <c r="AC71" s="1392"/>
    </row>
    <row r="72">
      <c r="A72" s="1391"/>
      <c r="B72" s="611" t="str">
        <f>IF(C72&lt;'PlayerGrades+'!$Y$44,"F-",IF(C72&lt;'PlayerGrades+'!$Y$43,"F",IF(C72&lt;'PlayerGrades+'!$Y$42,"F+",IF(C72&lt;'PlayerGrades+'!$Y$41,"E-",IF(C72&lt;'PlayerGrades+'!$Y$40,"E",IF(C72&lt;'PlayerGrades+'!$Y$39,"E+",IF(C72&lt;'PlayerGrades+'!$Y$38,"D-",IF(C72&lt;'PlayerGrades+'!$Y$37,"D",IF(C72&lt;'PlayerGrades+'!$Y$36,"D+",IF(C72&lt;'PlayerGrades+'!$Y$35,"C-",IF(C72&lt;'PlayerGrades+'!$Y$34,"C",IF(C72&lt;'PlayerGrades+'!$Y$33,"C+",IF(C72&lt;'PlayerGrades+'!$Y$32,"B-",IF(C72&lt;'PlayerGrades+'!$Y$31,"B",IF(C72&lt;'PlayerGrades+'!$Y$30,"B+",IF(C72&lt;'PlayerGrades+'!$Y$29,"A-",IF(C72&lt;'PlayerGrades+'!$Y$28,"A",IF(C72&lt;'PlayerGrades+'!$Y$27,"A+",IF(C72&lt;'PlayerGrades+'!$Y$26,"S-",IF(C72&lt;'PlayerGrades+'!$Y$25,"S","S+"))))))))))))))))))))</f>
        <v>#DIV/0!</v>
      </c>
      <c r="C72" s="1378" t="str">
        <f>('PlayerGrades+'!$Y$47*(VLOOKUP(E72, 'PlayerGrades+'!$X$3:$Y$23, 2, FALSE)))+('PlayerGrades+'!$Y$48*(VLOOKUP(G72, 'PlayerGrades+'!$X$3:$Y$23, 2, FALSE)))+('PlayerGrades+'!$Y$49*(VLOOKUP(I72, 'PlayerGrades+'!$X$3:$Y$23, 2, FALSE)))+('PlayerGrades+'!$Y$50*(VLOOKUP(K72, 'PlayerGrades+'!$X$3:$Y$23, 2, FALSE)))+('PlayerGrades+'!$Y$51*(VLOOKUP(M72, 'PlayerGrades+'!$X$3:$Y$23, 2, FALSE)))+('PlayerGrades+'!$Y$52*(VLOOKUP(O72, 'PlayerGrades+'!$X$3:$Y$23, 2, FALSE)))+('PlayerGrades+'!$Y$53*(VLOOKUP(Q72, 'PlayerGrades+'!$X$3:$Y$23, 2, FALSE)))+('PlayerGrades+'!$Y$54*(VLOOKUP(S72, 'PlayerGrades+'!$X$3:$Y$23, 2, FALSE)))+('PlayerGrades+'!$Y$55*(VLOOKUP(U72, 'PlayerGrades+'!$X$3:$Y$23, 2, FALSE)))</f>
        <v>#DIV/0!</v>
      </c>
      <c r="D72" s="961" t="str">
        <f t="shared" si="1"/>
        <v>#DIV/0!</v>
      </c>
      <c r="E72" s="961" t="str">
        <f>IF(D72&lt;'PlayerGrades+'!$AA$21,"F-",IF(D72&lt;'PlayerGrades+'!$AA$20,"F",IF(D72&lt;'PlayerGrades+'!$AA$19,"F+",IF(D72&lt;'PlayerGrades+'!$AA$18,"E-",IF(D72&lt;'PlayerGrades+'!$AA$17,"E",IF(D72&lt;'PlayerGrades+'!$AA$16,"E+",IF(D72&lt;'PlayerGrades+'!$AA$15,"D-",IF(D72&lt;'PlayerGrades+'!$AA$14,"D",IF(D72&lt;'PlayerGrades+'!$AA$13,"D+",IF(D72&lt;'PlayerGrades+'!$AA$12,"C-",IF(D72&lt;'PlayerGrades+'!$AA$11,"C",IF(D72&lt;'PlayerGrades+'!$AA$10,"C+",IF(D72&lt;'PlayerGrades+'!$AA$9,"B-",IF(D72&lt;'PlayerGrades+'!$AA$8,"B",IF(D72&lt;'PlayerGrades+'!$AA$7,"B+",IF(D72&lt;'PlayerGrades+'!$AA$6,"A-",IF(D72&lt;'PlayerGrades+'!$AA$5,"A",IF(D72&lt;'PlayerGrades+'!$AA$4,"A+",IF(D72&lt;'PlayerGrades+'!$AA$3,"S-",IF(D72&lt;'PlayerGrades+'!$AA$2,"S","S+"))))))))))))))))))))</f>
        <v>#DIV/0!</v>
      </c>
      <c r="F72" s="961" t="str">
        <f t="shared" si="2"/>
        <v>#DIV/0!</v>
      </c>
      <c r="G72" s="961" t="str">
        <f>IF(F72&lt;'PlayerGrades+'!$AB$21,"F-",IF(F72&lt;'PlayerGrades+'!$AB$20,"F",IF(F72&lt;'PlayerGrades+'!$AB$19,"F+",IF(F72&lt;'PlayerGrades+'!$AB$18,"E-",IF(F72&lt;'PlayerGrades+'!$AB$17,"E",IF(F72&lt;'PlayerGrades+'!$AB$16,"E+",IF(F72&lt;'PlayerGrades+'!$AB$15,"D-",IF(F72&lt;'PlayerGrades+'!$AB$14,"D",IF(F72&lt;'PlayerGrades+'!$AB$13,"D+",IF(F72&lt;'PlayerGrades+'!$AB$12,"C-",IF(F72&lt;'PlayerGrades+'!$AB$11,"C",IF(F72&lt;'PlayerGrades+'!$AB$10,"C+",IF(F72&lt;'PlayerGrades+'!$AB$9,"B-",IF(F72&lt;'PlayerGrades+'!$AB$8,"B",IF(F72&lt;'PlayerGrades+'!$AB$7,"B+",IF(F72&lt;'PlayerGrades+'!$AB$6,"A-",IF(F72&lt;'PlayerGrades+'!$AB$5,"A",IF(F72&lt;'PlayerGrades+'!$AB$4,"A+",IF(F72&lt;'PlayerGrades+'!$AB$3,"S-",IF(F72&lt;'PlayerGrades+'!$AB$2,"S","S+"))))))))))))))))))))</f>
        <v>#DIV/0!</v>
      </c>
      <c r="H72" s="961" t="str">
        <f t="shared" si="3"/>
        <v>#DIV/0!</v>
      </c>
      <c r="I72" s="961" t="str">
        <f>IF(H72&lt;'PlayerGrades+'!$AC$21,"F-",IF(H72&lt;'PlayerGrades+'!$AC$20,"F",IF(H72&lt;'PlayerGrades+'!$AC$19,"F+",IF(H72&lt;'PlayerGrades+'!$AC$18,"E-",IF(H72&lt;'PlayerGrades+'!$AC$17,"E",IF(H72&lt;'PlayerGrades+'!$AC$16,"E+",IF(H72&lt;'PlayerGrades+'!$AC$15,"D-",IF(H72&lt;'PlayerGrades+'!$AC$14,"D",IF(H72&lt;'PlayerGrades+'!$AC$13,"D+",IF(H72&lt;'PlayerGrades+'!$AC$12,"C-",IF(H72&lt;'PlayerGrades+'!$AC$11,"C",IF(H72&lt;'PlayerGrades+'!$AC$10,"C+",IF(H72&lt;'PlayerGrades+'!$AC$9,"B-",IF(H72&lt;'PlayerGrades+'!$AC$8,"B",IF(H72&lt;'PlayerGrades+'!$AC$7,"B+",IF(H72&lt;'PlayerGrades+'!$AC$6,"A-",IF(H72&lt;'PlayerGrades+'!$AC$5,"A",IF(H72&lt;'PlayerGrades+'!$AC$4,"A+",IF(H72&lt;'PlayerGrades+'!$AC$3,"S-",IF(H72&lt;'PlayerGrades+'!$AC$2,"S","S+"))))))))))))))))))))</f>
        <v>#DIV/0!</v>
      </c>
      <c r="J72" s="961" t="str">
        <f t="shared" si="4"/>
        <v>#DIV/0!</v>
      </c>
      <c r="K72" s="961" t="str">
        <f>IF(J72&lt;'PlayerGrades+'!$AD$21,"F-",IF(J72&lt;'PlayerGrades+'!$AD$20,"F",IF(J72&lt;'PlayerGrades+'!$AD$19,"F+",IF(J72&lt;'PlayerGrades+'!$AD$18,"E-",IF(J72&lt;'PlayerGrades+'!$AD$17,"E",IF(J72&lt;'PlayerGrades+'!$AD$16,"E+",IF(J72&lt;'PlayerGrades+'!$AD$15,"D-",IF(J72&lt;'PlayerGrades+'!$AD$14,"D",IF(J72&lt;'PlayerGrades+'!$AD$13,"D+",IF(J72&lt;'PlayerGrades+'!$AD$12,"C-",IF(J72&lt;'PlayerGrades+'!$AD$11,"C",IF(J72&lt;'PlayerGrades+'!$AD$10,"C+",IF(J72&lt;'PlayerGrades+'!$AD$9,"B-",IF(J72&lt;'PlayerGrades+'!$AD$8,"B",IF(J72&lt;'PlayerGrades+'!$AD$7,"B+",IF(J72&lt;'PlayerGrades+'!$AD$6,"A-",IF(J72&lt;'PlayerGrades+'!$AD$5,"A",IF(J72&lt;'PlayerGrades+'!$AD$4,"A+",IF(J72&lt;'PlayerGrades+'!$AD$3,"S-",IF(J72&lt;'PlayerGrades+'!$AD$2,"S","S+"))))))))))))))))))))</f>
        <v>#DIV/0!</v>
      </c>
      <c r="L72" s="1176" t="str">
        <f t="shared" si="5"/>
        <v>#DIV/0!</v>
      </c>
      <c r="M72" s="992" t="str">
        <f>IF(L72&lt;'PlayerGrades+'!$AE$21,"F-",IF(L72&lt;'PlayerGrades+'!$AE$20,"F",IF(L72&lt;'PlayerGrades+'!$AE$19,"F+",IF(L72&lt;'PlayerGrades+'!$AE$18,"E-",IF(L72&lt;'PlayerGrades+'!$AE$17,"E",IF(L72&lt;'PlayerGrades+'!$AE$16,"E+",IF(L72&lt;'PlayerGrades+'!$AE$15,"D-",IF(L72&lt;'PlayerGrades+'!$AE$14,"D",IF(L72&lt;'PlayerGrades+'!$AE$13,"D+",IF(L72&lt;'PlayerGrades+'!$AE$12,"C-",IF(L72&lt;'PlayerGrades+'!$AE$11,"C",IF(L72&lt;'PlayerGrades+'!$AE$10,"C+",IF(L72&lt;'PlayerGrades+'!$AE$9,"B-",IF(L72&lt;'PlayerGrades+'!$AE$8,"B",IF(L72&lt;'PlayerGrades+'!$AE$7,"B+",IF(L72&lt;'PlayerGrades+'!$AE$6,"A-",IF(L72&lt;'PlayerGrades+'!$AE$5,"A",IF(L72&lt;'PlayerGrades+'!$AE$4,"A+",IF(L72&lt;'PlayerGrades+'!$AE$3,"S-",IF(L72&lt;'PlayerGrades+'!$AE$2,"S","S+"))))))))))))))))))))</f>
        <v>#DIV/0!</v>
      </c>
      <c r="N72" s="961" t="str">
        <f t="shared" si="6"/>
        <v>#DIV/0!</v>
      </c>
      <c r="O72" s="961" t="str">
        <f>IF(N72&lt;'PlayerGrades+'!$AF$21,"F-",IF(N72&lt;'PlayerGrades+'!$AF$20,"F",IF(N72&lt;'PlayerGrades+'!$AF$19,"F+",IF(N72&lt;'PlayerGrades+'!$AF$18,"E-",IF(N72&lt;'PlayerGrades+'!$AF$17,"E",IF(N72&lt;'PlayerGrades+'!$AF$16,"E+",IF(N72&lt;'PlayerGrades+'!$AF$15,"D-",IF(N72&lt;'PlayerGrades+'!$AF$14,"D",IF(N72&lt;'PlayerGrades+'!$AF$13,"D+",IF(N72&lt;'PlayerGrades+'!$AF$12,"C-",IF(N72&lt;'PlayerGrades+'!$AF$11,"C",IF(N72&lt;'PlayerGrades+'!$AF$10,"C+",IF(N72&lt;'PlayerGrades+'!$AF$9,"B-",IF(N72&lt;'PlayerGrades+'!$AF$8,"B",IF(N72&lt;'PlayerGrades+'!$AF$7,"B+",IF(N72&lt;'PlayerGrades+'!$AF$6,"A-",IF(N72&lt;'PlayerGrades+'!$AF$5,"A",IF(N72&lt;'PlayerGrades+'!$AF$4,"A+",IF(N72&lt;'PlayerGrades+'!$AF$3,"S-",IF(N72&lt;'PlayerGrades+'!$AF$2,"S","S+"))))))))))))))))))))</f>
        <v>#DIV/0!</v>
      </c>
      <c r="P72" s="961" t="str">
        <f t="shared" si="7"/>
        <v>#DIV/0!</v>
      </c>
      <c r="Q72" s="961" t="str">
        <f>IF(P72&lt;'PlayerGrades+'!$AG$21,"F-",IF(P72&lt;'PlayerGrades+'!$AG$20,"F",IF(P72&lt;'PlayerGrades+'!$AG$19,"F+",IF(P72&lt;'PlayerGrades+'!$AG$18,"E-",IF(P72&lt;'PlayerGrades+'!$AG$17,"E",IF(P72&lt;'PlayerGrades+'!$AG$16,"E+",IF(P72&lt;'PlayerGrades+'!$AG$15,"D-",IF(P72&lt;'PlayerGrades+'!$AG$14,"D",IF(P72&lt;'PlayerGrades+'!$AG$13,"D+",IF(P72&lt;'PlayerGrades+'!$AG$12,"C-",IF(P72&lt;'PlayerGrades+'!$AG$11,"C",IF(P72&lt;'PlayerGrades+'!$AG$10,"C+",IF(P72&lt;'PlayerGrades+'!$AG$9,"B-",IF(P72&lt;'PlayerGrades+'!$AG$8,"B",IF(P72&lt;'PlayerGrades+'!$AG$7,"B+",IF(P72&lt;'PlayerGrades+'!$AG$6,"A-",IF(P72&lt;'PlayerGrades+'!$AG$5,"A",IF(P72&lt;'PlayerGrades+'!$AG$4,"A+",IF(P72&lt;'PlayerGrades+'!$AG$3,"S-",IF(P72&lt;'PlayerGrades+'!$AG$2,"S","S+"))))))))))))))))))))</f>
        <v>#DIV/0!</v>
      </c>
      <c r="R72" s="961" t="str">
        <f t="shared" si="8"/>
        <v>#DIV/0!</v>
      </c>
      <c r="S72" s="961" t="str">
        <f>IF(R72&lt;'PlayerGrades+'!$AH$21,"F-",IF(R72&lt;'PlayerGrades+'!$AH$20,"F",IF(R72&lt;'PlayerGrades+'!$AH$19,"F+",IF(R72&lt;'PlayerGrades+'!$AH$18,"E-",IF(R72&lt;'PlayerGrades+'!$AH$17,"E",IF(R72&lt;'PlayerGrades+'!$AH$16,"E+",IF(R72&lt;'PlayerGrades+'!$AH$15,"D-",IF(R72&lt;'PlayerGrades+'!$AH$14,"D",IF(R72&lt;'PlayerGrades+'!$AH$13,"D+",IF(R72&lt;'PlayerGrades+'!$AH$12,"C-",IF(R72&lt;'PlayerGrades+'!$AH$11,"C",IF(R72&lt;'PlayerGrades+'!$AH$10,"C+",IF(R72&lt;'PlayerGrades+'!$AH$9,"B-",IF(R72&lt;'PlayerGrades+'!$AH$8,"B",IF(R72&lt;'PlayerGrades+'!$AH$7,"B+",IF(R72&lt;'PlayerGrades+'!$AH$6,"A-",IF(R72&lt;'PlayerGrades+'!$AH$5,"A",IF(R72&lt;'PlayerGrades+'!$AH$4,"A+",IF(R72&lt;'PlayerGrades+'!$AH$3,"S-",IF(R72&lt;'PlayerGrades+'!$AH$2,"S","S+"))))))))))))))))))))</f>
        <v>#DIV/0!</v>
      </c>
      <c r="T72" s="961">
        <f t="shared" si="9"/>
        <v>0</v>
      </c>
      <c r="U72" s="961" t="str">
        <f>IF(T72&lt;'PlayerGrades+'!$AI$21,"F-",IF(T72&lt;'PlayerGrades+'!$AI$20,"F",IF(T72&lt;'PlayerGrades+'!$AI$19,"F+",IF(T72&lt;'PlayerGrades+'!$AI$18,"E-",IF(T72&lt;'PlayerGrades+'!$AI$17,"E",IF(T72&lt;'PlayerGrades+'!$AI$16,"E+",IF(T72&lt;'PlayerGrades+'!$AI$15,"D-",IF(T72&lt;'PlayerGrades+'!$AI$14,"D",IF(T72&lt;'PlayerGrades+'!$AI$13,"D+",IF(T72&lt;'PlayerGrades+'!$AI$12,"C-",IF(T72&lt;'PlayerGrades+'!$AI$11,"C",IF(T72&lt;'PlayerGrades+'!$AI$10,"C+",IF(T72&lt;'PlayerGrades+'!$AI$9,"B-",IF(T72&lt;'PlayerGrades+'!$AI$8,"B",IF(T72&lt;'PlayerGrades+'!$AI$7,"B+",IF(T72&lt;'PlayerGrades+'!$AI$6,"A-",IF(T72&lt;'PlayerGrades+'!$AI$5,"A",IF(T72&lt;'PlayerGrades+'!$AI$4,"A+",IF(T72&lt;'PlayerGrades+'!$AI$3,"S-",IF(T72&lt;'PlayerGrades+'!$AI$2,"S","S+"))))))))))))))))))))</f>
        <v>F-</v>
      </c>
      <c r="AC72" s="1392"/>
    </row>
    <row r="73">
      <c r="A73" s="1393"/>
      <c r="B73" s="611" t="str">
        <f>IF(C73&lt;'PlayerGrades+'!$Y$44,"F-",IF(C73&lt;'PlayerGrades+'!$Y$43,"F",IF(C73&lt;'PlayerGrades+'!$Y$42,"F+",IF(C73&lt;'PlayerGrades+'!$Y$41,"E-",IF(C73&lt;'PlayerGrades+'!$Y$40,"E",IF(C73&lt;'PlayerGrades+'!$Y$39,"E+",IF(C73&lt;'PlayerGrades+'!$Y$38,"D-",IF(C73&lt;'PlayerGrades+'!$Y$37,"D",IF(C73&lt;'PlayerGrades+'!$Y$36,"D+",IF(C73&lt;'PlayerGrades+'!$Y$35,"C-",IF(C73&lt;'PlayerGrades+'!$Y$34,"C",IF(C73&lt;'PlayerGrades+'!$Y$33,"C+",IF(C73&lt;'PlayerGrades+'!$Y$32,"B-",IF(C73&lt;'PlayerGrades+'!$Y$31,"B",IF(C73&lt;'PlayerGrades+'!$Y$30,"B+",IF(C73&lt;'PlayerGrades+'!$Y$29,"A-",IF(C73&lt;'PlayerGrades+'!$Y$28,"A",IF(C73&lt;'PlayerGrades+'!$Y$27,"A+",IF(C73&lt;'PlayerGrades+'!$Y$26,"S-",IF(C73&lt;'PlayerGrades+'!$Y$25,"S","S+"))))))))))))))))))))</f>
        <v>#DIV/0!</v>
      </c>
      <c r="C73" s="1378" t="str">
        <f>('PlayerGrades+'!$Y$47*(VLOOKUP(E73, 'PlayerGrades+'!$X$3:$Y$23, 2, FALSE)))+('PlayerGrades+'!$Y$48*(VLOOKUP(G73, 'PlayerGrades+'!$X$3:$Y$23, 2, FALSE)))+('PlayerGrades+'!$Y$49*(VLOOKUP(I73, 'PlayerGrades+'!$X$3:$Y$23, 2, FALSE)))+('PlayerGrades+'!$Y$50*(VLOOKUP(K73, 'PlayerGrades+'!$X$3:$Y$23, 2, FALSE)))+('PlayerGrades+'!$Y$51*(VLOOKUP(M73, 'PlayerGrades+'!$X$3:$Y$23, 2, FALSE)))+('PlayerGrades+'!$Y$52*(VLOOKUP(O73, 'PlayerGrades+'!$X$3:$Y$23, 2, FALSE)))+('PlayerGrades+'!$Y$53*(VLOOKUP(Q73, 'PlayerGrades+'!$X$3:$Y$23, 2, FALSE)))+('PlayerGrades+'!$Y$54*(VLOOKUP(S73, 'PlayerGrades+'!$X$3:$Y$23, 2, FALSE)))+('PlayerGrades+'!$Y$55*(VLOOKUP(U73, 'PlayerGrades+'!$X$3:$Y$23, 2, FALSE)))</f>
        <v>#DIV/0!</v>
      </c>
      <c r="D73" s="961" t="str">
        <f t="shared" si="1"/>
        <v>#DIV/0!</v>
      </c>
      <c r="E73" s="961" t="str">
        <f>IF(D73&lt;'PlayerGrades+'!$AA$21,"F-",IF(D73&lt;'PlayerGrades+'!$AA$20,"F",IF(D73&lt;'PlayerGrades+'!$AA$19,"F+",IF(D73&lt;'PlayerGrades+'!$AA$18,"E-",IF(D73&lt;'PlayerGrades+'!$AA$17,"E",IF(D73&lt;'PlayerGrades+'!$AA$16,"E+",IF(D73&lt;'PlayerGrades+'!$AA$15,"D-",IF(D73&lt;'PlayerGrades+'!$AA$14,"D",IF(D73&lt;'PlayerGrades+'!$AA$13,"D+",IF(D73&lt;'PlayerGrades+'!$AA$12,"C-",IF(D73&lt;'PlayerGrades+'!$AA$11,"C",IF(D73&lt;'PlayerGrades+'!$AA$10,"C+",IF(D73&lt;'PlayerGrades+'!$AA$9,"B-",IF(D73&lt;'PlayerGrades+'!$AA$8,"B",IF(D73&lt;'PlayerGrades+'!$AA$7,"B+",IF(D73&lt;'PlayerGrades+'!$AA$6,"A-",IF(D73&lt;'PlayerGrades+'!$AA$5,"A",IF(D73&lt;'PlayerGrades+'!$AA$4,"A+",IF(D73&lt;'PlayerGrades+'!$AA$3,"S-",IF(D73&lt;'PlayerGrades+'!$AA$2,"S","S+"))))))))))))))))))))</f>
        <v>#DIV/0!</v>
      </c>
      <c r="F73" s="961" t="str">
        <f t="shared" si="2"/>
        <v>#DIV/0!</v>
      </c>
      <c r="G73" s="961" t="str">
        <f>IF(F73&lt;'PlayerGrades+'!$AB$21,"F-",IF(F73&lt;'PlayerGrades+'!$AB$20,"F",IF(F73&lt;'PlayerGrades+'!$AB$19,"F+",IF(F73&lt;'PlayerGrades+'!$AB$18,"E-",IF(F73&lt;'PlayerGrades+'!$AB$17,"E",IF(F73&lt;'PlayerGrades+'!$AB$16,"E+",IF(F73&lt;'PlayerGrades+'!$AB$15,"D-",IF(F73&lt;'PlayerGrades+'!$AB$14,"D",IF(F73&lt;'PlayerGrades+'!$AB$13,"D+",IF(F73&lt;'PlayerGrades+'!$AB$12,"C-",IF(F73&lt;'PlayerGrades+'!$AB$11,"C",IF(F73&lt;'PlayerGrades+'!$AB$10,"C+",IF(F73&lt;'PlayerGrades+'!$AB$9,"B-",IF(F73&lt;'PlayerGrades+'!$AB$8,"B",IF(F73&lt;'PlayerGrades+'!$AB$7,"B+",IF(F73&lt;'PlayerGrades+'!$AB$6,"A-",IF(F73&lt;'PlayerGrades+'!$AB$5,"A",IF(F73&lt;'PlayerGrades+'!$AB$4,"A+",IF(F73&lt;'PlayerGrades+'!$AB$3,"S-",IF(F73&lt;'PlayerGrades+'!$AB$2,"S","S+"))))))))))))))))))))</f>
        <v>#DIV/0!</v>
      </c>
      <c r="H73" s="961" t="str">
        <f t="shared" si="3"/>
        <v>#DIV/0!</v>
      </c>
      <c r="I73" s="961" t="str">
        <f>IF(H73&lt;'PlayerGrades+'!$AC$21,"F-",IF(H73&lt;'PlayerGrades+'!$AC$20,"F",IF(H73&lt;'PlayerGrades+'!$AC$19,"F+",IF(H73&lt;'PlayerGrades+'!$AC$18,"E-",IF(H73&lt;'PlayerGrades+'!$AC$17,"E",IF(H73&lt;'PlayerGrades+'!$AC$16,"E+",IF(H73&lt;'PlayerGrades+'!$AC$15,"D-",IF(H73&lt;'PlayerGrades+'!$AC$14,"D",IF(H73&lt;'PlayerGrades+'!$AC$13,"D+",IF(H73&lt;'PlayerGrades+'!$AC$12,"C-",IF(H73&lt;'PlayerGrades+'!$AC$11,"C",IF(H73&lt;'PlayerGrades+'!$AC$10,"C+",IF(H73&lt;'PlayerGrades+'!$AC$9,"B-",IF(H73&lt;'PlayerGrades+'!$AC$8,"B",IF(H73&lt;'PlayerGrades+'!$AC$7,"B+",IF(H73&lt;'PlayerGrades+'!$AC$6,"A-",IF(H73&lt;'PlayerGrades+'!$AC$5,"A",IF(H73&lt;'PlayerGrades+'!$AC$4,"A+",IF(H73&lt;'PlayerGrades+'!$AC$3,"S-",IF(H73&lt;'PlayerGrades+'!$AC$2,"S","S+"))))))))))))))))))))</f>
        <v>#DIV/0!</v>
      </c>
      <c r="J73" s="961" t="str">
        <f t="shared" si="4"/>
        <v>#DIV/0!</v>
      </c>
      <c r="K73" s="961" t="str">
        <f>IF(J73&lt;'PlayerGrades+'!$AD$21,"F-",IF(J73&lt;'PlayerGrades+'!$AD$20,"F",IF(J73&lt;'PlayerGrades+'!$AD$19,"F+",IF(J73&lt;'PlayerGrades+'!$AD$18,"E-",IF(J73&lt;'PlayerGrades+'!$AD$17,"E",IF(J73&lt;'PlayerGrades+'!$AD$16,"E+",IF(J73&lt;'PlayerGrades+'!$AD$15,"D-",IF(J73&lt;'PlayerGrades+'!$AD$14,"D",IF(J73&lt;'PlayerGrades+'!$AD$13,"D+",IF(J73&lt;'PlayerGrades+'!$AD$12,"C-",IF(J73&lt;'PlayerGrades+'!$AD$11,"C",IF(J73&lt;'PlayerGrades+'!$AD$10,"C+",IF(J73&lt;'PlayerGrades+'!$AD$9,"B-",IF(J73&lt;'PlayerGrades+'!$AD$8,"B",IF(J73&lt;'PlayerGrades+'!$AD$7,"B+",IF(J73&lt;'PlayerGrades+'!$AD$6,"A-",IF(J73&lt;'PlayerGrades+'!$AD$5,"A",IF(J73&lt;'PlayerGrades+'!$AD$4,"A+",IF(J73&lt;'PlayerGrades+'!$AD$3,"S-",IF(J73&lt;'PlayerGrades+'!$AD$2,"S","S+"))))))))))))))))))))</f>
        <v>#DIV/0!</v>
      </c>
      <c r="L73" s="1176" t="str">
        <f t="shared" si="5"/>
        <v>#DIV/0!</v>
      </c>
      <c r="M73" s="992" t="str">
        <f>IF(L73&lt;'PlayerGrades+'!$AE$21,"F-",IF(L73&lt;'PlayerGrades+'!$AE$20,"F",IF(L73&lt;'PlayerGrades+'!$AE$19,"F+",IF(L73&lt;'PlayerGrades+'!$AE$18,"E-",IF(L73&lt;'PlayerGrades+'!$AE$17,"E",IF(L73&lt;'PlayerGrades+'!$AE$16,"E+",IF(L73&lt;'PlayerGrades+'!$AE$15,"D-",IF(L73&lt;'PlayerGrades+'!$AE$14,"D",IF(L73&lt;'PlayerGrades+'!$AE$13,"D+",IF(L73&lt;'PlayerGrades+'!$AE$12,"C-",IF(L73&lt;'PlayerGrades+'!$AE$11,"C",IF(L73&lt;'PlayerGrades+'!$AE$10,"C+",IF(L73&lt;'PlayerGrades+'!$AE$9,"B-",IF(L73&lt;'PlayerGrades+'!$AE$8,"B",IF(L73&lt;'PlayerGrades+'!$AE$7,"B+",IF(L73&lt;'PlayerGrades+'!$AE$6,"A-",IF(L73&lt;'PlayerGrades+'!$AE$5,"A",IF(L73&lt;'PlayerGrades+'!$AE$4,"A+",IF(L73&lt;'PlayerGrades+'!$AE$3,"S-",IF(L73&lt;'PlayerGrades+'!$AE$2,"S","S+"))))))))))))))))))))</f>
        <v>#DIV/0!</v>
      </c>
      <c r="N73" s="961" t="str">
        <f t="shared" si="6"/>
        <v>#DIV/0!</v>
      </c>
      <c r="O73" s="961" t="str">
        <f>IF(N73&lt;'PlayerGrades+'!$AF$21,"F-",IF(N73&lt;'PlayerGrades+'!$AF$20,"F",IF(N73&lt;'PlayerGrades+'!$AF$19,"F+",IF(N73&lt;'PlayerGrades+'!$AF$18,"E-",IF(N73&lt;'PlayerGrades+'!$AF$17,"E",IF(N73&lt;'PlayerGrades+'!$AF$16,"E+",IF(N73&lt;'PlayerGrades+'!$AF$15,"D-",IF(N73&lt;'PlayerGrades+'!$AF$14,"D",IF(N73&lt;'PlayerGrades+'!$AF$13,"D+",IF(N73&lt;'PlayerGrades+'!$AF$12,"C-",IF(N73&lt;'PlayerGrades+'!$AF$11,"C",IF(N73&lt;'PlayerGrades+'!$AF$10,"C+",IF(N73&lt;'PlayerGrades+'!$AF$9,"B-",IF(N73&lt;'PlayerGrades+'!$AF$8,"B",IF(N73&lt;'PlayerGrades+'!$AF$7,"B+",IF(N73&lt;'PlayerGrades+'!$AF$6,"A-",IF(N73&lt;'PlayerGrades+'!$AF$5,"A",IF(N73&lt;'PlayerGrades+'!$AF$4,"A+",IF(N73&lt;'PlayerGrades+'!$AF$3,"S-",IF(N73&lt;'PlayerGrades+'!$AF$2,"S","S+"))))))))))))))))))))</f>
        <v>#DIV/0!</v>
      </c>
      <c r="P73" s="961" t="str">
        <f t="shared" si="7"/>
        <v>#DIV/0!</v>
      </c>
      <c r="Q73" s="961" t="str">
        <f>IF(P73&lt;'PlayerGrades+'!$AG$21,"F-",IF(P73&lt;'PlayerGrades+'!$AG$20,"F",IF(P73&lt;'PlayerGrades+'!$AG$19,"F+",IF(P73&lt;'PlayerGrades+'!$AG$18,"E-",IF(P73&lt;'PlayerGrades+'!$AG$17,"E",IF(P73&lt;'PlayerGrades+'!$AG$16,"E+",IF(P73&lt;'PlayerGrades+'!$AG$15,"D-",IF(P73&lt;'PlayerGrades+'!$AG$14,"D",IF(P73&lt;'PlayerGrades+'!$AG$13,"D+",IF(P73&lt;'PlayerGrades+'!$AG$12,"C-",IF(P73&lt;'PlayerGrades+'!$AG$11,"C",IF(P73&lt;'PlayerGrades+'!$AG$10,"C+",IF(P73&lt;'PlayerGrades+'!$AG$9,"B-",IF(P73&lt;'PlayerGrades+'!$AG$8,"B",IF(P73&lt;'PlayerGrades+'!$AG$7,"B+",IF(P73&lt;'PlayerGrades+'!$AG$6,"A-",IF(P73&lt;'PlayerGrades+'!$AG$5,"A",IF(P73&lt;'PlayerGrades+'!$AG$4,"A+",IF(P73&lt;'PlayerGrades+'!$AG$3,"S-",IF(P73&lt;'PlayerGrades+'!$AG$2,"S","S+"))))))))))))))))))))</f>
        <v>#DIV/0!</v>
      </c>
      <c r="R73" s="961" t="str">
        <f t="shared" si="8"/>
        <v>#DIV/0!</v>
      </c>
      <c r="S73" s="961" t="str">
        <f>IF(R73&lt;'PlayerGrades+'!$AH$21,"F-",IF(R73&lt;'PlayerGrades+'!$AH$20,"F",IF(R73&lt;'PlayerGrades+'!$AH$19,"F+",IF(R73&lt;'PlayerGrades+'!$AH$18,"E-",IF(R73&lt;'PlayerGrades+'!$AH$17,"E",IF(R73&lt;'PlayerGrades+'!$AH$16,"E+",IF(R73&lt;'PlayerGrades+'!$AH$15,"D-",IF(R73&lt;'PlayerGrades+'!$AH$14,"D",IF(R73&lt;'PlayerGrades+'!$AH$13,"D+",IF(R73&lt;'PlayerGrades+'!$AH$12,"C-",IF(R73&lt;'PlayerGrades+'!$AH$11,"C",IF(R73&lt;'PlayerGrades+'!$AH$10,"C+",IF(R73&lt;'PlayerGrades+'!$AH$9,"B-",IF(R73&lt;'PlayerGrades+'!$AH$8,"B",IF(R73&lt;'PlayerGrades+'!$AH$7,"B+",IF(R73&lt;'PlayerGrades+'!$AH$6,"A-",IF(R73&lt;'PlayerGrades+'!$AH$5,"A",IF(R73&lt;'PlayerGrades+'!$AH$4,"A+",IF(R73&lt;'PlayerGrades+'!$AH$3,"S-",IF(R73&lt;'PlayerGrades+'!$AH$2,"S","S+"))))))))))))))))))))</f>
        <v>#DIV/0!</v>
      </c>
      <c r="T73" s="961">
        <f t="shared" si="9"/>
        <v>0</v>
      </c>
      <c r="U73" s="961" t="str">
        <f>IF(T73&lt;'PlayerGrades+'!$AI$21,"F-",IF(T73&lt;'PlayerGrades+'!$AI$20,"F",IF(T73&lt;'PlayerGrades+'!$AI$19,"F+",IF(T73&lt;'PlayerGrades+'!$AI$18,"E-",IF(T73&lt;'PlayerGrades+'!$AI$17,"E",IF(T73&lt;'PlayerGrades+'!$AI$16,"E+",IF(T73&lt;'PlayerGrades+'!$AI$15,"D-",IF(T73&lt;'PlayerGrades+'!$AI$14,"D",IF(T73&lt;'PlayerGrades+'!$AI$13,"D+",IF(T73&lt;'PlayerGrades+'!$AI$12,"C-",IF(T73&lt;'PlayerGrades+'!$AI$11,"C",IF(T73&lt;'PlayerGrades+'!$AI$10,"C+",IF(T73&lt;'PlayerGrades+'!$AI$9,"B-",IF(T73&lt;'PlayerGrades+'!$AI$8,"B",IF(T73&lt;'PlayerGrades+'!$AI$7,"B+",IF(T73&lt;'PlayerGrades+'!$AI$6,"A-",IF(T73&lt;'PlayerGrades+'!$AI$5,"A",IF(T73&lt;'PlayerGrades+'!$AI$4,"A+",IF(T73&lt;'PlayerGrades+'!$AI$3,"S-",IF(T73&lt;'PlayerGrades+'!$AI$2,"S","S+"))))))))))))))))))))</f>
        <v>F-</v>
      </c>
      <c r="V73" s="1386"/>
      <c r="W73" s="1386"/>
      <c r="X73" s="1386"/>
      <c r="Y73" s="1386"/>
      <c r="Z73" s="1386"/>
      <c r="AA73" s="1386"/>
      <c r="AB73" s="1386"/>
      <c r="AC73" s="1397"/>
      <c r="AD73" s="1386"/>
      <c r="AE73" s="1386"/>
      <c r="AF73" s="1386"/>
      <c r="AG73" s="1386"/>
      <c r="AH73" s="1386"/>
      <c r="AI73" s="1386"/>
      <c r="AJ73" s="1386"/>
      <c r="AK73" s="1386"/>
      <c r="AL73" s="1386"/>
      <c r="AM73" s="1386"/>
      <c r="AN73" s="1386"/>
      <c r="AO73" s="1386"/>
      <c r="AP73" s="1386"/>
      <c r="AQ73" s="1386"/>
      <c r="AR73" s="1386"/>
      <c r="AS73" s="1386"/>
      <c r="AT73" s="1386"/>
      <c r="AU73" s="1386"/>
      <c r="AV73" s="1386"/>
      <c r="AW73" s="1386"/>
      <c r="AX73" s="1386"/>
      <c r="AY73" s="1386"/>
      <c r="AZ73" s="1386"/>
    </row>
    <row r="74">
      <c r="A74" s="1389"/>
      <c r="B74" s="611" t="str">
        <f>IF(C74&lt;'PlayerGrades+'!$Y$44,"F-",IF(C74&lt;'PlayerGrades+'!$Y$43,"F",IF(C74&lt;'PlayerGrades+'!$Y$42,"F+",IF(C74&lt;'PlayerGrades+'!$Y$41,"E-",IF(C74&lt;'PlayerGrades+'!$Y$40,"E",IF(C74&lt;'PlayerGrades+'!$Y$39,"E+",IF(C74&lt;'PlayerGrades+'!$Y$38,"D-",IF(C74&lt;'PlayerGrades+'!$Y$37,"D",IF(C74&lt;'PlayerGrades+'!$Y$36,"D+",IF(C74&lt;'PlayerGrades+'!$Y$35,"C-",IF(C74&lt;'PlayerGrades+'!$Y$34,"C",IF(C74&lt;'PlayerGrades+'!$Y$33,"C+",IF(C74&lt;'PlayerGrades+'!$Y$32,"B-",IF(C74&lt;'PlayerGrades+'!$Y$31,"B",IF(C74&lt;'PlayerGrades+'!$Y$30,"B+",IF(C74&lt;'PlayerGrades+'!$Y$29,"A-",IF(C74&lt;'PlayerGrades+'!$Y$28,"A",IF(C74&lt;'PlayerGrades+'!$Y$27,"A+",IF(C74&lt;'PlayerGrades+'!$Y$26,"S-",IF(C74&lt;'PlayerGrades+'!$Y$25,"S","S+"))))))))))))))))))))</f>
        <v>#DIV/0!</v>
      </c>
      <c r="C74" s="1378" t="str">
        <f>('PlayerGrades+'!$Y$47*(VLOOKUP(E74, 'PlayerGrades+'!$X$3:$Y$23, 2, FALSE)))+('PlayerGrades+'!$Y$48*(VLOOKUP(G74, 'PlayerGrades+'!$X$3:$Y$23, 2, FALSE)))+('PlayerGrades+'!$Y$49*(VLOOKUP(I74, 'PlayerGrades+'!$X$3:$Y$23, 2, FALSE)))+('PlayerGrades+'!$Y$50*(VLOOKUP(K74, 'PlayerGrades+'!$X$3:$Y$23, 2, FALSE)))+('PlayerGrades+'!$Y$51*(VLOOKUP(M74, 'PlayerGrades+'!$X$3:$Y$23, 2, FALSE)))+('PlayerGrades+'!$Y$52*(VLOOKUP(O74, 'PlayerGrades+'!$X$3:$Y$23, 2, FALSE)))+('PlayerGrades+'!$Y$53*(VLOOKUP(Q74, 'PlayerGrades+'!$X$3:$Y$23, 2, FALSE)))+('PlayerGrades+'!$Y$54*(VLOOKUP(S74, 'PlayerGrades+'!$X$3:$Y$23, 2, FALSE)))+('PlayerGrades+'!$Y$55*(VLOOKUP(U74, 'PlayerGrades+'!$X$3:$Y$23, 2, FALSE)))</f>
        <v>#DIV/0!</v>
      </c>
      <c r="D74" s="961" t="str">
        <f t="shared" si="1"/>
        <v>#DIV/0!</v>
      </c>
      <c r="E74" s="961" t="str">
        <f>IF(D74&lt;'PlayerGrades+'!$AA$21,"F-",IF(D74&lt;'PlayerGrades+'!$AA$20,"F",IF(D74&lt;'PlayerGrades+'!$AA$19,"F+",IF(D74&lt;'PlayerGrades+'!$AA$18,"E-",IF(D74&lt;'PlayerGrades+'!$AA$17,"E",IF(D74&lt;'PlayerGrades+'!$AA$16,"E+",IF(D74&lt;'PlayerGrades+'!$AA$15,"D-",IF(D74&lt;'PlayerGrades+'!$AA$14,"D",IF(D74&lt;'PlayerGrades+'!$AA$13,"D+",IF(D74&lt;'PlayerGrades+'!$AA$12,"C-",IF(D74&lt;'PlayerGrades+'!$AA$11,"C",IF(D74&lt;'PlayerGrades+'!$AA$10,"C+",IF(D74&lt;'PlayerGrades+'!$AA$9,"B-",IF(D74&lt;'PlayerGrades+'!$AA$8,"B",IF(D74&lt;'PlayerGrades+'!$AA$7,"B+",IF(D74&lt;'PlayerGrades+'!$AA$6,"A-",IF(D74&lt;'PlayerGrades+'!$AA$5,"A",IF(D74&lt;'PlayerGrades+'!$AA$4,"A+",IF(D74&lt;'PlayerGrades+'!$AA$3,"S-",IF(D74&lt;'PlayerGrades+'!$AA$2,"S","S+"))))))))))))))))))))</f>
        <v>#DIV/0!</v>
      </c>
      <c r="F74" s="961" t="str">
        <f t="shared" si="2"/>
        <v>#DIV/0!</v>
      </c>
      <c r="G74" s="961" t="str">
        <f>IF(F74&lt;'PlayerGrades+'!$AB$21,"F-",IF(F74&lt;'PlayerGrades+'!$AB$20,"F",IF(F74&lt;'PlayerGrades+'!$AB$19,"F+",IF(F74&lt;'PlayerGrades+'!$AB$18,"E-",IF(F74&lt;'PlayerGrades+'!$AB$17,"E",IF(F74&lt;'PlayerGrades+'!$AB$16,"E+",IF(F74&lt;'PlayerGrades+'!$AB$15,"D-",IF(F74&lt;'PlayerGrades+'!$AB$14,"D",IF(F74&lt;'PlayerGrades+'!$AB$13,"D+",IF(F74&lt;'PlayerGrades+'!$AB$12,"C-",IF(F74&lt;'PlayerGrades+'!$AB$11,"C",IF(F74&lt;'PlayerGrades+'!$AB$10,"C+",IF(F74&lt;'PlayerGrades+'!$AB$9,"B-",IF(F74&lt;'PlayerGrades+'!$AB$8,"B",IF(F74&lt;'PlayerGrades+'!$AB$7,"B+",IF(F74&lt;'PlayerGrades+'!$AB$6,"A-",IF(F74&lt;'PlayerGrades+'!$AB$5,"A",IF(F74&lt;'PlayerGrades+'!$AB$4,"A+",IF(F74&lt;'PlayerGrades+'!$AB$3,"S-",IF(F74&lt;'PlayerGrades+'!$AB$2,"S","S+"))))))))))))))))))))</f>
        <v>#DIV/0!</v>
      </c>
      <c r="H74" s="961" t="str">
        <f t="shared" si="3"/>
        <v>#DIV/0!</v>
      </c>
      <c r="I74" s="961" t="str">
        <f>IF(H74&lt;'PlayerGrades+'!$AC$21,"F-",IF(H74&lt;'PlayerGrades+'!$AC$20,"F",IF(H74&lt;'PlayerGrades+'!$AC$19,"F+",IF(H74&lt;'PlayerGrades+'!$AC$18,"E-",IF(H74&lt;'PlayerGrades+'!$AC$17,"E",IF(H74&lt;'PlayerGrades+'!$AC$16,"E+",IF(H74&lt;'PlayerGrades+'!$AC$15,"D-",IF(H74&lt;'PlayerGrades+'!$AC$14,"D",IF(H74&lt;'PlayerGrades+'!$AC$13,"D+",IF(H74&lt;'PlayerGrades+'!$AC$12,"C-",IF(H74&lt;'PlayerGrades+'!$AC$11,"C",IF(H74&lt;'PlayerGrades+'!$AC$10,"C+",IF(H74&lt;'PlayerGrades+'!$AC$9,"B-",IF(H74&lt;'PlayerGrades+'!$AC$8,"B",IF(H74&lt;'PlayerGrades+'!$AC$7,"B+",IF(H74&lt;'PlayerGrades+'!$AC$6,"A-",IF(H74&lt;'PlayerGrades+'!$AC$5,"A",IF(H74&lt;'PlayerGrades+'!$AC$4,"A+",IF(H74&lt;'PlayerGrades+'!$AC$3,"S-",IF(H74&lt;'PlayerGrades+'!$AC$2,"S","S+"))))))))))))))))))))</f>
        <v>#DIV/0!</v>
      </c>
      <c r="J74" s="961" t="str">
        <f t="shared" si="4"/>
        <v>#DIV/0!</v>
      </c>
      <c r="K74" s="961" t="str">
        <f>IF(J74&lt;'PlayerGrades+'!$AD$21,"F-",IF(J74&lt;'PlayerGrades+'!$AD$20,"F",IF(J74&lt;'PlayerGrades+'!$AD$19,"F+",IF(J74&lt;'PlayerGrades+'!$AD$18,"E-",IF(J74&lt;'PlayerGrades+'!$AD$17,"E",IF(J74&lt;'PlayerGrades+'!$AD$16,"E+",IF(J74&lt;'PlayerGrades+'!$AD$15,"D-",IF(J74&lt;'PlayerGrades+'!$AD$14,"D",IF(J74&lt;'PlayerGrades+'!$AD$13,"D+",IF(J74&lt;'PlayerGrades+'!$AD$12,"C-",IF(J74&lt;'PlayerGrades+'!$AD$11,"C",IF(J74&lt;'PlayerGrades+'!$AD$10,"C+",IF(J74&lt;'PlayerGrades+'!$AD$9,"B-",IF(J74&lt;'PlayerGrades+'!$AD$8,"B",IF(J74&lt;'PlayerGrades+'!$AD$7,"B+",IF(J74&lt;'PlayerGrades+'!$AD$6,"A-",IF(J74&lt;'PlayerGrades+'!$AD$5,"A",IF(J74&lt;'PlayerGrades+'!$AD$4,"A+",IF(J74&lt;'PlayerGrades+'!$AD$3,"S-",IF(J74&lt;'PlayerGrades+'!$AD$2,"S","S+"))))))))))))))))))))</f>
        <v>#DIV/0!</v>
      </c>
      <c r="L74" s="1176" t="str">
        <f t="shared" si="5"/>
        <v>#DIV/0!</v>
      </c>
      <c r="M74" s="992" t="str">
        <f>IF(L74&lt;'PlayerGrades+'!$AE$21,"F-",IF(L74&lt;'PlayerGrades+'!$AE$20,"F",IF(L74&lt;'PlayerGrades+'!$AE$19,"F+",IF(L74&lt;'PlayerGrades+'!$AE$18,"E-",IF(L74&lt;'PlayerGrades+'!$AE$17,"E",IF(L74&lt;'PlayerGrades+'!$AE$16,"E+",IF(L74&lt;'PlayerGrades+'!$AE$15,"D-",IF(L74&lt;'PlayerGrades+'!$AE$14,"D",IF(L74&lt;'PlayerGrades+'!$AE$13,"D+",IF(L74&lt;'PlayerGrades+'!$AE$12,"C-",IF(L74&lt;'PlayerGrades+'!$AE$11,"C",IF(L74&lt;'PlayerGrades+'!$AE$10,"C+",IF(L74&lt;'PlayerGrades+'!$AE$9,"B-",IF(L74&lt;'PlayerGrades+'!$AE$8,"B",IF(L74&lt;'PlayerGrades+'!$AE$7,"B+",IF(L74&lt;'PlayerGrades+'!$AE$6,"A-",IF(L74&lt;'PlayerGrades+'!$AE$5,"A",IF(L74&lt;'PlayerGrades+'!$AE$4,"A+",IF(L74&lt;'PlayerGrades+'!$AE$3,"S-",IF(L74&lt;'PlayerGrades+'!$AE$2,"S","S+"))))))))))))))))))))</f>
        <v>#DIV/0!</v>
      </c>
      <c r="N74" s="961" t="str">
        <f t="shared" si="6"/>
        <v>#DIV/0!</v>
      </c>
      <c r="O74" s="961" t="str">
        <f>IF(N74&lt;'PlayerGrades+'!$AF$21,"F-",IF(N74&lt;'PlayerGrades+'!$AF$20,"F",IF(N74&lt;'PlayerGrades+'!$AF$19,"F+",IF(N74&lt;'PlayerGrades+'!$AF$18,"E-",IF(N74&lt;'PlayerGrades+'!$AF$17,"E",IF(N74&lt;'PlayerGrades+'!$AF$16,"E+",IF(N74&lt;'PlayerGrades+'!$AF$15,"D-",IF(N74&lt;'PlayerGrades+'!$AF$14,"D",IF(N74&lt;'PlayerGrades+'!$AF$13,"D+",IF(N74&lt;'PlayerGrades+'!$AF$12,"C-",IF(N74&lt;'PlayerGrades+'!$AF$11,"C",IF(N74&lt;'PlayerGrades+'!$AF$10,"C+",IF(N74&lt;'PlayerGrades+'!$AF$9,"B-",IF(N74&lt;'PlayerGrades+'!$AF$8,"B",IF(N74&lt;'PlayerGrades+'!$AF$7,"B+",IF(N74&lt;'PlayerGrades+'!$AF$6,"A-",IF(N74&lt;'PlayerGrades+'!$AF$5,"A",IF(N74&lt;'PlayerGrades+'!$AF$4,"A+",IF(N74&lt;'PlayerGrades+'!$AF$3,"S-",IF(N74&lt;'PlayerGrades+'!$AF$2,"S","S+"))))))))))))))))))))</f>
        <v>#DIV/0!</v>
      </c>
      <c r="P74" s="961" t="str">
        <f t="shared" si="7"/>
        <v>#DIV/0!</v>
      </c>
      <c r="Q74" s="961" t="str">
        <f>IF(P74&lt;'PlayerGrades+'!$AG$21,"F-",IF(P74&lt;'PlayerGrades+'!$AG$20,"F",IF(P74&lt;'PlayerGrades+'!$AG$19,"F+",IF(P74&lt;'PlayerGrades+'!$AG$18,"E-",IF(P74&lt;'PlayerGrades+'!$AG$17,"E",IF(P74&lt;'PlayerGrades+'!$AG$16,"E+",IF(P74&lt;'PlayerGrades+'!$AG$15,"D-",IF(P74&lt;'PlayerGrades+'!$AG$14,"D",IF(P74&lt;'PlayerGrades+'!$AG$13,"D+",IF(P74&lt;'PlayerGrades+'!$AG$12,"C-",IF(P74&lt;'PlayerGrades+'!$AG$11,"C",IF(P74&lt;'PlayerGrades+'!$AG$10,"C+",IF(P74&lt;'PlayerGrades+'!$AG$9,"B-",IF(P74&lt;'PlayerGrades+'!$AG$8,"B",IF(P74&lt;'PlayerGrades+'!$AG$7,"B+",IF(P74&lt;'PlayerGrades+'!$AG$6,"A-",IF(P74&lt;'PlayerGrades+'!$AG$5,"A",IF(P74&lt;'PlayerGrades+'!$AG$4,"A+",IF(P74&lt;'PlayerGrades+'!$AG$3,"S-",IF(P74&lt;'PlayerGrades+'!$AG$2,"S","S+"))))))))))))))))))))</f>
        <v>#DIV/0!</v>
      </c>
      <c r="R74" s="961" t="str">
        <f t="shared" si="8"/>
        <v>#DIV/0!</v>
      </c>
      <c r="S74" s="961" t="str">
        <f>IF(R74&lt;'PlayerGrades+'!$AH$21,"F-",IF(R74&lt;'PlayerGrades+'!$AH$20,"F",IF(R74&lt;'PlayerGrades+'!$AH$19,"F+",IF(R74&lt;'PlayerGrades+'!$AH$18,"E-",IF(R74&lt;'PlayerGrades+'!$AH$17,"E",IF(R74&lt;'PlayerGrades+'!$AH$16,"E+",IF(R74&lt;'PlayerGrades+'!$AH$15,"D-",IF(R74&lt;'PlayerGrades+'!$AH$14,"D",IF(R74&lt;'PlayerGrades+'!$AH$13,"D+",IF(R74&lt;'PlayerGrades+'!$AH$12,"C-",IF(R74&lt;'PlayerGrades+'!$AH$11,"C",IF(R74&lt;'PlayerGrades+'!$AH$10,"C+",IF(R74&lt;'PlayerGrades+'!$AH$9,"B-",IF(R74&lt;'PlayerGrades+'!$AH$8,"B",IF(R74&lt;'PlayerGrades+'!$AH$7,"B+",IF(R74&lt;'PlayerGrades+'!$AH$6,"A-",IF(R74&lt;'PlayerGrades+'!$AH$5,"A",IF(R74&lt;'PlayerGrades+'!$AH$4,"A+",IF(R74&lt;'PlayerGrades+'!$AH$3,"S-",IF(R74&lt;'PlayerGrades+'!$AH$2,"S","S+"))))))))))))))))))))</f>
        <v>#DIV/0!</v>
      </c>
      <c r="T74" s="961">
        <f t="shared" si="9"/>
        <v>0</v>
      </c>
      <c r="U74" s="961" t="str">
        <f>IF(T74&lt;'PlayerGrades+'!$AI$21,"F-",IF(T74&lt;'PlayerGrades+'!$AI$20,"F",IF(T74&lt;'PlayerGrades+'!$AI$19,"F+",IF(T74&lt;'PlayerGrades+'!$AI$18,"E-",IF(T74&lt;'PlayerGrades+'!$AI$17,"E",IF(T74&lt;'PlayerGrades+'!$AI$16,"E+",IF(T74&lt;'PlayerGrades+'!$AI$15,"D-",IF(T74&lt;'PlayerGrades+'!$AI$14,"D",IF(T74&lt;'PlayerGrades+'!$AI$13,"D+",IF(T74&lt;'PlayerGrades+'!$AI$12,"C-",IF(T74&lt;'PlayerGrades+'!$AI$11,"C",IF(T74&lt;'PlayerGrades+'!$AI$10,"C+",IF(T74&lt;'PlayerGrades+'!$AI$9,"B-",IF(T74&lt;'PlayerGrades+'!$AI$8,"B",IF(T74&lt;'PlayerGrades+'!$AI$7,"B+",IF(T74&lt;'PlayerGrades+'!$AI$6,"A-",IF(T74&lt;'PlayerGrades+'!$AI$5,"A",IF(T74&lt;'PlayerGrades+'!$AI$4,"A+",IF(T74&lt;'PlayerGrades+'!$AI$3,"S-",IF(T74&lt;'PlayerGrades+'!$AI$2,"S","S+"))))))))))))))))))))</f>
        <v>F-</v>
      </c>
      <c r="V74" s="1379"/>
      <c r="W74" s="1379"/>
      <c r="X74" s="1379"/>
      <c r="Y74" s="1379"/>
      <c r="Z74" s="1379"/>
      <c r="AA74" s="1379"/>
      <c r="AB74" s="1379"/>
      <c r="AC74" s="1390"/>
      <c r="AD74" s="1379"/>
      <c r="AE74" s="1379"/>
      <c r="AF74" s="1379"/>
      <c r="AG74" s="1379"/>
      <c r="AH74" s="1379"/>
      <c r="AI74" s="1379"/>
      <c r="AJ74" s="1379"/>
      <c r="AK74" s="1379"/>
      <c r="AL74" s="1379"/>
      <c r="AM74" s="1379"/>
      <c r="AN74" s="1379"/>
      <c r="AO74" s="1379"/>
      <c r="AP74" s="1379"/>
      <c r="AQ74" s="1379"/>
      <c r="AR74" s="1379"/>
      <c r="AS74" s="1379"/>
      <c r="AT74" s="1379"/>
      <c r="AU74" s="1379"/>
      <c r="AV74" s="1379"/>
      <c r="AW74" s="1379"/>
      <c r="AX74" s="1379"/>
      <c r="AY74" s="1379"/>
      <c r="AZ74" s="1379"/>
    </row>
    <row r="75">
      <c r="A75" s="1391"/>
      <c r="B75" s="611" t="str">
        <f>IF(C75&lt;'PlayerGrades+'!$Y$44,"F-",IF(C75&lt;'PlayerGrades+'!$Y$43,"F",IF(C75&lt;'PlayerGrades+'!$Y$42,"F+",IF(C75&lt;'PlayerGrades+'!$Y$41,"E-",IF(C75&lt;'PlayerGrades+'!$Y$40,"E",IF(C75&lt;'PlayerGrades+'!$Y$39,"E+",IF(C75&lt;'PlayerGrades+'!$Y$38,"D-",IF(C75&lt;'PlayerGrades+'!$Y$37,"D",IF(C75&lt;'PlayerGrades+'!$Y$36,"D+",IF(C75&lt;'PlayerGrades+'!$Y$35,"C-",IF(C75&lt;'PlayerGrades+'!$Y$34,"C",IF(C75&lt;'PlayerGrades+'!$Y$33,"C+",IF(C75&lt;'PlayerGrades+'!$Y$32,"B-",IF(C75&lt;'PlayerGrades+'!$Y$31,"B",IF(C75&lt;'PlayerGrades+'!$Y$30,"B+",IF(C75&lt;'PlayerGrades+'!$Y$29,"A-",IF(C75&lt;'PlayerGrades+'!$Y$28,"A",IF(C75&lt;'PlayerGrades+'!$Y$27,"A+",IF(C75&lt;'PlayerGrades+'!$Y$26,"S-",IF(C75&lt;'PlayerGrades+'!$Y$25,"S","S+"))))))))))))))))))))</f>
        <v>#DIV/0!</v>
      </c>
      <c r="C75" s="1378" t="str">
        <f>('PlayerGrades+'!$Y$47*(VLOOKUP(E75, 'PlayerGrades+'!$X$3:$Y$23, 2, FALSE)))+('PlayerGrades+'!$Y$48*(VLOOKUP(G75, 'PlayerGrades+'!$X$3:$Y$23, 2, FALSE)))+('PlayerGrades+'!$Y$49*(VLOOKUP(I75, 'PlayerGrades+'!$X$3:$Y$23, 2, FALSE)))+('PlayerGrades+'!$Y$50*(VLOOKUP(K75, 'PlayerGrades+'!$X$3:$Y$23, 2, FALSE)))+('PlayerGrades+'!$Y$51*(VLOOKUP(M75, 'PlayerGrades+'!$X$3:$Y$23, 2, FALSE)))+('PlayerGrades+'!$Y$52*(VLOOKUP(O75, 'PlayerGrades+'!$X$3:$Y$23, 2, FALSE)))+('PlayerGrades+'!$Y$53*(VLOOKUP(Q75, 'PlayerGrades+'!$X$3:$Y$23, 2, FALSE)))+('PlayerGrades+'!$Y$54*(VLOOKUP(S75, 'PlayerGrades+'!$X$3:$Y$23, 2, FALSE)))+('PlayerGrades+'!$Y$55*(VLOOKUP(U75, 'PlayerGrades+'!$X$3:$Y$23, 2, FALSE)))</f>
        <v>#DIV/0!</v>
      </c>
      <c r="D75" s="961" t="str">
        <f t="shared" si="1"/>
        <v>#DIV/0!</v>
      </c>
      <c r="E75" s="961" t="str">
        <f>IF(D75&lt;'PlayerGrades+'!$AA$21,"F-",IF(D75&lt;'PlayerGrades+'!$AA$20,"F",IF(D75&lt;'PlayerGrades+'!$AA$19,"F+",IF(D75&lt;'PlayerGrades+'!$AA$18,"E-",IF(D75&lt;'PlayerGrades+'!$AA$17,"E",IF(D75&lt;'PlayerGrades+'!$AA$16,"E+",IF(D75&lt;'PlayerGrades+'!$AA$15,"D-",IF(D75&lt;'PlayerGrades+'!$AA$14,"D",IF(D75&lt;'PlayerGrades+'!$AA$13,"D+",IF(D75&lt;'PlayerGrades+'!$AA$12,"C-",IF(D75&lt;'PlayerGrades+'!$AA$11,"C",IF(D75&lt;'PlayerGrades+'!$AA$10,"C+",IF(D75&lt;'PlayerGrades+'!$AA$9,"B-",IF(D75&lt;'PlayerGrades+'!$AA$8,"B",IF(D75&lt;'PlayerGrades+'!$AA$7,"B+",IF(D75&lt;'PlayerGrades+'!$AA$6,"A-",IF(D75&lt;'PlayerGrades+'!$AA$5,"A",IF(D75&lt;'PlayerGrades+'!$AA$4,"A+",IF(D75&lt;'PlayerGrades+'!$AA$3,"S-",IF(D75&lt;'PlayerGrades+'!$AA$2,"S","S+"))))))))))))))))))))</f>
        <v>#DIV/0!</v>
      </c>
      <c r="F75" s="961" t="str">
        <f t="shared" si="2"/>
        <v>#DIV/0!</v>
      </c>
      <c r="G75" s="961" t="str">
        <f>IF(F75&lt;'PlayerGrades+'!$AB$21,"F-",IF(F75&lt;'PlayerGrades+'!$AB$20,"F",IF(F75&lt;'PlayerGrades+'!$AB$19,"F+",IF(F75&lt;'PlayerGrades+'!$AB$18,"E-",IF(F75&lt;'PlayerGrades+'!$AB$17,"E",IF(F75&lt;'PlayerGrades+'!$AB$16,"E+",IF(F75&lt;'PlayerGrades+'!$AB$15,"D-",IF(F75&lt;'PlayerGrades+'!$AB$14,"D",IF(F75&lt;'PlayerGrades+'!$AB$13,"D+",IF(F75&lt;'PlayerGrades+'!$AB$12,"C-",IF(F75&lt;'PlayerGrades+'!$AB$11,"C",IF(F75&lt;'PlayerGrades+'!$AB$10,"C+",IF(F75&lt;'PlayerGrades+'!$AB$9,"B-",IF(F75&lt;'PlayerGrades+'!$AB$8,"B",IF(F75&lt;'PlayerGrades+'!$AB$7,"B+",IF(F75&lt;'PlayerGrades+'!$AB$6,"A-",IF(F75&lt;'PlayerGrades+'!$AB$5,"A",IF(F75&lt;'PlayerGrades+'!$AB$4,"A+",IF(F75&lt;'PlayerGrades+'!$AB$3,"S-",IF(F75&lt;'PlayerGrades+'!$AB$2,"S","S+"))))))))))))))))))))</f>
        <v>#DIV/0!</v>
      </c>
      <c r="H75" s="961" t="str">
        <f t="shared" si="3"/>
        <v>#DIV/0!</v>
      </c>
      <c r="I75" s="961" t="str">
        <f>IF(H75&lt;'PlayerGrades+'!$AC$21,"F-",IF(H75&lt;'PlayerGrades+'!$AC$20,"F",IF(H75&lt;'PlayerGrades+'!$AC$19,"F+",IF(H75&lt;'PlayerGrades+'!$AC$18,"E-",IF(H75&lt;'PlayerGrades+'!$AC$17,"E",IF(H75&lt;'PlayerGrades+'!$AC$16,"E+",IF(H75&lt;'PlayerGrades+'!$AC$15,"D-",IF(H75&lt;'PlayerGrades+'!$AC$14,"D",IF(H75&lt;'PlayerGrades+'!$AC$13,"D+",IF(H75&lt;'PlayerGrades+'!$AC$12,"C-",IF(H75&lt;'PlayerGrades+'!$AC$11,"C",IF(H75&lt;'PlayerGrades+'!$AC$10,"C+",IF(H75&lt;'PlayerGrades+'!$AC$9,"B-",IF(H75&lt;'PlayerGrades+'!$AC$8,"B",IF(H75&lt;'PlayerGrades+'!$AC$7,"B+",IF(H75&lt;'PlayerGrades+'!$AC$6,"A-",IF(H75&lt;'PlayerGrades+'!$AC$5,"A",IF(H75&lt;'PlayerGrades+'!$AC$4,"A+",IF(H75&lt;'PlayerGrades+'!$AC$3,"S-",IF(H75&lt;'PlayerGrades+'!$AC$2,"S","S+"))))))))))))))))))))</f>
        <v>#DIV/0!</v>
      </c>
      <c r="J75" s="961" t="str">
        <f t="shared" si="4"/>
        <v>#DIV/0!</v>
      </c>
      <c r="K75" s="961" t="str">
        <f>IF(J75&lt;'PlayerGrades+'!$AD$21,"F-",IF(J75&lt;'PlayerGrades+'!$AD$20,"F",IF(J75&lt;'PlayerGrades+'!$AD$19,"F+",IF(J75&lt;'PlayerGrades+'!$AD$18,"E-",IF(J75&lt;'PlayerGrades+'!$AD$17,"E",IF(J75&lt;'PlayerGrades+'!$AD$16,"E+",IF(J75&lt;'PlayerGrades+'!$AD$15,"D-",IF(J75&lt;'PlayerGrades+'!$AD$14,"D",IF(J75&lt;'PlayerGrades+'!$AD$13,"D+",IF(J75&lt;'PlayerGrades+'!$AD$12,"C-",IF(J75&lt;'PlayerGrades+'!$AD$11,"C",IF(J75&lt;'PlayerGrades+'!$AD$10,"C+",IF(J75&lt;'PlayerGrades+'!$AD$9,"B-",IF(J75&lt;'PlayerGrades+'!$AD$8,"B",IF(J75&lt;'PlayerGrades+'!$AD$7,"B+",IF(J75&lt;'PlayerGrades+'!$AD$6,"A-",IF(J75&lt;'PlayerGrades+'!$AD$5,"A",IF(J75&lt;'PlayerGrades+'!$AD$4,"A+",IF(J75&lt;'PlayerGrades+'!$AD$3,"S-",IF(J75&lt;'PlayerGrades+'!$AD$2,"S","S+"))))))))))))))))))))</f>
        <v>#DIV/0!</v>
      </c>
      <c r="L75" s="1176" t="str">
        <f t="shared" si="5"/>
        <v>#DIV/0!</v>
      </c>
      <c r="M75" s="992" t="str">
        <f>IF(L75&lt;'PlayerGrades+'!$AE$21,"F-",IF(L75&lt;'PlayerGrades+'!$AE$20,"F",IF(L75&lt;'PlayerGrades+'!$AE$19,"F+",IF(L75&lt;'PlayerGrades+'!$AE$18,"E-",IF(L75&lt;'PlayerGrades+'!$AE$17,"E",IF(L75&lt;'PlayerGrades+'!$AE$16,"E+",IF(L75&lt;'PlayerGrades+'!$AE$15,"D-",IF(L75&lt;'PlayerGrades+'!$AE$14,"D",IF(L75&lt;'PlayerGrades+'!$AE$13,"D+",IF(L75&lt;'PlayerGrades+'!$AE$12,"C-",IF(L75&lt;'PlayerGrades+'!$AE$11,"C",IF(L75&lt;'PlayerGrades+'!$AE$10,"C+",IF(L75&lt;'PlayerGrades+'!$AE$9,"B-",IF(L75&lt;'PlayerGrades+'!$AE$8,"B",IF(L75&lt;'PlayerGrades+'!$AE$7,"B+",IF(L75&lt;'PlayerGrades+'!$AE$6,"A-",IF(L75&lt;'PlayerGrades+'!$AE$5,"A",IF(L75&lt;'PlayerGrades+'!$AE$4,"A+",IF(L75&lt;'PlayerGrades+'!$AE$3,"S-",IF(L75&lt;'PlayerGrades+'!$AE$2,"S","S+"))))))))))))))))))))</f>
        <v>#DIV/0!</v>
      </c>
      <c r="N75" s="961" t="str">
        <f t="shared" si="6"/>
        <v>#DIV/0!</v>
      </c>
      <c r="O75" s="961" t="str">
        <f>IF(N75&lt;'PlayerGrades+'!$AF$21,"F-",IF(N75&lt;'PlayerGrades+'!$AF$20,"F",IF(N75&lt;'PlayerGrades+'!$AF$19,"F+",IF(N75&lt;'PlayerGrades+'!$AF$18,"E-",IF(N75&lt;'PlayerGrades+'!$AF$17,"E",IF(N75&lt;'PlayerGrades+'!$AF$16,"E+",IF(N75&lt;'PlayerGrades+'!$AF$15,"D-",IF(N75&lt;'PlayerGrades+'!$AF$14,"D",IF(N75&lt;'PlayerGrades+'!$AF$13,"D+",IF(N75&lt;'PlayerGrades+'!$AF$12,"C-",IF(N75&lt;'PlayerGrades+'!$AF$11,"C",IF(N75&lt;'PlayerGrades+'!$AF$10,"C+",IF(N75&lt;'PlayerGrades+'!$AF$9,"B-",IF(N75&lt;'PlayerGrades+'!$AF$8,"B",IF(N75&lt;'PlayerGrades+'!$AF$7,"B+",IF(N75&lt;'PlayerGrades+'!$AF$6,"A-",IF(N75&lt;'PlayerGrades+'!$AF$5,"A",IF(N75&lt;'PlayerGrades+'!$AF$4,"A+",IF(N75&lt;'PlayerGrades+'!$AF$3,"S-",IF(N75&lt;'PlayerGrades+'!$AF$2,"S","S+"))))))))))))))))))))</f>
        <v>#DIV/0!</v>
      </c>
      <c r="P75" s="961" t="str">
        <f t="shared" si="7"/>
        <v>#DIV/0!</v>
      </c>
      <c r="Q75" s="961" t="str">
        <f>IF(P75&lt;'PlayerGrades+'!$AG$21,"F-",IF(P75&lt;'PlayerGrades+'!$AG$20,"F",IF(P75&lt;'PlayerGrades+'!$AG$19,"F+",IF(P75&lt;'PlayerGrades+'!$AG$18,"E-",IF(P75&lt;'PlayerGrades+'!$AG$17,"E",IF(P75&lt;'PlayerGrades+'!$AG$16,"E+",IF(P75&lt;'PlayerGrades+'!$AG$15,"D-",IF(P75&lt;'PlayerGrades+'!$AG$14,"D",IF(P75&lt;'PlayerGrades+'!$AG$13,"D+",IF(P75&lt;'PlayerGrades+'!$AG$12,"C-",IF(P75&lt;'PlayerGrades+'!$AG$11,"C",IF(P75&lt;'PlayerGrades+'!$AG$10,"C+",IF(P75&lt;'PlayerGrades+'!$AG$9,"B-",IF(P75&lt;'PlayerGrades+'!$AG$8,"B",IF(P75&lt;'PlayerGrades+'!$AG$7,"B+",IF(P75&lt;'PlayerGrades+'!$AG$6,"A-",IF(P75&lt;'PlayerGrades+'!$AG$5,"A",IF(P75&lt;'PlayerGrades+'!$AG$4,"A+",IF(P75&lt;'PlayerGrades+'!$AG$3,"S-",IF(P75&lt;'PlayerGrades+'!$AG$2,"S","S+"))))))))))))))))))))</f>
        <v>#DIV/0!</v>
      </c>
      <c r="R75" s="961" t="str">
        <f t="shared" si="8"/>
        <v>#DIV/0!</v>
      </c>
      <c r="S75" s="961" t="str">
        <f>IF(R75&lt;'PlayerGrades+'!$AH$21,"F-",IF(R75&lt;'PlayerGrades+'!$AH$20,"F",IF(R75&lt;'PlayerGrades+'!$AH$19,"F+",IF(R75&lt;'PlayerGrades+'!$AH$18,"E-",IF(R75&lt;'PlayerGrades+'!$AH$17,"E",IF(R75&lt;'PlayerGrades+'!$AH$16,"E+",IF(R75&lt;'PlayerGrades+'!$AH$15,"D-",IF(R75&lt;'PlayerGrades+'!$AH$14,"D",IF(R75&lt;'PlayerGrades+'!$AH$13,"D+",IF(R75&lt;'PlayerGrades+'!$AH$12,"C-",IF(R75&lt;'PlayerGrades+'!$AH$11,"C",IF(R75&lt;'PlayerGrades+'!$AH$10,"C+",IF(R75&lt;'PlayerGrades+'!$AH$9,"B-",IF(R75&lt;'PlayerGrades+'!$AH$8,"B",IF(R75&lt;'PlayerGrades+'!$AH$7,"B+",IF(R75&lt;'PlayerGrades+'!$AH$6,"A-",IF(R75&lt;'PlayerGrades+'!$AH$5,"A",IF(R75&lt;'PlayerGrades+'!$AH$4,"A+",IF(R75&lt;'PlayerGrades+'!$AH$3,"S-",IF(R75&lt;'PlayerGrades+'!$AH$2,"S","S+"))))))))))))))))))))</f>
        <v>#DIV/0!</v>
      </c>
      <c r="T75" s="961">
        <f t="shared" si="9"/>
        <v>0</v>
      </c>
      <c r="U75" s="961" t="str">
        <f>IF(T75&lt;'PlayerGrades+'!$AI$21,"F-",IF(T75&lt;'PlayerGrades+'!$AI$20,"F",IF(T75&lt;'PlayerGrades+'!$AI$19,"F+",IF(T75&lt;'PlayerGrades+'!$AI$18,"E-",IF(T75&lt;'PlayerGrades+'!$AI$17,"E",IF(T75&lt;'PlayerGrades+'!$AI$16,"E+",IF(T75&lt;'PlayerGrades+'!$AI$15,"D-",IF(T75&lt;'PlayerGrades+'!$AI$14,"D",IF(T75&lt;'PlayerGrades+'!$AI$13,"D+",IF(T75&lt;'PlayerGrades+'!$AI$12,"C-",IF(T75&lt;'PlayerGrades+'!$AI$11,"C",IF(T75&lt;'PlayerGrades+'!$AI$10,"C+",IF(T75&lt;'PlayerGrades+'!$AI$9,"B-",IF(T75&lt;'PlayerGrades+'!$AI$8,"B",IF(T75&lt;'PlayerGrades+'!$AI$7,"B+",IF(T75&lt;'PlayerGrades+'!$AI$6,"A-",IF(T75&lt;'PlayerGrades+'!$AI$5,"A",IF(T75&lt;'PlayerGrades+'!$AI$4,"A+",IF(T75&lt;'PlayerGrades+'!$AI$3,"S-",IF(T75&lt;'PlayerGrades+'!$AI$2,"S","S+"))))))))))))))))))))</f>
        <v>F-</v>
      </c>
      <c r="AC75" s="1392"/>
    </row>
    <row r="76">
      <c r="A76" s="1391"/>
      <c r="B76" s="611" t="str">
        <f>IF(C76&lt;'PlayerGrades+'!$Y$44,"F-",IF(C76&lt;'PlayerGrades+'!$Y$43,"F",IF(C76&lt;'PlayerGrades+'!$Y$42,"F+",IF(C76&lt;'PlayerGrades+'!$Y$41,"E-",IF(C76&lt;'PlayerGrades+'!$Y$40,"E",IF(C76&lt;'PlayerGrades+'!$Y$39,"E+",IF(C76&lt;'PlayerGrades+'!$Y$38,"D-",IF(C76&lt;'PlayerGrades+'!$Y$37,"D",IF(C76&lt;'PlayerGrades+'!$Y$36,"D+",IF(C76&lt;'PlayerGrades+'!$Y$35,"C-",IF(C76&lt;'PlayerGrades+'!$Y$34,"C",IF(C76&lt;'PlayerGrades+'!$Y$33,"C+",IF(C76&lt;'PlayerGrades+'!$Y$32,"B-",IF(C76&lt;'PlayerGrades+'!$Y$31,"B",IF(C76&lt;'PlayerGrades+'!$Y$30,"B+",IF(C76&lt;'PlayerGrades+'!$Y$29,"A-",IF(C76&lt;'PlayerGrades+'!$Y$28,"A",IF(C76&lt;'PlayerGrades+'!$Y$27,"A+",IF(C76&lt;'PlayerGrades+'!$Y$26,"S-",IF(C76&lt;'PlayerGrades+'!$Y$25,"S","S+"))))))))))))))))))))</f>
        <v>#DIV/0!</v>
      </c>
      <c r="C76" s="1378" t="str">
        <f>('PlayerGrades+'!$Y$47*(VLOOKUP(E76, 'PlayerGrades+'!$X$3:$Y$23, 2, FALSE)))+('PlayerGrades+'!$Y$48*(VLOOKUP(G76, 'PlayerGrades+'!$X$3:$Y$23, 2, FALSE)))+('PlayerGrades+'!$Y$49*(VLOOKUP(I76, 'PlayerGrades+'!$X$3:$Y$23, 2, FALSE)))+('PlayerGrades+'!$Y$50*(VLOOKUP(K76, 'PlayerGrades+'!$X$3:$Y$23, 2, FALSE)))+('PlayerGrades+'!$Y$51*(VLOOKUP(M76, 'PlayerGrades+'!$X$3:$Y$23, 2, FALSE)))+('PlayerGrades+'!$Y$52*(VLOOKUP(O76, 'PlayerGrades+'!$X$3:$Y$23, 2, FALSE)))+('PlayerGrades+'!$Y$53*(VLOOKUP(Q76, 'PlayerGrades+'!$X$3:$Y$23, 2, FALSE)))+('PlayerGrades+'!$Y$54*(VLOOKUP(S76, 'PlayerGrades+'!$X$3:$Y$23, 2, FALSE)))+('PlayerGrades+'!$Y$55*(VLOOKUP(U76, 'PlayerGrades+'!$X$3:$Y$23, 2, FALSE)))</f>
        <v>#DIV/0!</v>
      </c>
      <c r="D76" s="961" t="str">
        <f t="shared" si="1"/>
        <v>#DIV/0!</v>
      </c>
      <c r="E76" s="961" t="str">
        <f>IF(D76&lt;'PlayerGrades+'!$AA$21,"F-",IF(D76&lt;'PlayerGrades+'!$AA$20,"F",IF(D76&lt;'PlayerGrades+'!$AA$19,"F+",IF(D76&lt;'PlayerGrades+'!$AA$18,"E-",IF(D76&lt;'PlayerGrades+'!$AA$17,"E",IF(D76&lt;'PlayerGrades+'!$AA$16,"E+",IF(D76&lt;'PlayerGrades+'!$AA$15,"D-",IF(D76&lt;'PlayerGrades+'!$AA$14,"D",IF(D76&lt;'PlayerGrades+'!$AA$13,"D+",IF(D76&lt;'PlayerGrades+'!$AA$12,"C-",IF(D76&lt;'PlayerGrades+'!$AA$11,"C",IF(D76&lt;'PlayerGrades+'!$AA$10,"C+",IF(D76&lt;'PlayerGrades+'!$AA$9,"B-",IF(D76&lt;'PlayerGrades+'!$AA$8,"B",IF(D76&lt;'PlayerGrades+'!$AA$7,"B+",IF(D76&lt;'PlayerGrades+'!$AA$6,"A-",IF(D76&lt;'PlayerGrades+'!$AA$5,"A",IF(D76&lt;'PlayerGrades+'!$AA$4,"A+",IF(D76&lt;'PlayerGrades+'!$AA$3,"S-",IF(D76&lt;'PlayerGrades+'!$AA$2,"S","S+"))))))))))))))))))))</f>
        <v>#DIV/0!</v>
      </c>
      <c r="F76" s="961" t="str">
        <f t="shared" si="2"/>
        <v>#DIV/0!</v>
      </c>
      <c r="G76" s="961" t="str">
        <f>IF(F76&lt;'PlayerGrades+'!$AB$21,"F-",IF(F76&lt;'PlayerGrades+'!$AB$20,"F",IF(F76&lt;'PlayerGrades+'!$AB$19,"F+",IF(F76&lt;'PlayerGrades+'!$AB$18,"E-",IF(F76&lt;'PlayerGrades+'!$AB$17,"E",IF(F76&lt;'PlayerGrades+'!$AB$16,"E+",IF(F76&lt;'PlayerGrades+'!$AB$15,"D-",IF(F76&lt;'PlayerGrades+'!$AB$14,"D",IF(F76&lt;'PlayerGrades+'!$AB$13,"D+",IF(F76&lt;'PlayerGrades+'!$AB$12,"C-",IF(F76&lt;'PlayerGrades+'!$AB$11,"C",IF(F76&lt;'PlayerGrades+'!$AB$10,"C+",IF(F76&lt;'PlayerGrades+'!$AB$9,"B-",IF(F76&lt;'PlayerGrades+'!$AB$8,"B",IF(F76&lt;'PlayerGrades+'!$AB$7,"B+",IF(F76&lt;'PlayerGrades+'!$AB$6,"A-",IF(F76&lt;'PlayerGrades+'!$AB$5,"A",IF(F76&lt;'PlayerGrades+'!$AB$4,"A+",IF(F76&lt;'PlayerGrades+'!$AB$3,"S-",IF(F76&lt;'PlayerGrades+'!$AB$2,"S","S+"))))))))))))))))))))</f>
        <v>#DIV/0!</v>
      </c>
      <c r="H76" s="961" t="str">
        <f t="shared" si="3"/>
        <v>#DIV/0!</v>
      </c>
      <c r="I76" s="961" t="str">
        <f>IF(H76&lt;'PlayerGrades+'!$AC$21,"F-",IF(H76&lt;'PlayerGrades+'!$AC$20,"F",IF(H76&lt;'PlayerGrades+'!$AC$19,"F+",IF(H76&lt;'PlayerGrades+'!$AC$18,"E-",IF(H76&lt;'PlayerGrades+'!$AC$17,"E",IF(H76&lt;'PlayerGrades+'!$AC$16,"E+",IF(H76&lt;'PlayerGrades+'!$AC$15,"D-",IF(H76&lt;'PlayerGrades+'!$AC$14,"D",IF(H76&lt;'PlayerGrades+'!$AC$13,"D+",IF(H76&lt;'PlayerGrades+'!$AC$12,"C-",IF(H76&lt;'PlayerGrades+'!$AC$11,"C",IF(H76&lt;'PlayerGrades+'!$AC$10,"C+",IF(H76&lt;'PlayerGrades+'!$AC$9,"B-",IF(H76&lt;'PlayerGrades+'!$AC$8,"B",IF(H76&lt;'PlayerGrades+'!$AC$7,"B+",IF(H76&lt;'PlayerGrades+'!$AC$6,"A-",IF(H76&lt;'PlayerGrades+'!$AC$5,"A",IF(H76&lt;'PlayerGrades+'!$AC$4,"A+",IF(H76&lt;'PlayerGrades+'!$AC$3,"S-",IF(H76&lt;'PlayerGrades+'!$AC$2,"S","S+"))))))))))))))))))))</f>
        <v>#DIV/0!</v>
      </c>
      <c r="J76" s="961" t="str">
        <f t="shared" si="4"/>
        <v>#DIV/0!</v>
      </c>
      <c r="K76" s="961" t="str">
        <f>IF(J76&lt;'PlayerGrades+'!$AD$21,"F-",IF(J76&lt;'PlayerGrades+'!$AD$20,"F",IF(J76&lt;'PlayerGrades+'!$AD$19,"F+",IF(J76&lt;'PlayerGrades+'!$AD$18,"E-",IF(J76&lt;'PlayerGrades+'!$AD$17,"E",IF(J76&lt;'PlayerGrades+'!$AD$16,"E+",IF(J76&lt;'PlayerGrades+'!$AD$15,"D-",IF(J76&lt;'PlayerGrades+'!$AD$14,"D",IF(J76&lt;'PlayerGrades+'!$AD$13,"D+",IF(J76&lt;'PlayerGrades+'!$AD$12,"C-",IF(J76&lt;'PlayerGrades+'!$AD$11,"C",IF(J76&lt;'PlayerGrades+'!$AD$10,"C+",IF(J76&lt;'PlayerGrades+'!$AD$9,"B-",IF(J76&lt;'PlayerGrades+'!$AD$8,"B",IF(J76&lt;'PlayerGrades+'!$AD$7,"B+",IF(J76&lt;'PlayerGrades+'!$AD$6,"A-",IF(J76&lt;'PlayerGrades+'!$AD$5,"A",IF(J76&lt;'PlayerGrades+'!$AD$4,"A+",IF(J76&lt;'PlayerGrades+'!$AD$3,"S-",IF(J76&lt;'PlayerGrades+'!$AD$2,"S","S+"))))))))))))))))))))</f>
        <v>#DIV/0!</v>
      </c>
      <c r="L76" s="1176" t="str">
        <f t="shared" si="5"/>
        <v>#DIV/0!</v>
      </c>
      <c r="M76" s="992" t="str">
        <f>IF(L76&lt;'PlayerGrades+'!$AE$21,"F-",IF(L76&lt;'PlayerGrades+'!$AE$20,"F",IF(L76&lt;'PlayerGrades+'!$AE$19,"F+",IF(L76&lt;'PlayerGrades+'!$AE$18,"E-",IF(L76&lt;'PlayerGrades+'!$AE$17,"E",IF(L76&lt;'PlayerGrades+'!$AE$16,"E+",IF(L76&lt;'PlayerGrades+'!$AE$15,"D-",IF(L76&lt;'PlayerGrades+'!$AE$14,"D",IF(L76&lt;'PlayerGrades+'!$AE$13,"D+",IF(L76&lt;'PlayerGrades+'!$AE$12,"C-",IF(L76&lt;'PlayerGrades+'!$AE$11,"C",IF(L76&lt;'PlayerGrades+'!$AE$10,"C+",IF(L76&lt;'PlayerGrades+'!$AE$9,"B-",IF(L76&lt;'PlayerGrades+'!$AE$8,"B",IF(L76&lt;'PlayerGrades+'!$AE$7,"B+",IF(L76&lt;'PlayerGrades+'!$AE$6,"A-",IF(L76&lt;'PlayerGrades+'!$AE$5,"A",IF(L76&lt;'PlayerGrades+'!$AE$4,"A+",IF(L76&lt;'PlayerGrades+'!$AE$3,"S-",IF(L76&lt;'PlayerGrades+'!$AE$2,"S","S+"))))))))))))))))))))</f>
        <v>#DIV/0!</v>
      </c>
      <c r="N76" s="961" t="str">
        <f t="shared" si="6"/>
        <v>#DIV/0!</v>
      </c>
      <c r="O76" s="961" t="str">
        <f>IF(N76&lt;'PlayerGrades+'!$AF$21,"F-",IF(N76&lt;'PlayerGrades+'!$AF$20,"F",IF(N76&lt;'PlayerGrades+'!$AF$19,"F+",IF(N76&lt;'PlayerGrades+'!$AF$18,"E-",IF(N76&lt;'PlayerGrades+'!$AF$17,"E",IF(N76&lt;'PlayerGrades+'!$AF$16,"E+",IF(N76&lt;'PlayerGrades+'!$AF$15,"D-",IF(N76&lt;'PlayerGrades+'!$AF$14,"D",IF(N76&lt;'PlayerGrades+'!$AF$13,"D+",IF(N76&lt;'PlayerGrades+'!$AF$12,"C-",IF(N76&lt;'PlayerGrades+'!$AF$11,"C",IF(N76&lt;'PlayerGrades+'!$AF$10,"C+",IF(N76&lt;'PlayerGrades+'!$AF$9,"B-",IF(N76&lt;'PlayerGrades+'!$AF$8,"B",IF(N76&lt;'PlayerGrades+'!$AF$7,"B+",IF(N76&lt;'PlayerGrades+'!$AF$6,"A-",IF(N76&lt;'PlayerGrades+'!$AF$5,"A",IF(N76&lt;'PlayerGrades+'!$AF$4,"A+",IF(N76&lt;'PlayerGrades+'!$AF$3,"S-",IF(N76&lt;'PlayerGrades+'!$AF$2,"S","S+"))))))))))))))))))))</f>
        <v>#DIV/0!</v>
      </c>
      <c r="P76" s="961" t="str">
        <f t="shared" si="7"/>
        <v>#DIV/0!</v>
      </c>
      <c r="Q76" s="961" t="str">
        <f>IF(P76&lt;'PlayerGrades+'!$AG$21,"F-",IF(P76&lt;'PlayerGrades+'!$AG$20,"F",IF(P76&lt;'PlayerGrades+'!$AG$19,"F+",IF(P76&lt;'PlayerGrades+'!$AG$18,"E-",IF(P76&lt;'PlayerGrades+'!$AG$17,"E",IF(P76&lt;'PlayerGrades+'!$AG$16,"E+",IF(P76&lt;'PlayerGrades+'!$AG$15,"D-",IF(P76&lt;'PlayerGrades+'!$AG$14,"D",IF(P76&lt;'PlayerGrades+'!$AG$13,"D+",IF(P76&lt;'PlayerGrades+'!$AG$12,"C-",IF(P76&lt;'PlayerGrades+'!$AG$11,"C",IF(P76&lt;'PlayerGrades+'!$AG$10,"C+",IF(P76&lt;'PlayerGrades+'!$AG$9,"B-",IF(P76&lt;'PlayerGrades+'!$AG$8,"B",IF(P76&lt;'PlayerGrades+'!$AG$7,"B+",IF(P76&lt;'PlayerGrades+'!$AG$6,"A-",IF(P76&lt;'PlayerGrades+'!$AG$5,"A",IF(P76&lt;'PlayerGrades+'!$AG$4,"A+",IF(P76&lt;'PlayerGrades+'!$AG$3,"S-",IF(P76&lt;'PlayerGrades+'!$AG$2,"S","S+"))))))))))))))))))))</f>
        <v>#DIV/0!</v>
      </c>
      <c r="R76" s="961" t="str">
        <f t="shared" si="8"/>
        <v>#DIV/0!</v>
      </c>
      <c r="S76" s="961" t="str">
        <f>IF(R76&lt;'PlayerGrades+'!$AH$21,"F-",IF(R76&lt;'PlayerGrades+'!$AH$20,"F",IF(R76&lt;'PlayerGrades+'!$AH$19,"F+",IF(R76&lt;'PlayerGrades+'!$AH$18,"E-",IF(R76&lt;'PlayerGrades+'!$AH$17,"E",IF(R76&lt;'PlayerGrades+'!$AH$16,"E+",IF(R76&lt;'PlayerGrades+'!$AH$15,"D-",IF(R76&lt;'PlayerGrades+'!$AH$14,"D",IF(R76&lt;'PlayerGrades+'!$AH$13,"D+",IF(R76&lt;'PlayerGrades+'!$AH$12,"C-",IF(R76&lt;'PlayerGrades+'!$AH$11,"C",IF(R76&lt;'PlayerGrades+'!$AH$10,"C+",IF(R76&lt;'PlayerGrades+'!$AH$9,"B-",IF(R76&lt;'PlayerGrades+'!$AH$8,"B",IF(R76&lt;'PlayerGrades+'!$AH$7,"B+",IF(R76&lt;'PlayerGrades+'!$AH$6,"A-",IF(R76&lt;'PlayerGrades+'!$AH$5,"A",IF(R76&lt;'PlayerGrades+'!$AH$4,"A+",IF(R76&lt;'PlayerGrades+'!$AH$3,"S-",IF(R76&lt;'PlayerGrades+'!$AH$2,"S","S+"))))))))))))))))))))</f>
        <v>#DIV/0!</v>
      </c>
      <c r="T76" s="961">
        <f t="shared" si="9"/>
        <v>0</v>
      </c>
      <c r="U76" s="961" t="str">
        <f>IF(T76&lt;'PlayerGrades+'!$AI$21,"F-",IF(T76&lt;'PlayerGrades+'!$AI$20,"F",IF(T76&lt;'PlayerGrades+'!$AI$19,"F+",IF(T76&lt;'PlayerGrades+'!$AI$18,"E-",IF(T76&lt;'PlayerGrades+'!$AI$17,"E",IF(T76&lt;'PlayerGrades+'!$AI$16,"E+",IF(T76&lt;'PlayerGrades+'!$AI$15,"D-",IF(T76&lt;'PlayerGrades+'!$AI$14,"D",IF(T76&lt;'PlayerGrades+'!$AI$13,"D+",IF(T76&lt;'PlayerGrades+'!$AI$12,"C-",IF(T76&lt;'PlayerGrades+'!$AI$11,"C",IF(T76&lt;'PlayerGrades+'!$AI$10,"C+",IF(T76&lt;'PlayerGrades+'!$AI$9,"B-",IF(T76&lt;'PlayerGrades+'!$AI$8,"B",IF(T76&lt;'PlayerGrades+'!$AI$7,"B+",IF(T76&lt;'PlayerGrades+'!$AI$6,"A-",IF(T76&lt;'PlayerGrades+'!$AI$5,"A",IF(T76&lt;'PlayerGrades+'!$AI$4,"A+",IF(T76&lt;'PlayerGrades+'!$AI$3,"S-",IF(T76&lt;'PlayerGrades+'!$AI$2,"S","S+"))))))))))))))))))))</f>
        <v>F-</v>
      </c>
      <c r="AC76" s="1392"/>
    </row>
    <row r="77">
      <c r="A77" s="1391"/>
      <c r="B77" s="611" t="str">
        <f>IF(C77&lt;'PlayerGrades+'!$Y$44,"F-",IF(C77&lt;'PlayerGrades+'!$Y$43,"F",IF(C77&lt;'PlayerGrades+'!$Y$42,"F+",IF(C77&lt;'PlayerGrades+'!$Y$41,"E-",IF(C77&lt;'PlayerGrades+'!$Y$40,"E",IF(C77&lt;'PlayerGrades+'!$Y$39,"E+",IF(C77&lt;'PlayerGrades+'!$Y$38,"D-",IF(C77&lt;'PlayerGrades+'!$Y$37,"D",IF(C77&lt;'PlayerGrades+'!$Y$36,"D+",IF(C77&lt;'PlayerGrades+'!$Y$35,"C-",IF(C77&lt;'PlayerGrades+'!$Y$34,"C",IF(C77&lt;'PlayerGrades+'!$Y$33,"C+",IF(C77&lt;'PlayerGrades+'!$Y$32,"B-",IF(C77&lt;'PlayerGrades+'!$Y$31,"B",IF(C77&lt;'PlayerGrades+'!$Y$30,"B+",IF(C77&lt;'PlayerGrades+'!$Y$29,"A-",IF(C77&lt;'PlayerGrades+'!$Y$28,"A",IF(C77&lt;'PlayerGrades+'!$Y$27,"A+",IF(C77&lt;'PlayerGrades+'!$Y$26,"S-",IF(C77&lt;'PlayerGrades+'!$Y$25,"S","S+"))))))))))))))))))))</f>
        <v>#DIV/0!</v>
      </c>
      <c r="C77" s="1378" t="str">
        <f>('PlayerGrades+'!$Y$47*(VLOOKUP(E77, 'PlayerGrades+'!$X$3:$Y$23, 2, FALSE)))+('PlayerGrades+'!$Y$48*(VLOOKUP(G77, 'PlayerGrades+'!$X$3:$Y$23, 2, FALSE)))+('PlayerGrades+'!$Y$49*(VLOOKUP(I77, 'PlayerGrades+'!$X$3:$Y$23, 2, FALSE)))+('PlayerGrades+'!$Y$50*(VLOOKUP(K77, 'PlayerGrades+'!$X$3:$Y$23, 2, FALSE)))+('PlayerGrades+'!$Y$51*(VLOOKUP(M77, 'PlayerGrades+'!$X$3:$Y$23, 2, FALSE)))+('PlayerGrades+'!$Y$52*(VLOOKUP(O77, 'PlayerGrades+'!$X$3:$Y$23, 2, FALSE)))+('PlayerGrades+'!$Y$53*(VLOOKUP(Q77, 'PlayerGrades+'!$X$3:$Y$23, 2, FALSE)))+('PlayerGrades+'!$Y$54*(VLOOKUP(S77, 'PlayerGrades+'!$X$3:$Y$23, 2, FALSE)))+('PlayerGrades+'!$Y$55*(VLOOKUP(U77, 'PlayerGrades+'!$X$3:$Y$23, 2, FALSE)))</f>
        <v>#DIV/0!</v>
      </c>
      <c r="D77" s="961" t="str">
        <f t="shared" si="1"/>
        <v>#DIV/0!</v>
      </c>
      <c r="E77" s="961" t="str">
        <f>IF(D77&lt;'PlayerGrades+'!$AA$21,"F-",IF(D77&lt;'PlayerGrades+'!$AA$20,"F",IF(D77&lt;'PlayerGrades+'!$AA$19,"F+",IF(D77&lt;'PlayerGrades+'!$AA$18,"E-",IF(D77&lt;'PlayerGrades+'!$AA$17,"E",IF(D77&lt;'PlayerGrades+'!$AA$16,"E+",IF(D77&lt;'PlayerGrades+'!$AA$15,"D-",IF(D77&lt;'PlayerGrades+'!$AA$14,"D",IF(D77&lt;'PlayerGrades+'!$AA$13,"D+",IF(D77&lt;'PlayerGrades+'!$AA$12,"C-",IF(D77&lt;'PlayerGrades+'!$AA$11,"C",IF(D77&lt;'PlayerGrades+'!$AA$10,"C+",IF(D77&lt;'PlayerGrades+'!$AA$9,"B-",IF(D77&lt;'PlayerGrades+'!$AA$8,"B",IF(D77&lt;'PlayerGrades+'!$AA$7,"B+",IF(D77&lt;'PlayerGrades+'!$AA$6,"A-",IF(D77&lt;'PlayerGrades+'!$AA$5,"A",IF(D77&lt;'PlayerGrades+'!$AA$4,"A+",IF(D77&lt;'PlayerGrades+'!$AA$3,"S-",IF(D77&lt;'PlayerGrades+'!$AA$2,"S","S+"))))))))))))))))))))</f>
        <v>#DIV/0!</v>
      </c>
      <c r="F77" s="961" t="str">
        <f t="shared" si="2"/>
        <v>#DIV/0!</v>
      </c>
      <c r="G77" s="961" t="str">
        <f>IF(F77&lt;'PlayerGrades+'!$AB$21,"F-",IF(F77&lt;'PlayerGrades+'!$AB$20,"F",IF(F77&lt;'PlayerGrades+'!$AB$19,"F+",IF(F77&lt;'PlayerGrades+'!$AB$18,"E-",IF(F77&lt;'PlayerGrades+'!$AB$17,"E",IF(F77&lt;'PlayerGrades+'!$AB$16,"E+",IF(F77&lt;'PlayerGrades+'!$AB$15,"D-",IF(F77&lt;'PlayerGrades+'!$AB$14,"D",IF(F77&lt;'PlayerGrades+'!$AB$13,"D+",IF(F77&lt;'PlayerGrades+'!$AB$12,"C-",IF(F77&lt;'PlayerGrades+'!$AB$11,"C",IF(F77&lt;'PlayerGrades+'!$AB$10,"C+",IF(F77&lt;'PlayerGrades+'!$AB$9,"B-",IF(F77&lt;'PlayerGrades+'!$AB$8,"B",IF(F77&lt;'PlayerGrades+'!$AB$7,"B+",IF(F77&lt;'PlayerGrades+'!$AB$6,"A-",IF(F77&lt;'PlayerGrades+'!$AB$5,"A",IF(F77&lt;'PlayerGrades+'!$AB$4,"A+",IF(F77&lt;'PlayerGrades+'!$AB$3,"S-",IF(F77&lt;'PlayerGrades+'!$AB$2,"S","S+"))))))))))))))))))))</f>
        <v>#DIV/0!</v>
      </c>
      <c r="H77" s="961" t="str">
        <f t="shared" si="3"/>
        <v>#DIV/0!</v>
      </c>
      <c r="I77" s="961" t="str">
        <f>IF(H77&lt;'PlayerGrades+'!$AC$21,"F-",IF(H77&lt;'PlayerGrades+'!$AC$20,"F",IF(H77&lt;'PlayerGrades+'!$AC$19,"F+",IF(H77&lt;'PlayerGrades+'!$AC$18,"E-",IF(H77&lt;'PlayerGrades+'!$AC$17,"E",IF(H77&lt;'PlayerGrades+'!$AC$16,"E+",IF(H77&lt;'PlayerGrades+'!$AC$15,"D-",IF(H77&lt;'PlayerGrades+'!$AC$14,"D",IF(H77&lt;'PlayerGrades+'!$AC$13,"D+",IF(H77&lt;'PlayerGrades+'!$AC$12,"C-",IF(H77&lt;'PlayerGrades+'!$AC$11,"C",IF(H77&lt;'PlayerGrades+'!$AC$10,"C+",IF(H77&lt;'PlayerGrades+'!$AC$9,"B-",IF(H77&lt;'PlayerGrades+'!$AC$8,"B",IF(H77&lt;'PlayerGrades+'!$AC$7,"B+",IF(H77&lt;'PlayerGrades+'!$AC$6,"A-",IF(H77&lt;'PlayerGrades+'!$AC$5,"A",IF(H77&lt;'PlayerGrades+'!$AC$4,"A+",IF(H77&lt;'PlayerGrades+'!$AC$3,"S-",IF(H77&lt;'PlayerGrades+'!$AC$2,"S","S+"))))))))))))))))))))</f>
        <v>#DIV/0!</v>
      </c>
      <c r="J77" s="961" t="str">
        <f t="shared" si="4"/>
        <v>#DIV/0!</v>
      </c>
      <c r="K77" s="961" t="str">
        <f>IF(J77&lt;'PlayerGrades+'!$AD$21,"F-",IF(J77&lt;'PlayerGrades+'!$AD$20,"F",IF(J77&lt;'PlayerGrades+'!$AD$19,"F+",IF(J77&lt;'PlayerGrades+'!$AD$18,"E-",IF(J77&lt;'PlayerGrades+'!$AD$17,"E",IF(J77&lt;'PlayerGrades+'!$AD$16,"E+",IF(J77&lt;'PlayerGrades+'!$AD$15,"D-",IF(J77&lt;'PlayerGrades+'!$AD$14,"D",IF(J77&lt;'PlayerGrades+'!$AD$13,"D+",IF(J77&lt;'PlayerGrades+'!$AD$12,"C-",IF(J77&lt;'PlayerGrades+'!$AD$11,"C",IF(J77&lt;'PlayerGrades+'!$AD$10,"C+",IF(J77&lt;'PlayerGrades+'!$AD$9,"B-",IF(J77&lt;'PlayerGrades+'!$AD$8,"B",IF(J77&lt;'PlayerGrades+'!$AD$7,"B+",IF(J77&lt;'PlayerGrades+'!$AD$6,"A-",IF(J77&lt;'PlayerGrades+'!$AD$5,"A",IF(J77&lt;'PlayerGrades+'!$AD$4,"A+",IF(J77&lt;'PlayerGrades+'!$AD$3,"S-",IF(J77&lt;'PlayerGrades+'!$AD$2,"S","S+"))))))))))))))))))))</f>
        <v>#DIV/0!</v>
      </c>
      <c r="L77" s="1176" t="str">
        <f t="shared" si="5"/>
        <v>#DIV/0!</v>
      </c>
      <c r="M77" s="992" t="str">
        <f>IF(L77&lt;'PlayerGrades+'!$AE$21,"F-",IF(L77&lt;'PlayerGrades+'!$AE$20,"F",IF(L77&lt;'PlayerGrades+'!$AE$19,"F+",IF(L77&lt;'PlayerGrades+'!$AE$18,"E-",IF(L77&lt;'PlayerGrades+'!$AE$17,"E",IF(L77&lt;'PlayerGrades+'!$AE$16,"E+",IF(L77&lt;'PlayerGrades+'!$AE$15,"D-",IF(L77&lt;'PlayerGrades+'!$AE$14,"D",IF(L77&lt;'PlayerGrades+'!$AE$13,"D+",IF(L77&lt;'PlayerGrades+'!$AE$12,"C-",IF(L77&lt;'PlayerGrades+'!$AE$11,"C",IF(L77&lt;'PlayerGrades+'!$AE$10,"C+",IF(L77&lt;'PlayerGrades+'!$AE$9,"B-",IF(L77&lt;'PlayerGrades+'!$AE$8,"B",IF(L77&lt;'PlayerGrades+'!$AE$7,"B+",IF(L77&lt;'PlayerGrades+'!$AE$6,"A-",IF(L77&lt;'PlayerGrades+'!$AE$5,"A",IF(L77&lt;'PlayerGrades+'!$AE$4,"A+",IF(L77&lt;'PlayerGrades+'!$AE$3,"S-",IF(L77&lt;'PlayerGrades+'!$AE$2,"S","S+"))))))))))))))))))))</f>
        <v>#DIV/0!</v>
      </c>
      <c r="N77" s="961" t="str">
        <f t="shared" si="6"/>
        <v>#DIV/0!</v>
      </c>
      <c r="O77" s="961" t="str">
        <f>IF(N77&lt;'PlayerGrades+'!$AF$21,"F-",IF(N77&lt;'PlayerGrades+'!$AF$20,"F",IF(N77&lt;'PlayerGrades+'!$AF$19,"F+",IF(N77&lt;'PlayerGrades+'!$AF$18,"E-",IF(N77&lt;'PlayerGrades+'!$AF$17,"E",IF(N77&lt;'PlayerGrades+'!$AF$16,"E+",IF(N77&lt;'PlayerGrades+'!$AF$15,"D-",IF(N77&lt;'PlayerGrades+'!$AF$14,"D",IF(N77&lt;'PlayerGrades+'!$AF$13,"D+",IF(N77&lt;'PlayerGrades+'!$AF$12,"C-",IF(N77&lt;'PlayerGrades+'!$AF$11,"C",IF(N77&lt;'PlayerGrades+'!$AF$10,"C+",IF(N77&lt;'PlayerGrades+'!$AF$9,"B-",IF(N77&lt;'PlayerGrades+'!$AF$8,"B",IF(N77&lt;'PlayerGrades+'!$AF$7,"B+",IF(N77&lt;'PlayerGrades+'!$AF$6,"A-",IF(N77&lt;'PlayerGrades+'!$AF$5,"A",IF(N77&lt;'PlayerGrades+'!$AF$4,"A+",IF(N77&lt;'PlayerGrades+'!$AF$3,"S-",IF(N77&lt;'PlayerGrades+'!$AF$2,"S","S+"))))))))))))))))))))</f>
        <v>#DIV/0!</v>
      </c>
      <c r="P77" s="961" t="str">
        <f t="shared" si="7"/>
        <v>#DIV/0!</v>
      </c>
      <c r="Q77" s="961" t="str">
        <f>IF(P77&lt;'PlayerGrades+'!$AG$21,"F-",IF(P77&lt;'PlayerGrades+'!$AG$20,"F",IF(P77&lt;'PlayerGrades+'!$AG$19,"F+",IF(P77&lt;'PlayerGrades+'!$AG$18,"E-",IF(P77&lt;'PlayerGrades+'!$AG$17,"E",IF(P77&lt;'PlayerGrades+'!$AG$16,"E+",IF(P77&lt;'PlayerGrades+'!$AG$15,"D-",IF(P77&lt;'PlayerGrades+'!$AG$14,"D",IF(P77&lt;'PlayerGrades+'!$AG$13,"D+",IF(P77&lt;'PlayerGrades+'!$AG$12,"C-",IF(P77&lt;'PlayerGrades+'!$AG$11,"C",IF(P77&lt;'PlayerGrades+'!$AG$10,"C+",IF(P77&lt;'PlayerGrades+'!$AG$9,"B-",IF(P77&lt;'PlayerGrades+'!$AG$8,"B",IF(P77&lt;'PlayerGrades+'!$AG$7,"B+",IF(P77&lt;'PlayerGrades+'!$AG$6,"A-",IF(P77&lt;'PlayerGrades+'!$AG$5,"A",IF(P77&lt;'PlayerGrades+'!$AG$4,"A+",IF(P77&lt;'PlayerGrades+'!$AG$3,"S-",IF(P77&lt;'PlayerGrades+'!$AG$2,"S","S+"))))))))))))))))))))</f>
        <v>#DIV/0!</v>
      </c>
      <c r="R77" s="961" t="str">
        <f t="shared" si="8"/>
        <v>#DIV/0!</v>
      </c>
      <c r="S77" s="961" t="str">
        <f>IF(R77&lt;'PlayerGrades+'!$AH$21,"F-",IF(R77&lt;'PlayerGrades+'!$AH$20,"F",IF(R77&lt;'PlayerGrades+'!$AH$19,"F+",IF(R77&lt;'PlayerGrades+'!$AH$18,"E-",IF(R77&lt;'PlayerGrades+'!$AH$17,"E",IF(R77&lt;'PlayerGrades+'!$AH$16,"E+",IF(R77&lt;'PlayerGrades+'!$AH$15,"D-",IF(R77&lt;'PlayerGrades+'!$AH$14,"D",IF(R77&lt;'PlayerGrades+'!$AH$13,"D+",IF(R77&lt;'PlayerGrades+'!$AH$12,"C-",IF(R77&lt;'PlayerGrades+'!$AH$11,"C",IF(R77&lt;'PlayerGrades+'!$AH$10,"C+",IF(R77&lt;'PlayerGrades+'!$AH$9,"B-",IF(R77&lt;'PlayerGrades+'!$AH$8,"B",IF(R77&lt;'PlayerGrades+'!$AH$7,"B+",IF(R77&lt;'PlayerGrades+'!$AH$6,"A-",IF(R77&lt;'PlayerGrades+'!$AH$5,"A",IF(R77&lt;'PlayerGrades+'!$AH$4,"A+",IF(R77&lt;'PlayerGrades+'!$AH$3,"S-",IF(R77&lt;'PlayerGrades+'!$AH$2,"S","S+"))))))))))))))))))))</f>
        <v>#DIV/0!</v>
      </c>
      <c r="T77" s="961">
        <f t="shared" si="9"/>
        <v>0</v>
      </c>
      <c r="U77" s="961" t="str">
        <f>IF(T77&lt;'PlayerGrades+'!$AI$21,"F-",IF(T77&lt;'PlayerGrades+'!$AI$20,"F",IF(T77&lt;'PlayerGrades+'!$AI$19,"F+",IF(T77&lt;'PlayerGrades+'!$AI$18,"E-",IF(T77&lt;'PlayerGrades+'!$AI$17,"E",IF(T77&lt;'PlayerGrades+'!$AI$16,"E+",IF(T77&lt;'PlayerGrades+'!$AI$15,"D-",IF(T77&lt;'PlayerGrades+'!$AI$14,"D",IF(T77&lt;'PlayerGrades+'!$AI$13,"D+",IF(T77&lt;'PlayerGrades+'!$AI$12,"C-",IF(T77&lt;'PlayerGrades+'!$AI$11,"C",IF(T77&lt;'PlayerGrades+'!$AI$10,"C+",IF(T77&lt;'PlayerGrades+'!$AI$9,"B-",IF(T77&lt;'PlayerGrades+'!$AI$8,"B",IF(T77&lt;'PlayerGrades+'!$AI$7,"B+",IF(T77&lt;'PlayerGrades+'!$AI$6,"A-",IF(T77&lt;'PlayerGrades+'!$AI$5,"A",IF(T77&lt;'PlayerGrades+'!$AI$4,"A+",IF(T77&lt;'PlayerGrades+'!$AI$3,"S-",IF(T77&lt;'PlayerGrades+'!$AI$2,"S","S+"))))))))))))))))))))</f>
        <v>F-</v>
      </c>
      <c r="AC77" s="1392"/>
    </row>
    <row r="78">
      <c r="A78" s="1391"/>
      <c r="B78" s="611" t="str">
        <f>IF(C78&lt;'PlayerGrades+'!$Y$44,"F-",IF(C78&lt;'PlayerGrades+'!$Y$43,"F",IF(C78&lt;'PlayerGrades+'!$Y$42,"F+",IF(C78&lt;'PlayerGrades+'!$Y$41,"E-",IF(C78&lt;'PlayerGrades+'!$Y$40,"E",IF(C78&lt;'PlayerGrades+'!$Y$39,"E+",IF(C78&lt;'PlayerGrades+'!$Y$38,"D-",IF(C78&lt;'PlayerGrades+'!$Y$37,"D",IF(C78&lt;'PlayerGrades+'!$Y$36,"D+",IF(C78&lt;'PlayerGrades+'!$Y$35,"C-",IF(C78&lt;'PlayerGrades+'!$Y$34,"C",IF(C78&lt;'PlayerGrades+'!$Y$33,"C+",IF(C78&lt;'PlayerGrades+'!$Y$32,"B-",IF(C78&lt;'PlayerGrades+'!$Y$31,"B",IF(C78&lt;'PlayerGrades+'!$Y$30,"B+",IF(C78&lt;'PlayerGrades+'!$Y$29,"A-",IF(C78&lt;'PlayerGrades+'!$Y$28,"A",IF(C78&lt;'PlayerGrades+'!$Y$27,"A+",IF(C78&lt;'PlayerGrades+'!$Y$26,"S-",IF(C78&lt;'PlayerGrades+'!$Y$25,"S","S+"))))))))))))))))))))</f>
        <v>#DIV/0!</v>
      </c>
      <c r="C78" s="1378" t="str">
        <f>('PlayerGrades+'!$Y$47*(VLOOKUP(E78, 'PlayerGrades+'!$X$3:$Y$23, 2, FALSE)))+('PlayerGrades+'!$Y$48*(VLOOKUP(G78, 'PlayerGrades+'!$X$3:$Y$23, 2, FALSE)))+('PlayerGrades+'!$Y$49*(VLOOKUP(I78, 'PlayerGrades+'!$X$3:$Y$23, 2, FALSE)))+('PlayerGrades+'!$Y$50*(VLOOKUP(K78, 'PlayerGrades+'!$X$3:$Y$23, 2, FALSE)))+('PlayerGrades+'!$Y$51*(VLOOKUP(M78, 'PlayerGrades+'!$X$3:$Y$23, 2, FALSE)))+('PlayerGrades+'!$Y$52*(VLOOKUP(O78, 'PlayerGrades+'!$X$3:$Y$23, 2, FALSE)))+('PlayerGrades+'!$Y$53*(VLOOKUP(Q78, 'PlayerGrades+'!$X$3:$Y$23, 2, FALSE)))+('PlayerGrades+'!$Y$54*(VLOOKUP(S78, 'PlayerGrades+'!$X$3:$Y$23, 2, FALSE)))+('PlayerGrades+'!$Y$55*(VLOOKUP(U78, 'PlayerGrades+'!$X$3:$Y$23, 2, FALSE)))</f>
        <v>#DIV/0!</v>
      </c>
      <c r="D78" s="961" t="str">
        <f t="shared" si="1"/>
        <v>#DIV/0!</v>
      </c>
      <c r="E78" s="961" t="str">
        <f>IF(D78&lt;'PlayerGrades+'!$AA$21,"F-",IF(D78&lt;'PlayerGrades+'!$AA$20,"F",IF(D78&lt;'PlayerGrades+'!$AA$19,"F+",IF(D78&lt;'PlayerGrades+'!$AA$18,"E-",IF(D78&lt;'PlayerGrades+'!$AA$17,"E",IF(D78&lt;'PlayerGrades+'!$AA$16,"E+",IF(D78&lt;'PlayerGrades+'!$AA$15,"D-",IF(D78&lt;'PlayerGrades+'!$AA$14,"D",IF(D78&lt;'PlayerGrades+'!$AA$13,"D+",IF(D78&lt;'PlayerGrades+'!$AA$12,"C-",IF(D78&lt;'PlayerGrades+'!$AA$11,"C",IF(D78&lt;'PlayerGrades+'!$AA$10,"C+",IF(D78&lt;'PlayerGrades+'!$AA$9,"B-",IF(D78&lt;'PlayerGrades+'!$AA$8,"B",IF(D78&lt;'PlayerGrades+'!$AA$7,"B+",IF(D78&lt;'PlayerGrades+'!$AA$6,"A-",IF(D78&lt;'PlayerGrades+'!$AA$5,"A",IF(D78&lt;'PlayerGrades+'!$AA$4,"A+",IF(D78&lt;'PlayerGrades+'!$AA$3,"S-",IF(D78&lt;'PlayerGrades+'!$AA$2,"S","S+"))))))))))))))))))))</f>
        <v>#DIV/0!</v>
      </c>
      <c r="F78" s="961" t="str">
        <f t="shared" si="2"/>
        <v>#DIV/0!</v>
      </c>
      <c r="G78" s="961" t="str">
        <f>IF(F78&lt;'PlayerGrades+'!$AB$21,"F-",IF(F78&lt;'PlayerGrades+'!$AB$20,"F",IF(F78&lt;'PlayerGrades+'!$AB$19,"F+",IF(F78&lt;'PlayerGrades+'!$AB$18,"E-",IF(F78&lt;'PlayerGrades+'!$AB$17,"E",IF(F78&lt;'PlayerGrades+'!$AB$16,"E+",IF(F78&lt;'PlayerGrades+'!$AB$15,"D-",IF(F78&lt;'PlayerGrades+'!$AB$14,"D",IF(F78&lt;'PlayerGrades+'!$AB$13,"D+",IF(F78&lt;'PlayerGrades+'!$AB$12,"C-",IF(F78&lt;'PlayerGrades+'!$AB$11,"C",IF(F78&lt;'PlayerGrades+'!$AB$10,"C+",IF(F78&lt;'PlayerGrades+'!$AB$9,"B-",IF(F78&lt;'PlayerGrades+'!$AB$8,"B",IF(F78&lt;'PlayerGrades+'!$AB$7,"B+",IF(F78&lt;'PlayerGrades+'!$AB$6,"A-",IF(F78&lt;'PlayerGrades+'!$AB$5,"A",IF(F78&lt;'PlayerGrades+'!$AB$4,"A+",IF(F78&lt;'PlayerGrades+'!$AB$3,"S-",IF(F78&lt;'PlayerGrades+'!$AB$2,"S","S+"))))))))))))))))))))</f>
        <v>#DIV/0!</v>
      </c>
      <c r="H78" s="961" t="str">
        <f t="shared" si="3"/>
        <v>#DIV/0!</v>
      </c>
      <c r="I78" s="961" t="str">
        <f>IF(H78&lt;'PlayerGrades+'!$AC$21,"F-",IF(H78&lt;'PlayerGrades+'!$AC$20,"F",IF(H78&lt;'PlayerGrades+'!$AC$19,"F+",IF(H78&lt;'PlayerGrades+'!$AC$18,"E-",IF(H78&lt;'PlayerGrades+'!$AC$17,"E",IF(H78&lt;'PlayerGrades+'!$AC$16,"E+",IF(H78&lt;'PlayerGrades+'!$AC$15,"D-",IF(H78&lt;'PlayerGrades+'!$AC$14,"D",IF(H78&lt;'PlayerGrades+'!$AC$13,"D+",IF(H78&lt;'PlayerGrades+'!$AC$12,"C-",IF(H78&lt;'PlayerGrades+'!$AC$11,"C",IF(H78&lt;'PlayerGrades+'!$AC$10,"C+",IF(H78&lt;'PlayerGrades+'!$AC$9,"B-",IF(H78&lt;'PlayerGrades+'!$AC$8,"B",IF(H78&lt;'PlayerGrades+'!$AC$7,"B+",IF(H78&lt;'PlayerGrades+'!$AC$6,"A-",IF(H78&lt;'PlayerGrades+'!$AC$5,"A",IF(H78&lt;'PlayerGrades+'!$AC$4,"A+",IF(H78&lt;'PlayerGrades+'!$AC$3,"S-",IF(H78&lt;'PlayerGrades+'!$AC$2,"S","S+"))))))))))))))))))))</f>
        <v>#DIV/0!</v>
      </c>
      <c r="J78" s="961" t="str">
        <f t="shared" si="4"/>
        <v>#DIV/0!</v>
      </c>
      <c r="K78" s="961" t="str">
        <f>IF(J78&lt;'PlayerGrades+'!$AD$21,"F-",IF(J78&lt;'PlayerGrades+'!$AD$20,"F",IF(J78&lt;'PlayerGrades+'!$AD$19,"F+",IF(J78&lt;'PlayerGrades+'!$AD$18,"E-",IF(J78&lt;'PlayerGrades+'!$AD$17,"E",IF(J78&lt;'PlayerGrades+'!$AD$16,"E+",IF(J78&lt;'PlayerGrades+'!$AD$15,"D-",IF(J78&lt;'PlayerGrades+'!$AD$14,"D",IF(J78&lt;'PlayerGrades+'!$AD$13,"D+",IF(J78&lt;'PlayerGrades+'!$AD$12,"C-",IF(J78&lt;'PlayerGrades+'!$AD$11,"C",IF(J78&lt;'PlayerGrades+'!$AD$10,"C+",IF(J78&lt;'PlayerGrades+'!$AD$9,"B-",IF(J78&lt;'PlayerGrades+'!$AD$8,"B",IF(J78&lt;'PlayerGrades+'!$AD$7,"B+",IF(J78&lt;'PlayerGrades+'!$AD$6,"A-",IF(J78&lt;'PlayerGrades+'!$AD$5,"A",IF(J78&lt;'PlayerGrades+'!$AD$4,"A+",IF(J78&lt;'PlayerGrades+'!$AD$3,"S-",IF(J78&lt;'PlayerGrades+'!$AD$2,"S","S+"))))))))))))))))))))</f>
        <v>#DIV/0!</v>
      </c>
      <c r="L78" s="1176" t="str">
        <f t="shared" si="5"/>
        <v>#DIV/0!</v>
      </c>
      <c r="M78" s="992" t="str">
        <f>IF(L78&lt;'PlayerGrades+'!$AE$21,"F-",IF(L78&lt;'PlayerGrades+'!$AE$20,"F",IF(L78&lt;'PlayerGrades+'!$AE$19,"F+",IF(L78&lt;'PlayerGrades+'!$AE$18,"E-",IF(L78&lt;'PlayerGrades+'!$AE$17,"E",IF(L78&lt;'PlayerGrades+'!$AE$16,"E+",IF(L78&lt;'PlayerGrades+'!$AE$15,"D-",IF(L78&lt;'PlayerGrades+'!$AE$14,"D",IF(L78&lt;'PlayerGrades+'!$AE$13,"D+",IF(L78&lt;'PlayerGrades+'!$AE$12,"C-",IF(L78&lt;'PlayerGrades+'!$AE$11,"C",IF(L78&lt;'PlayerGrades+'!$AE$10,"C+",IF(L78&lt;'PlayerGrades+'!$AE$9,"B-",IF(L78&lt;'PlayerGrades+'!$AE$8,"B",IF(L78&lt;'PlayerGrades+'!$AE$7,"B+",IF(L78&lt;'PlayerGrades+'!$AE$6,"A-",IF(L78&lt;'PlayerGrades+'!$AE$5,"A",IF(L78&lt;'PlayerGrades+'!$AE$4,"A+",IF(L78&lt;'PlayerGrades+'!$AE$3,"S-",IF(L78&lt;'PlayerGrades+'!$AE$2,"S","S+"))))))))))))))))))))</f>
        <v>#DIV/0!</v>
      </c>
      <c r="N78" s="961" t="str">
        <f t="shared" si="6"/>
        <v>#DIV/0!</v>
      </c>
      <c r="O78" s="961" t="str">
        <f>IF(N78&lt;'PlayerGrades+'!$AF$21,"F-",IF(N78&lt;'PlayerGrades+'!$AF$20,"F",IF(N78&lt;'PlayerGrades+'!$AF$19,"F+",IF(N78&lt;'PlayerGrades+'!$AF$18,"E-",IF(N78&lt;'PlayerGrades+'!$AF$17,"E",IF(N78&lt;'PlayerGrades+'!$AF$16,"E+",IF(N78&lt;'PlayerGrades+'!$AF$15,"D-",IF(N78&lt;'PlayerGrades+'!$AF$14,"D",IF(N78&lt;'PlayerGrades+'!$AF$13,"D+",IF(N78&lt;'PlayerGrades+'!$AF$12,"C-",IF(N78&lt;'PlayerGrades+'!$AF$11,"C",IF(N78&lt;'PlayerGrades+'!$AF$10,"C+",IF(N78&lt;'PlayerGrades+'!$AF$9,"B-",IF(N78&lt;'PlayerGrades+'!$AF$8,"B",IF(N78&lt;'PlayerGrades+'!$AF$7,"B+",IF(N78&lt;'PlayerGrades+'!$AF$6,"A-",IF(N78&lt;'PlayerGrades+'!$AF$5,"A",IF(N78&lt;'PlayerGrades+'!$AF$4,"A+",IF(N78&lt;'PlayerGrades+'!$AF$3,"S-",IF(N78&lt;'PlayerGrades+'!$AF$2,"S","S+"))))))))))))))))))))</f>
        <v>#DIV/0!</v>
      </c>
      <c r="P78" s="961" t="str">
        <f t="shared" si="7"/>
        <v>#DIV/0!</v>
      </c>
      <c r="Q78" s="961" t="str">
        <f>IF(P78&lt;'PlayerGrades+'!$AG$21,"F-",IF(P78&lt;'PlayerGrades+'!$AG$20,"F",IF(P78&lt;'PlayerGrades+'!$AG$19,"F+",IF(P78&lt;'PlayerGrades+'!$AG$18,"E-",IF(P78&lt;'PlayerGrades+'!$AG$17,"E",IF(P78&lt;'PlayerGrades+'!$AG$16,"E+",IF(P78&lt;'PlayerGrades+'!$AG$15,"D-",IF(P78&lt;'PlayerGrades+'!$AG$14,"D",IF(P78&lt;'PlayerGrades+'!$AG$13,"D+",IF(P78&lt;'PlayerGrades+'!$AG$12,"C-",IF(P78&lt;'PlayerGrades+'!$AG$11,"C",IF(P78&lt;'PlayerGrades+'!$AG$10,"C+",IF(P78&lt;'PlayerGrades+'!$AG$9,"B-",IF(P78&lt;'PlayerGrades+'!$AG$8,"B",IF(P78&lt;'PlayerGrades+'!$AG$7,"B+",IF(P78&lt;'PlayerGrades+'!$AG$6,"A-",IF(P78&lt;'PlayerGrades+'!$AG$5,"A",IF(P78&lt;'PlayerGrades+'!$AG$4,"A+",IF(P78&lt;'PlayerGrades+'!$AG$3,"S-",IF(P78&lt;'PlayerGrades+'!$AG$2,"S","S+"))))))))))))))))))))</f>
        <v>#DIV/0!</v>
      </c>
      <c r="R78" s="961" t="str">
        <f t="shared" si="8"/>
        <v>#DIV/0!</v>
      </c>
      <c r="S78" s="961" t="str">
        <f>IF(R78&lt;'PlayerGrades+'!$AH$21,"F-",IF(R78&lt;'PlayerGrades+'!$AH$20,"F",IF(R78&lt;'PlayerGrades+'!$AH$19,"F+",IF(R78&lt;'PlayerGrades+'!$AH$18,"E-",IF(R78&lt;'PlayerGrades+'!$AH$17,"E",IF(R78&lt;'PlayerGrades+'!$AH$16,"E+",IF(R78&lt;'PlayerGrades+'!$AH$15,"D-",IF(R78&lt;'PlayerGrades+'!$AH$14,"D",IF(R78&lt;'PlayerGrades+'!$AH$13,"D+",IF(R78&lt;'PlayerGrades+'!$AH$12,"C-",IF(R78&lt;'PlayerGrades+'!$AH$11,"C",IF(R78&lt;'PlayerGrades+'!$AH$10,"C+",IF(R78&lt;'PlayerGrades+'!$AH$9,"B-",IF(R78&lt;'PlayerGrades+'!$AH$8,"B",IF(R78&lt;'PlayerGrades+'!$AH$7,"B+",IF(R78&lt;'PlayerGrades+'!$AH$6,"A-",IF(R78&lt;'PlayerGrades+'!$AH$5,"A",IF(R78&lt;'PlayerGrades+'!$AH$4,"A+",IF(R78&lt;'PlayerGrades+'!$AH$3,"S-",IF(R78&lt;'PlayerGrades+'!$AH$2,"S","S+"))))))))))))))))))))</f>
        <v>#DIV/0!</v>
      </c>
      <c r="T78" s="961">
        <f t="shared" si="9"/>
        <v>0</v>
      </c>
      <c r="U78" s="961" t="str">
        <f>IF(T78&lt;'PlayerGrades+'!$AI$21,"F-",IF(T78&lt;'PlayerGrades+'!$AI$20,"F",IF(T78&lt;'PlayerGrades+'!$AI$19,"F+",IF(T78&lt;'PlayerGrades+'!$AI$18,"E-",IF(T78&lt;'PlayerGrades+'!$AI$17,"E",IF(T78&lt;'PlayerGrades+'!$AI$16,"E+",IF(T78&lt;'PlayerGrades+'!$AI$15,"D-",IF(T78&lt;'PlayerGrades+'!$AI$14,"D",IF(T78&lt;'PlayerGrades+'!$AI$13,"D+",IF(T78&lt;'PlayerGrades+'!$AI$12,"C-",IF(T78&lt;'PlayerGrades+'!$AI$11,"C",IF(T78&lt;'PlayerGrades+'!$AI$10,"C+",IF(T78&lt;'PlayerGrades+'!$AI$9,"B-",IF(T78&lt;'PlayerGrades+'!$AI$8,"B",IF(T78&lt;'PlayerGrades+'!$AI$7,"B+",IF(T78&lt;'PlayerGrades+'!$AI$6,"A-",IF(T78&lt;'PlayerGrades+'!$AI$5,"A",IF(T78&lt;'PlayerGrades+'!$AI$4,"A+",IF(T78&lt;'PlayerGrades+'!$AI$3,"S-",IF(T78&lt;'PlayerGrades+'!$AI$2,"S","S+"))))))))))))))))))))</f>
        <v>F-</v>
      </c>
      <c r="AC78" s="1392"/>
    </row>
    <row r="79">
      <c r="A79" s="1391"/>
      <c r="B79" s="611" t="str">
        <f>IF(C79&lt;'PlayerGrades+'!$Y$44,"F-",IF(C79&lt;'PlayerGrades+'!$Y$43,"F",IF(C79&lt;'PlayerGrades+'!$Y$42,"F+",IF(C79&lt;'PlayerGrades+'!$Y$41,"E-",IF(C79&lt;'PlayerGrades+'!$Y$40,"E",IF(C79&lt;'PlayerGrades+'!$Y$39,"E+",IF(C79&lt;'PlayerGrades+'!$Y$38,"D-",IF(C79&lt;'PlayerGrades+'!$Y$37,"D",IF(C79&lt;'PlayerGrades+'!$Y$36,"D+",IF(C79&lt;'PlayerGrades+'!$Y$35,"C-",IF(C79&lt;'PlayerGrades+'!$Y$34,"C",IF(C79&lt;'PlayerGrades+'!$Y$33,"C+",IF(C79&lt;'PlayerGrades+'!$Y$32,"B-",IF(C79&lt;'PlayerGrades+'!$Y$31,"B",IF(C79&lt;'PlayerGrades+'!$Y$30,"B+",IF(C79&lt;'PlayerGrades+'!$Y$29,"A-",IF(C79&lt;'PlayerGrades+'!$Y$28,"A",IF(C79&lt;'PlayerGrades+'!$Y$27,"A+",IF(C79&lt;'PlayerGrades+'!$Y$26,"S-",IF(C79&lt;'PlayerGrades+'!$Y$25,"S","S+"))))))))))))))))))))</f>
        <v>#DIV/0!</v>
      </c>
      <c r="C79" s="1378" t="str">
        <f>('PlayerGrades+'!$Y$47*(VLOOKUP(E79, 'PlayerGrades+'!$X$3:$Y$23, 2, FALSE)))+('PlayerGrades+'!$Y$48*(VLOOKUP(G79, 'PlayerGrades+'!$X$3:$Y$23, 2, FALSE)))+('PlayerGrades+'!$Y$49*(VLOOKUP(I79, 'PlayerGrades+'!$X$3:$Y$23, 2, FALSE)))+('PlayerGrades+'!$Y$50*(VLOOKUP(K79, 'PlayerGrades+'!$X$3:$Y$23, 2, FALSE)))+('PlayerGrades+'!$Y$51*(VLOOKUP(M79, 'PlayerGrades+'!$X$3:$Y$23, 2, FALSE)))+('PlayerGrades+'!$Y$52*(VLOOKUP(O79, 'PlayerGrades+'!$X$3:$Y$23, 2, FALSE)))+('PlayerGrades+'!$Y$53*(VLOOKUP(Q79, 'PlayerGrades+'!$X$3:$Y$23, 2, FALSE)))+('PlayerGrades+'!$Y$54*(VLOOKUP(S79, 'PlayerGrades+'!$X$3:$Y$23, 2, FALSE)))+('PlayerGrades+'!$Y$55*(VLOOKUP(U79, 'PlayerGrades+'!$X$3:$Y$23, 2, FALSE)))</f>
        <v>#DIV/0!</v>
      </c>
      <c r="D79" s="961" t="str">
        <f t="shared" si="1"/>
        <v>#DIV/0!</v>
      </c>
      <c r="E79" s="961" t="str">
        <f>IF(D79&lt;'PlayerGrades+'!$AA$21,"F-",IF(D79&lt;'PlayerGrades+'!$AA$20,"F",IF(D79&lt;'PlayerGrades+'!$AA$19,"F+",IF(D79&lt;'PlayerGrades+'!$AA$18,"E-",IF(D79&lt;'PlayerGrades+'!$AA$17,"E",IF(D79&lt;'PlayerGrades+'!$AA$16,"E+",IF(D79&lt;'PlayerGrades+'!$AA$15,"D-",IF(D79&lt;'PlayerGrades+'!$AA$14,"D",IF(D79&lt;'PlayerGrades+'!$AA$13,"D+",IF(D79&lt;'PlayerGrades+'!$AA$12,"C-",IF(D79&lt;'PlayerGrades+'!$AA$11,"C",IF(D79&lt;'PlayerGrades+'!$AA$10,"C+",IF(D79&lt;'PlayerGrades+'!$AA$9,"B-",IF(D79&lt;'PlayerGrades+'!$AA$8,"B",IF(D79&lt;'PlayerGrades+'!$AA$7,"B+",IF(D79&lt;'PlayerGrades+'!$AA$6,"A-",IF(D79&lt;'PlayerGrades+'!$AA$5,"A",IF(D79&lt;'PlayerGrades+'!$AA$4,"A+",IF(D79&lt;'PlayerGrades+'!$AA$3,"S-",IF(D79&lt;'PlayerGrades+'!$AA$2,"S","S+"))))))))))))))))))))</f>
        <v>#DIV/0!</v>
      </c>
      <c r="F79" s="961" t="str">
        <f t="shared" si="2"/>
        <v>#DIV/0!</v>
      </c>
      <c r="G79" s="961" t="str">
        <f>IF(F79&lt;'PlayerGrades+'!$AB$21,"F-",IF(F79&lt;'PlayerGrades+'!$AB$20,"F",IF(F79&lt;'PlayerGrades+'!$AB$19,"F+",IF(F79&lt;'PlayerGrades+'!$AB$18,"E-",IF(F79&lt;'PlayerGrades+'!$AB$17,"E",IF(F79&lt;'PlayerGrades+'!$AB$16,"E+",IF(F79&lt;'PlayerGrades+'!$AB$15,"D-",IF(F79&lt;'PlayerGrades+'!$AB$14,"D",IF(F79&lt;'PlayerGrades+'!$AB$13,"D+",IF(F79&lt;'PlayerGrades+'!$AB$12,"C-",IF(F79&lt;'PlayerGrades+'!$AB$11,"C",IF(F79&lt;'PlayerGrades+'!$AB$10,"C+",IF(F79&lt;'PlayerGrades+'!$AB$9,"B-",IF(F79&lt;'PlayerGrades+'!$AB$8,"B",IF(F79&lt;'PlayerGrades+'!$AB$7,"B+",IF(F79&lt;'PlayerGrades+'!$AB$6,"A-",IF(F79&lt;'PlayerGrades+'!$AB$5,"A",IF(F79&lt;'PlayerGrades+'!$AB$4,"A+",IF(F79&lt;'PlayerGrades+'!$AB$3,"S-",IF(F79&lt;'PlayerGrades+'!$AB$2,"S","S+"))))))))))))))))))))</f>
        <v>#DIV/0!</v>
      </c>
      <c r="H79" s="961" t="str">
        <f t="shared" si="3"/>
        <v>#DIV/0!</v>
      </c>
      <c r="I79" s="961" t="str">
        <f>IF(H79&lt;'PlayerGrades+'!$AC$21,"F-",IF(H79&lt;'PlayerGrades+'!$AC$20,"F",IF(H79&lt;'PlayerGrades+'!$AC$19,"F+",IF(H79&lt;'PlayerGrades+'!$AC$18,"E-",IF(H79&lt;'PlayerGrades+'!$AC$17,"E",IF(H79&lt;'PlayerGrades+'!$AC$16,"E+",IF(H79&lt;'PlayerGrades+'!$AC$15,"D-",IF(H79&lt;'PlayerGrades+'!$AC$14,"D",IF(H79&lt;'PlayerGrades+'!$AC$13,"D+",IF(H79&lt;'PlayerGrades+'!$AC$12,"C-",IF(H79&lt;'PlayerGrades+'!$AC$11,"C",IF(H79&lt;'PlayerGrades+'!$AC$10,"C+",IF(H79&lt;'PlayerGrades+'!$AC$9,"B-",IF(H79&lt;'PlayerGrades+'!$AC$8,"B",IF(H79&lt;'PlayerGrades+'!$AC$7,"B+",IF(H79&lt;'PlayerGrades+'!$AC$6,"A-",IF(H79&lt;'PlayerGrades+'!$AC$5,"A",IF(H79&lt;'PlayerGrades+'!$AC$4,"A+",IF(H79&lt;'PlayerGrades+'!$AC$3,"S-",IF(H79&lt;'PlayerGrades+'!$AC$2,"S","S+"))))))))))))))))))))</f>
        <v>#DIV/0!</v>
      </c>
      <c r="J79" s="961" t="str">
        <f t="shared" si="4"/>
        <v>#DIV/0!</v>
      </c>
      <c r="K79" s="961" t="str">
        <f>IF(J79&lt;'PlayerGrades+'!$AD$21,"F-",IF(J79&lt;'PlayerGrades+'!$AD$20,"F",IF(J79&lt;'PlayerGrades+'!$AD$19,"F+",IF(J79&lt;'PlayerGrades+'!$AD$18,"E-",IF(J79&lt;'PlayerGrades+'!$AD$17,"E",IF(J79&lt;'PlayerGrades+'!$AD$16,"E+",IF(J79&lt;'PlayerGrades+'!$AD$15,"D-",IF(J79&lt;'PlayerGrades+'!$AD$14,"D",IF(J79&lt;'PlayerGrades+'!$AD$13,"D+",IF(J79&lt;'PlayerGrades+'!$AD$12,"C-",IF(J79&lt;'PlayerGrades+'!$AD$11,"C",IF(J79&lt;'PlayerGrades+'!$AD$10,"C+",IF(J79&lt;'PlayerGrades+'!$AD$9,"B-",IF(J79&lt;'PlayerGrades+'!$AD$8,"B",IF(J79&lt;'PlayerGrades+'!$AD$7,"B+",IF(J79&lt;'PlayerGrades+'!$AD$6,"A-",IF(J79&lt;'PlayerGrades+'!$AD$5,"A",IF(J79&lt;'PlayerGrades+'!$AD$4,"A+",IF(J79&lt;'PlayerGrades+'!$AD$3,"S-",IF(J79&lt;'PlayerGrades+'!$AD$2,"S","S+"))))))))))))))))))))</f>
        <v>#DIV/0!</v>
      </c>
      <c r="L79" s="1176" t="str">
        <f t="shared" si="5"/>
        <v>#DIV/0!</v>
      </c>
      <c r="M79" s="992" t="str">
        <f>IF(L79&lt;'PlayerGrades+'!$AE$21,"F-",IF(L79&lt;'PlayerGrades+'!$AE$20,"F",IF(L79&lt;'PlayerGrades+'!$AE$19,"F+",IF(L79&lt;'PlayerGrades+'!$AE$18,"E-",IF(L79&lt;'PlayerGrades+'!$AE$17,"E",IF(L79&lt;'PlayerGrades+'!$AE$16,"E+",IF(L79&lt;'PlayerGrades+'!$AE$15,"D-",IF(L79&lt;'PlayerGrades+'!$AE$14,"D",IF(L79&lt;'PlayerGrades+'!$AE$13,"D+",IF(L79&lt;'PlayerGrades+'!$AE$12,"C-",IF(L79&lt;'PlayerGrades+'!$AE$11,"C",IF(L79&lt;'PlayerGrades+'!$AE$10,"C+",IF(L79&lt;'PlayerGrades+'!$AE$9,"B-",IF(L79&lt;'PlayerGrades+'!$AE$8,"B",IF(L79&lt;'PlayerGrades+'!$AE$7,"B+",IF(L79&lt;'PlayerGrades+'!$AE$6,"A-",IF(L79&lt;'PlayerGrades+'!$AE$5,"A",IF(L79&lt;'PlayerGrades+'!$AE$4,"A+",IF(L79&lt;'PlayerGrades+'!$AE$3,"S-",IF(L79&lt;'PlayerGrades+'!$AE$2,"S","S+"))))))))))))))))))))</f>
        <v>#DIV/0!</v>
      </c>
      <c r="N79" s="961" t="str">
        <f t="shared" si="6"/>
        <v>#DIV/0!</v>
      </c>
      <c r="O79" s="961" t="str">
        <f>IF(N79&lt;'PlayerGrades+'!$AF$21,"F-",IF(N79&lt;'PlayerGrades+'!$AF$20,"F",IF(N79&lt;'PlayerGrades+'!$AF$19,"F+",IF(N79&lt;'PlayerGrades+'!$AF$18,"E-",IF(N79&lt;'PlayerGrades+'!$AF$17,"E",IF(N79&lt;'PlayerGrades+'!$AF$16,"E+",IF(N79&lt;'PlayerGrades+'!$AF$15,"D-",IF(N79&lt;'PlayerGrades+'!$AF$14,"D",IF(N79&lt;'PlayerGrades+'!$AF$13,"D+",IF(N79&lt;'PlayerGrades+'!$AF$12,"C-",IF(N79&lt;'PlayerGrades+'!$AF$11,"C",IF(N79&lt;'PlayerGrades+'!$AF$10,"C+",IF(N79&lt;'PlayerGrades+'!$AF$9,"B-",IF(N79&lt;'PlayerGrades+'!$AF$8,"B",IF(N79&lt;'PlayerGrades+'!$AF$7,"B+",IF(N79&lt;'PlayerGrades+'!$AF$6,"A-",IF(N79&lt;'PlayerGrades+'!$AF$5,"A",IF(N79&lt;'PlayerGrades+'!$AF$4,"A+",IF(N79&lt;'PlayerGrades+'!$AF$3,"S-",IF(N79&lt;'PlayerGrades+'!$AF$2,"S","S+"))))))))))))))))))))</f>
        <v>#DIV/0!</v>
      </c>
      <c r="P79" s="961" t="str">
        <f t="shared" si="7"/>
        <v>#DIV/0!</v>
      </c>
      <c r="Q79" s="961" t="str">
        <f>IF(P79&lt;'PlayerGrades+'!$AG$21,"F-",IF(P79&lt;'PlayerGrades+'!$AG$20,"F",IF(P79&lt;'PlayerGrades+'!$AG$19,"F+",IF(P79&lt;'PlayerGrades+'!$AG$18,"E-",IF(P79&lt;'PlayerGrades+'!$AG$17,"E",IF(P79&lt;'PlayerGrades+'!$AG$16,"E+",IF(P79&lt;'PlayerGrades+'!$AG$15,"D-",IF(P79&lt;'PlayerGrades+'!$AG$14,"D",IF(P79&lt;'PlayerGrades+'!$AG$13,"D+",IF(P79&lt;'PlayerGrades+'!$AG$12,"C-",IF(P79&lt;'PlayerGrades+'!$AG$11,"C",IF(P79&lt;'PlayerGrades+'!$AG$10,"C+",IF(P79&lt;'PlayerGrades+'!$AG$9,"B-",IF(P79&lt;'PlayerGrades+'!$AG$8,"B",IF(P79&lt;'PlayerGrades+'!$AG$7,"B+",IF(P79&lt;'PlayerGrades+'!$AG$6,"A-",IF(P79&lt;'PlayerGrades+'!$AG$5,"A",IF(P79&lt;'PlayerGrades+'!$AG$4,"A+",IF(P79&lt;'PlayerGrades+'!$AG$3,"S-",IF(P79&lt;'PlayerGrades+'!$AG$2,"S","S+"))))))))))))))))))))</f>
        <v>#DIV/0!</v>
      </c>
      <c r="R79" s="961" t="str">
        <f t="shared" si="8"/>
        <v>#DIV/0!</v>
      </c>
      <c r="S79" s="961" t="str">
        <f>IF(R79&lt;'PlayerGrades+'!$AH$21,"F-",IF(R79&lt;'PlayerGrades+'!$AH$20,"F",IF(R79&lt;'PlayerGrades+'!$AH$19,"F+",IF(R79&lt;'PlayerGrades+'!$AH$18,"E-",IF(R79&lt;'PlayerGrades+'!$AH$17,"E",IF(R79&lt;'PlayerGrades+'!$AH$16,"E+",IF(R79&lt;'PlayerGrades+'!$AH$15,"D-",IF(R79&lt;'PlayerGrades+'!$AH$14,"D",IF(R79&lt;'PlayerGrades+'!$AH$13,"D+",IF(R79&lt;'PlayerGrades+'!$AH$12,"C-",IF(R79&lt;'PlayerGrades+'!$AH$11,"C",IF(R79&lt;'PlayerGrades+'!$AH$10,"C+",IF(R79&lt;'PlayerGrades+'!$AH$9,"B-",IF(R79&lt;'PlayerGrades+'!$AH$8,"B",IF(R79&lt;'PlayerGrades+'!$AH$7,"B+",IF(R79&lt;'PlayerGrades+'!$AH$6,"A-",IF(R79&lt;'PlayerGrades+'!$AH$5,"A",IF(R79&lt;'PlayerGrades+'!$AH$4,"A+",IF(R79&lt;'PlayerGrades+'!$AH$3,"S-",IF(R79&lt;'PlayerGrades+'!$AH$2,"S","S+"))))))))))))))))))))</f>
        <v>#DIV/0!</v>
      </c>
      <c r="T79" s="961">
        <f t="shared" si="9"/>
        <v>0</v>
      </c>
      <c r="U79" s="961" t="str">
        <f>IF(T79&lt;'PlayerGrades+'!$AI$21,"F-",IF(T79&lt;'PlayerGrades+'!$AI$20,"F",IF(T79&lt;'PlayerGrades+'!$AI$19,"F+",IF(T79&lt;'PlayerGrades+'!$AI$18,"E-",IF(T79&lt;'PlayerGrades+'!$AI$17,"E",IF(T79&lt;'PlayerGrades+'!$AI$16,"E+",IF(T79&lt;'PlayerGrades+'!$AI$15,"D-",IF(T79&lt;'PlayerGrades+'!$AI$14,"D",IF(T79&lt;'PlayerGrades+'!$AI$13,"D+",IF(T79&lt;'PlayerGrades+'!$AI$12,"C-",IF(T79&lt;'PlayerGrades+'!$AI$11,"C",IF(T79&lt;'PlayerGrades+'!$AI$10,"C+",IF(T79&lt;'PlayerGrades+'!$AI$9,"B-",IF(T79&lt;'PlayerGrades+'!$AI$8,"B",IF(T79&lt;'PlayerGrades+'!$AI$7,"B+",IF(T79&lt;'PlayerGrades+'!$AI$6,"A-",IF(T79&lt;'PlayerGrades+'!$AI$5,"A",IF(T79&lt;'PlayerGrades+'!$AI$4,"A+",IF(T79&lt;'PlayerGrades+'!$AI$3,"S-",IF(T79&lt;'PlayerGrades+'!$AI$2,"S","S+"))))))))))))))))))))</f>
        <v>F-</v>
      </c>
      <c r="AC79" s="1392"/>
    </row>
    <row r="80">
      <c r="A80" s="1391"/>
      <c r="B80" s="611" t="str">
        <f>IF(C80&lt;'PlayerGrades+'!$Y$44,"F-",IF(C80&lt;'PlayerGrades+'!$Y$43,"F",IF(C80&lt;'PlayerGrades+'!$Y$42,"F+",IF(C80&lt;'PlayerGrades+'!$Y$41,"E-",IF(C80&lt;'PlayerGrades+'!$Y$40,"E",IF(C80&lt;'PlayerGrades+'!$Y$39,"E+",IF(C80&lt;'PlayerGrades+'!$Y$38,"D-",IF(C80&lt;'PlayerGrades+'!$Y$37,"D",IF(C80&lt;'PlayerGrades+'!$Y$36,"D+",IF(C80&lt;'PlayerGrades+'!$Y$35,"C-",IF(C80&lt;'PlayerGrades+'!$Y$34,"C",IF(C80&lt;'PlayerGrades+'!$Y$33,"C+",IF(C80&lt;'PlayerGrades+'!$Y$32,"B-",IF(C80&lt;'PlayerGrades+'!$Y$31,"B",IF(C80&lt;'PlayerGrades+'!$Y$30,"B+",IF(C80&lt;'PlayerGrades+'!$Y$29,"A-",IF(C80&lt;'PlayerGrades+'!$Y$28,"A",IF(C80&lt;'PlayerGrades+'!$Y$27,"A+",IF(C80&lt;'PlayerGrades+'!$Y$26,"S-",IF(C80&lt;'PlayerGrades+'!$Y$25,"S","S+"))))))))))))))))))))</f>
        <v>#DIV/0!</v>
      </c>
      <c r="C80" s="1378" t="str">
        <f>('PlayerGrades+'!$Y$47*(VLOOKUP(E80, 'PlayerGrades+'!$X$3:$Y$23, 2, FALSE)))+('PlayerGrades+'!$Y$48*(VLOOKUP(G80, 'PlayerGrades+'!$X$3:$Y$23, 2, FALSE)))+('PlayerGrades+'!$Y$49*(VLOOKUP(I80, 'PlayerGrades+'!$X$3:$Y$23, 2, FALSE)))+('PlayerGrades+'!$Y$50*(VLOOKUP(K80, 'PlayerGrades+'!$X$3:$Y$23, 2, FALSE)))+('PlayerGrades+'!$Y$51*(VLOOKUP(M80, 'PlayerGrades+'!$X$3:$Y$23, 2, FALSE)))+('PlayerGrades+'!$Y$52*(VLOOKUP(O80, 'PlayerGrades+'!$X$3:$Y$23, 2, FALSE)))+('PlayerGrades+'!$Y$53*(VLOOKUP(Q80, 'PlayerGrades+'!$X$3:$Y$23, 2, FALSE)))+('PlayerGrades+'!$Y$54*(VLOOKUP(S80, 'PlayerGrades+'!$X$3:$Y$23, 2, FALSE)))+('PlayerGrades+'!$Y$55*(VLOOKUP(U80, 'PlayerGrades+'!$X$3:$Y$23, 2, FALSE)))</f>
        <v>#DIV/0!</v>
      </c>
      <c r="D80" s="961" t="str">
        <f t="shared" si="1"/>
        <v>#DIV/0!</v>
      </c>
      <c r="E80" s="961" t="str">
        <f>IF(D80&lt;'PlayerGrades+'!$AA$21,"F-",IF(D80&lt;'PlayerGrades+'!$AA$20,"F",IF(D80&lt;'PlayerGrades+'!$AA$19,"F+",IF(D80&lt;'PlayerGrades+'!$AA$18,"E-",IF(D80&lt;'PlayerGrades+'!$AA$17,"E",IF(D80&lt;'PlayerGrades+'!$AA$16,"E+",IF(D80&lt;'PlayerGrades+'!$AA$15,"D-",IF(D80&lt;'PlayerGrades+'!$AA$14,"D",IF(D80&lt;'PlayerGrades+'!$AA$13,"D+",IF(D80&lt;'PlayerGrades+'!$AA$12,"C-",IF(D80&lt;'PlayerGrades+'!$AA$11,"C",IF(D80&lt;'PlayerGrades+'!$AA$10,"C+",IF(D80&lt;'PlayerGrades+'!$AA$9,"B-",IF(D80&lt;'PlayerGrades+'!$AA$8,"B",IF(D80&lt;'PlayerGrades+'!$AA$7,"B+",IF(D80&lt;'PlayerGrades+'!$AA$6,"A-",IF(D80&lt;'PlayerGrades+'!$AA$5,"A",IF(D80&lt;'PlayerGrades+'!$AA$4,"A+",IF(D80&lt;'PlayerGrades+'!$AA$3,"S-",IF(D80&lt;'PlayerGrades+'!$AA$2,"S","S+"))))))))))))))))))))</f>
        <v>#DIV/0!</v>
      </c>
      <c r="F80" s="961" t="str">
        <f t="shared" si="2"/>
        <v>#DIV/0!</v>
      </c>
      <c r="G80" s="961" t="str">
        <f>IF(F80&lt;'PlayerGrades+'!$AB$21,"F-",IF(F80&lt;'PlayerGrades+'!$AB$20,"F",IF(F80&lt;'PlayerGrades+'!$AB$19,"F+",IF(F80&lt;'PlayerGrades+'!$AB$18,"E-",IF(F80&lt;'PlayerGrades+'!$AB$17,"E",IF(F80&lt;'PlayerGrades+'!$AB$16,"E+",IF(F80&lt;'PlayerGrades+'!$AB$15,"D-",IF(F80&lt;'PlayerGrades+'!$AB$14,"D",IF(F80&lt;'PlayerGrades+'!$AB$13,"D+",IF(F80&lt;'PlayerGrades+'!$AB$12,"C-",IF(F80&lt;'PlayerGrades+'!$AB$11,"C",IF(F80&lt;'PlayerGrades+'!$AB$10,"C+",IF(F80&lt;'PlayerGrades+'!$AB$9,"B-",IF(F80&lt;'PlayerGrades+'!$AB$8,"B",IF(F80&lt;'PlayerGrades+'!$AB$7,"B+",IF(F80&lt;'PlayerGrades+'!$AB$6,"A-",IF(F80&lt;'PlayerGrades+'!$AB$5,"A",IF(F80&lt;'PlayerGrades+'!$AB$4,"A+",IF(F80&lt;'PlayerGrades+'!$AB$3,"S-",IF(F80&lt;'PlayerGrades+'!$AB$2,"S","S+"))))))))))))))))))))</f>
        <v>#DIV/0!</v>
      </c>
      <c r="H80" s="961" t="str">
        <f t="shared" si="3"/>
        <v>#DIV/0!</v>
      </c>
      <c r="I80" s="961" t="str">
        <f>IF(H80&lt;'PlayerGrades+'!$AC$21,"F-",IF(H80&lt;'PlayerGrades+'!$AC$20,"F",IF(H80&lt;'PlayerGrades+'!$AC$19,"F+",IF(H80&lt;'PlayerGrades+'!$AC$18,"E-",IF(H80&lt;'PlayerGrades+'!$AC$17,"E",IF(H80&lt;'PlayerGrades+'!$AC$16,"E+",IF(H80&lt;'PlayerGrades+'!$AC$15,"D-",IF(H80&lt;'PlayerGrades+'!$AC$14,"D",IF(H80&lt;'PlayerGrades+'!$AC$13,"D+",IF(H80&lt;'PlayerGrades+'!$AC$12,"C-",IF(H80&lt;'PlayerGrades+'!$AC$11,"C",IF(H80&lt;'PlayerGrades+'!$AC$10,"C+",IF(H80&lt;'PlayerGrades+'!$AC$9,"B-",IF(H80&lt;'PlayerGrades+'!$AC$8,"B",IF(H80&lt;'PlayerGrades+'!$AC$7,"B+",IF(H80&lt;'PlayerGrades+'!$AC$6,"A-",IF(H80&lt;'PlayerGrades+'!$AC$5,"A",IF(H80&lt;'PlayerGrades+'!$AC$4,"A+",IF(H80&lt;'PlayerGrades+'!$AC$3,"S-",IF(H80&lt;'PlayerGrades+'!$AC$2,"S","S+"))))))))))))))))))))</f>
        <v>#DIV/0!</v>
      </c>
      <c r="J80" s="961" t="str">
        <f t="shared" si="4"/>
        <v>#DIV/0!</v>
      </c>
      <c r="K80" s="961" t="str">
        <f>IF(J80&lt;'PlayerGrades+'!$AD$21,"F-",IF(J80&lt;'PlayerGrades+'!$AD$20,"F",IF(J80&lt;'PlayerGrades+'!$AD$19,"F+",IF(J80&lt;'PlayerGrades+'!$AD$18,"E-",IF(J80&lt;'PlayerGrades+'!$AD$17,"E",IF(J80&lt;'PlayerGrades+'!$AD$16,"E+",IF(J80&lt;'PlayerGrades+'!$AD$15,"D-",IF(J80&lt;'PlayerGrades+'!$AD$14,"D",IF(J80&lt;'PlayerGrades+'!$AD$13,"D+",IF(J80&lt;'PlayerGrades+'!$AD$12,"C-",IF(J80&lt;'PlayerGrades+'!$AD$11,"C",IF(J80&lt;'PlayerGrades+'!$AD$10,"C+",IF(J80&lt;'PlayerGrades+'!$AD$9,"B-",IF(J80&lt;'PlayerGrades+'!$AD$8,"B",IF(J80&lt;'PlayerGrades+'!$AD$7,"B+",IF(J80&lt;'PlayerGrades+'!$AD$6,"A-",IF(J80&lt;'PlayerGrades+'!$AD$5,"A",IF(J80&lt;'PlayerGrades+'!$AD$4,"A+",IF(J80&lt;'PlayerGrades+'!$AD$3,"S-",IF(J80&lt;'PlayerGrades+'!$AD$2,"S","S+"))))))))))))))))))))</f>
        <v>#DIV/0!</v>
      </c>
      <c r="L80" s="1176" t="str">
        <f t="shared" si="5"/>
        <v>#DIV/0!</v>
      </c>
      <c r="M80" s="992" t="str">
        <f>IF(L80&lt;'PlayerGrades+'!$AE$21,"F-",IF(L80&lt;'PlayerGrades+'!$AE$20,"F",IF(L80&lt;'PlayerGrades+'!$AE$19,"F+",IF(L80&lt;'PlayerGrades+'!$AE$18,"E-",IF(L80&lt;'PlayerGrades+'!$AE$17,"E",IF(L80&lt;'PlayerGrades+'!$AE$16,"E+",IF(L80&lt;'PlayerGrades+'!$AE$15,"D-",IF(L80&lt;'PlayerGrades+'!$AE$14,"D",IF(L80&lt;'PlayerGrades+'!$AE$13,"D+",IF(L80&lt;'PlayerGrades+'!$AE$12,"C-",IF(L80&lt;'PlayerGrades+'!$AE$11,"C",IF(L80&lt;'PlayerGrades+'!$AE$10,"C+",IF(L80&lt;'PlayerGrades+'!$AE$9,"B-",IF(L80&lt;'PlayerGrades+'!$AE$8,"B",IF(L80&lt;'PlayerGrades+'!$AE$7,"B+",IF(L80&lt;'PlayerGrades+'!$AE$6,"A-",IF(L80&lt;'PlayerGrades+'!$AE$5,"A",IF(L80&lt;'PlayerGrades+'!$AE$4,"A+",IF(L80&lt;'PlayerGrades+'!$AE$3,"S-",IF(L80&lt;'PlayerGrades+'!$AE$2,"S","S+"))))))))))))))))))))</f>
        <v>#DIV/0!</v>
      </c>
      <c r="N80" s="961" t="str">
        <f t="shared" si="6"/>
        <v>#DIV/0!</v>
      </c>
      <c r="O80" s="961" t="str">
        <f>IF(N80&lt;'PlayerGrades+'!$AF$21,"F-",IF(N80&lt;'PlayerGrades+'!$AF$20,"F",IF(N80&lt;'PlayerGrades+'!$AF$19,"F+",IF(N80&lt;'PlayerGrades+'!$AF$18,"E-",IF(N80&lt;'PlayerGrades+'!$AF$17,"E",IF(N80&lt;'PlayerGrades+'!$AF$16,"E+",IF(N80&lt;'PlayerGrades+'!$AF$15,"D-",IF(N80&lt;'PlayerGrades+'!$AF$14,"D",IF(N80&lt;'PlayerGrades+'!$AF$13,"D+",IF(N80&lt;'PlayerGrades+'!$AF$12,"C-",IF(N80&lt;'PlayerGrades+'!$AF$11,"C",IF(N80&lt;'PlayerGrades+'!$AF$10,"C+",IF(N80&lt;'PlayerGrades+'!$AF$9,"B-",IF(N80&lt;'PlayerGrades+'!$AF$8,"B",IF(N80&lt;'PlayerGrades+'!$AF$7,"B+",IF(N80&lt;'PlayerGrades+'!$AF$6,"A-",IF(N80&lt;'PlayerGrades+'!$AF$5,"A",IF(N80&lt;'PlayerGrades+'!$AF$4,"A+",IF(N80&lt;'PlayerGrades+'!$AF$3,"S-",IF(N80&lt;'PlayerGrades+'!$AF$2,"S","S+"))))))))))))))))))))</f>
        <v>#DIV/0!</v>
      </c>
      <c r="P80" s="961" t="str">
        <f t="shared" si="7"/>
        <v>#DIV/0!</v>
      </c>
      <c r="Q80" s="961" t="str">
        <f>IF(P80&lt;'PlayerGrades+'!$AG$21,"F-",IF(P80&lt;'PlayerGrades+'!$AG$20,"F",IF(P80&lt;'PlayerGrades+'!$AG$19,"F+",IF(P80&lt;'PlayerGrades+'!$AG$18,"E-",IF(P80&lt;'PlayerGrades+'!$AG$17,"E",IF(P80&lt;'PlayerGrades+'!$AG$16,"E+",IF(P80&lt;'PlayerGrades+'!$AG$15,"D-",IF(P80&lt;'PlayerGrades+'!$AG$14,"D",IF(P80&lt;'PlayerGrades+'!$AG$13,"D+",IF(P80&lt;'PlayerGrades+'!$AG$12,"C-",IF(P80&lt;'PlayerGrades+'!$AG$11,"C",IF(P80&lt;'PlayerGrades+'!$AG$10,"C+",IF(P80&lt;'PlayerGrades+'!$AG$9,"B-",IF(P80&lt;'PlayerGrades+'!$AG$8,"B",IF(P80&lt;'PlayerGrades+'!$AG$7,"B+",IF(P80&lt;'PlayerGrades+'!$AG$6,"A-",IF(P80&lt;'PlayerGrades+'!$AG$5,"A",IF(P80&lt;'PlayerGrades+'!$AG$4,"A+",IF(P80&lt;'PlayerGrades+'!$AG$3,"S-",IF(P80&lt;'PlayerGrades+'!$AG$2,"S","S+"))))))))))))))))))))</f>
        <v>#DIV/0!</v>
      </c>
      <c r="R80" s="961" t="str">
        <f t="shared" si="8"/>
        <v>#DIV/0!</v>
      </c>
      <c r="S80" s="961" t="str">
        <f>IF(R80&lt;'PlayerGrades+'!$AH$21,"F-",IF(R80&lt;'PlayerGrades+'!$AH$20,"F",IF(R80&lt;'PlayerGrades+'!$AH$19,"F+",IF(R80&lt;'PlayerGrades+'!$AH$18,"E-",IF(R80&lt;'PlayerGrades+'!$AH$17,"E",IF(R80&lt;'PlayerGrades+'!$AH$16,"E+",IF(R80&lt;'PlayerGrades+'!$AH$15,"D-",IF(R80&lt;'PlayerGrades+'!$AH$14,"D",IF(R80&lt;'PlayerGrades+'!$AH$13,"D+",IF(R80&lt;'PlayerGrades+'!$AH$12,"C-",IF(R80&lt;'PlayerGrades+'!$AH$11,"C",IF(R80&lt;'PlayerGrades+'!$AH$10,"C+",IF(R80&lt;'PlayerGrades+'!$AH$9,"B-",IF(R80&lt;'PlayerGrades+'!$AH$8,"B",IF(R80&lt;'PlayerGrades+'!$AH$7,"B+",IF(R80&lt;'PlayerGrades+'!$AH$6,"A-",IF(R80&lt;'PlayerGrades+'!$AH$5,"A",IF(R80&lt;'PlayerGrades+'!$AH$4,"A+",IF(R80&lt;'PlayerGrades+'!$AH$3,"S-",IF(R80&lt;'PlayerGrades+'!$AH$2,"S","S+"))))))))))))))))))))</f>
        <v>#DIV/0!</v>
      </c>
      <c r="T80" s="961">
        <f t="shared" si="9"/>
        <v>0</v>
      </c>
      <c r="U80" s="961" t="str">
        <f>IF(T80&lt;'PlayerGrades+'!$AI$21,"F-",IF(T80&lt;'PlayerGrades+'!$AI$20,"F",IF(T80&lt;'PlayerGrades+'!$AI$19,"F+",IF(T80&lt;'PlayerGrades+'!$AI$18,"E-",IF(T80&lt;'PlayerGrades+'!$AI$17,"E",IF(T80&lt;'PlayerGrades+'!$AI$16,"E+",IF(T80&lt;'PlayerGrades+'!$AI$15,"D-",IF(T80&lt;'PlayerGrades+'!$AI$14,"D",IF(T80&lt;'PlayerGrades+'!$AI$13,"D+",IF(T80&lt;'PlayerGrades+'!$AI$12,"C-",IF(T80&lt;'PlayerGrades+'!$AI$11,"C",IF(T80&lt;'PlayerGrades+'!$AI$10,"C+",IF(T80&lt;'PlayerGrades+'!$AI$9,"B-",IF(T80&lt;'PlayerGrades+'!$AI$8,"B",IF(T80&lt;'PlayerGrades+'!$AI$7,"B+",IF(T80&lt;'PlayerGrades+'!$AI$6,"A-",IF(T80&lt;'PlayerGrades+'!$AI$5,"A",IF(T80&lt;'PlayerGrades+'!$AI$4,"A+",IF(T80&lt;'PlayerGrades+'!$AI$3,"S-",IF(T80&lt;'PlayerGrades+'!$AI$2,"S","S+"))))))))))))))))))))</f>
        <v>F-</v>
      </c>
      <c r="AC80" s="1392"/>
    </row>
    <row r="81">
      <c r="A81" s="1393"/>
      <c r="B81" s="611" t="str">
        <f>IF(C81&lt;'PlayerGrades+'!$Y$44,"F-",IF(C81&lt;'PlayerGrades+'!$Y$43,"F",IF(C81&lt;'PlayerGrades+'!$Y$42,"F+",IF(C81&lt;'PlayerGrades+'!$Y$41,"E-",IF(C81&lt;'PlayerGrades+'!$Y$40,"E",IF(C81&lt;'PlayerGrades+'!$Y$39,"E+",IF(C81&lt;'PlayerGrades+'!$Y$38,"D-",IF(C81&lt;'PlayerGrades+'!$Y$37,"D",IF(C81&lt;'PlayerGrades+'!$Y$36,"D+",IF(C81&lt;'PlayerGrades+'!$Y$35,"C-",IF(C81&lt;'PlayerGrades+'!$Y$34,"C",IF(C81&lt;'PlayerGrades+'!$Y$33,"C+",IF(C81&lt;'PlayerGrades+'!$Y$32,"B-",IF(C81&lt;'PlayerGrades+'!$Y$31,"B",IF(C81&lt;'PlayerGrades+'!$Y$30,"B+",IF(C81&lt;'PlayerGrades+'!$Y$29,"A-",IF(C81&lt;'PlayerGrades+'!$Y$28,"A",IF(C81&lt;'PlayerGrades+'!$Y$27,"A+",IF(C81&lt;'PlayerGrades+'!$Y$26,"S-",IF(C81&lt;'PlayerGrades+'!$Y$25,"S","S+"))))))))))))))))))))</f>
        <v>#DIV/0!</v>
      </c>
      <c r="C81" s="1378" t="str">
        <f>('PlayerGrades+'!$Y$47*(VLOOKUP(E81, 'PlayerGrades+'!$X$3:$Y$23, 2, FALSE)))+('PlayerGrades+'!$Y$48*(VLOOKUP(G81, 'PlayerGrades+'!$X$3:$Y$23, 2, FALSE)))+('PlayerGrades+'!$Y$49*(VLOOKUP(I81, 'PlayerGrades+'!$X$3:$Y$23, 2, FALSE)))+('PlayerGrades+'!$Y$50*(VLOOKUP(K81, 'PlayerGrades+'!$X$3:$Y$23, 2, FALSE)))+('PlayerGrades+'!$Y$51*(VLOOKUP(M81, 'PlayerGrades+'!$X$3:$Y$23, 2, FALSE)))+('PlayerGrades+'!$Y$52*(VLOOKUP(O81, 'PlayerGrades+'!$X$3:$Y$23, 2, FALSE)))+('PlayerGrades+'!$Y$53*(VLOOKUP(Q81, 'PlayerGrades+'!$X$3:$Y$23, 2, FALSE)))+('PlayerGrades+'!$Y$54*(VLOOKUP(S81, 'PlayerGrades+'!$X$3:$Y$23, 2, FALSE)))+('PlayerGrades+'!$Y$55*(VLOOKUP(U81, 'PlayerGrades+'!$X$3:$Y$23, 2, FALSE)))</f>
        <v>#DIV/0!</v>
      </c>
      <c r="D81" s="961" t="str">
        <f t="shared" si="1"/>
        <v>#DIV/0!</v>
      </c>
      <c r="E81" s="961" t="str">
        <f>IF(D81&lt;'PlayerGrades+'!$AA$21,"F-",IF(D81&lt;'PlayerGrades+'!$AA$20,"F",IF(D81&lt;'PlayerGrades+'!$AA$19,"F+",IF(D81&lt;'PlayerGrades+'!$AA$18,"E-",IF(D81&lt;'PlayerGrades+'!$AA$17,"E",IF(D81&lt;'PlayerGrades+'!$AA$16,"E+",IF(D81&lt;'PlayerGrades+'!$AA$15,"D-",IF(D81&lt;'PlayerGrades+'!$AA$14,"D",IF(D81&lt;'PlayerGrades+'!$AA$13,"D+",IF(D81&lt;'PlayerGrades+'!$AA$12,"C-",IF(D81&lt;'PlayerGrades+'!$AA$11,"C",IF(D81&lt;'PlayerGrades+'!$AA$10,"C+",IF(D81&lt;'PlayerGrades+'!$AA$9,"B-",IF(D81&lt;'PlayerGrades+'!$AA$8,"B",IF(D81&lt;'PlayerGrades+'!$AA$7,"B+",IF(D81&lt;'PlayerGrades+'!$AA$6,"A-",IF(D81&lt;'PlayerGrades+'!$AA$5,"A",IF(D81&lt;'PlayerGrades+'!$AA$4,"A+",IF(D81&lt;'PlayerGrades+'!$AA$3,"S-",IF(D81&lt;'PlayerGrades+'!$AA$2,"S","S+"))))))))))))))))))))</f>
        <v>#DIV/0!</v>
      </c>
      <c r="F81" s="961" t="str">
        <f t="shared" si="2"/>
        <v>#DIV/0!</v>
      </c>
      <c r="G81" s="961" t="str">
        <f>IF(F81&lt;'PlayerGrades+'!$AB$21,"F-",IF(F81&lt;'PlayerGrades+'!$AB$20,"F",IF(F81&lt;'PlayerGrades+'!$AB$19,"F+",IF(F81&lt;'PlayerGrades+'!$AB$18,"E-",IF(F81&lt;'PlayerGrades+'!$AB$17,"E",IF(F81&lt;'PlayerGrades+'!$AB$16,"E+",IF(F81&lt;'PlayerGrades+'!$AB$15,"D-",IF(F81&lt;'PlayerGrades+'!$AB$14,"D",IF(F81&lt;'PlayerGrades+'!$AB$13,"D+",IF(F81&lt;'PlayerGrades+'!$AB$12,"C-",IF(F81&lt;'PlayerGrades+'!$AB$11,"C",IF(F81&lt;'PlayerGrades+'!$AB$10,"C+",IF(F81&lt;'PlayerGrades+'!$AB$9,"B-",IF(F81&lt;'PlayerGrades+'!$AB$8,"B",IF(F81&lt;'PlayerGrades+'!$AB$7,"B+",IF(F81&lt;'PlayerGrades+'!$AB$6,"A-",IF(F81&lt;'PlayerGrades+'!$AB$5,"A",IF(F81&lt;'PlayerGrades+'!$AB$4,"A+",IF(F81&lt;'PlayerGrades+'!$AB$3,"S-",IF(F81&lt;'PlayerGrades+'!$AB$2,"S","S+"))))))))))))))))))))</f>
        <v>#DIV/0!</v>
      </c>
      <c r="H81" s="961" t="str">
        <f t="shared" si="3"/>
        <v>#DIV/0!</v>
      </c>
      <c r="I81" s="961" t="str">
        <f>IF(H81&lt;'PlayerGrades+'!$AC$21,"F-",IF(H81&lt;'PlayerGrades+'!$AC$20,"F",IF(H81&lt;'PlayerGrades+'!$AC$19,"F+",IF(H81&lt;'PlayerGrades+'!$AC$18,"E-",IF(H81&lt;'PlayerGrades+'!$AC$17,"E",IF(H81&lt;'PlayerGrades+'!$AC$16,"E+",IF(H81&lt;'PlayerGrades+'!$AC$15,"D-",IF(H81&lt;'PlayerGrades+'!$AC$14,"D",IF(H81&lt;'PlayerGrades+'!$AC$13,"D+",IF(H81&lt;'PlayerGrades+'!$AC$12,"C-",IF(H81&lt;'PlayerGrades+'!$AC$11,"C",IF(H81&lt;'PlayerGrades+'!$AC$10,"C+",IF(H81&lt;'PlayerGrades+'!$AC$9,"B-",IF(H81&lt;'PlayerGrades+'!$AC$8,"B",IF(H81&lt;'PlayerGrades+'!$AC$7,"B+",IF(H81&lt;'PlayerGrades+'!$AC$6,"A-",IF(H81&lt;'PlayerGrades+'!$AC$5,"A",IF(H81&lt;'PlayerGrades+'!$AC$4,"A+",IF(H81&lt;'PlayerGrades+'!$AC$3,"S-",IF(H81&lt;'PlayerGrades+'!$AC$2,"S","S+"))))))))))))))))))))</f>
        <v>#DIV/0!</v>
      </c>
      <c r="J81" s="961" t="str">
        <f t="shared" si="4"/>
        <v>#DIV/0!</v>
      </c>
      <c r="K81" s="961" t="str">
        <f>IF(J81&lt;'PlayerGrades+'!$AD$21,"F-",IF(J81&lt;'PlayerGrades+'!$AD$20,"F",IF(J81&lt;'PlayerGrades+'!$AD$19,"F+",IF(J81&lt;'PlayerGrades+'!$AD$18,"E-",IF(J81&lt;'PlayerGrades+'!$AD$17,"E",IF(J81&lt;'PlayerGrades+'!$AD$16,"E+",IF(J81&lt;'PlayerGrades+'!$AD$15,"D-",IF(J81&lt;'PlayerGrades+'!$AD$14,"D",IF(J81&lt;'PlayerGrades+'!$AD$13,"D+",IF(J81&lt;'PlayerGrades+'!$AD$12,"C-",IF(J81&lt;'PlayerGrades+'!$AD$11,"C",IF(J81&lt;'PlayerGrades+'!$AD$10,"C+",IF(J81&lt;'PlayerGrades+'!$AD$9,"B-",IF(J81&lt;'PlayerGrades+'!$AD$8,"B",IF(J81&lt;'PlayerGrades+'!$AD$7,"B+",IF(J81&lt;'PlayerGrades+'!$AD$6,"A-",IF(J81&lt;'PlayerGrades+'!$AD$5,"A",IF(J81&lt;'PlayerGrades+'!$AD$4,"A+",IF(J81&lt;'PlayerGrades+'!$AD$3,"S-",IF(J81&lt;'PlayerGrades+'!$AD$2,"S","S+"))))))))))))))))))))</f>
        <v>#DIV/0!</v>
      </c>
      <c r="L81" s="1176" t="str">
        <f t="shared" si="5"/>
        <v>#DIV/0!</v>
      </c>
      <c r="M81" s="992" t="str">
        <f>IF(L81&lt;'PlayerGrades+'!$AE$21,"F-",IF(L81&lt;'PlayerGrades+'!$AE$20,"F",IF(L81&lt;'PlayerGrades+'!$AE$19,"F+",IF(L81&lt;'PlayerGrades+'!$AE$18,"E-",IF(L81&lt;'PlayerGrades+'!$AE$17,"E",IF(L81&lt;'PlayerGrades+'!$AE$16,"E+",IF(L81&lt;'PlayerGrades+'!$AE$15,"D-",IF(L81&lt;'PlayerGrades+'!$AE$14,"D",IF(L81&lt;'PlayerGrades+'!$AE$13,"D+",IF(L81&lt;'PlayerGrades+'!$AE$12,"C-",IF(L81&lt;'PlayerGrades+'!$AE$11,"C",IF(L81&lt;'PlayerGrades+'!$AE$10,"C+",IF(L81&lt;'PlayerGrades+'!$AE$9,"B-",IF(L81&lt;'PlayerGrades+'!$AE$8,"B",IF(L81&lt;'PlayerGrades+'!$AE$7,"B+",IF(L81&lt;'PlayerGrades+'!$AE$6,"A-",IF(L81&lt;'PlayerGrades+'!$AE$5,"A",IF(L81&lt;'PlayerGrades+'!$AE$4,"A+",IF(L81&lt;'PlayerGrades+'!$AE$3,"S-",IF(L81&lt;'PlayerGrades+'!$AE$2,"S","S+"))))))))))))))))))))</f>
        <v>#DIV/0!</v>
      </c>
      <c r="N81" s="961" t="str">
        <f t="shared" si="6"/>
        <v>#DIV/0!</v>
      </c>
      <c r="O81" s="961" t="str">
        <f>IF(N81&lt;'PlayerGrades+'!$AF$21,"F-",IF(N81&lt;'PlayerGrades+'!$AF$20,"F",IF(N81&lt;'PlayerGrades+'!$AF$19,"F+",IF(N81&lt;'PlayerGrades+'!$AF$18,"E-",IF(N81&lt;'PlayerGrades+'!$AF$17,"E",IF(N81&lt;'PlayerGrades+'!$AF$16,"E+",IF(N81&lt;'PlayerGrades+'!$AF$15,"D-",IF(N81&lt;'PlayerGrades+'!$AF$14,"D",IF(N81&lt;'PlayerGrades+'!$AF$13,"D+",IF(N81&lt;'PlayerGrades+'!$AF$12,"C-",IF(N81&lt;'PlayerGrades+'!$AF$11,"C",IF(N81&lt;'PlayerGrades+'!$AF$10,"C+",IF(N81&lt;'PlayerGrades+'!$AF$9,"B-",IF(N81&lt;'PlayerGrades+'!$AF$8,"B",IF(N81&lt;'PlayerGrades+'!$AF$7,"B+",IF(N81&lt;'PlayerGrades+'!$AF$6,"A-",IF(N81&lt;'PlayerGrades+'!$AF$5,"A",IF(N81&lt;'PlayerGrades+'!$AF$4,"A+",IF(N81&lt;'PlayerGrades+'!$AF$3,"S-",IF(N81&lt;'PlayerGrades+'!$AF$2,"S","S+"))))))))))))))))))))</f>
        <v>#DIV/0!</v>
      </c>
      <c r="P81" s="961" t="str">
        <f t="shared" si="7"/>
        <v>#DIV/0!</v>
      </c>
      <c r="Q81" s="961" t="str">
        <f>IF(P81&lt;'PlayerGrades+'!$AG$21,"F-",IF(P81&lt;'PlayerGrades+'!$AG$20,"F",IF(P81&lt;'PlayerGrades+'!$AG$19,"F+",IF(P81&lt;'PlayerGrades+'!$AG$18,"E-",IF(P81&lt;'PlayerGrades+'!$AG$17,"E",IF(P81&lt;'PlayerGrades+'!$AG$16,"E+",IF(P81&lt;'PlayerGrades+'!$AG$15,"D-",IF(P81&lt;'PlayerGrades+'!$AG$14,"D",IF(P81&lt;'PlayerGrades+'!$AG$13,"D+",IF(P81&lt;'PlayerGrades+'!$AG$12,"C-",IF(P81&lt;'PlayerGrades+'!$AG$11,"C",IF(P81&lt;'PlayerGrades+'!$AG$10,"C+",IF(P81&lt;'PlayerGrades+'!$AG$9,"B-",IF(P81&lt;'PlayerGrades+'!$AG$8,"B",IF(P81&lt;'PlayerGrades+'!$AG$7,"B+",IF(P81&lt;'PlayerGrades+'!$AG$6,"A-",IF(P81&lt;'PlayerGrades+'!$AG$5,"A",IF(P81&lt;'PlayerGrades+'!$AG$4,"A+",IF(P81&lt;'PlayerGrades+'!$AG$3,"S-",IF(P81&lt;'PlayerGrades+'!$AG$2,"S","S+"))))))))))))))))))))</f>
        <v>#DIV/0!</v>
      </c>
      <c r="R81" s="961" t="str">
        <f t="shared" si="8"/>
        <v>#DIV/0!</v>
      </c>
      <c r="S81" s="961" t="str">
        <f>IF(R81&lt;'PlayerGrades+'!$AH$21,"F-",IF(R81&lt;'PlayerGrades+'!$AH$20,"F",IF(R81&lt;'PlayerGrades+'!$AH$19,"F+",IF(R81&lt;'PlayerGrades+'!$AH$18,"E-",IF(R81&lt;'PlayerGrades+'!$AH$17,"E",IF(R81&lt;'PlayerGrades+'!$AH$16,"E+",IF(R81&lt;'PlayerGrades+'!$AH$15,"D-",IF(R81&lt;'PlayerGrades+'!$AH$14,"D",IF(R81&lt;'PlayerGrades+'!$AH$13,"D+",IF(R81&lt;'PlayerGrades+'!$AH$12,"C-",IF(R81&lt;'PlayerGrades+'!$AH$11,"C",IF(R81&lt;'PlayerGrades+'!$AH$10,"C+",IF(R81&lt;'PlayerGrades+'!$AH$9,"B-",IF(R81&lt;'PlayerGrades+'!$AH$8,"B",IF(R81&lt;'PlayerGrades+'!$AH$7,"B+",IF(R81&lt;'PlayerGrades+'!$AH$6,"A-",IF(R81&lt;'PlayerGrades+'!$AH$5,"A",IF(R81&lt;'PlayerGrades+'!$AH$4,"A+",IF(R81&lt;'PlayerGrades+'!$AH$3,"S-",IF(R81&lt;'PlayerGrades+'!$AH$2,"S","S+"))))))))))))))))))))</f>
        <v>#DIV/0!</v>
      </c>
      <c r="T81" s="961">
        <f t="shared" si="9"/>
        <v>0</v>
      </c>
      <c r="U81" s="961" t="str">
        <f>IF(T81&lt;'PlayerGrades+'!$AI$21,"F-",IF(T81&lt;'PlayerGrades+'!$AI$20,"F",IF(T81&lt;'PlayerGrades+'!$AI$19,"F+",IF(T81&lt;'PlayerGrades+'!$AI$18,"E-",IF(T81&lt;'PlayerGrades+'!$AI$17,"E",IF(T81&lt;'PlayerGrades+'!$AI$16,"E+",IF(T81&lt;'PlayerGrades+'!$AI$15,"D-",IF(T81&lt;'PlayerGrades+'!$AI$14,"D",IF(T81&lt;'PlayerGrades+'!$AI$13,"D+",IF(T81&lt;'PlayerGrades+'!$AI$12,"C-",IF(T81&lt;'PlayerGrades+'!$AI$11,"C",IF(T81&lt;'PlayerGrades+'!$AI$10,"C+",IF(T81&lt;'PlayerGrades+'!$AI$9,"B-",IF(T81&lt;'PlayerGrades+'!$AI$8,"B",IF(T81&lt;'PlayerGrades+'!$AI$7,"B+",IF(T81&lt;'PlayerGrades+'!$AI$6,"A-",IF(T81&lt;'PlayerGrades+'!$AI$5,"A",IF(T81&lt;'PlayerGrades+'!$AI$4,"A+",IF(T81&lt;'PlayerGrades+'!$AI$3,"S-",IF(T81&lt;'PlayerGrades+'!$AI$2,"S","S+"))))))))))))))))))))</f>
        <v>F-</v>
      </c>
      <c r="V81" s="1386"/>
      <c r="W81" s="1386"/>
      <c r="X81" s="1386"/>
      <c r="Y81" s="1386"/>
      <c r="Z81" s="1386"/>
      <c r="AA81" s="1386"/>
      <c r="AB81" s="1386"/>
      <c r="AC81" s="1397"/>
      <c r="AD81" s="1386"/>
      <c r="AE81" s="1386"/>
      <c r="AF81" s="1386"/>
      <c r="AG81" s="1386"/>
      <c r="AH81" s="1386"/>
      <c r="AI81" s="1386"/>
      <c r="AJ81" s="1386"/>
      <c r="AK81" s="1386"/>
      <c r="AL81" s="1386"/>
      <c r="AM81" s="1386"/>
      <c r="AN81" s="1386"/>
      <c r="AO81" s="1386"/>
      <c r="AP81" s="1386"/>
      <c r="AQ81" s="1386"/>
      <c r="AR81" s="1386"/>
      <c r="AS81" s="1386"/>
      <c r="AT81" s="1386"/>
      <c r="AU81" s="1386"/>
      <c r="AV81" s="1386"/>
      <c r="AW81" s="1386"/>
      <c r="AX81" s="1386"/>
      <c r="AY81" s="1386"/>
      <c r="AZ81" s="1386"/>
    </row>
    <row r="82">
      <c r="A82" s="1389"/>
      <c r="B82" s="611" t="str">
        <f>IF(C82&lt;'PlayerGrades+'!$Y$44,"F-",IF(C82&lt;'PlayerGrades+'!$Y$43,"F",IF(C82&lt;'PlayerGrades+'!$Y$42,"F+",IF(C82&lt;'PlayerGrades+'!$Y$41,"E-",IF(C82&lt;'PlayerGrades+'!$Y$40,"E",IF(C82&lt;'PlayerGrades+'!$Y$39,"E+",IF(C82&lt;'PlayerGrades+'!$Y$38,"D-",IF(C82&lt;'PlayerGrades+'!$Y$37,"D",IF(C82&lt;'PlayerGrades+'!$Y$36,"D+",IF(C82&lt;'PlayerGrades+'!$Y$35,"C-",IF(C82&lt;'PlayerGrades+'!$Y$34,"C",IF(C82&lt;'PlayerGrades+'!$Y$33,"C+",IF(C82&lt;'PlayerGrades+'!$Y$32,"B-",IF(C82&lt;'PlayerGrades+'!$Y$31,"B",IF(C82&lt;'PlayerGrades+'!$Y$30,"B+",IF(C82&lt;'PlayerGrades+'!$Y$29,"A-",IF(C82&lt;'PlayerGrades+'!$Y$28,"A",IF(C82&lt;'PlayerGrades+'!$Y$27,"A+",IF(C82&lt;'PlayerGrades+'!$Y$26,"S-",IF(C82&lt;'PlayerGrades+'!$Y$25,"S","S+"))))))))))))))))))))</f>
        <v>#DIV/0!</v>
      </c>
      <c r="C82" s="1378" t="str">
        <f>('PlayerGrades+'!$Y$47*(VLOOKUP(E82, 'PlayerGrades+'!$X$3:$Y$23, 2, FALSE)))+('PlayerGrades+'!$Y$48*(VLOOKUP(G82, 'PlayerGrades+'!$X$3:$Y$23, 2, FALSE)))+('PlayerGrades+'!$Y$49*(VLOOKUP(I82, 'PlayerGrades+'!$X$3:$Y$23, 2, FALSE)))+('PlayerGrades+'!$Y$50*(VLOOKUP(K82, 'PlayerGrades+'!$X$3:$Y$23, 2, FALSE)))+('PlayerGrades+'!$Y$51*(VLOOKUP(M82, 'PlayerGrades+'!$X$3:$Y$23, 2, FALSE)))+('PlayerGrades+'!$Y$52*(VLOOKUP(O82, 'PlayerGrades+'!$X$3:$Y$23, 2, FALSE)))+('PlayerGrades+'!$Y$53*(VLOOKUP(Q82, 'PlayerGrades+'!$X$3:$Y$23, 2, FALSE)))+('PlayerGrades+'!$Y$54*(VLOOKUP(S82, 'PlayerGrades+'!$X$3:$Y$23, 2, FALSE)))+('PlayerGrades+'!$Y$55*(VLOOKUP(U82, 'PlayerGrades+'!$X$3:$Y$23, 2, FALSE)))</f>
        <v>#DIV/0!</v>
      </c>
      <c r="D82" s="961" t="str">
        <f t="shared" si="1"/>
        <v>#DIV/0!</v>
      </c>
      <c r="E82" s="961" t="str">
        <f>IF(D82&lt;'PlayerGrades+'!$AA$21,"F-",IF(D82&lt;'PlayerGrades+'!$AA$20,"F",IF(D82&lt;'PlayerGrades+'!$AA$19,"F+",IF(D82&lt;'PlayerGrades+'!$AA$18,"E-",IF(D82&lt;'PlayerGrades+'!$AA$17,"E",IF(D82&lt;'PlayerGrades+'!$AA$16,"E+",IF(D82&lt;'PlayerGrades+'!$AA$15,"D-",IF(D82&lt;'PlayerGrades+'!$AA$14,"D",IF(D82&lt;'PlayerGrades+'!$AA$13,"D+",IF(D82&lt;'PlayerGrades+'!$AA$12,"C-",IF(D82&lt;'PlayerGrades+'!$AA$11,"C",IF(D82&lt;'PlayerGrades+'!$AA$10,"C+",IF(D82&lt;'PlayerGrades+'!$AA$9,"B-",IF(D82&lt;'PlayerGrades+'!$AA$8,"B",IF(D82&lt;'PlayerGrades+'!$AA$7,"B+",IF(D82&lt;'PlayerGrades+'!$AA$6,"A-",IF(D82&lt;'PlayerGrades+'!$AA$5,"A",IF(D82&lt;'PlayerGrades+'!$AA$4,"A+",IF(D82&lt;'PlayerGrades+'!$AA$3,"S-",IF(D82&lt;'PlayerGrades+'!$AA$2,"S","S+"))))))))))))))))))))</f>
        <v>#DIV/0!</v>
      </c>
      <c r="F82" s="961" t="str">
        <f t="shared" si="2"/>
        <v>#DIV/0!</v>
      </c>
      <c r="G82" s="961" t="str">
        <f>IF(F82&lt;'PlayerGrades+'!$AB$21,"F-",IF(F82&lt;'PlayerGrades+'!$AB$20,"F",IF(F82&lt;'PlayerGrades+'!$AB$19,"F+",IF(F82&lt;'PlayerGrades+'!$AB$18,"E-",IF(F82&lt;'PlayerGrades+'!$AB$17,"E",IF(F82&lt;'PlayerGrades+'!$AB$16,"E+",IF(F82&lt;'PlayerGrades+'!$AB$15,"D-",IF(F82&lt;'PlayerGrades+'!$AB$14,"D",IF(F82&lt;'PlayerGrades+'!$AB$13,"D+",IF(F82&lt;'PlayerGrades+'!$AB$12,"C-",IF(F82&lt;'PlayerGrades+'!$AB$11,"C",IF(F82&lt;'PlayerGrades+'!$AB$10,"C+",IF(F82&lt;'PlayerGrades+'!$AB$9,"B-",IF(F82&lt;'PlayerGrades+'!$AB$8,"B",IF(F82&lt;'PlayerGrades+'!$AB$7,"B+",IF(F82&lt;'PlayerGrades+'!$AB$6,"A-",IF(F82&lt;'PlayerGrades+'!$AB$5,"A",IF(F82&lt;'PlayerGrades+'!$AB$4,"A+",IF(F82&lt;'PlayerGrades+'!$AB$3,"S-",IF(F82&lt;'PlayerGrades+'!$AB$2,"S","S+"))))))))))))))))))))</f>
        <v>#DIV/0!</v>
      </c>
      <c r="H82" s="961" t="str">
        <f t="shared" si="3"/>
        <v>#DIV/0!</v>
      </c>
      <c r="I82" s="961" t="str">
        <f>IF(H82&lt;'PlayerGrades+'!$AC$21,"F-",IF(H82&lt;'PlayerGrades+'!$AC$20,"F",IF(H82&lt;'PlayerGrades+'!$AC$19,"F+",IF(H82&lt;'PlayerGrades+'!$AC$18,"E-",IF(H82&lt;'PlayerGrades+'!$AC$17,"E",IF(H82&lt;'PlayerGrades+'!$AC$16,"E+",IF(H82&lt;'PlayerGrades+'!$AC$15,"D-",IF(H82&lt;'PlayerGrades+'!$AC$14,"D",IF(H82&lt;'PlayerGrades+'!$AC$13,"D+",IF(H82&lt;'PlayerGrades+'!$AC$12,"C-",IF(H82&lt;'PlayerGrades+'!$AC$11,"C",IF(H82&lt;'PlayerGrades+'!$AC$10,"C+",IF(H82&lt;'PlayerGrades+'!$AC$9,"B-",IF(H82&lt;'PlayerGrades+'!$AC$8,"B",IF(H82&lt;'PlayerGrades+'!$AC$7,"B+",IF(H82&lt;'PlayerGrades+'!$AC$6,"A-",IF(H82&lt;'PlayerGrades+'!$AC$5,"A",IF(H82&lt;'PlayerGrades+'!$AC$4,"A+",IF(H82&lt;'PlayerGrades+'!$AC$3,"S-",IF(H82&lt;'PlayerGrades+'!$AC$2,"S","S+"))))))))))))))))))))</f>
        <v>#DIV/0!</v>
      </c>
      <c r="J82" s="961" t="str">
        <f t="shared" si="4"/>
        <v>#DIV/0!</v>
      </c>
      <c r="K82" s="961" t="str">
        <f>IF(J82&lt;'PlayerGrades+'!$AD$21,"F-",IF(J82&lt;'PlayerGrades+'!$AD$20,"F",IF(J82&lt;'PlayerGrades+'!$AD$19,"F+",IF(J82&lt;'PlayerGrades+'!$AD$18,"E-",IF(J82&lt;'PlayerGrades+'!$AD$17,"E",IF(J82&lt;'PlayerGrades+'!$AD$16,"E+",IF(J82&lt;'PlayerGrades+'!$AD$15,"D-",IF(J82&lt;'PlayerGrades+'!$AD$14,"D",IF(J82&lt;'PlayerGrades+'!$AD$13,"D+",IF(J82&lt;'PlayerGrades+'!$AD$12,"C-",IF(J82&lt;'PlayerGrades+'!$AD$11,"C",IF(J82&lt;'PlayerGrades+'!$AD$10,"C+",IF(J82&lt;'PlayerGrades+'!$AD$9,"B-",IF(J82&lt;'PlayerGrades+'!$AD$8,"B",IF(J82&lt;'PlayerGrades+'!$AD$7,"B+",IF(J82&lt;'PlayerGrades+'!$AD$6,"A-",IF(J82&lt;'PlayerGrades+'!$AD$5,"A",IF(J82&lt;'PlayerGrades+'!$AD$4,"A+",IF(J82&lt;'PlayerGrades+'!$AD$3,"S-",IF(J82&lt;'PlayerGrades+'!$AD$2,"S","S+"))))))))))))))))))))</f>
        <v>#DIV/0!</v>
      </c>
      <c r="L82" s="1176" t="str">
        <f t="shared" si="5"/>
        <v>#DIV/0!</v>
      </c>
      <c r="M82" s="992" t="str">
        <f>IF(L82&lt;'PlayerGrades+'!$AE$21,"F-",IF(L82&lt;'PlayerGrades+'!$AE$20,"F",IF(L82&lt;'PlayerGrades+'!$AE$19,"F+",IF(L82&lt;'PlayerGrades+'!$AE$18,"E-",IF(L82&lt;'PlayerGrades+'!$AE$17,"E",IF(L82&lt;'PlayerGrades+'!$AE$16,"E+",IF(L82&lt;'PlayerGrades+'!$AE$15,"D-",IF(L82&lt;'PlayerGrades+'!$AE$14,"D",IF(L82&lt;'PlayerGrades+'!$AE$13,"D+",IF(L82&lt;'PlayerGrades+'!$AE$12,"C-",IF(L82&lt;'PlayerGrades+'!$AE$11,"C",IF(L82&lt;'PlayerGrades+'!$AE$10,"C+",IF(L82&lt;'PlayerGrades+'!$AE$9,"B-",IF(L82&lt;'PlayerGrades+'!$AE$8,"B",IF(L82&lt;'PlayerGrades+'!$AE$7,"B+",IF(L82&lt;'PlayerGrades+'!$AE$6,"A-",IF(L82&lt;'PlayerGrades+'!$AE$5,"A",IF(L82&lt;'PlayerGrades+'!$AE$4,"A+",IF(L82&lt;'PlayerGrades+'!$AE$3,"S-",IF(L82&lt;'PlayerGrades+'!$AE$2,"S","S+"))))))))))))))))))))</f>
        <v>#DIV/0!</v>
      </c>
      <c r="N82" s="961" t="str">
        <f t="shared" si="6"/>
        <v>#DIV/0!</v>
      </c>
      <c r="O82" s="961" t="str">
        <f>IF(N82&lt;'PlayerGrades+'!$AF$21,"F-",IF(N82&lt;'PlayerGrades+'!$AF$20,"F",IF(N82&lt;'PlayerGrades+'!$AF$19,"F+",IF(N82&lt;'PlayerGrades+'!$AF$18,"E-",IF(N82&lt;'PlayerGrades+'!$AF$17,"E",IF(N82&lt;'PlayerGrades+'!$AF$16,"E+",IF(N82&lt;'PlayerGrades+'!$AF$15,"D-",IF(N82&lt;'PlayerGrades+'!$AF$14,"D",IF(N82&lt;'PlayerGrades+'!$AF$13,"D+",IF(N82&lt;'PlayerGrades+'!$AF$12,"C-",IF(N82&lt;'PlayerGrades+'!$AF$11,"C",IF(N82&lt;'PlayerGrades+'!$AF$10,"C+",IF(N82&lt;'PlayerGrades+'!$AF$9,"B-",IF(N82&lt;'PlayerGrades+'!$AF$8,"B",IF(N82&lt;'PlayerGrades+'!$AF$7,"B+",IF(N82&lt;'PlayerGrades+'!$AF$6,"A-",IF(N82&lt;'PlayerGrades+'!$AF$5,"A",IF(N82&lt;'PlayerGrades+'!$AF$4,"A+",IF(N82&lt;'PlayerGrades+'!$AF$3,"S-",IF(N82&lt;'PlayerGrades+'!$AF$2,"S","S+"))))))))))))))))))))</f>
        <v>#DIV/0!</v>
      </c>
      <c r="P82" s="961" t="str">
        <f t="shared" si="7"/>
        <v>#DIV/0!</v>
      </c>
      <c r="Q82" s="961" t="str">
        <f>IF(P82&lt;'PlayerGrades+'!$AG$21,"F-",IF(P82&lt;'PlayerGrades+'!$AG$20,"F",IF(P82&lt;'PlayerGrades+'!$AG$19,"F+",IF(P82&lt;'PlayerGrades+'!$AG$18,"E-",IF(P82&lt;'PlayerGrades+'!$AG$17,"E",IF(P82&lt;'PlayerGrades+'!$AG$16,"E+",IF(P82&lt;'PlayerGrades+'!$AG$15,"D-",IF(P82&lt;'PlayerGrades+'!$AG$14,"D",IF(P82&lt;'PlayerGrades+'!$AG$13,"D+",IF(P82&lt;'PlayerGrades+'!$AG$12,"C-",IF(P82&lt;'PlayerGrades+'!$AG$11,"C",IF(P82&lt;'PlayerGrades+'!$AG$10,"C+",IF(P82&lt;'PlayerGrades+'!$AG$9,"B-",IF(P82&lt;'PlayerGrades+'!$AG$8,"B",IF(P82&lt;'PlayerGrades+'!$AG$7,"B+",IF(P82&lt;'PlayerGrades+'!$AG$6,"A-",IF(P82&lt;'PlayerGrades+'!$AG$5,"A",IF(P82&lt;'PlayerGrades+'!$AG$4,"A+",IF(P82&lt;'PlayerGrades+'!$AG$3,"S-",IF(P82&lt;'PlayerGrades+'!$AG$2,"S","S+"))))))))))))))))))))</f>
        <v>#DIV/0!</v>
      </c>
      <c r="R82" s="961" t="str">
        <f t="shared" si="8"/>
        <v>#DIV/0!</v>
      </c>
      <c r="S82" s="961" t="str">
        <f>IF(R82&lt;'PlayerGrades+'!$AH$21,"F-",IF(R82&lt;'PlayerGrades+'!$AH$20,"F",IF(R82&lt;'PlayerGrades+'!$AH$19,"F+",IF(R82&lt;'PlayerGrades+'!$AH$18,"E-",IF(R82&lt;'PlayerGrades+'!$AH$17,"E",IF(R82&lt;'PlayerGrades+'!$AH$16,"E+",IF(R82&lt;'PlayerGrades+'!$AH$15,"D-",IF(R82&lt;'PlayerGrades+'!$AH$14,"D",IF(R82&lt;'PlayerGrades+'!$AH$13,"D+",IF(R82&lt;'PlayerGrades+'!$AH$12,"C-",IF(R82&lt;'PlayerGrades+'!$AH$11,"C",IF(R82&lt;'PlayerGrades+'!$AH$10,"C+",IF(R82&lt;'PlayerGrades+'!$AH$9,"B-",IF(R82&lt;'PlayerGrades+'!$AH$8,"B",IF(R82&lt;'PlayerGrades+'!$AH$7,"B+",IF(R82&lt;'PlayerGrades+'!$AH$6,"A-",IF(R82&lt;'PlayerGrades+'!$AH$5,"A",IF(R82&lt;'PlayerGrades+'!$AH$4,"A+",IF(R82&lt;'PlayerGrades+'!$AH$3,"S-",IF(R82&lt;'PlayerGrades+'!$AH$2,"S","S+"))))))))))))))))))))</f>
        <v>#DIV/0!</v>
      </c>
      <c r="T82" s="961">
        <f t="shared" si="9"/>
        <v>0</v>
      </c>
      <c r="U82" s="961" t="str">
        <f>IF(T82&lt;'PlayerGrades+'!$AI$21,"F-",IF(T82&lt;'PlayerGrades+'!$AI$20,"F",IF(T82&lt;'PlayerGrades+'!$AI$19,"F+",IF(T82&lt;'PlayerGrades+'!$AI$18,"E-",IF(T82&lt;'PlayerGrades+'!$AI$17,"E",IF(T82&lt;'PlayerGrades+'!$AI$16,"E+",IF(T82&lt;'PlayerGrades+'!$AI$15,"D-",IF(T82&lt;'PlayerGrades+'!$AI$14,"D",IF(T82&lt;'PlayerGrades+'!$AI$13,"D+",IF(T82&lt;'PlayerGrades+'!$AI$12,"C-",IF(T82&lt;'PlayerGrades+'!$AI$11,"C",IF(T82&lt;'PlayerGrades+'!$AI$10,"C+",IF(T82&lt;'PlayerGrades+'!$AI$9,"B-",IF(T82&lt;'PlayerGrades+'!$AI$8,"B",IF(T82&lt;'PlayerGrades+'!$AI$7,"B+",IF(T82&lt;'PlayerGrades+'!$AI$6,"A-",IF(T82&lt;'PlayerGrades+'!$AI$5,"A",IF(T82&lt;'PlayerGrades+'!$AI$4,"A+",IF(T82&lt;'PlayerGrades+'!$AI$3,"S-",IF(T82&lt;'PlayerGrades+'!$AI$2,"S","S+"))))))))))))))))))))</f>
        <v>F-</v>
      </c>
      <c r="V82" s="1379"/>
      <c r="W82" s="1379"/>
      <c r="X82" s="1379"/>
      <c r="Y82" s="1379"/>
      <c r="Z82" s="1379"/>
      <c r="AA82" s="1379"/>
      <c r="AB82" s="1379"/>
      <c r="AC82" s="1390"/>
      <c r="AD82" s="1379"/>
      <c r="AE82" s="1379"/>
      <c r="AF82" s="1379"/>
      <c r="AG82" s="1379"/>
      <c r="AH82" s="1379"/>
      <c r="AI82" s="1379"/>
      <c r="AJ82" s="1379"/>
      <c r="AK82" s="1379"/>
      <c r="AL82" s="1379"/>
      <c r="AM82" s="1379"/>
      <c r="AN82" s="1379"/>
      <c r="AO82" s="1379"/>
      <c r="AP82" s="1379"/>
      <c r="AQ82" s="1379"/>
      <c r="AR82" s="1379"/>
      <c r="AS82" s="1379"/>
      <c r="AT82" s="1379"/>
      <c r="AU82" s="1379"/>
      <c r="AV82" s="1379"/>
      <c r="AW82" s="1379"/>
      <c r="AX82" s="1379"/>
      <c r="AY82" s="1379"/>
      <c r="AZ82" s="1379"/>
    </row>
    <row r="83">
      <c r="A83" s="1391"/>
      <c r="B83" s="611" t="str">
        <f>IF(C83&lt;'PlayerGrades+'!$Y$44,"F-",IF(C83&lt;'PlayerGrades+'!$Y$43,"F",IF(C83&lt;'PlayerGrades+'!$Y$42,"F+",IF(C83&lt;'PlayerGrades+'!$Y$41,"E-",IF(C83&lt;'PlayerGrades+'!$Y$40,"E",IF(C83&lt;'PlayerGrades+'!$Y$39,"E+",IF(C83&lt;'PlayerGrades+'!$Y$38,"D-",IF(C83&lt;'PlayerGrades+'!$Y$37,"D",IF(C83&lt;'PlayerGrades+'!$Y$36,"D+",IF(C83&lt;'PlayerGrades+'!$Y$35,"C-",IF(C83&lt;'PlayerGrades+'!$Y$34,"C",IF(C83&lt;'PlayerGrades+'!$Y$33,"C+",IF(C83&lt;'PlayerGrades+'!$Y$32,"B-",IF(C83&lt;'PlayerGrades+'!$Y$31,"B",IF(C83&lt;'PlayerGrades+'!$Y$30,"B+",IF(C83&lt;'PlayerGrades+'!$Y$29,"A-",IF(C83&lt;'PlayerGrades+'!$Y$28,"A",IF(C83&lt;'PlayerGrades+'!$Y$27,"A+",IF(C83&lt;'PlayerGrades+'!$Y$26,"S-",IF(C83&lt;'PlayerGrades+'!$Y$25,"S","S+"))))))))))))))))))))</f>
        <v>#DIV/0!</v>
      </c>
      <c r="C83" s="1378" t="str">
        <f>('PlayerGrades+'!$Y$47*(VLOOKUP(E83, 'PlayerGrades+'!$X$3:$Y$23, 2, FALSE)))+('PlayerGrades+'!$Y$48*(VLOOKUP(G83, 'PlayerGrades+'!$X$3:$Y$23, 2, FALSE)))+('PlayerGrades+'!$Y$49*(VLOOKUP(I83, 'PlayerGrades+'!$X$3:$Y$23, 2, FALSE)))+('PlayerGrades+'!$Y$50*(VLOOKUP(K83, 'PlayerGrades+'!$X$3:$Y$23, 2, FALSE)))+('PlayerGrades+'!$Y$51*(VLOOKUP(M83, 'PlayerGrades+'!$X$3:$Y$23, 2, FALSE)))+('PlayerGrades+'!$Y$52*(VLOOKUP(O83, 'PlayerGrades+'!$X$3:$Y$23, 2, FALSE)))+('PlayerGrades+'!$Y$53*(VLOOKUP(Q83, 'PlayerGrades+'!$X$3:$Y$23, 2, FALSE)))+('PlayerGrades+'!$Y$54*(VLOOKUP(S83, 'PlayerGrades+'!$X$3:$Y$23, 2, FALSE)))+('PlayerGrades+'!$Y$55*(VLOOKUP(U83, 'PlayerGrades+'!$X$3:$Y$23, 2, FALSE)))</f>
        <v>#DIV/0!</v>
      </c>
      <c r="D83" s="961" t="str">
        <f t="shared" si="1"/>
        <v>#DIV/0!</v>
      </c>
      <c r="E83" s="961" t="str">
        <f>IF(D83&lt;'PlayerGrades+'!$AA$21,"F-",IF(D83&lt;'PlayerGrades+'!$AA$20,"F",IF(D83&lt;'PlayerGrades+'!$AA$19,"F+",IF(D83&lt;'PlayerGrades+'!$AA$18,"E-",IF(D83&lt;'PlayerGrades+'!$AA$17,"E",IF(D83&lt;'PlayerGrades+'!$AA$16,"E+",IF(D83&lt;'PlayerGrades+'!$AA$15,"D-",IF(D83&lt;'PlayerGrades+'!$AA$14,"D",IF(D83&lt;'PlayerGrades+'!$AA$13,"D+",IF(D83&lt;'PlayerGrades+'!$AA$12,"C-",IF(D83&lt;'PlayerGrades+'!$AA$11,"C",IF(D83&lt;'PlayerGrades+'!$AA$10,"C+",IF(D83&lt;'PlayerGrades+'!$AA$9,"B-",IF(D83&lt;'PlayerGrades+'!$AA$8,"B",IF(D83&lt;'PlayerGrades+'!$AA$7,"B+",IF(D83&lt;'PlayerGrades+'!$AA$6,"A-",IF(D83&lt;'PlayerGrades+'!$AA$5,"A",IF(D83&lt;'PlayerGrades+'!$AA$4,"A+",IF(D83&lt;'PlayerGrades+'!$AA$3,"S-",IF(D83&lt;'PlayerGrades+'!$AA$2,"S","S+"))))))))))))))))))))</f>
        <v>#DIV/0!</v>
      </c>
      <c r="F83" s="961" t="str">
        <f t="shared" si="2"/>
        <v>#DIV/0!</v>
      </c>
      <c r="G83" s="961" t="str">
        <f>IF(F83&lt;'PlayerGrades+'!$AB$21,"F-",IF(F83&lt;'PlayerGrades+'!$AB$20,"F",IF(F83&lt;'PlayerGrades+'!$AB$19,"F+",IF(F83&lt;'PlayerGrades+'!$AB$18,"E-",IF(F83&lt;'PlayerGrades+'!$AB$17,"E",IF(F83&lt;'PlayerGrades+'!$AB$16,"E+",IF(F83&lt;'PlayerGrades+'!$AB$15,"D-",IF(F83&lt;'PlayerGrades+'!$AB$14,"D",IF(F83&lt;'PlayerGrades+'!$AB$13,"D+",IF(F83&lt;'PlayerGrades+'!$AB$12,"C-",IF(F83&lt;'PlayerGrades+'!$AB$11,"C",IF(F83&lt;'PlayerGrades+'!$AB$10,"C+",IF(F83&lt;'PlayerGrades+'!$AB$9,"B-",IF(F83&lt;'PlayerGrades+'!$AB$8,"B",IF(F83&lt;'PlayerGrades+'!$AB$7,"B+",IF(F83&lt;'PlayerGrades+'!$AB$6,"A-",IF(F83&lt;'PlayerGrades+'!$AB$5,"A",IF(F83&lt;'PlayerGrades+'!$AB$4,"A+",IF(F83&lt;'PlayerGrades+'!$AB$3,"S-",IF(F83&lt;'PlayerGrades+'!$AB$2,"S","S+"))))))))))))))))))))</f>
        <v>#DIV/0!</v>
      </c>
      <c r="H83" s="961" t="str">
        <f t="shared" si="3"/>
        <v>#DIV/0!</v>
      </c>
      <c r="I83" s="961" t="str">
        <f>IF(H83&lt;'PlayerGrades+'!$AC$21,"F-",IF(H83&lt;'PlayerGrades+'!$AC$20,"F",IF(H83&lt;'PlayerGrades+'!$AC$19,"F+",IF(H83&lt;'PlayerGrades+'!$AC$18,"E-",IF(H83&lt;'PlayerGrades+'!$AC$17,"E",IF(H83&lt;'PlayerGrades+'!$AC$16,"E+",IF(H83&lt;'PlayerGrades+'!$AC$15,"D-",IF(H83&lt;'PlayerGrades+'!$AC$14,"D",IF(H83&lt;'PlayerGrades+'!$AC$13,"D+",IF(H83&lt;'PlayerGrades+'!$AC$12,"C-",IF(H83&lt;'PlayerGrades+'!$AC$11,"C",IF(H83&lt;'PlayerGrades+'!$AC$10,"C+",IF(H83&lt;'PlayerGrades+'!$AC$9,"B-",IF(H83&lt;'PlayerGrades+'!$AC$8,"B",IF(H83&lt;'PlayerGrades+'!$AC$7,"B+",IF(H83&lt;'PlayerGrades+'!$AC$6,"A-",IF(H83&lt;'PlayerGrades+'!$AC$5,"A",IF(H83&lt;'PlayerGrades+'!$AC$4,"A+",IF(H83&lt;'PlayerGrades+'!$AC$3,"S-",IF(H83&lt;'PlayerGrades+'!$AC$2,"S","S+"))))))))))))))))))))</f>
        <v>#DIV/0!</v>
      </c>
      <c r="J83" s="961" t="str">
        <f t="shared" si="4"/>
        <v>#DIV/0!</v>
      </c>
      <c r="K83" s="961" t="str">
        <f>IF(J83&lt;'PlayerGrades+'!$AD$21,"F-",IF(J83&lt;'PlayerGrades+'!$AD$20,"F",IF(J83&lt;'PlayerGrades+'!$AD$19,"F+",IF(J83&lt;'PlayerGrades+'!$AD$18,"E-",IF(J83&lt;'PlayerGrades+'!$AD$17,"E",IF(J83&lt;'PlayerGrades+'!$AD$16,"E+",IF(J83&lt;'PlayerGrades+'!$AD$15,"D-",IF(J83&lt;'PlayerGrades+'!$AD$14,"D",IF(J83&lt;'PlayerGrades+'!$AD$13,"D+",IF(J83&lt;'PlayerGrades+'!$AD$12,"C-",IF(J83&lt;'PlayerGrades+'!$AD$11,"C",IF(J83&lt;'PlayerGrades+'!$AD$10,"C+",IF(J83&lt;'PlayerGrades+'!$AD$9,"B-",IF(J83&lt;'PlayerGrades+'!$AD$8,"B",IF(J83&lt;'PlayerGrades+'!$AD$7,"B+",IF(J83&lt;'PlayerGrades+'!$AD$6,"A-",IF(J83&lt;'PlayerGrades+'!$AD$5,"A",IF(J83&lt;'PlayerGrades+'!$AD$4,"A+",IF(J83&lt;'PlayerGrades+'!$AD$3,"S-",IF(J83&lt;'PlayerGrades+'!$AD$2,"S","S+"))))))))))))))))))))</f>
        <v>#DIV/0!</v>
      </c>
      <c r="L83" s="1176" t="str">
        <f t="shared" si="5"/>
        <v>#DIV/0!</v>
      </c>
      <c r="M83" s="992" t="str">
        <f>IF(L83&lt;'PlayerGrades+'!$AE$21,"F-",IF(L83&lt;'PlayerGrades+'!$AE$20,"F",IF(L83&lt;'PlayerGrades+'!$AE$19,"F+",IF(L83&lt;'PlayerGrades+'!$AE$18,"E-",IF(L83&lt;'PlayerGrades+'!$AE$17,"E",IF(L83&lt;'PlayerGrades+'!$AE$16,"E+",IF(L83&lt;'PlayerGrades+'!$AE$15,"D-",IF(L83&lt;'PlayerGrades+'!$AE$14,"D",IF(L83&lt;'PlayerGrades+'!$AE$13,"D+",IF(L83&lt;'PlayerGrades+'!$AE$12,"C-",IF(L83&lt;'PlayerGrades+'!$AE$11,"C",IF(L83&lt;'PlayerGrades+'!$AE$10,"C+",IF(L83&lt;'PlayerGrades+'!$AE$9,"B-",IF(L83&lt;'PlayerGrades+'!$AE$8,"B",IF(L83&lt;'PlayerGrades+'!$AE$7,"B+",IF(L83&lt;'PlayerGrades+'!$AE$6,"A-",IF(L83&lt;'PlayerGrades+'!$AE$5,"A",IF(L83&lt;'PlayerGrades+'!$AE$4,"A+",IF(L83&lt;'PlayerGrades+'!$AE$3,"S-",IF(L83&lt;'PlayerGrades+'!$AE$2,"S","S+"))))))))))))))))))))</f>
        <v>#DIV/0!</v>
      </c>
      <c r="N83" s="961" t="str">
        <f t="shared" si="6"/>
        <v>#DIV/0!</v>
      </c>
      <c r="O83" s="961" t="str">
        <f>IF(N83&lt;'PlayerGrades+'!$AF$21,"F-",IF(N83&lt;'PlayerGrades+'!$AF$20,"F",IF(N83&lt;'PlayerGrades+'!$AF$19,"F+",IF(N83&lt;'PlayerGrades+'!$AF$18,"E-",IF(N83&lt;'PlayerGrades+'!$AF$17,"E",IF(N83&lt;'PlayerGrades+'!$AF$16,"E+",IF(N83&lt;'PlayerGrades+'!$AF$15,"D-",IF(N83&lt;'PlayerGrades+'!$AF$14,"D",IF(N83&lt;'PlayerGrades+'!$AF$13,"D+",IF(N83&lt;'PlayerGrades+'!$AF$12,"C-",IF(N83&lt;'PlayerGrades+'!$AF$11,"C",IF(N83&lt;'PlayerGrades+'!$AF$10,"C+",IF(N83&lt;'PlayerGrades+'!$AF$9,"B-",IF(N83&lt;'PlayerGrades+'!$AF$8,"B",IF(N83&lt;'PlayerGrades+'!$AF$7,"B+",IF(N83&lt;'PlayerGrades+'!$AF$6,"A-",IF(N83&lt;'PlayerGrades+'!$AF$5,"A",IF(N83&lt;'PlayerGrades+'!$AF$4,"A+",IF(N83&lt;'PlayerGrades+'!$AF$3,"S-",IF(N83&lt;'PlayerGrades+'!$AF$2,"S","S+"))))))))))))))))))))</f>
        <v>#DIV/0!</v>
      </c>
      <c r="P83" s="961" t="str">
        <f t="shared" si="7"/>
        <v>#DIV/0!</v>
      </c>
      <c r="Q83" s="961" t="str">
        <f>IF(P83&lt;'PlayerGrades+'!$AG$21,"F-",IF(P83&lt;'PlayerGrades+'!$AG$20,"F",IF(P83&lt;'PlayerGrades+'!$AG$19,"F+",IF(P83&lt;'PlayerGrades+'!$AG$18,"E-",IF(P83&lt;'PlayerGrades+'!$AG$17,"E",IF(P83&lt;'PlayerGrades+'!$AG$16,"E+",IF(P83&lt;'PlayerGrades+'!$AG$15,"D-",IF(P83&lt;'PlayerGrades+'!$AG$14,"D",IF(P83&lt;'PlayerGrades+'!$AG$13,"D+",IF(P83&lt;'PlayerGrades+'!$AG$12,"C-",IF(P83&lt;'PlayerGrades+'!$AG$11,"C",IF(P83&lt;'PlayerGrades+'!$AG$10,"C+",IF(P83&lt;'PlayerGrades+'!$AG$9,"B-",IF(P83&lt;'PlayerGrades+'!$AG$8,"B",IF(P83&lt;'PlayerGrades+'!$AG$7,"B+",IF(P83&lt;'PlayerGrades+'!$AG$6,"A-",IF(P83&lt;'PlayerGrades+'!$AG$5,"A",IF(P83&lt;'PlayerGrades+'!$AG$4,"A+",IF(P83&lt;'PlayerGrades+'!$AG$3,"S-",IF(P83&lt;'PlayerGrades+'!$AG$2,"S","S+"))))))))))))))))))))</f>
        <v>#DIV/0!</v>
      </c>
      <c r="R83" s="961" t="str">
        <f t="shared" si="8"/>
        <v>#DIV/0!</v>
      </c>
      <c r="S83" s="961" t="str">
        <f>IF(R83&lt;'PlayerGrades+'!$AH$21,"F-",IF(R83&lt;'PlayerGrades+'!$AH$20,"F",IF(R83&lt;'PlayerGrades+'!$AH$19,"F+",IF(R83&lt;'PlayerGrades+'!$AH$18,"E-",IF(R83&lt;'PlayerGrades+'!$AH$17,"E",IF(R83&lt;'PlayerGrades+'!$AH$16,"E+",IF(R83&lt;'PlayerGrades+'!$AH$15,"D-",IF(R83&lt;'PlayerGrades+'!$AH$14,"D",IF(R83&lt;'PlayerGrades+'!$AH$13,"D+",IF(R83&lt;'PlayerGrades+'!$AH$12,"C-",IF(R83&lt;'PlayerGrades+'!$AH$11,"C",IF(R83&lt;'PlayerGrades+'!$AH$10,"C+",IF(R83&lt;'PlayerGrades+'!$AH$9,"B-",IF(R83&lt;'PlayerGrades+'!$AH$8,"B",IF(R83&lt;'PlayerGrades+'!$AH$7,"B+",IF(R83&lt;'PlayerGrades+'!$AH$6,"A-",IF(R83&lt;'PlayerGrades+'!$AH$5,"A",IF(R83&lt;'PlayerGrades+'!$AH$4,"A+",IF(R83&lt;'PlayerGrades+'!$AH$3,"S-",IF(R83&lt;'PlayerGrades+'!$AH$2,"S","S+"))))))))))))))))))))</f>
        <v>#DIV/0!</v>
      </c>
      <c r="T83" s="961">
        <f t="shared" si="9"/>
        <v>0</v>
      </c>
      <c r="U83" s="961" t="str">
        <f>IF(T83&lt;'PlayerGrades+'!$AI$21,"F-",IF(T83&lt;'PlayerGrades+'!$AI$20,"F",IF(T83&lt;'PlayerGrades+'!$AI$19,"F+",IF(T83&lt;'PlayerGrades+'!$AI$18,"E-",IF(T83&lt;'PlayerGrades+'!$AI$17,"E",IF(T83&lt;'PlayerGrades+'!$AI$16,"E+",IF(T83&lt;'PlayerGrades+'!$AI$15,"D-",IF(T83&lt;'PlayerGrades+'!$AI$14,"D",IF(T83&lt;'PlayerGrades+'!$AI$13,"D+",IF(T83&lt;'PlayerGrades+'!$AI$12,"C-",IF(T83&lt;'PlayerGrades+'!$AI$11,"C",IF(T83&lt;'PlayerGrades+'!$AI$10,"C+",IF(T83&lt;'PlayerGrades+'!$AI$9,"B-",IF(T83&lt;'PlayerGrades+'!$AI$8,"B",IF(T83&lt;'PlayerGrades+'!$AI$7,"B+",IF(T83&lt;'PlayerGrades+'!$AI$6,"A-",IF(T83&lt;'PlayerGrades+'!$AI$5,"A",IF(T83&lt;'PlayerGrades+'!$AI$4,"A+",IF(T83&lt;'PlayerGrades+'!$AI$3,"S-",IF(T83&lt;'PlayerGrades+'!$AI$2,"S","S+"))))))))))))))))))))</f>
        <v>F-</v>
      </c>
      <c r="AC83" s="1392"/>
    </row>
    <row r="84">
      <c r="A84" s="1391"/>
      <c r="B84" s="611" t="str">
        <f>IF(C84&lt;'PlayerGrades+'!$Y$44,"F-",IF(C84&lt;'PlayerGrades+'!$Y$43,"F",IF(C84&lt;'PlayerGrades+'!$Y$42,"F+",IF(C84&lt;'PlayerGrades+'!$Y$41,"E-",IF(C84&lt;'PlayerGrades+'!$Y$40,"E",IF(C84&lt;'PlayerGrades+'!$Y$39,"E+",IF(C84&lt;'PlayerGrades+'!$Y$38,"D-",IF(C84&lt;'PlayerGrades+'!$Y$37,"D",IF(C84&lt;'PlayerGrades+'!$Y$36,"D+",IF(C84&lt;'PlayerGrades+'!$Y$35,"C-",IF(C84&lt;'PlayerGrades+'!$Y$34,"C",IF(C84&lt;'PlayerGrades+'!$Y$33,"C+",IF(C84&lt;'PlayerGrades+'!$Y$32,"B-",IF(C84&lt;'PlayerGrades+'!$Y$31,"B",IF(C84&lt;'PlayerGrades+'!$Y$30,"B+",IF(C84&lt;'PlayerGrades+'!$Y$29,"A-",IF(C84&lt;'PlayerGrades+'!$Y$28,"A",IF(C84&lt;'PlayerGrades+'!$Y$27,"A+",IF(C84&lt;'PlayerGrades+'!$Y$26,"S-",IF(C84&lt;'PlayerGrades+'!$Y$25,"S","S+"))))))))))))))))))))</f>
        <v>#DIV/0!</v>
      </c>
      <c r="C84" s="1378" t="str">
        <f>('PlayerGrades+'!$Y$47*(VLOOKUP(E84, 'PlayerGrades+'!$X$3:$Y$23, 2, FALSE)))+('PlayerGrades+'!$Y$48*(VLOOKUP(G84, 'PlayerGrades+'!$X$3:$Y$23, 2, FALSE)))+('PlayerGrades+'!$Y$49*(VLOOKUP(I84, 'PlayerGrades+'!$X$3:$Y$23, 2, FALSE)))+('PlayerGrades+'!$Y$50*(VLOOKUP(K84, 'PlayerGrades+'!$X$3:$Y$23, 2, FALSE)))+('PlayerGrades+'!$Y$51*(VLOOKUP(M84, 'PlayerGrades+'!$X$3:$Y$23, 2, FALSE)))+('PlayerGrades+'!$Y$52*(VLOOKUP(O84, 'PlayerGrades+'!$X$3:$Y$23, 2, FALSE)))+('PlayerGrades+'!$Y$53*(VLOOKUP(Q84, 'PlayerGrades+'!$X$3:$Y$23, 2, FALSE)))+('PlayerGrades+'!$Y$54*(VLOOKUP(S84, 'PlayerGrades+'!$X$3:$Y$23, 2, FALSE)))+('PlayerGrades+'!$Y$55*(VLOOKUP(U84, 'PlayerGrades+'!$X$3:$Y$23, 2, FALSE)))</f>
        <v>#DIV/0!</v>
      </c>
      <c r="D84" s="961" t="str">
        <f t="shared" si="1"/>
        <v>#DIV/0!</v>
      </c>
      <c r="E84" s="961" t="str">
        <f>IF(D84&lt;'PlayerGrades+'!$AA$21,"F-",IF(D84&lt;'PlayerGrades+'!$AA$20,"F",IF(D84&lt;'PlayerGrades+'!$AA$19,"F+",IF(D84&lt;'PlayerGrades+'!$AA$18,"E-",IF(D84&lt;'PlayerGrades+'!$AA$17,"E",IF(D84&lt;'PlayerGrades+'!$AA$16,"E+",IF(D84&lt;'PlayerGrades+'!$AA$15,"D-",IF(D84&lt;'PlayerGrades+'!$AA$14,"D",IF(D84&lt;'PlayerGrades+'!$AA$13,"D+",IF(D84&lt;'PlayerGrades+'!$AA$12,"C-",IF(D84&lt;'PlayerGrades+'!$AA$11,"C",IF(D84&lt;'PlayerGrades+'!$AA$10,"C+",IF(D84&lt;'PlayerGrades+'!$AA$9,"B-",IF(D84&lt;'PlayerGrades+'!$AA$8,"B",IF(D84&lt;'PlayerGrades+'!$AA$7,"B+",IF(D84&lt;'PlayerGrades+'!$AA$6,"A-",IF(D84&lt;'PlayerGrades+'!$AA$5,"A",IF(D84&lt;'PlayerGrades+'!$AA$4,"A+",IF(D84&lt;'PlayerGrades+'!$AA$3,"S-",IF(D84&lt;'PlayerGrades+'!$AA$2,"S","S+"))))))))))))))))))))</f>
        <v>#DIV/0!</v>
      </c>
      <c r="F84" s="961" t="str">
        <f t="shared" si="2"/>
        <v>#DIV/0!</v>
      </c>
      <c r="G84" s="961" t="str">
        <f>IF(F84&lt;'PlayerGrades+'!$AB$21,"F-",IF(F84&lt;'PlayerGrades+'!$AB$20,"F",IF(F84&lt;'PlayerGrades+'!$AB$19,"F+",IF(F84&lt;'PlayerGrades+'!$AB$18,"E-",IF(F84&lt;'PlayerGrades+'!$AB$17,"E",IF(F84&lt;'PlayerGrades+'!$AB$16,"E+",IF(F84&lt;'PlayerGrades+'!$AB$15,"D-",IF(F84&lt;'PlayerGrades+'!$AB$14,"D",IF(F84&lt;'PlayerGrades+'!$AB$13,"D+",IF(F84&lt;'PlayerGrades+'!$AB$12,"C-",IF(F84&lt;'PlayerGrades+'!$AB$11,"C",IF(F84&lt;'PlayerGrades+'!$AB$10,"C+",IF(F84&lt;'PlayerGrades+'!$AB$9,"B-",IF(F84&lt;'PlayerGrades+'!$AB$8,"B",IF(F84&lt;'PlayerGrades+'!$AB$7,"B+",IF(F84&lt;'PlayerGrades+'!$AB$6,"A-",IF(F84&lt;'PlayerGrades+'!$AB$5,"A",IF(F84&lt;'PlayerGrades+'!$AB$4,"A+",IF(F84&lt;'PlayerGrades+'!$AB$3,"S-",IF(F84&lt;'PlayerGrades+'!$AB$2,"S","S+"))))))))))))))))))))</f>
        <v>#DIV/0!</v>
      </c>
      <c r="H84" s="961" t="str">
        <f t="shared" si="3"/>
        <v>#DIV/0!</v>
      </c>
      <c r="I84" s="961" t="str">
        <f>IF(H84&lt;'PlayerGrades+'!$AC$21,"F-",IF(H84&lt;'PlayerGrades+'!$AC$20,"F",IF(H84&lt;'PlayerGrades+'!$AC$19,"F+",IF(H84&lt;'PlayerGrades+'!$AC$18,"E-",IF(H84&lt;'PlayerGrades+'!$AC$17,"E",IF(H84&lt;'PlayerGrades+'!$AC$16,"E+",IF(H84&lt;'PlayerGrades+'!$AC$15,"D-",IF(H84&lt;'PlayerGrades+'!$AC$14,"D",IF(H84&lt;'PlayerGrades+'!$AC$13,"D+",IF(H84&lt;'PlayerGrades+'!$AC$12,"C-",IF(H84&lt;'PlayerGrades+'!$AC$11,"C",IF(H84&lt;'PlayerGrades+'!$AC$10,"C+",IF(H84&lt;'PlayerGrades+'!$AC$9,"B-",IF(H84&lt;'PlayerGrades+'!$AC$8,"B",IF(H84&lt;'PlayerGrades+'!$AC$7,"B+",IF(H84&lt;'PlayerGrades+'!$AC$6,"A-",IF(H84&lt;'PlayerGrades+'!$AC$5,"A",IF(H84&lt;'PlayerGrades+'!$AC$4,"A+",IF(H84&lt;'PlayerGrades+'!$AC$3,"S-",IF(H84&lt;'PlayerGrades+'!$AC$2,"S","S+"))))))))))))))))))))</f>
        <v>#DIV/0!</v>
      </c>
      <c r="J84" s="961" t="str">
        <f t="shared" si="4"/>
        <v>#DIV/0!</v>
      </c>
      <c r="K84" s="961" t="str">
        <f>IF(J84&lt;'PlayerGrades+'!$AD$21,"F-",IF(J84&lt;'PlayerGrades+'!$AD$20,"F",IF(J84&lt;'PlayerGrades+'!$AD$19,"F+",IF(J84&lt;'PlayerGrades+'!$AD$18,"E-",IF(J84&lt;'PlayerGrades+'!$AD$17,"E",IF(J84&lt;'PlayerGrades+'!$AD$16,"E+",IF(J84&lt;'PlayerGrades+'!$AD$15,"D-",IF(J84&lt;'PlayerGrades+'!$AD$14,"D",IF(J84&lt;'PlayerGrades+'!$AD$13,"D+",IF(J84&lt;'PlayerGrades+'!$AD$12,"C-",IF(J84&lt;'PlayerGrades+'!$AD$11,"C",IF(J84&lt;'PlayerGrades+'!$AD$10,"C+",IF(J84&lt;'PlayerGrades+'!$AD$9,"B-",IF(J84&lt;'PlayerGrades+'!$AD$8,"B",IF(J84&lt;'PlayerGrades+'!$AD$7,"B+",IF(J84&lt;'PlayerGrades+'!$AD$6,"A-",IF(J84&lt;'PlayerGrades+'!$AD$5,"A",IF(J84&lt;'PlayerGrades+'!$AD$4,"A+",IF(J84&lt;'PlayerGrades+'!$AD$3,"S-",IF(J84&lt;'PlayerGrades+'!$AD$2,"S","S+"))))))))))))))))))))</f>
        <v>#DIV/0!</v>
      </c>
      <c r="L84" s="1176" t="str">
        <f t="shared" si="5"/>
        <v>#DIV/0!</v>
      </c>
      <c r="M84" s="992" t="str">
        <f>IF(L84&lt;'PlayerGrades+'!$AE$21,"F-",IF(L84&lt;'PlayerGrades+'!$AE$20,"F",IF(L84&lt;'PlayerGrades+'!$AE$19,"F+",IF(L84&lt;'PlayerGrades+'!$AE$18,"E-",IF(L84&lt;'PlayerGrades+'!$AE$17,"E",IF(L84&lt;'PlayerGrades+'!$AE$16,"E+",IF(L84&lt;'PlayerGrades+'!$AE$15,"D-",IF(L84&lt;'PlayerGrades+'!$AE$14,"D",IF(L84&lt;'PlayerGrades+'!$AE$13,"D+",IF(L84&lt;'PlayerGrades+'!$AE$12,"C-",IF(L84&lt;'PlayerGrades+'!$AE$11,"C",IF(L84&lt;'PlayerGrades+'!$AE$10,"C+",IF(L84&lt;'PlayerGrades+'!$AE$9,"B-",IF(L84&lt;'PlayerGrades+'!$AE$8,"B",IF(L84&lt;'PlayerGrades+'!$AE$7,"B+",IF(L84&lt;'PlayerGrades+'!$AE$6,"A-",IF(L84&lt;'PlayerGrades+'!$AE$5,"A",IF(L84&lt;'PlayerGrades+'!$AE$4,"A+",IF(L84&lt;'PlayerGrades+'!$AE$3,"S-",IF(L84&lt;'PlayerGrades+'!$AE$2,"S","S+"))))))))))))))))))))</f>
        <v>#DIV/0!</v>
      </c>
      <c r="N84" s="961" t="str">
        <f t="shared" si="6"/>
        <v>#DIV/0!</v>
      </c>
      <c r="O84" s="961" t="str">
        <f>IF(N84&lt;'PlayerGrades+'!$AF$21,"F-",IF(N84&lt;'PlayerGrades+'!$AF$20,"F",IF(N84&lt;'PlayerGrades+'!$AF$19,"F+",IF(N84&lt;'PlayerGrades+'!$AF$18,"E-",IF(N84&lt;'PlayerGrades+'!$AF$17,"E",IF(N84&lt;'PlayerGrades+'!$AF$16,"E+",IF(N84&lt;'PlayerGrades+'!$AF$15,"D-",IF(N84&lt;'PlayerGrades+'!$AF$14,"D",IF(N84&lt;'PlayerGrades+'!$AF$13,"D+",IF(N84&lt;'PlayerGrades+'!$AF$12,"C-",IF(N84&lt;'PlayerGrades+'!$AF$11,"C",IF(N84&lt;'PlayerGrades+'!$AF$10,"C+",IF(N84&lt;'PlayerGrades+'!$AF$9,"B-",IF(N84&lt;'PlayerGrades+'!$AF$8,"B",IF(N84&lt;'PlayerGrades+'!$AF$7,"B+",IF(N84&lt;'PlayerGrades+'!$AF$6,"A-",IF(N84&lt;'PlayerGrades+'!$AF$5,"A",IF(N84&lt;'PlayerGrades+'!$AF$4,"A+",IF(N84&lt;'PlayerGrades+'!$AF$3,"S-",IF(N84&lt;'PlayerGrades+'!$AF$2,"S","S+"))))))))))))))))))))</f>
        <v>#DIV/0!</v>
      </c>
      <c r="P84" s="961" t="str">
        <f t="shared" si="7"/>
        <v>#DIV/0!</v>
      </c>
      <c r="Q84" s="961" t="str">
        <f>IF(P84&lt;'PlayerGrades+'!$AG$21,"F-",IF(P84&lt;'PlayerGrades+'!$AG$20,"F",IF(P84&lt;'PlayerGrades+'!$AG$19,"F+",IF(P84&lt;'PlayerGrades+'!$AG$18,"E-",IF(P84&lt;'PlayerGrades+'!$AG$17,"E",IF(P84&lt;'PlayerGrades+'!$AG$16,"E+",IF(P84&lt;'PlayerGrades+'!$AG$15,"D-",IF(P84&lt;'PlayerGrades+'!$AG$14,"D",IF(P84&lt;'PlayerGrades+'!$AG$13,"D+",IF(P84&lt;'PlayerGrades+'!$AG$12,"C-",IF(P84&lt;'PlayerGrades+'!$AG$11,"C",IF(P84&lt;'PlayerGrades+'!$AG$10,"C+",IF(P84&lt;'PlayerGrades+'!$AG$9,"B-",IF(P84&lt;'PlayerGrades+'!$AG$8,"B",IF(P84&lt;'PlayerGrades+'!$AG$7,"B+",IF(P84&lt;'PlayerGrades+'!$AG$6,"A-",IF(P84&lt;'PlayerGrades+'!$AG$5,"A",IF(P84&lt;'PlayerGrades+'!$AG$4,"A+",IF(P84&lt;'PlayerGrades+'!$AG$3,"S-",IF(P84&lt;'PlayerGrades+'!$AG$2,"S","S+"))))))))))))))))))))</f>
        <v>#DIV/0!</v>
      </c>
      <c r="R84" s="961" t="str">
        <f t="shared" si="8"/>
        <v>#DIV/0!</v>
      </c>
      <c r="S84" s="961" t="str">
        <f>IF(R84&lt;'PlayerGrades+'!$AH$21,"F-",IF(R84&lt;'PlayerGrades+'!$AH$20,"F",IF(R84&lt;'PlayerGrades+'!$AH$19,"F+",IF(R84&lt;'PlayerGrades+'!$AH$18,"E-",IF(R84&lt;'PlayerGrades+'!$AH$17,"E",IF(R84&lt;'PlayerGrades+'!$AH$16,"E+",IF(R84&lt;'PlayerGrades+'!$AH$15,"D-",IF(R84&lt;'PlayerGrades+'!$AH$14,"D",IF(R84&lt;'PlayerGrades+'!$AH$13,"D+",IF(R84&lt;'PlayerGrades+'!$AH$12,"C-",IF(R84&lt;'PlayerGrades+'!$AH$11,"C",IF(R84&lt;'PlayerGrades+'!$AH$10,"C+",IF(R84&lt;'PlayerGrades+'!$AH$9,"B-",IF(R84&lt;'PlayerGrades+'!$AH$8,"B",IF(R84&lt;'PlayerGrades+'!$AH$7,"B+",IF(R84&lt;'PlayerGrades+'!$AH$6,"A-",IF(R84&lt;'PlayerGrades+'!$AH$5,"A",IF(R84&lt;'PlayerGrades+'!$AH$4,"A+",IF(R84&lt;'PlayerGrades+'!$AH$3,"S-",IF(R84&lt;'PlayerGrades+'!$AH$2,"S","S+"))))))))))))))))))))</f>
        <v>#DIV/0!</v>
      </c>
      <c r="T84" s="961">
        <f t="shared" si="9"/>
        <v>0</v>
      </c>
      <c r="U84" s="961" t="str">
        <f>IF(T84&lt;'PlayerGrades+'!$AI$21,"F-",IF(T84&lt;'PlayerGrades+'!$AI$20,"F",IF(T84&lt;'PlayerGrades+'!$AI$19,"F+",IF(T84&lt;'PlayerGrades+'!$AI$18,"E-",IF(T84&lt;'PlayerGrades+'!$AI$17,"E",IF(T84&lt;'PlayerGrades+'!$AI$16,"E+",IF(T84&lt;'PlayerGrades+'!$AI$15,"D-",IF(T84&lt;'PlayerGrades+'!$AI$14,"D",IF(T84&lt;'PlayerGrades+'!$AI$13,"D+",IF(T84&lt;'PlayerGrades+'!$AI$12,"C-",IF(T84&lt;'PlayerGrades+'!$AI$11,"C",IF(T84&lt;'PlayerGrades+'!$AI$10,"C+",IF(T84&lt;'PlayerGrades+'!$AI$9,"B-",IF(T84&lt;'PlayerGrades+'!$AI$8,"B",IF(T84&lt;'PlayerGrades+'!$AI$7,"B+",IF(T84&lt;'PlayerGrades+'!$AI$6,"A-",IF(T84&lt;'PlayerGrades+'!$AI$5,"A",IF(T84&lt;'PlayerGrades+'!$AI$4,"A+",IF(T84&lt;'PlayerGrades+'!$AI$3,"S-",IF(T84&lt;'PlayerGrades+'!$AI$2,"S","S+"))))))))))))))))))))</f>
        <v>F-</v>
      </c>
      <c r="AC84" s="1392"/>
    </row>
    <row r="85">
      <c r="A85" s="1391"/>
      <c r="B85" s="611" t="str">
        <f>IF(C85&lt;'PlayerGrades+'!$Y$44,"F-",IF(C85&lt;'PlayerGrades+'!$Y$43,"F",IF(C85&lt;'PlayerGrades+'!$Y$42,"F+",IF(C85&lt;'PlayerGrades+'!$Y$41,"E-",IF(C85&lt;'PlayerGrades+'!$Y$40,"E",IF(C85&lt;'PlayerGrades+'!$Y$39,"E+",IF(C85&lt;'PlayerGrades+'!$Y$38,"D-",IF(C85&lt;'PlayerGrades+'!$Y$37,"D",IF(C85&lt;'PlayerGrades+'!$Y$36,"D+",IF(C85&lt;'PlayerGrades+'!$Y$35,"C-",IF(C85&lt;'PlayerGrades+'!$Y$34,"C",IF(C85&lt;'PlayerGrades+'!$Y$33,"C+",IF(C85&lt;'PlayerGrades+'!$Y$32,"B-",IF(C85&lt;'PlayerGrades+'!$Y$31,"B",IF(C85&lt;'PlayerGrades+'!$Y$30,"B+",IF(C85&lt;'PlayerGrades+'!$Y$29,"A-",IF(C85&lt;'PlayerGrades+'!$Y$28,"A",IF(C85&lt;'PlayerGrades+'!$Y$27,"A+",IF(C85&lt;'PlayerGrades+'!$Y$26,"S-",IF(C85&lt;'PlayerGrades+'!$Y$25,"S","S+"))))))))))))))))))))</f>
        <v>#DIV/0!</v>
      </c>
      <c r="C85" s="1378" t="str">
        <f>('PlayerGrades+'!$Y$47*(VLOOKUP(E85, 'PlayerGrades+'!$X$3:$Y$23, 2, FALSE)))+('PlayerGrades+'!$Y$48*(VLOOKUP(G85, 'PlayerGrades+'!$X$3:$Y$23, 2, FALSE)))+('PlayerGrades+'!$Y$49*(VLOOKUP(I85, 'PlayerGrades+'!$X$3:$Y$23, 2, FALSE)))+('PlayerGrades+'!$Y$50*(VLOOKUP(K85, 'PlayerGrades+'!$X$3:$Y$23, 2, FALSE)))+('PlayerGrades+'!$Y$51*(VLOOKUP(M85, 'PlayerGrades+'!$X$3:$Y$23, 2, FALSE)))+('PlayerGrades+'!$Y$52*(VLOOKUP(O85, 'PlayerGrades+'!$X$3:$Y$23, 2, FALSE)))+('PlayerGrades+'!$Y$53*(VLOOKUP(Q85, 'PlayerGrades+'!$X$3:$Y$23, 2, FALSE)))+('PlayerGrades+'!$Y$54*(VLOOKUP(S85, 'PlayerGrades+'!$X$3:$Y$23, 2, FALSE)))+('PlayerGrades+'!$Y$55*(VLOOKUP(U85, 'PlayerGrades+'!$X$3:$Y$23, 2, FALSE)))</f>
        <v>#DIV/0!</v>
      </c>
      <c r="D85" s="961" t="str">
        <f t="shared" si="1"/>
        <v>#DIV/0!</v>
      </c>
      <c r="E85" s="961" t="str">
        <f>IF(D85&lt;'PlayerGrades+'!$AA$21,"F-",IF(D85&lt;'PlayerGrades+'!$AA$20,"F",IF(D85&lt;'PlayerGrades+'!$AA$19,"F+",IF(D85&lt;'PlayerGrades+'!$AA$18,"E-",IF(D85&lt;'PlayerGrades+'!$AA$17,"E",IF(D85&lt;'PlayerGrades+'!$AA$16,"E+",IF(D85&lt;'PlayerGrades+'!$AA$15,"D-",IF(D85&lt;'PlayerGrades+'!$AA$14,"D",IF(D85&lt;'PlayerGrades+'!$AA$13,"D+",IF(D85&lt;'PlayerGrades+'!$AA$12,"C-",IF(D85&lt;'PlayerGrades+'!$AA$11,"C",IF(D85&lt;'PlayerGrades+'!$AA$10,"C+",IF(D85&lt;'PlayerGrades+'!$AA$9,"B-",IF(D85&lt;'PlayerGrades+'!$AA$8,"B",IF(D85&lt;'PlayerGrades+'!$AA$7,"B+",IF(D85&lt;'PlayerGrades+'!$AA$6,"A-",IF(D85&lt;'PlayerGrades+'!$AA$5,"A",IF(D85&lt;'PlayerGrades+'!$AA$4,"A+",IF(D85&lt;'PlayerGrades+'!$AA$3,"S-",IF(D85&lt;'PlayerGrades+'!$AA$2,"S","S+"))))))))))))))))))))</f>
        <v>#DIV/0!</v>
      </c>
      <c r="F85" s="961" t="str">
        <f t="shared" si="2"/>
        <v>#DIV/0!</v>
      </c>
      <c r="G85" s="961" t="str">
        <f>IF(F85&lt;'PlayerGrades+'!$AB$21,"F-",IF(F85&lt;'PlayerGrades+'!$AB$20,"F",IF(F85&lt;'PlayerGrades+'!$AB$19,"F+",IF(F85&lt;'PlayerGrades+'!$AB$18,"E-",IF(F85&lt;'PlayerGrades+'!$AB$17,"E",IF(F85&lt;'PlayerGrades+'!$AB$16,"E+",IF(F85&lt;'PlayerGrades+'!$AB$15,"D-",IF(F85&lt;'PlayerGrades+'!$AB$14,"D",IF(F85&lt;'PlayerGrades+'!$AB$13,"D+",IF(F85&lt;'PlayerGrades+'!$AB$12,"C-",IF(F85&lt;'PlayerGrades+'!$AB$11,"C",IF(F85&lt;'PlayerGrades+'!$AB$10,"C+",IF(F85&lt;'PlayerGrades+'!$AB$9,"B-",IF(F85&lt;'PlayerGrades+'!$AB$8,"B",IF(F85&lt;'PlayerGrades+'!$AB$7,"B+",IF(F85&lt;'PlayerGrades+'!$AB$6,"A-",IF(F85&lt;'PlayerGrades+'!$AB$5,"A",IF(F85&lt;'PlayerGrades+'!$AB$4,"A+",IF(F85&lt;'PlayerGrades+'!$AB$3,"S-",IF(F85&lt;'PlayerGrades+'!$AB$2,"S","S+"))))))))))))))))))))</f>
        <v>#DIV/0!</v>
      </c>
      <c r="H85" s="961" t="str">
        <f t="shared" si="3"/>
        <v>#DIV/0!</v>
      </c>
      <c r="I85" s="961" t="str">
        <f>IF(H85&lt;'PlayerGrades+'!$AC$21,"F-",IF(H85&lt;'PlayerGrades+'!$AC$20,"F",IF(H85&lt;'PlayerGrades+'!$AC$19,"F+",IF(H85&lt;'PlayerGrades+'!$AC$18,"E-",IF(H85&lt;'PlayerGrades+'!$AC$17,"E",IF(H85&lt;'PlayerGrades+'!$AC$16,"E+",IF(H85&lt;'PlayerGrades+'!$AC$15,"D-",IF(H85&lt;'PlayerGrades+'!$AC$14,"D",IF(H85&lt;'PlayerGrades+'!$AC$13,"D+",IF(H85&lt;'PlayerGrades+'!$AC$12,"C-",IF(H85&lt;'PlayerGrades+'!$AC$11,"C",IF(H85&lt;'PlayerGrades+'!$AC$10,"C+",IF(H85&lt;'PlayerGrades+'!$AC$9,"B-",IF(H85&lt;'PlayerGrades+'!$AC$8,"B",IF(H85&lt;'PlayerGrades+'!$AC$7,"B+",IF(H85&lt;'PlayerGrades+'!$AC$6,"A-",IF(H85&lt;'PlayerGrades+'!$AC$5,"A",IF(H85&lt;'PlayerGrades+'!$AC$4,"A+",IF(H85&lt;'PlayerGrades+'!$AC$3,"S-",IF(H85&lt;'PlayerGrades+'!$AC$2,"S","S+"))))))))))))))))))))</f>
        <v>#DIV/0!</v>
      </c>
      <c r="J85" s="961" t="str">
        <f t="shared" si="4"/>
        <v>#DIV/0!</v>
      </c>
      <c r="K85" s="961" t="str">
        <f>IF(J85&lt;'PlayerGrades+'!$AD$21,"F-",IF(J85&lt;'PlayerGrades+'!$AD$20,"F",IF(J85&lt;'PlayerGrades+'!$AD$19,"F+",IF(J85&lt;'PlayerGrades+'!$AD$18,"E-",IF(J85&lt;'PlayerGrades+'!$AD$17,"E",IF(J85&lt;'PlayerGrades+'!$AD$16,"E+",IF(J85&lt;'PlayerGrades+'!$AD$15,"D-",IF(J85&lt;'PlayerGrades+'!$AD$14,"D",IF(J85&lt;'PlayerGrades+'!$AD$13,"D+",IF(J85&lt;'PlayerGrades+'!$AD$12,"C-",IF(J85&lt;'PlayerGrades+'!$AD$11,"C",IF(J85&lt;'PlayerGrades+'!$AD$10,"C+",IF(J85&lt;'PlayerGrades+'!$AD$9,"B-",IF(J85&lt;'PlayerGrades+'!$AD$8,"B",IF(J85&lt;'PlayerGrades+'!$AD$7,"B+",IF(J85&lt;'PlayerGrades+'!$AD$6,"A-",IF(J85&lt;'PlayerGrades+'!$AD$5,"A",IF(J85&lt;'PlayerGrades+'!$AD$4,"A+",IF(J85&lt;'PlayerGrades+'!$AD$3,"S-",IF(J85&lt;'PlayerGrades+'!$AD$2,"S","S+"))))))))))))))))))))</f>
        <v>#DIV/0!</v>
      </c>
      <c r="L85" s="1176" t="str">
        <f t="shared" si="5"/>
        <v>#DIV/0!</v>
      </c>
      <c r="M85" s="992" t="str">
        <f>IF(L85&lt;'PlayerGrades+'!$AE$21,"F-",IF(L85&lt;'PlayerGrades+'!$AE$20,"F",IF(L85&lt;'PlayerGrades+'!$AE$19,"F+",IF(L85&lt;'PlayerGrades+'!$AE$18,"E-",IF(L85&lt;'PlayerGrades+'!$AE$17,"E",IF(L85&lt;'PlayerGrades+'!$AE$16,"E+",IF(L85&lt;'PlayerGrades+'!$AE$15,"D-",IF(L85&lt;'PlayerGrades+'!$AE$14,"D",IF(L85&lt;'PlayerGrades+'!$AE$13,"D+",IF(L85&lt;'PlayerGrades+'!$AE$12,"C-",IF(L85&lt;'PlayerGrades+'!$AE$11,"C",IF(L85&lt;'PlayerGrades+'!$AE$10,"C+",IF(L85&lt;'PlayerGrades+'!$AE$9,"B-",IF(L85&lt;'PlayerGrades+'!$AE$8,"B",IF(L85&lt;'PlayerGrades+'!$AE$7,"B+",IF(L85&lt;'PlayerGrades+'!$AE$6,"A-",IF(L85&lt;'PlayerGrades+'!$AE$5,"A",IF(L85&lt;'PlayerGrades+'!$AE$4,"A+",IF(L85&lt;'PlayerGrades+'!$AE$3,"S-",IF(L85&lt;'PlayerGrades+'!$AE$2,"S","S+"))))))))))))))))))))</f>
        <v>#DIV/0!</v>
      </c>
      <c r="N85" s="961" t="str">
        <f t="shared" si="6"/>
        <v>#DIV/0!</v>
      </c>
      <c r="O85" s="961" t="str">
        <f>IF(N85&lt;'PlayerGrades+'!$AF$21,"F-",IF(N85&lt;'PlayerGrades+'!$AF$20,"F",IF(N85&lt;'PlayerGrades+'!$AF$19,"F+",IF(N85&lt;'PlayerGrades+'!$AF$18,"E-",IF(N85&lt;'PlayerGrades+'!$AF$17,"E",IF(N85&lt;'PlayerGrades+'!$AF$16,"E+",IF(N85&lt;'PlayerGrades+'!$AF$15,"D-",IF(N85&lt;'PlayerGrades+'!$AF$14,"D",IF(N85&lt;'PlayerGrades+'!$AF$13,"D+",IF(N85&lt;'PlayerGrades+'!$AF$12,"C-",IF(N85&lt;'PlayerGrades+'!$AF$11,"C",IF(N85&lt;'PlayerGrades+'!$AF$10,"C+",IF(N85&lt;'PlayerGrades+'!$AF$9,"B-",IF(N85&lt;'PlayerGrades+'!$AF$8,"B",IF(N85&lt;'PlayerGrades+'!$AF$7,"B+",IF(N85&lt;'PlayerGrades+'!$AF$6,"A-",IF(N85&lt;'PlayerGrades+'!$AF$5,"A",IF(N85&lt;'PlayerGrades+'!$AF$4,"A+",IF(N85&lt;'PlayerGrades+'!$AF$3,"S-",IF(N85&lt;'PlayerGrades+'!$AF$2,"S","S+"))))))))))))))))))))</f>
        <v>#DIV/0!</v>
      </c>
      <c r="P85" s="961" t="str">
        <f t="shared" si="7"/>
        <v>#DIV/0!</v>
      </c>
      <c r="Q85" s="961" t="str">
        <f>IF(P85&lt;'PlayerGrades+'!$AG$21,"F-",IF(P85&lt;'PlayerGrades+'!$AG$20,"F",IF(P85&lt;'PlayerGrades+'!$AG$19,"F+",IF(P85&lt;'PlayerGrades+'!$AG$18,"E-",IF(P85&lt;'PlayerGrades+'!$AG$17,"E",IF(P85&lt;'PlayerGrades+'!$AG$16,"E+",IF(P85&lt;'PlayerGrades+'!$AG$15,"D-",IF(P85&lt;'PlayerGrades+'!$AG$14,"D",IF(P85&lt;'PlayerGrades+'!$AG$13,"D+",IF(P85&lt;'PlayerGrades+'!$AG$12,"C-",IF(P85&lt;'PlayerGrades+'!$AG$11,"C",IF(P85&lt;'PlayerGrades+'!$AG$10,"C+",IF(P85&lt;'PlayerGrades+'!$AG$9,"B-",IF(P85&lt;'PlayerGrades+'!$AG$8,"B",IF(P85&lt;'PlayerGrades+'!$AG$7,"B+",IF(P85&lt;'PlayerGrades+'!$AG$6,"A-",IF(P85&lt;'PlayerGrades+'!$AG$5,"A",IF(P85&lt;'PlayerGrades+'!$AG$4,"A+",IF(P85&lt;'PlayerGrades+'!$AG$3,"S-",IF(P85&lt;'PlayerGrades+'!$AG$2,"S","S+"))))))))))))))))))))</f>
        <v>#DIV/0!</v>
      </c>
      <c r="R85" s="961" t="str">
        <f t="shared" si="8"/>
        <v>#DIV/0!</v>
      </c>
      <c r="S85" s="961" t="str">
        <f>IF(R85&lt;'PlayerGrades+'!$AH$21,"F-",IF(R85&lt;'PlayerGrades+'!$AH$20,"F",IF(R85&lt;'PlayerGrades+'!$AH$19,"F+",IF(R85&lt;'PlayerGrades+'!$AH$18,"E-",IF(R85&lt;'PlayerGrades+'!$AH$17,"E",IF(R85&lt;'PlayerGrades+'!$AH$16,"E+",IF(R85&lt;'PlayerGrades+'!$AH$15,"D-",IF(R85&lt;'PlayerGrades+'!$AH$14,"D",IF(R85&lt;'PlayerGrades+'!$AH$13,"D+",IF(R85&lt;'PlayerGrades+'!$AH$12,"C-",IF(R85&lt;'PlayerGrades+'!$AH$11,"C",IF(R85&lt;'PlayerGrades+'!$AH$10,"C+",IF(R85&lt;'PlayerGrades+'!$AH$9,"B-",IF(R85&lt;'PlayerGrades+'!$AH$8,"B",IF(R85&lt;'PlayerGrades+'!$AH$7,"B+",IF(R85&lt;'PlayerGrades+'!$AH$6,"A-",IF(R85&lt;'PlayerGrades+'!$AH$5,"A",IF(R85&lt;'PlayerGrades+'!$AH$4,"A+",IF(R85&lt;'PlayerGrades+'!$AH$3,"S-",IF(R85&lt;'PlayerGrades+'!$AH$2,"S","S+"))))))))))))))))))))</f>
        <v>#DIV/0!</v>
      </c>
      <c r="T85" s="961">
        <f t="shared" si="9"/>
        <v>0</v>
      </c>
      <c r="U85" s="961" t="str">
        <f>IF(T85&lt;'PlayerGrades+'!$AI$21,"F-",IF(T85&lt;'PlayerGrades+'!$AI$20,"F",IF(T85&lt;'PlayerGrades+'!$AI$19,"F+",IF(T85&lt;'PlayerGrades+'!$AI$18,"E-",IF(T85&lt;'PlayerGrades+'!$AI$17,"E",IF(T85&lt;'PlayerGrades+'!$AI$16,"E+",IF(T85&lt;'PlayerGrades+'!$AI$15,"D-",IF(T85&lt;'PlayerGrades+'!$AI$14,"D",IF(T85&lt;'PlayerGrades+'!$AI$13,"D+",IF(T85&lt;'PlayerGrades+'!$AI$12,"C-",IF(T85&lt;'PlayerGrades+'!$AI$11,"C",IF(T85&lt;'PlayerGrades+'!$AI$10,"C+",IF(T85&lt;'PlayerGrades+'!$AI$9,"B-",IF(T85&lt;'PlayerGrades+'!$AI$8,"B",IF(T85&lt;'PlayerGrades+'!$AI$7,"B+",IF(T85&lt;'PlayerGrades+'!$AI$6,"A-",IF(T85&lt;'PlayerGrades+'!$AI$5,"A",IF(T85&lt;'PlayerGrades+'!$AI$4,"A+",IF(T85&lt;'PlayerGrades+'!$AI$3,"S-",IF(T85&lt;'PlayerGrades+'!$AI$2,"S","S+"))))))))))))))))))))</f>
        <v>F-</v>
      </c>
      <c r="AC85" s="1392"/>
    </row>
    <row r="86">
      <c r="A86" s="1391"/>
      <c r="B86" s="611" t="str">
        <f>IF(C86&lt;'PlayerGrades+'!$Y$44,"F-",IF(C86&lt;'PlayerGrades+'!$Y$43,"F",IF(C86&lt;'PlayerGrades+'!$Y$42,"F+",IF(C86&lt;'PlayerGrades+'!$Y$41,"E-",IF(C86&lt;'PlayerGrades+'!$Y$40,"E",IF(C86&lt;'PlayerGrades+'!$Y$39,"E+",IF(C86&lt;'PlayerGrades+'!$Y$38,"D-",IF(C86&lt;'PlayerGrades+'!$Y$37,"D",IF(C86&lt;'PlayerGrades+'!$Y$36,"D+",IF(C86&lt;'PlayerGrades+'!$Y$35,"C-",IF(C86&lt;'PlayerGrades+'!$Y$34,"C",IF(C86&lt;'PlayerGrades+'!$Y$33,"C+",IF(C86&lt;'PlayerGrades+'!$Y$32,"B-",IF(C86&lt;'PlayerGrades+'!$Y$31,"B",IF(C86&lt;'PlayerGrades+'!$Y$30,"B+",IF(C86&lt;'PlayerGrades+'!$Y$29,"A-",IF(C86&lt;'PlayerGrades+'!$Y$28,"A",IF(C86&lt;'PlayerGrades+'!$Y$27,"A+",IF(C86&lt;'PlayerGrades+'!$Y$26,"S-",IF(C86&lt;'PlayerGrades+'!$Y$25,"S","S+"))))))))))))))))))))</f>
        <v>#DIV/0!</v>
      </c>
      <c r="C86" s="1378" t="str">
        <f>('PlayerGrades+'!$Y$47*(VLOOKUP(E86, 'PlayerGrades+'!$X$3:$Y$23, 2, FALSE)))+('PlayerGrades+'!$Y$48*(VLOOKUP(G86, 'PlayerGrades+'!$X$3:$Y$23, 2, FALSE)))+('PlayerGrades+'!$Y$49*(VLOOKUP(I86, 'PlayerGrades+'!$X$3:$Y$23, 2, FALSE)))+('PlayerGrades+'!$Y$50*(VLOOKUP(K86, 'PlayerGrades+'!$X$3:$Y$23, 2, FALSE)))+('PlayerGrades+'!$Y$51*(VLOOKUP(M86, 'PlayerGrades+'!$X$3:$Y$23, 2, FALSE)))+('PlayerGrades+'!$Y$52*(VLOOKUP(O86, 'PlayerGrades+'!$X$3:$Y$23, 2, FALSE)))+('PlayerGrades+'!$Y$53*(VLOOKUP(Q86, 'PlayerGrades+'!$X$3:$Y$23, 2, FALSE)))+('PlayerGrades+'!$Y$54*(VLOOKUP(S86, 'PlayerGrades+'!$X$3:$Y$23, 2, FALSE)))+('PlayerGrades+'!$Y$55*(VLOOKUP(U86, 'PlayerGrades+'!$X$3:$Y$23, 2, FALSE)))</f>
        <v>#DIV/0!</v>
      </c>
      <c r="D86" s="961" t="str">
        <f t="shared" si="1"/>
        <v>#DIV/0!</v>
      </c>
      <c r="E86" s="961" t="str">
        <f>IF(D86&lt;'PlayerGrades+'!$AA$21,"F-",IF(D86&lt;'PlayerGrades+'!$AA$20,"F",IF(D86&lt;'PlayerGrades+'!$AA$19,"F+",IF(D86&lt;'PlayerGrades+'!$AA$18,"E-",IF(D86&lt;'PlayerGrades+'!$AA$17,"E",IF(D86&lt;'PlayerGrades+'!$AA$16,"E+",IF(D86&lt;'PlayerGrades+'!$AA$15,"D-",IF(D86&lt;'PlayerGrades+'!$AA$14,"D",IF(D86&lt;'PlayerGrades+'!$AA$13,"D+",IF(D86&lt;'PlayerGrades+'!$AA$12,"C-",IF(D86&lt;'PlayerGrades+'!$AA$11,"C",IF(D86&lt;'PlayerGrades+'!$AA$10,"C+",IF(D86&lt;'PlayerGrades+'!$AA$9,"B-",IF(D86&lt;'PlayerGrades+'!$AA$8,"B",IF(D86&lt;'PlayerGrades+'!$AA$7,"B+",IF(D86&lt;'PlayerGrades+'!$AA$6,"A-",IF(D86&lt;'PlayerGrades+'!$AA$5,"A",IF(D86&lt;'PlayerGrades+'!$AA$4,"A+",IF(D86&lt;'PlayerGrades+'!$AA$3,"S-",IF(D86&lt;'PlayerGrades+'!$AA$2,"S","S+"))))))))))))))))))))</f>
        <v>#DIV/0!</v>
      </c>
      <c r="F86" s="961" t="str">
        <f t="shared" si="2"/>
        <v>#DIV/0!</v>
      </c>
      <c r="G86" s="961" t="str">
        <f>IF(F86&lt;'PlayerGrades+'!$AB$21,"F-",IF(F86&lt;'PlayerGrades+'!$AB$20,"F",IF(F86&lt;'PlayerGrades+'!$AB$19,"F+",IF(F86&lt;'PlayerGrades+'!$AB$18,"E-",IF(F86&lt;'PlayerGrades+'!$AB$17,"E",IF(F86&lt;'PlayerGrades+'!$AB$16,"E+",IF(F86&lt;'PlayerGrades+'!$AB$15,"D-",IF(F86&lt;'PlayerGrades+'!$AB$14,"D",IF(F86&lt;'PlayerGrades+'!$AB$13,"D+",IF(F86&lt;'PlayerGrades+'!$AB$12,"C-",IF(F86&lt;'PlayerGrades+'!$AB$11,"C",IF(F86&lt;'PlayerGrades+'!$AB$10,"C+",IF(F86&lt;'PlayerGrades+'!$AB$9,"B-",IF(F86&lt;'PlayerGrades+'!$AB$8,"B",IF(F86&lt;'PlayerGrades+'!$AB$7,"B+",IF(F86&lt;'PlayerGrades+'!$AB$6,"A-",IF(F86&lt;'PlayerGrades+'!$AB$5,"A",IF(F86&lt;'PlayerGrades+'!$AB$4,"A+",IF(F86&lt;'PlayerGrades+'!$AB$3,"S-",IF(F86&lt;'PlayerGrades+'!$AB$2,"S","S+"))))))))))))))))))))</f>
        <v>#DIV/0!</v>
      </c>
      <c r="H86" s="961" t="str">
        <f t="shared" si="3"/>
        <v>#DIV/0!</v>
      </c>
      <c r="I86" s="961" t="str">
        <f>IF(H86&lt;'PlayerGrades+'!$AC$21,"F-",IF(H86&lt;'PlayerGrades+'!$AC$20,"F",IF(H86&lt;'PlayerGrades+'!$AC$19,"F+",IF(H86&lt;'PlayerGrades+'!$AC$18,"E-",IF(H86&lt;'PlayerGrades+'!$AC$17,"E",IF(H86&lt;'PlayerGrades+'!$AC$16,"E+",IF(H86&lt;'PlayerGrades+'!$AC$15,"D-",IF(H86&lt;'PlayerGrades+'!$AC$14,"D",IF(H86&lt;'PlayerGrades+'!$AC$13,"D+",IF(H86&lt;'PlayerGrades+'!$AC$12,"C-",IF(H86&lt;'PlayerGrades+'!$AC$11,"C",IF(H86&lt;'PlayerGrades+'!$AC$10,"C+",IF(H86&lt;'PlayerGrades+'!$AC$9,"B-",IF(H86&lt;'PlayerGrades+'!$AC$8,"B",IF(H86&lt;'PlayerGrades+'!$AC$7,"B+",IF(H86&lt;'PlayerGrades+'!$AC$6,"A-",IF(H86&lt;'PlayerGrades+'!$AC$5,"A",IF(H86&lt;'PlayerGrades+'!$AC$4,"A+",IF(H86&lt;'PlayerGrades+'!$AC$3,"S-",IF(H86&lt;'PlayerGrades+'!$AC$2,"S","S+"))))))))))))))))))))</f>
        <v>#DIV/0!</v>
      </c>
      <c r="J86" s="961" t="str">
        <f t="shared" si="4"/>
        <v>#DIV/0!</v>
      </c>
      <c r="K86" s="961" t="str">
        <f>IF(J86&lt;'PlayerGrades+'!$AD$21,"F-",IF(J86&lt;'PlayerGrades+'!$AD$20,"F",IF(J86&lt;'PlayerGrades+'!$AD$19,"F+",IF(J86&lt;'PlayerGrades+'!$AD$18,"E-",IF(J86&lt;'PlayerGrades+'!$AD$17,"E",IF(J86&lt;'PlayerGrades+'!$AD$16,"E+",IF(J86&lt;'PlayerGrades+'!$AD$15,"D-",IF(J86&lt;'PlayerGrades+'!$AD$14,"D",IF(J86&lt;'PlayerGrades+'!$AD$13,"D+",IF(J86&lt;'PlayerGrades+'!$AD$12,"C-",IF(J86&lt;'PlayerGrades+'!$AD$11,"C",IF(J86&lt;'PlayerGrades+'!$AD$10,"C+",IF(J86&lt;'PlayerGrades+'!$AD$9,"B-",IF(J86&lt;'PlayerGrades+'!$AD$8,"B",IF(J86&lt;'PlayerGrades+'!$AD$7,"B+",IF(J86&lt;'PlayerGrades+'!$AD$6,"A-",IF(J86&lt;'PlayerGrades+'!$AD$5,"A",IF(J86&lt;'PlayerGrades+'!$AD$4,"A+",IF(J86&lt;'PlayerGrades+'!$AD$3,"S-",IF(J86&lt;'PlayerGrades+'!$AD$2,"S","S+"))))))))))))))))))))</f>
        <v>#DIV/0!</v>
      </c>
      <c r="L86" s="1176" t="str">
        <f t="shared" si="5"/>
        <v>#DIV/0!</v>
      </c>
      <c r="M86" s="992" t="str">
        <f>IF(L86&lt;'PlayerGrades+'!$AE$21,"F-",IF(L86&lt;'PlayerGrades+'!$AE$20,"F",IF(L86&lt;'PlayerGrades+'!$AE$19,"F+",IF(L86&lt;'PlayerGrades+'!$AE$18,"E-",IF(L86&lt;'PlayerGrades+'!$AE$17,"E",IF(L86&lt;'PlayerGrades+'!$AE$16,"E+",IF(L86&lt;'PlayerGrades+'!$AE$15,"D-",IF(L86&lt;'PlayerGrades+'!$AE$14,"D",IF(L86&lt;'PlayerGrades+'!$AE$13,"D+",IF(L86&lt;'PlayerGrades+'!$AE$12,"C-",IF(L86&lt;'PlayerGrades+'!$AE$11,"C",IF(L86&lt;'PlayerGrades+'!$AE$10,"C+",IF(L86&lt;'PlayerGrades+'!$AE$9,"B-",IF(L86&lt;'PlayerGrades+'!$AE$8,"B",IF(L86&lt;'PlayerGrades+'!$AE$7,"B+",IF(L86&lt;'PlayerGrades+'!$AE$6,"A-",IF(L86&lt;'PlayerGrades+'!$AE$5,"A",IF(L86&lt;'PlayerGrades+'!$AE$4,"A+",IF(L86&lt;'PlayerGrades+'!$AE$3,"S-",IF(L86&lt;'PlayerGrades+'!$AE$2,"S","S+"))))))))))))))))))))</f>
        <v>#DIV/0!</v>
      </c>
      <c r="N86" s="961" t="str">
        <f t="shared" si="6"/>
        <v>#DIV/0!</v>
      </c>
      <c r="O86" s="961" t="str">
        <f>IF(N86&lt;'PlayerGrades+'!$AF$21,"F-",IF(N86&lt;'PlayerGrades+'!$AF$20,"F",IF(N86&lt;'PlayerGrades+'!$AF$19,"F+",IF(N86&lt;'PlayerGrades+'!$AF$18,"E-",IF(N86&lt;'PlayerGrades+'!$AF$17,"E",IF(N86&lt;'PlayerGrades+'!$AF$16,"E+",IF(N86&lt;'PlayerGrades+'!$AF$15,"D-",IF(N86&lt;'PlayerGrades+'!$AF$14,"D",IF(N86&lt;'PlayerGrades+'!$AF$13,"D+",IF(N86&lt;'PlayerGrades+'!$AF$12,"C-",IF(N86&lt;'PlayerGrades+'!$AF$11,"C",IF(N86&lt;'PlayerGrades+'!$AF$10,"C+",IF(N86&lt;'PlayerGrades+'!$AF$9,"B-",IF(N86&lt;'PlayerGrades+'!$AF$8,"B",IF(N86&lt;'PlayerGrades+'!$AF$7,"B+",IF(N86&lt;'PlayerGrades+'!$AF$6,"A-",IF(N86&lt;'PlayerGrades+'!$AF$5,"A",IF(N86&lt;'PlayerGrades+'!$AF$4,"A+",IF(N86&lt;'PlayerGrades+'!$AF$3,"S-",IF(N86&lt;'PlayerGrades+'!$AF$2,"S","S+"))))))))))))))))))))</f>
        <v>#DIV/0!</v>
      </c>
      <c r="P86" s="961" t="str">
        <f t="shared" si="7"/>
        <v>#DIV/0!</v>
      </c>
      <c r="Q86" s="961" t="str">
        <f>IF(P86&lt;'PlayerGrades+'!$AG$21,"F-",IF(P86&lt;'PlayerGrades+'!$AG$20,"F",IF(P86&lt;'PlayerGrades+'!$AG$19,"F+",IF(P86&lt;'PlayerGrades+'!$AG$18,"E-",IF(P86&lt;'PlayerGrades+'!$AG$17,"E",IF(P86&lt;'PlayerGrades+'!$AG$16,"E+",IF(P86&lt;'PlayerGrades+'!$AG$15,"D-",IF(P86&lt;'PlayerGrades+'!$AG$14,"D",IF(P86&lt;'PlayerGrades+'!$AG$13,"D+",IF(P86&lt;'PlayerGrades+'!$AG$12,"C-",IF(P86&lt;'PlayerGrades+'!$AG$11,"C",IF(P86&lt;'PlayerGrades+'!$AG$10,"C+",IF(P86&lt;'PlayerGrades+'!$AG$9,"B-",IF(P86&lt;'PlayerGrades+'!$AG$8,"B",IF(P86&lt;'PlayerGrades+'!$AG$7,"B+",IF(P86&lt;'PlayerGrades+'!$AG$6,"A-",IF(P86&lt;'PlayerGrades+'!$AG$5,"A",IF(P86&lt;'PlayerGrades+'!$AG$4,"A+",IF(P86&lt;'PlayerGrades+'!$AG$3,"S-",IF(P86&lt;'PlayerGrades+'!$AG$2,"S","S+"))))))))))))))))))))</f>
        <v>#DIV/0!</v>
      </c>
      <c r="R86" s="961" t="str">
        <f t="shared" si="8"/>
        <v>#DIV/0!</v>
      </c>
      <c r="S86" s="961" t="str">
        <f>IF(R86&lt;'PlayerGrades+'!$AH$21,"F-",IF(R86&lt;'PlayerGrades+'!$AH$20,"F",IF(R86&lt;'PlayerGrades+'!$AH$19,"F+",IF(R86&lt;'PlayerGrades+'!$AH$18,"E-",IF(R86&lt;'PlayerGrades+'!$AH$17,"E",IF(R86&lt;'PlayerGrades+'!$AH$16,"E+",IF(R86&lt;'PlayerGrades+'!$AH$15,"D-",IF(R86&lt;'PlayerGrades+'!$AH$14,"D",IF(R86&lt;'PlayerGrades+'!$AH$13,"D+",IF(R86&lt;'PlayerGrades+'!$AH$12,"C-",IF(R86&lt;'PlayerGrades+'!$AH$11,"C",IF(R86&lt;'PlayerGrades+'!$AH$10,"C+",IF(R86&lt;'PlayerGrades+'!$AH$9,"B-",IF(R86&lt;'PlayerGrades+'!$AH$8,"B",IF(R86&lt;'PlayerGrades+'!$AH$7,"B+",IF(R86&lt;'PlayerGrades+'!$AH$6,"A-",IF(R86&lt;'PlayerGrades+'!$AH$5,"A",IF(R86&lt;'PlayerGrades+'!$AH$4,"A+",IF(R86&lt;'PlayerGrades+'!$AH$3,"S-",IF(R86&lt;'PlayerGrades+'!$AH$2,"S","S+"))))))))))))))))))))</f>
        <v>#DIV/0!</v>
      </c>
      <c r="T86" s="961">
        <f t="shared" si="9"/>
        <v>0</v>
      </c>
      <c r="U86" s="961" t="str">
        <f>IF(T86&lt;'PlayerGrades+'!$AI$21,"F-",IF(T86&lt;'PlayerGrades+'!$AI$20,"F",IF(T86&lt;'PlayerGrades+'!$AI$19,"F+",IF(T86&lt;'PlayerGrades+'!$AI$18,"E-",IF(T86&lt;'PlayerGrades+'!$AI$17,"E",IF(T86&lt;'PlayerGrades+'!$AI$16,"E+",IF(T86&lt;'PlayerGrades+'!$AI$15,"D-",IF(T86&lt;'PlayerGrades+'!$AI$14,"D",IF(T86&lt;'PlayerGrades+'!$AI$13,"D+",IF(T86&lt;'PlayerGrades+'!$AI$12,"C-",IF(T86&lt;'PlayerGrades+'!$AI$11,"C",IF(T86&lt;'PlayerGrades+'!$AI$10,"C+",IF(T86&lt;'PlayerGrades+'!$AI$9,"B-",IF(T86&lt;'PlayerGrades+'!$AI$8,"B",IF(T86&lt;'PlayerGrades+'!$AI$7,"B+",IF(T86&lt;'PlayerGrades+'!$AI$6,"A-",IF(T86&lt;'PlayerGrades+'!$AI$5,"A",IF(T86&lt;'PlayerGrades+'!$AI$4,"A+",IF(T86&lt;'PlayerGrades+'!$AI$3,"S-",IF(T86&lt;'PlayerGrades+'!$AI$2,"S","S+"))))))))))))))))))))</f>
        <v>F-</v>
      </c>
      <c r="AC86" s="1392"/>
    </row>
    <row r="87">
      <c r="A87" s="1391"/>
      <c r="B87" s="611" t="str">
        <f>IF(C87&lt;'PlayerGrades+'!$Y$44,"F-",IF(C87&lt;'PlayerGrades+'!$Y$43,"F",IF(C87&lt;'PlayerGrades+'!$Y$42,"F+",IF(C87&lt;'PlayerGrades+'!$Y$41,"E-",IF(C87&lt;'PlayerGrades+'!$Y$40,"E",IF(C87&lt;'PlayerGrades+'!$Y$39,"E+",IF(C87&lt;'PlayerGrades+'!$Y$38,"D-",IF(C87&lt;'PlayerGrades+'!$Y$37,"D",IF(C87&lt;'PlayerGrades+'!$Y$36,"D+",IF(C87&lt;'PlayerGrades+'!$Y$35,"C-",IF(C87&lt;'PlayerGrades+'!$Y$34,"C",IF(C87&lt;'PlayerGrades+'!$Y$33,"C+",IF(C87&lt;'PlayerGrades+'!$Y$32,"B-",IF(C87&lt;'PlayerGrades+'!$Y$31,"B",IF(C87&lt;'PlayerGrades+'!$Y$30,"B+",IF(C87&lt;'PlayerGrades+'!$Y$29,"A-",IF(C87&lt;'PlayerGrades+'!$Y$28,"A",IF(C87&lt;'PlayerGrades+'!$Y$27,"A+",IF(C87&lt;'PlayerGrades+'!$Y$26,"S-",IF(C87&lt;'PlayerGrades+'!$Y$25,"S","S+"))))))))))))))))))))</f>
        <v>#DIV/0!</v>
      </c>
      <c r="C87" s="1378" t="str">
        <f>('PlayerGrades+'!$Y$47*(VLOOKUP(E87, 'PlayerGrades+'!$X$3:$Y$23, 2, FALSE)))+('PlayerGrades+'!$Y$48*(VLOOKUP(G87, 'PlayerGrades+'!$X$3:$Y$23, 2, FALSE)))+('PlayerGrades+'!$Y$49*(VLOOKUP(I87, 'PlayerGrades+'!$X$3:$Y$23, 2, FALSE)))+('PlayerGrades+'!$Y$50*(VLOOKUP(K87, 'PlayerGrades+'!$X$3:$Y$23, 2, FALSE)))+('PlayerGrades+'!$Y$51*(VLOOKUP(M87, 'PlayerGrades+'!$X$3:$Y$23, 2, FALSE)))+('PlayerGrades+'!$Y$52*(VLOOKUP(O87, 'PlayerGrades+'!$X$3:$Y$23, 2, FALSE)))+('PlayerGrades+'!$Y$53*(VLOOKUP(Q87, 'PlayerGrades+'!$X$3:$Y$23, 2, FALSE)))+('PlayerGrades+'!$Y$54*(VLOOKUP(S87, 'PlayerGrades+'!$X$3:$Y$23, 2, FALSE)))+('PlayerGrades+'!$Y$55*(VLOOKUP(U87, 'PlayerGrades+'!$X$3:$Y$23, 2, FALSE)))</f>
        <v>#DIV/0!</v>
      </c>
      <c r="D87" s="961" t="str">
        <f t="shared" si="1"/>
        <v>#DIV/0!</v>
      </c>
      <c r="E87" s="961" t="str">
        <f>IF(D87&lt;'PlayerGrades+'!$AA$21,"F-",IF(D87&lt;'PlayerGrades+'!$AA$20,"F",IF(D87&lt;'PlayerGrades+'!$AA$19,"F+",IF(D87&lt;'PlayerGrades+'!$AA$18,"E-",IF(D87&lt;'PlayerGrades+'!$AA$17,"E",IF(D87&lt;'PlayerGrades+'!$AA$16,"E+",IF(D87&lt;'PlayerGrades+'!$AA$15,"D-",IF(D87&lt;'PlayerGrades+'!$AA$14,"D",IF(D87&lt;'PlayerGrades+'!$AA$13,"D+",IF(D87&lt;'PlayerGrades+'!$AA$12,"C-",IF(D87&lt;'PlayerGrades+'!$AA$11,"C",IF(D87&lt;'PlayerGrades+'!$AA$10,"C+",IF(D87&lt;'PlayerGrades+'!$AA$9,"B-",IF(D87&lt;'PlayerGrades+'!$AA$8,"B",IF(D87&lt;'PlayerGrades+'!$AA$7,"B+",IF(D87&lt;'PlayerGrades+'!$AA$6,"A-",IF(D87&lt;'PlayerGrades+'!$AA$5,"A",IF(D87&lt;'PlayerGrades+'!$AA$4,"A+",IF(D87&lt;'PlayerGrades+'!$AA$3,"S-",IF(D87&lt;'PlayerGrades+'!$AA$2,"S","S+"))))))))))))))))))))</f>
        <v>#DIV/0!</v>
      </c>
      <c r="F87" s="961" t="str">
        <f t="shared" si="2"/>
        <v>#DIV/0!</v>
      </c>
      <c r="G87" s="961" t="str">
        <f>IF(F87&lt;'PlayerGrades+'!$AB$21,"F-",IF(F87&lt;'PlayerGrades+'!$AB$20,"F",IF(F87&lt;'PlayerGrades+'!$AB$19,"F+",IF(F87&lt;'PlayerGrades+'!$AB$18,"E-",IF(F87&lt;'PlayerGrades+'!$AB$17,"E",IF(F87&lt;'PlayerGrades+'!$AB$16,"E+",IF(F87&lt;'PlayerGrades+'!$AB$15,"D-",IF(F87&lt;'PlayerGrades+'!$AB$14,"D",IF(F87&lt;'PlayerGrades+'!$AB$13,"D+",IF(F87&lt;'PlayerGrades+'!$AB$12,"C-",IF(F87&lt;'PlayerGrades+'!$AB$11,"C",IF(F87&lt;'PlayerGrades+'!$AB$10,"C+",IF(F87&lt;'PlayerGrades+'!$AB$9,"B-",IF(F87&lt;'PlayerGrades+'!$AB$8,"B",IF(F87&lt;'PlayerGrades+'!$AB$7,"B+",IF(F87&lt;'PlayerGrades+'!$AB$6,"A-",IF(F87&lt;'PlayerGrades+'!$AB$5,"A",IF(F87&lt;'PlayerGrades+'!$AB$4,"A+",IF(F87&lt;'PlayerGrades+'!$AB$3,"S-",IF(F87&lt;'PlayerGrades+'!$AB$2,"S","S+"))))))))))))))))))))</f>
        <v>#DIV/0!</v>
      </c>
      <c r="H87" s="961" t="str">
        <f t="shared" si="3"/>
        <v>#DIV/0!</v>
      </c>
      <c r="I87" s="961" t="str">
        <f>IF(H87&lt;'PlayerGrades+'!$AC$21,"F-",IF(H87&lt;'PlayerGrades+'!$AC$20,"F",IF(H87&lt;'PlayerGrades+'!$AC$19,"F+",IF(H87&lt;'PlayerGrades+'!$AC$18,"E-",IF(H87&lt;'PlayerGrades+'!$AC$17,"E",IF(H87&lt;'PlayerGrades+'!$AC$16,"E+",IF(H87&lt;'PlayerGrades+'!$AC$15,"D-",IF(H87&lt;'PlayerGrades+'!$AC$14,"D",IF(H87&lt;'PlayerGrades+'!$AC$13,"D+",IF(H87&lt;'PlayerGrades+'!$AC$12,"C-",IF(H87&lt;'PlayerGrades+'!$AC$11,"C",IF(H87&lt;'PlayerGrades+'!$AC$10,"C+",IF(H87&lt;'PlayerGrades+'!$AC$9,"B-",IF(H87&lt;'PlayerGrades+'!$AC$8,"B",IF(H87&lt;'PlayerGrades+'!$AC$7,"B+",IF(H87&lt;'PlayerGrades+'!$AC$6,"A-",IF(H87&lt;'PlayerGrades+'!$AC$5,"A",IF(H87&lt;'PlayerGrades+'!$AC$4,"A+",IF(H87&lt;'PlayerGrades+'!$AC$3,"S-",IF(H87&lt;'PlayerGrades+'!$AC$2,"S","S+"))))))))))))))))))))</f>
        <v>#DIV/0!</v>
      </c>
      <c r="J87" s="961" t="str">
        <f t="shared" si="4"/>
        <v>#DIV/0!</v>
      </c>
      <c r="K87" s="961" t="str">
        <f>IF(J87&lt;'PlayerGrades+'!$AD$21,"F-",IF(J87&lt;'PlayerGrades+'!$AD$20,"F",IF(J87&lt;'PlayerGrades+'!$AD$19,"F+",IF(J87&lt;'PlayerGrades+'!$AD$18,"E-",IF(J87&lt;'PlayerGrades+'!$AD$17,"E",IF(J87&lt;'PlayerGrades+'!$AD$16,"E+",IF(J87&lt;'PlayerGrades+'!$AD$15,"D-",IF(J87&lt;'PlayerGrades+'!$AD$14,"D",IF(J87&lt;'PlayerGrades+'!$AD$13,"D+",IF(J87&lt;'PlayerGrades+'!$AD$12,"C-",IF(J87&lt;'PlayerGrades+'!$AD$11,"C",IF(J87&lt;'PlayerGrades+'!$AD$10,"C+",IF(J87&lt;'PlayerGrades+'!$AD$9,"B-",IF(J87&lt;'PlayerGrades+'!$AD$8,"B",IF(J87&lt;'PlayerGrades+'!$AD$7,"B+",IF(J87&lt;'PlayerGrades+'!$AD$6,"A-",IF(J87&lt;'PlayerGrades+'!$AD$5,"A",IF(J87&lt;'PlayerGrades+'!$AD$4,"A+",IF(J87&lt;'PlayerGrades+'!$AD$3,"S-",IF(J87&lt;'PlayerGrades+'!$AD$2,"S","S+"))))))))))))))))))))</f>
        <v>#DIV/0!</v>
      </c>
      <c r="L87" s="1176" t="str">
        <f t="shared" si="5"/>
        <v>#DIV/0!</v>
      </c>
      <c r="M87" s="992" t="str">
        <f>IF(L87&lt;'PlayerGrades+'!$AE$21,"F-",IF(L87&lt;'PlayerGrades+'!$AE$20,"F",IF(L87&lt;'PlayerGrades+'!$AE$19,"F+",IF(L87&lt;'PlayerGrades+'!$AE$18,"E-",IF(L87&lt;'PlayerGrades+'!$AE$17,"E",IF(L87&lt;'PlayerGrades+'!$AE$16,"E+",IF(L87&lt;'PlayerGrades+'!$AE$15,"D-",IF(L87&lt;'PlayerGrades+'!$AE$14,"D",IF(L87&lt;'PlayerGrades+'!$AE$13,"D+",IF(L87&lt;'PlayerGrades+'!$AE$12,"C-",IF(L87&lt;'PlayerGrades+'!$AE$11,"C",IF(L87&lt;'PlayerGrades+'!$AE$10,"C+",IF(L87&lt;'PlayerGrades+'!$AE$9,"B-",IF(L87&lt;'PlayerGrades+'!$AE$8,"B",IF(L87&lt;'PlayerGrades+'!$AE$7,"B+",IF(L87&lt;'PlayerGrades+'!$AE$6,"A-",IF(L87&lt;'PlayerGrades+'!$AE$5,"A",IF(L87&lt;'PlayerGrades+'!$AE$4,"A+",IF(L87&lt;'PlayerGrades+'!$AE$3,"S-",IF(L87&lt;'PlayerGrades+'!$AE$2,"S","S+"))))))))))))))))))))</f>
        <v>#DIV/0!</v>
      </c>
      <c r="N87" s="961" t="str">
        <f t="shared" si="6"/>
        <v>#DIV/0!</v>
      </c>
      <c r="O87" s="961" t="str">
        <f>IF(N87&lt;'PlayerGrades+'!$AF$21,"F-",IF(N87&lt;'PlayerGrades+'!$AF$20,"F",IF(N87&lt;'PlayerGrades+'!$AF$19,"F+",IF(N87&lt;'PlayerGrades+'!$AF$18,"E-",IF(N87&lt;'PlayerGrades+'!$AF$17,"E",IF(N87&lt;'PlayerGrades+'!$AF$16,"E+",IF(N87&lt;'PlayerGrades+'!$AF$15,"D-",IF(N87&lt;'PlayerGrades+'!$AF$14,"D",IF(N87&lt;'PlayerGrades+'!$AF$13,"D+",IF(N87&lt;'PlayerGrades+'!$AF$12,"C-",IF(N87&lt;'PlayerGrades+'!$AF$11,"C",IF(N87&lt;'PlayerGrades+'!$AF$10,"C+",IF(N87&lt;'PlayerGrades+'!$AF$9,"B-",IF(N87&lt;'PlayerGrades+'!$AF$8,"B",IF(N87&lt;'PlayerGrades+'!$AF$7,"B+",IF(N87&lt;'PlayerGrades+'!$AF$6,"A-",IF(N87&lt;'PlayerGrades+'!$AF$5,"A",IF(N87&lt;'PlayerGrades+'!$AF$4,"A+",IF(N87&lt;'PlayerGrades+'!$AF$3,"S-",IF(N87&lt;'PlayerGrades+'!$AF$2,"S","S+"))))))))))))))))))))</f>
        <v>#DIV/0!</v>
      </c>
      <c r="P87" s="961" t="str">
        <f t="shared" si="7"/>
        <v>#DIV/0!</v>
      </c>
      <c r="Q87" s="961" t="str">
        <f>IF(P87&lt;'PlayerGrades+'!$AG$21,"F-",IF(P87&lt;'PlayerGrades+'!$AG$20,"F",IF(P87&lt;'PlayerGrades+'!$AG$19,"F+",IF(P87&lt;'PlayerGrades+'!$AG$18,"E-",IF(P87&lt;'PlayerGrades+'!$AG$17,"E",IF(P87&lt;'PlayerGrades+'!$AG$16,"E+",IF(P87&lt;'PlayerGrades+'!$AG$15,"D-",IF(P87&lt;'PlayerGrades+'!$AG$14,"D",IF(P87&lt;'PlayerGrades+'!$AG$13,"D+",IF(P87&lt;'PlayerGrades+'!$AG$12,"C-",IF(P87&lt;'PlayerGrades+'!$AG$11,"C",IF(P87&lt;'PlayerGrades+'!$AG$10,"C+",IF(P87&lt;'PlayerGrades+'!$AG$9,"B-",IF(P87&lt;'PlayerGrades+'!$AG$8,"B",IF(P87&lt;'PlayerGrades+'!$AG$7,"B+",IF(P87&lt;'PlayerGrades+'!$AG$6,"A-",IF(P87&lt;'PlayerGrades+'!$AG$5,"A",IF(P87&lt;'PlayerGrades+'!$AG$4,"A+",IF(P87&lt;'PlayerGrades+'!$AG$3,"S-",IF(P87&lt;'PlayerGrades+'!$AG$2,"S","S+"))))))))))))))))))))</f>
        <v>#DIV/0!</v>
      </c>
      <c r="R87" s="961" t="str">
        <f t="shared" si="8"/>
        <v>#DIV/0!</v>
      </c>
      <c r="S87" s="961" t="str">
        <f>IF(R87&lt;'PlayerGrades+'!$AH$21,"F-",IF(R87&lt;'PlayerGrades+'!$AH$20,"F",IF(R87&lt;'PlayerGrades+'!$AH$19,"F+",IF(R87&lt;'PlayerGrades+'!$AH$18,"E-",IF(R87&lt;'PlayerGrades+'!$AH$17,"E",IF(R87&lt;'PlayerGrades+'!$AH$16,"E+",IF(R87&lt;'PlayerGrades+'!$AH$15,"D-",IF(R87&lt;'PlayerGrades+'!$AH$14,"D",IF(R87&lt;'PlayerGrades+'!$AH$13,"D+",IF(R87&lt;'PlayerGrades+'!$AH$12,"C-",IF(R87&lt;'PlayerGrades+'!$AH$11,"C",IF(R87&lt;'PlayerGrades+'!$AH$10,"C+",IF(R87&lt;'PlayerGrades+'!$AH$9,"B-",IF(R87&lt;'PlayerGrades+'!$AH$8,"B",IF(R87&lt;'PlayerGrades+'!$AH$7,"B+",IF(R87&lt;'PlayerGrades+'!$AH$6,"A-",IF(R87&lt;'PlayerGrades+'!$AH$5,"A",IF(R87&lt;'PlayerGrades+'!$AH$4,"A+",IF(R87&lt;'PlayerGrades+'!$AH$3,"S-",IF(R87&lt;'PlayerGrades+'!$AH$2,"S","S+"))))))))))))))))))))</f>
        <v>#DIV/0!</v>
      </c>
      <c r="T87" s="961">
        <f t="shared" si="9"/>
        <v>0</v>
      </c>
      <c r="U87" s="961" t="str">
        <f>IF(T87&lt;'PlayerGrades+'!$AI$21,"F-",IF(T87&lt;'PlayerGrades+'!$AI$20,"F",IF(T87&lt;'PlayerGrades+'!$AI$19,"F+",IF(T87&lt;'PlayerGrades+'!$AI$18,"E-",IF(T87&lt;'PlayerGrades+'!$AI$17,"E",IF(T87&lt;'PlayerGrades+'!$AI$16,"E+",IF(T87&lt;'PlayerGrades+'!$AI$15,"D-",IF(T87&lt;'PlayerGrades+'!$AI$14,"D",IF(T87&lt;'PlayerGrades+'!$AI$13,"D+",IF(T87&lt;'PlayerGrades+'!$AI$12,"C-",IF(T87&lt;'PlayerGrades+'!$AI$11,"C",IF(T87&lt;'PlayerGrades+'!$AI$10,"C+",IF(T87&lt;'PlayerGrades+'!$AI$9,"B-",IF(T87&lt;'PlayerGrades+'!$AI$8,"B",IF(T87&lt;'PlayerGrades+'!$AI$7,"B+",IF(T87&lt;'PlayerGrades+'!$AI$6,"A-",IF(T87&lt;'PlayerGrades+'!$AI$5,"A",IF(T87&lt;'PlayerGrades+'!$AI$4,"A+",IF(T87&lt;'PlayerGrades+'!$AI$3,"S-",IF(T87&lt;'PlayerGrades+'!$AI$2,"S","S+"))))))))))))))))))))</f>
        <v>F-</v>
      </c>
      <c r="AC87" s="1392"/>
    </row>
    <row r="88">
      <c r="A88" s="1391"/>
      <c r="B88" s="611" t="str">
        <f>IF(C88&lt;'PlayerGrades+'!$Y$44,"F-",IF(C88&lt;'PlayerGrades+'!$Y$43,"F",IF(C88&lt;'PlayerGrades+'!$Y$42,"F+",IF(C88&lt;'PlayerGrades+'!$Y$41,"E-",IF(C88&lt;'PlayerGrades+'!$Y$40,"E",IF(C88&lt;'PlayerGrades+'!$Y$39,"E+",IF(C88&lt;'PlayerGrades+'!$Y$38,"D-",IF(C88&lt;'PlayerGrades+'!$Y$37,"D",IF(C88&lt;'PlayerGrades+'!$Y$36,"D+",IF(C88&lt;'PlayerGrades+'!$Y$35,"C-",IF(C88&lt;'PlayerGrades+'!$Y$34,"C",IF(C88&lt;'PlayerGrades+'!$Y$33,"C+",IF(C88&lt;'PlayerGrades+'!$Y$32,"B-",IF(C88&lt;'PlayerGrades+'!$Y$31,"B",IF(C88&lt;'PlayerGrades+'!$Y$30,"B+",IF(C88&lt;'PlayerGrades+'!$Y$29,"A-",IF(C88&lt;'PlayerGrades+'!$Y$28,"A",IF(C88&lt;'PlayerGrades+'!$Y$27,"A+",IF(C88&lt;'PlayerGrades+'!$Y$26,"S-",IF(C88&lt;'PlayerGrades+'!$Y$25,"S","S+"))))))))))))))))))))</f>
        <v>#DIV/0!</v>
      </c>
      <c r="C88" s="1378" t="str">
        <f>('PlayerGrades+'!$Y$47*(VLOOKUP(E88, 'PlayerGrades+'!$X$3:$Y$23, 2, FALSE)))+('PlayerGrades+'!$Y$48*(VLOOKUP(G88, 'PlayerGrades+'!$X$3:$Y$23, 2, FALSE)))+('PlayerGrades+'!$Y$49*(VLOOKUP(I88, 'PlayerGrades+'!$X$3:$Y$23, 2, FALSE)))+('PlayerGrades+'!$Y$50*(VLOOKUP(K88, 'PlayerGrades+'!$X$3:$Y$23, 2, FALSE)))+('PlayerGrades+'!$Y$51*(VLOOKUP(M88, 'PlayerGrades+'!$X$3:$Y$23, 2, FALSE)))+('PlayerGrades+'!$Y$52*(VLOOKUP(O88, 'PlayerGrades+'!$X$3:$Y$23, 2, FALSE)))+('PlayerGrades+'!$Y$53*(VLOOKUP(Q88, 'PlayerGrades+'!$X$3:$Y$23, 2, FALSE)))+('PlayerGrades+'!$Y$54*(VLOOKUP(S88, 'PlayerGrades+'!$X$3:$Y$23, 2, FALSE)))+('PlayerGrades+'!$Y$55*(VLOOKUP(U88, 'PlayerGrades+'!$X$3:$Y$23, 2, FALSE)))</f>
        <v>#DIV/0!</v>
      </c>
      <c r="D88" s="961" t="str">
        <f t="shared" si="1"/>
        <v>#DIV/0!</v>
      </c>
      <c r="E88" s="961" t="str">
        <f>IF(D88&lt;'PlayerGrades+'!$AA$21,"F-",IF(D88&lt;'PlayerGrades+'!$AA$20,"F",IF(D88&lt;'PlayerGrades+'!$AA$19,"F+",IF(D88&lt;'PlayerGrades+'!$AA$18,"E-",IF(D88&lt;'PlayerGrades+'!$AA$17,"E",IF(D88&lt;'PlayerGrades+'!$AA$16,"E+",IF(D88&lt;'PlayerGrades+'!$AA$15,"D-",IF(D88&lt;'PlayerGrades+'!$AA$14,"D",IF(D88&lt;'PlayerGrades+'!$AA$13,"D+",IF(D88&lt;'PlayerGrades+'!$AA$12,"C-",IF(D88&lt;'PlayerGrades+'!$AA$11,"C",IF(D88&lt;'PlayerGrades+'!$AA$10,"C+",IF(D88&lt;'PlayerGrades+'!$AA$9,"B-",IF(D88&lt;'PlayerGrades+'!$AA$8,"B",IF(D88&lt;'PlayerGrades+'!$AA$7,"B+",IF(D88&lt;'PlayerGrades+'!$AA$6,"A-",IF(D88&lt;'PlayerGrades+'!$AA$5,"A",IF(D88&lt;'PlayerGrades+'!$AA$4,"A+",IF(D88&lt;'PlayerGrades+'!$AA$3,"S-",IF(D88&lt;'PlayerGrades+'!$AA$2,"S","S+"))))))))))))))))))))</f>
        <v>#DIV/0!</v>
      </c>
      <c r="F88" s="961" t="str">
        <f t="shared" si="2"/>
        <v>#DIV/0!</v>
      </c>
      <c r="G88" s="961" t="str">
        <f>IF(F88&lt;'PlayerGrades+'!$AB$21,"F-",IF(F88&lt;'PlayerGrades+'!$AB$20,"F",IF(F88&lt;'PlayerGrades+'!$AB$19,"F+",IF(F88&lt;'PlayerGrades+'!$AB$18,"E-",IF(F88&lt;'PlayerGrades+'!$AB$17,"E",IF(F88&lt;'PlayerGrades+'!$AB$16,"E+",IF(F88&lt;'PlayerGrades+'!$AB$15,"D-",IF(F88&lt;'PlayerGrades+'!$AB$14,"D",IF(F88&lt;'PlayerGrades+'!$AB$13,"D+",IF(F88&lt;'PlayerGrades+'!$AB$12,"C-",IF(F88&lt;'PlayerGrades+'!$AB$11,"C",IF(F88&lt;'PlayerGrades+'!$AB$10,"C+",IF(F88&lt;'PlayerGrades+'!$AB$9,"B-",IF(F88&lt;'PlayerGrades+'!$AB$8,"B",IF(F88&lt;'PlayerGrades+'!$AB$7,"B+",IF(F88&lt;'PlayerGrades+'!$AB$6,"A-",IF(F88&lt;'PlayerGrades+'!$AB$5,"A",IF(F88&lt;'PlayerGrades+'!$AB$4,"A+",IF(F88&lt;'PlayerGrades+'!$AB$3,"S-",IF(F88&lt;'PlayerGrades+'!$AB$2,"S","S+"))))))))))))))))))))</f>
        <v>#DIV/0!</v>
      </c>
      <c r="H88" s="961" t="str">
        <f t="shared" si="3"/>
        <v>#DIV/0!</v>
      </c>
      <c r="I88" s="961" t="str">
        <f>IF(H88&lt;'PlayerGrades+'!$AC$21,"F-",IF(H88&lt;'PlayerGrades+'!$AC$20,"F",IF(H88&lt;'PlayerGrades+'!$AC$19,"F+",IF(H88&lt;'PlayerGrades+'!$AC$18,"E-",IF(H88&lt;'PlayerGrades+'!$AC$17,"E",IF(H88&lt;'PlayerGrades+'!$AC$16,"E+",IF(H88&lt;'PlayerGrades+'!$AC$15,"D-",IF(H88&lt;'PlayerGrades+'!$AC$14,"D",IF(H88&lt;'PlayerGrades+'!$AC$13,"D+",IF(H88&lt;'PlayerGrades+'!$AC$12,"C-",IF(H88&lt;'PlayerGrades+'!$AC$11,"C",IF(H88&lt;'PlayerGrades+'!$AC$10,"C+",IF(H88&lt;'PlayerGrades+'!$AC$9,"B-",IF(H88&lt;'PlayerGrades+'!$AC$8,"B",IF(H88&lt;'PlayerGrades+'!$AC$7,"B+",IF(H88&lt;'PlayerGrades+'!$AC$6,"A-",IF(H88&lt;'PlayerGrades+'!$AC$5,"A",IF(H88&lt;'PlayerGrades+'!$AC$4,"A+",IF(H88&lt;'PlayerGrades+'!$AC$3,"S-",IF(H88&lt;'PlayerGrades+'!$AC$2,"S","S+"))))))))))))))))))))</f>
        <v>#DIV/0!</v>
      </c>
      <c r="J88" s="961" t="str">
        <f t="shared" si="4"/>
        <v>#DIV/0!</v>
      </c>
      <c r="K88" s="961" t="str">
        <f>IF(J88&lt;'PlayerGrades+'!$AD$21,"F-",IF(J88&lt;'PlayerGrades+'!$AD$20,"F",IF(J88&lt;'PlayerGrades+'!$AD$19,"F+",IF(J88&lt;'PlayerGrades+'!$AD$18,"E-",IF(J88&lt;'PlayerGrades+'!$AD$17,"E",IF(J88&lt;'PlayerGrades+'!$AD$16,"E+",IF(J88&lt;'PlayerGrades+'!$AD$15,"D-",IF(J88&lt;'PlayerGrades+'!$AD$14,"D",IF(J88&lt;'PlayerGrades+'!$AD$13,"D+",IF(J88&lt;'PlayerGrades+'!$AD$12,"C-",IF(J88&lt;'PlayerGrades+'!$AD$11,"C",IF(J88&lt;'PlayerGrades+'!$AD$10,"C+",IF(J88&lt;'PlayerGrades+'!$AD$9,"B-",IF(J88&lt;'PlayerGrades+'!$AD$8,"B",IF(J88&lt;'PlayerGrades+'!$AD$7,"B+",IF(J88&lt;'PlayerGrades+'!$AD$6,"A-",IF(J88&lt;'PlayerGrades+'!$AD$5,"A",IF(J88&lt;'PlayerGrades+'!$AD$4,"A+",IF(J88&lt;'PlayerGrades+'!$AD$3,"S-",IF(J88&lt;'PlayerGrades+'!$AD$2,"S","S+"))))))))))))))))))))</f>
        <v>#DIV/0!</v>
      </c>
      <c r="L88" s="1176" t="str">
        <f t="shared" si="5"/>
        <v>#DIV/0!</v>
      </c>
      <c r="M88" s="992" t="str">
        <f>IF(L88&lt;'PlayerGrades+'!$AE$21,"F-",IF(L88&lt;'PlayerGrades+'!$AE$20,"F",IF(L88&lt;'PlayerGrades+'!$AE$19,"F+",IF(L88&lt;'PlayerGrades+'!$AE$18,"E-",IF(L88&lt;'PlayerGrades+'!$AE$17,"E",IF(L88&lt;'PlayerGrades+'!$AE$16,"E+",IF(L88&lt;'PlayerGrades+'!$AE$15,"D-",IF(L88&lt;'PlayerGrades+'!$AE$14,"D",IF(L88&lt;'PlayerGrades+'!$AE$13,"D+",IF(L88&lt;'PlayerGrades+'!$AE$12,"C-",IF(L88&lt;'PlayerGrades+'!$AE$11,"C",IF(L88&lt;'PlayerGrades+'!$AE$10,"C+",IF(L88&lt;'PlayerGrades+'!$AE$9,"B-",IF(L88&lt;'PlayerGrades+'!$AE$8,"B",IF(L88&lt;'PlayerGrades+'!$AE$7,"B+",IF(L88&lt;'PlayerGrades+'!$AE$6,"A-",IF(L88&lt;'PlayerGrades+'!$AE$5,"A",IF(L88&lt;'PlayerGrades+'!$AE$4,"A+",IF(L88&lt;'PlayerGrades+'!$AE$3,"S-",IF(L88&lt;'PlayerGrades+'!$AE$2,"S","S+"))))))))))))))))))))</f>
        <v>#DIV/0!</v>
      </c>
      <c r="N88" s="961" t="str">
        <f t="shared" si="6"/>
        <v>#DIV/0!</v>
      </c>
      <c r="O88" s="961" t="str">
        <f>IF(N88&lt;'PlayerGrades+'!$AF$21,"F-",IF(N88&lt;'PlayerGrades+'!$AF$20,"F",IF(N88&lt;'PlayerGrades+'!$AF$19,"F+",IF(N88&lt;'PlayerGrades+'!$AF$18,"E-",IF(N88&lt;'PlayerGrades+'!$AF$17,"E",IF(N88&lt;'PlayerGrades+'!$AF$16,"E+",IF(N88&lt;'PlayerGrades+'!$AF$15,"D-",IF(N88&lt;'PlayerGrades+'!$AF$14,"D",IF(N88&lt;'PlayerGrades+'!$AF$13,"D+",IF(N88&lt;'PlayerGrades+'!$AF$12,"C-",IF(N88&lt;'PlayerGrades+'!$AF$11,"C",IF(N88&lt;'PlayerGrades+'!$AF$10,"C+",IF(N88&lt;'PlayerGrades+'!$AF$9,"B-",IF(N88&lt;'PlayerGrades+'!$AF$8,"B",IF(N88&lt;'PlayerGrades+'!$AF$7,"B+",IF(N88&lt;'PlayerGrades+'!$AF$6,"A-",IF(N88&lt;'PlayerGrades+'!$AF$5,"A",IF(N88&lt;'PlayerGrades+'!$AF$4,"A+",IF(N88&lt;'PlayerGrades+'!$AF$3,"S-",IF(N88&lt;'PlayerGrades+'!$AF$2,"S","S+"))))))))))))))))))))</f>
        <v>#DIV/0!</v>
      </c>
      <c r="P88" s="961" t="str">
        <f t="shared" si="7"/>
        <v>#DIV/0!</v>
      </c>
      <c r="Q88" s="961" t="str">
        <f>IF(P88&lt;'PlayerGrades+'!$AG$21,"F-",IF(P88&lt;'PlayerGrades+'!$AG$20,"F",IF(P88&lt;'PlayerGrades+'!$AG$19,"F+",IF(P88&lt;'PlayerGrades+'!$AG$18,"E-",IF(P88&lt;'PlayerGrades+'!$AG$17,"E",IF(P88&lt;'PlayerGrades+'!$AG$16,"E+",IF(P88&lt;'PlayerGrades+'!$AG$15,"D-",IF(P88&lt;'PlayerGrades+'!$AG$14,"D",IF(P88&lt;'PlayerGrades+'!$AG$13,"D+",IF(P88&lt;'PlayerGrades+'!$AG$12,"C-",IF(P88&lt;'PlayerGrades+'!$AG$11,"C",IF(P88&lt;'PlayerGrades+'!$AG$10,"C+",IF(P88&lt;'PlayerGrades+'!$AG$9,"B-",IF(P88&lt;'PlayerGrades+'!$AG$8,"B",IF(P88&lt;'PlayerGrades+'!$AG$7,"B+",IF(P88&lt;'PlayerGrades+'!$AG$6,"A-",IF(P88&lt;'PlayerGrades+'!$AG$5,"A",IF(P88&lt;'PlayerGrades+'!$AG$4,"A+",IF(P88&lt;'PlayerGrades+'!$AG$3,"S-",IF(P88&lt;'PlayerGrades+'!$AG$2,"S","S+"))))))))))))))))))))</f>
        <v>#DIV/0!</v>
      </c>
      <c r="R88" s="961" t="str">
        <f t="shared" si="8"/>
        <v>#DIV/0!</v>
      </c>
      <c r="S88" s="961" t="str">
        <f>IF(R88&lt;'PlayerGrades+'!$AH$21,"F-",IF(R88&lt;'PlayerGrades+'!$AH$20,"F",IF(R88&lt;'PlayerGrades+'!$AH$19,"F+",IF(R88&lt;'PlayerGrades+'!$AH$18,"E-",IF(R88&lt;'PlayerGrades+'!$AH$17,"E",IF(R88&lt;'PlayerGrades+'!$AH$16,"E+",IF(R88&lt;'PlayerGrades+'!$AH$15,"D-",IF(R88&lt;'PlayerGrades+'!$AH$14,"D",IF(R88&lt;'PlayerGrades+'!$AH$13,"D+",IF(R88&lt;'PlayerGrades+'!$AH$12,"C-",IF(R88&lt;'PlayerGrades+'!$AH$11,"C",IF(R88&lt;'PlayerGrades+'!$AH$10,"C+",IF(R88&lt;'PlayerGrades+'!$AH$9,"B-",IF(R88&lt;'PlayerGrades+'!$AH$8,"B",IF(R88&lt;'PlayerGrades+'!$AH$7,"B+",IF(R88&lt;'PlayerGrades+'!$AH$6,"A-",IF(R88&lt;'PlayerGrades+'!$AH$5,"A",IF(R88&lt;'PlayerGrades+'!$AH$4,"A+",IF(R88&lt;'PlayerGrades+'!$AH$3,"S-",IF(R88&lt;'PlayerGrades+'!$AH$2,"S","S+"))))))))))))))))))))</f>
        <v>#DIV/0!</v>
      </c>
      <c r="T88" s="961">
        <f t="shared" si="9"/>
        <v>0</v>
      </c>
      <c r="U88" s="961" t="str">
        <f>IF(T88&lt;'PlayerGrades+'!$AI$21,"F-",IF(T88&lt;'PlayerGrades+'!$AI$20,"F",IF(T88&lt;'PlayerGrades+'!$AI$19,"F+",IF(T88&lt;'PlayerGrades+'!$AI$18,"E-",IF(T88&lt;'PlayerGrades+'!$AI$17,"E",IF(T88&lt;'PlayerGrades+'!$AI$16,"E+",IF(T88&lt;'PlayerGrades+'!$AI$15,"D-",IF(T88&lt;'PlayerGrades+'!$AI$14,"D",IF(T88&lt;'PlayerGrades+'!$AI$13,"D+",IF(T88&lt;'PlayerGrades+'!$AI$12,"C-",IF(T88&lt;'PlayerGrades+'!$AI$11,"C",IF(T88&lt;'PlayerGrades+'!$AI$10,"C+",IF(T88&lt;'PlayerGrades+'!$AI$9,"B-",IF(T88&lt;'PlayerGrades+'!$AI$8,"B",IF(T88&lt;'PlayerGrades+'!$AI$7,"B+",IF(T88&lt;'PlayerGrades+'!$AI$6,"A-",IF(T88&lt;'PlayerGrades+'!$AI$5,"A",IF(T88&lt;'PlayerGrades+'!$AI$4,"A+",IF(T88&lt;'PlayerGrades+'!$AI$3,"S-",IF(T88&lt;'PlayerGrades+'!$AI$2,"S","S+"))))))))))))))))))))</f>
        <v>F-</v>
      </c>
      <c r="AC88" s="1392"/>
    </row>
    <row r="89">
      <c r="A89" s="1393"/>
      <c r="B89" s="611" t="str">
        <f>IF(C89&lt;'PlayerGrades+'!$Y$44,"F-",IF(C89&lt;'PlayerGrades+'!$Y$43,"F",IF(C89&lt;'PlayerGrades+'!$Y$42,"F+",IF(C89&lt;'PlayerGrades+'!$Y$41,"E-",IF(C89&lt;'PlayerGrades+'!$Y$40,"E",IF(C89&lt;'PlayerGrades+'!$Y$39,"E+",IF(C89&lt;'PlayerGrades+'!$Y$38,"D-",IF(C89&lt;'PlayerGrades+'!$Y$37,"D",IF(C89&lt;'PlayerGrades+'!$Y$36,"D+",IF(C89&lt;'PlayerGrades+'!$Y$35,"C-",IF(C89&lt;'PlayerGrades+'!$Y$34,"C",IF(C89&lt;'PlayerGrades+'!$Y$33,"C+",IF(C89&lt;'PlayerGrades+'!$Y$32,"B-",IF(C89&lt;'PlayerGrades+'!$Y$31,"B",IF(C89&lt;'PlayerGrades+'!$Y$30,"B+",IF(C89&lt;'PlayerGrades+'!$Y$29,"A-",IF(C89&lt;'PlayerGrades+'!$Y$28,"A",IF(C89&lt;'PlayerGrades+'!$Y$27,"A+",IF(C89&lt;'PlayerGrades+'!$Y$26,"S-",IF(C89&lt;'PlayerGrades+'!$Y$25,"S","S+"))))))))))))))))))))</f>
        <v>#DIV/0!</v>
      </c>
      <c r="C89" s="1378" t="str">
        <f>('PlayerGrades+'!$Y$47*(VLOOKUP(E89, 'PlayerGrades+'!$X$3:$Y$23, 2, FALSE)))+('PlayerGrades+'!$Y$48*(VLOOKUP(G89, 'PlayerGrades+'!$X$3:$Y$23, 2, FALSE)))+('PlayerGrades+'!$Y$49*(VLOOKUP(I89, 'PlayerGrades+'!$X$3:$Y$23, 2, FALSE)))+('PlayerGrades+'!$Y$50*(VLOOKUP(K89, 'PlayerGrades+'!$X$3:$Y$23, 2, FALSE)))+('PlayerGrades+'!$Y$51*(VLOOKUP(M89, 'PlayerGrades+'!$X$3:$Y$23, 2, FALSE)))+('PlayerGrades+'!$Y$52*(VLOOKUP(O89, 'PlayerGrades+'!$X$3:$Y$23, 2, FALSE)))+('PlayerGrades+'!$Y$53*(VLOOKUP(Q89, 'PlayerGrades+'!$X$3:$Y$23, 2, FALSE)))+('PlayerGrades+'!$Y$54*(VLOOKUP(S89, 'PlayerGrades+'!$X$3:$Y$23, 2, FALSE)))+('PlayerGrades+'!$Y$55*(VLOOKUP(U89, 'PlayerGrades+'!$X$3:$Y$23, 2, FALSE)))</f>
        <v>#DIV/0!</v>
      </c>
      <c r="D89" s="961" t="str">
        <f t="shared" si="1"/>
        <v>#DIV/0!</v>
      </c>
      <c r="E89" s="961" t="str">
        <f>IF(D89&lt;'PlayerGrades+'!$AA$21,"F-",IF(D89&lt;'PlayerGrades+'!$AA$20,"F",IF(D89&lt;'PlayerGrades+'!$AA$19,"F+",IF(D89&lt;'PlayerGrades+'!$AA$18,"E-",IF(D89&lt;'PlayerGrades+'!$AA$17,"E",IF(D89&lt;'PlayerGrades+'!$AA$16,"E+",IF(D89&lt;'PlayerGrades+'!$AA$15,"D-",IF(D89&lt;'PlayerGrades+'!$AA$14,"D",IF(D89&lt;'PlayerGrades+'!$AA$13,"D+",IF(D89&lt;'PlayerGrades+'!$AA$12,"C-",IF(D89&lt;'PlayerGrades+'!$AA$11,"C",IF(D89&lt;'PlayerGrades+'!$AA$10,"C+",IF(D89&lt;'PlayerGrades+'!$AA$9,"B-",IF(D89&lt;'PlayerGrades+'!$AA$8,"B",IF(D89&lt;'PlayerGrades+'!$AA$7,"B+",IF(D89&lt;'PlayerGrades+'!$AA$6,"A-",IF(D89&lt;'PlayerGrades+'!$AA$5,"A",IF(D89&lt;'PlayerGrades+'!$AA$4,"A+",IF(D89&lt;'PlayerGrades+'!$AA$3,"S-",IF(D89&lt;'PlayerGrades+'!$AA$2,"S","S+"))))))))))))))))))))</f>
        <v>#DIV/0!</v>
      </c>
      <c r="F89" s="961" t="str">
        <f t="shared" si="2"/>
        <v>#DIV/0!</v>
      </c>
      <c r="G89" s="961" t="str">
        <f>IF(F89&lt;'PlayerGrades+'!$AB$21,"F-",IF(F89&lt;'PlayerGrades+'!$AB$20,"F",IF(F89&lt;'PlayerGrades+'!$AB$19,"F+",IF(F89&lt;'PlayerGrades+'!$AB$18,"E-",IF(F89&lt;'PlayerGrades+'!$AB$17,"E",IF(F89&lt;'PlayerGrades+'!$AB$16,"E+",IF(F89&lt;'PlayerGrades+'!$AB$15,"D-",IF(F89&lt;'PlayerGrades+'!$AB$14,"D",IF(F89&lt;'PlayerGrades+'!$AB$13,"D+",IF(F89&lt;'PlayerGrades+'!$AB$12,"C-",IF(F89&lt;'PlayerGrades+'!$AB$11,"C",IF(F89&lt;'PlayerGrades+'!$AB$10,"C+",IF(F89&lt;'PlayerGrades+'!$AB$9,"B-",IF(F89&lt;'PlayerGrades+'!$AB$8,"B",IF(F89&lt;'PlayerGrades+'!$AB$7,"B+",IF(F89&lt;'PlayerGrades+'!$AB$6,"A-",IF(F89&lt;'PlayerGrades+'!$AB$5,"A",IF(F89&lt;'PlayerGrades+'!$AB$4,"A+",IF(F89&lt;'PlayerGrades+'!$AB$3,"S-",IF(F89&lt;'PlayerGrades+'!$AB$2,"S","S+"))))))))))))))))))))</f>
        <v>#DIV/0!</v>
      </c>
      <c r="H89" s="961" t="str">
        <f t="shared" si="3"/>
        <v>#DIV/0!</v>
      </c>
      <c r="I89" s="961" t="str">
        <f>IF(H89&lt;'PlayerGrades+'!$AC$21,"F-",IF(H89&lt;'PlayerGrades+'!$AC$20,"F",IF(H89&lt;'PlayerGrades+'!$AC$19,"F+",IF(H89&lt;'PlayerGrades+'!$AC$18,"E-",IF(H89&lt;'PlayerGrades+'!$AC$17,"E",IF(H89&lt;'PlayerGrades+'!$AC$16,"E+",IF(H89&lt;'PlayerGrades+'!$AC$15,"D-",IF(H89&lt;'PlayerGrades+'!$AC$14,"D",IF(H89&lt;'PlayerGrades+'!$AC$13,"D+",IF(H89&lt;'PlayerGrades+'!$AC$12,"C-",IF(H89&lt;'PlayerGrades+'!$AC$11,"C",IF(H89&lt;'PlayerGrades+'!$AC$10,"C+",IF(H89&lt;'PlayerGrades+'!$AC$9,"B-",IF(H89&lt;'PlayerGrades+'!$AC$8,"B",IF(H89&lt;'PlayerGrades+'!$AC$7,"B+",IF(H89&lt;'PlayerGrades+'!$AC$6,"A-",IF(H89&lt;'PlayerGrades+'!$AC$5,"A",IF(H89&lt;'PlayerGrades+'!$AC$4,"A+",IF(H89&lt;'PlayerGrades+'!$AC$3,"S-",IF(H89&lt;'PlayerGrades+'!$AC$2,"S","S+"))))))))))))))))))))</f>
        <v>#DIV/0!</v>
      </c>
      <c r="J89" s="961" t="str">
        <f t="shared" si="4"/>
        <v>#DIV/0!</v>
      </c>
      <c r="K89" s="961" t="str">
        <f>IF(J89&lt;'PlayerGrades+'!$AD$21,"F-",IF(J89&lt;'PlayerGrades+'!$AD$20,"F",IF(J89&lt;'PlayerGrades+'!$AD$19,"F+",IF(J89&lt;'PlayerGrades+'!$AD$18,"E-",IF(J89&lt;'PlayerGrades+'!$AD$17,"E",IF(J89&lt;'PlayerGrades+'!$AD$16,"E+",IF(J89&lt;'PlayerGrades+'!$AD$15,"D-",IF(J89&lt;'PlayerGrades+'!$AD$14,"D",IF(J89&lt;'PlayerGrades+'!$AD$13,"D+",IF(J89&lt;'PlayerGrades+'!$AD$12,"C-",IF(J89&lt;'PlayerGrades+'!$AD$11,"C",IF(J89&lt;'PlayerGrades+'!$AD$10,"C+",IF(J89&lt;'PlayerGrades+'!$AD$9,"B-",IF(J89&lt;'PlayerGrades+'!$AD$8,"B",IF(J89&lt;'PlayerGrades+'!$AD$7,"B+",IF(J89&lt;'PlayerGrades+'!$AD$6,"A-",IF(J89&lt;'PlayerGrades+'!$AD$5,"A",IF(J89&lt;'PlayerGrades+'!$AD$4,"A+",IF(J89&lt;'PlayerGrades+'!$AD$3,"S-",IF(J89&lt;'PlayerGrades+'!$AD$2,"S","S+"))))))))))))))))))))</f>
        <v>#DIV/0!</v>
      </c>
      <c r="L89" s="1176" t="str">
        <f t="shared" si="5"/>
        <v>#DIV/0!</v>
      </c>
      <c r="M89" s="992" t="str">
        <f>IF(L89&lt;'PlayerGrades+'!$AE$21,"F-",IF(L89&lt;'PlayerGrades+'!$AE$20,"F",IF(L89&lt;'PlayerGrades+'!$AE$19,"F+",IF(L89&lt;'PlayerGrades+'!$AE$18,"E-",IF(L89&lt;'PlayerGrades+'!$AE$17,"E",IF(L89&lt;'PlayerGrades+'!$AE$16,"E+",IF(L89&lt;'PlayerGrades+'!$AE$15,"D-",IF(L89&lt;'PlayerGrades+'!$AE$14,"D",IF(L89&lt;'PlayerGrades+'!$AE$13,"D+",IF(L89&lt;'PlayerGrades+'!$AE$12,"C-",IF(L89&lt;'PlayerGrades+'!$AE$11,"C",IF(L89&lt;'PlayerGrades+'!$AE$10,"C+",IF(L89&lt;'PlayerGrades+'!$AE$9,"B-",IF(L89&lt;'PlayerGrades+'!$AE$8,"B",IF(L89&lt;'PlayerGrades+'!$AE$7,"B+",IF(L89&lt;'PlayerGrades+'!$AE$6,"A-",IF(L89&lt;'PlayerGrades+'!$AE$5,"A",IF(L89&lt;'PlayerGrades+'!$AE$4,"A+",IF(L89&lt;'PlayerGrades+'!$AE$3,"S-",IF(L89&lt;'PlayerGrades+'!$AE$2,"S","S+"))))))))))))))))))))</f>
        <v>#DIV/0!</v>
      </c>
      <c r="N89" s="961" t="str">
        <f t="shared" si="6"/>
        <v>#DIV/0!</v>
      </c>
      <c r="O89" s="961" t="str">
        <f>IF(N89&lt;'PlayerGrades+'!$AF$21,"F-",IF(N89&lt;'PlayerGrades+'!$AF$20,"F",IF(N89&lt;'PlayerGrades+'!$AF$19,"F+",IF(N89&lt;'PlayerGrades+'!$AF$18,"E-",IF(N89&lt;'PlayerGrades+'!$AF$17,"E",IF(N89&lt;'PlayerGrades+'!$AF$16,"E+",IF(N89&lt;'PlayerGrades+'!$AF$15,"D-",IF(N89&lt;'PlayerGrades+'!$AF$14,"D",IF(N89&lt;'PlayerGrades+'!$AF$13,"D+",IF(N89&lt;'PlayerGrades+'!$AF$12,"C-",IF(N89&lt;'PlayerGrades+'!$AF$11,"C",IF(N89&lt;'PlayerGrades+'!$AF$10,"C+",IF(N89&lt;'PlayerGrades+'!$AF$9,"B-",IF(N89&lt;'PlayerGrades+'!$AF$8,"B",IF(N89&lt;'PlayerGrades+'!$AF$7,"B+",IF(N89&lt;'PlayerGrades+'!$AF$6,"A-",IF(N89&lt;'PlayerGrades+'!$AF$5,"A",IF(N89&lt;'PlayerGrades+'!$AF$4,"A+",IF(N89&lt;'PlayerGrades+'!$AF$3,"S-",IF(N89&lt;'PlayerGrades+'!$AF$2,"S","S+"))))))))))))))))))))</f>
        <v>#DIV/0!</v>
      </c>
      <c r="P89" s="961" t="str">
        <f t="shared" si="7"/>
        <v>#DIV/0!</v>
      </c>
      <c r="Q89" s="961" t="str">
        <f>IF(P89&lt;'PlayerGrades+'!$AG$21,"F-",IF(P89&lt;'PlayerGrades+'!$AG$20,"F",IF(P89&lt;'PlayerGrades+'!$AG$19,"F+",IF(P89&lt;'PlayerGrades+'!$AG$18,"E-",IF(P89&lt;'PlayerGrades+'!$AG$17,"E",IF(P89&lt;'PlayerGrades+'!$AG$16,"E+",IF(P89&lt;'PlayerGrades+'!$AG$15,"D-",IF(P89&lt;'PlayerGrades+'!$AG$14,"D",IF(P89&lt;'PlayerGrades+'!$AG$13,"D+",IF(P89&lt;'PlayerGrades+'!$AG$12,"C-",IF(P89&lt;'PlayerGrades+'!$AG$11,"C",IF(P89&lt;'PlayerGrades+'!$AG$10,"C+",IF(P89&lt;'PlayerGrades+'!$AG$9,"B-",IF(P89&lt;'PlayerGrades+'!$AG$8,"B",IF(P89&lt;'PlayerGrades+'!$AG$7,"B+",IF(P89&lt;'PlayerGrades+'!$AG$6,"A-",IF(P89&lt;'PlayerGrades+'!$AG$5,"A",IF(P89&lt;'PlayerGrades+'!$AG$4,"A+",IF(P89&lt;'PlayerGrades+'!$AG$3,"S-",IF(P89&lt;'PlayerGrades+'!$AG$2,"S","S+"))))))))))))))))))))</f>
        <v>#DIV/0!</v>
      </c>
      <c r="R89" s="961" t="str">
        <f t="shared" si="8"/>
        <v>#DIV/0!</v>
      </c>
      <c r="S89" s="961" t="str">
        <f>IF(R89&lt;'PlayerGrades+'!$AH$21,"F-",IF(R89&lt;'PlayerGrades+'!$AH$20,"F",IF(R89&lt;'PlayerGrades+'!$AH$19,"F+",IF(R89&lt;'PlayerGrades+'!$AH$18,"E-",IF(R89&lt;'PlayerGrades+'!$AH$17,"E",IF(R89&lt;'PlayerGrades+'!$AH$16,"E+",IF(R89&lt;'PlayerGrades+'!$AH$15,"D-",IF(R89&lt;'PlayerGrades+'!$AH$14,"D",IF(R89&lt;'PlayerGrades+'!$AH$13,"D+",IF(R89&lt;'PlayerGrades+'!$AH$12,"C-",IF(R89&lt;'PlayerGrades+'!$AH$11,"C",IF(R89&lt;'PlayerGrades+'!$AH$10,"C+",IF(R89&lt;'PlayerGrades+'!$AH$9,"B-",IF(R89&lt;'PlayerGrades+'!$AH$8,"B",IF(R89&lt;'PlayerGrades+'!$AH$7,"B+",IF(R89&lt;'PlayerGrades+'!$AH$6,"A-",IF(R89&lt;'PlayerGrades+'!$AH$5,"A",IF(R89&lt;'PlayerGrades+'!$AH$4,"A+",IF(R89&lt;'PlayerGrades+'!$AH$3,"S-",IF(R89&lt;'PlayerGrades+'!$AH$2,"S","S+"))))))))))))))))))))</f>
        <v>#DIV/0!</v>
      </c>
      <c r="T89" s="961">
        <f t="shared" si="9"/>
        <v>0</v>
      </c>
      <c r="U89" s="961" t="str">
        <f>IF(T89&lt;'PlayerGrades+'!$AI$21,"F-",IF(T89&lt;'PlayerGrades+'!$AI$20,"F",IF(T89&lt;'PlayerGrades+'!$AI$19,"F+",IF(T89&lt;'PlayerGrades+'!$AI$18,"E-",IF(T89&lt;'PlayerGrades+'!$AI$17,"E",IF(T89&lt;'PlayerGrades+'!$AI$16,"E+",IF(T89&lt;'PlayerGrades+'!$AI$15,"D-",IF(T89&lt;'PlayerGrades+'!$AI$14,"D",IF(T89&lt;'PlayerGrades+'!$AI$13,"D+",IF(T89&lt;'PlayerGrades+'!$AI$12,"C-",IF(T89&lt;'PlayerGrades+'!$AI$11,"C",IF(T89&lt;'PlayerGrades+'!$AI$10,"C+",IF(T89&lt;'PlayerGrades+'!$AI$9,"B-",IF(T89&lt;'PlayerGrades+'!$AI$8,"B",IF(T89&lt;'PlayerGrades+'!$AI$7,"B+",IF(T89&lt;'PlayerGrades+'!$AI$6,"A-",IF(T89&lt;'PlayerGrades+'!$AI$5,"A",IF(T89&lt;'PlayerGrades+'!$AI$4,"A+",IF(T89&lt;'PlayerGrades+'!$AI$3,"S-",IF(T89&lt;'PlayerGrades+'!$AI$2,"S","S+"))))))))))))))))))))</f>
        <v>F-</v>
      </c>
      <c r="V89" s="1386"/>
      <c r="W89" s="1386"/>
      <c r="X89" s="1386"/>
      <c r="Y89" s="1386"/>
      <c r="Z89" s="1386"/>
      <c r="AA89" s="1386"/>
      <c r="AB89" s="1386"/>
      <c r="AC89" s="1397"/>
      <c r="AD89" s="1386"/>
      <c r="AE89" s="1386"/>
      <c r="AF89" s="1386"/>
      <c r="AG89" s="1386"/>
      <c r="AH89" s="1386"/>
      <c r="AI89" s="1386"/>
      <c r="AJ89" s="1386"/>
      <c r="AK89" s="1386"/>
      <c r="AL89" s="1386"/>
      <c r="AM89" s="1386"/>
      <c r="AN89" s="1386"/>
      <c r="AO89" s="1386"/>
      <c r="AP89" s="1386"/>
      <c r="AQ89" s="1386"/>
      <c r="AR89" s="1386"/>
      <c r="AS89" s="1386"/>
      <c r="AT89" s="1386"/>
      <c r="AU89" s="1386"/>
      <c r="AV89" s="1386"/>
      <c r="AW89" s="1386"/>
      <c r="AX89" s="1386"/>
      <c r="AY89" s="1386"/>
      <c r="AZ89" s="1386"/>
    </row>
    <row r="90">
      <c r="A90" s="1389"/>
      <c r="B90" s="611" t="str">
        <f>IF(C90&lt;'PlayerGrades+'!$Y$44,"F-",IF(C90&lt;'PlayerGrades+'!$Y$43,"F",IF(C90&lt;'PlayerGrades+'!$Y$42,"F+",IF(C90&lt;'PlayerGrades+'!$Y$41,"E-",IF(C90&lt;'PlayerGrades+'!$Y$40,"E",IF(C90&lt;'PlayerGrades+'!$Y$39,"E+",IF(C90&lt;'PlayerGrades+'!$Y$38,"D-",IF(C90&lt;'PlayerGrades+'!$Y$37,"D",IF(C90&lt;'PlayerGrades+'!$Y$36,"D+",IF(C90&lt;'PlayerGrades+'!$Y$35,"C-",IF(C90&lt;'PlayerGrades+'!$Y$34,"C",IF(C90&lt;'PlayerGrades+'!$Y$33,"C+",IF(C90&lt;'PlayerGrades+'!$Y$32,"B-",IF(C90&lt;'PlayerGrades+'!$Y$31,"B",IF(C90&lt;'PlayerGrades+'!$Y$30,"B+",IF(C90&lt;'PlayerGrades+'!$Y$29,"A-",IF(C90&lt;'PlayerGrades+'!$Y$28,"A",IF(C90&lt;'PlayerGrades+'!$Y$27,"A+",IF(C90&lt;'PlayerGrades+'!$Y$26,"S-",IF(C90&lt;'PlayerGrades+'!$Y$25,"S","S+"))))))))))))))))))))</f>
        <v>#DIV/0!</v>
      </c>
      <c r="C90" s="1378" t="str">
        <f>('PlayerGrades+'!$Y$47*(VLOOKUP(E90, 'PlayerGrades+'!$X$3:$Y$23, 2, FALSE)))+('PlayerGrades+'!$Y$48*(VLOOKUP(G90, 'PlayerGrades+'!$X$3:$Y$23, 2, FALSE)))+('PlayerGrades+'!$Y$49*(VLOOKUP(I90, 'PlayerGrades+'!$X$3:$Y$23, 2, FALSE)))+('PlayerGrades+'!$Y$50*(VLOOKUP(K90, 'PlayerGrades+'!$X$3:$Y$23, 2, FALSE)))+('PlayerGrades+'!$Y$51*(VLOOKUP(M90, 'PlayerGrades+'!$X$3:$Y$23, 2, FALSE)))+('PlayerGrades+'!$Y$52*(VLOOKUP(O90, 'PlayerGrades+'!$X$3:$Y$23, 2, FALSE)))+('PlayerGrades+'!$Y$53*(VLOOKUP(Q90, 'PlayerGrades+'!$X$3:$Y$23, 2, FALSE)))+('PlayerGrades+'!$Y$54*(VLOOKUP(S90, 'PlayerGrades+'!$X$3:$Y$23, 2, FALSE)))+('PlayerGrades+'!$Y$55*(VLOOKUP(U90, 'PlayerGrades+'!$X$3:$Y$23, 2, FALSE)))</f>
        <v>#DIV/0!</v>
      </c>
      <c r="D90" s="961" t="str">
        <f t="shared" si="1"/>
        <v>#DIV/0!</v>
      </c>
      <c r="E90" s="961" t="str">
        <f>IF(D90&lt;'PlayerGrades+'!$AA$21,"F-",IF(D90&lt;'PlayerGrades+'!$AA$20,"F",IF(D90&lt;'PlayerGrades+'!$AA$19,"F+",IF(D90&lt;'PlayerGrades+'!$AA$18,"E-",IF(D90&lt;'PlayerGrades+'!$AA$17,"E",IF(D90&lt;'PlayerGrades+'!$AA$16,"E+",IF(D90&lt;'PlayerGrades+'!$AA$15,"D-",IF(D90&lt;'PlayerGrades+'!$AA$14,"D",IF(D90&lt;'PlayerGrades+'!$AA$13,"D+",IF(D90&lt;'PlayerGrades+'!$AA$12,"C-",IF(D90&lt;'PlayerGrades+'!$AA$11,"C",IF(D90&lt;'PlayerGrades+'!$AA$10,"C+",IF(D90&lt;'PlayerGrades+'!$AA$9,"B-",IF(D90&lt;'PlayerGrades+'!$AA$8,"B",IF(D90&lt;'PlayerGrades+'!$AA$7,"B+",IF(D90&lt;'PlayerGrades+'!$AA$6,"A-",IF(D90&lt;'PlayerGrades+'!$AA$5,"A",IF(D90&lt;'PlayerGrades+'!$AA$4,"A+",IF(D90&lt;'PlayerGrades+'!$AA$3,"S-",IF(D90&lt;'PlayerGrades+'!$AA$2,"S","S+"))))))))))))))))))))</f>
        <v>#DIV/0!</v>
      </c>
      <c r="F90" s="961" t="str">
        <f t="shared" si="2"/>
        <v>#DIV/0!</v>
      </c>
      <c r="G90" s="961" t="str">
        <f>IF(F90&lt;'PlayerGrades+'!$AB$21,"F-",IF(F90&lt;'PlayerGrades+'!$AB$20,"F",IF(F90&lt;'PlayerGrades+'!$AB$19,"F+",IF(F90&lt;'PlayerGrades+'!$AB$18,"E-",IF(F90&lt;'PlayerGrades+'!$AB$17,"E",IF(F90&lt;'PlayerGrades+'!$AB$16,"E+",IF(F90&lt;'PlayerGrades+'!$AB$15,"D-",IF(F90&lt;'PlayerGrades+'!$AB$14,"D",IF(F90&lt;'PlayerGrades+'!$AB$13,"D+",IF(F90&lt;'PlayerGrades+'!$AB$12,"C-",IF(F90&lt;'PlayerGrades+'!$AB$11,"C",IF(F90&lt;'PlayerGrades+'!$AB$10,"C+",IF(F90&lt;'PlayerGrades+'!$AB$9,"B-",IF(F90&lt;'PlayerGrades+'!$AB$8,"B",IF(F90&lt;'PlayerGrades+'!$AB$7,"B+",IF(F90&lt;'PlayerGrades+'!$AB$6,"A-",IF(F90&lt;'PlayerGrades+'!$AB$5,"A",IF(F90&lt;'PlayerGrades+'!$AB$4,"A+",IF(F90&lt;'PlayerGrades+'!$AB$3,"S-",IF(F90&lt;'PlayerGrades+'!$AB$2,"S","S+"))))))))))))))))))))</f>
        <v>#DIV/0!</v>
      </c>
      <c r="H90" s="961" t="str">
        <f t="shared" si="3"/>
        <v>#DIV/0!</v>
      </c>
      <c r="I90" s="961" t="str">
        <f>IF(H90&lt;'PlayerGrades+'!$AC$21,"F-",IF(H90&lt;'PlayerGrades+'!$AC$20,"F",IF(H90&lt;'PlayerGrades+'!$AC$19,"F+",IF(H90&lt;'PlayerGrades+'!$AC$18,"E-",IF(H90&lt;'PlayerGrades+'!$AC$17,"E",IF(H90&lt;'PlayerGrades+'!$AC$16,"E+",IF(H90&lt;'PlayerGrades+'!$AC$15,"D-",IF(H90&lt;'PlayerGrades+'!$AC$14,"D",IF(H90&lt;'PlayerGrades+'!$AC$13,"D+",IF(H90&lt;'PlayerGrades+'!$AC$12,"C-",IF(H90&lt;'PlayerGrades+'!$AC$11,"C",IF(H90&lt;'PlayerGrades+'!$AC$10,"C+",IF(H90&lt;'PlayerGrades+'!$AC$9,"B-",IF(H90&lt;'PlayerGrades+'!$AC$8,"B",IF(H90&lt;'PlayerGrades+'!$AC$7,"B+",IF(H90&lt;'PlayerGrades+'!$AC$6,"A-",IF(H90&lt;'PlayerGrades+'!$AC$5,"A",IF(H90&lt;'PlayerGrades+'!$AC$4,"A+",IF(H90&lt;'PlayerGrades+'!$AC$3,"S-",IF(H90&lt;'PlayerGrades+'!$AC$2,"S","S+"))))))))))))))))))))</f>
        <v>#DIV/0!</v>
      </c>
      <c r="J90" s="961" t="str">
        <f t="shared" si="4"/>
        <v>#DIV/0!</v>
      </c>
      <c r="K90" s="961" t="str">
        <f>IF(J90&lt;'PlayerGrades+'!$AD$21,"F-",IF(J90&lt;'PlayerGrades+'!$AD$20,"F",IF(J90&lt;'PlayerGrades+'!$AD$19,"F+",IF(J90&lt;'PlayerGrades+'!$AD$18,"E-",IF(J90&lt;'PlayerGrades+'!$AD$17,"E",IF(J90&lt;'PlayerGrades+'!$AD$16,"E+",IF(J90&lt;'PlayerGrades+'!$AD$15,"D-",IF(J90&lt;'PlayerGrades+'!$AD$14,"D",IF(J90&lt;'PlayerGrades+'!$AD$13,"D+",IF(J90&lt;'PlayerGrades+'!$AD$12,"C-",IF(J90&lt;'PlayerGrades+'!$AD$11,"C",IF(J90&lt;'PlayerGrades+'!$AD$10,"C+",IF(J90&lt;'PlayerGrades+'!$AD$9,"B-",IF(J90&lt;'PlayerGrades+'!$AD$8,"B",IF(J90&lt;'PlayerGrades+'!$AD$7,"B+",IF(J90&lt;'PlayerGrades+'!$AD$6,"A-",IF(J90&lt;'PlayerGrades+'!$AD$5,"A",IF(J90&lt;'PlayerGrades+'!$AD$4,"A+",IF(J90&lt;'PlayerGrades+'!$AD$3,"S-",IF(J90&lt;'PlayerGrades+'!$AD$2,"S","S+"))))))))))))))))))))</f>
        <v>#DIV/0!</v>
      </c>
      <c r="L90" s="1176" t="str">
        <f t="shared" si="5"/>
        <v>#DIV/0!</v>
      </c>
      <c r="M90" s="992" t="str">
        <f>IF(L90&lt;'PlayerGrades+'!$AE$21,"F-",IF(L90&lt;'PlayerGrades+'!$AE$20,"F",IF(L90&lt;'PlayerGrades+'!$AE$19,"F+",IF(L90&lt;'PlayerGrades+'!$AE$18,"E-",IF(L90&lt;'PlayerGrades+'!$AE$17,"E",IF(L90&lt;'PlayerGrades+'!$AE$16,"E+",IF(L90&lt;'PlayerGrades+'!$AE$15,"D-",IF(L90&lt;'PlayerGrades+'!$AE$14,"D",IF(L90&lt;'PlayerGrades+'!$AE$13,"D+",IF(L90&lt;'PlayerGrades+'!$AE$12,"C-",IF(L90&lt;'PlayerGrades+'!$AE$11,"C",IF(L90&lt;'PlayerGrades+'!$AE$10,"C+",IF(L90&lt;'PlayerGrades+'!$AE$9,"B-",IF(L90&lt;'PlayerGrades+'!$AE$8,"B",IF(L90&lt;'PlayerGrades+'!$AE$7,"B+",IF(L90&lt;'PlayerGrades+'!$AE$6,"A-",IF(L90&lt;'PlayerGrades+'!$AE$5,"A",IF(L90&lt;'PlayerGrades+'!$AE$4,"A+",IF(L90&lt;'PlayerGrades+'!$AE$3,"S-",IF(L90&lt;'PlayerGrades+'!$AE$2,"S","S+"))))))))))))))))))))</f>
        <v>#DIV/0!</v>
      </c>
      <c r="N90" s="961" t="str">
        <f t="shared" si="6"/>
        <v>#DIV/0!</v>
      </c>
      <c r="O90" s="961" t="str">
        <f>IF(N90&lt;'PlayerGrades+'!$AF$21,"F-",IF(N90&lt;'PlayerGrades+'!$AF$20,"F",IF(N90&lt;'PlayerGrades+'!$AF$19,"F+",IF(N90&lt;'PlayerGrades+'!$AF$18,"E-",IF(N90&lt;'PlayerGrades+'!$AF$17,"E",IF(N90&lt;'PlayerGrades+'!$AF$16,"E+",IF(N90&lt;'PlayerGrades+'!$AF$15,"D-",IF(N90&lt;'PlayerGrades+'!$AF$14,"D",IF(N90&lt;'PlayerGrades+'!$AF$13,"D+",IF(N90&lt;'PlayerGrades+'!$AF$12,"C-",IF(N90&lt;'PlayerGrades+'!$AF$11,"C",IF(N90&lt;'PlayerGrades+'!$AF$10,"C+",IF(N90&lt;'PlayerGrades+'!$AF$9,"B-",IF(N90&lt;'PlayerGrades+'!$AF$8,"B",IF(N90&lt;'PlayerGrades+'!$AF$7,"B+",IF(N90&lt;'PlayerGrades+'!$AF$6,"A-",IF(N90&lt;'PlayerGrades+'!$AF$5,"A",IF(N90&lt;'PlayerGrades+'!$AF$4,"A+",IF(N90&lt;'PlayerGrades+'!$AF$3,"S-",IF(N90&lt;'PlayerGrades+'!$AF$2,"S","S+"))))))))))))))))))))</f>
        <v>#DIV/0!</v>
      </c>
      <c r="P90" s="961" t="str">
        <f t="shared" si="7"/>
        <v>#DIV/0!</v>
      </c>
      <c r="Q90" s="961" t="str">
        <f>IF(P90&lt;'PlayerGrades+'!$AG$21,"F-",IF(P90&lt;'PlayerGrades+'!$AG$20,"F",IF(P90&lt;'PlayerGrades+'!$AG$19,"F+",IF(P90&lt;'PlayerGrades+'!$AG$18,"E-",IF(P90&lt;'PlayerGrades+'!$AG$17,"E",IF(P90&lt;'PlayerGrades+'!$AG$16,"E+",IF(P90&lt;'PlayerGrades+'!$AG$15,"D-",IF(P90&lt;'PlayerGrades+'!$AG$14,"D",IF(P90&lt;'PlayerGrades+'!$AG$13,"D+",IF(P90&lt;'PlayerGrades+'!$AG$12,"C-",IF(P90&lt;'PlayerGrades+'!$AG$11,"C",IF(P90&lt;'PlayerGrades+'!$AG$10,"C+",IF(P90&lt;'PlayerGrades+'!$AG$9,"B-",IF(P90&lt;'PlayerGrades+'!$AG$8,"B",IF(P90&lt;'PlayerGrades+'!$AG$7,"B+",IF(P90&lt;'PlayerGrades+'!$AG$6,"A-",IF(P90&lt;'PlayerGrades+'!$AG$5,"A",IF(P90&lt;'PlayerGrades+'!$AG$4,"A+",IF(P90&lt;'PlayerGrades+'!$AG$3,"S-",IF(P90&lt;'PlayerGrades+'!$AG$2,"S","S+"))))))))))))))))))))</f>
        <v>#DIV/0!</v>
      </c>
      <c r="R90" s="961" t="str">
        <f t="shared" si="8"/>
        <v>#DIV/0!</v>
      </c>
      <c r="S90" s="961" t="str">
        <f>IF(R90&lt;'PlayerGrades+'!$AH$21,"F-",IF(R90&lt;'PlayerGrades+'!$AH$20,"F",IF(R90&lt;'PlayerGrades+'!$AH$19,"F+",IF(R90&lt;'PlayerGrades+'!$AH$18,"E-",IF(R90&lt;'PlayerGrades+'!$AH$17,"E",IF(R90&lt;'PlayerGrades+'!$AH$16,"E+",IF(R90&lt;'PlayerGrades+'!$AH$15,"D-",IF(R90&lt;'PlayerGrades+'!$AH$14,"D",IF(R90&lt;'PlayerGrades+'!$AH$13,"D+",IF(R90&lt;'PlayerGrades+'!$AH$12,"C-",IF(R90&lt;'PlayerGrades+'!$AH$11,"C",IF(R90&lt;'PlayerGrades+'!$AH$10,"C+",IF(R90&lt;'PlayerGrades+'!$AH$9,"B-",IF(R90&lt;'PlayerGrades+'!$AH$8,"B",IF(R90&lt;'PlayerGrades+'!$AH$7,"B+",IF(R90&lt;'PlayerGrades+'!$AH$6,"A-",IF(R90&lt;'PlayerGrades+'!$AH$5,"A",IF(R90&lt;'PlayerGrades+'!$AH$4,"A+",IF(R90&lt;'PlayerGrades+'!$AH$3,"S-",IF(R90&lt;'PlayerGrades+'!$AH$2,"S","S+"))))))))))))))))))))</f>
        <v>#DIV/0!</v>
      </c>
      <c r="T90" s="961">
        <f t="shared" si="9"/>
        <v>0</v>
      </c>
      <c r="U90" s="961" t="str">
        <f>IF(T90&lt;'PlayerGrades+'!$AI$21,"F-",IF(T90&lt;'PlayerGrades+'!$AI$20,"F",IF(T90&lt;'PlayerGrades+'!$AI$19,"F+",IF(T90&lt;'PlayerGrades+'!$AI$18,"E-",IF(T90&lt;'PlayerGrades+'!$AI$17,"E",IF(T90&lt;'PlayerGrades+'!$AI$16,"E+",IF(T90&lt;'PlayerGrades+'!$AI$15,"D-",IF(T90&lt;'PlayerGrades+'!$AI$14,"D",IF(T90&lt;'PlayerGrades+'!$AI$13,"D+",IF(T90&lt;'PlayerGrades+'!$AI$12,"C-",IF(T90&lt;'PlayerGrades+'!$AI$11,"C",IF(T90&lt;'PlayerGrades+'!$AI$10,"C+",IF(T90&lt;'PlayerGrades+'!$AI$9,"B-",IF(T90&lt;'PlayerGrades+'!$AI$8,"B",IF(T90&lt;'PlayerGrades+'!$AI$7,"B+",IF(T90&lt;'PlayerGrades+'!$AI$6,"A-",IF(T90&lt;'PlayerGrades+'!$AI$5,"A",IF(T90&lt;'PlayerGrades+'!$AI$4,"A+",IF(T90&lt;'PlayerGrades+'!$AI$3,"S-",IF(T90&lt;'PlayerGrades+'!$AI$2,"S","S+"))))))))))))))))))))</f>
        <v>F-</v>
      </c>
      <c r="V90" s="1379"/>
      <c r="W90" s="1379"/>
      <c r="X90" s="1379"/>
      <c r="Y90" s="1379"/>
      <c r="Z90" s="1379"/>
      <c r="AA90" s="1379"/>
      <c r="AB90" s="1379"/>
      <c r="AC90" s="1390"/>
      <c r="AD90" s="1379"/>
      <c r="AE90" s="1379"/>
      <c r="AF90" s="1379"/>
      <c r="AG90" s="1379"/>
      <c r="AH90" s="1379"/>
      <c r="AI90" s="1379"/>
      <c r="AJ90" s="1379"/>
      <c r="AK90" s="1379"/>
      <c r="AL90" s="1379"/>
      <c r="AM90" s="1379"/>
      <c r="AN90" s="1379"/>
      <c r="AO90" s="1379"/>
      <c r="AP90" s="1379"/>
      <c r="AQ90" s="1379"/>
      <c r="AR90" s="1379"/>
      <c r="AS90" s="1379"/>
      <c r="AT90" s="1379"/>
      <c r="AU90" s="1379"/>
      <c r="AV90" s="1379"/>
      <c r="AW90" s="1379"/>
      <c r="AX90" s="1379"/>
      <c r="AY90" s="1379"/>
      <c r="AZ90" s="1379"/>
    </row>
    <row r="91">
      <c r="A91" s="1391"/>
      <c r="B91" s="611" t="str">
        <f>IF(C91&lt;'PlayerGrades+'!$Y$44,"F-",IF(C91&lt;'PlayerGrades+'!$Y$43,"F",IF(C91&lt;'PlayerGrades+'!$Y$42,"F+",IF(C91&lt;'PlayerGrades+'!$Y$41,"E-",IF(C91&lt;'PlayerGrades+'!$Y$40,"E",IF(C91&lt;'PlayerGrades+'!$Y$39,"E+",IF(C91&lt;'PlayerGrades+'!$Y$38,"D-",IF(C91&lt;'PlayerGrades+'!$Y$37,"D",IF(C91&lt;'PlayerGrades+'!$Y$36,"D+",IF(C91&lt;'PlayerGrades+'!$Y$35,"C-",IF(C91&lt;'PlayerGrades+'!$Y$34,"C",IF(C91&lt;'PlayerGrades+'!$Y$33,"C+",IF(C91&lt;'PlayerGrades+'!$Y$32,"B-",IF(C91&lt;'PlayerGrades+'!$Y$31,"B",IF(C91&lt;'PlayerGrades+'!$Y$30,"B+",IF(C91&lt;'PlayerGrades+'!$Y$29,"A-",IF(C91&lt;'PlayerGrades+'!$Y$28,"A",IF(C91&lt;'PlayerGrades+'!$Y$27,"A+",IF(C91&lt;'PlayerGrades+'!$Y$26,"S-",IF(C91&lt;'PlayerGrades+'!$Y$25,"S","S+"))))))))))))))))))))</f>
        <v>#DIV/0!</v>
      </c>
      <c r="C91" s="1378" t="str">
        <f>('PlayerGrades+'!$Y$47*(VLOOKUP(E91, 'PlayerGrades+'!$X$3:$Y$23, 2, FALSE)))+('PlayerGrades+'!$Y$48*(VLOOKUP(G91, 'PlayerGrades+'!$X$3:$Y$23, 2, FALSE)))+('PlayerGrades+'!$Y$49*(VLOOKUP(I91, 'PlayerGrades+'!$X$3:$Y$23, 2, FALSE)))+('PlayerGrades+'!$Y$50*(VLOOKUP(K91, 'PlayerGrades+'!$X$3:$Y$23, 2, FALSE)))+('PlayerGrades+'!$Y$51*(VLOOKUP(M91, 'PlayerGrades+'!$X$3:$Y$23, 2, FALSE)))+('PlayerGrades+'!$Y$52*(VLOOKUP(O91, 'PlayerGrades+'!$X$3:$Y$23, 2, FALSE)))+('PlayerGrades+'!$Y$53*(VLOOKUP(Q91, 'PlayerGrades+'!$X$3:$Y$23, 2, FALSE)))+('PlayerGrades+'!$Y$54*(VLOOKUP(S91, 'PlayerGrades+'!$X$3:$Y$23, 2, FALSE)))+('PlayerGrades+'!$Y$55*(VLOOKUP(U91, 'PlayerGrades+'!$X$3:$Y$23, 2, FALSE)))</f>
        <v>#DIV/0!</v>
      </c>
      <c r="D91" s="961" t="str">
        <f t="shared" si="1"/>
        <v>#DIV/0!</v>
      </c>
      <c r="E91" s="961" t="str">
        <f>IF(D91&lt;'PlayerGrades+'!$AA$21,"F-",IF(D91&lt;'PlayerGrades+'!$AA$20,"F",IF(D91&lt;'PlayerGrades+'!$AA$19,"F+",IF(D91&lt;'PlayerGrades+'!$AA$18,"E-",IF(D91&lt;'PlayerGrades+'!$AA$17,"E",IF(D91&lt;'PlayerGrades+'!$AA$16,"E+",IF(D91&lt;'PlayerGrades+'!$AA$15,"D-",IF(D91&lt;'PlayerGrades+'!$AA$14,"D",IF(D91&lt;'PlayerGrades+'!$AA$13,"D+",IF(D91&lt;'PlayerGrades+'!$AA$12,"C-",IF(D91&lt;'PlayerGrades+'!$AA$11,"C",IF(D91&lt;'PlayerGrades+'!$AA$10,"C+",IF(D91&lt;'PlayerGrades+'!$AA$9,"B-",IF(D91&lt;'PlayerGrades+'!$AA$8,"B",IF(D91&lt;'PlayerGrades+'!$AA$7,"B+",IF(D91&lt;'PlayerGrades+'!$AA$6,"A-",IF(D91&lt;'PlayerGrades+'!$AA$5,"A",IF(D91&lt;'PlayerGrades+'!$AA$4,"A+",IF(D91&lt;'PlayerGrades+'!$AA$3,"S-",IF(D91&lt;'PlayerGrades+'!$AA$2,"S","S+"))))))))))))))))))))</f>
        <v>#DIV/0!</v>
      </c>
      <c r="F91" s="961" t="str">
        <f t="shared" si="2"/>
        <v>#DIV/0!</v>
      </c>
      <c r="G91" s="961" t="str">
        <f>IF(F91&lt;'PlayerGrades+'!$AB$21,"F-",IF(F91&lt;'PlayerGrades+'!$AB$20,"F",IF(F91&lt;'PlayerGrades+'!$AB$19,"F+",IF(F91&lt;'PlayerGrades+'!$AB$18,"E-",IF(F91&lt;'PlayerGrades+'!$AB$17,"E",IF(F91&lt;'PlayerGrades+'!$AB$16,"E+",IF(F91&lt;'PlayerGrades+'!$AB$15,"D-",IF(F91&lt;'PlayerGrades+'!$AB$14,"D",IF(F91&lt;'PlayerGrades+'!$AB$13,"D+",IF(F91&lt;'PlayerGrades+'!$AB$12,"C-",IF(F91&lt;'PlayerGrades+'!$AB$11,"C",IF(F91&lt;'PlayerGrades+'!$AB$10,"C+",IF(F91&lt;'PlayerGrades+'!$AB$9,"B-",IF(F91&lt;'PlayerGrades+'!$AB$8,"B",IF(F91&lt;'PlayerGrades+'!$AB$7,"B+",IF(F91&lt;'PlayerGrades+'!$AB$6,"A-",IF(F91&lt;'PlayerGrades+'!$AB$5,"A",IF(F91&lt;'PlayerGrades+'!$AB$4,"A+",IF(F91&lt;'PlayerGrades+'!$AB$3,"S-",IF(F91&lt;'PlayerGrades+'!$AB$2,"S","S+"))))))))))))))))))))</f>
        <v>#DIV/0!</v>
      </c>
      <c r="H91" s="961" t="str">
        <f t="shared" si="3"/>
        <v>#DIV/0!</v>
      </c>
      <c r="I91" s="961" t="str">
        <f>IF(H91&lt;'PlayerGrades+'!$AC$21,"F-",IF(H91&lt;'PlayerGrades+'!$AC$20,"F",IF(H91&lt;'PlayerGrades+'!$AC$19,"F+",IF(H91&lt;'PlayerGrades+'!$AC$18,"E-",IF(H91&lt;'PlayerGrades+'!$AC$17,"E",IF(H91&lt;'PlayerGrades+'!$AC$16,"E+",IF(H91&lt;'PlayerGrades+'!$AC$15,"D-",IF(H91&lt;'PlayerGrades+'!$AC$14,"D",IF(H91&lt;'PlayerGrades+'!$AC$13,"D+",IF(H91&lt;'PlayerGrades+'!$AC$12,"C-",IF(H91&lt;'PlayerGrades+'!$AC$11,"C",IF(H91&lt;'PlayerGrades+'!$AC$10,"C+",IF(H91&lt;'PlayerGrades+'!$AC$9,"B-",IF(H91&lt;'PlayerGrades+'!$AC$8,"B",IF(H91&lt;'PlayerGrades+'!$AC$7,"B+",IF(H91&lt;'PlayerGrades+'!$AC$6,"A-",IF(H91&lt;'PlayerGrades+'!$AC$5,"A",IF(H91&lt;'PlayerGrades+'!$AC$4,"A+",IF(H91&lt;'PlayerGrades+'!$AC$3,"S-",IF(H91&lt;'PlayerGrades+'!$AC$2,"S","S+"))))))))))))))))))))</f>
        <v>#DIV/0!</v>
      </c>
      <c r="J91" s="961" t="str">
        <f t="shared" si="4"/>
        <v>#DIV/0!</v>
      </c>
      <c r="K91" s="961" t="str">
        <f>IF(J91&lt;'PlayerGrades+'!$AD$21,"F-",IF(J91&lt;'PlayerGrades+'!$AD$20,"F",IF(J91&lt;'PlayerGrades+'!$AD$19,"F+",IF(J91&lt;'PlayerGrades+'!$AD$18,"E-",IF(J91&lt;'PlayerGrades+'!$AD$17,"E",IF(J91&lt;'PlayerGrades+'!$AD$16,"E+",IF(J91&lt;'PlayerGrades+'!$AD$15,"D-",IF(J91&lt;'PlayerGrades+'!$AD$14,"D",IF(J91&lt;'PlayerGrades+'!$AD$13,"D+",IF(J91&lt;'PlayerGrades+'!$AD$12,"C-",IF(J91&lt;'PlayerGrades+'!$AD$11,"C",IF(J91&lt;'PlayerGrades+'!$AD$10,"C+",IF(J91&lt;'PlayerGrades+'!$AD$9,"B-",IF(J91&lt;'PlayerGrades+'!$AD$8,"B",IF(J91&lt;'PlayerGrades+'!$AD$7,"B+",IF(J91&lt;'PlayerGrades+'!$AD$6,"A-",IF(J91&lt;'PlayerGrades+'!$AD$5,"A",IF(J91&lt;'PlayerGrades+'!$AD$4,"A+",IF(J91&lt;'PlayerGrades+'!$AD$3,"S-",IF(J91&lt;'PlayerGrades+'!$AD$2,"S","S+"))))))))))))))))))))</f>
        <v>#DIV/0!</v>
      </c>
      <c r="L91" s="1176" t="str">
        <f t="shared" si="5"/>
        <v>#DIV/0!</v>
      </c>
      <c r="M91" s="992" t="str">
        <f>IF(L91&lt;'PlayerGrades+'!$AE$21,"F-",IF(L91&lt;'PlayerGrades+'!$AE$20,"F",IF(L91&lt;'PlayerGrades+'!$AE$19,"F+",IF(L91&lt;'PlayerGrades+'!$AE$18,"E-",IF(L91&lt;'PlayerGrades+'!$AE$17,"E",IF(L91&lt;'PlayerGrades+'!$AE$16,"E+",IF(L91&lt;'PlayerGrades+'!$AE$15,"D-",IF(L91&lt;'PlayerGrades+'!$AE$14,"D",IF(L91&lt;'PlayerGrades+'!$AE$13,"D+",IF(L91&lt;'PlayerGrades+'!$AE$12,"C-",IF(L91&lt;'PlayerGrades+'!$AE$11,"C",IF(L91&lt;'PlayerGrades+'!$AE$10,"C+",IF(L91&lt;'PlayerGrades+'!$AE$9,"B-",IF(L91&lt;'PlayerGrades+'!$AE$8,"B",IF(L91&lt;'PlayerGrades+'!$AE$7,"B+",IF(L91&lt;'PlayerGrades+'!$AE$6,"A-",IF(L91&lt;'PlayerGrades+'!$AE$5,"A",IF(L91&lt;'PlayerGrades+'!$AE$4,"A+",IF(L91&lt;'PlayerGrades+'!$AE$3,"S-",IF(L91&lt;'PlayerGrades+'!$AE$2,"S","S+"))))))))))))))))))))</f>
        <v>#DIV/0!</v>
      </c>
      <c r="N91" s="961" t="str">
        <f t="shared" si="6"/>
        <v>#DIV/0!</v>
      </c>
      <c r="O91" s="961" t="str">
        <f>IF(N91&lt;'PlayerGrades+'!$AF$21,"F-",IF(N91&lt;'PlayerGrades+'!$AF$20,"F",IF(N91&lt;'PlayerGrades+'!$AF$19,"F+",IF(N91&lt;'PlayerGrades+'!$AF$18,"E-",IF(N91&lt;'PlayerGrades+'!$AF$17,"E",IF(N91&lt;'PlayerGrades+'!$AF$16,"E+",IF(N91&lt;'PlayerGrades+'!$AF$15,"D-",IF(N91&lt;'PlayerGrades+'!$AF$14,"D",IF(N91&lt;'PlayerGrades+'!$AF$13,"D+",IF(N91&lt;'PlayerGrades+'!$AF$12,"C-",IF(N91&lt;'PlayerGrades+'!$AF$11,"C",IF(N91&lt;'PlayerGrades+'!$AF$10,"C+",IF(N91&lt;'PlayerGrades+'!$AF$9,"B-",IF(N91&lt;'PlayerGrades+'!$AF$8,"B",IF(N91&lt;'PlayerGrades+'!$AF$7,"B+",IF(N91&lt;'PlayerGrades+'!$AF$6,"A-",IF(N91&lt;'PlayerGrades+'!$AF$5,"A",IF(N91&lt;'PlayerGrades+'!$AF$4,"A+",IF(N91&lt;'PlayerGrades+'!$AF$3,"S-",IF(N91&lt;'PlayerGrades+'!$AF$2,"S","S+"))))))))))))))))))))</f>
        <v>#DIV/0!</v>
      </c>
      <c r="P91" s="961" t="str">
        <f t="shared" si="7"/>
        <v>#DIV/0!</v>
      </c>
      <c r="Q91" s="961" t="str">
        <f>IF(P91&lt;'PlayerGrades+'!$AG$21,"F-",IF(P91&lt;'PlayerGrades+'!$AG$20,"F",IF(P91&lt;'PlayerGrades+'!$AG$19,"F+",IF(P91&lt;'PlayerGrades+'!$AG$18,"E-",IF(P91&lt;'PlayerGrades+'!$AG$17,"E",IF(P91&lt;'PlayerGrades+'!$AG$16,"E+",IF(P91&lt;'PlayerGrades+'!$AG$15,"D-",IF(P91&lt;'PlayerGrades+'!$AG$14,"D",IF(P91&lt;'PlayerGrades+'!$AG$13,"D+",IF(P91&lt;'PlayerGrades+'!$AG$12,"C-",IF(P91&lt;'PlayerGrades+'!$AG$11,"C",IF(P91&lt;'PlayerGrades+'!$AG$10,"C+",IF(P91&lt;'PlayerGrades+'!$AG$9,"B-",IF(P91&lt;'PlayerGrades+'!$AG$8,"B",IF(P91&lt;'PlayerGrades+'!$AG$7,"B+",IF(P91&lt;'PlayerGrades+'!$AG$6,"A-",IF(P91&lt;'PlayerGrades+'!$AG$5,"A",IF(P91&lt;'PlayerGrades+'!$AG$4,"A+",IF(P91&lt;'PlayerGrades+'!$AG$3,"S-",IF(P91&lt;'PlayerGrades+'!$AG$2,"S","S+"))))))))))))))))))))</f>
        <v>#DIV/0!</v>
      </c>
      <c r="R91" s="961" t="str">
        <f t="shared" si="8"/>
        <v>#DIV/0!</v>
      </c>
      <c r="S91" s="961" t="str">
        <f>IF(R91&lt;'PlayerGrades+'!$AH$21,"F-",IF(R91&lt;'PlayerGrades+'!$AH$20,"F",IF(R91&lt;'PlayerGrades+'!$AH$19,"F+",IF(R91&lt;'PlayerGrades+'!$AH$18,"E-",IF(R91&lt;'PlayerGrades+'!$AH$17,"E",IF(R91&lt;'PlayerGrades+'!$AH$16,"E+",IF(R91&lt;'PlayerGrades+'!$AH$15,"D-",IF(R91&lt;'PlayerGrades+'!$AH$14,"D",IF(R91&lt;'PlayerGrades+'!$AH$13,"D+",IF(R91&lt;'PlayerGrades+'!$AH$12,"C-",IF(R91&lt;'PlayerGrades+'!$AH$11,"C",IF(R91&lt;'PlayerGrades+'!$AH$10,"C+",IF(R91&lt;'PlayerGrades+'!$AH$9,"B-",IF(R91&lt;'PlayerGrades+'!$AH$8,"B",IF(R91&lt;'PlayerGrades+'!$AH$7,"B+",IF(R91&lt;'PlayerGrades+'!$AH$6,"A-",IF(R91&lt;'PlayerGrades+'!$AH$5,"A",IF(R91&lt;'PlayerGrades+'!$AH$4,"A+",IF(R91&lt;'PlayerGrades+'!$AH$3,"S-",IF(R91&lt;'PlayerGrades+'!$AH$2,"S","S+"))))))))))))))))))))</f>
        <v>#DIV/0!</v>
      </c>
      <c r="T91" s="961">
        <f t="shared" si="9"/>
        <v>0</v>
      </c>
      <c r="U91" s="961" t="str">
        <f>IF(T91&lt;'PlayerGrades+'!$AI$21,"F-",IF(T91&lt;'PlayerGrades+'!$AI$20,"F",IF(T91&lt;'PlayerGrades+'!$AI$19,"F+",IF(T91&lt;'PlayerGrades+'!$AI$18,"E-",IF(T91&lt;'PlayerGrades+'!$AI$17,"E",IF(T91&lt;'PlayerGrades+'!$AI$16,"E+",IF(T91&lt;'PlayerGrades+'!$AI$15,"D-",IF(T91&lt;'PlayerGrades+'!$AI$14,"D",IF(T91&lt;'PlayerGrades+'!$AI$13,"D+",IF(T91&lt;'PlayerGrades+'!$AI$12,"C-",IF(T91&lt;'PlayerGrades+'!$AI$11,"C",IF(T91&lt;'PlayerGrades+'!$AI$10,"C+",IF(T91&lt;'PlayerGrades+'!$AI$9,"B-",IF(T91&lt;'PlayerGrades+'!$AI$8,"B",IF(T91&lt;'PlayerGrades+'!$AI$7,"B+",IF(T91&lt;'PlayerGrades+'!$AI$6,"A-",IF(T91&lt;'PlayerGrades+'!$AI$5,"A",IF(T91&lt;'PlayerGrades+'!$AI$4,"A+",IF(T91&lt;'PlayerGrades+'!$AI$3,"S-",IF(T91&lt;'PlayerGrades+'!$AI$2,"S","S+"))))))))))))))))))))</f>
        <v>F-</v>
      </c>
      <c r="AC91" s="1392"/>
    </row>
    <row r="92">
      <c r="A92" s="1391"/>
      <c r="B92" s="611" t="str">
        <f>IF(C92&lt;'PlayerGrades+'!$Y$44,"F-",IF(C92&lt;'PlayerGrades+'!$Y$43,"F",IF(C92&lt;'PlayerGrades+'!$Y$42,"F+",IF(C92&lt;'PlayerGrades+'!$Y$41,"E-",IF(C92&lt;'PlayerGrades+'!$Y$40,"E",IF(C92&lt;'PlayerGrades+'!$Y$39,"E+",IF(C92&lt;'PlayerGrades+'!$Y$38,"D-",IF(C92&lt;'PlayerGrades+'!$Y$37,"D",IF(C92&lt;'PlayerGrades+'!$Y$36,"D+",IF(C92&lt;'PlayerGrades+'!$Y$35,"C-",IF(C92&lt;'PlayerGrades+'!$Y$34,"C",IF(C92&lt;'PlayerGrades+'!$Y$33,"C+",IF(C92&lt;'PlayerGrades+'!$Y$32,"B-",IF(C92&lt;'PlayerGrades+'!$Y$31,"B",IF(C92&lt;'PlayerGrades+'!$Y$30,"B+",IF(C92&lt;'PlayerGrades+'!$Y$29,"A-",IF(C92&lt;'PlayerGrades+'!$Y$28,"A",IF(C92&lt;'PlayerGrades+'!$Y$27,"A+",IF(C92&lt;'PlayerGrades+'!$Y$26,"S-",IF(C92&lt;'PlayerGrades+'!$Y$25,"S","S+"))))))))))))))))))))</f>
        <v>#DIV/0!</v>
      </c>
      <c r="C92" s="1378" t="str">
        <f>('PlayerGrades+'!$Y$47*(VLOOKUP(E92, 'PlayerGrades+'!$X$3:$Y$23, 2, FALSE)))+('PlayerGrades+'!$Y$48*(VLOOKUP(G92, 'PlayerGrades+'!$X$3:$Y$23, 2, FALSE)))+('PlayerGrades+'!$Y$49*(VLOOKUP(I92, 'PlayerGrades+'!$X$3:$Y$23, 2, FALSE)))+('PlayerGrades+'!$Y$50*(VLOOKUP(K92, 'PlayerGrades+'!$X$3:$Y$23, 2, FALSE)))+('PlayerGrades+'!$Y$51*(VLOOKUP(M92, 'PlayerGrades+'!$X$3:$Y$23, 2, FALSE)))+('PlayerGrades+'!$Y$52*(VLOOKUP(O92, 'PlayerGrades+'!$X$3:$Y$23, 2, FALSE)))+('PlayerGrades+'!$Y$53*(VLOOKUP(Q92, 'PlayerGrades+'!$X$3:$Y$23, 2, FALSE)))+('PlayerGrades+'!$Y$54*(VLOOKUP(S92, 'PlayerGrades+'!$X$3:$Y$23, 2, FALSE)))+('PlayerGrades+'!$Y$55*(VLOOKUP(U92, 'PlayerGrades+'!$X$3:$Y$23, 2, FALSE)))</f>
        <v>#DIV/0!</v>
      </c>
      <c r="D92" s="961" t="str">
        <f t="shared" si="1"/>
        <v>#DIV/0!</v>
      </c>
      <c r="E92" s="961" t="str">
        <f>IF(D92&lt;'PlayerGrades+'!$AA$21,"F-",IF(D92&lt;'PlayerGrades+'!$AA$20,"F",IF(D92&lt;'PlayerGrades+'!$AA$19,"F+",IF(D92&lt;'PlayerGrades+'!$AA$18,"E-",IF(D92&lt;'PlayerGrades+'!$AA$17,"E",IF(D92&lt;'PlayerGrades+'!$AA$16,"E+",IF(D92&lt;'PlayerGrades+'!$AA$15,"D-",IF(D92&lt;'PlayerGrades+'!$AA$14,"D",IF(D92&lt;'PlayerGrades+'!$AA$13,"D+",IF(D92&lt;'PlayerGrades+'!$AA$12,"C-",IF(D92&lt;'PlayerGrades+'!$AA$11,"C",IF(D92&lt;'PlayerGrades+'!$AA$10,"C+",IF(D92&lt;'PlayerGrades+'!$AA$9,"B-",IF(D92&lt;'PlayerGrades+'!$AA$8,"B",IF(D92&lt;'PlayerGrades+'!$AA$7,"B+",IF(D92&lt;'PlayerGrades+'!$AA$6,"A-",IF(D92&lt;'PlayerGrades+'!$AA$5,"A",IF(D92&lt;'PlayerGrades+'!$AA$4,"A+",IF(D92&lt;'PlayerGrades+'!$AA$3,"S-",IF(D92&lt;'PlayerGrades+'!$AA$2,"S","S+"))))))))))))))))))))</f>
        <v>#DIV/0!</v>
      </c>
      <c r="F92" s="961" t="str">
        <f t="shared" si="2"/>
        <v>#DIV/0!</v>
      </c>
      <c r="G92" s="961" t="str">
        <f>IF(F92&lt;'PlayerGrades+'!$AB$21,"F-",IF(F92&lt;'PlayerGrades+'!$AB$20,"F",IF(F92&lt;'PlayerGrades+'!$AB$19,"F+",IF(F92&lt;'PlayerGrades+'!$AB$18,"E-",IF(F92&lt;'PlayerGrades+'!$AB$17,"E",IF(F92&lt;'PlayerGrades+'!$AB$16,"E+",IF(F92&lt;'PlayerGrades+'!$AB$15,"D-",IF(F92&lt;'PlayerGrades+'!$AB$14,"D",IF(F92&lt;'PlayerGrades+'!$AB$13,"D+",IF(F92&lt;'PlayerGrades+'!$AB$12,"C-",IF(F92&lt;'PlayerGrades+'!$AB$11,"C",IF(F92&lt;'PlayerGrades+'!$AB$10,"C+",IF(F92&lt;'PlayerGrades+'!$AB$9,"B-",IF(F92&lt;'PlayerGrades+'!$AB$8,"B",IF(F92&lt;'PlayerGrades+'!$AB$7,"B+",IF(F92&lt;'PlayerGrades+'!$AB$6,"A-",IF(F92&lt;'PlayerGrades+'!$AB$5,"A",IF(F92&lt;'PlayerGrades+'!$AB$4,"A+",IF(F92&lt;'PlayerGrades+'!$AB$3,"S-",IF(F92&lt;'PlayerGrades+'!$AB$2,"S","S+"))))))))))))))))))))</f>
        <v>#DIV/0!</v>
      </c>
      <c r="H92" s="961" t="str">
        <f t="shared" si="3"/>
        <v>#DIV/0!</v>
      </c>
      <c r="I92" s="961" t="str">
        <f>IF(H92&lt;'PlayerGrades+'!$AC$21,"F-",IF(H92&lt;'PlayerGrades+'!$AC$20,"F",IF(H92&lt;'PlayerGrades+'!$AC$19,"F+",IF(H92&lt;'PlayerGrades+'!$AC$18,"E-",IF(H92&lt;'PlayerGrades+'!$AC$17,"E",IF(H92&lt;'PlayerGrades+'!$AC$16,"E+",IF(H92&lt;'PlayerGrades+'!$AC$15,"D-",IF(H92&lt;'PlayerGrades+'!$AC$14,"D",IF(H92&lt;'PlayerGrades+'!$AC$13,"D+",IF(H92&lt;'PlayerGrades+'!$AC$12,"C-",IF(H92&lt;'PlayerGrades+'!$AC$11,"C",IF(H92&lt;'PlayerGrades+'!$AC$10,"C+",IF(H92&lt;'PlayerGrades+'!$AC$9,"B-",IF(H92&lt;'PlayerGrades+'!$AC$8,"B",IF(H92&lt;'PlayerGrades+'!$AC$7,"B+",IF(H92&lt;'PlayerGrades+'!$AC$6,"A-",IF(H92&lt;'PlayerGrades+'!$AC$5,"A",IF(H92&lt;'PlayerGrades+'!$AC$4,"A+",IF(H92&lt;'PlayerGrades+'!$AC$3,"S-",IF(H92&lt;'PlayerGrades+'!$AC$2,"S","S+"))))))))))))))))))))</f>
        <v>#DIV/0!</v>
      </c>
      <c r="J92" s="961" t="str">
        <f t="shared" si="4"/>
        <v>#DIV/0!</v>
      </c>
      <c r="K92" s="961" t="str">
        <f>IF(J92&lt;'PlayerGrades+'!$AD$21,"F-",IF(J92&lt;'PlayerGrades+'!$AD$20,"F",IF(J92&lt;'PlayerGrades+'!$AD$19,"F+",IF(J92&lt;'PlayerGrades+'!$AD$18,"E-",IF(J92&lt;'PlayerGrades+'!$AD$17,"E",IF(J92&lt;'PlayerGrades+'!$AD$16,"E+",IF(J92&lt;'PlayerGrades+'!$AD$15,"D-",IF(J92&lt;'PlayerGrades+'!$AD$14,"D",IF(J92&lt;'PlayerGrades+'!$AD$13,"D+",IF(J92&lt;'PlayerGrades+'!$AD$12,"C-",IF(J92&lt;'PlayerGrades+'!$AD$11,"C",IF(J92&lt;'PlayerGrades+'!$AD$10,"C+",IF(J92&lt;'PlayerGrades+'!$AD$9,"B-",IF(J92&lt;'PlayerGrades+'!$AD$8,"B",IF(J92&lt;'PlayerGrades+'!$AD$7,"B+",IF(J92&lt;'PlayerGrades+'!$AD$6,"A-",IF(J92&lt;'PlayerGrades+'!$AD$5,"A",IF(J92&lt;'PlayerGrades+'!$AD$4,"A+",IF(J92&lt;'PlayerGrades+'!$AD$3,"S-",IF(J92&lt;'PlayerGrades+'!$AD$2,"S","S+"))))))))))))))))))))</f>
        <v>#DIV/0!</v>
      </c>
      <c r="L92" s="1176" t="str">
        <f t="shared" si="5"/>
        <v>#DIV/0!</v>
      </c>
      <c r="M92" s="992" t="str">
        <f>IF(L92&lt;'PlayerGrades+'!$AE$21,"F-",IF(L92&lt;'PlayerGrades+'!$AE$20,"F",IF(L92&lt;'PlayerGrades+'!$AE$19,"F+",IF(L92&lt;'PlayerGrades+'!$AE$18,"E-",IF(L92&lt;'PlayerGrades+'!$AE$17,"E",IF(L92&lt;'PlayerGrades+'!$AE$16,"E+",IF(L92&lt;'PlayerGrades+'!$AE$15,"D-",IF(L92&lt;'PlayerGrades+'!$AE$14,"D",IF(L92&lt;'PlayerGrades+'!$AE$13,"D+",IF(L92&lt;'PlayerGrades+'!$AE$12,"C-",IF(L92&lt;'PlayerGrades+'!$AE$11,"C",IF(L92&lt;'PlayerGrades+'!$AE$10,"C+",IF(L92&lt;'PlayerGrades+'!$AE$9,"B-",IF(L92&lt;'PlayerGrades+'!$AE$8,"B",IF(L92&lt;'PlayerGrades+'!$AE$7,"B+",IF(L92&lt;'PlayerGrades+'!$AE$6,"A-",IF(L92&lt;'PlayerGrades+'!$AE$5,"A",IF(L92&lt;'PlayerGrades+'!$AE$4,"A+",IF(L92&lt;'PlayerGrades+'!$AE$3,"S-",IF(L92&lt;'PlayerGrades+'!$AE$2,"S","S+"))))))))))))))))))))</f>
        <v>#DIV/0!</v>
      </c>
      <c r="N92" s="961" t="str">
        <f t="shared" si="6"/>
        <v>#DIV/0!</v>
      </c>
      <c r="O92" s="961" t="str">
        <f>IF(N92&lt;'PlayerGrades+'!$AF$21,"F-",IF(N92&lt;'PlayerGrades+'!$AF$20,"F",IF(N92&lt;'PlayerGrades+'!$AF$19,"F+",IF(N92&lt;'PlayerGrades+'!$AF$18,"E-",IF(N92&lt;'PlayerGrades+'!$AF$17,"E",IF(N92&lt;'PlayerGrades+'!$AF$16,"E+",IF(N92&lt;'PlayerGrades+'!$AF$15,"D-",IF(N92&lt;'PlayerGrades+'!$AF$14,"D",IF(N92&lt;'PlayerGrades+'!$AF$13,"D+",IF(N92&lt;'PlayerGrades+'!$AF$12,"C-",IF(N92&lt;'PlayerGrades+'!$AF$11,"C",IF(N92&lt;'PlayerGrades+'!$AF$10,"C+",IF(N92&lt;'PlayerGrades+'!$AF$9,"B-",IF(N92&lt;'PlayerGrades+'!$AF$8,"B",IF(N92&lt;'PlayerGrades+'!$AF$7,"B+",IF(N92&lt;'PlayerGrades+'!$AF$6,"A-",IF(N92&lt;'PlayerGrades+'!$AF$5,"A",IF(N92&lt;'PlayerGrades+'!$AF$4,"A+",IF(N92&lt;'PlayerGrades+'!$AF$3,"S-",IF(N92&lt;'PlayerGrades+'!$AF$2,"S","S+"))))))))))))))))))))</f>
        <v>#DIV/0!</v>
      </c>
      <c r="P92" s="961" t="str">
        <f t="shared" si="7"/>
        <v>#DIV/0!</v>
      </c>
      <c r="Q92" s="961" t="str">
        <f>IF(P92&lt;'PlayerGrades+'!$AG$21,"F-",IF(P92&lt;'PlayerGrades+'!$AG$20,"F",IF(P92&lt;'PlayerGrades+'!$AG$19,"F+",IF(P92&lt;'PlayerGrades+'!$AG$18,"E-",IF(P92&lt;'PlayerGrades+'!$AG$17,"E",IF(P92&lt;'PlayerGrades+'!$AG$16,"E+",IF(P92&lt;'PlayerGrades+'!$AG$15,"D-",IF(P92&lt;'PlayerGrades+'!$AG$14,"D",IF(P92&lt;'PlayerGrades+'!$AG$13,"D+",IF(P92&lt;'PlayerGrades+'!$AG$12,"C-",IF(P92&lt;'PlayerGrades+'!$AG$11,"C",IF(P92&lt;'PlayerGrades+'!$AG$10,"C+",IF(P92&lt;'PlayerGrades+'!$AG$9,"B-",IF(P92&lt;'PlayerGrades+'!$AG$8,"B",IF(P92&lt;'PlayerGrades+'!$AG$7,"B+",IF(P92&lt;'PlayerGrades+'!$AG$6,"A-",IF(P92&lt;'PlayerGrades+'!$AG$5,"A",IF(P92&lt;'PlayerGrades+'!$AG$4,"A+",IF(P92&lt;'PlayerGrades+'!$AG$3,"S-",IF(P92&lt;'PlayerGrades+'!$AG$2,"S","S+"))))))))))))))))))))</f>
        <v>#DIV/0!</v>
      </c>
      <c r="R92" s="961" t="str">
        <f t="shared" si="8"/>
        <v>#DIV/0!</v>
      </c>
      <c r="S92" s="961" t="str">
        <f>IF(R92&lt;'PlayerGrades+'!$AH$21,"F-",IF(R92&lt;'PlayerGrades+'!$AH$20,"F",IF(R92&lt;'PlayerGrades+'!$AH$19,"F+",IF(R92&lt;'PlayerGrades+'!$AH$18,"E-",IF(R92&lt;'PlayerGrades+'!$AH$17,"E",IF(R92&lt;'PlayerGrades+'!$AH$16,"E+",IF(R92&lt;'PlayerGrades+'!$AH$15,"D-",IF(R92&lt;'PlayerGrades+'!$AH$14,"D",IF(R92&lt;'PlayerGrades+'!$AH$13,"D+",IF(R92&lt;'PlayerGrades+'!$AH$12,"C-",IF(R92&lt;'PlayerGrades+'!$AH$11,"C",IF(R92&lt;'PlayerGrades+'!$AH$10,"C+",IF(R92&lt;'PlayerGrades+'!$AH$9,"B-",IF(R92&lt;'PlayerGrades+'!$AH$8,"B",IF(R92&lt;'PlayerGrades+'!$AH$7,"B+",IF(R92&lt;'PlayerGrades+'!$AH$6,"A-",IF(R92&lt;'PlayerGrades+'!$AH$5,"A",IF(R92&lt;'PlayerGrades+'!$AH$4,"A+",IF(R92&lt;'PlayerGrades+'!$AH$3,"S-",IF(R92&lt;'PlayerGrades+'!$AH$2,"S","S+"))))))))))))))))))))</f>
        <v>#DIV/0!</v>
      </c>
      <c r="T92" s="961">
        <f t="shared" si="9"/>
        <v>0</v>
      </c>
      <c r="U92" s="961" t="str">
        <f>IF(T92&lt;'PlayerGrades+'!$AI$21,"F-",IF(T92&lt;'PlayerGrades+'!$AI$20,"F",IF(T92&lt;'PlayerGrades+'!$AI$19,"F+",IF(T92&lt;'PlayerGrades+'!$AI$18,"E-",IF(T92&lt;'PlayerGrades+'!$AI$17,"E",IF(T92&lt;'PlayerGrades+'!$AI$16,"E+",IF(T92&lt;'PlayerGrades+'!$AI$15,"D-",IF(T92&lt;'PlayerGrades+'!$AI$14,"D",IF(T92&lt;'PlayerGrades+'!$AI$13,"D+",IF(T92&lt;'PlayerGrades+'!$AI$12,"C-",IF(T92&lt;'PlayerGrades+'!$AI$11,"C",IF(T92&lt;'PlayerGrades+'!$AI$10,"C+",IF(T92&lt;'PlayerGrades+'!$AI$9,"B-",IF(T92&lt;'PlayerGrades+'!$AI$8,"B",IF(T92&lt;'PlayerGrades+'!$AI$7,"B+",IF(T92&lt;'PlayerGrades+'!$AI$6,"A-",IF(T92&lt;'PlayerGrades+'!$AI$5,"A",IF(T92&lt;'PlayerGrades+'!$AI$4,"A+",IF(T92&lt;'PlayerGrades+'!$AI$3,"S-",IF(T92&lt;'PlayerGrades+'!$AI$2,"S","S+"))))))))))))))))))))</f>
        <v>F-</v>
      </c>
      <c r="AC92" s="1392"/>
    </row>
    <row r="93">
      <c r="A93" s="1391"/>
      <c r="B93" s="611" t="str">
        <f>IF(C93&lt;'PlayerGrades+'!$Y$44,"F-",IF(C93&lt;'PlayerGrades+'!$Y$43,"F",IF(C93&lt;'PlayerGrades+'!$Y$42,"F+",IF(C93&lt;'PlayerGrades+'!$Y$41,"E-",IF(C93&lt;'PlayerGrades+'!$Y$40,"E",IF(C93&lt;'PlayerGrades+'!$Y$39,"E+",IF(C93&lt;'PlayerGrades+'!$Y$38,"D-",IF(C93&lt;'PlayerGrades+'!$Y$37,"D",IF(C93&lt;'PlayerGrades+'!$Y$36,"D+",IF(C93&lt;'PlayerGrades+'!$Y$35,"C-",IF(C93&lt;'PlayerGrades+'!$Y$34,"C",IF(C93&lt;'PlayerGrades+'!$Y$33,"C+",IF(C93&lt;'PlayerGrades+'!$Y$32,"B-",IF(C93&lt;'PlayerGrades+'!$Y$31,"B",IF(C93&lt;'PlayerGrades+'!$Y$30,"B+",IF(C93&lt;'PlayerGrades+'!$Y$29,"A-",IF(C93&lt;'PlayerGrades+'!$Y$28,"A",IF(C93&lt;'PlayerGrades+'!$Y$27,"A+",IF(C93&lt;'PlayerGrades+'!$Y$26,"S-",IF(C93&lt;'PlayerGrades+'!$Y$25,"S","S+"))))))))))))))))))))</f>
        <v>#DIV/0!</v>
      </c>
      <c r="C93" s="1378" t="str">
        <f>('PlayerGrades+'!$Y$47*(VLOOKUP(E93, 'PlayerGrades+'!$X$3:$Y$23, 2, FALSE)))+('PlayerGrades+'!$Y$48*(VLOOKUP(G93, 'PlayerGrades+'!$X$3:$Y$23, 2, FALSE)))+('PlayerGrades+'!$Y$49*(VLOOKUP(I93, 'PlayerGrades+'!$X$3:$Y$23, 2, FALSE)))+('PlayerGrades+'!$Y$50*(VLOOKUP(K93, 'PlayerGrades+'!$X$3:$Y$23, 2, FALSE)))+('PlayerGrades+'!$Y$51*(VLOOKUP(M93, 'PlayerGrades+'!$X$3:$Y$23, 2, FALSE)))+('PlayerGrades+'!$Y$52*(VLOOKUP(O93, 'PlayerGrades+'!$X$3:$Y$23, 2, FALSE)))+('PlayerGrades+'!$Y$53*(VLOOKUP(Q93, 'PlayerGrades+'!$X$3:$Y$23, 2, FALSE)))+('PlayerGrades+'!$Y$54*(VLOOKUP(S93, 'PlayerGrades+'!$X$3:$Y$23, 2, FALSE)))+('PlayerGrades+'!$Y$55*(VLOOKUP(U93, 'PlayerGrades+'!$X$3:$Y$23, 2, FALSE)))</f>
        <v>#DIV/0!</v>
      </c>
      <c r="D93" s="961" t="str">
        <f t="shared" si="1"/>
        <v>#DIV/0!</v>
      </c>
      <c r="E93" s="961" t="str">
        <f>IF(D93&lt;'PlayerGrades+'!$AA$21,"F-",IF(D93&lt;'PlayerGrades+'!$AA$20,"F",IF(D93&lt;'PlayerGrades+'!$AA$19,"F+",IF(D93&lt;'PlayerGrades+'!$AA$18,"E-",IF(D93&lt;'PlayerGrades+'!$AA$17,"E",IF(D93&lt;'PlayerGrades+'!$AA$16,"E+",IF(D93&lt;'PlayerGrades+'!$AA$15,"D-",IF(D93&lt;'PlayerGrades+'!$AA$14,"D",IF(D93&lt;'PlayerGrades+'!$AA$13,"D+",IF(D93&lt;'PlayerGrades+'!$AA$12,"C-",IF(D93&lt;'PlayerGrades+'!$AA$11,"C",IF(D93&lt;'PlayerGrades+'!$AA$10,"C+",IF(D93&lt;'PlayerGrades+'!$AA$9,"B-",IF(D93&lt;'PlayerGrades+'!$AA$8,"B",IF(D93&lt;'PlayerGrades+'!$AA$7,"B+",IF(D93&lt;'PlayerGrades+'!$AA$6,"A-",IF(D93&lt;'PlayerGrades+'!$AA$5,"A",IF(D93&lt;'PlayerGrades+'!$AA$4,"A+",IF(D93&lt;'PlayerGrades+'!$AA$3,"S-",IF(D93&lt;'PlayerGrades+'!$AA$2,"S","S+"))))))))))))))))))))</f>
        <v>#DIV/0!</v>
      </c>
      <c r="F93" s="961" t="str">
        <f t="shared" si="2"/>
        <v>#DIV/0!</v>
      </c>
      <c r="G93" s="961" t="str">
        <f>IF(F93&lt;'PlayerGrades+'!$AB$21,"F-",IF(F93&lt;'PlayerGrades+'!$AB$20,"F",IF(F93&lt;'PlayerGrades+'!$AB$19,"F+",IF(F93&lt;'PlayerGrades+'!$AB$18,"E-",IF(F93&lt;'PlayerGrades+'!$AB$17,"E",IF(F93&lt;'PlayerGrades+'!$AB$16,"E+",IF(F93&lt;'PlayerGrades+'!$AB$15,"D-",IF(F93&lt;'PlayerGrades+'!$AB$14,"D",IF(F93&lt;'PlayerGrades+'!$AB$13,"D+",IF(F93&lt;'PlayerGrades+'!$AB$12,"C-",IF(F93&lt;'PlayerGrades+'!$AB$11,"C",IF(F93&lt;'PlayerGrades+'!$AB$10,"C+",IF(F93&lt;'PlayerGrades+'!$AB$9,"B-",IF(F93&lt;'PlayerGrades+'!$AB$8,"B",IF(F93&lt;'PlayerGrades+'!$AB$7,"B+",IF(F93&lt;'PlayerGrades+'!$AB$6,"A-",IF(F93&lt;'PlayerGrades+'!$AB$5,"A",IF(F93&lt;'PlayerGrades+'!$AB$4,"A+",IF(F93&lt;'PlayerGrades+'!$AB$3,"S-",IF(F93&lt;'PlayerGrades+'!$AB$2,"S","S+"))))))))))))))))))))</f>
        <v>#DIV/0!</v>
      </c>
      <c r="H93" s="961" t="str">
        <f t="shared" si="3"/>
        <v>#DIV/0!</v>
      </c>
      <c r="I93" s="961" t="str">
        <f>IF(H93&lt;'PlayerGrades+'!$AC$21,"F-",IF(H93&lt;'PlayerGrades+'!$AC$20,"F",IF(H93&lt;'PlayerGrades+'!$AC$19,"F+",IF(H93&lt;'PlayerGrades+'!$AC$18,"E-",IF(H93&lt;'PlayerGrades+'!$AC$17,"E",IF(H93&lt;'PlayerGrades+'!$AC$16,"E+",IF(H93&lt;'PlayerGrades+'!$AC$15,"D-",IF(H93&lt;'PlayerGrades+'!$AC$14,"D",IF(H93&lt;'PlayerGrades+'!$AC$13,"D+",IF(H93&lt;'PlayerGrades+'!$AC$12,"C-",IF(H93&lt;'PlayerGrades+'!$AC$11,"C",IF(H93&lt;'PlayerGrades+'!$AC$10,"C+",IF(H93&lt;'PlayerGrades+'!$AC$9,"B-",IF(H93&lt;'PlayerGrades+'!$AC$8,"B",IF(H93&lt;'PlayerGrades+'!$AC$7,"B+",IF(H93&lt;'PlayerGrades+'!$AC$6,"A-",IF(H93&lt;'PlayerGrades+'!$AC$5,"A",IF(H93&lt;'PlayerGrades+'!$AC$4,"A+",IF(H93&lt;'PlayerGrades+'!$AC$3,"S-",IF(H93&lt;'PlayerGrades+'!$AC$2,"S","S+"))))))))))))))))))))</f>
        <v>#DIV/0!</v>
      </c>
      <c r="J93" s="961" t="str">
        <f t="shared" si="4"/>
        <v>#DIV/0!</v>
      </c>
      <c r="K93" s="961" t="str">
        <f>IF(J93&lt;'PlayerGrades+'!$AD$21,"F-",IF(J93&lt;'PlayerGrades+'!$AD$20,"F",IF(J93&lt;'PlayerGrades+'!$AD$19,"F+",IF(J93&lt;'PlayerGrades+'!$AD$18,"E-",IF(J93&lt;'PlayerGrades+'!$AD$17,"E",IF(J93&lt;'PlayerGrades+'!$AD$16,"E+",IF(J93&lt;'PlayerGrades+'!$AD$15,"D-",IF(J93&lt;'PlayerGrades+'!$AD$14,"D",IF(J93&lt;'PlayerGrades+'!$AD$13,"D+",IF(J93&lt;'PlayerGrades+'!$AD$12,"C-",IF(J93&lt;'PlayerGrades+'!$AD$11,"C",IF(J93&lt;'PlayerGrades+'!$AD$10,"C+",IF(J93&lt;'PlayerGrades+'!$AD$9,"B-",IF(J93&lt;'PlayerGrades+'!$AD$8,"B",IF(J93&lt;'PlayerGrades+'!$AD$7,"B+",IF(J93&lt;'PlayerGrades+'!$AD$6,"A-",IF(J93&lt;'PlayerGrades+'!$AD$5,"A",IF(J93&lt;'PlayerGrades+'!$AD$4,"A+",IF(J93&lt;'PlayerGrades+'!$AD$3,"S-",IF(J93&lt;'PlayerGrades+'!$AD$2,"S","S+"))))))))))))))))))))</f>
        <v>#DIV/0!</v>
      </c>
      <c r="L93" s="1176" t="str">
        <f t="shared" si="5"/>
        <v>#DIV/0!</v>
      </c>
      <c r="M93" s="992" t="str">
        <f>IF(L93&lt;'PlayerGrades+'!$AE$21,"F-",IF(L93&lt;'PlayerGrades+'!$AE$20,"F",IF(L93&lt;'PlayerGrades+'!$AE$19,"F+",IF(L93&lt;'PlayerGrades+'!$AE$18,"E-",IF(L93&lt;'PlayerGrades+'!$AE$17,"E",IF(L93&lt;'PlayerGrades+'!$AE$16,"E+",IF(L93&lt;'PlayerGrades+'!$AE$15,"D-",IF(L93&lt;'PlayerGrades+'!$AE$14,"D",IF(L93&lt;'PlayerGrades+'!$AE$13,"D+",IF(L93&lt;'PlayerGrades+'!$AE$12,"C-",IF(L93&lt;'PlayerGrades+'!$AE$11,"C",IF(L93&lt;'PlayerGrades+'!$AE$10,"C+",IF(L93&lt;'PlayerGrades+'!$AE$9,"B-",IF(L93&lt;'PlayerGrades+'!$AE$8,"B",IF(L93&lt;'PlayerGrades+'!$AE$7,"B+",IF(L93&lt;'PlayerGrades+'!$AE$6,"A-",IF(L93&lt;'PlayerGrades+'!$AE$5,"A",IF(L93&lt;'PlayerGrades+'!$AE$4,"A+",IF(L93&lt;'PlayerGrades+'!$AE$3,"S-",IF(L93&lt;'PlayerGrades+'!$AE$2,"S","S+"))))))))))))))))))))</f>
        <v>#DIV/0!</v>
      </c>
      <c r="N93" s="961" t="str">
        <f t="shared" si="6"/>
        <v>#DIV/0!</v>
      </c>
      <c r="O93" s="961" t="str">
        <f>IF(N93&lt;'PlayerGrades+'!$AF$21,"F-",IF(N93&lt;'PlayerGrades+'!$AF$20,"F",IF(N93&lt;'PlayerGrades+'!$AF$19,"F+",IF(N93&lt;'PlayerGrades+'!$AF$18,"E-",IF(N93&lt;'PlayerGrades+'!$AF$17,"E",IF(N93&lt;'PlayerGrades+'!$AF$16,"E+",IF(N93&lt;'PlayerGrades+'!$AF$15,"D-",IF(N93&lt;'PlayerGrades+'!$AF$14,"D",IF(N93&lt;'PlayerGrades+'!$AF$13,"D+",IF(N93&lt;'PlayerGrades+'!$AF$12,"C-",IF(N93&lt;'PlayerGrades+'!$AF$11,"C",IF(N93&lt;'PlayerGrades+'!$AF$10,"C+",IF(N93&lt;'PlayerGrades+'!$AF$9,"B-",IF(N93&lt;'PlayerGrades+'!$AF$8,"B",IF(N93&lt;'PlayerGrades+'!$AF$7,"B+",IF(N93&lt;'PlayerGrades+'!$AF$6,"A-",IF(N93&lt;'PlayerGrades+'!$AF$5,"A",IF(N93&lt;'PlayerGrades+'!$AF$4,"A+",IF(N93&lt;'PlayerGrades+'!$AF$3,"S-",IF(N93&lt;'PlayerGrades+'!$AF$2,"S","S+"))))))))))))))))))))</f>
        <v>#DIV/0!</v>
      </c>
      <c r="P93" s="961" t="str">
        <f t="shared" si="7"/>
        <v>#DIV/0!</v>
      </c>
      <c r="Q93" s="961" t="str">
        <f>IF(P93&lt;'PlayerGrades+'!$AG$21,"F-",IF(P93&lt;'PlayerGrades+'!$AG$20,"F",IF(P93&lt;'PlayerGrades+'!$AG$19,"F+",IF(P93&lt;'PlayerGrades+'!$AG$18,"E-",IF(P93&lt;'PlayerGrades+'!$AG$17,"E",IF(P93&lt;'PlayerGrades+'!$AG$16,"E+",IF(P93&lt;'PlayerGrades+'!$AG$15,"D-",IF(P93&lt;'PlayerGrades+'!$AG$14,"D",IF(P93&lt;'PlayerGrades+'!$AG$13,"D+",IF(P93&lt;'PlayerGrades+'!$AG$12,"C-",IF(P93&lt;'PlayerGrades+'!$AG$11,"C",IF(P93&lt;'PlayerGrades+'!$AG$10,"C+",IF(P93&lt;'PlayerGrades+'!$AG$9,"B-",IF(P93&lt;'PlayerGrades+'!$AG$8,"B",IF(P93&lt;'PlayerGrades+'!$AG$7,"B+",IF(P93&lt;'PlayerGrades+'!$AG$6,"A-",IF(P93&lt;'PlayerGrades+'!$AG$5,"A",IF(P93&lt;'PlayerGrades+'!$AG$4,"A+",IF(P93&lt;'PlayerGrades+'!$AG$3,"S-",IF(P93&lt;'PlayerGrades+'!$AG$2,"S","S+"))))))))))))))))))))</f>
        <v>#DIV/0!</v>
      </c>
      <c r="R93" s="961" t="str">
        <f t="shared" si="8"/>
        <v>#DIV/0!</v>
      </c>
      <c r="S93" s="961" t="str">
        <f>IF(R93&lt;'PlayerGrades+'!$AH$21,"F-",IF(R93&lt;'PlayerGrades+'!$AH$20,"F",IF(R93&lt;'PlayerGrades+'!$AH$19,"F+",IF(R93&lt;'PlayerGrades+'!$AH$18,"E-",IF(R93&lt;'PlayerGrades+'!$AH$17,"E",IF(R93&lt;'PlayerGrades+'!$AH$16,"E+",IF(R93&lt;'PlayerGrades+'!$AH$15,"D-",IF(R93&lt;'PlayerGrades+'!$AH$14,"D",IF(R93&lt;'PlayerGrades+'!$AH$13,"D+",IF(R93&lt;'PlayerGrades+'!$AH$12,"C-",IF(R93&lt;'PlayerGrades+'!$AH$11,"C",IF(R93&lt;'PlayerGrades+'!$AH$10,"C+",IF(R93&lt;'PlayerGrades+'!$AH$9,"B-",IF(R93&lt;'PlayerGrades+'!$AH$8,"B",IF(R93&lt;'PlayerGrades+'!$AH$7,"B+",IF(R93&lt;'PlayerGrades+'!$AH$6,"A-",IF(R93&lt;'PlayerGrades+'!$AH$5,"A",IF(R93&lt;'PlayerGrades+'!$AH$4,"A+",IF(R93&lt;'PlayerGrades+'!$AH$3,"S-",IF(R93&lt;'PlayerGrades+'!$AH$2,"S","S+"))))))))))))))))))))</f>
        <v>#DIV/0!</v>
      </c>
      <c r="T93" s="961">
        <f t="shared" si="9"/>
        <v>0</v>
      </c>
      <c r="U93" s="961" t="str">
        <f>IF(T93&lt;'PlayerGrades+'!$AI$21,"F-",IF(T93&lt;'PlayerGrades+'!$AI$20,"F",IF(T93&lt;'PlayerGrades+'!$AI$19,"F+",IF(T93&lt;'PlayerGrades+'!$AI$18,"E-",IF(T93&lt;'PlayerGrades+'!$AI$17,"E",IF(T93&lt;'PlayerGrades+'!$AI$16,"E+",IF(T93&lt;'PlayerGrades+'!$AI$15,"D-",IF(T93&lt;'PlayerGrades+'!$AI$14,"D",IF(T93&lt;'PlayerGrades+'!$AI$13,"D+",IF(T93&lt;'PlayerGrades+'!$AI$12,"C-",IF(T93&lt;'PlayerGrades+'!$AI$11,"C",IF(T93&lt;'PlayerGrades+'!$AI$10,"C+",IF(T93&lt;'PlayerGrades+'!$AI$9,"B-",IF(T93&lt;'PlayerGrades+'!$AI$8,"B",IF(T93&lt;'PlayerGrades+'!$AI$7,"B+",IF(T93&lt;'PlayerGrades+'!$AI$6,"A-",IF(T93&lt;'PlayerGrades+'!$AI$5,"A",IF(T93&lt;'PlayerGrades+'!$AI$4,"A+",IF(T93&lt;'PlayerGrades+'!$AI$3,"S-",IF(T93&lt;'PlayerGrades+'!$AI$2,"S","S+"))))))))))))))))))))</f>
        <v>F-</v>
      </c>
      <c r="AC93" s="1392"/>
    </row>
    <row r="94">
      <c r="A94" s="1391"/>
      <c r="B94" s="611" t="str">
        <f>IF(C94&lt;'PlayerGrades+'!$Y$44,"F-",IF(C94&lt;'PlayerGrades+'!$Y$43,"F",IF(C94&lt;'PlayerGrades+'!$Y$42,"F+",IF(C94&lt;'PlayerGrades+'!$Y$41,"E-",IF(C94&lt;'PlayerGrades+'!$Y$40,"E",IF(C94&lt;'PlayerGrades+'!$Y$39,"E+",IF(C94&lt;'PlayerGrades+'!$Y$38,"D-",IF(C94&lt;'PlayerGrades+'!$Y$37,"D",IF(C94&lt;'PlayerGrades+'!$Y$36,"D+",IF(C94&lt;'PlayerGrades+'!$Y$35,"C-",IF(C94&lt;'PlayerGrades+'!$Y$34,"C",IF(C94&lt;'PlayerGrades+'!$Y$33,"C+",IF(C94&lt;'PlayerGrades+'!$Y$32,"B-",IF(C94&lt;'PlayerGrades+'!$Y$31,"B",IF(C94&lt;'PlayerGrades+'!$Y$30,"B+",IF(C94&lt;'PlayerGrades+'!$Y$29,"A-",IF(C94&lt;'PlayerGrades+'!$Y$28,"A",IF(C94&lt;'PlayerGrades+'!$Y$27,"A+",IF(C94&lt;'PlayerGrades+'!$Y$26,"S-",IF(C94&lt;'PlayerGrades+'!$Y$25,"S","S+"))))))))))))))))))))</f>
        <v>#DIV/0!</v>
      </c>
      <c r="C94" s="1378" t="str">
        <f>('PlayerGrades+'!$Y$47*(VLOOKUP(E94, 'PlayerGrades+'!$X$3:$Y$23, 2, FALSE)))+('PlayerGrades+'!$Y$48*(VLOOKUP(G94, 'PlayerGrades+'!$X$3:$Y$23, 2, FALSE)))+('PlayerGrades+'!$Y$49*(VLOOKUP(I94, 'PlayerGrades+'!$X$3:$Y$23, 2, FALSE)))+('PlayerGrades+'!$Y$50*(VLOOKUP(K94, 'PlayerGrades+'!$X$3:$Y$23, 2, FALSE)))+('PlayerGrades+'!$Y$51*(VLOOKUP(M94, 'PlayerGrades+'!$X$3:$Y$23, 2, FALSE)))+('PlayerGrades+'!$Y$52*(VLOOKUP(O94, 'PlayerGrades+'!$X$3:$Y$23, 2, FALSE)))+('PlayerGrades+'!$Y$53*(VLOOKUP(Q94, 'PlayerGrades+'!$X$3:$Y$23, 2, FALSE)))+('PlayerGrades+'!$Y$54*(VLOOKUP(S94, 'PlayerGrades+'!$X$3:$Y$23, 2, FALSE)))+('PlayerGrades+'!$Y$55*(VLOOKUP(U94, 'PlayerGrades+'!$X$3:$Y$23, 2, FALSE)))</f>
        <v>#DIV/0!</v>
      </c>
      <c r="D94" s="961" t="str">
        <f t="shared" si="1"/>
        <v>#DIV/0!</v>
      </c>
      <c r="E94" s="961" t="str">
        <f>IF(D94&lt;'PlayerGrades+'!$AA$21,"F-",IF(D94&lt;'PlayerGrades+'!$AA$20,"F",IF(D94&lt;'PlayerGrades+'!$AA$19,"F+",IF(D94&lt;'PlayerGrades+'!$AA$18,"E-",IF(D94&lt;'PlayerGrades+'!$AA$17,"E",IF(D94&lt;'PlayerGrades+'!$AA$16,"E+",IF(D94&lt;'PlayerGrades+'!$AA$15,"D-",IF(D94&lt;'PlayerGrades+'!$AA$14,"D",IF(D94&lt;'PlayerGrades+'!$AA$13,"D+",IF(D94&lt;'PlayerGrades+'!$AA$12,"C-",IF(D94&lt;'PlayerGrades+'!$AA$11,"C",IF(D94&lt;'PlayerGrades+'!$AA$10,"C+",IF(D94&lt;'PlayerGrades+'!$AA$9,"B-",IF(D94&lt;'PlayerGrades+'!$AA$8,"B",IF(D94&lt;'PlayerGrades+'!$AA$7,"B+",IF(D94&lt;'PlayerGrades+'!$AA$6,"A-",IF(D94&lt;'PlayerGrades+'!$AA$5,"A",IF(D94&lt;'PlayerGrades+'!$AA$4,"A+",IF(D94&lt;'PlayerGrades+'!$AA$3,"S-",IF(D94&lt;'PlayerGrades+'!$AA$2,"S","S+"))))))))))))))))))))</f>
        <v>#DIV/0!</v>
      </c>
      <c r="F94" s="961" t="str">
        <f t="shared" si="2"/>
        <v>#DIV/0!</v>
      </c>
      <c r="G94" s="961" t="str">
        <f>IF(F94&lt;'PlayerGrades+'!$AB$21,"F-",IF(F94&lt;'PlayerGrades+'!$AB$20,"F",IF(F94&lt;'PlayerGrades+'!$AB$19,"F+",IF(F94&lt;'PlayerGrades+'!$AB$18,"E-",IF(F94&lt;'PlayerGrades+'!$AB$17,"E",IF(F94&lt;'PlayerGrades+'!$AB$16,"E+",IF(F94&lt;'PlayerGrades+'!$AB$15,"D-",IF(F94&lt;'PlayerGrades+'!$AB$14,"D",IF(F94&lt;'PlayerGrades+'!$AB$13,"D+",IF(F94&lt;'PlayerGrades+'!$AB$12,"C-",IF(F94&lt;'PlayerGrades+'!$AB$11,"C",IF(F94&lt;'PlayerGrades+'!$AB$10,"C+",IF(F94&lt;'PlayerGrades+'!$AB$9,"B-",IF(F94&lt;'PlayerGrades+'!$AB$8,"B",IF(F94&lt;'PlayerGrades+'!$AB$7,"B+",IF(F94&lt;'PlayerGrades+'!$AB$6,"A-",IF(F94&lt;'PlayerGrades+'!$AB$5,"A",IF(F94&lt;'PlayerGrades+'!$AB$4,"A+",IF(F94&lt;'PlayerGrades+'!$AB$3,"S-",IF(F94&lt;'PlayerGrades+'!$AB$2,"S","S+"))))))))))))))))))))</f>
        <v>#DIV/0!</v>
      </c>
      <c r="H94" s="961" t="str">
        <f t="shared" si="3"/>
        <v>#DIV/0!</v>
      </c>
      <c r="I94" s="961" t="str">
        <f>IF(H94&lt;'PlayerGrades+'!$AC$21,"F-",IF(H94&lt;'PlayerGrades+'!$AC$20,"F",IF(H94&lt;'PlayerGrades+'!$AC$19,"F+",IF(H94&lt;'PlayerGrades+'!$AC$18,"E-",IF(H94&lt;'PlayerGrades+'!$AC$17,"E",IF(H94&lt;'PlayerGrades+'!$AC$16,"E+",IF(H94&lt;'PlayerGrades+'!$AC$15,"D-",IF(H94&lt;'PlayerGrades+'!$AC$14,"D",IF(H94&lt;'PlayerGrades+'!$AC$13,"D+",IF(H94&lt;'PlayerGrades+'!$AC$12,"C-",IF(H94&lt;'PlayerGrades+'!$AC$11,"C",IF(H94&lt;'PlayerGrades+'!$AC$10,"C+",IF(H94&lt;'PlayerGrades+'!$AC$9,"B-",IF(H94&lt;'PlayerGrades+'!$AC$8,"B",IF(H94&lt;'PlayerGrades+'!$AC$7,"B+",IF(H94&lt;'PlayerGrades+'!$AC$6,"A-",IF(H94&lt;'PlayerGrades+'!$AC$5,"A",IF(H94&lt;'PlayerGrades+'!$AC$4,"A+",IF(H94&lt;'PlayerGrades+'!$AC$3,"S-",IF(H94&lt;'PlayerGrades+'!$AC$2,"S","S+"))))))))))))))))))))</f>
        <v>#DIV/0!</v>
      </c>
      <c r="J94" s="961" t="str">
        <f t="shared" si="4"/>
        <v>#DIV/0!</v>
      </c>
      <c r="K94" s="961" t="str">
        <f>IF(J94&lt;'PlayerGrades+'!$AD$21,"F-",IF(J94&lt;'PlayerGrades+'!$AD$20,"F",IF(J94&lt;'PlayerGrades+'!$AD$19,"F+",IF(J94&lt;'PlayerGrades+'!$AD$18,"E-",IF(J94&lt;'PlayerGrades+'!$AD$17,"E",IF(J94&lt;'PlayerGrades+'!$AD$16,"E+",IF(J94&lt;'PlayerGrades+'!$AD$15,"D-",IF(J94&lt;'PlayerGrades+'!$AD$14,"D",IF(J94&lt;'PlayerGrades+'!$AD$13,"D+",IF(J94&lt;'PlayerGrades+'!$AD$12,"C-",IF(J94&lt;'PlayerGrades+'!$AD$11,"C",IF(J94&lt;'PlayerGrades+'!$AD$10,"C+",IF(J94&lt;'PlayerGrades+'!$AD$9,"B-",IF(J94&lt;'PlayerGrades+'!$AD$8,"B",IF(J94&lt;'PlayerGrades+'!$AD$7,"B+",IF(J94&lt;'PlayerGrades+'!$AD$6,"A-",IF(J94&lt;'PlayerGrades+'!$AD$5,"A",IF(J94&lt;'PlayerGrades+'!$AD$4,"A+",IF(J94&lt;'PlayerGrades+'!$AD$3,"S-",IF(J94&lt;'PlayerGrades+'!$AD$2,"S","S+"))))))))))))))))))))</f>
        <v>#DIV/0!</v>
      </c>
      <c r="L94" s="1176" t="str">
        <f t="shared" si="5"/>
        <v>#DIV/0!</v>
      </c>
      <c r="M94" s="992" t="str">
        <f>IF(L94&lt;'PlayerGrades+'!$AE$21,"F-",IF(L94&lt;'PlayerGrades+'!$AE$20,"F",IF(L94&lt;'PlayerGrades+'!$AE$19,"F+",IF(L94&lt;'PlayerGrades+'!$AE$18,"E-",IF(L94&lt;'PlayerGrades+'!$AE$17,"E",IF(L94&lt;'PlayerGrades+'!$AE$16,"E+",IF(L94&lt;'PlayerGrades+'!$AE$15,"D-",IF(L94&lt;'PlayerGrades+'!$AE$14,"D",IF(L94&lt;'PlayerGrades+'!$AE$13,"D+",IF(L94&lt;'PlayerGrades+'!$AE$12,"C-",IF(L94&lt;'PlayerGrades+'!$AE$11,"C",IF(L94&lt;'PlayerGrades+'!$AE$10,"C+",IF(L94&lt;'PlayerGrades+'!$AE$9,"B-",IF(L94&lt;'PlayerGrades+'!$AE$8,"B",IF(L94&lt;'PlayerGrades+'!$AE$7,"B+",IF(L94&lt;'PlayerGrades+'!$AE$6,"A-",IF(L94&lt;'PlayerGrades+'!$AE$5,"A",IF(L94&lt;'PlayerGrades+'!$AE$4,"A+",IF(L94&lt;'PlayerGrades+'!$AE$3,"S-",IF(L94&lt;'PlayerGrades+'!$AE$2,"S","S+"))))))))))))))))))))</f>
        <v>#DIV/0!</v>
      </c>
      <c r="N94" s="961" t="str">
        <f t="shared" si="6"/>
        <v>#DIV/0!</v>
      </c>
      <c r="O94" s="961" t="str">
        <f>IF(N94&lt;'PlayerGrades+'!$AF$21,"F-",IF(N94&lt;'PlayerGrades+'!$AF$20,"F",IF(N94&lt;'PlayerGrades+'!$AF$19,"F+",IF(N94&lt;'PlayerGrades+'!$AF$18,"E-",IF(N94&lt;'PlayerGrades+'!$AF$17,"E",IF(N94&lt;'PlayerGrades+'!$AF$16,"E+",IF(N94&lt;'PlayerGrades+'!$AF$15,"D-",IF(N94&lt;'PlayerGrades+'!$AF$14,"D",IF(N94&lt;'PlayerGrades+'!$AF$13,"D+",IF(N94&lt;'PlayerGrades+'!$AF$12,"C-",IF(N94&lt;'PlayerGrades+'!$AF$11,"C",IF(N94&lt;'PlayerGrades+'!$AF$10,"C+",IF(N94&lt;'PlayerGrades+'!$AF$9,"B-",IF(N94&lt;'PlayerGrades+'!$AF$8,"B",IF(N94&lt;'PlayerGrades+'!$AF$7,"B+",IF(N94&lt;'PlayerGrades+'!$AF$6,"A-",IF(N94&lt;'PlayerGrades+'!$AF$5,"A",IF(N94&lt;'PlayerGrades+'!$AF$4,"A+",IF(N94&lt;'PlayerGrades+'!$AF$3,"S-",IF(N94&lt;'PlayerGrades+'!$AF$2,"S","S+"))))))))))))))))))))</f>
        <v>#DIV/0!</v>
      </c>
      <c r="P94" s="961" t="str">
        <f t="shared" si="7"/>
        <v>#DIV/0!</v>
      </c>
      <c r="Q94" s="961" t="str">
        <f>IF(P94&lt;'PlayerGrades+'!$AG$21,"F-",IF(P94&lt;'PlayerGrades+'!$AG$20,"F",IF(P94&lt;'PlayerGrades+'!$AG$19,"F+",IF(P94&lt;'PlayerGrades+'!$AG$18,"E-",IF(P94&lt;'PlayerGrades+'!$AG$17,"E",IF(P94&lt;'PlayerGrades+'!$AG$16,"E+",IF(P94&lt;'PlayerGrades+'!$AG$15,"D-",IF(P94&lt;'PlayerGrades+'!$AG$14,"D",IF(P94&lt;'PlayerGrades+'!$AG$13,"D+",IF(P94&lt;'PlayerGrades+'!$AG$12,"C-",IF(P94&lt;'PlayerGrades+'!$AG$11,"C",IF(P94&lt;'PlayerGrades+'!$AG$10,"C+",IF(P94&lt;'PlayerGrades+'!$AG$9,"B-",IF(P94&lt;'PlayerGrades+'!$AG$8,"B",IF(P94&lt;'PlayerGrades+'!$AG$7,"B+",IF(P94&lt;'PlayerGrades+'!$AG$6,"A-",IF(P94&lt;'PlayerGrades+'!$AG$5,"A",IF(P94&lt;'PlayerGrades+'!$AG$4,"A+",IF(P94&lt;'PlayerGrades+'!$AG$3,"S-",IF(P94&lt;'PlayerGrades+'!$AG$2,"S","S+"))))))))))))))))))))</f>
        <v>#DIV/0!</v>
      </c>
      <c r="R94" s="961" t="str">
        <f t="shared" si="8"/>
        <v>#DIV/0!</v>
      </c>
      <c r="S94" s="961" t="str">
        <f>IF(R94&lt;'PlayerGrades+'!$AH$21,"F-",IF(R94&lt;'PlayerGrades+'!$AH$20,"F",IF(R94&lt;'PlayerGrades+'!$AH$19,"F+",IF(R94&lt;'PlayerGrades+'!$AH$18,"E-",IF(R94&lt;'PlayerGrades+'!$AH$17,"E",IF(R94&lt;'PlayerGrades+'!$AH$16,"E+",IF(R94&lt;'PlayerGrades+'!$AH$15,"D-",IF(R94&lt;'PlayerGrades+'!$AH$14,"D",IF(R94&lt;'PlayerGrades+'!$AH$13,"D+",IF(R94&lt;'PlayerGrades+'!$AH$12,"C-",IF(R94&lt;'PlayerGrades+'!$AH$11,"C",IF(R94&lt;'PlayerGrades+'!$AH$10,"C+",IF(R94&lt;'PlayerGrades+'!$AH$9,"B-",IF(R94&lt;'PlayerGrades+'!$AH$8,"B",IF(R94&lt;'PlayerGrades+'!$AH$7,"B+",IF(R94&lt;'PlayerGrades+'!$AH$6,"A-",IF(R94&lt;'PlayerGrades+'!$AH$5,"A",IF(R94&lt;'PlayerGrades+'!$AH$4,"A+",IF(R94&lt;'PlayerGrades+'!$AH$3,"S-",IF(R94&lt;'PlayerGrades+'!$AH$2,"S","S+"))))))))))))))))))))</f>
        <v>#DIV/0!</v>
      </c>
      <c r="T94" s="961">
        <f t="shared" si="9"/>
        <v>0</v>
      </c>
      <c r="U94" s="961" t="str">
        <f>IF(T94&lt;'PlayerGrades+'!$AI$21,"F-",IF(T94&lt;'PlayerGrades+'!$AI$20,"F",IF(T94&lt;'PlayerGrades+'!$AI$19,"F+",IF(T94&lt;'PlayerGrades+'!$AI$18,"E-",IF(T94&lt;'PlayerGrades+'!$AI$17,"E",IF(T94&lt;'PlayerGrades+'!$AI$16,"E+",IF(T94&lt;'PlayerGrades+'!$AI$15,"D-",IF(T94&lt;'PlayerGrades+'!$AI$14,"D",IF(T94&lt;'PlayerGrades+'!$AI$13,"D+",IF(T94&lt;'PlayerGrades+'!$AI$12,"C-",IF(T94&lt;'PlayerGrades+'!$AI$11,"C",IF(T94&lt;'PlayerGrades+'!$AI$10,"C+",IF(T94&lt;'PlayerGrades+'!$AI$9,"B-",IF(T94&lt;'PlayerGrades+'!$AI$8,"B",IF(T94&lt;'PlayerGrades+'!$AI$7,"B+",IF(T94&lt;'PlayerGrades+'!$AI$6,"A-",IF(T94&lt;'PlayerGrades+'!$AI$5,"A",IF(T94&lt;'PlayerGrades+'!$AI$4,"A+",IF(T94&lt;'PlayerGrades+'!$AI$3,"S-",IF(T94&lt;'PlayerGrades+'!$AI$2,"S","S+"))))))))))))))))))))</f>
        <v>F-</v>
      </c>
      <c r="AC94" s="1392"/>
    </row>
    <row r="95">
      <c r="A95" s="1391"/>
      <c r="B95" s="611" t="str">
        <f>IF(C95&lt;'PlayerGrades+'!$Y$44,"F-",IF(C95&lt;'PlayerGrades+'!$Y$43,"F",IF(C95&lt;'PlayerGrades+'!$Y$42,"F+",IF(C95&lt;'PlayerGrades+'!$Y$41,"E-",IF(C95&lt;'PlayerGrades+'!$Y$40,"E",IF(C95&lt;'PlayerGrades+'!$Y$39,"E+",IF(C95&lt;'PlayerGrades+'!$Y$38,"D-",IF(C95&lt;'PlayerGrades+'!$Y$37,"D",IF(C95&lt;'PlayerGrades+'!$Y$36,"D+",IF(C95&lt;'PlayerGrades+'!$Y$35,"C-",IF(C95&lt;'PlayerGrades+'!$Y$34,"C",IF(C95&lt;'PlayerGrades+'!$Y$33,"C+",IF(C95&lt;'PlayerGrades+'!$Y$32,"B-",IF(C95&lt;'PlayerGrades+'!$Y$31,"B",IF(C95&lt;'PlayerGrades+'!$Y$30,"B+",IF(C95&lt;'PlayerGrades+'!$Y$29,"A-",IF(C95&lt;'PlayerGrades+'!$Y$28,"A",IF(C95&lt;'PlayerGrades+'!$Y$27,"A+",IF(C95&lt;'PlayerGrades+'!$Y$26,"S-",IF(C95&lt;'PlayerGrades+'!$Y$25,"S","S+"))))))))))))))))))))</f>
        <v>#DIV/0!</v>
      </c>
      <c r="C95" s="1378" t="str">
        <f>('PlayerGrades+'!$Y$47*(VLOOKUP(E95, 'PlayerGrades+'!$X$3:$Y$23, 2, FALSE)))+('PlayerGrades+'!$Y$48*(VLOOKUP(G95, 'PlayerGrades+'!$X$3:$Y$23, 2, FALSE)))+('PlayerGrades+'!$Y$49*(VLOOKUP(I95, 'PlayerGrades+'!$X$3:$Y$23, 2, FALSE)))+('PlayerGrades+'!$Y$50*(VLOOKUP(K95, 'PlayerGrades+'!$X$3:$Y$23, 2, FALSE)))+('PlayerGrades+'!$Y$51*(VLOOKUP(M95, 'PlayerGrades+'!$X$3:$Y$23, 2, FALSE)))+('PlayerGrades+'!$Y$52*(VLOOKUP(O95, 'PlayerGrades+'!$X$3:$Y$23, 2, FALSE)))+('PlayerGrades+'!$Y$53*(VLOOKUP(Q95, 'PlayerGrades+'!$X$3:$Y$23, 2, FALSE)))+('PlayerGrades+'!$Y$54*(VLOOKUP(S95, 'PlayerGrades+'!$X$3:$Y$23, 2, FALSE)))+('PlayerGrades+'!$Y$55*(VLOOKUP(U95, 'PlayerGrades+'!$X$3:$Y$23, 2, FALSE)))</f>
        <v>#DIV/0!</v>
      </c>
      <c r="D95" s="961" t="str">
        <f t="shared" si="1"/>
        <v>#DIV/0!</v>
      </c>
      <c r="E95" s="961" t="str">
        <f>IF(D95&lt;'PlayerGrades+'!$AA$21,"F-",IF(D95&lt;'PlayerGrades+'!$AA$20,"F",IF(D95&lt;'PlayerGrades+'!$AA$19,"F+",IF(D95&lt;'PlayerGrades+'!$AA$18,"E-",IF(D95&lt;'PlayerGrades+'!$AA$17,"E",IF(D95&lt;'PlayerGrades+'!$AA$16,"E+",IF(D95&lt;'PlayerGrades+'!$AA$15,"D-",IF(D95&lt;'PlayerGrades+'!$AA$14,"D",IF(D95&lt;'PlayerGrades+'!$AA$13,"D+",IF(D95&lt;'PlayerGrades+'!$AA$12,"C-",IF(D95&lt;'PlayerGrades+'!$AA$11,"C",IF(D95&lt;'PlayerGrades+'!$AA$10,"C+",IF(D95&lt;'PlayerGrades+'!$AA$9,"B-",IF(D95&lt;'PlayerGrades+'!$AA$8,"B",IF(D95&lt;'PlayerGrades+'!$AA$7,"B+",IF(D95&lt;'PlayerGrades+'!$AA$6,"A-",IF(D95&lt;'PlayerGrades+'!$AA$5,"A",IF(D95&lt;'PlayerGrades+'!$AA$4,"A+",IF(D95&lt;'PlayerGrades+'!$AA$3,"S-",IF(D95&lt;'PlayerGrades+'!$AA$2,"S","S+"))))))))))))))))))))</f>
        <v>#DIV/0!</v>
      </c>
      <c r="F95" s="961" t="str">
        <f t="shared" si="2"/>
        <v>#DIV/0!</v>
      </c>
      <c r="G95" s="961" t="str">
        <f>IF(F95&lt;'PlayerGrades+'!$AB$21,"F-",IF(F95&lt;'PlayerGrades+'!$AB$20,"F",IF(F95&lt;'PlayerGrades+'!$AB$19,"F+",IF(F95&lt;'PlayerGrades+'!$AB$18,"E-",IF(F95&lt;'PlayerGrades+'!$AB$17,"E",IF(F95&lt;'PlayerGrades+'!$AB$16,"E+",IF(F95&lt;'PlayerGrades+'!$AB$15,"D-",IF(F95&lt;'PlayerGrades+'!$AB$14,"D",IF(F95&lt;'PlayerGrades+'!$AB$13,"D+",IF(F95&lt;'PlayerGrades+'!$AB$12,"C-",IF(F95&lt;'PlayerGrades+'!$AB$11,"C",IF(F95&lt;'PlayerGrades+'!$AB$10,"C+",IF(F95&lt;'PlayerGrades+'!$AB$9,"B-",IF(F95&lt;'PlayerGrades+'!$AB$8,"B",IF(F95&lt;'PlayerGrades+'!$AB$7,"B+",IF(F95&lt;'PlayerGrades+'!$AB$6,"A-",IF(F95&lt;'PlayerGrades+'!$AB$5,"A",IF(F95&lt;'PlayerGrades+'!$AB$4,"A+",IF(F95&lt;'PlayerGrades+'!$AB$3,"S-",IF(F95&lt;'PlayerGrades+'!$AB$2,"S","S+"))))))))))))))))))))</f>
        <v>#DIV/0!</v>
      </c>
      <c r="H95" s="961" t="str">
        <f t="shared" si="3"/>
        <v>#DIV/0!</v>
      </c>
      <c r="I95" s="961" t="str">
        <f>IF(H95&lt;'PlayerGrades+'!$AC$21,"F-",IF(H95&lt;'PlayerGrades+'!$AC$20,"F",IF(H95&lt;'PlayerGrades+'!$AC$19,"F+",IF(H95&lt;'PlayerGrades+'!$AC$18,"E-",IF(H95&lt;'PlayerGrades+'!$AC$17,"E",IF(H95&lt;'PlayerGrades+'!$AC$16,"E+",IF(H95&lt;'PlayerGrades+'!$AC$15,"D-",IF(H95&lt;'PlayerGrades+'!$AC$14,"D",IF(H95&lt;'PlayerGrades+'!$AC$13,"D+",IF(H95&lt;'PlayerGrades+'!$AC$12,"C-",IF(H95&lt;'PlayerGrades+'!$AC$11,"C",IF(H95&lt;'PlayerGrades+'!$AC$10,"C+",IF(H95&lt;'PlayerGrades+'!$AC$9,"B-",IF(H95&lt;'PlayerGrades+'!$AC$8,"B",IF(H95&lt;'PlayerGrades+'!$AC$7,"B+",IF(H95&lt;'PlayerGrades+'!$AC$6,"A-",IF(H95&lt;'PlayerGrades+'!$AC$5,"A",IF(H95&lt;'PlayerGrades+'!$AC$4,"A+",IF(H95&lt;'PlayerGrades+'!$AC$3,"S-",IF(H95&lt;'PlayerGrades+'!$AC$2,"S","S+"))))))))))))))))))))</f>
        <v>#DIV/0!</v>
      </c>
      <c r="J95" s="961" t="str">
        <f t="shared" si="4"/>
        <v>#DIV/0!</v>
      </c>
      <c r="K95" s="961" t="str">
        <f>IF(J95&lt;'PlayerGrades+'!$AD$21,"F-",IF(J95&lt;'PlayerGrades+'!$AD$20,"F",IF(J95&lt;'PlayerGrades+'!$AD$19,"F+",IF(J95&lt;'PlayerGrades+'!$AD$18,"E-",IF(J95&lt;'PlayerGrades+'!$AD$17,"E",IF(J95&lt;'PlayerGrades+'!$AD$16,"E+",IF(J95&lt;'PlayerGrades+'!$AD$15,"D-",IF(J95&lt;'PlayerGrades+'!$AD$14,"D",IF(J95&lt;'PlayerGrades+'!$AD$13,"D+",IF(J95&lt;'PlayerGrades+'!$AD$12,"C-",IF(J95&lt;'PlayerGrades+'!$AD$11,"C",IF(J95&lt;'PlayerGrades+'!$AD$10,"C+",IF(J95&lt;'PlayerGrades+'!$AD$9,"B-",IF(J95&lt;'PlayerGrades+'!$AD$8,"B",IF(J95&lt;'PlayerGrades+'!$AD$7,"B+",IF(J95&lt;'PlayerGrades+'!$AD$6,"A-",IF(J95&lt;'PlayerGrades+'!$AD$5,"A",IF(J95&lt;'PlayerGrades+'!$AD$4,"A+",IF(J95&lt;'PlayerGrades+'!$AD$3,"S-",IF(J95&lt;'PlayerGrades+'!$AD$2,"S","S+"))))))))))))))))))))</f>
        <v>#DIV/0!</v>
      </c>
      <c r="L95" s="1176" t="str">
        <f t="shared" si="5"/>
        <v>#DIV/0!</v>
      </c>
      <c r="M95" s="992" t="str">
        <f>IF(L95&lt;'PlayerGrades+'!$AE$21,"F-",IF(L95&lt;'PlayerGrades+'!$AE$20,"F",IF(L95&lt;'PlayerGrades+'!$AE$19,"F+",IF(L95&lt;'PlayerGrades+'!$AE$18,"E-",IF(L95&lt;'PlayerGrades+'!$AE$17,"E",IF(L95&lt;'PlayerGrades+'!$AE$16,"E+",IF(L95&lt;'PlayerGrades+'!$AE$15,"D-",IF(L95&lt;'PlayerGrades+'!$AE$14,"D",IF(L95&lt;'PlayerGrades+'!$AE$13,"D+",IF(L95&lt;'PlayerGrades+'!$AE$12,"C-",IF(L95&lt;'PlayerGrades+'!$AE$11,"C",IF(L95&lt;'PlayerGrades+'!$AE$10,"C+",IF(L95&lt;'PlayerGrades+'!$AE$9,"B-",IF(L95&lt;'PlayerGrades+'!$AE$8,"B",IF(L95&lt;'PlayerGrades+'!$AE$7,"B+",IF(L95&lt;'PlayerGrades+'!$AE$6,"A-",IF(L95&lt;'PlayerGrades+'!$AE$5,"A",IF(L95&lt;'PlayerGrades+'!$AE$4,"A+",IF(L95&lt;'PlayerGrades+'!$AE$3,"S-",IF(L95&lt;'PlayerGrades+'!$AE$2,"S","S+"))))))))))))))))))))</f>
        <v>#DIV/0!</v>
      </c>
      <c r="N95" s="961" t="str">
        <f t="shared" si="6"/>
        <v>#DIV/0!</v>
      </c>
      <c r="O95" s="961" t="str">
        <f>IF(N95&lt;'PlayerGrades+'!$AF$21,"F-",IF(N95&lt;'PlayerGrades+'!$AF$20,"F",IF(N95&lt;'PlayerGrades+'!$AF$19,"F+",IF(N95&lt;'PlayerGrades+'!$AF$18,"E-",IF(N95&lt;'PlayerGrades+'!$AF$17,"E",IF(N95&lt;'PlayerGrades+'!$AF$16,"E+",IF(N95&lt;'PlayerGrades+'!$AF$15,"D-",IF(N95&lt;'PlayerGrades+'!$AF$14,"D",IF(N95&lt;'PlayerGrades+'!$AF$13,"D+",IF(N95&lt;'PlayerGrades+'!$AF$12,"C-",IF(N95&lt;'PlayerGrades+'!$AF$11,"C",IF(N95&lt;'PlayerGrades+'!$AF$10,"C+",IF(N95&lt;'PlayerGrades+'!$AF$9,"B-",IF(N95&lt;'PlayerGrades+'!$AF$8,"B",IF(N95&lt;'PlayerGrades+'!$AF$7,"B+",IF(N95&lt;'PlayerGrades+'!$AF$6,"A-",IF(N95&lt;'PlayerGrades+'!$AF$5,"A",IF(N95&lt;'PlayerGrades+'!$AF$4,"A+",IF(N95&lt;'PlayerGrades+'!$AF$3,"S-",IF(N95&lt;'PlayerGrades+'!$AF$2,"S","S+"))))))))))))))))))))</f>
        <v>#DIV/0!</v>
      </c>
      <c r="P95" s="961" t="str">
        <f t="shared" si="7"/>
        <v>#DIV/0!</v>
      </c>
      <c r="Q95" s="961" t="str">
        <f>IF(P95&lt;'PlayerGrades+'!$AG$21,"F-",IF(P95&lt;'PlayerGrades+'!$AG$20,"F",IF(P95&lt;'PlayerGrades+'!$AG$19,"F+",IF(P95&lt;'PlayerGrades+'!$AG$18,"E-",IF(P95&lt;'PlayerGrades+'!$AG$17,"E",IF(P95&lt;'PlayerGrades+'!$AG$16,"E+",IF(P95&lt;'PlayerGrades+'!$AG$15,"D-",IF(P95&lt;'PlayerGrades+'!$AG$14,"D",IF(P95&lt;'PlayerGrades+'!$AG$13,"D+",IF(P95&lt;'PlayerGrades+'!$AG$12,"C-",IF(P95&lt;'PlayerGrades+'!$AG$11,"C",IF(P95&lt;'PlayerGrades+'!$AG$10,"C+",IF(P95&lt;'PlayerGrades+'!$AG$9,"B-",IF(P95&lt;'PlayerGrades+'!$AG$8,"B",IF(P95&lt;'PlayerGrades+'!$AG$7,"B+",IF(P95&lt;'PlayerGrades+'!$AG$6,"A-",IF(P95&lt;'PlayerGrades+'!$AG$5,"A",IF(P95&lt;'PlayerGrades+'!$AG$4,"A+",IF(P95&lt;'PlayerGrades+'!$AG$3,"S-",IF(P95&lt;'PlayerGrades+'!$AG$2,"S","S+"))))))))))))))))))))</f>
        <v>#DIV/0!</v>
      </c>
      <c r="R95" s="961" t="str">
        <f t="shared" si="8"/>
        <v>#DIV/0!</v>
      </c>
      <c r="S95" s="961" t="str">
        <f>IF(R95&lt;'PlayerGrades+'!$AH$21,"F-",IF(R95&lt;'PlayerGrades+'!$AH$20,"F",IF(R95&lt;'PlayerGrades+'!$AH$19,"F+",IF(R95&lt;'PlayerGrades+'!$AH$18,"E-",IF(R95&lt;'PlayerGrades+'!$AH$17,"E",IF(R95&lt;'PlayerGrades+'!$AH$16,"E+",IF(R95&lt;'PlayerGrades+'!$AH$15,"D-",IF(R95&lt;'PlayerGrades+'!$AH$14,"D",IF(R95&lt;'PlayerGrades+'!$AH$13,"D+",IF(R95&lt;'PlayerGrades+'!$AH$12,"C-",IF(R95&lt;'PlayerGrades+'!$AH$11,"C",IF(R95&lt;'PlayerGrades+'!$AH$10,"C+",IF(R95&lt;'PlayerGrades+'!$AH$9,"B-",IF(R95&lt;'PlayerGrades+'!$AH$8,"B",IF(R95&lt;'PlayerGrades+'!$AH$7,"B+",IF(R95&lt;'PlayerGrades+'!$AH$6,"A-",IF(R95&lt;'PlayerGrades+'!$AH$5,"A",IF(R95&lt;'PlayerGrades+'!$AH$4,"A+",IF(R95&lt;'PlayerGrades+'!$AH$3,"S-",IF(R95&lt;'PlayerGrades+'!$AH$2,"S","S+"))))))))))))))))))))</f>
        <v>#DIV/0!</v>
      </c>
      <c r="T95" s="961">
        <f t="shared" si="9"/>
        <v>0</v>
      </c>
      <c r="U95" s="961" t="str">
        <f>IF(T95&lt;'PlayerGrades+'!$AI$21,"F-",IF(T95&lt;'PlayerGrades+'!$AI$20,"F",IF(T95&lt;'PlayerGrades+'!$AI$19,"F+",IF(T95&lt;'PlayerGrades+'!$AI$18,"E-",IF(T95&lt;'PlayerGrades+'!$AI$17,"E",IF(T95&lt;'PlayerGrades+'!$AI$16,"E+",IF(T95&lt;'PlayerGrades+'!$AI$15,"D-",IF(T95&lt;'PlayerGrades+'!$AI$14,"D",IF(T95&lt;'PlayerGrades+'!$AI$13,"D+",IF(T95&lt;'PlayerGrades+'!$AI$12,"C-",IF(T95&lt;'PlayerGrades+'!$AI$11,"C",IF(T95&lt;'PlayerGrades+'!$AI$10,"C+",IF(T95&lt;'PlayerGrades+'!$AI$9,"B-",IF(T95&lt;'PlayerGrades+'!$AI$8,"B",IF(T95&lt;'PlayerGrades+'!$AI$7,"B+",IF(T95&lt;'PlayerGrades+'!$AI$6,"A-",IF(T95&lt;'PlayerGrades+'!$AI$5,"A",IF(T95&lt;'PlayerGrades+'!$AI$4,"A+",IF(T95&lt;'PlayerGrades+'!$AI$3,"S-",IF(T95&lt;'PlayerGrades+'!$AI$2,"S","S+"))))))))))))))))))))</f>
        <v>F-</v>
      </c>
      <c r="AC95" s="1392"/>
    </row>
    <row r="96">
      <c r="A96" s="1391"/>
      <c r="B96" s="611" t="str">
        <f>IF(C96&lt;'PlayerGrades+'!$Y$44,"F-",IF(C96&lt;'PlayerGrades+'!$Y$43,"F",IF(C96&lt;'PlayerGrades+'!$Y$42,"F+",IF(C96&lt;'PlayerGrades+'!$Y$41,"E-",IF(C96&lt;'PlayerGrades+'!$Y$40,"E",IF(C96&lt;'PlayerGrades+'!$Y$39,"E+",IF(C96&lt;'PlayerGrades+'!$Y$38,"D-",IF(C96&lt;'PlayerGrades+'!$Y$37,"D",IF(C96&lt;'PlayerGrades+'!$Y$36,"D+",IF(C96&lt;'PlayerGrades+'!$Y$35,"C-",IF(C96&lt;'PlayerGrades+'!$Y$34,"C",IF(C96&lt;'PlayerGrades+'!$Y$33,"C+",IF(C96&lt;'PlayerGrades+'!$Y$32,"B-",IF(C96&lt;'PlayerGrades+'!$Y$31,"B",IF(C96&lt;'PlayerGrades+'!$Y$30,"B+",IF(C96&lt;'PlayerGrades+'!$Y$29,"A-",IF(C96&lt;'PlayerGrades+'!$Y$28,"A",IF(C96&lt;'PlayerGrades+'!$Y$27,"A+",IF(C96&lt;'PlayerGrades+'!$Y$26,"S-",IF(C96&lt;'PlayerGrades+'!$Y$25,"S","S+"))))))))))))))))))))</f>
        <v>#DIV/0!</v>
      </c>
      <c r="C96" s="1378" t="str">
        <f>('PlayerGrades+'!$Y$47*(VLOOKUP(E96, 'PlayerGrades+'!$X$3:$Y$23, 2, FALSE)))+('PlayerGrades+'!$Y$48*(VLOOKUP(G96, 'PlayerGrades+'!$X$3:$Y$23, 2, FALSE)))+('PlayerGrades+'!$Y$49*(VLOOKUP(I96, 'PlayerGrades+'!$X$3:$Y$23, 2, FALSE)))+('PlayerGrades+'!$Y$50*(VLOOKUP(K96, 'PlayerGrades+'!$X$3:$Y$23, 2, FALSE)))+('PlayerGrades+'!$Y$51*(VLOOKUP(M96, 'PlayerGrades+'!$X$3:$Y$23, 2, FALSE)))+('PlayerGrades+'!$Y$52*(VLOOKUP(O96, 'PlayerGrades+'!$X$3:$Y$23, 2, FALSE)))+('PlayerGrades+'!$Y$53*(VLOOKUP(Q96, 'PlayerGrades+'!$X$3:$Y$23, 2, FALSE)))+('PlayerGrades+'!$Y$54*(VLOOKUP(S96, 'PlayerGrades+'!$X$3:$Y$23, 2, FALSE)))+('PlayerGrades+'!$Y$55*(VLOOKUP(U96, 'PlayerGrades+'!$X$3:$Y$23, 2, FALSE)))</f>
        <v>#DIV/0!</v>
      </c>
      <c r="D96" s="961" t="str">
        <f t="shared" si="1"/>
        <v>#DIV/0!</v>
      </c>
      <c r="E96" s="961" t="str">
        <f>IF(D96&lt;'PlayerGrades+'!$AA$21,"F-",IF(D96&lt;'PlayerGrades+'!$AA$20,"F",IF(D96&lt;'PlayerGrades+'!$AA$19,"F+",IF(D96&lt;'PlayerGrades+'!$AA$18,"E-",IF(D96&lt;'PlayerGrades+'!$AA$17,"E",IF(D96&lt;'PlayerGrades+'!$AA$16,"E+",IF(D96&lt;'PlayerGrades+'!$AA$15,"D-",IF(D96&lt;'PlayerGrades+'!$AA$14,"D",IF(D96&lt;'PlayerGrades+'!$AA$13,"D+",IF(D96&lt;'PlayerGrades+'!$AA$12,"C-",IF(D96&lt;'PlayerGrades+'!$AA$11,"C",IF(D96&lt;'PlayerGrades+'!$AA$10,"C+",IF(D96&lt;'PlayerGrades+'!$AA$9,"B-",IF(D96&lt;'PlayerGrades+'!$AA$8,"B",IF(D96&lt;'PlayerGrades+'!$AA$7,"B+",IF(D96&lt;'PlayerGrades+'!$AA$6,"A-",IF(D96&lt;'PlayerGrades+'!$AA$5,"A",IF(D96&lt;'PlayerGrades+'!$AA$4,"A+",IF(D96&lt;'PlayerGrades+'!$AA$3,"S-",IF(D96&lt;'PlayerGrades+'!$AA$2,"S","S+"))))))))))))))))))))</f>
        <v>#DIV/0!</v>
      </c>
      <c r="F96" s="961" t="str">
        <f t="shared" si="2"/>
        <v>#DIV/0!</v>
      </c>
      <c r="G96" s="961" t="str">
        <f>IF(F96&lt;'PlayerGrades+'!$AB$21,"F-",IF(F96&lt;'PlayerGrades+'!$AB$20,"F",IF(F96&lt;'PlayerGrades+'!$AB$19,"F+",IF(F96&lt;'PlayerGrades+'!$AB$18,"E-",IF(F96&lt;'PlayerGrades+'!$AB$17,"E",IF(F96&lt;'PlayerGrades+'!$AB$16,"E+",IF(F96&lt;'PlayerGrades+'!$AB$15,"D-",IF(F96&lt;'PlayerGrades+'!$AB$14,"D",IF(F96&lt;'PlayerGrades+'!$AB$13,"D+",IF(F96&lt;'PlayerGrades+'!$AB$12,"C-",IF(F96&lt;'PlayerGrades+'!$AB$11,"C",IF(F96&lt;'PlayerGrades+'!$AB$10,"C+",IF(F96&lt;'PlayerGrades+'!$AB$9,"B-",IF(F96&lt;'PlayerGrades+'!$AB$8,"B",IF(F96&lt;'PlayerGrades+'!$AB$7,"B+",IF(F96&lt;'PlayerGrades+'!$AB$6,"A-",IF(F96&lt;'PlayerGrades+'!$AB$5,"A",IF(F96&lt;'PlayerGrades+'!$AB$4,"A+",IF(F96&lt;'PlayerGrades+'!$AB$3,"S-",IF(F96&lt;'PlayerGrades+'!$AB$2,"S","S+"))))))))))))))))))))</f>
        <v>#DIV/0!</v>
      </c>
      <c r="H96" s="961" t="str">
        <f t="shared" si="3"/>
        <v>#DIV/0!</v>
      </c>
      <c r="I96" s="961" t="str">
        <f>IF(H96&lt;'PlayerGrades+'!$AC$21,"F-",IF(H96&lt;'PlayerGrades+'!$AC$20,"F",IF(H96&lt;'PlayerGrades+'!$AC$19,"F+",IF(H96&lt;'PlayerGrades+'!$AC$18,"E-",IF(H96&lt;'PlayerGrades+'!$AC$17,"E",IF(H96&lt;'PlayerGrades+'!$AC$16,"E+",IF(H96&lt;'PlayerGrades+'!$AC$15,"D-",IF(H96&lt;'PlayerGrades+'!$AC$14,"D",IF(H96&lt;'PlayerGrades+'!$AC$13,"D+",IF(H96&lt;'PlayerGrades+'!$AC$12,"C-",IF(H96&lt;'PlayerGrades+'!$AC$11,"C",IF(H96&lt;'PlayerGrades+'!$AC$10,"C+",IF(H96&lt;'PlayerGrades+'!$AC$9,"B-",IF(H96&lt;'PlayerGrades+'!$AC$8,"B",IF(H96&lt;'PlayerGrades+'!$AC$7,"B+",IF(H96&lt;'PlayerGrades+'!$AC$6,"A-",IF(H96&lt;'PlayerGrades+'!$AC$5,"A",IF(H96&lt;'PlayerGrades+'!$AC$4,"A+",IF(H96&lt;'PlayerGrades+'!$AC$3,"S-",IF(H96&lt;'PlayerGrades+'!$AC$2,"S","S+"))))))))))))))))))))</f>
        <v>#DIV/0!</v>
      </c>
      <c r="J96" s="961" t="str">
        <f t="shared" si="4"/>
        <v>#DIV/0!</v>
      </c>
      <c r="K96" s="961" t="str">
        <f>IF(J96&lt;'PlayerGrades+'!$AD$21,"F-",IF(J96&lt;'PlayerGrades+'!$AD$20,"F",IF(J96&lt;'PlayerGrades+'!$AD$19,"F+",IF(J96&lt;'PlayerGrades+'!$AD$18,"E-",IF(J96&lt;'PlayerGrades+'!$AD$17,"E",IF(J96&lt;'PlayerGrades+'!$AD$16,"E+",IF(J96&lt;'PlayerGrades+'!$AD$15,"D-",IF(J96&lt;'PlayerGrades+'!$AD$14,"D",IF(J96&lt;'PlayerGrades+'!$AD$13,"D+",IF(J96&lt;'PlayerGrades+'!$AD$12,"C-",IF(J96&lt;'PlayerGrades+'!$AD$11,"C",IF(J96&lt;'PlayerGrades+'!$AD$10,"C+",IF(J96&lt;'PlayerGrades+'!$AD$9,"B-",IF(J96&lt;'PlayerGrades+'!$AD$8,"B",IF(J96&lt;'PlayerGrades+'!$AD$7,"B+",IF(J96&lt;'PlayerGrades+'!$AD$6,"A-",IF(J96&lt;'PlayerGrades+'!$AD$5,"A",IF(J96&lt;'PlayerGrades+'!$AD$4,"A+",IF(J96&lt;'PlayerGrades+'!$AD$3,"S-",IF(J96&lt;'PlayerGrades+'!$AD$2,"S","S+"))))))))))))))))))))</f>
        <v>#DIV/0!</v>
      </c>
      <c r="L96" s="1176" t="str">
        <f t="shared" si="5"/>
        <v>#DIV/0!</v>
      </c>
      <c r="M96" s="992" t="str">
        <f>IF(L96&lt;'PlayerGrades+'!$AE$21,"F-",IF(L96&lt;'PlayerGrades+'!$AE$20,"F",IF(L96&lt;'PlayerGrades+'!$AE$19,"F+",IF(L96&lt;'PlayerGrades+'!$AE$18,"E-",IF(L96&lt;'PlayerGrades+'!$AE$17,"E",IF(L96&lt;'PlayerGrades+'!$AE$16,"E+",IF(L96&lt;'PlayerGrades+'!$AE$15,"D-",IF(L96&lt;'PlayerGrades+'!$AE$14,"D",IF(L96&lt;'PlayerGrades+'!$AE$13,"D+",IF(L96&lt;'PlayerGrades+'!$AE$12,"C-",IF(L96&lt;'PlayerGrades+'!$AE$11,"C",IF(L96&lt;'PlayerGrades+'!$AE$10,"C+",IF(L96&lt;'PlayerGrades+'!$AE$9,"B-",IF(L96&lt;'PlayerGrades+'!$AE$8,"B",IF(L96&lt;'PlayerGrades+'!$AE$7,"B+",IF(L96&lt;'PlayerGrades+'!$AE$6,"A-",IF(L96&lt;'PlayerGrades+'!$AE$5,"A",IF(L96&lt;'PlayerGrades+'!$AE$4,"A+",IF(L96&lt;'PlayerGrades+'!$AE$3,"S-",IF(L96&lt;'PlayerGrades+'!$AE$2,"S","S+"))))))))))))))))))))</f>
        <v>#DIV/0!</v>
      </c>
      <c r="N96" s="961" t="str">
        <f t="shared" si="6"/>
        <v>#DIV/0!</v>
      </c>
      <c r="O96" s="961" t="str">
        <f>IF(N96&lt;'PlayerGrades+'!$AF$21,"F-",IF(N96&lt;'PlayerGrades+'!$AF$20,"F",IF(N96&lt;'PlayerGrades+'!$AF$19,"F+",IF(N96&lt;'PlayerGrades+'!$AF$18,"E-",IF(N96&lt;'PlayerGrades+'!$AF$17,"E",IF(N96&lt;'PlayerGrades+'!$AF$16,"E+",IF(N96&lt;'PlayerGrades+'!$AF$15,"D-",IF(N96&lt;'PlayerGrades+'!$AF$14,"D",IF(N96&lt;'PlayerGrades+'!$AF$13,"D+",IF(N96&lt;'PlayerGrades+'!$AF$12,"C-",IF(N96&lt;'PlayerGrades+'!$AF$11,"C",IF(N96&lt;'PlayerGrades+'!$AF$10,"C+",IF(N96&lt;'PlayerGrades+'!$AF$9,"B-",IF(N96&lt;'PlayerGrades+'!$AF$8,"B",IF(N96&lt;'PlayerGrades+'!$AF$7,"B+",IF(N96&lt;'PlayerGrades+'!$AF$6,"A-",IF(N96&lt;'PlayerGrades+'!$AF$5,"A",IF(N96&lt;'PlayerGrades+'!$AF$4,"A+",IF(N96&lt;'PlayerGrades+'!$AF$3,"S-",IF(N96&lt;'PlayerGrades+'!$AF$2,"S","S+"))))))))))))))))))))</f>
        <v>#DIV/0!</v>
      </c>
      <c r="P96" s="961" t="str">
        <f t="shared" si="7"/>
        <v>#DIV/0!</v>
      </c>
      <c r="Q96" s="961" t="str">
        <f>IF(P96&lt;'PlayerGrades+'!$AG$21,"F-",IF(P96&lt;'PlayerGrades+'!$AG$20,"F",IF(P96&lt;'PlayerGrades+'!$AG$19,"F+",IF(P96&lt;'PlayerGrades+'!$AG$18,"E-",IF(P96&lt;'PlayerGrades+'!$AG$17,"E",IF(P96&lt;'PlayerGrades+'!$AG$16,"E+",IF(P96&lt;'PlayerGrades+'!$AG$15,"D-",IF(P96&lt;'PlayerGrades+'!$AG$14,"D",IF(P96&lt;'PlayerGrades+'!$AG$13,"D+",IF(P96&lt;'PlayerGrades+'!$AG$12,"C-",IF(P96&lt;'PlayerGrades+'!$AG$11,"C",IF(P96&lt;'PlayerGrades+'!$AG$10,"C+",IF(P96&lt;'PlayerGrades+'!$AG$9,"B-",IF(P96&lt;'PlayerGrades+'!$AG$8,"B",IF(P96&lt;'PlayerGrades+'!$AG$7,"B+",IF(P96&lt;'PlayerGrades+'!$AG$6,"A-",IF(P96&lt;'PlayerGrades+'!$AG$5,"A",IF(P96&lt;'PlayerGrades+'!$AG$4,"A+",IF(P96&lt;'PlayerGrades+'!$AG$3,"S-",IF(P96&lt;'PlayerGrades+'!$AG$2,"S","S+"))))))))))))))))))))</f>
        <v>#DIV/0!</v>
      </c>
      <c r="R96" s="961" t="str">
        <f t="shared" si="8"/>
        <v>#DIV/0!</v>
      </c>
      <c r="S96" s="961" t="str">
        <f>IF(R96&lt;'PlayerGrades+'!$AH$21,"F-",IF(R96&lt;'PlayerGrades+'!$AH$20,"F",IF(R96&lt;'PlayerGrades+'!$AH$19,"F+",IF(R96&lt;'PlayerGrades+'!$AH$18,"E-",IF(R96&lt;'PlayerGrades+'!$AH$17,"E",IF(R96&lt;'PlayerGrades+'!$AH$16,"E+",IF(R96&lt;'PlayerGrades+'!$AH$15,"D-",IF(R96&lt;'PlayerGrades+'!$AH$14,"D",IF(R96&lt;'PlayerGrades+'!$AH$13,"D+",IF(R96&lt;'PlayerGrades+'!$AH$12,"C-",IF(R96&lt;'PlayerGrades+'!$AH$11,"C",IF(R96&lt;'PlayerGrades+'!$AH$10,"C+",IF(R96&lt;'PlayerGrades+'!$AH$9,"B-",IF(R96&lt;'PlayerGrades+'!$AH$8,"B",IF(R96&lt;'PlayerGrades+'!$AH$7,"B+",IF(R96&lt;'PlayerGrades+'!$AH$6,"A-",IF(R96&lt;'PlayerGrades+'!$AH$5,"A",IF(R96&lt;'PlayerGrades+'!$AH$4,"A+",IF(R96&lt;'PlayerGrades+'!$AH$3,"S-",IF(R96&lt;'PlayerGrades+'!$AH$2,"S","S+"))))))))))))))))))))</f>
        <v>#DIV/0!</v>
      </c>
      <c r="T96" s="961">
        <f t="shared" si="9"/>
        <v>0</v>
      </c>
      <c r="U96" s="961" t="str">
        <f>IF(T96&lt;'PlayerGrades+'!$AI$21,"F-",IF(T96&lt;'PlayerGrades+'!$AI$20,"F",IF(T96&lt;'PlayerGrades+'!$AI$19,"F+",IF(T96&lt;'PlayerGrades+'!$AI$18,"E-",IF(T96&lt;'PlayerGrades+'!$AI$17,"E",IF(T96&lt;'PlayerGrades+'!$AI$16,"E+",IF(T96&lt;'PlayerGrades+'!$AI$15,"D-",IF(T96&lt;'PlayerGrades+'!$AI$14,"D",IF(T96&lt;'PlayerGrades+'!$AI$13,"D+",IF(T96&lt;'PlayerGrades+'!$AI$12,"C-",IF(T96&lt;'PlayerGrades+'!$AI$11,"C",IF(T96&lt;'PlayerGrades+'!$AI$10,"C+",IF(T96&lt;'PlayerGrades+'!$AI$9,"B-",IF(T96&lt;'PlayerGrades+'!$AI$8,"B",IF(T96&lt;'PlayerGrades+'!$AI$7,"B+",IF(T96&lt;'PlayerGrades+'!$AI$6,"A-",IF(T96&lt;'PlayerGrades+'!$AI$5,"A",IF(T96&lt;'PlayerGrades+'!$AI$4,"A+",IF(T96&lt;'PlayerGrades+'!$AI$3,"S-",IF(T96&lt;'PlayerGrades+'!$AI$2,"S","S+"))))))))))))))))))))</f>
        <v>F-</v>
      </c>
      <c r="AC96" s="1392"/>
    </row>
    <row r="97">
      <c r="A97" s="1393"/>
      <c r="B97" s="611" t="str">
        <f>IF(C97&lt;'PlayerGrades+'!$Y$44,"F-",IF(C97&lt;'PlayerGrades+'!$Y$43,"F",IF(C97&lt;'PlayerGrades+'!$Y$42,"F+",IF(C97&lt;'PlayerGrades+'!$Y$41,"E-",IF(C97&lt;'PlayerGrades+'!$Y$40,"E",IF(C97&lt;'PlayerGrades+'!$Y$39,"E+",IF(C97&lt;'PlayerGrades+'!$Y$38,"D-",IF(C97&lt;'PlayerGrades+'!$Y$37,"D",IF(C97&lt;'PlayerGrades+'!$Y$36,"D+",IF(C97&lt;'PlayerGrades+'!$Y$35,"C-",IF(C97&lt;'PlayerGrades+'!$Y$34,"C",IF(C97&lt;'PlayerGrades+'!$Y$33,"C+",IF(C97&lt;'PlayerGrades+'!$Y$32,"B-",IF(C97&lt;'PlayerGrades+'!$Y$31,"B",IF(C97&lt;'PlayerGrades+'!$Y$30,"B+",IF(C97&lt;'PlayerGrades+'!$Y$29,"A-",IF(C97&lt;'PlayerGrades+'!$Y$28,"A",IF(C97&lt;'PlayerGrades+'!$Y$27,"A+",IF(C97&lt;'PlayerGrades+'!$Y$26,"S-",IF(C97&lt;'PlayerGrades+'!$Y$25,"S","S+"))))))))))))))))))))</f>
        <v>#DIV/0!</v>
      </c>
      <c r="C97" s="1378" t="str">
        <f>('PlayerGrades+'!$Y$47*(VLOOKUP(E97, 'PlayerGrades+'!$X$3:$Y$23, 2, FALSE)))+('PlayerGrades+'!$Y$48*(VLOOKUP(G97, 'PlayerGrades+'!$X$3:$Y$23, 2, FALSE)))+('PlayerGrades+'!$Y$49*(VLOOKUP(I97, 'PlayerGrades+'!$X$3:$Y$23, 2, FALSE)))+('PlayerGrades+'!$Y$50*(VLOOKUP(K97, 'PlayerGrades+'!$X$3:$Y$23, 2, FALSE)))+('PlayerGrades+'!$Y$51*(VLOOKUP(M97, 'PlayerGrades+'!$X$3:$Y$23, 2, FALSE)))+('PlayerGrades+'!$Y$52*(VLOOKUP(O97, 'PlayerGrades+'!$X$3:$Y$23, 2, FALSE)))+('PlayerGrades+'!$Y$53*(VLOOKUP(Q97, 'PlayerGrades+'!$X$3:$Y$23, 2, FALSE)))+('PlayerGrades+'!$Y$54*(VLOOKUP(S97, 'PlayerGrades+'!$X$3:$Y$23, 2, FALSE)))+('PlayerGrades+'!$Y$55*(VLOOKUP(U97, 'PlayerGrades+'!$X$3:$Y$23, 2, FALSE)))</f>
        <v>#DIV/0!</v>
      </c>
      <c r="D97" s="961" t="str">
        <f t="shared" si="1"/>
        <v>#DIV/0!</v>
      </c>
      <c r="E97" s="961" t="str">
        <f>IF(D97&lt;'PlayerGrades+'!$AA$21,"F-",IF(D97&lt;'PlayerGrades+'!$AA$20,"F",IF(D97&lt;'PlayerGrades+'!$AA$19,"F+",IF(D97&lt;'PlayerGrades+'!$AA$18,"E-",IF(D97&lt;'PlayerGrades+'!$AA$17,"E",IF(D97&lt;'PlayerGrades+'!$AA$16,"E+",IF(D97&lt;'PlayerGrades+'!$AA$15,"D-",IF(D97&lt;'PlayerGrades+'!$AA$14,"D",IF(D97&lt;'PlayerGrades+'!$AA$13,"D+",IF(D97&lt;'PlayerGrades+'!$AA$12,"C-",IF(D97&lt;'PlayerGrades+'!$AA$11,"C",IF(D97&lt;'PlayerGrades+'!$AA$10,"C+",IF(D97&lt;'PlayerGrades+'!$AA$9,"B-",IF(D97&lt;'PlayerGrades+'!$AA$8,"B",IF(D97&lt;'PlayerGrades+'!$AA$7,"B+",IF(D97&lt;'PlayerGrades+'!$AA$6,"A-",IF(D97&lt;'PlayerGrades+'!$AA$5,"A",IF(D97&lt;'PlayerGrades+'!$AA$4,"A+",IF(D97&lt;'PlayerGrades+'!$AA$3,"S-",IF(D97&lt;'PlayerGrades+'!$AA$2,"S","S+"))))))))))))))))))))</f>
        <v>#DIV/0!</v>
      </c>
      <c r="F97" s="961" t="str">
        <f t="shared" si="2"/>
        <v>#DIV/0!</v>
      </c>
      <c r="G97" s="961" t="str">
        <f>IF(F97&lt;'PlayerGrades+'!$AB$21,"F-",IF(F97&lt;'PlayerGrades+'!$AB$20,"F",IF(F97&lt;'PlayerGrades+'!$AB$19,"F+",IF(F97&lt;'PlayerGrades+'!$AB$18,"E-",IF(F97&lt;'PlayerGrades+'!$AB$17,"E",IF(F97&lt;'PlayerGrades+'!$AB$16,"E+",IF(F97&lt;'PlayerGrades+'!$AB$15,"D-",IF(F97&lt;'PlayerGrades+'!$AB$14,"D",IF(F97&lt;'PlayerGrades+'!$AB$13,"D+",IF(F97&lt;'PlayerGrades+'!$AB$12,"C-",IF(F97&lt;'PlayerGrades+'!$AB$11,"C",IF(F97&lt;'PlayerGrades+'!$AB$10,"C+",IF(F97&lt;'PlayerGrades+'!$AB$9,"B-",IF(F97&lt;'PlayerGrades+'!$AB$8,"B",IF(F97&lt;'PlayerGrades+'!$AB$7,"B+",IF(F97&lt;'PlayerGrades+'!$AB$6,"A-",IF(F97&lt;'PlayerGrades+'!$AB$5,"A",IF(F97&lt;'PlayerGrades+'!$AB$4,"A+",IF(F97&lt;'PlayerGrades+'!$AB$3,"S-",IF(F97&lt;'PlayerGrades+'!$AB$2,"S","S+"))))))))))))))))))))</f>
        <v>#DIV/0!</v>
      </c>
      <c r="H97" s="961" t="str">
        <f t="shared" si="3"/>
        <v>#DIV/0!</v>
      </c>
      <c r="I97" s="961" t="str">
        <f>IF(H97&lt;'PlayerGrades+'!$AC$21,"F-",IF(H97&lt;'PlayerGrades+'!$AC$20,"F",IF(H97&lt;'PlayerGrades+'!$AC$19,"F+",IF(H97&lt;'PlayerGrades+'!$AC$18,"E-",IF(H97&lt;'PlayerGrades+'!$AC$17,"E",IF(H97&lt;'PlayerGrades+'!$AC$16,"E+",IF(H97&lt;'PlayerGrades+'!$AC$15,"D-",IF(H97&lt;'PlayerGrades+'!$AC$14,"D",IF(H97&lt;'PlayerGrades+'!$AC$13,"D+",IF(H97&lt;'PlayerGrades+'!$AC$12,"C-",IF(H97&lt;'PlayerGrades+'!$AC$11,"C",IF(H97&lt;'PlayerGrades+'!$AC$10,"C+",IF(H97&lt;'PlayerGrades+'!$AC$9,"B-",IF(H97&lt;'PlayerGrades+'!$AC$8,"B",IF(H97&lt;'PlayerGrades+'!$AC$7,"B+",IF(H97&lt;'PlayerGrades+'!$AC$6,"A-",IF(H97&lt;'PlayerGrades+'!$AC$5,"A",IF(H97&lt;'PlayerGrades+'!$AC$4,"A+",IF(H97&lt;'PlayerGrades+'!$AC$3,"S-",IF(H97&lt;'PlayerGrades+'!$AC$2,"S","S+"))))))))))))))))))))</f>
        <v>#DIV/0!</v>
      </c>
      <c r="J97" s="961" t="str">
        <f t="shared" si="4"/>
        <v>#DIV/0!</v>
      </c>
      <c r="K97" s="961" t="str">
        <f>IF(J97&lt;'PlayerGrades+'!$AD$21,"F-",IF(J97&lt;'PlayerGrades+'!$AD$20,"F",IF(J97&lt;'PlayerGrades+'!$AD$19,"F+",IF(J97&lt;'PlayerGrades+'!$AD$18,"E-",IF(J97&lt;'PlayerGrades+'!$AD$17,"E",IF(J97&lt;'PlayerGrades+'!$AD$16,"E+",IF(J97&lt;'PlayerGrades+'!$AD$15,"D-",IF(J97&lt;'PlayerGrades+'!$AD$14,"D",IF(J97&lt;'PlayerGrades+'!$AD$13,"D+",IF(J97&lt;'PlayerGrades+'!$AD$12,"C-",IF(J97&lt;'PlayerGrades+'!$AD$11,"C",IF(J97&lt;'PlayerGrades+'!$AD$10,"C+",IF(J97&lt;'PlayerGrades+'!$AD$9,"B-",IF(J97&lt;'PlayerGrades+'!$AD$8,"B",IF(J97&lt;'PlayerGrades+'!$AD$7,"B+",IF(J97&lt;'PlayerGrades+'!$AD$6,"A-",IF(J97&lt;'PlayerGrades+'!$AD$5,"A",IF(J97&lt;'PlayerGrades+'!$AD$4,"A+",IF(J97&lt;'PlayerGrades+'!$AD$3,"S-",IF(J97&lt;'PlayerGrades+'!$AD$2,"S","S+"))))))))))))))))))))</f>
        <v>#DIV/0!</v>
      </c>
      <c r="L97" s="1176" t="str">
        <f t="shared" si="5"/>
        <v>#DIV/0!</v>
      </c>
      <c r="M97" s="992" t="str">
        <f>IF(L97&lt;'PlayerGrades+'!$AE$21,"F-",IF(L97&lt;'PlayerGrades+'!$AE$20,"F",IF(L97&lt;'PlayerGrades+'!$AE$19,"F+",IF(L97&lt;'PlayerGrades+'!$AE$18,"E-",IF(L97&lt;'PlayerGrades+'!$AE$17,"E",IF(L97&lt;'PlayerGrades+'!$AE$16,"E+",IF(L97&lt;'PlayerGrades+'!$AE$15,"D-",IF(L97&lt;'PlayerGrades+'!$AE$14,"D",IF(L97&lt;'PlayerGrades+'!$AE$13,"D+",IF(L97&lt;'PlayerGrades+'!$AE$12,"C-",IF(L97&lt;'PlayerGrades+'!$AE$11,"C",IF(L97&lt;'PlayerGrades+'!$AE$10,"C+",IF(L97&lt;'PlayerGrades+'!$AE$9,"B-",IF(L97&lt;'PlayerGrades+'!$AE$8,"B",IF(L97&lt;'PlayerGrades+'!$AE$7,"B+",IF(L97&lt;'PlayerGrades+'!$AE$6,"A-",IF(L97&lt;'PlayerGrades+'!$AE$5,"A",IF(L97&lt;'PlayerGrades+'!$AE$4,"A+",IF(L97&lt;'PlayerGrades+'!$AE$3,"S-",IF(L97&lt;'PlayerGrades+'!$AE$2,"S","S+"))))))))))))))))))))</f>
        <v>#DIV/0!</v>
      </c>
      <c r="N97" s="961" t="str">
        <f t="shared" si="6"/>
        <v>#DIV/0!</v>
      </c>
      <c r="O97" s="961" t="str">
        <f>IF(N97&lt;'PlayerGrades+'!$AF$21,"F-",IF(N97&lt;'PlayerGrades+'!$AF$20,"F",IF(N97&lt;'PlayerGrades+'!$AF$19,"F+",IF(N97&lt;'PlayerGrades+'!$AF$18,"E-",IF(N97&lt;'PlayerGrades+'!$AF$17,"E",IF(N97&lt;'PlayerGrades+'!$AF$16,"E+",IF(N97&lt;'PlayerGrades+'!$AF$15,"D-",IF(N97&lt;'PlayerGrades+'!$AF$14,"D",IF(N97&lt;'PlayerGrades+'!$AF$13,"D+",IF(N97&lt;'PlayerGrades+'!$AF$12,"C-",IF(N97&lt;'PlayerGrades+'!$AF$11,"C",IF(N97&lt;'PlayerGrades+'!$AF$10,"C+",IF(N97&lt;'PlayerGrades+'!$AF$9,"B-",IF(N97&lt;'PlayerGrades+'!$AF$8,"B",IF(N97&lt;'PlayerGrades+'!$AF$7,"B+",IF(N97&lt;'PlayerGrades+'!$AF$6,"A-",IF(N97&lt;'PlayerGrades+'!$AF$5,"A",IF(N97&lt;'PlayerGrades+'!$AF$4,"A+",IF(N97&lt;'PlayerGrades+'!$AF$3,"S-",IF(N97&lt;'PlayerGrades+'!$AF$2,"S","S+"))))))))))))))))))))</f>
        <v>#DIV/0!</v>
      </c>
      <c r="P97" s="961" t="str">
        <f t="shared" si="7"/>
        <v>#DIV/0!</v>
      </c>
      <c r="Q97" s="961" t="str">
        <f>IF(P97&lt;'PlayerGrades+'!$AG$21,"F-",IF(P97&lt;'PlayerGrades+'!$AG$20,"F",IF(P97&lt;'PlayerGrades+'!$AG$19,"F+",IF(P97&lt;'PlayerGrades+'!$AG$18,"E-",IF(P97&lt;'PlayerGrades+'!$AG$17,"E",IF(P97&lt;'PlayerGrades+'!$AG$16,"E+",IF(P97&lt;'PlayerGrades+'!$AG$15,"D-",IF(P97&lt;'PlayerGrades+'!$AG$14,"D",IF(P97&lt;'PlayerGrades+'!$AG$13,"D+",IF(P97&lt;'PlayerGrades+'!$AG$12,"C-",IF(P97&lt;'PlayerGrades+'!$AG$11,"C",IF(P97&lt;'PlayerGrades+'!$AG$10,"C+",IF(P97&lt;'PlayerGrades+'!$AG$9,"B-",IF(P97&lt;'PlayerGrades+'!$AG$8,"B",IF(P97&lt;'PlayerGrades+'!$AG$7,"B+",IF(P97&lt;'PlayerGrades+'!$AG$6,"A-",IF(P97&lt;'PlayerGrades+'!$AG$5,"A",IF(P97&lt;'PlayerGrades+'!$AG$4,"A+",IF(P97&lt;'PlayerGrades+'!$AG$3,"S-",IF(P97&lt;'PlayerGrades+'!$AG$2,"S","S+"))))))))))))))))))))</f>
        <v>#DIV/0!</v>
      </c>
      <c r="R97" s="961" t="str">
        <f t="shared" si="8"/>
        <v>#DIV/0!</v>
      </c>
      <c r="S97" s="961" t="str">
        <f>IF(R97&lt;'PlayerGrades+'!$AH$21,"F-",IF(R97&lt;'PlayerGrades+'!$AH$20,"F",IF(R97&lt;'PlayerGrades+'!$AH$19,"F+",IF(R97&lt;'PlayerGrades+'!$AH$18,"E-",IF(R97&lt;'PlayerGrades+'!$AH$17,"E",IF(R97&lt;'PlayerGrades+'!$AH$16,"E+",IF(R97&lt;'PlayerGrades+'!$AH$15,"D-",IF(R97&lt;'PlayerGrades+'!$AH$14,"D",IF(R97&lt;'PlayerGrades+'!$AH$13,"D+",IF(R97&lt;'PlayerGrades+'!$AH$12,"C-",IF(R97&lt;'PlayerGrades+'!$AH$11,"C",IF(R97&lt;'PlayerGrades+'!$AH$10,"C+",IF(R97&lt;'PlayerGrades+'!$AH$9,"B-",IF(R97&lt;'PlayerGrades+'!$AH$8,"B",IF(R97&lt;'PlayerGrades+'!$AH$7,"B+",IF(R97&lt;'PlayerGrades+'!$AH$6,"A-",IF(R97&lt;'PlayerGrades+'!$AH$5,"A",IF(R97&lt;'PlayerGrades+'!$AH$4,"A+",IF(R97&lt;'PlayerGrades+'!$AH$3,"S-",IF(R97&lt;'PlayerGrades+'!$AH$2,"S","S+"))))))))))))))))))))</f>
        <v>#DIV/0!</v>
      </c>
      <c r="T97" s="961">
        <f t="shared" si="9"/>
        <v>0</v>
      </c>
      <c r="U97" s="961" t="str">
        <f>IF(T97&lt;'PlayerGrades+'!$AI$21,"F-",IF(T97&lt;'PlayerGrades+'!$AI$20,"F",IF(T97&lt;'PlayerGrades+'!$AI$19,"F+",IF(T97&lt;'PlayerGrades+'!$AI$18,"E-",IF(T97&lt;'PlayerGrades+'!$AI$17,"E",IF(T97&lt;'PlayerGrades+'!$AI$16,"E+",IF(T97&lt;'PlayerGrades+'!$AI$15,"D-",IF(T97&lt;'PlayerGrades+'!$AI$14,"D",IF(T97&lt;'PlayerGrades+'!$AI$13,"D+",IF(T97&lt;'PlayerGrades+'!$AI$12,"C-",IF(T97&lt;'PlayerGrades+'!$AI$11,"C",IF(T97&lt;'PlayerGrades+'!$AI$10,"C+",IF(T97&lt;'PlayerGrades+'!$AI$9,"B-",IF(T97&lt;'PlayerGrades+'!$AI$8,"B",IF(T97&lt;'PlayerGrades+'!$AI$7,"B+",IF(T97&lt;'PlayerGrades+'!$AI$6,"A-",IF(T97&lt;'PlayerGrades+'!$AI$5,"A",IF(T97&lt;'PlayerGrades+'!$AI$4,"A+",IF(T97&lt;'PlayerGrades+'!$AI$3,"S-",IF(T97&lt;'PlayerGrades+'!$AI$2,"S","S+"))))))))))))))))))))</f>
        <v>F-</v>
      </c>
      <c r="V97" s="1386"/>
      <c r="W97" s="1386"/>
      <c r="X97" s="1386"/>
      <c r="Y97" s="1386"/>
      <c r="Z97" s="1386"/>
      <c r="AA97" s="1386"/>
      <c r="AB97" s="1386"/>
      <c r="AC97" s="1397"/>
      <c r="AD97" s="1386"/>
      <c r="AE97" s="1386"/>
      <c r="AF97" s="1386"/>
      <c r="AG97" s="1386"/>
      <c r="AH97" s="1386"/>
      <c r="AI97" s="1386"/>
      <c r="AJ97" s="1386"/>
      <c r="AK97" s="1386"/>
      <c r="AL97" s="1386"/>
      <c r="AM97" s="1386"/>
      <c r="AN97" s="1386"/>
      <c r="AO97" s="1386"/>
      <c r="AP97" s="1386"/>
      <c r="AQ97" s="1386"/>
      <c r="AR97" s="1386"/>
      <c r="AS97" s="1386"/>
      <c r="AT97" s="1386"/>
      <c r="AU97" s="1386"/>
      <c r="AV97" s="1386"/>
      <c r="AW97" s="1386"/>
      <c r="AX97" s="1386"/>
      <c r="AY97" s="1386"/>
      <c r="AZ97" s="1386"/>
    </row>
    <row r="98">
      <c r="A98" s="1377"/>
      <c r="B98" s="611" t="str">
        <f>IF(C98&lt;'PlayerGrades+'!$Y$44,"F-",IF(C98&lt;'PlayerGrades+'!$Y$43,"F",IF(C98&lt;'PlayerGrades+'!$Y$42,"F+",IF(C98&lt;'PlayerGrades+'!$Y$41,"E-",IF(C98&lt;'PlayerGrades+'!$Y$40,"E",IF(C98&lt;'PlayerGrades+'!$Y$39,"E+",IF(C98&lt;'PlayerGrades+'!$Y$38,"D-",IF(C98&lt;'PlayerGrades+'!$Y$37,"D",IF(C98&lt;'PlayerGrades+'!$Y$36,"D+",IF(C98&lt;'PlayerGrades+'!$Y$35,"C-",IF(C98&lt;'PlayerGrades+'!$Y$34,"C",IF(C98&lt;'PlayerGrades+'!$Y$33,"C+",IF(C98&lt;'PlayerGrades+'!$Y$32,"B-",IF(C98&lt;'PlayerGrades+'!$Y$31,"B",IF(C98&lt;'PlayerGrades+'!$Y$30,"B+",IF(C98&lt;'PlayerGrades+'!$Y$29,"A-",IF(C98&lt;'PlayerGrades+'!$Y$28,"A",IF(C98&lt;'PlayerGrades+'!$Y$27,"A+",IF(C98&lt;'PlayerGrades+'!$Y$26,"S-",IF(C98&lt;'PlayerGrades+'!$Y$25,"S","S+"))))))))))))))))))))</f>
        <v>#DIV/0!</v>
      </c>
      <c r="C98" s="1378" t="str">
        <f>('PlayerGrades+'!$Y$47*(VLOOKUP(E98, 'PlayerGrades+'!$X$3:$Y$23, 2, FALSE)))+('PlayerGrades+'!$Y$48*(VLOOKUP(G98, 'PlayerGrades+'!$X$3:$Y$23, 2, FALSE)))+('PlayerGrades+'!$Y$49*(VLOOKUP(I98, 'PlayerGrades+'!$X$3:$Y$23, 2, FALSE)))+('PlayerGrades+'!$Y$50*(VLOOKUP(K98, 'PlayerGrades+'!$X$3:$Y$23, 2, FALSE)))+('PlayerGrades+'!$Y$51*(VLOOKUP(M98, 'PlayerGrades+'!$X$3:$Y$23, 2, FALSE)))+('PlayerGrades+'!$Y$52*(VLOOKUP(O98, 'PlayerGrades+'!$X$3:$Y$23, 2, FALSE)))+('PlayerGrades+'!$Y$53*(VLOOKUP(Q98, 'PlayerGrades+'!$X$3:$Y$23, 2, FALSE)))+('PlayerGrades+'!$Y$54*(VLOOKUP(S98, 'PlayerGrades+'!$X$3:$Y$23, 2, FALSE)))+('PlayerGrades+'!$Y$55*(VLOOKUP(U98, 'PlayerGrades+'!$X$3:$Y$23, 2, FALSE)))</f>
        <v>#DIV/0!</v>
      </c>
      <c r="D98" s="961" t="str">
        <f t="shared" si="1"/>
        <v>#DIV/0!</v>
      </c>
      <c r="E98" s="961" t="str">
        <f>IF(D98&lt;'PlayerGrades+'!$AA$21,"F-",IF(D98&lt;'PlayerGrades+'!$AA$20,"F",IF(D98&lt;'PlayerGrades+'!$AA$19,"F+",IF(D98&lt;'PlayerGrades+'!$AA$18,"E-",IF(D98&lt;'PlayerGrades+'!$AA$17,"E",IF(D98&lt;'PlayerGrades+'!$AA$16,"E+",IF(D98&lt;'PlayerGrades+'!$AA$15,"D-",IF(D98&lt;'PlayerGrades+'!$AA$14,"D",IF(D98&lt;'PlayerGrades+'!$AA$13,"D+",IF(D98&lt;'PlayerGrades+'!$AA$12,"C-",IF(D98&lt;'PlayerGrades+'!$AA$11,"C",IF(D98&lt;'PlayerGrades+'!$AA$10,"C+",IF(D98&lt;'PlayerGrades+'!$AA$9,"B-",IF(D98&lt;'PlayerGrades+'!$AA$8,"B",IF(D98&lt;'PlayerGrades+'!$AA$7,"B+",IF(D98&lt;'PlayerGrades+'!$AA$6,"A-",IF(D98&lt;'PlayerGrades+'!$AA$5,"A",IF(D98&lt;'PlayerGrades+'!$AA$4,"A+",IF(D98&lt;'PlayerGrades+'!$AA$3,"S-",IF(D98&lt;'PlayerGrades+'!$AA$2,"S","S+"))))))))))))))))))))</f>
        <v>#DIV/0!</v>
      </c>
      <c r="F98" s="961" t="str">
        <f t="shared" si="2"/>
        <v>#DIV/0!</v>
      </c>
      <c r="G98" s="961" t="str">
        <f>IF(F98&lt;'PlayerGrades+'!$AB$21,"F-",IF(F98&lt;'PlayerGrades+'!$AB$20,"F",IF(F98&lt;'PlayerGrades+'!$AB$19,"F+",IF(F98&lt;'PlayerGrades+'!$AB$18,"E-",IF(F98&lt;'PlayerGrades+'!$AB$17,"E",IF(F98&lt;'PlayerGrades+'!$AB$16,"E+",IF(F98&lt;'PlayerGrades+'!$AB$15,"D-",IF(F98&lt;'PlayerGrades+'!$AB$14,"D",IF(F98&lt;'PlayerGrades+'!$AB$13,"D+",IF(F98&lt;'PlayerGrades+'!$AB$12,"C-",IF(F98&lt;'PlayerGrades+'!$AB$11,"C",IF(F98&lt;'PlayerGrades+'!$AB$10,"C+",IF(F98&lt;'PlayerGrades+'!$AB$9,"B-",IF(F98&lt;'PlayerGrades+'!$AB$8,"B",IF(F98&lt;'PlayerGrades+'!$AB$7,"B+",IF(F98&lt;'PlayerGrades+'!$AB$6,"A-",IF(F98&lt;'PlayerGrades+'!$AB$5,"A",IF(F98&lt;'PlayerGrades+'!$AB$4,"A+",IF(F98&lt;'PlayerGrades+'!$AB$3,"S-",IF(F98&lt;'PlayerGrades+'!$AB$2,"S","S+"))))))))))))))))))))</f>
        <v>#DIV/0!</v>
      </c>
      <c r="H98" s="961" t="str">
        <f t="shared" si="3"/>
        <v>#DIV/0!</v>
      </c>
      <c r="I98" s="961" t="str">
        <f>IF(H98&lt;'PlayerGrades+'!$AC$21,"F-",IF(H98&lt;'PlayerGrades+'!$AC$20,"F",IF(H98&lt;'PlayerGrades+'!$AC$19,"F+",IF(H98&lt;'PlayerGrades+'!$AC$18,"E-",IF(H98&lt;'PlayerGrades+'!$AC$17,"E",IF(H98&lt;'PlayerGrades+'!$AC$16,"E+",IF(H98&lt;'PlayerGrades+'!$AC$15,"D-",IF(H98&lt;'PlayerGrades+'!$AC$14,"D",IF(H98&lt;'PlayerGrades+'!$AC$13,"D+",IF(H98&lt;'PlayerGrades+'!$AC$12,"C-",IF(H98&lt;'PlayerGrades+'!$AC$11,"C",IF(H98&lt;'PlayerGrades+'!$AC$10,"C+",IF(H98&lt;'PlayerGrades+'!$AC$9,"B-",IF(H98&lt;'PlayerGrades+'!$AC$8,"B",IF(H98&lt;'PlayerGrades+'!$AC$7,"B+",IF(H98&lt;'PlayerGrades+'!$AC$6,"A-",IF(H98&lt;'PlayerGrades+'!$AC$5,"A",IF(H98&lt;'PlayerGrades+'!$AC$4,"A+",IF(H98&lt;'PlayerGrades+'!$AC$3,"S-",IF(H98&lt;'PlayerGrades+'!$AC$2,"S","S+"))))))))))))))))))))</f>
        <v>#DIV/0!</v>
      </c>
      <c r="J98" s="961" t="str">
        <f t="shared" si="4"/>
        <v>#DIV/0!</v>
      </c>
      <c r="K98" s="961" t="str">
        <f>IF(J98&lt;'PlayerGrades+'!$AD$21,"F-",IF(J98&lt;'PlayerGrades+'!$AD$20,"F",IF(J98&lt;'PlayerGrades+'!$AD$19,"F+",IF(J98&lt;'PlayerGrades+'!$AD$18,"E-",IF(J98&lt;'PlayerGrades+'!$AD$17,"E",IF(J98&lt;'PlayerGrades+'!$AD$16,"E+",IF(J98&lt;'PlayerGrades+'!$AD$15,"D-",IF(J98&lt;'PlayerGrades+'!$AD$14,"D",IF(J98&lt;'PlayerGrades+'!$AD$13,"D+",IF(J98&lt;'PlayerGrades+'!$AD$12,"C-",IF(J98&lt;'PlayerGrades+'!$AD$11,"C",IF(J98&lt;'PlayerGrades+'!$AD$10,"C+",IF(J98&lt;'PlayerGrades+'!$AD$9,"B-",IF(J98&lt;'PlayerGrades+'!$AD$8,"B",IF(J98&lt;'PlayerGrades+'!$AD$7,"B+",IF(J98&lt;'PlayerGrades+'!$AD$6,"A-",IF(J98&lt;'PlayerGrades+'!$AD$5,"A",IF(J98&lt;'PlayerGrades+'!$AD$4,"A+",IF(J98&lt;'PlayerGrades+'!$AD$3,"S-",IF(J98&lt;'PlayerGrades+'!$AD$2,"S","S+"))))))))))))))))))))</f>
        <v>#DIV/0!</v>
      </c>
      <c r="L98" s="1176" t="str">
        <f t="shared" si="5"/>
        <v>#DIV/0!</v>
      </c>
      <c r="M98" s="992" t="str">
        <f>IF(L98&lt;'PlayerGrades+'!$AE$21,"F-",IF(L98&lt;'PlayerGrades+'!$AE$20,"F",IF(L98&lt;'PlayerGrades+'!$AE$19,"F+",IF(L98&lt;'PlayerGrades+'!$AE$18,"E-",IF(L98&lt;'PlayerGrades+'!$AE$17,"E",IF(L98&lt;'PlayerGrades+'!$AE$16,"E+",IF(L98&lt;'PlayerGrades+'!$AE$15,"D-",IF(L98&lt;'PlayerGrades+'!$AE$14,"D",IF(L98&lt;'PlayerGrades+'!$AE$13,"D+",IF(L98&lt;'PlayerGrades+'!$AE$12,"C-",IF(L98&lt;'PlayerGrades+'!$AE$11,"C",IF(L98&lt;'PlayerGrades+'!$AE$10,"C+",IF(L98&lt;'PlayerGrades+'!$AE$9,"B-",IF(L98&lt;'PlayerGrades+'!$AE$8,"B",IF(L98&lt;'PlayerGrades+'!$AE$7,"B+",IF(L98&lt;'PlayerGrades+'!$AE$6,"A-",IF(L98&lt;'PlayerGrades+'!$AE$5,"A",IF(L98&lt;'PlayerGrades+'!$AE$4,"A+",IF(L98&lt;'PlayerGrades+'!$AE$3,"S-",IF(L98&lt;'PlayerGrades+'!$AE$2,"S","S+"))))))))))))))))))))</f>
        <v>#DIV/0!</v>
      </c>
      <c r="N98" s="961" t="str">
        <f t="shared" si="6"/>
        <v>#DIV/0!</v>
      </c>
      <c r="O98" s="961" t="str">
        <f>IF(N98&lt;'PlayerGrades+'!$AF$21,"F-",IF(N98&lt;'PlayerGrades+'!$AF$20,"F",IF(N98&lt;'PlayerGrades+'!$AF$19,"F+",IF(N98&lt;'PlayerGrades+'!$AF$18,"E-",IF(N98&lt;'PlayerGrades+'!$AF$17,"E",IF(N98&lt;'PlayerGrades+'!$AF$16,"E+",IF(N98&lt;'PlayerGrades+'!$AF$15,"D-",IF(N98&lt;'PlayerGrades+'!$AF$14,"D",IF(N98&lt;'PlayerGrades+'!$AF$13,"D+",IF(N98&lt;'PlayerGrades+'!$AF$12,"C-",IF(N98&lt;'PlayerGrades+'!$AF$11,"C",IF(N98&lt;'PlayerGrades+'!$AF$10,"C+",IF(N98&lt;'PlayerGrades+'!$AF$9,"B-",IF(N98&lt;'PlayerGrades+'!$AF$8,"B",IF(N98&lt;'PlayerGrades+'!$AF$7,"B+",IF(N98&lt;'PlayerGrades+'!$AF$6,"A-",IF(N98&lt;'PlayerGrades+'!$AF$5,"A",IF(N98&lt;'PlayerGrades+'!$AF$4,"A+",IF(N98&lt;'PlayerGrades+'!$AF$3,"S-",IF(N98&lt;'PlayerGrades+'!$AF$2,"S","S+"))))))))))))))))))))</f>
        <v>#DIV/0!</v>
      </c>
      <c r="P98" s="961" t="str">
        <f t="shared" si="7"/>
        <v>#DIV/0!</v>
      </c>
      <c r="Q98" s="961" t="str">
        <f>IF(P98&lt;'PlayerGrades+'!$AG$21,"F-",IF(P98&lt;'PlayerGrades+'!$AG$20,"F",IF(P98&lt;'PlayerGrades+'!$AG$19,"F+",IF(P98&lt;'PlayerGrades+'!$AG$18,"E-",IF(P98&lt;'PlayerGrades+'!$AG$17,"E",IF(P98&lt;'PlayerGrades+'!$AG$16,"E+",IF(P98&lt;'PlayerGrades+'!$AG$15,"D-",IF(P98&lt;'PlayerGrades+'!$AG$14,"D",IF(P98&lt;'PlayerGrades+'!$AG$13,"D+",IF(P98&lt;'PlayerGrades+'!$AG$12,"C-",IF(P98&lt;'PlayerGrades+'!$AG$11,"C",IF(P98&lt;'PlayerGrades+'!$AG$10,"C+",IF(P98&lt;'PlayerGrades+'!$AG$9,"B-",IF(P98&lt;'PlayerGrades+'!$AG$8,"B",IF(P98&lt;'PlayerGrades+'!$AG$7,"B+",IF(P98&lt;'PlayerGrades+'!$AG$6,"A-",IF(P98&lt;'PlayerGrades+'!$AG$5,"A",IF(P98&lt;'PlayerGrades+'!$AG$4,"A+",IF(P98&lt;'PlayerGrades+'!$AG$3,"S-",IF(P98&lt;'PlayerGrades+'!$AG$2,"S","S+"))))))))))))))))))))</f>
        <v>#DIV/0!</v>
      </c>
      <c r="R98" s="961" t="str">
        <f t="shared" si="8"/>
        <v>#DIV/0!</v>
      </c>
      <c r="S98" s="961" t="str">
        <f>IF(R98&lt;'PlayerGrades+'!$AH$21,"F-",IF(R98&lt;'PlayerGrades+'!$AH$20,"F",IF(R98&lt;'PlayerGrades+'!$AH$19,"F+",IF(R98&lt;'PlayerGrades+'!$AH$18,"E-",IF(R98&lt;'PlayerGrades+'!$AH$17,"E",IF(R98&lt;'PlayerGrades+'!$AH$16,"E+",IF(R98&lt;'PlayerGrades+'!$AH$15,"D-",IF(R98&lt;'PlayerGrades+'!$AH$14,"D",IF(R98&lt;'PlayerGrades+'!$AH$13,"D+",IF(R98&lt;'PlayerGrades+'!$AH$12,"C-",IF(R98&lt;'PlayerGrades+'!$AH$11,"C",IF(R98&lt;'PlayerGrades+'!$AH$10,"C+",IF(R98&lt;'PlayerGrades+'!$AH$9,"B-",IF(R98&lt;'PlayerGrades+'!$AH$8,"B",IF(R98&lt;'PlayerGrades+'!$AH$7,"B+",IF(R98&lt;'PlayerGrades+'!$AH$6,"A-",IF(R98&lt;'PlayerGrades+'!$AH$5,"A",IF(R98&lt;'PlayerGrades+'!$AH$4,"A+",IF(R98&lt;'PlayerGrades+'!$AH$3,"S-",IF(R98&lt;'PlayerGrades+'!$AH$2,"S","S+"))))))))))))))))))))</f>
        <v>#DIV/0!</v>
      </c>
      <c r="T98" s="961">
        <f t="shared" si="9"/>
        <v>0</v>
      </c>
      <c r="U98" s="961" t="str">
        <f>IF(T98&lt;'PlayerGrades+'!$AI$21,"F-",IF(T98&lt;'PlayerGrades+'!$AI$20,"F",IF(T98&lt;'PlayerGrades+'!$AI$19,"F+",IF(T98&lt;'PlayerGrades+'!$AI$18,"E-",IF(T98&lt;'PlayerGrades+'!$AI$17,"E",IF(T98&lt;'PlayerGrades+'!$AI$16,"E+",IF(T98&lt;'PlayerGrades+'!$AI$15,"D-",IF(T98&lt;'PlayerGrades+'!$AI$14,"D",IF(T98&lt;'PlayerGrades+'!$AI$13,"D+",IF(T98&lt;'PlayerGrades+'!$AI$12,"C-",IF(T98&lt;'PlayerGrades+'!$AI$11,"C",IF(T98&lt;'PlayerGrades+'!$AI$10,"C+",IF(T98&lt;'PlayerGrades+'!$AI$9,"B-",IF(T98&lt;'PlayerGrades+'!$AI$8,"B",IF(T98&lt;'PlayerGrades+'!$AI$7,"B+",IF(T98&lt;'PlayerGrades+'!$AI$6,"A-",IF(T98&lt;'PlayerGrades+'!$AI$5,"A",IF(T98&lt;'PlayerGrades+'!$AI$4,"A+",IF(T98&lt;'PlayerGrades+'!$AI$3,"S-",IF(T98&lt;'PlayerGrades+'!$AI$2,"S","S+"))))))))))))))))))))</f>
        <v>F-</v>
      </c>
      <c r="V98" s="1380"/>
      <c r="W98" s="1380"/>
      <c r="X98" s="1401"/>
      <c r="Y98" s="1401"/>
      <c r="Z98" s="1401"/>
      <c r="AA98" s="1401"/>
      <c r="AB98" s="1401"/>
      <c r="AC98" s="1402"/>
      <c r="AD98" s="1401"/>
      <c r="AE98" s="1401"/>
      <c r="AF98" s="1401"/>
      <c r="AG98" s="1401"/>
      <c r="AH98" s="1401"/>
      <c r="AI98" s="1401"/>
      <c r="AJ98" s="1401"/>
      <c r="AK98" s="1401"/>
      <c r="AL98" s="1401"/>
      <c r="AM98" s="1401"/>
      <c r="AN98" s="1401"/>
      <c r="AO98" s="1401"/>
      <c r="AP98" s="1401"/>
      <c r="AQ98" s="1401"/>
      <c r="AR98" s="1401"/>
      <c r="AS98" s="1401"/>
      <c r="AT98" s="1401"/>
      <c r="AU98" s="1401"/>
      <c r="AV98" s="1401"/>
      <c r="AW98" s="1401"/>
      <c r="AX98" s="1401"/>
      <c r="AY98" s="1401"/>
      <c r="AZ98" s="1401"/>
    </row>
    <row r="99">
      <c r="A99" s="1382"/>
      <c r="B99" s="611" t="str">
        <f>IF(C99&lt;'PlayerGrades+'!$Y$44,"F-",IF(C99&lt;'PlayerGrades+'!$Y$43,"F",IF(C99&lt;'PlayerGrades+'!$Y$42,"F+",IF(C99&lt;'PlayerGrades+'!$Y$41,"E-",IF(C99&lt;'PlayerGrades+'!$Y$40,"E",IF(C99&lt;'PlayerGrades+'!$Y$39,"E+",IF(C99&lt;'PlayerGrades+'!$Y$38,"D-",IF(C99&lt;'PlayerGrades+'!$Y$37,"D",IF(C99&lt;'PlayerGrades+'!$Y$36,"D+",IF(C99&lt;'PlayerGrades+'!$Y$35,"C-",IF(C99&lt;'PlayerGrades+'!$Y$34,"C",IF(C99&lt;'PlayerGrades+'!$Y$33,"C+",IF(C99&lt;'PlayerGrades+'!$Y$32,"B-",IF(C99&lt;'PlayerGrades+'!$Y$31,"B",IF(C99&lt;'PlayerGrades+'!$Y$30,"B+",IF(C99&lt;'PlayerGrades+'!$Y$29,"A-",IF(C99&lt;'PlayerGrades+'!$Y$28,"A",IF(C99&lt;'PlayerGrades+'!$Y$27,"A+",IF(C99&lt;'PlayerGrades+'!$Y$26,"S-",IF(C99&lt;'PlayerGrades+'!$Y$25,"S","S+"))))))))))))))))))))</f>
        <v>#DIV/0!</v>
      </c>
      <c r="C99" s="1378" t="str">
        <f>('PlayerGrades+'!$Y$47*(VLOOKUP(E99, 'PlayerGrades+'!$X$3:$Y$23, 2, FALSE)))+('PlayerGrades+'!$Y$48*(VLOOKUP(G99, 'PlayerGrades+'!$X$3:$Y$23, 2, FALSE)))+('PlayerGrades+'!$Y$49*(VLOOKUP(I99, 'PlayerGrades+'!$X$3:$Y$23, 2, FALSE)))+('PlayerGrades+'!$Y$50*(VLOOKUP(K99, 'PlayerGrades+'!$X$3:$Y$23, 2, FALSE)))+('PlayerGrades+'!$Y$51*(VLOOKUP(M99, 'PlayerGrades+'!$X$3:$Y$23, 2, FALSE)))+('PlayerGrades+'!$Y$52*(VLOOKUP(O99, 'PlayerGrades+'!$X$3:$Y$23, 2, FALSE)))+('PlayerGrades+'!$Y$53*(VLOOKUP(Q99, 'PlayerGrades+'!$X$3:$Y$23, 2, FALSE)))+('PlayerGrades+'!$Y$54*(VLOOKUP(S99, 'PlayerGrades+'!$X$3:$Y$23, 2, FALSE)))+('PlayerGrades+'!$Y$55*(VLOOKUP(U99, 'PlayerGrades+'!$X$3:$Y$23, 2, FALSE)))</f>
        <v>#DIV/0!</v>
      </c>
      <c r="D99" s="961" t="str">
        <f t="shared" si="1"/>
        <v>#DIV/0!</v>
      </c>
      <c r="E99" s="961" t="str">
        <f>IF(D99&lt;'PlayerGrades+'!$AA$21,"F-",IF(D99&lt;'PlayerGrades+'!$AA$20,"F",IF(D99&lt;'PlayerGrades+'!$AA$19,"F+",IF(D99&lt;'PlayerGrades+'!$AA$18,"E-",IF(D99&lt;'PlayerGrades+'!$AA$17,"E",IF(D99&lt;'PlayerGrades+'!$AA$16,"E+",IF(D99&lt;'PlayerGrades+'!$AA$15,"D-",IF(D99&lt;'PlayerGrades+'!$AA$14,"D",IF(D99&lt;'PlayerGrades+'!$AA$13,"D+",IF(D99&lt;'PlayerGrades+'!$AA$12,"C-",IF(D99&lt;'PlayerGrades+'!$AA$11,"C",IF(D99&lt;'PlayerGrades+'!$AA$10,"C+",IF(D99&lt;'PlayerGrades+'!$AA$9,"B-",IF(D99&lt;'PlayerGrades+'!$AA$8,"B",IF(D99&lt;'PlayerGrades+'!$AA$7,"B+",IF(D99&lt;'PlayerGrades+'!$AA$6,"A-",IF(D99&lt;'PlayerGrades+'!$AA$5,"A",IF(D99&lt;'PlayerGrades+'!$AA$4,"A+",IF(D99&lt;'PlayerGrades+'!$AA$3,"S-",IF(D99&lt;'PlayerGrades+'!$AA$2,"S","S+"))))))))))))))))))))</f>
        <v>#DIV/0!</v>
      </c>
      <c r="F99" s="961" t="str">
        <f t="shared" si="2"/>
        <v>#DIV/0!</v>
      </c>
      <c r="G99" s="961" t="str">
        <f>IF(F99&lt;'PlayerGrades+'!$AB$21,"F-",IF(F99&lt;'PlayerGrades+'!$AB$20,"F",IF(F99&lt;'PlayerGrades+'!$AB$19,"F+",IF(F99&lt;'PlayerGrades+'!$AB$18,"E-",IF(F99&lt;'PlayerGrades+'!$AB$17,"E",IF(F99&lt;'PlayerGrades+'!$AB$16,"E+",IF(F99&lt;'PlayerGrades+'!$AB$15,"D-",IF(F99&lt;'PlayerGrades+'!$AB$14,"D",IF(F99&lt;'PlayerGrades+'!$AB$13,"D+",IF(F99&lt;'PlayerGrades+'!$AB$12,"C-",IF(F99&lt;'PlayerGrades+'!$AB$11,"C",IF(F99&lt;'PlayerGrades+'!$AB$10,"C+",IF(F99&lt;'PlayerGrades+'!$AB$9,"B-",IF(F99&lt;'PlayerGrades+'!$AB$8,"B",IF(F99&lt;'PlayerGrades+'!$AB$7,"B+",IF(F99&lt;'PlayerGrades+'!$AB$6,"A-",IF(F99&lt;'PlayerGrades+'!$AB$5,"A",IF(F99&lt;'PlayerGrades+'!$AB$4,"A+",IF(F99&lt;'PlayerGrades+'!$AB$3,"S-",IF(F99&lt;'PlayerGrades+'!$AB$2,"S","S+"))))))))))))))))))))</f>
        <v>#DIV/0!</v>
      </c>
      <c r="H99" s="961" t="str">
        <f t="shared" si="3"/>
        <v>#DIV/0!</v>
      </c>
      <c r="I99" s="961" t="str">
        <f>IF(H99&lt;'PlayerGrades+'!$AC$21,"F-",IF(H99&lt;'PlayerGrades+'!$AC$20,"F",IF(H99&lt;'PlayerGrades+'!$AC$19,"F+",IF(H99&lt;'PlayerGrades+'!$AC$18,"E-",IF(H99&lt;'PlayerGrades+'!$AC$17,"E",IF(H99&lt;'PlayerGrades+'!$AC$16,"E+",IF(H99&lt;'PlayerGrades+'!$AC$15,"D-",IF(H99&lt;'PlayerGrades+'!$AC$14,"D",IF(H99&lt;'PlayerGrades+'!$AC$13,"D+",IF(H99&lt;'PlayerGrades+'!$AC$12,"C-",IF(H99&lt;'PlayerGrades+'!$AC$11,"C",IF(H99&lt;'PlayerGrades+'!$AC$10,"C+",IF(H99&lt;'PlayerGrades+'!$AC$9,"B-",IF(H99&lt;'PlayerGrades+'!$AC$8,"B",IF(H99&lt;'PlayerGrades+'!$AC$7,"B+",IF(H99&lt;'PlayerGrades+'!$AC$6,"A-",IF(H99&lt;'PlayerGrades+'!$AC$5,"A",IF(H99&lt;'PlayerGrades+'!$AC$4,"A+",IF(H99&lt;'PlayerGrades+'!$AC$3,"S-",IF(H99&lt;'PlayerGrades+'!$AC$2,"S","S+"))))))))))))))))))))</f>
        <v>#DIV/0!</v>
      </c>
      <c r="J99" s="961" t="str">
        <f t="shared" si="4"/>
        <v>#DIV/0!</v>
      </c>
      <c r="K99" s="961" t="str">
        <f>IF(J99&lt;'PlayerGrades+'!$AD$21,"F-",IF(J99&lt;'PlayerGrades+'!$AD$20,"F",IF(J99&lt;'PlayerGrades+'!$AD$19,"F+",IF(J99&lt;'PlayerGrades+'!$AD$18,"E-",IF(J99&lt;'PlayerGrades+'!$AD$17,"E",IF(J99&lt;'PlayerGrades+'!$AD$16,"E+",IF(J99&lt;'PlayerGrades+'!$AD$15,"D-",IF(J99&lt;'PlayerGrades+'!$AD$14,"D",IF(J99&lt;'PlayerGrades+'!$AD$13,"D+",IF(J99&lt;'PlayerGrades+'!$AD$12,"C-",IF(J99&lt;'PlayerGrades+'!$AD$11,"C",IF(J99&lt;'PlayerGrades+'!$AD$10,"C+",IF(J99&lt;'PlayerGrades+'!$AD$9,"B-",IF(J99&lt;'PlayerGrades+'!$AD$8,"B",IF(J99&lt;'PlayerGrades+'!$AD$7,"B+",IF(J99&lt;'PlayerGrades+'!$AD$6,"A-",IF(J99&lt;'PlayerGrades+'!$AD$5,"A",IF(J99&lt;'PlayerGrades+'!$AD$4,"A+",IF(J99&lt;'PlayerGrades+'!$AD$3,"S-",IF(J99&lt;'PlayerGrades+'!$AD$2,"S","S+"))))))))))))))))))))</f>
        <v>#DIV/0!</v>
      </c>
      <c r="L99" s="1176" t="str">
        <f t="shared" si="5"/>
        <v>#DIV/0!</v>
      </c>
      <c r="M99" s="992" t="str">
        <f>IF(L99&lt;'PlayerGrades+'!$AE$21,"F-",IF(L99&lt;'PlayerGrades+'!$AE$20,"F",IF(L99&lt;'PlayerGrades+'!$AE$19,"F+",IF(L99&lt;'PlayerGrades+'!$AE$18,"E-",IF(L99&lt;'PlayerGrades+'!$AE$17,"E",IF(L99&lt;'PlayerGrades+'!$AE$16,"E+",IF(L99&lt;'PlayerGrades+'!$AE$15,"D-",IF(L99&lt;'PlayerGrades+'!$AE$14,"D",IF(L99&lt;'PlayerGrades+'!$AE$13,"D+",IF(L99&lt;'PlayerGrades+'!$AE$12,"C-",IF(L99&lt;'PlayerGrades+'!$AE$11,"C",IF(L99&lt;'PlayerGrades+'!$AE$10,"C+",IF(L99&lt;'PlayerGrades+'!$AE$9,"B-",IF(L99&lt;'PlayerGrades+'!$AE$8,"B",IF(L99&lt;'PlayerGrades+'!$AE$7,"B+",IF(L99&lt;'PlayerGrades+'!$AE$6,"A-",IF(L99&lt;'PlayerGrades+'!$AE$5,"A",IF(L99&lt;'PlayerGrades+'!$AE$4,"A+",IF(L99&lt;'PlayerGrades+'!$AE$3,"S-",IF(L99&lt;'PlayerGrades+'!$AE$2,"S","S+"))))))))))))))))))))</f>
        <v>#DIV/0!</v>
      </c>
      <c r="N99" s="961" t="str">
        <f t="shared" si="6"/>
        <v>#DIV/0!</v>
      </c>
      <c r="O99" s="961" t="str">
        <f>IF(N99&lt;'PlayerGrades+'!$AF$21,"F-",IF(N99&lt;'PlayerGrades+'!$AF$20,"F",IF(N99&lt;'PlayerGrades+'!$AF$19,"F+",IF(N99&lt;'PlayerGrades+'!$AF$18,"E-",IF(N99&lt;'PlayerGrades+'!$AF$17,"E",IF(N99&lt;'PlayerGrades+'!$AF$16,"E+",IF(N99&lt;'PlayerGrades+'!$AF$15,"D-",IF(N99&lt;'PlayerGrades+'!$AF$14,"D",IF(N99&lt;'PlayerGrades+'!$AF$13,"D+",IF(N99&lt;'PlayerGrades+'!$AF$12,"C-",IF(N99&lt;'PlayerGrades+'!$AF$11,"C",IF(N99&lt;'PlayerGrades+'!$AF$10,"C+",IF(N99&lt;'PlayerGrades+'!$AF$9,"B-",IF(N99&lt;'PlayerGrades+'!$AF$8,"B",IF(N99&lt;'PlayerGrades+'!$AF$7,"B+",IF(N99&lt;'PlayerGrades+'!$AF$6,"A-",IF(N99&lt;'PlayerGrades+'!$AF$5,"A",IF(N99&lt;'PlayerGrades+'!$AF$4,"A+",IF(N99&lt;'PlayerGrades+'!$AF$3,"S-",IF(N99&lt;'PlayerGrades+'!$AF$2,"S","S+"))))))))))))))))))))</f>
        <v>#DIV/0!</v>
      </c>
      <c r="P99" s="961" t="str">
        <f t="shared" si="7"/>
        <v>#DIV/0!</v>
      </c>
      <c r="Q99" s="961" t="str">
        <f>IF(P99&lt;'PlayerGrades+'!$AG$21,"F-",IF(P99&lt;'PlayerGrades+'!$AG$20,"F",IF(P99&lt;'PlayerGrades+'!$AG$19,"F+",IF(P99&lt;'PlayerGrades+'!$AG$18,"E-",IF(P99&lt;'PlayerGrades+'!$AG$17,"E",IF(P99&lt;'PlayerGrades+'!$AG$16,"E+",IF(P99&lt;'PlayerGrades+'!$AG$15,"D-",IF(P99&lt;'PlayerGrades+'!$AG$14,"D",IF(P99&lt;'PlayerGrades+'!$AG$13,"D+",IF(P99&lt;'PlayerGrades+'!$AG$12,"C-",IF(P99&lt;'PlayerGrades+'!$AG$11,"C",IF(P99&lt;'PlayerGrades+'!$AG$10,"C+",IF(P99&lt;'PlayerGrades+'!$AG$9,"B-",IF(P99&lt;'PlayerGrades+'!$AG$8,"B",IF(P99&lt;'PlayerGrades+'!$AG$7,"B+",IF(P99&lt;'PlayerGrades+'!$AG$6,"A-",IF(P99&lt;'PlayerGrades+'!$AG$5,"A",IF(P99&lt;'PlayerGrades+'!$AG$4,"A+",IF(P99&lt;'PlayerGrades+'!$AG$3,"S-",IF(P99&lt;'PlayerGrades+'!$AG$2,"S","S+"))))))))))))))))))))</f>
        <v>#DIV/0!</v>
      </c>
      <c r="R99" s="961" t="str">
        <f t="shared" si="8"/>
        <v>#DIV/0!</v>
      </c>
      <c r="S99" s="961" t="str">
        <f>IF(R99&lt;'PlayerGrades+'!$AH$21,"F-",IF(R99&lt;'PlayerGrades+'!$AH$20,"F",IF(R99&lt;'PlayerGrades+'!$AH$19,"F+",IF(R99&lt;'PlayerGrades+'!$AH$18,"E-",IF(R99&lt;'PlayerGrades+'!$AH$17,"E",IF(R99&lt;'PlayerGrades+'!$AH$16,"E+",IF(R99&lt;'PlayerGrades+'!$AH$15,"D-",IF(R99&lt;'PlayerGrades+'!$AH$14,"D",IF(R99&lt;'PlayerGrades+'!$AH$13,"D+",IF(R99&lt;'PlayerGrades+'!$AH$12,"C-",IF(R99&lt;'PlayerGrades+'!$AH$11,"C",IF(R99&lt;'PlayerGrades+'!$AH$10,"C+",IF(R99&lt;'PlayerGrades+'!$AH$9,"B-",IF(R99&lt;'PlayerGrades+'!$AH$8,"B",IF(R99&lt;'PlayerGrades+'!$AH$7,"B+",IF(R99&lt;'PlayerGrades+'!$AH$6,"A-",IF(R99&lt;'PlayerGrades+'!$AH$5,"A",IF(R99&lt;'PlayerGrades+'!$AH$4,"A+",IF(R99&lt;'PlayerGrades+'!$AH$3,"S-",IF(R99&lt;'PlayerGrades+'!$AH$2,"S","S+"))))))))))))))))))))</f>
        <v>#DIV/0!</v>
      </c>
      <c r="T99" s="961">
        <f t="shared" si="9"/>
        <v>0</v>
      </c>
      <c r="U99" s="961" t="str">
        <f>IF(T99&lt;'PlayerGrades+'!$AI$21,"F-",IF(T99&lt;'PlayerGrades+'!$AI$20,"F",IF(T99&lt;'PlayerGrades+'!$AI$19,"F+",IF(T99&lt;'PlayerGrades+'!$AI$18,"E-",IF(T99&lt;'PlayerGrades+'!$AI$17,"E",IF(T99&lt;'PlayerGrades+'!$AI$16,"E+",IF(T99&lt;'PlayerGrades+'!$AI$15,"D-",IF(T99&lt;'PlayerGrades+'!$AI$14,"D",IF(T99&lt;'PlayerGrades+'!$AI$13,"D+",IF(T99&lt;'PlayerGrades+'!$AI$12,"C-",IF(T99&lt;'PlayerGrades+'!$AI$11,"C",IF(T99&lt;'PlayerGrades+'!$AI$10,"C+",IF(T99&lt;'PlayerGrades+'!$AI$9,"B-",IF(T99&lt;'PlayerGrades+'!$AI$8,"B",IF(T99&lt;'PlayerGrades+'!$AI$7,"B+",IF(T99&lt;'PlayerGrades+'!$AI$6,"A-",IF(T99&lt;'PlayerGrades+'!$AI$5,"A",IF(T99&lt;'PlayerGrades+'!$AI$4,"A+",IF(T99&lt;'PlayerGrades+'!$AI$3,"S-",IF(T99&lt;'PlayerGrades+'!$AI$2,"S","S+"))))))))))))))))))))</f>
        <v>F-</v>
      </c>
      <c r="V99" s="1383"/>
      <c r="W99" s="1383"/>
      <c r="X99" s="1403"/>
      <c r="Y99" s="1403"/>
      <c r="Z99" s="1403"/>
      <c r="AA99" s="1403"/>
      <c r="AB99" s="1403"/>
      <c r="AC99" s="1404"/>
      <c r="AD99" s="1403"/>
      <c r="AE99" s="1403"/>
      <c r="AF99" s="1403"/>
      <c r="AG99" s="1403"/>
      <c r="AH99" s="1403"/>
      <c r="AI99" s="1403"/>
      <c r="AJ99" s="1403"/>
      <c r="AK99" s="1403"/>
      <c r="AL99" s="1403"/>
      <c r="AM99" s="1403"/>
      <c r="AN99" s="1403"/>
      <c r="AO99" s="1403"/>
      <c r="AP99" s="1403"/>
      <c r="AQ99" s="1403"/>
      <c r="AR99" s="1403"/>
      <c r="AS99" s="1403"/>
      <c r="AT99" s="1403"/>
      <c r="AU99" s="1403"/>
      <c r="AV99" s="1403"/>
      <c r="AW99" s="1403"/>
      <c r="AX99" s="1403"/>
      <c r="AY99" s="1403"/>
      <c r="AZ99" s="1403"/>
    </row>
    <row r="100">
      <c r="A100" s="1382"/>
      <c r="B100" s="611" t="str">
        <f>IF(C100&lt;'PlayerGrades+'!$Y$44,"F-",IF(C100&lt;'PlayerGrades+'!$Y$43,"F",IF(C100&lt;'PlayerGrades+'!$Y$42,"F+",IF(C100&lt;'PlayerGrades+'!$Y$41,"E-",IF(C100&lt;'PlayerGrades+'!$Y$40,"E",IF(C100&lt;'PlayerGrades+'!$Y$39,"E+",IF(C100&lt;'PlayerGrades+'!$Y$38,"D-",IF(C100&lt;'PlayerGrades+'!$Y$37,"D",IF(C100&lt;'PlayerGrades+'!$Y$36,"D+",IF(C100&lt;'PlayerGrades+'!$Y$35,"C-",IF(C100&lt;'PlayerGrades+'!$Y$34,"C",IF(C100&lt;'PlayerGrades+'!$Y$33,"C+",IF(C100&lt;'PlayerGrades+'!$Y$32,"B-",IF(C100&lt;'PlayerGrades+'!$Y$31,"B",IF(C100&lt;'PlayerGrades+'!$Y$30,"B+",IF(C100&lt;'PlayerGrades+'!$Y$29,"A-",IF(C100&lt;'PlayerGrades+'!$Y$28,"A",IF(C100&lt;'PlayerGrades+'!$Y$27,"A+",IF(C100&lt;'PlayerGrades+'!$Y$26,"S-",IF(C100&lt;'PlayerGrades+'!$Y$25,"S","S+"))))))))))))))))))))</f>
        <v>#DIV/0!</v>
      </c>
      <c r="C100" s="1378" t="str">
        <f>('PlayerGrades+'!$Y$47*(VLOOKUP(E100, 'PlayerGrades+'!$X$3:$Y$23, 2, FALSE)))+('PlayerGrades+'!$Y$48*(VLOOKUP(G100, 'PlayerGrades+'!$X$3:$Y$23, 2, FALSE)))+('PlayerGrades+'!$Y$49*(VLOOKUP(I100, 'PlayerGrades+'!$X$3:$Y$23, 2, FALSE)))+('PlayerGrades+'!$Y$50*(VLOOKUP(K100, 'PlayerGrades+'!$X$3:$Y$23, 2, FALSE)))+('PlayerGrades+'!$Y$51*(VLOOKUP(M100, 'PlayerGrades+'!$X$3:$Y$23, 2, FALSE)))+('PlayerGrades+'!$Y$52*(VLOOKUP(O100, 'PlayerGrades+'!$X$3:$Y$23, 2, FALSE)))+('PlayerGrades+'!$Y$53*(VLOOKUP(Q100, 'PlayerGrades+'!$X$3:$Y$23, 2, FALSE)))+('PlayerGrades+'!$Y$54*(VLOOKUP(S100, 'PlayerGrades+'!$X$3:$Y$23, 2, FALSE)))+('PlayerGrades+'!$Y$55*(VLOOKUP(U100, 'PlayerGrades+'!$X$3:$Y$23, 2, FALSE)))</f>
        <v>#DIV/0!</v>
      </c>
      <c r="D100" s="961" t="str">
        <f t="shared" si="1"/>
        <v>#DIV/0!</v>
      </c>
      <c r="E100" s="961" t="str">
        <f>IF(D100&lt;'PlayerGrades+'!$AA$21,"F-",IF(D100&lt;'PlayerGrades+'!$AA$20,"F",IF(D100&lt;'PlayerGrades+'!$AA$19,"F+",IF(D100&lt;'PlayerGrades+'!$AA$18,"E-",IF(D100&lt;'PlayerGrades+'!$AA$17,"E",IF(D100&lt;'PlayerGrades+'!$AA$16,"E+",IF(D100&lt;'PlayerGrades+'!$AA$15,"D-",IF(D100&lt;'PlayerGrades+'!$AA$14,"D",IF(D100&lt;'PlayerGrades+'!$AA$13,"D+",IF(D100&lt;'PlayerGrades+'!$AA$12,"C-",IF(D100&lt;'PlayerGrades+'!$AA$11,"C",IF(D100&lt;'PlayerGrades+'!$AA$10,"C+",IF(D100&lt;'PlayerGrades+'!$AA$9,"B-",IF(D100&lt;'PlayerGrades+'!$AA$8,"B",IF(D100&lt;'PlayerGrades+'!$AA$7,"B+",IF(D100&lt;'PlayerGrades+'!$AA$6,"A-",IF(D100&lt;'PlayerGrades+'!$AA$5,"A",IF(D100&lt;'PlayerGrades+'!$AA$4,"A+",IF(D100&lt;'PlayerGrades+'!$AA$3,"S-",IF(D100&lt;'PlayerGrades+'!$AA$2,"S","S+"))))))))))))))))))))</f>
        <v>#DIV/0!</v>
      </c>
      <c r="F100" s="961" t="str">
        <f t="shared" si="2"/>
        <v>#DIV/0!</v>
      </c>
      <c r="G100" s="961" t="str">
        <f>IF(F100&lt;'PlayerGrades+'!$AB$21,"F-",IF(F100&lt;'PlayerGrades+'!$AB$20,"F",IF(F100&lt;'PlayerGrades+'!$AB$19,"F+",IF(F100&lt;'PlayerGrades+'!$AB$18,"E-",IF(F100&lt;'PlayerGrades+'!$AB$17,"E",IF(F100&lt;'PlayerGrades+'!$AB$16,"E+",IF(F100&lt;'PlayerGrades+'!$AB$15,"D-",IF(F100&lt;'PlayerGrades+'!$AB$14,"D",IF(F100&lt;'PlayerGrades+'!$AB$13,"D+",IF(F100&lt;'PlayerGrades+'!$AB$12,"C-",IF(F100&lt;'PlayerGrades+'!$AB$11,"C",IF(F100&lt;'PlayerGrades+'!$AB$10,"C+",IF(F100&lt;'PlayerGrades+'!$AB$9,"B-",IF(F100&lt;'PlayerGrades+'!$AB$8,"B",IF(F100&lt;'PlayerGrades+'!$AB$7,"B+",IF(F100&lt;'PlayerGrades+'!$AB$6,"A-",IF(F100&lt;'PlayerGrades+'!$AB$5,"A",IF(F100&lt;'PlayerGrades+'!$AB$4,"A+",IF(F100&lt;'PlayerGrades+'!$AB$3,"S-",IF(F100&lt;'PlayerGrades+'!$AB$2,"S","S+"))))))))))))))))))))</f>
        <v>#DIV/0!</v>
      </c>
      <c r="H100" s="961" t="str">
        <f t="shared" si="3"/>
        <v>#DIV/0!</v>
      </c>
      <c r="I100" s="961" t="str">
        <f>IF(H100&lt;'PlayerGrades+'!$AC$21,"F-",IF(H100&lt;'PlayerGrades+'!$AC$20,"F",IF(H100&lt;'PlayerGrades+'!$AC$19,"F+",IF(H100&lt;'PlayerGrades+'!$AC$18,"E-",IF(H100&lt;'PlayerGrades+'!$AC$17,"E",IF(H100&lt;'PlayerGrades+'!$AC$16,"E+",IF(H100&lt;'PlayerGrades+'!$AC$15,"D-",IF(H100&lt;'PlayerGrades+'!$AC$14,"D",IF(H100&lt;'PlayerGrades+'!$AC$13,"D+",IF(H100&lt;'PlayerGrades+'!$AC$12,"C-",IF(H100&lt;'PlayerGrades+'!$AC$11,"C",IF(H100&lt;'PlayerGrades+'!$AC$10,"C+",IF(H100&lt;'PlayerGrades+'!$AC$9,"B-",IF(H100&lt;'PlayerGrades+'!$AC$8,"B",IF(H100&lt;'PlayerGrades+'!$AC$7,"B+",IF(H100&lt;'PlayerGrades+'!$AC$6,"A-",IF(H100&lt;'PlayerGrades+'!$AC$5,"A",IF(H100&lt;'PlayerGrades+'!$AC$4,"A+",IF(H100&lt;'PlayerGrades+'!$AC$3,"S-",IF(H100&lt;'PlayerGrades+'!$AC$2,"S","S+"))))))))))))))))))))</f>
        <v>#DIV/0!</v>
      </c>
      <c r="J100" s="961" t="str">
        <f t="shared" si="4"/>
        <v>#DIV/0!</v>
      </c>
      <c r="K100" s="961" t="str">
        <f>IF(J100&lt;'PlayerGrades+'!$AD$21,"F-",IF(J100&lt;'PlayerGrades+'!$AD$20,"F",IF(J100&lt;'PlayerGrades+'!$AD$19,"F+",IF(J100&lt;'PlayerGrades+'!$AD$18,"E-",IF(J100&lt;'PlayerGrades+'!$AD$17,"E",IF(J100&lt;'PlayerGrades+'!$AD$16,"E+",IF(J100&lt;'PlayerGrades+'!$AD$15,"D-",IF(J100&lt;'PlayerGrades+'!$AD$14,"D",IF(J100&lt;'PlayerGrades+'!$AD$13,"D+",IF(J100&lt;'PlayerGrades+'!$AD$12,"C-",IF(J100&lt;'PlayerGrades+'!$AD$11,"C",IF(J100&lt;'PlayerGrades+'!$AD$10,"C+",IF(J100&lt;'PlayerGrades+'!$AD$9,"B-",IF(J100&lt;'PlayerGrades+'!$AD$8,"B",IF(J100&lt;'PlayerGrades+'!$AD$7,"B+",IF(J100&lt;'PlayerGrades+'!$AD$6,"A-",IF(J100&lt;'PlayerGrades+'!$AD$5,"A",IF(J100&lt;'PlayerGrades+'!$AD$4,"A+",IF(J100&lt;'PlayerGrades+'!$AD$3,"S-",IF(J100&lt;'PlayerGrades+'!$AD$2,"S","S+"))))))))))))))))))))</f>
        <v>#DIV/0!</v>
      </c>
      <c r="L100" s="1176" t="str">
        <f t="shared" si="5"/>
        <v>#DIV/0!</v>
      </c>
      <c r="M100" s="992" t="str">
        <f>IF(L100&lt;'PlayerGrades+'!$AE$21,"F-",IF(L100&lt;'PlayerGrades+'!$AE$20,"F",IF(L100&lt;'PlayerGrades+'!$AE$19,"F+",IF(L100&lt;'PlayerGrades+'!$AE$18,"E-",IF(L100&lt;'PlayerGrades+'!$AE$17,"E",IF(L100&lt;'PlayerGrades+'!$AE$16,"E+",IF(L100&lt;'PlayerGrades+'!$AE$15,"D-",IF(L100&lt;'PlayerGrades+'!$AE$14,"D",IF(L100&lt;'PlayerGrades+'!$AE$13,"D+",IF(L100&lt;'PlayerGrades+'!$AE$12,"C-",IF(L100&lt;'PlayerGrades+'!$AE$11,"C",IF(L100&lt;'PlayerGrades+'!$AE$10,"C+",IF(L100&lt;'PlayerGrades+'!$AE$9,"B-",IF(L100&lt;'PlayerGrades+'!$AE$8,"B",IF(L100&lt;'PlayerGrades+'!$AE$7,"B+",IF(L100&lt;'PlayerGrades+'!$AE$6,"A-",IF(L100&lt;'PlayerGrades+'!$AE$5,"A",IF(L100&lt;'PlayerGrades+'!$AE$4,"A+",IF(L100&lt;'PlayerGrades+'!$AE$3,"S-",IF(L100&lt;'PlayerGrades+'!$AE$2,"S","S+"))))))))))))))))))))</f>
        <v>#DIV/0!</v>
      </c>
      <c r="N100" s="961" t="str">
        <f t="shared" si="6"/>
        <v>#DIV/0!</v>
      </c>
      <c r="O100" s="961" t="str">
        <f>IF(N100&lt;'PlayerGrades+'!$AF$21,"F-",IF(N100&lt;'PlayerGrades+'!$AF$20,"F",IF(N100&lt;'PlayerGrades+'!$AF$19,"F+",IF(N100&lt;'PlayerGrades+'!$AF$18,"E-",IF(N100&lt;'PlayerGrades+'!$AF$17,"E",IF(N100&lt;'PlayerGrades+'!$AF$16,"E+",IF(N100&lt;'PlayerGrades+'!$AF$15,"D-",IF(N100&lt;'PlayerGrades+'!$AF$14,"D",IF(N100&lt;'PlayerGrades+'!$AF$13,"D+",IF(N100&lt;'PlayerGrades+'!$AF$12,"C-",IF(N100&lt;'PlayerGrades+'!$AF$11,"C",IF(N100&lt;'PlayerGrades+'!$AF$10,"C+",IF(N100&lt;'PlayerGrades+'!$AF$9,"B-",IF(N100&lt;'PlayerGrades+'!$AF$8,"B",IF(N100&lt;'PlayerGrades+'!$AF$7,"B+",IF(N100&lt;'PlayerGrades+'!$AF$6,"A-",IF(N100&lt;'PlayerGrades+'!$AF$5,"A",IF(N100&lt;'PlayerGrades+'!$AF$4,"A+",IF(N100&lt;'PlayerGrades+'!$AF$3,"S-",IF(N100&lt;'PlayerGrades+'!$AF$2,"S","S+"))))))))))))))))))))</f>
        <v>#DIV/0!</v>
      </c>
      <c r="P100" s="961" t="str">
        <f t="shared" si="7"/>
        <v>#DIV/0!</v>
      </c>
      <c r="Q100" s="961" t="str">
        <f>IF(P100&lt;'PlayerGrades+'!$AG$21,"F-",IF(P100&lt;'PlayerGrades+'!$AG$20,"F",IF(P100&lt;'PlayerGrades+'!$AG$19,"F+",IF(P100&lt;'PlayerGrades+'!$AG$18,"E-",IF(P100&lt;'PlayerGrades+'!$AG$17,"E",IF(P100&lt;'PlayerGrades+'!$AG$16,"E+",IF(P100&lt;'PlayerGrades+'!$AG$15,"D-",IF(P100&lt;'PlayerGrades+'!$AG$14,"D",IF(P100&lt;'PlayerGrades+'!$AG$13,"D+",IF(P100&lt;'PlayerGrades+'!$AG$12,"C-",IF(P100&lt;'PlayerGrades+'!$AG$11,"C",IF(P100&lt;'PlayerGrades+'!$AG$10,"C+",IF(P100&lt;'PlayerGrades+'!$AG$9,"B-",IF(P100&lt;'PlayerGrades+'!$AG$8,"B",IF(P100&lt;'PlayerGrades+'!$AG$7,"B+",IF(P100&lt;'PlayerGrades+'!$AG$6,"A-",IF(P100&lt;'PlayerGrades+'!$AG$5,"A",IF(P100&lt;'PlayerGrades+'!$AG$4,"A+",IF(P100&lt;'PlayerGrades+'!$AG$3,"S-",IF(P100&lt;'PlayerGrades+'!$AG$2,"S","S+"))))))))))))))))))))</f>
        <v>#DIV/0!</v>
      </c>
      <c r="R100" s="961" t="str">
        <f t="shared" si="8"/>
        <v>#DIV/0!</v>
      </c>
      <c r="S100" s="961" t="str">
        <f>IF(R100&lt;'PlayerGrades+'!$AH$21,"F-",IF(R100&lt;'PlayerGrades+'!$AH$20,"F",IF(R100&lt;'PlayerGrades+'!$AH$19,"F+",IF(R100&lt;'PlayerGrades+'!$AH$18,"E-",IF(R100&lt;'PlayerGrades+'!$AH$17,"E",IF(R100&lt;'PlayerGrades+'!$AH$16,"E+",IF(R100&lt;'PlayerGrades+'!$AH$15,"D-",IF(R100&lt;'PlayerGrades+'!$AH$14,"D",IF(R100&lt;'PlayerGrades+'!$AH$13,"D+",IF(R100&lt;'PlayerGrades+'!$AH$12,"C-",IF(R100&lt;'PlayerGrades+'!$AH$11,"C",IF(R100&lt;'PlayerGrades+'!$AH$10,"C+",IF(R100&lt;'PlayerGrades+'!$AH$9,"B-",IF(R100&lt;'PlayerGrades+'!$AH$8,"B",IF(R100&lt;'PlayerGrades+'!$AH$7,"B+",IF(R100&lt;'PlayerGrades+'!$AH$6,"A-",IF(R100&lt;'PlayerGrades+'!$AH$5,"A",IF(R100&lt;'PlayerGrades+'!$AH$4,"A+",IF(R100&lt;'PlayerGrades+'!$AH$3,"S-",IF(R100&lt;'PlayerGrades+'!$AH$2,"S","S+"))))))))))))))))))))</f>
        <v>#DIV/0!</v>
      </c>
      <c r="T100" s="961">
        <f t="shared" si="9"/>
        <v>0</v>
      </c>
      <c r="U100" s="961" t="str">
        <f>IF(T100&lt;'PlayerGrades+'!$AI$21,"F-",IF(T100&lt;'PlayerGrades+'!$AI$20,"F",IF(T100&lt;'PlayerGrades+'!$AI$19,"F+",IF(T100&lt;'PlayerGrades+'!$AI$18,"E-",IF(T100&lt;'PlayerGrades+'!$AI$17,"E",IF(T100&lt;'PlayerGrades+'!$AI$16,"E+",IF(T100&lt;'PlayerGrades+'!$AI$15,"D-",IF(T100&lt;'PlayerGrades+'!$AI$14,"D",IF(T100&lt;'PlayerGrades+'!$AI$13,"D+",IF(T100&lt;'PlayerGrades+'!$AI$12,"C-",IF(T100&lt;'PlayerGrades+'!$AI$11,"C",IF(T100&lt;'PlayerGrades+'!$AI$10,"C+",IF(T100&lt;'PlayerGrades+'!$AI$9,"B-",IF(T100&lt;'PlayerGrades+'!$AI$8,"B",IF(T100&lt;'PlayerGrades+'!$AI$7,"B+",IF(T100&lt;'PlayerGrades+'!$AI$6,"A-",IF(T100&lt;'PlayerGrades+'!$AI$5,"A",IF(T100&lt;'PlayerGrades+'!$AI$4,"A+",IF(T100&lt;'PlayerGrades+'!$AI$3,"S-",IF(T100&lt;'PlayerGrades+'!$AI$2,"S","S+"))))))))))))))))))))</f>
        <v>F-</v>
      </c>
      <c r="V100" s="1383"/>
      <c r="W100" s="1383"/>
      <c r="X100" s="1403"/>
      <c r="Y100" s="1403"/>
      <c r="Z100" s="1403"/>
      <c r="AA100" s="1403"/>
      <c r="AB100" s="1403"/>
      <c r="AC100" s="1404"/>
      <c r="AD100" s="1403"/>
      <c r="AE100" s="1403"/>
      <c r="AF100" s="1403"/>
      <c r="AG100" s="1403"/>
      <c r="AH100" s="1403"/>
      <c r="AI100" s="1403"/>
      <c r="AJ100" s="1403"/>
      <c r="AK100" s="1403"/>
      <c r="AL100" s="1403"/>
      <c r="AM100" s="1403"/>
      <c r="AN100" s="1403"/>
      <c r="AO100" s="1403"/>
      <c r="AP100" s="1403"/>
      <c r="AQ100" s="1403"/>
      <c r="AR100" s="1403"/>
      <c r="AS100" s="1403"/>
      <c r="AT100" s="1403"/>
      <c r="AU100" s="1403"/>
      <c r="AV100" s="1403"/>
      <c r="AW100" s="1403"/>
      <c r="AX100" s="1403"/>
      <c r="AY100" s="1403"/>
      <c r="AZ100" s="1403"/>
    </row>
    <row r="101">
      <c r="A101" s="1382"/>
      <c r="B101" s="611" t="str">
        <f>IF(C101&lt;'PlayerGrades+'!$Y$44,"F-",IF(C101&lt;'PlayerGrades+'!$Y$43,"F",IF(C101&lt;'PlayerGrades+'!$Y$42,"F+",IF(C101&lt;'PlayerGrades+'!$Y$41,"E-",IF(C101&lt;'PlayerGrades+'!$Y$40,"E",IF(C101&lt;'PlayerGrades+'!$Y$39,"E+",IF(C101&lt;'PlayerGrades+'!$Y$38,"D-",IF(C101&lt;'PlayerGrades+'!$Y$37,"D",IF(C101&lt;'PlayerGrades+'!$Y$36,"D+",IF(C101&lt;'PlayerGrades+'!$Y$35,"C-",IF(C101&lt;'PlayerGrades+'!$Y$34,"C",IF(C101&lt;'PlayerGrades+'!$Y$33,"C+",IF(C101&lt;'PlayerGrades+'!$Y$32,"B-",IF(C101&lt;'PlayerGrades+'!$Y$31,"B",IF(C101&lt;'PlayerGrades+'!$Y$30,"B+",IF(C101&lt;'PlayerGrades+'!$Y$29,"A-",IF(C101&lt;'PlayerGrades+'!$Y$28,"A",IF(C101&lt;'PlayerGrades+'!$Y$27,"A+",IF(C101&lt;'PlayerGrades+'!$Y$26,"S-",IF(C101&lt;'PlayerGrades+'!$Y$25,"S","S+"))))))))))))))))))))</f>
        <v>#DIV/0!</v>
      </c>
      <c r="C101" s="1378" t="str">
        <f>('PlayerGrades+'!$Y$47*(VLOOKUP(E101, 'PlayerGrades+'!$X$3:$Y$23, 2, FALSE)))+('PlayerGrades+'!$Y$48*(VLOOKUP(G101, 'PlayerGrades+'!$X$3:$Y$23, 2, FALSE)))+('PlayerGrades+'!$Y$49*(VLOOKUP(I101, 'PlayerGrades+'!$X$3:$Y$23, 2, FALSE)))+('PlayerGrades+'!$Y$50*(VLOOKUP(K101, 'PlayerGrades+'!$X$3:$Y$23, 2, FALSE)))+('PlayerGrades+'!$Y$51*(VLOOKUP(M101, 'PlayerGrades+'!$X$3:$Y$23, 2, FALSE)))+('PlayerGrades+'!$Y$52*(VLOOKUP(O101, 'PlayerGrades+'!$X$3:$Y$23, 2, FALSE)))+('PlayerGrades+'!$Y$53*(VLOOKUP(Q101, 'PlayerGrades+'!$X$3:$Y$23, 2, FALSE)))+('PlayerGrades+'!$Y$54*(VLOOKUP(S101, 'PlayerGrades+'!$X$3:$Y$23, 2, FALSE)))+('PlayerGrades+'!$Y$55*(VLOOKUP(U101, 'PlayerGrades+'!$X$3:$Y$23, 2, FALSE)))</f>
        <v>#DIV/0!</v>
      </c>
      <c r="D101" s="961" t="str">
        <f t="shared" si="1"/>
        <v>#DIV/0!</v>
      </c>
      <c r="E101" s="961" t="str">
        <f>IF(D101&lt;'PlayerGrades+'!$AA$21,"F-",IF(D101&lt;'PlayerGrades+'!$AA$20,"F",IF(D101&lt;'PlayerGrades+'!$AA$19,"F+",IF(D101&lt;'PlayerGrades+'!$AA$18,"E-",IF(D101&lt;'PlayerGrades+'!$AA$17,"E",IF(D101&lt;'PlayerGrades+'!$AA$16,"E+",IF(D101&lt;'PlayerGrades+'!$AA$15,"D-",IF(D101&lt;'PlayerGrades+'!$AA$14,"D",IF(D101&lt;'PlayerGrades+'!$AA$13,"D+",IF(D101&lt;'PlayerGrades+'!$AA$12,"C-",IF(D101&lt;'PlayerGrades+'!$AA$11,"C",IF(D101&lt;'PlayerGrades+'!$AA$10,"C+",IF(D101&lt;'PlayerGrades+'!$AA$9,"B-",IF(D101&lt;'PlayerGrades+'!$AA$8,"B",IF(D101&lt;'PlayerGrades+'!$AA$7,"B+",IF(D101&lt;'PlayerGrades+'!$AA$6,"A-",IF(D101&lt;'PlayerGrades+'!$AA$5,"A",IF(D101&lt;'PlayerGrades+'!$AA$4,"A+",IF(D101&lt;'PlayerGrades+'!$AA$3,"S-",IF(D101&lt;'PlayerGrades+'!$AA$2,"S","S+"))))))))))))))))))))</f>
        <v>#DIV/0!</v>
      </c>
      <c r="F101" s="961" t="str">
        <f t="shared" si="2"/>
        <v>#DIV/0!</v>
      </c>
      <c r="G101" s="961" t="str">
        <f>IF(F101&lt;'PlayerGrades+'!$AB$21,"F-",IF(F101&lt;'PlayerGrades+'!$AB$20,"F",IF(F101&lt;'PlayerGrades+'!$AB$19,"F+",IF(F101&lt;'PlayerGrades+'!$AB$18,"E-",IF(F101&lt;'PlayerGrades+'!$AB$17,"E",IF(F101&lt;'PlayerGrades+'!$AB$16,"E+",IF(F101&lt;'PlayerGrades+'!$AB$15,"D-",IF(F101&lt;'PlayerGrades+'!$AB$14,"D",IF(F101&lt;'PlayerGrades+'!$AB$13,"D+",IF(F101&lt;'PlayerGrades+'!$AB$12,"C-",IF(F101&lt;'PlayerGrades+'!$AB$11,"C",IF(F101&lt;'PlayerGrades+'!$AB$10,"C+",IF(F101&lt;'PlayerGrades+'!$AB$9,"B-",IF(F101&lt;'PlayerGrades+'!$AB$8,"B",IF(F101&lt;'PlayerGrades+'!$AB$7,"B+",IF(F101&lt;'PlayerGrades+'!$AB$6,"A-",IF(F101&lt;'PlayerGrades+'!$AB$5,"A",IF(F101&lt;'PlayerGrades+'!$AB$4,"A+",IF(F101&lt;'PlayerGrades+'!$AB$3,"S-",IF(F101&lt;'PlayerGrades+'!$AB$2,"S","S+"))))))))))))))))))))</f>
        <v>#DIV/0!</v>
      </c>
      <c r="H101" s="961" t="str">
        <f t="shared" si="3"/>
        <v>#DIV/0!</v>
      </c>
      <c r="I101" s="961" t="str">
        <f>IF(H101&lt;'PlayerGrades+'!$AC$21,"F-",IF(H101&lt;'PlayerGrades+'!$AC$20,"F",IF(H101&lt;'PlayerGrades+'!$AC$19,"F+",IF(H101&lt;'PlayerGrades+'!$AC$18,"E-",IF(H101&lt;'PlayerGrades+'!$AC$17,"E",IF(H101&lt;'PlayerGrades+'!$AC$16,"E+",IF(H101&lt;'PlayerGrades+'!$AC$15,"D-",IF(H101&lt;'PlayerGrades+'!$AC$14,"D",IF(H101&lt;'PlayerGrades+'!$AC$13,"D+",IF(H101&lt;'PlayerGrades+'!$AC$12,"C-",IF(H101&lt;'PlayerGrades+'!$AC$11,"C",IF(H101&lt;'PlayerGrades+'!$AC$10,"C+",IF(H101&lt;'PlayerGrades+'!$AC$9,"B-",IF(H101&lt;'PlayerGrades+'!$AC$8,"B",IF(H101&lt;'PlayerGrades+'!$AC$7,"B+",IF(H101&lt;'PlayerGrades+'!$AC$6,"A-",IF(H101&lt;'PlayerGrades+'!$AC$5,"A",IF(H101&lt;'PlayerGrades+'!$AC$4,"A+",IF(H101&lt;'PlayerGrades+'!$AC$3,"S-",IF(H101&lt;'PlayerGrades+'!$AC$2,"S","S+"))))))))))))))))))))</f>
        <v>#DIV/0!</v>
      </c>
      <c r="J101" s="961" t="str">
        <f t="shared" si="4"/>
        <v>#DIV/0!</v>
      </c>
      <c r="K101" s="961" t="str">
        <f>IF(J101&lt;'PlayerGrades+'!$AD$21,"F-",IF(J101&lt;'PlayerGrades+'!$AD$20,"F",IF(J101&lt;'PlayerGrades+'!$AD$19,"F+",IF(J101&lt;'PlayerGrades+'!$AD$18,"E-",IF(J101&lt;'PlayerGrades+'!$AD$17,"E",IF(J101&lt;'PlayerGrades+'!$AD$16,"E+",IF(J101&lt;'PlayerGrades+'!$AD$15,"D-",IF(J101&lt;'PlayerGrades+'!$AD$14,"D",IF(J101&lt;'PlayerGrades+'!$AD$13,"D+",IF(J101&lt;'PlayerGrades+'!$AD$12,"C-",IF(J101&lt;'PlayerGrades+'!$AD$11,"C",IF(J101&lt;'PlayerGrades+'!$AD$10,"C+",IF(J101&lt;'PlayerGrades+'!$AD$9,"B-",IF(J101&lt;'PlayerGrades+'!$AD$8,"B",IF(J101&lt;'PlayerGrades+'!$AD$7,"B+",IF(J101&lt;'PlayerGrades+'!$AD$6,"A-",IF(J101&lt;'PlayerGrades+'!$AD$5,"A",IF(J101&lt;'PlayerGrades+'!$AD$4,"A+",IF(J101&lt;'PlayerGrades+'!$AD$3,"S-",IF(J101&lt;'PlayerGrades+'!$AD$2,"S","S+"))))))))))))))))))))</f>
        <v>#DIV/0!</v>
      </c>
      <c r="L101" s="1176" t="str">
        <f t="shared" si="5"/>
        <v>#DIV/0!</v>
      </c>
      <c r="M101" s="992" t="str">
        <f>IF(L101&lt;'PlayerGrades+'!$AE$21,"F-",IF(L101&lt;'PlayerGrades+'!$AE$20,"F",IF(L101&lt;'PlayerGrades+'!$AE$19,"F+",IF(L101&lt;'PlayerGrades+'!$AE$18,"E-",IF(L101&lt;'PlayerGrades+'!$AE$17,"E",IF(L101&lt;'PlayerGrades+'!$AE$16,"E+",IF(L101&lt;'PlayerGrades+'!$AE$15,"D-",IF(L101&lt;'PlayerGrades+'!$AE$14,"D",IF(L101&lt;'PlayerGrades+'!$AE$13,"D+",IF(L101&lt;'PlayerGrades+'!$AE$12,"C-",IF(L101&lt;'PlayerGrades+'!$AE$11,"C",IF(L101&lt;'PlayerGrades+'!$AE$10,"C+",IF(L101&lt;'PlayerGrades+'!$AE$9,"B-",IF(L101&lt;'PlayerGrades+'!$AE$8,"B",IF(L101&lt;'PlayerGrades+'!$AE$7,"B+",IF(L101&lt;'PlayerGrades+'!$AE$6,"A-",IF(L101&lt;'PlayerGrades+'!$AE$5,"A",IF(L101&lt;'PlayerGrades+'!$AE$4,"A+",IF(L101&lt;'PlayerGrades+'!$AE$3,"S-",IF(L101&lt;'PlayerGrades+'!$AE$2,"S","S+"))))))))))))))))))))</f>
        <v>#DIV/0!</v>
      </c>
      <c r="N101" s="961" t="str">
        <f t="shared" si="6"/>
        <v>#DIV/0!</v>
      </c>
      <c r="O101" s="961" t="str">
        <f>IF(N101&lt;'PlayerGrades+'!$AF$21,"F-",IF(N101&lt;'PlayerGrades+'!$AF$20,"F",IF(N101&lt;'PlayerGrades+'!$AF$19,"F+",IF(N101&lt;'PlayerGrades+'!$AF$18,"E-",IF(N101&lt;'PlayerGrades+'!$AF$17,"E",IF(N101&lt;'PlayerGrades+'!$AF$16,"E+",IF(N101&lt;'PlayerGrades+'!$AF$15,"D-",IF(N101&lt;'PlayerGrades+'!$AF$14,"D",IF(N101&lt;'PlayerGrades+'!$AF$13,"D+",IF(N101&lt;'PlayerGrades+'!$AF$12,"C-",IF(N101&lt;'PlayerGrades+'!$AF$11,"C",IF(N101&lt;'PlayerGrades+'!$AF$10,"C+",IF(N101&lt;'PlayerGrades+'!$AF$9,"B-",IF(N101&lt;'PlayerGrades+'!$AF$8,"B",IF(N101&lt;'PlayerGrades+'!$AF$7,"B+",IF(N101&lt;'PlayerGrades+'!$AF$6,"A-",IF(N101&lt;'PlayerGrades+'!$AF$5,"A",IF(N101&lt;'PlayerGrades+'!$AF$4,"A+",IF(N101&lt;'PlayerGrades+'!$AF$3,"S-",IF(N101&lt;'PlayerGrades+'!$AF$2,"S","S+"))))))))))))))))))))</f>
        <v>#DIV/0!</v>
      </c>
      <c r="P101" s="961" t="str">
        <f t="shared" si="7"/>
        <v>#DIV/0!</v>
      </c>
      <c r="Q101" s="961" t="str">
        <f>IF(P101&lt;'PlayerGrades+'!$AG$21,"F-",IF(P101&lt;'PlayerGrades+'!$AG$20,"F",IF(P101&lt;'PlayerGrades+'!$AG$19,"F+",IF(P101&lt;'PlayerGrades+'!$AG$18,"E-",IF(P101&lt;'PlayerGrades+'!$AG$17,"E",IF(P101&lt;'PlayerGrades+'!$AG$16,"E+",IF(P101&lt;'PlayerGrades+'!$AG$15,"D-",IF(P101&lt;'PlayerGrades+'!$AG$14,"D",IF(P101&lt;'PlayerGrades+'!$AG$13,"D+",IF(P101&lt;'PlayerGrades+'!$AG$12,"C-",IF(P101&lt;'PlayerGrades+'!$AG$11,"C",IF(P101&lt;'PlayerGrades+'!$AG$10,"C+",IF(P101&lt;'PlayerGrades+'!$AG$9,"B-",IF(P101&lt;'PlayerGrades+'!$AG$8,"B",IF(P101&lt;'PlayerGrades+'!$AG$7,"B+",IF(P101&lt;'PlayerGrades+'!$AG$6,"A-",IF(P101&lt;'PlayerGrades+'!$AG$5,"A",IF(P101&lt;'PlayerGrades+'!$AG$4,"A+",IF(P101&lt;'PlayerGrades+'!$AG$3,"S-",IF(P101&lt;'PlayerGrades+'!$AG$2,"S","S+"))))))))))))))))))))</f>
        <v>#DIV/0!</v>
      </c>
      <c r="R101" s="961" t="str">
        <f t="shared" si="8"/>
        <v>#DIV/0!</v>
      </c>
      <c r="S101" s="961" t="str">
        <f>IF(R101&lt;'PlayerGrades+'!$AH$21,"F-",IF(R101&lt;'PlayerGrades+'!$AH$20,"F",IF(R101&lt;'PlayerGrades+'!$AH$19,"F+",IF(R101&lt;'PlayerGrades+'!$AH$18,"E-",IF(R101&lt;'PlayerGrades+'!$AH$17,"E",IF(R101&lt;'PlayerGrades+'!$AH$16,"E+",IF(R101&lt;'PlayerGrades+'!$AH$15,"D-",IF(R101&lt;'PlayerGrades+'!$AH$14,"D",IF(R101&lt;'PlayerGrades+'!$AH$13,"D+",IF(R101&lt;'PlayerGrades+'!$AH$12,"C-",IF(R101&lt;'PlayerGrades+'!$AH$11,"C",IF(R101&lt;'PlayerGrades+'!$AH$10,"C+",IF(R101&lt;'PlayerGrades+'!$AH$9,"B-",IF(R101&lt;'PlayerGrades+'!$AH$8,"B",IF(R101&lt;'PlayerGrades+'!$AH$7,"B+",IF(R101&lt;'PlayerGrades+'!$AH$6,"A-",IF(R101&lt;'PlayerGrades+'!$AH$5,"A",IF(R101&lt;'PlayerGrades+'!$AH$4,"A+",IF(R101&lt;'PlayerGrades+'!$AH$3,"S-",IF(R101&lt;'PlayerGrades+'!$AH$2,"S","S+"))))))))))))))))))))</f>
        <v>#DIV/0!</v>
      </c>
      <c r="T101" s="961">
        <f t="shared" si="9"/>
        <v>0</v>
      </c>
      <c r="U101" s="961" t="str">
        <f>IF(T101&lt;'PlayerGrades+'!$AI$21,"F-",IF(T101&lt;'PlayerGrades+'!$AI$20,"F",IF(T101&lt;'PlayerGrades+'!$AI$19,"F+",IF(T101&lt;'PlayerGrades+'!$AI$18,"E-",IF(T101&lt;'PlayerGrades+'!$AI$17,"E",IF(T101&lt;'PlayerGrades+'!$AI$16,"E+",IF(T101&lt;'PlayerGrades+'!$AI$15,"D-",IF(T101&lt;'PlayerGrades+'!$AI$14,"D",IF(T101&lt;'PlayerGrades+'!$AI$13,"D+",IF(T101&lt;'PlayerGrades+'!$AI$12,"C-",IF(T101&lt;'PlayerGrades+'!$AI$11,"C",IF(T101&lt;'PlayerGrades+'!$AI$10,"C+",IF(T101&lt;'PlayerGrades+'!$AI$9,"B-",IF(T101&lt;'PlayerGrades+'!$AI$8,"B",IF(T101&lt;'PlayerGrades+'!$AI$7,"B+",IF(T101&lt;'PlayerGrades+'!$AI$6,"A-",IF(T101&lt;'PlayerGrades+'!$AI$5,"A",IF(T101&lt;'PlayerGrades+'!$AI$4,"A+",IF(T101&lt;'PlayerGrades+'!$AI$3,"S-",IF(T101&lt;'PlayerGrades+'!$AI$2,"S","S+"))))))))))))))))))))</f>
        <v>F-</v>
      </c>
      <c r="V101" s="1383"/>
      <c r="W101" s="1383"/>
      <c r="X101" s="1403"/>
      <c r="Y101" s="1403"/>
      <c r="Z101" s="1403"/>
      <c r="AA101" s="1403"/>
      <c r="AB101" s="1403"/>
      <c r="AC101" s="1404"/>
      <c r="AD101" s="1403"/>
      <c r="AE101" s="1403"/>
      <c r="AF101" s="1403"/>
      <c r="AG101" s="1403"/>
      <c r="AH101" s="1403"/>
      <c r="AI101" s="1403"/>
      <c r="AJ101" s="1403"/>
      <c r="AK101" s="1403"/>
      <c r="AL101" s="1403"/>
      <c r="AM101" s="1403"/>
      <c r="AN101" s="1403"/>
      <c r="AO101" s="1403"/>
      <c r="AP101" s="1403"/>
      <c r="AQ101" s="1403"/>
      <c r="AR101" s="1403"/>
      <c r="AS101" s="1403"/>
      <c r="AT101" s="1403"/>
      <c r="AU101" s="1403"/>
      <c r="AV101" s="1403"/>
      <c r="AW101" s="1403"/>
      <c r="AX101" s="1403"/>
      <c r="AY101" s="1403"/>
      <c r="AZ101" s="1403"/>
    </row>
    <row r="102">
      <c r="A102" s="1382"/>
      <c r="B102" s="611" t="str">
        <f>IF(C102&lt;'PlayerGrades+'!$Y$44,"F-",IF(C102&lt;'PlayerGrades+'!$Y$43,"F",IF(C102&lt;'PlayerGrades+'!$Y$42,"F+",IF(C102&lt;'PlayerGrades+'!$Y$41,"E-",IF(C102&lt;'PlayerGrades+'!$Y$40,"E",IF(C102&lt;'PlayerGrades+'!$Y$39,"E+",IF(C102&lt;'PlayerGrades+'!$Y$38,"D-",IF(C102&lt;'PlayerGrades+'!$Y$37,"D",IF(C102&lt;'PlayerGrades+'!$Y$36,"D+",IF(C102&lt;'PlayerGrades+'!$Y$35,"C-",IF(C102&lt;'PlayerGrades+'!$Y$34,"C",IF(C102&lt;'PlayerGrades+'!$Y$33,"C+",IF(C102&lt;'PlayerGrades+'!$Y$32,"B-",IF(C102&lt;'PlayerGrades+'!$Y$31,"B",IF(C102&lt;'PlayerGrades+'!$Y$30,"B+",IF(C102&lt;'PlayerGrades+'!$Y$29,"A-",IF(C102&lt;'PlayerGrades+'!$Y$28,"A",IF(C102&lt;'PlayerGrades+'!$Y$27,"A+",IF(C102&lt;'PlayerGrades+'!$Y$26,"S-",IF(C102&lt;'PlayerGrades+'!$Y$25,"S","S+"))))))))))))))))))))</f>
        <v>#DIV/0!</v>
      </c>
      <c r="C102" s="1378" t="str">
        <f>('PlayerGrades+'!$Y$47*(VLOOKUP(E102, 'PlayerGrades+'!$X$3:$Y$23, 2, FALSE)))+('PlayerGrades+'!$Y$48*(VLOOKUP(G102, 'PlayerGrades+'!$X$3:$Y$23, 2, FALSE)))+('PlayerGrades+'!$Y$49*(VLOOKUP(I102, 'PlayerGrades+'!$X$3:$Y$23, 2, FALSE)))+('PlayerGrades+'!$Y$50*(VLOOKUP(K102, 'PlayerGrades+'!$X$3:$Y$23, 2, FALSE)))+('PlayerGrades+'!$Y$51*(VLOOKUP(M102, 'PlayerGrades+'!$X$3:$Y$23, 2, FALSE)))+('PlayerGrades+'!$Y$52*(VLOOKUP(O102, 'PlayerGrades+'!$X$3:$Y$23, 2, FALSE)))+('PlayerGrades+'!$Y$53*(VLOOKUP(Q102, 'PlayerGrades+'!$X$3:$Y$23, 2, FALSE)))+('PlayerGrades+'!$Y$54*(VLOOKUP(S102, 'PlayerGrades+'!$X$3:$Y$23, 2, FALSE)))+('PlayerGrades+'!$Y$55*(VLOOKUP(U102, 'PlayerGrades+'!$X$3:$Y$23, 2, FALSE)))</f>
        <v>#DIV/0!</v>
      </c>
      <c r="D102" s="961" t="str">
        <f t="shared" si="1"/>
        <v>#DIV/0!</v>
      </c>
      <c r="E102" s="961" t="str">
        <f>IF(D102&lt;'PlayerGrades+'!$AA$21,"F-",IF(D102&lt;'PlayerGrades+'!$AA$20,"F",IF(D102&lt;'PlayerGrades+'!$AA$19,"F+",IF(D102&lt;'PlayerGrades+'!$AA$18,"E-",IF(D102&lt;'PlayerGrades+'!$AA$17,"E",IF(D102&lt;'PlayerGrades+'!$AA$16,"E+",IF(D102&lt;'PlayerGrades+'!$AA$15,"D-",IF(D102&lt;'PlayerGrades+'!$AA$14,"D",IF(D102&lt;'PlayerGrades+'!$AA$13,"D+",IF(D102&lt;'PlayerGrades+'!$AA$12,"C-",IF(D102&lt;'PlayerGrades+'!$AA$11,"C",IF(D102&lt;'PlayerGrades+'!$AA$10,"C+",IF(D102&lt;'PlayerGrades+'!$AA$9,"B-",IF(D102&lt;'PlayerGrades+'!$AA$8,"B",IF(D102&lt;'PlayerGrades+'!$AA$7,"B+",IF(D102&lt;'PlayerGrades+'!$AA$6,"A-",IF(D102&lt;'PlayerGrades+'!$AA$5,"A",IF(D102&lt;'PlayerGrades+'!$AA$4,"A+",IF(D102&lt;'PlayerGrades+'!$AA$3,"S-",IF(D102&lt;'PlayerGrades+'!$AA$2,"S","S+"))))))))))))))))))))</f>
        <v>#DIV/0!</v>
      </c>
      <c r="F102" s="961" t="str">
        <f t="shared" si="2"/>
        <v>#DIV/0!</v>
      </c>
      <c r="G102" s="961" t="str">
        <f>IF(F102&lt;'PlayerGrades+'!$AB$21,"F-",IF(F102&lt;'PlayerGrades+'!$AB$20,"F",IF(F102&lt;'PlayerGrades+'!$AB$19,"F+",IF(F102&lt;'PlayerGrades+'!$AB$18,"E-",IF(F102&lt;'PlayerGrades+'!$AB$17,"E",IF(F102&lt;'PlayerGrades+'!$AB$16,"E+",IF(F102&lt;'PlayerGrades+'!$AB$15,"D-",IF(F102&lt;'PlayerGrades+'!$AB$14,"D",IF(F102&lt;'PlayerGrades+'!$AB$13,"D+",IF(F102&lt;'PlayerGrades+'!$AB$12,"C-",IF(F102&lt;'PlayerGrades+'!$AB$11,"C",IF(F102&lt;'PlayerGrades+'!$AB$10,"C+",IF(F102&lt;'PlayerGrades+'!$AB$9,"B-",IF(F102&lt;'PlayerGrades+'!$AB$8,"B",IF(F102&lt;'PlayerGrades+'!$AB$7,"B+",IF(F102&lt;'PlayerGrades+'!$AB$6,"A-",IF(F102&lt;'PlayerGrades+'!$AB$5,"A",IF(F102&lt;'PlayerGrades+'!$AB$4,"A+",IF(F102&lt;'PlayerGrades+'!$AB$3,"S-",IF(F102&lt;'PlayerGrades+'!$AB$2,"S","S+"))))))))))))))))))))</f>
        <v>#DIV/0!</v>
      </c>
      <c r="H102" s="961" t="str">
        <f t="shared" si="3"/>
        <v>#DIV/0!</v>
      </c>
      <c r="I102" s="961" t="str">
        <f>IF(H102&lt;'PlayerGrades+'!$AC$21,"F-",IF(H102&lt;'PlayerGrades+'!$AC$20,"F",IF(H102&lt;'PlayerGrades+'!$AC$19,"F+",IF(H102&lt;'PlayerGrades+'!$AC$18,"E-",IF(H102&lt;'PlayerGrades+'!$AC$17,"E",IF(H102&lt;'PlayerGrades+'!$AC$16,"E+",IF(H102&lt;'PlayerGrades+'!$AC$15,"D-",IF(H102&lt;'PlayerGrades+'!$AC$14,"D",IF(H102&lt;'PlayerGrades+'!$AC$13,"D+",IF(H102&lt;'PlayerGrades+'!$AC$12,"C-",IF(H102&lt;'PlayerGrades+'!$AC$11,"C",IF(H102&lt;'PlayerGrades+'!$AC$10,"C+",IF(H102&lt;'PlayerGrades+'!$AC$9,"B-",IF(H102&lt;'PlayerGrades+'!$AC$8,"B",IF(H102&lt;'PlayerGrades+'!$AC$7,"B+",IF(H102&lt;'PlayerGrades+'!$AC$6,"A-",IF(H102&lt;'PlayerGrades+'!$AC$5,"A",IF(H102&lt;'PlayerGrades+'!$AC$4,"A+",IF(H102&lt;'PlayerGrades+'!$AC$3,"S-",IF(H102&lt;'PlayerGrades+'!$AC$2,"S","S+"))))))))))))))))))))</f>
        <v>#DIV/0!</v>
      </c>
      <c r="J102" s="961" t="str">
        <f t="shared" si="4"/>
        <v>#DIV/0!</v>
      </c>
      <c r="K102" s="961" t="str">
        <f>IF(J102&lt;'PlayerGrades+'!$AD$21,"F-",IF(J102&lt;'PlayerGrades+'!$AD$20,"F",IF(J102&lt;'PlayerGrades+'!$AD$19,"F+",IF(J102&lt;'PlayerGrades+'!$AD$18,"E-",IF(J102&lt;'PlayerGrades+'!$AD$17,"E",IF(J102&lt;'PlayerGrades+'!$AD$16,"E+",IF(J102&lt;'PlayerGrades+'!$AD$15,"D-",IF(J102&lt;'PlayerGrades+'!$AD$14,"D",IF(J102&lt;'PlayerGrades+'!$AD$13,"D+",IF(J102&lt;'PlayerGrades+'!$AD$12,"C-",IF(J102&lt;'PlayerGrades+'!$AD$11,"C",IF(J102&lt;'PlayerGrades+'!$AD$10,"C+",IF(J102&lt;'PlayerGrades+'!$AD$9,"B-",IF(J102&lt;'PlayerGrades+'!$AD$8,"B",IF(J102&lt;'PlayerGrades+'!$AD$7,"B+",IF(J102&lt;'PlayerGrades+'!$AD$6,"A-",IF(J102&lt;'PlayerGrades+'!$AD$5,"A",IF(J102&lt;'PlayerGrades+'!$AD$4,"A+",IF(J102&lt;'PlayerGrades+'!$AD$3,"S-",IF(J102&lt;'PlayerGrades+'!$AD$2,"S","S+"))))))))))))))))))))</f>
        <v>#DIV/0!</v>
      </c>
      <c r="L102" s="1176" t="str">
        <f t="shared" si="5"/>
        <v>#DIV/0!</v>
      </c>
      <c r="M102" s="992" t="str">
        <f>IF(L102&lt;'PlayerGrades+'!$AE$21,"F-",IF(L102&lt;'PlayerGrades+'!$AE$20,"F",IF(L102&lt;'PlayerGrades+'!$AE$19,"F+",IF(L102&lt;'PlayerGrades+'!$AE$18,"E-",IF(L102&lt;'PlayerGrades+'!$AE$17,"E",IF(L102&lt;'PlayerGrades+'!$AE$16,"E+",IF(L102&lt;'PlayerGrades+'!$AE$15,"D-",IF(L102&lt;'PlayerGrades+'!$AE$14,"D",IF(L102&lt;'PlayerGrades+'!$AE$13,"D+",IF(L102&lt;'PlayerGrades+'!$AE$12,"C-",IF(L102&lt;'PlayerGrades+'!$AE$11,"C",IF(L102&lt;'PlayerGrades+'!$AE$10,"C+",IF(L102&lt;'PlayerGrades+'!$AE$9,"B-",IF(L102&lt;'PlayerGrades+'!$AE$8,"B",IF(L102&lt;'PlayerGrades+'!$AE$7,"B+",IF(L102&lt;'PlayerGrades+'!$AE$6,"A-",IF(L102&lt;'PlayerGrades+'!$AE$5,"A",IF(L102&lt;'PlayerGrades+'!$AE$4,"A+",IF(L102&lt;'PlayerGrades+'!$AE$3,"S-",IF(L102&lt;'PlayerGrades+'!$AE$2,"S","S+"))))))))))))))))))))</f>
        <v>#DIV/0!</v>
      </c>
      <c r="N102" s="961" t="str">
        <f t="shared" si="6"/>
        <v>#DIV/0!</v>
      </c>
      <c r="O102" s="961" t="str">
        <f>IF(N102&lt;'PlayerGrades+'!$AF$21,"F-",IF(N102&lt;'PlayerGrades+'!$AF$20,"F",IF(N102&lt;'PlayerGrades+'!$AF$19,"F+",IF(N102&lt;'PlayerGrades+'!$AF$18,"E-",IF(N102&lt;'PlayerGrades+'!$AF$17,"E",IF(N102&lt;'PlayerGrades+'!$AF$16,"E+",IF(N102&lt;'PlayerGrades+'!$AF$15,"D-",IF(N102&lt;'PlayerGrades+'!$AF$14,"D",IF(N102&lt;'PlayerGrades+'!$AF$13,"D+",IF(N102&lt;'PlayerGrades+'!$AF$12,"C-",IF(N102&lt;'PlayerGrades+'!$AF$11,"C",IF(N102&lt;'PlayerGrades+'!$AF$10,"C+",IF(N102&lt;'PlayerGrades+'!$AF$9,"B-",IF(N102&lt;'PlayerGrades+'!$AF$8,"B",IF(N102&lt;'PlayerGrades+'!$AF$7,"B+",IF(N102&lt;'PlayerGrades+'!$AF$6,"A-",IF(N102&lt;'PlayerGrades+'!$AF$5,"A",IF(N102&lt;'PlayerGrades+'!$AF$4,"A+",IF(N102&lt;'PlayerGrades+'!$AF$3,"S-",IF(N102&lt;'PlayerGrades+'!$AF$2,"S","S+"))))))))))))))))))))</f>
        <v>#DIV/0!</v>
      </c>
      <c r="P102" s="961" t="str">
        <f t="shared" si="7"/>
        <v>#DIV/0!</v>
      </c>
      <c r="Q102" s="961" t="str">
        <f>IF(P102&lt;'PlayerGrades+'!$AG$21,"F-",IF(P102&lt;'PlayerGrades+'!$AG$20,"F",IF(P102&lt;'PlayerGrades+'!$AG$19,"F+",IF(P102&lt;'PlayerGrades+'!$AG$18,"E-",IF(P102&lt;'PlayerGrades+'!$AG$17,"E",IF(P102&lt;'PlayerGrades+'!$AG$16,"E+",IF(P102&lt;'PlayerGrades+'!$AG$15,"D-",IF(P102&lt;'PlayerGrades+'!$AG$14,"D",IF(P102&lt;'PlayerGrades+'!$AG$13,"D+",IF(P102&lt;'PlayerGrades+'!$AG$12,"C-",IF(P102&lt;'PlayerGrades+'!$AG$11,"C",IF(P102&lt;'PlayerGrades+'!$AG$10,"C+",IF(P102&lt;'PlayerGrades+'!$AG$9,"B-",IF(P102&lt;'PlayerGrades+'!$AG$8,"B",IF(P102&lt;'PlayerGrades+'!$AG$7,"B+",IF(P102&lt;'PlayerGrades+'!$AG$6,"A-",IF(P102&lt;'PlayerGrades+'!$AG$5,"A",IF(P102&lt;'PlayerGrades+'!$AG$4,"A+",IF(P102&lt;'PlayerGrades+'!$AG$3,"S-",IF(P102&lt;'PlayerGrades+'!$AG$2,"S","S+"))))))))))))))))))))</f>
        <v>#DIV/0!</v>
      </c>
      <c r="R102" s="961" t="str">
        <f t="shared" si="8"/>
        <v>#DIV/0!</v>
      </c>
      <c r="S102" s="961" t="str">
        <f>IF(R102&lt;'PlayerGrades+'!$AH$21,"F-",IF(R102&lt;'PlayerGrades+'!$AH$20,"F",IF(R102&lt;'PlayerGrades+'!$AH$19,"F+",IF(R102&lt;'PlayerGrades+'!$AH$18,"E-",IF(R102&lt;'PlayerGrades+'!$AH$17,"E",IF(R102&lt;'PlayerGrades+'!$AH$16,"E+",IF(R102&lt;'PlayerGrades+'!$AH$15,"D-",IF(R102&lt;'PlayerGrades+'!$AH$14,"D",IF(R102&lt;'PlayerGrades+'!$AH$13,"D+",IF(R102&lt;'PlayerGrades+'!$AH$12,"C-",IF(R102&lt;'PlayerGrades+'!$AH$11,"C",IF(R102&lt;'PlayerGrades+'!$AH$10,"C+",IF(R102&lt;'PlayerGrades+'!$AH$9,"B-",IF(R102&lt;'PlayerGrades+'!$AH$8,"B",IF(R102&lt;'PlayerGrades+'!$AH$7,"B+",IF(R102&lt;'PlayerGrades+'!$AH$6,"A-",IF(R102&lt;'PlayerGrades+'!$AH$5,"A",IF(R102&lt;'PlayerGrades+'!$AH$4,"A+",IF(R102&lt;'PlayerGrades+'!$AH$3,"S-",IF(R102&lt;'PlayerGrades+'!$AH$2,"S","S+"))))))))))))))))))))</f>
        <v>#DIV/0!</v>
      </c>
      <c r="T102" s="961">
        <f t="shared" si="9"/>
        <v>0</v>
      </c>
      <c r="U102" s="961" t="str">
        <f>IF(T102&lt;'PlayerGrades+'!$AI$21,"F-",IF(T102&lt;'PlayerGrades+'!$AI$20,"F",IF(T102&lt;'PlayerGrades+'!$AI$19,"F+",IF(T102&lt;'PlayerGrades+'!$AI$18,"E-",IF(T102&lt;'PlayerGrades+'!$AI$17,"E",IF(T102&lt;'PlayerGrades+'!$AI$16,"E+",IF(T102&lt;'PlayerGrades+'!$AI$15,"D-",IF(T102&lt;'PlayerGrades+'!$AI$14,"D",IF(T102&lt;'PlayerGrades+'!$AI$13,"D+",IF(T102&lt;'PlayerGrades+'!$AI$12,"C-",IF(T102&lt;'PlayerGrades+'!$AI$11,"C",IF(T102&lt;'PlayerGrades+'!$AI$10,"C+",IF(T102&lt;'PlayerGrades+'!$AI$9,"B-",IF(T102&lt;'PlayerGrades+'!$AI$8,"B",IF(T102&lt;'PlayerGrades+'!$AI$7,"B+",IF(T102&lt;'PlayerGrades+'!$AI$6,"A-",IF(T102&lt;'PlayerGrades+'!$AI$5,"A",IF(T102&lt;'PlayerGrades+'!$AI$4,"A+",IF(T102&lt;'PlayerGrades+'!$AI$3,"S-",IF(T102&lt;'PlayerGrades+'!$AI$2,"S","S+"))))))))))))))))))))</f>
        <v>F-</v>
      </c>
      <c r="V102" s="1383"/>
      <c r="W102" s="1383"/>
      <c r="X102" s="1403"/>
      <c r="Y102" s="1403"/>
      <c r="Z102" s="1403"/>
      <c r="AA102" s="1403"/>
      <c r="AB102" s="1403"/>
      <c r="AC102" s="1404"/>
      <c r="AD102" s="1403"/>
      <c r="AE102" s="1403"/>
      <c r="AF102" s="1403"/>
      <c r="AG102" s="1403"/>
      <c r="AH102" s="1403"/>
      <c r="AI102" s="1403"/>
      <c r="AJ102" s="1403"/>
      <c r="AK102" s="1403"/>
      <c r="AL102" s="1403"/>
      <c r="AM102" s="1403"/>
      <c r="AN102" s="1403"/>
      <c r="AO102" s="1403"/>
      <c r="AP102" s="1403"/>
      <c r="AQ102" s="1403"/>
      <c r="AR102" s="1403"/>
      <c r="AS102" s="1403"/>
      <c r="AT102" s="1403"/>
      <c r="AU102" s="1403"/>
      <c r="AV102" s="1403"/>
      <c r="AW102" s="1403"/>
      <c r="AX102" s="1403"/>
      <c r="AY102" s="1403"/>
      <c r="AZ102" s="1403"/>
    </row>
    <row r="103">
      <c r="A103" s="1382"/>
      <c r="B103" s="611" t="str">
        <f>IF(C103&lt;'PlayerGrades+'!$Y$44,"F-",IF(C103&lt;'PlayerGrades+'!$Y$43,"F",IF(C103&lt;'PlayerGrades+'!$Y$42,"F+",IF(C103&lt;'PlayerGrades+'!$Y$41,"E-",IF(C103&lt;'PlayerGrades+'!$Y$40,"E",IF(C103&lt;'PlayerGrades+'!$Y$39,"E+",IF(C103&lt;'PlayerGrades+'!$Y$38,"D-",IF(C103&lt;'PlayerGrades+'!$Y$37,"D",IF(C103&lt;'PlayerGrades+'!$Y$36,"D+",IF(C103&lt;'PlayerGrades+'!$Y$35,"C-",IF(C103&lt;'PlayerGrades+'!$Y$34,"C",IF(C103&lt;'PlayerGrades+'!$Y$33,"C+",IF(C103&lt;'PlayerGrades+'!$Y$32,"B-",IF(C103&lt;'PlayerGrades+'!$Y$31,"B",IF(C103&lt;'PlayerGrades+'!$Y$30,"B+",IF(C103&lt;'PlayerGrades+'!$Y$29,"A-",IF(C103&lt;'PlayerGrades+'!$Y$28,"A",IF(C103&lt;'PlayerGrades+'!$Y$27,"A+",IF(C103&lt;'PlayerGrades+'!$Y$26,"S-",IF(C103&lt;'PlayerGrades+'!$Y$25,"S","S+"))))))))))))))))))))</f>
        <v>#DIV/0!</v>
      </c>
      <c r="C103" s="1378" t="str">
        <f>('PlayerGrades+'!$Y$47*(VLOOKUP(E103, 'PlayerGrades+'!$X$3:$Y$23, 2, FALSE)))+('PlayerGrades+'!$Y$48*(VLOOKUP(G103, 'PlayerGrades+'!$X$3:$Y$23, 2, FALSE)))+('PlayerGrades+'!$Y$49*(VLOOKUP(I103, 'PlayerGrades+'!$X$3:$Y$23, 2, FALSE)))+('PlayerGrades+'!$Y$50*(VLOOKUP(K103, 'PlayerGrades+'!$X$3:$Y$23, 2, FALSE)))+('PlayerGrades+'!$Y$51*(VLOOKUP(M103, 'PlayerGrades+'!$X$3:$Y$23, 2, FALSE)))+('PlayerGrades+'!$Y$52*(VLOOKUP(O103, 'PlayerGrades+'!$X$3:$Y$23, 2, FALSE)))+('PlayerGrades+'!$Y$53*(VLOOKUP(Q103, 'PlayerGrades+'!$X$3:$Y$23, 2, FALSE)))+('PlayerGrades+'!$Y$54*(VLOOKUP(S103, 'PlayerGrades+'!$X$3:$Y$23, 2, FALSE)))+('PlayerGrades+'!$Y$55*(VLOOKUP(U103, 'PlayerGrades+'!$X$3:$Y$23, 2, FALSE)))</f>
        <v>#DIV/0!</v>
      </c>
      <c r="D103" s="961" t="str">
        <f t="shared" si="1"/>
        <v>#DIV/0!</v>
      </c>
      <c r="E103" s="961" t="str">
        <f>IF(D103&lt;'PlayerGrades+'!$AA$21,"F-",IF(D103&lt;'PlayerGrades+'!$AA$20,"F",IF(D103&lt;'PlayerGrades+'!$AA$19,"F+",IF(D103&lt;'PlayerGrades+'!$AA$18,"E-",IF(D103&lt;'PlayerGrades+'!$AA$17,"E",IF(D103&lt;'PlayerGrades+'!$AA$16,"E+",IF(D103&lt;'PlayerGrades+'!$AA$15,"D-",IF(D103&lt;'PlayerGrades+'!$AA$14,"D",IF(D103&lt;'PlayerGrades+'!$AA$13,"D+",IF(D103&lt;'PlayerGrades+'!$AA$12,"C-",IF(D103&lt;'PlayerGrades+'!$AA$11,"C",IF(D103&lt;'PlayerGrades+'!$AA$10,"C+",IF(D103&lt;'PlayerGrades+'!$AA$9,"B-",IF(D103&lt;'PlayerGrades+'!$AA$8,"B",IF(D103&lt;'PlayerGrades+'!$AA$7,"B+",IF(D103&lt;'PlayerGrades+'!$AA$6,"A-",IF(D103&lt;'PlayerGrades+'!$AA$5,"A",IF(D103&lt;'PlayerGrades+'!$AA$4,"A+",IF(D103&lt;'PlayerGrades+'!$AA$3,"S-",IF(D103&lt;'PlayerGrades+'!$AA$2,"S","S+"))))))))))))))))))))</f>
        <v>#DIV/0!</v>
      </c>
      <c r="F103" s="961" t="str">
        <f t="shared" si="2"/>
        <v>#DIV/0!</v>
      </c>
      <c r="G103" s="961" t="str">
        <f>IF(F103&lt;'PlayerGrades+'!$AB$21,"F-",IF(F103&lt;'PlayerGrades+'!$AB$20,"F",IF(F103&lt;'PlayerGrades+'!$AB$19,"F+",IF(F103&lt;'PlayerGrades+'!$AB$18,"E-",IF(F103&lt;'PlayerGrades+'!$AB$17,"E",IF(F103&lt;'PlayerGrades+'!$AB$16,"E+",IF(F103&lt;'PlayerGrades+'!$AB$15,"D-",IF(F103&lt;'PlayerGrades+'!$AB$14,"D",IF(F103&lt;'PlayerGrades+'!$AB$13,"D+",IF(F103&lt;'PlayerGrades+'!$AB$12,"C-",IF(F103&lt;'PlayerGrades+'!$AB$11,"C",IF(F103&lt;'PlayerGrades+'!$AB$10,"C+",IF(F103&lt;'PlayerGrades+'!$AB$9,"B-",IF(F103&lt;'PlayerGrades+'!$AB$8,"B",IF(F103&lt;'PlayerGrades+'!$AB$7,"B+",IF(F103&lt;'PlayerGrades+'!$AB$6,"A-",IF(F103&lt;'PlayerGrades+'!$AB$5,"A",IF(F103&lt;'PlayerGrades+'!$AB$4,"A+",IF(F103&lt;'PlayerGrades+'!$AB$3,"S-",IF(F103&lt;'PlayerGrades+'!$AB$2,"S","S+"))))))))))))))))))))</f>
        <v>#DIV/0!</v>
      </c>
      <c r="H103" s="961" t="str">
        <f t="shared" si="3"/>
        <v>#DIV/0!</v>
      </c>
      <c r="I103" s="961" t="str">
        <f>IF(H103&lt;'PlayerGrades+'!$AC$21,"F-",IF(H103&lt;'PlayerGrades+'!$AC$20,"F",IF(H103&lt;'PlayerGrades+'!$AC$19,"F+",IF(H103&lt;'PlayerGrades+'!$AC$18,"E-",IF(H103&lt;'PlayerGrades+'!$AC$17,"E",IF(H103&lt;'PlayerGrades+'!$AC$16,"E+",IF(H103&lt;'PlayerGrades+'!$AC$15,"D-",IF(H103&lt;'PlayerGrades+'!$AC$14,"D",IF(H103&lt;'PlayerGrades+'!$AC$13,"D+",IF(H103&lt;'PlayerGrades+'!$AC$12,"C-",IF(H103&lt;'PlayerGrades+'!$AC$11,"C",IF(H103&lt;'PlayerGrades+'!$AC$10,"C+",IF(H103&lt;'PlayerGrades+'!$AC$9,"B-",IF(H103&lt;'PlayerGrades+'!$AC$8,"B",IF(H103&lt;'PlayerGrades+'!$AC$7,"B+",IF(H103&lt;'PlayerGrades+'!$AC$6,"A-",IF(H103&lt;'PlayerGrades+'!$AC$5,"A",IF(H103&lt;'PlayerGrades+'!$AC$4,"A+",IF(H103&lt;'PlayerGrades+'!$AC$3,"S-",IF(H103&lt;'PlayerGrades+'!$AC$2,"S","S+"))))))))))))))))))))</f>
        <v>#DIV/0!</v>
      </c>
      <c r="J103" s="961" t="str">
        <f t="shared" si="4"/>
        <v>#DIV/0!</v>
      </c>
      <c r="K103" s="961" t="str">
        <f>IF(J103&lt;'PlayerGrades+'!$AD$21,"F-",IF(J103&lt;'PlayerGrades+'!$AD$20,"F",IF(J103&lt;'PlayerGrades+'!$AD$19,"F+",IF(J103&lt;'PlayerGrades+'!$AD$18,"E-",IF(J103&lt;'PlayerGrades+'!$AD$17,"E",IF(J103&lt;'PlayerGrades+'!$AD$16,"E+",IF(J103&lt;'PlayerGrades+'!$AD$15,"D-",IF(J103&lt;'PlayerGrades+'!$AD$14,"D",IF(J103&lt;'PlayerGrades+'!$AD$13,"D+",IF(J103&lt;'PlayerGrades+'!$AD$12,"C-",IF(J103&lt;'PlayerGrades+'!$AD$11,"C",IF(J103&lt;'PlayerGrades+'!$AD$10,"C+",IF(J103&lt;'PlayerGrades+'!$AD$9,"B-",IF(J103&lt;'PlayerGrades+'!$AD$8,"B",IF(J103&lt;'PlayerGrades+'!$AD$7,"B+",IF(J103&lt;'PlayerGrades+'!$AD$6,"A-",IF(J103&lt;'PlayerGrades+'!$AD$5,"A",IF(J103&lt;'PlayerGrades+'!$AD$4,"A+",IF(J103&lt;'PlayerGrades+'!$AD$3,"S-",IF(J103&lt;'PlayerGrades+'!$AD$2,"S","S+"))))))))))))))))))))</f>
        <v>#DIV/0!</v>
      </c>
      <c r="L103" s="1176" t="str">
        <f t="shared" si="5"/>
        <v>#DIV/0!</v>
      </c>
      <c r="M103" s="992" t="str">
        <f>IF(L103&lt;'PlayerGrades+'!$AE$21,"F-",IF(L103&lt;'PlayerGrades+'!$AE$20,"F",IF(L103&lt;'PlayerGrades+'!$AE$19,"F+",IF(L103&lt;'PlayerGrades+'!$AE$18,"E-",IF(L103&lt;'PlayerGrades+'!$AE$17,"E",IF(L103&lt;'PlayerGrades+'!$AE$16,"E+",IF(L103&lt;'PlayerGrades+'!$AE$15,"D-",IF(L103&lt;'PlayerGrades+'!$AE$14,"D",IF(L103&lt;'PlayerGrades+'!$AE$13,"D+",IF(L103&lt;'PlayerGrades+'!$AE$12,"C-",IF(L103&lt;'PlayerGrades+'!$AE$11,"C",IF(L103&lt;'PlayerGrades+'!$AE$10,"C+",IF(L103&lt;'PlayerGrades+'!$AE$9,"B-",IF(L103&lt;'PlayerGrades+'!$AE$8,"B",IF(L103&lt;'PlayerGrades+'!$AE$7,"B+",IF(L103&lt;'PlayerGrades+'!$AE$6,"A-",IF(L103&lt;'PlayerGrades+'!$AE$5,"A",IF(L103&lt;'PlayerGrades+'!$AE$4,"A+",IF(L103&lt;'PlayerGrades+'!$AE$3,"S-",IF(L103&lt;'PlayerGrades+'!$AE$2,"S","S+"))))))))))))))))))))</f>
        <v>#DIV/0!</v>
      </c>
      <c r="N103" s="961" t="str">
        <f t="shared" si="6"/>
        <v>#DIV/0!</v>
      </c>
      <c r="O103" s="961" t="str">
        <f>IF(N103&lt;'PlayerGrades+'!$AF$21,"F-",IF(N103&lt;'PlayerGrades+'!$AF$20,"F",IF(N103&lt;'PlayerGrades+'!$AF$19,"F+",IF(N103&lt;'PlayerGrades+'!$AF$18,"E-",IF(N103&lt;'PlayerGrades+'!$AF$17,"E",IF(N103&lt;'PlayerGrades+'!$AF$16,"E+",IF(N103&lt;'PlayerGrades+'!$AF$15,"D-",IF(N103&lt;'PlayerGrades+'!$AF$14,"D",IF(N103&lt;'PlayerGrades+'!$AF$13,"D+",IF(N103&lt;'PlayerGrades+'!$AF$12,"C-",IF(N103&lt;'PlayerGrades+'!$AF$11,"C",IF(N103&lt;'PlayerGrades+'!$AF$10,"C+",IF(N103&lt;'PlayerGrades+'!$AF$9,"B-",IF(N103&lt;'PlayerGrades+'!$AF$8,"B",IF(N103&lt;'PlayerGrades+'!$AF$7,"B+",IF(N103&lt;'PlayerGrades+'!$AF$6,"A-",IF(N103&lt;'PlayerGrades+'!$AF$5,"A",IF(N103&lt;'PlayerGrades+'!$AF$4,"A+",IF(N103&lt;'PlayerGrades+'!$AF$3,"S-",IF(N103&lt;'PlayerGrades+'!$AF$2,"S","S+"))))))))))))))))))))</f>
        <v>#DIV/0!</v>
      </c>
      <c r="P103" s="961" t="str">
        <f t="shared" si="7"/>
        <v>#DIV/0!</v>
      </c>
      <c r="Q103" s="961" t="str">
        <f>IF(P103&lt;'PlayerGrades+'!$AG$21,"F-",IF(P103&lt;'PlayerGrades+'!$AG$20,"F",IF(P103&lt;'PlayerGrades+'!$AG$19,"F+",IF(P103&lt;'PlayerGrades+'!$AG$18,"E-",IF(P103&lt;'PlayerGrades+'!$AG$17,"E",IF(P103&lt;'PlayerGrades+'!$AG$16,"E+",IF(P103&lt;'PlayerGrades+'!$AG$15,"D-",IF(P103&lt;'PlayerGrades+'!$AG$14,"D",IF(P103&lt;'PlayerGrades+'!$AG$13,"D+",IF(P103&lt;'PlayerGrades+'!$AG$12,"C-",IF(P103&lt;'PlayerGrades+'!$AG$11,"C",IF(P103&lt;'PlayerGrades+'!$AG$10,"C+",IF(P103&lt;'PlayerGrades+'!$AG$9,"B-",IF(P103&lt;'PlayerGrades+'!$AG$8,"B",IF(P103&lt;'PlayerGrades+'!$AG$7,"B+",IF(P103&lt;'PlayerGrades+'!$AG$6,"A-",IF(P103&lt;'PlayerGrades+'!$AG$5,"A",IF(P103&lt;'PlayerGrades+'!$AG$4,"A+",IF(P103&lt;'PlayerGrades+'!$AG$3,"S-",IF(P103&lt;'PlayerGrades+'!$AG$2,"S","S+"))))))))))))))))))))</f>
        <v>#DIV/0!</v>
      </c>
      <c r="R103" s="961" t="str">
        <f t="shared" si="8"/>
        <v>#DIV/0!</v>
      </c>
      <c r="S103" s="961" t="str">
        <f>IF(R103&lt;'PlayerGrades+'!$AH$21,"F-",IF(R103&lt;'PlayerGrades+'!$AH$20,"F",IF(R103&lt;'PlayerGrades+'!$AH$19,"F+",IF(R103&lt;'PlayerGrades+'!$AH$18,"E-",IF(R103&lt;'PlayerGrades+'!$AH$17,"E",IF(R103&lt;'PlayerGrades+'!$AH$16,"E+",IF(R103&lt;'PlayerGrades+'!$AH$15,"D-",IF(R103&lt;'PlayerGrades+'!$AH$14,"D",IF(R103&lt;'PlayerGrades+'!$AH$13,"D+",IF(R103&lt;'PlayerGrades+'!$AH$12,"C-",IF(R103&lt;'PlayerGrades+'!$AH$11,"C",IF(R103&lt;'PlayerGrades+'!$AH$10,"C+",IF(R103&lt;'PlayerGrades+'!$AH$9,"B-",IF(R103&lt;'PlayerGrades+'!$AH$8,"B",IF(R103&lt;'PlayerGrades+'!$AH$7,"B+",IF(R103&lt;'PlayerGrades+'!$AH$6,"A-",IF(R103&lt;'PlayerGrades+'!$AH$5,"A",IF(R103&lt;'PlayerGrades+'!$AH$4,"A+",IF(R103&lt;'PlayerGrades+'!$AH$3,"S-",IF(R103&lt;'PlayerGrades+'!$AH$2,"S","S+"))))))))))))))))))))</f>
        <v>#DIV/0!</v>
      </c>
      <c r="T103" s="961">
        <f t="shared" si="9"/>
        <v>0</v>
      </c>
      <c r="U103" s="961" t="str">
        <f>IF(T103&lt;'PlayerGrades+'!$AI$21,"F-",IF(T103&lt;'PlayerGrades+'!$AI$20,"F",IF(T103&lt;'PlayerGrades+'!$AI$19,"F+",IF(T103&lt;'PlayerGrades+'!$AI$18,"E-",IF(T103&lt;'PlayerGrades+'!$AI$17,"E",IF(T103&lt;'PlayerGrades+'!$AI$16,"E+",IF(T103&lt;'PlayerGrades+'!$AI$15,"D-",IF(T103&lt;'PlayerGrades+'!$AI$14,"D",IF(T103&lt;'PlayerGrades+'!$AI$13,"D+",IF(T103&lt;'PlayerGrades+'!$AI$12,"C-",IF(T103&lt;'PlayerGrades+'!$AI$11,"C",IF(T103&lt;'PlayerGrades+'!$AI$10,"C+",IF(T103&lt;'PlayerGrades+'!$AI$9,"B-",IF(T103&lt;'PlayerGrades+'!$AI$8,"B",IF(T103&lt;'PlayerGrades+'!$AI$7,"B+",IF(T103&lt;'PlayerGrades+'!$AI$6,"A-",IF(T103&lt;'PlayerGrades+'!$AI$5,"A",IF(T103&lt;'PlayerGrades+'!$AI$4,"A+",IF(T103&lt;'PlayerGrades+'!$AI$3,"S-",IF(T103&lt;'PlayerGrades+'!$AI$2,"S","S+"))))))))))))))))))))</f>
        <v>F-</v>
      </c>
      <c r="V103" s="1383"/>
      <c r="W103" s="1383"/>
      <c r="X103" s="1403"/>
      <c r="Y103" s="1403"/>
      <c r="Z103" s="1403"/>
      <c r="AA103" s="1403"/>
      <c r="AB103" s="1403"/>
      <c r="AC103" s="1404"/>
      <c r="AD103" s="1403"/>
      <c r="AE103" s="1403"/>
      <c r="AF103" s="1403"/>
      <c r="AG103" s="1403"/>
      <c r="AH103" s="1403"/>
      <c r="AI103" s="1403"/>
      <c r="AJ103" s="1403"/>
      <c r="AK103" s="1403"/>
      <c r="AL103" s="1403"/>
      <c r="AM103" s="1403"/>
      <c r="AN103" s="1403"/>
      <c r="AO103" s="1403"/>
      <c r="AP103" s="1403"/>
      <c r="AQ103" s="1403"/>
      <c r="AR103" s="1403"/>
      <c r="AS103" s="1403"/>
      <c r="AT103" s="1403"/>
      <c r="AU103" s="1403"/>
      <c r="AV103" s="1403"/>
      <c r="AW103" s="1403"/>
      <c r="AX103" s="1403"/>
      <c r="AY103" s="1403"/>
      <c r="AZ103" s="1403"/>
    </row>
    <row r="104">
      <c r="A104" s="1382"/>
      <c r="B104" s="611" t="str">
        <f>IF(C104&lt;'PlayerGrades+'!$Y$44,"F-",IF(C104&lt;'PlayerGrades+'!$Y$43,"F",IF(C104&lt;'PlayerGrades+'!$Y$42,"F+",IF(C104&lt;'PlayerGrades+'!$Y$41,"E-",IF(C104&lt;'PlayerGrades+'!$Y$40,"E",IF(C104&lt;'PlayerGrades+'!$Y$39,"E+",IF(C104&lt;'PlayerGrades+'!$Y$38,"D-",IF(C104&lt;'PlayerGrades+'!$Y$37,"D",IF(C104&lt;'PlayerGrades+'!$Y$36,"D+",IF(C104&lt;'PlayerGrades+'!$Y$35,"C-",IF(C104&lt;'PlayerGrades+'!$Y$34,"C",IF(C104&lt;'PlayerGrades+'!$Y$33,"C+",IF(C104&lt;'PlayerGrades+'!$Y$32,"B-",IF(C104&lt;'PlayerGrades+'!$Y$31,"B",IF(C104&lt;'PlayerGrades+'!$Y$30,"B+",IF(C104&lt;'PlayerGrades+'!$Y$29,"A-",IF(C104&lt;'PlayerGrades+'!$Y$28,"A",IF(C104&lt;'PlayerGrades+'!$Y$27,"A+",IF(C104&lt;'PlayerGrades+'!$Y$26,"S-",IF(C104&lt;'PlayerGrades+'!$Y$25,"S","S+"))))))))))))))))))))</f>
        <v>#DIV/0!</v>
      </c>
      <c r="C104" s="1378" t="str">
        <f>('PlayerGrades+'!$Y$47*(VLOOKUP(E104, 'PlayerGrades+'!$X$3:$Y$23, 2, FALSE)))+('PlayerGrades+'!$Y$48*(VLOOKUP(G104, 'PlayerGrades+'!$X$3:$Y$23, 2, FALSE)))+('PlayerGrades+'!$Y$49*(VLOOKUP(I104, 'PlayerGrades+'!$X$3:$Y$23, 2, FALSE)))+('PlayerGrades+'!$Y$50*(VLOOKUP(K104, 'PlayerGrades+'!$X$3:$Y$23, 2, FALSE)))+('PlayerGrades+'!$Y$51*(VLOOKUP(M104, 'PlayerGrades+'!$X$3:$Y$23, 2, FALSE)))+('PlayerGrades+'!$Y$52*(VLOOKUP(O104, 'PlayerGrades+'!$X$3:$Y$23, 2, FALSE)))+('PlayerGrades+'!$Y$53*(VLOOKUP(Q104, 'PlayerGrades+'!$X$3:$Y$23, 2, FALSE)))+('PlayerGrades+'!$Y$54*(VLOOKUP(S104, 'PlayerGrades+'!$X$3:$Y$23, 2, FALSE)))+('PlayerGrades+'!$Y$55*(VLOOKUP(U104, 'PlayerGrades+'!$X$3:$Y$23, 2, FALSE)))</f>
        <v>#DIV/0!</v>
      </c>
      <c r="D104" s="961" t="str">
        <f t="shared" si="1"/>
        <v>#DIV/0!</v>
      </c>
      <c r="E104" s="961" t="str">
        <f>IF(D104&lt;'PlayerGrades+'!$AA$21,"F-",IF(D104&lt;'PlayerGrades+'!$AA$20,"F",IF(D104&lt;'PlayerGrades+'!$AA$19,"F+",IF(D104&lt;'PlayerGrades+'!$AA$18,"E-",IF(D104&lt;'PlayerGrades+'!$AA$17,"E",IF(D104&lt;'PlayerGrades+'!$AA$16,"E+",IF(D104&lt;'PlayerGrades+'!$AA$15,"D-",IF(D104&lt;'PlayerGrades+'!$AA$14,"D",IF(D104&lt;'PlayerGrades+'!$AA$13,"D+",IF(D104&lt;'PlayerGrades+'!$AA$12,"C-",IF(D104&lt;'PlayerGrades+'!$AA$11,"C",IF(D104&lt;'PlayerGrades+'!$AA$10,"C+",IF(D104&lt;'PlayerGrades+'!$AA$9,"B-",IF(D104&lt;'PlayerGrades+'!$AA$8,"B",IF(D104&lt;'PlayerGrades+'!$AA$7,"B+",IF(D104&lt;'PlayerGrades+'!$AA$6,"A-",IF(D104&lt;'PlayerGrades+'!$AA$5,"A",IF(D104&lt;'PlayerGrades+'!$AA$4,"A+",IF(D104&lt;'PlayerGrades+'!$AA$3,"S-",IF(D104&lt;'PlayerGrades+'!$AA$2,"S","S+"))))))))))))))))))))</f>
        <v>#DIV/0!</v>
      </c>
      <c r="F104" s="961" t="str">
        <f t="shared" si="2"/>
        <v>#DIV/0!</v>
      </c>
      <c r="G104" s="961" t="str">
        <f>IF(F104&lt;'PlayerGrades+'!$AB$21,"F-",IF(F104&lt;'PlayerGrades+'!$AB$20,"F",IF(F104&lt;'PlayerGrades+'!$AB$19,"F+",IF(F104&lt;'PlayerGrades+'!$AB$18,"E-",IF(F104&lt;'PlayerGrades+'!$AB$17,"E",IF(F104&lt;'PlayerGrades+'!$AB$16,"E+",IF(F104&lt;'PlayerGrades+'!$AB$15,"D-",IF(F104&lt;'PlayerGrades+'!$AB$14,"D",IF(F104&lt;'PlayerGrades+'!$AB$13,"D+",IF(F104&lt;'PlayerGrades+'!$AB$12,"C-",IF(F104&lt;'PlayerGrades+'!$AB$11,"C",IF(F104&lt;'PlayerGrades+'!$AB$10,"C+",IF(F104&lt;'PlayerGrades+'!$AB$9,"B-",IF(F104&lt;'PlayerGrades+'!$AB$8,"B",IF(F104&lt;'PlayerGrades+'!$AB$7,"B+",IF(F104&lt;'PlayerGrades+'!$AB$6,"A-",IF(F104&lt;'PlayerGrades+'!$AB$5,"A",IF(F104&lt;'PlayerGrades+'!$AB$4,"A+",IF(F104&lt;'PlayerGrades+'!$AB$3,"S-",IF(F104&lt;'PlayerGrades+'!$AB$2,"S","S+"))))))))))))))))))))</f>
        <v>#DIV/0!</v>
      </c>
      <c r="H104" s="961" t="str">
        <f t="shared" si="3"/>
        <v>#DIV/0!</v>
      </c>
      <c r="I104" s="961" t="str">
        <f>IF(H104&lt;'PlayerGrades+'!$AC$21,"F-",IF(H104&lt;'PlayerGrades+'!$AC$20,"F",IF(H104&lt;'PlayerGrades+'!$AC$19,"F+",IF(H104&lt;'PlayerGrades+'!$AC$18,"E-",IF(H104&lt;'PlayerGrades+'!$AC$17,"E",IF(H104&lt;'PlayerGrades+'!$AC$16,"E+",IF(H104&lt;'PlayerGrades+'!$AC$15,"D-",IF(H104&lt;'PlayerGrades+'!$AC$14,"D",IF(H104&lt;'PlayerGrades+'!$AC$13,"D+",IF(H104&lt;'PlayerGrades+'!$AC$12,"C-",IF(H104&lt;'PlayerGrades+'!$AC$11,"C",IF(H104&lt;'PlayerGrades+'!$AC$10,"C+",IF(H104&lt;'PlayerGrades+'!$AC$9,"B-",IF(H104&lt;'PlayerGrades+'!$AC$8,"B",IF(H104&lt;'PlayerGrades+'!$AC$7,"B+",IF(H104&lt;'PlayerGrades+'!$AC$6,"A-",IF(H104&lt;'PlayerGrades+'!$AC$5,"A",IF(H104&lt;'PlayerGrades+'!$AC$4,"A+",IF(H104&lt;'PlayerGrades+'!$AC$3,"S-",IF(H104&lt;'PlayerGrades+'!$AC$2,"S","S+"))))))))))))))))))))</f>
        <v>#DIV/0!</v>
      </c>
      <c r="J104" s="961" t="str">
        <f t="shared" si="4"/>
        <v>#DIV/0!</v>
      </c>
      <c r="K104" s="961" t="str">
        <f>IF(J104&lt;'PlayerGrades+'!$AD$21,"F-",IF(J104&lt;'PlayerGrades+'!$AD$20,"F",IF(J104&lt;'PlayerGrades+'!$AD$19,"F+",IF(J104&lt;'PlayerGrades+'!$AD$18,"E-",IF(J104&lt;'PlayerGrades+'!$AD$17,"E",IF(J104&lt;'PlayerGrades+'!$AD$16,"E+",IF(J104&lt;'PlayerGrades+'!$AD$15,"D-",IF(J104&lt;'PlayerGrades+'!$AD$14,"D",IF(J104&lt;'PlayerGrades+'!$AD$13,"D+",IF(J104&lt;'PlayerGrades+'!$AD$12,"C-",IF(J104&lt;'PlayerGrades+'!$AD$11,"C",IF(J104&lt;'PlayerGrades+'!$AD$10,"C+",IF(J104&lt;'PlayerGrades+'!$AD$9,"B-",IF(J104&lt;'PlayerGrades+'!$AD$8,"B",IF(J104&lt;'PlayerGrades+'!$AD$7,"B+",IF(J104&lt;'PlayerGrades+'!$AD$6,"A-",IF(J104&lt;'PlayerGrades+'!$AD$5,"A",IF(J104&lt;'PlayerGrades+'!$AD$4,"A+",IF(J104&lt;'PlayerGrades+'!$AD$3,"S-",IF(J104&lt;'PlayerGrades+'!$AD$2,"S","S+"))))))))))))))))))))</f>
        <v>#DIV/0!</v>
      </c>
      <c r="L104" s="1176" t="str">
        <f t="shared" si="5"/>
        <v>#DIV/0!</v>
      </c>
      <c r="M104" s="992" t="str">
        <f>IF(L104&lt;'PlayerGrades+'!$AE$21,"F-",IF(L104&lt;'PlayerGrades+'!$AE$20,"F",IF(L104&lt;'PlayerGrades+'!$AE$19,"F+",IF(L104&lt;'PlayerGrades+'!$AE$18,"E-",IF(L104&lt;'PlayerGrades+'!$AE$17,"E",IF(L104&lt;'PlayerGrades+'!$AE$16,"E+",IF(L104&lt;'PlayerGrades+'!$AE$15,"D-",IF(L104&lt;'PlayerGrades+'!$AE$14,"D",IF(L104&lt;'PlayerGrades+'!$AE$13,"D+",IF(L104&lt;'PlayerGrades+'!$AE$12,"C-",IF(L104&lt;'PlayerGrades+'!$AE$11,"C",IF(L104&lt;'PlayerGrades+'!$AE$10,"C+",IF(L104&lt;'PlayerGrades+'!$AE$9,"B-",IF(L104&lt;'PlayerGrades+'!$AE$8,"B",IF(L104&lt;'PlayerGrades+'!$AE$7,"B+",IF(L104&lt;'PlayerGrades+'!$AE$6,"A-",IF(L104&lt;'PlayerGrades+'!$AE$5,"A",IF(L104&lt;'PlayerGrades+'!$AE$4,"A+",IF(L104&lt;'PlayerGrades+'!$AE$3,"S-",IF(L104&lt;'PlayerGrades+'!$AE$2,"S","S+"))))))))))))))))))))</f>
        <v>#DIV/0!</v>
      </c>
      <c r="N104" s="961" t="str">
        <f t="shared" si="6"/>
        <v>#DIV/0!</v>
      </c>
      <c r="O104" s="961" t="str">
        <f>IF(N104&lt;'PlayerGrades+'!$AF$21,"F-",IF(N104&lt;'PlayerGrades+'!$AF$20,"F",IF(N104&lt;'PlayerGrades+'!$AF$19,"F+",IF(N104&lt;'PlayerGrades+'!$AF$18,"E-",IF(N104&lt;'PlayerGrades+'!$AF$17,"E",IF(N104&lt;'PlayerGrades+'!$AF$16,"E+",IF(N104&lt;'PlayerGrades+'!$AF$15,"D-",IF(N104&lt;'PlayerGrades+'!$AF$14,"D",IF(N104&lt;'PlayerGrades+'!$AF$13,"D+",IF(N104&lt;'PlayerGrades+'!$AF$12,"C-",IF(N104&lt;'PlayerGrades+'!$AF$11,"C",IF(N104&lt;'PlayerGrades+'!$AF$10,"C+",IF(N104&lt;'PlayerGrades+'!$AF$9,"B-",IF(N104&lt;'PlayerGrades+'!$AF$8,"B",IF(N104&lt;'PlayerGrades+'!$AF$7,"B+",IF(N104&lt;'PlayerGrades+'!$AF$6,"A-",IF(N104&lt;'PlayerGrades+'!$AF$5,"A",IF(N104&lt;'PlayerGrades+'!$AF$4,"A+",IF(N104&lt;'PlayerGrades+'!$AF$3,"S-",IF(N104&lt;'PlayerGrades+'!$AF$2,"S","S+"))))))))))))))))))))</f>
        <v>#DIV/0!</v>
      </c>
      <c r="P104" s="961" t="str">
        <f t="shared" si="7"/>
        <v>#DIV/0!</v>
      </c>
      <c r="Q104" s="961" t="str">
        <f>IF(P104&lt;'PlayerGrades+'!$AG$21,"F-",IF(P104&lt;'PlayerGrades+'!$AG$20,"F",IF(P104&lt;'PlayerGrades+'!$AG$19,"F+",IF(P104&lt;'PlayerGrades+'!$AG$18,"E-",IF(P104&lt;'PlayerGrades+'!$AG$17,"E",IF(P104&lt;'PlayerGrades+'!$AG$16,"E+",IF(P104&lt;'PlayerGrades+'!$AG$15,"D-",IF(P104&lt;'PlayerGrades+'!$AG$14,"D",IF(P104&lt;'PlayerGrades+'!$AG$13,"D+",IF(P104&lt;'PlayerGrades+'!$AG$12,"C-",IF(P104&lt;'PlayerGrades+'!$AG$11,"C",IF(P104&lt;'PlayerGrades+'!$AG$10,"C+",IF(P104&lt;'PlayerGrades+'!$AG$9,"B-",IF(P104&lt;'PlayerGrades+'!$AG$8,"B",IF(P104&lt;'PlayerGrades+'!$AG$7,"B+",IF(P104&lt;'PlayerGrades+'!$AG$6,"A-",IF(P104&lt;'PlayerGrades+'!$AG$5,"A",IF(P104&lt;'PlayerGrades+'!$AG$4,"A+",IF(P104&lt;'PlayerGrades+'!$AG$3,"S-",IF(P104&lt;'PlayerGrades+'!$AG$2,"S","S+"))))))))))))))))))))</f>
        <v>#DIV/0!</v>
      </c>
      <c r="R104" s="961" t="str">
        <f t="shared" si="8"/>
        <v>#DIV/0!</v>
      </c>
      <c r="S104" s="961" t="str">
        <f>IF(R104&lt;'PlayerGrades+'!$AH$21,"F-",IF(R104&lt;'PlayerGrades+'!$AH$20,"F",IF(R104&lt;'PlayerGrades+'!$AH$19,"F+",IF(R104&lt;'PlayerGrades+'!$AH$18,"E-",IF(R104&lt;'PlayerGrades+'!$AH$17,"E",IF(R104&lt;'PlayerGrades+'!$AH$16,"E+",IF(R104&lt;'PlayerGrades+'!$AH$15,"D-",IF(R104&lt;'PlayerGrades+'!$AH$14,"D",IF(R104&lt;'PlayerGrades+'!$AH$13,"D+",IF(R104&lt;'PlayerGrades+'!$AH$12,"C-",IF(R104&lt;'PlayerGrades+'!$AH$11,"C",IF(R104&lt;'PlayerGrades+'!$AH$10,"C+",IF(R104&lt;'PlayerGrades+'!$AH$9,"B-",IF(R104&lt;'PlayerGrades+'!$AH$8,"B",IF(R104&lt;'PlayerGrades+'!$AH$7,"B+",IF(R104&lt;'PlayerGrades+'!$AH$6,"A-",IF(R104&lt;'PlayerGrades+'!$AH$5,"A",IF(R104&lt;'PlayerGrades+'!$AH$4,"A+",IF(R104&lt;'PlayerGrades+'!$AH$3,"S-",IF(R104&lt;'PlayerGrades+'!$AH$2,"S","S+"))))))))))))))))))))</f>
        <v>#DIV/0!</v>
      </c>
      <c r="T104" s="961">
        <f t="shared" si="9"/>
        <v>0</v>
      </c>
      <c r="U104" s="961" t="str">
        <f>IF(T104&lt;'PlayerGrades+'!$AI$21,"F-",IF(T104&lt;'PlayerGrades+'!$AI$20,"F",IF(T104&lt;'PlayerGrades+'!$AI$19,"F+",IF(T104&lt;'PlayerGrades+'!$AI$18,"E-",IF(T104&lt;'PlayerGrades+'!$AI$17,"E",IF(T104&lt;'PlayerGrades+'!$AI$16,"E+",IF(T104&lt;'PlayerGrades+'!$AI$15,"D-",IF(T104&lt;'PlayerGrades+'!$AI$14,"D",IF(T104&lt;'PlayerGrades+'!$AI$13,"D+",IF(T104&lt;'PlayerGrades+'!$AI$12,"C-",IF(T104&lt;'PlayerGrades+'!$AI$11,"C",IF(T104&lt;'PlayerGrades+'!$AI$10,"C+",IF(T104&lt;'PlayerGrades+'!$AI$9,"B-",IF(T104&lt;'PlayerGrades+'!$AI$8,"B",IF(T104&lt;'PlayerGrades+'!$AI$7,"B+",IF(T104&lt;'PlayerGrades+'!$AI$6,"A-",IF(T104&lt;'PlayerGrades+'!$AI$5,"A",IF(T104&lt;'PlayerGrades+'!$AI$4,"A+",IF(T104&lt;'PlayerGrades+'!$AI$3,"S-",IF(T104&lt;'PlayerGrades+'!$AI$2,"S","S+"))))))))))))))))))))</f>
        <v>F-</v>
      </c>
      <c r="V104" s="1383"/>
      <c r="W104" s="1383"/>
      <c r="X104" s="1403"/>
      <c r="Y104" s="1403"/>
      <c r="Z104" s="1403"/>
      <c r="AA104" s="1403"/>
      <c r="AB104" s="1403"/>
      <c r="AC104" s="1404"/>
      <c r="AD104" s="1403"/>
      <c r="AE104" s="1403"/>
      <c r="AF104" s="1403"/>
      <c r="AG104" s="1403"/>
      <c r="AH104" s="1403"/>
      <c r="AI104" s="1403"/>
      <c r="AJ104" s="1403"/>
      <c r="AK104" s="1403"/>
      <c r="AL104" s="1403"/>
      <c r="AM104" s="1403"/>
      <c r="AN104" s="1403"/>
      <c r="AO104" s="1403"/>
      <c r="AP104" s="1403"/>
      <c r="AQ104" s="1403"/>
      <c r="AR104" s="1403"/>
      <c r="AS104" s="1403"/>
      <c r="AT104" s="1403"/>
      <c r="AU104" s="1403"/>
      <c r="AV104" s="1403"/>
      <c r="AW104" s="1403"/>
      <c r="AX104" s="1403"/>
      <c r="AY104" s="1403"/>
      <c r="AZ104" s="1403"/>
    </row>
    <row r="105">
      <c r="A105" s="1385"/>
      <c r="B105" s="611" t="str">
        <f>IF(C105&lt;'PlayerGrades+'!$Y$44,"F-",IF(C105&lt;'PlayerGrades+'!$Y$43,"F",IF(C105&lt;'PlayerGrades+'!$Y$42,"F+",IF(C105&lt;'PlayerGrades+'!$Y$41,"E-",IF(C105&lt;'PlayerGrades+'!$Y$40,"E",IF(C105&lt;'PlayerGrades+'!$Y$39,"E+",IF(C105&lt;'PlayerGrades+'!$Y$38,"D-",IF(C105&lt;'PlayerGrades+'!$Y$37,"D",IF(C105&lt;'PlayerGrades+'!$Y$36,"D+",IF(C105&lt;'PlayerGrades+'!$Y$35,"C-",IF(C105&lt;'PlayerGrades+'!$Y$34,"C",IF(C105&lt;'PlayerGrades+'!$Y$33,"C+",IF(C105&lt;'PlayerGrades+'!$Y$32,"B-",IF(C105&lt;'PlayerGrades+'!$Y$31,"B",IF(C105&lt;'PlayerGrades+'!$Y$30,"B+",IF(C105&lt;'PlayerGrades+'!$Y$29,"A-",IF(C105&lt;'PlayerGrades+'!$Y$28,"A",IF(C105&lt;'PlayerGrades+'!$Y$27,"A+",IF(C105&lt;'PlayerGrades+'!$Y$26,"S-",IF(C105&lt;'PlayerGrades+'!$Y$25,"S","S+"))))))))))))))))))))</f>
        <v>#DIV/0!</v>
      </c>
      <c r="C105" s="1378" t="str">
        <f>('PlayerGrades+'!$Y$47*(VLOOKUP(E105, 'PlayerGrades+'!$X$3:$Y$23, 2, FALSE)))+('PlayerGrades+'!$Y$48*(VLOOKUP(G105, 'PlayerGrades+'!$X$3:$Y$23, 2, FALSE)))+('PlayerGrades+'!$Y$49*(VLOOKUP(I105, 'PlayerGrades+'!$X$3:$Y$23, 2, FALSE)))+('PlayerGrades+'!$Y$50*(VLOOKUP(K105, 'PlayerGrades+'!$X$3:$Y$23, 2, FALSE)))+('PlayerGrades+'!$Y$51*(VLOOKUP(M105, 'PlayerGrades+'!$X$3:$Y$23, 2, FALSE)))+('PlayerGrades+'!$Y$52*(VLOOKUP(O105, 'PlayerGrades+'!$X$3:$Y$23, 2, FALSE)))+('PlayerGrades+'!$Y$53*(VLOOKUP(Q105, 'PlayerGrades+'!$X$3:$Y$23, 2, FALSE)))+('PlayerGrades+'!$Y$54*(VLOOKUP(S105, 'PlayerGrades+'!$X$3:$Y$23, 2, FALSE)))+('PlayerGrades+'!$Y$55*(VLOOKUP(U105, 'PlayerGrades+'!$X$3:$Y$23, 2, FALSE)))</f>
        <v>#DIV/0!</v>
      </c>
      <c r="D105" s="961" t="str">
        <f t="shared" si="1"/>
        <v>#DIV/0!</v>
      </c>
      <c r="E105" s="961" t="str">
        <f>IF(D105&lt;'PlayerGrades+'!$AA$21,"F-",IF(D105&lt;'PlayerGrades+'!$AA$20,"F",IF(D105&lt;'PlayerGrades+'!$AA$19,"F+",IF(D105&lt;'PlayerGrades+'!$AA$18,"E-",IF(D105&lt;'PlayerGrades+'!$AA$17,"E",IF(D105&lt;'PlayerGrades+'!$AA$16,"E+",IF(D105&lt;'PlayerGrades+'!$AA$15,"D-",IF(D105&lt;'PlayerGrades+'!$AA$14,"D",IF(D105&lt;'PlayerGrades+'!$AA$13,"D+",IF(D105&lt;'PlayerGrades+'!$AA$12,"C-",IF(D105&lt;'PlayerGrades+'!$AA$11,"C",IF(D105&lt;'PlayerGrades+'!$AA$10,"C+",IF(D105&lt;'PlayerGrades+'!$AA$9,"B-",IF(D105&lt;'PlayerGrades+'!$AA$8,"B",IF(D105&lt;'PlayerGrades+'!$AA$7,"B+",IF(D105&lt;'PlayerGrades+'!$AA$6,"A-",IF(D105&lt;'PlayerGrades+'!$AA$5,"A",IF(D105&lt;'PlayerGrades+'!$AA$4,"A+",IF(D105&lt;'PlayerGrades+'!$AA$3,"S-",IF(D105&lt;'PlayerGrades+'!$AA$2,"S","S+"))))))))))))))))))))</f>
        <v>#DIV/0!</v>
      </c>
      <c r="F105" s="961" t="str">
        <f t="shared" si="2"/>
        <v>#DIV/0!</v>
      </c>
      <c r="G105" s="961" t="str">
        <f>IF(F105&lt;'PlayerGrades+'!$AB$21,"F-",IF(F105&lt;'PlayerGrades+'!$AB$20,"F",IF(F105&lt;'PlayerGrades+'!$AB$19,"F+",IF(F105&lt;'PlayerGrades+'!$AB$18,"E-",IF(F105&lt;'PlayerGrades+'!$AB$17,"E",IF(F105&lt;'PlayerGrades+'!$AB$16,"E+",IF(F105&lt;'PlayerGrades+'!$AB$15,"D-",IF(F105&lt;'PlayerGrades+'!$AB$14,"D",IF(F105&lt;'PlayerGrades+'!$AB$13,"D+",IF(F105&lt;'PlayerGrades+'!$AB$12,"C-",IF(F105&lt;'PlayerGrades+'!$AB$11,"C",IF(F105&lt;'PlayerGrades+'!$AB$10,"C+",IF(F105&lt;'PlayerGrades+'!$AB$9,"B-",IF(F105&lt;'PlayerGrades+'!$AB$8,"B",IF(F105&lt;'PlayerGrades+'!$AB$7,"B+",IF(F105&lt;'PlayerGrades+'!$AB$6,"A-",IF(F105&lt;'PlayerGrades+'!$AB$5,"A",IF(F105&lt;'PlayerGrades+'!$AB$4,"A+",IF(F105&lt;'PlayerGrades+'!$AB$3,"S-",IF(F105&lt;'PlayerGrades+'!$AB$2,"S","S+"))))))))))))))))))))</f>
        <v>#DIV/0!</v>
      </c>
      <c r="H105" s="961" t="str">
        <f t="shared" si="3"/>
        <v>#DIV/0!</v>
      </c>
      <c r="I105" s="961" t="str">
        <f>IF(H105&lt;'PlayerGrades+'!$AC$21,"F-",IF(H105&lt;'PlayerGrades+'!$AC$20,"F",IF(H105&lt;'PlayerGrades+'!$AC$19,"F+",IF(H105&lt;'PlayerGrades+'!$AC$18,"E-",IF(H105&lt;'PlayerGrades+'!$AC$17,"E",IF(H105&lt;'PlayerGrades+'!$AC$16,"E+",IF(H105&lt;'PlayerGrades+'!$AC$15,"D-",IF(H105&lt;'PlayerGrades+'!$AC$14,"D",IF(H105&lt;'PlayerGrades+'!$AC$13,"D+",IF(H105&lt;'PlayerGrades+'!$AC$12,"C-",IF(H105&lt;'PlayerGrades+'!$AC$11,"C",IF(H105&lt;'PlayerGrades+'!$AC$10,"C+",IF(H105&lt;'PlayerGrades+'!$AC$9,"B-",IF(H105&lt;'PlayerGrades+'!$AC$8,"B",IF(H105&lt;'PlayerGrades+'!$AC$7,"B+",IF(H105&lt;'PlayerGrades+'!$AC$6,"A-",IF(H105&lt;'PlayerGrades+'!$AC$5,"A",IF(H105&lt;'PlayerGrades+'!$AC$4,"A+",IF(H105&lt;'PlayerGrades+'!$AC$3,"S-",IF(H105&lt;'PlayerGrades+'!$AC$2,"S","S+"))))))))))))))))))))</f>
        <v>#DIV/0!</v>
      </c>
      <c r="J105" s="961" t="str">
        <f t="shared" si="4"/>
        <v>#DIV/0!</v>
      </c>
      <c r="K105" s="961" t="str">
        <f>IF(J105&lt;'PlayerGrades+'!$AD$21,"F-",IF(J105&lt;'PlayerGrades+'!$AD$20,"F",IF(J105&lt;'PlayerGrades+'!$AD$19,"F+",IF(J105&lt;'PlayerGrades+'!$AD$18,"E-",IF(J105&lt;'PlayerGrades+'!$AD$17,"E",IF(J105&lt;'PlayerGrades+'!$AD$16,"E+",IF(J105&lt;'PlayerGrades+'!$AD$15,"D-",IF(J105&lt;'PlayerGrades+'!$AD$14,"D",IF(J105&lt;'PlayerGrades+'!$AD$13,"D+",IF(J105&lt;'PlayerGrades+'!$AD$12,"C-",IF(J105&lt;'PlayerGrades+'!$AD$11,"C",IF(J105&lt;'PlayerGrades+'!$AD$10,"C+",IF(J105&lt;'PlayerGrades+'!$AD$9,"B-",IF(J105&lt;'PlayerGrades+'!$AD$8,"B",IF(J105&lt;'PlayerGrades+'!$AD$7,"B+",IF(J105&lt;'PlayerGrades+'!$AD$6,"A-",IF(J105&lt;'PlayerGrades+'!$AD$5,"A",IF(J105&lt;'PlayerGrades+'!$AD$4,"A+",IF(J105&lt;'PlayerGrades+'!$AD$3,"S-",IF(J105&lt;'PlayerGrades+'!$AD$2,"S","S+"))))))))))))))))))))</f>
        <v>#DIV/0!</v>
      </c>
      <c r="L105" s="1176" t="str">
        <f t="shared" si="5"/>
        <v>#DIV/0!</v>
      </c>
      <c r="M105" s="992" t="str">
        <f>IF(L105&lt;'PlayerGrades+'!$AE$21,"F-",IF(L105&lt;'PlayerGrades+'!$AE$20,"F",IF(L105&lt;'PlayerGrades+'!$AE$19,"F+",IF(L105&lt;'PlayerGrades+'!$AE$18,"E-",IF(L105&lt;'PlayerGrades+'!$AE$17,"E",IF(L105&lt;'PlayerGrades+'!$AE$16,"E+",IF(L105&lt;'PlayerGrades+'!$AE$15,"D-",IF(L105&lt;'PlayerGrades+'!$AE$14,"D",IF(L105&lt;'PlayerGrades+'!$AE$13,"D+",IF(L105&lt;'PlayerGrades+'!$AE$12,"C-",IF(L105&lt;'PlayerGrades+'!$AE$11,"C",IF(L105&lt;'PlayerGrades+'!$AE$10,"C+",IF(L105&lt;'PlayerGrades+'!$AE$9,"B-",IF(L105&lt;'PlayerGrades+'!$AE$8,"B",IF(L105&lt;'PlayerGrades+'!$AE$7,"B+",IF(L105&lt;'PlayerGrades+'!$AE$6,"A-",IF(L105&lt;'PlayerGrades+'!$AE$5,"A",IF(L105&lt;'PlayerGrades+'!$AE$4,"A+",IF(L105&lt;'PlayerGrades+'!$AE$3,"S-",IF(L105&lt;'PlayerGrades+'!$AE$2,"S","S+"))))))))))))))))))))</f>
        <v>#DIV/0!</v>
      </c>
      <c r="N105" s="961" t="str">
        <f t="shared" si="6"/>
        <v>#DIV/0!</v>
      </c>
      <c r="O105" s="961" t="str">
        <f>IF(N105&lt;'PlayerGrades+'!$AF$21,"F-",IF(N105&lt;'PlayerGrades+'!$AF$20,"F",IF(N105&lt;'PlayerGrades+'!$AF$19,"F+",IF(N105&lt;'PlayerGrades+'!$AF$18,"E-",IF(N105&lt;'PlayerGrades+'!$AF$17,"E",IF(N105&lt;'PlayerGrades+'!$AF$16,"E+",IF(N105&lt;'PlayerGrades+'!$AF$15,"D-",IF(N105&lt;'PlayerGrades+'!$AF$14,"D",IF(N105&lt;'PlayerGrades+'!$AF$13,"D+",IF(N105&lt;'PlayerGrades+'!$AF$12,"C-",IF(N105&lt;'PlayerGrades+'!$AF$11,"C",IF(N105&lt;'PlayerGrades+'!$AF$10,"C+",IF(N105&lt;'PlayerGrades+'!$AF$9,"B-",IF(N105&lt;'PlayerGrades+'!$AF$8,"B",IF(N105&lt;'PlayerGrades+'!$AF$7,"B+",IF(N105&lt;'PlayerGrades+'!$AF$6,"A-",IF(N105&lt;'PlayerGrades+'!$AF$5,"A",IF(N105&lt;'PlayerGrades+'!$AF$4,"A+",IF(N105&lt;'PlayerGrades+'!$AF$3,"S-",IF(N105&lt;'PlayerGrades+'!$AF$2,"S","S+"))))))))))))))))))))</f>
        <v>#DIV/0!</v>
      </c>
      <c r="P105" s="961" t="str">
        <f t="shared" si="7"/>
        <v>#DIV/0!</v>
      </c>
      <c r="Q105" s="961" t="str">
        <f>IF(P105&lt;'PlayerGrades+'!$AG$21,"F-",IF(P105&lt;'PlayerGrades+'!$AG$20,"F",IF(P105&lt;'PlayerGrades+'!$AG$19,"F+",IF(P105&lt;'PlayerGrades+'!$AG$18,"E-",IF(P105&lt;'PlayerGrades+'!$AG$17,"E",IF(P105&lt;'PlayerGrades+'!$AG$16,"E+",IF(P105&lt;'PlayerGrades+'!$AG$15,"D-",IF(P105&lt;'PlayerGrades+'!$AG$14,"D",IF(P105&lt;'PlayerGrades+'!$AG$13,"D+",IF(P105&lt;'PlayerGrades+'!$AG$12,"C-",IF(P105&lt;'PlayerGrades+'!$AG$11,"C",IF(P105&lt;'PlayerGrades+'!$AG$10,"C+",IF(P105&lt;'PlayerGrades+'!$AG$9,"B-",IF(P105&lt;'PlayerGrades+'!$AG$8,"B",IF(P105&lt;'PlayerGrades+'!$AG$7,"B+",IF(P105&lt;'PlayerGrades+'!$AG$6,"A-",IF(P105&lt;'PlayerGrades+'!$AG$5,"A",IF(P105&lt;'PlayerGrades+'!$AG$4,"A+",IF(P105&lt;'PlayerGrades+'!$AG$3,"S-",IF(P105&lt;'PlayerGrades+'!$AG$2,"S","S+"))))))))))))))))))))</f>
        <v>#DIV/0!</v>
      </c>
      <c r="R105" s="961" t="str">
        <f t="shared" si="8"/>
        <v>#DIV/0!</v>
      </c>
      <c r="S105" s="961" t="str">
        <f>IF(R105&lt;'PlayerGrades+'!$AH$21,"F-",IF(R105&lt;'PlayerGrades+'!$AH$20,"F",IF(R105&lt;'PlayerGrades+'!$AH$19,"F+",IF(R105&lt;'PlayerGrades+'!$AH$18,"E-",IF(R105&lt;'PlayerGrades+'!$AH$17,"E",IF(R105&lt;'PlayerGrades+'!$AH$16,"E+",IF(R105&lt;'PlayerGrades+'!$AH$15,"D-",IF(R105&lt;'PlayerGrades+'!$AH$14,"D",IF(R105&lt;'PlayerGrades+'!$AH$13,"D+",IF(R105&lt;'PlayerGrades+'!$AH$12,"C-",IF(R105&lt;'PlayerGrades+'!$AH$11,"C",IF(R105&lt;'PlayerGrades+'!$AH$10,"C+",IF(R105&lt;'PlayerGrades+'!$AH$9,"B-",IF(R105&lt;'PlayerGrades+'!$AH$8,"B",IF(R105&lt;'PlayerGrades+'!$AH$7,"B+",IF(R105&lt;'PlayerGrades+'!$AH$6,"A-",IF(R105&lt;'PlayerGrades+'!$AH$5,"A",IF(R105&lt;'PlayerGrades+'!$AH$4,"A+",IF(R105&lt;'PlayerGrades+'!$AH$3,"S-",IF(R105&lt;'PlayerGrades+'!$AH$2,"S","S+"))))))))))))))))))))</f>
        <v>#DIV/0!</v>
      </c>
      <c r="T105" s="961">
        <f t="shared" si="9"/>
        <v>0</v>
      </c>
      <c r="U105" s="961" t="str">
        <f>IF(T105&lt;'PlayerGrades+'!$AI$21,"F-",IF(T105&lt;'PlayerGrades+'!$AI$20,"F",IF(T105&lt;'PlayerGrades+'!$AI$19,"F+",IF(T105&lt;'PlayerGrades+'!$AI$18,"E-",IF(T105&lt;'PlayerGrades+'!$AI$17,"E",IF(T105&lt;'PlayerGrades+'!$AI$16,"E+",IF(T105&lt;'PlayerGrades+'!$AI$15,"D-",IF(T105&lt;'PlayerGrades+'!$AI$14,"D",IF(T105&lt;'PlayerGrades+'!$AI$13,"D+",IF(T105&lt;'PlayerGrades+'!$AI$12,"C-",IF(T105&lt;'PlayerGrades+'!$AI$11,"C",IF(T105&lt;'PlayerGrades+'!$AI$10,"C+",IF(T105&lt;'PlayerGrades+'!$AI$9,"B-",IF(T105&lt;'PlayerGrades+'!$AI$8,"B",IF(T105&lt;'PlayerGrades+'!$AI$7,"B+",IF(T105&lt;'PlayerGrades+'!$AI$6,"A-",IF(T105&lt;'PlayerGrades+'!$AI$5,"A",IF(T105&lt;'PlayerGrades+'!$AI$4,"A+",IF(T105&lt;'PlayerGrades+'!$AI$3,"S-",IF(T105&lt;'PlayerGrades+'!$AI$2,"S","S+"))))))))))))))))))))</f>
        <v>F-</v>
      </c>
      <c r="V105" s="1387"/>
      <c r="W105" s="1387"/>
      <c r="X105" s="1405"/>
      <c r="Y105" s="1405"/>
      <c r="Z105" s="1405"/>
      <c r="AA105" s="1405"/>
      <c r="AB105" s="1405"/>
      <c r="AC105" s="1406"/>
      <c r="AD105" s="1405"/>
      <c r="AE105" s="1405"/>
      <c r="AF105" s="1405"/>
      <c r="AG105" s="1405"/>
      <c r="AH105" s="1405"/>
      <c r="AI105" s="1405"/>
      <c r="AJ105" s="1405"/>
      <c r="AK105" s="1405"/>
      <c r="AL105" s="1405"/>
      <c r="AM105" s="1405"/>
      <c r="AN105" s="1405"/>
      <c r="AO105" s="1405"/>
      <c r="AP105" s="1405"/>
      <c r="AQ105" s="1405"/>
      <c r="AR105" s="1405"/>
      <c r="AS105" s="1405"/>
      <c r="AT105" s="1405"/>
      <c r="AU105" s="1405"/>
      <c r="AV105" s="1405"/>
      <c r="AW105" s="1405"/>
      <c r="AX105" s="1405"/>
      <c r="AY105" s="1405"/>
      <c r="AZ105" s="1405"/>
    </row>
    <row r="106">
      <c r="A106" s="1389"/>
      <c r="B106" s="611" t="str">
        <f>IF(C106&lt;'PlayerGrades+'!$Y$44,"F-",IF(C106&lt;'PlayerGrades+'!$Y$43,"F",IF(C106&lt;'PlayerGrades+'!$Y$42,"F+",IF(C106&lt;'PlayerGrades+'!$Y$41,"E-",IF(C106&lt;'PlayerGrades+'!$Y$40,"E",IF(C106&lt;'PlayerGrades+'!$Y$39,"E+",IF(C106&lt;'PlayerGrades+'!$Y$38,"D-",IF(C106&lt;'PlayerGrades+'!$Y$37,"D",IF(C106&lt;'PlayerGrades+'!$Y$36,"D+",IF(C106&lt;'PlayerGrades+'!$Y$35,"C-",IF(C106&lt;'PlayerGrades+'!$Y$34,"C",IF(C106&lt;'PlayerGrades+'!$Y$33,"C+",IF(C106&lt;'PlayerGrades+'!$Y$32,"B-",IF(C106&lt;'PlayerGrades+'!$Y$31,"B",IF(C106&lt;'PlayerGrades+'!$Y$30,"B+",IF(C106&lt;'PlayerGrades+'!$Y$29,"A-",IF(C106&lt;'PlayerGrades+'!$Y$28,"A",IF(C106&lt;'PlayerGrades+'!$Y$27,"A+",IF(C106&lt;'PlayerGrades+'!$Y$26,"S-",IF(C106&lt;'PlayerGrades+'!$Y$25,"S","S+"))))))))))))))))))))</f>
        <v>#DIV/0!</v>
      </c>
      <c r="C106" s="1378" t="str">
        <f>('PlayerGrades+'!$Y$47*(VLOOKUP(E106, 'PlayerGrades+'!$X$3:$Y$23, 2, FALSE)))+('PlayerGrades+'!$Y$48*(VLOOKUP(G106, 'PlayerGrades+'!$X$3:$Y$23, 2, FALSE)))+('PlayerGrades+'!$Y$49*(VLOOKUP(I106, 'PlayerGrades+'!$X$3:$Y$23, 2, FALSE)))+('PlayerGrades+'!$Y$50*(VLOOKUP(K106, 'PlayerGrades+'!$X$3:$Y$23, 2, FALSE)))+('PlayerGrades+'!$Y$51*(VLOOKUP(M106, 'PlayerGrades+'!$X$3:$Y$23, 2, FALSE)))+('PlayerGrades+'!$Y$52*(VLOOKUP(O106, 'PlayerGrades+'!$X$3:$Y$23, 2, FALSE)))+('PlayerGrades+'!$Y$53*(VLOOKUP(Q106, 'PlayerGrades+'!$X$3:$Y$23, 2, FALSE)))+('PlayerGrades+'!$Y$54*(VLOOKUP(S106, 'PlayerGrades+'!$X$3:$Y$23, 2, FALSE)))+('PlayerGrades+'!$Y$55*(VLOOKUP(U106, 'PlayerGrades+'!$X$3:$Y$23, 2, FALSE)))</f>
        <v>#DIV/0!</v>
      </c>
      <c r="D106" s="961" t="str">
        <f t="shared" si="1"/>
        <v>#DIV/0!</v>
      </c>
      <c r="E106" s="961" t="str">
        <f>IF(D106&lt;'PlayerGrades+'!$AA$21,"F-",IF(D106&lt;'PlayerGrades+'!$AA$20,"F",IF(D106&lt;'PlayerGrades+'!$AA$19,"F+",IF(D106&lt;'PlayerGrades+'!$AA$18,"E-",IF(D106&lt;'PlayerGrades+'!$AA$17,"E",IF(D106&lt;'PlayerGrades+'!$AA$16,"E+",IF(D106&lt;'PlayerGrades+'!$AA$15,"D-",IF(D106&lt;'PlayerGrades+'!$AA$14,"D",IF(D106&lt;'PlayerGrades+'!$AA$13,"D+",IF(D106&lt;'PlayerGrades+'!$AA$12,"C-",IF(D106&lt;'PlayerGrades+'!$AA$11,"C",IF(D106&lt;'PlayerGrades+'!$AA$10,"C+",IF(D106&lt;'PlayerGrades+'!$AA$9,"B-",IF(D106&lt;'PlayerGrades+'!$AA$8,"B",IF(D106&lt;'PlayerGrades+'!$AA$7,"B+",IF(D106&lt;'PlayerGrades+'!$AA$6,"A-",IF(D106&lt;'PlayerGrades+'!$AA$5,"A",IF(D106&lt;'PlayerGrades+'!$AA$4,"A+",IF(D106&lt;'PlayerGrades+'!$AA$3,"S-",IF(D106&lt;'PlayerGrades+'!$AA$2,"S","S+"))))))))))))))))))))</f>
        <v>#DIV/0!</v>
      </c>
      <c r="F106" s="961" t="str">
        <f t="shared" si="2"/>
        <v>#DIV/0!</v>
      </c>
      <c r="G106" s="961" t="str">
        <f>IF(F106&lt;'PlayerGrades+'!$AB$21,"F-",IF(F106&lt;'PlayerGrades+'!$AB$20,"F",IF(F106&lt;'PlayerGrades+'!$AB$19,"F+",IF(F106&lt;'PlayerGrades+'!$AB$18,"E-",IF(F106&lt;'PlayerGrades+'!$AB$17,"E",IF(F106&lt;'PlayerGrades+'!$AB$16,"E+",IF(F106&lt;'PlayerGrades+'!$AB$15,"D-",IF(F106&lt;'PlayerGrades+'!$AB$14,"D",IF(F106&lt;'PlayerGrades+'!$AB$13,"D+",IF(F106&lt;'PlayerGrades+'!$AB$12,"C-",IF(F106&lt;'PlayerGrades+'!$AB$11,"C",IF(F106&lt;'PlayerGrades+'!$AB$10,"C+",IF(F106&lt;'PlayerGrades+'!$AB$9,"B-",IF(F106&lt;'PlayerGrades+'!$AB$8,"B",IF(F106&lt;'PlayerGrades+'!$AB$7,"B+",IF(F106&lt;'PlayerGrades+'!$AB$6,"A-",IF(F106&lt;'PlayerGrades+'!$AB$5,"A",IF(F106&lt;'PlayerGrades+'!$AB$4,"A+",IF(F106&lt;'PlayerGrades+'!$AB$3,"S-",IF(F106&lt;'PlayerGrades+'!$AB$2,"S","S+"))))))))))))))))))))</f>
        <v>#DIV/0!</v>
      </c>
      <c r="H106" s="961" t="str">
        <f t="shared" si="3"/>
        <v>#DIV/0!</v>
      </c>
      <c r="I106" s="961" t="str">
        <f>IF(H106&lt;'PlayerGrades+'!$AC$21,"F-",IF(H106&lt;'PlayerGrades+'!$AC$20,"F",IF(H106&lt;'PlayerGrades+'!$AC$19,"F+",IF(H106&lt;'PlayerGrades+'!$AC$18,"E-",IF(H106&lt;'PlayerGrades+'!$AC$17,"E",IF(H106&lt;'PlayerGrades+'!$AC$16,"E+",IF(H106&lt;'PlayerGrades+'!$AC$15,"D-",IF(H106&lt;'PlayerGrades+'!$AC$14,"D",IF(H106&lt;'PlayerGrades+'!$AC$13,"D+",IF(H106&lt;'PlayerGrades+'!$AC$12,"C-",IF(H106&lt;'PlayerGrades+'!$AC$11,"C",IF(H106&lt;'PlayerGrades+'!$AC$10,"C+",IF(H106&lt;'PlayerGrades+'!$AC$9,"B-",IF(H106&lt;'PlayerGrades+'!$AC$8,"B",IF(H106&lt;'PlayerGrades+'!$AC$7,"B+",IF(H106&lt;'PlayerGrades+'!$AC$6,"A-",IF(H106&lt;'PlayerGrades+'!$AC$5,"A",IF(H106&lt;'PlayerGrades+'!$AC$4,"A+",IF(H106&lt;'PlayerGrades+'!$AC$3,"S-",IF(H106&lt;'PlayerGrades+'!$AC$2,"S","S+"))))))))))))))))))))</f>
        <v>#DIV/0!</v>
      </c>
      <c r="J106" s="961" t="str">
        <f t="shared" si="4"/>
        <v>#DIV/0!</v>
      </c>
      <c r="K106" s="961" t="str">
        <f>IF(J106&lt;'PlayerGrades+'!$AD$21,"F-",IF(J106&lt;'PlayerGrades+'!$AD$20,"F",IF(J106&lt;'PlayerGrades+'!$AD$19,"F+",IF(J106&lt;'PlayerGrades+'!$AD$18,"E-",IF(J106&lt;'PlayerGrades+'!$AD$17,"E",IF(J106&lt;'PlayerGrades+'!$AD$16,"E+",IF(J106&lt;'PlayerGrades+'!$AD$15,"D-",IF(J106&lt;'PlayerGrades+'!$AD$14,"D",IF(J106&lt;'PlayerGrades+'!$AD$13,"D+",IF(J106&lt;'PlayerGrades+'!$AD$12,"C-",IF(J106&lt;'PlayerGrades+'!$AD$11,"C",IF(J106&lt;'PlayerGrades+'!$AD$10,"C+",IF(J106&lt;'PlayerGrades+'!$AD$9,"B-",IF(J106&lt;'PlayerGrades+'!$AD$8,"B",IF(J106&lt;'PlayerGrades+'!$AD$7,"B+",IF(J106&lt;'PlayerGrades+'!$AD$6,"A-",IF(J106&lt;'PlayerGrades+'!$AD$5,"A",IF(J106&lt;'PlayerGrades+'!$AD$4,"A+",IF(J106&lt;'PlayerGrades+'!$AD$3,"S-",IF(J106&lt;'PlayerGrades+'!$AD$2,"S","S+"))))))))))))))))))))</f>
        <v>#DIV/0!</v>
      </c>
      <c r="L106" s="1176" t="str">
        <f t="shared" si="5"/>
        <v>#DIV/0!</v>
      </c>
      <c r="M106" s="992" t="str">
        <f>IF(L106&lt;'PlayerGrades+'!$AE$21,"F-",IF(L106&lt;'PlayerGrades+'!$AE$20,"F",IF(L106&lt;'PlayerGrades+'!$AE$19,"F+",IF(L106&lt;'PlayerGrades+'!$AE$18,"E-",IF(L106&lt;'PlayerGrades+'!$AE$17,"E",IF(L106&lt;'PlayerGrades+'!$AE$16,"E+",IF(L106&lt;'PlayerGrades+'!$AE$15,"D-",IF(L106&lt;'PlayerGrades+'!$AE$14,"D",IF(L106&lt;'PlayerGrades+'!$AE$13,"D+",IF(L106&lt;'PlayerGrades+'!$AE$12,"C-",IF(L106&lt;'PlayerGrades+'!$AE$11,"C",IF(L106&lt;'PlayerGrades+'!$AE$10,"C+",IF(L106&lt;'PlayerGrades+'!$AE$9,"B-",IF(L106&lt;'PlayerGrades+'!$AE$8,"B",IF(L106&lt;'PlayerGrades+'!$AE$7,"B+",IF(L106&lt;'PlayerGrades+'!$AE$6,"A-",IF(L106&lt;'PlayerGrades+'!$AE$5,"A",IF(L106&lt;'PlayerGrades+'!$AE$4,"A+",IF(L106&lt;'PlayerGrades+'!$AE$3,"S-",IF(L106&lt;'PlayerGrades+'!$AE$2,"S","S+"))))))))))))))))))))</f>
        <v>#DIV/0!</v>
      </c>
      <c r="N106" s="961" t="str">
        <f t="shared" si="6"/>
        <v>#DIV/0!</v>
      </c>
      <c r="O106" s="961" t="str">
        <f>IF(N106&lt;'PlayerGrades+'!$AF$21,"F-",IF(N106&lt;'PlayerGrades+'!$AF$20,"F",IF(N106&lt;'PlayerGrades+'!$AF$19,"F+",IF(N106&lt;'PlayerGrades+'!$AF$18,"E-",IF(N106&lt;'PlayerGrades+'!$AF$17,"E",IF(N106&lt;'PlayerGrades+'!$AF$16,"E+",IF(N106&lt;'PlayerGrades+'!$AF$15,"D-",IF(N106&lt;'PlayerGrades+'!$AF$14,"D",IF(N106&lt;'PlayerGrades+'!$AF$13,"D+",IF(N106&lt;'PlayerGrades+'!$AF$12,"C-",IF(N106&lt;'PlayerGrades+'!$AF$11,"C",IF(N106&lt;'PlayerGrades+'!$AF$10,"C+",IF(N106&lt;'PlayerGrades+'!$AF$9,"B-",IF(N106&lt;'PlayerGrades+'!$AF$8,"B",IF(N106&lt;'PlayerGrades+'!$AF$7,"B+",IF(N106&lt;'PlayerGrades+'!$AF$6,"A-",IF(N106&lt;'PlayerGrades+'!$AF$5,"A",IF(N106&lt;'PlayerGrades+'!$AF$4,"A+",IF(N106&lt;'PlayerGrades+'!$AF$3,"S-",IF(N106&lt;'PlayerGrades+'!$AF$2,"S","S+"))))))))))))))))))))</f>
        <v>#DIV/0!</v>
      </c>
      <c r="P106" s="961" t="str">
        <f t="shared" si="7"/>
        <v>#DIV/0!</v>
      </c>
      <c r="Q106" s="961" t="str">
        <f>IF(P106&lt;'PlayerGrades+'!$AG$21,"F-",IF(P106&lt;'PlayerGrades+'!$AG$20,"F",IF(P106&lt;'PlayerGrades+'!$AG$19,"F+",IF(P106&lt;'PlayerGrades+'!$AG$18,"E-",IF(P106&lt;'PlayerGrades+'!$AG$17,"E",IF(P106&lt;'PlayerGrades+'!$AG$16,"E+",IF(P106&lt;'PlayerGrades+'!$AG$15,"D-",IF(P106&lt;'PlayerGrades+'!$AG$14,"D",IF(P106&lt;'PlayerGrades+'!$AG$13,"D+",IF(P106&lt;'PlayerGrades+'!$AG$12,"C-",IF(P106&lt;'PlayerGrades+'!$AG$11,"C",IF(P106&lt;'PlayerGrades+'!$AG$10,"C+",IF(P106&lt;'PlayerGrades+'!$AG$9,"B-",IF(P106&lt;'PlayerGrades+'!$AG$8,"B",IF(P106&lt;'PlayerGrades+'!$AG$7,"B+",IF(P106&lt;'PlayerGrades+'!$AG$6,"A-",IF(P106&lt;'PlayerGrades+'!$AG$5,"A",IF(P106&lt;'PlayerGrades+'!$AG$4,"A+",IF(P106&lt;'PlayerGrades+'!$AG$3,"S-",IF(P106&lt;'PlayerGrades+'!$AG$2,"S","S+"))))))))))))))))))))</f>
        <v>#DIV/0!</v>
      </c>
      <c r="R106" s="961" t="str">
        <f t="shared" si="8"/>
        <v>#DIV/0!</v>
      </c>
      <c r="S106" s="961" t="str">
        <f>IF(R106&lt;'PlayerGrades+'!$AH$21,"F-",IF(R106&lt;'PlayerGrades+'!$AH$20,"F",IF(R106&lt;'PlayerGrades+'!$AH$19,"F+",IF(R106&lt;'PlayerGrades+'!$AH$18,"E-",IF(R106&lt;'PlayerGrades+'!$AH$17,"E",IF(R106&lt;'PlayerGrades+'!$AH$16,"E+",IF(R106&lt;'PlayerGrades+'!$AH$15,"D-",IF(R106&lt;'PlayerGrades+'!$AH$14,"D",IF(R106&lt;'PlayerGrades+'!$AH$13,"D+",IF(R106&lt;'PlayerGrades+'!$AH$12,"C-",IF(R106&lt;'PlayerGrades+'!$AH$11,"C",IF(R106&lt;'PlayerGrades+'!$AH$10,"C+",IF(R106&lt;'PlayerGrades+'!$AH$9,"B-",IF(R106&lt;'PlayerGrades+'!$AH$8,"B",IF(R106&lt;'PlayerGrades+'!$AH$7,"B+",IF(R106&lt;'PlayerGrades+'!$AH$6,"A-",IF(R106&lt;'PlayerGrades+'!$AH$5,"A",IF(R106&lt;'PlayerGrades+'!$AH$4,"A+",IF(R106&lt;'PlayerGrades+'!$AH$3,"S-",IF(R106&lt;'PlayerGrades+'!$AH$2,"S","S+"))))))))))))))))))))</f>
        <v>#DIV/0!</v>
      </c>
      <c r="T106" s="961">
        <f t="shared" si="9"/>
        <v>0</v>
      </c>
      <c r="U106" s="961" t="str">
        <f>IF(T106&lt;'PlayerGrades+'!$AI$21,"F-",IF(T106&lt;'PlayerGrades+'!$AI$20,"F",IF(T106&lt;'PlayerGrades+'!$AI$19,"F+",IF(T106&lt;'PlayerGrades+'!$AI$18,"E-",IF(T106&lt;'PlayerGrades+'!$AI$17,"E",IF(T106&lt;'PlayerGrades+'!$AI$16,"E+",IF(T106&lt;'PlayerGrades+'!$AI$15,"D-",IF(T106&lt;'PlayerGrades+'!$AI$14,"D",IF(T106&lt;'PlayerGrades+'!$AI$13,"D+",IF(T106&lt;'PlayerGrades+'!$AI$12,"C-",IF(T106&lt;'PlayerGrades+'!$AI$11,"C",IF(T106&lt;'PlayerGrades+'!$AI$10,"C+",IF(T106&lt;'PlayerGrades+'!$AI$9,"B-",IF(T106&lt;'PlayerGrades+'!$AI$8,"B",IF(T106&lt;'PlayerGrades+'!$AI$7,"B+",IF(T106&lt;'PlayerGrades+'!$AI$6,"A-",IF(T106&lt;'PlayerGrades+'!$AI$5,"A",IF(T106&lt;'PlayerGrades+'!$AI$4,"A+",IF(T106&lt;'PlayerGrades+'!$AI$3,"S-",IF(T106&lt;'PlayerGrades+'!$AI$2,"S","S+"))))))))))))))))))))</f>
        <v>F-</v>
      </c>
      <c r="V106" s="1379"/>
      <c r="W106" s="1379"/>
      <c r="X106" s="1379"/>
      <c r="Y106" s="1379"/>
      <c r="Z106" s="1379"/>
      <c r="AA106" s="1379"/>
      <c r="AB106" s="1379"/>
      <c r="AC106" s="1390"/>
      <c r="AD106" s="1379"/>
      <c r="AE106" s="1379"/>
      <c r="AF106" s="1379"/>
      <c r="AG106" s="1379"/>
      <c r="AH106" s="1379"/>
      <c r="AI106" s="1379"/>
      <c r="AJ106" s="1379"/>
      <c r="AK106" s="1379"/>
      <c r="AL106" s="1379"/>
      <c r="AM106" s="1379"/>
      <c r="AN106" s="1379"/>
      <c r="AO106" s="1379"/>
      <c r="AP106" s="1379"/>
      <c r="AQ106" s="1379"/>
      <c r="AR106" s="1379"/>
      <c r="AS106" s="1379"/>
      <c r="AT106" s="1379"/>
      <c r="AU106" s="1379"/>
      <c r="AV106" s="1379"/>
      <c r="AW106" s="1379"/>
      <c r="AX106" s="1379"/>
      <c r="AY106" s="1379"/>
      <c r="AZ106" s="1379"/>
    </row>
    <row r="107">
      <c r="A107" s="1391"/>
      <c r="B107" s="611" t="str">
        <f>IF(C107&lt;'PlayerGrades+'!$Y$44,"F-",IF(C107&lt;'PlayerGrades+'!$Y$43,"F",IF(C107&lt;'PlayerGrades+'!$Y$42,"F+",IF(C107&lt;'PlayerGrades+'!$Y$41,"E-",IF(C107&lt;'PlayerGrades+'!$Y$40,"E",IF(C107&lt;'PlayerGrades+'!$Y$39,"E+",IF(C107&lt;'PlayerGrades+'!$Y$38,"D-",IF(C107&lt;'PlayerGrades+'!$Y$37,"D",IF(C107&lt;'PlayerGrades+'!$Y$36,"D+",IF(C107&lt;'PlayerGrades+'!$Y$35,"C-",IF(C107&lt;'PlayerGrades+'!$Y$34,"C",IF(C107&lt;'PlayerGrades+'!$Y$33,"C+",IF(C107&lt;'PlayerGrades+'!$Y$32,"B-",IF(C107&lt;'PlayerGrades+'!$Y$31,"B",IF(C107&lt;'PlayerGrades+'!$Y$30,"B+",IF(C107&lt;'PlayerGrades+'!$Y$29,"A-",IF(C107&lt;'PlayerGrades+'!$Y$28,"A",IF(C107&lt;'PlayerGrades+'!$Y$27,"A+",IF(C107&lt;'PlayerGrades+'!$Y$26,"S-",IF(C107&lt;'PlayerGrades+'!$Y$25,"S","S+"))))))))))))))))))))</f>
        <v>#DIV/0!</v>
      </c>
      <c r="C107" s="1378" t="str">
        <f>('PlayerGrades+'!$Y$47*(VLOOKUP(E107, 'PlayerGrades+'!$X$3:$Y$23, 2, FALSE)))+('PlayerGrades+'!$Y$48*(VLOOKUP(G107, 'PlayerGrades+'!$X$3:$Y$23, 2, FALSE)))+('PlayerGrades+'!$Y$49*(VLOOKUP(I107, 'PlayerGrades+'!$X$3:$Y$23, 2, FALSE)))+('PlayerGrades+'!$Y$50*(VLOOKUP(K107, 'PlayerGrades+'!$X$3:$Y$23, 2, FALSE)))+('PlayerGrades+'!$Y$51*(VLOOKUP(M107, 'PlayerGrades+'!$X$3:$Y$23, 2, FALSE)))+('PlayerGrades+'!$Y$52*(VLOOKUP(O107, 'PlayerGrades+'!$X$3:$Y$23, 2, FALSE)))+('PlayerGrades+'!$Y$53*(VLOOKUP(Q107, 'PlayerGrades+'!$X$3:$Y$23, 2, FALSE)))+('PlayerGrades+'!$Y$54*(VLOOKUP(S107, 'PlayerGrades+'!$X$3:$Y$23, 2, FALSE)))+('PlayerGrades+'!$Y$55*(VLOOKUP(U107, 'PlayerGrades+'!$X$3:$Y$23, 2, FALSE)))</f>
        <v>#DIV/0!</v>
      </c>
      <c r="D107" s="961" t="str">
        <f t="shared" si="1"/>
        <v>#DIV/0!</v>
      </c>
      <c r="E107" s="961" t="str">
        <f>IF(D107&lt;'PlayerGrades+'!$AA$21,"F-",IF(D107&lt;'PlayerGrades+'!$AA$20,"F",IF(D107&lt;'PlayerGrades+'!$AA$19,"F+",IF(D107&lt;'PlayerGrades+'!$AA$18,"E-",IF(D107&lt;'PlayerGrades+'!$AA$17,"E",IF(D107&lt;'PlayerGrades+'!$AA$16,"E+",IF(D107&lt;'PlayerGrades+'!$AA$15,"D-",IF(D107&lt;'PlayerGrades+'!$AA$14,"D",IF(D107&lt;'PlayerGrades+'!$AA$13,"D+",IF(D107&lt;'PlayerGrades+'!$AA$12,"C-",IF(D107&lt;'PlayerGrades+'!$AA$11,"C",IF(D107&lt;'PlayerGrades+'!$AA$10,"C+",IF(D107&lt;'PlayerGrades+'!$AA$9,"B-",IF(D107&lt;'PlayerGrades+'!$AA$8,"B",IF(D107&lt;'PlayerGrades+'!$AA$7,"B+",IF(D107&lt;'PlayerGrades+'!$AA$6,"A-",IF(D107&lt;'PlayerGrades+'!$AA$5,"A",IF(D107&lt;'PlayerGrades+'!$AA$4,"A+",IF(D107&lt;'PlayerGrades+'!$AA$3,"S-",IF(D107&lt;'PlayerGrades+'!$AA$2,"S","S+"))))))))))))))))))))</f>
        <v>#DIV/0!</v>
      </c>
      <c r="F107" s="961" t="str">
        <f t="shared" si="2"/>
        <v>#DIV/0!</v>
      </c>
      <c r="G107" s="961" t="str">
        <f>IF(F107&lt;'PlayerGrades+'!$AB$21,"F-",IF(F107&lt;'PlayerGrades+'!$AB$20,"F",IF(F107&lt;'PlayerGrades+'!$AB$19,"F+",IF(F107&lt;'PlayerGrades+'!$AB$18,"E-",IF(F107&lt;'PlayerGrades+'!$AB$17,"E",IF(F107&lt;'PlayerGrades+'!$AB$16,"E+",IF(F107&lt;'PlayerGrades+'!$AB$15,"D-",IF(F107&lt;'PlayerGrades+'!$AB$14,"D",IF(F107&lt;'PlayerGrades+'!$AB$13,"D+",IF(F107&lt;'PlayerGrades+'!$AB$12,"C-",IF(F107&lt;'PlayerGrades+'!$AB$11,"C",IF(F107&lt;'PlayerGrades+'!$AB$10,"C+",IF(F107&lt;'PlayerGrades+'!$AB$9,"B-",IF(F107&lt;'PlayerGrades+'!$AB$8,"B",IF(F107&lt;'PlayerGrades+'!$AB$7,"B+",IF(F107&lt;'PlayerGrades+'!$AB$6,"A-",IF(F107&lt;'PlayerGrades+'!$AB$5,"A",IF(F107&lt;'PlayerGrades+'!$AB$4,"A+",IF(F107&lt;'PlayerGrades+'!$AB$3,"S-",IF(F107&lt;'PlayerGrades+'!$AB$2,"S","S+"))))))))))))))))))))</f>
        <v>#DIV/0!</v>
      </c>
      <c r="H107" s="961" t="str">
        <f t="shared" si="3"/>
        <v>#DIV/0!</v>
      </c>
      <c r="I107" s="961" t="str">
        <f>IF(H107&lt;'PlayerGrades+'!$AC$21,"F-",IF(H107&lt;'PlayerGrades+'!$AC$20,"F",IF(H107&lt;'PlayerGrades+'!$AC$19,"F+",IF(H107&lt;'PlayerGrades+'!$AC$18,"E-",IF(H107&lt;'PlayerGrades+'!$AC$17,"E",IF(H107&lt;'PlayerGrades+'!$AC$16,"E+",IF(H107&lt;'PlayerGrades+'!$AC$15,"D-",IF(H107&lt;'PlayerGrades+'!$AC$14,"D",IF(H107&lt;'PlayerGrades+'!$AC$13,"D+",IF(H107&lt;'PlayerGrades+'!$AC$12,"C-",IF(H107&lt;'PlayerGrades+'!$AC$11,"C",IF(H107&lt;'PlayerGrades+'!$AC$10,"C+",IF(H107&lt;'PlayerGrades+'!$AC$9,"B-",IF(H107&lt;'PlayerGrades+'!$AC$8,"B",IF(H107&lt;'PlayerGrades+'!$AC$7,"B+",IF(H107&lt;'PlayerGrades+'!$AC$6,"A-",IF(H107&lt;'PlayerGrades+'!$AC$5,"A",IF(H107&lt;'PlayerGrades+'!$AC$4,"A+",IF(H107&lt;'PlayerGrades+'!$AC$3,"S-",IF(H107&lt;'PlayerGrades+'!$AC$2,"S","S+"))))))))))))))))))))</f>
        <v>#DIV/0!</v>
      </c>
      <c r="J107" s="961" t="str">
        <f t="shared" si="4"/>
        <v>#DIV/0!</v>
      </c>
      <c r="K107" s="961" t="str">
        <f>IF(J107&lt;'PlayerGrades+'!$AD$21,"F-",IF(J107&lt;'PlayerGrades+'!$AD$20,"F",IF(J107&lt;'PlayerGrades+'!$AD$19,"F+",IF(J107&lt;'PlayerGrades+'!$AD$18,"E-",IF(J107&lt;'PlayerGrades+'!$AD$17,"E",IF(J107&lt;'PlayerGrades+'!$AD$16,"E+",IF(J107&lt;'PlayerGrades+'!$AD$15,"D-",IF(J107&lt;'PlayerGrades+'!$AD$14,"D",IF(J107&lt;'PlayerGrades+'!$AD$13,"D+",IF(J107&lt;'PlayerGrades+'!$AD$12,"C-",IF(J107&lt;'PlayerGrades+'!$AD$11,"C",IF(J107&lt;'PlayerGrades+'!$AD$10,"C+",IF(J107&lt;'PlayerGrades+'!$AD$9,"B-",IF(J107&lt;'PlayerGrades+'!$AD$8,"B",IF(J107&lt;'PlayerGrades+'!$AD$7,"B+",IF(J107&lt;'PlayerGrades+'!$AD$6,"A-",IF(J107&lt;'PlayerGrades+'!$AD$5,"A",IF(J107&lt;'PlayerGrades+'!$AD$4,"A+",IF(J107&lt;'PlayerGrades+'!$AD$3,"S-",IF(J107&lt;'PlayerGrades+'!$AD$2,"S","S+"))))))))))))))))))))</f>
        <v>#DIV/0!</v>
      </c>
      <c r="L107" s="1176" t="str">
        <f t="shared" si="5"/>
        <v>#DIV/0!</v>
      </c>
      <c r="M107" s="992" t="str">
        <f>IF(L107&lt;'PlayerGrades+'!$AE$21,"F-",IF(L107&lt;'PlayerGrades+'!$AE$20,"F",IF(L107&lt;'PlayerGrades+'!$AE$19,"F+",IF(L107&lt;'PlayerGrades+'!$AE$18,"E-",IF(L107&lt;'PlayerGrades+'!$AE$17,"E",IF(L107&lt;'PlayerGrades+'!$AE$16,"E+",IF(L107&lt;'PlayerGrades+'!$AE$15,"D-",IF(L107&lt;'PlayerGrades+'!$AE$14,"D",IF(L107&lt;'PlayerGrades+'!$AE$13,"D+",IF(L107&lt;'PlayerGrades+'!$AE$12,"C-",IF(L107&lt;'PlayerGrades+'!$AE$11,"C",IF(L107&lt;'PlayerGrades+'!$AE$10,"C+",IF(L107&lt;'PlayerGrades+'!$AE$9,"B-",IF(L107&lt;'PlayerGrades+'!$AE$8,"B",IF(L107&lt;'PlayerGrades+'!$AE$7,"B+",IF(L107&lt;'PlayerGrades+'!$AE$6,"A-",IF(L107&lt;'PlayerGrades+'!$AE$5,"A",IF(L107&lt;'PlayerGrades+'!$AE$4,"A+",IF(L107&lt;'PlayerGrades+'!$AE$3,"S-",IF(L107&lt;'PlayerGrades+'!$AE$2,"S","S+"))))))))))))))))))))</f>
        <v>#DIV/0!</v>
      </c>
      <c r="N107" s="961" t="str">
        <f t="shared" si="6"/>
        <v>#DIV/0!</v>
      </c>
      <c r="O107" s="961" t="str">
        <f>IF(N107&lt;'PlayerGrades+'!$AF$21,"F-",IF(N107&lt;'PlayerGrades+'!$AF$20,"F",IF(N107&lt;'PlayerGrades+'!$AF$19,"F+",IF(N107&lt;'PlayerGrades+'!$AF$18,"E-",IF(N107&lt;'PlayerGrades+'!$AF$17,"E",IF(N107&lt;'PlayerGrades+'!$AF$16,"E+",IF(N107&lt;'PlayerGrades+'!$AF$15,"D-",IF(N107&lt;'PlayerGrades+'!$AF$14,"D",IF(N107&lt;'PlayerGrades+'!$AF$13,"D+",IF(N107&lt;'PlayerGrades+'!$AF$12,"C-",IF(N107&lt;'PlayerGrades+'!$AF$11,"C",IF(N107&lt;'PlayerGrades+'!$AF$10,"C+",IF(N107&lt;'PlayerGrades+'!$AF$9,"B-",IF(N107&lt;'PlayerGrades+'!$AF$8,"B",IF(N107&lt;'PlayerGrades+'!$AF$7,"B+",IF(N107&lt;'PlayerGrades+'!$AF$6,"A-",IF(N107&lt;'PlayerGrades+'!$AF$5,"A",IF(N107&lt;'PlayerGrades+'!$AF$4,"A+",IF(N107&lt;'PlayerGrades+'!$AF$3,"S-",IF(N107&lt;'PlayerGrades+'!$AF$2,"S","S+"))))))))))))))))))))</f>
        <v>#DIV/0!</v>
      </c>
      <c r="P107" s="961" t="str">
        <f t="shared" si="7"/>
        <v>#DIV/0!</v>
      </c>
      <c r="Q107" s="961" t="str">
        <f>IF(P107&lt;'PlayerGrades+'!$AG$21,"F-",IF(P107&lt;'PlayerGrades+'!$AG$20,"F",IF(P107&lt;'PlayerGrades+'!$AG$19,"F+",IF(P107&lt;'PlayerGrades+'!$AG$18,"E-",IF(P107&lt;'PlayerGrades+'!$AG$17,"E",IF(P107&lt;'PlayerGrades+'!$AG$16,"E+",IF(P107&lt;'PlayerGrades+'!$AG$15,"D-",IF(P107&lt;'PlayerGrades+'!$AG$14,"D",IF(P107&lt;'PlayerGrades+'!$AG$13,"D+",IF(P107&lt;'PlayerGrades+'!$AG$12,"C-",IF(P107&lt;'PlayerGrades+'!$AG$11,"C",IF(P107&lt;'PlayerGrades+'!$AG$10,"C+",IF(P107&lt;'PlayerGrades+'!$AG$9,"B-",IF(P107&lt;'PlayerGrades+'!$AG$8,"B",IF(P107&lt;'PlayerGrades+'!$AG$7,"B+",IF(P107&lt;'PlayerGrades+'!$AG$6,"A-",IF(P107&lt;'PlayerGrades+'!$AG$5,"A",IF(P107&lt;'PlayerGrades+'!$AG$4,"A+",IF(P107&lt;'PlayerGrades+'!$AG$3,"S-",IF(P107&lt;'PlayerGrades+'!$AG$2,"S","S+"))))))))))))))))))))</f>
        <v>#DIV/0!</v>
      </c>
      <c r="R107" s="961" t="str">
        <f t="shared" si="8"/>
        <v>#DIV/0!</v>
      </c>
      <c r="S107" s="961" t="str">
        <f>IF(R107&lt;'PlayerGrades+'!$AH$21,"F-",IF(R107&lt;'PlayerGrades+'!$AH$20,"F",IF(R107&lt;'PlayerGrades+'!$AH$19,"F+",IF(R107&lt;'PlayerGrades+'!$AH$18,"E-",IF(R107&lt;'PlayerGrades+'!$AH$17,"E",IF(R107&lt;'PlayerGrades+'!$AH$16,"E+",IF(R107&lt;'PlayerGrades+'!$AH$15,"D-",IF(R107&lt;'PlayerGrades+'!$AH$14,"D",IF(R107&lt;'PlayerGrades+'!$AH$13,"D+",IF(R107&lt;'PlayerGrades+'!$AH$12,"C-",IF(R107&lt;'PlayerGrades+'!$AH$11,"C",IF(R107&lt;'PlayerGrades+'!$AH$10,"C+",IF(R107&lt;'PlayerGrades+'!$AH$9,"B-",IF(R107&lt;'PlayerGrades+'!$AH$8,"B",IF(R107&lt;'PlayerGrades+'!$AH$7,"B+",IF(R107&lt;'PlayerGrades+'!$AH$6,"A-",IF(R107&lt;'PlayerGrades+'!$AH$5,"A",IF(R107&lt;'PlayerGrades+'!$AH$4,"A+",IF(R107&lt;'PlayerGrades+'!$AH$3,"S-",IF(R107&lt;'PlayerGrades+'!$AH$2,"S","S+"))))))))))))))))))))</f>
        <v>#DIV/0!</v>
      </c>
      <c r="T107" s="961">
        <f t="shared" si="9"/>
        <v>0</v>
      </c>
      <c r="U107" s="961" t="str">
        <f>IF(T107&lt;'PlayerGrades+'!$AI$21,"F-",IF(T107&lt;'PlayerGrades+'!$AI$20,"F",IF(T107&lt;'PlayerGrades+'!$AI$19,"F+",IF(T107&lt;'PlayerGrades+'!$AI$18,"E-",IF(T107&lt;'PlayerGrades+'!$AI$17,"E",IF(T107&lt;'PlayerGrades+'!$AI$16,"E+",IF(T107&lt;'PlayerGrades+'!$AI$15,"D-",IF(T107&lt;'PlayerGrades+'!$AI$14,"D",IF(T107&lt;'PlayerGrades+'!$AI$13,"D+",IF(T107&lt;'PlayerGrades+'!$AI$12,"C-",IF(T107&lt;'PlayerGrades+'!$AI$11,"C",IF(T107&lt;'PlayerGrades+'!$AI$10,"C+",IF(T107&lt;'PlayerGrades+'!$AI$9,"B-",IF(T107&lt;'PlayerGrades+'!$AI$8,"B",IF(T107&lt;'PlayerGrades+'!$AI$7,"B+",IF(T107&lt;'PlayerGrades+'!$AI$6,"A-",IF(T107&lt;'PlayerGrades+'!$AI$5,"A",IF(T107&lt;'PlayerGrades+'!$AI$4,"A+",IF(T107&lt;'PlayerGrades+'!$AI$3,"S-",IF(T107&lt;'PlayerGrades+'!$AI$2,"S","S+"))))))))))))))))))))</f>
        <v>F-</v>
      </c>
      <c r="AC107" s="1392"/>
    </row>
    <row r="108">
      <c r="A108" s="1391"/>
      <c r="B108" s="611" t="str">
        <f>IF(C108&lt;'PlayerGrades+'!$Y$44,"F-",IF(C108&lt;'PlayerGrades+'!$Y$43,"F",IF(C108&lt;'PlayerGrades+'!$Y$42,"F+",IF(C108&lt;'PlayerGrades+'!$Y$41,"E-",IF(C108&lt;'PlayerGrades+'!$Y$40,"E",IF(C108&lt;'PlayerGrades+'!$Y$39,"E+",IF(C108&lt;'PlayerGrades+'!$Y$38,"D-",IF(C108&lt;'PlayerGrades+'!$Y$37,"D",IF(C108&lt;'PlayerGrades+'!$Y$36,"D+",IF(C108&lt;'PlayerGrades+'!$Y$35,"C-",IF(C108&lt;'PlayerGrades+'!$Y$34,"C",IF(C108&lt;'PlayerGrades+'!$Y$33,"C+",IF(C108&lt;'PlayerGrades+'!$Y$32,"B-",IF(C108&lt;'PlayerGrades+'!$Y$31,"B",IF(C108&lt;'PlayerGrades+'!$Y$30,"B+",IF(C108&lt;'PlayerGrades+'!$Y$29,"A-",IF(C108&lt;'PlayerGrades+'!$Y$28,"A",IF(C108&lt;'PlayerGrades+'!$Y$27,"A+",IF(C108&lt;'PlayerGrades+'!$Y$26,"S-",IF(C108&lt;'PlayerGrades+'!$Y$25,"S","S+"))))))))))))))))))))</f>
        <v>#DIV/0!</v>
      </c>
      <c r="C108" s="1378" t="str">
        <f>('PlayerGrades+'!$Y$47*(VLOOKUP(E108, 'PlayerGrades+'!$X$3:$Y$23, 2, FALSE)))+('PlayerGrades+'!$Y$48*(VLOOKUP(G108, 'PlayerGrades+'!$X$3:$Y$23, 2, FALSE)))+('PlayerGrades+'!$Y$49*(VLOOKUP(I108, 'PlayerGrades+'!$X$3:$Y$23, 2, FALSE)))+('PlayerGrades+'!$Y$50*(VLOOKUP(K108, 'PlayerGrades+'!$X$3:$Y$23, 2, FALSE)))+('PlayerGrades+'!$Y$51*(VLOOKUP(M108, 'PlayerGrades+'!$X$3:$Y$23, 2, FALSE)))+('PlayerGrades+'!$Y$52*(VLOOKUP(O108, 'PlayerGrades+'!$X$3:$Y$23, 2, FALSE)))+('PlayerGrades+'!$Y$53*(VLOOKUP(Q108, 'PlayerGrades+'!$X$3:$Y$23, 2, FALSE)))+('PlayerGrades+'!$Y$54*(VLOOKUP(S108, 'PlayerGrades+'!$X$3:$Y$23, 2, FALSE)))+('PlayerGrades+'!$Y$55*(VLOOKUP(U108, 'PlayerGrades+'!$X$3:$Y$23, 2, FALSE)))</f>
        <v>#DIV/0!</v>
      </c>
      <c r="D108" s="961" t="str">
        <f t="shared" si="1"/>
        <v>#DIV/0!</v>
      </c>
      <c r="E108" s="961" t="str">
        <f>IF(D108&lt;'PlayerGrades+'!$AA$21,"F-",IF(D108&lt;'PlayerGrades+'!$AA$20,"F",IF(D108&lt;'PlayerGrades+'!$AA$19,"F+",IF(D108&lt;'PlayerGrades+'!$AA$18,"E-",IF(D108&lt;'PlayerGrades+'!$AA$17,"E",IF(D108&lt;'PlayerGrades+'!$AA$16,"E+",IF(D108&lt;'PlayerGrades+'!$AA$15,"D-",IF(D108&lt;'PlayerGrades+'!$AA$14,"D",IF(D108&lt;'PlayerGrades+'!$AA$13,"D+",IF(D108&lt;'PlayerGrades+'!$AA$12,"C-",IF(D108&lt;'PlayerGrades+'!$AA$11,"C",IF(D108&lt;'PlayerGrades+'!$AA$10,"C+",IF(D108&lt;'PlayerGrades+'!$AA$9,"B-",IF(D108&lt;'PlayerGrades+'!$AA$8,"B",IF(D108&lt;'PlayerGrades+'!$AA$7,"B+",IF(D108&lt;'PlayerGrades+'!$AA$6,"A-",IF(D108&lt;'PlayerGrades+'!$AA$5,"A",IF(D108&lt;'PlayerGrades+'!$AA$4,"A+",IF(D108&lt;'PlayerGrades+'!$AA$3,"S-",IF(D108&lt;'PlayerGrades+'!$AA$2,"S","S+"))))))))))))))))))))</f>
        <v>#DIV/0!</v>
      </c>
      <c r="F108" s="961" t="str">
        <f t="shared" si="2"/>
        <v>#DIV/0!</v>
      </c>
      <c r="G108" s="961" t="str">
        <f>IF(F108&lt;'PlayerGrades+'!$AB$21,"F-",IF(F108&lt;'PlayerGrades+'!$AB$20,"F",IF(F108&lt;'PlayerGrades+'!$AB$19,"F+",IF(F108&lt;'PlayerGrades+'!$AB$18,"E-",IF(F108&lt;'PlayerGrades+'!$AB$17,"E",IF(F108&lt;'PlayerGrades+'!$AB$16,"E+",IF(F108&lt;'PlayerGrades+'!$AB$15,"D-",IF(F108&lt;'PlayerGrades+'!$AB$14,"D",IF(F108&lt;'PlayerGrades+'!$AB$13,"D+",IF(F108&lt;'PlayerGrades+'!$AB$12,"C-",IF(F108&lt;'PlayerGrades+'!$AB$11,"C",IF(F108&lt;'PlayerGrades+'!$AB$10,"C+",IF(F108&lt;'PlayerGrades+'!$AB$9,"B-",IF(F108&lt;'PlayerGrades+'!$AB$8,"B",IF(F108&lt;'PlayerGrades+'!$AB$7,"B+",IF(F108&lt;'PlayerGrades+'!$AB$6,"A-",IF(F108&lt;'PlayerGrades+'!$AB$5,"A",IF(F108&lt;'PlayerGrades+'!$AB$4,"A+",IF(F108&lt;'PlayerGrades+'!$AB$3,"S-",IF(F108&lt;'PlayerGrades+'!$AB$2,"S","S+"))))))))))))))))))))</f>
        <v>#DIV/0!</v>
      </c>
      <c r="H108" s="961" t="str">
        <f t="shared" si="3"/>
        <v>#DIV/0!</v>
      </c>
      <c r="I108" s="961" t="str">
        <f>IF(H108&lt;'PlayerGrades+'!$AC$21,"F-",IF(H108&lt;'PlayerGrades+'!$AC$20,"F",IF(H108&lt;'PlayerGrades+'!$AC$19,"F+",IF(H108&lt;'PlayerGrades+'!$AC$18,"E-",IF(H108&lt;'PlayerGrades+'!$AC$17,"E",IF(H108&lt;'PlayerGrades+'!$AC$16,"E+",IF(H108&lt;'PlayerGrades+'!$AC$15,"D-",IF(H108&lt;'PlayerGrades+'!$AC$14,"D",IF(H108&lt;'PlayerGrades+'!$AC$13,"D+",IF(H108&lt;'PlayerGrades+'!$AC$12,"C-",IF(H108&lt;'PlayerGrades+'!$AC$11,"C",IF(H108&lt;'PlayerGrades+'!$AC$10,"C+",IF(H108&lt;'PlayerGrades+'!$AC$9,"B-",IF(H108&lt;'PlayerGrades+'!$AC$8,"B",IF(H108&lt;'PlayerGrades+'!$AC$7,"B+",IF(H108&lt;'PlayerGrades+'!$AC$6,"A-",IF(H108&lt;'PlayerGrades+'!$AC$5,"A",IF(H108&lt;'PlayerGrades+'!$AC$4,"A+",IF(H108&lt;'PlayerGrades+'!$AC$3,"S-",IF(H108&lt;'PlayerGrades+'!$AC$2,"S","S+"))))))))))))))))))))</f>
        <v>#DIV/0!</v>
      </c>
      <c r="J108" s="961" t="str">
        <f t="shared" si="4"/>
        <v>#DIV/0!</v>
      </c>
      <c r="K108" s="961" t="str">
        <f>IF(J108&lt;'PlayerGrades+'!$AD$21,"F-",IF(J108&lt;'PlayerGrades+'!$AD$20,"F",IF(J108&lt;'PlayerGrades+'!$AD$19,"F+",IF(J108&lt;'PlayerGrades+'!$AD$18,"E-",IF(J108&lt;'PlayerGrades+'!$AD$17,"E",IF(J108&lt;'PlayerGrades+'!$AD$16,"E+",IF(J108&lt;'PlayerGrades+'!$AD$15,"D-",IF(J108&lt;'PlayerGrades+'!$AD$14,"D",IF(J108&lt;'PlayerGrades+'!$AD$13,"D+",IF(J108&lt;'PlayerGrades+'!$AD$12,"C-",IF(J108&lt;'PlayerGrades+'!$AD$11,"C",IF(J108&lt;'PlayerGrades+'!$AD$10,"C+",IF(J108&lt;'PlayerGrades+'!$AD$9,"B-",IF(J108&lt;'PlayerGrades+'!$AD$8,"B",IF(J108&lt;'PlayerGrades+'!$AD$7,"B+",IF(J108&lt;'PlayerGrades+'!$AD$6,"A-",IF(J108&lt;'PlayerGrades+'!$AD$5,"A",IF(J108&lt;'PlayerGrades+'!$AD$4,"A+",IF(J108&lt;'PlayerGrades+'!$AD$3,"S-",IF(J108&lt;'PlayerGrades+'!$AD$2,"S","S+"))))))))))))))))))))</f>
        <v>#DIV/0!</v>
      </c>
      <c r="L108" s="1176" t="str">
        <f t="shared" si="5"/>
        <v>#DIV/0!</v>
      </c>
      <c r="M108" s="992" t="str">
        <f>IF(L108&lt;'PlayerGrades+'!$AE$21,"F-",IF(L108&lt;'PlayerGrades+'!$AE$20,"F",IF(L108&lt;'PlayerGrades+'!$AE$19,"F+",IF(L108&lt;'PlayerGrades+'!$AE$18,"E-",IF(L108&lt;'PlayerGrades+'!$AE$17,"E",IF(L108&lt;'PlayerGrades+'!$AE$16,"E+",IF(L108&lt;'PlayerGrades+'!$AE$15,"D-",IF(L108&lt;'PlayerGrades+'!$AE$14,"D",IF(L108&lt;'PlayerGrades+'!$AE$13,"D+",IF(L108&lt;'PlayerGrades+'!$AE$12,"C-",IF(L108&lt;'PlayerGrades+'!$AE$11,"C",IF(L108&lt;'PlayerGrades+'!$AE$10,"C+",IF(L108&lt;'PlayerGrades+'!$AE$9,"B-",IF(L108&lt;'PlayerGrades+'!$AE$8,"B",IF(L108&lt;'PlayerGrades+'!$AE$7,"B+",IF(L108&lt;'PlayerGrades+'!$AE$6,"A-",IF(L108&lt;'PlayerGrades+'!$AE$5,"A",IF(L108&lt;'PlayerGrades+'!$AE$4,"A+",IF(L108&lt;'PlayerGrades+'!$AE$3,"S-",IF(L108&lt;'PlayerGrades+'!$AE$2,"S","S+"))))))))))))))))))))</f>
        <v>#DIV/0!</v>
      </c>
      <c r="N108" s="961" t="str">
        <f t="shared" si="6"/>
        <v>#DIV/0!</v>
      </c>
      <c r="O108" s="961" t="str">
        <f>IF(N108&lt;'PlayerGrades+'!$AF$21,"F-",IF(N108&lt;'PlayerGrades+'!$AF$20,"F",IF(N108&lt;'PlayerGrades+'!$AF$19,"F+",IF(N108&lt;'PlayerGrades+'!$AF$18,"E-",IF(N108&lt;'PlayerGrades+'!$AF$17,"E",IF(N108&lt;'PlayerGrades+'!$AF$16,"E+",IF(N108&lt;'PlayerGrades+'!$AF$15,"D-",IF(N108&lt;'PlayerGrades+'!$AF$14,"D",IF(N108&lt;'PlayerGrades+'!$AF$13,"D+",IF(N108&lt;'PlayerGrades+'!$AF$12,"C-",IF(N108&lt;'PlayerGrades+'!$AF$11,"C",IF(N108&lt;'PlayerGrades+'!$AF$10,"C+",IF(N108&lt;'PlayerGrades+'!$AF$9,"B-",IF(N108&lt;'PlayerGrades+'!$AF$8,"B",IF(N108&lt;'PlayerGrades+'!$AF$7,"B+",IF(N108&lt;'PlayerGrades+'!$AF$6,"A-",IF(N108&lt;'PlayerGrades+'!$AF$5,"A",IF(N108&lt;'PlayerGrades+'!$AF$4,"A+",IF(N108&lt;'PlayerGrades+'!$AF$3,"S-",IF(N108&lt;'PlayerGrades+'!$AF$2,"S","S+"))))))))))))))))))))</f>
        <v>#DIV/0!</v>
      </c>
      <c r="P108" s="961" t="str">
        <f t="shared" si="7"/>
        <v>#DIV/0!</v>
      </c>
      <c r="Q108" s="961" t="str">
        <f>IF(P108&lt;'PlayerGrades+'!$AG$21,"F-",IF(P108&lt;'PlayerGrades+'!$AG$20,"F",IF(P108&lt;'PlayerGrades+'!$AG$19,"F+",IF(P108&lt;'PlayerGrades+'!$AG$18,"E-",IF(P108&lt;'PlayerGrades+'!$AG$17,"E",IF(P108&lt;'PlayerGrades+'!$AG$16,"E+",IF(P108&lt;'PlayerGrades+'!$AG$15,"D-",IF(P108&lt;'PlayerGrades+'!$AG$14,"D",IF(P108&lt;'PlayerGrades+'!$AG$13,"D+",IF(P108&lt;'PlayerGrades+'!$AG$12,"C-",IF(P108&lt;'PlayerGrades+'!$AG$11,"C",IF(P108&lt;'PlayerGrades+'!$AG$10,"C+",IF(P108&lt;'PlayerGrades+'!$AG$9,"B-",IF(P108&lt;'PlayerGrades+'!$AG$8,"B",IF(P108&lt;'PlayerGrades+'!$AG$7,"B+",IF(P108&lt;'PlayerGrades+'!$AG$6,"A-",IF(P108&lt;'PlayerGrades+'!$AG$5,"A",IF(P108&lt;'PlayerGrades+'!$AG$4,"A+",IF(P108&lt;'PlayerGrades+'!$AG$3,"S-",IF(P108&lt;'PlayerGrades+'!$AG$2,"S","S+"))))))))))))))))))))</f>
        <v>#DIV/0!</v>
      </c>
      <c r="R108" s="961" t="str">
        <f t="shared" si="8"/>
        <v>#DIV/0!</v>
      </c>
      <c r="S108" s="961" t="str">
        <f>IF(R108&lt;'PlayerGrades+'!$AH$21,"F-",IF(R108&lt;'PlayerGrades+'!$AH$20,"F",IF(R108&lt;'PlayerGrades+'!$AH$19,"F+",IF(R108&lt;'PlayerGrades+'!$AH$18,"E-",IF(R108&lt;'PlayerGrades+'!$AH$17,"E",IF(R108&lt;'PlayerGrades+'!$AH$16,"E+",IF(R108&lt;'PlayerGrades+'!$AH$15,"D-",IF(R108&lt;'PlayerGrades+'!$AH$14,"D",IF(R108&lt;'PlayerGrades+'!$AH$13,"D+",IF(R108&lt;'PlayerGrades+'!$AH$12,"C-",IF(R108&lt;'PlayerGrades+'!$AH$11,"C",IF(R108&lt;'PlayerGrades+'!$AH$10,"C+",IF(R108&lt;'PlayerGrades+'!$AH$9,"B-",IF(R108&lt;'PlayerGrades+'!$AH$8,"B",IF(R108&lt;'PlayerGrades+'!$AH$7,"B+",IF(R108&lt;'PlayerGrades+'!$AH$6,"A-",IF(R108&lt;'PlayerGrades+'!$AH$5,"A",IF(R108&lt;'PlayerGrades+'!$AH$4,"A+",IF(R108&lt;'PlayerGrades+'!$AH$3,"S-",IF(R108&lt;'PlayerGrades+'!$AH$2,"S","S+"))))))))))))))))))))</f>
        <v>#DIV/0!</v>
      </c>
      <c r="T108" s="961">
        <f t="shared" si="9"/>
        <v>0</v>
      </c>
      <c r="U108" s="961" t="str">
        <f>IF(T108&lt;'PlayerGrades+'!$AI$21,"F-",IF(T108&lt;'PlayerGrades+'!$AI$20,"F",IF(T108&lt;'PlayerGrades+'!$AI$19,"F+",IF(T108&lt;'PlayerGrades+'!$AI$18,"E-",IF(T108&lt;'PlayerGrades+'!$AI$17,"E",IF(T108&lt;'PlayerGrades+'!$AI$16,"E+",IF(T108&lt;'PlayerGrades+'!$AI$15,"D-",IF(T108&lt;'PlayerGrades+'!$AI$14,"D",IF(T108&lt;'PlayerGrades+'!$AI$13,"D+",IF(T108&lt;'PlayerGrades+'!$AI$12,"C-",IF(T108&lt;'PlayerGrades+'!$AI$11,"C",IF(T108&lt;'PlayerGrades+'!$AI$10,"C+",IF(T108&lt;'PlayerGrades+'!$AI$9,"B-",IF(T108&lt;'PlayerGrades+'!$AI$8,"B",IF(T108&lt;'PlayerGrades+'!$AI$7,"B+",IF(T108&lt;'PlayerGrades+'!$AI$6,"A-",IF(T108&lt;'PlayerGrades+'!$AI$5,"A",IF(T108&lt;'PlayerGrades+'!$AI$4,"A+",IF(T108&lt;'PlayerGrades+'!$AI$3,"S-",IF(T108&lt;'PlayerGrades+'!$AI$2,"S","S+"))))))))))))))))))))</f>
        <v>F-</v>
      </c>
      <c r="AC108" s="1392"/>
    </row>
    <row r="109">
      <c r="A109" s="1391"/>
      <c r="B109" s="611" t="str">
        <f>IF(C109&lt;'PlayerGrades+'!$Y$44,"F-",IF(C109&lt;'PlayerGrades+'!$Y$43,"F",IF(C109&lt;'PlayerGrades+'!$Y$42,"F+",IF(C109&lt;'PlayerGrades+'!$Y$41,"E-",IF(C109&lt;'PlayerGrades+'!$Y$40,"E",IF(C109&lt;'PlayerGrades+'!$Y$39,"E+",IF(C109&lt;'PlayerGrades+'!$Y$38,"D-",IF(C109&lt;'PlayerGrades+'!$Y$37,"D",IF(C109&lt;'PlayerGrades+'!$Y$36,"D+",IF(C109&lt;'PlayerGrades+'!$Y$35,"C-",IF(C109&lt;'PlayerGrades+'!$Y$34,"C",IF(C109&lt;'PlayerGrades+'!$Y$33,"C+",IF(C109&lt;'PlayerGrades+'!$Y$32,"B-",IF(C109&lt;'PlayerGrades+'!$Y$31,"B",IF(C109&lt;'PlayerGrades+'!$Y$30,"B+",IF(C109&lt;'PlayerGrades+'!$Y$29,"A-",IF(C109&lt;'PlayerGrades+'!$Y$28,"A",IF(C109&lt;'PlayerGrades+'!$Y$27,"A+",IF(C109&lt;'PlayerGrades+'!$Y$26,"S-",IF(C109&lt;'PlayerGrades+'!$Y$25,"S","S+"))))))))))))))))))))</f>
        <v>#DIV/0!</v>
      </c>
      <c r="C109" s="1378" t="str">
        <f>('PlayerGrades+'!$Y$47*(VLOOKUP(E109, 'PlayerGrades+'!$X$3:$Y$23, 2, FALSE)))+('PlayerGrades+'!$Y$48*(VLOOKUP(G109, 'PlayerGrades+'!$X$3:$Y$23, 2, FALSE)))+('PlayerGrades+'!$Y$49*(VLOOKUP(I109, 'PlayerGrades+'!$X$3:$Y$23, 2, FALSE)))+('PlayerGrades+'!$Y$50*(VLOOKUP(K109, 'PlayerGrades+'!$X$3:$Y$23, 2, FALSE)))+('PlayerGrades+'!$Y$51*(VLOOKUP(M109, 'PlayerGrades+'!$X$3:$Y$23, 2, FALSE)))+('PlayerGrades+'!$Y$52*(VLOOKUP(O109, 'PlayerGrades+'!$X$3:$Y$23, 2, FALSE)))+('PlayerGrades+'!$Y$53*(VLOOKUP(Q109, 'PlayerGrades+'!$X$3:$Y$23, 2, FALSE)))+('PlayerGrades+'!$Y$54*(VLOOKUP(S109, 'PlayerGrades+'!$X$3:$Y$23, 2, FALSE)))+('PlayerGrades+'!$Y$55*(VLOOKUP(U109, 'PlayerGrades+'!$X$3:$Y$23, 2, FALSE)))</f>
        <v>#DIV/0!</v>
      </c>
      <c r="D109" s="961" t="str">
        <f t="shared" si="1"/>
        <v>#DIV/0!</v>
      </c>
      <c r="E109" s="961" t="str">
        <f>IF(D109&lt;'PlayerGrades+'!$AA$21,"F-",IF(D109&lt;'PlayerGrades+'!$AA$20,"F",IF(D109&lt;'PlayerGrades+'!$AA$19,"F+",IF(D109&lt;'PlayerGrades+'!$AA$18,"E-",IF(D109&lt;'PlayerGrades+'!$AA$17,"E",IF(D109&lt;'PlayerGrades+'!$AA$16,"E+",IF(D109&lt;'PlayerGrades+'!$AA$15,"D-",IF(D109&lt;'PlayerGrades+'!$AA$14,"D",IF(D109&lt;'PlayerGrades+'!$AA$13,"D+",IF(D109&lt;'PlayerGrades+'!$AA$12,"C-",IF(D109&lt;'PlayerGrades+'!$AA$11,"C",IF(D109&lt;'PlayerGrades+'!$AA$10,"C+",IF(D109&lt;'PlayerGrades+'!$AA$9,"B-",IF(D109&lt;'PlayerGrades+'!$AA$8,"B",IF(D109&lt;'PlayerGrades+'!$AA$7,"B+",IF(D109&lt;'PlayerGrades+'!$AA$6,"A-",IF(D109&lt;'PlayerGrades+'!$AA$5,"A",IF(D109&lt;'PlayerGrades+'!$AA$4,"A+",IF(D109&lt;'PlayerGrades+'!$AA$3,"S-",IF(D109&lt;'PlayerGrades+'!$AA$2,"S","S+"))))))))))))))))))))</f>
        <v>#DIV/0!</v>
      </c>
      <c r="F109" s="961" t="str">
        <f t="shared" si="2"/>
        <v>#DIV/0!</v>
      </c>
      <c r="G109" s="961" t="str">
        <f>IF(F109&lt;'PlayerGrades+'!$AB$21,"F-",IF(F109&lt;'PlayerGrades+'!$AB$20,"F",IF(F109&lt;'PlayerGrades+'!$AB$19,"F+",IF(F109&lt;'PlayerGrades+'!$AB$18,"E-",IF(F109&lt;'PlayerGrades+'!$AB$17,"E",IF(F109&lt;'PlayerGrades+'!$AB$16,"E+",IF(F109&lt;'PlayerGrades+'!$AB$15,"D-",IF(F109&lt;'PlayerGrades+'!$AB$14,"D",IF(F109&lt;'PlayerGrades+'!$AB$13,"D+",IF(F109&lt;'PlayerGrades+'!$AB$12,"C-",IF(F109&lt;'PlayerGrades+'!$AB$11,"C",IF(F109&lt;'PlayerGrades+'!$AB$10,"C+",IF(F109&lt;'PlayerGrades+'!$AB$9,"B-",IF(F109&lt;'PlayerGrades+'!$AB$8,"B",IF(F109&lt;'PlayerGrades+'!$AB$7,"B+",IF(F109&lt;'PlayerGrades+'!$AB$6,"A-",IF(F109&lt;'PlayerGrades+'!$AB$5,"A",IF(F109&lt;'PlayerGrades+'!$AB$4,"A+",IF(F109&lt;'PlayerGrades+'!$AB$3,"S-",IF(F109&lt;'PlayerGrades+'!$AB$2,"S","S+"))))))))))))))))))))</f>
        <v>#DIV/0!</v>
      </c>
      <c r="H109" s="961" t="str">
        <f t="shared" si="3"/>
        <v>#DIV/0!</v>
      </c>
      <c r="I109" s="961" t="str">
        <f>IF(H109&lt;'PlayerGrades+'!$AC$21,"F-",IF(H109&lt;'PlayerGrades+'!$AC$20,"F",IF(H109&lt;'PlayerGrades+'!$AC$19,"F+",IF(H109&lt;'PlayerGrades+'!$AC$18,"E-",IF(H109&lt;'PlayerGrades+'!$AC$17,"E",IF(H109&lt;'PlayerGrades+'!$AC$16,"E+",IF(H109&lt;'PlayerGrades+'!$AC$15,"D-",IF(H109&lt;'PlayerGrades+'!$AC$14,"D",IF(H109&lt;'PlayerGrades+'!$AC$13,"D+",IF(H109&lt;'PlayerGrades+'!$AC$12,"C-",IF(H109&lt;'PlayerGrades+'!$AC$11,"C",IF(H109&lt;'PlayerGrades+'!$AC$10,"C+",IF(H109&lt;'PlayerGrades+'!$AC$9,"B-",IF(H109&lt;'PlayerGrades+'!$AC$8,"B",IF(H109&lt;'PlayerGrades+'!$AC$7,"B+",IF(H109&lt;'PlayerGrades+'!$AC$6,"A-",IF(H109&lt;'PlayerGrades+'!$AC$5,"A",IF(H109&lt;'PlayerGrades+'!$AC$4,"A+",IF(H109&lt;'PlayerGrades+'!$AC$3,"S-",IF(H109&lt;'PlayerGrades+'!$AC$2,"S","S+"))))))))))))))))))))</f>
        <v>#DIV/0!</v>
      </c>
      <c r="J109" s="961" t="str">
        <f t="shared" si="4"/>
        <v>#DIV/0!</v>
      </c>
      <c r="K109" s="961" t="str">
        <f>IF(J109&lt;'PlayerGrades+'!$AD$21,"F-",IF(J109&lt;'PlayerGrades+'!$AD$20,"F",IF(J109&lt;'PlayerGrades+'!$AD$19,"F+",IF(J109&lt;'PlayerGrades+'!$AD$18,"E-",IF(J109&lt;'PlayerGrades+'!$AD$17,"E",IF(J109&lt;'PlayerGrades+'!$AD$16,"E+",IF(J109&lt;'PlayerGrades+'!$AD$15,"D-",IF(J109&lt;'PlayerGrades+'!$AD$14,"D",IF(J109&lt;'PlayerGrades+'!$AD$13,"D+",IF(J109&lt;'PlayerGrades+'!$AD$12,"C-",IF(J109&lt;'PlayerGrades+'!$AD$11,"C",IF(J109&lt;'PlayerGrades+'!$AD$10,"C+",IF(J109&lt;'PlayerGrades+'!$AD$9,"B-",IF(J109&lt;'PlayerGrades+'!$AD$8,"B",IF(J109&lt;'PlayerGrades+'!$AD$7,"B+",IF(J109&lt;'PlayerGrades+'!$AD$6,"A-",IF(J109&lt;'PlayerGrades+'!$AD$5,"A",IF(J109&lt;'PlayerGrades+'!$AD$4,"A+",IF(J109&lt;'PlayerGrades+'!$AD$3,"S-",IF(J109&lt;'PlayerGrades+'!$AD$2,"S","S+"))))))))))))))))))))</f>
        <v>#DIV/0!</v>
      </c>
      <c r="L109" s="1176" t="str">
        <f t="shared" si="5"/>
        <v>#DIV/0!</v>
      </c>
      <c r="M109" s="992" t="str">
        <f>IF(L109&lt;'PlayerGrades+'!$AE$21,"F-",IF(L109&lt;'PlayerGrades+'!$AE$20,"F",IF(L109&lt;'PlayerGrades+'!$AE$19,"F+",IF(L109&lt;'PlayerGrades+'!$AE$18,"E-",IF(L109&lt;'PlayerGrades+'!$AE$17,"E",IF(L109&lt;'PlayerGrades+'!$AE$16,"E+",IF(L109&lt;'PlayerGrades+'!$AE$15,"D-",IF(L109&lt;'PlayerGrades+'!$AE$14,"D",IF(L109&lt;'PlayerGrades+'!$AE$13,"D+",IF(L109&lt;'PlayerGrades+'!$AE$12,"C-",IF(L109&lt;'PlayerGrades+'!$AE$11,"C",IF(L109&lt;'PlayerGrades+'!$AE$10,"C+",IF(L109&lt;'PlayerGrades+'!$AE$9,"B-",IF(L109&lt;'PlayerGrades+'!$AE$8,"B",IF(L109&lt;'PlayerGrades+'!$AE$7,"B+",IF(L109&lt;'PlayerGrades+'!$AE$6,"A-",IF(L109&lt;'PlayerGrades+'!$AE$5,"A",IF(L109&lt;'PlayerGrades+'!$AE$4,"A+",IF(L109&lt;'PlayerGrades+'!$AE$3,"S-",IF(L109&lt;'PlayerGrades+'!$AE$2,"S","S+"))))))))))))))))))))</f>
        <v>#DIV/0!</v>
      </c>
      <c r="N109" s="961" t="str">
        <f t="shared" si="6"/>
        <v>#DIV/0!</v>
      </c>
      <c r="O109" s="961" t="str">
        <f>IF(N109&lt;'PlayerGrades+'!$AF$21,"F-",IF(N109&lt;'PlayerGrades+'!$AF$20,"F",IF(N109&lt;'PlayerGrades+'!$AF$19,"F+",IF(N109&lt;'PlayerGrades+'!$AF$18,"E-",IF(N109&lt;'PlayerGrades+'!$AF$17,"E",IF(N109&lt;'PlayerGrades+'!$AF$16,"E+",IF(N109&lt;'PlayerGrades+'!$AF$15,"D-",IF(N109&lt;'PlayerGrades+'!$AF$14,"D",IF(N109&lt;'PlayerGrades+'!$AF$13,"D+",IF(N109&lt;'PlayerGrades+'!$AF$12,"C-",IF(N109&lt;'PlayerGrades+'!$AF$11,"C",IF(N109&lt;'PlayerGrades+'!$AF$10,"C+",IF(N109&lt;'PlayerGrades+'!$AF$9,"B-",IF(N109&lt;'PlayerGrades+'!$AF$8,"B",IF(N109&lt;'PlayerGrades+'!$AF$7,"B+",IF(N109&lt;'PlayerGrades+'!$AF$6,"A-",IF(N109&lt;'PlayerGrades+'!$AF$5,"A",IF(N109&lt;'PlayerGrades+'!$AF$4,"A+",IF(N109&lt;'PlayerGrades+'!$AF$3,"S-",IF(N109&lt;'PlayerGrades+'!$AF$2,"S","S+"))))))))))))))))))))</f>
        <v>#DIV/0!</v>
      </c>
      <c r="P109" s="961" t="str">
        <f t="shared" si="7"/>
        <v>#DIV/0!</v>
      </c>
      <c r="Q109" s="961" t="str">
        <f>IF(P109&lt;'PlayerGrades+'!$AG$21,"F-",IF(P109&lt;'PlayerGrades+'!$AG$20,"F",IF(P109&lt;'PlayerGrades+'!$AG$19,"F+",IF(P109&lt;'PlayerGrades+'!$AG$18,"E-",IF(P109&lt;'PlayerGrades+'!$AG$17,"E",IF(P109&lt;'PlayerGrades+'!$AG$16,"E+",IF(P109&lt;'PlayerGrades+'!$AG$15,"D-",IF(P109&lt;'PlayerGrades+'!$AG$14,"D",IF(P109&lt;'PlayerGrades+'!$AG$13,"D+",IF(P109&lt;'PlayerGrades+'!$AG$12,"C-",IF(P109&lt;'PlayerGrades+'!$AG$11,"C",IF(P109&lt;'PlayerGrades+'!$AG$10,"C+",IF(P109&lt;'PlayerGrades+'!$AG$9,"B-",IF(P109&lt;'PlayerGrades+'!$AG$8,"B",IF(P109&lt;'PlayerGrades+'!$AG$7,"B+",IF(P109&lt;'PlayerGrades+'!$AG$6,"A-",IF(P109&lt;'PlayerGrades+'!$AG$5,"A",IF(P109&lt;'PlayerGrades+'!$AG$4,"A+",IF(P109&lt;'PlayerGrades+'!$AG$3,"S-",IF(P109&lt;'PlayerGrades+'!$AG$2,"S","S+"))))))))))))))))))))</f>
        <v>#DIV/0!</v>
      </c>
      <c r="R109" s="961" t="str">
        <f t="shared" si="8"/>
        <v>#DIV/0!</v>
      </c>
      <c r="S109" s="961" t="str">
        <f>IF(R109&lt;'PlayerGrades+'!$AH$21,"F-",IF(R109&lt;'PlayerGrades+'!$AH$20,"F",IF(R109&lt;'PlayerGrades+'!$AH$19,"F+",IF(R109&lt;'PlayerGrades+'!$AH$18,"E-",IF(R109&lt;'PlayerGrades+'!$AH$17,"E",IF(R109&lt;'PlayerGrades+'!$AH$16,"E+",IF(R109&lt;'PlayerGrades+'!$AH$15,"D-",IF(R109&lt;'PlayerGrades+'!$AH$14,"D",IF(R109&lt;'PlayerGrades+'!$AH$13,"D+",IF(R109&lt;'PlayerGrades+'!$AH$12,"C-",IF(R109&lt;'PlayerGrades+'!$AH$11,"C",IF(R109&lt;'PlayerGrades+'!$AH$10,"C+",IF(R109&lt;'PlayerGrades+'!$AH$9,"B-",IF(R109&lt;'PlayerGrades+'!$AH$8,"B",IF(R109&lt;'PlayerGrades+'!$AH$7,"B+",IF(R109&lt;'PlayerGrades+'!$AH$6,"A-",IF(R109&lt;'PlayerGrades+'!$AH$5,"A",IF(R109&lt;'PlayerGrades+'!$AH$4,"A+",IF(R109&lt;'PlayerGrades+'!$AH$3,"S-",IF(R109&lt;'PlayerGrades+'!$AH$2,"S","S+"))))))))))))))))))))</f>
        <v>#DIV/0!</v>
      </c>
      <c r="T109" s="961">
        <f t="shared" si="9"/>
        <v>0</v>
      </c>
      <c r="U109" s="961" t="str">
        <f>IF(T109&lt;'PlayerGrades+'!$AI$21,"F-",IF(T109&lt;'PlayerGrades+'!$AI$20,"F",IF(T109&lt;'PlayerGrades+'!$AI$19,"F+",IF(T109&lt;'PlayerGrades+'!$AI$18,"E-",IF(T109&lt;'PlayerGrades+'!$AI$17,"E",IF(T109&lt;'PlayerGrades+'!$AI$16,"E+",IF(T109&lt;'PlayerGrades+'!$AI$15,"D-",IF(T109&lt;'PlayerGrades+'!$AI$14,"D",IF(T109&lt;'PlayerGrades+'!$AI$13,"D+",IF(T109&lt;'PlayerGrades+'!$AI$12,"C-",IF(T109&lt;'PlayerGrades+'!$AI$11,"C",IF(T109&lt;'PlayerGrades+'!$AI$10,"C+",IF(T109&lt;'PlayerGrades+'!$AI$9,"B-",IF(T109&lt;'PlayerGrades+'!$AI$8,"B",IF(T109&lt;'PlayerGrades+'!$AI$7,"B+",IF(T109&lt;'PlayerGrades+'!$AI$6,"A-",IF(T109&lt;'PlayerGrades+'!$AI$5,"A",IF(T109&lt;'PlayerGrades+'!$AI$4,"A+",IF(T109&lt;'PlayerGrades+'!$AI$3,"S-",IF(T109&lt;'PlayerGrades+'!$AI$2,"S","S+"))))))))))))))))))))</f>
        <v>F-</v>
      </c>
      <c r="AC109" s="1392"/>
    </row>
    <row r="110">
      <c r="A110" s="1391"/>
      <c r="B110" s="611" t="str">
        <f>IF(C110&lt;'PlayerGrades+'!$Y$44,"F-",IF(C110&lt;'PlayerGrades+'!$Y$43,"F",IF(C110&lt;'PlayerGrades+'!$Y$42,"F+",IF(C110&lt;'PlayerGrades+'!$Y$41,"E-",IF(C110&lt;'PlayerGrades+'!$Y$40,"E",IF(C110&lt;'PlayerGrades+'!$Y$39,"E+",IF(C110&lt;'PlayerGrades+'!$Y$38,"D-",IF(C110&lt;'PlayerGrades+'!$Y$37,"D",IF(C110&lt;'PlayerGrades+'!$Y$36,"D+",IF(C110&lt;'PlayerGrades+'!$Y$35,"C-",IF(C110&lt;'PlayerGrades+'!$Y$34,"C",IF(C110&lt;'PlayerGrades+'!$Y$33,"C+",IF(C110&lt;'PlayerGrades+'!$Y$32,"B-",IF(C110&lt;'PlayerGrades+'!$Y$31,"B",IF(C110&lt;'PlayerGrades+'!$Y$30,"B+",IF(C110&lt;'PlayerGrades+'!$Y$29,"A-",IF(C110&lt;'PlayerGrades+'!$Y$28,"A",IF(C110&lt;'PlayerGrades+'!$Y$27,"A+",IF(C110&lt;'PlayerGrades+'!$Y$26,"S-",IF(C110&lt;'PlayerGrades+'!$Y$25,"S","S+"))))))))))))))))))))</f>
        <v>#DIV/0!</v>
      </c>
      <c r="C110" s="1378" t="str">
        <f>('PlayerGrades+'!$Y$47*(VLOOKUP(E110, 'PlayerGrades+'!$X$3:$Y$23, 2, FALSE)))+('PlayerGrades+'!$Y$48*(VLOOKUP(G110, 'PlayerGrades+'!$X$3:$Y$23, 2, FALSE)))+('PlayerGrades+'!$Y$49*(VLOOKUP(I110, 'PlayerGrades+'!$X$3:$Y$23, 2, FALSE)))+('PlayerGrades+'!$Y$50*(VLOOKUP(K110, 'PlayerGrades+'!$X$3:$Y$23, 2, FALSE)))+('PlayerGrades+'!$Y$51*(VLOOKUP(M110, 'PlayerGrades+'!$X$3:$Y$23, 2, FALSE)))+('PlayerGrades+'!$Y$52*(VLOOKUP(O110, 'PlayerGrades+'!$X$3:$Y$23, 2, FALSE)))+('PlayerGrades+'!$Y$53*(VLOOKUP(Q110, 'PlayerGrades+'!$X$3:$Y$23, 2, FALSE)))+('PlayerGrades+'!$Y$54*(VLOOKUP(S110, 'PlayerGrades+'!$X$3:$Y$23, 2, FALSE)))+('PlayerGrades+'!$Y$55*(VLOOKUP(U110, 'PlayerGrades+'!$X$3:$Y$23, 2, FALSE)))</f>
        <v>#DIV/0!</v>
      </c>
      <c r="D110" s="961" t="str">
        <f t="shared" si="1"/>
        <v>#DIV/0!</v>
      </c>
      <c r="E110" s="961" t="str">
        <f>IF(D110&lt;'PlayerGrades+'!$AA$21,"F-",IF(D110&lt;'PlayerGrades+'!$AA$20,"F",IF(D110&lt;'PlayerGrades+'!$AA$19,"F+",IF(D110&lt;'PlayerGrades+'!$AA$18,"E-",IF(D110&lt;'PlayerGrades+'!$AA$17,"E",IF(D110&lt;'PlayerGrades+'!$AA$16,"E+",IF(D110&lt;'PlayerGrades+'!$AA$15,"D-",IF(D110&lt;'PlayerGrades+'!$AA$14,"D",IF(D110&lt;'PlayerGrades+'!$AA$13,"D+",IF(D110&lt;'PlayerGrades+'!$AA$12,"C-",IF(D110&lt;'PlayerGrades+'!$AA$11,"C",IF(D110&lt;'PlayerGrades+'!$AA$10,"C+",IF(D110&lt;'PlayerGrades+'!$AA$9,"B-",IF(D110&lt;'PlayerGrades+'!$AA$8,"B",IF(D110&lt;'PlayerGrades+'!$AA$7,"B+",IF(D110&lt;'PlayerGrades+'!$AA$6,"A-",IF(D110&lt;'PlayerGrades+'!$AA$5,"A",IF(D110&lt;'PlayerGrades+'!$AA$4,"A+",IF(D110&lt;'PlayerGrades+'!$AA$3,"S-",IF(D110&lt;'PlayerGrades+'!$AA$2,"S","S+"))))))))))))))))))))</f>
        <v>#DIV/0!</v>
      </c>
      <c r="F110" s="961" t="str">
        <f t="shared" si="2"/>
        <v>#DIV/0!</v>
      </c>
      <c r="G110" s="961" t="str">
        <f>IF(F110&lt;'PlayerGrades+'!$AB$21,"F-",IF(F110&lt;'PlayerGrades+'!$AB$20,"F",IF(F110&lt;'PlayerGrades+'!$AB$19,"F+",IF(F110&lt;'PlayerGrades+'!$AB$18,"E-",IF(F110&lt;'PlayerGrades+'!$AB$17,"E",IF(F110&lt;'PlayerGrades+'!$AB$16,"E+",IF(F110&lt;'PlayerGrades+'!$AB$15,"D-",IF(F110&lt;'PlayerGrades+'!$AB$14,"D",IF(F110&lt;'PlayerGrades+'!$AB$13,"D+",IF(F110&lt;'PlayerGrades+'!$AB$12,"C-",IF(F110&lt;'PlayerGrades+'!$AB$11,"C",IF(F110&lt;'PlayerGrades+'!$AB$10,"C+",IF(F110&lt;'PlayerGrades+'!$AB$9,"B-",IF(F110&lt;'PlayerGrades+'!$AB$8,"B",IF(F110&lt;'PlayerGrades+'!$AB$7,"B+",IF(F110&lt;'PlayerGrades+'!$AB$6,"A-",IF(F110&lt;'PlayerGrades+'!$AB$5,"A",IF(F110&lt;'PlayerGrades+'!$AB$4,"A+",IF(F110&lt;'PlayerGrades+'!$AB$3,"S-",IF(F110&lt;'PlayerGrades+'!$AB$2,"S","S+"))))))))))))))))))))</f>
        <v>#DIV/0!</v>
      </c>
      <c r="H110" s="961" t="str">
        <f t="shared" si="3"/>
        <v>#DIV/0!</v>
      </c>
      <c r="I110" s="961" t="str">
        <f>IF(H110&lt;'PlayerGrades+'!$AC$21,"F-",IF(H110&lt;'PlayerGrades+'!$AC$20,"F",IF(H110&lt;'PlayerGrades+'!$AC$19,"F+",IF(H110&lt;'PlayerGrades+'!$AC$18,"E-",IF(H110&lt;'PlayerGrades+'!$AC$17,"E",IF(H110&lt;'PlayerGrades+'!$AC$16,"E+",IF(H110&lt;'PlayerGrades+'!$AC$15,"D-",IF(H110&lt;'PlayerGrades+'!$AC$14,"D",IF(H110&lt;'PlayerGrades+'!$AC$13,"D+",IF(H110&lt;'PlayerGrades+'!$AC$12,"C-",IF(H110&lt;'PlayerGrades+'!$AC$11,"C",IF(H110&lt;'PlayerGrades+'!$AC$10,"C+",IF(H110&lt;'PlayerGrades+'!$AC$9,"B-",IF(H110&lt;'PlayerGrades+'!$AC$8,"B",IF(H110&lt;'PlayerGrades+'!$AC$7,"B+",IF(H110&lt;'PlayerGrades+'!$AC$6,"A-",IF(H110&lt;'PlayerGrades+'!$AC$5,"A",IF(H110&lt;'PlayerGrades+'!$AC$4,"A+",IF(H110&lt;'PlayerGrades+'!$AC$3,"S-",IF(H110&lt;'PlayerGrades+'!$AC$2,"S","S+"))))))))))))))))))))</f>
        <v>#DIV/0!</v>
      </c>
      <c r="J110" s="961" t="str">
        <f t="shared" si="4"/>
        <v>#DIV/0!</v>
      </c>
      <c r="K110" s="961" t="str">
        <f>IF(J110&lt;'PlayerGrades+'!$AD$21,"F-",IF(J110&lt;'PlayerGrades+'!$AD$20,"F",IF(J110&lt;'PlayerGrades+'!$AD$19,"F+",IF(J110&lt;'PlayerGrades+'!$AD$18,"E-",IF(J110&lt;'PlayerGrades+'!$AD$17,"E",IF(J110&lt;'PlayerGrades+'!$AD$16,"E+",IF(J110&lt;'PlayerGrades+'!$AD$15,"D-",IF(J110&lt;'PlayerGrades+'!$AD$14,"D",IF(J110&lt;'PlayerGrades+'!$AD$13,"D+",IF(J110&lt;'PlayerGrades+'!$AD$12,"C-",IF(J110&lt;'PlayerGrades+'!$AD$11,"C",IF(J110&lt;'PlayerGrades+'!$AD$10,"C+",IF(J110&lt;'PlayerGrades+'!$AD$9,"B-",IF(J110&lt;'PlayerGrades+'!$AD$8,"B",IF(J110&lt;'PlayerGrades+'!$AD$7,"B+",IF(J110&lt;'PlayerGrades+'!$AD$6,"A-",IF(J110&lt;'PlayerGrades+'!$AD$5,"A",IF(J110&lt;'PlayerGrades+'!$AD$4,"A+",IF(J110&lt;'PlayerGrades+'!$AD$3,"S-",IF(J110&lt;'PlayerGrades+'!$AD$2,"S","S+"))))))))))))))))))))</f>
        <v>#DIV/0!</v>
      </c>
      <c r="L110" s="1176" t="str">
        <f t="shared" si="5"/>
        <v>#DIV/0!</v>
      </c>
      <c r="M110" s="992" t="str">
        <f>IF(L110&lt;'PlayerGrades+'!$AE$21,"F-",IF(L110&lt;'PlayerGrades+'!$AE$20,"F",IF(L110&lt;'PlayerGrades+'!$AE$19,"F+",IF(L110&lt;'PlayerGrades+'!$AE$18,"E-",IF(L110&lt;'PlayerGrades+'!$AE$17,"E",IF(L110&lt;'PlayerGrades+'!$AE$16,"E+",IF(L110&lt;'PlayerGrades+'!$AE$15,"D-",IF(L110&lt;'PlayerGrades+'!$AE$14,"D",IF(L110&lt;'PlayerGrades+'!$AE$13,"D+",IF(L110&lt;'PlayerGrades+'!$AE$12,"C-",IF(L110&lt;'PlayerGrades+'!$AE$11,"C",IF(L110&lt;'PlayerGrades+'!$AE$10,"C+",IF(L110&lt;'PlayerGrades+'!$AE$9,"B-",IF(L110&lt;'PlayerGrades+'!$AE$8,"B",IF(L110&lt;'PlayerGrades+'!$AE$7,"B+",IF(L110&lt;'PlayerGrades+'!$AE$6,"A-",IF(L110&lt;'PlayerGrades+'!$AE$5,"A",IF(L110&lt;'PlayerGrades+'!$AE$4,"A+",IF(L110&lt;'PlayerGrades+'!$AE$3,"S-",IF(L110&lt;'PlayerGrades+'!$AE$2,"S","S+"))))))))))))))))))))</f>
        <v>#DIV/0!</v>
      </c>
      <c r="N110" s="961" t="str">
        <f t="shared" si="6"/>
        <v>#DIV/0!</v>
      </c>
      <c r="O110" s="961" t="str">
        <f>IF(N110&lt;'PlayerGrades+'!$AF$21,"F-",IF(N110&lt;'PlayerGrades+'!$AF$20,"F",IF(N110&lt;'PlayerGrades+'!$AF$19,"F+",IF(N110&lt;'PlayerGrades+'!$AF$18,"E-",IF(N110&lt;'PlayerGrades+'!$AF$17,"E",IF(N110&lt;'PlayerGrades+'!$AF$16,"E+",IF(N110&lt;'PlayerGrades+'!$AF$15,"D-",IF(N110&lt;'PlayerGrades+'!$AF$14,"D",IF(N110&lt;'PlayerGrades+'!$AF$13,"D+",IF(N110&lt;'PlayerGrades+'!$AF$12,"C-",IF(N110&lt;'PlayerGrades+'!$AF$11,"C",IF(N110&lt;'PlayerGrades+'!$AF$10,"C+",IF(N110&lt;'PlayerGrades+'!$AF$9,"B-",IF(N110&lt;'PlayerGrades+'!$AF$8,"B",IF(N110&lt;'PlayerGrades+'!$AF$7,"B+",IF(N110&lt;'PlayerGrades+'!$AF$6,"A-",IF(N110&lt;'PlayerGrades+'!$AF$5,"A",IF(N110&lt;'PlayerGrades+'!$AF$4,"A+",IF(N110&lt;'PlayerGrades+'!$AF$3,"S-",IF(N110&lt;'PlayerGrades+'!$AF$2,"S","S+"))))))))))))))))))))</f>
        <v>#DIV/0!</v>
      </c>
      <c r="P110" s="961" t="str">
        <f t="shared" si="7"/>
        <v>#DIV/0!</v>
      </c>
      <c r="Q110" s="961" t="str">
        <f>IF(P110&lt;'PlayerGrades+'!$AG$21,"F-",IF(P110&lt;'PlayerGrades+'!$AG$20,"F",IF(P110&lt;'PlayerGrades+'!$AG$19,"F+",IF(P110&lt;'PlayerGrades+'!$AG$18,"E-",IF(P110&lt;'PlayerGrades+'!$AG$17,"E",IF(P110&lt;'PlayerGrades+'!$AG$16,"E+",IF(P110&lt;'PlayerGrades+'!$AG$15,"D-",IF(P110&lt;'PlayerGrades+'!$AG$14,"D",IF(P110&lt;'PlayerGrades+'!$AG$13,"D+",IF(P110&lt;'PlayerGrades+'!$AG$12,"C-",IF(P110&lt;'PlayerGrades+'!$AG$11,"C",IF(P110&lt;'PlayerGrades+'!$AG$10,"C+",IF(P110&lt;'PlayerGrades+'!$AG$9,"B-",IF(P110&lt;'PlayerGrades+'!$AG$8,"B",IF(P110&lt;'PlayerGrades+'!$AG$7,"B+",IF(P110&lt;'PlayerGrades+'!$AG$6,"A-",IF(P110&lt;'PlayerGrades+'!$AG$5,"A",IF(P110&lt;'PlayerGrades+'!$AG$4,"A+",IF(P110&lt;'PlayerGrades+'!$AG$3,"S-",IF(P110&lt;'PlayerGrades+'!$AG$2,"S","S+"))))))))))))))))))))</f>
        <v>#DIV/0!</v>
      </c>
      <c r="R110" s="961" t="str">
        <f t="shared" si="8"/>
        <v>#DIV/0!</v>
      </c>
      <c r="S110" s="961" t="str">
        <f>IF(R110&lt;'PlayerGrades+'!$AH$21,"F-",IF(R110&lt;'PlayerGrades+'!$AH$20,"F",IF(R110&lt;'PlayerGrades+'!$AH$19,"F+",IF(R110&lt;'PlayerGrades+'!$AH$18,"E-",IF(R110&lt;'PlayerGrades+'!$AH$17,"E",IF(R110&lt;'PlayerGrades+'!$AH$16,"E+",IF(R110&lt;'PlayerGrades+'!$AH$15,"D-",IF(R110&lt;'PlayerGrades+'!$AH$14,"D",IF(R110&lt;'PlayerGrades+'!$AH$13,"D+",IF(R110&lt;'PlayerGrades+'!$AH$12,"C-",IF(R110&lt;'PlayerGrades+'!$AH$11,"C",IF(R110&lt;'PlayerGrades+'!$AH$10,"C+",IF(R110&lt;'PlayerGrades+'!$AH$9,"B-",IF(R110&lt;'PlayerGrades+'!$AH$8,"B",IF(R110&lt;'PlayerGrades+'!$AH$7,"B+",IF(R110&lt;'PlayerGrades+'!$AH$6,"A-",IF(R110&lt;'PlayerGrades+'!$AH$5,"A",IF(R110&lt;'PlayerGrades+'!$AH$4,"A+",IF(R110&lt;'PlayerGrades+'!$AH$3,"S-",IF(R110&lt;'PlayerGrades+'!$AH$2,"S","S+"))))))))))))))))))))</f>
        <v>#DIV/0!</v>
      </c>
      <c r="T110" s="961">
        <f t="shared" si="9"/>
        <v>0</v>
      </c>
      <c r="U110" s="961" t="str">
        <f>IF(T110&lt;'PlayerGrades+'!$AI$21,"F-",IF(T110&lt;'PlayerGrades+'!$AI$20,"F",IF(T110&lt;'PlayerGrades+'!$AI$19,"F+",IF(T110&lt;'PlayerGrades+'!$AI$18,"E-",IF(T110&lt;'PlayerGrades+'!$AI$17,"E",IF(T110&lt;'PlayerGrades+'!$AI$16,"E+",IF(T110&lt;'PlayerGrades+'!$AI$15,"D-",IF(T110&lt;'PlayerGrades+'!$AI$14,"D",IF(T110&lt;'PlayerGrades+'!$AI$13,"D+",IF(T110&lt;'PlayerGrades+'!$AI$12,"C-",IF(T110&lt;'PlayerGrades+'!$AI$11,"C",IF(T110&lt;'PlayerGrades+'!$AI$10,"C+",IF(T110&lt;'PlayerGrades+'!$AI$9,"B-",IF(T110&lt;'PlayerGrades+'!$AI$8,"B",IF(T110&lt;'PlayerGrades+'!$AI$7,"B+",IF(T110&lt;'PlayerGrades+'!$AI$6,"A-",IF(T110&lt;'PlayerGrades+'!$AI$5,"A",IF(T110&lt;'PlayerGrades+'!$AI$4,"A+",IF(T110&lt;'PlayerGrades+'!$AI$3,"S-",IF(T110&lt;'PlayerGrades+'!$AI$2,"S","S+"))))))))))))))))))))</f>
        <v>F-</v>
      </c>
      <c r="AC110" s="1392"/>
    </row>
    <row r="111">
      <c r="A111" s="1391"/>
      <c r="B111" s="611" t="str">
        <f>IF(C111&lt;'PlayerGrades+'!$Y$44,"F-",IF(C111&lt;'PlayerGrades+'!$Y$43,"F",IF(C111&lt;'PlayerGrades+'!$Y$42,"F+",IF(C111&lt;'PlayerGrades+'!$Y$41,"E-",IF(C111&lt;'PlayerGrades+'!$Y$40,"E",IF(C111&lt;'PlayerGrades+'!$Y$39,"E+",IF(C111&lt;'PlayerGrades+'!$Y$38,"D-",IF(C111&lt;'PlayerGrades+'!$Y$37,"D",IF(C111&lt;'PlayerGrades+'!$Y$36,"D+",IF(C111&lt;'PlayerGrades+'!$Y$35,"C-",IF(C111&lt;'PlayerGrades+'!$Y$34,"C",IF(C111&lt;'PlayerGrades+'!$Y$33,"C+",IF(C111&lt;'PlayerGrades+'!$Y$32,"B-",IF(C111&lt;'PlayerGrades+'!$Y$31,"B",IF(C111&lt;'PlayerGrades+'!$Y$30,"B+",IF(C111&lt;'PlayerGrades+'!$Y$29,"A-",IF(C111&lt;'PlayerGrades+'!$Y$28,"A",IF(C111&lt;'PlayerGrades+'!$Y$27,"A+",IF(C111&lt;'PlayerGrades+'!$Y$26,"S-",IF(C111&lt;'PlayerGrades+'!$Y$25,"S","S+"))))))))))))))))))))</f>
        <v>#DIV/0!</v>
      </c>
      <c r="C111" s="1378" t="str">
        <f>('PlayerGrades+'!$Y$47*(VLOOKUP(E111, 'PlayerGrades+'!$X$3:$Y$23, 2, FALSE)))+('PlayerGrades+'!$Y$48*(VLOOKUP(G111, 'PlayerGrades+'!$X$3:$Y$23, 2, FALSE)))+('PlayerGrades+'!$Y$49*(VLOOKUP(I111, 'PlayerGrades+'!$X$3:$Y$23, 2, FALSE)))+('PlayerGrades+'!$Y$50*(VLOOKUP(K111, 'PlayerGrades+'!$X$3:$Y$23, 2, FALSE)))+('PlayerGrades+'!$Y$51*(VLOOKUP(M111, 'PlayerGrades+'!$X$3:$Y$23, 2, FALSE)))+('PlayerGrades+'!$Y$52*(VLOOKUP(O111, 'PlayerGrades+'!$X$3:$Y$23, 2, FALSE)))+('PlayerGrades+'!$Y$53*(VLOOKUP(Q111, 'PlayerGrades+'!$X$3:$Y$23, 2, FALSE)))+('PlayerGrades+'!$Y$54*(VLOOKUP(S111, 'PlayerGrades+'!$X$3:$Y$23, 2, FALSE)))+('PlayerGrades+'!$Y$55*(VLOOKUP(U111, 'PlayerGrades+'!$X$3:$Y$23, 2, FALSE)))</f>
        <v>#DIV/0!</v>
      </c>
      <c r="D111" s="961" t="str">
        <f t="shared" si="1"/>
        <v>#DIV/0!</v>
      </c>
      <c r="E111" s="961" t="str">
        <f>IF(D111&lt;'PlayerGrades+'!$AA$21,"F-",IF(D111&lt;'PlayerGrades+'!$AA$20,"F",IF(D111&lt;'PlayerGrades+'!$AA$19,"F+",IF(D111&lt;'PlayerGrades+'!$AA$18,"E-",IF(D111&lt;'PlayerGrades+'!$AA$17,"E",IF(D111&lt;'PlayerGrades+'!$AA$16,"E+",IF(D111&lt;'PlayerGrades+'!$AA$15,"D-",IF(D111&lt;'PlayerGrades+'!$AA$14,"D",IF(D111&lt;'PlayerGrades+'!$AA$13,"D+",IF(D111&lt;'PlayerGrades+'!$AA$12,"C-",IF(D111&lt;'PlayerGrades+'!$AA$11,"C",IF(D111&lt;'PlayerGrades+'!$AA$10,"C+",IF(D111&lt;'PlayerGrades+'!$AA$9,"B-",IF(D111&lt;'PlayerGrades+'!$AA$8,"B",IF(D111&lt;'PlayerGrades+'!$AA$7,"B+",IF(D111&lt;'PlayerGrades+'!$AA$6,"A-",IF(D111&lt;'PlayerGrades+'!$AA$5,"A",IF(D111&lt;'PlayerGrades+'!$AA$4,"A+",IF(D111&lt;'PlayerGrades+'!$AA$3,"S-",IF(D111&lt;'PlayerGrades+'!$AA$2,"S","S+"))))))))))))))))))))</f>
        <v>#DIV/0!</v>
      </c>
      <c r="F111" s="961" t="str">
        <f t="shared" si="2"/>
        <v>#DIV/0!</v>
      </c>
      <c r="G111" s="961" t="str">
        <f>IF(F111&lt;'PlayerGrades+'!$AB$21,"F-",IF(F111&lt;'PlayerGrades+'!$AB$20,"F",IF(F111&lt;'PlayerGrades+'!$AB$19,"F+",IF(F111&lt;'PlayerGrades+'!$AB$18,"E-",IF(F111&lt;'PlayerGrades+'!$AB$17,"E",IF(F111&lt;'PlayerGrades+'!$AB$16,"E+",IF(F111&lt;'PlayerGrades+'!$AB$15,"D-",IF(F111&lt;'PlayerGrades+'!$AB$14,"D",IF(F111&lt;'PlayerGrades+'!$AB$13,"D+",IF(F111&lt;'PlayerGrades+'!$AB$12,"C-",IF(F111&lt;'PlayerGrades+'!$AB$11,"C",IF(F111&lt;'PlayerGrades+'!$AB$10,"C+",IF(F111&lt;'PlayerGrades+'!$AB$9,"B-",IF(F111&lt;'PlayerGrades+'!$AB$8,"B",IF(F111&lt;'PlayerGrades+'!$AB$7,"B+",IF(F111&lt;'PlayerGrades+'!$AB$6,"A-",IF(F111&lt;'PlayerGrades+'!$AB$5,"A",IF(F111&lt;'PlayerGrades+'!$AB$4,"A+",IF(F111&lt;'PlayerGrades+'!$AB$3,"S-",IF(F111&lt;'PlayerGrades+'!$AB$2,"S","S+"))))))))))))))))))))</f>
        <v>#DIV/0!</v>
      </c>
      <c r="H111" s="961" t="str">
        <f t="shared" si="3"/>
        <v>#DIV/0!</v>
      </c>
      <c r="I111" s="961" t="str">
        <f>IF(H111&lt;'PlayerGrades+'!$AC$21,"F-",IF(H111&lt;'PlayerGrades+'!$AC$20,"F",IF(H111&lt;'PlayerGrades+'!$AC$19,"F+",IF(H111&lt;'PlayerGrades+'!$AC$18,"E-",IF(H111&lt;'PlayerGrades+'!$AC$17,"E",IF(H111&lt;'PlayerGrades+'!$AC$16,"E+",IF(H111&lt;'PlayerGrades+'!$AC$15,"D-",IF(H111&lt;'PlayerGrades+'!$AC$14,"D",IF(H111&lt;'PlayerGrades+'!$AC$13,"D+",IF(H111&lt;'PlayerGrades+'!$AC$12,"C-",IF(H111&lt;'PlayerGrades+'!$AC$11,"C",IF(H111&lt;'PlayerGrades+'!$AC$10,"C+",IF(H111&lt;'PlayerGrades+'!$AC$9,"B-",IF(H111&lt;'PlayerGrades+'!$AC$8,"B",IF(H111&lt;'PlayerGrades+'!$AC$7,"B+",IF(H111&lt;'PlayerGrades+'!$AC$6,"A-",IF(H111&lt;'PlayerGrades+'!$AC$5,"A",IF(H111&lt;'PlayerGrades+'!$AC$4,"A+",IF(H111&lt;'PlayerGrades+'!$AC$3,"S-",IF(H111&lt;'PlayerGrades+'!$AC$2,"S","S+"))))))))))))))))))))</f>
        <v>#DIV/0!</v>
      </c>
      <c r="J111" s="961" t="str">
        <f t="shared" si="4"/>
        <v>#DIV/0!</v>
      </c>
      <c r="K111" s="961" t="str">
        <f>IF(J111&lt;'PlayerGrades+'!$AD$21,"F-",IF(J111&lt;'PlayerGrades+'!$AD$20,"F",IF(J111&lt;'PlayerGrades+'!$AD$19,"F+",IF(J111&lt;'PlayerGrades+'!$AD$18,"E-",IF(J111&lt;'PlayerGrades+'!$AD$17,"E",IF(J111&lt;'PlayerGrades+'!$AD$16,"E+",IF(J111&lt;'PlayerGrades+'!$AD$15,"D-",IF(J111&lt;'PlayerGrades+'!$AD$14,"D",IF(J111&lt;'PlayerGrades+'!$AD$13,"D+",IF(J111&lt;'PlayerGrades+'!$AD$12,"C-",IF(J111&lt;'PlayerGrades+'!$AD$11,"C",IF(J111&lt;'PlayerGrades+'!$AD$10,"C+",IF(J111&lt;'PlayerGrades+'!$AD$9,"B-",IF(J111&lt;'PlayerGrades+'!$AD$8,"B",IF(J111&lt;'PlayerGrades+'!$AD$7,"B+",IF(J111&lt;'PlayerGrades+'!$AD$6,"A-",IF(J111&lt;'PlayerGrades+'!$AD$5,"A",IF(J111&lt;'PlayerGrades+'!$AD$4,"A+",IF(J111&lt;'PlayerGrades+'!$AD$3,"S-",IF(J111&lt;'PlayerGrades+'!$AD$2,"S","S+"))))))))))))))))))))</f>
        <v>#DIV/0!</v>
      </c>
      <c r="L111" s="1176" t="str">
        <f t="shared" si="5"/>
        <v>#DIV/0!</v>
      </c>
      <c r="M111" s="992" t="str">
        <f>IF(L111&lt;'PlayerGrades+'!$AE$21,"F-",IF(L111&lt;'PlayerGrades+'!$AE$20,"F",IF(L111&lt;'PlayerGrades+'!$AE$19,"F+",IF(L111&lt;'PlayerGrades+'!$AE$18,"E-",IF(L111&lt;'PlayerGrades+'!$AE$17,"E",IF(L111&lt;'PlayerGrades+'!$AE$16,"E+",IF(L111&lt;'PlayerGrades+'!$AE$15,"D-",IF(L111&lt;'PlayerGrades+'!$AE$14,"D",IF(L111&lt;'PlayerGrades+'!$AE$13,"D+",IF(L111&lt;'PlayerGrades+'!$AE$12,"C-",IF(L111&lt;'PlayerGrades+'!$AE$11,"C",IF(L111&lt;'PlayerGrades+'!$AE$10,"C+",IF(L111&lt;'PlayerGrades+'!$AE$9,"B-",IF(L111&lt;'PlayerGrades+'!$AE$8,"B",IF(L111&lt;'PlayerGrades+'!$AE$7,"B+",IF(L111&lt;'PlayerGrades+'!$AE$6,"A-",IF(L111&lt;'PlayerGrades+'!$AE$5,"A",IF(L111&lt;'PlayerGrades+'!$AE$4,"A+",IF(L111&lt;'PlayerGrades+'!$AE$3,"S-",IF(L111&lt;'PlayerGrades+'!$AE$2,"S","S+"))))))))))))))))))))</f>
        <v>#DIV/0!</v>
      </c>
      <c r="N111" s="961" t="str">
        <f t="shared" si="6"/>
        <v>#DIV/0!</v>
      </c>
      <c r="O111" s="961" t="str">
        <f>IF(N111&lt;'PlayerGrades+'!$AF$21,"F-",IF(N111&lt;'PlayerGrades+'!$AF$20,"F",IF(N111&lt;'PlayerGrades+'!$AF$19,"F+",IF(N111&lt;'PlayerGrades+'!$AF$18,"E-",IF(N111&lt;'PlayerGrades+'!$AF$17,"E",IF(N111&lt;'PlayerGrades+'!$AF$16,"E+",IF(N111&lt;'PlayerGrades+'!$AF$15,"D-",IF(N111&lt;'PlayerGrades+'!$AF$14,"D",IF(N111&lt;'PlayerGrades+'!$AF$13,"D+",IF(N111&lt;'PlayerGrades+'!$AF$12,"C-",IF(N111&lt;'PlayerGrades+'!$AF$11,"C",IF(N111&lt;'PlayerGrades+'!$AF$10,"C+",IF(N111&lt;'PlayerGrades+'!$AF$9,"B-",IF(N111&lt;'PlayerGrades+'!$AF$8,"B",IF(N111&lt;'PlayerGrades+'!$AF$7,"B+",IF(N111&lt;'PlayerGrades+'!$AF$6,"A-",IF(N111&lt;'PlayerGrades+'!$AF$5,"A",IF(N111&lt;'PlayerGrades+'!$AF$4,"A+",IF(N111&lt;'PlayerGrades+'!$AF$3,"S-",IF(N111&lt;'PlayerGrades+'!$AF$2,"S","S+"))))))))))))))))))))</f>
        <v>#DIV/0!</v>
      </c>
      <c r="P111" s="961" t="str">
        <f t="shared" si="7"/>
        <v>#DIV/0!</v>
      </c>
      <c r="Q111" s="961" t="str">
        <f>IF(P111&lt;'PlayerGrades+'!$AG$21,"F-",IF(P111&lt;'PlayerGrades+'!$AG$20,"F",IF(P111&lt;'PlayerGrades+'!$AG$19,"F+",IF(P111&lt;'PlayerGrades+'!$AG$18,"E-",IF(P111&lt;'PlayerGrades+'!$AG$17,"E",IF(P111&lt;'PlayerGrades+'!$AG$16,"E+",IF(P111&lt;'PlayerGrades+'!$AG$15,"D-",IF(P111&lt;'PlayerGrades+'!$AG$14,"D",IF(P111&lt;'PlayerGrades+'!$AG$13,"D+",IF(P111&lt;'PlayerGrades+'!$AG$12,"C-",IF(P111&lt;'PlayerGrades+'!$AG$11,"C",IF(P111&lt;'PlayerGrades+'!$AG$10,"C+",IF(P111&lt;'PlayerGrades+'!$AG$9,"B-",IF(P111&lt;'PlayerGrades+'!$AG$8,"B",IF(P111&lt;'PlayerGrades+'!$AG$7,"B+",IF(P111&lt;'PlayerGrades+'!$AG$6,"A-",IF(P111&lt;'PlayerGrades+'!$AG$5,"A",IF(P111&lt;'PlayerGrades+'!$AG$4,"A+",IF(P111&lt;'PlayerGrades+'!$AG$3,"S-",IF(P111&lt;'PlayerGrades+'!$AG$2,"S","S+"))))))))))))))))))))</f>
        <v>#DIV/0!</v>
      </c>
      <c r="R111" s="961" t="str">
        <f t="shared" si="8"/>
        <v>#DIV/0!</v>
      </c>
      <c r="S111" s="961" t="str">
        <f>IF(R111&lt;'PlayerGrades+'!$AH$21,"F-",IF(R111&lt;'PlayerGrades+'!$AH$20,"F",IF(R111&lt;'PlayerGrades+'!$AH$19,"F+",IF(R111&lt;'PlayerGrades+'!$AH$18,"E-",IF(R111&lt;'PlayerGrades+'!$AH$17,"E",IF(R111&lt;'PlayerGrades+'!$AH$16,"E+",IF(R111&lt;'PlayerGrades+'!$AH$15,"D-",IF(R111&lt;'PlayerGrades+'!$AH$14,"D",IF(R111&lt;'PlayerGrades+'!$AH$13,"D+",IF(R111&lt;'PlayerGrades+'!$AH$12,"C-",IF(R111&lt;'PlayerGrades+'!$AH$11,"C",IF(R111&lt;'PlayerGrades+'!$AH$10,"C+",IF(R111&lt;'PlayerGrades+'!$AH$9,"B-",IF(R111&lt;'PlayerGrades+'!$AH$8,"B",IF(R111&lt;'PlayerGrades+'!$AH$7,"B+",IF(R111&lt;'PlayerGrades+'!$AH$6,"A-",IF(R111&lt;'PlayerGrades+'!$AH$5,"A",IF(R111&lt;'PlayerGrades+'!$AH$4,"A+",IF(R111&lt;'PlayerGrades+'!$AH$3,"S-",IF(R111&lt;'PlayerGrades+'!$AH$2,"S","S+"))))))))))))))))))))</f>
        <v>#DIV/0!</v>
      </c>
      <c r="T111" s="961">
        <f t="shared" si="9"/>
        <v>0</v>
      </c>
      <c r="U111" s="961" t="str">
        <f>IF(T111&lt;'PlayerGrades+'!$AI$21,"F-",IF(T111&lt;'PlayerGrades+'!$AI$20,"F",IF(T111&lt;'PlayerGrades+'!$AI$19,"F+",IF(T111&lt;'PlayerGrades+'!$AI$18,"E-",IF(T111&lt;'PlayerGrades+'!$AI$17,"E",IF(T111&lt;'PlayerGrades+'!$AI$16,"E+",IF(T111&lt;'PlayerGrades+'!$AI$15,"D-",IF(T111&lt;'PlayerGrades+'!$AI$14,"D",IF(T111&lt;'PlayerGrades+'!$AI$13,"D+",IF(T111&lt;'PlayerGrades+'!$AI$12,"C-",IF(T111&lt;'PlayerGrades+'!$AI$11,"C",IF(T111&lt;'PlayerGrades+'!$AI$10,"C+",IF(T111&lt;'PlayerGrades+'!$AI$9,"B-",IF(T111&lt;'PlayerGrades+'!$AI$8,"B",IF(T111&lt;'PlayerGrades+'!$AI$7,"B+",IF(T111&lt;'PlayerGrades+'!$AI$6,"A-",IF(T111&lt;'PlayerGrades+'!$AI$5,"A",IF(T111&lt;'PlayerGrades+'!$AI$4,"A+",IF(T111&lt;'PlayerGrades+'!$AI$3,"S-",IF(T111&lt;'PlayerGrades+'!$AI$2,"S","S+"))))))))))))))))))))</f>
        <v>F-</v>
      </c>
      <c r="AC111" s="1392"/>
    </row>
    <row r="112">
      <c r="A112" s="1391"/>
      <c r="B112" s="611" t="str">
        <f>IF(C112&lt;'PlayerGrades+'!$Y$44,"F-",IF(C112&lt;'PlayerGrades+'!$Y$43,"F",IF(C112&lt;'PlayerGrades+'!$Y$42,"F+",IF(C112&lt;'PlayerGrades+'!$Y$41,"E-",IF(C112&lt;'PlayerGrades+'!$Y$40,"E",IF(C112&lt;'PlayerGrades+'!$Y$39,"E+",IF(C112&lt;'PlayerGrades+'!$Y$38,"D-",IF(C112&lt;'PlayerGrades+'!$Y$37,"D",IF(C112&lt;'PlayerGrades+'!$Y$36,"D+",IF(C112&lt;'PlayerGrades+'!$Y$35,"C-",IF(C112&lt;'PlayerGrades+'!$Y$34,"C",IF(C112&lt;'PlayerGrades+'!$Y$33,"C+",IF(C112&lt;'PlayerGrades+'!$Y$32,"B-",IF(C112&lt;'PlayerGrades+'!$Y$31,"B",IF(C112&lt;'PlayerGrades+'!$Y$30,"B+",IF(C112&lt;'PlayerGrades+'!$Y$29,"A-",IF(C112&lt;'PlayerGrades+'!$Y$28,"A",IF(C112&lt;'PlayerGrades+'!$Y$27,"A+",IF(C112&lt;'PlayerGrades+'!$Y$26,"S-",IF(C112&lt;'PlayerGrades+'!$Y$25,"S","S+"))))))))))))))))))))</f>
        <v>#DIV/0!</v>
      </c>
      <c r="C112" s="1378" t="str">
        <f>('PlayerGrades+'!$Y$47*(VLOOKUP(E112, 'PlayerGrades+'!$X$3:$Y$23, 2, FALSE)))+('PlayerGrades+'!$Y$48*(VLOOKUP(G112, 'PlayerGrades+'!$X$3:$Y$23, 2, FALSE)))+('PlayerGrades+'!$Y$49*(VLOOKUP(I112, 'PlayerGrades+'!$X$3:$Y$23, 2, FALSE)))+('PlayerGrades+'!$Y$50*(VLOOKUP(K112, 'PlayerGrades+'!$X$3:$Y$23, 2, FALSE)))+('PlayerGrades+'!$Y$51*(VLOOKUP(M112, 'PlayerGrades+'!$X$3:$Y$23, 2, FALSE)))+('PlayerGrades+'!$Y$52*(VLOOKUP(O112, 'PlayerGrades+'!$X$3:$Y$23, 2, FALSE)))+('PlayerGrades+'!$Y$53*(VLOOKUP(Q112, 'PlayerGrades+'!$X$3:$Y$23, 2, FALSE)))+('PlayerGrades+'!$Y$54*(VLOOKUP(S112, 'PlayerGrades+'!$X$3:$Y$23, 2, FALSE)))+('PlayerGrades+'!$Y$55*(VLOOKUP(U112, 'PlayerGrades+'!$X$3:$Y$23, 2, FALSE)))</f>
        <v>#DIV/0!</v>
      </c>
      <c r="D112" s="961" t="str">
        <f t="shared" si="1"/>
        <v>#DIV/0!</v>
      </c>
      <c r="E112" s="961" t="str">
        <f>IF(D112&lt;'PlayerGrades+'!$AA$21,"F-",IF(D112&lt;'PlayerGrades+'!$AA$20,"F",IF(D112&lt;'PlayerGrades+'!$AA$19,"F+",IF(D112&lt;'PlayerGrades+'!$AA$18,"E-",IF(D112&lt;'PlayerGrades+'!$AA$17,"E",IF(D112&lt;'PlayerGrades+'!$AA$16,"E+",IF(D112&lt;'PlayerGrades+'!$AA$15,"D-",IF(D112&lt;'PlayerGrades+'!$AA$14,"D",IF(D112&lt;'PlayerGrades+'!$AA$13,"D+",IF(D112&lt;'PlayerGrades+'!$AA$12,"C-",IF(D112&lt;'PlayerGrades+'!$AA$11,"C",IF(D112&lt;'PlayerGrades+'!$AA$10,"C+",IF(D112&lt;'PlayerGrades+'!$AA$9,"B-",IF(D112&lt;'PlayerGrades+'!$AA$8,"B",IF(D112&lt;'PlayerGrades+'!$AA$7,"B+",IF(D112&lt;'PlayerGrades+'!$AA$6,"A-",IF(D112&lt;'PlayerGrades+'!$AA$5,"A",IF(D112&lt;'PlayerGrades+'!$AA$4,"A+",IF(D112&lt;'PlayerGrades+'!$AA$3,"S-",IF(D112&lt;'PlayerGrades+'!$AA$2,"S","S+"))))))))))))))))))))</f>
        <v>#DIV/0!</v>
      </c>
      <c r="F112" s="961" t="str">
        <f t="shared" si="2"/>
        <v>#DIV/0!</v>
      </c>
      <c r="G112" s="961" t="str">
        <f>IF(F112&lt;'PlayerGrades+'!$AB$21,"F-",IF(F112&lt;'PlayerGrades+'!$AB$20,"F",IF(F112&lt;'PlayerGrades+'!$AB$19,"F+",IF(F112&lt;'PlayerGrades+'!$AB$18,"E-",IF(F112&lt;'PlayerGrades+'!$AB$17,"E",IF(F112&lt;'PlayerGrades+'!$AB$16,"E+",IF(F112&lt;'PlayerGrades+'!$AB$15,"D-",IF(F112&lt;'PlayerGrades+'!$AB$14,"D",IF(F112&lt;'PlayerGrades+'!$AB$13,"D+",IF(F112&lt;'PlayerGrades+'!$AB$12,"C-",IF(F112&lt;'PlayerGrades+'!$AB$11,"C",IF(F112&lt;'PlayerGrades+'!$AB$10,"C+",IF(F112&lt;'PlayerGrades+'!$AB$9,"B-",IF(F112&lt;'PlayerGrades+'!$AB$8,"B",IF(F112&lt;'PlayerGrades+'!$AB$7,"B+",IF(F112&lt;'PlayerGrades+'!$AB$6,"A-",IF(F112&lt;'PlayerGrades+'!$AB$5,"A",IF(F112&lt;'PlayerGrades+'!$AB$4,"A+",IF(F112&lt;'PlayerGrades+'!$AB$3,"S-",IF(F112&lt;'PlayerGrades+'!$AB$2,"S","S+"))))))))))))))))))))</f>
        <v>#DIV/0!</v>
      </c>
      <c r="H112" s="961" t="str">
        <f t="shared" si="3"/>
        <v>#DIV/0!</v>
      </c>
      <c r="I112" s="961" t="str">
        <f>IF(H112&lt;'PlayerGrades+'!$AC$21,"F-",IF(H112&lt;'PlayerGrades+'!$AC$20,"F",IF(H112&lt;'PlayerGrades+'!$AC$19,"F+",IF(H112&lt;'PlayerGrades+'!$AC$18,"E-",IF(H112&lt;'PlayerGrades+'!$AC$17,"E",IF(H112&lt;'PlayerGrades+'!$AC$16,"E+",IF(H112&lt;'PlayerGrades+'!$AC$15,"D-",IF(H112&lt;'PlayerGrades+'!$AC$14,"D",IF(H112&lt;'PlayerGrades+'!$AC$13,"D+",IF(H112&lt;'PlayerGrades+'!$AC$12,"C-",IF(H112&lt;'PlayerGrades+'!$AC$11,"C",IF(H112&lt;'PlayerGrades+'!$AC$10,"C+",IF(H112&lt;'PlayerGrades+'!$AC$9,"B-",IF(H112&lt;'PlayerGrades+'!$AC$8,"B",IF(H112&lt;'PlayerGrades+'!$AC$7,"B+",IF(H112&lt;'PlayerGrades+'!$AC$6,"A-",IF(H112&lt;'PlayerGrades+'!$AC$5,"A",IF(H112&lt;'PlayerGrades+'!$AC$4,"A+",IF(H112&lt;'PlayerGrades+'!$AC$3,"S-",IF(H112&lt;'PlayerGrades+'!$AC$2,"S","S+"))))))))))))))))))))</f>
        <v>#DIV/0!</v>
      </c>
      <c r="J112" s="961" t="str">
        <f t="shared" si="4"/>
        <v>#DIV/0!</v>
      </c>
      <c r="K112" s="961" t="str">
        <f>IF(J112&lt;'PlayerGrades+'!$AD$21,"F-",IF(J112&lt;'PlayerGrades+'!$AD$20,"F",IF(J112&lt;'PlayerGrades+'!$AD$19,"F+",IF(J112&lt;'PlayerGrades+'!$AD$18,"E-",IF(J112&lt;'PlayerGrades+'!$AD$17,"E",IF(J112&lt;'PlayerGrades+'!$AD$16,"E+",IF(J112&lt;'PlayerGrades+'!$AD$15,"D-",IF(J112&lt;'PlayerGrades+'!$AD$14,"D",IF(J112&lt;'PlayerGrades+'!$AD$13,"D+",IF(J112&lt;'PlayerGrades+'!$AD$12,"C-",IF(J112&lt;'PlayerGrades+'!$AD$11,"C",IF(J112&lt;'PlayerGrades+'!$AD$10,"C+",IF(J112&lt;'PlayerGrades+'!$AD$9,"B-",IF(J112&lt;'PlayerGrades+'!$AD$8,"B",IF(J112&lt;'PlayerGrades+'!$AD$7,"B+",IF(J112&lt;'PlayerGrades+'!$AD$6,"A-",IF(J112&lt;'PlayerGrades+'!$AD$5,"A",IF(J112&lt;'PlayerGrades+'!$AD$4,"A+",IF(J112&lt;'PlayerGrades+'!$AD$3,"S-",IF(J112&lt;'PlayerGrades+'!$AD$2,"S","S+"))))))))))))))))))))</f>
        <v>#DIV/0!</v>
      </c>
      <c r="L112" s="1176" t="str">
        <f t="shared" si="5"/>
        <v>#DIV/0!</v>
      </c>
      <c r="M112" s="992" t="str">
        <f>IF(L112&lt;'PlayerGrades+'!$AE$21,"F-",IF(L112&lt;'PlayerGrades+'!$AE$20,"F",IF(L112&lt;'PlayerGrades+'!$AE$19,"F+",IF(L112&lt;'PlayerGrades+'!$AE$18,"E-",IF(L112&lt;'PlayerGrades+'!$AE$17,"E",IF(L112&lt;'PlayerGrades+'!$AE$16,"E+",IF(L112&lt;'PlayerGrades+'!$AE$15,"D-",IF(L112&lt;'PlayerGrades+'!$AE$14,"D",IF(L112&lt;'PlayerGrades+'!$AE$13,"D+",IF(L112&lt;'PlayerGrades+'!$AE$12,"C-",IF(L112&lt;'PlayerGrades+'!$AE$11,"C",IF(L112&lt;'PlayerGrades+'!$AE$10,"C+",IF(L112&lt;'PlayerGrades+'!$AE$9,"B-",IF(L112&lt;'PlayerGrades+'!$AE$8,"B",IF(L112&lt;'PlayerGrades+'!$AE$7,"B+",IF(L112&lt;'PlayerGrades+'!$AE$6,"A-",IF(L112&lt;'PlayerGrades+'!$AE$5,"A",IF(L112&lt;'PlayerGrades+'!$AE$4,"A+",IF(L112&lt;'PlayerGrades+'!$AE$3,"S-",IF(L112&lt;'PlayerGrades+'!$AE$2,"S","S+"))))))))))))))))))))</f>
        <v>#DIV/0!</v>
      </c>
      <c r="N112" s="961" t="str">
        <f t="shared" si="6"/>
        <v>#DIV/0!</v>
      </c>
      <c r="O112" s="961" t="str">
        <f>IF(N112&lt;'PlayerGrades+'!$AF$21,"F-",IF(N112&lt;'PlayerGrades+'!$AF$20,"F",IF(N112&lt;'PlayerGrades+'!$AF$19,"F+",IF(N112&lt;'PlayerGrades+'!$AF$18,"E-",IF(N112&lt;'PlayerGrades+'!$AF$17,"E",IF(N112&lt;'PlayerGrades+'!$AF$16,"E+",IF(N112&lt;'PlayerGrades+'!$AF$15,"D-",IF(N112&lt;'PlayerGrades+'!$AF$14,"D",IF(N112&lt;'PlayerGrades+'!$AF$13,"D+",IF(N112&lt;'PlayerGrades+'!$AF$12,"C-",IF(N112&lt;'PlayerGrades+'!$AF$11,"C",IF(N112&lt;'PlayerGrades+'!$AF$10,"C+",IF(N112&lt;'PlayerGrades+'!$AF$9,"B-",IF(N112&lt;'PlayerGrades+'!$AF$8,"B",IF(N112&lt;'PlayerGrades+'!$AF$7,"B+",IF(N112&lt;'PlayerGrades+'!$AF$6,"A-",IF(N112&lt;'PlayerGrades+'!$AF$5,"A",IF(N112&lt;'PlayerGrades+'!$AF$4,"A+",IF(N112&lt;'PlayerGrades+'!$AF$3,"S-",IF(N112&lt;'PlayerGrades+'!$AF$2,"S","S+"))))))))))))))))))))</f>
        <v>#DIV/0!</v>
      </c>
      <c r="P112" s="961" t="str">
        <f t="shared" si="7"/>
        <v>#DIV/0!</v>
      </c>
      <c r="Q112" s="961" t="str">
        <f>IF(P112&lt;'PlayerGrades+'!$AG$21,"F-",IF(P112&lt;'PlayerGrades+'!$AG$20,"F",IF(P112&lt;'PlayerGrades+'!$AG$19,"F+",IF(P112&lt;'PlayerGrades+'!$AG$18,"E-",IF(P112&lt;'PlayerGrades+'!$AG$17,"E",IF(P112&lt;'PlayerGrades+'!$AG$16,"E+",IF(P112&lt;'PlayerGrades+'!$AG$15,"D-",IF(P112&lt;'PlayerGrades+'!$AG$14,"D",IF(P112&lt;'PlayerGrades+'!$AG$13,"D+",IF(P112&lt;'PlayerGrades+'!$AG$12,"C-",IF(P112&lt;'PlayerGrades+'!$AG$11,"C",IF(P112&lt;'PlayerGrades+'!$AG$10,"C+",IF(P112&lt;'PlayerGrades+'!$AG$9,"B-",IF(P112&lt;'PlayerGrades+'!$AG$8,"B",IF(P112&lt;'PlayerGrades+'!$AG$7,"B+",IF(P112&lt;'PlayerGrades+'!$AG$6,"A-",IF(P112&lt;'PlayerGrades+'!$AG$5,"A",IF(P112&lt;'PlayerGrades+'!$AG$4,"A+",IF(P112&lt;'PlayerGrades+'!$AG$3,"S-",IF(P112&lt;'PlayerGrades+'!$AG$2,"S","S+"))))))))))))))))))))</f>
        <v>#DIV/0!</v>
      </c>
      <c r="R112" s="961" t="str">
        <f t="shared" si="8"/>
        <v>#DIV/0!</v>
      </c>
      <c r="S112" s="961" t="str">
        <f>IF(R112&lt;'PlayerGrades+'!$AH$21,"F-",IF(R112&lt;'PlayerGrades+'!$AH$20,"F",IF(R112&lt;'PlayerGrades+'!$AH$19,"F+",IF(R112&lt;'PlayerGrades+'!$AH$18,"E-",IF(R112&lt;'PlayerGrades+'!$AH$17,"E",IF(R112&lt;'PlayerGrades+'!$AH$16,"E+",IF(R112&lt;'PlayerGrades+'!$AH$15,"D-",IF(R112&lt;'PlayerGrades+'!$AH$14,"D",IF(R112&lt;'PlayerGrades+'!$AH$13,"D+",IF(R112&lt;'PlayerGrades+'!$AH$12,"C-",IF(R112&lt;'PlayerGrades+'!$AH$11,"C",IF(R112&lt;'PlayerGrades+'!$AH$10,"C+",IF(R112&lt;'PlayerGrades+'!$AH$9,"B-",IF(R112&lt;'PlayerGrades+'!$AH$8,"B",IF(R112&lt;'PlayerGrades+'!$AH$7,"B+",IF(R112&lt;'PlayerGrades+'!$AH$6,"A-",IF(R112&lt;'PlayerGrades+'!$AH$5,"A",IF(R112&lt;'PlayerGrades+'!$AH$4,"A+",IF(R112&lt;'PlayerGrades+'!$AH$3,"S-",IF(R112&lt;'PlayerGrades+'!$AH$2,"S","S+"))))))))))))))))))))</f>
        <v>#DIV/0!</v>
      </c>
      <c r="T112" s="961">
        <f t="shared" si="9"/>
        <v>0</v>
      </c>
      <c r="U112" s="961" t="str">
        <f>IF(T112&lt;'PlayerGrades+'!$AI$21,"F-",IF(T112&lt;'PlayerGrades+'!$AI$20,"F",IF(T112&lt;'PlayerGrades+'!$AI$19,"F+",IF(T112&lt;'PlayerGrades+'!$AI$18,"E-",IF(T112&lt;'PlayerGrades+'!$AI$17,"E",IF(T112&lt;'PlayerGrades+'!$AI$16,"E+",IF(T112&lt;'PlayerGrades+'!$AI$15,"D-",IF(T112&lt;'PlayerGrades+'!$AI$14,"D",IF(T112&lt;'PlayerGrades+'!$AI$13,"D+",IF(T112&lt;'PlayerGrades+'!$AI$12,"C-",IF(T112&lt;'PlayerGrades+'!$AI$11,"C",IF(T112&lt;'PlayerGrades+'!$AI$10,"C+",IF(T112&lt;'PlayerGrades+'!$AI$9,"B-",IF(T112&lt;'PlayerGrades+'!$AI$8,"B",IF(T112&lt;'PlayerGrades+'!$AI$7,"B+",IF(T112&lt;'PlayerGrades+'!$AI$6,"A-",IF(T112&lt;'PlayerGrades+'!$AI$5,"A",IF(T112&lt;'PlayerGrades+'!$AI$4,"A+",IF(T112&lt;'PlayerGrades+'!$AI$3,"S-",IF(T112&lt;'PlayerGrades+'!$AI$2,"S","S+"))))))))))))))))))))</f>
        <v>F-</v>
      </c>
      <c r="AC112" s="1392"/>
    </row>
    <row r="113">
      <c r="A113" s="1393"/>
      <c r="B113" s="611" t="str">
        <f>IF(C113&lt;'PlayerGrades+'!$Y$44,"F-",IF(C113&lt;'PlayerGrades+'!$Y$43,"F",IF(C113&lt;'PlayerGrades+'!$Y$42,"F+",IF(C113&lt;'PlayerGrades+'!$Y$41,"E-",IF(C113&lt;'PlayerGrades+'!$Y$40,"E",IF(C113&lt;'PlayerGrades+'!$Y$39,"E+",IF(C113&lt;'PlayerGrades+'!$Y$38,"D-",IF(C113&lt;'PlayerGrades+'!$Y$37,"D",IF(C113&lt;'PlayerGrades+'!$Y$36,"D+",IF(C113&lt;'PlayerGrades+'!$Y$35,"C-",IF(C113&lt;'PlayerGrades+'!$Y$34,"C",IF(C113&lt;'PlayerGrades+'!$Y$33,"C+",IF(C113&lt;'PlayerGrades+'!$Y$32,"B-",IF(C113&lt;'PlayerGrades+'!$Y$31,"B",IF(C113&lt;'PlayerGrades+'!$Y$30,"B+",IF(C113&lt;'PlayerGrades+'!$Y$29,"A-",IF(C113&lt;'PlayerGrades+'!$Y$28,"A",IF(C113&lt;'PlayerGrades+'!$Y$27,"A+",IF(C113&lt;'PlayerGrades+'!$Y$26,"S-",IF(C113&lt;'PlayerGrades+'!$Y$25,"S","S+"))))))))))))))))))))</f>
        <v>#DIV/0!</v>
      </c>
      <c r="C113" s="1378" t="str">
        <f>('PlayerGrades+'!$Y$47*(VLOOKUP(E113, 'PlayerGrades+'!$X$3:$Y$23, 2, FALSE)))+('PlayerGrades+'!$Y$48*(VLOOKUP(G113, 'PlayerGrades+'!$X$3:$Y$23, 2, FALSE)))+('PlayerGrades+'!$Y$49*(VLOOKUP(I113, 'PlayerGrades+'!$X$3:$Y$23, 2, FALSE)))+('PlayerGrades+'!$Y$50*(VLOOKUP(K113, 'PlayerGrades+'!$X$3:$Y$23, 2, FALSE)))+('PlayerGrades+'!$Y$51*(VLOOKUP(M113, 'PlayerGrades+'!$X$3:$Y$23, 2, FALSE)))+('PlayerGrades+'!$Y$52*(VLOOKUP(O113, 'PlayerGrades+'!$X$3:$Y$23, 2, FALSE)))+('PlayerGrades+'!$Y$53*(VLOOKUP(Q113, 'PlayerGrades+'!$X$3:$Y$23, 2, FALSE)))+('PlayerGrades+'!$Y$54*(VLOOKUP(S113, 'PlayerGrades+'!$X$3:$Y$23, 2, FALSE)))+('PlayerGrades+'!$Y$55*(VLOOKUP(U113, 'PlayerGrades+'!$X$3:$Y$23, 2, FALSE)))</f>
        <v>#DIV/0!</v>
      </c>
      <c r="D113" s="961" t="str">
        <f t="shared" si="1"/>
        <v>#DIV/0!</v>
      </c>
      <c r="E113" s="961" t="str">
        <f>IF(D113&lt;'PlayerGrades+'!$AA$21,"F-",IF(D113&lt;'PlayerGrades+'!$AA$20,"F",IF(D113&lt;'PlayerGrades+'!$AA$19,"F+",IF(D113&lt;'PlayerGrades+'!$AA$18,"E-",IF(D113&lt;'PlayerGrades+'!$AA$17,"E",IF(D113&lt;'PlayerGrades+'!$AA$16,"E+",IF(D113&lt;'PlayerGrades+'!$AA$15,"D-",IF(D113&lt;'PlayerGrades+'!$AA$14,"D",IF(D113&lt;'PlayerGrades+'!$AA$13,"D+",IF(D113&lt;'PlayerGrades+'!$AA$12,"C-",IF(D113&lt;'PlayerGrades+'!$AA$11,"C",IF(D113&lt;'PlayerGrades+'!$AA$10,"C+",IF(D113&lt;'PlayerGrades+'!$AA$9,"B-",IF(D113&lt;'PlayerGrades+'!$AA$8,"B",IF(D113&lt;'PlayerGrades+'!$AA$7,"B+",IF(D113&lt;'PlayerGrades+'!$AA$6,"A-",IF(D113&lt;'PlayerGrades+'!$AA$5,"A",IF(D113&lt;'PlayerGrades+'!$AA$4,"A+",IF(D113&lt;'PlayerGrades+'!$AA$3,"S-",IF(D113&lt;'PlayerGrades+'!$AA$2,"S","S+"))))))))))))))))))))</f>
        <v>#DIV/0!</v>
      </c>
      <c r="F113" s="961" t="str">
        <f t="shared" si="2"/>
        <v>#DIV/0!</v>
      </c>
      <c r="G113" s="961" t="str">
        <f>IF(F113&lt;'PlayerGrades+'!$AB$21,"F-",IF(F113&lt;'PlayerGrades+'!$AB$20,"F",IF(F113&lt;'PlayerGrades+'!$AB$19,"F+",IF(F113&lt;'PlayerGrades+'!$AB$18,"E-",IF(F113&lt;'PlayerGrades+'!$AB$17,"E",IF(F113&lt;'PlayerGrades+'!$AB$16,"E+",IF(F113&lt;'PlayerGrades+'!$AB$15,"D-",IF(F113&lt;'PlayerGrades+'!$AB$14,"D",IF(F113&lt;'PlayerGrades+'!$AB$13,"D+",IF(F113&lt;'PlayerGrades+'!$AB$12,"C-",IF(F113&lt;'PlayerGrades+'!$AB$11,"C",IF(F113&lt;'PlayerGrades+'!$AB$10,"C+",IF(F113&lt;'PlayerGrades+'!$AB$9,"B-",IF(F113&lt;'PlayerGrades+'!$AB$8,"B",IF(F113&lt;'PlayerGrades+'!$AB$7,"B+",IF(F113&lt;'PlayerGrades+'!$AB$6,"A-",IF(F113&lt;'PlayerGrades+'!$AB$5,"A",IF(F113&lt;'PlayerGrades+'!$AB$4,"A+",IF(F113&lt;'PlayerGrades+'!$AB$3,"S-",IF(F113&lt;'PlayerGrades+'!$AB$2,"S","S+"))))))))))))))))))))</f>
        <v>#DIV/0!</v>
      </c>
      <c r="H113" s="961" t="str">
        <f t="shared" si="3"/>
        <v>#DIV/0!</v>
      </c>
      <c r="I113" s="961" t="str">
        <f>IF(H113&lt;'PlayerGrades+'!$AC$21,"F-",IF(H113&lt;'PlayerGrades+'!$AC$20,"F",IF(H113&lt;'PlayerGrades+'!$AC$19,"F+",IF(H113&lt;'PlayerGrades+'!$AC$18,"E-",IF(H113&lt;'PlayerGrades+'!$AC$17,"E",IF(H113&lt;'PlayerGrades+'!$AC$16,"E+",IF(H113&lt;'PlayerGrades+'!$AC$15,"D-",IF(H113&lt;'PlayerGrades+'!$AC$14,"D",IF(H113&lt;'PlayerGrades+'!$AC$13,"D+",IF(H113&lt;'PlayerGrades+'!$AC$12,"C-",IF(H113&lt;'PlayerGrades+'!$AC$11,"C",IF(H113&lt;'PlayerGrades+'!$AC$10,"C+",IF(H113&lt;'PlayerGrades+'!$AC$9,"B-",IF(H113&lt;'PlayerGrades+'!$AC$8,"B",IF(H113&lt;'PlayerGrades+'!$AC$7,"B+",IF(H113&lt;'PlayerGrades+'!$AC$6,"A-",IF(H113&lt;'PlayerGrades+'!$AC$5,"A",IF(H113&lt;'PlayerGrades+'!$AC$4,"A+",IF(H113&lt;'PlayerGrades+'!$AC$3,"S-",IF(H113&lt;'PlayerGrades+'!$AC$2,"S","S+"))))))))))))))))))))</f>
        <v>#DIV/0!</v>
      </c>
      <c r="J113" s="961" t="str">
        <f t="shared" si="4"/>
        <v>#DIV/0!</v>
      </c>
      <c r="K113" s="961" t="str">
        <f>IF(J113&lt;'PlayerGrades+'!$AD$21,"F-",IF(J113&lt;'PlayerGrades+'!$AD$20,"F",IF(J113&lt;'PlayerGrades+'!$AD$19,"F+",IF(J113&lt;'PlayerGrades+'!$AD$18,"E-",IF(J113&lt;'PlayerGrades+'!$AD$17,"E",IF(J113&lt;'PlayerGrades+'!$AD$16,"E+",IF(J113&lt;'PlayerGrades+'!$AD$15,"D-",IF(J113&lt;'PlayerGrades+'!$AD$14,"D",IF(J113&lt;'PlayerGrades+'!$AD$13,"D+",IF(J113&lt;'PlayerGrades+'!$AD$12,"C-",IF(J113&lt;'PlayerGrades+'!$AD$11,"C",IF(J113&lt;'PlayerGrades+'!$AD$10,"C+",IF(J113&lt;'PlayerGrades+'!$AD$9,"B-",IF(J113&lt;'PlayerGrades+'!$AD$8,"B",IF(J113&lt;'PlayerGrades+'!$AD$7,"B+",IF(J113&lt;'PlayerGrades+'!$AD$6,"A-",IF(J113&lt;'PlayerGrades+'!$AD$5,"A",IF(J113&lt;'PlayerGrades+'!$AD$4,"A+",IF(J113&lt;'PlayerGrades+'!$AD$3,"S-",IF(J113&lt;'PlayerGrades+'!$AD$2,"S","S+"))))))))))))))))))))</f>
        <v>#DIV/0!</v>
      </c>
      <c r="L113" s="1176" t="str">
        <f t="shared" si="5"/>
        <v>#DIV/0!</v>
      </c>
      <c r="M113" s="992" t="str">
        <f>IF(L113&lt;'PlayerGrades+'!$AE$21,"F-",IF(L113&lt;'PlayerGrades+'!$AE$20,"F",IF(L113&lt;'PlayerGrades+'!$AE$19,"F+",IF(L113&lt;'PlayerGrades+'!$AE$18,"E-",IF(L113&lt;'PlayerGrades+'!$AE$17,"E",IF(L113&lt;'PlayerGrades+'!$AE$16,"E+",IF(L113&lt;'PlayerGrades+'!$AE$15,"D-",IF(L113&lt;'PlayerGrades+'!$AE$14,"D",IF(L113&lt;'PlayerGrades+'!$AE$13,"D+",IF(L113&lt;'PlayerGrades+'!$AE$12,"C-",IF(L113&lt;'PlayerGrades+'!$AE$11,"C",IF(L113&lt;'PlayerGrades+'!$AE$10,"C+",IF(L113&lt;'PlayerGrades+'!$AE$9,"B-",IF(L113&lt;'PlayerGrades+'!$AE$8,"B",IF(L113&lt;'PlayerGrades+'!$AE$7,"B+",IF(L113&lt;'PlayerGrades+'!$AE$6,"A-",IF(L113&lt;'PlayerGrades+'!$AE$5,"A",IF(L113&lt;'PlayerGrades+'!$AE$4,"A+",IF(L113&lt;'PlayerGrades+'!$AE$3,"S-",IF(L113&lt;'PlayerGrades+'!$AE$2,"S","S+"))))))))))))))))))))</f>
        <v>#DIV/0!</v>
      </c>
      <c r="N113" s="961" t="str">
        <f t="shared" si="6"/>
        <v>#DIV/0!</v>
      </c>
      <c r="O113" s="961" t="str">
        <f>IF(N113&lt;'PlayerGrades+'!$AF$21,"F-",IF(N113&lt;'PlayerGrades+'!$AF$20,"F",IF(N113&lt;'PlayerGrades+'!$AF$19,"F+",IF(N113&lt;'PlayerGrades+'!$AF$18,"E-",IF(N113&lt;'PlayerGrades+'!$AF$17,"E",IF(N113&lt;'PlayerGrades+'!$AF$16,"E+",IF(N113&lt;'PlayerGrades+'!$AF$15,"D-",IF(N113&lt;'PlayerGrades+'!$AF$14,"D",IF(N113&lt;'PlayerGrades+'!$AF$13,"D+",IF(N113&lt;'PlayerGrades+'!$AF$12,"C-",IF(N113&lt;'PlayerGrades+'!$AF$11,"C",IF(N113&lt;'PlayerGrades+'!$AF$10,"C+",IF(N113&lt;'PlayerGrades+'!$AF$9,"B-",IF(N113&lt;'PlayerGrades+'!$AF$8,"B",IF(N113&lt;'PlayerGrades+'!$AF$7,"B+",IF(N113&lt;'PlayerGrades+'!$AF$6,"A-",IF(N113&lt;'PlayerGrades+'!$AF$5,"A",IF(N113&lt;'PlayerGrades+'!$AF$4,"A+",IF(N113&lt;'PlayerGrades+'!$AF$3,"S-",IF(N113&lt;'PlayerGrades+'!$AF$2,"S","S+"))))))))))))))))))))</f>
        <v>#DIV/0!</v>
      </c>
      <c r="P113" s="961" t="str">
        <f t="shared" si="7"/>
        <v>#DIV/0!</v>
      </c>
      <c r="Q113" s="961" t="str">
        <f>IF(P113&lt;'PlayerGrades+'!$AG$21,"F-",IF(P113&lt;'PlayerGrades+'!$AG$20,"F",IF(P113&lt;'PlayerGrades+'!$AG$19,"F+",IF(P113&lt;'PlayerGrades+'!$AG$18,"E-",IF(P113&lt;'PlayerGrades+'!$AG$17,"E",IF(P113&lt;'PlayerGrades+'!$AG$16,"E+",IF(P113&lt;'PlayerGrades+'!$AG$15,"D-",IF(P113&lt;'PlayerGrades+'!$AG$14,"D",IF(P113&lt;'PlayerGrades+'!$AG$13,"D+",IF(P113&lt;'PlayerGrades+'!$AG$12,"C-",IF(P113&lt;'PlayerGrades+'!$AG$11,"C",IF(P113&lt;'PlayerGrades+'!$AG$10,"C+",IF(P113&lt;'PlayerGrades+'!$AG$9,"B-",IF(P113&lt;'PlayerGrades+'!$AG$8,"B",IF(P113&lt;'PlayerGrades+'!$AG$7,"B+",IF(P113&lt;'PlayerGrades+'!$AG$6,"A-",IF(P113&lt;'PlayerGrades+'!$AG$5,"A",IF(P113&lt;'PlayerGrades+'!$AG$4,"A+",IF(P113&lt;'PlayerGrades+'!$AG$3,"S-",IF(P113&lt;'PlayerGrades+'!$AG$2,"S","S+"))))))))))))))))))))</f>
        <v>#DIV/0!</v>
      </c>
      <c r="R113" s="961" t="str">
        <f t="shared" si="8"/>
        <v>#DIV/0!</v>
      </c>
      <c r="S113" s="961" t="str">
        <f>IF(R113&lt;'PlayerGrades+'!$AH$21,"F-",IF(R113&lt;'PlayerGrades+'!$AH$20,"F",IF(R113&lt;'PlayerGrades+'!$AH$19,"F+",IF(R113&lt;'PlayerGrades+'!$AH$18,"E-",IF(R113&lt;'PlayerGrades+'!$AH$17,"E",IF(R113&lt;'PlayerGrades+'!$AH$16,"E+",IF(R113&lt;'PlayerGrades+'!$AH$15,"D-",IF(R113&lt;'PlayerGrades+'!$AH$14,"D",IF(R113&lt;'PlayerGrades+'!$AH$13,"D+",IF(R113&lt;'PlayerGrades+'!$AH$12,"C-",IF(R113&lt;'PlayerGrades+'!$AH$11,"C",IF(R113&lt;'PlayerGrades+'!$AH$10,"C+",IF(R113&lt;'PlayerGrades+'!$AH$9,"B-",IF(R113&lt;'PlayerGrades+'!$AH$8,"B",IF(R113&lt;'PlayerGrades+'!$AH$7,"B+",IF(R113&lt;'PlayerGrades+'!$AH$6,"A-",IF(R113&lt;'PlayerGrades+'!$AH$5,"A",IF(R113&lt;'PlayerGrades+'!$AH$4,"A+",IF(R113&lt;'PlayerGrades+'!$AH$3,"S-",IF(R113&lt;'PlayerGrades+'!$AH$2,"S","S+"))))))))))))))))))))</f>
        <v>#DIV/0!</v>
      </c>
      <c r="T113" s="961">
        <f t="shared" si="9"/>
        <v>0</v>
      </c>
      <c r="U113" s="961" t="str">
        <f>IF(T113&lt;'PlayerGrades+'!$AI$21,"F-",IF(T113&lt;'PlayerGrades+'!$AI$20,"F",IF(T113&lt;'PlayerGrades+'!$AI$19,"F+",IF(T113&lt;'PlayerGrades+'!$AI$18,"E-",IF(T113&lt;'PlayerGrades+'!$AI$17,"E",IF(T113&lt;'PlayerGrades+'!$AI$16,"E+",IF(T113&lt;'PlayerGrades+'!$AI$15,"D-",IF(T113&lt;'PlayerGrades+'!$AI$14,"D",IF(T113&lt;'PlayerGrades+'!$AI$13,"D+",IF(T113&lt;'PlayerGrades+'!$AI$12,"C-",IF(T113&lt;'PlayerGrades+'!$AI$11,"C",IF(T113&lt;'PlayerGrades+'!$AI$10,"C+",IF(T113&lt;'PlayerGrades+'!$AI$9,"B-",IF(T113&lt;'PlayerGrades+'!$AI$8,"B",IF(T113&lt;'PlayerGrades+'!$AI$7,"B+",IF(T113&lt;'PlayerGrades+'!$AI$6,"A-",IF(T113&lt;'PlayerGrades+'!$AI$5,"A",IF(T113&lt;'PlayerGrades+'!$AI$4,"A+",IF(T113&lt;'PlayerGrades+'!$AI$3,"S-",IF(T113&lt;'PlayerGrades+'!$AI$2,"S","S+"))))))))))))))))))))</f>
        <v>F-</v>
      </c>
      <c r="V113" s="1386"/>
      <c r="W113" s="1386"/>
      <c r="X113" s="1386"/>
      <c r="Y113" s="1386"/>
      <c r="Z113" s="1386"/>
      <c r="AA113" s="1386"/>
      <c r="AB113" s="1386"/>
      <c r="AC113" s="1397"/>
      <c r="AD113" s="1386"/>
      <c r="AE113" s="1386"/>
      <c r="AF113" s="1386"/>
      <c r="AG113" s="1386"/>
      <c r="AH113" s="1386"/>
      <c r="AI113" s="1386"/>
      <c r="AJ113" s="1386"/>
      <c r="AK113" s="1386"/>
      <c r="AL113" s="1386"/>
      <c r="AM113" s="1386"/>
      <c r="AN113" s="1386"/>
      <c r="AO113" s="1386"/>
      <c r="AP113" s="1386"/>
      <c r="AQ113" s="1386"/>
      <c r="AR113" s="1386"/>
      <c r="AS113" s="1386"/>
      <c r="AT113" s="1386"/>
      <c r="AU113" s="1386"/>
      <c r="AV113" s="1386"/>
      <c r="AW113" s="1386"/>
      <c r="AX113" s="1386"/>
      <c r="AY113" s="1386"/>
      <c r="AZ113" s="1386"/>
    </row>
    <row r="114">
      <c r="A114" s="1389"/>
      <c r="B114" s="611" t="str">
        <f>IF(C114&lt;'PlayerGrades+'!$Y$44,"F-",IF(C114&lt;'PlayerGrades+'!$Y$43,"F",IF(C114&lt;'PlayerGrades+'!$Y$42,"F+",IF(C114&lt;'PlayerGrades+'!$Y$41,"E-",IF(C114&lt;'PlayerGrades+'!$Y$40,"E",IF(C114&lt;'PlayerGrades+'!$Y$39,"E+",IF(C114&lt;'PlayerGrades+'!$Y$38,"D-",IF(C114&lt;'PlayerGrades+'!$Y$37,"D",IF(C114&lt;'PlayerGrades+'!$Y$36,"D+",IF(C114&lt;'PlayerGrades+'!$Y$35,"C-",IF(C114&lt;'PlayerGrades+'!$Y$34,"C",IF(C114&lt;'PlayerGrades+'!$Y$33,"C+",IF(C114&lt;'PlayerGrades+'!$Y$32,"B-",IF(C114&lt;'PlayerGrades+'!$Y$31,"B",IF(C114&lt;'PlayerGrades+'!$Y$30,"B+",IF(C114&lt;'PlayerGrades+'!$Y$29,"A-",IF(C114&lt;'PlayerGrades+'!$Y$28,"A",IF(C114&lt;'PlayerGrades+'!$Y$27,"A+",IF(C114&lt;'PlayerGrades+'!$Y$26,"S-",IF(C114&lt;'PlayerGrades+'!$Y$25,"S","S+"))))))))))))))))))))</f>
        <v>#DIV/0!</v>
      </c>
      <c r="C114" s="1378" t="str">
        <f>('PlayerGrades+'!$Y$47*(VLOOKUP(E114, 'PlayerGrades+'!$X$3:$Y$23, 2, FALSE)))+('PlayerGrades+'!$Y$48*(VLOOKUP(G114, 'PlayerGrades+'!$X$3:$Y$23, 2, FALSE)))+('PlayerGrades+'!$Y$49*(VLOOKUP(I114, 'PlayerGrades+'!$X$3:$Y$23, 2, FALSE)))+('PlayerGrades+'!$Y$50*(VLOOKUP(K114, 'PlayerGrades+'!$X$3:$Y$23, 2, FALSE)))+('PlayerGrades+'!$Y$51*(VLOOKUP(M114, 'PlayerGrades+'!$X$3:$Y$23, 2, FALSE)))+('PlayerGrades+'!$Y$52*(VLOOKUP(O114, 'PlayerGrades+'!$X$3:$Y$23, 2, FALSE)))+('PlayerGrades+'!$Y$53*(VLOOKUP(Q114, 'PlayerGrades+'!$X$3:$Y$23, 2, FALSE)))+('PlayerGrades+'!$Y$54*(VLOOKUP(S114, 'PlayerGrades+'!$X$3:$Y$23, 2, FALSE)))+('PlayerGrades+'!$Y$55*(VLOOKUP(U114, 'PlayerGrades+'!$X$3:$Y$23, 2, FALSE)))</f>
        <v>#DIV/0!</v>
      </c>
      <c r="D114" s="961" t="str">
        <f t="shared" si="1"/>
        <v>#DIV/0!</v>
      </c>
      <c r="E114" s="961" t="str">
        <f>IF(D114&lt;'PlayerGrades+'!$AA$21,"F-",IF(D114&lt;'PlayerGrades+'!$AA$20,"F",IF(D114&lt;'PlayerGrades+'!$AA$19,"F+",IF(D114&lt;'PlayerGrades+'!$AA$18,"E-",IF(D114&lt;'PlayerGrades+'!$AA$17,"E",IF(D114&lt;'PlayerGrades+'!$AA$16,"E+",IF(D114&lt;'PlayerGrades+'!$AA$15,"D-",IF(D114&lt;'PlayerGrades+'!$AA$14,"D",IF(D114&lt;'PlayerGrades+'!$AA$13,"D+",IF(D114&lt;'PlayerGrades+'!$AA$12,"C-",IF(D114&lt;'PlayerGrades+'!$AA$11,"C",IF(D114&lt;'PlayerGrades+'!$AA$10,"C+",IF(D114&lt;'PlayerGrades+'!$AA$9,"B-",IF(D114&lt;'PlayerGrades+'!$AA$8,"B",IF(D114&lt;'PlayerGrades+'!$AA$7,"B+",IF(D114&lt;'PlayerGrades+'!$AA$6,"A-",IF(D114&lt;'PlayerGrades+'!$AA$5,"A",IF(D114&lt;'PlayerGrades+'!$AA$4,"A+",IF(D114&lt;'PlayerGrades+'!$AA$3,"S-",IF(D114&lt;'PlayerGrades+'!$AA$2,"S","S+"))))))))))))))))))))</f>
        <v>#DIV/0!</v>
      </c>
      <c r="F114" s="961" t="str">
        <f t="shared" si="2"/>
        <v>#DIV/0!</v>
      </c>
      <c r="G114" s="961" t="str">
        <f>IF(F114&lt;'PlayerGrades+'!$AB$21,"F-",IF(F114&lt;'PlayerGrades+'!$AB$20,"F",IF(F114&lt;'PlayerGrades+'!$AB$19,"F+",IF(F114&lt;'PlayerGrades+'!$AB$18,"E-",IF(F114&lt;'PlayerGrades+'!$AB$17,"E",IF(F114&lt;'PlayerGrades+'!$AB$16,"E+",IF(F114&lt;'PlayerGrades+'!$AB$15,"D-",IF(F114&lt;'PlayerGrades+'!$AB$14,"D",IF(F114&lt;'PlayerGrades+'!$AB$13,"D+",IF(F114&lt;'PlayerGrades+'!$AB$12,"C-",IF(F114&lt;'PlayerGrades+'!$AB$11,"C",IF(F114&lt;'PlayerGrades+'!$AB$10,"C+",IF(F114&lt;'PlayerGrades+'!$AB$9,"B-",IF(F114&lt;'PlayerGrades+'!$AB$8,"B",IF(F114&lt;'PlayerGrades+'!$AB$7,"B+",IF(F114&lt;'PlayerGrades+'!$AB$6,"A-",IF(F114&lt;'PlayerGrades+'!$AB$5,"A",IF(F114&lt;'PlayerGrades+'!$AB$4,"A+",IF(F114&lt;'PlayerGrades+'!$AB$3,"S-",IF(F114&lt;'PlayerGrades+'!$AB$2,"S","S+"))))))))))))))))))))</f>
        <v>#DIV/0!</v>
      </c>
      <c r="H114" s="961" t="str">
        <f t="shared" si="3"/>
        <v>#DIV/0!</v>
      </c>
      <c r="I114" s="961" t="str">
        <f>IF(H114&lt;'PlayerGrades+'!$AC$21,"F-",IF(H114&lt;'PlayerGrades+'!$AC$20,"F",IF(H114&lt;'PlayerGrades+'!$AC$19,"F+",IF(H114&lt;'PlayerGrades+'!$AC$18,"E-",IF(H114&lt;'PlayerGrades+'!$AC$17,"E",IF(H114&lt;'PlayerGrades+'!$AC$16,"E+",IF(H114&lt;'PlayerGrades+'!$AC$15,"D-",IF(H114&lt;'PlayerGrades+'!$AC$14,"D",IF(H114&lt;'PlayerGrades+'!$AC$13,"D+",IF(H114&lt;'PlayerGrades+'!$AC$12,"C-",IF(H114&lt;'PlayerGrades+'!$AC$11,"C",IF(H114&lt;'PlayerGrades+'!$AC$10,"C+",IF(H114&lt;'PlayerGrades+'!$AC$9,"B-",IF(H114&lt;'PlayerGrades+'!$AC$8,"B",IF(H114&lt;'PlayerGrades+'!$AC$7,"B+",IF(H114&lt;'PlayerGrades+'!$AC$6,"A-",IF(H114&lt;'PlayerGrades+'!$AC$5,"A",IF(H114&lt;'PlayerGrades+'!$AC$4,"A+",IF(H114&lt;'PlayerGrades+'!$AC$3,"S-",IF(H114&lt;'PlayerGrades+'!$AC$2,"S","S+"))))))))))))))))))))</f>
        <v>#DIV/0!</v>
      </c>
      <c r="J114" s="961" t="str">
        <f t="shared" si="4"/>
        <v>#DIV/0!</v>
      </c>
      <c r="K114" s="961" t="str">
        <f>IF(J114&lt;'PlayerGrades+'!$AD$21,"F-",IF(J114&lt;'PlayerGrades+'!$AD$20,"F",IF(J114&lt;'PlayerGrades+'!$AD$19,"F+",IF(J114&lt;'PlayerGrades+'!$AD$18,"E-",IF(J114&lt;'PlayerGrades+'!$AD$17,"E",IF(J114&lt;'PlayerGrades+'!$AD$16,"E+",IF(J114&lt;'PlayerGrades+'!$AD$15,"D-",IF(J114&lt;'PlayerGrades+'!$AD$14,"D",IF(J114&lt;'PlayerGrades+'!$AD$13,"D+",IF(J114&lt;'PlayerGrades+'!$AD$12,"C-",IF(J114&lt;'PlayerGrades+'!$AD$11,"C",IF(J114&lt;'PlayerGrades+'!$AD$10,"C+",IF(J114&lt;'PlayerGrades+'!$AD$9,"B-",IF(J114&lt;'PlayerGrades+'!$AD$8,"B",IF(J114&lt;'PlayerGrades+'!$AD$7,"B+",IF(J114&lt;'PlayerGrades+'!$AD$6,"A-",IF(J114&lt;'PlayerGrades+'!$AD$5,"A",IF(J114&lt;'PlayerGrades+'!$AD$4,"A+",IF(J114&lt;'PlayerGrades+'!$AD$3,"S-",IF(J114&lt;'PlayerGrades+'!$AD$2,"S","S+"))))))))))))))))))))</f>
        <v>#DIV/0!</v>
      </c>
      <c r="L114" s="1176" t="str">
        <f t="shared" si="5"/>
        <v>#DIV/0!</v>
      </c>
      <c r="M114" s="992" t="str">
        <f>IF(L114&lt;'PlayerGrades+'!$AE$21,"F-",IF(L114&lt;'PlayerGrades+'!$AE$20,"F",IF(L114&lt;'PlayerGrades+'!$AE$19,"F+",IF(L114&lt;'PlayerGrades+'!$AE$18,"E-",IF(L114&lt;'PlayerGrades+'!$AE$17,"E",IF(L114&lt;'PlayerGrades+'!$AE$16,"E+",IF(L114&lt;'PlayerGrades+'!$AE$15,"D-",IF(L114&lt;'PlayerGrades+'!$AE$14,"D",IF(L114&lt;'PlayerGrades+'!$AE$13,"D+",IF(L114&lt;'PlayerGrades+'!$AE$12,"C-",IF(L114&lt;'PlayerGrades+'!$AE$11,"C",IF(L114&lt;'PlayerGrades+'!$AE$10,"C+",IF(L114&lt;'PlayerGrades+'!$AE$9,"B-",IF(L114&lt;'PlayerGrades+'!$AE$8,"B",IF(L114&lt;'PlayerGrades+'!$AE$7,"B+",IF(L114&lt;'PlayerGrades+'!$AE$6,"A-",IF(L114&lt;'PlayerGrades+'!$AE$5,"A",IF(L114&lt;'PlayerGrades+'!$AE$4,"A+",IF(L114&lt;'PlayerGrades+'!$AE$3,"S-",IF(L114&lt;'PlayerGrades+'!$AE$2,"S","S+"))))))))))))))))))))</f>
        <v>#DIV/0!</v>
      </c>
      <c r="N114" s="961" t="str">
        <f t="shared" si="6"/>
        <v>#DIV/0!</v>
      </c>
      <c r="O114" s="961" t="str">
        <f>IF(N114&lt;'PlayerGrades+'!$AF$21,"F-",IF(N114&lt;'PlayerGrades+'!$AF$20,"F",IF(N114&lt;'PlayerGrades+'!$AF$19,"F+",IF(N114&lt;'PlayerGrades+'!$AF$18,"E-",IF(N114&lt;'PlayerGrades+'!$AF$17,"E",IF(N114&lt;'PlayerGrades+'!$AF$16,"E+",IF(N114&lt;'PlayerGrades+'!$AF$15,"D-",IF(N114&lt;'PlayerGrades+'!$AF$14,"D",IF(N114&lt;'PlayerGrades+'!$AF$13,"D+",IF(N114&lt;'PlayerGrades+'!$AF$12,"C-",IF(N114&lt;'PlayerGrades+'!$AF$11,"C",IF(N114&lt;'PlayerGrades+'!$AF$10,"C+",IF(N114&lt;'PlayerGrades+'!$AF$9,"B-",IF(N114&lt;'PlayerGrades+'!$AF$8,"B",IF(N114&lt;'PlayerGrades+'!$AF$7,"B+",IF(N114&lt;'PlayerGrades+'!$AF$6,"A-",IF(N114&lt;'PlayerGrades+'!$AF$5,"A",IF(N114&lt;'PlayerGrades+'!$AF$4,"A+",IF(N114&lt;'PlayerGrades+'!$AF$3,"S-",IF(N114&lt;'PlayerGrades+'!$AF$2,"S","S+"))))))))))))))))))))</f>
        <v>#DIV/0!</v>
      </c>
      <c r="P114" s="961" t="str">
        <f t="shared" si="7"/>
        <v>#DIV/0!</v>
      </c>
      <c r="Q114" s="961" t="str">
        <f>IF(P114&lt;'PlayerGrades+'!$AG$21,"F-",IF(P114&lt;'PlayerGrades+'!$AG$20,"F",IF(P114&lt;'PlayerGrades+'!$AG$19,"F+",IF(P114&lt;'PlayerGrades+'!$AG$18,"E-",IF(P114&lt;'PlayerGrades+'!$AG$17,"E",IF(P114&lt;'PlayerGrades+'!$AG$16,"E+",IF(P114&lt;'PlayerGrades+'!$AG$15,"D-",IF(P114&lt;'PlayerGrades+'!$AG$14,"D",IF(P114&lt;'PlayerGrades+'!$AG$13,"D+",IF(P114&lt;'PlayerGrades+'!$AG$12,"C-",IF(P114&lt;'PlayerGrades+'!$AG$11,"C",IF(P114&lt;'PlayerGrades+'!$AG$10,"C+",IF(P114&lt;'PlayerGrades+'!$AG$9,"B-",IF(P114&lt;'PlayerGrades+'!$AG$8,"B",IF(P114&lt;'PlayerGrades+'!$AG$7,"B+",IF(P114&lt;'PlayerGrades+'!$AG$6,"A-",IF(P114&lt;'PlayerGrades+'!$AG$5,"A",IF(P114&lt;'PlayerGrades+'!$AG$4,"A+",IF(P114&lt;'PlayerGrades+'!$AG$3,"S-",IF(P114&lt;'PlayerGrades+'!$AG$2,"S","S+"))))))))))))))))))))</f>
        <v>#DIV/0!</v>
      </c>
      <c r="R114" s="961" t="str">
        <f t="shared" si="8"/>
        <v>#DIV/0!</v>
      </c>
      <c r="S114" s="961" t="str">
        <f>IF(R114&lt;'PlayerGrades+'!$AH$21,"F-",IF(R114&lt;'PlayerGrades+'!$AH$20,"F",IF(R114&lt;'PlayerGrades+'!$AH$19,"F+",IF(R114&lt;'PlayerGrades+'!$AH$18,"E-",IF(R114&lt;'PlayerGrades+'!$AH$17,"E",IF(R114&lt;'PlayerGrades+'!$AH$16,"E+",IF(R114&lt;'PlayerGrades+'!$AH$15,"D-",IF(R114&lt;'PlayerGrades+'!$AH$14,"D",IF(R114&lt;'PlayerGrades+'!$AH$13,"D+",IF(R114&lt;'PlayerGrades+'!$AH$12,"C-",IF(R114&lt;'PlayerGrades+'!$AH$11,"C",IF(R114&lt;'PlayerGrades+'!$AH$10,"C+",IF(R114&lt;'PlayerGrades+'!$AH$9,"B-",IF(R114&lt;'PlayerGrades+'!$AH$8,"B",IF(R114&lt;'PlayerGrades+'!$AH$7,"B+",IF(R114&lt;'PlayerGrades+'!$AH$6,"A-",IF(R114&lt;'PlayerGrades+'!$AH$5,"A",IF(R114&lt;'PlayerGrades+'!$AH$4,"A+",IF(R114&lt;'PlayerGrades+'!$AH$3,"S-",IF(R114&lt;'PlayerGrades+'!$AH$2,"S","S+"))))))))))))))))))))</f>
        <v>#DIV/0!</v>
      </c>
      <c r="T114" s="961">
        <f t="shared" si="9"/>
        <v>0</v>
      </c>
      <c r="U114" s="961" t="str">
        <f>IF(T114&lt;'PlayerGrades+'!$AI$21,"F-",IF(T114&lt;'PlayerGrades+'!$AI$20,"F",IF(T114&lt;'PlayerGrades+'!$AI$19,"F+",IF(T114&lt;'PlayerGrades+'!$AI$18,"E-",IF(T114&lt;'PlayerGrades+'!$AI$17,"E",IF(T114&lt;'PlayerGrades+'!$AI$16,"E+",IF(T114&lt;'PlayerGrades+'!$AI$15,"D-",IF(T114&lt;'PlayerGrades+'!$AI$14,"D",IF(T114&lt;'PlayerGrades+'!$AI$13,"D+",IF(T114&lt;'PlayerGrades+'!$AI$12,"C-",IF(T114&lt;'PlayerGrades+'!$AI$11,"C",IF(T114&lt;'PlayerGrades+'!$AI$10,"C+",IF(T114&lt;'PlayerGrades+'!$AI$9,"B-",IF(T114&lt;'PlayerGrades+'!$AI$8,"B",IF(T114&lt;'PlayerGrades+'!$AI$7,"B+",IF(T114&lt;'PlayerGrades+'!$AI$6,"A-",IF(T114&lt;'PlayerGrades+'!$AI$5,"A",IF(T114&lt;'PlayerGrades+'!$AI$4,"A+",IF(T114&lt;'PlayerGrades+'!$AI$3,"S-",IF(T114&lt;'PlayerGrades+'!$AI$2,"S","S+"))))))))))))))))))))</f>
        <v>F-</v>
      </c>
      <c r="V114" s="1379"/>
      <c r="W114" s="1379"/>
      <c r="X114" s="1379"/>
      <c r="Y114" s="1379"/>
      <c r="Z114" s="1379"/>
      <c r="AA114" s="1379"/>
      <c r="AB114" s="1379"/>
      <c r="AC114" s="1390"/>
      <c r="AD114" s="1379"/>
      <c r="AE114" s="1379"/>
      <c r="AF114" s="1379"/>
      <c r="AG114" s="1379"/>
      <c r="AH114" s="1379"/>
      <c r="AI114" s="1379"/>
      <c r="AJ114" s="1379"/>
      <c r="AK114" s="1379"/>
      <c r="AL114" s="1379"/>
      <c r="AM114" s="1379"/>
      <c r="AN114" s="1379"/>
      <c r="AO114" s="1379"/>
      <c r="AP114" s="1379"/>
      <c r="AQ114" s="1379"/>
      <c r="AR114" s="1379"/>
      <c r="AS114" s="1379"/>
      <c r="AT114" s="1379"/>
      <c r="AU114" s="1379"/>
      <c r="AV114" s="1379"/>
      <c r="AW114" s="1379"/>
      <c r="AX114" s="1379"/>
      <c r="AY114" s="1379"/>
      <c r="AZ114" s="1379"/>
    </row>
    <row r="115">
      <c r="A115" s="1391"/>
      <c r="B115" s="611" t="str">
        <f>IF(C115&lt;'PlayerGrades+'!$Y$44,"F-",IF(C115&lt;'PlayerGrades+'!$Y$43,"F",IF(C115&lt;'PlayerGrades+'!$Y$42,"F+",IF(C115&lt;'PlayerGrades+'!$Y$41,"E-",IF(C115&lt;'PlayerGrades+'!$Y$40,"E",IF(C115&lt;'PlayerGrades+'!$Y$39,"E+",IF(C115&lt;'PlayerGrades+'!$Y$38,"D-",IF(C115&lt;'PlayerGrades+'!$Y$37,"D",IF(C115&lt;'PlayerGrades+'!$Y$36,"D+",IF(C115&lt;'PlayerGrades+'!$Y$35,"C-",IF(C115&lt;'PlayerGrades+'!$Y$34,"C",IF(C115&lt;'PlayerGrades+'!$Y$33,"C+",IF(C115&lt;'PlayerGrades+'!$Y$32,"B-",IF(C115&lt;'PlayerGrades+'!$Y$31,"B",IF(C115&lt;'PlayerGrades+'!$Y$30,"B+",IF(C115&lt;'PlayerGrades+'!$Y$29,"A-",IF(C115&lt;'PlayerGrades+'!$Y$28,"A",IF(C115&lt;'PlayerGrades+'!$Y$27,"A+",IF(C115&lt;'PlayerGrades+'!$Y$26,"S-",IF(C115&lt;'PlayerGrades+'!$Y$25,"S","S+"))))))))))))))))))))</f>
        <v>#DIV/0!</v>
      </c>
      <c r="C115" s="1378" t="str">
        <f>('PlayerGrades+'!$Y$47*(VLOOKUP(E115, 'PlayerGrades+'!$X$3:$Y$23, 2, FALSE)))+('PlayerGrades+'!$Y$48*(VLOOKUP(G115, 'PlayerGrades+'!$X$3:$Y$23, 2, FALSE)))+('PlayerGrades+'!$Y$49*(VLOOKUP(I115, 'PlayerGrades+'!$X$3:$Y$23, 2, FALSE)))+('PlayerGrades+'!$Y$50*(VLOOKUP(K115, 'PlayerGrades+'!$X$3:$Y$23, 2, FALSE)))+('PlayerGrades+'!$Y$51*(VLOOKUP(M115, 'PlayerGrades+'!$X$3:$Y$23, 2, FALSE)))+('PlayerGrades+'!$Y$52*(VLOOKUP(O115, 'PlayerGrades+'!$X$3:$Y$23, 2, FALSE)))+('PlayerGrades+'!$Y$53*(VLOOKUP(Q115, 'PlayerGrades+'!$X$3:$Y$23, 2, FALSE)))+('PlayerGrades+'!$Y$54*(VLOOKUP(S115, 'PlayerGrades+'!$X$3:$Y$23, 2, FALSE)))+('PlayerGrades+'!$Y$55*(VLOOKUP(U115, 'PlayerGrades+'!$X$3:$Y$23, 2, FALSE)))</f>
        <v>#DIV/0!</v>
      </c>
      <c r="D115" s="961" t="str">
        <f t="shared" si="1"/>
        <v>#DIV/0!</v>
      </c>
      <c r="E115" s="961" t="str">
        <f>IF(D115&lt;'PlayerGrades+'!$AA$21,"F-",IF(D115&lt;'PlayerGrades+'!$AA$20,"F",IF(D115&lt;'PlayerGrades+'!$AA$19,"F+",IF(D115&lt;'PlayerGrades+'!$AA$18,"E-",IF(D115&lt;'PlayerGrades+'!$AA$17,"E",IF(D115&lt;'PlayerGrades+'!$AA$16,"E+",IF(D115&lt;'PlayerGrades+'!$AA$15,"D-",IF(D115&lt;'PlayerGrades+'!$AA$14,"D",IF(D115&lt;'PlayerGrades+'!$AA$13,"D+",IF(D115&lt;'PlayerGrades+'!$AA$12,"C-",IF(D115&lt;'PlayerGrades+'!$AA$11,"C",IF(D115&lt;'PlayerGrades+'!$AA$10,"C+",IF(D115&lt;'PlayerGrades+'!$AA$9,"B-",IF(D115&lt;'PlayerGrades+'!$AA$8,"B",IF(D115&lt;'PlayerGrades+'!$AA$7,"B+",IF(D115&lt;'PlayerGrades+'!$AA$6,"A-",IF(D115&lt;'PlayerGrades+'!$AA$5,"A",IF(D115&lt;'PlayerGrades+'!$AA$4,"A+",IF(D115&lt;'PlayerGrades+'!$AA$3,"S-",IF(D115&lt;'PlayerGrades+'!$AA$2,"S","S+"))))))))))))))))))))</f>
        <v>#DIV/0!</v>
      </c>
      <c r="F115" s="961" t="str">
        <f t="shared" si="2"/>
        <v>#DIV/0!</v>
      </c>
      <c r="G115" s="961" t="str">
        <f>IF(F115&lt;'PlayerGrades+'!$AB$21,"F-",IF(F115&lt;'PlayerGrades+'!$AB$20,"F",IF(F115&lt;'PlayerGrades+'!$AB$19,"F+",IF(F115&lt;'PlayerGrades+'!$AB$18,"E-",IF(F115&lt;'PlayerGrades+'!$AB$17,"E",IF(F115&lt;'PlayerGrades+'!$AB$16,"E+",IF(F115&lt;'PlayerGrades+'!$AB$15,"D-",IF(F115&lt;'PlayerGrades+'!$AB$14,"D",IF(F115&lt;'PlayerGrades+'!$AB$13,"D+",IF(F115&lt;'PlayerGrades+'!$AB$12,"C-",IF(F115&lt;'PlayerGrades+'!$AB$11,"C",IF(F115&lt;'PlayerGrades+'!$AB$10,"C+",IF(F115&lt;'PlayerGrades+'!$AB$9,"B-",IF(F115&lt;'PlayerGrades+'!$AB$8,"B",IF(F115&lt;'PlayerGrades+'!$AB$7,"B+",IF(F115&lt;'PlayerGrades+'!$AB$6,"A-",IF(F115&lt;'PlayerGrades+'!$AB$5,"A",IF(F115&lt;'PlayerGrades+'!$AB$4,"A+",IF(F115&lt;'PlayerGrades+'!$AB$3,"S-",IF(F115&lt;'PlayerGrades+'!$AB$2,"S","S+"))))))))))))))))))))</f>
        <v>#DIV/0!</v>
      </c>
      <c r="H115" s="961" t="str">
        <f t="shared" si="3"/>
        <v>#DIV/0!</v>
      </c>
      <c r="I115" s="961" t="str">
        <f>IF(H115&lt;'PlayerGrades+'!$AC$21,"F-",IF(H115&lt;'PlayerGrades+'!$AC$20,"F",IF(H115&lt;'PlayerGrades+'!$AC$19,"F+",IF(H115&lt;'PlayerGrades+'!$AC$18,"E-",IF(H115&lt;'PlayerGrades+'!$AC$17,"E",IF(H115&lt;'PlayerGrades+'!$AC$16,"E+",IF(H115&lt;'PlayerGrades+'!$AC$15,"D-",IF(H115&lt;'PlayerGrades+'!$AC$14,"D",IF(H115&lt;'PlayerGrades+'!$AC$13,"D+",IF(H115&lt;'PlayerGrades+'!$AC$12,"C-",IF(H115&lt;'PlayerGrades+'!$AC$11,"C",IF(H115&lt;'PlayerGrades+'!$AC$10,"C+",IF(H115&lt;'PlayerGrades+'!$AC$9,"B-",IF(H115&lt;'PlayerGrades+'!$AC$8,"B",IF(H115&lt;'PlayerGrades+'!$AC$7,"B+",IF(H115&lt;'PlayerGrades+'!$AC$6,"A-",IF(H115&lt;'PlayerGrades+'!$AC$5,"A",IF(H115&lt;'PlayerGrades+'!$AC$4,"A+",IF(H115&lt;'PlayerGrades+'!$AC$3,"S-",IF(H115&lt;'PlayerGrades+'!$AC$2,"S","S+"))))))))))))))))))))</f>
        <v>#DIV/0!</v>
      </c>
      <c r="J115" s="961" t="str">
        <f t="shared" si="4"/>
        <v>#DIV/0!</v>
      </c>
      <c r="K115" s="961" t="str">
        <f>IF(J115&lt;'PlayerGrades+'!$AD$21,"F-",IF(J115&lt;'PlayerGrades+'!$AD$20,"F",IF(J115&lt;'PlayerGrades+'!$AD$19,"F+",IF(J115&lt;'PlayerGrades+'!$AD$18,"E-",IF(J115&lt;'PlayerGrades+'!$AD$17,"E",IF(J115&lt;'PlayerGrades+'!$AD$16,"E+",IF(J115&lt;'PlayerGrades+'!$AD$15,"D-",IF(J115&lt;'PlayerGrades+'!$AD$14,"D",IF(J115&lt;'PlayerGrades+'!$AD$13,"D+",IF(J115&lt;'PlayerGrades+'!$AD$12,"C-",IF(J115&lt;'PlayerGrades+'!$AD$11,"C",IF(J115&lt;'PlayerGrades+'!$AD$10,"C+",IF(J115&lt;'PlayerGrades+'!$AD$9,"B-",IF(J115&lt;'PlayerGrades+'!$AD$8,"B",IF(J115&lt;'PlayerGrades+'!$AD$7,"B+",IF(J115&lt;'PlayerGrades+'!$AD$6,"A-",IF(J115&lt;'PlayerGrades+'!$AD$5,"A",IF(J115&lt;'PlayerGrades+'!$AD$4,"A+",IF(J115&lt;'PlayerGrades+'!$AD$3,"S-",IF(J115&lt;'PlayerGrades+'!$AD$2,"S","S+"))))))))))))))))))))</f>
        <v>#DIV/0!</v>
      </c>
      <c r="L115" s="1176" t="str">
        <f t="shared" si="5"/>
        <v>#DIV/0!</v>
      </c>
      <c r="M115" s="992" t="str">
        <f>IF(L115&lt;'PlayerGrades+'!$AE$21,"F-",IF(L115&lt;'PlayerGrades+'!$AE$20,"F",IF(L115&lt;'PlayerGrades+'!$AE$19,"F+",IF(L115&lt;'PlayerGrades+'!$AE$18,"E-",IF(L115&lt;'PlayerGrades+'!$AE$17,"E",IF(L115&lt;'PlayerGrades+'!$AE$16,"E+",IF(L115&lt;'PlayerGrades+'!$AE$15,"D-",IF(L115&lt;'PlayerGrades+'!$AE$14,"D",IF(L115&lt;'PlayerGrades+'!$AE$13,"D+",IF(L115&lt;'PlayerGrades+'!$AE$12,"C-",IF(L115&lt;'PlayerGrades+'!$AE$11,"C",IF(L115&lt;'PlayerGrades+'!$AE$10,"C+",IF(L115&lt;'PlayerGrades+'!$AE$9,"B-",IF(L115&lt;'PlayerGrades+'!$AE$8,"B",IF(L115&lt;'PlayerGrades+'!$AE$7,"B+",IF(L115&lt;'PlayerGrades+'!$AE$6,"A-",IF(L115&lt;'PlayerGrades+'!$AE$5,"A",IF(L115&lt;'PlayerGrades+'!$AE$4,"A+",IF(L115&lt;'PlayerGrades+'!$AE$3,"S-",IF(L115&lt;'PlayerGrades+'!$AE$2,"S","S+"))))))))))))))))))))</f>
        <v>#DIV/0!</v>
      </c>
      <c r="N115" s="961" t="str">
        <f t="shared" si="6"/>
        <v>#DIV/0!</v>
      </c>
      <c r="O115" s="961" t="str">
        <f>IF(N115&lt;'PlayerGrades+'!$AF$21,"F-",IF(N115&lt;'PlayerGrades+'!$AF$20,"F",IF(N115&lt;'PlayerGrades+'!$AF$19,"F+",IF(N115&lt;'PlayerGrades+'!$AF$18,"E-",IF(N115&lt;'PlayerGrades+'!$AF$17,"E",IF(N115&lt;'PlayerGrades+'!$AF$16,"E+",IF(N115&lt;'PlayerGrades+'!$AF$15,"D-",IF(N115&lt;'PlayerGrades+'!$AF$14,"D",IF(N115&lt;'PlayerGrades+'!$AF$13,"D+",IF(N115&lt;'PlayerGrades+'!$AF$12,"C-",IF(N115&lt;'PlayerGrades+'!$AF$11,"C",IF(N115&lt;'PlayerGrades+'!$AF$10,"C+",IF(N115&lt;'PlayerGrades+'!$AF$9,"B-",IF(N115&lt;'PlayerGrades+'!$AF$8,"B",IF(N115&lt;'PlayerGrades+'!$AF$7,"B+",IF(N115&lt;'PlayerGrades+'!$AF$6,"A-",IF(N115&lt;'PlayerGrades+'!$AF$5,"A",IF(N115&lt;'PlayerGrades+'!$AF$4,"A+",IF(N115&lt;'PlayerGrades+'!$AF$3,"S-",IF(N115&lt;'PlayerGrades+'!$AF$2,"S","S+"))))))))))))))))))))</f>
        <v>#DIV/0!</v>
      </c>
      <c r="P115" s="961" t="str">
        <f t="shared" si="7"/>
        <v>#DIV/0!</v>
      </c>
      <c r="Q115" s="961" t="str">
        <f>IF(P115&lt;'PlayerGrades+'!$AG$21,"F-",IF(P115&lt;'PlayerGrades+'!$AG$20,"F",IF(P115&lt;'PlayerGrades+'!$AG$19,"F+",IF(P115&lt;'PlayerGrades+'!$AG$18,"E-",IF(P115&lt;'PlayerGrades+'!$AG$17,"E",IF(P115&lt;'PlayerGrades+'!$AG$16,"E+",IF(P115&lt;'PlayerGrades+'!$AG$15,"D-",IF(P115&lt;'PlayerGrades+'!$AG$14,"D",IF(P115&lt;'PlayerGrades+'!$AG$13,"D+",IF(P115&lt;'PlayerGrades+'!$AG$12,"C-",IF(P115&lt;'PlayerGrades+'!$AG$11,"C",IF(P115&lt;'PlayerGrades+'!$AG$10,"C+",IF(P115&lt;'PlayerGrades+'!$AG$9,"B-",IF(P115&lt;'PlayerGrades+'!$AG$8,"B",IF(P115&lt;'PlayerGrades+'!$AG$7,"B+",IF(P115&lt;'PlayerGrades+'!$AG$6,"A-",IF(P115&lt;'PlayerGrades+'!$AG$5,"A",IF(P115&lt;'PlayerGrades+'!$AG$4,"A+",IF(P115&lt;'PlayerGrades+'!$AG$3,"S-",IF(P115&lt;'PlayerGrades+'!$AG$2,"S","S+"))))))))))))))))))))</f>
        <v>#DIV/0!</v>
      </c>
      <c r="R115" s="961" t="str">
        <f t="shared" si="8"/>
        <v>#DIV/0!</v>
      </c>
      <c r="S115" s="961" t="str">
        <f>IF(R115&lt;'PlayerGrades+'!$AH$21,"F-",IF(R115&lt;'PlayerGrades+'!$AH$20,"F",IF(R115&lt;'PlayerGrades+'!$AH$19,"F+",IF(R115&lt;'PlayerGrades+'!$AH$18,"E-",IF(R115&lt;'PlayerGrades+'!$AH$17,"E",IF(R115&lt;'PlayerGrades+'!$AH$16,"E+",IF(R115&lt;'PlayerGrades+'!$AH$15,"D-",IF(R115&lt;'PlayerGrades+'!$AH$14,"D",IF(R115&lt;'PlayerGrades+'!$AH$13,"D+",IF(R115&lt;'PlayerGrades+'!$AH$12,"C-",IF(R115&lt;'PlayerGrades+'!$AH$11,"C",IF(R115&lt;'PlayerGrades+'!$AH$10,"C+",IF(R115&lt;'PlayerGrades+'!$AH$9,"B-",IF(R115&lt;'PlayerGrades+'!$AH$8,"B",IF(R115&lt;'PlayerGrades+'!$AH$7,"B+",IF(R115&lt;'PlayerGrades+'!$AH$6,"A-",IF(R115&lt;'PlayerGrades+'!$AH$5,"A",IF(R115&lt;'PlayerGrades+'!$AH$4,"A+",IF(R115&lt;'PlayerGrades+'!$AH$3,"S-",IF(R115&lt;'PlayerGrades+'!$AH$2,"S","S+"))))))))))))))))))))</f>
        <v>#DIV/0!</v>
      </c>
      <c r="T115" s="961">
        <f t="shared" si="9"/>
        <v>0</v>
      </c>
      <c r="U115" s="961" t="str">
        <f>IF(T115&lt;'PlayerGrades+'!$AI$21,"F-",IF(T115&lt;'PlayerGrades+'!$AI$20,"F",IF(T115&lt;'PlayerGrades+'!$AI$19,"F+",IF(T115&lt;'PlayerGrades+'!$AI$18,"E-",IF(T115&lt;'PlayerGrades+'!$AI$17,"E",IF(T115&lt;'PlayerGrades+'!$AI$16,"E+",IF(T115&lt;'PlayerGrades+'!$AI$15,"D-",IF(T115&lt;'PlayerGrades+'!$AI$14,"D",IF(T115&lt;'PlayerGrades+'!$AI$13,"D+",IF(T115&lt;'PlayerGrades+'!$AI$12,"C-",IF(T115&lt;'PlayerGrades+'!$AI$11,"C",IF(T115&lt;'PlayerGrades+'!$AI$10,"C+",IF(T115&lt;'PlayerGrades+'!$AI$9,"B-",IF(T115&lt;'PlayerGrades+'!$AI$8,"B",IF(T115&lt;'PlayerGrades+'!$AI$7,"B+",IF(T115&lt;'PlayerGrades+'!$AI$6,"A-",IF(T115&lt;'PlayerGrades+'!$AI$5,"A",IF(T115&lt;'PlayerGrades+'!$AI$4,"A+",IF(T115&lt;'PlayerGrades+'!$AI$3,"S-",IF(T115&lt;'PlayerGrades+'!$AI$2,"S","S+"))))))))))))))))))))</f>
        <v>F-</v>
      </c>
      <c r="AC115" s="1392"/>
    </row>
    <row r="116">
      <c r="A116" s="1391"/>
      <c r="B116" s="611" t="str">
        <f>IF(C116&lt;'PlayerGrades+'!$Y$44,"F-",IF(C116&lt;'PlayerGrades+'!$Y$43,"F",IF(C116&lt;'PlayerGrades+'!$Y$42,"F+",IF(C116&lt;'PlayerGrades+'!$Y$41,"E-",IF(C116&lt;'PlayerGrades+'!$Y$40,"E",IF(C116&lt;'PlayerGrades+'!$Y$39,"E+",IF(C116&lt;'PlayerGrades+'!$Y$38,"D-",IF(C116&lt;'PlayerGrades+'!$Y$37,"D",IF(C116&lt;'PlayerGrades+'!$Y$36,"D+",IF(C116&lt;'PlayerGrades+'!$Y$35,"C-",IF(C116&lt;'PlayerGrades+'!$Y$34,"C",IF(C116&lt;'PlayerGrades+'!$Y$33,"C+",IF(C116&lt;'PlayerGrades+'!$Y$32,"B-",IF(C116&lt;'PlayerGrades+'!$Y$31,"B",IF(C116&lt;'PlayerGrades+'!$Y$30,"B+",IF(C116&lt;'PlayerGrades+'!$Y$29,"A-",IF(C116&lt;'PlayerGrades+'!$Y$28,"A",IF(C116&lt;'PlayerGrades+'!$Y$27,"A+",IF(C116&lt;'PlayerGrades+'!$Y$26,"S-",IF(C116&lt;'PlayerGrades+'!$Y$25,"S","S+"))))))))))))))))))))</f>
        <v>#DIV/0!</v>
      </c>
      <c r="C116" s="1378" t="str">
        <f>('PlayerGrades+'!$Y$47*(VLOOKUP(E116, 'PlayerGrades+'!$X$3:$Y$23, 2, FALSE)))+('PlayerGrades+'!$Y$48*(VLOOKUP(G116, 'PlayerGrades+'!$X$3:$Y$23, 2, FALSE)))+('PlayerGrades+'!$Y$49*(VLOOKUP(I116, 'PlayerGrades+'!$X$3:$Y$23, 2, FALSE)))+('PlayerGrades+'!$Y$50*(VLOOKUP(K116, 'PlayerGrades+'!$X$3:$Y$23, 2, FALSE)))+('PlayerGrades+'!$Y$51*(VLOOKUP(M116, 'PlayerGrades+'!$X$3:$Y$23, 2, FALSE)))+('PlayerGrades+'!$Y$52*(VLOOKUP(O116, 'PlayerGrades+'!$X$3:$Y$23, 2, FALSE)))+('PlayerGrades+'!$Y$53*(VLOOKUP(Q116, 'PlayerGrades+'!$X$3:$Y$23, 2, FALSE)))+('PlayerGrades+'!$Y$54*(VLOOKUP(S116, 'PlayerGrades+'!$X$3:$Y$23, 2, FALSE)))+('PlayerGrades+'!$Y$55*(VLOOKUP(U116, 'PlayerGrades+'!$X$3:$Y$23, 2, FALSE)))</f>
        <v>#DIV/0!</v>
      </c>
      <c r="D116" s="961" t="str">
        <f t="shared" si="1"/>
        <v>#DIV/0!</v>
      </c>
      <c r="E116" s="961" t="str">
        <f>IF(D116&lt;'PlayerGrades+'!$AA$21,"F-",IF(D116&lt;'PlayerGrades+'!$AA$20,"F",IF(D116&lt;'PlayerGrades+'!$AA$19,"F+",IF(D116&lt;'PlayerGrades+'!$AA$18,"E-",IF(D116&lt;'PlayerGrades+'!$AA$17,"E",IF(D116&lt;'PlayerGrades+'!$AA$16,"E+",IF(D116&lt;'PlayerGrades+'!$AA$15,"D-",IF(D116&lt;'PlayerGrades+'!$AA$14,"D",IF(D116&lt;'PlayerGrades+'!$AA$13,"D+",IF(D116&lt;'PlayerGrades+'!$AA$12,"C-",IF(D116&lt;'PlayerGrades+'!$AA$11,"C",IF(D116&lt;'PlayerGrades+'!$AA$10,"C+",IF(D116&lt;'PlayerGrades+'!$AA$9,"B-",IF(D116&lt;'PlayerGrades+'!$AA$8,"B",IF(D116&lt;'PlayerGrades+'!$AA$7,"B+",IF(D116&lt;'PlayerGrades+'!$AA$6,"A-",IF(D116&lt;'PlayerGrades+'!$AA$5,"A",IF(D116&lt;'PlayerGrades+'!$AA$4,"A+",IF(D116&lt;'PlayerGrades+'!$AA$3,"S-",IF(D116&lt;'PlayerGrades+'!$AA$2,"S","S+"))))))))))))))))))))</f>
        <v>#DIV/0!</v>
      </c>
      <c r="F116" s="961" t="str">
        <f t="shared" si="2"/>
        <v>#DIV/0!</v>
      </c>
      <c r="G116" s="961" t="str">
        <f>IF(F116&lt;'PlayerGrades+'!$AB$21,"F-",IF(F116&lt;'PlayerGrades+'!$AB$20,"F",IF(F116&lt;'PlayerGrades+'!$AB$19,"F+",IF(F116&lt;'PlayerGrades+'!$AB$18,"E-",IF(F116&lt;'PlayerGrades+'!$AB$17,"E",IF(F116&lt;'PlayerGrades+'!$AB$16,"E+",IF(F116&lt;'PlayerGrades+'!$AB$15,"D-",IF(F116&lt;'PlayerGrades+'!$AB$14,"D",IF(F116&lt;'PlayerGrades+'!$AB$13,"D+",IF(F116&lt;'PlayerGrades+'!$AB$12,"C-",IF(F116&lt;'PlayerGrades+'!$AB$11,"C",IF(F116&lt;'PlayerGrades+'!$AB$10,"C+",IF(F116&lt;'PlayerGrades+'!$AB$9,"B-",IF(F116&lt;'PlayerGrades+'!$AB$8,"B",IF(F116&lt;'PlayerGrades+'!$AB$7,"B+",IF(F116&lt;'PlayerGrades+'!$AB$6,"A-",IF(F116&lt;'PlayerGrades+'!$AB$5,"A",IF(F116&lt;'PlayerGrades+'!$AB$4,"A+",IF(F116&lt;'PlayerGrades+'!$AB$3,"S-",IF(F116&lt;'PlayerGrades+'!$AB$2,"S","S+"))))))))))))))))))))</f>
        <v>#DIV/0!</v>
      </c>
      <c r="H116" s="961" t="str">
        <f t="shared" si="3"/>
        <v>#DIV/0!</v>
      </c>
      <c r="I116" s="961" t="str">
        <f>IF(H116&lt;'PlayerGrades+'!$AC$21,"F-",IF(H116&lt;'PlayerGrades+'!$AC$20,"F",IF(H116&lt;'PlayerGrades+'!$AC$19,"F+",IF(H116&lt;'PlayerGrades+'!$AC$18,"E-",IF(H116&lt;'PlayerGrades+'!$AC$17,"E",IF(H116&lt;'PlayerGrades+'!$AC$16,"E+",IF(H116&lt;'PlayerGrades+'!$AC$15,"D-",IF(H116&lt;'PlayerGrades+'!$AC$14,"D",IF(H116&lt;'PlayerGrades+'!$AC$13,"D+",IF(H116&lt;'PlayerGrades+'!$AC$12,"C-",IF(H116&lt;'PlayerGrades+'!$AC$11,"C",IF(H116&lt;'PlayerGrades+'!$AC$10,"C+",IF(H116&lt;'PlayerGrades+'!$AC$9,"B-",IF(H116&lt;'PlayerGrades+'!$AC$8,"B",IF(H116&lt;'PlayerGrades+'!$AC$7,"B+",IF(H116&lt;'PlayerGrades+'!$AC$6,"A-",IF(H116&lt;'PlayerGrades+'!$AC$5,"A",IF(H116&lt;'PlayerGrades+'!$AC$4,"A+",IF(H116&lt;'PlayerGrades+'!$AC$3,"S-",IF(H116&lt;'PlayerGrades+'!$AC$2,"S","S+"))))))))))))))))))))</f>
        <v>#DIV/0!</v>
      </c>
      <c r="J116" s="961" t="str">
        <f t="shared" si="4"/>
        <v>#DIV/0!</v>
      </c>
      <c r="K116" s="961" t="str">
        <f>IF(J116&lt;'PlayerGrades+'!$AD$21,"F-",IF(J116&lt;'PlayerGrades+'!$AD$20,"F",IF(J116&lt;'PlayerGrades+'!$AD$19,"F+",IF(J116&lt;'PlayerGrades+'!$AD$18,"E-",IF(J116&lt;'PlayerGrades+'!$AD$17,"E",IF(J116&lt;'PlayerGrades+'!$AD$16,"E+",IF(J116&lt;'PlayerGrades+'!$AD$15,"D-",IF(J116&lt;'PlayerGrades+'!$AD$14,"D",IF(J116&lt;'PlayerGrades+'!$AD$13,"D+",IF(J116&lt;'PlayerGrades+'!$AD$12,"C-",IF(J116&lt;'PlayerGrades+'!$AD$11,"C",IF(J116&lt;'PlayerGrades+'!$AD$10,"C+",IF(J116&lt;'PlayerGrades+'!$AD$9,"B-",IF(J116&lt;'PlayerGrades+'!$AD$8,"B",IF(J116&lt;'PlayerGrades+'!$AD$7,"B+",IF(J116&lt;'PlayerGrades+'!$AD$6,"A-",IF(J116&lt;'PlayerGrades+'!$AD$5,"A",IF(J116&lt;'PlayerGrades+'!$AD$4,"A+",IF(J116&lt;'PlayerGrades+'!$AD$3,"S-",IF(J116&lt;'PlayerGrades+'!$AD$2,"S","S+"))))))))))))))))))))</f>
        <v>#DIV/0!</v>
      </c>
      <c r="L116" s="1176" t="str">
        <f t="shared" si="5"/>
        <v>#DIV/0!</v>
      </c>
      <c r="M116" s="992" t="str">
        <f>IF(L116&lt;'PlayerGrades+'!$AE$21,"F-",IF(L116&lt;'PlayerGrades+'!$AE$20,"F",IF(L116&lt;'PlayerGrades+'!$AE$19,"F+",IF(L116&lt;'PlayerGrades+'!$AE$18,"E-",IF(L116&lt;'PlayerGrades+'!$AE$17,"E",IF(L116&lt;'PlayerGrades+'!$AE$16,"E+",IF(L116&lt;'PlayerGrades+'!$AE$15,"D-",IF(L116&lt;'PlayerGrades+'!$AE$14,"D",IF(L116&lt;'PlayerGrades+'!$AE$13,"D+",IF(L116&lt;'PlayerGrades+'!$AE$12,"C-",IF(L116&lt;'PlayerGrades+'!$AE$11,"C",IF(L116&lt;'PlayerGrades+'!$AE$10,"C+",IF(L116&lt;'PlayerGrades+'!$AE$9,"B-",IF(L116&lt;'PlayerGrades+'!$AE$8,"B",IF(L116&lt;'PlayerGrades+'!$AE$7,"B+",IF(L116&lt;'PlayerGrades+'!$AE$6,"A-",IF(L116&lt;'PlayerGrades+'!$AE$5,"A",IF(L116&lt;'PlayerGrades+'!$AE$4,"A+",IF(L116&lt;'PlayerGrades+'!$AE$3,"S-",IF(L116&lt;'PlayerGrades+'!$AE$2,"S","S+"))))))))))))))))))))</f>
        <v>#DIV/0!</v>
      </c>
      <c r="N116" s="961" t="str">
        <f t="shared" si="6"/>
        <v>#DIV/0!</v>
      </c>
      <c r="O116" s="961" t="str">
        <f>IF(N116&lt;'PlayerGrades+'!$AF$21,"F-",IF(N116&lt;'PlayerGrades+'!$AF$20,"F",IF(N116&lt;'PlayerGrades+'!$AF$19,"F+",IF(N116&lt;'PlayerGrades+'!$AF$18,"E-",IF(N116&lt;'PlayerGrades+'!$AF$17,"E",IF(N116&lt;'PlayerGrades+'!$AF$16,"E+",IF(N116&lt;'PlayerGrades+'!$AF$15,"D-",IF(N116&lt;'PlayerGrades+'!$AF$14,"D",IF(N116&lt;'PlayerGrades+'!$AF$13,"D+",IF(N116&lt;'PlayerGrades+'!$AF$12,"C-",IF(N116&lt;'PlayerGrades+'!$AF$11,"C",IF(N116&lt;'PlayerGrades+'!$AF$10,"C+",IF(N116&lt;'PlayerGrades+'!$AF$9,"B-",IF(N116&lt;'PlayerGrades+'!$AF$8,"B",IF(N116&lt;'PlayerGrades+'!$AF$7,"B+",IF(N116&lt;'PlayerGrades+'!$AF$6,"A-",IF(N116&lt;'PlayerGrades+'!$AF$5,"A",IF(N116&lt;'PlayerGrades+'!$AF$4,"A+",IF(N116&lt;'PlayerGrades+'!$AF$3,"S-",IF(N116&lt;'PlayerGrades+'!$AF$2,"S","S+"))))))))))))))))))))</f>
        <v>#DIV/0!</v>
      </c>
      <c r="P116" s="961" t="str">
        <f t="shared" si="7"/>
        <v>#DIV/0!</v>
      </c>
      <c r="Q116" s="961" t="str">
        <f>IF(P116&lt;'PlayerGrades+'!$AG$21,"F-",IF(P116&lt;'PlayerGrades+'!$AG$20,"F",IF(P116&lt;'PlayerGrades+'!$AG$19,"F+",IF(P116&lt;'PlayerGrades+'!$AG$18,"E-",IF(P116&lt;'PlayerGrades+'!$AG$17,"E",IF(P116&lt;'PlayerGrades+'!$AG$16,"E+",IF(P116&lt;'PlayerGrades+'!$AG$15,"D-",IF(P116&lt;'PlayerGrades+'!$AG$14,"D",IF(P116&lt;'PlayerGrades+'!$AG$13,"D+",IF(P116&lt;'PlayerGrades+'!$AG$12,"C-",IF(P116&lt;'PlayerGrades+'!$AG$11,"C",IF(P116&lt;'PlayerGrades+'!$AG$10,"C+",IF(P116&lt;'PlayerGrades+'!$AG$9,"B-",IF(P116&lt;'PlayerGrades+'!$AG$8,"B",IF(P116&lt;'PlayerGrades+'!$AG$7,"B+",IF(P116&lt;'PlayerGrades+'!$AG$6,"A-",IF(P116&lt;'PlayerGrades+'!$AG$5,"A",IF(P116&lt;'PlayerGrades+'!$AG$4,"A+",IF(P116&lt;'PlayerGrades+'!$AG$3,"S-",IF(P116&lt;'PlayerGrades+'!$AG$2,"S","S+"))))))))))))))))))))</f>
        <v>#DIV/0!</v>
      </c>
      <c r="R116" s="961" t="str">
        <f t="shared" si="8"/>
        <v>#DIV/0!</v>
      </c>
      <c r="S116" s="961" t="str">
        <f>IF(R116&lt;'PlayerGrades+'!$AH$21,"F-",IF(R116&lt;'PlayerGrades+'!$AH$20,"F",IF(R116&lt;'PlayerGrades+'!$AH$19,"F+",IF(R116&lt;'PlayerGrades+'!$AH$18,"E-",IF(R116&lt;'PlayerGrades+'!$AH$17,"E",IF(R116&lt;'PlayerGrades+'!$AH$16,"E+",IF(R116&lt;'PlayerGrades+'!$AH$15,"D-",IF(R116&lt;'PlayerGrades+'!$AH$14,"D",IF(R116&lt;'PlayerGrades+'!$AH$13,"D+",IF(R116&lt;'PlayerGrades+'!$AH$12,"C-",IF(R116&lt;'PlayerGrades+'!$AH$11,"C",IF(R116&lt;'PlayerGrades+'!$AH$10,"C+",IF(R116&lt;'PlayerGrades+'!$AH$9,"B-",IF(R116&lt;'PlayerGrades+'!$AH$8,"B",IF(R116&lt;'PlayerGrades+'!$AH$7,"B+",IF(R116&lt;'PlayerGrades+'!$AH$6,"A-",IF(R116&lt;'PlayerGrades+'!$AH$5,"A",IF(R116&lt;'PlayerGrades+'!$AH$4,"A+",IF(R116&lt;'PlayerGrades+'!$AH$3,"S-",IF(R116&lt;'PlayerGrades+'!$AH$2,"S","S+"))))))))))))))))))))</f>
        <v>#DIV/0!</v>
      </c>
      <c r="T116" s="961">
        <f t="shared" si="9"/>
        <v>0</v>
      </c>
      <c r="U116" s="961" t="str">
        <f>IF(T116&lt;'PlayerGrades+'!$AI$21,"F-",IF(T116&lt;'PlayerGrades+'!$AI$20,"F",IF(T116&lt;'PlayerGrades+'!$AI$19,"F+",IF(T116&lt;'PlayerGrades+'!$AI$18,"E-",IF(T116&lt;'PlayerGrades+'!$AI$17,"E",IF(T116&lt;'PlayerGrades+'!$AI$16,"E+",IF(T116&lt;'PlayerGrades+'!$AI$15,"D-",IF(T116&lt;'PlayerGrades+'!$AI$14,"D",IF(T116&lt;'PlayerGrades+'!$AI$13,"D+",IF(T116&lt;'PlayerGrades+'!$AI$12,"C-",IF(T116&lt;'PlayerGrades+'!$AI$11,"C",IF(T116&lt;'PlayerGrades+'!$AI$10,"C+",IF(T116&lt;'PlayerGrades+'!$AI$9,"B-",IF(T116&lt;'PlayerGrades+'!$AI$8,"B",IF(T116&lt;'PlayerGrades+'!$AI$7,"B+",IF(T116&lt;'PlayerGrades+'!$AI$6,"A-",IF(T116&lt;'PlayerGrades+'!$AI$5,"A",IF(T116&lt;'PlayerGrades+'!$AI$4,"A+",IF(T116&lt;'PlayerGrades+'!$AI$3,"S-",IF(T116&lt;'PlayerGrades+'!$AI$2,"S","S+"))))))))))))))))))))</f>
        <v>F-</v>
      </c>
      <c r="AC116" s="1392"/>
    </row>
    <row r="117">
      <c r="A117" s="1391"/>
      <c r="B117" s="611" t="str">
        <f>IF(C117&lt;'PlayerGrades+'!$Y$44,"F-",IF(C117&lt;'PlayerGrades+'!$Y$43,"F",IF(C117&lt;'PlayerGrades+'!$Y$42,"F+",IF(C117&lt;'PlayerGrades+'!$Y$41,"E-",IF(C117&lt;'PlayerGrades+'!$Y$40,"E",IF(C117&lt;'PlayerGrades+'!$Y$39,"E+",IF(C117&lt;'PlayerGrades+'!$Y$38,"D-",IF(C117&lt;'PlayerGrades+'!$Y$37,"D",IF(C117&lt;'PlayerGrades+'!$Y$36,"D+",IF(C117&lt;'PlayerGrades+'!$Y$35,"C-",IF(C117&lt;'PlayerGrades+'!$Y$34,"C",IF(C117&lt;'PlayerGrades+'!$Y$33,"C+",IF(C117&lt;'PlayerGrades+'!$Y$32,"B-",IF(C117&lt;'PlayerGrades+'!$Y$31,"B",IF(C117&lt;'PlayerGrades+'!$Y$30,"B+",IF(C117&lt;'PlayerGrades+'!$Y$29,"A-",IF(C117&lt;'PlayerGrades+'!$Y$28,"A",IF(C117&lt;'PlayerGrades+'!$Y$27,"A+",IF(C117&lt;'PlayerGrades+'!$Y$26,"S-",IF(C117&lt;'PlayerGrades+'!$Y$25,"S","S+"))))))))))))))))))))</f>
        <v>#DIV/0!</v>
      </c>
      <c r="C117" s="1378" t="str">
        <f>('PlayerGrades+'!$Y$47*(VLOOKUP(E117, 'PlayerGrades+'!$X$3:$Y$23, 2, FALSE)))+('PlayerGrades+'!$Y$48*(VLOOKUP(G117, 'PlayerGrades+'!$X$3:$Y$23, 2, FALSE)))+('PlayerGrades+'!$Y$49*(VLOOKUP(I117, 'PlayerGrades+'!$X$3:$Y$23, 2, FALSE)))+('PlayerGrades+'!$Y$50*(VLOOKUP(K117, 'PlayerGrades+'!$X$3:$Y$23, 2, FALSE)))+('PlayerGrades+'!$Y$51*(VLOOKUP(M117, 'PlayerGrades+'!$X$3:$Y$23, 2, FALSE)))+('PlayerGrades+'!$Y$52*(VLOOKUP(O117, 'PlayerGrades+'!$X$3:$Y$23, 2, FALSE)))+('PlayerGrades+'!$Y$53*(VLOOKUP(Q117, 'PlayerGrades+'!$X$3:$Y$23, 2, FALSE)))+('PlayerGrades+'!$Y$54*(VLOOKUP(S117, 'PlayerGrades+'!$X$3:$Y$23, 2, FALSE)))+('PlayerGrades+'!$Y$55*(VLOOKUP(U117, 'PlayerGrades+'!$X$3:$Y$23, 2, FALSE)))</f>
        <v>#DIV/0!</v>
      </c>
      <c r="D117" s="961" t="str">
        <f t="shared" si="1"/>
        <v>#DIV/0!</v>
      </c>
      <c r="E117" s="961" t="str">
        <f>IF(D117&lt;'PlayerGrades+'!$AA$21,"F-",IF(D117&lt;'PlayerGrades+'!$AA$20,"F",IF(D117&lt;'PlayerGrades+'!$AA$19,"F+",IF(D117&lt;'PlayerGrades+'!$AA$18,"E-",IF(D117&lt;'PlayerGrades+'!$AA$17,"E",IF(D117&lt;'PlayerGrades+'!$AA$16,"E+",IF(D117&lt;'PlayerGrades+'!$AA$15,"D-",IF(D117&lt;'PlayerGrades+'!$AA$14,"D",IF(D117&lt;'PlayerGrades+'!$AA$13,"D+",IF(D117&lt;'PlayerGrades+'!$AA$12,"C-",IF(D117&lt;'PlayerGrades+'!$AA$11,"C",IF(D117&lt;'PlayerGrades+'!$AA$10,"C+",IF(D117&lt;'PlayerGrades+'!$AA$9,"B-",IF(D117&lt;'PlayerGrades+'!$AA$8,"B",IF(D117&lt;'PlayerGrades+'!$AA$7,"B+",IF(D117&lt;'PlayerGrades+'!$AA$6,"A-",IF(D117&lt;'PlayerGrades+'!$AA$5,"A",IF(D117&lt;'PlayerGrades+'!$AA$4,"A+",IF(D117&lt;'PlayerGrades+'!$AA$3,"S-",IF(D117&lt;'PlayerGrades+'!$AA$2,"S","S+"))))))))))))))))))))</f>
        <v>#DIV/0!</v>
      </c>
      <c r="F117" s="961" t="str">
        <f t="shared" si="2"/>
        <v>#DIV/0!</v>
      </c>
      <c r="G117" s="961" t="str">
        <f>IF(F117&lt;'PlayerGrades+'!$AB$21,"F-",IF(F117&lt;'PlayerGrades+'!$AB$20,"F",IF(F117&lt;'PlayerGrades+'!$AB$19,"F+",IF(F117&lt;'PlayerGrades+'!$AB$18,"E-",IF(F117&lt;'PlayerGrades+'!$AB$17,"E",IF(F117&lt;'PlayerGrades+'!$AB$16,"E+",IF(F117&lt;'PlayerGrades+'!$AB$15,"D-",IF(F117&lt;'PlayerGrades+'!$AB$14,"D",IF(F117&lt;'PlayerGrades+'!$AB$13,"D+",IF(F117&lt;'PlayerGrades+'!$AB$12,"C-",IF(F117&lt;'PlayerGrades+'!$AB$11,"C",IF(F117&lt;'PlayerGrades+'!$AB$10,"C+",IF(F117&lt;'PlayerGrades+'!$AB$9,"B-",IF(F117&lt;'PlayerGrades+'!$AB$8,"B",IF(F117&lt;'PlayerGrades+'!$AB$7,"B+",IF(F117&lt;'PlayerGrades+'!$AB$6,"A-",IF(F117&lt;'PlayerGrades+'!$AB$5,"A",IF(F117&lt;'PlayerGrades+'!$AB$4,"A+",IF(F117&lt;'PlayerGrades+'!$AB$3,"S-",IF(F117&lt;'PlayerGrades+'!$AB$2,"S","S+"))))))))))))))))))))</f>
        <v>#DIV/0!</v>
      </c>
      <c r="H117" s="961" t="str">
        <f t="shared" si="3"/>
        <v>#DIV/0!</v>
      </c>
      <c r="I117" s="961" t="str">
        <f>IF(H117&lt;'PlayerGrades+'!$AC$21,"F-",IF(H117&lt;'PlayerGrades+'!$AC$20,"F",IF(H117&lt;'PlayerGrades+'!$AC$19,"F+",IF(H117&lt;'PlayerGrades+'!$AC$18,"E-",IF(H117&lt;'PlayerGrades+'!$AC$17,"E",IF(H117&lt;'PlayerGrades+'!$AC$16,"E+",IF(H117&lt;'PlayerGrades+'!$AC$15,"D-",IF(H117&lt;'PlayerGrades+'!$AC$14,"D",IF(H117&lt;'PlayerGrades+'!$AC$13,"D+",IF(H117&lt;'PlayerGrades+'!$AC$12,"C-",IF(H117&lt;'PlayerGrades+'!$AC$11,"C",IF(H117&lt;'PlayerGrades+'!$AC$10,"C+",IF(H117&lt;'PlayerGrades+'!$AC$9,"B-",IF(H117&lt;'PlayerGrades+'!$AC$8,"B",IF(H117&lt;'PlayerGrades+'!$AC$7,"B+",IF(H117&lt;'PlayerGrades+'!$AC$6,"A-",IF(H117&lt;'PlayerGrades+'!$AC$5,"A",IF(H117&lt;'PlayerGrades+'!$AC$4,"A+",IF(H117&lt;'PlayerGrades+'!$AC$3,"S-",IF(H117&lt;'PlayerGrades+'!$AC$2,"S","S+"))))))))))))))))))))</f>
        <v>#DIV/0!</v>
      </c>
      <c r="J117" s="961" t="str">
        <f t="shared" si="4"/>
        <v>#DIV/0!</v>
      </c>
      <c r="K117" s="961" t="str">
        <f>IF(J117&lt;'PlayerGrades+'!$AD$21,"F-",IF(J117&lt;'PlayerGrades+'!$AD$20,"F",IF(J117&lt;'PlayerGrades+'!$AD$19,"F+",IF(J117&lt;'PlayerGrades+'!$AD$18,"E-",IF(J117&lt;'PlayerGrades+'!$AD$17,"E",IF(J117&lt;'PlayerGrades+'!$AD$16,"E+",IF(J117&lt;'PlayerGrades+'!$AD$15,"D-",IF(J117&lt;'PlayerGrades+'!$AD$14,"D",IF(J117&lt;'PlayerGrades+'!$AD$13,"D+",IF(J117&lt;'PlayerGrades+'!$AD$12,"C-",IF(J117&lt;'PlayerGrades+'!$AD$11,"C",IF(J117&lt;'PlayerGrades+'!$AD$10,"C+",IF(J117&lt;'PlayerGrades+'!$AD$9,"B-",IF(J117&lt;'PlayerGrades+'!$AD$8,"B",IF(J117&lt;'PlayerGrades+'!$AD$7,"B+",IF(J117&lt;'PlayerGrades+'!$AD$6,"A-",IF(J117&lt;'PlayerGrades+'!$AD$5,"A",IF(J117&lt;'PlayerGrades+'!$AD$4,"A+",IF(J117&lt;'PlayerGrades+'!$AD$3,"S-",IF(J117&lt;'PlayerGrades+'!$AD$2,"S","S+"))))))))))))))))))))</f>
        <v>#DIV/0!</v>
      </c>
      <c r="L117" s="1176" t="str">
        <f t="shared" si="5"/>
        <v>#DIV/0!</v>
      </c>
      <c r="M117" s="992" t="str">
        <f>IF(L117&lt;'PlayerGrades+'!$AE$21,"F-",IF(L117&lt;'PlayerGrades+'!$AE$20,"F",IF(L117&lt;'PlayerGrades+'!$AE$19,"F+",IF(L117&lt;'PlayerGrades+'!$AE$18,"E-",IF(L117&lt;'PlayerGrades+'!$AE$17,"E",IF(L117&lt;'PlayerGrades+'!$AE$16,"E+",IF(L117&lt;'PlayerGrades+'!$AE$15,"D-",IF(L117&lt;'PlayerGrades+'!$AE$14,"D",IF(L117&lt;'PlayerGrades+'!$AE$13,"D+",IF(L117&lt;'PlayerGrades+'!$AE$12,"C-",IF(L117&lt;'PlayerGrades+'!$AE$11,"C",IF(L117&lt;'PlayerGrades+'!$AE$10,"C+",IF(L117&lt;'PlayerGrades+'!$AE$9,"B-",IF(L117&lt;'PlayerGrades+'!$AE$8,"B",IF(L117&lt;'PlayerGrades+'!$AE$7,"B+",IF(L117&lt;'PlayerGrades+'!$AE$6,"A-",IF(L117&lt;'PlayerGrades+'!$AE$5,"A",IF(L117&lt;'PlayerGrades+'!$AE$4,"A+",IF(L117&lt;'PlayerGrades+'!$AE$3,"S-",IF(L117&lt;'PlayerGrades+'!$AE$2,"S","S+"))))))))))))))))))))</f>
        <v>#DIV/0!</v>
      </c>
      <c r="N117" s="961" t="str">
        <f t="shared" si="6"/>
        <v>#DIV/0!</v>
      </c>
      <c r="O117" s="961" t="str">
        <f>IF(N117&lt;'PlayerGrades+'!$AF$21,"F-",IF(N117&lt;'PlayerGrades+'!$AF$20,"F",IF(N117&lt;'PlayerGrades+'!$AF$19,"F+",IF(N117&lt;'PlayerGrades+'!$AF$18,"E-",IF(N117&lt;'PlayerGrades+'!$AF$17,"E",IF(N117&lt;'PlayerGrades+'!$AF$16,"E+",IF(N117&lt;'PlayerGrades+'!$AF$15,"D-",IF(N117&lt;'PlayerGrades+'!$AF$14,"D",IF(N117&lt;'PlayerGrades+'!$AF$13,"D+",IF(N117&lt;'PlayerGrades+'!$AF$12,"C-",IF(N117&lt;'PlayerGrades+'!$AF$11,"C",IF(N117&lt;'PlayerGrades+'!$AF$10,"C+",IF(N117&lt;'PlayerGrades+'!$AF$9,"B-",IF(N117&lt;'PlayerGrades+'!$AF$8,"B",IF(N117&lt;'PlayerGrades+'!$AF$7,"B+",IF(N117&lt;'PlayerGrades+'!$AF$6,"A-",IF(N117&lt;'PlayerGrades+'!$AF$5,"A",IF(N117&lt;'PlayerGrades+'!$AF$4,"A+",IF(N117&lt;'PlayerGrades+'!$AF$3,"S-",IF(N117&lt;'PlayerGrades+'!$AF$2,"S","S+"))))))))))))))))))))</f>
        <v>#DIV/0!</v>
      </c>
      <c r="P117" s="961" t="str">
        <f t="shared" si="7"/>
        <v>#DIV/0!</v>
      </c>
      <c r="Q117" s="961" t="str">
        <f>IF(P117&lt;'PlayerGrades+'!$AG$21,"F-",IF(P117&lt;'PlayerGrades+'!$AG$20,"F",IF(P117&lt;'PlayerGrades+'!$AG$19,"F+",IF(P117&lt;'PlayerGrades+'!$AG$18,"E-",IF(P117&lt;'PlayerGrades+'!$AG$17,"E",IF(P117&lt;'PlayerGrades+'!$AG$16,"E+",IF(P117&lt;'PlayerGrades+'!$AG$15,"D-",IF(P117&lt;'PlayerGrades+'!$AG$14,"D",IF(P117&lt;'PlayerGrades+'!$AG$13,"D+",IF(P117&lt;'PlayerGrades+'!$AG$12,"C-",IF(P117&lt;'PlayerGrades+'!$AG$11,"C",IF(P117&lt;'PlayerGrades+'!$AG$10,"C+",IF(P117&lt;'PlayerGrades+'!$AG$9,"B-",IF(P117&lt;'PlayerGrades+'!$AG$8,"B",IF(P117&lt;'PlayerGrades+'!$AG$7,"B+",IF(P117&lt;'PlayerGrades+'!$AG$6,"A-",IF(P117&lt;'PlayerGrades+'!$AG$5,"A",IF(P117&lt;'PlayerGrades+'!$AG$4,"A+",IF(P117&lt;'PlayerGrades+'!$AG$3,"S-",IF(P117&lt;'PlayerGrades+'!$AG$2,"S","S+"))))))))))))))))))))</f>
        <v>#DIV/0!</v>
      </c>
      <c r="R117" s="961" t="str">
        <f t="shared" si="8"/>
        <v>#DIV/0!</v>
      </c>
      <c r="S117" s="961" t="str">
        <f>IF(R117&lt;'PlayerGrades+'!$AH$21,"F-",IF(R117&lt;'PlayerGrades+'!$AH$20,"F",IF(R117&lt;'PlayerGrades+'!$AH$19,"F+",IF(R117&lt;'PlayerGrades+'!$AH$18,"E-",IF(R117&lt;'PlayerGrades+'!$AH$17,"E",IF(R117&lt;'PlayerGrades+'!$AH$16,"E+",IF(R117&lt;'PlayerGrades+'!$AH$15,"D-",IF(R117&lt;'PlayerGrades+'!$AH$14,"D",IF(R117&lt;'PlayerGrades+'!$AH$13,"D+",IF(R117&lt;'PlayerGrades+'!$AH$12,"C-",IF(R117&lt;'PlayerGrades+'!$AH$11,"C",IF(R117&lt;'PlayerGrades+'!$AH$10,"C+",IF(R117&lt;'PlayerGrades+'!$AH$9,"B-",IF(R117&lt;'PlayerGrades+'!$AH$8,"B",IF(R117&lt;'PlayerGrades+'!$AH$7,"B+",IF(R117&lt;'PlayerGrades+'!$AH$6,"A-",IF(R117&lt;'PlayerGrades+'!$AH$5,"A",IF(R117&lt;'PlayerGrades+'!$AH$4,"A+",IF(R117&lt;'PlayerGrades+'!$AH$3,"S-",IF(R117&lt;'PlayerGrades+'!$AH$2,"S","S+"))))))))))))))))))))</f>
        <v>#DIV/0!</v>
      </c>
      <c r="T117" s="961">
        <f t="shared" si="9"/>
        <v>0</v>
      </c>
      <c r="U117" s="961" t="str">
        <f>IF(T117&lt;'PlayerGrades+'!$AI$21,"F-",IF(T117&lt;'PlayerGrades+'!$AI$20,"F",IF(T117&lt;'PlayerGrades+'!$AI$19,"F+",IF(T117&lt;'PlayerGrades+'!$AI$18,"E-",IF(T117&lt;'PlayerGrades+'!$AI$17,"E",IF(T117&lt;'PlayerGrades+'!$AI$16,"E+",IF(T117&lt;'PlayerGrades+'!$AI$15,"D-",IF(T117&lt;'PlayerGrades+'!$AI$14,"D",IF(T117&lt;'PlayerGrades+'!$AI$13,"D+",IF(T117&lt;'PlayerGrades+'!$AI$12,"C-",IF(T117&lt;'PlayerGrades+'!$AI$11,"C",IF(T117&lt;'PlayerGrades+'!$AI$10,"C+",IF(T117&lt;'PlayerGrades+'!$AI$9,"B-",IF(T117&lt;'PlayerGrades+'!$AI$8,"B",IF(T117&lt;'PlayerGrades+'!$AI$7,"B+",IF(T117&lt;'PlayerGrades+'!$AI$6,"A-",IF(T117&lt;'PlayerGrades+'!$AI$5,"A",IF(T117&lt;'PlayerGrades+'!$AI$4,"A+",IF(T117&lt;'PlayerGrades+'!$AI$3,"S-",IF(T117&lt;'PlayerGrades+'!$AI$2,"S","S+"))))))))))))))))))))</f>
        <v>F-</v>
      </c>
      <c r="AC117" s="1392"/>
    </row>
    <row r="118">
      <c r="A118" s="1391"/>
      <c r="B118" s="611" t="str">
        <f>IF(C118&lt;'PlayerGrades+'!$Y$44,"F-",IF(C118&lt;'PlayerGrades+'!$Y$43,"F",IF(C118&lt;'PlayerGrades+'!$Y$42,"F+",IF(C118&lt;'PlayerGrades+'!$Y$41,"E-",IF(C118&lt;'PlayerGrades+'!$Y$40,"E",IF(C118&lt;'PlayerGrades+'!$Y$39,"E+",IF(C118&lt;'PlayerGrades+'!$Y$38,"D-",IF(C118&lt;'PlayerGrades+'!$Y$37,"D",IF(C118&lt;'PlayerGrades+'!$Y$36,"D+",IF(C118&lt;'PlayerGrades+'!$Y$35,"C-",IF(C118&lt;'PlayerGrades+'!$Y$34,"C",IF(C118&lt;'PlayerGrades+'!$Y$33,"C+",IF(C118&lt;'PlayerGrades+'!$Y$32,"B-",IF(C118&lt;'PlayerGrades+'!$Y$31,"B",IF(C118&lt;'PlayerGrades+'!$Y$30,"B+",IF(C118&lt;'PlayerGrades+'!$Y$29,"A-",IF(C118&lt;'PlayerGrades+'!$Y$28,"A",IF(C118&lt;'PlayerGrades+'!$Y$27,"A+",IF(C118&lt;'PlayerGrades+'!$Y$26,"S-",IF(C118&lt;'PlayerGrades+'!$Y$25,"S","S+"))))))))))))))))))))</f>
        <v>#DIV/0!</v>
      </c>
      <c r="C118" s="1378" t="str">
        <f>('PlayerGrades+'!$Y$47*(VLOOKUP(E118, 'PlayerGrades+'!$X$3:$Y$23, 2, FALSE)))+('PlayerGrades+'!$Y$48*(VLOOKUP(G118, 'PlayerGrades+'!$X$3:$Y$23, 2, FALSE)))+('PlayerGrades+'!$Y$49*(VLOOKUP(I118, 'PlayerGrades+'!$X$3:$Y$23, 2, FALSE)))+('PlayerGrades+'!$Y$50*(VLOOKUP(K118, 'PlayerGrades+'!$X$3:$Y$23, 2, FALSE)))+('PlayerGrades+'!$Y$51*(VLOOKUP(M118, 'PlayerGrades+'!$X$3:$Y$23, 2, FALSE)))+('PlayerGrades+'!$Y$52*(VLOOKUP(O118, 'PlayerGrades+'!$X$3:$Y$23, 2, FALSE)))+('PlayerGrades+'!$Y$53*(VLOOKUP(Q118, 'PlayerGrades+'!$X$3:$Y$23, 2, FALSE)))+('PlayerGrades+'!$Y$54*(VLOOKUP(S118, 'PlayerGrades+'!$X$3:$Y$23, 2, FALSE)))+('PlayerGrades+'!$Y$55*(VLOOKUP(U118, 'PlayerGrades+'!$X$3:$Y$23, 2, FALSE)))</f>
        <v>#DIV/0!</v>
      </c>
      <c r="D118" s="961" t="str">
        <f t="shared" si="1"/>
        <v>#DIV/0!</v>
      </c>
      <c r="E118" s="961" t="str">
        <f>IF(D118&lt;'PlayerGrades+'!$AA$21,"F-",IF(D118&lt;'PlayerGrades+'!$AA$20,"F",IF(D118&lt;'PlayerGrades+'!$AA$19,"F+",IF(D118&lt;'PlayerGrades+'!$AA$18,"E-",IF(D118&lt;'PlayerGrades+'!$AA$17,"E",IF(D118&lt;'PlayerGrades+'!$AA$16,"E+",IF(D118&lt;'PlayerGrades+'!$AA$15,"D-",IF(D118&lt;'PlayerGrades+'!$AA$14,"D",IF(D118&lt;'PlayerGrades+'!$AA$13,"D+",IF(D118&lt;'PlayerGrades+'!$AA$12,"C-",IF(D118&lt;'PlayerGrades+'!$AA$11,"C",IF(D118&lt;'PlayerGrades+'!$AA$10,"C+",IF(D118&lt;'PlayerGrades+'!$AA$9,"B-",IF(D118&lt;'PlayerGrades+'!$AA$8,"B",IF(D118&lt;'PlayerGrades+'!$AA$7,"B+",IF(D118&lt;'PlayerGrades+'!$AA$6,"A-",IF(D118&lt;'PlayerGrades+'!$AA$5,"A",IF(D118&lt;'PlayerGrades+'!$AA$4,"A+",IF(D118&lt;'PlayerGrades+'!$AA$3,"S-",IF(D118&lt;'PlayerGrades+'!$AA$2,"S","S+"))))))))))))))))))))</f>
        <v>#DIV/0!</v>
      </c>
      <c r="F118" s="961" t="str">
        <f t="shared" si="2"/>
        <v>#DIV/0!</v>
      </c>
      <c r="G118" s="961" t="str">
        <f>IF(F118&lt;'PlayerGrades+'!$AB$21,"F-",IF(F118&lt;'PlayerGrades+'!$AB$20,"F",IF(F118&lt;'PlayerGrades+'!$AB$19,"F+",IF(F118&lt;'PlayerGrades+'!$AB$18,"E-",IF(F118&lt;'PlayerGrades+'!$AB$17,"E",IF(F118&lt;'PlayerGrades+'!$AB$16,"E+",IF(F118&lt;'PlayerGrades+'!$AB$15,"D-",IF(F118&lt;'PlayerGrades+'!$AB$14,"D",IF(F118&lt;'PlayerGrades+'!$AB$13,"D+",IF(F118&lt;'PlayerGrades+'!$AB$12,"C-",IF(F118&lt;'PlayerGrades+'!$AB$11,"C",IF(F118&lt;'PlayerGrades+'!$AB$10,"C+",IF(F118&lt;'PlayerGrades+'!$AB$9,"B-",IF(F118&lt;'PlayerGrades+'!$AB$8,"B",IF(F118&lt;'PlayerGrades+'!$AB$7,"B+",IF(F118&lt;'PlayerGrades+'!$AB$6,"A-",IF(F118&lt;'PlayerGrades+'!$AB$5,"A",IF(F118&lt;'PlayerGrades+'!$AB$4,"A+",IF(F118&lt;'PlayerGrades+'!$AB$3,"S-",IF(F118&lt;'PlayerGrades+'!$AB$2,"S","S+"))))))))))))))))))))</f>
        <v>#DIV/0!</v>
      </c>
      <c r="H118" s="961" t="str">
        <f t="shared" si="3"/>
        <v>#DIV/0!</v>
      </c>
      <c r="I118" s="961" t="str">
        <f>IF(H118&lt;'PlayerGrades+'!$AC$21,"F-",IF(H118&lt;'PlayerGrades+'!$AC$20,"F",IF(H118&lt;'PlayerGrades+'!$AC$19,"F+",IF(H118&lt;'PlayerGrades+'!$AC$18,"E-",IF(H118&lt;'PlayerGrades+'!$AC$17,"E",IF(H118&lt;'PlayerGrades+'!$AC$16,"E+",IF(H118&lt;'PlayerGrades+'!$AC$15,"D-",IF(H118&lt;'PlayerGrades+'!$AC$14,"D",IF(H118&lt;'PlayerGrades+'!$AC$13,"D+",IF(H118&lt;'PlayerGrades+'!$AC$12,"C-",IF(H118&lt;'PlayerGrades+'!$AC$11,"C",IF(H118&lt;'PlayerGrades+'!$AC$10,"C+",IF(H118&lt;'PlayerGrades+'!$AC$9,"B-",IF(H118&lt;'PlayerGrades+'!$AC$8,"B",IF(H118&lt;'PlayerGrades+'!$AC$7,"B+",IF(H118&lt;'PlayerGrades+'!$AC$6,"A-",IF(H118&lt;'PlayerGrades+'!$AC$5,"A",IF(H118&lt;'PlayerGrades+'!$AC$4,"A+",IF(H118&lt;'PlayerGrades+'!$AC$3,"S-",IF(H118&lt;'PlayerGrades+'!$AC$2,"S","S+"))))))))))))))))))))</f>
        <v>#DIV/0!</v>
      </c>
      <c r="J118" s="961" t="str">
        <f t="shared" si="4"/>
        <v>#DIV/0!</v>
      </c>
      <c r="K118" s="961" t="str">
        <f>IF(J118&lt;'PlayerGrades+'!$AD$21,"F-",IF(J118&lt;'PlayerGrades+'!$AD$20,"F",IF(J118&lt;'PlayerGrades+'!$AD$19,"F+",IF(J118&lt;'PlayerGrades+'!$AD$18,"E-",IF(J118&lt;'PlayerGrades+'!$AD$17,"E",IF(J118&lt;'PlayerGrades+'!$AD$16,"E+",IF(J118&lt;'PlayerGrades+'!$AD$15,"D-",IF(J118&lt;'PlayerGrades+'!$AD$14,"D",IF(J118&lt;'PlayerGrades+'!$AD$13,"D+",IF(J118&lt;'PlayerGrades+'!$AD$12,"C-",IF(J118&lt;'PlayerGrades+'!$AD$11,"C",IF(J118&lt;'PlayerGrades+'!$AD$10,"C+",IF(J118&lt;'PlayerGrades+'!$AD$9,"B-",IF(J118&lt;'PlayerGrades+'!$AD$8,"B",IF(J118&lt;'PlayerGrades+'!$AD$7,"B+",IF(J118&lt;'PlayerGrades+'!$AD$6,"A-",IF(J118&lt;'PlayerGrades+'!$AD$5,"A",IF(J118&lt;'PlayerGrades+'!$AD$4,"A+",IF(J118&lt;'PlayerGrades+'!$AD$3,"S-",IF(J118&lt;'PlayerGrades+'!$AD$2,"S","S+"))))))))))))))))))))</f>
        <v>#DIV/0!</v>
      </c>
      <c r="L118" s="1176" t="str">
        <f t="shared" si="5"/>
        <v>#DIV/0!</v>
      </c>
      <c r="M118" s="992" t="str">
        <f>IF(L118&lt;'PlayerGrades+'!$AE$21,"F-",IF(L118&lt;'PlayerGrades+'!$AE$20,"F",IF(L118&lt;'PlayerGrades+'!$AE$19,"F+",IF(L118&lt;'PlayerGrades+'!$AE$18,"E-",IF(L118&lt;'PlayerGrades+'!$AE$17,"E",IF(L118&lt;'PlayerGrades+'!$AE$16,"E+",IF(L118&lt;'PlayerGrades+'!$AE$15,"D-",IF(L118&lt;'PlayerGrades+'!$AE$14,"D",IF(L118&lt;'PlayerGrades+'!$AE$13,"D+",IF(L118&lt;'PlayerGrades+'!$AE$12,"C-",IF(L118&lt;'PlayerGrades+'!$AE$11,"C",IF(L118&lt;'PlayerGrades+'!$AE$10,"C+",IF(L118&lt;'PlayerGrades+'!$AE$9,"B-",IF(L118&lt;'PlayerGrades+'!$AE$8,"B",IF(L118&lt;'PlayerGrades+'!$AE$7,"B+",IF(L118&lt;'PlayerGrades+'!$AE$6,"A-",IF(L118&lt;'PlayerGrades+'!$AE$5,"A",IF(L118&lt;'PlayerGrades+'!$AE$4,"A+",IF(L118&lt;'PlayerGrades+'!$AE$3,"S-",IF(L118&lt;'PlayerGrades+'!$AE$2,"S","S+"))))))))))))))))))))</f>
        <v>#DIV/0!</v>
      </c>
      <c r="N118" s="961" t="str">
        <f t="shared" si="6"/>
        <v>#DIV/0!</v>
      </c>
      <c r="O118" s="961" t="str">
        <f>IF(N118&lt;'PlayerGrades+'!$AF$21,"F-",IF(N118&lt;'PlayerGrades+'!$AF$20,"F",IF(N118&lt;'PlayerGrades+'!$AF$19,"F+",IF(N118&lt;'PlayerGrades+'!$AF$18,"E-",IF(N118&lt;'PlayerGrades+'!$AF$17,"E",IF(N118&lt;'PlayerGrades+'!$AF$16,"E+",IF(N118&lt;'PlayerGrades+'!$AF$15,"D-",IF(N118&lt;'PlayerGrades+'!$AF$14,"D",IF(N118&lt;'PlayerGrades+'!$AF$13,"D+",IF(N118&lt;'PlayerGrades+'!$AF$12,"C-",IF(N118&lt;'PlayerGrades+'!$AF$11,"C",IF(N118&lt;'PlayerGrades+'!$AF$10,"C+",IF(N118&lt;'PlayerGrades+'!$AF$9,"B-",IF(N118&lt;'PlayerGrades+'!$AF$8,"B",IF(N118&lt;'PlayerGrades+'!$AF$7,"B+",IF(N118&lt;'PlayerGrades+'!$AF$6,"A-",IF(N118&lt;'PlayerGrades+'!$AF$5,"A",IF(N118&lt;'PlayerGrades+'!$AF$4,"A+",IF(N118&lt;'PlayerGrades+'!$AF$3,"S-",IF(N118&lt;'PlayerGrades+'!$AF$2,"S","S+"))))))))))))))))))))</f>
        <v>#DIV/0!</v>
      </c>
      <c r="P118" s="961" t="str">
        <f t="shared" si="7"/>
        <v>#DIV/0!</v>
      </c>
      <c r="Q118" s="961" t="str">
        <f>IF(P118&lt;'PlayerGrades+'!$AG$21,"F-",IF(P118&lt;'PlayerGrades+'!$AG$20,"F",IF(P118&lt;'PlayerGrades+'!$AG$19,"F+",IF(P118&lt;'PlayerGrades+'!$AG$18,"E-",IF(P118&lt;'PlayerGrades+'!$AG$17,"E",IF(P118&lt;'PlayerGrades+'!$AG$16,"E+",IF(P118&lt;'PlayerGrades+'!$AG$15,"D-",IF(P118&lt;'PlayerGrades+'!$AG$14,"D",IF(P118&lt;'PlayerGrades+'!$AG$13,"D+",IF(P118&lt;'PlayerGrades+'!$AG$12,"C-",IF(P118&lt;'PlayerGrades+'!$AG$11,"C",IF(P118&lt;'PlayerGrades+'!$AG$10,"C+",IF(P118&lt;'PlayerGrades+'!$AG$9,"B-",IF(P118&lt;'PlayerGrades+'!$AG$8,"B",IF(P118&lt;'PlayerGrades+'!$AG$7,"B+",IF(P118&lt;'PlayerGrades+'!$AG$6,"A-",IF(P118&lt;'PlayerGrades+'!$AG$5,"A",IF(P118&lt;'PlayerGrades+'!$AG$4,"A+",IF(P118&lt;'PlayerGrades+'!$AG$3,"S-",IF(P118&lt;'PlayerGrades+'!$AG$2,"S","S+"))))))))))))))))))))</f>
        <v>#DIV/0!</v>
      </c>
      <c r="R118" s="961" t="str">
        <f t="shared" si="8"/>
        <v>#DIV/0!</v>
      </c>
      <c r="S118" s="961" t="str">
        <f>IF(R118&lt;'PlayerGrades+'!$AH$21,"F-",IF(R118&lt;'PlayerGrades+'!$AH$20,"F",IF(R118&lt;'PlayerGrades+'!$AH$19,"F+",IF(R118&lt;'PlayerGrades+'!$AH$18,"E-",IF(R118&lt;'PlayerGrades+'!$AH$17,"E",IF(R118&lt;'PlayerGrades+'!$AH$16,"E+",IF(R118&lt;'PlayerGrades+'!$AH$15,"D-",IF(R118&lt;'PlayerGrades+'!$AH$14,"D",IF(R118&lt;'PlayerGrades+'!$AH$13,"D+",IF(R118&lt;'PlayerGrades+'!$AH$12,"C-",IF(R118&lt;'PlayerGrades+'!$AH$11,"C",IF(R118&lt;'PlayerGrades+'!$AH$10,"C+",IF(R118&lt;'PlayerGrades+'!$AH$9,"B-",IF(R118&lt;'PlayerGrades+'!$AH$8,"B",IF(R118&lt;'PlayerGrades+'!$AH$7,"B+",IF(R118&lt;'PlayerGrades+'!$AH$6,"A-",IF(R118&lt;'PlayerGrades+'!$AH$5,"A",IF(R118&lt;'PlayerGrades+'!$AH$4,"A+",IF(R118&lt;'PlayerGrades+'!$AH$3,"S-",IF(R118&lt;'PlayerGrades+'!$AH$2,"S","S+"))))))))))))))))))))</f>
        <v>#DIV/0!</v>
      </c>
      <c r="T118" s="961">
        <f t="shared" si="9"/>
        <v>0</v>
      </c>
      <c r="U118" s="961" t="str">
        <f>IF(T118&lt;'PlayerGrades+'!$AI$21,"F-",IF(T118&lt;'PlayerGrades+'!$AI$20,"F",IF(T118&lt;'PlayerGrades+'!$AI$19,"F+",IF(T118&lt;'PlayerGrades+'!$AI$18,"E-",IF(T118&lt;'PlayerGrades+'!$AI$17,"E",IF(T118&lt;'PlayerGrades+'!$AI$16,"E+",IF(T118&lt;'PlayerGrades+'!$AI$15,"D-",IF(T118&lt;'PlayerGrades+'!$AI$14,"D",IF(T118&lt;'PlayerGrades+'!$AI$13,"D+",IF(T118&lt;'PlayerGrades+'!$AI$12,"C-",IF(T118&lt;'PlayerGrades+'!$AI$11,"C",IF(T118&lt;'PlayerGrades+'!$AI$10,"C+",IF(T118&lt;'PlayerGrades+'!$AI$9,"B-",IF(T118&lt;'PlayerGrades+'!$AI$8,"B",IF(T118&lt;'PlayerGrades+'!$AI$7,"B+",IF(T118&lt;'PlayerGrades+'!$AI$6,"A-",IF(T118&lt;'PlayerGrades+'!$AI$5,"A",IF(T118&lt;'PlayerGrades+'!$AI$4,"A+",IF(T118&lt;'PlayerGrades+'!$AI$3,"S-",IF(T118&lt;'PlayerGrades+'!$AI$2,"S","S+"))))))))))))))))))))</f>
        <v>F-</v>
      </c>
      <c r="AC118" s="1392"/>
    </row>
    <row r="119">
      <c r="A119" s="1391"/>
      <c r="B119" s="611" t="str">
        <f>IF(C119&lt;'PlayerGrades+'!$Y$44,"F-",IF(C119&lt;'PlayerGrades+'!$Y$43,"F",IF(C119&lt;'PlayerGrades+'!$Y$42,"F+",IF(C119&lt;'PlayerGrades+'!$Y$41,"E-",IF(C119&lt;'PlayerGrades+'!$Y$40,"E",IF(C119&lt;'PlayerGrades+'!$Y$39,"E+",IF(C119&lt;'PlayerGrades+'!$Y$38,"D-",IF(C119&lt;'PlayerGrades+'!$Y$37,"D",IF(C119&lt;'PlayerGrades+'!$Y$36,"D+",IF(C119&lt;'PlayerGrades+'!$Y$35,"C-",IF(C119&lt;'PlayerGrades+'!$Y$34,"C",IF(C119&lt;'PlayerGrades+'!$Y$33,"C+",IF(C119&lt;'PlayerGrades+'!$Y$32,"B-",IF(C119&lt;'PlayerGrades+'!$Y$31,"B",IF(C119&lt;'PlayerGrades+'!$Y$30,"B+",IF(C119&lt;'PlayerGrades+'!$Y$29,"A-",IF(C119&lt;'PlayerGrades+'!$Y$28,"A",IF(C119&lt;'PlayerGrades+'!$Y$27,"A+",IF(C119&lt;'PlayerGrades+'!$Y$26,"S-",IF(C119&lt;'PlayerGrades+'!$Y$25,"S","S+"))))))))))))))))))))</f>
        <v>#DIV/0!</v>
      </c>
      <c r="C119" s="1378" t="str">
        <f>('PlayerGrades+'!$Y$47*(VLOOKUP(E119, 'PlayerGrades+'!$X$3:$Y$23, 2, FALSE)))+('PlayerGrades+'!$Y$48*(VLOOKUP(G119, 'PlayerGrades+'!$X$3:$Y$23, 2, FALSE)))+('PlayerGrades+'!$Y$49*(VLOOKUP(I119, 'PlayerGrades+'!$X$3:$Y$23, 2, FALSE)))+('PlayerGrades+'!$Y$50*(VLOOKUP(K119, 'PlayerGrades+'!$X$3:$Y$23, 2, FALSE)))+('PlayerGrades+'!$Y$51*(VLOOKUP(M119, 'PlayerGrades+'!$X$3:$Y$23, 2, FALSE)))+('PlayerGrades+'!$Y$52*(VLOOKUP(O119, 'PlayerGrades+'!$X$3:$Y$23, 2, FALSE)))+('PlayerGrades+'!$Y$53*(VLOOKUP(Q119, 'PlayerGrades+'!$X$3:$Y$23, 2, FALSE)))+('PlayerGrades+'!$Y$54*(VLOOKUP(S119, 'PlayerGrades+'!$X$3:$Y$23, 2, FALSE)))+('PlayerGrades+'!$Y$55*(VLOOKUP(U119, 'PlayerGrades+'!$X$3:$Y$23, 2, FALSE)))</f>
        <v>#DIV/0!</v>
      </c>
      <c r="D119" s="961" t="str">
        <f t="shared" si="1"/>
        <v>#DIV/0!</v>
      </c>
      <c r="E119" s="961" t="str">
        <f>IF(D119&lt;'PlayerGrades+'!$AA$21,"F-",IF(D119&lt;'PlayerGrades+'!$AA$20,"F",IF(D119&lt;'PlayerGrades+'!$AA$19,"F+",IF(D119&lt;'PlayerGrades+'!$AA$18,"E-",IF(D119&lt;'PlayerGrades+'!$AA$17,"E",IF(D119&lt;'PlayerGrades+'!$AA$16,"E+",IF(D119&lt;'PlayerGrades+'!$AA$15,"D-",IF(D119&lt;'PlayerGrades+'!$AA$14,"D",IF(D119&lt;'PlayerGrades+'!$AA$13,"D+",IF(D119&lt;'PlayerGrades+'!$AA$12,"C-",IF(D119&lt;'PlayerGrades+'!$AA$11,"C",IF(D119&lt;'PlayerGrades+'!$AA$10,"C+",IF(D119&lt;'PlayerGrades+'!$AA$9,"B-",IF(D119&lt;'PlayerGrades+'!$AA$8,"B",IF(D119&lt;'PlayerGrades+'!$AA$7,"B+",IF(D119&lt;'PlayerGrades+'!$AA$6,"A-",IF(D119&lt;'PlayerGrades+'!$AA$5,"A",IF(D119&lt;'PlayerGrades+'!$AA$4,"A+",IF(D119&lt;'PlayerGrades+'!$AA$3,"S-",IF(D119&lt;'PlayerGrades+'!$AA$2,"S","S+"))))))))))))))))))))</f>
        <v>#DIV/0!</v>
      </c>
      <c r="F119" s="961" t="str">
        <f t="shared" si="2"/>
        <v>#DIV/0!</v>
      </c>
      <c r="G119" s="961" t="str">
        <f>IF(F119&lt;'PlayerGrades+'!$AB$21,"F-",IF(F119&lt;'PlayerGrades+'!$AB$20,"F",IF(F119&lt;'PlayerGrades+'!$AB$19,"F+",IF(F119&lt;'PlayerGrades+'!$AB$18,"E-",IF(F119&lt;'PlayerGrades+'!$AB$17,"E",IF(F119&lt;'PlayerGrades+'!$AB$16,"E+",IF(F119&lt;'PlayerGrades+'!$AB$15,"D-",IF(F119&lt;'PlayerGrades+'!$AB$14,"D",IF(F119&lt;'PlayerGrades+'!$AB$13,"D+",IF(F119&lt;'PlayerGrades+'!$AB$12,"C-",IF(F119&lt;'PlayerGrades+'!$AB$11,"C",IF(F119&lt;'PlayerGrades+'!$AB$10,"C+",IF(F119&lt;'PlayerGrades+'!$AB$9,"B-",IF(F119&lt;'PlayerGrades+'!$AB$8,"B",IF(F119&lt;'PlayerGrades+'!$AB$7,"B+",IF(F119&lt;'PlayerGrades+'!$AB$6,"A-",IF(F119&lt;'PlayerGrades+'!$AB$5,"A",IF(F119&lt;'PlayerGrades+'!$AB$4,"A+",IF(F119&lt;'PlayerGrades+'!$AB$3,"S-",IF(F119&lt;'PlayerGrades+'!$AB$2,"S","S+"))))))))))))))))))))</f>
        <v>#DIV/0!</v>
      </c>
      <c r="H119" s="961" t="str">
        <f t="shared" si="3"/>
        <v>#DIV/0!</v>
      </c>
      <c r="I119" s="961" t="str">
        <f>IF(H119&lt;'PlayerGrades+'!$AC$21,"F-",IF(H119&lt;'PlayerGrades+'!$AC$20,"F",IF(H119&lt;'PlayerGrades+'!$AC$19,"F+",IF(H119&lt;'PlayerGrades+'!$AC$18,"E-",IF(H119&lt;'PlayerGrades+'!$AC$17,"E",IF(H119&lt;'PlayerGrades+'!$AC$16,"E+",IF(H119&lt;'PlayerGrades+'!$AC$15,"D-",IF(H119&lt;'PlayerGrades+'!$AC$14,"D",IF(H119&lt;'PlayerGrades+'!$AC$13,"D+",IF(H119&lt;'PlayerGrades+'!$AC$12,"C-",IF(H119&lt;'PlayerGrades+'!$AC$11,"C",IF(H119&lt;'PlayerGrades+'!$AC$10,"C+",IF(H119&lt;'PlayerGrades+'!$AC$9,"B-",IF(H119&lt;'PlayerGrades+'!$AC$8,"B",IF(H119&lt;'PlayerGrades+'!$AC$7,"B+",IF(H119&lt;'PlayerGrades+'!$AC$6,"A-",IF(H119&lt;'PlayerGrades+'!$AC$5,"A",IF(H119&lt;'PlayerGrades+'!$AC$4,"A+",IF(H119&lt;'PlayerGrades+'!$AC$3,"S-",IF(H119&lt;'PlayerGrades+'!$AC$2,"S","S+"))))))))))))))))))))</f>
        <v>#DIV/0!</v>
      </c>
      <c r="J119" s="961" t="str">
        <f t="shared" si="4"/>
        <v>#DIV/0!</v>
      </c>
      <c r="K119" s="961" t="str">
        <f>IF(J119&lt;'PlayerGrades+'!$AD$21,"F-",IF(J119&lt;'PlayerGrades+'!$AD$20,"F",IF(J119&lt;'PlayerGrades+'!$AD$19,"F+",IF(J119&lt;'PlayerGrades+'!$AD$18,"E-",IF(J119&lt;'PlayerGrades+'!$AD$17,"E",IF(J119&lt;'PlayerGrades+'!$AD$16,"E+",IF(J119&lt;'PlayerGrades+'!$AD$15,"D-",IF(J119&lt;'PlayerGrades+'!$AD$14,"D",IF(J119&lt;'PlayerGrades+'!$AD$13,"D+",IF(J119&lt;'PlayerGrades+'!$AD$12,"C-",IF(J119&lt;'PlayerGrades+'!$AD$11,"C",IF(J119&lt;'PlayerGrades+'!$AD$10,"C+",IF(J119&lt;'PlayerGrades+'!$AD$9,"B-",IF(J119&lt;'PlayerGrades+'!$AD$8,"B",IF(J119&lt;'PlayerGrades+'!$AD$7,"B+",IF(J119&lt;'PlayerGrades+'!$AD$6,"A-",IF(J119&lt;'PlayerGrades+'!$AD$5,"A",IF(J119&lt;'PlayerGrades+'!$AD$4,"A+",IF(J119&lt;'PlayerGrades+'!$AD$3,"S-",IF(J119&lt;'PlayerGrades+'!$AD$2,"S","S+"))))))))))))))))))))</f>
        <v>#DIV/0!</v>
      </c>
      <c r="L119" s="1176" t="str">
        <f t="shared" si="5"/>
        <v>#DIV/0!</v>
      </c>
      <c r="M119" s="992" t="str">
        <f>IF(L119&lt;'PlayerGrades+'!$AE$21,"F-",IF(L119&lt;'PlayerGrades+'!$AE$20,"F",IF(L119&lt;'PlayerGrades+'!$AE$19,"F+",IF(L119&lt;'PlayerGrades+'!$AE$18,"E-",IF(L119&lt;'PlayerGrades+'!$AE$17,"E",IF(L119&lt;'PlayerGrades+'!$AE$16,"E+",IF(L119&lt;'PlayerGrades+'!$AE$15,"D-",IF(L119&lt;'PlayerGrades+'!$AE$14,"D",IF(L119&lt;'PlayerGrades+'!$AE$13,"D+",IF(L119&lt;'PlayerGrades+'!$AE$12,"C-",IF(L119&lt;'PlayerGrades+'!$AE$11,"C",IF(L119&lt;'PlayerGrades+'!$AE$10,"C+",IF(L119&lt;'PlayerGrades+'!$AE$9,"B-",IF(L119&lt;'PlayerGrades+'!$AE$8,"B",IF(L119&lt;'PlayerGrades+'!$AE$7,"B+",IF(L119&lt;'PlayerGrades+'!$AE$6,"A-",IF(L119&lt;'PlayerGrades+'!$AE$5,"A",IF(L119&lt;'PlayerGrades+'!$AE$4,"A+",IF(L119&lt;'PlayerGrades+'!$AE$3,"S-",IF(L119&lt;'PlayerGrades+'!$AE$2,"S","S+"))))))))))))))))))))</f>
        <v>#DIV/0!</v>
      </c>
      <c r="N119" s="961" t="str">
        <f t="shared" si="6"/>
        <v>#DIV/0!</v>
      </c>
      <c r="O119" s="961" t="str">
        <f>IF(N119&lt;'PlayerGrades+'!$AF$21,"F-",IF(N119&lt;'PlayerGrades+'!$AF$20,"F",IF(N119&lt;'PlayerGrades+'!$AF$19,"F+",IF(N119&lt;'PlayerGrades+'!$AF$18,"E-",IF(N119&lt;'PlayerGrades+'!$AF$17,"E",IF(N119&lt;'PlayerGrades+'!$AF$16,"E+",IF(N119&lt;'PlayerGrades+'!$AF$15,"D-",IF(N119&lt;'PlayerGrades+'!$AF$14,"D",IF(N119&lt;'PlayerGrades+'!$AF$13,"D+",IF(N119&lt;'PlayerGrades+'!$AF$12,"C-",IF(N119&lt;'PlayerGrades+'!$AF$11,"C",IF(N119&lt;'PlayerGrades+'!$AF$10,"C+",IF(N119&lt;'PlayerGrades+'!$AF$9,"B-",IF(N119&lt;'PlayerGrades+'!$AF$8,"B",IF(N119&lt;'PlayerGrades+'!$AF$7,"B+",IF(N119&lt;'PlayerGrades+'!$AF$6,"A-",IF(N119&lt;'PlayerGrades+'!$AF$5,"A",IF(N119&lt;'PlayerGrades+'!$AF$4,"A+",IF(N119&lt;'PlayerGrades+'!$AF$3,"S-",IF(N119&lt;'PlayerGrades+'!$AF$2,"S","S+"))))))))))))))))))))</f>
        <v>#DIV/0!</v>
      </c>
      <c r="P119" s="961" t="str">
        <f t="shared" si="7"/>
        <v>#DIV/0!</v>
      </c>
      <c r="Q119" s="961" t="str">
        <f>IF(P119&lt;'PlayerGrades+'!$AG$21,"F-",IF(P119&lt;'PlayerGrades+'!$AG$20,"F",IF(P119&lt;'PlayerGrades+'!$AG$19,"F+",IF(P119&lt;'PlayerGrades+'!$AG$18,"E-",IF(P119&lt;'PlayerGrades+'!$AG$17,"E",IF(P119&lt;'PlayerGrades+'!$AG$16,"E+",IF(P119&lt;'PlayerGrades+'!$AG$15,"D-",IF(P119&lt;'PlayerGrades+'!$AG$14,"D",IF(P119&lt;'PlayerGrades+'!$AG$13,"D+",IF(P119&lt;'PlayerGrades+'!$AG$12,"C-",IF(P119&lt;'PlayerGrades+'!$AG$11,"C",IF(P119&lt;'PlayerGrades+'!$AG$10,"C+",IF(P119&lt;'PlayerGrades+'!$AG$9,"B-",IF(P119&lt;'PlayerGrades+'!$AG$8,"B",IF(P119&lt;'PlayerGrades+'!$AG$7,"B+",IF(P119&lt;'PlayerGrades+'!$AG$6,"A-",IF(P119&lt;'PlayerGrades+'!$AG$5,"A",IF(P119&lt;'PlayerGrades+'!$AG$4,"A+",IF(P119&lt;'PlayerGrades+'!$AG$3,"S-",IF(P119&lt;'PlayerGrades+'!$AG$2,"S","S+"))))))))))))))))))))</f>
        <v>#DIV/0!</v>
      </c>
      <c r="R119" s="961" t="str">
        <f t="shared" si="8"/>
        <v>#DIV/0!</v>
      </c>
      <c r="S119" s="961" t="str">
        <f>IF(R119&lt;'PlayerGrades+'!$AH$21,"F-",IF(R119&lt;'PlayerGrades+'!$AH$20,"F",IF(R119&lt;'PlayerGrades+'!$AH$19,"F+",IF(R119&lt;'PlayerGrades+'!$AH$18,"E-",IF(R119&lt;'PlayerGrades+'!$AH$17,"E",IF(R119&lt;'PlayerGrades+'!$AH$16,"E+",IF(R119&lt;'PlayerGrades+'!$AH$15,"D-",IF(R119&lt;'PlayerGrades+'!$AH$14,"D",IF(R119&lt;'PlayerGrades+'!$AH$13,"D+",IF(R119&lt;'PlayerGrades+'!$AH$12,"C-",IF(R119&lt;'PlayerGrades+'!$AH$11,"C",IF(R119&lt;'PlayerGrades+'!$AH$10,"C+",IF(R119&lt;'PlayerGrades+'!$AH$9,"B-",IF(R119&lt;'PlayerGrades+'!$AH$8,"B",IF(R119&lt;'PlayerGrades+'!$AH$7,"B+",IF(R119&lt;'PlayerGrades+'!$AH$6,"A-",IF(R119&lt;'PlayerGrades+'!$AH$5,"A",IF(R119&lt;'PlayerGrades+'!$AH$4,"A+",IF(R119&lt;'PlayerGrades+'!$AH$3,"S-",IF(R119&lt;'PlayerGrades+'!$AH$2,"S","S+"))))))))))))))))))))</f>
        <v>#DIV/0!</v>
      </c>
      <c r="T119" s="961">
        <f t="shared" si="9"/>
        <v>0</v>
      </c>
      <c r="U119" s="961" t="str">
        <f>IF(T119&lt;'PlayerGrades+'!$AI$21,"F-",IF(T119&lt;'PlayerGrades+'!$AI$20,"F",IF(T119&lt;'PlayerGrades+'!$AI$19,"F+",IF(T119&lt;'PlayerGrades+'!$AI$18,"E-",IF(T119&lt;'PlayerGrades+'!$AI$17,"E",IF(T119&lt;'PlayerGrades+'!$AI$16,"E+",IF(T119&lt;'PlayerGrades+'!$AI$15,"D-",IF(T119&lt;'PlayerGrades+'!$AI$14,"D",IF(T119&lt;'PlayerGrades+'!$AI$13,"D+",IF(T119&lt;'PlayerGrades+'!$AI$12,"C-",IF(T119&lt;'PlayerGrades+'!$AI$11,"C",IF(T119&lt;'PlayerGrades+'!$AI$10,"C+",IF(T119&lt;'PlayerGrades+'!$AI$9,"B-",IF(T119&lt;'PlayerGrades+'!$AI$8,"B",IF(T119&lt;'PlayerGrades+'!$AI$7,"B+",IF(T119&lt;'PlayerGrades+'!$AI$6,"A-",IF(T119&lt;'PlayerGrades+'!$AI$5,"A",IF(T119&lt;'PlayerGrades+'!$AI$4,"A+",IF(T119&lt;'PlayerGrades+'!$AI$3,"S-",IF(T119&lt;'PlayerGrades+'!$AI$2,"S","S+"))))))))))))))))))))</f>
        <v>F-</v>
      </c>
      <c r="AC119" s="1392"/>
    </row>
    <row r="120">
      <c r="A120" s="1391"/>
      <c r="B120" s="611" t="str">
        <f>IF(C120&lt;'PlayerGrades+'!$Y$44,"F-",IF(C120&lt;'PlayerGrades+'!$Y$43,"F",IF(C120&lt;'PlayerGrades+'!$Y$42,"F+",IF(C120&lt;'PlayerGrades+'!$Y$41,"E-",IF(C120&lt;'PlayerGrades+'!$Y$40,"E",IF(C120&lt;'PlayerGrades+'!$Y$39,"E+",IF(C120&lt;'PlayerGrades+'!$Y$38,"D-",IF(C120&lt;'PlayerGrades+'!$Y$37,"D",IF(C120&lt;'PlayerGrades+'!$Y$36,"D+",IF(C120&lt;'PlayerGrades+'!$Y$35,"C-",IF(C120&lt;'PlayerGrades+'!$Y$34,"C",IF(C120&lt;'PlayerGrades+'!$Y$33,"C+",IF(C120&lt;'PlayerGrades+'!$Y$32,"B-",IF(C120&lt;'PlayerGrades+'!$Y$31,"B",IF(C120&lt;'PlayerGrades+'!$Y$30,"B+",IF(C120&lt;'PlayerGrades+'!$Y$29,"A-",IF(C120&lt;'PlayerGrades+'!$Y$28,"A",IF(C120&lt;'PlayerGrades+'!$Y$27,"A+",IF(C120&lt;'PlayerGrades+'!$Y$26,"S-",IF(C120&lt;'PlayerGrades+'!$Y$25,"S","S+"))))))))))))))))))))</f>
        <v>#DIV/0!</v>
      </c>
      <c r="C120" s="1378" t="str">
        <f>('PlayerGrades+'!$Y$47*(VLOOKUP(E120, 'PlayerGrades+'!$X$3:$Y$23, 2, FALSE)))+('PlayerGrades+'!$Y$48*(VLOOKUP(G120, 'PlayerGrades+'!$X$3:$Y$23, 2, FALSE)))+('PlayerGrades+'!$Y$49*(VLOOKUP(I120, 'PlayerGrades+'!$X$3:$Y$23, 2, FALSE)))+('PlayerGrades+'!$Y$50*(VLOOKUP(K120, 'PlayerGrades+'!$X$3:$Y$23, 2, FALSE)))+('PlayerGrades+'!$Y$51*(VLOOKUP(M120, 'PlayerGrades+'!$X$3:$Y$23, 2, FALSE)))+('PlayerGrades+'!$Y$52*(VLOOKUP(O120, 'PlayerGrades+'!$X$3:$Y$23, 2, FALSE)))+('PlayerGrades+'!$Y$53*(VLOOKUP(Q120, 'PlayerGrades+'!$X$3:$Y$23, 2, FALSE)))+('PlayerGrades+'!$Y$54*(VLOOKUP(S120, 'PlayerGrades+'!$X$3:$Y$23, 2, FALSE)))+('PlayerGrades+'!$Y$55*(VLOOKUP(U120, 'PlayerGrades+'!$X$3:$Y$23, 2, FALSE)))</f>
        <v>#DIV/0!</v>
      </c>
      <c r="D120" s="961" t="str">
        <f t="shared" si="1"/>
        <v>#DIV/0!</v>
      </c>
      <c r="E120" s="961" t="str">
        <f>IF(D120&lt;'PlayerGrades+'!$AA$21,"F-",IF(D120&lt;'PlayerGrades+'!$AA$20,"F",IF(D120&lt;'PlayerGrades+'!$AA$19,"F+",IF(D120&lt;'PlayerGrades+'!$AA$18,"E-",IF(D120&lt;'PlayerGrades+'!$AA$17,"E",IF(D120&lt;'PlayerGrades+'!$AA$16,"E+",IF(D120&lt;'PlayerGrades+'!$AA$15,"D-",IF(D120&lt;'PlayerGrades+'!$AA$14,"D",IF(D120&lt;'PlayerGrades+'!$AA$13,"D+",IF(D120&lt;'PlayerGrades+'!$AA$12,"C-",IF(D120&lt;'PlayerGrades+'!$AA$11,"C",IF(D120&lt;'PlayerGrades+'!$AA$10,"C+",IF(D120&lt;'PlayerGrades+'!$AA$9,"B-",IF(D120&lt;'PlayerGrades+'!$AA$8,"B",IF(D120&lt;'PlayerGrades+'!$AA$7,"B+",IF(D120&lt;'PlayerGrades+'!$AA$6,"A-",IF(D120&lt;'PlayerGrades+'!$AA$5,"A",IF(D120&lt;'PlayerGrades+'!$AA$4,"A+",IF(D120&lt;'PlayerGrades+'!$AA$3,"S-",IF(D120&lt;'PlayerGrades+'!$AA$2,"S","S+"))))))))))))))))))))</f>
        <v>#DIV/0!</v>
      </c>
      <c r="F120" s="961" t="str">
        <f t="shared" si="2"/>
        <v>#DIV/0!</v>
      </c>
      <c r="G120" s="961" t="str">
        <f>IF(F120&lt;'PlayerGrades+'!$AB$21,"F-",IF(F120&lt;'PlayerGrades+'!$AB$20,"F",IF(F120&lt;'PlayerGrades+'!$AB$19,"F+",IF(F120&lt;'PlayerGrades+'!$AB$18,"E-",IF(F120&lt;'PlayerGrades+'!$AB$17,"E",IF(F120&lt;'PlayerGrades+'!$AB$16,"E+",IF(F120&lt;'PlayerGrades+'!$AB$15,"D-",IF(F120&lt;'PlayerGrades+'!$AB$14,"D",IF(F120&lt;'PlayerGrades+'!$AB$13,"D+",IF(F120&lt;'PlayerGrades+'!$AB$12,"C-",IF(F120&lt;'PlayerGrades+'!$AB$11,"C",IF(F120&lt;'PlayerGrades+'!$AB$10,"C+",IF(F120&lt;'PlayerGrades+'!$AB$9,"B-",IF(F120&lt;'PlayerGrades+'!$AB$8,"B",IF(F120&lt;'PlayerGrades+'!$AB$7,"B+",IF(F120&lt;'PlayerGrades+'!$AB$6,"A-",IF(F120&lt;'PlayerGrades+'!$AB$5,"A",IF(F120&lt;'PlayerGrades+'!$AB$4,"A+",IF(F120&lt;'PlayerGrades+'!$AB$3,"S-",IF(F120&lt;'PlayerGrades+'!$AB$2,"S","S+"))))))))))))))))))))</f>
        <v>#DIV/0!</v>
      </c>
      <c r="H120" s="961" t="str">
        <f t="shared" si="3"/>
        <v>#DIV/0!</v>
      </c>
      <c r="I120" s="961" t="str">
        <f>IF(H120&lt;'PlayerGrades+'!$AC$21,"F-",IF(H120&lt;'PlayerGrades+'!$AC$20,"F",IF(H120&lt;'PlayerGrades+'!$AC$19,"F+",IF(H120&lt;'PlayerGrades+'!$AC$18,"E-",IF(H120&lt;'PlayerGrades+'!$AC$17,"E",IF(H120&lt;'PlayerGrades+'!$AC$16,"E+",IF(H120&lt;'PlayerGrades+'!$AC$15,"D-",IF(H120&lt;'PlayerGrades+'!$AC$14,"D",IF(H120&lt;'PlayerGrades+'!$AC$13,"D+",IF(H120&lt;'PlayerGrades+'!$AC$12,"C-",IF(H120&lt;'PlayerGrades+'!$AC$11,"C",IF(H120&lt;'PlayerGrades+'!$AC$10,"C+",IF(H120&lt;'PlayerGrades+'!$AC$9,"B-",IF(H120&lt;'PlayerGrades+'!$AC$8,"B",IF(H120&lt;'PlayerGrades+'!$AC$7,"B+",IF(H120&lt;'PlayerGrades+'!$AC$6,"A-",IF(H120&lt;'PlayerGrades+'!$AC$5,"A",IF(H120&lt;'PlayerGrades+'!$AC$4,"A+",IF(H120&lt;'PlayerGrades+'!$AC$3,"S-",IF(H120&lt;'PlayerGrades+'!$AC$2,"S","S+"))))))))))))))))))))</f>
        <v>#DIV/0!</v>
      </c>
      <c r="J120" s="961" t="str">
        <f t="shared" si="4"/>
        <v>#DIV/0!</v>
      </c>
      <c r="K120" s="961" t="str">
        <f>IF(J120&lt;'PlayerGrades+'!$AD$21,"F-",IF(J120&lt;'PlayerGrades+'!$AD$20,"F",IF(J120&lt;'PlayerGrades+'!$AD$19,"F+",IF(J120&lt;'PlayerGrades+'!$AD$18,"E-",IF(J120&lt;'PlayerGrades+'!$AD$17,"E",IF(J120&lt;'PlayerGrades+'!$AD$16,"E+",IF(J120&lt;'PlayerGrades+'!$AD$15,"D-",IF(J120&lt;'PlayerGrades+'!$AD$14,"D",IF(J120&lt;'PlayerGrades+'!$AD$13,"D+",IF(J120&lt;'PlayerGrades+'!$AD$12,"C-",IF(J120&lt;'PlayerGrades+'!$AD$11,"C",IF(J120&lt;'PlayerGrades+'!$AD$10,"C+",IF(J120&lt;'PlayerGrades+'!$AD$9,"B-",IF(J120&lt;'PlayerGrades+'!$AD$8,"B",IF(J120&lt;'PlayerGrades+'!$AD$7,"B+",IF(J120&lt;'PlayerGrades+'!$AD$6,"A-",IF(J120&lt;'PlayerGrades+'!$AD$5,"A",IF(J120&lt;'PlayerGrades+'!$AD$4,"A+",IF(J120&lt;'PlayerGrades+'!$AD$3,"S-",IF(J120&lt;'PlayerGrades+'!$AD$2,"S","S+"))))))))))))))))))))</f>
        <v>#DIV/0!</v>
      </c>
      <c r="L120" s="1176" t="str">
        <f t="shared" si="5"/>
        <v>#DIV/0!</v>
      </c>
      <c r="M120" s="992" t="str">
        <f>IF(L120&lt;'PlayerGrades+'!$AE$21,"F-",IF(L120&lt;'PlayerGrades+'!$AE$20,"F",IF(L120&lt;'PlayerGrades+'!$AE$19,"F+",IF(L120&lt;'PlayerGrades+'!$AE$18,"E-",IF(L120&lt;'PlayerGrades+'!$AE$17,"E",IF(L120&lt;'PlayerGrades+'!$AE$16,"E+",IF(L120&lt;'PlayerGrades+'!$AE$15,"D-",IF(L120&lt;'PlayerGrades+'!$AE$14,"D",IF(L120&lt;'PlayerGrades+'!$AE$13,"D+",IF(L120&lt;'PlayerGrades+'!$AE$12,"C-",IF(L120&lt;'PlayerGrades+'!$AE$11,"C",IF(L120&lt;'PlayerGrades+'!$AE$10,"C+",IF(L120&lt;'PlayerGrades+'!$AE$9,"B-",IF(L120&lt;'PlayerGrades+'!$AE$8,"B",IF(L120&lt;'PlayerGrades+'!$AE$7,"B+",IF(L120&lt;'PlayerGrades+'!$AE$6,"A-",IF(L120&lt;'PlayerGrades+'!$AE$5,"A",IF(L120&lt;'PlayerGrades+'!$AE$4,"A+",IF(L120&lt;'PlayerGrades+'!$AE$3,"S-",IF(L120&lt;'PlayerGrades+'!$AE$2,"S","S+"))))))))))))))))))))</f>
        <v>#DIV/0!</v>
      </c>
      <c r="N120" s="961" t="str">
        <f t="shared" si="6"/>
        <v>#DIV/0!</v>
      </c>
      <c r="O120" s="961" t="str">
        <f>IF(N120&lt;'PlayerGrades+'!$AF$21,"F-",IF(N120&lt;'PlayerGrades+'!$AF$20,"F",IF(N120&lt;'PlayerGrades+'!$AF$19,"F+",IF(N120&lt;'PlayerGrades+'!$AF$18,"E-",IF(N120&lt;'PlayerGrades+'!$AF$17,"E",IF(N120&lt;'PlayerGrades+'!$AF$16,"E+",IF(N120&lt;'PlayerGrades+'!$AF$15,"D-",IF(N120&lt;'PlayerGrades+'!$AF$14,"D",IF(N120&lt;'PlayerGrades+'!$AF$13,"D+",IF(N120&lt;'PlayerGrades+'!$AF$12,"C-",IF(N120&lt;'PlayerGrades+'!$AF$11,"C",IF(N120&lt;'PlayerGrades+'!$AF$10,"C+",IF(N120&lt;'PlayerGrades+'!$AF$9,"B-",IF(N120&lt;'PlayerGrades+'!$AF$8,"B",IF(N120&lt;'PlayerGrades+'!$AF$7,"B+",IF(N120&lt;'PlayerGrades+'!$AF$6,"A-",IF(N120&lt;'PlayerGrades+'!$AF$5,"A",IF(N120&lt;'PlayerGrades+'!$AF$4,"A+",IF(N120&lt;'PlayerGrades+'!$AF$3,"S-",IF(N120&lt;'PlayerGrades+'!$AF$2,"S","S+"))))))))))))))))))))</f>
        <v>#DIV/0!</v>
      </c>
      <c r="P120" s="961" t="str">
        <f t="shared" si="7"/>
        <v>#DIV/0!</v>
      </c>
      <c r="Q120" s="961" t="str">
        <f>IF(P120&lt;'PlayerGrades+'!$AG$21,"F-",IF(P120&lt;'PlayerGrades+'!$AG$20,"F",IF(P120&lt;'PlayerGrades+'!$AG$19,"F+",IF(P120&lt;'PlayerGrades+'!$AG$18,"E-",IF(P120&lt;'PlayerGrades+'!$AG$17,"E",IF(P120&lt;'PlayerGrades+'!$AG$16,"E+",IF(P120&lt;'PlayerGrades+'!$AG$15,"D-",IF(P120&lt;'PlayerGrades+'!$AG$14,"D",IF(P120&lt;'PlayerGrades+'!$AG$13,"D+",IF(P120&lt;'PlayerGrades+'!$AG$12,"C-",IF(P120&lt;'PlayerGrades+'!$AG$11,"C",IF(P120&lt;'PlayerGrades+'!$AG$10,"C+",IF(P120&lt;'PlayerGrades+'!$AG$9,"B-",IF(P120&lt;'PlayerGrades+'!$AG$8,"B",IF(P120&lt;'PlayerGrades+'!$AG$7,"B+",IF(P120&lt;'PlayerGrades+'!$AG$6,"A-",IF(P120&lt;'PlayerGrades+'!$AG$5,"A",IF(P120&lt;'PlayerGrades+'!$AG$4,"A+",IF(P120&lt;'PlayerGrades+'!$AG$3,"S-",IF(P120&lt;'PlayerGrades+'!$AG$2,"S","S+"))))))))))))))))))))</f>
        <v>#DIV/0!</v>
      </c>
      <c r="R120" s="961" t="str">
        <f t="shared" si="8"/>
        <v>#DIV/0!</v>
      </c>
      <c r="S120" s="961" t="str">
        <f>IF(R120&lt;'PlayerGrades+'!$AH$21,"F-",IF(R120&lt;'PlayerGrades+'!$AH$20,"F",IF(R120&lt;'PlayerGrades+'!$AH$19,"F+",IF(R120&lt;'PlayerGrades+'!$AH$18,"E-",IF(R120&lt;'PlayerGrades+'!$AH$17,"E",IF(R120&lt;'PlayerGrades+'!$AH$16,"E+",IF(R120&lt;'PlayerGrades+'!$AH$15,"D-",IF(R120&lt;'PlayerGrades+'!$AH$14,"D",IF(R120&lt;'PlayerGrades+'!$AH$13,"D+",IF(R120&lt;'PlayerGrades+'!$AH$12,"C-",IF(R120&lt;'PlayerGrades+'!$AH$11,"C",IF(R120&lt;'PlayerGrades+'!$AH$10,"C+",IF(R120&lt;'PlayerGrades+'!$AH$9,"B-",IF(R120&lt;'PlayerGrades+'!$AH$8,"B",IF(R120&lt;'PlayerGrades+'!$AH$7,"B+",IF(R120&lt;'PlayerGrades+'!$AH$6,"A-",IF(R120&lt;'PlayerGrades+'!$AH$5,"A",IF(R120&lt;'PlayerGrades+'!$AH$4,"A+",IF(R120&lt;'PlayerGrades+'!$AH$3,"S-",IF(R120&lt;'PlayerGrades+'!$AH$2,"S","S+"))))))))))))))))))))</f>
        <v>#DIV/0!</v>
      </c>
      <c r="T120" s="961">
        <f t="shared" si="9"/>
        <v>0</v>
      </c>
      <c r="U120" s="961" t="str">
        <f>IF(T120&lt;'PlayerGrades+'!$AI$21,"F-",IF(T120&lt;'PlayerGrades+'!$AI$20,"F",IF(T120&lt;'PlayerGrades+'!$AI$19,"F+",IF(T120&lt;'PlayerGrades+'!$AI$18,"E-",IF(T120&lt;'PlayerGrades+'!$AI$17,"E",IF(T120&lt;'PlayerGrades+'!$AI$16,"E+",IF(T120&lt;'PlayerGrades+'!$AI$15,"D-",IF(T120&lt;'PlayerGrades+'!$AI$14,"D",IF(T120&lt;'PlayerGrades+'!$AI$13,"D+",IF(T120&lt;'PlayerGrades+'!$AI$12,"C-",IF(T120&lt;'PlayerGrades+'!$AI$11,"C",IF(T120&lt;'PlayerGrades+'!$AI$10,"C+",IF(T120&lt;'PlayerGrades+'!$AI$9,"B-",IF(T120&lt;'PlayerGrades+'!$AI$8,"B",IF(T120&lt;'PlayerGrades+'!$AI$7,"B+",IF(T120&lt;'PlayerGrades+'!$AI$6,"A-",IF(T120&lt;'PlayerGrades+'!$AI$5,"A",IF(T120&lt;'PlayerGrades+'!$AI$4,"A+",IF(T120&lt;'PlayerGrades+'!$AI$3,"S-",IF(T120&lt;'PlayerGrades+'!$AI$2,"S","S+"))))))))))))))))))))</f>
        <v>F-</v>
      </c>
      <c r="AC120" s="1392"/>
    </row>
    <row r="121" ht="15.0" customHeight="1">
      <c r="A121" s="1393"/>
      <c r="B121" s="611" t="str">
        <f>IF(C121&lt;'PlayerGrades+'!$Y$44,"F-",IF(C121&lt;'PlayerGrades+'!$Y$43,"F",IF(C121&lt;'PlayerGrades+'!$Y$42,"F+",IF(C121&lt;'PlayerGrades+'!$Y$41,"E-",IF(C121&lt;'PlayerGrades+'!$Y$40,"E",IF(C121&lt;'PlayerGrades+'!$Y$39,"E+",IF(C121&lt;'PlayerGrades+'!$Y$38,"D-",IF(C121&lt;'PlayerGrades+'!$Y$37,"D",IF(C121&lt;'PlayerGrades+'!$Y$36,"D+",IF(C121&lt;'PlayerGrades+'!$Y$35,"C-",IF(C121&lt;'PlayerGrades+'!$Y$34,"C",IF(C121&lt;'PlayerGrades+'!$Y$33,"C+",IF(C121&lt;'PlayerGrades+'!$Y$32,"B-",IF(C121&lt;'PlayerGrades+'!$Y$31,"B",IF(C121&lt;'PlayerGrades+'!$Y$30,"B+",IF(C121&lt;'PlayerGrades+'!$Y$29,"A-",IF(C121&lt;'PlayerGrades+'!$Y$28,"A",IF(C121&lt;'PlayerGrades+'!$Y$27,"A+",IF(C121&lt;'PlayerGrades+'!$Y$26,"S-",IF(C121&lt;'PlayerGrades+'!$Y$25,"S","S+"))))))))))))))))))))</f>
        <v>#DIV/0!</v>
      </c>
      <c r="C121" s="1378" t="str">
        <f>('PlayerGrades+'!$Y$47*(VLOOKUP(E121, 'PlayerGrades+'!$X$3:$Y$23, 2, FALSE)))+('PlayerGrades+'!$Y$48*(VLOOKUP(G121, 'PlayerGrades+'!$X$3:$Y$23, 2, FALSE)))+('PlayerGrades+'!$Y$49*(VLOOKUP(I121, 'PlayerGrades+'!$X$3:$Y$23, 2, FALSE)))+('PlayerGrades+'!$Y$50*(VLOOKUP(K121, 'PlayerGrades+'!$X$3:$Y$23, 2, FALSE)))+('PlayerGrades+'!$Y$51*(VLOOKUP(M121, 'PlayerGrades+'!$X$3:$Y$23, 2, FALSE)))+('PlayerGrades+'!$Y$52*(VLOOKUP(O121, 'PlayerGrades+'!$X$3:$Y$23, 2, FALSE)))+('PlayerGrades+'!$Y$53*(VLOOKUP(Q121, 'PlayerGrades+'!$X$3:$Y$23, 2, FALSE)))+('PlayerGrades+'!$Y$54*(VLOOKUP(S121, 'PlayerGrades+'!$X$3:$Y$23, 2, FALSE)))+('PlayerGrades+'!$Y$55*(VLOOKUP(U121, 'PlayerGrades+'!$X$3:$Y$23, 2, FALSE)))</f>
        <v>#DIV/0!</v>
      </c>
      <c r="D121" s="961" t="str">
        <f t="shared" si="1"/>
        <v>#DIV/0!</v>
      </c>
      <c r="E121" s="961" t="str">
        <f>IF(D121&lt;'PlayerGrades+'!$AA$21,"F-",IF(D121&lt;'PlayerGrades+'!$AA$20,"F",IF(D121&lt;'PlayerGrades+'!$AA$19,"F+",IF(D121&lt;'PlayerGrades+'!$AA$18,"E-",IF(D121&lt;'PlayerGrades+'!$AA$17,"E",IF(D121&lt;'PlayerGrades+'!$AA$16,"E+",IF(D121&lt;'PlayerGrades+'!$AA$15,"D-",IF(D121&lt;'PlayerGrades+'!$AA$14,"D",IF(D121&lt;'PlayerGrades+'!$AA$13,"D+",IF(D121&lt;'PlayerGrades+'!$AA$12,"C-",IF(D121&lt;'PlayerGrades+'!$AA$11,"C",IF(D121&lt;'PlayerGrades+'!$AA$10,"C+",IF(D121&lt;'PlayerGrades+'!$AA$9,"B-",IF(D121&lt;'PlayerGrades+'!$AA$8,"B",IF(D121&lt;'PlayerGrades+'!$AA$7,"B+",IF(D121&lt;'PlayerGrades+'!$AA$6,"A-",IF(D121&lt;'PlayerGrades+'!$AA$5,"A",IF(D121&lt;'PlayerGrades+'!$AA$4,"A+",IF(D121&lt;'PlayerGrades+'!$AA$3,"S-",IF(D121&lt;'PlayerGrades+'!$AA$2,"S","S+"))))))))))))))))))))</f>
        <v>#DIV/0!</v>
      </c>
      <c r="F121" s="961" t="str">
        <f t="shared" si="2"/>
        <v>#DIV/0!</v>
      </c>
      <c r="G121" s="961" t="str">
        <f>IF(F121&lt;'PlayerGrades+'!$AB$21,"F-",IF(F121&lt;'PlayerGrades+'!$AB$20,"F",IF(F121&lt;'PlayerGrades+'!$AB$19,"F+",IF(F121&lt;'PlayerGrades+'!$AB$18,"E-",IF(F121&lt;'PlayerGrades+'!$AB$17,"E",IF(F121&lt;'PlayerGrades+'!$AB$16,"E+",IF(F121&lt;'PlayerGrades+'!$AB$15,"D-",IF(F121&lt;'PlayerGrades+'!$AB$14,"D",IF(F121&lt;'PlayerGrades+'!$AB$13,"D+",IF(F121&lt;'PlayerGrades+'!$AB$12,"C-",IF(F121&lt;'PlayerGrades+'!$AB$11,"C",IF(F121&lt;'PlayerGrades+'!$AB$10,"C+",IF(F121&lt;'PlayerGrades+'!$AB$9,"B-",IF(F121&lt;'PlayerGrades+'!$AB$8,"B",IF(F121&lt;'PlayerGrades+'!$AB$7,"B+",IF(F121&lt;'PlayerGrades+'!$AB$6,"A-",IF(F121&lt;'PlayerGrades+'!$AB$5,"A",IF(F121&lt;'PlayerGrades+'!$AB$4,"A+",IF(F121&lt;'PlayerGrades+'!$AB$3,"S-",IF(F121&lt;'PlayerGrades+'!$AB$2,"S","S+"))))))))))))))))))))</f>
        <v>#DIV/0!</v>
      </c>
      <c r="H121" s="961" t="str">
        <f t="shared" si="3"/>
        <v>#DIV/0!</v>
      </c>
      <c r="I121" s="961" t="str">
        <f>IF(H121&lt;'PlayerGrades+'!$AC$21,"F-",IF(H121&lt;'PlayerGrades+'!$AC$20,"F",IF(H121&lt;'PlayerGrades+'!$AC$19,"F+",IF(H121&lt;'PlayerGrades+'!$AC$18,"E-",IF(H121&lt;'PlayerGrades+'!$AC$17,"E",IF(H121&lt;'PlayerGrades+'!$AC$16,"E+",IF(H121&lt;'PlayerGrades+'!$AC$15,"D-",IF(H121&lt;'PlayerGrades+'!$AC$14,"D",IF(H121&lt;'PlayerGrades+'!$AC$13,"D+",IF(H121&lt;'PlayerGrades+'!$AC$12,"C-",IF(H121&lt;'PlayerGrades+'!$AC$11,"C",IF(H121&lt;'PlayerGrades+'!$AC$10,"C+",IF(H121&lt;'PlayerGrades+'!$AC$9,"B-",IF(H121&lt;'PlayerGrades+'!$AC$8,"B",IF(H121&lt;'PlayerGrades+'!$AC$7,"B+",IF(H121&lt;'PlayerGrades+'!$AC$6,"A-",IF(H121&lt;'PlayerGrades+'!$AC$5,"A",IF(H121&lt;'PlayerGrades+'!$AC$4,"A+",IF(H121&lt;'PlayerGrades+'!$AC$3,"S-",IF(H121&lt;'PlayerGrades+'!$AC$2,"S","S+"))))))))))))))))))))</f>
        <v>#DIV/0!</v>
      </c>
      <c r="J121" s="961" t="str">
        <f t="shared" si="4"/>
        <v>#DIV/0!</v>
      </c>
      <c r="K121" s="961" t="str">
        <f>IF(J121&lt;'PlayerGrades+'!$AD$21,"F-",IF(J121&lt;'PlayerGrades+'!$AD$20,"F",IF(J121&lt;'PlayerGrades+'!$AD$19,"F+",IF(J121&lt;'PlayerGrades+'!$AD$18,"E-",IF(J121&lt;'PlayerGrades+'!$AD$17,"E",IF(J121&lt;'PlayerGrades+'!$AD$16,"E+",IF(J121&lt;'PlayerGrades+'!$AD$15,"D-",IF(J121&lt;'PlayerGrades+'!$AD$14,"D",IF(J121&lt;'PlayerGrades+'!$AD$13,"D+",IF(J121&lt;'PlayerGrades+'!$AD$12,"C-",IF(J121&lt;'PlayerGrades+'!$AD$11,"C",IF(J121&lt;'PlayerGrades+'!$AD$10,"C+",IF(J121&lt;'PlayerGrades+'!$AD$9,"B-",IF(J121&lt;'PlayerGrades+'!$AD$8,"B",IF(J121&lt;'PlayerGrades+'!$AD$7,"B+",IF(J121&lt;'PlayerGrades+'!$AD$6,"A-",IF(J121&lt;'PlayerGrades+'!$AD$5,"A",IF(J121&lt;'PlayerGrades+'!$AD$4,"A+",IF(J121&lt;'PlayerGrades+'!$AD$3,"S-",IF(J121&lt;'PlayerGrades+'!$AD$2,"S","S+"))))))))))))))))))))</f>
        <v>#DIV/0!</v>
      </c>
      <c r="L121" s="1176" t="str">
        <f t="shared" si="5"/>
        <v>#DIV/0!</v>
      </c>
      <c r="M121" s="992" t="str">
        <f>IF(L121&lt;'PlayerGrades+'!$AE$21,"F-",IF(L121&lt;'PlayerGrades+'!$AE$20,"F",IF(L121&lt;'PlayerGrades+'!$AE$19,"F+",IF(L121&lt;'PlayerGrades+'!$AE$18,"E-",IF(L121&lt;'PlayerGrades+'!$AE$17,"E",IF(L121&lt;'PlayerGrades+'!$AE$16,"E+",IF(L121&lt;'PlayerGrades+'!$AE$15,"D-",IF(L121&lt;'PlayerGrades+'!$AE$14,"D",IF(L121&lt;'PlayerGrades+'!$AE$13,"D+",IF(L121&lt;'PlayerGrades+'!$AE$12,"C-",IF(L121&lt;'PlayerGrades+'!$AE$11,"C",IF(L121&lt;'PlayerGrades+'!$AE$10,"C+",IF(L121&lt;'PlayerGrades+'!$AE$9,"B-",IF(L121&lt;'PlayerGrades+'!$AE$8,"B",IF(L121&lt;'PlayerGrades+'!$AE$7,"B+",IF(L121&lt;'PlayerGrades+'!$AE$6,"A-",IF(L121&lt;'PlayerGrades+'!$AE$5,"A",IF(L121&lt;'PlayerGrades+'!$AE$4,"A+",IF(L121&lt;'PlayerGrades+'!$AE$3,"S-",IF(L121&lt;'PlayerGrades+'!$AE$2,"S","S+"))))))))))))))))))))</f>
        <v>#DIV/0!</v>
      </c>
      <c r="N121" s="961" t="str">
        <f t="shared" si="6"/>
        <v>#DIV/0!</v>
      </c>
      <c r="O121" s="961" t="str">
        <f>IF(N121&lt;'PlayerGrades+'!$AF$21,"F-",IF(N121&lt;'PlayerGrades+'!$AF$20,"F",IF(N121&lt;'PlayerGrades+'!$AF$19,"F+",IF(N121&lt;'PlayerGrades+'!$AF$18,"E-",IF(N121&lt;'PlayerGrades+'!$AF$17,"E",IF(N121&lt;'PlayerGrades+'!$AF$16,"E+",IF(N121&lt;'PlayerGrades+'!$AF$15,"D-",IF(N121&lt;'PlayerGrades+'!$AF$14,"D",IF(N121&lt;'PlayerGrades+'!$AF$13,"D+",IF(N121&lt;'PlayerGrades+'!$AF$12,"C-",IF(N121&lt;'PlayerGrades+'!$AF$11,"C",IF(N121&lt;'PlayerGrades+'!$AF$10,"C+",IF(N121&lt;'PlayerGrades+'!$AF$9,"B-",IF(N121&lt;'PlayerGrades+'!$AF$8,"B",IF(N121&lt;'PlayerGrades+'!$AF$7,"B+",IF(N121&lt;'PlayerGrades+'!$AF$6,"A-",IF(N121&lt;'PlayerGrades+'!$AF$5,"A",IF(N121&lt;'PlayerGrades+'!$AF$4,"A+",IF(N121&lt;'PlayerGrades+'!$AF$3,"S-",IF(N121&lt;'PlayerGrades+'!$AF$2,"S","S+"))))))))))))))))))))</f>
        <v>#DIV/0!</v>
      </c>
      <c r="P121" s="961" t="str">
        <f t="shared" si="7"/>
        <v>#DIV/0!</v>
      </c>
      <c r="Q121" s="961" t="str">
        <f>IF(P121&lt;'PlayerGrades+'!$AG$21,"F-",IF(P121&lt;'PlayerGrades+'!$AG$20,"F",IF(P121&lt;'PlayerGrades+'!$AG$19,"F+",IF(P121&lt;'PlayerGrades+'!$AG$18,"E-",IF(P121&lt;'PlayerGrades+'!$AG$17,"E",IF(P121&lt;'PlayerGrades+'!$AG$16,"E+",IF(P121&lt;'PlayerGrades+'!$AG$15,"D-",IF(P121&lt;'PlayerGrades+'!$AG$14,"D",IF(P121&lt;'PlayerGrades+'!$AG$13,"D+",IF(P121&lt;'PlayerGrades+'!$AG$12,"C-",IF(P121&lt;'PlayerGrades+'!$AG$11,"C",IF(P121&lt;'PlayerGrades+'!$AG$10,"C+",IF(P121&lt;'PlayerGrades+'!$AG$9,"B-",IF(P121&lt;'PlayerGrades+'!$AG$8,"B",IF(P121&lt;'PlayerGrades+'!$AG$7,"B+",IF(P121&lt;'PlayerGrades+'!$AG$6,"A-",IF(P121&lt;'PlayerGrades+'!$AG$5,"A",IF(P121&lt;'PlayerGrades+'!$AG$4,"A+",IF(P121&lt;'PlayerGrades+'!$AG$3,"S-",IF(P121&lt;'PlayerGrades+'!$AG$2,"S","S+"))))))))))))))))))))</f>
        <v>#DIV/0!</v>
      </c>
      <c r="R121" s="961" t="str">
        <f t="shared" si="8"/>
        <v>#DIV/0!</v>
      </c>
      <c r="S121" s="961" t="str">
        <f>IF(R121&lt;'PlayerGrades+'!$AH$21,"F-",IF(R121&lt;'PlayerGrades+'!$AH$20,"F",IF(R121&lt;'PlayerGrades+'!$AH$19,"F+",IF(R121&lt;'PlayerGrades+'!$AH$18,"E-",IF(R121&lt;'PlayerGrades+'!$AH$17,"E",IF(R121&lt;'PlayerGrades+'!$AH$16,"E+",IF(R121&lt;'PlayerGrades+'!$AH$15,"D-",IF(R121&lt;'PlayerGrades+'!$AH$14,"D",IF(R121&lt;'PlayerGrades+'!$AH$13,"D+",IF(R121&lt;'PlayerGrades+'!$AH$12,"C-",IF(R121&lt;'PlayerGrades+'!$AH$11,"C",IF(R121&lt;'PlayerGrades+'!$AH$10,"C+",IF(R121&lt;'PlayerGrades+'!$AH$9,"B-",IF(R121&lt;'PlayerGrades+'!$AH$8,"B",IF(R121&lt;'PlayerGrades+'!$AH$7,"B+",IF(R121&lt;'PlayerGrades+'!$AH$6,"A-",IF(R121&lt;'PlayerGrades+'!$AH$5,"A",IF(R121&lt;'PlayerGrades+'!$AH$4,"A+",IF(R121&lt;'PlayerGrades+'!$AH$3,"S-",IF(R121&lt;'PlayerGrades+'!$AH$2,"S","S+"))))))))))))))))))))</f>
        <v>#DIV/0!</v>
      </c>
      <c r="T121" s="961">
        <f t="shared" si="9"/>
        <v>0</v>
      </c>
      <c r="U121" s="961" t="str">
        <f>IF(T121&lt;'PlayerGrades+'!$AI$21,"F-",IF(T121&lt;'PlayerGrades+'!$AI$20,"F",IF(T121&lt;'PlayerGrades+'!$AI$19,"F+",IF(T121&lt;'PlayerGrades+'!$AI$18,"E-",IF(T121&lt;'PlayerGrades+'!$AI$17,"E",IF(T121&lt;'PlayerGrades+'!$AI$16,"E+",IF(T121&lt;'PlayerGrades+'!$AI$15,"D-",IF(T121&lt;'PlayerGrades+'!$AI$14,"D",IF(T121&lt;'PlayerGrades+'!$AI$13,"D+",IF(T121&lt;'PlayerGrades+'!$AI$12,"C-",IF(T121&lt;'PlayerGrades+'!$AI$11,"C",IF(T121&lt;'PlayerGrades+'!$AI$10,"C+",IF(T121&lt;'PlayerGrades+'!$AI$9,"B-",IF(T121&lt;'PlayerGrades+'!$AI$8,"B",IF(T121&lt;'PlayerGrades+'!$AI$7,"B+",IF(T121&lt;'PlayerGrades+'!$AI$6,"A-",IF(T121&lt;'PlayerGrades+'!$AI$5,"A",IF(T121&lt;'PlayerGrades+'!$AI$4,"A+",IF(T121&lt;'PlayerGrades+'!$AI$3,"S-",IF(T121&lt;'PlayerGrades+'!$AI$2,"S","S+"))))))))))))))))))))</f>
        <v>F-</v>
      </c>
      <c r="V121" s="1386"/>
      <c r="W121" s="1386"/>
      <c r="X121" s="1386"/>
      <c r="Y121" s="1386"/>
      <c r="Z121" s="1386"/>
      <c r="AA121" s="1386"/>
      <c r="AB121" s="1386"/>
      <c r="AC121" s="1397"/>
      <c r="AD121" s="1386"/>
      <c r="AE121" s="1386"/>
      <c r="AF121" s="1386"/>
      <c r="AG121" s="1386"/>
      <c r="AH121" s="1386"/>
      <c r="AI121" s="1386"/>
      <c r="AJ121" s="1386"/>
      <c r="AK121" s="1386"/>
      <c r="AL121" s="1386"/>
      <c r="AM121" s="1386"/>
      <c r="AN121" s="1386"/>
      <c r="AO121" s="1386"/>
      <c r="AP121" s="1386"/>
      <c r="AQ121" s="1386"/>
      <c r="AR121" s="1386"/>
      <c r="AS121" s="1386"/>
      <c r="AT121" s="1386"/>
      <c r="AU121" s="1386"/>
      <c r="AV121" s="1386"/>
      <c r="AW121" s="1386"/>
      <c r="AX121" s="1386"/>
      <c r="AY121" s="1386"/>
      <c r="AZ121" s="1386"/>
    </row>
    <row r="122">
      <c r="A122" s="1389"/>
      <c r="B122" s="611" t="str">
        <f>IF(C122&lt;'PlayerGrades+'!$Y$44,"F-",IF(C122&lt;'PlayerGrades+'!$Y$43,"F",IF(C122&lt;'PlayerGrades+'!$Y$42,"F+",IF(C122&lt;'PlayerGrades+'!$Y$41,"E-",IF(C122&lt;'PlayerGrades+'!$Y$40,"E",IF(C122&lt;'PlayerGrades+'!$Y$39,"E+",IF(C122&lt;'PlayerGrades+'!$Y$38,"D-",IF(C122&lt;'PlayerGrades+'!$Y$37,"D",IF(C122&lt;'PlayerGrades+'!$Y$36,"D+",IF(C122&lt;'PlayerGrades+'!$Y$35,"C-",IF(C122&lt;'PlayerGrades+'!$Y$34,"C",IF(C122&lt;'PlayerGrades+'!$Y$33,"C+",IF(C122&lt;'PlayerGrades+'!$Y$32,"B-",IF(C122&lt;'PlayerGrades+'!$Y$31,"B",IF(C122&lt;'PlayerGrades+'!$Y$30,"B+",IF(C122&lt;'PlayerGrades+'!$Y$29,"A-",IF(C122&lt;'PlayerGrades+'!$Y$28,"A",IF(C122&lt;'PlayerGrades+'!$Y$27,"A+",IF(C122&lt;'PlayerGrades+'!$Y$26,"S-",IF(C122&lt;'PlayerGrades+'!$Y$25,"S","S+"))))))))))))))))))))</f>
        <v>#DIV/0!</v>
      </c>
      <c r="C122" s="1378" t="str">
        <f>('PlayerGrades+'!$Y$47*(VLOOKUP(E122, 'PlayerGrades+'!$X$3:$Y$23, 2, FALSE)))+('PlayerGrades+'!$Y$48*(VLOOKUP(G122, 'PlayerGrades+'!$X$3:$Y$23, 2, FALSE)))+('PlayerGrades+'!$Y$49*(VLOOKUP(I122, 'PlayerGrades+'!$X$3:$Y$23, 2, FALSE)))+('PlayerGrades+'!$Y$50*(VLOOKUP(K122, 'PlayerGrades+'!$X$3:$Y$23, 2, FALSE)))+('PlayerGrades+'!$Y$51*(VLOOKUP(M122, 'PlayerGrades+'!$X$3:$Y$23, 2, FALSE)))+('PlayerGrades+'!$Y$52*(VLOOKUP(O122, 'PlayerGrades+'!$X$3:$Y$23, 2, FALSE)))+('PlayerGrades+'!$Y$53*(VLOOKUP(Q122, 'PlayerGrades+'!$X$3:$Y$23, 2, FALSE)))+('PlayerGrades+'!$Y$54*(VLOOKUP(S122, 'PlayerGrades+'!$X$3:$Y$23, 2, FALSE)))+('PlayerGrades+'!$Y$55*(VLOOKUP(U122, 'PlayerGrades+'!$X$3:$Y$23, 2, FALSE)))</f>
        <v>#DIV/0!</v>
      </c>
      <c r="D122" s="961" t="str">
        <f t="shared" si="1"/>
        <v>#DIV/0!</v>
      </c>
      <c r="E122" s="961" t="str">
        <f>IF(D122&lt;'PlayerGrades+'!$AA$21,"F-",IF(D122&lt;'PlayerGrades+'!$AA$20,"F",IF(D122&lt;'PlayerGrades+'!$AA$19,"F+",IF(D122&lt;'PlayerGrades+'!$AA$18,"E-",IF(D122&lt;'PlayerGrades+'!$AA$17,"E",IF(D122&lt;'PlayerGrades+'!$AA$16,"E+",IF(D122&lt;'PlayerGrades+'!$AA$15,"D-",IF(D122&lt;'PlayerGrades+'!$AA$14,"D",IF(D122&lt;'PlayerGrades+'!$AA$13,"D+",IF(D122&lt;'PlayerGrades+'!$AA$12,"C-",IF(D122&lt;'PlayerGrades+'!$AA$11,"C",IF(D122&lt;'PlayerGrades+'!$AA$10,"C+",IF(D122&lt;'PlayerGrades+'!$AA$9,"B-",IF(D122&lt;'PlayerGrades+'!$AA$8,"B",IF(D122&lt;'PlayerGrades+'!$AA$7,"B+",IF(D122&lt;'PlayerGrades+'!$AA$6,"A-",IF(D122&lt;'PlayerGrades+'!$AA$5,"A",IF(D122&lt;'PlayerGrades+'!$AA$4,"A+",IF(D122&lt;'PlayerGrades+'!$AA$3,"S-",IF(D122&lt;'PlayerGrades+'!$AA$2,"S","S+"))))))))))))))))))))</f>
        <v>#DIV/0!</v>
      </c>
      <c r="F122" s="961" t="str">
        <f t="shared" si="2"/>
        <v>#DIV/0!</v>
      </c>
      <c r="G122" s="961" t="str">
        <f>IF(F122&lt;'PlayerGrades+'!$AB$21,"F-",IF(F122&lt;'PlayerGrades+'!$AB$20,"F",IF(F122&lt;'PlayerGrades+'!$AB$19,"F+",IF(F122&lt;'PlayerGrades+'!$AB$18,"E-",IF(F122&lt;'PlayerGrades+'!$AB$17,"E",IF(F122&lt;'PlayerGrades+'!$AB$16,"E+",IF(F122&lt;'PlayerGrades+'!$AB$15,"D-",IF(F122&lt;'PlayerGrades+'!$AB$14,"D",IF(F122&lt;'PlayerGrades+'!$AB$13,"D+",IF(F122&lt;'PlayerGrades+'!$AB$12,"C-",IF(F122&lt;'PlayerGrades+'!$AB$11,"C",IF(F122&lt;'PlayerGrades+'!$AB$10,"C+",IF(F122&lt;'PlayerGrades+'!$AB$9,"B-",IF(F122&lt;'PlayerGrades+'!$AB$8,"B",IF(F122&lt;'PlayerGrades+'!$AB$7,"B+",IF(F122&lt;'PlayerGrades+'!$AB$6,"A-",IF(F122&lt;'PlayerGrades+'!$AB$5,"A",IF(F122&lt;'PlayerGrades+'!$AB$4,"A+",IF(F122&lt;'PlayerGrades+'!$AB$3,"S-",IF(F122&lt;'PlayerGrades+'!$AB$2,"S","S+"))))))))))))))))))))</f>
        <v>#DIV/0!</v>
      </c>
      <c r="H122" s="961" t="str">
        <f t="shared" si="3"/>
        <v>#DIV/0!</v>
      </c>
      <c r="I122" s="961" t="str">
        <f>IF(H122&lt;'PlayerGrades+'!$AC$21,"F-",IF(H122&lt;'PlayerGrades+'!$AC$20,"F",IF(H122&lt;'PlayerGrades+'!$AC$19,"F+",IF(H122&lt;'PlayerGrades+'!$AC$18,"E-",IF(H122&lt;'PlayerGrades+'!$AC$17,"E",IF(H122&lt;'PlayerGrades+'!$AC$16,"E+",IF(H122&lt;'PlayerGrades+'!$AC$15,"D-",IF(H122&lt;'PlayerGrades+'!$AC$14,"D",IF(H122&lt;'PlayerGrades+'!$AC$13,"D+",IF(H122&lt;'PlayerGrades+'!$AC$12,"C-",IF(H122&lt;'PlayerGrades+'!$AC$11,"C",IF(H122&lt;'PlayerGrades+'!$AC$10,"C+",IF(H122&lt;'PlayerGrades+'!$AC$9,"B-",IF(H122&lt;'PlayerGrades+'!$AC$8,"B",IF(H122&lt;'PlayerGrades+'!$AC$7,"B+",IF(H122&lt;'PlayerGrades+'!$AC$6,"A-",IF(H122&lt;'PlayerGrades+'!$AC$5,"A",IF(H122&lt;'PlayerGrades+'!$AC$4,"A+",IF(H122&lt;'PlayerGrades+'!$AC$3,"S-",IF(H122&lt;'PlayerGrades+'!$AC$2,"S","S+"))))))))))))))))))))</f>
        <v>#DIV/0!</v>
      </c>
      <c r="J122" s="961" t="str">
        <f t="shared" si="4"/>
        <v>#DIV/0!</v>
      </c>
      <c r="K122" s="961" t="str">
        <f>IF(J122&lt;'PlayerGrades+'!$AD$21,"F-",IF(J122&lt;'PlayerGrades+'!$AD$20,"F",IF(J122&lt;'PlayerGrades+'!$AD$19,"F+",IF(J122&lt;'PlayerGrades+'!$AD$18,"E-",IF(J122&lt;'PlayerGrades+'!$AD$17,"E",IF(J122&lt;'PlayerGrades+'!$AD$16,"E+",IF(J122&lt;'PlayerGrades+'!$AD$15,"D-",IF(J122&lt;'PlayerGrades+'!$AD$14,"D",IF(J122&lt;'PlayerGrades+'!$AD$13,"D+",IF(J122&lt;'PlayerGrades+'!$AD$12,"C-",IF(J122&lt;'PlayerGrades+'!$AD$11,"C",IF(J122&lt;'PlayerGrades+'!$AD$10,"C+",IF(J122&lt;'PlayerGrades+'!$AD$9,"B-",IF(J122&lt;'PlayerGrades+'!$AD$8,"B",IF(J122&lt;'PlayerGrades+'!$AD$7,"B+",IF(J122&lt;'PlayerGrades+'!$AD$6,"A-",IF(J122&lt;'PlayerGrades+'!$AD$5,"A",IF(J122&lt;'PlayerGrades+'!$AD$4,"A+",IF(J122&lt;'PlayerGrades+'!$AD$3,"S-",IF(J122&lt;'PlayerGrades+'!$AD$2,"S","S+"))))))))))))))))))))</f>
        <v>#DIV/0!</v>
      </c>
      <c r="L122" s="1176" t="str">
        <f t="shared" si="5"/>
        <v>#DIV/0!</v>
      </c>
      <c r="M122" s="992" t="str">
        <f>IF(L122&lt;'PlayerGrades+'!$AE$21,"F-",IF(L122&lt;'PlayerGrades+'!$AE$20,"F",IF(L122&lt;'PlayerGrades+'!$AE$19,"F+",IF(L122&lt;'PlayerGrades+'!$AE$18,"E-",IF(L122&lt;'PlayerGrades+'!$AE$17,"E",IF(L122&lt;'PlayerGrades+'!$AE$16,"E+",IF(L122&lt;'PlayerGrades+'!$AE$15,"D-",IF(L122&lt;'PlayerGrades+'!$AE$14,"D",IF(L122&lt;'PlayerGrades+'!$AE$13,"D+",IF(L122&lt;'PlayerGrades+'!$AE$12,"C-",IF(L122&lt;'PlayerGrades+'!$AE$11,"C",IF(L122&lt;'PlayerGrades+'!$AE$10,"C+",IF(L122&lt;'PlayerGrades+'!$AE$9,"B-",IF(L122&lt;'PlayerGrades+'!$AE$8,"B",IF(L122&lt;'PlayerGrades+'!$AE$7,"B+",IF(L122&lt;'PlayerGrades+'!$AE$6,"A-",IF(L122&lt;'PlayerGrades+'!$AE$5,"A",IF(L122&lt;'PlayerGrades+'!$AE$4,"A+",IF(L122&lt;'PlayerGrades+'!$AE$3,"S-",IF(L122&lt;'PlayerGrades+'!$AE$2,"S","S+"))))))))))))))))))))</f>
        <v>#DIV/0!</v>
      </c>
      <c r="N122" s="961" t="str">
        <f t="shared" si="6"/>
        <v>#DIV/0!</v>
      </c>
      <c r="O122" s="961" t="str">
        <f>IF(N122&lt;'PlayerGrades+'!$AF$21,"F-",IF(N122&lt;'PlayerGrades+'!$AF$20,"F",IF(N122&lt;'PlayerGrades+'!$AF$19,"F+",IF(N122&lt;'PlayerGrades+'!$AF$18,"E-",IF(N122&lt;'PlayerGrades+'!$AF$17,"E",IF(N122&lt;'PlayerGrades+'!$AF$16,"E+",IF(N122&lt;'PlayerGrades+'!$AF$15,"D-",IF(N122&lt;'PlayerGrades+'!$AF$14,"D",IF(N122&lt;'PlayerGrades+'!$AF$13,"D+",IF(N122&lt;'PlayerGrades+'!$AF$12,"C-",IF(N122&lt;'PlayerGrades+'!$AF$11,"C",IF(N122&lt;'PlayerGrades+'!$AF$10,"C+",IF(N122&lt;'PlayerGrades+'!$AF$9,"B-",IF(N122&lt;'PlayerGrades+'!$AF$8,"B",IF(N122&lt;'PlayerGrades+'!$AF$7,"B+",IF(N122&lt;'PlayerGrades+'!$AF$6,"A-",IF(N122&lt;'PlayerGrades+'!$AF$5,"A",IF(N122&lt;'PlayerGrades+'!$AF$4,"A+",IF(N122&lt;'PlayerGrades+'!$AF$3,"S-",IF(N122&lt;'PlayerGrades+'!$AF$2,"S","S+"))))))))))))))))))))</f>
        <v>#DIV/0!</v>
      </c>
      <c r="P122" s="961" t="str">
        <f t="shared" si="7"/>
        <v>#DIV/0!</v>
      </c>
      <c r="Q122" s="961" t="str">
        <f>IF(P122&lt;'PlayerGrades+'!$AG$21,"F-",IF(P122&lt;'PlayerGrades+'!$AG$20,"F",IF(P122&lt;'PlayerGrades+'!$AG$19,"F+",IF(P122&lt;'PlayerGrades+'!$AG$18,"E-",IF(P122&lt;'PlayerGrades+'!$AG$17,"E",IF(P122&lt;'PlayerGrades+'!$AG$16,"E+",IF(P122&lt;'PlayerGrades+'!$AG$15,"D-",IF(P122&lt;'PlayerGrades+'!$AG$14,"D",IF(P122&lt;'PlayerGrades+'!$AG$13,"D+",IF(P122&lt;'PlayerGrades+'!$AG$12,"C-",IF(P122&lt;'PlayerGrades+'!$AG$11,"C",IF(P122&lt;'PlayerGrades+'!$AG$10,"C+",IF(P122&lt;'PlayerGrades+'!$AG$9,"B-",IF(P122&lt;'PlayerGrades+'!$AG$8,"B",IF(P122&lt;'PlayerGrades+'!$AG$7,"B+",IF(P122&lt;'PlayerGrades+'!$AG$6,"A-",IF(P122&lt;'PlayerGrades+'!$AG$5,"A",IF(P122&lt;'PlayerGrades+'!$AG$4,"A+",IF(P122&lt;'PlayerGrades+'!$AG$3,"S-",IF(P122&lt;'PlayerGrades+'!$AG$2,"S","S+"))))))))))))))))))))</f>
        <v>#DIV/0!</v>
      </c>
      <c r="R122" s="961" t="str">
        <f t="shared" si="8"/>
        <v>#DIV/0!</v>
      </c>
      <c r="S122" s="961" t="str">
        <f>IF(R122&lt;'PlayerGrades+'!$AH$21,"F-",IF(R122&lt;'PlayerGrades+'!$AH$20,"F",IF(R122&lt;'PlayerGrades+'!$AH$19,"F+",IF(R122&lt;'PlayerGrades+'!$AH$18,"E-",IF(R122&lt;'PlayerGrades+'!$AH$17,"E",IF(R122&lt;'PlayerGrades+'!$AH$16,"E+",IF(R122&lt;'PlayerGrades+'!$AH$15,"D-",IF(R122&lt;'PlayerGrades+'!$AH$14,"D",IF(R122&lt;'PlayerGrades+'!$AH$13,"D+",IF(R122&lt;'PlayerGrades+'!$AH$12,"C-",IF(R122&lt;'PlayerGrades+'!$AH$11,"C",IF(R122&lt;'PlayerGrades+'!$AH$10,"C+",IF(R122&lt;'PlayerGrades+'!$AH$9,"B-",IF(R122&lt;'PlayerGrades+'!$AH$8,"B",IF(R122&lt;'PlayerGrades+'!$AH$7,"B+",IF(R122&lt;'PlayerGrades+'!$AH$6,"A-",IF(R122&lt;'PlayerGrades+'!$AH$5,"A",IF(R122&lt;'PlayerGrades+'!$AH$4,"A+",IF(R122&lt;'PlayerGrades+'!$AH$3,"S-",IF(R122&lt;'PlayerGrades+'!$AH$2,"S","S+"))))))))))))))))))))</f>
        <v>#DIV/0!</v>
      </c>
      <c r="T122" s="961">
        <f t="shared" si="9"/>
        <v>0</v>
      </c>
      <c r="U122" s="961" t="str">
        <f>IF(T122&lt;'PlayerGrades+'!$AI$21,"F-",IF(T122&lt;'PlayerGrades+'!$AI$20,"F",IF(T122&lt;'PlayerGrades+'!$AI$19,"F+",IF(T122&lt;'PlayerGrades+'!$AI$18,"E-",IF(T122&lt;'PlayerGrades+'!$AI$17,"E",IF(T122&lt;'PlayerGrades+'!$AI$16,"E+",IF(T122&lt;'PlayerGrades+'!$AI$15,"D-",IF(T122&lt;'PlayerGrades+'!$AI$14,"D",IF(T122&lt;'PlayerGrades+'!$AI$13,"D+",IF(T122&lt;'PlayerGrades+'!$AI$12,"C-",IF(T122&lt;'PlayerGrades+'!$AI$11,"C",IF(T122&lt;'PlayerGrades+'!$AI$10,"C+",IF(T122&lt;'PlayerGrades+'!$AI$9,"B-",IF(T122&lt;'PlayerGrades+'!$AI$8,"B",IF(T122&lt;'PlayerGrades+'!$AI$7,"B+",IF(T122&lt;'PlayerGrades+'!$AI$6,"A-",IF(T122&lt;'PlayerGrades+'!$AI$5,"A",IF(T122&lt;'PlayerGrades+'!$AI$4,"A+",IF(T122&lt;'PlayerGrades+'!$AI$3,"S-",IF(T122&lt;'PlayerGrades+'!$AI$2,"S","S+"))))))))))))))))))))</f>
        <v>F-</v>
      </c>
      <c r="V122" s="1379"/>
      <c r="W122" s="1379"/>
      <c r="X122" s="1379"/>
      <c r="Y122" s="1379"/>
      <c r="Z122" s="1379"/>
      <c r="AA122" s="1379"/>
      <c r="AB122" s="1379"/>
      <c r="AC122" s="1390"/>
      <c r="AD122" s="1379"/>
      <c r="AE122" s="1379"/>
      <c r="AF122" s="1379"/>
      <c r="AG122" s="1379"/>
      <c r="AH122" s="1379"/>
      <c r="AI122" s="1379"/>
      <c r="AJ122" s="1379"/>
      <c r="AK122" s="1379"/>
      <c r="AL122" s="1379"/>
      <c r="AM122" s="1379"/>
      <c r="AN122" s="1379"/>
      <c r="AO122" s="1379"/>
      <c r="AP122" s="1379"/>
      <c r="AQ122" s="1379"/>
      <c r="AR122" s="1379"/>
      <c r="AS122" s="1379"/>
      <c r="AT122" s="1379"/>
      <c r="AU122" s="1379"/>
      <c r="AV122" s="1379"/>
      <c r="AW122" s="1379"/>
      <c r="AX122" s="1379"/>
      <c r="AY122" s="1379"/>
      <c r="AZ122" s="1379"/>
    </row>
    <row r="123">
      <c r="A123" s="1391"/>
      <c r="B123" s="611" t="str">
        <f>IF(C123&lt;'PlayerGrades+'!$Y$44,"F-",IF(C123&lt;'PlayerGrades+'!$Y$43,"F",IF(C123&lt;'PlayerGrades+'!$Y$42,"F+",IF(C123&lt;'PlayerGrades+'!$Y$41,"E-",IF(C123&lt;'PlayerGrades+'!$Y$40,"E",IF(C123&lt;'PlayerGrades+'!$Y$39,"E+",IF(C123&lt;'PlayerGrades+'!$Y$38,"D-",IF(C123&lt;'PlayerGrades+'!$Y$37,"D",IF(C123&lt;'PlayerGrades+'!$Y$36,"D+",IF(C123&lt;'PlayerGrades+'!$Y$35,"C-",IF(C123&lt;'PlayerGrades+'!$Y$34,"C",IF(C123&lt;'PlayerGrades+'!$Y$33,"C+",IF(C123&lt;'PlayerGrades+'!$Y$32,"B-",IF(C123&lt;'PlayerGrades+'!$Y$31,"B",IF(C123&lt;'PlayerGrades+'!$Y$30,"B+",IF(C123&lt;'PlayerGrades+'!$Y$29,"A-",IF(C123&lt;'PlayerGrades+'!$Y$28,"A",IF(C123&lt;'PlayerGrades+'!$Y$27,"A+",IF(C123&lt;'PlayerGrades+'!$Y$26,"S-",IF(C123&lt;'PlayerGrades+'!$Y$25,"S","S+"))))))))))))))))))))</f>
        <v>#DIV/0!</v>
      </c>
      <c r="C123" s="1378" t="str">
        <f>('PlayerGrades+'!$Y$47*(VLOOKUP(E123, 'PlayerGrades+'!$X$3:$Y$23, 2, FALSE)))+('PlayerGrades+'!$Y$48*(VLOOKUP(G123, 'PlayerGrades+'!$X$3:$Y$23, 2, FALSE)))+('PlayerGrades+'!$Y$49*(VLOOKUP(I123, 'PlayerGrades+'!$X$3:$Y$23, 2, FALSE)))+('PlayerGrades+'!$Y$50*(VLOOKUP(K123, 'PlayerGrades+'!$X$3:$Y$23, 2, FALSE)))+('PlayerGrades+'!$Y$51*(VLOOKUP(M123, 'PlayerGrades+'!$X$3:$Y$23, 2, FALSE)))+('PlayerGrades+'!$Y$52*(VLOOKUP(O123, 'PlayerGrades+'!$X$3:$Y$23, 2, FALSE)))+('PlayerGrades+'!$Y$53*(VLOOKUP(Q123, 'PlayerGrades+'!$X$3:$Y$23, 2, FALSE)))+('PlayerGrades+'!$Y$54*(VLOOKUP(S123, 'PlayerGrades+'!$X$3:$Y$23, 2, FALSE)))+('PlayerGrades+'!$Y$55*(VLOOKUP(U123, 'PlayerGrades+'!$X$3:$Y$23, 2, FALSE)))</f>
        <v>#DIV/0!</v>
      </c>
      <c r="D123" s="961" t="str">
        <f t="shared" si="1"/>
        <v>#DIV/0!</v>
      </c>
      <c r="E123" s="961" t="str">
        <f>IF(D123&lt;'PlayerGrades+'!$AA$21,"F-",IF(D123&lt;'PlayerGrades+'!$AA$20,"F",IF(D123&lt;'PlayerGrades+'!$AA$19,"F+",IF(D123&lt;'PlayerGrades+'!$AA$18,"E-",IF(D123&lt;'PlayerGrades+'!$AA$17,"E",IF(D123&lt;'PlayerGrades+'!$AA$16,"E+",IF(D123&lt;'PlayerGrades+'!$AA$15,"D-",IF(D123&lt;'PlayerGrades+'!$AA$14,"D",IF(D123&lt;'PlayerGrades+'!$AA$13,"D+",IF(D123&lt;'PlayerGrades+'!$AA$12,"C-",IF(D123&lt;'PlayerGrades+'!$AA$11,"C",IF(D123&lt;'PlayerGrades+'!$AA$10,"C+",IF(D123&lt;'PlayerGrades+'!$AA$9,"B-",IF(D123&lt;'PlayerGrades+'!$AA$8,"B",IF(D123&lt;'PlayerGrades+'!$AA$7,"B+",IF(D123&lt;'PlayerGrades+'!$AA$6,"A-",IF(D123&lt;'PlayerGrades+'!$AA$5,"A",IF(D123&lt;'PlayerGrades+'!$AA$4,"A+",IF(D123&lt;'PlayerGrades+'!$AA$3,"S-",IF(D123&lt;'PlayerGrades+'!$AA$2,"S","S+"))))))))))))))))))))</f>
        <v>#DIV/0!</v>
      </c>
      <c r="F123" s="961" t="str">
        <f t="shared" si="2"/>
        <v>#DIV/0!</v>
      </c>
      <c r="G123" s="961" t="str">
        <f>IF(F123&lt;'PlayerGrades+'!$AB$21,"F-",IF(F123&lt;'PlayerGrades+'!$AB$20,"F",IF(F123&lt;'PlayerGrades+'!$AB$19,"F+",IF(F123&lt;'PlayerGrades+'!$AB$18,"E-",IF(F123&lt;'PlayerGrades+'!$AB$17,"E",IF(F123&lt;'PlayerGrades+'!$AB$16,"E+",IF(F123&lt;'PlayerGrades+'!$AB$15,"D-",IF(F123&lt;'PlayerGrades+'!$AB$14,"D",IF(F123&lt;'PlayerGrades+'!$AB$13,"D+",IF(F123&lt;'PlayerGrades+'!$AB$12,"C-",IF(F123&lt;'PlayerGrades+'!$AB$11,"C",IF(F123&lt;'PlayerGrades+'!$AB$10,"C+",IF(F123&lt;'PlayerGrades+'!$AB$9,"B-",IF(F123&lt;'PlayerGrades+'!$AB$8,"B",IF(F123&lt;'PlayerGrades+'!$AB$7,"B+",IF(F123&lt;'PlayerGrades+'!$AB$6,"A-",IF(F123&lt;'PlayerGrades+'!$AB$5,"A",IF(F123&lt;'PlayerGrades+'!$AB$4,"A+",IF(F123&lt;'PlayerGrades+'!$AB$3,"S-",IF(F123&lt;'PlayerGrades+'!$AB$2,"S","S+"))))))))))))))))))))</f>
        <v>#DIV/0!</v>
      </c>
      <c r="H123" s="961" t="str">
        <f t="shared" si="3"/>
        <v>#DIV/0!</v>
      </c>
      <c r="I123" s="961" t="str">
        <f>IF(H123&lt;'PlayerGrades+'!$AC$21,"F-",IF(H123&lt;'PlayerGrades+'!$AC$20,"F",IF(H123&lt;'PlayerGrades+'!$AC$19,"F+",IF(H123&lt;'PlayerGrades+'!$AC$18,"E-",IF(H123&lt;'PlayerGrades+'!$AC$17,"E",IF(H123&lt;'PlayerGrades+'!$AC$16,"E+",IF(H123&lt;'PlayerGrades+'!$AC$15,"D-",IF(H123&lt;'PlayerGrades+'!$AC$14,"D",IF(H123&lt;'PlayerGrades+'!$AC$13,"D+",IF(H123&lt;'PlayerGrades+'!$AC$12,"C-",IF(H123&lt;'PlayerGrades+'!$AC$11,"C",IF(H123&lt;'PlayerGrades+'!$AC$10,"C+",IF(H123&lt;'PlayerGrades+'!$AC$9,"B-",IF(H123&lt;'PlayerGrades+'!$AC$8,"B",IF(H123&lt;'PlayerGrades+'!$AC$7,"B+",IF(H123&lt;'PlayerGrades+'!$AC$6,"A-",IF(H123&lt;'PlayerGrades+'!$AC$5,"A",IF(H123&lt;'PlayerGrades+'!$AC$4,"A+",IF(H123&lt;'PlayerGrades+'!$AC$3,"S-",IF(H123&lt;'PlayerGrades+'!$AC$2,"S","S+"))))))))))))))))))))</f>
        <v>#DIV/0!</v>
      </c>
      <c r="J123" s="961" t="str">
        <f t="shared" si="4"/>
        <v>#DIV/0!</v>
      </c>
      <c r="K123" s="961" t="str">
        <f>IF(J123&lt;'PlayerGrades+'!$AD$21,"F-",IF(J123&lt;'PlayerGrades+'!$AD$20,"F",IF(J123&lt;'PlayerGrades+'!$AD$19,"F+",IF(J123&lt;'PlayerGrades+'!$AD$18,"E-",IF(J123&lt;'PlayerGrades+'!$AD$17,"E",IF(J123&lt;'PlayerGrades+'!$AD$16,"E+",IF(J123&lt;'PlayerGrades+'!$AD$15,"D-",IF(J123&lt;'PlayerGrades+'!$AD$14,"D",IF(J123&lt;'PlayerGrades+'!$AD$13,"D+",IF(J123&lt;'PlayerGrades+'!$AD$12,"C-",IF(J123&lt;'PlayerGrades+'!$AD$11,"C",IF(J123&lt;'PlayerGrades+'!$AD$10,"C+",IF(J123&lt;'PlayerGrades+'!$AD$9,"B-",IF(J123&lt;'PlayerGrades+'!$AD$8,"B",IF(J123&lt;'PlayerGrades+'!$AD$7,"B+",IF(J123&lt;'PlayerGrades+'!$AD$6,"A-",IF(J123&lt;'PlayerGrades+'!$AD$5,"A",IF(J123&lt;'PlayerGrades+'!$AD$4,"A+",IF(J123&lt;'PlayerGrades+'!$AD$3,"S-",IF(J123&lt;'PlayerGrades+'!$AD$2,"S","S+"))))))))))))))))))))</f>
        <v>#DIV/0!</v>
      </c>
      <c r="L123" s="1176" t="str">
        <f t="shared" si="5"/>
        <v>#DIV/0!</v>
      </c>
      <c r="M123" s="992" t="str">
        <f>IF(L123&lt;'PlayerGrades+'!$AE$21,"F-",IF(L123&lt;'PlayerGrades+'!$AE$20,"F",IF(L123&lt;'PlayerGrades+'!$AE$19,"F+",IF(L123&lt;'PlayerGrades+'!$AE$18,"E-",IF(L123&lt;'PlayerGrades+'!$AE$17,"E",IF(L123&lt;'PlayerGrades+'!$AE$16,"E+",IF(L123&lt;'PlayerGrades+'!$AE$15,"D-",IF(L123&lt;'PlayerGrades+'!$AE$14,"D",IF(L123&lt;'PlayerGrades+'!$AE$13,"D+",IF(L123&lt;'PlayerGrades+'!$AE$12,"C-",IF(L123&lt;'PlayerGrades+'!$AE$11,"C",IF(L123&lt;'PlayerGrades+'!$AE$10,"C+",IF(L123&lt;'PlayerGrades+'!$AE$9,"B-",IF(L123&lt;'PlayerGrades+'!$AE$8,"B",IF(L123&lt;'PlayerGrades+'!$AE$7,"B+",IF(L123&lt;'PlayerGrades+'!$AE$6,"A-",IF(L123&lt;'PlayerGrades+'!$AE$5,"A",IF(L123&lt;'PlayerGrades+'!$AE$4,"A+",IF(L123&lt;'PlayerGrades+'!$AE$3,"S-",IF(L123&lt;'PlayerGrades+'!$AE$2,"S","S+"))))))))))))))))))))</f>
        <v>#DIV/0!</v>
      </c>
      <c r="N123" s="961" t="str">
        <f t="shared" si="6"/>
        <v>#DIV/0!</v>
      </c>
      <c r="O123" s="961" t="str">
        <f>IF(N123&lt;'PlayerGrades+'!$AF$21,"F-",IF(N123&lt;'PlayerGrades+'!$AF$20,"F",IF(N123&lt;'PlayerGrades+'!$AF$19,"F+",IF(N123&lt;'PlayerGrades+'!$AF$18,"E-",IF(N123&lt;'PlayerGrades+'!$AF$17,"E",IF(N123&lt;'PlayerGrades+'!$AF$16,"E+",IF(N123&lt;'PlayerGrades+'!$AF$15,"D-",IF(N123&lt;'PlayerGrades+'!$AF$14,"D",IF(N123&lt;'PlayerGrades+'!$AF$13,"D+",IF(N123&lt;'PlayerGrades+'!$AF$12,"C-",IF(N123&lt;'PlayerGrades+'!$AF$11,"C",IF(N123&lt;'PlayerGrades+'!$AF$10,"C+",IF(N123&lt;'PlayerGrades+'!$AF$9,"B-",IF(N123&lt;'PlayerGrades+'!$AF$8,"B",IF(N123&lt;'PlayerGrades+'!$AF$7,"B+",IF(N123&lt;'PlayerGrades+'!$AF$6,"A-",IF(N123&lt;'PlayerGrades+'!$AF$5,"A",IF(N123&lt;'PlayerGrades+'!$AF$4,"A+",IF(N123&lt;'PlayerGrades+'!$AF$3,"S-",IF(N123&lt;'PlayerGrades+'!$AF$2,"S","S+"))))))))))))))))))))</f>
        <v>#DIV/0!</v>
      </c>
      <c r="P123" s="961" t="str">
        <f t="shared" si="7"/>
        <v>#DIV/0!</v>
      </c>
      <c r="Q123" s="961" t="str">
        <f>IF(P123&lt;'PlayerGrades+'!$AG$21,"F-",IF(P123&lt;'PlayerGrades+'!$AG$20,"F",IF(P123&lt;'PlayerGrades+'!$AG$19,"F+",IF(P123&lt;'PlayerGrades+'!$AG$18,"E-",IF(P123&lt;'PlayerGrades+'!$AG$17,"E",IF(P123&lt;'PlayerGrades+'!$AG$16,"E+",IF(P123&lt;'PlayerGrades+'!$AG$15,"D-",IF(P123&lt;'PlayerGrades+'!$AG$14,"D",IF(P123&lt;'PlayerGrades+'!$AG$13,"D+",IF(P123&lt;'PlayerGrades+'!$AG$12,"C-",IF(P123&lt;'PlayerGrades+'!$AG$11,"C",IF(P123&lt;'PlayerGrades+'!$AG$10,"C+",IF(P123&lt;'PlayerGrades+'!$AG$9,"B-",IF(P123&lt;'PlayerGrades+'!$AG$8,"B",IF(P123&lt;'PlayerGrades+'!$AG$7,"B+",IF(P123&lt;'PlayerGrades+'!$AG$6,"A-",IF(P123&lt;'PlayerGrades+'!$AG$5,"A",IF(P123&lt;'PlayerGrades+'!$AG$4,"A+",IF(P123&lt;'PlayerGrades+'!$AG$3,"S-",IF(P123&lt;'PlayerGrades+'!$AG$2,"S","S+"))))))))))))))))))))</f>
        <v>#DIV/0!</v>
      </c>
      <c r="R123" s="961" t="str">
        <f t="shared" si="8"/>
        <v>#DIV/0!</v>
      </c>
      <c r="S123" s="961" t="str">
        <f>IF(R123&lt;'PlayerGrades+'!$AH$21,"F-",IF(R123&lt;'PlayerGrades+'!$AH$20,"F",IF(R123&lt;'PlayerGrades+'!$AH$19,"F+",IF(R123&lt;'PlayerGrades+'!$AH$18,"E-",IF(R123&lt;'PlayerGrades+'!$AH$17,"E",IF(R123&lt;'PlayerGrades+'!$AH$16,"E+",IF(R123&lt;'PlayerGrades+'!$AH$15,"D-",IF(R123&lt;'PlayerGrades+'!$AH$14,"D",IF(R123&lt;'PlayerGrades+'!$AH$13,"D+",IF(R123&lt;'PlayerGrades+'!$AH$12,"C-",IF(R123&lt;'PlayerGrades+'!$AH$11,"C",IF(R123&lt;'PlayerGrades+'!$AH$10,"C+",IF(R123&lt;'PlayerGrades+'!$AH$9,"B-",IF(R123&lt;'PlayerGrades+'!$AH$8,"B",IF(R123&lt;'PlayerGrades+'!$AH$7,"B+",IF(R123&lt;'PlayerGrades+'!$AH$6,"A-",IF(R123&lt;'PlayerGrades+'!$AH$5,"A",IF(R123&lt;'PlayerGrades+'!$AH$4,"A+",IF(R123&lt;'PlayerGrades+'!$AH$3,"S-",IF(R123&lt;'PlayerGrades+'!$AH$2,"S","S+"))))))))))))))))))))</f>
        <v>#DIV/0!</v>
      </c>
      <c r="T123" s="961">
        <f t="shared" si="9"/>
        <v>0</v>
      </c>
      <c r="U123" s="961" t="str">
        <f>IF(T123&lt;'PlayerGrades+'!$AI$21,"F-",IF(T123&lt;'PlayerGrades+'!$AI$20,"F",IF(T123&lt;'PlayerGrades+'!$AI$19,"F+",IF(T123&lt;'PlayerGrades+'!$AI$18,"E-",IF(T123&lt;'PlayerGrades+'!$AI$17,"E",IF(T123&lt;'PlayerGrades+'!$AI$16,"E+",IF(T123&lt;'PlayerGrades+'!$AI$15,"D-",IF(T123&lt;'PlayerGrades+'!$AI$14,"D",IF(T123&lt;'PlayerGrades+'!$AI$13,"D+",IF(T123&lt;'PlayerGrades+'!$AI$12,"C-",IF(T123&lt;'PlayerGrades+'!$AI$11,"C",IF(T123&lt;'PlayerGrades+'!$AI$10,"C+",IF(T123&lt;'PlayerGrades+'!$AI$9,"B-",IF(T123&lt;'PlayerGrades+'!$AI$8,"B",IF(T123&lt;'PlayerGrades+'!$AI$7,"B+",IF(T123&lt;'PlayerGrades+'!$AI$6,"A-",IF(T123&lt;'PlayerGrades+'!$AI$5,"A",IF(T123&lt;'PlayerGrades+'!$AI$4,"A+",IF(T123&lt;'PlayerGrades+'!$AI$3,"S-",IF(T123&lt;'PlayerGrades+'!$AI$2,"S","S+"))))))))))))))))))))</f>
        <v>F-</v>
      </c>
      <c r="AC123" s="1392"/>
    </row>
    <row r="124">
      <c r="A124" s="1391"/>
      <c r="B124" s="611" t="str">
        <f>IF(C124&lt;'PlayerGrades+'!$Y$44,"F-",IF(C124&lt;'PlayerGrades+'!$Y$43,"F",IF(C124&lt;'PlayerGrades+'!$Y$42,"F+",IF(C124&lt;'PlayerGrades+'!$Y$41,"E-",IF(C124&lt;'PlayerGrades+'!$Y$40,"E",IF(C124&lt;'PlayerGrades+'!$Y$39,"E+",IF(C124&lt;'PlayerGrades+'!$Y$38,"D-",IF(C124&lt;'PlayerGrades+'!$Y$37,"D",IF(C124&lt;'PlayerGrades+'!$Y$36,"D+",IF(C124&lt;'PlayerGrades+'!$Y$35,"C-",IF(C124&lt;'PlayerGrades+'!$Y$34,"C",IF(C124&lt;'PlayerGrades+'!$Y$33,"C+",IF(C124&lt;'PlayerGrades+'!$Y$32,"B-",IF(C124&lt;'PlayerGrades+'!$Y$31,"B",IF(C124&lt;'PlayerGrades+'!$Y$30,"B+",IF(C124&lt;'PlayerGrades+'!$Y$29,"A-",IF(C124&lt;'PlayerGrades+'!$Y$28,"A",IF(C124&lt;'PlayerGrades+'!$Y$27,"A+",IF(C124&lt;'PlayerGrades+'!$Y$26,"S-",IF(C124&lt;'PlayerGrades+'!$Y$25,"S","S+"))))))))))))))))))))</f>
        <v>#DIV/0!</v>
      </c>
      <c r="C124" s="1378" t="str">
        <f>('PlayerGrades+'!$Y$47*(VLOOKUP(E124, 'PlayerGrades+'!$X$3:$Y$23, 2, FALSE)))+('PlayerGrades+'!$Y$48*(VLOOKUP(G124, 'PlayerGrades+'!$X$3:$Y$23, 2, FALSE)))+('PlayerGrades+'!$Y$49*(VLOOKUP(I124, 'PlayerGrades+'!$X$3:$Y$23, 2, FALSE)))+('PlayerGrades+'!$Y$50*(VLOOKUP(K124, 'PlayerGrades+'!$X$3:$Y$23, 2, FALSE)))+('PlayerGrades+'!$Y$51*(VLOOKUP(M124, 'PlayerGrades+'!$X$3:$Y$23, 2, FALSE)))+('PlayerGrades+'!$Y$52*(VLOOKUP(O124, 'PlayerGrades+'!$X$3:$Y$23, 2, FALSE)))+('PlayerGrades+'!$Y$53*(VLOOKUP(Q124, 'PlayerGrades+'!$X$3:$Y$23, 2, FALSE)))+('PlayerGrades+'!$Y$54*(VLOOKUP(S124, 'PlayerGrades+'!$X$3:$Y$23, 2, FALSE)))+('PlayerGrades+'!$Y$55*(VLOOKUP(U124, 'PlayerGrades+'!$X$3:$Y$23, 2, FALSE)))</f>
        <v>#DIV/0!</v>
      </c>
      <c r="D124" s="961" t="str">
        <f t="shared" si="1"/>
        <v>#DIV/0!</v>
      </c>
      <c r="E124" s="961" t="str">
        <f>IF(D124&lt;'PlayerGrades+'!$AA$21,"F-",IF(D124&lt;'PlayerGrades+'!$AA$20,"F",IF(D124&lt;'PlayerGrades+'!$AA$19,"F+",IF(D124&lt;'PlayerGrades+'!$AA$18,"E-",IF(D124&lt;'PlayerGrades+'!$AA$17,"E",IF(D124&lt;'PlayerGrades+'!$AA$16,"E+",IF(D124&lt;'PlayerGrades+'!$AA$15,"D-",IF(D124&lt;'PlayerGrades+'!$AA$14,"D",IF(D124&lt;'PlayerGrades+'!$AA$13,"D+",IF(D124&lt;'PlayerGrades+'!$AA$12,"C-",IF(D124&lt;'PlayerGrades+'!$AA$11,"C",IF(D124&lt;'PlayerGrades+'!$AA$10,"C+",IF(D124&lt;'PlayerGrades+'!$AA$9,"B-",IF(D124&lt;'PlayerGrades+'!$AA$8,"B",IF(D124&lt;'PlayerGrades+'!$AA$7,"B+",IF(D124&lt;'PlayerGrades+'!$AA$6,"A-",IF(D124&lt;'PlayerGrades+'!$AA$5,"A",IF(D124&lt;'PlayerGrades+'!$AA$4,"A+",IF(D124&lt;'PlayerGrades+'!$AA$3,"S-",IF(D124&lt;'PlayerGrades+'!$AA$2,"S","S+"))))))))))))))))))))</f>
        <v>#DIV/0!</v>
      </c>
      <c r="F124" s="961" t="str">
        <f t="shared" si="2"/>
        <v>#DIV/0!</v>
      </c>
      <c r="G124" s="961" t="str">
        <f>IF(F124&lt;'PlayerGrades+'!$AB$21,"F-",IF(F124&lt;'PlayerGrades+'!$AB$20,"F",IF(F124&lt;'PlayerGrades+'!$AB$19,"F+",IF(F124&lt;'PlayerGrades+'!$AB$18,"E-",IF(F124&lt;'PlayerGrades+'!$AB$17,"E",IF(F124&lt;'PlayerGrades+'!$AB$16,"E+",IF(F124&lt;'PlayerGrades+'!$AB$15,"D-",IF(F124&lt;'PlayerGrades+'!$AB$14,"D",IF(F124&lt;'PlayerGrades+'!$AB$13,"D+",IF(F124&lt;'PlayerGrades+'!$AB$12,"C-",IF(F124&lt;'PlayerGrades+'!$AB$11,"C",IF(F124&lt;'PlayerGrades+'!$AB$10,"C+",IF(F124&lt;'PlayerGrades+'!$AB$9,"B-",IF(F124&lt;'PlayerGrades+'!$AB$8,"B",IF(F124&lt;'PlayerGrades+'!$AB$7,"B+",IF(F124&lt;'PlayerGrades+'!$AB$6,"A-",IF(F124&lt;'PlayerGrades+'!$AB$5,"A",IF(F124&lt;'PlayerGrades+'!$AB$4,"A+",IF(F124&lt;'PlayerGrades+'!$AB$3,"S-",IF(F124&lt;'PlayerGrades+'!$AB$2,"S","S+"))))))))))))))))))))</f>
        <v>#DIV/0!</v>
      </c>
      <c r="H124" s="961" t="str">
        <f t="shared" si="3"/>
        <v>#DIV/0!</v>
      </c>
      <c r="I124" s="961" t="str">
        <f>IF(H124&lt;'PlayerGrades+'!$AC$21,"F-",IF(H124&lt;'PlayerGrades+'!$AC$20,"F",IF(H124&lt;'PlayerGrades+'!$AC$19,"F+",IF(H124&lt;'PlayerGrades+'!$AC$18,"E-",IF(H124&lt;'PlayerGrades+'!$AC$17,"E",IF(H124&lt;'PlayerGrades+'!$AC$16,"E+",IF(H124&lt;'PlayerGrades+'!$AC$15,"D-",IF(H124&lt;'PlayerGrades+'!$AC$14,"D",IF(H124&lt;'PlayerGrades+'!$AC$13,"D+",IF(H124&lt;'PlayerGrades+'!$AC$12,"C-",IF(H124&lt;'PlayerGrades+'!$AC$11,"C",IF(H124&lt;'PlayerGrades+'!$AC$10,"C+",IF(H124&lt;'PlayerGrades+'!$AC$9,"B-",IF(H124&lt;'PlayerGrades+'!$AC$8,"B",IF(H124&lt;'PlayerGrades+'!$AC$7,"B+",IF(H124&lt;'PlayerGrades+'!$AC$6,"A-",IF(H124&lt;'PlayerGrades+'!$AC$5,"A",IF(H124&lt;'PlayerGrades+'!$AC$4,"A+",IF(H124&lt;'PlayerGrades+'!$AC$3,"S-",IF(H124&lt;'PlayerGrades+'!$AC$2,"S","S+"))))))))))))))))))))</f>
        <v>#DIV/0!</v>
      </c>
      <c r="J124" s="961" t="str">
        <f t="shared" si="4"/>
        <v>#DIV/0!</v>
      </c>
      <c r="K124" s="961" t="str">
        <f>IF(J124&lt;'PlayerGrades+'!$AD$21,"F-",IF(J124&lt;'PlayerGrades+'!$AD$20,"F",IF(J124&lt;'PlayerGrades+'!$AD$19,"F+",IF(J124&lt;'PlayerGrades+'!$AD$18,"E-",IF(J124&lt;'PlayerGrades+'!$AD$17,"E",IF(J124&lt;'PlayerGrades+'!$AD$16,"E+",IF(J124&lt;'PlayerGrades+'!$AD$15,"D-",IF(J124&lt;'PlayerGrades+'!$AD$14,"D",IF(J124&lt;'PlayerGrades+'!$AD$13,"D+",IF(J124&lt;'PlayerGrades+'!$AD$12,"C-",IF(J124&lt;'PlayerGrades+'!$AD$11,"C",IF(J124&lt;'PlayerGrades+'!$AD$10,"C+",IF(J124&lt;'PlayerGrades+'!$AD$9,"B-",IF(J124&lt;'PlayerGrades+'!$AD$8,"B",IF(J124&lt;'PlayerGrades+'!$AD$7,"B+",IF(J124&lt;'PlayerGrades+'!$AD$6,"A-",IF(J124&lt;'PlayerGrades+'!$AD$5,"A",IF(J124&lt;'PlayerGrades+'!$AD$4,"A+",IF(J124&lt;'PlayerGrades+'!$AD$3,"S-",IF(J124&lt;'PlayerGrades+'!$AD$2,"S","S+"))))))))))))))))))))</f>
        <v>#DIV/0!</v>
      </c>
      <c r="L124" s="1176" t="str">
        <f t="shared" si="5"/>
        <v>#DIV/0!</v>
      </c>
      <c r="M124" s="992" t="str">
        <f>IF(L124&lt;'PlayerGrades+'!$AE$21,"F-",IF(L124&lt;'PlayerGrades+'!$AE$20,"F",IF(L124&lt;'PlayerGrades+'!$AE$19,"F+",IF(L124&lt;'PlayerGrades+'!$AE$18,"E-",IF(L124&lt;'PlayerGrades+'!$AE$17,"E",IF(L124&lt;'PlayerGrades+'!$AE$16,"E+",IF(L124&lt;'PlayerGrades+'!$AE$15,"D-",IF(L124&lt;'PlayerGrades+'!$AE$14,"D",IF(L124&lt;'PlayerGrades+'!$AE$13,"D+",IF(L124&lt;'PlayerGrades+'!$AE$12,"C-",IF(L124&lt;'PlayerGrades+'!$AE$11,"C",IF(L124&lt;'PlayerGrades+'!$AE$10,"C+",IF(L124&lt;'PlayerGrades+'!$AE$9,"B-",IF(L124&lt;'PlayerGrades+'!$AE$8,"B",IF(L124&lt;'PlayerGrades+'!$AE$7,"B+",IF(L124&lt;'PlayerGrades+'!$AE$6,"A-",IF(L124&lt;'PlayerGrades+'!$AE$5,"A",IF(L124&lt;'PlayerGrades+'!$AE$4,"A+",IF(L124&lt;'PlayerGrades+'!$AE$3,"S-",IF(L124&lt;'PlayerGrades+'!$AE$2,"S","S+"))))))))))))))))))))</f>
        <v>#DIV/0!</v>
      </c>
      <c r="N124" s="961" t="str">
        <f t="shared" si="6"/>
        <v>#DIV/0!</v>
      </c>
      <c r="O124" s="961" t="str">
        <f>IF(N124&lt;'PlayerGrades+'!$AF$21,"F-",IF(N124&lt;'PlayerGrades+'!$AF$20,"F",IF(N124&lt;'PlayerGrades+'!$AF$19,"F+",IF(N124&lt;'PlayerGrades+'!$AF$18,"E-",IF(N124&lt;'PlayerGrades+'!$AF$17,"E",IF(N124&lt;'PlayerGrades+'!$AF$16,"E+",IF(N124&lt;'PlayerGrades+'!$AF$15,"D-",IF(N124&lt;'PlayerGrades+'!$AF$14,"D",IF(N124&lt;'PlayerGrades+'!$AF$13,"D+",IF(N124&lt;'PlayerGrades+'!$AF$12,"C-",IF(N124&lt;'PlayerGrades+'!$AF$11,"C",IF(N124&lt;'PlayerGrades+'!$AF$10,"C+",IF(N124&lt;'PlayerGrades+'!$AF$9,"B-",IF(N124&lt;'PlayerGrades+'!$AF$8,"B",IF(N124&lt;'PlayerGrades+'!$AF$7,"B+",IF(N124&lt;'PlayerGrades+'!$AF$6,"A-",IF(N124&lt;'PlayerGrades+'!$AF$5,"A",IF(N124&lt;'PlayerGrades+'!$AF$4,"A+",IF(N124&lt;'PlayerGrades+'!$AF$3,"S-",IF(N124&lt;'PlayerGrades+'!$AF$2,"S","S+"))))))))))))))))))))</f>
        <v>#DIV/0!</v>
      </c>
      <c r="P124" s="961" t="str">
        <f t="shared" si="7"/>
        <v>#DIV/0!</v>
      </c>
      <c r="Q124" s="961" t="str">
        <f>IF(P124&lt;'PlayerGrades+'!$AG$21,"F-",IF(P124&lt;'PlayerGrades+'!$AG$20,"F",IF(P124&lt;'PlayerGrades+'!$AG$19,"F+",IF(P124&lt;'PlayerGrades+'!$AG$18,"E-",IF(P124&lt;'PlayerGrades+'!$AG$17,"E",IF(P124&lt;'PlayerGrades+'!$AG$16,"E+",IF(P124&lt;'PlayerGrades+'!$AG$15,"D-",IF(P124&lt;'PlayerGrades+'!$AG$14,"D",IF(P124&lt;'PlayerGrades+'!$AG$13,"D+",IF(P124&lt;'PlayerGrades+'!$AG$12,"C-",IF(P124&lt;'PlayerGrades+'!$AG$11,"C",IF(P124&lt;'PlayerGrades+'!$AG$10,"C+",IF(P124&lt;'PlayerGrades+'!$AG$9,"B-",IF(P124&lt;'PlayerGrades+'!$AG$8,"B",IF(P124&lt;'PlayerGrades+'!$AG$7,"B+",IF(P124&lt;'PlayerGrades+'!$AG$6,"A-",IF(P124&lt;'PlayerGrades+'!$AG$5,"A",IF(P124&lt;'PlayerGrades+'!$AG$4,"A+",IF(P124&lt;'PlayerGrades+'!$AG$3,"S-",IF(P124&lt;'PlayerGrades+'!$AG$2,"S","S+"))))))))))))))))))))</f>
        <v>#DIV/0!</v>
      </c>
      <c r="R124" s="961" t="str">
        <f t="shared" si="8"/>
        <v>#DIV/0!</v>
      </c>
      <c r="S124" s="961" t="str">
        <f>IF(R124&lt;'PlayerGrades+'!$AH$21,"F-",IF(R124&lt;'PlayerGrades+'!$AH$20,"F",IF(R124&lt;'PlayerGrades+'!$AH$19,"F+",IF(R124&lt;'PlayerGrades+'!$AH$18,"E-",IF(R124&lt;'PlayerGrades+'!$AH$17,"E",IF(R124&lt;'PlayerGrades+'!$AH$16,"E+",IF(R124&lt;'PlayerGrades+'!$AH$15,"D-",IF(R124&lt;'PlayerGrades+'!$AH$14,"D",IF(R124&lt;'PlayerGrades+'!$AH$13,"D+",IF(R124&lt;'PlayerGrades+'!$AH$12,"C-",IF(R124&lt;'PlayerGrades+'!$AH$11,"C",IF(R124&lt;'PlayerGrades+'!$AH$10,"C+",IF(R124&lt;'PlayerGrades+'!$AH$9,"B-",IF(R124&lt;'PlayerGrades+'!$AH$8,"B",IF(R124&lt;'PlayerGrades+'!$AH$7,"B+",IF(R124&lt;'PlayerGrades+'!$AH$6,"A-",IF(R124&lt;'PlayerGrades+'!$AH$5,"A",IF(R124&lt;'PlayerGrades+'!$AH$4,"A+",IF(R124&lt;'PlayerGrades+'!$AH$3,"S-",IF(R124&lt;'PlayerGrades+'!$AH$2,"S","S+"))))))))))))))))))))</f>
        <v>#DIV/0!</v>
      </c>
      <c r="T124" s="961">
        <f t="shared" si="9"/>
        <v>0</v>
      </c>
      <c r="U124" s="961" t="str">
        <f>IF(T124&lt;'PlayerGrades+'!$AI$21,"F-",IF(T124&lt;'PlayerGrades+'!$AI$20,"F",IF(T124&lt;'PlayerGrades+'!$AI$19,"F+",IF(T124&lt;'PlayerGrades+'!$AI$18,"E-",IF(T124&lt;'PlayerGrades+'!$AI$17,"E",IF(T124&lt;'PlayerGrades+'!$AI$16,"E+",IF(T124&lt;'PlayerGrades+'!$AI$15,"D-",IF(T124&lt;'PlayerGrades+'!$AI$14,"D",IF(T124&lt;'PlayerGrades+'!$AI$13,"D+",IF(T124&lt;'PlayerGrades+'!$AI$12,"C-",IF(T124&lt;'PlayerGrades+'!$AI$11,"C",IF(T124&lt;'PlayerGrades+'!$AI$10,"C+",IF(T124&lt;'PlayerGrades+'!$AI$9,"B-",IF(T124&lt;'PlayerGrades+'!$AI$8,"B",IF(T124&lt;'PlayerGrades+'!$AI$7,"B+",IF(T124&lt;'PlayerGrades+'!$AI$6,"A-",IF(T124&lt;'PlayerGrades+'!$AI$5,"A",IF(T124&lt;'PlayerGrades+'!$AI$4,"A+",IF(T124&lt;'PlayerGrades+'!$AI$3,"S-",IF(T124&lt;'PlayerGrades+'!$AI$2,"S","S+"))))))))))))))))))))</f>
        <v>F-</v>
      </c>
      <c r="AC124" s="1392"/>
    </row>
    <row r="125">
      <c r="A125" s="1391"/>
      <c r="B125" s="611" t="str">
        <f>IF(C125&lt;'PlayerGrades+'!$Y$44,"F-",IF(C125&lt;'PlayerGrades+'!$Y$43,"F",IF(C125&lt;'PlayerGrades+'!$Y$42,"F+",IF(C125&lt;'PlayerGrades+'!$Y$41,"E-",IF(C125&lt;'PlayerGrades+'!$Y$40,"E",IF(C125&lt;'PlayerGrades+'!$Y$39,"E+",IF(C125&lt;'PlayerGrades+'!$Y$38,"D-",IF(C125&lt;'PlayerGrades+'!$Y$37,"D",IF(C125&lt;'PlayerGrades+'!$Y$36,"D+",IF(C125&lt;'PlayerGrades+'!$Y$35,"C-",IF(C125&lt;'PlayerGrades+'!$Y$34,"C",IF(C125&lt;'PlayerGrades+'!$Y$33,"C+",IF(C125&lt;'PlayerGrades+'!$Y$32,"B-",IF(C125&lt;'PlayerGrades+'!$Y$31,"B",IF(C125&lt;'PlayerGrades+'!$Y$30,"B+",IF(C125&lt;'PlayerGrades+'!$Y$29,"A-",IF(C125&lt;'PlayerGrades+'!$Y$28,"A",IF(C125&lt;'PlayerGrades+'!$Y$27,"A+",IF(C125&lt;'PlayerGrades+'!$Y$26,"S-",IF(C125&lt;'PlayerGrades+'!$Y$25,"S","S+"))))))))))))))))))))</f>
        <v>#DIV/0!</v>
      </c>
      <c r="C125" s="1378" t="str">
        <f>('PlayerGrades+'!$Y$47*(VLOOKUP(E125, 'PlayerGrades+'!$X$3:$Y$23, 2, FALSE)))+('PlayerGrades+'!$Y$48*(VLOOKUP(G125, 'PlayerGrades+'!$X$3:$Y$23, 2, FALSE)))+('PlayerGrades+'!$Y$49*(VLOOKUP(I125, 'PlayerGrades+'!$X$3:$Y$23, 2, FALSE)))+('PlayerGrades+'!$Y$50*(VLOOKUP(K125, 'PlayerGrades+'!$X$3:$Y$23, 2, FALSE)))+('PlayerGrades+'!$Y$51*(VLOOKUP(M125, 'PlayerGrades+'!$X$3:$Y$23, 2, FALSE)))+('PlayerGrades+'!$Y$52*(VLOOKUP(O125, 'PlayerGrades+'!$X$3:$Y$23, 2, FALSE)))+('PlayerGrades+'!$Y$53*(VLOOKUP(Q125, 'PlayerGrades+'!$X$3:$Y$23, 2, FALSE)))+('PlayerGrades+'!$Y$54*(VLOOKUP(S125, 'PlayerGrades+'!$X$3:$Y$23, 2, FALSE)))+('PlayerGrades+'!$Y$55*(VLOOKUP(U125, 'PlayerGrades+'!$X$3:$Y$23, 2, FALSE)))</f>
        <v>#DIV/0!</v>
      </c>
      <c r="D125" s="961" t="str">
        <f t="shared" si="1"/>
        <v>#DIV/0!</v>
      </c>
      <c r="E125" s="961" t="str">
        <f>IF(D125&lt;'PlayerGrades+'!$AA$21,"F-",IF(D125&lt;'PlayerGrades+'!$AA$20,"F",IF(D125&lt;'PlayerGrades+'!$AA$19,"F+",IF(D125&lt;'PlayerGrades+'!$AA$18,"E-",IF(D125&lt;'PlayerGrades+'!$AA$17,"E",IF(D125&lt;'PlayerGrades+'!$AA$16,"E+",IF(D125&lt;'PlayerGrades+'!$AA$15,"D-",IF(D125&lt;'PlayerGrades+'!$AA$14,"D",IF(D125&lt;'PlayerGrades+'!$AA$13,"D+",IF(D125&lt;'PlayerGrades+'!$AA$12,"C-",IF(D125&lt;'PlayerGrades+'!$AA$11,"C",IF(D125&lt;'PlayerGrades+'!$AA$10,"C+",IF(D125&lt;'PlayerGrades+'!$AA$9,"B-",IF(D125&lt;'PlayerGrades+'!$AA$8,"B",IF(D125&lt;'PlayerGrades+'!$AA$7,"B+",IF(D125&lt;'PlayerGrades+'!$AA$6,"A-",IF(D125&lt;'PlayerGrades+'!$AA$5,"A",IF(D125&lt;'PlayerGrades+'!$AA$4,"A+",IF(D125&lt;'PlayerGrades+'!$AA$3,"S-",IF(D125&lt;'PlayerGrades+'!$AA$2,"S","S+"))))))))))))))))))))</f>
        <v>#DIV/0!</v>
      </c>
      <c r="F125" s="961" t="str">
        <f t="shared" si="2"/>
        <v>#DIV/0!</v>
      </c>
      <c r="G125" s="961" t="str">
        <f>IF(F125&lt;'PlayerGrades+'!$AB$21,"F-",IF(F125&lt;'PlayerGrades+'!$AB$20,"F",IF(F125&lt;'PlayerGrades+'!$AB$19,"F+",IF(F125&lt;'PlayerGrades+'!$AB$18,"E-",IF(F125&lt;'PlayerGrades+'!$AB$17,"E",IF(F125&lt;'PlayerGrades+'!$AB$16,"E+",IF(F125&lt;'PlayerGrades+'!$AB$15,"D-",IF(F125&lt;'PlayerGrades+'!$AB$14,"D",IF(F125&lt;'PlayerGrades+'!$AB$13,"D+",IF(F125&lt;'PlayerGrades+'!$AB$12,"C-",IF(F125&lt;'PlayerGrades+'!$AB$11,"C",IF(F125&lt;'PlayerGrades+'!$AB$10,"C+",IF(F125&lt;'PlayerGrades+'!$AB$9,"B-",IF(F125&lt;'PlayerGrades+'!$AB$8,"B",IF(F125&lt;'PlayerGrades+'!$AB$7,"B+",IF(F125&lt;'PlayerGrades+'!$AB$6,"A-",IF(F125&lt;'PlayerGrades+'!$AB$5,"A",IF(F125&lt;'PlayerGrades+'!$AB$4,"A+",IF(F125&lt;'PlayerGrades+'!$AB$3,"S-",IF(F125&lt;'PlayerGrades+'!$AB$2,"S","S+"))))))))))))))))))))</f>
        <v>#DIV/0!</v>
      </c>
      <c r="H125" s="961" t="str">
        <f t="shared" si="3"/>
        <v>#DIV/0!</v>
      </c>
      <c r="I125" s="961" t="str">
        <f>IF(H125&lt;'PlayerGrades+'!$AC$21,"F-",IF(H125&lt;'PlayerGrades+'!$AC$20,"F",IF(H125&lt;'PlayerGrades+'!$AC$19,"F+",IF(H125&lt;'PlayerGrades+'!$AC$18,"E-",IF(H125&lt;'PlayerGrades+'!$AC$17,"E",IF(H125&lt;'PlayerGrades+'!$AC$16,"E+",IF(H125&lt;'PlayerGrades+'!$AC$15,"D-",IF(H125&lt;'PlayerGrades+'!$AC$14,"D",IF(H125&lt;'PlayerGrades+'!$AC$13,"D+",IF(H125&lt;'PlayerGrades+'!$AC$12,"C-",IF(H125&lt;'PlayerGrades+'!$AC$11,"C",IF(H125&lt;'PlayerGrades+'!$AC$10,"C+",IF(H125&lt;'PlayerGrades+'!$AC$9,"B-",IF(H125&lt;'PlayerGrades+'!$AC$8,"B",IF(H125&lt;'PlayerGrades+'!$AC$7,"B+",IF(H125&lt;'PlayerGrades+'!$AC$6,"A-",IF(H125&lt;'PlayerGrades+'!$AC$5,"A",IF(H125&lt;'PlayerGrades+'!$AC$4,"A+",IF(H125&lt;'PlayerGrades+'!$AC$3,"S-",IF(H125&lt;'PlayerGrades+'!$AC$2,"S","S+"))))))))))))))))))))</f>
        <v>#DIV/0!</v>
      </c>
      <c r="J125" s="961" t="str">
        <f t="shared" si="4"/>
        <v>#DIV/0!</v>
      </c>
      <c r="K125" s="961" t="str">
        <f>IF(J125&lt;'PlayerGrades+'!$AD$21,"F-",IF(J125&lt;'PlayerGrades+'!$AD$20,"F",IF(J125&lt;'PlayerGrades+'!$AD$19,"F+",IF(J125&lt;'PlayerGrades+'!$AD$18,"E-",IF(J125&lt;'PlayerGrades+'!$AD$17,"E",IF(J125&lt;'PlayerGrades+'!$AD$16,"E+",IF(J125&lt;'PlayerGrades+'!$AD$15,"D-",IF(J125&lt;'PlayerGrades+'!$AD$14,"D",IF(J125&lt;'PlayerGrades+'!$AD$13,"D+",IF(J125&lt;'PlayerGrades+'!$AD$12,"C-",IF(J125&lt;'PlayerGrades+'!$AD$11,"C",IF(J125&lt;'PlayerGrades+'!$AD$10,"C+",IF(J125&lt;'PlayerGrades+'!$AD$9,"B-",IF(J125&lt;'PlayerGrades+'!$AD$8,"B",IF(J125&lt;'PlayerGrades+'!$AD$7,"B+",IF(J125&lt;'PlayerGrades+'!$AD$6,"A-",IF(J125&lt;'PlayerGrades+'!$AD$5,"A",IF(J125&lt;'PlayerGrades+'!$AD$4,"A+",IF(J125&lt;'PlayerGrades+'!$AD$3,"S-",IF(J125&lt;'PlayerGrades+'!$AD$2,"S","S+"))))))))))))))))))))</f>
        <v>#DIV/0!</v>
      </c>
      <c r="L125" s="1176" t="str">
        <f t="shared" si="5"/>
        <v>#DIV/0!</v>
      </c>
      <c r="M125" s="992" t="str">
        <f>IF(L125&lt;'PlayerGrades+'!$AE$21,"F-",IF(L125&lt;'PlayerGrades+'!$AE$20,"F",IF(L125&lt;'PlayerGrades+'!$AE$19,"F+",IF(L125&lt;'PlayerGrades+'!$AE$18,"E-",IF(L125&lt;'PlayerGrades+'!$AE$17,"E",IF(L125&lt;'PlayerGrades+'!$AE$16,"E+",IF(L125&lt;'PlayerGrades+'!$AE$15,"D-",IF(L125&lt;'PlayerGrades+'!$AE$14,"D",IF(L125&lt;'PlayerGrades+'!$AE$13,"D+",IF(L125&lt;'PlayerGrades+'!$AE$12,"C-",IF(L125&lt;'PlayerGrades+'!$AE$11,"C",IF(L125&lt;'PlayerGrades+'!$AE$10,"C+",IF(L125&lt;'PlayerGrades+'!$AE$9,"B-",IF(L125&lt;'PlayerGrades+'!$AE$8,"B",IF(L125&lt;'PlayerGrades+'!$AE$7,"B+",IF(L125&lt;'PlayerGrades+'!$AE$6,"A-",IF(L125&lt;'PlayerGrades+'!$AE$5,"A",IF(L125&lt;'PlayerGrades+'!$AE$4,"A+",IF(L125&lt;'PlayerGrades+'!$AE$3,"S-",IF(L125&lt;'PlayerGrades+'!$AE$2,"S","S+"))))))))))))))))))))</f>
        <v>#DIV/0!</v>
      </c>
      <c r="N125" s="961" t="str">
        <f t="shared" si="6"/>
        <v>#DIV/0!</v>
      </c>
      <c r="O125" s="961" t="str">
        <f>IF(N125&lt;'PlayerGrades+'!$AF$21,"F-",IF(N125&lt;'PlayerGrades+'!$AF$20,"F",IF(N125&lt;'PlayerGrades+'!$AF$19,"F+",IF(N125&lt;'PlayerGrades+'!$AF$18,"E-",IF(N125&lt;'PlayerGrades+'!$AF$17,"E",IF(N125&lt;'PlayerGrades+'!$AF$16,"E+",IF(N125&lt;'PlayerGrades+'!$AF$15,"D-",IF(N125&lt;'PlayerGrades+'!$AF$14,"D",IF(N125&lt;'PlayerGrades+'!$AF$13,"D+",IF(N125&lt;'PlayerGrades+'!$AF$12,"C-",IF(N125&lt;'PlayerGrades+'!$AF$11,"C",IF(N125&lt;'PlayerGrades+'!$AF$10,"C+",IF(N125&lt;'PlayerGrades+'!$AF$9,"B-",IF(N125&lt;'PlayerGrades+'!$AF$8,"B",IF(N125&lt;'PlayerGrades+'!$AF$7,"B+",IF(N125&lt;'PlayerGrades+'!$AF$6,"A-",IF(N125&lt;'PlayerGrades+'!$AF$5,"A",IF(N125&lt;'PlayerGrades+'!$AF$4,"A+",IF(N125&lt;'PlayerGrades+'!$AF$3,"S-",IF(N125&lt;'PlayerGrades+'!$AF$2,"S","S+"))))))))))))))))))))</f>
        <v>#DIV/0!</v>
      </c>
      <c r="P125" s="961" t="str">
        <f t="shared" si="7"/>
        <v>#DIV/0!</v>
      </c>
      <c r="Q125" s="961" t="str">
        <f>IF(P125&lt;'PlayerGrades+'!$AG$21,"F-",IF(P125&lt;'PlayerGrades+'!$AG$20,"F",IF(P125&lt;'PlayerGrades+'!$AG$19,"F+",IF(P125&lt;'PlayerGrades+'!$AG$18,"E-",IF(P125&lt;'PlayerGrades+'!$AG$17,"E",IF(P125&lt;'PlayerGrades+'!$AG$16,"E+",IF(P125&lt;'PlayerGrades+'!$AG$15,"D-",IF(P125&lt;'PlayerGrades+'!$AG$14,"D",IF(P125&lt;'PlayerGrades+'!$AG$13,"D+",IF(P125&lt;'PlayerGrades+'!$AG$12,"C-",IF(P125&lt;'PlayerGrades+'!$AG$11,"C",IF(P125&lt;'PlayerGrades+'!$AG$10,"C+",IF(P125&lt;'PlayerGrades+'!$AG$9,"B-",IF(P125&lt;'PlayerGrades+'!$AG$8,"B",IF(P125&lt;'PlayerGrades+'!$AG$7,"B+",IF(P125&lt;'PlayerGrades+'!$AG$6,"A-",IF(P125&lt;'PlayerGrades+'!$AG$5,"A",IF(P125&lt;'PlayerGrades+'!$AG$4,"A+",IF(P125&lt;'PlayerGrades+'!$AG$3,"S-",IF(P125&lt;'PlayerGrades+'!$AG$2,"S","S+"))))))))))))))))))))</f>
        <v>#DIV/0!</v>
      </c>
      <c r="R125" s="961" t="str">
        <f t="shared" si="8"/>
        <v>#DIV/0!</v>
      </c>
      <c r="S125" s="961" t="str">
        <f>IF(R125&lt;'PlayerGrades+'!$AH$21,"F-",IF(R125&lt;'PlayerGrades+'!$AH$20,"F",IF(R125&lt;'PlayerGrades+'!$AH$19,"F+",IF(R125&lt;'PlayerGrades+'!$AH$18,"E-",IF(R125&lt;'PlayerGrades+'!$AH$17,"E",IF(R125&lt;'PlayerGrades+'!$AH$16,"E+",IF(R125&lt;'PlayerGrades+'!$AH$15,"D-",IF(R125&lt;'PlayerGrades+'!$AH$14,"D",IF(R125&lt;'PlayerGrades+'!$AH$13,"D+",IF(R125&lt;'PlayerGrades+'!$AH$12,"C-",IF(R125&lt;'PlayerGrades+'!$AH$11,"C",IF(R125&lt;'PlayerGrades+'!$AH$10,"C+",IF(R125&lt;'PlayerGrades+'!$AH$9,"B-",IF(R125&lt;'PlayerGrades+'!$AH$8,"B",IF(R125&lt;'PlayerGrades+'!$AH$7,"B+",IF(R125&lt;'PlayerGrades+'!$AH$6,"A-",IF(R125&lt;'PlayerGrades+'!$AH$5,"A",IF(R125&lt;'PlayerGrades+'!$AH$4,"A+",IF(R125&lt;'PlayerGrades+'!$AH$3,"S-",IF(R125&lt;'PlayerGrades+'!$AH$2,"S","S+"))))))))))))))))))))</f>
        <v>#DIV/0!</v>
      </c>
      <c r="T125" s="961">
        <f t="shared" si="9"/>
        <v>0</v>
      </c>
      <c r="U125" s="961" t="str">
        <f>IF(T125&lt;'PlayerGrades+'!$AI$21,"F-",IF(T125&lt;'PlayerGrades+'!$AI$20,"F",IF(T125&lt;'PlayerGrades+'!$AI$19,"F+",IF(T125&lt;'PlayerGrades+'!$AI$18,"E-",IF(T125&lt;'PlayerGrades+'!$AI$17,"E",IF(T125&lt;'PlayerGrades+'!$AI$16,"E+",IF(T125&lt;'PlayerGrades+'!$AI$15,"D-",IF(T125&lt;'PlayerGrades+'!$AI$14,"D",IF(T125&lt;'PlayerGrades+'!$AI$13,"D+",IF(T125&lt;'PlayerGrades+'!$AI$12,"C-",IF(T125&lt;'PlayerGrades+'!$AI$11,"C",IF(T125&lt;'PlayerGrades+'!$AI$10,"C+",IF(T125&lt;'PlayerGrades+'!$AI$9,"B-",IF(T125&lt;'PlayerGrades+'!$AI$8,"B",IF(T125&lt;'PlayerGrades+'!$AI$7,"B+",IF(T125&lt;'PlayerGrades+'!$AI$6,"A-",IF(T125&lt;'PlayerGrades+'!$AI$5,"A",IF(T125&lt;'PlayerGrades+'!$AI$4,"A+",IF(T125&lt;'PlayerGrades+'!$AI$3,"S-",IF(T125&lt;'PlayerGrades+'!$AI$2,"S","S+"))))))))))))))))))))</f>
        <v>F-</v>
      </c>
      <c r="AC125" s="1392"/>
    </row>
    <row r="126">
      <c r="A126" s="1391"/>
      <c r="B126" s="611" t="str">
        <f>IF(C126&lt;'PlayerGrades+'!$Y$44,"F-",IF(C126&lt;'PlayerGrades+'!$Y$43,"F",IF(C126&lt;'PlayerGrades+'!$Y$42,"F+",IF(C126&lt;'PlayerGrades+'!$Y$41,"E-",IF(C126&lt;'PlayerGrades+'!$Y$40,"E",IF(C126&lt;'PlayerGrades+'!$Y$39,"E+",IF(C126&lt;'PlayerGrades+'!$Y$38,"D-",IF(C126&lt;'PlayerGrades+'!$Y$37,"D",IF(C126&lt;'PlayerGrades+'!$Y$36,"D+",IF(C126&lt;'PlayerGrades+'!$Y$35,"C-",IF(C126&lt;'PlayerGrades+'!$Y$34,"C",IF(C126&lt;'PlayerGrades+'!$Y$33,"C+",IF(C126&lt;'PlayerGrades+'!$Y$32,"B-",IF(C126&lt;'PlayerGrades+'!$Y$31,"B",IF(C126&lt;'PlayerGrades+'!$Y$30,"B+",IF(C126&lt;'PlayerGrades+'!$Y$29,"A-",IF(C126&lt;'PlayerGrades+'!$Y$28,"A",IF(C126&lt;'PlayerGrades+'!$Y$27,"A+",IF(C126&lt;'PlayerGrades+'!$Y$26,"S-",IF(C126&lt;'PlayerGrades+'!$Y$25,"S","S+"))))))))))))))))))))</f>
        <v>#DIV/0!</v>
      </c>
      <c r="C126" s="1378" t="str">
        <f>('PlayerGrades+'!$Y$47*(VLOOKUP(E126, 'PlayerGrades+'!$X$3:$Y$23, 2, FALSE)))+('PlayerGrades+'!$Y$48*(VLOOKUP(G126, 'PlayerGrades+'!$X$3:$Y$23, 2, FALSE)))+('PlayerGrades+'!$Y$49*(VLOOKUP(I126, 'PlayerGrades+'!$X$3:$Y$23, 2, FALSE)))+('PlayerGrades+'!$Y$50*(VLOOKUP(K126, 'PlayerGrades+'!$X$3:$Y$23, 2, FALSE)))+('PlayerGrades+'!$Y$51*(VLOOKUP(M126, 'PlayerGrades+'!$X$3:$Y$23, 2, FALSE)))+('PlayerGrades+'!$Y$52*(VLOOKUP(O126, 'PlayerGrades+'!$X$3:$Y$23, 2, FALSE)))+('PlayerGrades+'!$Y$53*(VLOOKUP(Q126, 'PlayerGrades+'!$X$3:$Y$23, 2, FALSE)))+('PlayerGrades+'!$Y$54*(VLOOKUP(S126, 'PlayerGrades+'!$X$3:$Y$23, 2, FALSE)))+('PlayerGrades+'!$Y$55*(VLOOKUP(U126, 'PlayerGrades+'!$X$3:$Y$23, 2, FALSE)))</f>
        <v>#DIV/0!</v>
      </c>
      <c r="D126" s="961" t="str">
        <f t="shared" si="1"/>
        <v>#DIV/0!</v>
      </c>
      <c r="E126" s="961" t="str">
        <f>IF(D126&lt;'PlayerGrades+'!$AA$21,"F-",IF(D126&lt;'PlayerGrades+'!$AA$20,"F",IF(D126&lt;'PlayerGrades+'!$AA$19,"F+",IF(D126&lt;'PlayerGrades+'!$AA$18,"E-",IF(D126&lt;'PlayerGrades+'!$AA$17,"E",IF(D126&lt;'PlayerGrades+'!$AA$16,"E+",IF(D126&lt;'PlayerGrades+'!$AA$15,"D-",IF(D126&lt;'PlayerGrades+'!$AA$14,"D",IF(D126&lt;'PlayerGrades+'!$AA$13,"D+",IF(D126&lt;'PlayerGrades+'!$AA$12,"C-",IF(D126&lt;'PlayerGrades+'!$AA$11,"C",IF(D126&lt;'PlayerGrades+'!$AA$10,"C+",IF(D126&lt;'PlayerGrades+'!$AA$9,"B-",IF(D126&lt;'PlayerGrades+'!$AA$8,"B",IF(D126&lt;'PlayerGrades+'!$AA$7,"B+",IF(D126&lt;'PlayerGrades+'!$AA$6,"A-",IF(D126&lt;'PlayerGrades+'!$AA$5,"A",IF(D126&lt;'PlayerGrades+'!$AA$4,"A+",IF(D126&lt;'PlayerGrades+'!$AA$3,"S-",IF(D126&lt;'PlayerGrades+'!$AA$2,"S","S+"))))))))))))))))))))</f>
        <v>#DIV/0!</v>
      </c>
      <c r="F126" s="961" t="str">
        <f t="shared" si="2"/>
        <v>#DIV/0!</v>
      </c>
      <c r="G126" s="961" t="str">
        <f>IF(F126&lt;'PlayerGrades+'!$AB$21,"F-",IF(F126&lt;'PlayerGrades+'!$AB$20,"F",IF(F126&lt;'PlayerGrades+'!$AB$19,"F+",IF(F126&lt;'PlayerGrades+'!$AB$18,"E-",IF(F126&lt;'PlayerGrades+'!$AB$17,"E",IF(F126&lt;'PlayerGrades+'!$AB$16,"E+",IF(F126&lt;'PlayerGrades+'!$AB$15,"D-",IF(F126&lt;'PlayerGrades+'!$AB$14,"D",IF(F126&lt;'PlayerGrades+'!$AB$13,"D+",IF(F126&lt;'PlayerGrades+'!$AB$12,"C-",IF(F126&lt;'PlayerGrades+'!$AB$11,"C",IF(F126&lt;'PlayerGrades+'!$AB$10,"C+",IF(F126&lt;'PlayerGrades+'!$AB$9,"B-",IF(F126&lt;'PlayerGrades+'!$AB$8,"B",IF(F126&lt;'PlayerGrades+'!$AB$7,"B+",IF(F126&lt;'PlayerGrades+'!$AB$6,"A-",IF(F126&lt;'PlayerGrades+'!$AB$5,"A",IF(F126&lt;'PlayerGrades+'!$AB$4,"A+",IF(F126&lt;'PlayerGrades+'!$AB$3,"S-",IF(F126&lt;'PlayerGrades+'!$AB$2,"S","S+"))))))))))))))))))))</f>
        <v>#DIV/0!</v>
      </c>
      <c r="H126" s="961" t="str">
        <f t="shared" si="3"/>
        <v>#DIV/0!</v>
      </c>
      <c r="I126" s="961" t="str">
        <f>IF(H126&lt;'PlayerGrades+'!$AC$21,"F-",IF(H126&lt;'PlayerGrades+'!$AC$20,"F",IF(H126&lt;'PlayerGrades+'!$AC$19,"F+",IF(H126&lt;'PlayerGrades+'!$AC$18,"E-",IF(H126&lt;'PlayerGrades+'!$AC$17,"E",IF(H126&lt;'PlayerGrades+'!$AC$16,"E+",IF(H126&lt;'PlayerGrades+'!$AC$15,"D-",IF(H126&lt;'PlayerGrades+'!$AC$14,"D",IF(H126&lt;'PlayerGrades+'!$AC$13,"D+",IF(H126&lt;'PlayerGrades+'!$AC$12,"C-",IF(H126&lt;'PlayerGrades+'!$AC$11,"C",IF(H126&lt;'PlayerGrades+'!$AC$10,"C+",IF(H126&lt;'PlayerGrades+'!$AC$9,"B-",IF(H126&lt;'PlayerGrades+'!$AC$8,"B",IF(H126&lt;'PlayerGrades+'!$AC$7,"B+",IF(H126&lt;'PlayerGrades+'!$AC$6,"A-",IF(H126&lt;'PlayerGrades+'!$AC$5,"A",IF(H126&lt;'PlayerGrades+'!$AC$4,"A+",IF(H126&lt;'PlayerGrades+'!$AC$3,"S-",IF(H126&lt;'PlayerGrades+'!$AC$2,"S","S+"))))))))))))))))))))</f>
        <v>#DIV/0!</v>
      </c>
      <c r="J126" s="961" t="str">
        <f t="shared" si="4"/>
        <v>#DIV/0!</v>
      </c>
      <c r="K126" s="961" t="str">
        <f>IF(J126&lt;'PlayerGrades+'!$AD$21,"F-",IF(J126&lt;'PlayerGrades+'!$AD$20,"F",IF(J126&lt;'PlayerGrades+'!$AD$19,"F+",IF(J126&lt;'PlayerGrades+'!$AD$18,"E-",IF(J126&lt;'PlayerGrades+'!$AD$17,"E",IF(J126&lt;'PlayerGrades+'!$AD$16,"E+",IF(J126&lt;'PlayerGrades+'!$AD$15,"D-",IF(J126&lt;'PlayerGrades+'!$AD$14,"D",IF(J126&lt;'PlayerGrades+'!$AD$13,"D+",IF(J126&lt;'PlayerGrades+'!$AD$12,"C-",IF(J126&lt;'PlayerGrades+'!$AD$11,"C",IF(J126&lt;'PlayerGrades+'!$AD$10,"C+",IF(J126&lt;'PlayerGrades+'!$AD$9,"B-",IF(J126&lt;'PlayerGrades+'!$AD$8,"B",IF(J126&lt;'PlayerGrades+'!$AD$7,"B+",IF(J126&lt;'PlayerGrades+'!$AD$6,"A-",IF(J126&lt;'PlayerGrades+'!$AD$5,"A",IF(J126&lt;'PlayerGrades+'!$AD$4,"A+",IF(J126&lt;'PlayerGrades+'!$AD$3,"S-",IF(J126&lt;'PlayerGrades+'!$AD$2,"S","S+"))))))))))))))))))))</f>
        <v>#DIV/0!</v>
      </c>
      <c r="L126" s="1176" t="str">
        <f t="shared" si="5"/>
        <v>#DIV/0!</v>
      </c>
      <c r="M126" s="992" t="str">
        <f>IF(L126&lt;'PlayerGrades+'!$AE$21,"F-",IF(L126&lt;'PlayerGrades+'!$AE$20,"F",IF(L126&lt;'PlayerGrades+'!$AE$19,"F+",IF(L126&lt;'PlayerGrades+'!$AE$18,"E-",IF(L126&lt;'PlayerGrades+'!$AE$17,"E",IF(L126&lt;'PlayerGrades+'!$AE$16,"E+",IF(L126&lt;'PlayerGrades+'!$AE$15,"D-",IF(L126&lt;'PlayerGrades+'!$AE$14,"D",IF(L126&lt;'PlayerGrades+'!$AE$13,"D+",IF(L126&lt;'PlayerGrades+'!$AE$12,"C-",IF(L126&lt;'PlayerGrades+'!$AE$11,"C",IF(L126&lt;'PlayerGrades+'!$AE$10,"C+",IF(L126&lt;'PlayerGrades+'!$AE$9,"B-",IF(L126&lt;'PlayerGrades+'!$AE$8,"B",IF(L126&lt;'PlayerGrades+'!$AE$7,"B+",IF(L126&lt;'PlayerGrades+'!$AE$6,"A-",IF(L126&lt;'PlayerGrades+'!$AE$5,"A",IF(L126&lt;'PlayerGrades+'!$AE$4,"A+",IF(L126&lt;'PlayerGrades+'!$AE$3,"S-",IF(L126&lt;'PlayerGrades+'!$AE$2,"S","S+"))))))))))))))))))))</f>
        <v>#DIV/0!</v>
      </c>
      <c r="N126" s="961" t="str">
        <f t="shared" si="6"/>
        <v>#DIV/0!</v>
      </c>
      <c r="O126" s="961" t="str">
        <f>IF(N126&lt;'PlayerGrades+'!$AF$21,"F-",IF(N126&lt;'PlayerGrades+'!$AF$20,"F",IF(N126&lt;'PlayerGrades+'!$AF$19,"F+",IF(N126&lt;'PlayerGrades+'!$AF$18,"E-",IF(N126&lt;'PlayerGrades+'!$AF$17,"E",IF(N126&lt;'PlayerGrades+'!$AF$16,"E+",IF(N126&lt;'PlayerGrades+'!$AF$15,"D-",IF(N126&lt;'PlayerGrades+'!$AF$14,"D",IF(N126&lt;'PlayerGrades+'!$AF$13,"D+",IF(N126&lt;'PlayerGrades+'!$AF$12,"C-",IF(N126&lt;'PlayerGrades+'!$AF$11,"C",IF(N126&lt;'PlayerGrades+'!$AF$10,"C+",IF(N126&lt;'PlayerGrades+'!$AF$9,"B-",IF(N126&lt;'PlayerGrades+'!$AF$8,"B",IF(N126&lt;'PlayerGrades+'!$AF$7,"B+",IF(N126&lt;'PlayerGrades+'!$AF$6,"A-",IF(N126&lt;'PlayerGrades+'!$AF$5,"A",IF(N126&lt;'PlayerGrades+'!$AF$4,"A+",IF(N126&lt;'PlayerGrades+'!$AF$3,"S-",IF(N126&lt;'PlayerGrades+'!$AF$2,"S","S+"))))))))))))))))))))</f>
        <v>#DIV/0!</v>
      </c>
      <c r="P126" s="961" t="str">
        <f t="shared" si="7"/>
        <v>#DIV/0!</v>
      </c>
      <c r="Q126" s="961" t="str">
        <f>IF(P126&lt;'PlayerGrades+'!$AG$21,"F-",IF(P126&lt;'PlayerGrades+'!$AG$20,"F",IF(P126&lt;'PlayerGrades+'!$AG$19,"F+",IF(P126&lt;'PlayerGrades+'!$AG$18,"E-",IF(P126&lt;'PlayerGrades+'!$AG$17,"E",IF(P126&lt;'PlayerGrades+'!$AG$16,"E+",IF(P126&lt;'PlayerGrades+'!$AG$15,"D-",IF(P126&lt;'PlayerGrades+'!$AG$14,"D",IF(P126&lt;'PlayerGrades+'!$AG$13,"D+",IF(P126&lt;'PlayerGrades+'!$AG$12,"C-",IF(P126&lt;'PlayerGrades+'!$AG$11,"C",IF(P126&lt;'PlayerGrades+'!$AG$10,"C+",IF(P126&lt;'PlayerGrades+'!$AG$9,"B-",IF(P126&lt;'PlayerGrades+'!$AG$8,"B",IF(P126&lt;'PlayerGrades+'!$AG$7,"B+",IF(P126&lt;'PlayerGrades+'!$AG$6,"A-",IF(P126&lt;'PlayerGrades+'!$AG$5,"A",IF(P126&lt;'PlayerGrades+'!$AG$4,"A+",IF(P126&lt;'PlayerGrades+'!$AG$3,"S-",IF(P126&lt;'PlayerGrades+'!$AG$2,"S","S+"))))))))))))))))))))</f>
        <v>#DIV/0!</v>
      </c>
      <c r="R126" s="961" t="str">
        <f t="shared" si="8"/>
        <v>#DIV/0!</v>
      </c>
      <c r="S126" s="961" t="str">
        <f>IF(R126&lt;'PlayerGrades+'!$AH$21,"F-",IF(R126&lt;'PlayerGrades+'!$AH$20,"F",IF(R126&lt;'PlayerGrades+'!$AH$19,"F+",IF(R126&lt;'PlayerGrades+'!$AH$18,"E-",IF(R126&lt;'PlayerGrades+'!$AH$17,"E",IF(R126&lt;'PlayerGrades+'!$AH$16,"E+",IF(R126&lt;'PlayerGrades+'!$AH$15,"D-",IF(R126&lt;'PlayerGrades+'!$AH$14,"D",IF(R126&lt;'PlayerGrades+'!$AH$13,"D+",IF(R126&lt;'PlayerGrades+'!$AH$12,"C-",IF(R126&lt;'PlayerGrades+'!$AH$11,"C",IF(R126&lt;'PlayerGrades+'!$AH$10,"C+",IF(R126&lt;'PlayerGrades+'!$AH$9,"B-",IF(R126&lt;'PlayerGrades+'!$AH$8,"B",IF(R126&lt;'PlayerGrades+'!$AH$7,"B+",IF(R126&lt;'PlayerGrades+'!$AH$6,"A-",IF(R126&lt;'PlayerGrades+'!$AH$5,"A",IF(R126&lt;'PlayerGrades+'!$AH$4,"A+",IF(R126&lt;'PlayerGrades+'!$AH$3,"S-",IF(R126&lt;'PlayerGrades+'!$AH$2,"S","S+"))))))))))))))))))))</f>
        <v>#DIV/0!</v>
      </c>
      <c r="T126" s="961">
        <f t="shared" si="9"/>
        <v>0</v>
      </c>
      <c r="U126" s="961" t="str">
        <f>IF(T126&lt;'PlayerGrades+'!$AI$21,"F-",IF(T126&lt;'PlayerGrades+'!$AI$20,"F",IF(T126&lt;'PlayerGrades+'!$AI$19,"F+",IF(T126&lt;'PlayerGrades+'!$AI$18,"E-",IF(T126&lt;'PlayerGrades+'!$AI$17,"E",IF(T126&lt;'PlayerGrades+'!$AI$16,"E+",IF(T126&lt;'PlayerGrades+'!$AI$15,"D-",IF(T126&lt;'PlayerGrades+'!$AI$14,"D",IF(T126&lt;'PlayerGrades+'!$AI$13,"D+",IF(T126&lt;'PlayerGrades+'!$AI$12,"C-",IF(T126&lt;'PlayerGrades+'!$AI$11,"C",IF(T126&lt;'PlayerGrades+'!$AI$10,"C+",IF(T126&lt;'PlayerGrades+'!$AI$9,"B-",IF(T126&lt;'PlayerGrades+'!$AI$8,"B",IF(T126&lt;'PlayerGrades+'!$AI$7,"B+",IF(T126&lt;'PlayerGrades+'!$AI$6,"A-",IF(T126&lt;'PlayerGrades+'!$AI$5,"A",IF(T126&lt;'PlayerGrades+'!$AI$4,"A+",IF(T126&lt;'PlayerGrades+'!$AI$3,"S-",IF(T126&lt;'PlayerGrades+'!$AI$2,"S","S+"))))))))))))))))))))</f>
        <v>F-</v>
      </c>
      <c r="AC126" s="1392"/>
    </row>
    <row r="127">
      <c r="A127" s="1391"/>
      <c r="B127" s="611" t="str">
        <f>IF(C127&lt;'PlayerGrades+'!$Y$44,"F-",IF(C127&lt;'PlayerGrades+'!$Y$43,"F",IF(C127&lt;'PlayerGrades+'!$Y$42,"F+",IF(C127&lt;'PlayerGrades+'!$Y$41,"E-",IF(C127&lt;'PlayerGrades+'!$Y$40,"E",IF(C127&lt;'PlayerGrades+'!$Y$39,"E+",IF(C127&lt;'PlayerGrades+'!$Y$38,"D-",IF(C127&lt;'PlayerGrades+'!$Y$37,"D",IF(C127&lt;'PlayerGrades+'!$Y$36,"D+",IF(C127&lt;'PlayerGrades+'!$Y$35,"C-",IF(C127&lt;'PlayerGrades+'!$Y$34,"C",IF(C127&lt;'PlayerGrades+'!$Y$33,"C+",IF(C127&lt;'PlayerGrades+'!$Y$32,"B-",IF(C127&lt;'PlayerGrades+'!$Y$31,"B",IF(C127&lt;'PlayerGrades+'!$Y$30,"B+",IF(C127&lt;'PlayerGrades+'!$Y$29,"A-",IF(C127&lt;'PlayerGrades+'!$Y$28,"A",IF(C127&lt;'PlayerGrades+'!$Y$27,"A+",IF(C127&lt;'PlayerGrades+'!$Y$26,"S-",IF(C127&lt;'PlayerGrades+'!$Y$25,"S","S+"))))))))))))))))))))</f>
        <v>#DIV/0!</v>
      </c>
      <c r="C127" s="1378" t="str">
        <f>('PlayerGrades+'!$Y$47*(VLOOKUP(E127, 'PlayerGrades+'!$X$3:$Y$23, 2, FALSE)))+('PlayerGrades+'!$Y$48*(VLOOKUP(G127, 'PlayerGrades+'!$X$3:$Y$23, 2, FALSE)))+('PlayerGrades+'!$Y$49*(VLOOKUP(I127, 'PlayerGrades+'!$X$3:$Y$23, 2, FALSE)))+('PlayerGrades+'!$Y$50*(VLOOKUP(K127, 'PlayerGrades+'!$X$3:$Y$23, 2, FALSE)))+('PlayerGrades+'!$Y$51*(VLOOKUP(M127, 'PlayerGrades+'!$X$3:$Y$23, 2, FALSE)))+('PlayerGrades+'!$Y$52*(VLOOKUP(O127, 'PlayerGrades+'!$X$3:$Y$23, 2, FALSE)))+('PlayerGrades+'!$Y$53*(VLOOKUP(Q127, 'PlayerGrades+'!$X$3:$Y$23, 2, FALSE)))+('PlayerGrades+'!$Y$54*(VLOOKUP(S127, 'PlayerGrades+'!$X$3:$Y$23, 2, FALSE)))+('PlayerGrades+'!$Y$55*(VLOOKUP(U127, 'PlayerGrades+'!$X$3:$Y$23, 2, FALSE)))</f>
        <v>#DIV/0!</v>
      </c>
      <c r="D127" s="961" t="str">
        <f t="shared" si="1"/>
        <v>#DIV/0!</v>
      </c>
      <c r="E127" s="961" t="str">
        <f>IF(D127&lt;'PlayerGrades+'!$AA$21,"F-",IF(D127&lt;'PlayerGrades+'!$AA$20,"F",IF(D127&lt;'PlayerGrades+'!$AA$19,"F+",IF(D127&lt;'PlayerGrades+'!$AA$18,"E-",IF(D127&lt;'PlayerGrades+'!$AA$17,"E",IF(D127&lt;'PlayerGrades+'!$AA$16,"E+",IF(D127&lt;'PlayerGrades+'!$AA$15,"D-",IF(D127&lt;'PlayerGrades+'!$AA$14,"D",IF(D127&lt;'PlayerGrades+'!$AA$13,"D+",IF(D127&lt;'PlayerGrades+'!$AA$12,"C-",IF(D127&lt;'PlayerGrades+'!$AA$11,"C",IF(D127&lt;'PlayerGrades+'!$AA$10,"C+",IF(D127&lt;'PlayerGrades+'!$AA$9,"B-",IF(D127&lt;'PlayerGrades+'!$AA$8,"B",IF(D127&lt;'PlayerGrades+'!$AA$7,"B+",IF(D127&lt;'PlayerGrades+'!$AA$6,"A-",IF(D127&lt;'PlayerGrades+'!$AA$5,"A",IF(D127&lt;'PlayerGrades+'!$AA$4,"A+",IF(D127&lt;'PlayerGrades+'!$AA$3,"S-",IF(D127&lt;'PlayerGrades+'!$AA$2,"S","S+"))))))))))))))))))))</f>
        <v>#DIV/0!</v>
      </c>
      <c r="F127" s="961" t="str">
        <f t="shared" si="2"/>
        <v>#DIV/0!</v>
      </c>
      <c r="G127" s="961" t="str">
        <f>IF(F127&lt;'PlayerGrades+'!$AB$21,"F-",IF(F127&lt;'PlayerGrades+'!$AB$20,"F",IF(F127&lt;'PlayerGrades+'!$AB$19,"F+",IF(F127&lt;'PlayerGrades+'!$AB$18,"E-",IF(F127&lt;'PlayerGrades+'!$AB$17,"E",IF(F127&lt;'PlayerGrades+'!$AB$16,"E+",IF(F127&lt;'PlayerGrades+'!$AB$15,"D-",IF(F127&lt;'PlayerGrades+'!$AB$14,"D",IF(F127&lt;'PlayerGrades+'!$AB$13,"D+",IF(F127&lt;'PlayerGrades+'!$AB$12,"C-",IF(F127&lt;'PlayerGrades+'!$AB$11,"C",IF(F127&lt;'PlayerGrades+'!$AB$10,"C+",IF(F127&lt;'PlayerGrades+'!$AB$9,"B-",IF(F127&lt;'PlayerGrades+'!$AB$8,"B",IF(F127&lt;'PlayerGrades+'!$AB$7,"B+",IF(F127&lt;'PlayerGrades+'!$AB$6,"A-",IF(F127&lt;'PlayerGrades+'!$AB$5,"A",IF(F127&lt;'PlayerGrades+'!$AB$4,"A+",IF(F127&lt;'PlayerGrades+'!$AB$3,"S-",IF(F127&lt;'PlayerGrades+'!$AB$2,"S","S+"))))))))))))))))))))</f>
        <v>#DIV/0!</v>
      </c>
      <c r="H127" s="961" t="str">
        <f t="shared" si="3"/>
        <v>#DIV/0!</v>
      </c>
      <c r="I127" s="961" t="str">
        <f>IF(H127&lt;'PlayerGrades+'!$AC$21,"F-",IF(H127&lt;'PlayerGrades+'!$AC$20,"F",IF(H127&lt;'PlayerGrades+'!$AC$19,"F+",IF(H127&lt;'PlayerGrades+'!$AC$18,"E-",IF(H127&lt;'PlayerGrades+'!$AC$17,"E",IF(H127&lt;'PlayerGrades+'!$AC$16,"E+",IF(H127&lt;'PlayerGrades+'!$AC$15,"D-",IF(H127&lt;'PlayerGrades+'!$AC$14,"D",IF(H127&lt;'PlayerGrades+'!$AC$13,"D+",IF(H127&lt;'PlayerGrades+'!$AC$12,"C-",IF(H127&lt;'PlayerGrades+'!$AC$11,"C",IF(H127&lt;'PlayerGrades+'!$AC$10,"C+",IF(H127&lt;'PlayerGrades+'!$AC$9,"B-",IF(H127&lt;'PlayerGrades+'!$AC$8,"B",IF(H127&lt;'PlayerGrades+'!$AC$7,"B+",IF(H127&lt;'PlayerGrades+'!$AC$6,"A-",IF(H127&lt;'PlayerGrades+'!$AC$5,"A",IF(H127&lt;'PlayerGrades+'!$AC$4,"A+",IF(H127&lt;'PlayerGrades+'!$AC$3,"S-",IF(H127&lt;'PlayerGrades+'!$AC$2,"S","S+"))))))))))))))))))))</f>
        <v>#DIV/0!</v>
      </c>
      <c r="J127" s="961" t="str">
        <f t="shared" si="4"/>
        <v>#DIV/0!</v>
      </c>
      <c r="K127" s="961" t="str">
        <f>IF(J127&lt;'PlayerGrades+'!$AD$21,"F-",IF(J127&lt;'PlayerGrades+'!$AD$20,"F",IF(J127&lt;'PlayerGrades+'!$AD$19,"F+",IF(J127&lt;'PlayerGrades+'!$AD$18,"E-",IF(J127&lt;'PlayerGrades+'!$AD$17,"E",IF(J127&lt;'PlayerGrades+'!$AD$16,"E+",IF(J127&lt;'PlayerGrades+'!$AD$15,"D-",IF(J127&lt;'PlayerGrades+'!$AD$14,"D",IF(J127&lt;'PlayerGrades+'!$AD$13,"D+",IF(J127&lt;'PlayerGrades+'!$AD$12,"C-",IF(J127&lt;'PlayerGrades+'!$AD$11,"C",IF(J127&lt;'PlayerGrades+'!$AD$10,"C+",IF(J127&lt;'PlayerGrades+'!$AD$9,"B-",IF(J127&lt;'PlayerGrades+'!$AD$8,"B",IF(J127&lt;'PlayerGrades+'!$AD$7,"B+",IF(J127&lt;'PlayerGrades+'!$AD$6,"A-",IF(J127&lt;'PlayerGrades+'!$AD$5,"A",IF(J127&lt;'PlayerGrades+'!$AD$4,"A+",IF(J127&lt;'PlayerGrades+'!$AD$3,"S-",IF(J127&lt;'PlayerGrades+'!$AD$2,"S","S+"))))))))))))))))))))</f>
        <v>#DIV/0!</v>
      </c>
      <c r="L127" s="1176" t="str">
        <f t="shared" si="5"/>
        <v>#DIV/0!</v>
      </c>
      <c r="M127" s="992" t="str">
        <f>IF(L127&lt;'PlayerGrades+'!$AE$21,"F-",IF(L127&lt;'PlayerGrades+'!$AE$20,"F",IF(L127&lt;'PlayerGrades+'!$AE$19,"F+",IF(L127&lt;'PlayerGrades+'!$AE$18,"E-",IF(L127&lt;'PlayerGrades+'!$AE$17,"E",IF(L127&lt;'PlayerGrades+'!$AE$16,"E+",IF(L127&lt;'PlayerGrades+'!$AE$15,"D-",IF(L127&lt;'PlayerGrades+'!$AE$14,"D",IF(L127&lt;'PlayerGrades+'!$AE$13,"D+",IF(L127&lt;'PlayerGrades+'!$AE$12,"C-",IF(L127&lt;'PlayerGrades+'!$AE$11,"C",IF(L127&lt;'PlayerGrades+'!$AE$10,"C+",IF(L127&lt;'PlayerGrades+'!$AE$9,"B-",IF(L127&lt;'PlayerGrades+'!$AE$8,"B",IF(L127&lt;'PlayerGrades+'!$AE$7,"B+",IF(L127&lt;'PlayerGrades+'!$AE$6,"A-",IF(L127&lt;'PlayerGrades+'!$AE$5,"A",IF(L127&lt;'PlayerGrades+'!$AE$4,"A+",IF(L127&lt;'PlayerGrades+'!$AE$3,"S-",IF(L127&lt;'PlayerGrades+'!$AE$2,"S","S+"))))))))))))))))))))</f>
        <v>#DIV/0!</v>
      </c>
      <c r="N127" s="961" t="str">
        <f t="shared" si="6"/>
        <v>#DIV/0!</v>
      </c>
      <c r="O127" s="961" t="str">
        <f>IF(N127&lt;'PlayerGrades+'!$AF$21,"F-",IF(N127&lt;'PlayerGrades+'!$AF$20,"F",IF(N127&lt;'PlayerGrades+'!$AF$19,"F+",IF(N127&lt;'PlayerGrades+'!$AF$18,"E-",IF(N127&lt;'PlayerGrades+'!$AF$17,"E",IF(N127&lt;'PlayerGrades+'!$AF$16,"E+",IF(N127&lt;'PlayerGrades+'!$AF$15,"D-",IF(N127&lt;'PlayerGrades+'!$AF$14,"D",IF(N127&lt;'PlayerGrades+'!$AF$13,"D+",IF(N127&lt;'PlayerGrades+'!$AF$12,"C-",IF(N127&lt;'PlayerGrades+'!$AF$11,"C",IF(N127&lt;'PlayerGrades+'!$AF$10,"C+",IF(N127&lt;'PlayerGrades+'!$AF$9,"B-",IF(N127&lt;'PlayerGrades+'!$AF$8,"B",IF(N127&lt;'PlayerGrades+'!$AF$7,"B+",IF(N127&lt;'PlayerGrades+'!$AF$6,"A-",IF(N127&lt;'PlayerGrades+'!$AF$5,"A",IF(N127&lt;'PlayerGrades+'!$AF$4,"A+",IF(N127&lt;'PlayerGrades+'!$AF$3,"S-",IF(N127&lt;'PlayerGrades+'!$AF$2,"S","S+"))))))))))))))))))))</f>
        <v>#DIV/0!</v>
      </c>
      <c r="P127" s="961" t="str">
        <f t="shared" si="7"/>
        <v>#DIV/0!</v>
      </c>
      <c r="Q127" s="961" t="str">
        <f>IF(P127&lt;'PlayerGrades+'!$AG$21,"F-",IF(P127&lt;'PlayerGrades+'!$AG$20,"F",IF(P127&lt;'PlayerGrades+'!$AG$19,"F+",IF(P127&lt;'PlayerGrades+'!$AG$18,"E-",IF(P127&lt;'PlayerGrades+'!$AG$17,"E",IF(P127&lt;'PlayerGrades+'!$AG$16,"E+",IF(P127&lt;'PlayerGrades+'!$AG$15,"D-",IF(P127&lt;'PlayerGrades+'!$AG$14,"D",IF(P127&lt;'PlayerGrades+'!$AG$13,"D+",IF(P127&lt;'PlayerGrades+'!$AG$12,"C-",IF(P127&lt;'PlayerGrades+'!$AG$11,"C",IF(P127&lt;'PlayerGrades+'!$AG$10,"C+",IF(P127&lt;'PlayerGrades+'!$AG$9,"B-",IF(P127&lt;'PlayerGrades+'!$AG$8,"B",IF(P127&lt;'PlayerGrades+'!$AG$7,"B+",IF(P127&lt;'PlayerGrades+'!$AG$6,"A-",IF(P127&lt;'PlayerGrades+'!$AG$5,"A",IF(P127&lt;'PlayerGrades+'!$AG$4,"A+",IF(P127&lt;'PlayerGrades+'!$AG$3,"S-",IF(P127&lt;'PlayerGrades+'!$AG$2,"S","S+"))))))))))))))))))))</f>
        <v>#DIV/0!</v>
      </c>
      <c r="R127" s="961" t="str">
        <f t="shared" si="8"/>
        <v>#DIV/0!</v>
      </c>
      <c r="S127" s="961" t="str">
        <f>IF(R127&lt;'PlayerGrades+'!$AH$21,"F-",IF(R127&lt;'PlayerGrades+'!$AH$20,"F",IF(R127&lt;'PlayerGrades+'!$AH$19,"F+",IF(R127&lt;'PlayerGrades+'!$AH$18,"E-",IF(R127&lt;'PlayerGrades+'!$AH$17,"E",IF(R127&lt;'PlayerGrades+'!$AH$16,"E+",IF(R127&lt;'PlayerGrades+'!$AH$15,"D-",IF(R127&lt;'PlayerGrades+'!$AH$14,"D",IF(R127&lt;'PlayerGrades+'!$AH$13,"D+",IF(R127&lt;'PlayerGrades+'!$AH$12,"C-",IF(R127&lt;'PlayerGrades+'!$AH$11,"C",IF(R127&lt;'PlayerGrades+'!$AH$10,"C+",IF(R127&lt;'PlayerGrades+'!$AH$9,"B-",IF(R127&lt;'PlayerGrades+'!$AH$8,"B",IF(R127&lt;'PlayerGrades+'!$AH$7,"B+",IF(R127&lt;'PlayerGrades+'!$AH$6,"A-",IF(R127&lt;'PlayerGrades+'!$AH$5,"A",IF(R127&lt;'PlayerGrades+'!$AH$4,"A+",IF(R127&lt;'PlayerGrades+'!$AH$3,"S-",IF(R127&lt;'PlayerGrades+'!$AH$2,"S","S+"))))))))))))))))))))</f>
        <v>#DIV/0!</v>
      </c>
      <c r="T127" s="961">
        <f t="shared" si="9"/>
        <v>0</v>
      </c>
      <c r="U127" s="961" t="str">
        <f>IF(T127&lt;'PlayerGrades+'!$AI$21,"F-",IF(T127&lt;'PlayerGrades+'!$AI$20,"F",IF(T127&lt;'PlayerGrades+'!$AI$19,"F+",IF(T127&lt;'PlayerGrades+'!$AI$18,"E-",IF(T127&lt;'PlayerGrades+'!$AI$17,"E",IF(T127&lt;'PlayerGrades+'!$AI$16,"E+",IF(T127&lt;'PlayerGrades+'!$AI$15,"D-",IF(T127&lt;'PlayerGrades+'!$AI$14,"D",IF(T127&lt;'PlayerGrades+'!$AI$13,"D+",IF(T127&lt;'PlayerGrades+'!$AI$12,"C-",IF(T127&lt;'PlayerGrades+'!$AI$11,"C",IF(T127&lt;'PlayerGrades+'!$AI$10,"C+",IF(T127&lt;'PlayerGrades+'!$AI$9,"B-",IF(T127&lt;'PlayerGrades+'!$AI$8,"B",IF(T127&lt;'PlayerGrades+'!$AI$7,"B+",IF(T127&lt;'PlayerGrades+'!$AI$6,"A-",IF(T127&lt;'PlayerGrades+'!$AI$5,"A",IF(T127&lt;'PlayerGrades+'!$AI$4,"A+",IF(T127&lt;'PlayerGrades+'!$AI$3,"S-",IF(T127&lt;'PlayerGrades+'!$AI$2,"S","S+"))))))))))))))))))))</f>
        <v>F-</v>
      </c>
      <c r="AC127" s="1392"/>
    </row>
    <row r="128">
      <c r="A128" s="1391"/>
      <c r="B128" s="611" t="str">
        <f>IF(C128&lt;'PlayerGrades+'!$Y$44,"F-",IF(C128&lt;'PlayerGrades+'!$Y$43,"F",IF(C128&lt;'PlayerGrades+'!$Y$42,"F+",IF(C128&lt;'PlayerGrades+'!$Y$41,"E-",IF(C128&lt;'PlayerGrades+'!$Y$40,"E",IF(C128&lt;'PlayerGrades+'!$Y$39,"E+",IF(C128&lt;'PlayerGrades+'!$Y$38,"D-",IF(C128&lt;'PlayerGrades+'!$Y$37,"D",IF(C128&lt;'PlayerGrades+'!$Y$36,"D+",IF(C128&lt;'PlayerGrades+'!$Y$35,"C-",IF(C128&lt;'PlayerGrades+'!$Y$34,"C",IF(C128&lt;'PlayerGrades+'!$Y$33,"C+",IF(C128&lt;'PlayerGrades+'!$Y$32,"B-",IF(C128&lt;'PlayerGrades+'!$Y$31,"B",IF(C128&lt;'PlayerGrades+'!$Y$30,"B+",IF(C128&lt;'PlayerGrades+'!$Y$29,"A-",IF(C128&lt;'PlayerGrades+'!$Y$28,"A",IF(C128&lt;'PlayerGrades+'!$Y$27,"A+",IF(C128&lt;'PlayerGrades+'!$Y$26,"S-",IF(C128&lt;'PlayerGrades+'!$Y$25,"S","S+"))))))))))))))))))))</f>
        <v>#DIV/0!</v>
      </c>
      <c r="C128" s="1378" t="str">
        <f>('PlayerGrades+'!$Y$47*(VLOOKUP(E128, 'PlayerGrades+'!$X$3:$Y$23, 2, FALSE)))+('PlayerGrades+'!$Y$48*(VLOOKUP(G128, 'PlayerGrades+'!$X$3:$Y$23, 2, FALSE)))+('PlayerGrades+'!$Y$49*(VLOOKUP(I128, 'PlayerGrades+'!$X$3:$Y$23, 2, FALSE)))+('PlayerGrades+'!$Y$50*(VLOOKUP(K128, 'PlayerGrades+'!$X$3:$Y$23, 2, FALSE)))+('PlayerGrades+'!$Y$51*(VLOOKUP(M128, 'PlayerGrades+'!$X$3:$Y$23, 2, FALSE)))+('PlayerGrades+'!$Y$52*(VLOOKUP(O128, 'PlayerGrades+'!$X$3:$Y$23, 2, FALSE)))+('PlayerGrades+'!$Y$53*(VLOOKUP(Q128, 'PlayerGrades+'!$X$3:$Y$23, 2, FALSE)))+('PlayerGrades+'!$Y$54*(VLOOKUP(S128, 'PlayerGrades+'!$X$3:$Y$23, 2, FALSE)))+('PlayerGrades+'!$Y$55*(VLOOKUP(U128, 'PlayerGrades+'!$X$3:$Y$23, 2, FALSE)))</f>
        <v>#DIV/0!</v>
      </c>
      <c r="D128" s="961" t="str">
        <f t="shared" si="1"/>
        <v>#DIV/0!</v>
      </c>
      <c r="E128" s="961" t="str">
        <f>IF(D128&lt;'PlayerGrades+'!$AA$21,"F-",IF(D128&lt;'PlayerGrades+'!$AA$20,"F",IF(D128&lt;'PlayerGrades+'!$AA$19,"F+",IF(D128&lt;'PlayerGrades+'!$AA$18,"E-",IF(D128&lt;'PlayerGrades+'!$AA$17,"E",IF(D128&lt;'PlayerGrades+'!$AA$16,"E+",IF(D128&lt;'PlayerGrades+'!$AA$15,"D-",IF(D128&lt;'PlayerGrades+'!$AA$14,"D",IF(D128&lt;'PlayerGrades+'!$AA$13,"D+",IF(D128&lt;'PlayerGrades+'!$AA$12,"C-",IF(D128&lt;'PlayerGrades+'!$AA$11,"C",IF(D128&lt;'PlayerGrades+'!$AA$10,"C+",IF(D128&lt;'PlayerGrades+'!$AA$9,"B-",IF(D128&lt;'PlayerGrades+'!$AA$8,"B",IF(D128&lt;'PlayerGrades+'!$AA$7,"B+",IF(D128&lt;'PlayerGrades+'!$AA$6,"A-",IF(D128&lt;'PlayerGrades+'!$AA$5,"A",IF(D128&lt;'PlayerGrades+'!$AA$4,"A+",IF(D128&lt;'PlayerGrades+'!$AA$3,"S-",IF(D128&lt;'PlayerGrades+'!$AA$2,"S","S+"))))))))))))))))))))</f>
        <v>#DIV/0!</v>
      </c>
      <c r="F128" s="961" t="str">
        <f t="shared" si="2"/>
        <v>#DIV/0!</v>
      </c>
      <c r="G128" s="961" t="str">
        <f>IF(F128&lt;'PlayerGrades+'!$AB$21,"F-",IF(F128&lt;'PlayerGrades+'!$AB$20,"F",IF(F128&lt;'PlayerGrades+'!$AB$19,"F+",IF(F128&lt;'PlayerGrades+'!$AB$18,"E-",IF(F128&lt;'PlayerGrades+'!$AB$17,"E",IF(F128&lt;'PlayerGrades+'!$AB$16,"E+",IF(F128&lt;'PlayerGrades+'!$AB$15,"D-",IF(F128&lt;'PlayerGrades+'!$AB$14,"D",IF(F128&lt;'PlayerGrades+'!$AB$13,"D+",IF(F128&lt;'PlayerGrades+'!$AB$12,"C-",IF(F128&lt;'PlayerGrades+'!$AB$11,"C",IF(F128&lt;'PlayerGrades+'!$AB$10,"C+",IF(F128&lt;'PlayerGrades+'!$AB$9,"B-",IF(F128&lt;'PlayerGrades+'!$AB$8,"B",IF(F128&lt;'PlayerGrades+'!$AB$7,"B+",IF(F128&lt;'PlayerGrades+'!$AB$6,"A-",IF(F128&lt;'PlayerGrades+'!$AB$5,"A",IF(F128&lt;'PlayerGrades+'!$AB$4,"A+",IF(F128&lt;'PlayerGrades+'!$AB$3,"S-",IF(F128&lt;'PlayerGrades+'!$AB$2,"S","S+"))))))))))))))))))))</f>
        <v>#DIV/0!</v>
      </c>
      <c r="H128" s="961" t="str">
        <f t="shared" si="3"/>
        <v>#DIV/0!</v>
      </c>
      <c r="I128" s="961" t="str">
        <f>IF(H128&lt;'PlayerGrades+'!$AC$21,"F-",IF(H128&lt;'PlayerGrades+'!$AC$20,"F",IF(H128&lt;'PlayerGrades+'!$AC$19,"F+",IF(H128&lt;'PlayerGrades+'!$AC$18,"E-",IF(H128&lt;'PlayerGrades+'!$AC$17,"E",IF(H128&lt;'PlayerGrades+'!$AC$16,"E+",IF(H128&lt;'PlayerGrades+'!$AC$15,"D-",IF(H128&lt;'PlayerGrades+'!$AC$14,"D",IF(H128&lt;'PlayerGrades+'!$AC$13,"D+",IF(H128&lt;'PlayerGrades+'!$AC$12,"C-",IF(H128&lt;'PlayerGrades+'!$AC$11,"C",IF(H128&lt;'PlayerGrades+'!$AC$10,"C+",IF(H128&lt;'PlayerGrades+'!$AC$9,"B-",IF(H128&lt;'PlayerGrades+'!$AC$8,"B",IF(H128&lt;'PlayerGrades+'!$AC$7,"B+",IF(H128&lt;'PlayerGrades+'!$AC$6,"A-",IF(H128&lt;'PlayerGrades+'!$AC$5,"A",IF(H128&lt;'PlayerGrades+'!$AC$4,"A+",IF(H128&lt;'PlayerGrades+'!$AC$3,"S-",IF(H128&lt;'PlayerGrades+'!$AC$2,"S","S+"))))))))))))))))))))</f>
        <v>#DIV/0!</v>
      </c>
      <c r="J128" s="961" t="str">
        <f t="shared" si="4"/>
        <v>#DIV/0!</v>
      </c>
      <c r="K128" s="961" t="str">
        <f>IF(J128&lt;'PlayerGrades+'!$AD$21,"F-",IF(J128&lt;'PlayerGrades+'!$AD$20,"F",IF(J128&lt;'PlayerGrades+'!$AD$19,"F+",IF(J128&lt;'PlayerGrades+'!$AD$18,"E-",IF(J128&lt;'PlayerGrades+'!$AD$17,"E",IF(J128&lt;'PlayerGrades+'!$AD$16,"E+",IF(J128&lt;'PlayerGrades+'!$AD$15,"D-",IF(J128&lt;'PlayerGrades+'!$AD$14,"D",IF(J128&lt;'PlayerGrades+'!$AD$13,"D+",IF(J128&lt;'PlayerGrades+'!$AD$12,"C-",IF(J128&lt;'PlayerGrades+'!$AD$11,"C",IF(J128&lt;'PlayerGrades+'!$AD$10,"C+",IF(J128&lt;'PlayerGrades+'!$AD$9,"B-",IF(J128&lt;'PlayerGrades+'!$AD$8,"B",IF(J128&lt;'PlayerGrades+'!$AD$7,"B+",IF(J128&lt;'PlayerGrades+'!$AD$6,"A-",IF(J128&lt;'PlayerGrades+'!$AD$5,"A",IF(J128&lt;'PlayerGrades+'!$AD$4,"A+",IF(J128&lt;'PlayerGrades+'!$AD$3,"S-",IF(J128&lt;'PlayerGrades+'!$AD$2,"S","S+"))))))))))))))))))))</f>
        <v>#DIV/0!</v>
      </c>
      <c r="L128" s="1176" t="str">
        <f t="shared" si="5"/>
        <v>#DIV/0!</v>
      </c>
      <c r="M128" s="992" t="str">
        <f>IF(L128&lt;'PlayerGrades+'!$AE$21,"F-",IF(L128&lt;'PlayerGrades+'!$AE$20,"F",IF(L128&lt;'PlayerGrades+'!$AE$19,"F+",IF(L128&lt;'PlayerGrades+'!$AE$18,"E-",IF(L128&lt;'PlayerGrades+'!$AE$17,"E",IF(L128&lt;'PlayerGrades+'!$AE$16,"E+",IF(L128&lt;'PlayerGrades+'!$AE$15,"D-",IF(L128&lt;'PlayerGrades+'!$AE$14,"D",IF(L128&lt;'PlayerGrades+'!$AE$13,"D+",IF(L128&lt;'PlayerGrades+'!$AE$12,"C-",IF(L128&lt;'PlayerGrades+'!$AE$11,"C",IF(L128&lt;'PlayerGrades+'!$AE$10,"C+",IF(L128&lt;'PlayerGrades+'!$AE$9,"B-",IF(L128&lt;'PlayerGrades+'!$AE$8,"B",IF(L128&lt;'PlayerGrades+'!$AE$7,"B+",IF(L128&lt;'PlayerGrades+'!$AE$6,"A-",IF(L128&lt;'PlayerGrades+'!$AE$5,"A",IF(L128&lt;'PlayerGrades+'!$AE$4,"A+",IF(L128&lt;'PlayerGrades+'!$AE$3,"S-",IF(L128&lt;'PlayerGrades+'!$AE$2,"S","S+"))))))))))))))))))))</f>
        <v>#DIV/0!</v>
      </c>
      <c r="N128" s="961" t="str">
        <f t="shared" si="6"/>
        <v>#DIV/0!</v>
      </c>
      <c r="O128" s="961" t="str">
        <f>IF(N128&lt;'PlayerGrades+'!$AF$21,"F-",IF(N128&lt;'PlayerGrades+'!$AF$20,"F",IF(N128&lt;'PlayerGrades+'!$AF$19,"F+",IF(N128&lt;'PlayerGrades+'!$AF$18,"E-",IF(N128&lt;'PlayerGrades+'!$AF$17,"E",IF(N128&lt;'PlayerGrades+'!$AF$16,"E+",IF(N128&lt;'PlayerGrades+'!$AF$15,"D-",IF(N128&lt;'PlayerGrades+'!$AF$14,"D",IF(N128&lt;'PlayerGrades+'!$AF$13,"D+",IF(N128&lt;'PlayerGrades+'!$AF$12,"C-",IF(N128&lt;'PlayerGrades+'!$AF$11,"C",IF(N128&lt;'PlayerGrades+'!$AF$10,"C+",IF(N128&lt;'PlayerGrades+'!$AF$9,"B-",IF(N128&lt;'PlayerGrades+'!$AF$8,"B",IF(N128&lt;'PlayerGrades+'!$AF$7,"B+",IF(N128&lt;'PlayerGrades+'!$AF$6,"A-",IF(N128&lt;'PlayerGrades+'!$AF$5,"A",IF(N128&lt;'PlayerGrades+'!$AF$4,"A+",IF(N128&lt;'PlayerGrades+'!$AF$3,"S-",IF(N128&lt;'PlayerGrades+'!$AF$2,"S","S+"))))))))))))))))))))</f>
        <v>#DIV/0!</v>
      </c>
      <c r="P128" s="961" t="str">
        <f t="shared" si="7"/>
        <v>#DIV/0!</v>
      </c>
      <c r="Q128" s="961" t="str">
        <f>IF(P128&lt;'PlayerGrades+'!$AG$21,"F-",IF(P128&lt;'PlayerGrades+'!$AG$20,"F",IF(P128&lt;'PlayerGrades+'!$AG$19,"F+",IF(P128&lt;'PlayerGrades+'!$AG$18,"E-",IF(P128&lt;'PlayerGrades+'!$AG$17,"E",IF(P128&lt;'PlayerGrades+'!$AG$16,"E+",IF(P128&lt;'PlayerGrades+'!$AG$15,"D-",IF(P128&lt;'PlayerGrades+'!$AG$14,"D",IF(P128&lt;'PlayerGrades+'!$AG$13,"D+",IF(P128&lt;'PlayerGrades+'!$AG$12,"C-",IF(P128&lt;'PlayerGrades+'!$AG$11,"C",IF(P128&lt;'PlayerGrades+'!$AG$10,"C+",IF(P128&lt;'PlayerGrades+'!$AG$9,"B-",IF(P128&lt;'PlayerGrades+'!$AG$8,"B",IF(P128&lt;'PlayerGrades+'!$AG$7,"B+",IF(P128&lt;'PlayerGrades+'!$AG$6,"A-",IF(P128&lt;'PlayerGrades+'!$AG$5,"A",IF(P128&lt;'PlayerGrades+'!$AG$4,"A+",IF(P128&lt;'PlayerGrades+'!$AG$3,"S-",IF(P128&lt;'PlayerGrades+'!$AG$2,"S","S+"))))))))))))))))))))</f>
        <v>#DIV/0!</v>
      </c>
      <c r="R128" s="961" t="str">
        <f t="shared" si="8"/>
        <v>#DIV/0!</v>
      </c>
      <c r="S128" s="961" t="str">
        <f>IF(R128&lt;'PlayerGrades+'!$AH$21,"F-",IF(R128&lt;'PlayerGrades+'!$AH$20,"F",IF(R128&lt;'PlayerGrades+'!$AH$19,"F+",IF(R128&lt;'PlayerGrades+'!$AH$18,"E-",IF(R128&lt;'PlayerGrades+'!$AH$17,"E",IF(R128&lt;'PlayerGrades+'!$AH$16,"E+",IF(R128&lt;'PlayerGrades+'!$AH$15,"D-",IF(R128&lt;'PlayerGrades+'!$AH$14,"D",IF(R128&lt;'PlayerGrades+'!$AH$13,"D+",IF(R128&lt;'PlayerGrades+'!$AH$12,"C-",IF(R128&lt;'PlayerGrades+'!$AH$11,"C",IF(R128&lt;'PlayerGrades+'!$AH$10,"C+",IF(R128&lt;'PlayerGrades+'!$AH$9,"B-",IF(R128&lt;'PlayerGrades+'!$AH$8,"B",IF(R128&lt;'PlayerGrades+'!$AH$7,"B+",IF(R128&lt;'PlayerGrades+'!$AH$6,"A-",IF(R128&lt;'PlayerGrades+'!$AH$5,"A",IF(R128&lt;'PlayerGrades+'!$AH$4,"A+",IF(R128&lt;'PlayerGrades+'!$AH$3,"S-",IF(R128&lt;'PlayerGrades+'!$AH$2,"S","S+"))))))))))))))))))))</f>
        <v>#DIV/0!</v>
      </c>
      <c r="T128" s="961">
        <f t="shared" si="9"/>
        <v>0</v>
      </c>
      <c r="U128" s="961" t="str">
        <f>IF(T128&lt;'PlayerGrades+'!$AI$21,"F-",IF(T128&lt;'PlayerGrades+'!$AI$20,"F",IF(T128&lt;'PlayerGrades+'!$AI$19,"F+",IF(T128&lt;'PlayerGrades+'!$AI$18,"E-",IF(T128&lt;'PlayerGrades+'!$AI$17,"E",IF(T128&lt;'PlayerGrades+'!$AI$16,"E+",IF(T128&lt;'PlayerGrades+'!$AI$15,"D-",IF(T128&lt;'PlayerGrades+'!$AI$14,"D",IF(T128&lt;'PlayerGrades+'!$AI$13,"D+",IF(T128&lt;'PlayerGrades+'!$AI$12,"C-",IF(T128&lt;'PlayerGrades+'!$AI$11,"C",IF(T128&lt;'PlayerGrades+'!$AI$10,"C+",IF(T128&lt;'PlayerGrades+'!$AI$9,"B-",IF(T128&lt;'PlayerGrades+'!$AI$8,"B",IF(T128&lt;'PlayerGrades+'!$AI$7,"B+",IF(T128&lt;'PlayerGrades+'!$AI$6,"A-",IF(T128&lt;'PlayerGrades+'!$AI$5,"A",IF(T128&lt;'PlayerGrades+'!$AI$4,"A+",IF(T128&lt;'PlayerGrades+'!$AI$3,"S-",IF(T128&lt;'PlayerGrades+'!$AI$2,"S","S+"))))))))))))))))))))</f>
        <v>F-</v>
      </c>
      <c r="AC128" s="1392"/>
    </row>
    <row r="129">
      <c r="A129" s="1393"/>
      <c r="B129" s="611" t="str">
        <f>IF(C129&lt;'PlayerGrades+'!$Y$44,"F-",IF(C129&lt;'PlayerGrades+'!$Y$43,"F",IF(C129&lt;'PlayerGrades+'!$Y$42,"F+",IF(C129&lt;'PlayerGrades+'!$Y$41,"E-",IF(C129&lt;'PlayerGrades+'!$Y$40,"E",IF(C129&lt;'PlayerGrades+'!$Y$39,"E+",IF(C129&lt;'PlayerGrades+'!$Y$38,"D-",IF(C129&lt;'PlayerGrades+'!$Y$37,"D",IF(C129&lt;'PlayerGrades+'!$Y$36,"D+",IF(C129&lt;'PlayerGrades+'!$Y$35,"C-",IF(C129&lt;'PlayerGrades+'!$Y$34,"C",IF(C129&lt;'PlayerGrades+'!$Y$33,"C+",IF(C129&lt;'PlayerGrades+'!$Y$32,"B-",IF(C129&lt;'PlayerGrades+'!$Y$31,"B",IF(C129&lt;'PlayerGrades+'!$Y$30,"B+",IF(C129&lt;'PlayerGrades+'!$Y$29,"A-",IF(C129&lt;'PlayerGrades+'!$Y$28,"A",IF(C129&lt;'PlayerGrades+'!$Y$27,"A+",IF(C129&lt;'PlayerGrades+'!$Y$26,"S-",IF(C129&lt;'PlayerGrades+'!$Y$25,"S","S+"))))))))))))))))))))</f>
        <v>#DIV/0!</v>
      </c>
      <c r="C129" s="1378" t="str">
        <f>('PlayerGrades+'!$Y$47*(VLOOKUP(E129, 'PlayerGrades+'!$X$3:$Y$23, 2, FALSE)))+('PlayerGrades+'!$Y$48*(VLOOKUP(G129, 'PlayerGrades+'!$X$3:$Y$23, 2, FALSE)))+('PlayerGrades+'!$Y$49*(VLOOKUP(I129, 'PlayerGrades+'!$X$3:$Y$23, 2, FALSE)))+('PlayerGrades+'!$Y$50*(VLOOKUP(K129, 'PlayerGrades+'!$X$3:$Y$23, 2, FALSE)))+('PlayerGrades+'!$Y$51*(VLOOKUP(M129, 'PlayerGrades+'!$X$3:$Y$23, 2, FALSE)))+('PlayerGrades+'!$Y$52*(VLOOKUP(O129, 'PlayerGrades+'!$X$3:$Y$23, 2, FALSE)))+('PlayerGrades+'!$Y$53*(VLOOKUP(Q129, 'PlayerGrades+'!$X$3:$Y$23, 2, FALSE)))+('PlayerGrades+'!$Y$54*(VLOOKUP(S129, 'PlayerGrades+'!$X$3:$Y$23, 2, FALSE)))+('PlayerGrades+'!$Y$55*(VLOOKUP(U129, 'PlayerGrades+'!$X$3:$Y$23, 2, FALSE)))</f>
        <v>#DIV/0!</v>
      </c>
      <c r="D129" s="961" t="str">
        <f t="shared" si="1"/>
        <v>#DIV/0!</v>
      </c>
      <c r="E129" s="961" t="str">
        <f>IF(D129&lt;'PlayerGrades+'!$AA$21,"F-",IF(D129&lt;'PlayerGrades+'!$AA$20,"F",IF(D129&lt;'PlayerGrades+'!$AA$19,"F+",IF(D129&lt;'PlayerGrades+'!$AA$18,"E-",IF(D129&lt;'PlayerGrades+'!$AA$17,"E",IF(D129&lt;'PlayerGrades+'!$AA$16,"E+",IF(D129&lt;'PlayerGrades+'!$AA$15,"D-",IF(D129&lt;'PlayerGrades+'!$AA$14,"D",IF(D129&lt;'PlayerGrades+'!$AA$13,"D+",IF(D129&lt;'PlayerGrades+'!$AA$12,"C-",IF(D129&lt;'PlayerGrades+'!$AA$11,"C",IF(D129&lt;'PlayerGrades+'!$AA$10,"C+",IF(D129&lt;'PlayerGrades+'!$AA$9,"B-",IF(D129&lt;'PlayerGrades+'!$AA$8,"B",IF(D129&lt;'PlayerGrades+'!$AA$7,"B+",IF(D129&lt;'PlayerGrades+'!$AA$6,"A-",IF(D129&lt;'PlayerGrades+'!$AA$5,"A",IF(D129&lt;'PlayerGrades+'!$AA$4,"A+",IF(D129&lt;'PlayerGrades+'!$AA$3,"S-",IF(D129&lt;'PlayerGrades+'!$AA$2,"S","S+"))))))))))))))))))))</f>
        <v>#DIV/0!</v>
      </c>
      <c r="F129" s="961" t="str">
        <f t="shared" si="2"/>
        <v>#DIV/0!</v>
      </c>
      <c r="G129" s="961" t="str">
        <f>IF(F129&lt;'PlayerGrades+'!$AB$21,"F-",IF(F129&lt;'PlayerGrades+'!$AB$20,"F",IF(F129&lt;'PlayerGrades+'!$AB$19,"F+",IF(F129&lt;'PlayerGrades+'!$AB$18,"E-",IF(F129&lt;'PlayerGrades+'!$AB$17,"E",IF(F129&lt;'PlayerGrades+'!$AB$16,"E+",IF(F129&lt;'PlayerGrades+'!$AB$15,"D-",IF(F129&lt;'PlayerGrades+'!$AB$14,"D",IF(F129&lt;'PlayerGrades+'!$AB$13,"D+",IF(F129&lt;'PlayerGrades+'!$AB$12,"C-",IF(F129&lt;'PlayerGrades+'!$AB$11,"C",IF(F129&lt;'PlayerGrades+'!$AB$10,"C+",IF(F129&lt;'PlayerGrades+'!$AB$9,"B-",IF(F129&lt;'PlayerGrades+'!$AB$8,"B",IF(F129&lt;'PlayerGrades+'!$AB$7,"B+",IF(F129&lt;'PlayerGrades+'!$AB$6,"A-",IF(F129&lt;'PlayerGrades+'!$AB$5,"A",IF(F129&lt;'PlayerGrades+'!$AB$4,"A+",IF(F129&lt;'PlayerGrades+'!$AB$3,"S-",IF(F129&lt;'PlayerGrades+'!$AB$2,"S","S+"))))))))))))))))))))</f>
        <v>#DIV/0!</v>
      </c>
      <c r="H129" s="961" t="str">
        <f t="shared" si="3"/>
        <v>#DIV/0!</v>
      </c>
      <c r="I129" s="961" t="str">
        <f>IF(H129&lt;'PlayerGrades+'!$AC$21,"F-",IF(H129&lt;'PlayerGrades+'!$AC$20,"F",IF(H129&lt;'PlayerGrades+'!$AC$19,"F+",IF(H129&lt;'PlayerGrades+'!$AC$18,"E-",IF(H129&lt;'PlayerGrades+'!$AC$17,"E",IF(H129&lt;'PlayerGrades+'!$AC$16,"E+",IF(H129&lt;'PlayerGrades+'!$AC$15,"D-",IF(H129&lt;'PlayerGrades+'!$AC$14,"D",IF(H129&lt;'PlayerGrades+'!$AC$13,"D+",IF(H129&lt;'PlayerGrades+'!$AC$12,"C-",IF(H129&lt;'PlayerGrades+'!$AC$11,"C",IF(H129&lt;'PlayerGrades+'!$AC$10,"C+",IF(H129&lt;'PlayerGrades+'!$AC$9,"B-",IF(H129&lt;'PlayerGrades+'!$AC$8,"B",IF(H129&lt;'PlayerGrades+'!$AC$7,"B+",IF(H129&lt;'PlayerGrades+'!$AC$6,"A-",IF(H129&lt;'PlayerGrades+'!$AC$5,"A",IF(H129&lt;'PlayerGrades+'!$AC$4,"A+",IF(H129&lt;'PlayerGrades+'!$AC$3,"S-",IF(H129&lt;'PlayerGrades+'!$AC$2,"S","S+"))))))))))))))))))))</f>
        <v>#DIV/0!</v>
      </c>
      <c r="J129" s="961" t="str">
        <f t="shared" si="4"/>
        <v>#DIV/0!</v>
      </c>
      <c r="K129" s="961" t="str">
        <f>IF(J129&lt;'PlayerGrades+'!$AD$21,"F-",IF(J129&lt;'PlayerGrades+'!$AD$20,"F",IF(J129&lt;'PlayerGrades+'!$AD$19,"F+",IF(J129&lt;'PlayerGrades+'!$AD$18,"E-",IF(J129&lt;'PlayerGrades+'!$AD$17,"E",IF(J129&lt;'PlayerGrades+'!$AD$16,"E+",IF(J129&lt;'PlayerGrades+'!$AD$15,"D-",IF(J129&lt;'PlayerGrades+'!$AD$14,"D",IF(J129&lt;'PlayerGrades+'!$AD$13,"D+",IF(J129&lt;'PlayerGrades+'!$AD$12,"C-",IF(J129&lt;'PlayerGrades+'!$AD$11,"C",IF(J129&lt;'PlayerGrades+'!$AD$10,"C+",IF(J129&lt;'PlayerGrades+'!$AD$9,"B-",IF(J129&lt;'PlayerGrades+'!$AD$8,"B",IF(J129&lt;'PlayerGrades+'!$AD$7,"B+",IF(J129&lt;'PlayerGrades+'!$AD$6,"A-",IF(J129&lt;'PlayerGrades+'!$AD$5,"A",IF(J129&lt;'PlayerGrades+'!$AD$4,"A+",IF(J129&lt;'PlayerGrades+'!$AD$3,"S-",IF(J129&lt;'PlayerGrades+'!$AD$2,"S","S+"))))))))))))))))))))</f>
        <v>#DIV/0!</v>
      </c>
      <c r="L129" s="1176" t="str">
        <f t="shared" si="5"/>
        <v>#DIV/0!</v>
      </c>
      <c r="M129" s="992" t="str">
        <f>IF(L129&lt;'PlayerGrades+'!$AE$21,"F-",IF(L129&lt;'PlayerGrades+'!$AE$20,"F",IF(L129&lt;'PlayerGrades+'!$AE$19,"F+",IF(L129&lt;'PlayerGrades+'!$AE$18,"E-",IF(L129&lt;'PlayerGrades+'!$AE$17,"E",IF(L129&lt;'PlayerGrades+'!$AE$16,"E+",IF(L129&lt;'PlayerGrades+'!$AE$15,"D-",IF(L129&lt;'PlayerGrades+'!$AE$14,"D",IF(L129&lt;'PlayerGrades+'!$AE$13,"D+",IF(L129&lt;'PlayerGrades+'!$AE$12,"C-",IF(L129&lt;'PlayerGrades+'!$AE$11,"C",IF(L129&lt;'PlayerGrades+'!$AE$10,"C+",IF(L129&lt;'PlayerGrades+'!$AE$9,"B-",IF(L129&lt;'PlayerGrades+'!$AE$8,"B",IF(L129&lt;'PlayerGrades+'!$AE$7,"B+",IF(L129&lt;'PlayerGrades+'!$AE$6,"A-",IF(L129&lt;'PlayerGrades+'!$AE$5,"A",IF(L129&lt;'PlayerGrades+'!$AE$4,"A+",IF(L129&lt;'PlayerGrades+'!$AE$3,"S-",IF(L129&lt;'PlayerGrades+'!$AE$2,"S","S+"))))))))))))))))))))</f>
        <v>#DIV/0!</v>
      </c>
      <c r="N129" s="961" t="str">
        <f t="shared" si="6"/>
        <v>#DIV/0!</v>
      </c>
      <c r="O129" s="961" t="str">
        <f>IF(N129&lt;'PlayerGrades+'!$AF$21,"F-",IF(N129&lt;'PlayerGrades+'!$AF$20,"F",IF(N129&lt;'PlayerGrades+'!$AF$19,"F+",IF(N129&lt;'PlayerGrades+'!$AF$18,"E-",IF(N129&lt;'PlayerGrades+'!$AF$17,"E",IF(N129&lt;'PlayerGrades+'!$AF$16,"E+",IF(N129&lt;'PlayerGrades+'!$AF$15,"D-",IF(N129&lt;'PlayerGrades+'!$AF$14,"D",IF(N129&lt;'PlayerGrades+'!$AF$13,"D+",IF(N129&lt;'PlayerGrades+'!$AF$12,"C-",IF(N129&lt;'PlayerGrades+'!$AF$11,"C",IF(N129&lt;'PlayerGrades+'!$AF$10,"C+",IF(N129&lt;'PlayerGrades+'!$AF$9,"B-",IF(N129&lt;'PlayerGrades+'!$AF$8,"B",IF(N129&lt;'PlayerGrades+'!$AF$7,"B+",IF(N129&lt;'PlayerGrades+'!$AF$6,"A-",IF(N129&lt;'PlayerGrades+'!$AF$5,"A",IF(N129&lt;'PlayerGrades+'!$AF$4,"A+",IF(N129&lt;'PlayerGrades+'!$AF$3,"S-",IF(N129&lt;'PlayerGrades+'!$AF$2,"S","S+"))))))))))))))))))))</f>
        <v>#DIV/0!</v>
      </c>
      <c r="P129" s="961" t="str">
        <f t="shared" si="7"/>
        <v>#DIV/0!</v>
      </c>
      <c r="Q129" s="961" t="str">
        <f>IF(P129&lt;'PlayerGrades+'!$AG$21,"F-",IF(P129&lt;'PlayerGrades+'!$AG$20,"F",IF(P129&lt;'PlayerGrades+'!$AG$19,"F+",IF(P129&lt;'PlayerGrades+'!$AG$18,"E-",IF(P129&lt;'PlayerGrades+'!$AG$17,"E",IF(P129&lt;'PlayerGrades+'!$AG$16,"E+",IF(P129&lt;'PlayerGrades+'!$AG$15,"D-",IF(P129&lt;'PlayerGrades+'!$AG$14,"D",IF(P129&lt;'PlayerGrades+'!$AG$13,"D+",IF(P129&lt;'PlayerGrades+'!$AG$12,"C-",IF(P129&lt;'PlayerGrades+'!$AG$11,"C",IF(P129&lt;'PlayerGrades+'!$AG$10,"C+",IF(P129&lt;'PlayerGrades+'!$AG$9,"B-",IF(P129&lt;'PlayerGrades+'!$AG$8,"B",IF(P129&lt;'PlayerGrades+'!$AG$7,"B+",IF(P129&lt;'PlayerGrades+'!$AG$6,"A-",IF(P129&lt;'PlayerGrades+'!$AG$5,"A",IF(P129&lt;'PlayerGrades+'!$AG$4,"A+",IF(P129&lt;'PlayerGrades+'!$AG$3,"S-",IF(P129&lt;'PlayerGrades+'!$AG$2,"S","S+"))))))))))))))))))))</f>
        <v>#DIV/0!</v>
      </c>
      <c r="R129" s="961" t="str">
        <f t="shared" si="8"/>
        <v>#DIV/0!</v>
      </c>
      <c r="S129" s="961" t="str">
        <f>IF(R129&lt;'PlayerGrades+'!$AH$21,"F-",IF(R129&lt;'PlayerGrades+'!$AH$20,"F",IF(R129&lt;'PlayerGrades+'!$AH$19,"F+",IF(R129&lt;'PlayerGrades+'!$AH$18,"E-",IF(R129&lt;'PlayerGrades+'!$AH$17,"E",IF(R129&lt;'PlayerGrades+'!$AH$16,"E+",IF(R129&lt;'PlayerGrades+'!$AH$15,"D-",IF(R129&lt;'PlayerGrades+'!$AH$14,"D",IF(R129&lt;'PlayerGrades+'!$AH$13,"D+",IF(R129&lt;'PlayerGrades+'!$AH$12,"C-",IF(R129&lt;'PlayerGrades+'!$AH$11,"C",IF(R129&lt;'PlayerGrades+'!$AH$10,"C+",IF(R129&lt;'PlayerGrades+'!$AH$9,"B-",IF(R129&lt;'PlayerGrades+'!$AH$8,"B",IF(R129&lt;'PlayerGrades+'!$AH$7,"B+",IF(R129&lt;'PlayerGrades+'!$AH$6,"A-",IF(R129&lt;'PlayerGrades+'!$AH$5,"A",IF(R129&lt;'PlayerGrades+'!$AH$4,"A+",IF(R129&lt;'PlayerGrades+'!$AH$3,"S-",IF(R129&lt;'PlayerGrades+'!$AH$2,"S","S+"))))))))))))))))))))</f>
        <v>#DIV/0!</v>
      </c>
      <c r="T129" s="961">
        <f t="shared" si="9"/>
        <v>0</v>
      </c>
      <c r="U129" s="961" t="str">
        <f>IF(T129&lt;'PlayerGrades+'!$AI$21,"F-",IF(T129&lt;'PlayerGrades+'!$AI$20,"F",IF(T129&lt;'PlayerGrades+'!$AI$19,"F+",IF(T129&lt;'PlayerGrades+'!$AI$18,"E-",IF(T129&lt;'PlayerGrades+'!$AI$17,"E",IF(T129&lt;'PlayerGrades+'!$AI$16,"E+",IF(T129&lt;'PlayerGrades+'!$AI$15,"D-",IF(T129&lt;'PlayerGrades+'!$AI$14,"D",IF(T129&lt;'PlayerGrades+'!$AI$13,"D+",IF(T129&lt;'PlayerGrades+'!$AI$12,"C-",IF(T129&lt;'PlayerGrades+'!$AI$11,"C",IF(T129&lt;'PlayerGrades+'!$AI$10,"C+",IF(T129&lt;'PlayerGrades+'!$AI$9,"B-",IF(T129&lt;'PlayerGrades+'!$AI$8,"B",IF(T129&lt;'PlayerGrades+'!$AI$7,"B+",IF(T129&lt;'PlayerGrades+'!$AI$6,"A-",IF(T129&lt;'PlayerGrades+'!$AI$5,"A",IF(T129&lt;'PlayerGrades+'!$AI$4,"A+",IF(T129&lt;'PlayerGrades+'!$AI$3,"S-",IF(T129&lt;'PlayerGrades+'!$AI$2,"S","S+"))))))))))))))))))))</f>
        <v>F-</v>
      </c>
      <c r="V129" s="1386"/>
      <c r="W129" s="1386"/>
      <c r="X129" s="1386"/>
      <c r="Y129" s="1386"/>
      <c r="Z129" s="1386"/>
      <c r="AA129" s="1386"/>
      <c r="AB129" s="1386"/>
      <c r="AC129" s="1397"/>
      <c r="AD129" s="1386"/>
      <c r="AE129" s="1386"/>
      <c r="AF129" s="1386"/>
      <c r="AG129" s="1386"/>
      <c r="AH129" s="1386"/>
      <c r="AI129" s="1386"/>
      <c r="AJ129" s="1386"/>
      <c r="AK129" s="1386"/>
      <c r="AL129" s="1386"/>
      <c r="AM129" s="1386"/>
      <c r="AN129" s="1386"/>
      <c r="AO129" s="1386"/>
      <c r="AP129" s="1386"/>
      <c r="AQ129" s="1386"/>
      <c r="AR129" s="1386"/>
      <c r="AS129" s="1386"/>
      <c r="AT129" s="1386"/>
      <c r="AU129" s="1386"/>
      <c r="AV129" s="1386"/>
      <c r="AW129" s="1386"/>
      <c r="AX129" s="1386"/>
      <c r="AY129" s="1386"/>
      <c r="AZ129" s="1386"/>
    </row>
    <row r="130">
      <c r="A130" s="1389"/>
      <c r="B130" s="611" t="str">
        <f>IF(C130&lt;'PlayerGrades+'!$Y$44,"F-",IF(C130&lt;'PlayerGrades+'!$Y$43,"F",IF(C130&lt;'PlayerGrades+'!$Y$42,"F+",IF(C130&lt;'PlayerGrades+'!$Y$41,"E-",IF(C130&lt;'PlayerGrades+'!$Y$40,"E",IF(C130&lt;'PlayerGrades+'!$Y$39,"E+",IF(C130&lt;'PlayerGrades+'!$Y$38,"D-",IF(C130&lt;'PlayerGrades+'!$Y$37,"D",IF(C130&lt;'PlayerGrades+'!$Y$36,"D+",IF(C130&lt;'PlayerGrades+'!$Y$35,"C-",IF(C130&lt;'PlayerGrades+'!$Y$34,"C",IF(C130&lt;'PlayerGrades+'!$Y$33,"C+",IF(C130&lt;'PlayerGrades+'!$Y$32,"B-",IF(C130&lt;'PlayerGrades+'!$Y$31,"B",IF(C130&lt;'PlayerGrades+'!$Y$30,"B+",IF(C130&lt;'PlayerGrades+'!$Y$29,"A-",IF(C130&lt;'PlayerGrades+'!$Y$28,"A",IF(C130&lt;'PlayerGrades+'!$Y$27,"A+",IF(C130&lt;'PlayerGrades+'!$Y$26,"S-",IF(C130&lt;'PlayerGrades+'!$Y$25,"S","S+"))))))))))))))))))))</f>
        <v>#DIV/0!</v>
      </c>
      <c r="C130" s="1378" t="str">
        <f>('PlayerGrades+'!$Y$47*(VLOOKUP(E130, 'PlayerGrades+'!$X$3:$Y$23, 2, FALSE)))+('PlayerGrades+'!$Y$48*(VLOOKUP(G130, 'PlayerGrades+'!$X$3:$Y$23, 2, FALSE)))+('PlayerGrades+'!$Y$49*(VLOOKUP(I130, 'PlayerGrades+'!$X$3:$Y$23, 2, FALSE)))+('PlayerGrades+'!$Y$50*(VLOOKUP(K130, 'PlayerGrades+'!$X$3:$Y$23, 2, FALSE)))+('PlayerGrades+'!$Y$51*(VLOOKUP(M130, 'PlayerGrades+'!$X$3:$Y$23, 2, FALSE)))+('PlayerGrades+'!$Y$52*(VLOOKUP(O130, 'PlayerGrades+'!$X$3:$Y$23, 2, FALSE)))+('PlayerGrades+'!$Y$53*(VLOOKUP(Q130, 'PlayerGrades+'!$X$3:$Y$23, 2, FALSE)))+('PlayerGrades+'!$Y$54*(VLOOKUP(S130, 'PlayerGrades+'!$X$3:$Y$23, 2, FALSE)))+('PlayerGrades+'!$Y$55*(VLOOKUP(U130, 'PlayerGrades+'!$X$3:$Y$23, 2, FALSE)))</f>
        <v>#DIV/0!</v>
      </c>
      <c r="D130" s="961" t="str">
        <f t="shared" si="1"/>
        <v>#DIV/0!</v>
      </c>
      <c r="E130" s="961" t="str">
        <f>IF(D130&lt;'PlayerGrades+'!$AA$21,"F-",IF(D130&lt;'PlayerGrades+'!$AA$20,"F",IF(D130&lt;'PlayerGrades+'!$AA$19,"F+",IF(D130&lt;'PlayerGrades+'!$AA$18,"E-",IF(D130&lt;'PlayerGrades+'!$AA$17,"E",IF(D130&lt;'PlayerGrades+'!$AA$16,"E+",IF(D130&lt;'PlayerGrades+'!$AA$15,"D-",IF(D130&lt;'PlayerGrades+'!$AA$14,"D",IF(D130&lt;'PlayerGrades+'!$AA$13,"D+",IF(D130&lt;'PlayerGrades+'!$AA$12,"C-",IF(D130&lt;'PlayerGrades+'!$AA$11,"C",IF(D130&lt;'PlayerGrades+'!$AA$10,"C+",IF(D130&lt;'PlayerGrades+'!$AA$9,"B-",IF(D130&lt;'PlayerGrades+'!$AA$8,"B",IF(D130&lt;'PlayerGrades+'!$AA$7,"B+",IF(D130&lt;'PlayerGrades+'!$AA$6,"A-",IF(D130&lt;'PlayerGrades+'!$AA$5,"A",IF(D130&lt;'PlayerGrades+'!$AA$4,"A+",IF(D130&lt;'PlayerGrades+'!$AA$3,"S-",IF(D130&lt;'PlayerGrades+'!$AA$2,"S","S+"))))))))))))))))))))</f>
        <v>#DIV/0!</v>
      </c>
      <c r="F130" s="961" t="str">
        <f t="shared" si="2"/>
        <v>#DIV/0!</v>
      </c>
      <c r="G130" s="961" t="str">
        <f>IF(F130&lt;'PlayerGrades+'!$AB$21,"F-",IF(F130&lt;'PlayerGrades+'!$AB$20,"F",IF(F130&lt;'PlayerGrades+'!$AB$19,"F+",IF(F130&lt;'PlayerGrades+'!$AB$18,"E-",IF(F130&lt;'PlayerGrades+'!$AB$17,"E",IF(F130&lt;'PlayerGrades+'!$AB$16,"E+",IF(F130&lt;'PlayerGrades+'!$AB$15,"D-",IF(F130&lt;'PlayerGrades+'!$AB$14,"D",IF(F130&lt;'PlayerGrades+'!$AB$13,"D+",IF(F130&lt;'PlayerGrades+'!$AB$12,"C-",IF(F130&lt;'PlayerGrades+'!$AB$11,"C",IF(F130&lt;'PlayerGrades+'!$AB$10,"C+",IF(F130&lt;'PlayerGrades+'!$AB$9,"B-",IF(F130&lt;'PlayerGrades+'!$AB$8,"B",IF(F130&lt;'PlayerGrades+'!$AB$7,"B+",IF(F130&lt;'PlayerGrades+'!$AB$6,"A-",IF(F130&lt;'PlayerGrades+'!$AB$5,"A",IF(F130&lt;'PlayerGrades+'!$AB$4,"A+",IF(F130&lt;'PlayerGrades+'!$AB$3,"S-",IF(F130&lt;'PlayerGrades+'!$AB$2,"S","S+"))))))))))))))))))))</f>
        <v>#DIV/0!</v>
      </c>
      <c r="H130" s="961" t="str">
        <f t="shared" si="3"/>
        <v>#DIV/0!</v>
      </c>
      <c r="I130" s="961" t="str">
        <f>IF(H130&lt;'PlayerGrades+'!$AC$21,"F-",IF(H130&lt;'PlayerGrades+'!$AC$20,"F",IF(H130&lt;'PlayerGrades+'!$AC$19,"F+",IF(H130&lt;'PlayerGrades+'!$AC$18,"E-",IF(H130&lt;'PlayerGrades+'!$AC$17,"E",IF(H130&lt;'PlayerGrades+'!$AC$16,"E+",IF(H130&lt;'PlayerGrades+'!$AC$15,"D-",IF(H130&lt;'PlayerGrades+'!$AC$14,"D",IF(H130&lt;'PlayerGrades+'!$AC$13,"D+",IF(H130&lt;'PlayerGrades+'!$AC$12,"C-",IF(H130&lt;'PlayerGrades+'!$AC$11,"C",IF(H130&lt;'PlayerGrades+'!$AC$10,"C+",IF(H130&lt;'PlayerGrades+'!$AC$9,"B-",IF(H130&lt;'PlayerGrades+'!$AC$8,"B",IF(H130&lt;'PlayerGrades+'!$AC$7,"B+",IF(H130&lt;'PlayerGrades+'!$AC$6,"A-",IF(H130&lt;'PlayerGrades+'!$AC$5,"A",IF(H130&lt;'PlayerGrades+'!$AC$4,"A+",IF(H130&lt;'PlayerGrades+'!$AC$3,"S-",IF(H130&lt;'PlayerGrades+'!$AC$2,"S","S+"))))))))))))))))))))</f>
        <v>#DIV/0!</v>
      </c>
      <c r="J130" s="961" t="str">
        <f t="shared" si="4"/>
        <v>#DIV/0!</v>
      </c>
      <c r="K130" s="961" t="str">
        <f>IF(J130&lt;'PlayerGrades+'!$AD$21,"F-",IF(J130&lt;'PlayerGrades+'!$AD$20,"F",IF(J130&lt;'PlayerGrades+'!$AD$19,"F+",IF(J130&lt;'PlayerGrades+'!$AD$18,"E-",IF(J130&lt;'PlayerGrades+'!$AD$17,"E",IF(J130&lt;'PlayerGrades+'!$AD$16,"E+",IF(J130&lt;'PlayerGrades+'!$AD$15,"D-",IF(J130&lt;'PlayerGrades+'!$AD$14,"D",IF(J130&lt;'PlayerGrades+'!$AD$13,"D+",IF(J130&lt;'PlayerGrades+'!$AD$12,"C-",IF(J130&lt;'PlayerGrades+'!$AD$11,"C",IF(J130&lt;'PlayerGrades+'!$AD$10,"C+",IF(J130&lt;'PlayerGrades+'!$AD$9,"B-",IF(J130&lt;'PlayerGrades+'!$AD$8,"B",IF(J130&lt;'PlayerGrades+'!$AD$7,"B+",IF(J130&lt;'PlayerGrades+'!$AD$6,"A-",IF(J130&lt;'PlayerGrades+'!$AD$5,"A",IF(J130&lt;'PlayerGrades+'!$AD$4,"A+",IF(J130&lt;'PlayerGrades+'!$AD$3,"S-",IF(J130&lt;'PlayerGrades+'!$AD$2,"S","S+"))))))))))))))))))))</f>
        <v>#DIV/0!</v>
      </c>
      <c r="L130" s="1176" t="str">
        <f t="shared" si="5"/>
        <v>#DIV/0!</v>
      </c>
      <c r="M130" s="992" t="str">
        <f>IF(L130&lt;'PlayerGrades+'!$AE$21,"F-",IF(L130&lt;'PlayerGrades+'!$AE$20,"F",IF(L130&lt;'PlayerGrades+'!$AE$19,"F+",IF(L130&lt;'PlayerGrades+'!$AE$18,"E-",IF(L130&lt;'PlayerGrades+'!$AE$17,"E",IF(L130&lt;'PlayerGrades+'!$AE$16,"E+",IF(L130&lt;'PlayerGrades+'!$AE$15,"D-",IF(L130&lt;'PlayerGrades+'!$AE$14,"D",IF(L130&lt;'PlayerGrades+'!$AE$13,"D+",IF(L130&lt;'PlayerGrades+'!$AE$12,"C-",IF(L130&lt;'PlayerGrades+'!$AE$11,"C",IF(L130&lt;'PlayerGrades+'!$AE$10,"C+",IF(L130&lt;'PlayerGrades+'!$AE$9,"B-",IF(L130&lt;'PlayerGrades+'!$AE$8,"B",IF(L130&lt;'PlayerGrades+'!$AE$7,"B+",IF(L130&lt;'PlayerGrades+'!$AE$6,"A-",IF(L130&lt;'PlayerGrades+'!$AE$5,"A",IF(L130&lt;'PlayerGrades+'!$AE$4,"A+",IF(L130&lt;'PlayerGrades+'!$AE$3,"S-",IF(L130&lt;'PlayerGrades+'!$AE$2,"S","S+"))))))))))))))))))))</f>
        <v>#DIV/0!</v>
      </c>
      <c r="N130" s="961" t="str">
        <f t="shared" si="6"/>
        <v>#DIV/0!</v>
      </c>
      <c r="O130" s="961" t="str">
        <f>IF(N130&lt;'PlayerGrades+'!$AF$21,"F-",IF(N130&lt;'PlayerGrades+'!$AF$20,"F",IF(N130&lt;'PlayerGrades+'!$AF$19,"F+",IF(N130&lt;'PlayerGrades+'!$AF$18,"E-",IF(N130&lt;'PlayerGrades+'!$AF$17,"E",IF(N130&lt;'PlayerGrades+'!$AF$16,"E+",IF(N130&lt;'PlayerGrades+'!$AF$15,"D-",IF(N130&lt;'PlayerGrades+'!$AF$14,"D",IF(N130&lt;'PlayerGrades+'!$AF$13,"D+",IF(N130&lt;'PlayerGrades+'!$AF$12,"C-",IF(N130&lt;'PlayerGrades+'!$AF$11,"C",IF(N130&lt;'PlayerGrades+'!$AF$10,"C+",IF(N130&lt;'PlayerGrades+'!$AF$9,"B-",IF(N130&lt;'PlayerGrades+'!$AF$8,"B",IF(N130&lt;'PlayerGrades+'!$AF$7,"B+",IF(N130&lt;'PlayerGrades+'!$AF$6,"A-",IF(N130&lt;'PlayerGrades+'!$AF$5,"A",IF(N130&lt;'PlayerGrades+'!$AF$4,"A+",IF(N130&lt;'PlayerGrades+'!$AF$3,"S-",IF(N130&lt;'PlayerGrades+'!$AF$2,"S","S+"))))))))))))))))))))</f>
        <v>#DIV/0!</v>
      </c>
      <c r="P130" s="961" t="str">
        <f t="shared" si="7"/>
        <v>#DIV/0!</v>
      </c>
      <c r="Q130" s="961" t="str">
        <f>IF(P130&lt;'PlayerGrades+'!$AG$21,"F-",IF(P130&lt;'PlayerGrades+'!$AG$20,"F",IF(P130&lt;'PlayerGrades+'!$AG$19,"F+",IF(P130&lt;'PlayerGrades+'!$AG$18,"E-",IF(P130&lt;'PlayerGrades+'!$AG$17,"E",IF(P130&lt;'PlayerGrades+'!$AG$16,"E+",IF(P130&lt;'PlayerGrades+'!$AG$15,"D-",IF(P130&lt;'PlayerGrades+'!$AG$14,"D",IF(P130&lt;'PlayerGrades+'!$AG$13,"D+",IF(P130&lt;'PlayerGrades+'!$AG$12,"C-",IF(P130&lt;'PlayerGrades+'!$AG$11,"C",IF(P130&lt;'PlayerGrades+'!$AG$10,"C+",IF(P130&lt;'PlayerGrades+'!$AG$9,"B-",IF(P130&lt;'PlayerGrades+'!$AG$8,"B",IF(P130&lt;'PlayerGrades+'!$AG$7,"B+",IF(P130&lt;'PlayerGrades+'!$AG$6,"A-",IF(P130&lt;'PlayerGrades+'!$AG$5,"A",IF(P130&lt;'PlayerGrades+'!$AG$4,"A+",IF(P130&lt;'PlayerGrades+'!$AG$3,"S-",IF(P130&lt;'PlayerGrades+'!$AG$2,"S","S+"))))))))))))))))))))</f>
        <v>#DIV/0!</v>
      </c>
      <c r="R130" s="961" t="str">
        <f t="shared" si="8"/>
        <v>#DIV/0!</v>
      </c>
      <c r="S130" s="961" t="str">
        <f>IF(R130&lt;'PlayerGrades+'!$AH$21,"F-",IF(R130&lt;'PlayerGrades+'!$AH$20,"F",IF(R130&lt;'PlayerGrades+'!$AH$19,"F+",IF(R130&lt;'PlayerGrades+'!$AH$18,"E-",IF(R130&lt;'PlayerGrades+'!$AH$17,"E",IF(R130&lt;'PlayerGrades+'!$AH$16,"E+",IF(R130&lt;'PlayerGrades+'!$AH$15,"D-",IF(R130&lt;'PlayerGrades+'!$AH$14,"D",IF(R130&lt;'PlayerGrades+'!$AH$13,"D+",IF(R130&lt;'PlayerGrades+'!$AH$12,"C-",IF(R130&lt;'PlayerGrades+'!$AH$11,"C",IF(R130&lt;'PlayerGrades+'!$AH$10,"C+",IF(R130&lt;'PlayerGrades+'!$AH$9,"B-",IF(R130&lt;'PlayerGrades+'!$AH$8,"B",IF(R130&lt;'PlayerGrades+'!$AH$7,"B+",IF(R130&lt;'PlayerGrades+'!$AH$6,"A-",IF(R130&lt;'PlayerGrades+'!$AH$5,"A",IF(R130&lt;'PlayerGrades+'!$AH$4,"A+",IF(R130&lt;'PlayerGrades+'!$AH$3,"S-",IF(R130&lt;'PlayerGrades+'!$AH$2,"S","S+"))))))))))))))))))))</f>
        <v>#DIV/0!</v>
      </c>
      <c r="T130" s="961">
        <f t="shared" si="9"/>
        <v>0</v>
      </c>
      <c r="U130" s="961" t="str">
        <f>IF(T130&lt;'PlayerGrades+'!$AI$21,"F-",IF(T130&lt;'PlayerGrades+'!$AI$20,"F",IF(T130&lt;'PlayerGrades+'!$AI$19,"F+",IF(T130&lt;'PlayerGrades+'!$AI$18,"E-",IF(T130&lt;'PlayerGrades+'!$AI$17,"E",IF(T130&lt;'PlayerGrades+'!$AI$16,"E+",IF(T130&lt;'PlayerGrades+'!$AI$15,"D-",IF(T130&lt;'PlayerGrades+'!$AI$14,"D",IF(T130&lt;'PlayerGrades+'!$AI$13,"D+",IF(T130&lt;'PlayerGrades+'!$AI$12,"C-",IF(T130&lt;'PlayerGrades+'!$AI$11,"C",IF(T130&lt;'PlayerGrades+'!$AI$10,"C+",IF(T130&lt;'PlayerGrades+'!$AI$9,"B-",IF(T130&lt;'PlayerGrades+'!$AI$8,"B",IF(T130&lt;'PlayerGrades+'!$AI$7,"B+",IF(T130&lt;'PlayerGrades+'!$AI$6,"A-",IF(T130&lt;'PlayerGrades+'!$AI$5,"A",IF(T130&lt;'PlayerGrades+'!$AI$4,"A+",IF(T130&lt;'PlayerGrades+'!$AI$3,"S-",IF(T130&lt;'PlayerGrades+'!$AI$2,"S","S+"))))))))))))))))))))</f>
        <v>F-</v>
      </c>
      <c r="V130" s="1379"/>
      <c r="W130" s="1379"/>
      <c r="X130" s="1379"/>
      <c r="Y130" s="1379"/>
      <c r="Z130" s="1379"/>
      <c r="AA130" s="1379"/>
      <c r="AB130" s="1379"/>
      <c r="AC130" s="1390"/>
      <c r="AD130" s="1379"/>
      <c r="AE130" s="1379"/>
      <c r="AF130" s="1379"/>
      <c r="AG130" s="1379"/>
      <c r="AH130" s="1379"/>
      <c r="AI130" s="1379"/>
      <c r="AJ130" s="1379"/>
      <c r="AK130" s="1379"/>
      <c r="AL130" s="1379"/>
      <c r="AM130" s="1379"/>
      <c r="AN130" s="1379"/>
      <c r="AO130" s="1379"/>
      <c r="AP130" s="1379"/>
      <c r="AQ130" s="1379"/>
      <c r="AR130" s="1379"/>
      <c r="AS130" s="1379"/>
      <c r="AT130" s="1379"/>
      <c r="AU130" s="1379"/>
      <c r="AV130" s="1379"/>
      <c r="AW130" s="1379"/>
      <c r="AX130" s="1379"/>
      <c r="AY130" s="1379"/>
      <c r="AZ130" s="1379"/>
    </row>
    <row r="131">
      <c r="A131" s="1391"/>
      <c r="B131" s="611" t="str">
        <f>IF(C131&lt;'PlayerGrades+'!$Y$44,"F-",IF(C131&lt;'PlayerGrades+'!$Y$43,"F",IF(C131&lt;'PlayerGrades+'!$Y$42,"F+",IF(C131&lt;'PlayerGrades+'!$Y$41,"E-",IF(C131&lt;'PlayerGrades+'!$Y$40,"E",IF(C131&lt;'PlayerGrades+'!$Y$39,"E+",IF(C131&lt;'PlayerGrades+'!$Y$38,"D-",IF(C131&lt;'PlayerGrades+'!$Y$37,"D",IF(C131&lt;'PlayerGrades+'!$Y$36,"D+",IF(C131&lt;'PlayerGrades+'!$Y$35,"C-",IF(C131&lt;'PlayerGrades+'!$Y$34,"C",IF(C131&lt;'PlayerGrades+'!$Y$33,"C+",IF(C131&lt;'PlayerGrades+'!$Y$32,"B-",IF(C131&lt;'PlayerGrades+'!$Y$31,"B",IF(C131&lt;'PlayerGrades+'!$Y$30,"B+",IF(C131&lt;'PlayerGrades+'!$Y$29,"A-",IF(C131&lt;'PlayerGrades+'!$Y$28,"A",IF(C131&lt;'PlayerGrades+'!$Y$27,"A+",IF(C131&lt;'PlayerGrades+'!$Y$26,"S-",IF(C131&lt;'PlayerGrades+'!$Y$25,"S","S+"))))))))))))))))))))</f>
        <v>#DIV/0!</v>
      </c>
      <c r="C131" s="1378" t="str">
        <f>('PlayerGrades+'!$Y$47*(VLOOKUP(E131, 'PlayerGrades+'!$X$3:$Y$23, 2, FALSE)))+('PlayerGrades+'!$Y$48*(VLOOKUP(G131, 'PlayerGrades+'!$X$3:$Y$23, 2, FALSE)))+('PlayerGrades+'!$Y$49*(VLOOKUP(I131, 'PlayerGrades+'!$X$3:$Y$23, 2, FALSE)))+('PlayerGrades+'!$Y$50*(VLOOKUP(K131, 'PlayerGrades+'!$X$3:$Y$23, 2, FALSE)))+('PlayerGrades+'!$Y$51*(VLOOKUP(M131, 'PlayerGrades+'!$X$3:$Y$23, 2, FALSE)))+('PlayerGrades+'!$Y$52*(VLOOKUP(O131, 'PlayerGrades+'!$X$3:$Y$23, 2, FALSE)))+('PlayerGrades+'!$Y$53*(VLOOKUP(Q131, 'PlayerGrades+'!$X$3:$Y$23, 2, FALSE)))+('PlayerGrades+'!$Y$54*(VLOOKUP(S131, 'PlayerGrades+'!$X$3:$Y$23, 2, FALSE)))+('PlayerGrades+'!$Y$55*(VLOOKUP(U131, 'PlayerGrades+'!$X$3:$Y$23, 2, FALSE)))</f>
        <v>#DIV/0!</v>
      </c>
      <c r="D131" s="961" t="str">
        <f t="shared" si="1"/>
        <v>#DIV/0!</v>
      </c>
      <c r="E131" s="961" t="str">
        <f>IF(D131&lt;'PlayerGrades+'!$AA$21,"F-",IF(D131&lt;'PlayerGrades+'!$AA$20,"F",IF(D131&lt;'PlayerGrades+'!$AA$19,"F+",IF(D131&lt;'PlayerGrades+'!$AA$18,"E-",IF(D131&lt;'PlayerGrades+'!$AA$17,"E",IF(D131&lt;'PlayerGrades+'!$AA$16,"E+",IF(D131&lt;'PlayerGrades+'!$AA$15,"D-",IF(D131&lt;'PlayerGrades+'!$AA$14,"D",IF(D131&lt;'PlayerGrades+'!$AA$13,"D+",IF(D131&lt;'PlayerGrades+'!$AA$12,"C-",IF(D131&lt;'PlayerGrades+'!$AA$11,"C",IF(D131&lt;'PlayerGrades+'!$AA$10,"C+",IF(D131&lt;'PlayerGrades+'!$AA$9,"B-",IF(D131&lt;'PlayerGrades+'!$AA$8,"B",IF(D131&lt;'PlayerGrades+'!$AA$7,"B+",IF(D131&lt;'PlayerGrades+'!$AA$6,"A-",IF(D131&lt;'PlayerGrades+'!$AA$5,"A",IF(D131&lt;'PlayerGrades+'!$AA$4,"A+",IF(D131&lt;'PlayerGrades+'!$AA$3,"S-",IF(D131&lt;'PlayerGrades+'!$AA$2,"S","S+"))))))))))))))))))))</f>
        <v>#DIV/0!</v>
      </c>
      <c r="F131" s="961" t="str">
        <f t="shared" si="2"/>
        <v>#DIV/0!</v>
      </c>
      <c r="G131" s="961" t="str">
        <f>IF(F131&lt;'PlayerGrades+'!$AB$21,"F-",IF(F131&lt;'PlayerGrades+'!$AB$20,"F",IF(F131&lt;'PlayerGrades+'!$AB$19,"F+",IF(F131&lt;'PlayerGrades+'!$AB$18,"E-",IF(F131&lt;'PlayerGrades+'!$AB$17,"E",IF(F131&lt;'PlayerGrades+'!$AB$16,"E+",IF(F131&lt;'PlayerGrades+'!$AB$15,"D-",IF(F131&lt;'PlayerGrades+'!$AB$14,"D",IF(F131&lt;'PlayerGrades+'!$AB$13,"D+",IF(F131&lt;'PlayerGrades+'!$AB$12,"C-",IF(F131&lt;'PlayerGrades+'!$AB$11,"C",IF(F131&lt;'PlayerGrades+'!$AB$10,"C+",IF(F131&lt;'PlayerGrades+'!$AB$9,"B-",IF(F131&lt;'PlayerGrades+'!$AB$8,"B",IF(F131&lt;'PlayerGrades+'!$AB$7,"B+",IF(F131&lt;'PlayerGrades+'!$AB$6,"A-",IF(F131&lt;'PlayerGrades+'!$AB$5,"A",IF(F131&lt;'PlayerGrades+'!$AB$4,"A+",IF(F131&lt;'PlayerGrades+'!$AB$3,"S-",IF(F131&lt;'PlayerGrades+'!$AB$2,"S","S+"))))))))))))))))))))</f>
        <v>#DIV/0!</v>
      </c>
      <c r="H131" s="961" t="str">
        <f t="shared" si="3"/>
        <v>#DIV/0!</v>
      </c>
      <c r="I131" s="961" t="str">
        <f>IF(H131&lt;'PlayerGrades+'!$AC$21,"F-",IF(H131&lt;'PlayerGrades+'!$AC$20,"F",IF(H131&lt;'PlayerGrades+'!$AC$19,"F+",IF(H131&lt;'PlayerGrades+'!$AC$18,"E-",IF(H131&lt;'PlayerGrades+'!$AC$17,"E",IF(H131&lt;'PlayerGrades+'!$AC$16,"E+",IF(H131&lt;'PlayerGrades+'!$AC$15,"D-",IF(H131&lt;'PlayerGrades+'!$AC$14,"D",IF(H131&lt;'PlayerGrades+'!$AC$13,"D+",IF(H131&lt;'PlayerGrades+'!$AC$12,"C-",IF(H131&lt;'PlayerGrades+'!$AC$11,"C",IF(H131&lt;'PlayerGrades+'!$AC$10,"C+",IF(H131&lt;'PlayerGrades+'!$AC$9,"B-",IF(H131&lt;'PlayerGrades+'!$AC$8,"B",IF(H131&lt;'PlayerGrades+'!$AC$7,"B+",IF(H131&lt;'PlayerGrades+'!$AC$6,"A-",IF(H131&lt;'PlayerGrades+'!$AC$5,"A",IF(H131&lt;'PlayerGrades+'!$AC$4,"A+",IF(H131&lt;'PlayerGrades+'!$AC$3,"S-",IF(H131&lt;'PlayerGrades+'!$AC$2,"S","S+"))))))))))))))))))))</f>
        <v>#DIV/0!</v>
      </c>
      <c r="J131" s="961" t="str">
        <f t="shared" si="4"/>
        <v>#DIV/0!</v>
      </c>
      <c r="K131" s="961" t="str">
        <f>IF(J131&lt;'PlayerGrades+'!$AD$21,"F-",IF(J131&lt;'PlayerGrades+'!$AD$20,"F",IF(J131&lt;'PlayerGrades+'!$AD$19,"F+",IF(J131&lt;'PlayerGrades+'!$AD$18,"E-",IF(J131&lt;'PlayerGrades+'!$AD$17,"E",IF(J131&lt;'PlayerGrades+'!$AD$16,"E+",IF(J131&lt;'PlayerGrades+'!$AD$15,"D-",IF(J131&lt;'PlayerGrades+'!$AD$14,"D",IF(J131&lt;'PlayerGrades+'!$AD$13,"D+",IF(J131&lt;'PlayerGrades+'!$AD$12,"C-",IF(J131&lt;'PlayerGrades+'!$AD$11,"C",IF(J131&lt;'PlayerGrades+'!$AD$10,"C+",IF(J131&lt;'PlayerGrades+'!$AD$9,"B-",IF(J131&lt;'PlayerGrades+'!$AD$8,"B",IF(J131&lt;'PlayerGrades+'!$AD$7,"B+",IF(J131&lt;'PlayerGrades+'!$AD$6,"A-",IF(J131&lt;'PlayerGrades+'!$AD$5,"A",IF(J131&lt;'PlayerGrades+'!$AD$4,"A+",IF(J131&lt;'PlayerGrades+'!$AD$3,"S-",IF(J131&lt;'PlayerGrades+'!$AD$2,"S","S+"))))))))))))))))))))</f>
        <v>#DIV/0!</v>
      </c>
      <c r="L131" s="1176" t="str">
        <f t="shared" si="5"/>
        <v>#DIV/0!</v>
      </c>
      <c r="M131" s="992" t="str">
        <f>IF(L131&lt;'PlayerGrades+'!$AE$21,"F-",IF(L131&lt;'PlayerGrades+'!$AE$20,"F",IF(L131&lt;'PlayerGrades+'!$AE$19,"F+",IF(L131&lt;'PlayerGrades+'!$AE$18,"E-",IF(L131&lt;'PlayerGrades+'!$AE$17,"E",IF(L131&lt;'PlayerGrades+'!$AE$16,"E+",IF(L131&lt;'PlayerGrades+'!$AE$15,"D-",IF(L131&lt;'PlayerGrades+'!$AE$14,"D",IF(L131&lt;'PlayerGrades+'!$AE$13,"D+",IF(L131&lt;'PlayerGrades+'!$AE$12,"C-",IF(L131&lt;'PlayerGrades+'!$AE$11,"C",IF(L131&lt;'PlayerGrades+'!$AE$10,"C+",IF(L131&lt;'PlayerGrades+'!$AE$9,"B-",IF(L131&lt;'PlayerGrades+'!$AE$8,"B",IF(L131&lt;'PlayerGrades+'!$AE$7,"B+",IF(L131&lt;'PlayerGrades+'!$AE$6,"A-",IF(L131&lt;'PlayerGrades+'!$AE$5,"A",IF(L131&lt;'PlayerGrades+'!$AE$4,"A+",IF(L131&lt;'PlayerGrades+'!$AE$3,"S-",IF(L131&lt;'PlayerGrades+'!$AE$2,"S","S+"))))))))))))))))))))</f>
        <v>#DIV/0!</v>
      </c>
      <c r="N131" s="961" t="str">
        <f t="shared" si="6"/>
        <v>#DIV/0!</v>
      </c>
      <c r="O131" s="961" t="str">
        <f>IF(N131&lt;'PlayerGrades+'!$AF$21,"F-",IF(N131&lt;'PlayerGrades+'!$AF$20,"F",IF(N131&lt;'PlayerGrades+'!$AF$19,"F+",IF(N131&lt;'PlayerGrades+'!$AF$18,"E-",IF(N131&lt;'PlayerGrades+'!$AF$17,"E",IF(N131&lt;'PlayerGrades+'!$AF$16,"E+",IF(N131&lt;'PlayerGrades+'!$AF$15,"D-",IF(N131&lt;'PlayerGrades+'!$AF$14,"D",IF(N131&lt;'PlayerGrades+'!$AF$13,"D+",IF(N131&lt;'PlayerGrades+'!$AF$12,"C-",IF(N131&lt;'PlayerGrades+'!$AF$11,"C",IF(N131&lt;'PlayerGrades+'!$AF$10,"C+",IF(N131&lt;'PlayerGrades+'!$AF$9,"B-",IF(N131&lt;'PlayerGrades+'!$AF$8,"B",IF(N131&lt;'PlayerGrades+'!$AF$7,"B+",IF(N131&lt;'PlayerGrades+'!$AF$6,"A-",IF(N131&lt;'PlayerGrades+'!$AF$5,"A",IF(N131&lt;'PlayerGrades+'!$AF$4,"A+",IF(N131&lt;'PlayerGrades+'!$AF$3,"S-",IF(N131&lt;'PlayerGrades+'!$AF$2,"S","S+"))))))))))))))))))))</f>
        <v>#DIV/0!</v>
      </c>
      <c r="P131" s="961" t="str">
        <f t="shared" si="7"/>
        <v>#DIV/0!</v>
      </c>
      <c r="Q131" s="961" t="str">
        <f>IF(P131&lt;'PlayerGrades+'!$AG$21,"F-",IF(P131&lt;'PlayerGrades+'!$AG$20,"F",IF(P131&lt;'PlayerGrades+'!$AG$19,"F+",IF(P131&lt;'PlayerGrades+'!$AG$18,"E-",IF(P131&lt;'PlayerGrades+'!$AG$17,"E",IF(P131&lt;'PlayerGrades+'!$AG$16,"E+",IF(P131&lt;'PlayerGrades+'!$AG$15,"D-",IF(P131&lt;'PlayerGrades+'!$AG$14,"D",IF(P131&lt;'PlayerGrades+'!$AG$13,"D+",IF(P131&lt;'PlayerGrades+'!$AG$12,"C-",IF(P131&lt;'PlayerGrades+'!$AG$11,"C",IF(P131&lt;'PlayerGrades+'!$AG$10,"C+",IF(P131&lt;'PlayerGrades+'!$AG$9,"B-",IF(P131&lt;'PlayerGrades+'!$AG$8,"B",IF(P131&lt;'PlayerGrades+'!$AG$7,"B+",IF(P131&lt;'PlayerGrades+'!$AG$6,"A-",IF(P131&lt;'PlayerGrades+'!$AG$5,"A",IF(P131&lt;'PlayerGrades+'!$AG$4,"A+",IF(P131&lt;'PlayerGrades+'!$AG$3,"S-",IF(P131&lt;'PlayerGrades+'!$AG$2,"S","S+"))))))))))))))))))))</f>
        <v>#DIV/0!</v>
      </c>
      <c r="R131" s="961" t="str">
        <f t="shared" si="8"/>
        <v>#DIV/0!</v>
      </c>
      <c r="S131" s="961" t="str">
        <f>IF(R131&lt;'PlayerGrades+'!$AH$21,"F-",IF(R131&lt;'PlayerGrades+'!$AH$20,"F",IF(R131&lt;'PlayerGrades+'!$AH$19,"F+",IF(R131&lt;'PlayerGrades+'!$AH$18,"E-",IF(R131&lt;'PlayerGrades+'!$AH$17,"E",IF(R131&lt;'PlayerGrades+'!$AH$16,"E+",IF(R131&lt;'PlayerGrades+'!$AH$15,"D-",IF(R131&lt;'PlayerGrades+'!$AH$14,"D",IF(R131&lt;'PlayerGrades+'!$AH$13,"D+",IF(R131&lt;'PlayerGrades+'!$AH$12,"C-",IF(R131&lt;'PlayerGrades+'!$AH$11,"C",IF(R131&lt;'PlayerGrades+'!$AH$10,"C+",IF(R131&lt;'PlayerGrades+'!$AH$9,"B-",IF(R131&lt;'PlayerGrades+'!$AH$8,"B",IF(R131&lt;'PlayerGrades+'!$AH$7,"B+",IF(R131&lt;'PlayerGrades+'!$AH$6,"A-",IF(R131&lt;'PlayerGrades+'!$AH$5,"A",IF(R131&lt;'PlayerGrades+'!$AH$4,"A+",IF(R131&lt;'PlayerGrades+'!$AH$3,"S-",IF(R131&lt;'PlayerGrades+'!$AH$2,"S","S+"))))))))))))))))))))</f>
        <v>#DIV/0!</v>
      </c>
      <c r="T131" s="961">
        <f t="shared" si="9"/>
        <v>0</v>
      </c>
      <c r="U131" s="961" t="str">
        <f>IF(T131&lt;'PlayerGrades+'!$AI$21,"F-",IF(T131&lt;'PlayerGrades+'!$AI$20,"F",IF(T131&lt;'PlayerGrades+'!$AI$19,"F+",IF(T131&lt;'PlayerGrades+'!$AI$18,"E-",IF(T131&lt;'PlayerGrades+'!$AI$17,"E",IF(T131&lt;'PlayerGrades+'!$AI$16,"E+",IF(T131&lt;'PlayerGrades+'!$AI$15,"D-",IF(T131&lt;'PlayerGrades+'!$AI$14,"D",IF(T131&lt;'PlayerGrades+'!$AI$13,"D+",IF(T131&lt;'PlayerGrades+'!$AI$12,"C-",IF(T131&lt;'PlayerGrades+'!$AI$11,"C",IF(T131&lt;'PlayerGrades+'!$AI$10,"C+",IF(T131&lt;'PlayerGrades+'!$AI$9,"B-",IF(T131&lt;'PlayerGrades+'!$AI$8,"B",IF(T131&lt;'PlayerGrades+'!$AI$7,"B+",IF(T131&lt;'PlayerGrades+'!$AI$6,"A-",IF(T131&lt;'PlayerGrades+'!$AI$5,"A",IF(T131&lt;'PlayerGrades+'!$AI$4,"A+",IF(T131&lt;'PlayerGrades+'!$AI$3,"S-",IF(T131&lt;'PlayerGrades+'!$AI$2,"S","S+"))))))))))))))))))))</f>
        <v>F-</v>
      </c>
      <c r="AC131" s="1392"/>
    </row>
    <row r="132">
      <c r="A132" s="1391"/>
      <c r="B132" s="611" t="str">
        <f>IF(C132&lt;'PlayerGrades+'!$Y$44,"F-",IF(C132&lt;'PlayerGrades+'!$Y$43,"F",IF(C132&lt;'PlayerGrades+'!$Y$42,"F+",IF(C132&lt;'PlayerGrades+'!$Y$41,"E-",IF(C132&lt;'PlayerGrades+'!$Y$40,"E",IF(C132&lt;'PlayerGrades+'!$Y$39,"E+",IF(C132&lt;'PlayerGrades+'!$Y$38,"D-",IF(C132&lt;'PlayerGrades+'!$Y$37,"D",IF(C132&lt;'PlayerGrades+'!$Y$36,"D+",IF(C132&lt;'PlayerGrades+'!$Y$35,"C-",IF(C132&lt;'PlayerGrades+'!$Y$34,"C",IF(C132&lt;'PlayerGrades+'!$Y$33,"C+",IF(C132&lt;'PlayerGrades+'!$Y$32,"B-",IF(C132&lt;'PlayerGrades+'!$Y$31,"B",IF(C132&lt;'PlayerGrades+'!$Y$30,"B+",IF(C132&lt;'PlayerGrades+'!$Y$29,"A-",IF(C132&lt;'PlayerGrades+'!$Y$28,"A",IF(C132&lt;'PlayerGrades+'!$Y$27,"A+",IF(C132&lt;'PlayerGrades+'!$Y$26,"S-",IF(C132&lt;'PlayerGrades+'!$Y$25,"S","S+"))))))))))))))))))))</f>
        <v>#DIV/0!</v>
      </c>
      <c r="C132" s="1378" t="str">
        <f>('PlayerGrades+'!$Y$47*(VLOOKUP(E132, 'PlayerGrades+'!$X$3:$Y$23, 2, FALSE)))+('PlayerGrades+'!$Y$48*(VLOOKUP(G132, 'PlayerGrades+'!$X$3:$Y$23, 2, FALSE)))+('PlayerGrades+'!$Y$49*(VLOOKUP(I132, 'PlayerGrades+'!$X$3:$Y$23, 2, FALSE)))+('PlayerGrades+'!$Y$50*(VLOOKUP(K132, 'PlayerGrades+'!$X$3:$Y$23, 2, FALSE)))+('PlayerGrades+'!$Y$51*(VLOOKUP(M132, 'PlayerGrades+'!$X$3:$Y$23, 2, FALSE)))+('PlayerGrades+'!$Y$52*(VLOOKUP(O132, 'PlayerGrades+'!$X$3:$Y$23, 2, FALSE)))+('PlayerGrades+'!$Y$53*(VLOOKUP(Q132, 'PlayerGrades+'!$X$3:$Y$23, 2, FALSE)))+('PlayerGrades+'!$Y$54*(VLOOKUP(S132, 'PlayerGrades+'!$X$3:$Y$23, 2, FALSE)))+('PlayerGrades+'!$Y$55*(VLOOKUP(U132, 'PlayerGrades+'!$X$3:$Y$23, 2, FALSE)))</f>
        <v>#DIV/0!</v>
      </c>
      <c r="D132" s="961" t="str">
        <f t="shared" si="1"/>
        <v>#DIV/0!</v>
      </c>
      <c r="E132" s="961" t="str">
        <f>IF(D132&lt;'PlayerGrades+'!$AA$21,"F-",IF(D132&lt;'PlayerGrades+'!$AA$20,"F",IF(D132&lt;'PlayerGrades+'!$AA$19,"F+",IF(D132&lt;'PlayerGrades+'!$AA$18,"E-",IF(D132&lt;'PlayerGrades+'!$AA$17,"E",IF(D132&lt;'PlayerGrades+'!$AA$16,"E+",IF(D132&lt;'PlayerGrades+'!$AA$15,"D-",IF(D132&lt;'PlayerGrades+'!$AA$14,"D",IF(D132&lt;'PlayerGrades+'!$AA$13,"D+",IF(D132&lt;'PlayerGrades+'!$AA$12,"C-",IF(D132&lt;'PlayerGrades+'!$AA$11,"C",IF(D132&lt;'PlayerGrades+'!$AA$10,"C+",IF(D132&lt;'PlayerGrades+'!$AA$9,"B-",IF(D132&lt;'PlayerGrades+'!$AA$8,"B",IF(D132&lt;'PlayerGrades+'!$AA$7,"B+",IF(D132&lt;'PlayerGrades+'!$AA$6,"A-",IF(D132&lt;'PlayerGrades+'!$AA$5,"A",IF(D132&lt;'PlayerGrades+'!$AA$4,"A+",IF(D132&lt;'PlayerGrades+'!$AA$3,"S-",IF(D132&lt;'PlayerGrades+'!$AA$2,"S","S+"))))))))))))))))))))</f>
        <v>#DIV/0!</v>
      </c>
      <c r="F132" s="961" t="str">
        <f t="shared" si="2"/>
        <v>#DIV/0!</v>
      </c>
      <c r="G132" s="961" t="str">
        <f>IF(F132&lt;'PlayerGrades+'!$AB$21,"F-",IF(F132&lt;'PlayerGrades+'!$AB$20,"F",IF(F132&lt;'PlayerGrades+'!$AB$19,"F+",IF(F132&lt;'PlayerGrades+'!$AB$18,"E-",IF(F132&lt;'PlayerGrades+'!$AB$17,"E",IF(F132&lt;'PlayerGrades+'!$AB$16,"E+",IF(F132&lt;'PlayerGrades+'!$AB$15,"D-",IF(F132&lt;'PlayerGrades+'!$AB$14,"D",IF(F132&lt;'PlayerGrades+'!$AB$13,"D+",IF(F132&lt;'PlayerGrades+'!$AB$12,"C-",IF(F132&lt;'PlayerGrades+'!$AB$11,"C",IF(F132&lt;'PlayerGrades+'!$AB$10,"C+",IF(F132&lt;'PlayerGrades+'!$AB$9,"B-",IF(F132&lt;'PlayerGrades+'!$AB$8,"B",IF(F132&lt;'PlayerGrades+'!$AB$7,"B+",IF(F132&lt;'PlayerGrades+'!$AB$6,"A-",IF(F132&lt;'PlayerGrades+'!$AB$5,"A",IF(F132&lt;'PlayerGrades+'!$AB$4,"A+",IF(F132&lt;'PlayerGrades+'!$AB$3,"S-",IF(F132&lt;'PlayerGrades+'!$AB$2,"S","S+"))))))))))))))))))))</f>
        <v>#DIV/0!</v>
      </c>
      <c r="H132" s="961" t="str">
        <f t="shared" si="3"/>
        <v>#DIV/0!</v>
      </c>
      <c r="I132" s="961" t="str">
        <f>IF(H132&lt;'PlayerGrades+'!$AC$21,"F-",IF(H132&lt;'PlayerGrades+'!$AC$20,"F",IF(H132&lt;'PlayerGrades+'!$AC$19,"F+",IF(H132&lt;'PlayerGrades+'!$AC$18,"E-",IF(H132&lt;'PlayerGrades+'!$AC$17,"E",IF(H132&lt;'PlayerGrades+'!$AC$16,"E+",IF(H132&lt;'PlayerGrades+'!$AC$15,"D-",IF(H132&lt;'PlayerGrades+'!$AC$14,"D",IF(H132&lt;'PlayerGrades+'!$AC$13,"D+",IF(H132&lt;'PlayerGrades+'!$AC$12,"C-",IF(H132&lt;'PlayerGrades+'!$AC$11,"C",IF(H132&lt;'PlayerGrades+'!$AC$10,"C+",IF(H132&lt;'PlayerGrades+'!$AC$9,"B-",IF(H132&lt;'PlayerGrades+'!$AC$8,"B",IF(H132&lt;'PlayerGrades+'!$AC$7,"B+",IF(H132&lt;'PlayerGrades+'!$AC$6,"A-",IF(H132&lt;'PlayerGrades+'!$AC$5,"A",IF(H132&lt;'PlayerGrades+'!$AC$4,"A+",IF(H132&lt;'PlayerGrades+'!$AC$3,"S-",IF(H132&lt;'PlayerGrades+'!$AC$2,"S","S+"))))))))))))))))))))</f>
        <v>#DIV/0!</v>
      </c>
      <c r="J132" s="961" t="str">
        <f t="shared" si="4"/>
        <v>#DIV/0!</v>
      </c>
      <c r="K132" s="961" t="str">
        <f>IF(J132&lt;'PlayerGrades+'!$AD$21,"F-",IF(J132&lt;'PlayerGrades+'!$AD$20,"F",IF(J132&lt;'PlayerGrades+'!$AD$19,"F+",IF(J132&lt;'PlayerGrades+'!$AD$18,"E-",IF(J132&lt;'PlayerGrades+'!$AD$17,"E",IF(J132&lt;'PlayerGrades+'!$AD$16,"E+",IF(J132&lt;'PlayerGrades+'!$AD$15,"D-",IF(J132&lt;'PlayerGrades+'!$AD$14,"D",IF(J132&lt;'PlayerGrades+'!$AD$13,"D+",IF(J132&lt;'PlayerGrades+'!$AD$12,"C-",IF(J132&lt;'PlayerGrades+'!$AD$11,"C",IF(J132&lt;'PlayerGrades+'!$AD$10,"C+",IF(J132&lt;'PlayerGrades+'!$AD$9,"B-",IF(J132&lt;'PlayerGrades+'!$AD$8,"B",IF(J132&lt;'PlayerGrades+'!$AD$7,"B+",IF(J132&lt;'PlayerGrades+'!$AD$6,"A-",IF(J132&lt;'PlayerGrades+'!$AD$5,"A",IF(J132&lt;'PlayerGrades+'!$AD$4,"A+",IF(J132&lt;'PlayerGrades+'!$AD$3,"S-",IF(J132&lt;'PlayerGrades+'!$AD$2,"S","S+"))))))))))))))))))))</f>
        <v>#DIV/0!</v>
      </c>
      <c r="L132" s="1176" t="str">
        <f t="shared" si="5"/>
        <v>#DIV/0!</v>
      </c>
      <c r="M132" s="992" t="str">
        <f>IF(L132&lt;'PlayerGrades+'!$AE$21,"F-",IF(L132&lt;'PlayerGrades+'!$AE$20,"F",IF(L132&lt;'PlayerGrades+'!$AE$19,"F+",IF(L132&lt;'PlayerGrades+'!$AE$18,"E-",IF(L132&lt;'PlayerGrades+'!$AE$17,"E",IF(L132&lt;'PlayerGrades+'!$AE$16,"E+",IF(L132&lt;'PlayerGrades+'!$AE$15,"D-",IF(L132&lt;'PlayerGrades+'!$AE$14,"D",IF(L132&lt;'PlayerGrades+'!$AE$13,"D+",IF(L132&lt;'PlayerGrades+'!$AE$12,"C-",IF(L132&lt;'PlayerGrades+'!$AE$11,"C",IF(L132&lt;'PlayerGrades+'!$AE$10,"C+",IF(L132&lt;'PlayerGrades+'!$AE$9,"B-",IF(L132&lt;'PlayerGrades+'!$AE$8,"B",IF(L132&lt;'PlayerGrades+'!$AE$7,"B+",IF(L132&lt;'PlayerGrades+'!$AE$6,"A-",IF(L132&lt;'PlayerGrades+'!$AE$5,"A",IF(L132&lt;'PlayerGrades+'!$AE$4,"A+",IF(L132&lt;'PlayerGrades+'!$AE$3,"S-",IF(L132&lt;'PlayerGrades+'!$AE$2,"S","S+"))))))))))))))))))))</f>
        <v>#DIV/0!</v>
      </c>
      <c r="N132" s="961" t="str">
        <f t="shared" si="6"/>
        <v>#DIV/0!</v>
      </c>
      <c r="O132" s="961" t="str">
        <f>IF(N132&lt;'PlayerGrades+'!$AF$21,"F-",IF(N132&lt;'PlayerGrades+'!$AF$20,"F",IF(N132&lt;'PlayerGrades+'!$AF$19,"F+",IF(N132&lt;'PlayerGrades+'!$AF$18,"E-",IF(N132&lt;'PlayerGrades+'!$AF$17,"E",IF(N132&lt;'PlayerGrades+'!$AF$16,"E+",IF(N132&lt;'PlayerGrades+'!$AF$15,"D-",IF(N132&lt;'PlayerGrades+'!$AF$14,"D",IF(N132&lt;'PlayerGrades+'!$AF$13,"D+",IF(N132&lt;'PlayerGrades+'!$AF$12,"C-",IF(N132&lt;'PlayerGrades+'!$AF$11,"C",IF(N132&lt;'PlayerGrades+'!$AF$10,"C+",IF(N132&lt;'PlayerGrades+'!$AF$9,"B-",IF(N132&lt;'PlayerGrades+'!$AF$8,"B",IF(N132&lt;'PlayerGrades+'!$AF$7,"B+",IF(N132&lt;'PlayerGrades+'!$AF$6,"A-",IF(N132&lt;'PlayerGrades+'!$AF$5,"A",IF(N132&lt;'PlayerGrades+'!$AF$4,"A+",IF(N132&lt;'PlayerGrades+'!$AF$3,"S-",IF(N132&lt;'PlayerGrades+'!$AF$2,"S","S+"))))))))))))))))))))</f>
        <v>#DIV/0!</v>
      </c>
      <c r="P132" s="961" t="str">
        <f t="shared" si="7"/>
        <v>#DIV/0!</v>
      </c>
      <c r="Q132" s="961" t="str">
        <f>IF(P132&lt;'PlayerGrades+'!$AG$21,"F-",IF(P132&lt;'PlayerGrades+'!$AG$20,"F",IF(P132&lt;'PlayerGrades+'!$AG$19,"F+",IF(P132&lt;'PlayerGrades+'!$AG$18,"E-",IF(P132&lt;'PlayerGrades+'!$AG$17,"E",IF(P132&lt;'PlayerGrades+'!$AG$16,"E+",IF(P132&lt;'PlayerGrades+'!$AG$15,"D-",IF(P132&lt;'PlayerGrades+'!$AG$14,"D",IF(P132&lt;'PlayerGrades+'!$AG$13,"D+",IF(P132&lt;'PlayerGrades+'!$AG$12,"C-",IF(P132&lt;'PlayerGrades+'!$AG$11,"C",IF(P132&lt;'PlayerGrades+'!$AG$10,"C+",IF(P132&lt;'PlayerGrades+'!$AG$9,"B-",IF(P132&lt;'PlayerGrades+'!$AG$8,"B",IF(P132&lt;'PlayerGrades+'!$AG$7,"B+",IF(P132&lt;'PlayerGrades+'!$AG$6,"A-",IF(P132&lt;'PlayerGrades+'!$AG$5,"A",IF(P132&lt;'PlayerGrades+'!$AG$4,"A+",IF(P132&lt;'PlayerGrades+'!$AG$3,"S-",IF(P132&lt;'PlayerGrades+'!$AG$2,"S","S+"))))))))))))))))))))</f>
        <v>#DIV/0!</v>
      </c>
      <c r="R132" s="961" t="str">
        <f t="shared" si="8"/>
        <v>#DIV/0!</v>
      </c>
      <c r="S132" s="961" t="str">
        <f>IF(R132&lt;'PlayerGrades+'!$AH$21,"F-",IF(R132&lt;'PlayerGrades+'!$AH$20,"F",IF(R132&lt;'PlayerGrades+'!$AH$19,"F+",IF(R132&lt;'PlayerGrades+'!$AH$18,"E-",IF(R132&lt;'PlayerGrades+'!$AH$17,"E",IF(R132&lt;'PlayerGrades+'!$AH$16,"E+",IF(R132&lt;'PlayerGrades+'!$AH$15,"D-",IF(R132&lt;'PlayerGrades+'!$AH$14,"D",IF(R132&lt;'PlayerGrades+'!$AH$13,"D+",IF(R132&lt;'PlayerGrades+'!$AH$12,"C-",IF(R132&lt;'PlayerGrades+'!$AH$11,"C",IF(R132&lt;'PlayerGrades+'!$AH$10,"C+",IF(R132&lt;'PlayerGrades+'!$AH$9,"B-",IF(R132&lt;'PlayerGrades+'!$AH$8,"B",IF(R132&lt;'PlayerGrades+'!$AH$7,"B+",IF(R132&lt;'PlayerGrades+'!$AH$6,"A-",IF(R132&lt;'PlayerGrades+'!$AH$5,"A",IF(R132&lt;'PlayerGrades+'!$AH$4,"A+",IF(R132&lt;'PlayerGrades+'!$AH$3,"S-",IF(R132&lt;'PlayerGrades+'!$AH$2,"S","S+"))))))))))))))))))))</f>
        <v>#DIV/0!</v>
      </c>
      <c r="T132" s="961">
        <f t="shared" si="9"/>
        <v>0</v>
      </c>
      <c r="U132" s="961" t="str">
        <f>IF(T132&lt;'PlayerGrades+'!$AI$21,"F-",IF(T132&lt;'PlayerGrades+'!$AI$20,"F",IF(T132&lt;'PlayerGrades+'!$AI$19,"F+",IF(T132&lt;'PlayerGrades+'!$AI$18,"E-",IF(T132&lt;'PlayerGrades+'!$AI$17,"E",IF(T132&lt;'PlayerGrades+'!$AI$16,"E+",IF(T132&lt;'PlayerGrades+'!$AI$15,"D-",IF(T132&lt;'PlayerGrades+'!$AI$14,"D",IF(T132&lt;'PlayerGrades+'!$AI$13,"D+",IF(T132&lt;'PlayerGrades+'!$AI$12,"C-",IF(T132&lt;'PlayerGrades+'!$AI$11,"C",IF(T132&lt;'PlayerGrades+'!$AI$10,"C+",IF(T132&lt;'PlayerGrades+'!$AI$9,"B-",IF(T132&lt;'PlayerGrades+'!$AI$8,"B",IF(T132&lt;'PlayerGrades+'!$AI$7,"B+",IF(T132&lt;'PlayerGrades+'!$AI$6,"A-",IF(T132&lt;'PlayerGrades+'!$AI$5,"A",IF(T132&lt;'PlayerGrades+'!$AI$4,"A+",IF(T132&lt;'PlayerGrades+'!$AI$3,"S-",IF(T132&lt;'PlayerGrades+'!$AI$2,"S","S+"))))))))))))))))))))</f>
        <v>F-</v>
      </c>
      <c r="AC132" s="1392"/>
    </row>
    <row r="133">
      <c r="A133" s="1391"/>
      <c r="B133" s="611" t="str">
        <f>IF(C133&lt;'PlayerGrades+'!$Y$44,"F-",IF(C133&lt;'PlayerGrades+'!$Y$43,"F",IF(C133&lt;'PlayerGrades+'!$Y$42,"F+",IF(C133&lt;'PlayerGrades+'!$Y$41,"E-",IF(C133&lt;'PlayerGrades+'!$Y$40,"E",IF(C133&lt;'PlayerGrades+'!$Y$39,"E+",IF(C133&lt;'PlayerGrades+'!$Y$38,"D-",IF(C133&lt;'PlayerGrades+'!$Y$37,"D",IF(C133&lt;'PlayerGrades+'!$Y$36,"D+",IF(C133&lt;'PlayerGrades+'!$Y$35,"C-",IF(C133&lt;'PlayerGrades+'!$Y$34,"C",IF(C133&lt;'PlayerGrades+'!$Y$33,"C+",IF(C133&lt;'PlayerGrades+'!$Y$32,"B-",IF(C133&lt;'PlayerGrades+'!$Y$31,"B",IF(C133&lt;'PlayerGrades+'!$Y$30,"B+",IF(C133&lt;'PlayerGrades+'!$Y$29,"A-",IF(C133&lt;'PlayerGrades+'!$Y$28,"A",IF(C133&lt;'PlayerGrades+'!$Y$27,"A+",IF(C133&lt;'PlayerGrades+'!$Y$26,"S-",IF(C133&lt;'PlayerGrades+'!$Y$25,"S","S+"))))))))))))))))))))</f>
        <v>#DIV/0!</v>
      </c>
      <c r="C133" s="1378" t="str">
        <f>('PlayerGrades+'!$Y$47*(VLOOKUP(E133, 'PlayerGrades+'!$X$3:$Y$23, 2, FALSE)))+('PlayerGrades+'!$Y$48*(VLOOKUP(G133, 'PlayerGrades+'!$X$3:$Y$23, 2, FALSE)))+('PlayerGrades+'!$Y$49*(VLOOKUP(I133, 'PlayerGrades+'!$X$3:$Y$23, 2, FALSE)))+('PlayerGrades+'!$Y$50*(VLOOKUP(K133, 'PlayerGrades+'!$X$3:$Y$23, 2, FALSE)))+('PlayerGrades+'!$Y$51*(VLOOKUP(M133, 'PlayerGrades+'!$X$3:$Y$23, 2, FALSE)))+('PlayerGrades+'!$Y$52*(VLOOKUP(O133, 'PlayerGrades+'!$X$3:$Y$23, 2, FALSE)))+('PlayerGrades+'!$Y$53*(VLOOKUP(Q133, 'PlayerGrades+'!$X$3:$Y$23, 2, FALSE)))+('PlayerGrades+'!$Y$54*(VLOOKUP(S133, 'PlayerGrades+'!$X$3:$Y$23, 2, FALSE)))+('PlayerGrades+'!$Y$55*(VLOOKUP(U133, 'PlayerGrades+'!$X$3:$Y$23, 2, FALSE)))</f>
        <v>#DIV/0!</v>
      </c>
      <c r="D133" s="961" t="str">
        <f t="shared" si="1"/>
        <v>#DIV/0!</v>
      </c>
      <c r="E133" s="961" t="str">
        <f>IF(D133&lt;'PlayerGrades+'!$AA$21,"F-",IF(D133&lt;'PlayerGrades+'!$AA$20,"F",IF(D133&lt;'PlayerGrades+'!$AA$19,"F+",IF(D133&lt;'PlayerGrades+'!$AA$18,"E-",IF(D133&lt;'PlayerGrades+'!$AA$17,"E",IF(D133&lt;'PlayerGrades+'!$AA$16,"E+",IF(D133&lt;'PlayerGrades+'!$AA$15,"D-",IF(D133&lt;'PlayerGrades+'!$AA$14,"D",IF(D133&lt;'PlayerGrades+'!$AA$13,"D+",IF(D133&lt;'PlayerGrades+'!$AA$12,"C-",IF(D133&lt;'PlayerGrades+'!$AA$11,"C",IF(D133&lt;'PlayerGrades+'!$AA$10,"C+",IF(D133&lt;'PlayerGrades+'!$AA$9,"B-",IF(D133&lt;'PlayerGrades+'!$AA$8,"B",IF(D133&lt;'PlayerGrades+'!$AA$7,"B+",IF(D133&lt;'PlayerGrades+'!$AA$6,"A-",IF(D133&lt;'PlayerGrades+'!$AA$5,"A",IF(D133&lt;'PlayerGrades+'!$AA$4,"A+",IF(D133&lt;'PlayerGrades+'!$AA$3,"S-",IF(D133&lt;'PlayerGrades+'!$AA$2,"S","S+"))))))))))))))))))))</f>
        <v>#DIV/0!</v>
      </c>
      <c r="F133" s="961" t="str">
        <f t="shared" si="2"/>
        <v>#DIV/0!</v>
      </c>
      <c r="G133" s="961" t="str">
        <f>IF(F133&lt;'PlayerGrades+'!$AB$21,"F-",IF(F133&lt;'PlayerGrades+'!$AB$20,"F",IF(F133&lt;'PlayerGrades+'!$AB$19,"F+",IF(F133&lt;'PlayerGrades+'!$AB$18,"E-",IF(F133&lt;'PlayerGrades+'!$AB$17,"E",IF(F133&lt;'PlayerGrades+'!$AB$16,"E+",IF(F133&lt;'PlayerGrades+'!$AB$15,"D-",IF(F133&lt;'PlayerGrades+'!$AB$14,"D",IF(F133&lt;'PlayerGrades+'!$AB$13,"D+",IF(F133&lt;'PlayerGrades+'!$AB$12,"C-",IF(F133&lt;'PlayerGrades+'!$AB$11,"C",IF(F133&lt;'PlayerGrades+'!$AB$10,"C+",IF(F133&lt;'PlayerGrades+'!$AB$9,"B-",IF(F133&lt;'PlayerGrades+'!$AB$8,"B",IF(F133&lt;'PlayerGrades+'!$AB$7,"B+",IF(F133&lt;'PlayerGrades+'!$AB$6,"A-",IF(F133&lt;'PlayerGrades+'!$AB$5,"A",IF(F133&lt;'PlayerGrades+'!$AB$4,"A+",IF(F133&lt;'PlayerGrades+'!$AB$3,"S-",IF(F133&lt;'PlayerGrades+'!$AB$2,"S","S+"))))))))))))))))))))</f>
        <v>#DIV/0!</v>
      </c>
      <c r="H133" s="961" t="str">
        <f t="shared" si="3"/>
        <v>#DIV/0!</v>
      </c>
      <c r="I133" s="961" t="str">
        <f>IF(H133&lt;'PlayerGrades+'!$AC$21,"F-",IF(H133&lt;'PlayerGrades+'!$AC$20,"F",IF(H133&lt;'PlayerGrades+'!$AC$19,"F+",IF(H133&lt;'PlayerGrades+'!$AC$18,"E-",IF(H133&lt;'PlayerGrades+'!$AC$17,"E",IF(H133&lt;'PlayerGrades+'!$AC$16,"E+",IF(H133&lt;'PlayerGrades+'!$AC$15,"D-",IF(H133&lt;'PlayerGrades+'!$AC$14,"D",IF(H133&lt;'PlayerGrades+'!$AC$13,"D+",IF(H133&lt;'PlayerGrades+'!$AC$12,"C-",IF(H133&lt;'PlayerGrades+'!$AC$11,"C",IF(H133&lt;'PlayerGrades+'!$AC$10,"C+",IF(H133&lt;'PlayerGrades+'!$AC$9,"B-",IF(H133&lt;'PlayerGrades+'!$AC$8,"B",IF(H133&lt;'PlayerGrades+'!$AC$7,"B+",IF(H133&lt;'PlayerGrades+'!$AC$6,"A-",IF(H133&lt;'PlayerGrades+'!$AC$5,"A",IF(H133&lt;'PlayerGrades+'!$AC$4,"A+",IF(H133&lt;'PlayerGrades+'!$AC$3,"S-",IF(H133&lt;'PlayerGrades+'!$AC$2,"S","S+"))))))))))))))))))))</f>
        <v>#DIV/0!</v>
      </c>
      <c r="J133" s="961" t="str">
        <f t="shared" si="4"/>
        <v>#DIV/0!</v>
      </c>
      <c r="K133" s="961" t="str">
        <f>IF(J133&lt;'PlayerGrades+'!$AD$21,"F-",IF(J133&lt;'PlayerGrades+'!$AD$20,"F",IF(J133&lt;'PlayerGrades+'!$AD$19,"F+",IF(J133&lt;'PlayerGrades+'!$AD$18,"E-",IF(J133&lt;'PlayerGrades+'!$AD$17,"E",IF(J133&lt;'PlayerGrades+'!$AD$16,"E+",IF(J133&lt;'PlayerGrades+'!$AD$15,"D-",IF(J133&lt;'PlayerGrades+'!$AD$14,"D",IF(J133&lt;'PlayerGrades+'!$AD$13,"D+",IF(J133&lt;'PlayerGrades+'!$AD$12,"C-",IF(J133&lt;'PlayerGrades+'!$AD$11,"C",IF(J133&lt;'PlayerGrades+'!$AD$10,"C+",IF(J133&lt;'PlayerGrades+'!$AD$9,"B-",IF(J133&lt;'PlayerGrades+'!$AD$8,"B",IF(J133&lt;'PlayerGrades+'!$AD$7,"B+",IF(J133&lt;'PlayerGrades+'!$AD$6,"A-",IF(J133&lt;'PlayerGrades+'!$AD$5,"A",IF(J133&lt;'PlayerGrades+'!$AD$4,"A+",IF(J133&lt;'PlayerGrades+'!$AD$3,"S-",IF(J133&lt;'PlayerGrades+'!$AD$2,"S","S+"))))))))))))))))))))</f>
        <v>#DIV/0!</v>
      </c>
      <c r="L133" s="1176" t="str">
        <f t="shared" si="5"/>
        <v>#DIV/0!</v>
      </c>
      <c r="M133" s="992" t="str">
        <f>IF(L133&lt;'PlayerGrades+'!$AE$21,"F-",IF(L133&lt;'PlayerGrades+'!$AE$20,"F",IF(L133&lt;'PlayerGrades+'!$AE$19,"F+",IF(L133&lt;'PlayerGrades+'!$AE$18,"E-",IF(L133&lt;'PlayerGrades+'!$AE$17,"E",IF(L133&lt;'PlayerGrades+'!$AE$16,"E+",IF(L133&lt;'PlayerGrades+'!$AE$15,"D-",IF(L133&lt;'PlayerGrades+'!$AE$14,"D",IF(L133&lt;'PlayerGrades+'!$AE$13,"D+",IF(L133&lt;'PlayerGrades+'!$AE$12,"C-",IF(L133&lt;'PlayerGrades+'!$AE$11,"C",IF(L133&lt;'PlayerGrades+'!$AE$10,"C+",IF(L133&lt;'PlayerGrades+'!$AE$9,"B-",IF(L133&lt;'PlayerGrades+'!$AE$8,"B",IF(L133&lt;'PlayerGrades+'!$AE$7,"B+",IF(L133&lt;'PlayerGrades+'!$AE$6,"A-",IF(L133&lt;'PlayerGrades+'!$AE$5,"A",IF(L133&lt;'PlayerGrades+'!$AE$4,"A+",IF(L133&lt;'PlayerGrades+'!$AE$3,"S-",IF(L133&lt;'PlayerGrades+'!$AE$2,"S","S+"))))))))))))))))))))</f>
        <v>#DIV/0!</v>
      </c>
      <c r="N133" s="961" t="str">
        <f t="shared" si="6"/>
        <v>#DIV/0!</v>
      </c>
      <c r="O133" s="961" t="str">
        <f>IF(N133&lt;'PlayerGrades+'!$AF$21,"F-",IF(N133&lt;'PlayerGrades+'!$AF$20,"F",IF(N133&lt;'PlayerGrades+'!$AF$19,"F+",IF(N133&lt;'PlayerGrades+'!$AF$18,"E-",IF(N133&lt;'PlayerGrades+'!$AF$17,"E",IF(N133&lt;'PlayerGrades+'!$AF$16,"E+",IF(N133&lt;'PlayerGrades+'!$AF$15,"D-",IF(N133&lt;'PlayerGrades+'!$AF$14,"D",IF(N133&lt;'PlayerGrades+'!$AF$13,"D+",IF(N133&lt;'PlayerGrades+'!$AF$12,"C-",IF(N133&lt;'PlayerGrades+'!$AF$11,"C",IF(N133&lt;'PlayerGrades+'!$AF$10,"C+",IF(N133&lt;'PlayerGrades+'!$AF$9,"B-",IF(N133&lt;'PlayerGrades+'!$AF$8,"B",IF(N133&lt;'PlayerGrades+'!$AF$7,"B+",IF(N133&lt;'PlayerGrades+'!$AF$6,"A-",IF(N133&lt;'PlayerGrades+'!$AF$5,"A",IF(N133&lt;'PlayerGrades+'!$AF$4,"A+",IF(N133&lt;'PlayerGrades+'!$AF$3,"S-",IF(N133&lt;'PlayerGrades+'!$AF$2,"S","S+"))))))))))))))))))))</f>
        <v>#DIV/0!</v>
      </c>
      <c r="P133" s="961" t="str">
        <f t="shared" si="7"/>
        <v>#DIV/0!</v>
      </c>
      <c r="Q133" s="961" t="str">
        <f>IF(P133&lt;'PlayerGrades+'!$AG$21,"F-",IF(P133&lt;'PlayerGrades+'!$AG$20,"F",IF(P133&lt;'PlayerGrades+'!$AG$19,"F+",IF(P133&lt;'PlayerGrades+'!$AG$18,"E-",IF(P133&lt;'PlayerGrades+'!$AG$17,"E",IF(P133&lt;'PlayerGrades+'!$AG$16,"E+",IF(P133&lt;'PlayerGrades+'!$AG$15,"D-",IF(P133&lt;'PlayerGrades+'!$AG$14,"D",IF(P133&lt;'PlayerGrades+'!$AG$13,"D+",IF(P133&lt;'PlayerGrades+'!$AG$12,"C-",IF(P133&lt;'PlayerGrades+'!$AG$11,"C",IF(P133&lt;'PlayerGrades+'!$AG$10,"C+",IF(P133&lt;'PlayerGrades+'!$AG$9,"B-",IF(P133&lt;'PlayerGrades+'!$AG$8,"B",IF(P133&lt;'PlayerGrades+'!$AG$7,"B+",IF(P133&lt;'PlayerGrades+'!$AG$6,"A-",IF(P133&lt;'PlayerGrades+'!$AG$5,"A",IF(P133&lt;'PlayerGrades+'!$AG$4,"A+",IF(P133&lt;'PlayerGrades+'!$AG$3,"S-",IF(P133&lt;'PlayerGrades+'!$AG$2,"S","S+"))))))))))))))))))))</f>
        <v>#DIV/0!</v>
      </c>
      <c r="R133" s="961" t="str">
        <f t="shared" si="8"/>
        <v>#DIV/0!</v>
      </c>
      <c r="S133" s="961" t="str">
        <f>IF(R133&lt;'PlayerGrades+'!$AH$21,"F-",IF(R133&lt;'PlayerGrades+'!$AH$20,"F",IF(R133&lt;'PlayerGrades+'!$AH$19,"F+",IF(R133&lt;'PlayerGrades+'!$AH$18,"E-",IF(R133&lt;'PlayerGrades+'!$AH$17,"E",IF(R133&lt;'PlayerGrades+'!$AH$16,"E+",IF(R133&lt;'PlayerGrades+'!$AH$15,"D-",IF(R133&lt;'PlayerGrades+'!$AH$14,"D",IF(R133&lt;'PlayerGrades+'!$AH$13,"D+",IF(R133&lt;'PlayerGrades+'!$AH$12,"C-",IF(R133&lt;'PlayerGrades+'!$AH$11,"C",IF(R133&lt;'PlayerGrades+'!$AH$10,"C+",IF(R133&lt;'PlayerGrades+'!$AH$9,"B-",IF(R133&lt;'PlayerGrades+'!$AH$8,"B",IF(R133&lt;'PlayerGrades+'!$AH$7,"B+",IF(R133&lt;'PlayerGrades+'!$AH$6,"A-",IF(R133&lt;'PlayerGrades+'!$AH$5,"A",IF(R133&lt;'PlayerGrades+'!$AH$4,"A+",IF(R133&lt;'PlayerGrades+'!$AH$3,"S-",IF(R133&lt;'PlayerGrades+'!$AH$2,"S","S+"))))))))))))))))))))</f>
        <v>#DIV/0!</v>
      </c>
      <c r="T133" s="961">
        <f t="shared" si="9"/>
        <v>0</v>
      </c>
      <c r="U133" s="961" t="str">
        <f>IF(T133&lt;'PlayerGrades+'!$AI$21,"F-",IF(T133&lt;'PlayerGrades+'!$AI$20,"F",IF(T133&lt;'PlayerGrades+'!$AI$19,"F+",IF(T133&lt;'PlayerGrades+'!$AI$18,"E-",IF(T133&lt;'PlayerGrades+'!$AI$17,"E",IF(T133&lt;'PlayerGrades+'!$AI$16,"E+",IF(T133&lt;'PlayerGrades+'!$AI$15,"D-",IF(T133&lt;'PlayerGrades+'!$AI$14,"D",IF(T133&lt;'PlayerGrades+'!$AI$13,"D+",IF(T133&lt;'PlayerGrades+'!$AI$12,"C-",IF(T133&lt;'PlayerGrades+'!$AI$11,"C",IF(T133&lt;'PlayerGrades+'!$AI$10,"C+",IF(T133&lt;'PlayerGrades+'!$AI$9,"B-",IF(T133&lt;'PlayerGrades+'!$AI$8,"B",IF(T133&lt;'PlayerGrades+'!$AI$7,"B+",IF(T133&lt;'PlayerGrades+'!$AI$6,"A-",IF(T133&lt;'PlayerGrades+'!$AI$5,"A",IF(T133&lt;'PlayerGrades+'!$AI$4,"A+",IF(T133&lt;'PlayerGrades+'!$AI$3,"S-",IF(T133&lt;'PlayerGrades+'!$AI$2,"S","S+"))))))))))))))))))))</f>
        <v>F-</v>
      </c>
      <c r="AC133" s="1392"/>
    </row>
    <row r="134">
      <c r="A134" s="1391"/>
      <c r="B134" s="611" t="str">
        <f>IF(C134&lt;'PlayerGrades+'!$Y$44,"F-",IF(C134&lt;'PlayerGrades+'!$Y$43,"F",IF(C134&lt;'PlayerGrades+'!$Y$42,"F+",IF(C134&lt;'PlayerGrades+'!$Y$41,"E-",IF(C134&lt;'PlayerGrades+'!$Y$40,"E",IF(C134&lt;'PlayerGrades+'!$Y$39,"E+",IF(C134&lt;'PlayerGrades+'!$Y$38,"D-",IF(C134&lt;'PlayerGrades+'!$Y$37,"D",IF(C134&lt;'PlayerGrades+'!$Y$36,"D+",IF(C134&lt;'PlayerGrades+'!$Y$35,"C-",IF(C134&lt;'PlayerGrades+'!$Y$34,"C",IF(C134&lt;'PlayerGrades+'!$Y$33,"C+",IF(C134&lt;'PlayerGrades+'!$Y$32,"B-",IF(C134&lt;'PlayerGrades+'!$Y$31,"B",IF(C134&lt;'PlayerGrades+'!$Y$30,"B+",IF(C134&lt;'PlayerGrades+'!$Y$29,"A-",IF(C134&lt;'PlayerGrades+'!$Y$28,"A",IF(C134&lt;'PlayerGrades+'!$Y$27,"A+",IF(C134&lt;'PlayerGrades+'!$Y$26,"S-",IF(C134&lt;'PlayerGrades+'!$Y$25,"S","S+"))))))))))))))))))))</f>
        <v>#DIV/0!</v>
      </c>
      <c r="C134" s="1378" t="str">
        <f>('PlayerGrades+'!$Y$47*(VLOOKUP(E134, 'PlayerGrades+'!$X$3:$Y$23, 2, FALSE)))+('PlayerGrades+'!$Y$48*(VLOOKUP(G134, 'PlayerGrades+'!$X$3:$Y$23, 2, FALSE)))+('PlayerGrades+'!$Y$49*(VLOOKUP(I134, 'PlayerGrades+'!$X$3:$Y$23, 2, FALSE)))+('PlayerGrades+'!$Y$50*(VLOOKUP(K134, 'PlayerGrades+'!$X$3:$Y$23, 2, FALSE)))+('PlayerGrades+'!$Y$51*(VLOOKUP(M134, 'PlayerGrades+'!$X$3:$Y$23, 2, FALSE)))+('PlayerGrades+'!$Y$52*(VLOOKUP(O134, 'PlayerGrades+'!$X$3:$Y$23, 2, FALSE)))+('PlayerGrades+'!$Y$53*(VLOOKUP(Q134, 'PlayerGrades+'!$X$3:$Y$23, 2, FALSE)))+('PlayerGrades+'!$Y$54*(VLOOKUP(S134, 'PlayerGrades+'!$X$3:$Y$23, 2, FALSE)))+('PlayerGrades+'!$Y$55*(VLOOKUP(U134, 'PlayerGrades+'!$X$3:$Y$23, 2, FALSE)))</f>
        <v>#DIV/0!</v>
      </c>
      <c r="D134" s="961" t="str">
        <f t="shared" si="1"/>
        <v>#DIV/0!</v>
      </c>
      <c r="E134" s="961" t="str">
        <f>IF(D134&lt;'PlayerGrades+'!$AA$21,"F-",IF(D134&lt;'PlayerGrades+'!$AA$20,"F",IF(D134&lt;'PlayerGrades+'!$AA$19,"F+",IF(D134&lt;'PlayerGrades+'!$AA$18,"E-",IF(D134&lt;'PlayerGrades+'!$AA$17,"E",IF(D134&lt;'PlayerGrades+'!$AA$16,"E+",IF(D134&lt;'PlayerGrades+'!$AA$15,"D-",IF(D134&lt;'PlayerGrades+'!$AA$14,"D",IF(D134&lt;'PlayerGrades+'!$AA$13,"D+",IF(D134&lt;'PlayerGrades+'!$AA$12,"C-",IF(D134&lt;'PlayerGrades+'!$AA$11,"C",IF(D134&lt;'PlayerGrades+'!$AA$10,"C+",IF(D134&lt;'PlayerGrades+'!$AA$9,"B-",IF(D134&lt;'PlayerGrades+'!$AA$8,"B",IF(D134&lt;'PlayerGrades+'!$AA$7,"B+",IF(D134&lt;'PlayerGrades+'!$AA$6,"A-",IF(D134&lt;'PlayerGrades+'!$AA$5,"A",IF(D134&lt;'PlayerGrades+'!$AA$4,"A+",IF(D134&lt;'PlayerGrades+'!$AA$3,"S-",IF(D134&lt;'PlayerGrades+'!$AA$2,"S","S+"))))))))))))))))))))</f>
        <v>#DIV/0!</v>
      </c>
      <c r="F134" s="961" t="str">
        <f t="shared" si="2"/>
        <v>#DIV/0!</v>
      </c>
      <c r="G134" s="961" t="str">
        <f>IF(F134&lt;'PlayerGrades+'!$AB$21,"F-",IF(F134&lt;'PlayerGrades+'!$AB$20,"F",IF(F134&lt;'PlayerGrades+'!$AB$19,"F+",IF(F134&lt;'PlayerGrades+'!$AB$18,"E-",IF(F134&lt;'PlayerGrades+'!$AB$17,"E",IF(F134&lt;'PlayerGrades+'!$AB$16,"E+",IF(F134&lt;'PlayerGrades+'!$AB$15,"D-",IF(F134&lt;'PlayerGrades+'!$AB$14,"D",IF(F134&lt;'PlayerGrades+'!$AB$13,"D+",IF(F134&lt;'PlayerGrades+'!$AB$12,"C-",IF(F134&lt;'PlayerGrades+'!$AB$11,"C",IF(F134&lt;'PlayerGrades+'!$AB$10,"C+",IF(F134&lt;'PlayerGrades+'!$AB$9,"B-",IF(F134&lt;'PlayerGrades+'!$AB$8,"B",IF(F134&lt;'PlayerGrades+'!$AB$7,"B+",IF(F134&lt;'PlayerGrades+'!$AB$6,"A-",IF(F134&lt;'PlayerGrades+'!$AB$5,"A",IF(F134&lt;'PlayerGrades+'!$AB$4,"A+",IF(F134&lt;'PlayerGrades+'!$AB$3,"S-",IF(F134&lt;'PlayerGrades+'!$AB$2,"S","S+"))))))))))))))))))))</f>
        <v>#DIV/0!</v>
      </c>
      <c r="H134" s="961" t="str">
        <f t="shared" si="3"/>
        <v>#DIV/0!</v>
      </c>
      <c r="I134" s="961" t="str">
        <f>IF(H134&lt;'PlayerGrades+'!$AC$21,"F-",IF(H134&lt;'PlayerGrades+'!$AC$20,"F",IF(H134&lt;'PlayerGrades+'!$AC$19,"F+",IF(H134&lt;'PlayerGrades+'!$AC$18,"E-",IF(H134&lt;'PlayerGrades+'!$AC$17,"E",IF(H134&lt;'PlayerGrades+'!$AC$16,"E+",IF(H134&lt;'PlayerGrades+'!$AC$15,"D-",IF(H134&lt;'PlayerGrades+'!$AC$14,"D",IF(H134&lt;'PlayerGrades+'!$AC$13,"D+",IF(H134&lt;'PlayerGrades+'!$AC$12,"C-",IF(H134&lt;'PlayerGrades+'!$AC$11,"C",IF(H134&lt;'PlayerGrades+'!$AC$10,"C+",IF(H134&lt;'PlayerGrades+'!$AC$9,"B-",IF(H134&lt;'PlayerGrades+'!$AC$8,"B",IF(H134&lt;'PlayerGrades+'!$AC$7,"B+",IF(H134&lt;'PlayerGrades+'!$AC$6,"A-",IF(H134&lt;'PlayerGrades+'!$AC$5,"A",IF(H134&lt;'PlayerGrades+'!$AC$4,"A+",IF(H134&lt;'PlayerGrades+'!$AC$3,"S-",IF(H134&lt;'PlayerGrades+'!$AC$2,"S","S+"))))))))))))))))))))</f>
        <v>#DIV/0!</v>
      </c>
      <c r="J134" s="961" t="str">
        <f t="shared" si="4"/>
        <v>#DIV/0!</v>
      </c>
      <c r="K134" s="961" t="str">
        <f>IF(J134&lt;'PlayerGrades+'!$AD$21,"F-",IF(J134&lt;'PlayerGrades+'!$AD$20,"F",IF(J134&lt;'PlayerGrades+'!$AD$19,"F+",IF(J134&lt;'PlayerGrades+'!$AD$18,"E-",IF(J134&lt;'PlayerGrades+'!$AD$17,"E",IF(J134&lt;'PlayerGrades+'!$AD$16,"E+",IF(J134&lt;'PlayerGrades+'!$AD$15,"D-",IF(J134&lt;'PlayerGrades+'!$AD$14,"D",IF(J134&lt;'PlayerGrades+'!$AD$13,"D+",IF(J134&lt;'PlayerGrades+'!$AD$12,"C-",IF(J134&lt;'PlayerGrades+'!$AD$11,"C",IF(J134&lt;'PlayerGrades+'!$AD$10,"C+",IF(J134&lt;'PlayerGrades+'!$AD$9,"B-",IF(J134&lt;'PlayerGrades+'!$AD$8,"B",IF(J134&lt;'PlayerGrades+'!$AD$7,"B+",IF(J134&lt;'PlayerGrades+'!$AD$6,"A-",IF(J134&lt;'PlayerGrades+'!$AD$5,"A",IF(J134&lt;'PlayerGrades+'!$AD$4,"A+",IF(J134&lt;'PlayerGrades+'!$AD$3,"S-",IF(J134&lt;'PlayerGrades+'!$AD$2,"S","S+"))))))))))))))))))))</f>
        <v>#DIV/0!</v>
      </c>
      <c r="L134" s="1176" t="str">
        <f t="shared" si="5"/>
        <v>#DIV/0!</v>
      </c>
      <c r="M134" s="992" t="str">
        <f>IF(L134&lt;'PlayerGrades+'!$AE$21,"F-",IF(L134&lt;'PlayerGrades+'!$AE$20,"F",IF(L134&lt;'PlayerGrades+'!$AE$19,"F+",IF(L134&lt;'PlayerGrades+'!$AE$18,"E-",IF(L134&lt;'PlayerGrades+'!$AE$17,"E",IF(L134&lt;'PlayerGrades+'!$AE$16,"E+",IF(L134&lt;'PlayerGrades+'!$AE$15,"D-",IF(L134&lt;'PlayerGrades+'!$AE$14,"D",IF(L134&lt;'PlayerGrades+'!$AE$13,"D+",IF(L134&lt;'PlayerGrades+'!$AE$12,"C-",IF(L134&lt;'PlayerGrades+'!$AE$11,"C",IF(L134&lt;'PlayerGrades+'!$AE$10,"C+",IF(L134&lt;'PlayerGrades+'!$AE$9,"B-",IF(L134&lt;'PlayerGrades+'!$AE$8,"B",IF(L134&lt;'PlayerGrades+'!$AE$7,"B+",IF(L134&lt;'PlayerGrades+'!$AE$6,"A-",IF(L134&lt;'PlayerGrades+'!$AE$5,"A",IF(L134&lt;'PlayerGrades+'!$AE$4,"A+",IF(L134&lt;'PlayerGrades+'!$AE$3,"S-",IF(L134&lt;'PlayerGrades+'!$AE$2,"S","S+"))))))))))))))))))))</f>
        <v>#DIV/0!</v>
      </c>
      <c r="N134" s="961" t="str">
        <f t="shared" si="6"/>
        <v>#DIV/0!</v>
      </c>
      <c r="O134" s="961" t="str">
        <f>IF(N134&lt;'PlayerGrades+'!$AF$21,"F-",IF(N134&lt;'PlayerGrades+'!$AF$20,"F",IF(N134&lt;'PlayerGrades+'!$AF$19,"F+",IF(N134&lt;'PlayerGrades+'!$AF$18,"E-",IF(N134&lt;'PlayerGrades+'!$AF$17,"E",IF(N134&lt;'PlayerGrades+'!$AF$16,"E+",IF(N134&lt;'PlayerGrades+'!$AF$15,"D-",IF(N134&lt;'PlayerGrades+'!$AF$14,"D",IF(N134&lt;'PlayerGrades+'!$AF$13,"D+",IF(N134&lt;'PlayerGrades+'!$AF$12,"C-",IF(N134&lt;'PlayerGrades+'!$AF$11,"C",IF(N134&lt;'PlayerGrades+'!$AF$10,"C+",IF(N134&lt;'PlayerGrades+'!$AF$9,"B-",IF(N134&lt;'PlayerGrades+'!$AF$8,"B",IF(N134&lt;'PlayerGrades+'!$AF$7,"B+",IF(N134&lt;'PlayerGrades+'!$AF$6,"A-",IF(N134&lt;'PlayerGrades+'!$AF$5,"A",IF(N134&lt;'PlayerGrades+'!$AF$4,"A+",IF(N134&lt;'PlayerGrades+'!$AF$3,"S-",IF(N134&lt;'PlayerGrades+'!$AF$2,"S","S+"))))))))))))))))))))</f>
        <v>#DIV/0!</v>
      </c>
      <c r="P134" s="961" t="str">
        <f t="shared" si="7"/>
        <v>#DIV/0!</v>
      </c>
      <c r="Q134" s="961" t="str">
        <f>IF(P134&lt;'PlayerGrades+'!$AG$21,"F-",IF(P134&lt;'PlayerGrades+'!$AG$20,"F",IF(P134&lt;'PlayerGrades+'!$AG$19,"F+",IF(P134&lt;'PlayerGrades+'!$AG$18,"E-",IF(P134&lt;'PlayerGrades+'!$AG$17,"E",IF(P134&lt;'PlayerGrades+'!$AG$16,"E+",IF(P134&lt;'PlayerGrades+'!$AG$15,"D-",IF(P134&lt;'PlayerGrades+'!$AG$14,"D",IF(P134&lt;'PlayerGrades+'!$AG$13,"D+",IF(P134&lt;'PlayerGrades+'!$AG$12,"C-",IF(P134&lt;'PlayerGrades+'!$AG$11,"C",IF(P134&lt;'PlayerGrades+'!$AG$10,"C+",IF(P134&lt;'PlayerGrades+'!$AG$9,"B-",IF(P134&lt;'PlayerGrades+'!$AG$8,"B",IF(P134&lt;'PlayerGrades+'!$AG$7,"B+",IF(P134&lt;'PlayerGrades+'!$AG$6,"A-",IF(P134&lt;'PlayerGrades+'!$AG$5,"A",IF(P134&lt;'PlayerGrades+'!$AG$4,"A+",IF(P134&lt;'PlayerGrades+'!$AG$3,"S-",IF(P134&lt;'PlayerGrades+'!$AG$2,"S","S+"))))))))))))))))))))</f>
        <v>#DIV/0!</v>
      </c>
      <c r="R134" s="961" t="str">
        <f t="shared" si="8"/>
        <v>#DIV/0!</v>
      </c>
      <c r="S134" s="961" t="str">
        <f>IF(R134&lt;'PlayerGrades+'!$AH$21,"F-",IF(R134&lt;'PlayerGrades+'!$AH$20,"F",IF(R134&lt;'PlayerGrades+'!$AH$19,"F+",IF(R134&lt;'PlayerGrades+'!$AH$18,"E-",IF(R134&lt;'PlayerGrades+'!$AH$17,"E",IF(R134&lt;'PlayerGrades+'!$AH$16,"E+",IF(R134&lt;'PlayerGrades+'!$AH$15,"D-",IF(R134&lt;'PlayerGrades+'!$AH$14,"D",IF(R134&lt;'PlayerGrades+'!$AH$13,"D+",IF(R134&lt;'PlayerGrades+'!$AH$12,"C-",IF(R134&lt;'PlayerGrades+'!$AH$11,"C",IF(R134&lt;'PlayerGrades+'!$AH$10,"C+",IF(R134&lt;'PlayerGrades+'!$AH$9,"B-",IF(R134&lt;'PlayerGrades+'!$AH$8,"B",IF(R134&lt;'PlayerGrades+'!$AH$7,"B+",IF(R134&lt;'PlayerGrades+'!$AH$6,"A-",IF(R134&lt;'PlayerGrades+'!$AH$5,"A",IF(R134&lt;'PlayerGrades+'!$AH$4,"A+",IF(R134&lt;'PlayerGrades+'!$AH$3,"S-",IF(R134&lt;'PlayerGrades+'!$AH$2,"S","S+"))))))))))))))))))))</f>
        <v>#DIV/0!</v>
      </c>
      <c r="T134" s="961">
        <f t="shared" si="9"/>
        <v>0</v>
      </c>
      <c r="U134" s="961" t="str">
        <f>IF(T134&lt;'PlayerGrades+'!$AI$21,"F-",IF(T134&lt;'PlayerGrades+'!$AI$20,"F",IF(T134&lt;'PlayerGrades+'!$AI$19,"F+",IF(T134&lt;'PlayerGrades+'!$AI$18,"E-",IF(T134&lt;'PlayerGrades+'!$AI$17,"E",IF(T134&lt;'PlayerGrades+'!$AI$16,"E+",IF(T134&lt;'PlayerGrades+'!$AI$15,"D-",IF(T134&lt;'PlayerGrades+'!$AI$14,"D",IF(T134&lt;'PlayerGrades+'!$AI$13,"D+",IF(T134&lt;'PlayerGrades+'!$AI$12,"C-",IF(T134&lt;'PlayerGrades+'!$AI$11,"C",IF(T134&lt;'PlayerGrades+'!$AI$10,"C+",IF(T134&lt;'PlayerGrades+'!$AI$9,"B-",IF(T134&lt;'PlayerGrades+'!$AI$8,"B",IF(T134&lt;'PlayerGrades+'!$AI$7,"B+",IF(T134&lt;'PlayerGrades+'!$AI$6,"A-",IF(T134&lt;'PlayerGrades+'!$AI$5,"A",IF(T134&lt;'PlayerGrades+'!$AI$4,"A+",IF(T134&lt;'PlayerGrades+'!$AI$3,"S-",IF(T134&lt;'PlayerGrades+'!$AI$2,"S","S+"))))))))))))))))))))</f>
        <v>F-</v>
      </c>
      <c r="AC134" s="1392"/>
    </row>
    <row r="135">
      <c r="A135" s="1391"/>
      <c r="B135" s="611" t="str">
        <f>IF(C135&lt;'PlayerGrades+'!$Y$44,"F-",IF(C135&lt;'PlayerGrades+'!$Y$43,"F",IF(C135&lt;'PlayerGrades+'!$Y$42,"F+",IF(C135&lt;'PlayerGrades+'!$Y$41,"E-",IF(C135&lt;'PlayerGrades+'!$Y$40,"E",IF(C135&lt;'PlayerGrades+'!$Y$39,"E+",IF(C135&lt;'PlayerGrades+'!$Y$38,"D-",IF(C135&lt;'PlayerGrades+'!$Y$37,"D",IF(C135&lt;'PlayerGrades+'!$Y$36,"D+",IF(C135&lt;'PlayerGrades+'!$Y$35,"C-",IF(C135&lt;'PlayerGrades+'!$Y$34,"C",IF(C135&lt;'PlayerGrades+'!$Y$33,"C+",IF(C135&lt;'PlayerGrades+'!$Y$32,"B-",IF(C135&lt;'PlayerGrades+'!$Y$31,"B",IF(C135&lt;'PlayerGrades+'!$Y$30,"B+",IF(C135&lt;'PlayerGrades+'!$Y$29,"A-",IF(C135&lt;'PlayerGrades+'!$Y$28,"A",IF(C135&lt;'PlayerGrades+'!$Y$27,"A+",IF(C135&lt;'PlayerGrades+'!$Y$26,"S-",IF(C135&lt;'PlayerGrades+'!$Y$25,"S","S+"))))))))))))))))))))</f>
        <v>#DIV/0!</v>
      </c>
      <c r="C135" s="1378" t="str">
        <f>('PlayerGrades+'!$Y$47*(VLOOKUP(E135, 'PlayerGrades+'!$X$3:$Y$23, 2, FALSE)))+('PlayerGrades+'!$Y$48*(VLOOKUP(G135, 'PlayerGrades+'!$X$3:$Y$23, 2, FALSE)))+('PlayerGrades+'!$Y$49*(VLOOKUP(I135, 'PlayerGrades+'!$X$3:$Y$23, 2, FALSE)))+('PlayerGrades+'!$Y$50*(VLOOKUP(K135, 'PlayerGrades+'!$X$3:$Y$23, 2, FALSE)))+('PlayerGrades+'!$Y$51*(VLOOKUP(M135, 'PlayerGrades+'!$X$3:$Y$23, 2, FALSE)))+('PlayerGrades+'!$Y$52*(VLOOKUP(O135, 'PlayerGrades+'!$X$3:$Y$23, 2, FALSE)))+('PlayerGrades+'!$Y$53*(VLOOKUP(Q135, 'PlayerGrades+'!$X$3:$Y$23, 2, FALSE)))+('PlayerGrades+'!$Y$54*(VLOOKUP(S135, 'PlayerGrades+'!$X$3:$Y$23, 2, FALSE)))+('PlayerGrades+'!$Y$55*(VLOOKUP(U135, 'PlayerGrades+'!$X$3:$Y$23, 2, FALSE)))</f>
        <v>#DIV/0!</v>
      </c>
      <c r="D135" s="961" t="str">
        <f t="shared" si="1"/>
        <v>#DIV/0!</v>
      </c>
      <c r="E135" s="961" t="str">
        <f>IF(D135&lt;'PlayerGrades+'!$AA$21,"F-",IF(D135&lt;'PlayerGrades+'!$AA$20,"F",IF(D135&lt;'PlayerGrades+'!$AA$19,"F+",IF(D135&lt;'PlayerGrades+'!$AA$18,"E-",IF(D135&lt;'PlayerGrades+'!$AA$17,"E",IF(D135&lt;'PlayerGrades+'!$AA$16,"E+",IF(D135&lt;'PlayerGrades+'!$AA$15,"D-",IF(D135&lt;'PlayerGrades+'!$AA$14,"D",IF(D135&lt;'PlayerGrades+'!$AA$13,"D+",IF(D135&lt;'PlayerGrades+'!$AA$12,"C-",IF(D135&lt;'PlayerGrades+'!$AA$11,"C",IF(D135&lt;'PlayerGrades+'!$AA$10,"C+",IF(D135&lt;'PlayerGrades+'!$AA$9,"B-",IF(D135&lt;'PlayerGrades+'!$AA$8,"B",IF(D135&lt;'PlayerGrades+'!$AA$7,"B+",IF(D135&lt;'PlayerGrades+'!$AA$6,"A-",IF(D135&lt;'PlayerGrades+'!$AA$5,"A",IF(D135&lt;'PlayerGrades+'!$AA$4,"A+",IF(D135&lt;'PlayerGrades+'!$AA$3,"S-",IF(D135&lt;'PlayerGrades+'!$AA$2,"S","S+"))))))))))))))))))))</f>
        <v>#DIV/0!</v>
      </c>
      <c r="F135" s="961" t="str">
        <f t="shared" si="2"/>
        <v>#DIV/0!</v>
      </c>
      <c r="G135" s="961" t="str">
        <f>IF(F135&lt;'PlayerGrades+'!$AB$21,"F-",IF(F135&lt;'PlayerGrades+'!$AB$20,"F",IF(F135&lt;'PlayerGrades+'!$AB$19,"F+",IF(F135&lt;'PlayerGrades+'!$AB$18,"E-",IF(F135&lt;'PlayerGrades+'!$AB$17,"E",IF(F135&lt;'PlayerGrades+'!$AB$16,"E+",IF(F135&lt;'PlayerGrades+'!$AB$15,"D-",IF(F135&lt;'PlayerGrades+'!$AB$14,"D",IF(F135&lt;'PlayerGrades+'!$AB$13,"D+",IF(F135&lt;'PlayerGrades+'!$AB$12,"C-",IF(F135&lt;'PlayerGrades+'!$AB$11,"C",IF(F135&lt;'PlayerGrades+'!$AB$10,"C+",IF(F135&lt;'PlayerGrades+'!$AB$9,"B-",IF(F135&lt;'PlayerGrades+'!$AB$8,"B",IF(F135&lt;'PlayerGrades+'!$AB$7,"B+",IF(F135&lt;'PlayerGrades+'!$AB$6,"A-",IF(F135&lt;'PlayerGrades+'!$AB$5,"A",IF(F135&lt;'PlayerGrades+'!$AB$4,"A+",IF(F135&lt;'PlayerGrades+'!$AB$3,"S-",IF(F135&lt;'PlayerGrades+'!$AB$2,"S","S+"))))))))))))))))))))</f>
        <v>#DIV/0!</v>
      </c>
      <c r="H135" s="961" t="str">
        <f t="shared" si="3"/>
        <v>#DIV/0!</v>
      </c>
      <c r="I135" s="961" t="str">
        <f>IF(H135&lt;'PlayerGrades+'!$AC$21,"F-",IF(H135&lt;'PlayerGrades+'!$AC$20,"F",IF(H135&lt;'PlayerGrades+'!$AC$19,"F+",IF(H135&lt;'PlayerGrades+'!$AC$18,"E-",IF(H135&lt;'PlayerGrades+'!$AC$17,"E",IF(H135&lt;'PlayerGrades+'!$AC$16,"E+",IF(H135&lt;'PlayerGrades+'!$AC$15,"D-",IF(H135&lt;'PlayerGrades+'!$AC$14,"D",IF(H135&lt;'PlayerGrades+'!$AC$13,"D+",IF(H135&lt;'PlayerGrades+'!$AC$12,"C-",IF(H135&lt;'PlayerGrades+'!$AC$11,"C",IF(H135&lt;'PlayerGrades+'!$AC$10,"C+",IF(H135&lt;'PlayerGrades+'!$AC$9,"B-",IF(H135&lt;'PlayerGrades+'!$AC$8,"B",IF(H135&lt;'PlayerGrades+'!$AC$7,"B+",IF(H135&lt;'PlayerGrades+'!$AC$6,"A-",IF(H135&lt;'PlayerGrades+'!$AC$5,"A",IF(H135&lt;'PlayerGrades+'!$AC$4,"A+",IF(H135&lt;'PlayerGrades+'!$AC$3,"S-",IF(H135&lt;'PlayerGrades+'!$AC$2,"S","S+"))))))))))))))))))))</f>
        <v>#DIV/0!</v>
      </c>
      <c r="J135" s="961" t="str">
        <f t="shared" si="4"/>
        <v>#DIV/0!</v>
      </c>
      <c r="K135" s="961" t="str">
        <f>IF(J135&lt;'PlayerGrades+'!$AD$21,"F-",IF(J135&lt;'PlayerGrades+'!$AD$20,"F",IF(J135&lt;'PlayerGrades+'!$AD$19,"F+",IF(J135&lt;'PlayerGrades+'!$AD$18,"E-",IF(J135&lt;'PlayerGrades+'!$AD$17,"E",IF(J135&lt;'PlayerGrades+'!$AD$16,"E+",IF(J135&lt;'PlayerGrades+'!$AD$15,"D-",IF(J135&lt;'PlayerGrades+'!$AD$14,"D",IF(J135&lt;'PlayerGrades+'!$AD$13,"D+",IF(J135&lt;'PlayerGrades+'!$AD$12,"C-",IF(J135&lt;'PlayerGrades+'!$AD$11,"C",IF(J135&lt;'PlayerGrades+'!$AD$10,"C+",IF(J135&lt;'PlayerGrades+'!$AD$9,"B-",IF(J135&lt;'PlayerGrades+'!$AD$8,"B",IF(J135&lt;'PlayerGrades+'!$AD$7,"B+",IF(J135&lt;'PlayerGrades+'!$AD$6,"A-",IF(J135&lt;'PlayerGrades+'!$AD$5,"A",IF(J135&lt;'PlayerGrades+'!$AD$4,"A+",IF(J135&lt;'PlayerGrades+'!$AD$3,"S-",IF(J135&lt;'PlayerGrades+'!$AD$2,"S","S+"))))))))))))))))))))</f>
        <v>#DIV/0!</v>
      </c>
      <c r="L135" s="1176" t="str">
        <f t="shared" si="5"/>
        <v>#DIV/0!</v>
      </c>
      <c r="M135" s="992" t="str">
        <f>IF(L135&lt;'PlayerGrades+'!$AE$21,"F-",IF(L135&lt;'PlayerGrades+'!$AE$20,"F",IF(L135&lt;'PlayerGrades+'!$AE$19,"F+",IF(L135&lt;'PlayerGrades+'!$AE$18,"E-",IF(L135&lt;'PlayerGrades+'!$AE$17,"E",IF(L135&lt;'PlayerGrades+'!$AE$16,"E+",IF(L135&lt;'PlayerGrades+'!$AE$15,"D-",IF(L135&lt;'PlayerGrades+'!$AE$14,"D",IF(L135&lt;'PlayerGrades+'!$AE$13,"D+",IF(L135&lt;'PlayerGrades+'!$AE$12,"C-",IF(L135&lt;'PlayerGrades+'!$AE$11,"C",IF(L135&lt;'PlayerGrades+'!$AE$10,"C+",IF(L135&lt;'PlayerGrades+'!$AE$9,"B-",IF(L135&lt;'PlayerGrades+'!$AE$8,"B",IF(L135&lt;'PlayerGrades+'!$AE$7,"B+",IF(L135&lt;'PlayerGrades+'!$AE$6,"A-",IF(L135&lt;'PlayerGrades+'!$AE$5,"A",IF(L135&lt;'PlayerGrades+'!$AE$4,"A+",IF(L135&lt;'PlayerGrades+'!$AE$3,"S-",IF(L135&lt;'PlayerGrades+'!$AE$2,"S","S+"))))))))))))))))))))</f>
        <v>#DIV/0!</v>
      </c>
      <c r="N135" s="961" t="str">
        <f t="shared" si="6"/>
        <v>#DIV/0!</v>
      </c>
      <c r="O135" s="961" t="str">
        <f>IF(N135&lt;'PlayerGrades+'!$AF$21,"F-",IF(N135&lt;'PlayerGrades+'!$AF$20,"F",IF(N135&lt;'PlayerGrades+'!$AF$19,"F+",IF(N135&lt;'PlayerGrades+'!$AF$18,"E-",IF(N135&lt;'PlayerGrades+'!$AF$17,"E",IF(N135&lt;'PlayerGrades+'!$AF$16,"E+",IF(N135&lt;'PlayerGrades+'!$AF$15,"D-",IF(N135&lt;'PlayerGrades+'!$AF$14,"D",IF(N135&lt;'PlayerGrades+'!$AF$13,"D+",IF(N135&lt;'PlayerGrades+'!$AF$12,"C-",IF(N135&lt;'PlayerGrades+'!$AF$11,"C",IF(N135&lt;'PlayerGrades+'!$AF$10,"C+",IF(N135&lt;'PlayerGrades+'!$AF$9,"B-",IF(N135&lt;'PlayerGrades+'!$AF$8,"B",IF(N135&lt;'PlayerGrades+'!$AF$7,"B+",IF(N135&lt;'PlayerGrades+'!$AF$6,"A-",IF(N135&lt;'PlayerGrades+'!$AF$5,"A",IF(N135&lt;'PlayerGrades+'!$AF$4,"A+",IF(N135&lt;'PlayerGrades+'!$AF$3,"S-",IF(N135&lt;'PlayerGrades+'!$AF$2,"S","S+"))))))))))))))))))))</f>
        <v>#DIV/0!</v>
      </c>
      <c r="P135" s="961" t="str">
        <f t="shared" si="7"/>
        <v>#DIV/0!</v>
      </c>
      <c r="Q135" s="961" t="str">
        <f>IF(P135&lt;'PlayerGrades+'!$AG$21,"F-",IF(P135&lt;'PlayerGrades+'!$AG$20,"F",IF(P135&lt;'PlayerGrades+'!$AG$19,"F+",IF(P135&lt;'PlayerGrades+'!$AG$18,"E-",IF(P135&lt;'PlayerGrades+'!$AG$17,"E",IF(P135&lt;'PlayerGrades+'!$AG$16,"E+",IF(P135&lt;'PlayerGrades+'!$AG$15,"D-",IF(P135&lt;'PlayerGrades+'!$AG$14,"D",IF(P135&lt;'PlayerGrades+'!$AG$13,"D+",IF(P135&lt;'PlayerGrades+'!$AG$12,"C-",IF(P135&lt;'PlayerGrades+'!$AG$11,"C",IF(P135&lt;'PlayerGrades+'!$AG$10,"C+",IF(P135&lt;'PlayerGrades+'!$AG$9,"B-",IF(P135&lt;'PlayerGrades+'!$AG$8,"B",IF(P135&lt;'PlayerGrades+'!$AG$7,"B+",IF(P135&lt;'PlayerGrades+'!$AG$6,"A-",IF(P135&lt;'PlayerGrades+'!$AG$5,"A",IF(P135&lt;'PlayerGrades+'!$AG$4,"A+",IF(P135&lt;'PlayerGrades+'!$AG$3,"S-",IF(P135&lt;'PlayerGrades+'!$AG$2,"S","S+"))))))))))))))))))))</f>
        <v>#DIV/0!</v>
      </c>
      <c r="R135" s="961" t="str">
        <f t="shared" si="8"/>
        <v>#DIV/0!</v>
      </c>
      <c r="S135" s="961" t="str">
        <f>IF(R135&lt;'PlayerGrades+'!$AH$21,"F-",IF(R135&lt;'PlayerGrades+'!$AH$20,"F",IF(R135&lt;'PlayerGrades+'!$AH$19,"F+",IF(R135&lt;'PlayerGrades+'!$AH$18,"E-",IF(R135&lt;'PlayerGrades+'!$AH$17,"E",IF(R135&lt;'PlayerGrades+'!$AH$16,"E+",IF(R135&lt;'PlayerGrades+'!$AH$15,"D-",IF(R135&lt;'PlayerGrades+'!$AH$14,"D",IF(R135&lt;'PlayerGrades+'!$AH$13,"D+",IF(R135&lt;'PlayerGrades+'!$AH$12,"C-",IF(R135&lt;'PlayerGrades+'!$AH$11,"C",IF(R135&lt;'PlayerGrades+'!$AH$10,"C+",IF(R135&lt;'PlayerGrades+'!$AH$9,"B-",IF(R135&lt;'PlayerGrades+'!$AH$8,"B",IF(R135&lt;'PlayerGrades+'!$AH$7,"B+",IF(R135&lt;'PlayerGrades+'!$AH$6,"A-",IF(R135&lt;'PlayerGrades+'!$AH$5,"A",IF(R135&lt;'PlayerGrades+'!$AH$4,"A+",IF(R135&lt;'PlayerGrades+'!$AH$3,"S-",IF(R135&lt;'PlayerGrades+'!$AH$2,"S","S+"))))))))))))))))))))</f>
        <v>#DIV/0!</v>
      </c>
      <c r="T135" s="961">
        <f t="shared" si="9"/>
        <v>0</v>
      </c>
      <c r="U135" s="961" t="str">
        <f>IF(T135&lt;'PlayerGrades+'!$AI$21,"F-",IF(T135&lt;'PlayerGrades+'!$AI$20,"F",IF(T135&lt;'PlayerGrades+'!$AI$19,"F+",IF(T135&lt;'PlayerGrades+'!$AI$18,"E-",IF(T135&lt;'PlayerGrades+'!$AI$17,"E",IF(T135&lt;'PlayerGrades+'!$AI$16,"E+",IF(T135&lt;'PlayerGrades+'!$AI$15,"D-",IF(T135&lt;'PlayerGrades+'!$AI$14,"D",IF(T135&lt;'PlayerGrades+'!$AI$13,"D+",IF(T135&lt;'PlayerGrades+'!$AI$12,"C-",IF(T135&lt;'PlayerGrades+'!$AI$11,"C",IF(T135&lt;'PlayerGrades+'!$AI$10,"C+",IF(T135&lt;'PlayerGrades+'!$AI$9,"B-",IF(T135&lt;'PlayerGrades+'!$AI$8,"B",IF(T135&lt;'PlayerGrades+'!$AI$7,"B+",IF(T135&lt;'PlayerGrades+'!$AI$6,"A-",IF(T135&lt;'PlayerGrades+'!$AI$5,"A",IF(T135&lt;'PlayerGrades+'!$AI$4,"A+",IF(T135&lt;'PlayerGrades+'!$AI$3,"S-",IF(T135&lt;'PlayerGrades+'!$AI$2,"S","S+"))))))))))))))))))))</f>
        <v>F-</v>
      </c>
      <c r="AC135" s="1392"/>
    </row>
    <row r="136">
      <c r="A136" s="1391"/>
      <c r="B136" s="611" t="str">
        <f>IF(C136&lt;'PlayerGrades+'!$Y$44,"F-",IF(C136&lt;'PlayerGrades+'!$Y$43,"F",IF(C136&lt;'PlayerGrades+'!$Y$42,"F+",IF(C136&lt;'PlayerGrades+'!$Y$41,"E-",IF(C136&lt;'PlayerGrades+'!$Y$40,"E",IF(C136&lt;'PlayerGrades+'!$Y$39,"E+",IF(C136&lt;'PlayerGrades+'!$Y$38,"D-",IF(C136&lt;'PlayerGrades+'!$Y$37,"D",IF(C136&lt;'PlayerGrades+'!$Y$36,"D+",IF(C136&lt;'PlayerGrades+'!$Y$35,"C-",IF(C136&lt;'PlayerGrades+'!$Y$34,"C",IF(C136&lt;'PlayerGrades+'!$Y$33,"C+",IF(C136&lt;'PlayerGrades+'!$Y$32,"B-",IF(C136&lt;'PlayerGrades+'!$Y$31,"B",IF(C136&lt;'PlayerGrades+'!$Y$30,"B+",IF(C136&lt;'PlayerGrades+'!$Y$29,"A-",IF(C136&lt;'PlayerGrades+'!$Y$28,"A",IF(C136&lt;'PlayerGrades+'!$Y$27,"A+",IF(C136&lt;'PlayerGrades+'!$Y$26,"S-",IF(C136&lt;'PlayerGrades+'!$Y$25,"S","S+"))))))))))))))))))))</f>
        <v>#DIV/0!</v>
      </c>
      <c r="C136" s="1378" t="str">
        <f>('PlayerGrades+'!$Y$47*(VLOOKUP(E136, 'PlayerGrades+'!$X$3:$Y$23, 2, FALSE)))+('PlayerGrades+'!$Y$48*(VLOOKUP(G136, 'PlayerGrades+'!$X$3:$Y$23, 2, FALSE)))+('PlayerGrades+'!$Y$49*(VLOOKUP(I136, 'PlayerGrades+'!$X$3:$Y$23, 2, FALSE)))+('PlayerGrades+'!$Y$50*(VLOOKUP(K136, 'PlayerGrades+'!$X$3:$Y$23, 2, FALSE)))+('PlayerGrades+'!$Y$51*(VLOOKUP(M136, 'PlayerGrades+'!$X$3:$Y$23, 2, FALSE)))+('PlayerGrades+'!$Y$52*(VLOOKUP(O136, 'PlayerGrades+'!$X$3:$Y$23, 2, FALSE)))+('PlayerGrades+'!$Y$53*(VLOOKUP(Q136, 'PlayerGrades+'!$X$3:$Y$23, 2, FALSE)))+('PlayerGrades+'!$Y$54*(VLOOKUP(S136, 'PlayerGrades+'!$X$3:$Y$23, 2, FALSE)))+('PlayerGrades+'!$Y$55*(VLOOKUP(U136, 'PlayerGrades+'!$X$3:$Y$23, 2, FALSE)))</f>
        <v>#DIV/0!</v>
      </c>
      <c r="D136" s="961" t="str">
        <f t="shared" si="1"/>
        <v>#DIV/0!</v>
      </c>
      <c r="E136" s="961" t="str">
        <f>IF(D136&lt;'PlayerGrades+'!$AA$21,"F-",IF(D136&lt;'PlayerGrades+'!$AA$20,"F",IF(D136&lt;'PlayerGrades+'!$AA$19,"F+",IF(D136&lt;'PlayerGrades+'!$AA$18,"E-",IF(D136&lt;'PlayerGrades+'!$AA$17,"E",IF(D136&lt;'PlayerGrades+'!$AA$16,"E+",IF(D136&lt;'PlayerGrades+'!$AA$15,"D-",IF(D136&lt;'PlayerGrades+'!$AA$14,"D",IF(D136&lt;'PlayerGrades+'!$AA$13,"D+",IF(D136&lt;'PlayerGrades+'!$AA$12,"C-",IF(D136&lt;'PlayerGrades+'!$AA$11,"C",IF(D136&lt;'PlayerGrades+'!$AA$10,"C+",IF(D136&lt;'PlayerGrades+'!$AA$9,"B-",IF(D136&lt;'PlayerGrades+'!$AA$8,"B",IF(D136&lt;'PlayerGrades+'!$AA$7,"B+",IF(D136&lt;'PlayerGrades+'!$AA$6,"A-",IF(D136&lt;'PlayerGrades+'!$AA$5,"A",IF(D136&lt;'PlayerGrades+'!$AA$4,"A+",IF(D136&lt;'PlayerGrades+'!$AA$3,"S-",IF(D136&lt;'PlayerGrades+'!$AA$2,"S","S+"))))))))))))))))))))</f>
        <v>#DIV/0!</v>
      </c>
      <c r="F136" s="961" t="str">
        <f t="shared" si="2"/>
        <v>#DIV/0!</v>
      </c>
      <c r="G136" s="961" t="str">
        <f>IF(F136&lt;'PlayerGrades+'!$AB$21,"F-",IF(F136&lt;'PlayerGrades+'!$AB$20,"F",IF(F136&lt;'PlayerGrades+'!$AB$19,"F+",IF(F136&lt;'PlayerGrades+'!$AB$18,"E-",IF(F136&lt;'PlayerGrades+'!$AB$17,"E",IF(F136&lt;'PlayerGrades+'!$AB$16,"E+",IF(F136&lt;'PlayerGrades+'!$AB$15,"D-",IF(F136&lt;'PlayerGrades+'!$AB$14,"D",IF(F136&lt;'PlayerGrades+'!$AB$13,"D+",IF(F136&lt;'PlayerGrades+'!$AB$12,"C-",IF(F136&lt;'PlayerGrades+'!$AB$11,"C",IF(F136&lt;'PlayerGrades+'!$AB$10,"C+",IF(F136&lt;'PlayerGrades+'!$AB$9,"B-",IF(F136&lt;'PlayerGrades+'!$AB$8,"B",IF(F136&lt;'PlayerGrades+'!$AB$7,"B+",IF(F136&lt;'PlayerGrades+'!$AB$6,"A-",IF(F136&lt;'PlayerGrades+'!$AB$5,"A",IF(F136&lt;'PlayerGrades+'!$AB$4,"A+",IF(F136&lt;'PlayerGrades+'!$AB$3,"S-",IF(F136&lt;'PlayerGrades+'!$AB$2,"S","S+"))))))))))))))))))))</f>
        <v>#DIV/0!</v>
      </c>
      <c r="H136" s="961" t="str">
        <f t="shared" si="3"/>
        <v>#DIV/0!</v>
      </c>
      <c r="I136" s="961" t="str">
        <f>IF(H136&lt;'PlayerGrades+'!$AC$21,"F-",IF(H136&lt;'PlayerGrades+'!$AC$20,"F",IF(H136&lt;'PlayerGrades+'!$AC$19,"F+",IF(H136&lt;'PlayerGrades+'!$AC$18,"E-",IF(H136&lt;'PlayerGrades+'!$AC$17,"E",IF(H136&lt;'PlayerGrades+'!$AC$16,"E+",IF(H136&lt;'PlayerGrades+'!$AC$15,"D-",IF(H136&lt;'PlayerGrades+'!$AC$14,"D",IF(H136&lt;'PlayerGrades+'!$AC$13,"D+",IF(H136&lt;'PlayerGrades+'!$AC$12,"C-",IF(H136&lt;'PlayerGrades+'!$AC$11,"C",IF(H136&lt;'PlayerGrades+'!$AC$10,"C+",IF(H136&lt;'PlayerGrades+'!$AC$9,"B-",IF(H136&lt;'PlayerGrades+'!$AC$8,"B",IF(H136&lt;'PlayerGrades+'!$AC$7,"B+",IF(H136&lt;'PlayerGrades+'!$AC$6,"A-",IF(H136&lt;'PlayerGrades+'!$AC$5,"A",IF(H136&lt;'PlayerGrades+'!$AC$4,"A+",IF(H136&lt;'PlayerGrades+'!$AC$3,"S-",IF(H136&lt;'PlayerGrades+'!$AC$2,"S","S+"))))))))))))))))))))</f>
        <v>#DIV/0!</v>
      </c>
      <c r="J136" s="961" t="str">
        <f t="shared" si="4"/>
        <v>#DIV/0!</v>
      </c>
      <c r="K136" s="961" t="str">
        <f>IF(J136&lt;'PlayerGrades+'!$AD$21,"F-",IF(J136&lt;'PlayerGrades+'!$AD$20,"F",IF(J136&lt;'PlayerGrades+'!$AD$19,"F+",IF(J136&lt;'PlayerGrades+'!$AD$18,"E-",IF(J136&lt;'PlayerGrades+'!$AD$17,"E",IF(J136&lt;'PlayerGrades+'!$AD$16,"E+",IF(J136&lt;'PlayerGrades+'!$AD$15,"D-",IF(J136&lt;'PlayerGrades+'!$AD$14,"D",IF(J136&lt;'PlayerGrades+'!$AD$13,"D+",IF(J136&lt;'PlayerGrades+'!$AD$12,"C-",IF(J136&lt;'PlayerGrades+'!$AD$11,"C",IF(J136&lt;'PlayerGrades+'!$AD$10,"C+",IF(J136&lt;'PlayerGrades+'!$AD$9,"B-",IF(J136&lt;'PlayerGrades+'!$AD$8,"B",IF(J136&lt;'PlayerGrades+'!$AD$7,"B+",IF(J136&lt;'PlayerGrades+'!$AD$6,"A-",IF(J136&lt;'PlayerGrades+'!$AD$5,"A",IF(J136&lt;'PlayerGrades+'!$AD$4,"A+",IF(J136&lt;'PlayerGrades+'!$AD$3,"S-",IF(J136&lt;'PlayerGrades+'!$AD$2,"S","S+"))))))))))))))))))))</f>
        <v>#DIV/0!</v>
      </c>
      <c r="L136" s="1176" t="str">
        <f t="shared" si="5"/>
        <v>#DIV/0!</v>
      </c>
      <c r="M136" s="992" t="str">
        <f>IF(L136&lt;'PlayerGrades+'!$AE$21,"F-",IF(L136&lt;'PlayerGrades+'!$AE$20,"F",IF(L136&lt;'PlayerGrades+'!$AE$19,"F+",IF(L136&lt;'PlayerGrades+'!$AE$18,"E-",IF(L136&lt;'PlayerGrades+'!$AE$17,"E",IF(L136&lt;'PlayerGrades+'!$AE$16,"E+",IF(L136&lt;'PlayerGrades+'!$AE$15,"D-",IF(L136&lt;'PlayerGrades+'!$AE$14,"D",IF(L136&lt;'PlayerGrades+'!$AE$13,"D+",IF(L136&lt;'PlayerGrades+'!$AE$12,"C-",IF(L136&lt;'PlayerGrades+'!$AE$11,"C",IF(L136&lt;'PlayerGrades+'!$AE$10,"C+",IF(L136&lt;'PlayerGrades+'!$AE$9,"B-",IF(L136&lt;'PlayerGrades+'!$AE$8,"B",IF(L136&lt;'PlayerGrades+'!$AE$7,"B+",IF(L136&lt;'PlayerGrades+'!$AE$6,"A-",IF(L136&lt;'PlayerGrades+'!$AE$5,"A",IF(L136&lt;'PlayerGrades+'!$AE$4,"A+",IF(L136&lt;'PlayerGrades+'!$AE$3,"S-",IF(L136&lt;'PlayerGrades+'!$AE$2,"S","S+"))))))))))))))))))))</f>
        <v>#DIV/0!</v>
      </c>
      <c r="N136" s="961" t="str">
        <f t="shared" si="6"/>
        <v>#DIV/0!</v>
      </c>
      <c r="O136" s="961" t="str">
        <f>IF(N136&lt;'PlayerGrades+'!$AF$21,"F-",IF(N136&lt;'PlayerGrades+'!$AF$20,"F",IF(N136&lt;'PlayerGrades+'!$AF$19,"F+",IF(N136&lt;'PlayerGrades+'!$AF$18,"E-",IF(N136&lt;'PlayerGrades+'!$AF$17,"E",IF(N136&lt;'PlayerGrades+'!$AF$16,"E+",IF(N136&lt;'PlayerGrades+'!$AF$15,"D-",IF(N136&lt;'PlayerGrades+'!$AF$14,"D",IF(N136&lt;'PlayerGrades+'!$AF$13,"D+",IF(N136&lt;'PlayerGrades+'!$AF$12,"C-",IF(N136&lt;'PlayerGrades+'!$AF$11,"C",IF(N136&lt;'PlayerGrades+'!$AF$10,"C+",IF(N136&lt;'PlayerGrades+'!$AF$9,"B-",IF(N136&lt;'PlayerGrades+'!$AF$8,"B",IF(N136&lt;'PlayerGrades+'!$AF$7,"B+",IF(N136&lt;'PlayerGrades+'!$AF$6,"A-",IF(N136&lt;'PlayerGrades+'!$AF$5,"A",IF(N136&lt;'PlayerGrades+'!$AF$4,"A+",IF(N136&lt;'PlayerGrades+'!$AF$3,"S-",IF(N136&lt;'PlayerGrades+'!$AF$2,"S","S+"))))))))))))))))))))</f>
        <v>#DIV/0!</v>
      </c>
      <c r="P136" s="961" t="str">
        <f t="shared" si="7"/>
        <v>#DIV/0!</v>
      </c>
      <c r="Q136" s="961" t="str">
        <f>IF(P136&lt;'PlayerGrades+'!$AG$21,"F-",IF(P136&lt;'PlayerGrades+'!$AG$20,"F",IF(P136&lt;'PlayerGrades+'!$AG$19,"F+",IF(P136&lt;'PlayerGrades+'!$AG$18,"E-",IF(P136&lt;'PlayerGrades+'!$AG$17,"E",IF(P136&lt;'PlayerGrades+'!$AG$16,"E+",IF(P136&lt;'PlayerGrades+'!$AG$15,"D-",IF(P136&lt;'PlayerGrades+'!$AG$14,"D",IF(P136&lt;'PlayerGrades+'!$AG$13,"D+",IF(P136&lt;'PlayerGrades+'!$AG$12,"C-",IF(P136&lt;'PlayerGrades+'!$AG$11,"C",IF(P136&lt;'PlayerGrades+'!$AG$10,"C+",IF(P136&lt;'PlayerGrades+'!$AG$9,"B-",IF(P136&lt;'PlayerGrades+'!$AG$8,"B",IF(P136&lt;'PlayerGrades+'!$AG$7,"B+",IF(P136&lt;'PlayerGrades+'!$AG$6,"A-",IF(P136&lt;'PlayerGrades+'!$AG$5,"A",IF(P136&lt;'PlayerGrades+'!$AG$4,"A+",IF(P136&lt;'PlayerGrades+'!$AG$3,"S-",IF(P136&lt;'PlayerGrades+'!$AG$2,"S","S+"))))))))))))))))))))</f>
        <v>#DIV/0!</v>
      </c>
      <c r="R136" s="961" t="str">
        <f t="shared" si="8"/>
        <v>#DIV/0!</v>
      </c>
      <c r="S136" s="961" t="str">
        <f>IF(R136&lt;'PlayerGrades+'!$AH$21,"F-",IF(R136&lt;'PlayerGrades+'!$AH$20,"F",IF(R136&lt;'PlayerGrades+'!$AH$19,"F+",IF(R136&lt;'PlayerGrades+'!$AH$18,"E-",IF(R136&lt;'PlayerGrades+'!$AH$17,"E",IF(R136&lt;'PlayerGrades+'!$AH$16,"E+",IF(R136&lt;'PlayerGrades+'!$AH$15,"D-",IF(R136&lt;'PlayerGrades+'!$AH$14,"D",IF(R136&lt;'PlayerGrades+'!$AH$13,"D+",IF(R136&lt;'PlayerGrades+'!$AH$12,"C-",IF(R136&lt;'PlayerGrades+'!$AH$11,"C",IF(R136&lt;'PlayerGrades+'!$AH$10,"C+",IF(R136&lt;'PlayerGrades+'!$AH$9,"B-",IF(R136&lt;'PlayerGrades+'!$AH$8,"B",IF(R136&lt;'PlayerGrades+'!$AH$7,"B+",IF(R136&lt;'PlayerGrades+'!$AH$6,"A-",IF(R136&lt;'PlayerGrades+'!$AH$5,"A",IF(R136&lt;'PlayerGrades+'!$AH$4,"A+",IF(R136&lt;'PlayerGrades+'!$AH$3,"S-",IF(R136&lt;'PlayerGrades+'!$AH$2,"S","S+"))))))))))))))))))))</f>
        <v>#DIV/0!</v>
      </c>
      <c r="T136" s="961">
        <f t="shared" si="9"/>
        <v>0</v>
      </c>
      <c r="U136" s="961" t="str">
        <f>IF(T136&lt;'PlayerGrades+'!$AI$21,"F-",IF(T136&lt;'PlayerGrades+'!$AI$20,"F",IF(T136&lt;'PlayerGrades+'!$AI$19,"F+",IF(T136&lt;'PlayerGrades+'!$AI$18,"E-",IF(T136&lt;'PlayerGrades+'!$AI$17,"E",IF(T136&lt;'PlayerGrades+'!$AI$16,"E+",IF(T136&lt;'PlayerGrades+'!$AI$15,"D-",IF(T136&lt;'PlayerGrades+'!$AI$14,"D",IF(T136&lt;'PlayerGrades+'!$AI$13,"D+",IF(T136&lt;'PlayerGrades+'!$AI$12,"C-",IF(T136&lt;'PlayerGrades+'!$AI$11,"C",IF(T136&lt;'PlayerGrades+'!$AI$10,"C+",IF(T136&lt;'PlayerGrades+'!$AI$9,"B-",IF(T136&lt;'PlayerGrades+'!$AI$8,"B",IF(T136&lt;'PlayerGrades+'!$AI$7,"B+",IF(T136&lt;'PlayerGrades+'!$AI$6,"A-",IF(T136&lt;'PlayerGrades+'!$AI$5,"A",IF(T136&lt;'PlayerGrades+'!$AI$4,"A+",IF(T136&lt;'PlayerGrades+'!$AI$3,"S-",IF(T136&lt;'PlayerGrades+'!$AI$2,"S","S+"))))))))))))))))))))</f>
        <v>F-</v>
      </c>
      <c r="AC136" s="1392"/>
    </row>
    <row r="137">
      <c r="A137" s="1393"/>
      <c r="B137" s="611" t="str">
        <f>IF(C137&lt;'PlayerGrades+'!$Y$44,"F-",IF(C137&lt;'PlayerGrades+'!$Y$43,"F",IF(C137&lt;'PlayerGrades+'!$Y$42,"F+",IF(C137&lt;'PlayerGrades+'!$Y$41,"E-",IF(C137&lt;'PlayerGrades+'!$Y$40,"E",IF(C137&lt;'PlayerGrades+'!$Y$39,"E+",IF(C137&lt;'PlayerGrades+'!$Y$38,"D-",IF(C137&lt;'PlayerGrades+'!$Y$37,"D",IF(C137&lt;'PlayerGrades+'!$Y$36,"D+",IF(C137&lt;'PlayerGrades+'!$Y$35,"C-",IF(C137&lt;'PlayerGrades+'!$Y$34,"C",IF(C137&lt;'PlayerGrades+'!$Y$33,"C+",IF(C137&lt;'PlayerGrades+'!$Y$32,"B-",IF(C137&lt;'PlayerGrades+'!$Y$31,"B",IF(C137&lt;'PlayerGrades+'!$Y$30,"B+",IF(C137&lt;'PlayerGrades+'!$Y$29,"A-",IF(C137&lt;'PlayerGrades+'!$Y$28,"A",IF(C137&lt;'PlayerGrades+'!$Y$27,"A+",IF(C137&lt;'PlayerGrades+'!$Y$26,"S-",IF(C137&lt;'PlayerGrades+'!$Y$25,"S","S+"))))))))))))))))))))</f>
        <v>#DIV/0!</v>
      </c>
      <c r="C137" s="1378" t="str">
        <f>('PlayerGrades+'!$Y$47*(VLOOKUP(E137, 'PlayerGrades+'!$X$3:$Y$23, 2, FALSE)))+('PlayerGrades+'!$Y$48*(VLOOKUP(G137, 'PlayerGrades+'!$X$3:$Y$23, 2, FALSE)))+('PlayerGrades+'!$Y$49*(VLOOKUP(I137, 'PlayerGrades+'!$X$3:$Y$23, 2, FALSE)))+('PlayerGrades+'!$Y$50*(VLOOKUP(K137, 'PlayerGrades+'!$X$3:$Y$23, 2, FALSE)))+('PlayerGrades+'!$Y$51*(VLOOKUP(M137, 'PlayerGrades+'!$X$3:$Y$23, 2, FALSE)))+('PlayerGrades+'!$Y$52*(VLOOKUP(O137, 'PlayerGrades+'!$X$3:$Y$23, 2, FALSE)))+('PlayerGrades+'!$Y$53*(VLOOKUP(Q137, 'PlayerGrades+'!$X$3:$Y$23, 2, FALSE)))+('PlayerGrades+'!$Y$54*(VLOOKUP(S137, 'PlayerGrades+'!$X$3:$Y$23, 2, FALSE)))+('PlayerGrades+'!$Y$55*(VLOOKUP(U137, 'PlayerGrades+'!$X$3:$Y$23, 2, FALSE)))</f>
        <v>#DIV/0!</v>
      </c>
      <c r="D137" s="961" t="str">
        <f t="shared" si="1"/>
        <v>#DIV/0!</v>
      </c>
      <c r="E137" s="961" t="str">
        <f>IF(D137&lt;'PlayerGrades+'!$AA$21,"F-",IF(D137&lt;'PlayerGrades+'!$AA$20,"F",IF(D137&lt;'PlayerGrades+'!$AA$19,"F+",IF(D137&lt;'PlayerGrades+'!$AA$18,"E-",IF(D137&lt;'PlayerGrades+'!$AA$17,"E",IF(D137&lt;'PlayerGrades+'!$AA$16,"E+",IF(D137&lt;'PlayerGrades+'!$AA$15,"D-",IF(D137&lt;'PlayerGrades+'!$AA$14,"D",IF(D137&lt;'PlayerGrades+'!$AA$13,"D+",IF(D137&lt;'PlayerGrades+'!$AA$12,"C-",IF(D137&lt;'PlayerGrades+'!$AA$11,"C",IF(D137&lt;'PlayerGrades+'!$AA$10,"C+",IF(D137&lt;'PlayerGrades+'!$AA$9,"B-",IF(D137&lt;'PlayerGrades+'!$AA$8,"B",IF(D137&lt;'PlayerGrades+'!$AA$7,"B+",IF(D137&lt;'PlayerGrades+'!$AA$6,"A-",IF(D137&lt;'PlayerGrades+'!$AA$5,"A",IF(D137&lt;'PlayerGrades+'!$AA$4,"A+",IF(D137&lt;'PlayerGrades+'!$AA$3,"S-",IF(D137&lt;'PlayerGrades+'!$AA$2,"S","S+"))))))))))))))))))))</f>
        <v>#DIV/0!</v>
      </c>
      <c r="F137" s="961" t="str">
        <f t="shared" si="2"/>
        <v>#DIV/0!</v>
      </c>
      <c r="G137" s="961" t="str">
        <f>IF(F137&lt;'PlayerGrades+'!$AB$21,"F-",IF(F137&lt;'PlayerGrades+'!$AB$20,"F",IF(F137&lt;'PlayerGrades+'!$AB$19,"F+",IF(F137&lt;'PlayerGrades+'!$AB$18,"E-",IF(F137&lt;'PlayerGrades+'!$AB$17,"E",IF(F137&lt;'PlayerGrades+'!$AB$16,"E+",IF(F137&lt;'PlayerGrades+'!$AB$15,"D-",IF(F137&lt;'PlayerGrades+'!$AB$14,"D",IF(F137&lt;'PlayerGrades+'!$AB$13,"D+",IF(F137&lt;'PlayerGrades+'!$AB$12,"C-",IF(F137&lt;'PlayerGrades+'!$AB$11,"C",IF(F137&lt;'PlayerGrades+'!$AB$10,"C+",IF(F137&lt;'PlayerGrades+'!$AB$9,"B-",IF(F137&lt;'PlayerGrades+'!$AB$8,"B",IF(F137&lt;'PlayerGrades+'!$AB$7,"B+",IF(F137&lt;'PlayerGrades+'!$AB$6,"A-",IF(F137&lt;'PlayerGrades+'!$AB$5,"A",IF(F137&lt;'PlayerGrades+'!$AB$4,"A+",IF(F137&lt;'PlayerGrades+'!$AB$3,"S-",IF(F137&lt;'PlayerGrades+'!$AB$2,"S","S+"))))))))))))))))))))</f>
        <v>#DIV/0!</v>
      </c>
      <c r="H137" s="961" t="str">
        <f t="shared" si="3"/>
        <v>#DIV/0!</v>
      </c>
      <c r="I137" s="961" t="str">
        <f>IF(H137&lt;'PlayerGrades+'!$AC$21,"F-",IF(H137&lt;'PlayerGrades+'!$AC$20,"F",IF(H137&lt;'PlayerGrades+'!$AC$19,"F+",IF(H137&lt;'PlayerGrades+'!$AC$18,"E-",IF(H137&lt;'PlayerGrades+'!$AC$17,"E",IF(H137&lt;'PlayerGrades+'!$AC$16,"E+",IF(H137&lt;'PlayerGrades+'!$AC$15,"D-",IF(H137&lt;'PlayerGrades+'!$AC$14,"D",IF(H137&lt;'PlayerGrades+'!$AC$13,"D+",IF(H137&lt;'PlayerGrades+'!$AC$12,"C-",IF(H137&lt;'PlayerGrades+'!$AC$11,"C",IF(H137&lt;'PlayerGrades+'!$AC$10,"C+",IF(H137&lt;'PlayerGrades+'!$AC$9,"B-",IF(H137&lt;'PlayerGrades+'!$AC$8,"B",IF(H137&lt;'PlayerGrades+'!$AC$7,"B+",IF(H137&lt;'PlayerGrades+'!$AC$6,"A-",IF(H137&lt;'PlayerGrades+'!$AC$5,"A",IF(H137&lt;'PlayerGrades+'!$AC$4,"A+",IF(H137&lt;'PlayerGrades+'!$AC$3,"S-",IF(H137&lt;'PlayerGrades+'!$AC$2,"S","S+"))))))))))))))))))))</f>
        <v>#DIV/0!</v>
      </c>
      <c r="J137" s="961" t="str">
        <f t="shared" si="4"/>
        <v>#DIV/0!</v>
      </c>
      <c r="K137" s="961" t="str">
        <f>IF(J137&lt;'PlayerGrades+'!$AD$21,"F-",IF(J137&lt;'PlayerGrades+'!$AD$20,"F",IF(J137&lt;'PlayerGrades+'!$AD$19,"F+",IF(J137&lt;'PlayerGrades+'!$AD$18,"E-",IF(J137&lt;'PlayerGrades+'!$AD$17,"E",IF(J137&lt;'PlayerGrades+'!$AD$16,"E+",IF(J137&lt;'PlayerGrades+'!$AD$15,"D-",IF(J137&lt;'PlayerGrades+'!$AD$14,"D",IF(J137&lt;'PlayerGrades+'!$AD$13,"D+",IF(J137&lt;'PlayerGrades+'!$AD$12,"C-",IF(J137&lt;'PlayerGrades+'!$AD$11,"C",IF(J137&lt;'PlayerGrades+'!$AD$10,"C+",IF(J137&lt;'PlayerGrades+'!$AD$9,"B-",IF(J137&lt;'PlayerGrades+'!$AD$8,"B",IF(J137&lt;'PlayerGrades+'!$AD$7,"B+",IF(J137&lt;'PlayerGrades+'!$AD$6,"A-",IF(J137&lt;'PlayerGrades+'!$AD$5,"A",IF(J137&lt;'PlayerGrades+'!$AD$4,"A+",IF(J137&lt;'PlayerGrades+'!$AD$3,"S-",IF(J137&lt;'PlayerGrades+'!$AD$2,"S","S+"))))))))))))))))))))</f>
        <v>#DIV/0!</v>
      </c>
      <c r="L137" s="1176" t="str">
        <f t="shared" si="5"/>
        <v>#DIV/0!</v>
      </c>
      <c r="M137" s="992" t="str">
        <f>IF(L137&lt;'PlayerGrades+'!$AE$21,"F-",IF(L137&lt;'PlayerGrades+'!$AE$20,"F",IF(L137&lt;'PlayerGrades+'!$AE$19,"F+",IF(L137&lt;'PlayerGrades+'!$AE$18,"E-",IF(L137&lt;'PlayerGrades+'!$AE$17,"E",IF(L137&lt;'PlayerGrades+'!$AE$16,"E+",IF(L137&lt;'PlayerGrades+'!$AE$15,"D-",IF(L137&lt;'PlayerGrades+'!$AE$14,"D",IF(L137&lt;'PlayerGrades+'!$AE$13,"D+",IF(L137&lt;'PlayerGrades+'!$AE$12,"C-",IF(L137&lt;'PlayerGrades+'!$AE$11,"C",IF(L137&lt;'PlayerGrades+'!$AE$10,"C+",IF(L137&lt;'PlayerGrades+'!$AE$9,"B-",IF(L137&lt;'PlayerGrades+'!$AE$8,"B",IF(L137&lt;'PlayerGrades+'!$AE$7,"B+",IF(L137&lt;'PlayerGrades+'!$AE$6,"A-",IF(L137&lt;'PlayerGrades+'!$AE$5,"A",IF(L137&lt;'PlayerGrades+'!$AE$4,"A+",IF(L137&lt;'PlayerGrades+'!$AE$3,"S-",IF(L137&lt;'PlayerGrades+'!$AE$2,"S","S+"))))))))))))))))))))</f>
        <v>#DIV/0!</v>
      </c>
      <c r="N137" s="961" t="str">
        <f t="shared" si="6"/>
        <v>#DIV/0!</v>
      </c>
      <c r="O137" s="961" t="str">
        <f>IF(N137&lt;'PlayerGrades+'!$AF$21,"F-",IF(N137&lt;'PlayerGrades+'!$AF$20,"F",IF(N137&lt;'PlayerGrades+'!$AF$19,"F+",IF(N137&lt;'PlayerGrades+'!$AF$18,"E-",IF(N137&lt;'PlayerGrades+'!$AF$17,"E",IF(N137&lt;'PlayerGrades+'!$AF$16,"E+",IF(N137&lt;'PlayerGrades+'!$AF$15,"D-",IF(N137&lt;'PlayerGrades+'!$AF$14,"D",IF(N137&lt;'PlayerGrades+'!$AF$13,"D+",IF(N137&lt;'PlayerGrades+'!$AF$12,"C-",IF(N137&lt;'PlayerGrades+'!$AF$11,"C",IF(N137&lt;'PlayerGrades+'!$AF$10,"C+",IF(N137&lt;'PlayerGrades+'!$AF$9,"B-",IF(N137&lt;'PlayerGrades+'!$AF$8,"B",IF(N137&lt;'PlayerGrades+'!$AF$7,"B+",IF(N137&lt;'PlayerGrades+'!$AF$6,"A-",IF(N137&lt;'PlayerGrades+'!$AF$5,"A",IF(N137&lt;'PlayerGrades+'!$AF$4,"A+",IF(N137&lt;'PlayerGrades+'!$AF$3,"S-",IF(N137&lt;'PlayerGrades+'!$AF$2,"S","S+"))))))))))))))))))))</f>
        <v>#DIV/0!</v>
      </c>
      <c r="P137" s="961" t="str">
        <f t="shared" si="7"/>
        <v>#DIV/0!</v>
      </c>
      <c r="Q137" s="961" t="str">
        <f>IF(P137&lt;'PlayerGrades+'!$AG$21,"F-",IF(P137&lt;'PlayerGrades+'!$AG$20,"F",IF(P137&lt;'PlayerGrades+'!$AG$19,"F+",IF(P137&lt;'PlayerGrades+'!$AG$18,"E-",IF(P137&lt;'PlayerGrades+'!$AG$17,"E",IF(P137&lt;'PlayerGrades+'!$AG$16,"E+",IF(P137&lt;'PlayerGrades+'!$AG$15,"D-",IF(P137&lt;'PlayerGrades+'!$AG$14,"D",IF(P137&lt;'PlayerGrades+'!$AG$13,"D+",IF(P137&lt;'PlayerGrades+'!$AG$12,"C-",IF(P137&lt;'PlayerGrades+'!$AG$11,"C",IF(P137&lt;'PlayerGrades+'!$AG$10,"C+",IF(P137&lt;'PlayerGrades+'!$AG$9,"B-",IF(P137&lt;'PlayerGrades+'!$AG$8,"B",IF(P137&lt;'PlayerGrades+'!$AG$7,"B+",IF(P137&lt;'PlayerGrades+'!$AG$6,"A-",IF(P137&lt;'PlayerGrades+'!$AG$5,"A",IF(P137&lt;'PlayerGrades+'!$AG$4,"A+",IF(P137&lt;'PlayerGrades+'!$AG$3,"S-",IF(P137&lt;'PlayerGrades+'!$AG$2,"S","S+"))))))))))))))))))))</f>
        <v>#DIV/0!</v>
      </c>
      <c r="R137" s="961" t="str">
        <f t="shared" si="8"/>
        <v>#DIV/0!</v>
      </c>
      <c r="S137" s="961" t="str">
        <f>IF(R137&lt;'PlayerGrades+'!$AH$21,"F-",IF(R137&lt;'PlayerGrades+'!$AH$20,"F",IF(R137&lt;'PlayerGrades+'!$AH$19,"F+",IF(R137&lt;'PlayerGrades+'!$AH$18,"E-",IF(R137&lt;'PlayerGrades+'!$AH$17,"E",IF(R137&lt;'PlayerGrades+'!$AH$16,"E+",IF(R137&lt;'PlayerGrades+'!$AH$15,"D-",IF(R137&lt;'PlayerGrades+'!$AH$14,"D",IF(R137&lt;'PlayerGrades+'!$AH$13,"D+",IF(R137&lt;'PlayerGrades+'!$AH$12,"C-",IF(R137&lt;'PlayerGrades+'!$AH$11,"C",IF(R137&lt;'PlayerGrades+'!$AH$10,"C+",IF(R137&lt;'PlayerGrades+'!$AH$9,"B-",IF(R137&lt;'PlayerGrades+'!$AH$8,"B",IF(R137&lt;'PlayerGrades+'!$AH$7,"B+",IF(R137&lt;'PlayerGrades+'!$AH$6,"A-",IF(R137&lt;'PlayerGrades+'!$AH$5,"A",IF(R137&lt;'PlayerGrades+'!$AH$4,"A+",IF(R137&lt;'PlayerGrades+'!$AH$3,"S-",IF(R137&lt;'PlayerGrades+'!$AH$2,"S","S+"))))))))))))))))))))</f>
        <v>#DIV/0!</v>
      </c>
      <c r="T137" s="961">
        <f t="shared" si="9"/>
        <v>0</v>
      </c>
      <c r="U137" s="961" t="str">
        <f>IF(T137&lt;'PlayerGrades+'!$AI$21,"F-",IF(T137&lt;'PlayerGrades+'!$AI$20,"F",IF(T137&lt;'PlayerGrades+'!$AI$19,"F+",IF(T137&lt;'PlayerGrades+'!$AI$18,"E-",IF(T137&lt;'PlayerGrades+'!$AI$17,"E",IF(T137&lt;'PlayerGrades+'!$AI$16,"E+",IF(T137&lt;'PlayerGrades+'!$AI$15,"D-",IF(T137&lt;'PlayerGrades+'!$AI$14,"D",IF(T137&lt;'PlayerGrades+'!$AI$13,"D+",IF(T137&lt;'PlayerGrades+'!$AI$12,"C-",IF(T137&lt;'PlayerGrades+'!$AI$11,"C",IF(T137&lt;'PlayerGrades+'!$AI$10,"C+",IF(T137&lt;'PlayerGrades+'!$AI$9,"B-",IF(T137&lt;'PlayerGrades+'!$AI$8,"B",IF(T137&lt;'PlayerGrades+'!$AI$7,"B+",IF(T137&lt;'PlayerGrades+'!$AI$6,"A-",IF(T137&lt;'PlayerGrades+'!$AI$5,"A",IF(T137&lt;'PlayerGrades+'!$AI$4,"A+",IF(T137&lt;'PlayerGrades+'!$AI$3,"S-",IF(T137&lt;'PlayerGrades+'!$AI$2,"S","S+"))))))))))))))))))))</f>
        <v>F-</v>
      </c>
      <c r="V137" s="1386"/>
      <c r="W137" s="1386"/>
      <c r="X137" s="1386"/>
      <c r="Y137" s="1386"/>
      <c r="Z137" s="1386"/>
      <c r="AA137" s="1386"/>
      <c r="AB137" s="1386"/>
      <c r="AC137" s="1397"/>
      <c r="AD137" s="1386"/>
      <c r="AE137" s="1386"/>
      <c r="AF137" s="1386"/>
      <c r="AG137" s="1386"/>
      <c r="AH137" s="1386"/>
      <c r="AI137" s="1386"/>
      <c r="AJ137" s="1386"/>
      <c r="AK137" s="1386"/>
      <c r="AL137" s="1386"/>
      <c r="AM137" s="1386"/>
      <c r="AN137" s="1386"/>
      <c r="AO137" s="1386"/>
      <c r="AP137" s="1386"/>
      <c r="AQ137" s="1386"/>
      <c r="AR137" s="1386"/>
      <c r="AS137" s="1386"/>
      <c r="AT137" s="1386"/>
      <c r="AU137" s="1386"/>
      <c r="AV137" s="1386"/>
      <c r="AW137" s="1386"/>
      <c r="AX137" s="1386"/>
      <c r="AY137" s="1386"/>
      <c r="AZ137" s="1386"/>
    </row>
    <row r="138">
      <c r="A138" s="1407"/>
      <c r="B138" s="611" t="str">
        <f>IF(C138&lt;'PlayerGrades+'!$Y$44,"F-",IF(C138&lt;'PlayerGrades+'!$Y$43,"F",IF(C138&lt;'PlayerGrades+'!$Y$42,"F+",IF(C138&lt;'PlayerGrades+'!$Y$41,"E-",IF(C138&lt;'PlayerGrades+'!$Y$40,"E",IF(C138&lt;'PlayerGrades+'!$Y$39,"E+",IF(C138&lt;'PlayerGrades+'!$Y$38,"D-",IF(C138&lt;'PlayerGrades+'!$Y$37,"D",IF(C138&lt;'PlayerGrades+'!$Y$36,"D+",IF(C138&lt;'PlayerGrades+'!$Y$35,"C-",IF(C138&lt;'PlayerGrades+'!$Y$34,"C",IF(C138&lt;'PlayerGrades+'!$Y$33,"C+",IF(C138&lt;'PlayerGrades+'!$Y$32,"B-",IF(C138&lt;'PlayerGrades+'!$Y$31,"B",IF(C138&lt;'PlayerGrades+'!$Y$30,"B+",IF(C138&lt;'PlayerGrades+'!$Y$29,"A-",IF(C138&lt;'PlayerGrades+'!$Y$28,"A",IF(C138&lt;'PlayerGrades+'!$Y$27,"A+",IF(C138&lt;'PlayerGrades+'!$Y$26,"S-",IF(C138&lt;'PlayerGrades+'!$Y$25,"S","S+"))))))))))))))))))))</f>
        <v>#DIV/0!</v>
      </c>
      <c r="C138" s="1378" t="str">
        <f>('PlayerGrades+'!$Y$47*(VLOOKUP(E138, 'PlayerGrades+'!$X$3:$Y$23, 2, FALSE)))+('PlayerGrades+'!$Y$48*(VLOOKUP(G138, 'PlayerGrades+'!$X$3:$Y$23, 2, FALSE)))+('PlayerGrades+'!$Y$49*(VLOOKUP(I138, 'PlayerGrades+'!$X$3:$Y$23, 2, FALSE)))+('PlayerGrades+'!$Y$50*(VLOOKUP(K138, 'PlayerGrades+'!$X$3:$Y$23, 2, FALSE)))+('PlayerGrades+'!$Y$51*(VLOOKUP(M138, 'PlayerGrades+'!$X$3:$Y$23, 2, FALSE)))+('PlayerGrades+'!$Y$52*(VLOOKUP(O138, 'PlayerGrades+'!$X$3:$Y$23, 2, FALSE)))+('PlayerGrades+'!$Y$53*(VLOOKUP(Q138, 'PlayerGrades+'!$X$3:$Y$23, 2, FALSE)))+('PlayerGrades+'!$Y$54*(VLOOKUP(S138, 'PlayerGrades+'!$X$3:$Y$23, 2, FALSE)))+('PlayerGrades+'!$Y$55*(VLOOKUP(U138, 'PlayerGrades+'!$X$3:$Y$23, 2, FALSE)))</f>
        <v>#DIV/0!</v>
      </c>
      <c r="D138" s="961" t="str">
        <f t="shared" si="1"/>
        <v>#DIV/0!</v>
      </c>
      <c r="E138" s="961" t="str">
        <f>IF(D138&lt;'PlayerGrades+'!$AA$21,"F-",IF(D138&lt;'PlayerGrades+'!$AA$20,"F",IF(D138&lt;'PlayerGrades+'!$AA$19,"F+",IF(D138&lt;'PlayerGrades+'!$AA$18,"E-",IF(D138&lt;'PlayerGrades+'!$AA$17,"E",IF(D138&lt;'PlayerGrades+'!$AA$16,"E+",IF(D138&lt;'PlayerGrades+'!$AA$15,"D-",IF(D138&lt;'PlayerGrades+'!$AA$14,"D",IF(D138&lt;'PlayerGrades+'!$AA$13,"D+",IF(D138&lt;'PlayerGrades+'!$AA$12,"C-",IF(D138&lt;'PlayerGrades+'!$AA$11,"C",IF(D138&lt;'PlayerGrades+'!$AA$10,"C+",IF(D138&lt;'PlayerGrades+'!$AA$9,"B-",IF(D138&lt;'PlayerGrades+'!$AA$8,"B",IF(D138&lt;'PlayerGrades+'!$AA$7,"B+",IF(D138&lt;'PlayerGrades+'!$AA$6,"A-",IF(D138&lt;'PlayerGrades+'!$AA$5,"A",IF(D138&lt;'PlayerGrades+'!$AA$4,"A+",IF(D138&lt;'PlayerGrades+'!$AA$3,"S-",IF(D138&lt;'PlayerGrades+'!$AA$2,"S","S+"))))))))))))))))))))</f>
        <v>#DIV/0!</v>
      </c>
      <c r="F138" s="961" t="str">
        <f t="shared" si="2"/>
        <v>#DIV/0!</v>
      </c>
      <c r="G138" s="961" t="str">
        <f>IF(F138&lt;'PlayerGrades+'!$AB$21,"F-",IF(F138&lt;'PlayerGrades+'!$AB$20,"F",IF(F138&lt;'PlayerGrades+'!$AB$19,"F+",IF(F138&lt;'PlayerGrades+'!$AB$18,"E-",IF(F138&lt;'PlayerGrades+'!$AB$17,"E",IF(F138&lt;'PlayerGrades+'!$AB$16,"E+",IF(F138&lt;'PlayerGrades+'!$AB$15,"D-",IF(F138&lt;'PlayerGrades+'!$AB$14,"D",IF(F138&lt;'PlayerGrades+'!$AB$13,"D+",IF(F138&lt;'PlayerGrades+'!$AB$12,"C-",IF(F138&lt;'PlayerGrades+'!$AB$11,"C",IF(F138&lt;'PlayerGrades+'!$AB$10,"C+",IF(F138&lt;'PlayerGrades+'!$AB$9,"B-",IF(F138&lt;'PlayerGrades+'!$AB$8,"B",IF(F138&lt;'PlayerGrades+'!$AB$7,"B+",IF(F138&lt;'PlayerGrades+'!$AB$6,"A-",IF(F138&lt;'PlayerGrades+'!$AB$5,"A",IF(F138&lt;'PlayerGrades+'!$AB$4,"A+",IF(F138&lt;'PlayerGrades+'!$AB$3,"S-",IF(F138&lt;'PlayerGrades+'!$AB$2,"S","S+"))))))))))))))))))))</f>
        <v>#DIV/0!</v>
      </c>
      <c r="H138" s="961" t="str">
        <f t="shared" si="3"/>
        <v>#DIV/0!</v>
      </c>
      <c r="I138" s="961" t="str">
        <f>IF(H138&lt;'PlayerGrades+'!$AC$21,"F-",IF(H138&lt;'PlayerGrades+'!$AC$20,"F",IF(H138&lt;'PlayerGrades+'!$AC$19,"F+",IF(H138&lt;'PlayerGrades+'!$AC$18,"E-",IF(H138&lt;'PlayerGrades+'!$AC$17,"E",IF(H138&lt;'PlayerGrades+'!$AC$16,"E+",IF(H138&lt;'PlayerGrades+'!$AC$15,"D-",IF(H138&lt;'PlayerGrades+'!$AC$14,"D",IF(H138&lt;'PlayerGrades+'!$AC$13,"D+",IF(H138&lt;'PlayerGrades+'!$AC$12,"C-",IF(H138&lt;'PlayerGrades+'!$AC$11,"C",IF(H138&lt;'PlayerGrades+'!$AC$10,"C+",IF(H138&lt;'PlayerGrades+'!$AC$9,"B-",IF(H138&lt;'PlayerGrades+'!$AC$8,"B",IF(H138&lt;'PlayerGrades+'!$AC$7,"B+",IF(H138&lt;'PlayerGrades+'!$AC$6,"A-",IF(H138&lt;'PlayerGrades+'!$AC$5,"A",IF(H138&lt;'PlayerGrades+'!$AC$4,"A+",IF(H138&lt;'PlayerGrades+'!$AC$3,"S-",IF(H138&lt;'PlayerGrades+'!$AC$2,"S","S+"))))))))))))))))))))</f>
        <v>#DIV/0!</v>
      </c>
      <c r="J138" s="961" t="str">
        <f t="shared" si="4"/>
        <v>#DIV/0!</v>
      </c>
      <c r="K138" s="961" t="str">
        <f>IF(J138&lt;'PlayerGrades+'!$AD$21,"F-",IF(J138&lt;'PlayerGrades+'!$AD$20,"F",IF(J138&lt;'PlayerGrades+'!$AD$19,"F+",IF(J138&lt;'PlayerGrades+'!$AD$18,"E-",IF(J138&lt;'PlayerGrades+'!$AD$17,"E",IF(J138&lt;'PlayerGrades+'!$AD$16,"E+",IF(J138&lt;'PlayerGrades+'!$AD$15,"D-",IF(J138&lt;'PlayerGrades+'!$AD$14,"D",IF(J138&lt;'PlayerGrades+'!$AD$13,"D+",IF(J138&lt;'PlayerGrades+'!$AD$12,"C-",IF(J138&lt;'PlayerGrades+'!$AD$11,"C",IF(J138&lt;'PlayerGrades+'!$AD$10,"C+",IF(J138&lt;'PlayerGrades+'!$AD$9,"B-",IF(J138&lt;'PlayerGrades+'!$AD$8,"B",IF(J138&lt;'PlayerGrades+'!$AD$7,"B+",IF(J138&lt;'PlayerGrades+'!$AD$6,"A-",IF(J138&lt;'PlayerGrades+'!$AD$5,"A",IF(J138&lt;'PlayerGrades+'!$AD$4,"A+",IF(J138&lt;'PlayerGrades+'!$AD$3,"S-",IF(J138&lt;'PlayerGrades+'!$AD$2,"S","S+"))))))))))))))))))))</f>
        <v>#DIV/0!</v>
      </c>
      <c r="L138" s="1176" t="str">
        <f t="shared" si="5"/>
        <v>#DIV/0!</v>
      </c>
      <c r="M138" s="992" t="str">
        <f>IF(L138&lt;'PlayerGrades+'!$AE$21,"F-",IF(L138&lt;'PlayerGrades+'!$AE$20,"F",IF(L138&lt;'PlayerGrades+'!$AE$19,"F+",IF(L138&lt;'PlayerGrades+'!$AE$18,"E-",IF(L138&lt;'PlayerGrades+'!$AE$17,"E",IF(L138&lt;'PlayerGrades+'!$AE$16,"E+",IF(L138&lt;'PlayerGrades+'!$AE$15,"D-",IF(L138&lt;'PlayerGrades+'!$AE$14,"D",IF(L138&lt;'PlayerGrades+'!$AE$13,"D+",IF(L138&lt;'PlayerGrades+'!$AE$12,"C-",IF(L138&lt;'PlayerGrades+'!$AE$11,"C",IF(L138&lt;'PlayerGrades+'!$AE$10,"C+",IF(L138&lt;'PlayerGrades+'!$AE$9,"B-",IF(L138&lt;'PlayerGrades+'!$AE$8,"B",IF(L138&lt;'PlayerGrades+'!$AE$7,"B+",IF(L138&lt;'PlayerGrades+'!$AE$6,"A-",IF(L138&lt;'PlayerGrades+'!$AE$5,"A",IF(L138&lt;'PlayerGrades+'!$AE$4,"A+",IF(L138&lt;'PlayerGrades+'!$AE$3,"S-",IF(L138&lt;'PlayerGrades+'!$AE$2,"S","S+"))))))))))))))))))))</f>
        <v>#DIV/0!</v>
      </c>
      <c r="N138" s="961" t="str">
        <f t="shared" si="6"/>
        <v>#DIV/0!</v>
      </c>
      <c r="O138" s="961" t="str">
        <f>IF(N138&lt;'PlayerGrades+'!$AF$21,"F-",IF(N138&lt;'PlayerGrades+'!$AF$20,"F",IF(N138&lt;'PlayerGrades+'!$AF$19,"F+",IF(N138&lt;'PlayerGrades+'!$AF$18,"E-",IF(N138&lt;'PlayerGrades+'!$AF$17,"E",IF(N138&lt;'PlayerGrades+'!$AF$16,"E+",IF(N138&lt;'PlayerGrades+'!$AF$15,"D-",IF(N138&lt;'PlayerGrades+'!$AF$14,"D",IF(N138&lt;'PlayerGrades+'!$AF$13,"D+",IF(N138&lt;'PlayerGrades+'!$AF$12,"C-",IF(N138&lt;'PlayerGrades+'!$AF$11,"C",IF(N138&lt;'PlayerGrades+'!$AF$10,"C+",IF(N138&lt;'PlayerGrades+'!$AF$9,"B-",IF(N138&lt;'PlayerGrades+'!$AF$8,"B",IF(N138&lt;'PlayerGrades+'!$AF$7,"B+",IF(N138&lt;'PlayerGrades+'!$AF$6,"A-",IF(N138&lt;'PlayerGrades+'!$AF$5,"A",IF(N138&lt;'PlayerGrades+'!$AF$4,"A+",IF(N138&lt;'PlayerGrades+'!$AF$3,"S-",IF(N138&lt;'PlayerGrades+'!$AF$2,"S","S+"))))))))))))))))))))</f>
        <v>#DIV/0!</v>
      </c>
      <c r="P138" s="961" t="str">
        <f t="shared" si="7"/>
        <v>#DIV/0!</v>
      </c>
      <c r="Q138" s="961" t="str">
        <f>IF(P138&lt;'PlayerGrades+'!$AG$21,"F-",IF(P138&lt;'PlayerGrades+'!$AG$20,"F",IF(P138&lt;'PlayerGrades+'!$AG$19,"F+",IF(P138&lt;'PlayerGrades+'!$AG$18,"E-",IF(P138&lt;'PlayerGrades+'!$AG$17,"E",IF(P138&lt;'PlayerGrades+'!$AG$16,"E+",IF(P138&lt;'PlayerGrades+'!$AG$15,"D-",IF(P138&lt;'PlayerGrades+'!$AG$14,"D",IF(P138&lt;'PlayerGrades+'!$AG$13,"D+",IF(P138&lt;'PlayerGrades+'!$AG$12,"C-",IF(P138&lt;'PlayerGrades+'!$AG$11,"C",IF(P138&lt;'PlayerGrades+'!$AG$10,"C+",IF(P138&lt;'PlayerGrades+'!$AG$9,"B-",IF(P138&lt;'PlayerGrades+'!$AG$8,"B",IF(P138&lt;'PlayerGrades+'!$AG$7,"B+",IF(P138&lt;'PlayerGrades+'!$AG$6,"A-",IF(P138&lt;'PlayerGrades+'!$AG$5,"A",IF(P138&lt;'PlayerGrades+'!$AG$4,"A+",IF(P138&lt;'PlayerGrades+'!$AG$3,"S-",IF(P138&lt;'PlayerGrades+'!$AG$2,"S","S+"))))))))))))))))))))</f>
        <v>#DIV/0!</v>
      </c>
      <c r="R138" s="961" t="str">
        <f t="shared" si="8"/>
        <v>#DIV/0!</v>
      </c>
      <c r="S138" s="961" t="str">
        <f>IF(R138&lt;'PlayerGrades+'!$AH$21,"F-",IF(R138&lt;'PlayerGrades+'!$AH$20,"F",IF(R138&lt;'PlayerGrades+'!$AH$19,"F+",IF(R138&lt;'PlayerGrades+'!$AH$18,"E-",IF(R138&lt;'PlayerGrades+'!$AH$17,"E",IF(R138&lt;'PlayerGrades+'!$AH$16,"E+",IF(R138&lt;'PlayerGrades+'!$AH$15,"D-",IF(R138&lt;'PlayerGrades+'!$AH$14,"D",IF(R138&lt;'PlayerGrades+'!$AH$13,"D+",IF(R138&lt;'PlayerGrades+'!$AH$12,"C-",IF(R138&lt;'PlayerGrades+'!$AH$11,"C",IF(R138&lt;'PlayerGrades+'!$AH$10,"C+",IF(R138&lt;'PlayerGrades+'!$AH$9,"B-",IF(R138&lt;'PlayerGrades+'!$AH$8,"B",IF(R138&lt;'PlayerGrades+'!$AH$7,"B+",IF(R138&lt;'PlayerGrades+'!$AH$6,"A-",IF(R138&lt;'PlayerGrades+'!$AH$5,"A",IF(R138&lt;'PlayerGrades+'!$AH$4,"A+",IF(R138&lt;'PlayerGrades+'!$AH$3,"S-",IF(R138&lt;'PlayerGrades+'!$AH$2,"S","S+"))))))))))))))))))))</f>
        <v>#DIV/0!</v>
      </c>
      <c r="T138" s="961">
        <f t="shared" si="9"/>
        <v>0</v>
      </c>
      <c r="U138" s="961" t="str">
        <f>IF(T138&lt;'PlayerGrades+'!$AI$21,"F-",IF(T138&lt;'PlayerGrades+'!$AI$20,"F",IF(T138&lt;'PlayerGrades+'!$AI$19,"F+",IF(T138&lt;'PlayerGrades+'!$AI$18,"E-",IF(T138&lt;'PlayerGrades+'!$AI$17,"E",IF(T138&lt;'PlayerGrades+'!$AI$16,"E+",IF(T138&lt;'PlayerGrades+'!$AI$15,"D-",IF(T138&lt;'PlayerGrades+'!$AI$14,"D",IF(T138&lt;'PlayerGrades+'!$AI$13,"D+",IF(T138&lt;'PlayerGrades+'!$AI$12,"C-",IF(T138&lt;'PlayerGrades+'!$AI$11,"C",IF(T138&lt;'PlayerGrades+'!$AI$10,"C+",IF(T138&lt;'PlayerGrades+'!$AI$9,"B-",IF(T138&lt;'PlayerGrades+'!$AI$8,"B",IF(T138&lt;'PlayerGrades+'!$AI$7,"B+",IF(T138&lt;'PlayerGrades+'!$AI$6,"A-",IF(T138&lt;'PlayerGrades+'!$AI$5,"A",IF(T138&lt;'PlayerGrades+'!$AI$4,"A+",IF(T138&lt;'PlayerGrades+'!$AI$3,"S-",IF(T138&lt;'PlayerGrades+'!$AI$2,"S","S+"))))))))))))))))))))</f>
        <v>F-</v>
      </c>
      <c r="Z138" s="1383"/>
      <c r="AA138" s="1383"/>
      <c r="AB138" s="1383"/>
      <c r="AC138" s="1384"/>
      <c r="AD138" s="1383"/>
      <c r="AE138" s="1383"/>
      <c r="AF138" s="1383"/>
      <c r="AG138" s="1383"/>
      <c r="AH138" s="1383"/>
      <c r="AI138" s="1383"/>
      <c r="AJ138" s="1383"/>
      <c r="AK138" s="1383"/>
      <c r="AL138" s="1383"/>
      <c r="AM138" s="1383"/>
      <c r="AN138" s="1383"/>
      <c r="AO138" s="1383"/>
      <c r="AP138" s="1383"/>
      <c r="AQ138" s="1383"/>
      <c r="AR138" s="1383"/>
      <c r="AS138" s="1383"/>
      <c r="AT138" s="1383"/>
      <c r="AU138" s="1383"/>
      <c r="AV138" s="1383"/>
      <c r="AW138" s="1383"/>
      <c r="AX138" s="1383"/>
      <c r="AY138" s="1383"/>
      <c r="AZ138" s="1383"/>
    </row>
    <row r="139">
      <c r="A139" s="1408"/>
      <c r="B139" s="611" t="str">
        <f>IF(C139&lt;'PlayerGrades+'!$Y$44,"F-",IF(C139&lt;'PlayerGrades+'!$Y$43,"F",IF(C139&lt;'PlayerGrades+'!$Y$42,"F+",IF(C139&lt;'PlayerGrades+'!$Y$41,"E-",IF(C139&lt;'PlayerGrades+'!$Y$40,"E",IF(C139&lt;'PlayerGrades+'!$Y$39,"E+",IF(C139&lt;'PlayerGrades+'!$Y$38,"D-",IF(C139&lt;'PlayerGrades+'!$Y$37,"D",IF(C139&lt;'PlayerGrades+'!$Y$36,"D+",IF(C139&lt;'PlayerGrades+'!$Y$35,"C-",IF(C139&lt;'PlayerGrades+'!$Y$34,"C",IF(C139&lt;'PlayerGrades+'!$Y$33,"C+",IF(C139&lt;'PlayerGrades+'!$Y$32,"B-",IF(C139&lt;'PlayerGrades+'!$Y$31,"B",IF(C139&lt;'PlayerGrades+'!$Y$30,"B+",IF(C139&lt;'PlayerGrades+'!$Y$29,"A-",IF(C139&lt;'PlayerGrades+'!$Y$28,"A",IF(C139&lt;'PlayerGrades+'!$Y$27,"A+",IF(C139&lt;'PlayerGrades+'!$Y$26,"S-",IF(C139&lt;'PlayerGrades+'!$Y$25,"S","S+"))))))))))))))))))))</f>
        <v>#DIV/0!</v>
      </c>
      <c r="C139" s="1378" t="str">
        <f>('PlayerGrades+'!$Y$47*(VLOOKUP(E139, 'PlayerGrades+'!$X$3:$Y$23, 2, FALSE)))+('PlayerGrades+'!$Y$48*(VLOOKUP(G139, 'PlayerGrades+'!$X$3:$Y$23, 2, FALSE)))+('PlayerGrades+'!$Y$49*(VLOOKUP(I139, 'PlayerGrades+'!$X$3:$Y$23, 2, FALSE)))+('PlayerGrades+'!$Y$50*(VLOOKUP(K139, 'PlayerGrades+'!$X$3:$Y$23, 2, FALSE)))+('PlayerGrades+'!$Y$51*(VLOOKUP(M139, 'PlayerGrades+'!$X$3:$Y$23, 2, FALSE)))+('PlayerGrades+'!$Y$52*(VLOOKUP(O139, 'PlayerGrades+'!$X$3:$Y$23, 2, FALSE)))+('PlayerGrades+'!$Y$53*(VLOOKUP(Q139, 'PlayerGrades+'!$X$3:$Y$23, 2, FALSE)))+('PlayerGrades+'!$Y$54*(VLOOKUP(S139, 'PlayerGrades+'!$X$3:$Y$23, 2, FALSE)))+('PlayerGrades+'!$Y$55*(VLOOKUP(U139, 'PlayerGrades+'!$X$3:$Y$23, 2, FALSE)))</f>
        <v>#DIV/0!</v>
      </c>
      <c r="D139" s="961" t="str">
        <f t="shared" si="1"/>
        <v>#DIV/0!</v>
      </c>
      <c r="E139" s="961" t="str">
        <f>IF(D139&lt;'PlayerGrades+'!$AA$21,"F-",IF(D139&lt;'PlayerGrades+'!$AA$20,"F",IF(D139&lt;'PlayerGrades+'!$AA$19,"F+",IF(D139&lt;'PlayerGrades+'!$AA$18,"E-",IF(D139&lt;'PlayerGrades+'!$AA$17,"E",IF(D139&lt;'PlayerGrades+'!$AA$16,"E+",IF(D139&lt;'PlayerGrades+'!$AA$15,"D-",IF(D139&lt;'PlayerGrades+'!$AA$14,"D",IF(D139&lt;'PlayerGrades+'!$AA$13,"D+",IF(D139&lt;'PlayerGrades+'!$AA$12,"C-",IF(D139&lt;'PlayerGrades+'!$AA$11,"C",IF(D139&lt;'PlayerGrades+'!$AA$10,"C+",IF(D139&lt;'PlayerGrades+'!$AA$9,"B-",IF(D139&lt;'PlayerGrades+'!$AA$8,"B",IF(D139&lt;'PlayerGrades+'!$AA$7,"B+",IF(D139&lt;'PlayerGrades+'!$AA$6,"A-",IF(D139&lt;'PlayerGrades+'!$AA$5,"A",IF(D139&lt;'PlayerGrades+'!$AA$4,"A+",IF(D139&lt;'PlayerGrades+'!$AA$3,"S-",IF(D139&lt;'PlayerGrades+'!$AA$2,"S","S+"))))))))))))))))))))</f>
        <v>#DIV/0!</v>
      </c>
      <c r="F139" s="961" t="str">
        <f t="shared" si="2"/>
        <v>#DIV/0!</v>
      </c>
      <c r="G139" s="961" t="str">
        <f>IF(F139&lt;'PlayerGrades+'!$AB$21,"F-",IF(F139&lt;'PlayerGrades+'!$AB$20,"F",IF(F139&lt;'PlayerGrades+'!$AB$19,"F+",IF(F139&lt;'PlayerGrades+'!$AB$18,"E-",IF(F139&lt;'PlayerGrades+'!$AB$17,"E",IF(F139&lt;'PlayerGrades+'!$AB$16,"E+",IF(F139&lt;'PlayerGrades+'!$AB$15,"D-",IF(F139&lt;'PlayerGrades+'!$AB$14,"D",IF(F139&lt;'PlayerGrades+'!$AB$13,"D+",IF(F139&lt;'PlayerGrades+'!$AB$12,"C-",IF(F139&lt;'PlayerGrades+'!$AB$11,"C",IF(F139&lt;'PlayerGrades+'!$AB$10,"C+",IF(F139&lt;'PlayerGrades+'!$AB$9,"B-",IF(F139&lt;'PlayerGrades+'!$AB$8,"B",IF(F139&lt;'PlayerGrades+'!$AB$7,"B+",IF(F139&lt;'PlayerGrades+'!$AB$6,"A-",IF(F139&lt;'PlayerGrades+'!$AB$5,"A",IF(F139&lt;'PlayerGrades+'!$AB$4,"A+",IF(F139&lt;'PlayerGrades+'!$AB$3,"S-",IF(F139&lt;'PlayerGrades+'!$AB$2,"S","S+"))))))))))))))))))))</f>
        <v>#DIV/0!</v>
      </c>
      <c r="H139" s="961" t="str">
        <f t="shared" si="3"/>
        <v>#DIV/0!</v>
      </c>
      <c r="I139" s="961" t="str">
        <f>IF(H139&lt;'PlayerGrades+'!$AC$21,"F-",IF(H139&lt;'PlayerGrades+'!$AC$20,"F",IF(H139&lt;'PlayerGrades+'!$AC$19,"F+",IF(H139&lt;'PlayerGrades+'!$AC$18,"E-",IF(H139&lt;'PlayerGrades+'!$AC$17,"E",IF(H139&lt;'PlayerGrades+'!$AC$16,"E+",IF(H139&lt;'PlayerGrades+'!$AC$15,"D-",IF(H139&lt;'PlayerGrades+'!$AC$14,"D",IF(H139&lt;'PlayerGrades+'!$AC$13,"D+",IF(H139&lt;'PlayerGrades+'!$AC$12,"C-",IF(H139&lt;'PlayerGrades+'!$AC$11,"C",IF(H139&lt;'PlayerGrades+'!$AC$10,"C+",IF(H139&lt;'PlayerGrades+'!$AC$9,"B-",IF(H139&lt;'PlayerGrades+'!$AC$8,"B",IF(H139&lt;'PlayerGrades+'!$AC$7,"B+",IF(H139&lt;'PlayerGrades+'!$AC$6,"A-",IF(H139&lt;'PlayerGrades+'!$AC$5,"A",IF(H139&lt;'PlayerGrades+'!$AC$4,"A+",IF(H139&lt;'PlayerGrades+'!$AC$3,"S-",IF(H139&lt;'PlayerGrades+'!$AC$2,"S","S+"))))))))))))))))))))</f>
        <v>#DIV/0!</v>
      </c>
      <c r="J139" s="961" t="str">
        <f t="shared" si="4"/>
        <v>#DIV/0!</v>
      </c>
      <c r="K139" s="961" t="str">
        <f>IF(J139&lt;'PlayerGrades+'!$AD$21,"F-",IF(J139&lt;'PlayerGrades+'!$AD$20,"F",IF(J139&lt;'PlayerGrades+'!$AD$19,"F+",IF(J139&lt;'PlayerGrades+'!$AD$18,"E-",IF(J139&lt;'PlayerGrades+'!$AD$17,"E",IF(J139&lt;'PlayerGrades+'!$AD$16,"E+",IF(J139&lt;'PlayerGrades+'!$AD$15,"D-",IF(J139&lt;'PlayerGrades+'!$AD$14,"D",IF(J139&lt;'PlayerGrades+'!$AD$13,"D+",IF(J139&lt;'PlayerGrades+'!$AD$12,"C-",IF(J139&lt;'PlayerGrades+'!$AD$11,"C",IF(J139&lt;'PlayerGrades+'!$AD$10,"C+",IF(J139&lt;'PlayerGrades+'!$AD$9,"B-",IF(J139&lt;'PlayerGrades+'!$AD$8,"B",IF(J139&lt;'PlayerGrades+'!$AD$7,"B+",IF(J139&lt;'PlayerGrades+'!$AD$6,"A-",IF(J139&lt;'PlayerGrades+'!$AD$5,"A",IF(J139&lt;'PlayerGrades+'!$AD$4,"A+",IF(J139&lt;'PlayerGrades+'!$AD$3,"S-",IF(J139&lt;'PlayerGrades+'!$AD$2,"S","S+"))))))))))))))))))))</f>
        <v>#DIV/0!</v>
      </c>
      <c r="L139" s="1176" t="str">
        <f t="shared" si="5"/>
        <v>#DIV/0!</v>
      </c>
      <c r="M139" s="992" t="str">
        <f>IF(L139&lt;'PlayerGrades+'!$AE$21,"F-",IF(L139&lt;'PlayerGrades+'!$AE$20,"F",IF(L139&lt;'PlayerGrades+'!$AE$19,"F+",IF(L139&lt;'PlayerGrades+'!$AE$18,"E-",IF(L139&lt;'PlayerGrades+'!$AE$17,"E",IF(L139&lt;'PlayerGrades+'!$AE$16,"E+",IF(L139&lt;'PlayerGrades+'!$AE$15,"D-",IF(L139&lt;'PlayerGrades+'!$AE$14,"D",IF(L139&lt;'PlayerGrades+'!$AE$13,"D+",IF(L139&lt;'PlayerGrades+'!$AE$12,"C-",IF(L139&lt;'PlayerGrades+'!$AE$11,"C",IF(L139&lt;'PlayerGrades+'!$AE$10,"C+",IF(L139&lt;'PlayerGrades+'!$AE$9,"B-",IF(L139&lt;'PlayerGrades+'!$AE$8,"B",IF(L139&lt;'PlayerGrades+'!$AE$7,"B+",IF(L139&lt;'PlayerGrades+'!$AE$6,"A-",IF(L139&lt;'PlayerGrades+'!$AE$5,"A",IF(L139&lt;'PlayerGrades+'!$AE$4,"A+",IF(L139&lt;'PlayerGrades+'!$AE$3,"S-",IF(L139&lt;'PlayerGrades+'!$AE$2,"S","S+"))))))))))))))))))))</f>
        <v>#DIV/0!</v>
      </c>
      <c r="N139" s="961" t="str">
        <f t="shared" si="6"/>
        <v>#DIV/0!</v>
      </c>
      <c r="O139" s="961" t="str">
        <f>IF(N139&lt;'PlayerGrades+'!$AF$21,"F-",IF(N139&lt;'PlayerGrades+'!$AF$20,"F",IF(N139&lt;'PlayerGrades+'!$AF$19,"F+",IF(N139&lt;'PlayerGrades+'!$AF$18,"E-",IF(N139&lt;'PlayerGrades+'!$AF$17,"E",IF(N139&lt;'PlayerGrades+'!$AF$16,"E+",IF(N139&lt;'PlayerGrades+'!$AF$15,"D-",IF(N139&lt;'PlayerGrades+'!$AF$14,"D",IF(N139&lt;'PlayerGrades+'!$AF$13,"D+",IF(N139&lt;'PlayerGrades+'!$AF$12,"C-",IF(N139&lt;'PlayerGrades+'!$AF$11,"C",IF(N139&lt;'PlayerGrades+'!$AF$10,"C+",IF(N139&lt;'PlayerGrades+'!$AF$9,"B-",IF(N139&lt;'PlayerGrades+'!$AF$8,"B",IF(N139&lt;'PlayerGrades+'!$AF$7,"B+",IF(N139&lt;'PlayerGrades+'!$AF$6,"A-",IF(N139&lt;'PlayerGrades+'!$AF$5,"A",IF(N139&lt;'PlayerGrades+'!$AF$4,"A+",IF(N139&lt;'PlayerGrades+'!$AF$3,"S-",IF(N139&lt;'PlayerGrades+'!$AF$2,"S","S+"))))))))))))))))))))</f>
        <v>#DIV/0!</v>
      </c>
      <c r="P139" s="961" t="str">
        <f t="shared" si="7"/>
        <v>#DIV/0!</v>
      </c>
      <c r="Q139" s="961" t="str">
        <f>IF(P139&lt;'PlayerGrades+'!$AG$21,"F-",IF(P139&lt;'PlayerGrades+'!$AG$20,"F",IF(P139&lt;'PlayerGrades+'!$AG$19,"F+",IF(P139&lt;'PlayerGrades+'!$AG$18,"E-",IF(P139&lt;'PlayerGrades+'!$AG$17,"E",IF(P139&lt;'PlayerGrades+'!$AG$16,"E+",IF(P139&lt;'PlayerGrades+'!$AG$15,"D-",IF(P139&lt;'PlayerGrades+'!$AG$14,"D",IF(P139&lt;'PlayerGrades+'!$AG$13,"D+",IF(P139&lt;'PlayerGrades+'!$AG$12,"C-",IF(P139&lt;'PlayerGrades+'!$AG$11,"C",IF(P139&lt;'PlayerGrades+'!$AG$10,"C+",IF(P139&lt;'PlayerGrades+'!$AG$9,"B-",IF(P139&lt;'PlayerGrades+'!$AG$8,"B",IF(P139&lt;'PlayerGrades+'!$AG$7,"B+",IF(P139&lt;'PlayerGrades+'!$AG$6,"A-",IF(P139&lt;'PlayerGrades+'!$AG$5,"A",IF(P139&lt;'PlayerGrades+'!$AG$4,"A+",IF(P139&lt;'PlayerGrades+'!$AG$3,"S-",IF(P139&lt;'PlayerGrades+'!$AG$2,"S","S+"))))))))))))))))))))</f>
        <v>#DIV/0!</v>
      </c>
      <c r="R139" s="961" t="str">
        <f t="shared" si="8"/>
        <v>#DIV/0!</v>
      </c>
      <c r="S139" s="961" t="str">
        <f>IF(R139&lt;'PlayerGrades+'!$AH$21,"F-",IF(R139&lt;'PlayerGrades+'!$AH$20,"F",IF(R139&lt;'PlayerGrades+'!$AH$19,"F+",IF(R139&lt;'PlayerGrades+'!$AH$18,"E-",IF(R139&lt;'PlayerGrades+'!$AH$17,"E",IF(R139&lt;'PlayerGrades+'!$AH$16,"E+",IF(R139&lt;'PlayerGrades+'!$AH$15,"D-",IF(R139&lt;'PlayerGrades+'!$AH$14,"D",IF(R139&lt;'PlayerGrades+'!$AH$13,"D+",IF(R139&lt;'PlayerGrades+'!$AH$12,"C-",IF(R139&lt;'PlayerGrades+'!$AH$11,"C",IF(R139&lt;'PlayerGrades+'!$AH$10,"C+",IF(R139&lt;'PlayerGrades+'!$AH$9,"B-",IF(R139&lt;'PlayerGrades+'!$AH$8,"B",IF(R139&lt;'PlayerGrades+'!$AH$7,"B+",IF(R139&lt;'PlayerGrades+'!$AH$6,"A-",IF(R139&lt;'PlayerGrades+'!$AH$5,"A",IF(R139&lt;'PlayerGrades+'!$AH$4,"A+",IF(R139&lt;'PlayerGrades+'!$AH$3,"S-",IF(R139&lt;'PlayerGrades+'!$AH$2,"S","S+"))))))))))))))))))))</f>
        <v>#DIV/0!</v>
      </c>
      <c r="T139" s="961">
        <f t="shared" si="9"/>
        <v>0</v>
      </c>
      <c r="U139" s="961" t="str">
        <f>IF(T139&lt;'PlayerGrades+'!$AI$21,"F-",IF(T139&lt;'PlayerGrades+'!$AI$20,"F",IF(T139&lt;'PlayerGrades+'!$AI$19,"F+",IF(T139&lt;'PlayerGrades+'!$AI$18,"E-",IF(T139&lt;'PlayerGrades+'!$AI$17,"E",IF(T139&lt;'PlayerGrades+'!$AI$16,"E+",IF(T139&lt;'PlayerGrades+'!$AI$15,"D-",IF(T139&lt;'PlayerGrades+'!$AI$14,"D",IF(T139&lt;'PlayerGrades+'!$AI$13,"D+",IF(T139&lt;'PlayerGrades+'!$AI$12,"C-",IF(T139&lt;'PlayerGrades+'!$AI$11,"C",IF(T139&lt;'PlayerGrades+'!$AI$10,"C+",IF(T139&lt;'PlayerGrades+'!$AI$9,"B-",IF(T139&lt;'PlayerGrades+'!$AI$8,"B",IF(T139&lt;'PlayerGrades+'!$AI$7,"B+",IF(T139&lt;'PlayerGrades+'!$AI$6,"A-",IF(T139&lt;'PlayerGrades+'!$AI$5,"A",IF(T139&lt;'PlayerGrades+'!$AI$4,"A+",IF(T139&lt;'PlayerGrades+'!$AI$3,"S-",IF(T139&lt;'PlayerGrades+'!$AI$2,"S","S+"))))))))))))))))))))</f>
        <v>F-</v>
      </c>
      <c r="Z139" s="1383"/>
      <c r="AA139" s="1383"/>
      <c r="AB139" s="1383"/>
      <c r="AC139" s="1384"/>
      <c r="AD139" s="1383"/>
      <c r="AE139" s="1383"/>
      <c r="AF139" s="1383"/>
      <c r="AG139" s="1383"/>
      <c r="AH139" s="1383"/>
      <c r="AI139" s="1383"/>
      <c r="AJ139" s="1383"/>
      <c r="AK139" s="1383"/>
      <c r="AL139" s="1383"/>
      <c r="AM139" s="1383"/>
      <c r="AN139" s="1383"/>
      <c r="AO139" s="1383"/>
      <c r="AP139" s="1383"/>
      <c r="AQ139" s="1383"/>
      <c r="AR139" s="1383"/>
      <c r="AS139" s="1383"/>
      <c r="AT139" s="1383"/>
      <c r="AU139" s="1383"/>
      <c r="AV139" s="1383"/>
      <c r="AW139" s="1383"/>
      <c r="AX139" s="1383"/>
      <c r="AY139" s="1383"/>
      <c r="AZ139" s="1383"/>
    </row>
    <row r="140">
      <c r="A140" s="1408"/>
      <c r="B140" s="611" t="str">
        <f>IF(C140&lt;'PlayerGrades+'!$Y$44,"F-",IF(C140&lt;'PlayerGrades+'!$Y$43,"F",IF(C140&lt;'PlayerGrades+'!$Y$42,"F+",IF(C140&lt;'PlayerGrades+'!$Y$41,"E-",IF(C140&lt;'PlayerGrades+'!$Y$40,"E",IF(C140&lt;'PlayerGrades+'!$Y$39,"E+",IF(C140&lt;'PlayerGrades+'!$Y$38,"D-",IF(C140&lt;'PlayerGrades+'!$Y$37,"D",IF(C140&lt;'PlayerGrades+'!$Y$36,"D+",IF(C140&lt;'PlayerGrades+'!$Y$35,"C-",IF(C140&lt;'PlayerGrades+'!$Y$34,"C",IF(C140&lt;'PlayerGrades+'!$Y$33,"C+",IF(C140&lt;'PlayerGrades+'!$Y$32,"B-",IF(C140&lt;'PlayerGrades+'!$Y$31,"B",IF(C140&lt;'PlayerGrades+'!$Y$30,"B+",IF(C140&lt;'PlayerGrades+'!$Y$29,"A-",IF(C140&lt;'PlayerGrades+'!$Y$28,"A",IF(C140&lt;'PlayerGrades+'!$Y$27,"A+",IF(C140&lt;'PlayerGrades+'!$Y$26,"S-",IF(C140&lt;'PlayerGrades+'!$Y$25,"S","S+"))))))))))))))))))))</f>
        <v>#DIV/0!</v>
      </c>
      <c r="C140" s="1378" t="str">
        <f>('PlayerGrades+'!$Y$47*(VLOOKUP(E140, 'PlayerGrades+'!$X$3:$Y$23, 2, FALSE)))+('PlayerGrades+'!$Y$48*(VLOOKUP(G140, 'PlayerGrades+'!$X$3:$Y$23, 2, FALSE)))+('PlayerGrades+'!$Y$49*(VLOOKUP(I140, 'PlayerGrades+'!$X$3:$Y$23, 2, FALSE)))+('PlayerGrades+'!$Y$50*(VLOOKUP(K140, 'PlayerGrades+'!$X$3:$Y$23, 2, FALSE)))+('PlayerGrades+'!$Y$51*(VLOOKUP(M140, 'PlayerGrades+'!$X$3:$Y$23, 2, FALSE)))+('PlayerGrades+'!$Y$52*(VLOOKUP(O140, 'PlayerGrades+'!$X$3:$Y$23, 2, FALSE)))+('PlayerGrades+'!$Y$53*(VLOOKUP(Q140, 'PlayerGrades+'!$X$3:$Y$23, 2, FALSE)))+('PlayerGrades+'!$Y$54*(VLOOKUP(S140, 'PlayerGrades+'!$X$3:$Y$23, 2, FALSE)))+('PlayerGrades+'!$Y$55*(VLOOKUP(U140, 'PlayerGrades+'!$X$3:$Y$23, 2, FALSE)))</f>
        <v>#DIV/0!</v>
      </c>
      <c r="D140" s="961" t="str">
        <f t="shared" si="1"/>
        <v>#DIV/0!</v>
      </c>
      <c r="E140" s="961" t="str">
        <f>IF(D140&lt;'PlayerGrades+'!$AA$21,"F-",IF(D140&lt;'PlayerGrades+'!$AA$20,"F",IF(D140&lt;'PlayerGrades+'!$AA$19,"F+",IF(D140&lt;'PlayerGrades+'!$AA$18,"E-",IF(D140&lt;'PlayerGrades+'!$AA$17,"E",IF(D140&lt;'PlayerGrades+'!$AA$16,"E+",IF(D140&lt;'PlayerGrades+'!$AA$15,"D-",IF(D140&lt;'PlayerGrades+'!$AA$14,"D",IF(D140&lt;'PlayerGrades+'!$AA$13,"D+",IF(D140&lt;'PlayerGrades+'!$AA$12,"C-",IF(D140&lt;'PlayerGrades+'!$AA$11,"C",IF(D140&lt;'PlayerGrades+'!$AA$10,"C+",IF(D140&lt;'PlayerGrades+'!$AA$9,"B-",IF(D140&lt;'PlayerGrades+'!$AA$8,"B",IF(D140&lt;'PlayerGrades+'!$AA$7,"B+",IF(D140&lt;'PlayerGrades+'!$AA$6,"A-",IF(D140&lt;'PlayerGrades+'!$AA$5,"A",IF(D140&lt;'PlayerGrades+'!$AA$4,"A+",IF(D140&lt;'PlayerGrades+'!$AA$3,"S-",IF(D140&lt;'PlayerGrades+'!$AA$2,"S","S+"))))))))))))))))))))</f>
        <v>#DIV/0!</v>
      </c>
      <c r="F140" s="961" t="str">
        <f t="shared" si="2"/>
        <v>#DIV/0!</v>
      </c>
      <c r="G140" s="961" t="str">
        <f>IF(F140&lt;'PlayerGrades+'!$AB$21,"F-",IF(F140&lt;'PlayerGrades+'!$AB$20,"F",IF(F140&lt;'PlayerGrades+'!$AB$19,"F+",IF(F140&lt;'PlayerGrades+'!$AB$18,"E-",IF(F140&lt;'PlayerGrades+'!$AB$17,"E",IF(F140&lt;'PlayerGrades+'!$AB$16,"E+",IF(F140&lt;'PlayerGrades+'!$AB$15,"D-",IF(F140&lt;'PlayerGrades+'!$AB$14,"D",IF(F140&lt;'PlayerGrades+'!$AB$13,"D+",IF(F140&lt;'PlayerGrades+'!$AB$12,"C-",IF(F140&lt;'PlayerGrades+'!$AB$11,"C",IF(F140&lt;'PlayerGrades+'!$AB$10,"C+",IF(F140&lt;'PlayerGrades+'!$AB$9,"B-",IF(F140&lt;'PlayerGrades+'!$AB$8,"B",IF(F140&lt;'PlayerGrades+'!$AB$7,"B+",IF(F140&lt;'PlayerGrades+'!$AB$6,"A-",IF(F140&lt;'PlayerGrades+'!$AB$5,"A",IF(F140&lt;'PlayerGrades+'!$AB$4,"A+",IF(F140&lt;'PlayerGrades+'!$AB$3,"S-",IF(F140&lt;'PlayerGrades+'!$AB$2,"S","S+"))))))))))))))))))))</f>
        <v>#DIV/0!</v>
      </c>
      <c r="H140" s="961" t="str">
        <f t="shared" si="3"/>
        <v>#DIV/0!</v>
      </c>
      <c r="I140" s="961" t="str">
        <f>IF(H140&lt;'PlayerGrades+'!$AC$21,"F-",IF(H140&lt;'PlayerGrades+'!$AC$20,"F",IF(H140&lt;'PlayerGrades+'!$AC$19,"F+",IF(H140&lt;'PlayerGrades+'!$AC$18,"E-",IF(H140&lt;'PlayerGrades+'!$AC$17,"E",IF(H140&lt;'PlayerGrades+'!$AC$16,"E+",IF(H140&lt;'PlayerGrades+'!$AC$15,"D-",IF(H140&lt;'PlayerGrades+'!$AC$14,"D",IF(H140&lt;'PlayerGrades+'!$AC$13,"D+",IF(H140&lt;'PlayerGrades+'!$AC$12,"C-",IF(H140&lt;'PlayerGrades+'!$AC$11,"C",IF(H140&lt;'PlayerGrades+'!$AC$10,"C+",IF(H140&lt;'PlayerGrades+'!$AC$9,"B-",IF(H140&lt;'PlayerGrades+'!$AC$8,"B",IF(H140&lt;'PlayerGrades+'!$AC$7,"B+",IF(H140&lt;'PlayerGrades+'!$AC$6,"A-",IF(H140&lt;'PlayerGrades+'!$AC$5,"A",IF(H140&lt;'PlayerGrades+'!$AC$4,"A+",IF(H140&lt;'PlayerGrades+'!$AC$3,"S-",IF(H140&lt;'PlayerGrades+'!$AC$2,"S","S+"))))))))))))))))))))</f>
        <v>#DIV/0!</v>
      </c>
      <c r="J140" s="961" t="str">
        <f t="shared" si="4"/>
        <v>#DIV/0!</v>
      </c>
      <c r="K140" s="961" t="str">
        <f>IF(J140&lt;'PlayerGrades+'!$AD$21,"F-",IF(J140&lt;'PlayerGrades+'!$AD$20,"F",IF(J140&lt;'PlayerGrades+'!$AD$19,"F+",IF(J140&lt;'PlayerGrades+'!$AD$18,"E-",IF(J140&lt;'PlayerGrades+'!$AD$17,"E",IF(J140&lt;'PlayerGrades+'!$AD$16,"E+",IF(J140&lt;'PlayerGrades+'!$AD$15,"D-",IF(J140&lt;'PlayerGrades+'!$AD$14,"D",IF(J140&lt;'PlayerGrades+'!$AD$13,"D+",IF(J140&lt;'PlayerGrades+'!$AD$12,"C-",IF(J140&lt;'PlayerGrades+'!$AD$11,"C",IF(J140&lt;'PlayerGrades+'!$AD$10,"C+",IF(J140&lt;'PlayerGrades+'!$AD$9,"B-",IF(J140&lt;'PlayerGrades+'!$AD$8,"B",IF(J140&lt;'PlayerGrades+'!$AD$7,"B+",IF(J140&lt;'PlayerGrades+'!$AD$6,"A-",IF(J140&lt;'PlayerGrades+'!$AD$5,"A",IF(J140&lt;'PlayerGrades+'!$AD$4,"A+",IF(J140&lt;'PlayerGrades+'!$AD$3,"S-",IF(J140&lt;'PlayerGrades+'!$AD$2,"S","S+"))))))))))))))))))))</f>
        <v>#DIV/0!</v>
      </c>
      <c r="L140" s="1176" t="str">
        <f t="shared" si="5"/>
        <v>#DIV/0!</v>
      </c>
      <c r="M140" s="992" t="str">
        <f>IF(L140&lt;'PlayerGrades+'!$AE$21,"F-",IF(L140&lt;'PlayerGrades+'!$AE$20,"F",IF(L140&lt;'PlayerGrades+'!$AE$19,"F+",IF(L140&lt;'PlayerGrades+'!$AE$18,"E-",IF(L140&lt;'PlayerGrades+'!$AE$17,"E",IF(L140&lt;'PlayerGrades+'!$AE$16,"E+",IF(L140&lt;'PlayerGrades+'!$AE$15,"D-",IF(L140&lt;'PlayerGrades+'!$AE$14,"D",IF(L140&lt;'PlayerGrades+'!$AE$13,"D+",IF(L140&lt;'PlayerGrades+'!$AE$12,"C-",IF(L140&lt;'PlayerGrades+'!$AE$11,"C",IF(L140&lt;'PlayerGrades+'!$AE$10,"C+",IF(L140&lt;'PlayerGrades+'!$AE$9,"B-",IF(L140&lt;'PlayerGrades+'!$AE$8,"B",IF(L140&lt;'PlayerGrades+'!$AE$7,"B+",IF(L140&lt;'PlayerGrades+'!$AE$6,"A-",IF(L140&lt;'PlayerGrades+'!$AE$5,"A",IF(L140&lt;'PlayerGrades+'!$AE$4,"A+",IF(L140&lt;'PlayerGrades+'!$AE$3,"S-",IF(L140&lt;'PlayerGrades+'!$AE$2,"S","S+"))))))))))))))))))))</f>
        <v>#DIV/0!</v>
      </c>
      <c r="N140" s="961" t="str">
        <f t="shared" si="6"/>
        <v>#DIV/0!</v>
      </c>
      <c r="O140" s="961" t="str">
        <f>IF(N140&lt;'PlayerGrades+'!$AF$21,"F-",IF(N140&lt;'PlayerGrades+'!$AF$20,"F",IF(N140&lt;'PlayerGrades+'!$AF$19,"F+",IF(N140&lt;'PlayerGrades+'!$AF$18,"E-",IF(N140&lt;'PlayerGrades+'!$AF$17,"E",IF(N140&lt;'PlayerGrades+'!$AF$16,"E+",IF(N140&lt;'PlayerGrades+'!$AF$15,"D-",IF(N140&lt;'PlayerGrades+'!$AF$14,"D",IF(N140&lt;'PlayerGrades+'!$AF$13,"D+",IF(N140&lt;'PlayerGrades+'!$AF$12,"C-",IF(N140&lt;'PlayerGrades+'!$AF$11,"C",IF(N140&lt;'PlayerGrades+'!$AF$10,"C+",IF(N140&lt;'PlayerGrades+'!$AF$9,"B-",IF(N140&lt;'PlayerGrades+'!$AF$8,"B",IF(N140&lt;'PlayerGrades+'!$AF$7,"B+",IF(N140&lt;'PlayerGrades+'!$AF$6,"A-",IF(N140&lt;'PlayerGrades+'!$AF$5,"A",IF(N140&lt;'PlayerGrades+'!$AF$4,"A+",IF(N140&lt;'PlayerGrades+'!$AF$3,"S-",IF(N140&lt;'PlayerGrades+'!$AF$2,"S","S+"))))))))))))))))))))</f>
        <v>#DIV/0!</v>
      </c>
      <c r="P140" s="961" t="str">
        <f t="shared" si="7"/>
        <v>#DIV/0!</v>
      </c>
      <c r="Q140" s="961" t="str">
        <f>IF(P140&lt;'PlayerGrades+'!$AG$21,"F-",IF(P140&lt;'PlayerGrades+'!$AG$20,"F",IF(P140&lt;'PlayerGrades+'!$AG$19,"F+",IF(P140&lt;'PlayerGrades+'!$AG$18,"E-",IF(P140&lt;'PlayerGrades+'!$AG$17,"E",IF(P140&lt;'PlayerGrades+'!$AG$16,"E+",IF(P140&lt;'PlayerGrades+'!$AG$15,"D-",IF(P140&lt;'PlayerGrades+'!$AG$14,"D",IF(P140&lt;'PlayerGrades+'!$AG$13,"D+",IF(P140&lt;'PlayerGrades+'!$AG$12,"C-",IF(P140&lt;'PlayerGrades+'!$AG$11,"C",IF(P140&lt;'PlayerGrades+'!$AG$10,"C+",IF(P140&lt;'PlayerGrades+'!$AG$9,"B-",IF(P140&lt;'PlayerGrades+'!$AG$8,"B",IF(P140&lt;'PlayerGrades+'!$AG$7,"B+",IF(P140&lt;'PlayerGrades+'!$AG$6,"A-",IF(P140&lt;'PlayerGrades+'!$AG$5,"A",IF(P140&lt;'PlayerGrades+'!$AG$4,"A+",IF(P140&lt;'PlayerGrades+'!$AG$3,"S-",IF(P140&lt;'PlayerGrades+'!$AG$2,"S","S+"))))))))))))))))))))</f>
        <v>#DIV/0!</v>
      </c>
      <c r="R140" s="961" t="str">
        <f t="shared" si="8"/>
        <v>#DIV/0!</v>
      </c>
      <c r="S140" s="961" t="str">
        <f>IF(R140&lt;'PlayerGrades+'!$AH$21,"F-",IF(R140&lt;'PlayerGrades+'!$AH$20,"F",IF(R140&lt;'PlayerGrades+'!$AH$19,"F+",IF(R140&lt;'PlayerGrades+'!$AH$18,"E-",IF(R140&lt;'PlayerGrades+'!$AH$17,"E",IF(R140&lt;'PlayerGrades+'!$AH$16,"E+",IF(R140&lt;'PlayerGrades+'!$AH$15,"D-",IF(R140&lt;'PlayerGrades+'!$AH$14,"D",IF(R140&lt;'PlayerGrades+'!$AH$13,"D+",IF(R140&lt;'PlayerGrades+'!$AH$12,"C-",IF(R140&lt;'PlayerGrades+'!$AH$11,"C",IF(R140&lt;'PlayerGrades+'!$AH$10,"C+",IF(R140&lt;'PlayerGrades+'!$AH$9,"B-",IF(R140&lt;'PlayerGrades+'!$AH$8,"B",IF(R140&lt;'PlayerGrades+'!$AH$7,"B+",IF(R140&lt;'PlayerGrades+'!$AH$6,"A-",IF(R140&lt;'PlayerGrades+'!$AH$5,"A",IF(R140&lt;'PlayerGrades+'!$AH$4,"A+",IF(R140&lt;'PlayerGrades+'!$AH$3,"S-",IF(R140&lt;'PlayerGrades+'!$AH$2,"S","S+"))))))))))))))))))))</f>
        <v>#DIV/0!</v>
      </c>
      <c r="T140" s="961">
        <f t="shared" si="9"/>
        <v>0</v>
      </c>
      <c r="U140" s="961" t="str">
        <f>IF(T140&lt;'PlayerGrades+'!$AI$21,"F-",IF(T140&lt;'PlayerGrades+'!$AI$20,"F",IF(T140&lt;'PlayerGrades+'!$AI$19,"F+",IF(T140&lt;'PlayerGrades+'!$AI$18,"E-",IF(T140&lt;'PlayerGrades+'!$AI$17,"E",IF(T140&lt;'PlayerGrades+'!$AI$16,"E+",IF(T140&lt;'PlayerGrades+'!$AI$15,"D-",IF(T140&lt;'PlayerGrades+'!$AI$14,"D",IF(T140&lt;'PlayerGrades+'!$AI$13,"D+",IF(T140&lt;'PlayerGrades+'!$AI$12,"C-",IF(T140&lt;'PlayerGrades+'!$AI$11,"C",IF(T140&lt;'PlayerGrades+'!$AI$10,"C+",IF(T140&lt;'PlayerGrades+'!$AI$9,"B-",IF(T140&lt;'PlayerGrades+'!$AI$8,"B",IF(T140&lt;'PlayerGrades+'!$AI$7,"B+",IF(T140&lt;'PlayerGrades+'!$AI$6,"A-",IF(T140&lt;'PlayerGrades+'!$AI$5,"A",IF(T140&lt;'PlayerGrades+'!$AI$4,"A+",IF(T140&lt;'PlayerGrades+'!$AI$3,"S-",IF(T140&lt;'PlayerGrades+'!$AI$2,"S","S+"))))))))))))))))))))</f>
        <v>F-</v>
      </c>
      <c r="Z140" s="1383"/>
      <c r="AA140" s="1383"/>
      <c r="AB140" s="1383"/>
      <c r="AC140" s="1384"/>
      <c r="AD140" s="1383"/>
      <c r="AE140" s="1383"/>
      <c r="AF140" s="1383"/>
      <c r="AG140" s="1383"/>
      <c r="AH140" s="1383"/>
      <c r="AI140" s="1383"/>
      <c r="AJ140" s="1383"/>
      <c r="AK140" s="1383"/>
      <c r="AL140" s="1383"/>
      <c r="AM140" s="1383"/>
      <c r="AN140" s="1383"/>
      <c r="AO140" s="1383"/>
      <c r="AP140" s="1383"/>
      <c r="AQ140" s="1383"/>
      <c r="AR140" s="1383"/>
      <c r="AS140" s="1383"/>
      <c r="AT140" s="1383"/>
      <c r="AU140" s="1383"/>
      <c r="AV140" s="1383"/>
      <c r="AW140" s="1383"/>
      <c r="AX140" s="1383"/>
      <c r="AY140" s="1383"/>
      <c r="AZ140" s="1383"/>
    </row>
    <row r="141">
      <c r="A141" s="1408"/>
      <c r="B141" s="611" t="str">
        <f>IF(C141&lt;'PlayerGrades+'!$Y$44,"F-",IF(C141&lt;'PlayerGrades+'!$Y$43,"F",IF(C141&lt;'PlayerGrades+'!$Y$42,"F+",IF(C141&lt;'PlayerGrades+'!$Y$41,"E-",IF(C141&lt;'PlayerGrades+'!$Y$40,"E",IF(C141&lt;'PlayerGrades+'!$Y$39,"E+",IF(C141&lt;'PlayerGrades+'!$Y$38,"D-",IF(C141&lt;'PlayerGrades+'!$Y$37,"D",IF(C141&lt;'PlayerGrades+'!$Y$36,"D+",IF(C141&lt;'PlayerGrades+'!$Y$35,"C-",IF(C141&lt;'PlayerGrades+'!$Y$34,"C",IF(C141&lt;'PlayerGrades+'!$Y$33,"C+",IF(C141&lt;'PlayerGrades+'!$Y$32,"B-",IF(C141&lt;'PlayerGrades+'!$Y$31,"B",IF(C141&lt;'PlayerGrades+'!$Y$30,"B+",IF(C141&lt;'PlayerGrades+'!$Y$29,"A-",IF(C141&lt;'PlayerGrades+'!$Y$28,"A",IF(C141&lt;'PlayerGrades+'!$Y$27,"A+",IF(C141&lt;'PlayerGrades+'!$Y$26,"S-",IF(C141&lt;'PlayerGrades+'!$Y$25,"S","S+"))))))))))))))))))))</f>
        <v>#DIV/0!</v>
      </c>
      <c r="C141" s="1378" t="str">
        <f>('PlayerGrades+'!$Y$47*(VLOOKUP(E141, 'PlayerGrades+'!$X$3:$Y$23, 2, FALSE)))+('PlayerGrades+'!$Y$48*(VLOOKUP(G141, 'PlayerGrades+'!$X$3:$Y$23, 2, FALSE)))+('PlayerGrades+'!$Y$49*(VLOOKUP(I141, 'PlayerGrades+'!$X$3:$Y$23, 2, FALSE)))+('PlayerGrades+'!$Y$50*(VLOOKUP(K141, 'PlayerGrades+'!$X$3:$Y$23, 2, FALSE)))+('PlayerGrades+'!$Y$51*(VLOOKUP(M141, 'PlayerGrades+'!$X$3:$Y$23, 2, FALSE)))+('PlayerGrades+'!$Y$52*(VLOOKUP(O141, 'PlayerGrades+'!$X$3:$Y$23, 2, FALSE)))+('PlayerGrades+'!$Y$53*(VLOOKUP(Q141, 'PlayerGrades+'!$X$3:$Y$23, 2, FALSE)))+('PlayerGrades+'!$Y$54*(VLOOKUP(S141, 'PlayerGrades+'!$X$3:$Y$23, 2, FALSE)))+('PlayerGrades+'!$Y$55*(VLOOKUP(U141, 'PlayerGrades+'!$X$3:$Y$23, 2, FALSE)))</f>
        <v>#DIV/0!</v>
      </c>
      <c r="D141" s="961" t="str">
        <f t="shared" si="1"/>
        <v>#DIV/0!</v>
      </c>
      <c r="E141" s="961" t="str">
        <f>IF(D141&lt;'PlayerGrades+'!$AA$21,"F-",IF(D141&lt;'PlayerGrades+'!$AA$20,"F",IF(D141&lt;'PlayerGrades+'!$AA$19,"F+",IF(D141&lt;'PlayerGrades+'!$AA$18,"E-",IF(D141&lt;'PlayerGrades+'!$AA$17,"E",IF(D141&lt;'PlayerGrades+'!$AA$16,"E+",IF(D141&lt;'PlayerGrades+'!$AA$15,"D-",IF(D141&lt;'PlayerGrades+'!$AA$14,"D",IF(D141&lt;'PlayerGrades+'!$AA$13,"D+",IF(D141&lt;'PlayerGrades+'!$AA$12,"C-",IF(D141&lt;'PlayerGrades+'!$AA$11,"C",IF(D141&lt;'PlayerGrades+'!$AA$10,"C+",IF(D141&lt;'PlayerGrades+'!$AA$9,"B-",IF(D141&lt;'PlayerGrades+'!$AA$8,"B",IF(D141&lt;'PlayerGrades+'!$AA$7,"B+",IF(D141&lt;'PlayerGrades+'!$AA$6,"A-",IF(D141&lt;'PlayerGrades+'!$AA$5,"A",IF(D141&lt;'PlayerGrades+'!$AA$4,"A+",IF(D141&lt;'PlayerGrades+'!$AA$3,"S-",IF(D141&lt;'PlayerGrades+'!$AA$2,"S","S+"))))))))))))))))))))</f>
        <v>#DIV/0!</v>
      </c>
      <c r="F141" s="961" t="str">
        <f t="shared" si="2"/>
        <v>#DIV/0!</v>
      </c>
      <c r="G141" s="961" t="str">
        <f>IF(F141&lt;'PlayerGrades+'!$AB$21,"F-",IF(F141&lt;'PlayerGrades+'!$AB$20,"F",IF(F141&lt;'PlayerGrades+'!$AB$19,"F+",IF(F141&lt;'PlayerGrades+'!$AB$18,"E-",IF(F141&lt;'PlayerGrades+'!$AB$17,"E",IF(F141&lt;'PlayerGrades+'!$AB$16,"E+",IF(F141&lt;'PlayerGrades+'!$AB$15,"D-",IF(F141&lt;'PlayerGrades+'!$AB$14,"D",IF(F141&lt;'PlayerGrades+'!$AB$13,"D+",IF(F141&lt;'PlayerGrades+'!$AB$12,"C-",IF(F141&lt;'PlayerGrades+'!$AB$11,"C",IF(F141&lt;'PlayerGrades+'!$AB$10,"C+",IF(F141&lt;'PlayerGrades+'!$AB$9,"B-",IF(F141&lt;'PlayerGrades+'!$AB$8,"B",IF(F141&lt;'PlayerGrades+'!$AB$7,"B+",IF(F141&lt;'PlayerGrades+'!$AB$6,"A-",IF(F141&lt;'PlayerGrades+'!$AB$5,"A",IF(F141&lt;'PlayerGrades+'!$AB$4,"A+",IF(F141&lt;'PlayerGrades+'!$AB$3,"S-",IF(F141&lt;'PlayerGrades+'!$AB$2,"S","S+"))))))))))))))))))))</f>
        <v>#DIV/0!</v>
      </c>
      <c r="H141" s="961" t="str">
        <f t="shared" si="3"/>
        <v>#DIV/0!</v>
      </c>
      <c r="I141" s="961" t="str">
        <f>IF(H141&lt;'PlayerGrades+'!$AC$21,"F-",IF(H141&lt;'PlayerGrades+'!$AC$20,"F",IF(H141&lt;'PlayerGrades+'!$AC$19,"F+",IF(H141&lt;'PlayerGrades+'!$AC$18,"E-",IF(H141&lt;'PlayerGrades+'!$AC$17,"E",IF(H141&lt;'PlayerGrades+'!$AC$16,"E+",IF(H141&lt;'PlayerGrades+'!$AC$15,"D-",IF(H141&lt;'PlayerGrades+'!$AC$14,"D",IF(H141&lt;'PlayerGrades+'!$AC$13,"D+",IF(H141&lt;'PlayerGrades+'!$AC$12,"C-",IF(H141&lt;'PlayerGrades+'!$AC$11,"C",IF(H141&lt;'PlayerGrades+'!$AC$10,"C+",IF(H141&lt;'PlayerGrades+'!$AC$9,"B-",IF(H141&lt;'PlayerGrades+'!$AC$8,"B",IF(H141&lt;'PlayerGrades+'!$AC$7,"B+",IF(H141&lt;'PlayerGrades+'!$AC$6,"A-",IF(H141&lt;'PlayerGrades+'!$AC$5,"A",IF(H141&lt;'PlayerGrades+'!$AC$4,"A+",IF(H141&lt;'PlayerGrades+'!$AC$3,"S-",IF(H141&lt;'PlayerGrades+'!$AC$2,"S","S+"))))))))))))))))))))</f>
        <v>#DIV/0!</v>
      </c>
      <c r="J141" s="961" t="str">
        <f t="shared" si="4"/>
        <v>#DIV/0!</v>
      </c>
      <c r="K141" s="961" t="str">
        <f>IF(J141&lt;'PlayerGrades+'!$AD$21,"F-",IF(J141&lt;'PlayerGrades+'!$AD$20,"F",IF(J141&lt;'PlayerGrades+'!$AD$19,"F+",IF(J141&lt;'PlayerGrades+'!$AD$18,"E-",IF(J141&lt;'PlayerGrades+'!$AD$17,"E",IF(J141&lt;'PlayerGrades+'!$AD$16,"E+",IF(J141&lt;'PlayerGrades+'!$AD$15,"D-",IF(J141&lt;'PlayerGrades+'!$AD$14,"D",IF(J141&lt;'PlayerGrades+'!$AD$13,"D+",IF(J141&lt;'PlayerGrades+'!$AD$12,"C-",IF(J141&lt;'PlayerGrades+'!$AD$11,"C",IF(J141&lt;'PlayerGrades+'!$AD$10,"C+",IF(J141&lt;'PlayerGrades+'!$AD$9,"B-",IF(J141&lt;'PlayerGrades+'!$AD$8,"B",IF(J141&lt;'PlayerGrades+'!$AD$7,"B+",IF(J141&lt;'PlayerGrades+'!$AD$6,"A-",IF(J141&lt;'PlayerGrades+'!$AD$5,"A",IF(J141&lt;'PlayerGrades+'!$AD$4,"A+",IF(J141&lt;'PlayerGrades+'!$AD$3,"S-",IF(J141&lt;'PlayerGrades+'!$AD$2,"S","S+"))))))))))))))))))))</f>
        <v>#DIV/0!</v>
      </c>
      <c r="L141" s="1176" t="str">
        <f t="shared" si="5"/>
        <v>#DIV/0!</v>
      </c>
      <c r="M141" s="992" t="str">
        <f>IF(L141&lt;'PlayerGrades+'!$AE$21,"F-",IF(L141&lt;'PlayerGrades+'!$AE$20,"F",IF(L141&lt;'PlayerGrades+'!$AE$19,"F+",IF(L141&lt;'PlayerGrades+'!$AE$18,"E-",IF(L141&lt;'PlayerGrades+'!$AE$17,"E",IF(L141&lt;'PlayerGrades+'!$AE$16,"E+",IF(L141&lt;'PlayerGrades+'!$AE$15,"D-",IF(L141&lt;'PlayerGrades+'!$AE$14,"D",IF(L141&lt;'PlayerGrades+'!$AE$13,"D+",IF(L141&lt;'PlayerGrades+'!$AE$12,"C-",IF(L141&lt;'PlayerGrades+'!$AE$11,"C",IF(L141&lt;'PlayerGrades+'!$AE$10,"C+",IF(L141&lt;'PlayerGrades+'!$AE$9,"B-",IF(L141&lt;'PlayerGrades+'!$AE$8,"B",IF(L141&lt;'PlayerGrades+'!$AE$7,"B+",IF(L141&lt;'PlayerGrades+'!$AE$6,"A-",IF(L141&lt;'PlayerGrades+'!$AE$5,"A",IF(L141&lt;'PlayerGrades+'!$AE$4,"A+",IF(L141&lt;'PlayerGrades+'!$AE$3,"S-",IF(L141&lt;'PlayerGrades+'!$AE$2,"S","S+"))))))))))))))))))))</f>
        <v>#DIV/0!</v>
      </c>
      <c r="N141" s="961" t="str">
        <f t="shared" si="6"/>
        <v>#DIV/0!</v>
      </c>
      <c r="O141" s="961" t="str">
        <f>IF(N141&lt;'PlayerGrades+'!$AF$21,"F-",IF(N141&lt;'PlayerGrades+'!$AF$20,"F",IF(N141&lt;'PlayerGrades+'!$AF$19,"F+",IF(N141&lt;'PlayerGrades+'!$AF$18,"E-",IF(N141&lt;'PlayerGrades+'!$AF$17,"E",IF(N141&lt;'PlayerGrades+'!$AF$16,"E+",IF(N141&lt;'PlayerGrades+'!$AF$15,"D-",IF(N141&lt;'PlayerGrades+'!$AF$14,"D",IF(N141&lt;'PlayerGrades+'!$AF$13,"D+",IF(N141&lt;'PlayerGrades+'!$AF$12,"C-",IF(N141&lt;'PlayerGrades+'!$AF$11,"C",IF(N141&lt;'PlayerGrades+'!$AF$10,"C+",IF(N141&lt;'PlayerGrades+'!$AF$9,"B-",IF(N141&lt;'PlayerGrades+'!$AF$8,"B",IF(N141&lt;'PlayerGrades+'!$AF$7,"B+",IF(N141&lt;'PlayerGrades+'!$AF$6,"A-",IF(N141&lt;'PlayerGrades+'!$AF$5,"A",IF(N141&lt;'PlayerGrades+'!$AF$4,"A+",IF(N141&lt;'PlayerGrades+'!$AF$3,"S-",IF(N141&lt;'PlayerGrades+'!$AF$2,"S","S+"))))))))))))))))))))</f>
        <v>#DIV/0!</v>
      </c>
      <c r="P141" s="961" t="str">
        <f t="shared" si="7"/>
        <v>#DIV/0!</v>
      </c>
      <c r="Q141" s="961" t="str">
        <f>IF(P141&lt;'PlayerGrades+'!$AG$21,"F-",IF(P141&lt;'PlayerGrades+'!$AG$20,"F",IF(P141&lt;'PlayerGrades+'!$AG$19,"F+",IF(P141&lt;'PlayerGrades+'!$AG$18,"E-",IF(P141&lt;'PlayerGrades+'!$AG$17,"E",IF(P141&lt;'PlayerGrades+'!$AG$16,"E+",IF(P141&lt;'PlayerGrades+'!$AG$15,"D-",IF(P141&lt;'PlayerGrades+'!$AG$14,"D",IF(P141&lt;'PlayerGrades+'!$AG$13,"D+",IF(P141&lt;'PlayerGrades+'!$AG$12,"C-",IF(P141&lt;'PlayerGrades+'!$AG$11,"C",IF(P141&lt;'PlayerGrades+'!$AG$10,"C+",IF(P141&lt;'PlayerGrades+'!$AG$9,"B-",IF(P141&lt;'PlayerGrades+'!$AG$8,"B",IF(P141&lt;'PlayerGrades+'!$AG$7,"B+",IF(P141&lt;'PlayerGrades+'!$AG$6,"A-",IF(P141&lt;'PlayerGrades+'!$AG$5,"A",IF(P141&lt;'PlayerGrades+'!$AG$4,"A+",IF(P141&lt;'PlayerGrades+'!$AG$3,"S-",IF(P141&lt;'PlayerGrades+'!$AG$2,"S","S+"))))))))))))))))))))</f>
        <v>#DIV/0!</v>
      </c>
      <c r="R141" s="961" t="str">
        <f t="shared" si="8"/>
        <v>#DIV/0!</v>
      </c>
      <c r="S141" s="961" t="str">
        <f>IF(R141&lt;'PlayerGrades+'!$AH$21,"F-",IF(R141&lt;'PlayerGrades+'!$AH$20,"F",IF(R141&lt;'PlayerGrades+'!$AH$19,"F+",IF(R141&lt;'PlayerGrades+'!$AH$18,"E-",IF(R141&lt;'PlayerGrades+'!$AH$17,"E",IF(R141&lt;'PlayerGrades+'!$AH$16,"E+",IF(R141&lt;'PlayerGrades+'!$AH$15,"D-",IF(R141&lt;'PlayerGrades+'!$AH$14,"D",IF(R141&lt;'PlayerGrades+'!$AH$13,"D+",IF(R141&lt;'PlayerGrades+'!$AH$12,"C-",IF(R141&lt;'PlayerGrades+'!$AH$11,"C",IF(R141&lt;'PlayerGrades+'!$AH$10,"C+",IF(R141&lt;'PlayerGrades+'!$AH$9,"B-",IF(R141&lt;'PlayerGrades+'!$AH$8,"B",IF(R141&lt;'PlayerGrades+'!$AH$7,"B+",IF(R141&lt;'PlayerGrades+'!$AH$6,"A-",IF(R141&lt;'PlayerGrades+'!$AH$5,"A",IF(R141&lt;'PlayerGrades+'!$AH$4,"A+",IF(R141&lt;'PlayerGrades+'!$AH$3,"S-",IF(R141&lt;'PlayerGrades+'!$AH$2,"S","S+"))))))))))))))))))))</f>
        <v>#DIV/0!</v>
      </c>
      <c r="T141" s="961">
        <f t="shared" si="9"/>
        <v>0</v>
      </c>
      <c r="U141" s="961" t="str">
        <f>IF(T141&lt;'PlayerGrades+'!$AI$21,"F-",IF(T141&lt;'PlayerGrades+'!$AI$20,"F",IF(T141&lt;'PlayerGrades+'!$AI$19,"F+",IF(T141&lt;'PlayerGrades+'!$AI$18,"E-",IF(T141&lt;'PlayerGrades+'!$AI$17,"E",IF(T141&lt;'PlayerGrades+'!$AI$16,"E+",IF(T141&lt;'PlayerGrades+'!$AI$15,"D-",IF(T141&lt;'PlayerGrades+'!$AI$14,"D",IF(T141&lt;'PlayerGrades+'!$AI$13,"D+",IF(T141&lt;'PlayerGrades+'!$AI$12,"C-",IF(T141&lt;'PlayerGrades+'!$AI$11,"C",IF(T141&lt;'PlayerGrades+'!$AI$10,"C+",IF(T141&lt;'PlayerGrades+'!$AI$9,"B-",IF(T141&lt;'PlayerGrades+'!$AI$8,"B",IF(T141&lt;'PlayerGrades+'!$AI$7,"B+",IF(T141&lt;'PlayerGrades+'!$AI$6,"A-",IF(T141&lt;'PlayerGrades+'!$AI$5,"A",IF(T141&lt;'PlayerGrades+'!$AI$4,"A+",IF(T141&lt;'PlayerGrades+'!$AI$3,"S-",IF(T141&lt;'PlayerGrades+'!$AI$2,"S","S+"))))))))))))))))))))</f>
        <v>F-</v>
      </c>
      <c r="Z141" s="1383"/>
      <c r="AA141" s="1383"/>
      <c r="AB141" s="1383"/>
      <c r="AC141" s="1384"/>
      <c r="AD141" s="1383"/>
      <c r="AE141" s="1383"/>
      <c r="AF141" s="1383"/>
      <c r="AG141" s="1383"/>
      <c r="AH141" s="1383"/>
      <c r="AI141" s="1383"/>
      <c r="AJ141" s="1383"/>
      <c r="AK141" s="1383"/>
      <c r="AL141" s="1383"/>
      <c r="AM141" s="1383"/>
      <c r="AN141" s="1383"/>
      <c r="AO141" s="1383"/>
      <c r="AP141" s="1383"/>
      <c r="AQ141" s="1383"/>
      <c r="AR141" s="1383"/>
      <c r="AS141" s="1383"/>
      <c r="AT141" s="1383"/>
      <c r="AU141" s="1383"/>
      <c r="AV141" s="1383"/>
      <c r="AW141" s="1383"/>
      <c r="AX141" s="1383"/>
      <c r="AY141" s="1383"/>
      <c r="AZ141" s="1383"/>
    </row>
    <row r="142">
      <c r="A142" s="1408"/>
      <c r="B142" s="611" t="str">
        <f>IF(C142&lt;'PlayerGrades+'!$Y$44,"F-",IF(C142&lt;'PlayerGrades+'!$Y$43,"F",IF(C142&lt;'PlayerGrades+'!$Y$42,"F+",IF(C142&lt;'PlayerGrades+'!$Y$41,"E-",IF(C142&lt;'PlayerGrades+'!$Y$40,"E",IF(C142&lt;'PlayerGrades+'!$Y$39,"E+",IF(C142&lt;'PlayerGrades+'!$Y$38,"D-",IF(C142&lt;'PlayerGrades+'!$Y$37,"D",IF(C142&lt;'PlayerGrades+'!$Y$36,"D+",IF(C142&lt;'PlayerGrades+'!$Y$35,"C-",IF(C142&lt;'PlayerGrades+'!$Y$34,"C",IF(C142&lt;'PlayerGrades+'!$Y$33,"C+",IF(C142&lt;'PlayerGrades+'!$Y$32,"B-",IF(C142&lt;'PlayerGrades+'!$Y$31,"B",IF(C142&lt;'PlayerGrades+'!$Y$30,"B+",IF(C142&lt;'PlayerGrades+'!$Y$29,"A-",IF(C142&lt;'PlayerGrades+'!$Y$28,"A",IF(C142&lt;'PlayerGrades+'!$Y$27,"A+",IF(C142&lt;'PlayerGrades+'!$Y$26,"S-",IF(C142&lt;'PlayerGrades+'!$Y$25,"S","S+"))))))))))))))))))))</f>
        <v>#DIV/0!</v>
      </c>
      <c r="C142" s="1378" t="str">
        <f>('PlayerGrades+'!$Y$47*(VLOOKUP(E142, 'PlayerGrades+'!$X$3:$Y$23, 2, FALSE)))+('PlayerGrades+'!$Y$48*(VLOOKUP(G142, 'PlayerGrades+'!$X$3:$Y$23, 2, FALSE)))+('PlayerGrades+'!$Y$49*(VLOOKUP(I142, 'PlayerGrades+'!$X$3:$Y$23, 2, FALSE)))+('PlayerGrades+'!$Y$50*(VLOOKUP(K142, 'PlayerGrades+'!$X$3:$Y$23, 2, FALSE)))+('PlayerGrades+'!$Y$51*(VLOOKUP(M142, 'PlayerGrades+'!$X$3:$Y$23, 2, FALSE)))+('PlayerGrades+'!$Y$52*(VLOOKUP(O142, 'PlayerGrades+'!$X$3:$Y$23, 2, FALSE)))+('PlayerGrades+'!$Y$53*(VLOOKUP(Q142, 'PlayerGrades+'!$X$3:$Y$23, 2, FALSE)))+('PlayerGrades+'!$Y$54*(VLOOKUP(S142, 'PlayerGrades+'!$X$3:$Y$23, 2, FALSE)))+('PlayerGrades+'!$Y$55*(VLOOKUP(U142, 'PlayerGrades+'!$X$3:$Y$23, 2, FALSE)))</f>
        <v>#DIV/0!</v>
      </c>
      <c r="D142" s="961" t="str">
        <f t="shared" si="1"/>
        <v>#DIV/0!</v>
      </c>
      <c r="E142" s="961" t="str">
        <f>IF(D142&lt;'PlayerGrades+'!$AA$21,"F-",IF(D142&lt;'PlayerGrades+'!$AA$20,"F",IF(D142&lt;'PlayerGrades+'!$AA$19,"F+",IF(D142&lt;'PlayerGrades+'!$AA$18,"E-",IF(D142&lt;'PlayerGrades+'!$AA$17,"E",IF(D142&lt;'PlayerGrades+'!$AA$16,"E+",IF(D142&lt;'PlayerGrades+'!$AA$15,"D-",IF(D142&lt;'PlayerGrades+'!$AA$14,"D",IF(D142&lt;'PlayerGrades+'!$AA$13,"D+",IF(D142&lt;'PlayerGrades+'!$AA$12,"C-",IF(D142&lt;'PlayerGrades+'!$AA$11,"C",IF(D142&lt;'PlayerGrades+'!$AA$10,"C+",IF(D142&lt;'PlayerGrades+'!$AA$9,"B-",IF(D142&lt;'PlayerGrades+'!$AA$8,"B",IF(D142&lt;'PlayerGrades+'!$AA$7,"B+",IF(D142&lt;'PlayerGrades+'!$AA$6,"A-",IF(D142&lt;'PlayerGrades+'!$AA$5,"A",IF(D142&lt;'PlayerGrades+'!$AA$4,"A+",IF(D142&lt;'PlayerGrades+'!$AA$3,"S-",IF(D142&lt;'PlayerGrades+'!$AA$2,"S","S+"))))))))))))))))))))</f>
        <v>#DIV/0!</v>
      </c>
      <c r="F142" s="961" t="str">
        <f t="shared" si="2"/>
        <v>#DIV/0!</v>
      </c>
      <c r="G142" s="961" t="str">
        <f>IF(F142&lt;'PlayerGrades+'!$AB$21,"F-",IF(F142&lt;'PlayerGrades+'!$AB$20,"F",IF(F142&lt;'PlayerGrades+'!$AB$19,"F+",IF(F142&lt;'PlayerGrades+'!$AB$18,"E-",IF(F142&lt;'PlayerGrades+'!$AB$17,"E",IF(F142&lt;'PlayerGrades+'!$AB$16,"E+",IF(F142&lt;'PlayerGrades+'!$AB$15,"D-",IF(F142&lt;'PlayerGrades+'!$AB$14,"D",IF(F142&lt;'PlayerGrades+'!$AB$13,"D+",IF(F142&lt;'PlayerGrades+'!$AB$12,"C-",IF(F142&lt;'PlayerGrades+'!$AB$11,"C",IF(F142&lt;'PlayerGrades+'!$AB$10,"C+",IF(F142&lt;'PlayerGrades+'!$AB$9,"B-",IF(F142&lt;'PlayerGrades+'!$AB$8,"B",IF(F142&lt;'PlayerGrades+'!$AB$7,"B+",IF(F142&lt;'PlayerGrades+'!$AB$6,"A-",IF(F142&lt;'PlayerGrades+'!$AB$5,"A",IF(F142&lt;'PlayerGrades+'!$AB$4,"A+",IF(F142&lt;'PlayerGrades+'!$AB$3,"S-",IF(F142&lt;'PlayerGrades+'!$AB$2,"S","S+"))))))))))))))))))))</f>
        <v>#DIV/0!</v>
      </c>
      <c r="H142" s="961" t="str">
        <f t="shared" si="3"/>
        <v>#DIV/0!</v>
      </c>
      <c r="I142" s="961" t="str">
        <f>IF(H142&lt;'PlayerGrades+'!$AC$21,"F-",IF(H142&lt;'PlayerGrades+'!$AC$20,"F",IF(H142&lt;'PlayerGrades+'!$AC$19,"F+",IF(H142&lt;'PlayerGrades+'!$AC$18,"E-",IF(H142&lt;'PlayerGrades+'!$AC$17,"E",IF(H142&lt;'PlayerGrades+'!$AC$16,"E+",IF(H142&lt;'PlayerGrades+'!$AC$15,"D-",IF(H142&lt;'PlayerGrades+'!$AC$14,"D",IF(H142&lt;'PlayerGrades+'!$AC$13,"D+",IF(H142&lt;'PlayerGrades+'!$AC$12,"C-",IF(H142&lt;'PlayerGrades+'!$AC$11,"C",IF(H142&lt;'PlayerGrades+'!$AC$10,"C+",IF(H142&lt;'PlayerGrades+'!$AC$9,"B-",IF(H142&lt;'PlayerGrades+'!$AC$8,"B",IF(H142&lt;'PlayerGrades+'!$AC$7,"B+",IF(H142&lt;'PlayerGrades+'!$AC$6,"A-",IF(H142&lt;'PlayerGrades+'!$AC$5,"A",IF(H142&lt;'PlayerGrades+'!$AC$4,"A+",IF(H142&lt;'PlayerGrades+'!$AC$3,"S-",IF(H142&lt;'PlayerGrades+'!$AC$2,"S","S+"))))))))))))))))))))</f>
        <v>#DIV/0!</v>
      </c>
      <c r="J142" s="961" t="str">
        <f t="shared" si="4"/>
        <v>#DIV/0!</v>
      </c>
      <c r="K142" s="961" t="str">
        <f>IF(J142&lt;'PlayerGrades+'!$AD$21,"F-",IF(J142&lt;'PlayerGrades+'!$AD$20,"F",IF(J142&lt;'PlayerGrades+'!$AD$19,"F+",IF(J142&lt;'PlayerGrades+'!$AD$18,"E-",IF(J142&lt;'PlayerGrades+'!$AD$17,"E",IF(J142&lt;'PlayerGrades+'!$AD$16,"E+",IF(J142&lt;'PlayerGrades+'!$AD$15,"D-",IF(J142&lt;'PlayerGrades+'!$AD$14,"D",IF(J142&lt;'PlayerGrades+'!$AD$13,"D+",IF(J142&lt;'PlayerGrades+'!$AD$12,"C-",IF(J142&lt;'PlayerGrades+'!$AD$11,"C",IF(J142&lt;'PlayerGrades+'!$AD$10,"C+",IF(J142&lt;'PlayerGrades+'!$AD$9,"B-",IF(J142&lt;'PlayerGrades+'!$AD$8,"B",IF(J142&lt;'PlayerGrades+'!$AD$7,"B+",IF(J142&lt;'PlayerGrades+'!$AD$6,"A-",IF(J142&lt;'PlayerGrades+'!$AD$5,"A",IF(J142&lt;'PlayerGrades+'!$AD$4,"A+",IF(J142&lt;'PlayerGrades+'!$AD$3,"S-",IF(J142&lt;'PlayerGrades+'!$AD$2,"S","S+"))))))))))))))))))))</f>
        <v>#DIV/0!</v>
      </c>
      <c r="L142" s="1176" t="str">
        <f t="shared" si="5"/>
        <v>#DIV/0!</v>
      </c>
      <c r="M142" s="992" t="str">
        <f>IF(L142&lt;'PlayerGrades+'!$AE$21,"F-",IF(L142&lt;'PlayerGrades+'!$AE$20,"F",IF(L142&lt;'PlayerGrades+'!$AE$19,"F+",IF(L142&lt;'PlayerGrades+'!$AE$18,"E-",IF(L142&lt;'PlayerGrades+'!$AE$17,"E",IF(L142&lt;'PlayerGrades+'!$AE$16,"E+",IF(L142&lt;'PlayerGrades+'!$AE$15,"D-",IF(L142&lt;'PlayerGrades+'!$AE$14,"D",IF(L142&lt;'PlayerGrades+'!$AE$13,"D+",IF(L142&lt;'PlayerGrades+'!$AE$12,"C-",IF(L142&lt;'PlayerGrades+'!$AE$11,"C",IF(L142&lt;'PlayerGrades+'!$AE$10,"C+",IF(L142&lt;'PlayerGrades+'!$AE$9,"B-",IF(L142&lt;'PlayerGrades+'!$AE$8,"B",IF(L142&lt;'PlayerGrades+'!$AE$7,"B+",IF(L142&lt;'PlayerGrades+'!$AE$6,"A-",IF(L142&lt;'PlayerGrades+'!$AE$5,"A",IF(L142&lt;'PlayerGrades+'!$AE$4,"A+",IF(L142&lt;'PlayerGrades+'!$AE$3,"S-",IF(L142&lt;'PlayerGrades+'!$AE$2,"S","S+"))))))))))))))))))))</f>
        <v>#DIV/0!</v>
      </c>
      <c r="N142" s="961" t="str">
        <f t="shared" si="6"/>
        <v>#DIV/0!</v>
      </c>
      <c r="O142" s="961" t="str">
        <f>IF(N142&lt;'PlayerGrades+'!$AF$21,"F-",IF(N142&lt;'PlayerGrades+'!$AF$20,"F",IF(N142&lt;'PlayerGrades+'!$AF$19,"F+",IF(N142&lt;'PlayerGrades+'!$AF$18,"E-",IF(N142&lt;'PlayerGrades+'!$AF$17,"E",IF(N142&lt;'PlayerGrades+'!$AF$16,"E+",IF(N142&lt;'PlayerGrades+'!$AF$15,"D-",IF(N142&lt;'PlayerGrades+'!$AF$14,"D",IF(N142&lt;'PlayerGrades+'!$AF$13,"D+",IF(N142&lt;'PlayerGrades+'!$AF$12,"C-",IF(N142&lt;'PlayerGrades+'!$AF$11,"C",IF(N142&lt;'PlayerGrades+'!$AF$10,"C+",IF(N142&lt;'PlayerGrades+'!$AF$9,"B-",IF(N142&lt;'PlayerGrades+'!$AF$8,"B",IF(N142&lt;'PlayerGrades+'!$AF$7,"B+",IF(N142&lt;'PlayerGrades+'!$AF$6,"A-",IF(N142&lt;'PlayerGrades+'!$AF$5,"A",IF(N142&lt;'PlayerGrades+'!$AF$4,"A+",IF(N142&lt;'PlayerGrades+'!$AF$3,"S-",IF(N142&lt;'PlayerGrades+'!$AF$2,"S","S+"))))))))))))))))))))</f>
        <v>#DIV/0!</v>
      </c>
      <c r="P142" s="961" t="str">
        <f t="shared" si="7"/>
        <v>#DIV/0!</v>
      </c>
      <c r="Q142" s="961" t="str">
        <f>IF(P142&lt;'PlayerGrades+'!$AG$21,"F-",IF(P142&lt;'PlayerGrades+'!$AG$20,"F",IF(P142&lt;'PlayerGrades+'!$AG$19,"F+",IF(P142&lt;'PlayerGrades+'!$AG$18,"E-",IF(P142&lt;'PlayerGrades+'!$AG$17,"E",IF(P142&lt;'PlayerGrades+'!$AG$16,"E+",IF(P142&lt;'PlayerGrades+'!$AG$15,"D-",IF(P142&lt;'PlayerGrades+'!$AG$14,"D",IF(P142&lt;'PlayerGrades+'!$AG$13,"D+",IF(P142&lt;'PlayerGrades+'!$AG$12,"C-",IF(P142&lt;'PlayerGrades+'!$AG$11,"C",IF(P142&lt;'PlayerGrades+'!$AG$10,"C+",IF(P142&lt;'PlayerGrades+'!$AG$9,"B-",IF(P142&lt;'PlayerGrades+'!$AG$8,"B",IF(P142&lt;'PlayerGrades+'!$AG$7,"B+",IF(P142&lt;'PlayerGrades+'!$AG$6,"A-",IF(P142&lt;'PlayerGrades+'!$AG$5,"A",IF(P142&lt;'PlayerGrades+'!$AG$4,"A+",IF(P142&lt;'PlayerGrades+'!$AG$3,"S-",IF(P142&lt;'PlayerGrades+'!$AG$2,"S","S+"))))))))))))))))))))</f>
        <v>#DIV/0!</v>
      </c>
      <c r="R142" s="961" t="str">
        <f t="shared" si="8"/>
        <v>#DIV/0!</v>
      </c>
      <c r="S142" s="961" t="str">
        <f>IF(R142&lt;'PlayerGrades+'!$AH$21,"F-",IF(R142&lt;'PlayerGrades+'!$AH$20,"F",IF(R142&lt;'PlayerGrades+'!$AH$19,"F+",IF(R142&lt;'PlayerGrades+'!$AH$18,"E-",IF(R142&lt;'PlayerGrades+'!$AH$17,"E",IF(R142&lt;'PlayerGrades+'!$AH$16,"E+",IF(R142&lt;'PlayerGrades+'!$AH$15,"D-",IF(R142&lt;'PlayerGrades+'!$AH$14,"D",IF(R142&lt;'PlayerGrades+'!$AH$13,"D+",IF(R142&lt;'PlayerGrades+'!$AH$12,"C-",IF(R142&lt;'PlayerGrades+'!$AH$11,"C",IF(R142&lt;'PlayerGrades+'!$AH$10,"C+",IF(R142&lt;'PlayerGrades+'!$AH$9,"B-",IF(R142&lt;'PlayerGrades+'!$AH$8,"B",IF(R142&lt;'PlayerGrades+'!$AH$7,"B+",IF(R142&lt;'PlayerGrades+'!$AH$6,"A-",IF(R142&lt;'PlayerGrades+'!$AH$5,"A",IF(R142&lt;'PlayerGrades+'!$AH$4,"A+",IF(R142&lt;'PlayerGrades+'!$AH$3,"S-",IF(R142&lt;'PlayerGrades+'!$AH$2,"S","S+"))))))))))))))))))))</f>
        <v>#DIV/0!</v>
      </c>
      <c r="T142" s="961">
        <f t="shared" si="9"/>
        <v>0</v>
      </c>
      <c r="U142" s="961" t="str">
        <f>IF(T142&lt;'PlayerGrades+'!$AI$21,"F-",IF(T142&lt;'PlayerGrades+'!$AI$20,"F",IF(T142&lt;'PlayerGrades+'!$AI$19,"F+",IF(T142&lt;'PlayerGrades+'!$AI$18,"E-",IF(T142&lt;'PlayerGrades+'!$AI$17,"E",IF(T142&lt;'PlayerGrades+'!$AI$16,"E+",IF(T142&lt;'PlayerGrades+'!$AI$15,"D-",IF(T142&lt;'PlayerGrades+'!$AI$14,"D",IF(T142&lt;'PlayerGrades+'!$AI$13,"D+",IF(T142&lt;'PlayerGrades+'!$AI$12,"C-",IF(T142&lt;'PlayerGrades+'!$AI$11,"C",IF(T142&lt;'PlayerGrades+'!$AI$10,"C+",IF(T142&lt;'PlayerGrades+'!$AI$9,"B-",IF(T142&lt;'PlayerGrades+'!$AI$8,"B",IF(T142&lt;'PlayerGrades+'!$AI$7,"B+",IF(T142&lt;'PlayerGrades+'!$AI$6,"A-",IF(T142&lt;'PlayerGrades+'!$AI$5,"A",IF(T142&lt;'PlayerGrades+'!$AI$4,"A+",IF(T142&lt;'PlayerGrades+'!$AI$3,"S-",IF(T142&lt;'PlayerGrades+'!$AI$2,"S","S+"))))))))))))))))))))</f>
        <v>F-</v>
      </c>
      <c r="Z142" s="1383"/>
      <c r="AA142" s="1383"/>
      <c r="AB142" s="1383"/>
      <c r="AC142" s="1384"/>
      <c r="AD142" s="1383"/>
      <c r="AE142" s="1383"/>
      <c r="AF142" s="1383"/>
      <c r="AG142" s="1383"/>
      <c r="AH142" s="1383"/>
      <c r="AI142" s="1383"/>
      <c r="AJ142" s="1383"/>
      <c r="AK142" s="1383"/>
      <c r="AL142" s="1383"/>
      <c r="AM142" s="1383"/>
      <c r="AN142" s="1383"/>
      <c r="AO142" s="1383"/>
      <c r="AP142" s="1383"/>
      <c r="AQ142" s="1383"/>
      <c r="AR142" s="1383"/>
      <c r="AS142" s="1383"/>
      <c r="AT142" s="1383"/>
      <c r="AU142" s="1383"/>
      <c r="AV142" s="1383"/>
      <c r="AW142" s="1383"/>
      <c r="AX142" s="1383"/>
      <c r="AY142" s="1383"/>
      <c r="AZ142" s="1383"/>
    </row>
    <row r="143">
      <c r="A143" s="1408"/>
      <c r="B143" s="611" t="str">
        <f>IF(C143&lt;'PlayerGrades+'!$Y$44,"F-",IF(C143&lt;'PlayerGrades+'!$Y$43,"F",IF(C143&lt;'PlayerGrades+'!$Y$42,"F+",IF(C143&lt;'PlayerGrades+'!$Y$41,"E-",IF(C143&lt;'PlayerGrades+'!$Y$40,"E",IF(C143&lt;'PlayerGrades+'!$Y$39,"E+",IF(C143&lt;'PlayerGrades+'!$Y$38,"D-",IF(C143&lt;'PlayerGrades+'!$Y$37,"D",IF(C143&lt;'PlayerGrades+'!$Y$36,"D+",IF(C143&lt;'PlayerGrades+'!$Y$35,"C-",IF(C143&lt;'PlayerGrades+'!$Y$34,"C",IF(C143&lt;'PlayerGrades+'!$Y$33,"C+",IF(C143&lt;'PlayerGrades+'!$Y$32,"B-",IF(C143&lt;'PlayerGrades+'!$Y$31,"B",IF(C143&lt;'PlayerGrades+'!$Y$30,"B+",IF(C143&lt;'PlayerGrades+'!$Y$29,"A-",IF(C143&lt;'PlayerGrades+'!$Y$28,"A",IF(C143&lt;'PlayerGrades+'!$Y$27,"A+",IF(C143&lt;'PlayerGrades+'!$Y$26,"S-",IF(C143&lt;'PlayerGrades+'!$Y$25,"S","S+"))))))))))))))))))))</f>
        <v>#DIV/0!</v>
      </c>
      <c r="C143" s="1378" t="str">
        <f>('PlayerGrades+'!$Y$47*(VLOOKUP(E143, 'PlayerGrades+'!$X$3:$Y$23, 2, FALSE)))+('PlayerGrades+'!$Y$48*(VLOOKUP(G143, 'PlayerGrades+'!$X$3:$Y$23, 2, FALSE)))+('PlayerGrades+'!$Y$49*(VLOOKUP(I143, 'PlayerGrades+'!$X$3:$Y$23, 2, FALSE)))+('PlayerGrades+'!$Y$50*(VLOOKUP(K143, 'PlayerGrades+'!$X$3:$Y$23, 2, FALSE)))+('PlayerGrades+'!$Y$51*(VLOOKUP(M143, 'PlayerGrades+'!$X$3:$Y$23, 2, FALSE)))+('PlayerGrades+'!$Y$52*(VLOOKUP(O143, 'PlayerGrades+'!$X$3:$Y$23, 2, FALSE)))+('PlayerGrades+'!$Y$53*(VLOOKUP(Q143, 'PlayerGrades+'!$X$3:$Y$23, 2, FALSE)))+('PlayerGrades+'!$Y$54*(VLOOKUP(S143, 'PlayerGrades+'!$X$3:$Y$23, 2, FALSE)))+('PlayerGrades+'!$Y$55*(VLOOKUP(U143, 'PlayerGrades+'!$X$3:$Y$23, 2, FALSE)))</f>
        <v>#DIV/0!</v>
      </c>
      <c r="D143" s="961" t="str">
        <f t="shared" si="1"/>
        <v>#DIV/0!</v>
      </c>
      <c r="E143" s="961" t="str">
        <f>IF(D143&lt;'PlayerGrades+'!$AA$21,"F-",IF(D143&lt;'PlayerGrades+'!$AA$20,"F",IF(D143&lt;'PlayerGrades+'!$AA$19,"F+",IF(D143&lt;'PlayerGrades+'!$AA$18,"E-",IF(D143&lt;'PlayerGrades+'!$AA$17,"E",IF(D143&lt;'PlayerGrades+'!$AA$16,"E+",IF(D143&lt;'PlayerGrades+'!$AA$15,"D-",IF(D143&lt;'PlayerGrades+'!$AA$14,"D",IF(D143&lt;'PlayerGrades+'!$AA$13,"D+",IF(D143&lt;'PlayerGrades+'!$AA$12,"C-",IF(D143&lt;'PlayerGrades+'!$AA$11,"C",IF(D143&lt;'PlayerGrades+'!$AA$10,"C+",IF(D143&lt;'PlayerGrades+'!$AA$9,"B-",IF(D143&lt;'PlayerGrades+'!$AA$8,"B",IF(D143&lt;'PlayerGrades+'!$AA$7,"B+",IF(D143&lt;'PlayerGrades+'!$AA$6,"A-",IF(D143&lt;'PlayerGrades+'!$AA$5,"A",IF(D143&lt;'PlayerGrades+'!$AA$4,"A+",IF(D143&lt;'PlayerGrades+'!$AA$3,"S-",IF(D143&lt;'PlayerGrades+'!$AA$2,"S","S+"))))))))))))))))))))</f>
        <v>#DIV/0!</v>
      </c>
      <c r="F143" s="961" t="str">
        <f t="shared" si="2"/>
        <v>#DIV/0!</v>
      </c>
      <c r="G143" s="961" t="str">
        <f>IF(F143&lt;'PlayerGrades+'!$AB$21,"F-",IF(F143&lt;'PlayerGrades+'!$AB$20,"F",IF(F143&lt;'PlayerGrades+'!$AB$19,"F+",IF(F143&lt;'PlayerGrades+'!$AB$18,"E-",IF(F143&lt;'PlayerGrades+'!$AB$17,"E",IF(F143&lt;'PlayerGrades+'!$AB$16,"E+",IF(F143&lt;'PlayerGrades+'!$AB$15,"D-",IF(F143&lt;'PlayerGrades+'!$AB$14,"D",IF(F143&lt;'PlayerGrades+'!$AB$13,"D+",IF(F143&lt;'PlayerGrades+'!$AB$12,"C-",IF(F143&lt;'PlayerGrades+'!$AB$11,"C",IF(F143&lt;'PlayerGrades+'!$AB$10,"C+",IF(F143&lt;'PlayerGrades+'!$AB$9,"B-",IF(F143&lt;'PlayerGrades+'!$AB$8,"B",IF(F143&lt;'PlayerGrades+'!$AB$7,"B+",IF(F143&lt;'PlayerGrades+'!$AB$6,"A-",IF(F143&lt;'PlayerGrades+'!$AB$5,"A",IF(F143&lt;'PlayerGrades+'!$AB$4,"A+",IF(F143&lt;'PlayerGrades+'!$AB$3,"S-",IF(F143&lt;'PlayerGrades+'!$AB$2,"S","S+"))))))))))))))))))))</f>
        <v>#DIV/0!</v>
      </c>
      <c r="H143" s="961" t="str">
        <f t="shared" si="3"/>
        <v>#DIV/0!</v>
      </c>
      <c r="I143" s="961" t="str">
        <f>IF(H143&lt;'PlayerGrades+'!$AC$21,"F-",IF(H143&lt;'PlayerGrades+'!$AC$20,"F",IF(H143&lt;'PlayerGrades+'!$AC$19,"F+",IF(H143&lt;'PlayerGrades+'!$AC$18,"E-",IF(H143&lt;'PlayerGrades+'!$AC$17,"E",IF(H143&lt;'PlayerGrades+'!$AC$16,"E+",IF(H143&lt;'PlayerGrades+'!$AC$15,"D-",IF(H143&lt;'PlayerGrades+'!$AC$14,"D",IF(H143&lt;'PlayerGrades+'!$AC$13,"D+",IF(H143&lt;'PlayerGrades+'!$AC$12,"C-",IF(H143&lt;'PlayerGrades+'!$AC$11,"C",IF(H143&lt;'PlayerGrades+'!$AC$10,"C+",IF(H143&lt;'PlayerGrades+'!$AC$9,"B-",IF(H143&lt;'PlayerGrades+'!$AC$8,"B",IF(H143&lt;'PlayerGrades+'!$AC$7,"B+",IF(H143&lt;'PlayerGrades+'!$AC$6,"A-",IF(H143&lt;'PlayerGrades+'!$AC$5,"A",IF(H143&lt;'PlayerGrades+'!$AC$4,"A+",IF(H143&lt;'PlayerGrades+'!$AC$3,"S-",IF(H143&lt;'PlayerGrades+'!$AC$2,"S","S+"))))))))))))))))))))</f>
        <v>#DIV/0!</v>
      </c>
      <c r="J143" s="961" t="str">
        <f t="shared" si="4"/>
        <v>#DIV/0!</v>
      </c>
      <c r="K143" s="961" t="str">
        <f>IF(J143&lt;'PlayerGrades+'!$AD$21,"F-",IF(J143&lt;'PlayerGrades+'!$AD$20,"F",IF(J143&lt;'PlayerGrades+'!$AD$19,"F+",IF(J143&lt;'PlayerGrades+'!$AD$18,"E-",IF(J143&lt;'PlayerGrades+'!$AD$17,"E",IF(J143&lt;'PlayerGrades+'!$AD$16,"E+",IF(J143&lt;'PlayerGrades+'!$AD$15,"D-",IF(J143&lt;'PlayerGrades+'!$AD$14,"D",IF(J143&lt;'PlayerGrades+'!$AD$13,"D+",IF(J143&lt;'PlayerGrades+'!$AD$12,"C-",IF(J143&lt;'PlayerGrades+'!$AD$11,"C",IF(J143&lt;'PlayerGrades+'!$AD$10,"C+",IF(J143&lt;'PlayerGrades+'!$AD$9,"B-",IF(J143&lt;'PlayerGrades+'!$AD$8,"B",IF(J143&lt;'PlayerGrades+'!$AD$7,"B+",IF(J143&lt;'PlayerGrades+'!$AD$6,"A-",IF(J143&lt;'PlayerGrades+'!$AD$5,"A",IF(J143&lt;'PlayerGrades+'!$AD$4,"A+",IF(J143&lt;'PlayerGrades+'!$AD$3,"S-",IF(J143&lt;'PlayerGrades+'!$AD$2,"S","S+"))))))))))))))))))))</f>
        <v>#DIV/0!</v>
      </c>
      <c r="L143" s="1176" t="str">
        <f t="shared" si="5"/>
        <v>#DIV/0!</v>
      </c>
      <c r="M143" s="992" t="str">
        <f>IF(L143&lt;'PlayerGrades+'!$AE$21,"F-",IF(L143&lt;'PlayerGrades+'!$AE$20,"F",IF(L143&lt;'PlayerGrades+'!$AE$19,"F+",IF(L143&lt;'PlayerGrades+'!$AE$18,"E-",IF(L143&lt;'PlayerGrades+'!$AE$17,"E",IF(L143&lt;'PlayerGrades+'!$AE$16,"E+",IF(L143&lt;'PlayerGrades+'!$AE$15,"D-",IF(L143&lt;'PlayerGrades+'!$AE$14,"D",IF(L143&lt;'PlayerGrades+'!$AE$13,"D+",IF(L143&lt;'PlayerGrades+'!$AE$12,"C-",IF(L143&lt;'PlayerGrades+'!$AE$11,"C",IF(L143&lt;'PlayerGrades+'!$AE$10,"C+",IF(L143&lt;'PlayerGrades+'!$AE$9,"B-",IF(L143&lt;'PlayerGrades+'!$AE$8,"B",IF(L143&lt;'PlayerGrades+'!$AE$7,"B+",IF(L143&lt;'PlayerGrades+'!$AE$6,"A-",IF(L143&lt;'PlayerGrades+'!$AE$5,"A",IF(L143&lt;'PlayerGrades+'!$AE$4,"A+",IF(L143&lt;'PlayerGrades+'!$AE$3,"S-",IF(L143&lt;'PlayerGrades+'!$AE$2,"S","S+"))))))))))))))))))))</f>
        <v>#DIV/0!</v>
      </c>
      <c r="N143" s="961" t="str">
        <f t="shared" si="6"/>
        <v>#DIV/0!</v>
      </c>
      <c r="O143" s="961" t="str">
        <f>IF(N143&lt;'PlayerGrades+'!$AF$21,"F-",IF(N143&lt;'PlayerGrades+'!$AF$20,"F",IF(N143&lt;'PlayerGrades+'!$AF$19,"F+",IF(N143&lt;'PlayerGrades+'!$AF$18,"E-",IF(N143&lt;'PlayerGrades+'!$AF$17,"E",IF(N143&lt;'PlayerGrades+'!$AF$16,"E+",IF(N143&lt;'PlayerGrades+'!$AF$15,"D-",IF(N143&lt;'PlayerGrades+'!$AF$14,"D",IF(N143&lt;'PlayerGrades+'!$AF$13,"D+",IF(N143&lt;'PlayerGrades+'!$AF$12,"C-",IF(N143&lt;'PlayerGrades+'!$AF$11,"C",IF(N143&lt;'PlayerGrades+'!$AF$10,"C+",IF(N143&lt;'PlayerGrades+'!$AF$9,"B-",IF(N143&lt;'PlayerGrades+'!$AF$8,"B",IF(N143&lt;'PlayerGrades+'!$AF$7,"B+",IF(N143&lt;'PlayerGrades+'!$AF$6,"A-",IF(N143&lt;'PlayerGrades+'!$AF$5,"A",IF(N143&lt;'PlayerGrades+'!$AF$4,"A+",IF(N143&lt;'PlayerGrades+'!$AF$3,"S-",IF(N143&lt;'PlayerGrades+'!$AF$2,"S","S+"))))))))))))))))))))</f>
        <v>#DIV/0!</v>
      </c>
      <c r="P143" s="961" t="str">
        <f t="shared" si="7"/>
        <v>#DIV/0!</v>
      </c>
      <c r="Q143" s="961" t="str">
        <f>IF(P143&lt;'PlayerGrades+'!$AG$21,"F-",IF(P143&lt;'PlayerGrades+'!$AG$20,"F",IF(P143&lt;'PlayerGrades+'!$AG$19,"F+",IF(P143&lt;'PlayerGrades+'!$AG$18,"E-",IF(P143&lt;'PlayerGrades+'!$AG$17,"E",IF(P143&lt;'PlayerGrades+'!$AG$16,"E+",IF(P143&lt;'PlayerGrades+'!$AG$15,"D-",IF(P143&lt;'PlayerGrades+'!$AG$14,"D",IF(P143&lt;'PlayerGrades+'!$AG$13,"D+",IF(P143&lt;'PlayerGrades+'!$AG$12,"C-",IF(P143&lt;'PlayerGrades+'!$AG$11,"C",IF(P143&lt;'PlayerGrades+'!$AG$10,"C+",IF(P143&lt;'PlayerGrades+'!$AG$9,"B-",IF(P143&lt;'PlayerGrades+'!$AG$8,"B",IF(P143&lt;'PlayerGrades+'!$AG$7,"B+",IF(P143&lt;'PlayerGrades+'!$AG$6,"A-",IF(P143&lt;'PlayerGrades+'!$AG$5,"A",IF(P143&lt;'PlayerGrades+'!$AG$4,"A+",IF(P143&lt;'PlayerGrades+'!$AG$3,"S-",IF(P143&lt;'PlayerGrades+'!$AG$2,"S","S+"))))))))))))))))))))</f>
        <v>#DIV/0!</v>
      </c>
      <c r="R143" s="961" t="str">
        <f t="shared" si="8"/>
        <v>#DIV/0!</v>
      </c>
      <c r="S143" s="961" t="str">
        <f>IF(R143&lt;'PlayerGrades+'!$AH$21,"F-",IF(R143&lt;'PlayerGrades+'!$AH$20,"F",IF(R143&lt;'PlayerGrades+'!$AH$19,"F+",IF(R143&lt;'PlayerGrades+'!$AH$18,"E-",IF(R143&lt;'PlayerGrades+'!$AH$17,"E",IF(R143&lt;'PlayerGrades+'!$AH$16,"E+",IF(R143&lt;'PlayerGrades+'!$AH$15,"D-",IF(R143&lt;'PlayerGrades+'!$AH$14,"D",IF(R143&lt;'PlayerGrades+'!$AH$13,"D+",IF(R143&lt;'PlayerGrades+'!$AH$12,"C-",IF(R143&lt;'PlayerGrades+'!$AH$11,"C",IF(R143&lt;'PlayerGrades+'!$AH$10,"C+",IF(R143&lt;'PlayerGrades+'!$AH$9,"B-",IF(R143&lt;'PlayerGrades+'!$AH$8,"B",IF(R143&lt;'PlayerGrades+'!$AH$7,"B+",IF(R143&lt;'PlayerGrades+'!$AH$6,"A-",IF(R143&lt;'PlayerGrades+'!$AH$5,"A",IF(R143&lt;'PlayerGrades+'!$AH$4,"A+",IF(R143&lt;'PlayerGrades+'!$AH$3,"S-",IF(R143&lt;'PlayerGrades+'!$AH$2,"S","S+"))))))))))))))))))))</f>
        <v>#DIV/0!</v>
      </c>
      <c r="T143" s="961">
        <f t="shared" si="9"/>
        <v>0</v>
      </c>
      <c r="U143" s="961" t="str">
        <f>IF(T143&lt;'PlayerGrades+'!$AI$21,"F-",IF(T143&lt;'PlayerGrades+'!$AI$20,"F",IF(T143&lt;'PlayerGrades+'!$AI$19,"F+",IF(T143&lt;'PlayerGrades+'!$AI$18,"E-",IF(T143&lt;'PlayerGrades+'!$AI$17,"E",IF(T143&lt;'PlayerGrades+'!$AI$16,"E+",IF(T143&lt;'PlayerGrades+'!$AI$15,"D-",IF(T143&lt;'PlayerGrades+'!$AI$14,"D",IF(T143&lt;'PlayerGrades+'!$AI$13,"D+",IF(T143&lt;'PlayerGrades+'!$AI$12,"C-",IF(T143&lt;'PlayerGrades+'!$AI$11,"C",IF(T143&lt;'PlayerGrades+'!$AI$10,"C+",IF(T143&lt;'PlayerGrades+'!$AI$9,"B-",IF(T143&lt;'PlayerGrades+'!$AI$8,"B",IF(T143&lt;'PlayerGrades+'!$AI$7,"B+",IF(T143&lt;'PlayerGrades+'!$AI$6,"A-",IF(T143&lt;'PlayerGrades+'!$AI$5,"A",IF(T143&lt;'PlayerGrades+'!$AI$4,"A+",IF(T143&lt;'PlayerGrades+'!$AI$3,"S-",IF(T143&lt;'PlayerGrades+'!$AI$2,"S","S+"))))))))))))))))))))</f>
        <v>F-</v>
      </c>
      <c r="Z143" s="1383"/>
      <c r="AA143" s="1383"/>
      <c r="AB143" s="1383"/>
      <c r="AC143" s="1384"/>
      <c r="AD143" s="1383"/>
      <c r="AE143" s="1383"/>
      <c r="AF143" s="1383"/>
      <c r="AG143" s="1383"/>
      <c r="AH143" s="1383"/>
      <c r="AI143" s="1383"/>
      <c r="AJ143" s="1383"/>
      <c r="AK143" s="1383"/>
      <c r="AL143" s="1383"/>
      <c r="AM143" s="1383"/>
      <c r="AN143" s="1383"/>
      <c r="AO143" s="1383"/>
      <c r="AP143" s="1383"/>
      <c r="AQ143" s="1383"/>
      <c r="AR143" s="1383"/>
      <c r="AS143" s="1383"/>
      <c r="AT143" s="1383"/>
      <c r="AU143" s="1383"/>
      <c r="AV143" s="1383"/>
      <c r="AW143" s="1383"/>
      <c r="AX143" s="1383"/>
      <c r="AY143" s="1383"/>
      <c r="AZ143" s="1383"/>
    </row>
    <row r="144">
      <c r="A144" s="1408"/>
      <c r="B144" s="611" t="str">
        <f>IF(C144&lt;'PlayerGrades+'!$Y$44,"F-",IF(C144&lt;'PlayerGrades+'!$Y$43,"F",IF(C144&lt;'PlayerGrades+'!$Y$42,"F+",IF(C144&lt;'PlayerGrades+'!$Y$41,"E-",IF(C144&lt;'PlayerGrades+'!$Y$40,"E",IF(C144&lt;'PlayerGrades+'!$Y$39,"E+",IF(C144&lt;'PlayerGrades+'!$Y$38,"D-",IF(C144&lt;'PlayerGrades+'!$Y$37,"D",IF(C144&lt;'PlayerGrades+'!$Y$36,"D+",IF(C144&lt;'PlayerGrades+'!$Y$35,"C-",IF(C144&lt;'PlayerGrades+'!$Y$34,"C",IF(C144&lt;'PlayerGrades+'!$Y$33,"C+",IF(C144&lt;'PlayerGrades+'!$Y$32,"B-",IF(C144&lt;'PlayerGrades+'!$Y$31,"B",IF(C144&lt;'PlayerGrades+'!$Y$30,"B+",IF(C144&lt;'PlayerGrades+'!$Y$29,"A-",IF(C144&lt;'PlayerGrades+'!$Y$28,"A",IF(C144&lt;'PlayerGrades+'!$Y$27,"A+",IF(C144&lt;'PlayerGrades+'!$Y$26,"S-",IF(C144&lt;'PlayerGrades+'!$Y$25,"S","S+"))))))))))))))))))))</f>
        <v>#DIV/0!</v>
      </c>
      <c r="C144" s="1378" t="str">
        <f>('PlayerGrades+'!$Y$47*(VLOOKUP(E144, 'PlayerGrades+'!$X$3:$Y$23, 2, FALSE)))+('PlayerGrades+'!$Y$48*(VLOOKUP(G144, 'PlayerGrades+'!$X$3:$Y$23, 2, FALSE)))+('PlayerGrades+'!$Y$49*(VLOOKUP(I144, 'PlayerGrades+'!$X$3:$Y$23, 2, FALSE)))+('PlayerGrades+'!$Y$50*(VLOOKUP(K144, 'PlayerGrades+'!$X$3:$Y$23, 2, FALSE)))+('PlayerGrades+'!$Y$51*(VLOOKUP(M144, 'PlayerGrades+'!$X$3:$Y$23, 2, FALSE)))+('PlayerGrades+'!$Y$52*(VLOOKUP(O144, 'PlayerGrades+'!$X$3:$Y$23, 2, FALSE)))+('PlayerGrades+'!$Y$53*(VLOOKUP(Q144, 'PlayerGrades+'!$X$3:$Y$23, 2, FALSE)))+('PlayerGrades+'!$Y$54*(VLOOKUP(S144, 'PlayerGrades+'!$X$3:$Y$23, 2, FALSE)))+('PlayerGrades+'!$Y$55*(VLOOKUP(U144, 'PlayerGrades+'!$X$3:$Y$23, 2, FALSE)))</f>
        <v>#DIV/0!</v>
      </c>
      <c r="D144" s="961" t="str">
        <f t="shared" si="1"/>
        <v>#DIV/0!</v>
      </c>
      <c r="E144" s="961" t="str">
        <f>IF(D144&lt;'PlayerGrades+'!$AA$21,"F-",IF(D144&lt;'PlayerGrades+'!$AA$20,"F",IF(D144&lt;'PlayerGrades+'!$AA$19,"F+",IF(D144&lt;'PlayerGrades+'!$AA$18,"E-",IF(D144&lt;'PlayerGrades+'!$AA$17,"E",IF(D144&lt;'PlayerGrades+'!$AA$16,"E+",IF(D144&lt;'PlayerGrades+'!$AA$15,"D-",IF(D144&lt;'PlayerGrades+'!$AA$14,"D",IF(D144&lt;'PlayerGrades+'!$AA$13,"D+",IF(D144&lt;'PlayerGrades+'!$AA$12,"C-",IF(D144&lt;'PlayerGrades+'!$AA$11,"C",IF(D144&lt;'PlayerGrades+'!$AA$10,"C+",IF(D144&lt;'PlayerGrades+'!$AA$9,"B-",IF(D144&lt;'PlayerGrades+'!$AA$8,"B",IF(D144&lt;'PlayerGrades+'!$AA$7,"B+",IF(D144&lt;'PlayerGrades+'!$AA$6,"A-",IF(D144&lt;'PlayerGrades+'!$AA$5,"A",IF(D144&lt;'PlayerGrades+'!$AA$4,"A+",IF(D144&lt;'PlayerGrades+'!$AA$3,"S-",IF(D144&lt;'PlayerGrades+'!$AA$2,"S","S+"))))))))))))))))))))</f>
        <v>#DIV/0!</v>
      </c>
      <c r="F144" s="961" t="str">
        <f t="shared" si="2"/>
        <v>#DIV/0!</v>
      </c>
      <c r="G144" s="961" t="str">
        <f>IF(F144&lt;'PlayerGrades+'!$AB$21,"F-",IF(F144&lt;'PlayerGrades+'!$AB$20,"F",IF(F144&lt;'PlayerGrades+'!$AB$19,"F+",IF(F144&lt;'PlayerGrades+'!$AB$18,"E-",IF(F144&lt;'PlayerGrades+'!$AB$17,"E",IF(F144&lt;'PlayerGrades+'!$AB$16,"E+",IF(F144&lt;'PlayerGrades+'!$AB$15,"D-",IF(F144&lt;'PlayerGrades+'!$AB$14,"D",IF(F144&lt;'PlayerGrades+'!$AB$13,"D+",IF(F144&lt;'PlayerGrades+'!$AB$12,"C-",IF(F144&lt;'PlayerGrades+'!$AB$11,"C",IF(F144&lt;'PlayerGrades+'!$AB$10,"C+",IF(F144&lt;'PlayerGrades+'!$AB$9,"B-",IF(F144&lt;'PlayerGrades+'!$AB$8,"B",IF(F144&lt;'PlayerGrades+'!$AB$7,"B+",IF(F144&lt;'PlayerGrades+'!$AB$6,"A-",IF(F144&lt;'PlayerGrades+'!$AB$5,"A",IF(F144&lt;'PlayerGrades+'!$AB$4,"A+",IF(F144&lt;'PlayerGrades+'!$AB$3,"S-",IF(F144&lt;'PlayerGrades+'!$AB$2,"S","S+"))))))))))))))))))))</f>
        <v>#DIV/0!</v>
      </c>
      <c r="H144" s="961" t="str">
        <f t="shared" si="3"/>
        <v>#DIV/0!</v>
      </c>
      <c r="I144" s="961" t="str">
        <f>IF(H144&lt;'PlayerGrades+'!$AC$21,"F-",IF(H144&lt;'PlayerGrades+'!$AC$20,"F",IF(H144&lt;'PlayerGrades+'!$AC$19,"F+",IF(H144&lt;'PlayerGrades+'!$AC$18,"E-",IF(H144&lt;'PlayerGrades+'!$AC$17,"E",IF(H144&lt;'PlayerGrades+'!$AC$16,"E+",IF(H144&lt;'PlayerGrades+'!$AC$15,"D-",IF(H144&lt;'PlayerGrades+'!$AC$14,"D",IF(H144&lt;'PlayerGrades+'!$AC$13,"D+",IF(H144&lt;'PlayerGrades+'!$AC$12,"C-",IF(H144&lt;'PlayerGrades+'!$AC$11,"C",IF(H144&lt;'PlayerGrades+'!$AC$10,"C+",IF(H144&lt;'PlayerGrades+'!$AC$9,"B-",IF(H144&lt;'PlayerGrades+'!$AC$8,"B",IF(H144&lt;'PlayerGrades+'!$AC$7,"B+",IF(H144&lt;'PlayerGrades+'!$AC$6,"A-",IF(H144&lt;'PlayerGrades+'!$AC$5,"A",IF(H144&lt;'PlayerGrades+'!$AC$4,"A+",IF(H144&lt;'PlayerGrades+'!$AC$3,"S-",IF(H144&lt;'PlayerGrades+'!$AC$2,"S","S+"))))))))))))))))))))</f>
        <v>#DIV/0!</v>
      </c>
      <c r="J144" s="961" t="str">
        <f t="shared" si="4"/>
        <v>#DIV/0!</v>
      </c>
      <c r="K144" s="961" t="str">
        <f>IF(J144&lt;'PlayerGrades+'!$AD$21,"F-",IF(J144&lt;'PlayerGrades+'!$AD$20,"F",IF(J144&lt;'PlayerGrades+'!$AD$19,"F+",IF(J144&lt;'PlayerGrades+'!$AD$18,"E-",IF(J144&lt;'PlayerGrades+'!$AD$17,"E",IF(J144&lt;'PlayerGrades+'!$AD$16,"E+",IF(J144&lt;'PlayerGrades+'!$AD$15,"D-",IF(J144&lt;'PlayerGrades+'!$AD$14,"D",IF(J144&lt;'PlayerGrades+'!$AD$13,"D+",IF(J144&lt;'PlayerGrades+'!$AD$12,"C-",IF(J144&lt;'PlayerGrades+'!$AD$11,"C",IF(J144&lt;'PlayerGrades+'!$AD$10,"C+",IF(J144&lt;'PlayerGrades+'!$AD$9,"B-",IF(J144&lt;'PlayerGrades+'!$AD$8,"B",IF(J144&lt;'PlayerGrades+'!$AD$7,"B+",IF(J144&lt;'PlayerGrades+'!$AD$6,"A-",IF(J144&lt;'PlayerGrades+'!$AD$5,"A",IF(J144&lt;'PlayerGrades+'!$AD$4,"A+",IF(J144&lt;'PlayerGrades+'!$AD$3,"S-",IF(J144&lt;'PlayerGrades+'!$AD$2,"S","S+"))))))))))))))))))))</f>
        <v>#DIV/0!</v>
      </c>
      <c r="L144" s="1176" t="str">
        <f t="shared" si="5"/>
        <v>#DIV/0!</v>
      </c>
      <c r="M144" s="992" t="str">
        <f>IF(L144&lt;'PlayerGrades+'!$AE$21,"F-",IF(L144&lt;'PlayerGrades+'!$AE$20,"F",IF(L144&lt;'PlayerGrades+'!$AE$19,"F+",IF(L144&lt;'PlayerGrades+'!$AE$18,"E-",IF(L144&lt;'PlayerGrades+'!$AE$17,"E",IF(L144&lt;'PlayerGrades+'!$AE$16,"E+",IF(L144&lt;'PlayerGrades+'!$AE$15,"D-",IF(L144&lt;'PlayerGrades+'!$AE$14,"D",IF(L144&lt;'PlayerGrades+'!$AE$13,"D+",IF(L144&lt;'PlayerGrades+'!$AE$12,"C-",IF(L144&lt;'PlayerGrades+'!$AE$11,"C",IF(L144&lt;'PlayerGrades+'!$AE$10,"C+",IF(L144&lt;'PlayerGrades+'!$AE$9,"B-",IF(L144&lt;'PlayerGrades+'!$AE$8,"B",IF(L144&lt;'PlayerGrades+'!$AE$7,"B+",IF(L144&lt;'PlayerGrades+'!$AE$6,"A-",IF(L144&lt;'PlayerGrades+'!$AE$5,"A",IF(L144&lt;'PlayerGrades+'!$AE$4,"A+",IF(L144&lt;'PlayerGrades+'!$AE$3,"S-",IF(L144&lt;'PlayerGrades+'!$AE$2,"S","S+"))))))))))))))))))))</f>
        <v>#DIV/0!</v>
      </c>
      <c r="N144" s="961" t="str">
        <f t="shared" si="6"/>
        <v>#DIV/0!</v>
      </c>
      <c r="O144" s="961" t="str">
        <f>IF(N144&lt;'PlayerGrades+'!$AF$21,"F-",IF(N144&lt;'PlayerGrades+'!$AF$20,"F",IF(N144&lt;'PlayerGrades+'!$AF$19,"F+",IF(N144&lt;'PlayerGrades+'!$AF$18,"E-",IF(N144&lt;'PlayerGrades+'!$AF$17,"E",IF(N144&lt;'PlayerGrades+'!$AF$16,"E+",IF(N144&lt;'PlayerGrades+'!$AF$15,"D-",IF(N144&lt;'PlayerGrades+'!$AF$14,"D",IF(N144&lt;'PlayerGrades+'!$AF$13,"D+",IF(N144&lt;'PlayerGrades+'!$AF$12,"C-",IF(N144&lt;'PlayerGrades+'!$AF$11,"C",IF(N144&lt;'PlayerGrades+'!$AF$10,"C+",IF(N144&lt;'PlayerGrades+'!$AF$9,"B-",IF(N144&lt;'PlayerGrades+'!$AF$8,"B",IF(N144&lt;'PlayerGrades+'!$AF$7,"B+",IF(N144&lt;'PlayerGrades+'!$AF$6,"A-",IF(N144&lt;'PlayerGrades+'!$AF$5,"A",IF(N144&lt;'PlayerGrades+'!$AF$4,"A+",IF(N144&lt;'PlayerGrades+'!$AF$3,"S-",IF(N144&lt;'PlayerGrades+'!$AF$2,"S","S+"))))))))))))))))))))</f>
        <v>#DIV/0!</v>
      </c>
      <c r="P144" s="961" t="str">
        <f t="shared" si="7"/>
        <v>#DIV/0!</v>
      </c>
      <c r="Q144" s="961" t="str">
        <f>IF(P144&lt;'PlayerGrades+'!$AG$21,"F-",IF(P144&lt;'PlayerGrades+'!$AG$20,"F",IF(P144&lt;'PlayerGrades+'!$AG$19,"F+",IF(P144&lt;'PlayerGrades+'!$AG$18,"E-",IF(P144&lt;'PlayerGrades+'!$AG$17,"E",IF(P144&lt;'PlayerGrades+'!$AG$16,"E+",IF(P144&lt;'PlayerGrades+'!$AG$15,"D-",IF(P144&lt;'PlayerGrades+'!$AG$14,"D",IF(P144&lt;'PlayerGrades+'!$AG$13,"D+",IF(P144&lt;'PlayerGrades+'!$AG$12,"C-",IF(P144&lt;'PlayerGrades+'!$AG$11,"C",IF(P144&lt;'PlayerGrades+'!$AG$10,"C+",IF(P144&lt;'PlayerGrades+'!$AG$9,"B-",IF(P144&lt;'PlayerGrades+'!$AG$8,"B",IF(P144&lt;'PlayerGrades+'!$AG$7,"B+",IF(P144&lt;'PlayerGrades+'!$AG$6,"A-",IF(P144&lt;'PlayerGrades+'!$AG$5,"A",IF(P144&lt;'PlayerGrades+'!$AG$4,"A+",IF(P144&lt;'PlayerGrades+'!$AG$3,"S-",IF(P144&lt;'PlayerGrades+'!$AG$2,"S","S+"))))))))))))))))))))</f>
        <v>#DIV/0!</v>
      </c>
      <c r="R144" s="961" t="str">
        <f t="shared" si="8"/>
        <v>#DIV/0!</v>
      </c>
      <c r="S144" s="961" t="str">
        <f>IF(R144&lt;'PlayerGrades+'!$AH$21,"F-",IF(R144&lt;'PlayerGrades+'!$AH$20,"F",IF(R144&lt;'PlayerGrades+'!$AH$19,"F+",IF(R144&lt;'PlayerGrades+'!$AH$18,"E-",IF(R144&lt;'PlayerGrades+'!$AH$17,"E",IF(R144&lt;'PlayerGrades+'!$AH$16,"E+",IF(R144&lt;'PlayerGrades+'!$AH$15,"D-",IF(R144&lt;'PlayerGrades+'!$AH$14,"D",IF(R144&lt;'PlayerGrades+'!$AH$13,"D+",IF(R144&lt;'PlayerGrades+'!$AH$12,"C-",IF(R144&lt;'PlayerGrades+'!$AH$11,"C",IF(R144&lt;'PlayerGrades+'!$AH$10,"C+",IF(R144&lt;'PlayerGrades+'!$AH$9,"B-",IF(R144&lt;'PlayerGrades+'!$AH$8,"B",IF(R144&lt;'PlayerGrades+'!$AH$7,"B+",IF(R144&lt;'PlayerGrades+'!$AH$6,"A-",IF(R144&lt;'PlayerGrades+'!$AH$5,"A",IF(R144&lt;'PlayerGrades+'!$AH$4,"A+",IF(R144&lt;'PlayerGrades+'!$AH$3,"S-",IF(R144&lt;'PlayerGrades+'!$AH$2,"S","S+"))))))))))))))))))))</f>
        <v>#DIV/0!</v>
      </c>
      <c r="T144" s="961">
        <f t="shared" si="9"/>
        <v>0</v>
      </c>
      <c r="U144" s="961" t="str">
        <f>IF(T144&lt;'PlayerGrades+'!$AI$21,"F-",IF(T144&lt;'PlayerGrades+'!$AI$20,"F",IF(T144&lt;'PlayerGrades+'!$AI$19,"F+",IF(T144&lt;'PlayerGrades+'!$AI$18,"E-",IF(T144&lt;'PlayerGrades+'!$AI$17,"E",IF(T144&lt;'PlayerGrades+'!$AI$16,"E+",IF(T144&lt;'PlayerGrades+'!$AI$15,"D-",IF(T144&lt;'PlayerGrades+'!$AI$14,"D",IF(T144&lt;'PlayerGrades+'!$AI$13,"D+",IF(T144&lt;'PlayerGrades+'!$AI$12,"C-",IF(T144&lt;'PlayerGrades+'!$AI$11,"C",IF(T144&lt;'PlayerGrades+'!$AI$10,"C+",IF(T144&lt;'PlayerGrades+'!$AI$9,"B-",IF(T144&lt;'PlayerGrades+'!$AI$8,"B",IF(T144&lt;'PlayerGrades+'!$AI$7,"B+",IF(T144&lt;'PlayerGrades+'!$AI$6,"A-",IF(T144&lt;'PlayerGrades+'!$AI$5,"A",IF(T144&lt;'PlayerGrades+'!$AI$4,"A+",IF(T144&lt;'PlayerGrades+'!$AI$3,"S-",IF(T144&lt;'PlayerGrades+'!$AI$2,"S","S+"))))))))))))))))))))</f>
        <v>F-</v>
      </c>
      <c r="Z144" s="1383"/>
      <c r="AA144" s="1383"/>
      <c r="AB144" s="1383"/>
      <c r="AC144" s="1384"/>
      <c r="AD144" s="1383"/>
      <c r="AE144" s="1383"/>
      <c r="AF144" s="1383"/>
      <c r="AG144" s="1383"/>
      <c r="AH144" s="1383"/>
      <c r="AI144" s="1383"/>
      <c r="AJ144" s="1383"/>
      <c r="AK144" s="1383"/>
      <c r="AL144" s="1383"/>
      <c r="AM144" s="1383"/>
      <c r="AN144" s="1383"/>
      <c r="AO144" s="1383"/>
      <c r="AP144" s="1383"/>
      <c r="AQ144" s="1383"/>
      <c r="AR144" s="1383"/>
      <c r="AS144" s="1383"/>
      <c r="AT144" s="1383"/>
      <c r="AU144" s="1383"/>
      <c r="AV144" s="1383"/>
      <c r="AW144" s="1383"/>
      <c r="AX144" s="1383"/>
      <c r="AY144" s="1383"/>
      <c r="AZ144" s="1383"/>
    </row>
    <row r="145">
      <c r="A145" s="1409"/>
      <c r="B145" s="611" t="str">
        <f>IF(C145&lt;'PlayerGrades+'!$Y$44,"F-",IF(C145&lt;'PlayerGrades+'!$Y$43,"F",IF(C145&lt;'PlayerGrades+'!$Y$42,"F+",IF(C145&lt;'PlayerGrades+'!$Y$41,"E-",IF(C145&lt;'PlayerGrades+'!$Y$40,"E",IF(C145&lt;'PlayerGrades+'!$Y$39,"E+",IF(C145&lt;'PlayerGrades+'!$Y$38,"D-",IF(C145&lt;'PlayerGrades+'!$Y$37,"D",IF(C145&lt;'PlayerGrades+'!$Y$36,"D+",IF(C145&lt;'PlayerGrades+'!$Y$35,"C-",IF(C145&lt;'PlayerGrades+'!$Y$34,"C",IF(C145&lt;'PlayerGrades+'!$Y$33,"C+",IF(C145&lt;'PlayerGrades+'!$Y$32,"B-",IF(C145&lt;'PlayerGrades+'!$Y$31,"B",IF(C145&lt;'PlayerGrades+'!$Y$30,"B+",IF(C145&lt;'PlayerGrades+'!$Y$29,"A-",IF(C145&lt;'PlayerGrades+'!$Y$28,"A",IF(C145&lt;'PlayerGrades+'!$Y$27,"A+",IF(C145&lt;'PlayerGrades+'!$Y$26,"S-",IF(C145&lt;'PlayerGrades+'!$Y$25,"S","S+"))))))))))))))))))))</f>
        <v>#DIV/0!</v>
      </c>
      <c r="C145" s="1378" t="str">
        <f>('PlayerGrades+'!$Y$47*(VLOOKUP(E145, 'PlayerGrades+'!$X$3:$Y$23, 2, FALSE)))+('PlayerGrades+'!$Y$48*(VLOOKUP(G145, 'PlayerGrades+'!$X$3:$Y$23, 2, FALSE)))+('PlayerGrades+'!$Y$49*(VLOOKUP(I145, 'PlayerGrades+'!$X$3:$Y$23, 2, FALSE)))+('PlayerGrades+'!$Y$50*(VLOOKUP(K145, 'PlayerGrades+'!$X$3:$Y$23, 2, FALSE)))+('PlayerGrades+'!$Y$51*(VLOOKUP(M145, 'PlayerGrades+'!$X$3:$Y$23, 2, FALSE)))+('PlayerGrades+'!$Y$52*(VLOOKUP(O145, 'PlayerGrades+'!$X$3:$Y$23, 2, FALSE)))+('PlayerGrades+'!$Y$53*(VLOOKUP(Q145, 'PlayerGrades+'!$X$3:$Y$23, 2, FALSE)))+('PlayerGrades+'!$Y$54*(VLOOKUP(S145, 'PlayerGrades+'!$X$3:$Y$23, 2, FALSE)))+('PlayerGrades+'!$Y$55*(VLOOKUP(U145, 'PlayerGrades+'!$X$3:$Y$23, 2, FALSE)))</f>
        <v>#DIV/0!</v>
      </c>
      <c r="D145" s="961" t="str">
        <f t="shared" si="1"/>
        <v>#DIV/0!</v>
      </c>
      <c r="E145" s="961" t="str">
        <f>IF(D145&lt;'PlayerGrades+'!$AA$21,"F-",IF(D145&lt;'PlayerGrades+'!$AA$20,"F",IF(D145&lt;'PlayerGrades+'!$AA$19,"F+",IF(D145&lt;'PlayerGrades+'!$AA$18,"E-",IF(D145&lt;'PlayerGrades+'!$AA$17,"E",IF(D145&lt;'PlayerGrades+'!$AA$16,"E+",IF(D145&lt;'PlayerGrades+'!$AA$15,"D-",IF(D145&lt;'PlayerGrades+'!$AA$14,"D",IF(D145&lt;'PlayerGrades+'!$AA$13,"D+",IF(D145&lt;'PlayerGrades+'!$AA$12,"C-",IF(D145&lt;'PlayerGrades+'!$AA$11,"C",IF(D145&lt;'PlayerGrades+'!$AA$10,"C+",IF(D145&lt;'PlayerGrades+'!$AA$9,"B-",IF(D145&lt;'PlayerGrades+'!$AA$8,"B",IF(D145&lt;'PlayerGrades+'!$AA$7,"B+",IF(D145&lt;'PlayerGrades+'!$AA$6,"A-",IF(D145&lt;'PlayerGrades+'!$AA$5,"A",IF(D145&lt;'PlayerGrades+'!$AA$4,"A+",IF(D145&lt;'PlayerGrades+'!$AA$3,"S-",IF(D145&lt;'PlayerGrades+'!$AA$2,"S","S+"))))))))))))))))))))</f>
        <v>#DIV/0!</v>
      </c>
      <c r="F145" s="961" t="str">
        <f t="shared" si="2"/>
        <v>#DIV/0!</v>
      </c>
      <c r="G145" s="961" t="str">
        <f>IF(F145&lt;'PlayerGrades+'!$AB$21,"F-",IF(F145&lt;'PlayerGrades+'!$AB$20,"F",IF(F145&lt;'PlayerGrades+'!$AB$19,"F+",IF(F145&lt;'PlayerGrades+'!$AB$18,"E-",IF(F145&lt;'PlayerGrades+'!$AB$17,"E",IF(F145&lt;'PlayerGrades+'!$AB$16,"E+",IF(F145&lt;'PlayerGrades+'!$AB$15,"D-",IF(F145&lt;'PlayerGrades+'!$AB$14,"D",IF(F145&lt;'PlayerGrades+'!$AB$13,"D+",IF(F145&lt;'PlayerGrades+'!$AB$12,"C-",IF(F145&lt;'PlayerGrades+'!$AB$11,"C",IF(F145&lt;'PlayerGrades+'!$AB$10,"C+",IF(F145&lt;'PlayerGrades+'!$AB$9,"B-",IF(F145&lt;'PlayerGrades+'!$AB$8,"B",IF(F145&lt;'PlayerGrades+'!$AB$7,"B+",IF(F145&lt;'PlayerGrades+'!$AB$6,"A-",IF(F145&lt;'PlayerGrades+'!$AB$5,"A",IF(F145&lt;'PlayerGrades+'!$AB$4,"A+",IF(F145&lt;'PlayerGrades+'!$AB$3,"S-",IF(F145&lt;'PlayerGrades+'!$AB$2,"S","S+"))))))))))))))))))))</f>
        <v>#DIV/0!</v>
      </c>
      <c r="H145" s="961" t="str">
        <f t="shared" si="3"/>
        <v>#DIV/0!</v>
      </c>
      <c r="I145" s="961" t="str">
        <f>IF(H145&lt;'PlayerGrades+'!$AC$21,"F-",IF(H145&lt;'PlayerGrades+'!$AC$20,"F",IF(H145&lt;'PlayerGrades+'!$AC$19,"F+",IF(H145&lt;'PlayerGrades+'!$AC$18,"E-",IF(H145&lt;'PlayerGrades+'!$AC$17,"E",IF(H145&lt;'PlayerGrades+'!$AC$16,"E+",IF(H145&lt;'PlayerGrades+'!$AC$15,"D-",IF(H145&lt;'PlayerGrades+'!$AC$14,"D",IF(H145&lt;'PlayerGrades+'!$AC$13,"D+",IF(H145&lt;'PlayerGrades+'!$AC$12,"C-",IF(H145&lt;'PlayerGrades+'!$AC$11,"C",IF(H145&lt;'PlayerGrades+'!$AC$10,"C+",IF(H145&lt;'PlayerGrades+'!$AC$9,"B-",IF(H145&lt;'PlayerGrades+'!$AC$8,"B",IF(H145&lt;'PlayerGrades+'!$AC$7,"B+",IF(H145&lt;'PlayerGrades+'!$AC$6,"A-",IF(H145&lt;'PlayerGrades+'!$AC$5,"A",IF(H145&lt;'PlayerGrades+'!$AC$4,"A+",IF(H145&lt;'PlayerGrades+'!$AC$3,"S-",IF(H145&lt;'PlayerGrades+'!$AC$2,"S","S+"))))))))))))))))))))</f>
        <v>#DIV/0!</v>
      </c>
      <c r="J145" s="961" t="str">
        <f t="shared" si="4"/>
        <v>#DIV/0!</v>
      </c>
      <c r="K145" s="961" t="str">
        <f>IF(J145&lt;'PlayerGrades+'!$AD$21,"F-",IF(J145&lt;'PlayerGrades+'!$AD$20,"F",IF(J145&lt;'PlayerGrades+'!$AD$19,"F+",IF(J145&lt;'PlayerGrades+'!$AD$18,"E-",IF(J145&lt;'PlayerGrades+'!$AD$17,"E",IF(J145&lt;'PlayerGrades+'!$AD$16,"E+",IF(J145&lt;'PlayerGrades+'!$AD$15,"D-",IF(J145&lt;'PlayerGrades+'!$AD$14,"D",IF(J145&lt;'PlayerGrades+'!$AD$13,"D+",IF(J145&lt;'PlayerGrades+'!$AD$12,"C-",IF(J145&lt;'PlayerGrades+'!$AD$11,"C",IF(J145&lt;'PlayerGrades+'!$AD$10,"C+",IF(J145&lt;'PlayerGrades+'!$AD$9,"B-",IF(J145&lt;'PlayerGrades+'!$AD$8,"B",IF(J145&lt;'PlayerGrades+'!$AD$7,"B+",IF(J145&lt;'PlayerGrades+'!$AD$6,"A-",IF(J145&lt;'PlayerGrades+'!$AD$5,"A",IF(J145&lt;'PlayerGrades+'!$AD$4,"A+",IF(J145&lt;'PlayerGrades+'!$AD$3,"S-",IF(J145&lt;'PlayerGrades+'!$AD$2,"S","S+"))))))))))))))))))))</f>
        <v>#DIV/0!</v>
      </c>
      <c r="L145" s="1176" t="str">
        <f t="shared" si="5"/>
        <v>#DIV/0!</v>
      </c>
      <c r="M145" s="992" t="str">
        <f>IF(L145&lt;'PlayerGrades+'!$AE$21,"F-",IF(L145&lt;'PlayerGrades+'!$AE$20,"F",IF(L145&lt;'PlayerGrades+'!$AE$19,"F+",IF(L145&lt;'PlayerGrades+'!$AE$18,"E-",IF(L145&lt;'PlayerGrades+'!$AE$17,"E",IF(L145&lt;'PlayerGrades+'!$AE$16,"E+",IF(L145&lt;'PlayerGrades+'!$AE$15,"D-",IF(L145&lt;'PlayerGrades+'!$AE$14,"D",IF(L145&lt;'PlayerGrades+'!$AE$13,"D+",IF(L145&lt;'PlayerGrades+'!$AE$12,"C-",IF(L145&lt;'PlayerGrades+'!$AE$11,"C",IF(L145&lt;'PlayerGrades+'!$AE$10,"C+",IF(L145&lt;'PlayerGrades+'!$AE$9,"B-",IF(L145&lt;'PlayerGrades+'!$AE$8,"B",IF(L145&lt;'PlayerGrades+'!$AE$7,"B+",IF(L145&lt;'PlayerGrades+'!$AE$6,"A-",IF(L145&lt;'PlayerGrades+'!$AE$5,"A",IF(L145&lt;'PlayerGrades+'!$AE$4,"A+",IF(L145&lt;'PlayerGrades+'!$AE$3,"S-",IF(L145&lt;'PlayerGrades+'!$AE$2,"S","S+"))))))))))))))))))))</f>
        <v>#DIV/0!</v>
      </c>
      <c r="N145" s="961" t="str">
        <f t="shared" si="6"/>
        <v>#DIV/0!</v>
      </c>
      <c r="O145" s="961" t="str">
        <f>IF(N145&lt;'PlayerGrades+'!$AF$21,"F-",IF(N145&lt;'PlayerGrades+'!$AF$20,"F",IF(N145&lt;'PlayerGrades+'!$AF$19,"F+",IF(N145&lt;'PlayerGrades+'!$AF$18,"E-",IF(N145&lt;'PlayerGrades+'!$AF$17,"E",IF(N145&lt;'PlayerGrades+'!$AF$16,"E+",IF(N145&lt;'PlayerGrades+'!$AF$15,"D-",IF(N145&lt;'PlayerGrades+'!$AF$14,"D",IF(N145&lt;'PlayerGrades+'!$AF$13,"D+",IF(N145&lt;'PlayerGrades+'!$AF$12,"C-",IF(N145&lt;'PlayerGrades+'!$AF$11,"C",IF(N145&lt;'PlayerGrades+'!$AF$10,"C+",IF(N145&lt;'PlayerGrades+'!$AF$9,"B-",IF(N145&lt;'PlayerGrades+'!$AF$8,"B",IF(N145&lt;'PlayerGrades+'!$AF$7,"B+",IF(N145&lt;'PlayerGrades+'!$AF$6,"A-",IF(N145&lt;'PlayerGrades+'!$AF$5,"A",IF(N145&lt;'PlayerGrades+'!$AF$4,"A+",IF(N145&lt;'PlayerGrades+'!$AF$3,"S-",IF(N145&lt;'PlayerGrades+'!$AF$2,"S","S+"))))))))))))))))))))</f>
        <v>#DIV/0!</v>
      </c>
      <c r="P145" s="961" t="str">
        <f t="shared" si="7"/>
        <v>#DIV/0!</v>
      </c>
      <c r="Q145" s="961" t="str">
        <f>IF(P145&lt;'PlayerGrades+'!$AG$21,"F-",IF(P145&lt;'PlayerGrades+'!$AG$20,"F",IF(P145&lt;'PlayerGrades+'!$AG$19,"F+",IF(P145&lt;'PlayerGrades+'!$AG$18,"E-",IF(P145&lt;'PlayerGrades+'!$AG$17,"E",IF(P145&lt;'PlayerGrades+'!$AG$16,"E+",IF(P145&lt;'PlayerGrades+'!$AG$15,"D-",IF(P145&lt;'PlayerGrades+'!$AG$14,"D",IF(P145&lt;'PlayerGrades+'!$AG$13,"D+",IF(P145&lt;'PlayerGrades+'!$AG$12,"C-",IF(P145&lt;'PlayerGrades+'!$AG$11,"C",IF(P145&lt;'PlayerGrades+'!$AG$10,"C+",IF(P145&lt;'PlayerGrades+'!$AG$9,"B-",IF(P145&lt;'PlayerGrades+'!$AG$8,"B",IF(P145&lt;'PlayerGrades+'!$AG$7,"B+",IF(P145&lt;'PlayerGrades+'!$AG$6,"A-",IF(P145&lt;'PlayerGrades+'!$AG$5,"A",IF(P145&lt;'PlayerGrades+'!$AG$4,"A+",IF(P145&lt;'PlayerGrades+'!$AG$3,"S-",IF(P145&lt;'PlayerGrades+'!$AG$2,"S","S+"))))))))))))))))))))</f>
        <v>#DIV/0!</v>
      </c>
      <c r="R145" s="961" t="str">
        <f t="shared" si="8"/>
        <v>#DIV/0!</v>
      </c>
      <c r="S145" s="961" t="str">
        <f>IF(R145&lt;'PlayerGrades+'!$AH$21,"F-",IF(R145&lt;'PlayerGrades+'!$AH$20,"F",IF(R145&lt;'PlayerGrades+'!$AH$19,"F+",IF(R145&lt;'PlayerGrades+'!$AH$18,"E-",IF(R145&lt;'PlayerGrades+'!$AH$17,"E",IF(R145&lt;'PlayerGrades+'!$AH$16,"E+",IF(R145&lt;'PlayerGrades+'!$AH$15,"D-",IF(R145&lt;'PlayerGrades+'!$AH$14,"D",IF(R145&lt;'PlayerGrades+'!$AH$13,"D+",IF(R145&lt;'PlayerGrades+'!$AH$12,"C-",IF(R145&lt;'PlayerGrades+'!$AH$11,"C",IF(R145&lt;'PlayerGrades+'!$AH$10,"C+",IF(R145&lt;'PlayerGrades+'!$AH$9,"B-",IF(R145&lt;'PlayerGrades+'!$AH$8,"B",IF(R145&lt;'PlayerGrades+'!$AH$7,"B+",IF(R145&lt;'PlayerGrades+'!$AH$6,"A-",IF(R145&lt;'PlayerGrades+'!$AH$5,"A",IF(R145&lt;'PlayerGrades+'!$AH$4,"A+",IF(R145&lt;'PlayerGrades+'!$AH$3,"S-",IF(R145&lt;'PlayerGrades+'!$AH$2,"S","S+"))))))))))))))))))))</f>
        <v>#DIV/0!</v>
      </c>
      <c r="T145" s="961">
        <f t="shared" si="9"/>
        <v>0</v>
      </c>
      <c r="U145" s="961" t="str">
        <f>IF(T145&lt;'PlayerGrades+'!$AI$21,"F-",IF(T145&lt;'PlayerGrades+'!$AI$20,"F",IF(T145&lt;'PlayerGrades+'!$AI$19,"F+",IF(T145&lt;'PlayerGrades+'!$AI$18,"E-",IF(T145&lt;'PlayerGrades+'!$AI$17,"E",IF(T145&lt;'PlayerGrades+'!$AI$16,"E+",IF(T145&lt;'PlayerGrades+'!$AI$15,"D-",IF(T145&lt;'PlayerGrades+'!$AI$14,"D",IF(T145&lt;'PlayerGrades+'!$AI$13,"D+",IF(T145&lt;'PlayerGrades+'!$AI$12,"C-",IF(T145&lt;'PlayerGrades+'!$AI$11,"C",IF(T145&lt;'PlayerGrades+'!$AI$10,"C+",IF(T145&lt;'PlayerGrades+'!$AI$9,"B-",IF(T145&lt;'PlayerGrades+'!$AI$8,"B",IF(T145&lt;'PlayerGrades+'!$AI$7,"B+",IF(T145&lt;'PlayerGrades+'!$AI$6,"A-",IF(T145&lt;'PlayerGrades+'!$AI$5,"A",IF(T145&lt;'PlayerGrades+'!$AI$4,"A+",IF(T145&lt;'PlayerGrades+'!$AI$3,"S-",IF(T145&lt;'PlayerGrades+'!$AI$2,"S","S+"))))))))))))))))))))</f>
        <v>F-</v>
      </c>
      <c r="Z145" s="1383"/>
      <c r="AA145" s="1383"/>
      <c r="AB145" s="1383"/>
      <c r="AC145" s="1384"/>
      <c r="AD145" s="1383"/>
      <c r="AE145" s="1383"/>
      <c r="AF145" s="1383"/>
      <c r="AG145" s="1383"/>
      <c r="AH145" s="1383"/>
      <c r="AI145" s="1383"/>
      <c r="AJ145" s="1383"/>
      <c r="AK145" s="1383"/>
      <c r="AL145" s="1383"/>
      <c r="AM145" s="1383"/>
      <c r="AN145" s="1383"/>
      <c r="AO145" s="1383"/>
      <c r="AP145" s="1383"/>
      <c r="AQ145" s="1383"/>
      <c r="AR145" s="1383"/>
      <c r="AS145" s="1383"/>
      <c r="AT145" s="1383"/>
      <c r="AU145" s="1383"/>
      <c r="AV145" s="1383"/>
      <c r="AW145" s="1383"/>
      <c r="AX145" s="1383"/>
      <c r="AY145" s="1383"/>
      <c r="AZ145" s="1383"/>
    </row>
    <row r="146">
      <c r="A146" s="1407"/>
      <c r="B146" s="611" t="str">
        <f>IF(C146&lt;'PlayerGrades+'!$Y$44,"F-",IF(C146&lt;'PlayerGrades+'!$Y$43,"F",IF(C146&lt;'PlayerGrades+'!$Y$42,"F+",IF(C146&lt;'PlayerGrades+'!$Y$41,"E-",IF(C146&lt;'PlayerGrades+'!$Y$40,"E",IF(C146&lt;'PlayerGrades+'!$Y$39,"E+",IF(C146&lt;'PlayerGrades+'!$Y$38,"D-",IF(C146&lt;'PlayerGrades+'!$Y$37,"D",IF(C146&lt;'PlayerGrades+'!$Y$36,"D+",IF(C146&lt;'PlayerGrades+'!$Y$35,"C-",IF(C146&lt;'PlayerGrades+'!$Y$34,"C",IF(C146&lt;'PlayerGrades+'!$Y$33,"C+",IF(C146&lt;'PlayerGrades+'!$Y$32,"B-",IF(C146&lt;'PlayerGrades+'!$Y$31,"B",IF(C146&lt;'PlayerGrades+'!$Y$30,"B+",IF(C146&lt;'PlayerGrades+'!$Y$29,"A-",IF(C146&lt;'PlayerGrades+'!$Y$28,"A",IF(C146&lt;'PlayerGrades+'!$Y$27,"A+",IF(C146&lt;'PlayerGrades+'!$Y$26,"S-",IF(C146&lt;'PlayerGrades+'!$Y$25,"S","S+"))))))))))))))))))))</f>
        <v>#DIV/0!</v>
      </c>
      <c r="C146" s="1378" t="str">
        <f>('PlayerGrades+'!$Y$47*(VLOOKUP(E146, 'PlayerGrades+'!$X$3:$Y$23, 2, FALSE)))+('PlayerGrades+'!$Y$48*(VLOOKUP(G146, 'PlayerGrades+'!$X$3:$Y$23, 2, FALSE)))+('PlayerGrades+'!$Y$49*(VLOOKUP(I146, 'PlayerGrades+'!$X$3:$Y$23, 2, FALSE)))+('PlayerGrades+'!$Y$50*(VLOOKUP(K146, 'PlayerGrades+'!$X$3:$Y$23, 2, FALSE)))+('PlayerGrades+'!$Y$51*(VLOOKUP(M146, 'PlayerGrades+'!$X$3:$Y$23, 2, FALSE)))+('PlayerGrades+'!$Y$52*(VLOOKUP(O146, 'PlayerGrades+'!$X$3:$Y$23, 2, FALSE)))+('PlayerGrades+'!$Y$53*(VLOOKUP(Q146, 'PlayerGrades+'!$X$3:$Y$23, 2, FALSE)))+('PlayerGrades+'!$Y$54*(VLOOKUP(S146, 'PlayerGrades+'!$X$3:$Y$23, 2, FALSE)))+('PlayerGrades+'!$Y$55*(VLOOKUP(U146, 'PlayerGrades+'!$X$3:$Y$23, 2, FALSE)))</f>
        <v>#DIV/0!</v>
      </c>
      <c r="D146" s="961" t="str">
        <f t="shared" si="1"/>
        <v>#DIV/0!</v>
      </c>
      <c r="E146" s="961" t="str">
        <f>IF(D146&lt;'PlayerGrades+'!$AA$21,"F-",IF(D146&lt;'PlayerGrades+'!$AA$20,"F",IF(D146&lt;'PlayerGrades+'!$AA$19,"F+",IF(D146&lt;'PlayerGrades+'!$AA$18,"E-",IF(D146&lt;'PlayerGrades+'!$AA$17,"E",IF(D146&lt;'PlayerGrades+'!$AA$16,"E+",IF(D146&lt;'PlayerGrades+'!$AA$15,"D-",IF(D146&lt;'PlayerGrades+'!$AA$14,"D",IF(D146&lt;'PlayerGrades+'!$AA$13,"D+",IF(D146&lt;'PlayerGrades+'!$AA$12,"C-",IF(D146&lt;'PlayerGrades+'!$AA$11,"C",IF(D146&lt;'PlayerGrades+'!$AA$10,"C+",IF(D146&lt;'PlayerGrades+'!$AA$9,"B-",IF(D146&lt;'PlayerGrades+'!$AA$8,"B",IF(D146&lt;'PlayerGrades+'!$AA$7,"B+",IF(D146&lt;'PlayerGrades+'!$AA$6,"A-",IF(D146&lt;'PlayerGrades+'!$AA$5,"A",IF(D146&lt;'PlayerGrades+'!$AA$4,"A+",IF(D146&lt;'PlayerGrades+'!$AA$3,"S-",IF(D146&lt;'PlayerGrades+'!$AA$2,"S","S+"))))))))))))))))))))</f>
        <v>#DIV/0!</v>
      </c>
      <c r="F146" s="961" t="str">
        <f t="shared" si="2"/>
        <v>#DIV/0!</v>
      </c>
      <c r="G146" s="961" t="str">
        <f>IF(F146&lt;'PlayerGrades+'!$AB$21,"F-",IF(F146&lt;'PlayerGrades+'!$AB$20,"F",IF(F146&lt;'PlayerGrades+'!$AB$19,"F+",IF(F146&lt;'PlayerGrades+'!$AB$18,"E-",IF(F146&lt;'PlayerGrades+'!$AB$17,"E",IF(F146&lt;'PlayerGrades+'!$AB$16,"E+",IF(F146&lt;'PlayerGrades+'!$AB$15,"D-",IF(F146&lt;'PlayerGrades+'!$AB$14,"D",IF(F146&lt;'PlayerGrades+'!$AB$13,"D+",IF(F146&lt;'PlayerGrades+'!$AB$12,"C-",IF(F146&lt;'PlayerGrades+'!$AB$11,"C",IF(F146&lt;'PlayerGrades+'!$AB$10,"C+",IF(F146&lt;'PlayerGrades+'!$AB$9,"B-",IF(F146&lt;'PlayerGrades+'!$AB$8,"B",IF(F146&lt;'PlayerGrades+'!$AB$7,"B+",IF(F146&lt;'PlayerGrades+'!$AB$6,"A-",IF(F146&lt;'PlayerGrades+'!$AB$5,"A",IF(F146&lt;'PlayerGrades+'!$AB$4,"A+",IF(F146&lt;'PlayerGrades+'!$AB$3,"S-",IF(F146&lt;'PlayerGrades+'!$AB$2,"S","S+"))))))))))))))))))))</f>
        <v>#DIV/0!</v>
      </c>
      <c r="H146" s="961" t="str">
        <f t="shared" si="3"/>
        <v>#DIV/0!</v>
      </c>
      <c r="I146" s="961" t="str">
        <f>IF(H146&lt;'PlayerGrades+'!$AC$21,"F-",IF(H146&lt;'PlayerGrades+'!$AC$20,"F",IF(H146&lt;'PlayerGrades+'!$AC$19,"F+",IF(H146&lt;'PlayerGrades+'!$AC$18,"E-",IF(H146&lt;'PlayerGrades+'!$AC$17,"E",IF(H146&lt;'PlayerGrades+'!$AC$16,"E+",IF(H146&lt;'PlayerGrades+'!$AC$15,"D-",IF(H146&lt;'PlayerGrades+'!$AC$14,"D",IF(H146&lt;'PlayerGrades+'!$AC$13,"D+",IF(H146&lt;'PlayerGrades+'!$AC$12,"C-",IF(H146&lt;'PlayerGrades+'!$AC$11,"C",IF(H146&lt;'PlayerGrades+'!$AC$10,"C+",IF(H146&lt;'PlayerGrades+'!$AC$9,"B-",IF(H146&lt;'PlayerGrades+'!$AC$8,"B",IF(H146&lt;'PlayerGrades+'!$AC$7,"B+",IF(H146&lt;'PlayerGrades+'!$AC$6,"A-",IF(H146&lt;'PlayerGrades+'!$AC$5,"A",IF(H146&lt;'PlayerGrades+'!$AC$4,"A+",IF(H146&lt;'PlayerGrades+'!$AC$3,"S-",IF(H146&lt;'PlayerGrades+'!$AC$2,"S","S+"))))))))))))))))))))</f>
        <v>#DIV/0!</v>
      </c>
      <c r="J146" s="961" t="str">
        <f t="shared" si="4"/>
        <v>#DIV/0!</v>
      </c>
      <c r="K146" s="961" t="str">
        <f>IF(J146&lt;'PlayerGrades+'!$AD$21,"F-",IF(J146&lt;'PlayerGrades+'!$AD$20,"F",IF(J146&lt;'PlayerGrades+'!$AD$19,"F+",IF(J146&lt;'PlayerGrades+'!$AD$18,"E-",IF(J146&lt;'PlayerGrades+'!$AD$17,"E",IF(J146&lt;'PlayerGrades+'!$AD$16,"E+",IF(J146&lt;'PlayerGrades+'!$AD$15,"D-",IF(J146&lt;'PlayerGrades+'!$AD$14,"D",IF(J146&lt;'PlayerGrades+'!$AD$13,"D+",IF(J146&lt;'PlayerGrades+'!$AD$12,"C-",IF(J146&lt;'PlayerGrades+'!$AD$11,"C",IF(J146&lt;'PlayerGrades+'!$AD$10,"C+",IF(J146&lt;'PlayerGrades+'!$AD$9,"B-",IF(J146&lt;'PlayerGrades+'!$AD$8,"B",IF(J146&lt;'PlayerGrades+'!$AD$7,"B+",IF(J146&lt;'PlayerGrades+'!$AD$6,"A-",IF(J146&lt;'PlayerGrades+'!$AD$5,"A",IF(J146&lt;'PlayerGrades+'!$AD$4,"A+",IF(J146&lt;'PlayerGrades+'!$AD$3,"S-",IF(J146&lt;'PlayerGrades+'!$AD$2,"S","S+"))))))))))))))))))))</f>
        <v>#DIV/0!</v>
      </c>
      <c r="L146" s="1176" t="str">
        <f t="shared" si="5"/>
        <v>#DIV/0!</v>
      </c>
      <c r="M146" s="992" t="str">
        <f>IF(L146&lt;'PlayerGrades+'!$AE$21,"F-",IF(L146&lt;'PlayerGrades+'!$AE$20,"F",IF(L146&lt;'PlayerGrades+'!$AE$19,"F+",IF(L146&lt;'PlayerGrades+'!$AE$18,"E-",IF(L146&lt;'PlayerGrades+'!$AE$17,"E",IF(L146&lt;'PlayerGrades+'!$AE$16,"E+",IF(L146&lt;'PlayerGrades+'!$AE$15,"D-",IF(L146&lt;'PlayerGrades+'!$AE$14,"D",IF(L146&lt;'PlayerGrades+'!$AE$13,"D+",IF(L146&lt;'PlayerGrades+'!$AE$12,"C-",IF(L146&lt;'PlayerGrades+'!$AE$11,"C",IF(L146&lt;'PlayerGrades+'!$AE$10,"C+",IF(L146&lt;'PlayerGrades+'!$AE$9,"B-",IF(L146&lt;'PlayerGrades+'!$AE$8,"B",IF(L146&lt;'PlayerGrades+'!$AE$7,"B+",IF(L146&lt;'PlayerGrades+'!$AE$6,"A-",IF(L146&lt;'PlayerGrades+'!$AE$5,"A",IF(L146&lt;'PlayerGrades+'!$AE$4,"A+",IF(L146&lt;'PlayerGrades+'!$AE$3,"S-",IF(L146&lt;'PlayerGrades+'!$AE$2,"S","S+"))))))))))))))))))))</f>
        <v>#DIV/0!</v>
      </c>
      <c r="N146" s="961" t="str">
        <f t="shared" si="6"/>
        <v>#DIV/0!</v>
      </c>
      <c r="O146" s="961" t="str">
        <f>IF(N146&lt;'PlayerGrades+'!$AF$21,"F-",IF(N146&lt;'PlayerGrades+'!$AF$20,"F",IF(N146&lt;'PlayerGrades+'!$AF$19,"F+",IF(N146&lt;'PlayerGrades+'!$AF$18,"E-",IF(N146&lt;'PlayerGrades+'!$AF$17,"E",IF(N146&lt;'PlayerGrades+'!$AF$16,"E+",IF(N146&lt;'PlayerGrades+'!$AF$15,"D-",IF(N146&lt;'PlayerGrades+'!$AF$14,"D",IF(N146&lt;'PlayerGrades+'!$AF$13,"D+",IF(N146&lt;'PlayerGrades+'!$AF$12,"C-",IF(N146&lt;'PlayerGrades+'!$AF$11,"C",IF(N146&lt;'PlayerGrades+'!$AF$10,"C+",IF(N146&lt;'PlayerGrades+'!$AF$9,"B-",IF(N146&lt;'PlayerGrades+'!$AF$8,"B",IF(N146&lt;'PlayerGrades+'!$AF$7,"B+",IF(N146&lt;'PlayerGrades+'!$AF$6,"A-",IF(N146&lt;'PlayerGrades+'!$AF$5,"A",IF(N146&lt;'PlayerGrades+'!$AF$4,"A+",IF(N146&lt;'PlayerGrades+'!$AF$3,"S-",IF(N146&lt;'PlayerGrades+'!$AF$2,"S","S+"))))))))))))))))))))</f>
        <v>#DIV/0!</v>
      </c>
      <c r="P146" s="961" t="str">
        <f t="shared" si="7"/>
        <v>#DIV/0!</v>
      </c>
      <c r="Q146" s="961" t="str">
        <f>IF(P146&lt;'PlayerGrades+'!$AG$21,"F-",IF(P146&lt;'PlayerGrades+'!$AG$20,"F",IF(P146&lt;'PlayerGrades+'!$AG$19,"F+",IF(P146&lt;'PlayerGrades+'!$AG$18,"E-",IF(P146&lt;'PlayerGrades+'!$AG$17,"E",IF(P146&lt;'PlayerGrades+'!$AG$16,"E+",IF(P146&lt;'PlayerGrades+'!$AG$15,"D-",IF(P146&lt;'PlayerGrades+'!$AG$14,"D",IF(P146&lt;'PlayerGrades+'!$AG$13,"D+",IF(P146&lt;'PlayerGrades+'!$AG$12,"C-",IF(P146&lt;'PlayerGrades+'!$AG$11,"C",IF(P146&lt;'PlayerGrades+'!$AG$10,"C+",IF(P146&lt;'PlayerGrades+'!$AG$9,"B-",IF(P146&lt;'PlayerGrades+'!$AG$8,"B",IF(P146&lt;'PlayerGrades+'!$AG$7,"B+",IF(P146&lt;'PlayerGrades+'!$AG$6,"A-",IF(P146&lt;'PlayerGrades+'!$AG$5,"A",IF(P146&lt;'PlayerGrades+'!$AG$4,"A+",IF(P146&lt;'PlayerGrades+'!$AG$3,"S-",IF(P146&lt;'PlayerGrades+'!$AG$2,"S","S+"))))))))))))))))))))</f>
        <v>#DIV/0!</v>
      </c>
      <c r="R146" s="961" t="str">
        <f t="shared" si="8"/>
        <v>#DIV/0!</v>
      </c>
      <c r="S146" s="961" t="str">
        <f>IF(R146&lt;'PlayerGrades+'!$AH$21,"F-",IF(R146&lt;'PlayerGrades+'!$AH$20,"F",IF(R146&lt;'PlayerGrades+'!$AH$19,"F+",IF(R146&lt;'PlayerGrades+'!$AH$18,"E-",IF(R146&lt;'PlayerGrades+'!$AH$17,"E",IF(R146&lt;'PlayerGrades+'!$AH$16,"E+",IF(R146&lt;'PlayerGrades+'!$AH$15,"D-",IF(R146&lt;'PlayerGrades+'!$AH$14,"D",IF(R146&lt;'PlayerGrades+'!$AH$13,"D+",IF(R146&lt;'PlayerGrades+'!$AH$12,"C-",IF(R146&lt;'PlayerGrades+'!$AH$11,"C",IF(R146&lt;'PlayerGrades+'!$AH$10,"C+",IF(R146&lt;'PlayerGrades+'!$AH$9,"B-",IF(R146&lt;'PlayerGrades+'!$AH$8,"B",IF(R146&lt;'PlayerGrades+'!$AH$7,"B+",IF(R146&lt;'PlayerGrades+'!$AH$6,"A-",IF(R146&lt;'PlayerGrades+'!$AH$5,"A",IF(R146&lt;'PlayerGrades+'!$AH$4,"A+",IF(R146&lt;'PlayerGrades+'!$AH$3,"S-",IF(R146&lt;'PlayerGrades+'!$AH$2,"S","S+"))))))))))))))))))))</f>
        <v>#DIV/0!</v>
      </c>
      <c r="T146" s="961">
        <f t="shared" si="9"/>
        <v>0</v>
      </c>
      <c r="U146" s="961" t="str">
        <f>IF(T146&lt;'PlayerGrades+'!$AI$21,"F-",IF(T146&lt;'PlayerGrades+'!$AI$20,"F",IF(T146&lt;'PlayerGrades+'!$AI$19,"F+",IF(T146&lt;'PlayerGrades+'!$AI$18,"E-",IF(T146&lt;'PlayerGrades+'!$AI$17,"E",IF(T146&lt;'PlayerGrades+'!$AI$16,"E+",IF(T146&lt;'PlayerGrades+'!$AI$15,"D-",IF(T146&lt;'PlayerGrades+'!$AI$14,"D",IF(T146&lt;'PlayerGrades+'!$AI$13,"D+",IF(T146&lt;'PlayerGrades+'!$AI$12,"C-",IF(T146&lt;'PlayerGrades+'!$AI$11,"C",IF(T146&lt;'PlayerGrades+'!$AI$10,"C+",IF(T146&lt;'PlayerGrades+'!$AI$9,"B-",IF(T146&lt;'PlayerGrades+'!$AI$8,"B",IF(T146&lt;'PlayerGrades+'!$AI$7,"B+",IF(T146&lt;'PlayerGrades+'!$AI$6,"A-",IF(T146&lt;'PlayerGrades+'!$AI$5,"A",IF(T146&lt;'PlayerGrades+'!$AI$4,"A+",IF(T146&lt;'PlayerGrades+'!$AI$3,"S-",IF(T146&lt;'PlayerGrades+'!$AI$2,"S","S+"))))))))))))))))))))</f>
        <v>F-</v>
      </c>
      <c r="V146" s="1379"/>
      <c r="W146" s="1379"/>
      <c r="X146" s="1410"/>
      <c r="Y146" s="1379"/>
      <c r="Z146" s="1380"/>
      <c r="AA146" s="1380"/>
      <c r="AB146" s="1380"/>
      <c r="AC146" s="1381"/>
      <c r="AD146" s="1380"/>
      <c r="AE146" s="1380"/>
      <c r="AF146" s="1380"/>
      <c r="AG146" s="1380"/>
      <c r="AH146" s="1380"/>
      <c r="AI146" s="1380"/>
      <c r="AJ146" s="1380"/>
      <c r="AK146" s="1380"/>
      <c r="AL146" s="1380"/>
      <c r="AM146" s="1380"/>
      <c r="AN146" s="1380"/>
      <c r="AO146" s="1380"/>
      <c r="AP146" s="1380"/>
      <c r="AQ146" s="1380"/>
      <c r="AR146" s="1380"/>
      <c r="AS146" s="1380"/>
      <c r="AT146" s="1380"/>
      <c r="AU146" s="1380"/>
      <c r="AV146" s="1380"/>
      <c r="AW146" s="1380"/>
      <c r="AX146" s="1380"/>
      <c r="AY146" s="1380"/>
      <c r="AZ146" s="1380"/>
    </row>
    <row r="147">
      <c r="A147" s="1408"/>
      <c r="B147" s="611" t="str">
        <f>IF(C147&lt;'PlayerGrades+'!$Y$44,"F-",IF(C147&lt;'PlayerGrades+'!$Y$43,"F",IF(C147&lt;'PlayerGrades+'!$Y$42,"F+",IF(C147&lt;'PlayerGrades+'!$Y$41,"E-",IF(C147&lt;'PlayerGrades+'!$Y$40,"E",IF(C147&lt;'PlayerGrades+'!$Y$39,"E+",IF(C147&lt;'PlayerGrades+'!$Y$38,"D-",IF(C147&lt;'PlayerGrades+'!$Y$37,"D",IF(C147&lt;'PlayerGrades+'!$Y$36,"D+",IF(C147&lt;'PlayerGrades+'!$Y$35,"C-",IF(C147&lt;'PlayerGrades+'!$Y$34,"C",IF(C147&lt;'PlayerGrades+'!$Y$33,"C+",IF(C147&lt;'PlayerGrades+'!$Y$32,"B-",IF(C147&lt;'PlayerGrades+'!$Y$31,"B",IF(C147&lt;'PlayerGrades+'!$Y$30,"B+",IF(C147&lt;'PlayerGrades+'!$Y$29,"A-",IF(C147&lt;'PlayerGrades+'!$Y$28,"A",IF(C147&lt;'PlayerGrades+'!$Y$27,"A+",IF(C147&lt;'PlayerGrades+'!$Y$26,"S-",IF(C147&lt;'PlayerGrades+'!$Y$25,"S","S+"))))))))))))))))))))</f>
        <v>#DIV/0!</v>
      </c>
      <c r="C147" s="1378" t="str">
        <f>('PlayerGrades+'!$Y$47*(VLOOKUP(E147, 'PlayerGrades+'!$X$3:$Y$23, 2, FALSE)))+('PlayerGrades+'!$Y$48*(VLOOKUP(G147, 'PlayerGrades+'!$X$3:$Y$23, 2, FALSE)))+('PlayerGrades+'!$Y$49*(VLOOKUP(I147, 'PlayerGrades+'!$X$3:$Y$23, 2, FALSE)))+('PlayerGrades+'!$Y$50*(VLOOKUP(K147, 'PlayerGrades+'!$X$3:$Y$23, 2, FALSE)))+('PlayerGrades+'!$Y$51*(VLOOKUP(M147, 'PlayerGrades+'!$X$3:$Y$23, 2, FALSE)))+('PlayerGrades+'!$Y$52*(VLOOKUP(O147, 'PlayerGrades+'!$X$3:$Y$23, 2, FALSE)))+('PlayerGrades+'!$Y$53*(VLOOKUP(Q147, 'PlayerGrades+'!$X$3:$Y$23, 2, FALSE)))+('PlayerGrades+'!$Y$54*(VLOOKUP(S147, 'PlayerGrades+'!$X$3:$Y$23, 2, FALSE)))+('PlayerGrades+'!$Y$55*(VLOOKUP(U147, 'PlayerGrades+'!$X$3:$Y$23, 2, FALSE)))</f>
        <v>#DIV/0!</v>
      </c>
      <c r="D147" s="961" t="str">
        <f t="shared" si="1"/>
        <v>#DIV/0!</v>
      </c>
      <c r="E147" s="961" t="str">
        <f>IF(D147&lt;'PlayerGrades+'!$AA$21,"F-",IF(D147&lt;'PlayerGrades+'!$AA$20,"F",IF(D147&lt;'PlayerGrades+'!$AA$19,"F+",IF(D147&lt;'PlayerGrades+'!$AA$18,"E-",IF(D147&lt;'PlayerGrades+'!$AA$17,"E",IF(D147&lt;'PlayerGrades+'!$AA$16,"E+",IF(D147&lt;'PlayerGrades+'!$AA$15,"D-",IF(D147&lt;'PlayerGrades+'!$AA$14,"D",IF(D147&lt;'PlayerGrades+'!$AA$13,"D+",IF(D147&lt;'PlayerGrades+'!$AA$12,"C-",IF(D147&lt;'PlayerGrades+'!$AA$11,"C",IF(D147&lt;'PlayerGrades+'!$AA$10,"C+",IF(D147&lt;'PlayerGrades+'!$AA$9,"B-",IF(D147&lt;'PlayerGrades+'!$AA$8,"B",IF(D147&lt;'PlayerGrades+'!$AA$7,"B+",IF(D147&lt;'PlayerGrades+'!$AA$6,"A-",IF(D147&lt;'PlayerGrades+'!$AA$5,"A",IF(D147&lt;'PlayerGrades+'!$AA$4,"A+",IF(D147&lt;'PlayerGrades+'!$AA$3,"S-",IF(D147&lt;'PlayerGrades+'!$AA$2,"S","S+"))))))))))))))))))))</f>
        <v>#DIV/0!</v>
      </c>
      <c r="F147" s="961" t="str">
        <f t="shared" si="2"/>
        <v>#DIV/0!</v>
      </c>
      <c r="G147" s="961" t="str">
        <f>IF(F147&lt;'PlayerGrades+'!$AB$21,"F-",IF(F147&lt;'PlayerGrades+'!$AB$20,"F",IF(F147&lt;'PlayerGrades+'!$AB$19,"F+",IF(F147&lt;'PlayerGrades+'!$AB$18,"E-",IF(F147&lt;'PlayerGrades+'!$AB$17,"E",IF(F147&lt;'PlayerGrades+'!$AB$16,"E+",IF(F147&lt;'PlayerGrades+'!$AB$15,"D-",IF(F147&lt;'PlayerGrades+'!$AB$14,"D",IF(F147&lt;'PlayerGrades+'!$AB$13,"D+",IF(F147&lt;'PlayerGrades+'!$AB$12,"C-",IF(F147&lt;'PlayerGrades+'!$AB$11,"C",IF(F147&lt;'PlayerGrades+'!$AB$10,"C+",IF(F147&lt;'PlayerGrades+'!$AB$9,"B-",IF(F147&lt;'PlayerGrades+'!$AB$8,"B",IF(F147&lt;'PlayerGrades+'!$AB$7,"B+",IF(F147&lt;'PlayerGrades+'!$AB$6,"A-",IF(F147&lt;'PlayerGrades+'!$AB$5,"A",IF(F147&lt;'PlayerGrades+'!$AB$4,"A+",IF(F147&lt;'PlayerGrades+'!$AB$3,"S-",IF(F147&lt;'PlayerGrades+'!$AB$2,"S","S+"))))))))))))))))))))</f>
        <v>#DIV/0!</v>
      </c>
      <c r="H147" s="961" t="str">
        <f t="shared" si="3"/>
        <v>#DIV/0!</v>
      </c>
      <c r="I147" s="961" t="str">
        <f>IF(H147&lt;'PlayerGrades+'!$AC$21,"F-",IF(H147&lt;'PlayerGrades+'!$AC$20,"F",IF(H147&lt;'PlayerGrades+'!$AC$19,"F+",IF(H147&lt;'PlayerGrades+'!$AC$18,"E-",IF(H147&lt;'PlayerGrades+'!$AC$17,"E",IF(H147&lt;'PlayerGrades+'!$AC$16,"E+",IF(H147&lt;'PlayerGrades+'!$AC$15,"D-",IF(H147&lt;'PlayerGrades+'!$AC$14,"D",IF(H147&lt;'PlayerGrades+'!$AC$13,"D+",IF(H147&lt;'PlayerGrades+'!$AC$12,"C-",IF(H147&lt;'PlayerGrades+'!$AC$11,"C",IF(H147&lt;'PlayerGrades+'!$AC$10,"C+",IF(H147&lt;'PlayerGrades+'!$AC$9,"B-",IF(H147&lt;'PlayerGrades+'!$AC$8,"B",IF(H147&lt;'PlayerGrades+'!$AC$7,"B+",IF(H147&lt;'PlayerGrades+'!$AC$6,"A-",IF(H147&lt;'PlayerGrades+'!$AC$5,"A",IF(H147&lt;'PlayerGrades+'!$AC$4,"A+",IF(H147&lt;'PlayerGrades+'!$AC$3,"S-",IF(H147&lt;'PlayerGrades+'!$AC$2,"S","S+"))))))))))))))))))))</f>
        <v>#DIV/0!</v>
      </c>
      <c r="J147" s="961" t="str">
        <f t="shared" si="4"/>
        <v>#DIV/0!</v>
      </c>
      <c r="K147" s="961" t="str">
        <f>IF(J147&lt;'PlayerGrades+'!$AD$21,"F-",IF(J147&lt;'PlayerGrades+'!$AD$20,"F",IF(J147&lt;'PlayerGrades+'!$AD$19,"F+",IF(J147&lt;'PlayerGrades+'!$AD$18,"E-",IF(J147&lt;'PlayerGrades+'!$AD$17,"E",IF(J147&lt;'PlayerGrades+'!$AD$16,"E+",IF(J147&lt;'PlayerGrades+'!$AD$15,"D-",IF(J147&lt;'PlayerGrades+'!$AD$14,"D",IF(J147&lt;'PlayerGrades+'!$AD$13,"D+",IF(J147&lt;'PlayerGrades+'!$AD$12,"C-",IF(J147&lt;'PlayerGrades+'!$AD$11,"C",IF(J147&lt;'PlayerGrades+'!$AD$10,"C+",IF(J147&lt;'PlayerGrades+'!$AD$9,"B-",IF(J147&lt;'PlayerGrades+'!$AD$8,"B",IF(J147&lt;'PlayerGrades+'!$AD$7,"B+",IF(J147&lt;'PlayerGrades+'!$AD$6,"A-",IF(J147&lt;'PlayerGrades+'!$AD$5,"A",IF(J147&lt;'PlayerGrades+'!$AD$4,"A+",IF(J147&lt;'PlayerGrades+'!$AD$3,"S-",IF(J147&lt;'PlayerGrades+'!$AD$2,"S","S+"))))))))))))))))))))</f>
        <v>#DIV/0!</v>
      </c>
      <c r="L147" s="1176" t="str">
        <f t="shared" si="5"/>
        <v>#DIV/0!</v>
      </c>
      <c r="M147" s="992" t="str">
        <f>IF(L147&lt;'PlayerGrades+'!$AE$21,"F-",IF(L147&lt;'PlayerGrades+'!$AE$20,"F",IF(L147&lt;'PlayerGrades+'!$AE$19,"F+",IF(L147&lt;'PlayerGrades+'!$AE$18,"E-",IF(L147&lt;'PlayerGrades+'!$AE$17,"E",IF(L147&lt;'PlayerGrades+'!$AE$16,"E+",IF(L147&lt;'PlayerGrades+'!$AE$15,"D-",IF(L147&lt;'PlayerGrades+'!$AE$14,"D",IF(L147&lt;'PlayerGrades+'!$AE$13,"D+",IF(L147&lt;'PlayerGrades+'!$AE$12,"C-",IF(L147&lt;'PlayerGrades+'!$AE$11,"C",IF(L147&lt;'PlayerGrades+'!$AE$10,"C+",IF(L147&lt;'PlayerGrades+'!$AE$9,"B-",IF(L147&lt;'PlayerGrades+'!$AE$8,"B",IF(L147&lt;'PlayerGrades+'!$AE$7,"B+",IF(L147&lt;'PlayerGrades+'!$AE$6,"A-",IF(L147&lt;'PlayerGrades+'!$AE$5,"A",IF(L147&lt;'PlayerGrades+'!$AE$4,"A+",IF(L147&lt;'PlayerGrades+'!$AE$3,"S-",IF(L147&lt;'PlayerGrades+'!$AE$2,"S","S+"))))))))))))))))))))</f>
        <v>#DIV/0!</v>
      </c>
      <c r="N147" s="961" t="str">
        <f t="shared" si="6"/>
        <v>#DIV/0!</v>
      </c>
      <c r="O147" s="961" t="str">
        <f>IF(N147&lt;'PlayerGrades+'!$AF$21,"F-",IF(N147&lt;'PlayerGrades+'!$AF$20,"F",IF(N147&lt;'PlayerGrades+'!$AF$19,"F+",IF(N147&lt;'PlayerGrades+'!$AF$18,"E-",IF(N147&lt;'PlayerGrades+'!$AF$17,"E",IF(N147&lt;'PlayerGrades+'!$AF$16,"E+",IF(N147&lt;'PlayerGrades+'!$AF$15,"D-",IF(N147&lt;'PlayerGrades+'!$AF$14,"D",IF(N147&lt;'PlayerGrades+'!$AF$13,"D+",IF(N147&lt;'PlayerGrades+'!$AF$12,"C-",IF(N147&lt;'PlayerGrades+'!$AF$11,"C",IF(N147&lt;'PlayerGrades+'!$AF$10,"C+",IF(N147&lt;'PlayerGrades+'!$AF$9,"B-",IF(N147&lt;'PlayerGrades+'!$AF$8,"B",IF(N147&lt;'PlayerGrades+'!$AF$7,"B+",IF(N147&lt;'PlayerGrades+'!$AF$6,"A-",IF(N147&lt;'PlayerGrades+'!$AF$5,"A",IF(N147&lt;'PlayerGrades+'!$AF$4,"A+",IF(N147&lt;'PlayerGrades+'!$AF$3,"S-",IF(N147&lt;'PlayerGrades+'!$AF$2,"S","S+"))))))))))))))))))))</f>
        <v>#DIV/0!</v>
      </c>
      <c r="P147" s="961" t="str">
        <f t="shared" si="7"/>
        <v>#DIV/0!</v>
      </c>
      <c r="Q147" s="961" t="str">
        <f>IF(P147&lt;'PlayerGrades+'!$AG$21,"F-",IF(P147&lt;'PlayerGrades+'!$AG$20,"F",IF(P147&lt;'PlayerGrades+'!$AG$19,"F+",IF(P147&lt;'PlayerGrades+'!$AG$18,"E-",IF(P147&lt;'PlayerGrades+'!$AG$17,"E",IF(P147&lt;'PlayerGrades+'!$AG$16,"E+",IF(P147&lt;'PlayerGrades+'!$AG$15,"D-",IF(P147&lt;'PlayerGrades+'!$AG$14,"D",IF(P147&lt;'PlayerGrades+'!$AG$13,"D+",IF(P147&lt;'PlayerGrades+'!$AG$12,"C-",IF(P147&lt;'PlayerGrades+'!$AG$11,"C",IF(P147&lt;'PlayerGrades+'!$AG$10,"C+",IF(P147&lt;'PlayerGrades+'!$AG$9,"B-",IF(P147&lt;'PlayerGrades+'!$AG$8,"B",IF(P147&lt;'PlayerGrades+'!$AG$7,"B+",IF(P147&lt;'PlayerGrades+'!$AG$6,"A-",IF(P147&lt;'PlayerGrades+'!$AG$5,"A",IF(P147&lt;'PlayerGrades+'!$AG$4,"A+",IF(P147&lt;'PlayerGrades+'!$AG$3,"S-",IF(P147&lt;'PlayerGrades+'!$AG$2,"S","S+"))))))))))))))))))))</f>
        <v>#DIV/0!</v>
      </c>
      <c r="R147" s="961" t="str">
        <f t="shared" si="8"/>
        <v>#DIV/0!</v>
      </c>
      <c r="S147" s="961" t="str">
        <f>IF(R147&lt;'PlayerGrades+'!$AH$21,"F-",IF(R147&lt;'PlayerGrades+'!$AH$20,"F",IF(R147&lt;'PlayerGrades+'!$AH$19,"F+",IF(R147&lt;'PlayerGrades+'!$AH$18,"E-",IF(R147&lt;'PlayerGrades+'!$AH$17,"E",IF(R147&lt;'PlayerGrades+'!$AH$16,"E+",IF(R147&lt;'PlayerGrades+'!$AH$15,"D-",IF(R147&lt;'PlayerGrades+'!$AH$14,"D",IF(R147&lt;'PlayerGrades+'!$AH$13,"D+",IF(R147&lt;'PlayerGrades+'!$AH$12,"C-",IF(R147&lt;'PlayerGrades+'!$AH$11,"C",IF(R147&lt;'PlayerGrades+'!$AH$10,"C+",IF(R147&lt;'PlayerGrades+'!$AH$9,"B-",IF(R147&lt;'PlayerGrades+'!$AH$8,"B",IF(R147&lt;'PlayerGrades+'!$AH$7,"B+",IF(R147&lt;'PlayerGrades+'!$AH$6,"A-",IF(R147&lt;'PlayerGrades+'!$AH$5,"A",IF(R147&lt;'PlayerGrades+'!$AH$4,"A+",IF(R147&lt;'PlayerGrades+'!$AH$3,"S-",IF(R147&lt;'PlayerGrades+'!$AH$2,"S","S+"))))))))))))))))))))</f>
        <v>#DIV/0!</v>
      </c>
      <c r="T147" s="961">
        <f t="shared" si="9"/>
        <v>0</v>
      </c>
      <c r="U147" s="961" t="str">
        <f>IF(T147&lt;'PlayerGrades+'!$AI$21,"F-",IF(T147&lt;'PlayerGrades+'!$AI$20,"F",IF(T147&lt;'PlayerGrades+'!$AI$19,"F+",IF(T147&lt;'PlayerGrades+'!$AI$18,"E-",IF(T147&lt;'PlayerGrades+'!$AI$17,"E",IF(T147&lt;'PlayerGrades+'!$AI$16,"E+",IF(T147&lt;'PlayerGrades+'!$AI$15,"D-",IF(T147&lt;'PlayerGrades+'!$AI$14,"D",IF(T147&lt;'PlayerGrades+'!$AI$13,"D+",IF(T147&lt;'PlayerGrades+'!$AI$12,"C-",IF(T147&lt;'PlayerGrades+'!$AI$11,"C",IF(T147&lt;'PlayerGrades+'!$AI$10,"C+",IF(T147&lt;'PlayerGrades+'!$AI$9,"B-",IF(T147&lt;'PlayerGrades+'!$AI$8,"B",IF(T147&lt;'PlayerGrades+'!$AI$7,"B+",IF(T147&lt;'PlayerGrades+'!$AI$6,"A-",IF(T147&lt;'PlayerGrades+'!$AI$5,"A",IF(T147&lt;'PlayerGrades+'!$AI$4,"A+",IF(T147&lt;'PlayerGrades+'!$AI$3,"S-",IF(T147&lt;'PlayerGrades+'!$AI$2,"S","S+"))))))))))))))))))))</f>
        <v>F-</v>
      </c>
      <c r="Z147" s="1383"/>
      <c r="AA147" s="1383"/>
      <c r="AB147" s="1383"/>
      <c r="AC147" s="1384"/>
      <c r="AD147" s="1383"/>
      <c r="AE147" s="1383"/>
      <c r="AF147" s="1383"/>
      <c r="AG147" s="1383"/>
      <c r="AH147" s="1383"/>
      <c r="AI147" s="1383"/>
      <c r="AJ147" s="1383"/>
      <c r="AK147" s="1383"/>
      <c r="AL147" s="1383"/>
      <c r="AM147" s="1383"/>
      <c r="AN147" s="1383"/>
      <c r="AO147" s="1383"/>
      <c r="AP147" s="1383"/>
      <c r="AQ147" s="1383"/>
      <c r="AR147" s="1383"/>
      <c r="AS147" s="1383"/>
      <c r="AT147" s="1383"/>
      <c r="AU147" s="1383"/>
      <c r="AV147" s="1383"/>
      <c r="AW147" s="1383"/>
      <c r="AX147" s="1383"/>
      <c r="AY147" s="1383"/>
      <c r="AZ147" s="1383"/>
    </row>
    <row r="148">
      <c r="A148" s="1408"/>
      <c r="B148" s="611" t="str">
        <f>IF(C148&lt;'PlayerGrades+'!$Y$44,"F-",IF(C148&lt;'PlayerGrades+'!$Y$43,"F",IF(C148&lt;'PlayerGrades+'!$Y$42,"F+",IF(C148&lt;'PlayerGrades+'!$Y$41,"E-",IF(C148&lt;'PlayerGrades+'!$Y$40,"E",IF(C148&lt;'PlayerGrades+'!$Y$39,"E+",IF(C148&lt;'PlayerGrades+'!$Y$38,"D-",IF(C148&lt;'PlayerGrades+'!$Y$37,"D",IF(C148&lt;'PlayerGrades+'!$Y$36,"D+",IF(C148&lt;'PlayerGrades+'!$Y$35,"C-",IF(C148&lt;'PlayerGrades+'!$Y$34,"C",IF(C148&lt;'PlayerGrades+'!$Y$33,"C+",IF(C148&lt;'PlayerGrades+'!$Y$32,"B-",IF(C148&lt;'PlayerGrades+'!$Y$31,"B",IF(C148&lt;'PlayerGrades+'!$Y$30,"B+",IF(C148&lt;'PlayerGrades+'!$Y$29,"A-",IF(C148&lt;'PlayerGrades+'!$Y$28,"A",IF(C148&lt;'PlayerGrades+'!$Y$27,"A+",IF(C148&lt;'PlayerGrades+'!$Y$26,"S-",IF(C148&lt;'PlayerGrades+'!$Y$25,"S","S+"))))))))))))))))))))</f>
        <v>#DIV/0!</v>
      </c>
      <c r="C148" s="1378" t="str">
        <f>('PlayerGrades+'!$Y$47*(VLOOKUP(E148, 'PlayerGrades+'!$X$3:$Y$23, 2, FALSE)))+('PlayerGrades+'!$Y$48*(VLOOKUP(G148, 'PlayerGrades+'!$X$3:$Y$23, 2, FALSE)))+('PlayerGrades+'!$Y$49*(VLOOKUP(I148, 'PlayerGrades+'!$X$3:$Y$23, 2, FALSE)))+('PlayerGrades+'!$Y$50*(VLOOKUP(K148, 'PlayerGrades+'!$X$3:$Y$23, 2, FALSE)))+('PlayerGrades+'!$Y$51*(VLOOKUP(M148, 'PlayerGrades+'!$X$3:$Y$23, 2, FALSE)))+('PlayerGrades+'!$Y$52*(VLOOKUP(O148, 'PlayerGrades+'!$X$3:$Y$23, 2, FALSE)))+('PlayerGrades+'!$Y$53*(VLOOKUP(Q148, 'PlayerGrades+'!$X$3:$Y$23, 2, FALSE)))+('PlayerGrades+'!$Y$54*(VLOOKUP(S148, 'PlayerGrades+'!$X$3:$Y$23, 2, FALSE)))+('PlayerGrades+'!$Y$55*(VLOOKUP(U148, 'PlayerGrades+'!$X$3:$Y$23, 2, FALSE)))</f>
        <v>#DIV/0!</v>
      </c>
      <c r="D148" s="961" t="str">
        <f t="shared" si="1"/>
        <v>#DIV/0!</v>
      </c>
      <c r="E148" s="961" t="str">
        <f>IF(D148&lt;'PlayerGrades+'!$AA$21,"F-",IF(D148&lt;'PlayerGrades+'!$AA$20,"F",IF(D148&lt;'PlayerGrades+'!$AA$19,"F+",IF(D148&lt;'PlayerGrades+'!$AA$18,"E-",IF(D148&lt;'PlayerGrades+'!$AA$17,"E",IF(D148&lt;'PlayerGrades+'!$AA$16,"E+",IF(D148&lt;'PlayerGrades+'!$AA$15,"D-",IF(D148&lt;'PlayerGrades+'!$AA$14,"D",IF(D148&lt;'PlayerGrades+'!$AA$13,"D+",IF(D148&lt;'PlayerGrades+'!$AA$12,"C-",IF(D148&lt;'PlayerGrades+'!$AA$11,"C",IF(D148&lt;'PlayerGrades+'!$AA$10,"C+",IF(D148&lt;'PlayerGrades+'!$AA$9,"B-",IF(D148&lt;'PlayerGrades+'!$AA$8,"B",IF(D148&lt;'PlayerGrades+'!$AA$7,"B+",IF(D148&lt;'PlayerGrades+'!$AA$6,"A-",IF(D148&lt;'PlayerGrades+'!$AA$5,"A",IF(D148&lt;'PlayerGrades+'!$AA$4,"A+",IF(D148&lt;'PlayerGrades+'!$AA$3,"S-",IF(D148&lt;'PlayerGrades+'!$AA$2,"S","S+"))))))))))))))))))))</f>
        <v>#DIV/0!</v>
      </c>
      <c r="F148" s="961" t="str">
        <f t="shared" si="2"/>
        <v>#DIV/0!</v>
      </c>
      <c r="G148" s="961" t="str">
        <f>IF(F148&lt;'PlayerGrades+'!$AB$21,"F-",IF(F148&lt;'PlayerGrades+'!$AB$20,"F",IF(F148&lt;'PlayerGrades+'!$AB$19,"F+",IF(F148&lt;'PlayerGrades+'!$AB$18,"E-",IF(F148&lt;'PlayerGrades+'!$AB$17,"E",IF(F148&lt;'PlayerGrades+'!$AB$16,"E+",IF(F148&lt;'PlayerGrades+'!$AB$15,"D-",IF(F148&lt;'PlayerGrades+'!$AB$14,"D",IF(F148&lt;'PlayerGrades+'!$AB$13,"D+",IF(F148&lt;'PlayerGrades+'!$AB$12,"C-",IF(F148&lt;'PlayerGrades+'!$AB$11,"C",IF(F148&lt;'PlayerGrades+'!$AB$10,"C+",IF(F148&lt;'PlayerGrades+'!$AB$9,"B-",IF(F148&lt;'PlayerGrades+'!$AB$8,"B",IF(F148&lt;'PlayerGrades+'!$AB$7,"B+",IF(F148&lt;'PlayerGrades+'!$AB$6,"A-",IF(F148&lt;'PlayerGrades+'!$AB$5,"A",IF(F148&lt;'PlayerGrades+'!$AB$4,"A+",IF(F148&lt;'PlayerGrades+'!$AB$3,"S-",IF(F148&lt;'PlayerGrades+'!$AB$2,"S","S+"))))))))))))))))))))</f>
        <v>#DIV/0!</v>
      </c>
      <c r="H148" s="961" t="str">
        <f t="shared" si="3"/>
        <v>#DIV/0!</v>
      </c>
      <c r="I148" s="961" t="str">
        <f>IF(H148&lt;'PlayerGrades+'!$AC$21,"F-",IF(H148&lt;'PlayerGrades+'!$AC$20,"F",IF(H148&lt;'PlayerGrades+'!$AC$19,"F+",IF(H148&lt;'PlayerGrades+'!$AC$18,"E-",IF(H148&lt;'PlayerGrades+'!$AC$17,"E",IF(H148&lt;'PlayerGrades+'!$AC$16,"E+",IF(H148&lt;'PlayerGrades+'!$AC$15,"D-",IF(H148&lt;'PlayerGrades+'!$AC$14,"D",IF(H148&lt;'PlayerGrades+'!$AC$13,"D+",IF(H148&lt;'PlayerGrades+'!$AC$12,"C-",IF(H148&lt;'PlayerGrades+'!$AC$11,"C",IF(H148&lt;'PlayerGrades+'!$AC$10,"C+",IF(H148&lt;'PlayerGrades+'!$AC$9,"B-",IF(H148&lt;'PlayerGrades+'!$AC$8,"B",IF(H148&lt;'PlayerGrades+'!$AC$7,"B+",IF(H148&lt;'PlayerGrades+'!$AC$6,"A-",IF(H148&lt;'PlayerGrades+'!$AC$5,"A",IF(H148&lt;'PlayerGrades+'!$AC$4,"A+",IF(H148&lt;'PlayerGrades+'!$AC$3,"S-",IF(H148&lt;'PlayerGrades+'!$AC$2,"S","S+"))))))))))))))))))))</f>
        <v>#DIV/0!</v>
      </c>
      <c r="J148" s="961" t="str">
        <f t="shared" si="4"/>
        <v>#DIV/0!</v>
      </c>
      <c r="K148" s="961" t="str">
        <f>IF(J148&lt;'PlayerGrades+'!$AD$21,"F-",IF(J148&lt;'PlayerGrades+'!$AD$20,"F",IF(J148&lt;'PlayerGrades+'!$AD$19,"F+",IF(J148&lt;'PlayerGrades+'!$AD$18,"E-",IF(J148&lt;'PlayerGrades+'!$AD$17,"E",IF(J148&lt;'PlayerGrades+'!$AD$16,"E+",IF(J148&lt;'PlayerGrades+'!$AD$15,"D-",IF(J148&lt;'PlayerGrades+'!$AD$14,"D",IF(J148&lt;'PlayerGrades+'!$AD$13,"D+",IF(J148&lt;'PlayerGrades+'!$AD$12,"C-",IF(J148&lt;'PlayerGrades+'!$AD$11,"C",IF(J148&lt;'PlayerGrades+'!$AD$10,"C+",IF(J148&lt;'PlayerGrades+'!$AD$9,"B-",IF(J148&lt;'PlayerGrades+'!$AD$8,"B",IF(J148&lt;'PlayerGrades+'!$AD$7,"B+",IF(J148&lt;'PlayerGrades+'!$AD$6,"A-",IF(J148&lt;'PlayerGrades+'!$AD$5,"A",IF(J148&lt;'PlayerGrades+'!$AD$4,"A+",IF(J148&lt;'PlayerGrades+'!$AD$3,"S-",IF(J148&lt;'PlayerGrades+'!$AD$2,"S","S+"))))))))))))))))))))</f>
        <v>#DIV/0!</v>
      </c>
      <c r="L148" s="1176" t="str">
        <f t="shared" si="5"/>
        <v>#DIV/0!</v>
      </c>
      <c r="M148" s="992" t="str">
        <f>IF(L148&lt;'PlayerGrades+'!$AE$21,"F-",IF(L148&lt;'PlayerGrades+'!$AE$20,"F",IF(L148&lt;'PlayerGrades+'!$AE$19,"F+",IF(L148&lt;'PlayerGrades+'!$AE$18,"E-",IF(L148&lt;'PlayerGrades+'!$AE$17,"E",IF(L148&lt;'PlayerGrades+'!$AE$16,"E+",IF(L148&lt;'PlayerGrades+'!$AE$15,"D-",IF(L148&lt;'PlayerGrades+'!$AE$14,"D",IF(L148&lt;'PlayerGrades+'!$AE$13,"D+",IF(L148&lt;'PlayerGrades+'!$AE$12,"C-",IF(L148&lt;'PlayerGrades+'!$AE$11,"C",IF(L148&lt;'PlayerGrades+'!$AE$10,"C+",IF(L148&lt;'PlayerGrades+'!$AE$9,"B-",IF(L148&lt;'PlayerGrades+'!$AE$8,"B",IF(L148&lt;'PlayerGrades+'!$AE$7,"B+",IF(L148&lt;'PlayerGrades+'!$AE$6,"A-",IF(L148&lt;'PlayerGrades+'!$AE$5,"A",IF(L148&lt;'PlayerGrades+'!$AE$4,"A+",IF(L148&lt;'PlayerGrades+'!$AE$3,"S-",IF(L148&lt;'PlayerGrades+'!$AE$2,"S","S+"))))))))))))))))))))</f>
        <v>#DIV/0!</v>
      </c>
      <c r="N148" s="961" t="str">
        <f t="shared" si="6"/>
        <v>#DIV/0!</v>
      </c>
      <c r="O148" s="961" t="str">
        <f>IF(N148&lt;'PlayerGrades+'!$AF$21,"F-",IF(N148&lt;'PlayerGrades+'!$AF$20,"F",IF(N148&lt;'PlayerGrades+'!$AF$19,"F+",IF(N148&lt;'PlayerGrades+'!$AF$18,"E-",IF(N148&lt;'PlayerGrades+'!$AF$17,"E",IF(N148&lt;'PlayerGrades+'!$AF$16,"E+",IF(N148&lt;'PlayerGrades+'!$AF$15,"D-",IF(N148&lt;'PlayerGrades+'!$AF$14,"D",IF(N148&lt;'PlayerGrades+'!$AF$13,"D+",IF(N148&lt;'PlayerGrades+'!$AF$12,"C-",IF(N148&lt;'PlayerGrades+'!$AF$11,"C",IF(N148&lt;'PlayerGrades+'!$AF$10,"C+",IF(N148&lt;'PlayerGrades+'!$AF$9,"B-",IF(N148&lt;'PlayerGrades+'!$AF$8,"B",IF(N148&lt;'PlayerGrades+'!$AF$7,"B+",IF(N148&lt;'PlayerGrades+'!$AF$6,"A-",IF(N148&lt;'PlayerGrades+'!$AF$5,"A",IF(N148&lt;'PlayerGrades+'!$AF$4,"A+",IF(N148&lt;'PlayerGrades+'!$AF$3,"S-",IF(N148&lt;'PlayerGrades+'!$AF$2,"S","S+"))))))))))))))))))))</f>
        <v>#DIV/0!</v>
      </c>
      <c r="P148" s="961" t="str">
        <f t="shared" si="7"/>
        <v>#DIV/0!</v>
      </c>
      <c r="Q148" s="961" t="str">
        <f>IF(P148&lt;'PlayerGrades+'!$AG$21,"F-",IF(P148&lt;'PlayerGrades+'!$AG$20,"F",IF(P148&lt;'PlayerGrades+'!$AG$19,"F+",IF(P148&lt;'PlayerGrades+'!$AG$18,"E-",IF(P148&lt;'PlayerGrades+'!$AG$17,"E",IF(P148&lt;'PlayerGrades+'!$AG$16,"E+",IF(P148&lt;'PlayerGrades+'!$AG$15,"D-",IF(P148&lt;'PlayerGrades+'!$AG$14,"D",IF(P148&lt;'PlayerGrades+'!$AG$13,"D+",IF(P148&lt;'PlayerGrades+'!$AG$12,"C-",IF(P148&lt;'PlayerGrades+'!$AG$11,"C",IF(P148&lt;'PlayerGrades+'!$AG$10,"C+",IF(P148&lt;'PlayerGrades+'!$AG$9,"B-",IF(P148&lt;'PlayerGrades+'!$AG$8,"B",IF(P148&lt;'PlayerGrades+'!$AG$7,"B+",IF(P148&lt;'PlayerGrades+'!$AG$6,"A-",IF(P148&lt;'PlayerGrades+'!$AG$5,"A",IF(P148&lt;'PlayerGrades+'!$AG$4,"A+",IF(P148&lt;'PlayerGrades+'!$AG$3,"S-",IF(P148&lt;'PlayerGrades+'!$AG$2,"S","S+"))))))))))))))))))))</f>
        <v>#DIV/0!</v>
      </c>
      <c r="R148" s="961" t="str">
        <f t="shared" si="8"/>
        <v>#DIV/0!</v>
      </c>
      <c r="S148" s="961" t="str">
        <f>IF(R148&lt;'PlayerGrades+'!$AH$21,"F-",IF(R148&lt;'PlayerGrades+'!$AH$20,"F",IF(R148&lt;'PlayerGrades+'!$AH$19,"F+",IF(R148&lt;'PlayerGrades+'!$AH$18,"E-",IF(R148&lt;'PlayerGrades+'!$AH$17,"E",IF(R148&lt;'PlayerGrades+'!$AH$16,"E+",IF(R148&lt;'PlayerGrades+'!$AH$15,"D-",IF(R148&lt;'PlayerGrades+'!$AH$14,"D",IF(R148&lt;'PlayerGrades+'!$AH$13,"D+",IF(R148&lt;'PlayerGrades+'!$AH$12,"C-",IF(R148&lt;'PlayerGrades+'!$AH$11,"C",IF(R148&lt;'PlayerGrades+'!$AH$10,"C+",IF(R148&lt;'PlayerGrades+'!$AH$9,"B-",IF(R148&lt;'PlayerGrades+'!$AH$8,"B",IF(R148&lt;'PlayerGrades+'!$AH$7,"B+",IF(R148&lt;'PlayerGrades+'!$AH$6,"A-",IF(R148&lt;'PlayerGrades+'!$AH$5,"A",IF(R148&lt;'PlayerGrades+'!$AH$4,"A+",IF(R148&lt;'PlayerGrades+'!$AH$3,"S-",IF(R148&lt;'PlayerGrades+'!$AH$2,"S","S+"))))))))))))))))))))</f>
        <v>#DIV/0!</v>
      </c>
      <c r="T148" s="961">
        <f t="shared" si="9"/>
        <v>0</v>
      </c>
      <c r="U148" s="961" t="str">
        <f>IF(T148&lt;'PlayerGrades+'!$AI$21,"F-",IF(T148&lt;'PlayerGrades+'!$AI$20,"F",IF(T148&lt;'PlayerGrades+'!$AI$19,"F+",IF(T148&lt;'PlayerGrades+'!$AI$18,"E-",IF(T148&lt;'PlayerGrades+'!$AI$17,"E",IF(T148&lt;'PlayerGrades+'!$AI$16,"E+",IF(T148&lt;'PlayerGrades+'!$AI$15,"D-",IF(T148&lt;'PlayerGrades+'!$AI$14,"D",IF(T148&lt;'PlayerGrades+'!$AI$13,"D+",IF(T148&lt;'PlayerGrades+'!$AI$12,"C-",IF(T148&lt;'PlayerGrades+'!$AI$11,"C",IF(T148&lt;'PlayerGrades+'!$AI$10,"C+",IF(T148&lt;'PlayerGrades+'!$AI$9,"B-",IF(T148&lt;'PlayerGrades+'!$AI$8,"B",IF(T148&lt;'PlayerGrades+'!$AI$7,"B+",IF(T148&lt;'PlayerGrades+'!$AI$6,"A-",IF(T148&lt;'PlayerGrades+'!$AI$5,"A",IF(T148&lt;'PlayerGrades+'!$AI$4,"A+",IF(T148&lt;'PlayerGrades+'!$AI$3,"S-",IF(T148&lt;'PlayerGrades+'!$AI$2,"S","S+"))))))))))))))))))))</f>
        <v>F-</v>
      </c>
      <c r="Z148" s="1383"/>
      <c r="AA148" s="1383"/>
      <c r="AB148" s="1383"/>
      <c r="AC148" s="1384"/>
      <c r="AD148" s="1383"/>
      <c r="AE148" s="1383"/>
      <c r="AF148" s="1383"/>
      <c r="AG148" s="1383"/>
      <c r="AH148" s="1383"/>
      <c r="AI148" s="1383"/>
      <c r="AJ148" s="1383"/>
      <c r="AK148" s="1383"/>
      <c r="AL148" s="1383"/>
      <c r="AM148" s="1383"/>
      <c r="AN148" s="1383"/>
      <c r="AO148" s="1383"/>
      <c r="AP148" s="1383"/>
      <c r="AQ148" s="1383"/>
      <c r="AR148" s="1383"/>
      <c r="AS148" s="1383"/>
      <c r="AT148" s="1383"/>
      <c r="AU148" s="1383"/>
      <c r="AV148" s="1383"/>
      <c r="AW148" s="1383"/>
      <c r="AX148" s="1383"/>
      <c r="AY148" s="1383"/>
      <c r="AZ148" s="1383"/>
    </row>
    <row r="149">
      <c r="A149" s="1408"/>
      <c r="B149" s="611" t="str">
        <f>IF(C149&lt;'PlayerGrades+'!$Y$44,"F-",IF(C149&lt;'PlayerGrades+'!$Y$43,"F",IF(C149&lt;'PlayerGrades+'!$Y$42,"F+",IF(C149&lt;'PlayerGrades+'!$Y$41,"E-",IF(C149&lt;'PlayerGrades+'!$Y$40,"E",IF(C149&lt;'PlayerGrades+'!$Y$39,"E+",IF(C149&lt;'PlayerGrades+'!$Y$38,"D-",IF(C149&lt;'PlayerGrades+'!$Y$37,"D",IF(C149&lt;'PlayerGrades+'!$Y$36,"D+",IF(C149&lt;'PlayerGrades+'!$Y$35,"C-",IF(C149&lt;'PlayerGrades+'!$Y$34,"C",IF(C149&lt;'PlayerGrades+'!$Y$33,"C+",IF(C149&lt;'PlayerGrades+'!$Y$32,"B-",IF(C149&lt;'PlayerGrades+'!$Y$31,"B",IF(C149&lt;'PlayerGrades+'!$Y$30,"B+",IF(C149&lt;'PlayerGrades+'!$Y$29,"A-",IF(C149&lt;'PlayerGrades+'!$Y$28,"A",IF(C149&lt;'PlayerGrades+'!$Y$27,"A+",IF(C149&lt;'PlayerGrades+'!$Y$26,"S-",IF(C149&lt;'PlayerGrades+'!$Y$25,"S","S+"))))))))))))))))))))</f>
        <v>#DIV/0!</v>
      </c>
      <c r="C149" s="1378" t="str">
        <f>('PlayerGrades+'!$Y$47*(VLOOKUP(E149, 'PlayerGrades+'!$X$3:$Y$23, 2, FALSE)))+('PlayerGrades+'!$Y$48*(VLOOKUP(G149, 'PlayerGrades+'!$X$3:$Y$23, 2, FALSE)))+('PlayerGrades+'!$Y$49*(VLOOKUP(I149, 'PlayerGrades+'!$X$3:$Y$23, 2, FALSE)))+('PlayerGrades+'!$Y$50*(VLOOKUP(K149, 'PlayerGrades+'!$X$3:$Y$23, 2, FALSE)))+('PlayerGrades+'!$Y$51*(VLOOKUP(M149, 'PlayerGrades+'!$X$3:$Y$23, 2, FALSE)))+('PlayerGrades+'!$Y$52*(VLOOKUP(O149, 'PlayerGrades+'!$X$3:$Y$23, 2, FALSE)))+('PlayerGrades+'!$Y$53*(VLOOKUP(Q149, 'PlayerGrades+'!$X$3:$Y$23, 2, FALSE)))+('PlayerGrades+'!$Y$54*(VLOOKUP(S149, 'PlayerGrades+'!$X$3:$Y$23, 2, FALSE)))+('PlayerGrades+'!$Y$55*(VLOOKUP(U149, 'PlayerGrades+'!$X$3:$Y$23, 2, FALSE)))</f>
        <v>#DIV/0!</v>
      </c>
      <c r="D149" s="961" t="str">
        <f t="shared" si="1"/>
        <v>#DIV/0!</v>
      </c>
      <c r="E149" s="961" t="str">
        <f>IF(D149&lt;'PlayerGrades+'!$AA$21,"F-",IF(D149&lt;'PlayerGrades+'!$AA$20,"F",IF(D149&lt;'PlayerGrades+'!$AA$19,"F+",IF(D149&lt;'PlayerGrades+'!$AA$18,"E-",IF(D149&lt;'PlayerGrades+'!$AA$17,"E",IF(D149&lt;'PlayerGrades+'!$AA$16,"E+",IF(D149&lt;'PlayerGrades+'!$AA$15,"D-",IF(D149&lt;'PlayerGrades+'!$AA$14,"D",IF(D149&lt;'PlayerGrades+'!$AA$13,"D+",IF(D149&lt;'PlayerGrades+'!$AA$12,"C-",IF(D149&lt;'PlayerGrades+'!$AA$11,"C",IF(D149&lt;'PlayerGrades+'!$AA$10,"C+",IF(D149&lt;'PlayerGrades+'!$AA$9,"B-",IF(D149&lt;'PlayerGrades+'!$AA$8,"B",IF(D149&lt;'PlayerGrades+'!$AA$7,"B+",IF(D149&lt;'PlayerGrades+'!$AA$6,"A-",IF(D149&lt;'PlayerGrades+'!$AA$5,"A",IF(D149&lt;'PlayerGrades+'!$AA$4,"A+",IF(D149&lt;'PlayerGrades+'!$AA$3,"S-",IF(D149&lt;'PlayerGrades+'!$AA$2,"S","S+"))))))))))))))))))))</f>
        <v>#DIV/0!</v>
      </c>
      <c r="F149" s="961" t="str">
        <f t="shared" si="2"/>
        <v>#DIV/0!</v>
      </c>
      <c r="G149" s="961" t="str">
        <f>IF(F149&lt;'PlayerGrades+'!$AB$21,"F-",IF(F149&lt;'PlayerGrades+'!$AB$20,"F",IF(F149&lt;'PlayerGrades+'!$AB$19,"F+",IF(F149&lt;'PlayerGrades+'!$AB$18,"E-",IF(F149&lt;'PlayerGrades+'!$AB$17,"E",IF(F149&lt;'PlayerGrades+'!$AB$16,"E+",IF(F149&lt;'PlayerGrades+'!$AB$15,"D-",IF(F149&lt;'PlayerGrades+'!$AB$14,"D",IF(F149&lt;'PlayerGrades+'!$AB$13,"D+",IF(F149&lt;'PlayerGrades+'!$AB$12,"C-",IF(F149&lt;'PlayerGrades+'!$AB$11,"C",IF(F149&lt;'PlayerGrades+'!$AB$10,"C+",IF(F149&lt;'PlayerGrades+'!$AB$9,"B-",IF(F149&lt;'PlayerGrades+'!$AB$8,"B",IF(F149&lt;'PlayerGrades+'!$AB$7,"B+",IF(F149&lt;'PlayerGrades+'!$AB$6,"A-",IF(F149&lt;'PlayerGrades+'!$AB$5,"A",IF(F149&lt;'PlayerGrades+'!$AB$4,"A+",IF(F149&lt;'PlayerGrades+'!$AB$3,"S-",IF(F149&lt;'PlayerGrades+'!$AB$2,"S","S+"))))))))))))))))))))</f>
        <v>#DIV/0!</v>
      </c>
      <c r="H149" s="961" t="str">
        <f t="shared" si="3"/>
        <v>#DIV/0!</v>
      </c>
      <c r="I149" s="961" t="str">
        <f>IF(H149&lt;'PlayerGrades+'!$AC$21,"F-",IF(H149&lt;'PlayerGrades+'!$AC$20,"F",IF(H149&lt;'PlayerGrades+'!$AC$19,"F+",IF(H149&lt;'PlayerGrades+'!$AC$18,"E-",IF(H149&lt;'PlayerGrades+'!$AC$17,"E",IF(H149&lt;'PlayerGrades+'!$AC$16,"E+",IF(H149&lt;'PlayerGrades+'!$AC$15,"D-",IF(H149&lt;'PlayerGrades+'!$AC$14,"D",IF(H149&lt;'PlayerGrades+'!$AC$13,"D+",IF(H149&lt;'PlayerGrades+'!$AC$12,"C-",IF(H149&lt;'PlayerGrades+'!$AC$11,"C",IF(H149&lt;'PlayerGrades+'!$AC$10,"C+",IF(H149&lt;'PlayerGrades+'!$AC$9,"B-",IF(H149&lt;'PlayerGrades+'!$AC$8,"B",IF(H149&lt;'PlayerGrades+'!$AC$7,"B+",IF(H149&lt;'PlayerGrades+'!$AC$6,"A-",IF(H149&lt;'PlayerGrades+'!$AC$5,"A",IF(H149&lt;'PlayerGrades+'!$AC$4,"A+",IF(H149&lt;'PlayerGrades+'!$AC$3,"S-",IF(H149&lt;'PlayerGrades+'!$AC$2,"S","S+"))))))))))))))))))))</f>
        <v>#DIV/0!</v>
      </c>
      <c r="J149" s="961" t="str">
        <f t="shared" si="4"/>
        <v>#DIV/0!</v>
      </c>
      <c r="K149" s="961" t="str">
        <f>IF(J149&lt;'PlayerGrades+'!$AD$21,"F-",IF(J149&lt;'PlayerGrades+'!$AD$20,"F",IF(J149&lt;'PlayerGrades+'!$AD$19,"F+",IF(J149&lt;'PlayerGrades+'!$AD$18,"E-",IF(J149&lt;'PlayerGrades+'!$AD$17,"E",IF(J149&lt;'PlayerGrades+'!$AD$16,"E+",IF(J149&lt;'PlayerGrades+'!$AD$15,"D-",IF(J149&lt;'PlayerGrades+'!$AD$14,"D",IF(J149&lt;'PlayerGrades+'!$AD$13,"D+",IF(J149&lt;'PlayerGrades+'!$AD$12,"C-",IF(J149&lt;'PlayerGrades+'!$AD$11,"C",IF(J149&lt;'PlayerGrades+'!$AD$10,"C+",IF(J149&lt;'PlayerGrades+'!$AD$9,"B-",IF(J149&lt;'PlayerGrades+'!$AD$8,"B",IF(J149&lt;'PlayerGrades+'!$AD$7,"B+",IF(J149&lt;'PlayerGrades+'!$AD$6,"A-",IF(J149&lt;'PlayerGrades+'!$AD$5,"A",IF(J149&lt;'PlayerGrades+'!$AD$4,"A+",IF(J149&lt;'PlayerGrades+'!$AD$3,"S-",IF(J149&lt;'PlayerGrades+'!$AD$2,"S","S+"))))))))))))))))))))</f>
        <v>#DIV/0!</v>
      </c>
      <c r="L149" s="1176" t="str">
        <f t="shared" si="5"/>
        <v>#DIV/0!</v>
      </c>
      <c r="M149" s="992" t="str">
        <f>IF(L149&lt;'PlayerGrades+'!$AE$21,"F-",IF(L149&lt;'PlayerGrades+'!$AE$20,"F",IF(L149&lt;'PlayerGrades+'!$AE$19,"F+",IF(L149&lt;'PlayerGrades+'!$AE$18,"E-",IF(L149&lt;'PlayerGrades+'!$AE$17,"E",IF(L149&lt;'PlayerGrades+'!$AE$16,"E+",IF(L149&lt;'PlayerGrades+'!$AE$15,"D-",IF(L149&lt;'PlayerGrades+'!$AE$14,"D",IF(L149&lt;'PlayerGrades+'!$AE$13,"D+",IF(L149&lt;'PlayerGrades+'!$AE$12,"C-",IF(L149&lt;'PlayerGrades+'!$AE$11,"C",IF(L149&lt;'PlayerGrades+'!$AE$10,"C+",IF(L149&lt;'PlayerGrades+'!$AE$9,"B-",IF(L149&lt;'PlayerGrades+'!$AE$8,"B",IF(L149&lt;'PlayerGrades+'!$AE$7,"B+",IF(L149&lt;'PlayerGrades+'!$AE$6,"A-",IF(L149&lt;'PlayerGrades+'!$AE$5,"A",IF(L149&lt;'PlayerGrades+'!$AE$4,"A+",IF(L149&lt;'PlayerGrades+'!$AE$3,"S-",IF(L149&lt;'PlayerGrades+'!$AE$2,"S","S+"))))))))))))))))))))</f>
        <v>#DIV/0!</v>
      </c>
      <c r="N149" s="961" t="str">
        <f t="shared" si="6"/>
        <v>#DIV/0!</v>
      </c>
      <c r="O149" s="961" t="str">
        <f>IF(N149&lt;'PlayerGrades+'!$AF$21,"F-",IF(N149&lt;'PlayerGrades+'!$AF$20,"F",IF(N149&lt;'PlayerGrades+'!$AF$19,"F+",IF(N149&lt;'PlayerGrades+'!$AF$18,"E-",IF(N149&lt;'PlayerGrades+'!$AF$17,"E",IF(N149&lt;'PlayerGrades+'!$AF$16,"E+",IF(N149&lt;'PlayerGrades+'!$AF$15,"D-",IF(N149&lt;'PlayerGrades+'!$AF$14,"D",IF(N149&lt;'PlayerGrades+'!$AF$13,"D+",IF(N149&lt;'PlayerGrades+'!$AF$12,"C-",IF(N149&lt;'PlayerGrades+'!$AF$11,"C",IF(N149&lt;'PlayerGrades+'!$AF$10,"C+",IF(N149&lt;'PlayerGrades+'!$AF$9,"B-",IF(N149&lt;'PlayerGrades+'!$AF$8,"B",IF(N149&lt;'PlayerGrades+'!$AF$7,"B+",IF(N149&lt;'PlayerGrades+'!$AF$6,"A-",IF(N149&lt;'PlayerGrades+'!$AF$5,"A",IF(N149&lt;'PlayerGrades+'!$AF$4,"A+",IF(N149&lt;'PlayerGrades+'!$AF$3,"S-",IF(N149&lt;'PlayerGrades+'!$AF$2,"S","S+"))))))))))))))))))))</f>
        <v>#DIV/0!</v>
      </c>
      <c r="P149" s="961" t="str">
        <f t="shared" si="7"/>
        <v>#DIV/0!</v>
      </c>
      <c r="Q149" s="961" t="str">
        <f>IF(P149&lt;'PlayerGrades+'!$AG$21,"F-",IF(P149&lt;'PlayerGrades+'!$AG$20,"F",IF(P149&lt;'PlayerGrades+'!$AG$19,"F+",IF(P149&lt;'PlayerGrades+'!$AG$18,"E-",IF(P149&lt;'PlayerGrades+'!$AG$17,"E",IF(P149&lt;'PlayerGrades+'!$AG$16,"E+",IF(P149&lt;'PlayerGrades+'!$AG$15,"D-",IF(P149&lt;'PlayerGrades+'!$AG$14,"D",IF(P149&lt;'PlayerGrades+'!$AG$13,"D+",IF(P149&lt;'PlayerGrades+'!$AG$12,"C-",IF(P149&lt;'PlayerGrades+'!$AG$11,"C",IF(P149&lt;'PlayerGrades+'!$AG$10,"C+",IF(P149&lt;'PlayerGrades+'!$AG$9,"B-",IF(P149&lt;'PlayerGrades+'!$AG$8,"B",IF(P149&lt;'PlayerGrades+'!$AG$7,"B+",IF(P149&lt;'PlayerGrades+'!$AG$6,"A-",IF(P149&lt;'PlayerGrades+'!$AG$5,"A",IF(P149&lt;'PlayerGrades+'!$AG$4,"A+",IF(P149&lt;'PlayerGrades+'!$AG$3,"S-",IF(P149&lt;'PlayerGrades+'!$AG$2,"S","S+"))))))))))))))))))))</f>
        <v>#DIV/0!</v>
      </c>
      <c r="R149" s="961" t="str">
        <f t="shared" si="8"/>
        <v>#DIV/0!</v>
      </c>
      <c r="S149" s="961" t="str">
        <f>IF(R149&lt;'PlayerGrades+'!$AH$21,"F-",IF(R149&lt;'PlayerGrades+'!$AH$20,"F",IF(R149&lt;'PlayerGrades+'!$AH$19,"F+",IF(R149&lt;'PlayerGrades+'!$AH$18,"E-",IF(R149&lt;'PlayerGrades+'!$AH$17,"E",IF(R149&lt;'PlayerGrades+'!$AH$16,"E+",IF(R149&lt;'PlayerGrades+'!$AH$15,"D-",IF(R149&lt;'PlayerGrades+'!$AH$14,"D",IF(R149&lt;'PlayerGrades+'!$AH$13,"D+",IF(R149&lt;'PlayerGrades+'!$AH$12,"C-",IF(R149&lt;'PlayerGrades+'!$AH$11,"C",IF(R149&lt;'PlayerGrades+'!$AH$10,"C+",IF(R149&lt;'PlayerGrades+'!$AH$9,"B-",IF(R149&lt;'PlayerGrades+'!$AH$8,"B",IF(R149&lt;'PlayerGrades+'!$AH$7,"B+",IF(R149&lt;'PlayerGrades+'!$AH$6,"A-",IF(R149&lt;'PlayerGrades+'!$AH$5,"A",IF(R149&lt;'PlayerGrades+'!$AH$4,"A+",IF(R149&lt;'PlayerGrades+'!$AH$3,"S-",IF(R149&lt;'PlayerGrades+'!$AH$2,"S","S+"))))))))))))))))))))</f>
        <v>#DIV/0!</v>
      </c>
      <c r="T149" s="961">
        <f t="shared" si="9"/>
        <v>0</v>
      </c>
      <c r="U149" s="961" t="str">
        <f>IF(T149&lt;'PlayerGrades+'!$AI$21,"F-",IF(T149&lt;'PlayerGrades+'!$AI$20,"F",IF(T149&lt;'PlayerGrades+'!$AI$19,"F+",IF(T149&lt;'PlayerGrades+'!$AI$18,"E-",IF(T149&lt;'PlayerGrades+'!$AI$17,"E",IF(T149&lt;'PlayerGrades+'!$AI$16,"E+",IF(T149&lt;'PlayerGrades+'!$AI$15,"D-",IF(T149&lt;'PlayerGrades+'!$AI$14,"D",IF(T149&lt;'PlayerGrades+'!$AI$13,"D+",IF(T149&lt;'PlayerGrades+'!$AI$12,"C-",IF(T149&lt;'PlayerGrades+'!$AI$11,"C",IF(T149&lt;'PlayerGrades+'!$AI$10,"C+",IF(T149&lt;'PlayerGrades+'!$AI$9,"B-",IF(T149&lt;'PlayerGrades+'!$AI$8,"B",IF(T149&lt;'PlayerGrades+'!$AI$7,"B+",IF(T149&lt;'PlayerGrades+'!$AI$6,"A-",IF(T149&lt;'PlayerGrades+'!$AI$5,"A",IF(T149&lt;'PlayerGrades+'!$AI$4,"A+",IF(T149&lt;'PlayerGrades+'!$AI$3,"S-",IF(T149&lt;'PlayerGrades+'!$AI$2,"S","S+"))))))))))))))))))))</f>
        <v>F-</v>
      </c>
      <c r="Z149" s="1383"/>
      <c r="AA149" s="1383"/>
      <c r="AB149" s="1383"/>
      <c r="AC149" s="1384"/>
      <c r="AD149" s="1383"/>
      <c r="AE149" s="1383"/>
      <c r="AF149" s="1383"/>
      <c r="AG149" s="1383"/>
      <c r="AH149" s="1383"/>
      <c r="AI149" s="1383"/>
      <c r="AJ149" s="1383"/>
      <c r="AK149" s="1383"/>
      <c r="AL149" s="1383"/>
      <c r="AM149" s="1383"/>
      <c r="AN149" s="1383"/>
      <c r="AO149" s="1383"/>
      <c r="AP149" s="1383"/>
      <c r="AQ149" s="1383"/>
      <c r="AR149" s="1383"/>
      <c r="AS149" s="1383"/>
      <c r="AT149" s="1383"/>
      <c r="AU149" s="1383"/>
      <c r="AV149" s="1383"/>
      <c r="AW149" s="1383"/>
      <c r="AX149" s="1383"/>
      <c r="AY149" s="1383"/>
      <c r="AZ149" s="1383"/>
    </row>
    <row r="150">
      <c r="A150" s="1408"/>
      <c r="B150" s="611" t="str">
        <f>IF(C150&lt;'PlayerGrades+'!$Y$44,"F-",IF(C150&lt;'PlayerGrades+'!$Y$43,"F",IF(C150&lt;'PlayerGrades+'!$Y$42,"F+",IF(C150&lt;'PlayerGrades+'!$Y$41,"E-",IF(C150&lt;'PlayerGrades+'!$Y$40,"E",IF(C150&lt;'PlayerGrades+'!$Y$39,"E+",IF(C150&lt;'PlayerGrades+'!$Y$38,"D-",IF(C150&lt;'PlayerGrades+'!$Y$37,"D",IF(C150&lt;'PlayerGrades+'!$Y$36,"D+",IF(C150&lt;'PlayerGrades+'!$Y$35,"C-",IF(C150&lt;'PlayerGrades+'!$Y$34,"C",IF(C150&lt;'PlayerGrades+'!$Y$33,"C+",IF(C150&lt;'PlayerGrades+'!$Y$32,"B-",IF(C150&lt;'PlayerGrades+'!$Y$31,"B",IF(C150&lt;'PlayerGrades+'!$Y$30,"B+",IF(C150&lt;'PlayerGrades+'!$Y$29,"A-",IF(C150&lt;'PlayerGrades+'!$Y$28,"A",IF(C150&lt;'PlayerGrades+'!$Y$27,"A+",IF(C150&lt;'PlayerGrades+'!$Y$26,"S-",IF(C150&lt;'PlayerGrades+'!$Y$25,"S","S+"))))))))))))))))))))</f>
        <v>#DIV/0!</v>
      </c>
      <c r="C150" s="1378" t="str">
        <f>('PlayerGrades+'!$Y$47*(VLOOKUP(E150, 'PlayerGrades+'!$X$3:$Y$23, 2, FALSE)))+('PlayerGrades+'!$Y$48*(VLOOKUP(G150, 'PlayerGrades+'!$X$3:$Y$23, 2, FALSE)))+('PlayerGrades+'!$Y$49*(VLOOKUP(I150, 'PlayerGrades+'!$X$3:$Y$23, 2, FALSE)))+('PlayerGrades+'!$Y$50*(VLOOKUP(K150, 'PlayerGrades+'!$X$3:$Y$23, 2, FALSE)))+('PlayerGrades+'!$Y$51*(VLOOKUP(M150, 'PlayerGrades+'!$X$3:$Y$23, 2, FALSE)))+('PlayerGrades+'!$Y$52*(VLOOKUP(O150, 'PlayerGrades+'!$X$3:$Y$23, 2, FALSE)))+('PlayerGrades+'!$Y$53*(VLOOKUP(Q150, 'PlayerGrades+'!$X$3:$Y$23, 2, FALSE)))+('PlayerGrades+'!$Y$54*(VLOOKUP(S150, 'PlayerGrades+'!$X$3:$Y$23, 2, FALSE)))+('PlayerGrades+'!$Y$55*(VLOOKUP(U150, 'PlayerGrades+'!$X$3:$Y$23, 2, FALSE)))</f>
        <v>#DIV/0!</v>
      </c>
      <c r="D150" s="961" t="str">
        <f t="shared" si="1"/>
        <v>#DIV/0!</v>
      </c>
      <c r="E150" s="961" t="str">
        <f>IF(D150&lt;'PlayerGrades+'!$AA$21,"F-",IF(D150&lt;'PlayerGrades+'!$AA$20,"F",IF(D150&lt;'PlayerGrades+'!$AA$19,"F+",IF(D150&lt;'PlayerGrades+'!$AA$18,"E-",IF(D150&lt;'PlayerGrades+'!$AA$17,"E",IF(D150&lt;'PlayerGrades+'!$AA$16,"E+",IF(D150&lt;'PlayerGrades+'!$AA$15,"D-",IF(D150&lt;'PlayerGrades+'!$AA$14,"D",IF(D150&lt;'PlayerGrades+'!$AA$13,"D+",IF(D150&lt;'PlayerGrades+'!$AA$12,"C-",IF(D150&lt;'PlayerGrades+'!$AA$11,"C",IF(D150&lt;'PlayerGrades+'!$AA$10,"C+",IF(D150&lt;'PlayerGrades+'!$AA$9,"B-",IF(D150&lt;'PlayerGrades+'!$AA$8,"B",IF(D150&lt;'PlayerGrades+'!$AA$7,"B+",IF(D150&lt;'PlayerGrades+'!$AA$6,"A-",IF(D150&lt;'PlayerGrades+'!$AA$5,"A",IF(D150&lt;'PlayerGrades+'!$AA$4,"A+",IF(D150&lt;'PlayerGrades+'!$AA$3,"S-",IF(D150&lt;'PlayerGrades+'!$AA$2,"S","S+"))))))))))))))))))))</f>
        <v>#DIV/0!</v>
      </c>
      <c r="F150" s="961" t="str">
        <f t="shared" si="2"/>
        <v>#DIV/0!</v>
      </c>
      <c r="G150" s="961" t="str">
        <f>IF(F150&lt;'PlayerGrades+'!$AB$21,"F-",IF(F150&lt;'PlayerGrades+'!$AB$20,"F",IF(F150&lt;'PlayerGrades+'!$AB$19,"F+",IF(F150&lt;'PlayerGrades+'!$AB$18,"E-",IF(F150&lt;'PlayerGrades+'!$AB$17,"E",IF(F150&lt;'PlayerGrades+'!$AB$16,"E+",IF(F150&lt;'PlayerGrades+'!$AB$15,"D-",IF(F150&lt;'PlayerGrades+'!$AB$14,"D",IF(F150&lt;'PlayerGrades+'!$AB$13,"D+",IF(F150&lt;'PlayerGrades+'!$AB$12,"C-",IF(F150&lt;'PlayerGrades+'!$AB$11,"C",IF(F150&lt;'PlayerGrades+'!$AB$10,"C+",IF(F150&lt;'PlayerGrades+'!$AB$9,"B-",IF(F150&lt;'PlayerGrades+'!$AB$8,"B",IF(F150&lt;'PlayerGrades+'!$AB$7,"B+",IF(F150&lt;'PlayerGrades+'!$AB$6,"A-",IF(F150&lt;'PlayerGrades+'!$AB$5,"A",IF(F150&lt;'PlayerGrades+'!$AB$4,"A+",IF(F150&lt;'PlayerGrades+'!$AB$3,"S-",IF(F150&lt;'PlayerGrades+'!$AB$2,"S","S+"))))))))))))))))))))</f>
        <v>#DIV/0!</v>
      </c>
      <c r="H150" s="961" t="str">
        <f t="shared" si="3"/>
        <v>#DIV/0!</v>
      </c>
      <c r="I150" s="961" t="str">
        <f>IF(H150&lt;'PlayerGrades+'!$AC$21,"F-",IF(H150&lt;'PlayerGrades+'!$AC$20,"F",IF(H150&lt;'PlayerGrades+'!$AC$19,"F+",IF(H150&lt;'PlayerGrades+'!$AC$18,"E-",IF(H150&lt;'PlayerGrades+'!$AC$17,"E",IF(H150&lt;'PlayerGrades+'!$AC$16,"E+",IF(H150&lt;'PlayerGrades+'!$AC$15,"D-",IF(H150&lt;'PlayerGrades+'!$AC$14,"D",IF(H150&lt;'PlayerGrades+'!$AC$13,"D+",IF(H150&lt;'PlayerGrades+'!$AC$12,"C-",IF(H150&lt;'PlayerGrades+'!$AC$11,"C",IF(H150&lt;'PlayerGrades+'!$AC$10,"C+",IF(H150&lt;'PlayerGrades+'!$AC$9,"B-",IF(H150&lt;'PlayerGrades+'!$AC$8,"B",IF(H150&lt;'PlayerGrades+'!$AC$7,"B+",IF(H150&lt;'PlayerGrades+'!$AC$6,"A-",IF(H150&lt;'PlayerGrades+'!$AC$5,"A",IF(H150&lt;'PlayerGrades+'!$AC$4,"A+",IF(H150&lt;'PlayerGrades+'!$AC$3,"S-",IF(H150&lt;'PlayerGrades+'!$AC$2,"S","S+"))))))))))))))))))))</f>
        <v>#DIV/0!</v>
      </c>
      <c r="J150" s="961" t="str">
        <f t="shared" si="4"/>
        <v>#DIV/0!</v>
      </c>
      <c r="K150" s="961" t="str">
        <f>IF(J150&lt;'PlayerGrades+'!$AD$21,"F-",IF(J150&lt;'PlayerGrades+'!$AD$20,"F",IF(J150&lt;'PlayerGrades+'!$AD$19,"F+",IF(J150&lt;'PlayerGrades+'!$AD$18,"E-",IF(J150&lt;'PlayerGrades+'!$AD$17,"E",IF(J150&lt;'PlayerGrades+'!$AD$16,"E+",IF(J150&lt;'PlayerGrades+'!$AD$15,"D-",IF(J150&lt;'PlayerGrades+'!$AD$14,"D",IF(J150&lt;'PlayerGrades+'!$AD$13,"D+",IF(J150&lt;'PlayerGrades+'!$AD$12,"C-",IF(J150&lt;'PlayerGrades+'!$AD$11,"C",IF(J150&lt;'PlayerGrades+'!$AD$10,"C+",IF(J150&lt;'PlayerGrades+'!$AD$9,"B-",IF(J150&lt;'PlayerGrades+'!$AD$8,"B",IF(J150&lt;'PlayerGrades+'!$AD$7,"B+",IF(J150&lt;'PlayerGrades+'!$AD$6,"A-",IF(J150&lt;'PlayerGrades+'!$AD$5,"A",IF(J150&lt;'PlayerGrades+'!$AD$4,"A+",IF(J150&lt;'PlayerGrades+'!$AD$3,"S-",IF(J150&lt;'PlayerGrades+'!$AD$2,"S","S+"))))))))))))))))))))</f>
        <v>#DIV/0!</v>
      </c>
      <c r="L150" s="1176" t="str">
        <f t="shared" si="5"/>
        <v>#DIV/0!</v>
      </c>
      <c r="M150" s="992" t="str">
        <f>IF(L150&lt;'PlayerGrades+'!$AE$21,"F-",IF(L150&lt;'PlayerGrades+'!$AE$20,"F",IF(L150&lt;'PlayerGrades+'!$AE$19,"F+",IF(L150&lt;'PlayerGrades+'!$AE$18,"E-",IF(L150&lt;'PlayerGrades+'!$AE$17,"E",IF(L150&lt;'PlayerGrades+'!$AE$16,"E+",IF(L150&lt;'PlayerGrades+'!$AE$15,"D-",IF(L150&lt;'PlayerGrades+'!$AE$14,"D",IF(L150&lt;'PlayerGrades+'!$AE$13,"D+",IF(L150&lt;'PlayerGrades+'!$AE$12,"C-",IF(L150&lt;'PlayerGrades+'!$AE$11,"C",IF(L150&lt;'PlayerGrades+'!$AE$10,"C+",IF(L150&lt;'PlayerGrades+'!$AE$9,"B-",IF(L150&lt;'PlayerGrades+'!$AE$8,"B",IF(L150&lt;'PlayerGrades+'!$AE$7,"B+",IF(L150&lt;'PlayerGrades+'!$AE$6,"A-",IF(L150&lt;'PlayerGrades+'!$AE$5,"A",IF(L150&lt;'PlayerGrades+'!$AE$4,"A+",IF(L150&lt;'PlayerGrades+'!$AE$3,"S-",IF(L150&lt;'PlayerGrades+'!$AE$2,"S","S+"))))))))))))))))))))</f>
        <v>#DIV/0!</v>
      </c>
      <c r="N150" s="961" t="str">
        <f t="shared" si="6"/>
        <v>#DIV/0!</v>
      </c>
      <c r="O150" s="961" t="str">
        <f>IF(N150&lt;'PlayerGrades+'!$AF$21,"F-",IF(N150&lt;'PlayerGrades+'!$AF$20,"F",IF(N150&lt;'PlayerGrades+'!$AF$19,"F+",IF(N150&lt;'PlayerGrades+'!$AF$18,"E-",IF(N150&lt;'PlayerGrades+'!$AF$17,"E",IF(N150&lt;'PlayerGrades+'!$AF$16,"E+",IF(N150&lt;'PlayerGrades+'!$AF$15,"D-",IF(N150&lt;'PlayerGrades+'!$AF$14,"D",IF(N150&lt;'PlayerGrades+'!$AF$13,"D+",IF(N150&lt;'PlayerGrades+'!$AF$12,"C-",IF(N150&lt;'PlayerGrades+'!$AF$11,"C",IF(N150&lt;'PlayerGrades+'!$AF$10,"C+",IF(N150&lt;'PlayerGrades+'!$AF$9,"B-",IF(N150&lt;'PlayerGrades+'!$AF$8,"B",IF(N150&lt;'PlayerGrades+'!$AF$7,"B+",IF(N150&lt;'PlayerGrades+'!$AF$6,"A-",IF(N150&lt;'PlayerGrades+'!$AF$5,"A",IF(N150&lt;'PlayerGrades+'!$AF$4,"A+",IF(N150&lt;'PlayerGrades+'!$AF$3,"S-",IF(N150&lt;'PlayerGrades+'!$AF$2,"S","S+"))))))))))))))))))))</f>
        <v>#DIV/0!</v>
      </c>
      <c r="P150" s="961" t="str">
        <f t="shared" si="7"/>
        <v>#DIV/0!</v>
      </c>
      <c r="Q150" s="961" t="str">
        <f>IF(P150&lt;'PlayerGrades+'!$AG$21,"F-",IF(P150&lt;'PlayerGrades+'!$AG$20,"F",IF(P150&lt;'PlayerGrades+'!$AG$19,"F+",IF(P150&lt;'PlayerGrades+'!$AG$18,"E-",IF(P150&lt;'PlayerGrades+'!$AG$17,"E",IF(P150&lt;'PlayerGrades+'!$AG$16,"E+",IF(P150&lt;'PlayerGrades+'!$AG$15,"D-",IF(P150&lt;'PlayerGrades+'!$AG$14,"D",IF(P150&lt;'PlayerGrades+'!$AG$13,"D+",IF(P150&lt;'PlayerGrades+'!$AG$12,"C-",IF(P150&lt;'PlayerGrades+'!$AG$11,"C",IF(P150&lt;'PlayerGrades+'!$AG$10,"C+",IF(P150&lt;'PlayerGrades+'!$AG$9,"B-",IF(P150&lt;'PlayerGrades+'!$AG$8,"B",IF(P150&lt;'PlayerGrades+'!$AG$7,"B+",IF(P150&lt;'PlayerGrades+'!$AG$6,"A-",IF(P150&lt;'PlayerGrades+'!$AG$5,"A",IF(P150&lt;'PlayerGrades+'!$AG$4,"A+",IF(P150&lt;'PlayerGrades+'!$AG$3,"S-",IF(P150&lt;'PlayerGrades+'!$AG$2,"S","S+"))))))))))))))))))))</f>
        <v>#DIV/0!</v>
      </c>
      <c r="R150" s="961" t="str">
        <f t="shared" si="8"/>
        <v>#DIV/0!</v>
      </c>
      <c r="S150" s="961" t="str">
        <f>IF(R150&lt;'PlayerGrades+'!$AH$21,"F-",IF(R150&lt;'PlayerGrades+'!$AH$20,"F",IF(R150&lt;'PlayerGrades+'!$AH$19,"F+",IF(R150&lt;'PlayerGrades+'!$AH$18,"E-",IF(R150&lt;'PlayerGrades+'!$AH$17,"E",IF(R150&lt;'PlayerGrades+'!$AH$16,"E+",IF(R150&lt;'PlayerGrades+'!$AH$15,"D-",IF(R150&lt;'PlayerGrades+'!$AH$14,"D",IF(R150&lt;'PlayerGrades+'!$AH$13,"D+",IF(R150&lt;'PlayerGrades+'!$AH$12,"C-",IF(R150&lt;'PlayerGrades+'!$AH$11,"C",IF(R150&lt;'PlayerGrades+'!$AH$10,"C+",IF(R150&lt;'PlayerGrades+'!$AH$9,"B-",IF(R150&lt;'PlayerGrades+'!$AH$8,"B",IF(R150&lt;'PlayerGrades+'!$AH$7,"B+",IF(R150&lt;'PlayerGrades+'!$AH$6,"A-",IF(R150&lt;'PlayerGrades+'!$AH$5,"A",IF(R150&lt;'PlayerGrades+'!$AH$4,"A+",IF(R150&lt;'PlayerGrades+'!$AH$3,"S-",IF(R150&lt;'PlayerGrades+'!$AH$2,"S","S+"))))))))))))))))))))</f>
        <v>#DIV/0!</v>
      </c>
      <c r="T150" s="961">
        <f t="shared" si="9"/>
        <v>0</v>
      </c>
      <c r="U150" s="961" t="str">
        <f>IF(T150&lt;'PlayerGrades+'!$AI$21,"F-",IF(T150&lt;'PlayerGrades+'!$AI$20,"F",IF(T150&lt;'PlayerGrades+'!$AI$19,"F+",IF(T150&lt;'PlayerGrades+'!$AI$18,"E-",IF(T150&lt;'PlayerGrades+'!$AI$17,"E",IF(T150&lt;'PlayerGrades+'!$AI$16,"E+",IF(T150&lt;'PlayerGrades+'!$AI$15,"D-",IF(T150&lt;'PlayerGrades+'!$AI$14,"D",IF(T150&lt;'PlayerGrades+'!$AI$13,"D+",IF(T150&lt;'PlayerGrades+'!$AI$12,"C-",IF(T150&lt;'PlayerGrades+'!$AI$11,"C",IF(T150&lt;'PlayerGrades+'!$AI$10,"C+",IF(T150&lt;'PlayerGrades+'!$AI$9,"B-",IF(T150&lt;'PlayerGrades+'!$AI$8,"B",IF(T150&lt;'PlayerGrades+'!$AI$7,"B+",IF(T150&lt;'PlayerGrades+'!$AI$6,"A-",IF(T150&lt;'PlayerGrades+'!$AI$5,"A",IF(T150&lt;'PlayerGrades+'!$AI$4,"A+",IF(T150&lt;'PlayerGrades+'!$AI$3,"S-",IF(T150&lt;'PlayerGrades+'!$AI$2,"S","S+"))))))))))))))))))))</f>
        <v>F-</v>
      </c>
      <c r="Z150" s="1383"/>
      <c r="AA150" s="1383"/>
      <c r="AB150" s="1383"/>
      <c r="AC150" s="1384"/>
      <c r="AD150" s="1383"/>
      <c r="AE150" s="1383"/>
      <c r="AF150" s="1383"/>
      <c r="AG150" s="1383"/>
      <c r="AH150" s="1383"/>
      <c r="AI150" s="1383"/>
      <c r="AJ150" s="1383"/>
      <c r="AK150" s="1383"/>
      <c r="AL150" s="1383"/>
      <c r="AM150" s="1383"/>
      <c r="AN150" s="1383"/>
      <c r="AO150" s="1383"/>
      <c r="AP150" s="1383"/>
      <c r="AQ150" s="1383"/>
      <c r="AR150" s="1383"/>
      <c r="AS150" s="1383"/>
      <c r="AT150" s="1383"/>
      <c r="AU150" s="1383"/>
      <c r="AV150" s="1383"/>
      <c r="AW150" s="1383"/>
      <c r="AX150" s="1383"/>
      <c r="AY150" s="1383"/>
      <c r="AZ150" s="1383"/>
    </row>
    <row r="151">
      <c r="A151" s="1408"/>
      <c r="B151" s="611" t="str">
        <f>IF(C151&lt;'PlayerGrades+'!$Y$44,"F-",IF(C151&lt;'PlayerGrades+'!$Y$43,"F",IF(C151&lt;'PlayerGrades+'!$Y$42,"F+",IF(C151&lt;'PlayerGrades+'!$Y$41,"E-",IF(C151&lt;'PlayerGrades+'!$Y$40,"E",IF(C151&lt;'PlayerGrades+'!$Y$39,"E+",IF(C151&lt;'PlayerGrades+'!$Y$38,"D-",IF(C151&lt;'PlayerGrades+'!$Y$37,"D",IF(C151&lt;'PlayerGrades+'!$Y$36,"D+",IF(C151&lt;'PlayerGrades+'!$Y$35,"C-",IF(C151&lt;'PlayerGrades+'!$Y$34,"C",IF(C151&lt;'PlayerGrades+'!$Y$33,"C+",IF(C151&lt;'PlayerGrades+'!$Y$32,"B-",IF(C151&lt;'PlayerGrades+'!$Y$31,"B",IF(C151&lt;'PlayerGrades+'!$Y$30,"B+",IF(C151&lt;'PlayerGrades+'!$Y$29,"A-",IF(C151&lt;'PlayerGrades+'!$Y$28,"A",IF(C151&lt;'PlayerGrades+'!$Y$27,"A+",IF(C151&lt;'PlayerGrades+'!$Y$26,"S-",IF(C151&lt;'PlayerGrades+'!$Y$25,"S","S+"))))))))))))))))))))</f>
        <v>#DIV/0!</v>
      </c>
      <c r="C151" s="1378" t="str">
        <f>('PlayerGrades+'!$Y$47*(VLOOKUP(E151, 'PlayerGrades+'!$X$3:$Y$23, 2, FALSE)))+('PlayerGrades+'!$Y$48*(VLOOKUP(G151, 'PlayerGrades+'!$X$3:$Y$23, 2, FALSE)))+('PlayerGrades+'!$Y$49*(VLOOKUP(I151, 'PlayerGrades+'!$X$3:$Y$23, 2, FALSE)))+('PlayerGrades+'!$Y$50*(VLOOKUP(K151, 'PlayerGrades+'!$X$3:$Y$23, 2, FALSE)))+('PlayerGrades+'!$Y$51*(VLOOKUP(M151, 'PlayerGrades+'!$X$3:$Y$23, 2, FALSE)))+('PlayerGrades+'!$Y$52*(VLOOKUP(O151, 'PlayerGrades+'!$X$3:$Y$23, 2, FALSE)))+('PlayerGrades+'!$Y$53*(VLOOKUP(Q151, 'PlayerGrades+'!$X$3:$Y$23, 2, FALSE)))+('PlayerGrades+'!$Y$54*(VLOOKUP(S151, 'PlayerGrades+'!$X$3:$Y$23, 2, FALSE)))+('PlayerGrades+'!$Y$55*(VLOOKUP(U151, 'PlayerGrades+'!$X$3:$Y$23, 2, FALSE)))</f>
        <v>#DIV/0!</v>
      </c>
      <c r="D151" s="961" t="str">
        <f t="shared" si="1"/>
        <v>#DIV/0!</v>
      </c>
      <c r="E151" s="961" t="str">
        <f>IF(D151&lt;'PlayerGrades+'!$AA$21,"F-",IF(D151&lt;'PlayerGrades+'!$AA$20,"F",IF(D151&lt;'PlayerGrades+'!$AA$19,"F+",IF(D151&lt;'PlayerGrades+'!$AA$18,"E-",IF(D151&lt;'PlayerGrades+'!$AA$17,"E",IF(D151&lt;'PlayerGrades+'!$AA$16,"E+",IF(D151&lt;'PlayerGrades+'!$AA$15,"D-",IF(D151&lt;'PlayerGrades+'!$AA$14,"D",IF(D151&lt;'PlayerGrades+'!$AA$13,"D+",IF(D151&lt;'PlayerGrades+'!$AA$12,"C-",IF(D151&lt;'PlayerGrades+'!$AA$11,"C",IF(D151&lt;'PlayerGrades+'!$AA$10,"C+",IF(D151&lt;'PlayerGrades+'!$AA$9,"B-",IF(D151&lt;'PlayerGrades+'!$AA$8,"B",IF(D151&lt;'PlayerGrades+'!$AA$7,"B+",IF(D151&lt;'PlayerGrades+'!$AA$6,"A-",IF(D151&lt;'PlayerGrades+'!$AA$5,"A",IF(D151&lt;'PlayerGrades+'!$AA$4,"A+",IF(D151&lt;'PlayerGrades+'!$AA$3,"S-",IF(D151&lt;'PlayerGrades+'!$AA$2,"S","S+"))))))))))))))))))))</f>
        <v>#DIV/0!</v>
      </c>
      <c r="F151" s="961" t="str">
        <f t="shared" si="2"/>
        <v>#DIV/0!</v>
      </c>
      <c r="G151" s="961" t="str">
        <f>IF(F151&lt;'PlayerGrades+'!$AB$21,"F-",IF(F151&lt;'PlayerGrades+'!$AB$20,"F",IF(F151&lt;'PlayerGrades+'!$AB$19,"F+",IF(F151&lt;'PlayerGrades+'!$AB$18,"E-",IF(F151&lt;'PlayerGrades+'!$AB$17,"E",IF(F151&lt;'PlayerGrades+'!$AB$16,"E+",IF(F151&lt;'PlayerGrades+'!$AB$15,"D-",IF(F151&lt;'PlayerGrades+'!$AB$14,"D",IF(F151&lt;'PlayerGrades+'!$AB$13,"D+",IF(F151&lt;'PlayerGrades+'!$AB$12,"C-",IF(F151&lt;'PlayerGrades+'!$AB$11,"C",IF(F151&lt;'PlayerGrades+'!$AB$10,"C+",IF(F151&lt;'PlayerGrades+'!$AB$9,"B-",IF(F151&lt;'PlayerGrades+'!$AB$8,"B",IF(F151&lt;'PlayerGrades+'!$AB$7,"B+",IF(F151&lt;'PlayerGrades+'!$AB$6,"A-",IF(F151&lt;'PlayerGrades+'!$AB$5,"A",IF(F151&lt;'PlayerGrades+'!$AB$4,"A+",IF(F151&lt;'PlayerGrades+'!$AB$3,"S-",IF(F151&lt;'PlayerGrades+'!$AB$2,"S","S+"))))))))))))))))))))</f>
        <v>#DIV/0!</v>
      </c>
      <c r="H151" s="961" t="str">
        <f t="shared" si="3"/>
        <v>#DIV/0!</v>
      </c>
      <c r="I151" s="961" t="str">
        <f>IF(H151&lt;'PlayerGrades+'!$AC$21,"F-",IF(H151&lt;'PlayerGrades+'!$AC$20,"F",IF(H151&lt;'PlayerGrades+'!$AC$19,"F+",IF(H151&lt;'PlayerGrades+'!$AC$18,"E-",IF(H151&lt;'PlayerGrades+'!$AC$17,"E",IF(H151&lt;'PlayerGrades+'!$AC$16,"E+",IF(H151&lt;'PlayerGrades+'!$AC$15,"D-",IF(H151&lt;'PlayerGrades+'!$AC$14,"D",IF(H151&lt;'PlayerGrades+'!$AC$13,"D+",IF(H151&lt;'PlayerGrades+'!$AC$12,"C-",IF(H151&lt;'PlayerGrades+'!$AC$11,"C",IF(H151&lt;'PlayerGrades+'!$AC$10,"C+",IF(H151&lt;'PlayerGrades+'!$AC$9,"B-",IF(H151&lt;'PlayerGrades+'!$AC$8,"B",IF(H151&lt;'PlayerGrades+'!$AC$7,"B+",IF(H151&lt;'PlayerGrades+'!$AC$6,"A-",IF(H151&lt;'PlayerGrades+'!$AC$5,"A",IF(H151&lt;'PlayerGrades+'!$AC$4,"A+",IF(H151&lt;'PlayerGrades+'!$AC$3,"S-",IF(H151&lt;'PlayerGrades+'!$AC$2,"S","S+"))))))))))))))))))))</f>
        <v>#DIV/0!</v>
      </c>
      <c r="J151" s="961" t="str">
        <f t="shared" si="4"/>
        <v>#DIV/0!</v>
      </c>
      <c r="K151" s="961" t="str">
        <f>IF(J151&lt;'PlayerGrades+'!$AD$21,"F-",IF(J151&lt;'PlayerGrades+'!$AD$20,"F",IF(J151&lt;'PlayerGrades+'!$AD$19,"F+",IF(J151&lt;'PlayerGrades+'!$AD$18,"E-",IF(J151&lt;'PlayerGrades+'!$AD$17,"E",IF(J151&lt;'PlayerGrades+'!$AD$16,"E+",IF(J151&lt;'PlayerGrades+'!$AD$15,"D-",IF(J151&lt;'PlayerGrades+'!$AD$14,"D",IF(J151&lt;'PlayerGrades+'!$AD$13,"D+",IF(J151&lt;'PlayerGrades+'!$AD$12,"C-",IF(J151&lt;'PlayerGrades+'!$AD$11,"C",IF(J151&lt;'PlayerGrades+'!$AD$10,"C+",IF(J151&lt;'PlayerGrades+'!$AD$9,"B-",IF(J151&lt;'PlayerGrades+'!$AD$8,"B",IF(J151&lt;'PlayerGrades+'!$AD$7,"B+",IF(J151&lt;'PlayerGrades+'!$AD$6,"A-",IF(J151&lt;'PlayerGrades+'!$AD$5,"A",IF(J151&lt;'PlayerGrades+'!$AD$4,"A+",IF(J151&lt;'PlayerGrades+'!$AD$3,"S-",IF(J151&lt;'PlayerGrades+'!$AD$2,"S","S+"))))))))))))))))))))</f>
        <v>#DIV/0!</v>
      </c>
      <c r="L151" s="1176" t="str">
        <f t="shared" si="5"/>
        <v>#DIV/0!</v>
      </c>
      <c r="M151" s="992" t="str">
        <f>IF(L151&lt;'PlayerGrades+'!$AE$21,"F-",IF(L151&lt;'PlayerGrades+'!$AE$20,"F",IF(L151&lt;'PlayerGrades+'!$AE$19,"F+",IF(L151&lt;'PlayerGrades+'!$AE$18,"E-",IF(L151&lt;'PlayerGrades+'!$AE$17,"E",IF(L151&lt;'PlayerGrades+'!$AE$16,"E+",IF(L151&lt;'PlayerGrades+'!$AE$15,"D-",IF(L151&lt;'PlayerGrades+'!$AE$14,"D",IF(L151&lt;'PlayerGrades+'!$AE$13,"D+",IF(L151&lt;'PlayerGrades+'!$AE$12,"C-",IF(L151&lt;'PlayerGrades+'!$AE$11,"C",IF(L151&lt;'PlayerGrades+'!$AE$10,"C+",IF(L151&lt;'PlayerGrades+'!$AE$9,"B-",IF(L151&lt;'PlayerGrades+'!$AE$8,"B",IF(L151&lt;'PlayerGrades+'!$AE$7,"B+",IF(L151&lt;'PlayerGrades+'!$AE$6,"A-",IF(L151&lt;'PlayerGrades+'!$AE$5,"A",IF(L151&lt;'PlayerGrades+'!$AE$4,"A+",IF(L151&lt;'PlayerGrades+'!$AE$3,"S-",IF(L151&lt;'PlayerGrades+'!$AE$2,"S","S+"))))))))))))))))))))</f>
        <v>#DIV/0!</v>
      </c>
      <c r="N151" s="961" t="str">
        <f t="shared" si="6"/>
        <v>#DIV/0!</v>
      </c>
      <c r="O151" s="961" t="str">
        <f>IF(N151&lt;'PlayerGrades+'!$AF$21,"F-",IF(N151&lt;'PlayerGrades+'!$AF$20,"F",IF(N151&lt;'PlayerGrades+'!$AF$19,"F+",IF(N151&lt;'PlayerGrades+'!$AF$18,"E-",IF(N151&lt;'PlayerGrades+'!$AF$17,"E",IF(N151&lt;'PlayerGrades+'!$AF$16,"E+",IF(N151&lt;'PlayerGrades+'!$AF$15,"D-",IF(N151&lt;'PlayerGrades+'!$AF$14,"D",IF(N151&lt;'PlayerGrades+'!$AF$13,"D+",IF(N151&lt;'PlayerGrades+'!$AF$12,"C-",IF(N151&lt;'PlayerGrades+'!$AF$11,"C",IF(N151&lt;'PlayerGrades+'!$AF$10,"C+",IF(N151&lt;'PlayerGrades+'!$AF$9,"B-",IF(N151&lt;'PlayerGrades+'!$AF$8,"B",IF(N151&lt;'PlayerGrades+'!$AF$7,"B+",IF(N151&lt;'PlayerGrades+'!$AF$6,"A-",IF(N151&lt;'PlayerGrades+'!$AF$5,"A",IF(N151&lt;'PlayerGrades+'!$AF$4,"A+",IF(N151&lt;'PlayerGrades+'!$AF$3,"S-",IF(N151&lt;'PlayerGrades+'!$AF$2,"S","S+"))))))))))))))))))))</f>
        <v>#DIV/0!</v>
      </c>
      <c r="P151" s="961" t="str">
        <f t="shared" si="7"/>
        <v>#DIV/0!</v>
      </c>
      <c r="Q151" s="961" t="str">
        <f>IF(P151&lt;'PlayerGrades+'!$AG$21,"F-",IF(P151&lt;'PlayerGrades+'!$AG$20,"F",IF(P151&lt;'PlayerGrades+'!$AG$19,"F+",IF(P151&lt;'PlayerGrades+'!$AG$18,"E-",IF(P151&lt;'PlayerGrades+'!$AG$17,"E",IF(P151&lt;'PlayerGrades+'!$AG$16,"E+",IF(P151&lt;'PlayerGrades+'!$AG$15,"D-",IF(P151&lt;'PlayerGrades+'!$AG$14,"D",IF(P151&lt;'PlayerGrades+'!$AG$13,"D+",IF(P151&lt;'PlayerGrades+'!$AG$12,"C-",IF(P151&lt;'PlayerGrades+'!$AG$11,"C",IF(P151&lt;'PlayerGrades+'!$AG$10,"C+",IF(P151&lt;'PlayerGrades+'!$AG$9,"B-",IF(P151&lt;'PlayerGrades+'!$AG$8,"B",IF(P151&lt;'PlayerGrades+'!$AG$7,"B+",IF(P151&lt;'PlayerGrades+'!$AG$6,"A-",IF(P151&lt;'PlayerGrades+'!$AG$5,"A",IF(P151&lt;'PlayerGrades+'!$AG$4,"A+",IF(P151&lt;'PlayerGrades+'!$AG$3,"S-",IF(P151&lt;'PlayerGrades+'!$AG$2,"S","S+"))))))))))))))))))))</f>
        <v>#DIV/0!</v>
      </c>
      <c r="R151" s="961" t="str">
        <f t="shared" si="8"/>
        <v>#DIV/0!</v>
      </c>
      <c r="S151" s="961" t="str">
        <f>IF(R151&lt;'PlayerGrades+'!$AH$21,"F-",IF(R151&lt;'PlayerGrades+'!$AH$20,"F",IF(R151&lt;'PlayerGrades+'!$AH$19,"F+",IF(R151&lt;'PlayerGrades+'!$AH$18,"E-",IF(R151&lt;'PlayerGrades+'!$AH$17,"E",IF(R151&lt;'PlayerGrades+'!$AH$16,"E+",IF(R151&lt;'PlayerGrades+'!$AH$15,"D-",IF(R151&lt;'PlayerGrades+'!$AH$14,"D",IF(R151&lt;'PlayerGrades+'!$AH$13,"D+",IF(R151&lt;'PlayerGrades+'!$AH$12,"C-",IF(R151&lt;'PlayerGrades+'!$AH$11,"C",IF(R151&lt;'PlayerGrades+'!$AH$10,"C+",IF(R151&lt;'PlayerGrades+'!$AH$9,"B-",IF(R151&lt;'PlayerGrades+'!$AH$8,"B",IF(R151&lt;'PlayerGrades+'!$AH$7,"B+",IF(R151&lt;'PlayerGrades+'!$AH$6,"A-",IF(R151&lt;'PlayerGrades+'!$AH$5,"A",IF(R151&lt;'PlayerGrades+'!$AH$4,"A+",IF(R151&lt;'PlayerGrades+'!$AH$3,"S-",IF(R151&lt;'PlayerGrades+'!$AH$2,"S","S+"))))))))))))))))))))</f>
        <v>#DIV/0!</v>
      </c>
      <c r="T151" s="961">
        <f t="shared" si="9"/>
        <v>0</v>
      </c>
      <c r="U151" s="961" t="str">
        <f>IF(T151&lt;'PlayerGrades+'!$AI$21,"F-",IF(T151&lt;'PlayerGrades+'!$AI$20,"F",IF(T151&lt;'PlayerGrades+'!$AI$19,"F+",IF(T151&lt;'PlayerGrades+'!$AI$18,"E-",IF(T151&lt;'PlayerGrades+'!$AI$17,"E",IF(T151&lt;'PlayerGrades+'!$AI$16,"E+",IF(T151&lt;'PlayerGrades+'!$AI$15,"D-",IF(T151&lt;'PlayerGrades+'!$AI$14,"D",IF(T151&lt;'PlayerGrades+'!$AI$13,"D+",IF(T151&lt;'PlayerGrades+'!$AI$12,"C-",IF(T151&lt;'PlayerGrades+'!$AI$11,"C",IF(T151&lt;'PlayerGrades+'!$AI$10,"C+",IF(T151&lt;'PlayerGrades+'!$AI$9,"B-",IF(T151&lt;'PlayerGrades+'!$AI$8,"B",IF(T151&lt;'PlayerGrades+'!$AI$7,"B+",IF(T151&lt;'PlayerGrades+'!$AI$6,"A-",IF(T151&lt;'PlayerGrades+'!$AI$5,"A",IF(T151&lt;'PlayerGrades+'!$AI$4,"A+",IF(T151&lt;'PlayerGrades+'!$AI$3,"S-",IF(T151&lt;'PlayerGrades+'!$AI$2,"S","S+"))))))))))))))))))))</f>
        <v>F-</v>
      </c>
      <c r="Z151" s="1383"/>
      <c r="AA151" s="1383"/>
      <c r="AB151" s="1383"/>
      <c r="AC151" s="1384"/>
      <c r="AD151" s="1383"/>
      <c r="AE151" s="1383"/>
      <c r="AF151" s="1383"/>
      <c r="AG151" s="1383"/>
      <c r="AH151" s="1383"/>
      <c r="AI151" s="1383"/>
      <c r="AJ151" s="1383"/>
      <c r="AK151" s="1383"/>
      <c r="AL151" s="1383"/>
      <c r="AM151" s="1383"/>
      <c r="AN151" s="1383"/>
      <c r="AO151" s="1383"/>
      <c r="AP151" s="1383"/>
      <c r="AQ151" s="1383"/>
      <c r="AR151" s="1383"/>
      <c r="AS151" s="1383"/>
      <c r="AT151" s="1383"/>
      <c r="AU151" s="1383"/>
      <c r="AV151" s="1383"/>
      <c r="AW151" s="1383"/>
      <c r="AX151" s="1383"/>
      <c r="AY151" s="1383"/>
      <c r="AZ151" s="1383"/>
    </row>
    <row r="152">
      <c r="A152" s="1408"/>
      <c r="B152" s="611" t="str">
        <f>IF(C152&lt;'PlayerGrades+'!$Y$44,"F-",IF(C152&lt;'PlayerGrades+'!$Y$43,"F",IF(C152&lt;'PlayerGrades+'!$Y$42,"F+",IF(C152&lt;'PlayerGrades+'!$Y$41,"E-",IF(C152&lt;'PlayerGrades+'!$Y$40,"E",IF(C152&lt;'PlayerGrades+'!$Y$39,"E+",IF(C152&lt;'PlayerGrades+'!$Y$38,"D-",IF(C152&lt;'PlayerGrades+'!$Y$37,"D",IF(C152&lt;'PlayerGrades+'!$Y$36,"D+",IF(C152&lt;'PlayerGrades+'!$Y$35,"C-",IF(C152&lt;'PlayerGrades+'!$Y$34,"C",IF(C152&lt;'PlayerGrades+'!$Y$33,"C+",IF(C152&lt;'PlayerGrades+'!$Y$32,"B-",IF(C152&lt;'PlayerGrades+'!$Y$31,"B",IF(C152&lt;'PlayerGrades+'!$Y$30,"B+",IF(C152&lt;'PlayerGrades+'!$Y$29,"A-",IF(C152&lt;'PlayerGrades+'!$Y$28,"A",IF(C152&lt;'PlayerGrades+'!$Y$27,"A+",IF(C152&lt;'PlayerGrades+'!$Y$26,"S-",IF(C152&lt;'PlayerGrades+'!$Y$25,"S","S+"))))))))))))))))))))</f>
        <v>#DIV/0!</v>
      </c>
      <c r="C152" s="1378" t="str">
        <f>('PlayerGrades+'!$Y$47*(VLOOKUP(E152, 'PlayerGrades+'!$X$3:$Y$23, 2, FALSE)))+('PlayerGrades+'!$Y$48*(VLOOKUP(G152, 'PlayerGrades+'!$X$3:$Y$23, 2, FALSE)))+('PlayerGrades+'!$Y$49*(VLOOKUP(I152, 'PlayerGrades+'!$X$3:$Y$23, 2, FALSE)))+('PlayerGrades+'!$Y$50*(VLOOKUP(K152, 'PlayerGrades+'!$X$3:$Y$23, 2, FALSE)))+('PlayerGrades+'!$Y$51*(VLOOKUP(M152, 'PlayerGrades+'!$X$3:$Y$23, 2, FALSE)))+('PlayerGrades+'!$Y$52*(VLOOKUP(O152, 'PlayerGrades+'!$X$3:$Y$23, 2, FALSE)))+('PlayerGrades+'!$Y$53*(VLOOKUP(Q152, 'PlayerGrades+'!$X$3:$Y$23, 2, FALSE)))+('PlayerGrades+'!$Y$54*(VLOOKUP(S152, 'PlayerGrades+'!$X$3:$Y$23, 2, FALSE)))+('PlayerGrades+'!$Y$55*(VLOOKUP(U152, 'PlayerGrades+'!$X$3:$Y$23, 2, FALSE)))</f>
        <v>#DIV/0!</v>
      </c>
      <c r="D152" s="961" t="str">
        <f t="shared" si="1"/>
        <v>#DIV/0!</v>
      </c>
      <c r="E152" s="961" t="str">
        <f>IF(D152&lt;'PlayerGrades+'!$AA$21,"F-",IF(D152&lt;'PlayerGrades+'!$AA$20,"F",IF(D152&lt;'PlayerGrades+'!$AA$19,"F+",IF(D152&lt;'PlayerGrades+'!$AA$18,"E-",IF(D152&lt;'PlayerGrades+'!$AA$17,"E",IF(D152&lt;'PlayerGrades+'!$AA$16,"E+",IF(D152&lt;'PlayerGrades+'!$AA$15,"D-",IF(D152&lt;'PlayerGrades+'!$AA$14,"D",IF(D152&lt;'PlayerGrades+'!$AA$13,"D+",IF(D152&lt;'PlayerGrades+'!$AA$12,"C-",IF(D152&lt;'PlayerGrades+'!$AA$11,"C",IF(D152&lt;'PlayerGrades+'!$AA$10,"C+",IF(D152&lt;'PlayerGrades+'!$AA$9,"B-",IF(D152&lt;'PlayerGrades+'!$AA$8,"B",IF(D152&lt;'PlayerGrades+'!$AA$7,"B+",IF(D152&lt;'PlayerGrades+'!$AA$6,"A-",IF(D152&lt;'PlayerGrades+'!$AA$5,"A",IF(D152&lt;'PlayerGrades+'!$AA$4,"A+",IF(D152&lt;'PlayerGrades+'!$AA$3,"S-",IF(D152&lt;'PlayerGrades+'!$AA$2,"S","S+"))))))))))))))))))))</f>
        <v>#DIV/0!</v>
      </c>
      <c r="F152" s="961" t="str">
        <f t="shared" si="2"/>
        <v>#DIV/0!</v>
      </c>
      <c r="G152" s="961" t="str">
        <f>IF(F152&lt;'PlayerGrades+'!$AB$21,"F-",IF(F152&lt;'PlayerGrades+'!$AB$20,"F",IF(F152&lt;'PlayerGrades+'!$AB$19,"F+",IF(F152&lt;'PlayerGrades+'!$AB$18,"E-",IF(F152&lt;'PlayerGrades+'!$AB$17,"E",IF(F152&lt;'PlayerGrades+'!$AB$16,"E+",IF(F152&lt;'PlayerGrades+'!$AB$15,"D-",IF(F152&lt;'PlayerGrades+'!$AB$14,"D",IF(F152&lt;'PlayerGrades+'!$AB$13,"D+",IF(F152&lt;'PlayerGrades+'!$AB$12,"C-",IF(F152&lt;'PlayerGrades+'!$AB$11,"C",IF(F152&lt;'PlayerGrades+'!$AB$10,"C+",IF(F152&lt;'PlayerGrades+'!$AB$9,"B-",IF(F152&lt;'PlayerGrades+'!$AB$8,"B",IF(F152&lt;'PlayerGrades+'!$AB$7,"B+",IF(F152&lt;'PlayerGrades+'!$AB$6,"A-",IF(F152&lt;'PlayerGrades+'!$AB$5,"A",IF(F152&lt;'PlayerGrades+'!$AB$4,"A+",IF(F152&lt;'PlayerGrades+'!$AB$3,"S-",IF(F152&lt;'PlayerGrades+'!$AB$2,"S","S+"))))))))))))))))))))</f>
        <v>#DIV/0!</v>
      </c>
      <c r="H152" s="961" t="str">
        <f t="shared" si="3"/>
        <v>#DIV/0!</v>
      </c>
      <c r="I152" s="961" t="str">
        <f>IF(H152&lt;'PlayerGrades+'!$AC$21,"F-",IF(H152&lt;'PlayerGrades+'!$AC$20,"F",IF(H152&lt;'PlayerGrades+'!$AC$19,"F+",IF(H152&lt;'PlayerGrades+'!$AC$18,"E-",IF(H152&lt;'PlayerGrades+'!$AC$17,"E",IF(H152&lt;'PlayerGrades+'!$AC$16,"E+",IF(H152&lt;'PlayerGrades+'!$AC$15,"D-",IF(H152&lt;'PlayerGrades+'!$AC$14,"D",IF(H152&lt;'PlayerGrades+'!$AC$13,"D+",IF(H152&lt;'PlayerGrades+'!$AC$12,"C-",IF(H152&lt;'PlayerGrades+'!$AC$11,"C",IF(H152&lt;'PlayerGrades+'!$AC$10,"C+",IF(H152&lt;'PlayerGrades+'!$AC$9,"B-",IF(H152&lt;'PlayerGrades+'!$AC$8,"B",IF(H152&lt;'PlayerGrades+'!$AC$7,"B+",IF(H152&lt;'PlayerGrades+'!$AC$6,"A-",IF(H152&lt;'PlayerGrades+'!$AC$5,"A",IF(H152&lt;'PlayerGrades+'!$AC$4,"A+",IF(H152&lt;'PlayerGrades+'!$AC$3,"S-",IF(H152&lt;'PlayerGrades+'!$AC$2,"S","S+"))))))))))))))))))))</f>
        <v>#DIV/0!</v>
      </c>
      <c r="J152" s="961" t="str">
        <f t="shared" si="4"/>
        <v>#DIV/0!</v>
      </c>
      <c r="K152" s="961" t="str">
        <f>IF(J152&lt;'PlayerGrades+'!$AD$21,"F-",IF(J152&lt;'PlayerGrades+'!$AD$20,"F",IF(J152&lt;'PlayerGrades+'!$AD$19,"F+",IF(J152&lt;'PlayerGrades+'!$AD$18,"E-",IF(J152&lt;'PlayerGrades+'!$AD$17,"E",IF(J152&lt;'PlayerGrades+'!$AD$16,"E+",IF(J152&lt;'PlayerGrades+'!$AD$15,"D-",IF(J152&lt;'PlayerGrades+'!$AD$14,"D",IF(J152&lt;'PlayerGrades+'!$AD$13,"D+",IF(J152&lt;'PlayerGrades+'!$AD$12,"C-",IF(J152&lt;'PlayerGrades+'!$AD$11,"C",IF(J152&lt;'PlayerGrades+'!$AD$10,"C+",IF(J152&lt;'PlayerGrades+'!$AD$9,"B-",IF(J152&lt;'PlayerGrades+'!$AD$8,"B",IF(J152&lt;'PlayerGrades+'!$AD$7,"B+",IF(J152&lt;'PlayerGrades+'!$AD$6,"A-",IF(J152&lt;'PlayerGrades+'!$AD$5,"A",IF(J152&lt;'PlayerGrades+'!$AD$4,"A+",IF(J152&lt;'PlayerGrades+'!$AD$3,"S-",IF(J152&lt;'PlayerGrades+'!$AD$2,"S","S+"))))))))))))))))))))</f>
        <v>#DIV/0!</v>
      </c>
      <c r="L152" s="1176" t="str">
        <f t="shared" si="5"/>
        <v>#DIV/0!</v>
      </c>
      <c r="M152" s="992" t="str">
        <f>IF(L152&lt;'PlayerGrades+'!$AE$21,"F-",IF(L152&lt;'PlayerGrades+'!$AE$20,"F",IF(L152&lt;'PlayerGrades+'!$AE$19,"F+",IF(L152&lt;'PlayerGrades+'!$AE$18,"E-",IF(L152&lt;'PlayerGrades+'!$AE$17,"E",IF(L152&lt;'PlayerGrades+'!$AE$16,"E+",IF(L152&lt;'PlayerGrades+'!$AE$15,"D-",IF(L152&lt;'PlayerGrades+'!$AE$14,"D",IF(L152&lt;'PlayerGrades+'!$AE$13,"D+",IF(L152&lt;'PlayerGrades+'!$AE$12,"C-",IF(L152&lt;'PlayerGrades+'!$AE$11,"C",IF(L152&lt;'PlayerGrades+'!$AE$10,"C+",IF(L152&lt;'PlayerGrades+'!$AE$9,"B-",IF(L152&lt;'PlayerGrades+'!$AE$8,"B",IF(L152&lt;'PlayerGrades+'!$AE$7,"B+",IF(L152&lt;'PlayerGrades+'!$AE$6,"A-",IF(L152&lt;'PlayerGrades+'!$AE$5,"A",IF(L152&lt;'PlayerGrades+'!$AE$4,"A+",IF(L152&lt;'PlayerGrades+'!$AE$3,"S-",IF(L152&lt;'PlayerGrades+'!$AE$2,"S","S+"))))))))))))))))))))</f>
        <v>#DIV/0!</v>
      </c>
      <c r="N152" s="961" t="str">
        <f t="shared" si="6"/>
        <v>#DIV/0!</v>
      </c>
      <c r="O152" s="961" t="str">
        <f>IF(N152&lt;'PlayerGrades+'!$AF$21,"F-",IF(N152&lt;'PlayerGrades+'!$AF$20,"F",IF(N152&lt;'PlayerGrades+'!$AF$19,"F+",IF(N152&lt;'PlayerGrades+'!$AF$18,"E-",IF(N152&lt;'PlayerGrades+'!$AF$17,"E",IF(N152&lt;'PlayerGrades+'!$AF$16,"E+",IF(N152&lt;'PlayerGrades+'!$AF$15,"D-",IF(N152&lt;'PlayerGrades+'!$AF$14,"D",IF(N152&lt;'PlayerGrades+'!$AF$13,"D+",IF(N152&lt;'PlayerGrades+'!$AF$12,"C-",IF(N152&lt;'PlayerGrades+'!$AF$11,"C",IF(N152&lt;'PlayerGrades+'!$AF$10,"C+",IF(N152&lt;'PlayerGrades+'!$AF$9,"B-",IF(N152&lt;'PlayerGrades+'!$AF$8,"B",IF(N152&lt;'PlayerGrades+'!$AF$7,"B+",IF(N152&lt;'PlayerGrades+'!$AF$6,"A-",IF(N152&lt;'PlayerGrades+'!$AF$5,"A",IF(N152&lt;'PlayerGrades+'!$AF$4,"A+",IF(N152&lt;'PlayerGrades+'!$AF$3,"S-",IF(N152&lt;'PlayerGrades+'!$AF$2,"S","S+"))))))))))))))))))))</f>
        <v>#DIV/0!</v>
      </c>
      <c r="P152" s="961" t="str">
        <f t="shared" si="7"/>
        <v>#DIV/0!</v>
      </c>
      <c r="Q152" s="961" t="str">
        <f>IF(P152&lt;'PlayerGrades+'!$AG$21,"F-",IF(P152&lt;'PlayerGrades+'!$AG$20,"F",IF(P152&lt;'PlayerGrades+'!$AG$19,"F+",IF(P152&lt;'PlayerGrades+'!$AG$18,"E-",IF(P152&lt;'PlayerGrades+'!$AG$17,"E",IF(P152&lt;'PlayerGrades+'!$AG$16,"E+",IF(P152&lt;'PlayerGrades+'!$AG$15,"D-",IF(P152&lt;'PlayerGrades+'!$AG$14,"D",IF(P152&lt;'PlayerGrades+'!$AG$13,"D+",IF(P152&lt;'PlayerGrades+'!$AG$12,"C-",IF(P152&lt;'PlayerGrades+'!$AG$11,"C",IF(P152&lt;'PlayerGrades+'!$AG$10,"C+",IF(P152&lt;'PlayerGrades+'!$AG$9,"B-",IF(P152&lt;'PlayerGrades+'!$AG$8,"B",IF(P152&lt;'PlayerGrades+'!$AG$7,"B+",IF(P152&lt;'PlayerGrades+'!$AG$6,"A-",IF(P152&lt;'PlayerGrades+'!$AG$5,"A",IF(P152&lt;'PlayerGrades+'!$AG$4,"A+",IF(P152&lt;'PlayerGrades+'!$AG$3,"S-",IF(P152&lt;'PlayerGrades+'!$AG$2,"S","S+"))))))))))))))))))))</f>
        <v>#DIV/0!</v>
      </c>
      <c r="R152" s="961" t="str">
        <f t="shared" si="8"/>
        <v>#DIV/0!</v>
      </c>
      <c r="S152" s="961" t="str">
        <f>IF(R152&lt;'PlayerGrades+'!$AH$21,"F-",IF(R152&lt;'PlayerGrades+'!$AH$20,"F",IF(R152&lt;'PlayerGrades+'!$AH$19,"F+",IF(R152&lt;'PlayerGrades+'!$AH$18,"E-",IF(R152&lt;'PlayerGrades+'!$AH$17,"E",IF(R152&lt;'PlayerGrades+'!$AH$16,"E+",IF(R152&lt;'PlayerGrades+'!$AH$15,"D-",IF(R152&lt;'PlayerGrades+'!$AH$14,"D",IF(R152&lt;'PlayerGrades+'!$AH$13,"D+",IF(R152&lt;'PlayerGrades+'!$AH$12,"C-",IF(R152&lt;'PlayerGrades+'!$AH$11,"C",IF(R152&lt;'PlayerGrades+'!$AH$10,"C+",IF(R152&lt;'PlayerGrades+'!$AH$9,"B-",IF(R152&lt;'PlayerGrades+'!$AH$8,"B",IF(R152&lt;'PlayerGrades+'!$AH$7,"B+",IF(R152&lt;'PlayerGrades+'!$AH$6,"A-",IF(R152&lt;'PlayerGrades+'!$AH$5,"A",IF(R152&lt;'PlayerGrades+'!$AH$4,"A+",IF(R152&lt;'PlayerGrades+'!$AH$3,"S-",IF(R152&lt;'PlayerGrades+'!$AH$2,"S","S+"))))))))))))))))))))</f>
        <v>#DIV/0!</v>
      </c>
      <c r="T152" s="961">
        <f t="shared" si="9"/>
        <v>0</v>
      </c>
      <c r="U152" s="961" t="str">
        <f>IF(T152&lt;'PlayerGrades+'!$AI$21,"F-",IF(T152&lt;'PlayerGrades+'!$AI$20,"F",IF(T152&lt;'PlayerGrades+'!$AI$19,"F+",IF(T152&lt;'PlayerGrades+'!$AI$18,"E-",IF(T152&lt;'PlayerGrades+'!$AI$17,"E",IF(T152&lt;'PlayerGrades+'!$AI$16,"E+",IF(T152&lt;'PlayerGrades+'!$AI$15,"D-",IF(T152&lt;'PlayerGrades+'!$AI$14,"D",IF(T152&lt;'PlayerGrades+'!$AI$13,"D+",IF(T152&lt;'PlayerGrades+'!$AI$12,"C-",IF(T152&lt;'PlayerGrades+'!$AI$11,"C",IF(T152&lt;'PlayerGrades+'!$AI$10,"C+",IF(T152&lt;'PlayerGrades+'!$AI$9,"B-",IF(T152&lt;'PlayerGrades+'!$AI$8,"B",IF(T152&lt;'PlayerGrades+'!$AI$7,"B+",IF(T152&lt;'PlayerGrades+'!$AI$6,"A-",IF(T152&lt;'PlayerGrades+'!$AI$5,"A",IF(T152&lt;'PlayerGrades+'!$AI$4,"A+",IF(T152&lt;'PlayerGrades+'!$AI$3,"S-",IF(T152&lt;'PlayerGrades+'!$AI$2,"S","S+"))))))))))))))))))))</f>
        <v>F-</v>
      </c>
      <c r="Z152" s="1383"/>
      <c r="AA152" s="1383"/>
      <c r="AB152" s="1383"/>
      <c r="AC152" s="1384"/>
      <c r="AD152" s="1383"/>
      <c r="AE152" s="1383"/>
      <c r="AF152" s="1383"/>
      <c r="AG152" s="1383"/>
      <c r="AH152" s="1383"/>
      <c r="AI152" s="1383"/>
      <c r="AJ152" s="1383"/>
      <c r="AK152" s="1383"/>
      <c r="AL152" s="1383"/>
      <c r="AM152" s="1383"/>
      <c r="AN152" s="1383"/>
      <c r="AO152" s="1383"/>
      <c r="AP152" s="1383"/>
      <c r="AQ152" s="1383"/>
      <c r="AR152" s="1383"/>
      <c r="AS152" s="1383"/>
      <c r="AT152" s="1383"/>
      <c r="AU152" s="1383"/>
      <c r="AV152" s="1383"/>
      <c r="AW152" s="1383"/>
      <c r="AX152" s="1383"/>
      <c r="AY152" s="1383"/>
      <c r="AZ152" s="1383"/>
    </row>
    <row r="153">
      <c r="A153" s="1409"/>
      <c r="B153" s="611" t="str">
        <f>IF(C153&lt;'PlayerGrades+'!$Y$44,"F-",IF(C153&lt;'PlayerGrades+'!$Y$43,"F",IF(C153&lt;'PlayerGrades+'!$Y$42,"F+",IF(C153&lt;'PlayerGrades+'!$Y$41,"E-",IF(C153&lt;'PlayerGrades+'!$Y$40,"E",IF(C153&lt;'PlayerGrades+'!$Y$39,"E+",IF(C153&lt;'PlayerGrades+'!$Y$38,"D-",IF(C153&lt;'PlayerGrades+'!$Y$37,"D",IF(C153&lt;'PlayerGrades+'!$Y$36,"D+",IF(C153&lt;'PlayerGrades+'!$Y$35,"C-",IF(C153&lt;'PlayerGrades+'!$Y$34,"C",IF(C153&lt;'PlayerGrades+'!$Y$33,"C+",IF(C153&lt;'PlayerGrades+'!$Y$32,"B-",IF(C153&lt;'PlayerGrades+'!$Y$31,"B",IF(C153&lt;'PlayerGrades+'!$Y$30,"B+",IF(C153&lt;'PlayerGrades+'!$Y$29,"A-",IF(C153&lt;'PlayerGrades+'!$Y$28,"A",IF(C153&lt;'PlayerGrades+'!$Y$27,"A+",IF(C153&lt;'PlayerGrades+'!$Y$26,"S-",IF(C153&lt;'PlayerGrades+'!$Y$25,"S","S+"))))))))))))))))))))</f>
        <v>#DIV/0!</v>
      </c>
      <c r="C153" s="1378" t="str">
        <f>('PlayerGrades+'!$Y$47*(VLOOKUP(E153, 'PlayerGrades+'!$X$3:$Y$23, 2, FALSE)))+('PlayerGrades+'!$Y$48*(VLOOKUP(G153, 'PlayerGrades+'!$X$3:$Y$23, 2, FALSE)))+('PlayerGrades+'!$Y$49*(VLOOKUP(I153, 'PlayerGrades+'!$X$3:$Y$23, 2, FALSE)))+('PlayerGrades+'!$Y$50*(VLOOKUP(K153, 'PlayerGrades+'!$X$3:$Y$23, 2, FALSE)))+('PlayerGrades+'!$Y$51*(VLOOKUP(M153, 'PlayerGrades+'!$X$3:$Y$23, 2, FALSE)))+('PlayerGrades+'!$Y$52*(VLOOKUP(O153, 'PlayerGrades+'!$X$3:$Y$23, 2, FALSE)))+('PlayerGrades+'!$Y$53*(VLOOKUP(Q153, 'PlayerGrades+'!$X$3:$Y$23, 2, FALSE)))+('PlayerGrades+'!$Y$54*(VLOOKUP(S153, 'PlayerGrades+'!$X$3:$Y$23, 2, FALSE)))+('PlayerGrades+'!$Y$55*(VLOOKUP(U153, 'PlayerGrades+'!$X$3:$Y$23, 2, FALSE)))</f>
        <v>#DIV/0!</v>
      </c>
      <c r="D153" s="961" t="str">
        <f t="shared" si="1"/>
        <v>#DIV/0!</v>
      </c>
      <c r="E153" s="961" t="str">
        <f>IF(D153&lt;'PlayerGrades+'!$AA$21,"F-",IF(D153&lt;'PlayerGrades+'!$AA$20,"F",IF(D153&lt;'PlayerGrades+'!$AA$19,"F+",IF(D153&lt;'PlayerGrades+'!$AA$18,"E-",IF(D153&lt;'PlayerGrades+'!$AA$17,"E",IF(D153&lt;'PlayerGrades+'!$AA$16,"E+",IF(D153&lt;'PlayerGrades+'!$AA$15,"D-",IF(D153&lt;'PlayerGrades+'!$AA$14,"D",IF(D153&lt;'PlayerGrades+'!$AA$13,"D+",IF(D153&lt;'PlayerGrades+'!$AA$12,"C-",IF(D153&lt;'PlayerGrades+'!$AA$11,"C",IF(D153&lt;'PlayerGrades+'!$AA$10,"C+",IF(D153&lt;'PlayerGrades+'!$AA$9,"B-",IF(D153&lt;'PlayerGrades+'!$AA$8,"B",IF(D153&lt;'PlayerGrades+'!$AA$7,"B+",IF(D153&lt;'PlayerGrades+'!$AA$6,"A-",IF(D153&lt;'PlayerGrades+'!$AA$5,"A",IF(D153&lt;'PlayerGrades+'!$AA$4,"A+",IF(D153&lt;'PlayerGrades+'!$AA$3,"S-",IF(D153&lt;'PlayerGrades+'!$AA$2,"S","S+"))))))))))))))))))))</f>
        <v>#DIV/0!</v>
      </c>
      <c r="F153" s="961" t="str">
        <f t="shared" si="2"/>
        <v>#DIV/0!</v>
      </c>
      <c r="G153" s="961" t="str">
        <f>IF(F153&lt;'PlayerGrades+'!$AB$21,"F-",IF(F153&lt;'PlayerGrades+'!$AB$20,"F",IF(F153&lt;'PlayerGrades+'!$AB$19,"F+",IF(F153&lt;'PlayerGrades+'!$AB$18,"E-",IF(F153&lt;'PlayerGrades+'!$AB$17,"E",IF(F153&lt;'PlayerGrades+'!$AB$16,"E+",IF(F153&lt;'PlayerGrades+'!$AB$15,"D-",IF(F153&lt;'PlayerGrades+'!$AB$14,"D",IF(F153&lt;'PlayerGrades+'!$AB$13,"D+",IF(F153&lt;'PlayerGrades+'!$AB$12,"C-",IF(F153&lt;'PlayerGrades+'!$AB$11,"C",IF(F153&lt;'PlayerGrades+'!$AB$10,"C+",IF(F153&lt;'PlayerGrades+'!$AB$9,"B-",IF(F153&lt;'PlayerGrades+'!$AB$8,"B",IF(F153&lt;'PlayerGrades+'!$AB$7,"B+",IF(F153&lt;'PlayerGrades+'!$AB$6,"A-",IF(F153&lt;'PlayerGrades+'!$AB$5,"A",IF(F153&lt;'PlayerGrades+'!$AB$4,"A+",IF(F153&lt;'PlayerGrades+'!$AB$3,"S-",IF(F153&lt;'PlayerGrades+'!$AB$2,"S","S+"))))))))))))))))))))</f>
        <v>#DIV/0!</v>
      </c>
      <c r="H153" s="961" t="str">
        <f t="shared" si="3"/>
        <v>#DIV/0!</v>
      </c>
      <c r="I153" s="961" t="str">
        <f>IF(H153&lt;'PlayerGrades+'!$AC$21,"F-",IF(H153&lt;'PlayerGrades+'!$AC$20,"F",IF(H153&lt;'PlayerGrades+'!$AC$19,"F+",IF(H153&lt;'PlayerGrades+'!$AC$18,"E-",IF(H153&lt;'PlayerGrades+'!$AC$17,"E",IF(H153&lt;'PlayerGrades+'!$AC$16,"E+",IF(H153&lt;'PlayerGrades+'!$AC$15,"D-",IF(H153&lt;'PlayerGrades+'!$AC$14,"D",IF(H153&lt;'PlayerGrades+'!$AC$13,"D+",IF(H153&lt;'PlayerGrades+'!$AC$12,"C-",IF(H153&lt;'PlayerGrades+'!$AC$11,"C",IF(H153&lt;'PlayerGrades+'!$AC$10,"C+",IF(H153&lt;'PlayerGrades+'!$AC$9,"B-",IF(H153&lt;'PlayerGrades+'!$AC$8,"B",IF(H153&lt;'PlayerGrades+'!$AC$7,"B+",IF(H153&lt;'PlayerGrades+'!$AC$6,"A-",IF(H153&lt;'PlayerGrades+'!$AC$5,"A",IF(H153&lt;'PlayerGrades+'!$AC$4,"A+",IF(H153&lt;'PlayerGrades+'!$AC$3,"S-",IF(H153&lt;'PlayerGrades+'!$AC$2,"S","S+"))))))))))))))))))))</f>
        <v>#DIV/0!</v>
      </c>
      <c r="J153" s="961" t="str">
        <f t="shared" si="4"/>
        <v>#DIV/0!</v>
      </c>
      <c r="K153" s="961" t="str">
        <f>IF(J153&lt;'PlayerGrades+'!$AD$21,"F-",IF(J153&lt;'PlayerGrades+'!$AD$20,"F",IF(J153&lt;'PlayerGrades+'!$AD$19,"F+",IF(J153&lt;'PlayerGrades+'!$AD$18,"E-",IF(J153&lt;'PlayerGrades+'!$AD$17,"E",IF(J153&lt;'PlayerGrades+'!$AD$16,"E+",IF(J153&lt;'PlayerGrades+'!$AD$15,"D-",IF(J153&lt;'PlayerGrades+'!$AD$14,"D",IF(J153&lt;'PlayerGrades+'!$AD$13,"D+",IF(J153&lt;'PlayerGrades+'!$AD$12,"C-",IF(J153&lt;'PlayerGrades+'!$AD$11,"C",IF(J153&lt;'PlayerGrades+'!$AD$10,"C+",IF(J153&lt;'PlayerGrades+'!$AD$9,"B-",IF(J153&lt;'PlayerGrades+'!$AD$8,"B",IF(J153&lt;'PlayerGrades+'!$AD$7,"B+",IF(J153&lt;'PlayerGrades+'!$AD$6,"A-",IF(J153&lt;'PlayerGrades+'!$AD$5,"A",IF(J153&lt;'PlayerGrades+'!$AD$4,"A+",IF(J153&lt;'PlayerGrades+'!$AD$3,"S-",IF(J153&lt;'PlayerGrades+'!$AD$2,"S","S+"))))))))))))))))))))</f>
        <v>#DIV/0!</v>
      </c>
      <c r="L153" s="1176" t="str">
        <f t="shared" si="5"/>
        <v>#DIV/0!</v>
      </c>
      <c r="M153" s="992" t="str">
        <f>IF(L153&lt;'PlayerGrades+'!$AE$21,"F-",IF(L153&lt;'PlayerGrades+'!$AE$20,"F",IF(L153&lt;'PlayerGrades+'!$AE$19,"F+",IF(L153&lt;'PlayerGrades+'!$AE$18,"E-",IF(L153&lt;'PlayerGrades+'!$AE$17,"E",IF(L153&lt;'PlayerGrades+'!$AE$16,"E+",IF(L153&lt;'PlayerGrades+'!$AE$15,"D-",IF(L153&lt;'PlayerGrades+'!$AE$14,"D",IF(L153&lt;'PlayerGrades+'!$AE$13,"D+",IF(L153&lt;'PlayerGrades+'!$AE$12,"C-",IF(L153&lt;'PlayerGrades+'!$AE$11,"C",IF(L153&lt;'PlayerGrades+'!$AE$10,"C+",IF(L153&lt;'PlayerGrades+'!$AE$9,"B-",IF(L153&lt;'PlayerGrades+'!$AE$8,"B",IF(L153&lt;'PlayerGrades+'!$AE$7,"B+",IF(L153&lt;'PlayerGrades+'!$AE$6,"A-",IF(L153&lt;'PlayerGrades+'!$AE$5,"A",IF(L153&lt;'PlayerGrades+'!$AE$4,"A+",IF(L153&lt;'PlayerGrades+'!$AE$3,"S-",IF(L153&lt;'PlayerGrades+'!$AE$2,"S","S+"))))))))))))))))))))</f>
        <v>#DIV/0!</v>
      </c>
      <c r="N153" s="961" t="str">
        <f t="shared" si="6"/>
        <v>#DIV/0!</v>
      </c>
      <c r="O153" s="961" t="str">
        <f>IF(N153&lt;'PlayerGrades+'!$AF$21,"F-",IF(N153&lt;'PlayerGrades+'!$AF$20,"F",IF(N153&lt;'PlayerGrades+'!$AF$19,"F+",IF(N153&lt;'PlayerGrades+'!$AF$18,"E-",IF(N153&lt;'PlayerGrades+'!$AF$17,"E",IF(N153&lt;'PlayerGrades+'!$AF$16,"E+",IF(N153&lt;'PlayerGrades+'!$AF$15,"D-",IF(N153&lt;'PlayerGrades+'!$AF$14,"D",IF(N153&lt;'PlayerGrades+'!$AF$13,"D+",IF(N153&lt;'PlayerGrades+'!$AF$12,"C-",IF(N153&lt;'PlayerGrades+'!$AF$11,"C",IF(N153&lt;'PlayerGrades+'!$AF$10,"C+",IF(N153&lt;'PlayerGrades+'!$AF$9,"B-",IF(N153&lt;'PlayerGrades+'!$AF$8,"B",IF(N153&lt;'PlayerGrades+'!$AF$7,"B+",IF(N153&lt;'PlayerGrades+'!$AF$6,"A-",IF(N153&lt;'PlayerGrades+'!$AF$5,"A",IF(N153&lt;'PlayerGrades+'!$AF$4,"A+",IF(N153&lt;'PlayerGrades+'!$AF$3,"S-",IF(N153&lt;'PlayerGrades+'!$AF$2,"S","S+"))))))))))))))))))))</f>
        <v>#DIV/0!</v>
      </c>
      <c r="P153" s="961" t="str">
        <f t="shared" si="7"/>
        <v>#DIV/0!</v>
      </c>
      <c r="Q153" s="961" t="str">
        <f>IF(P153&lt;'PlayerGrades+'!$AG$21,"F-",IF(P153&lt;'PlayerGrades+'!$AG$20,"F",IF(P153&lt;'PlayerGrades+'!$AG$19,"F+",IF(P153&lt;'PlayerGrades+'!$AG$18,"E-",IF(P153&lt;'PlayerGrades+'!$AG$17,"E",IF(P153&lt;'PlayerGrades+'!$AG$16,"E+",IF(P153&lt;'PlayerGrades+'!$AG$15,"D-",IF(P153&lt;'PlayerGrades+'!$AG$14,"D",IF(P153&lt;'PlayerGrades+'!$AG$13,"D+",IF(P153&lt;'PlayerGrades+'!$AG$12,"C-",IF(P153&lt;'PlayerGrades+'!$AG$11,"C",IF(P153&lt;'PlayerGrades+'!$AG$10,"C+",IF(P153&lt;'PlayerGrades+'!$AG$9,"B-",IF(P153&lt;'PlayerGrades+'!$AG$8,"B",IF(P153&lt;'PlayerGrades+'!$AG$7,"B+",IF(P153&lt;'PlayerGrades+'!$AG$6,"A-",IF(P153&lt;'PlayerGrades+'!$AG$5,"A",IF(P153&lt;'PlayerGrades+'!$AG$4,"A+",IF(P153&lt;'PlayerGrades+'!$AG$3,"S-",IF(P153&lt;'PlayerGrades+'!$AG$2,"S","S+"))))))))))))))))))))</f>
        <v>#DIV/0!</v>
      </c>
      <c r="R153" s="961" t="str">
        <f t="shared" si="8"/>
        <v>#DIV/0!</v>
      </c>
      <c r="S153" s="961" t="str">
        <f>IF(R153&lt;'PlayerGrades+'!$AH$21,"F-",IF(R153&lt;'PlayerGrades+'!$AH$20,"F",IF(R153&lt;'PlayerGrades+'!$AH$19,"F+",IF(R153&lt;'PlayerGrades+'!$AH$18,"E-",IF(R153&lt;'PlayerGrades+'!$AH$17,"E",IF(R153&lt;'PlayerGrades+'!$AH$16,"E+",IF(R153&lt;'PlayerGrades+'!$AH$15,"D-",IF(R153&lt;'PlayerGrades+'!$AH$14,"D",IF(R153&lt;'PlayerGrades+'!$AH$13,"D+",IF(R153&lt;'PlayerGrades+'!$AH$12,"C-",IF(R153&lt;'PlayerGrades+'!$AH$11,"C",IF(R153&lt;'PlayerGrades+'!$AH$10,"C+",IF(R153&lt;'PlayerGrades+'!$AH$9,"B-",IF(R153&lt;'PlayerGrades+'!$AH$8,"B",IF(R153&lt;'PlayerGrades+'!$AH$7,"B+",IF(R153&lt;'PlayerGrades+'!$AH$6,"A-",IF(R153&lt;'PlayerGrades+'!$AH$5,"A",IF(R153&lt;'PlayerGrades+'!$AH$4,"A+",IF(R153&lt;'PlayerGrades+'!$AH$3,"S-",IF(R153&lt;'PlayerGrades+'!$AH$2,"S","S+"))))))))))))))))))))</f>
        <v>#DIV/0!</v>
      </c>
      <c r="T153" s="961">
        <f t="shared" si="9"/>
        <v>0</v>
      </c>
      <c r="U153" s="961" t="str">
        <f>IF(T153&lt;'PlayerGrades+'!$AI$21,"F-",IF(T153&lt;'PlayerGrades+'!$AI$20,"F",IF(T153&lt;'PlayerGrades+'!$AI$19,"F+",IF(T153&lt;'PlayerGrades+'!$AI$18,"E-",IF(T153&lt;'PlayerGrades+'!$AI$17,"E",IF(T153&lt;'PlayerGrades+'!$AI$16,"E+",IF(T153&lt;'PlayerGrades+'!$AI$15,"D-",IF(T153&lt;'PlayerGrades+'!$AI$14,"D",IF(T153&lt;'PlayerGrades+'!$AI$13,"D+",IF(T153&lt;'PlayerGrades+'!$AI$12,"C-",IF(T153&lt;'PlayerGrades+'!$AI$11,"C",IF(T153&lt;'PlayerGrades+'!$AI$10,"C+",IF(T153&lt;'PlayerGrades+'!$AI$9,"B-",IF(T153&lt;'PlayerGrades+'!$AI$8,"B",IF(T153&lt;'PlayerGrades+'!$AI$7,"B+",IF(T153&lt;'PlayerGrades+'!$AI$6,"A-",IF(T153&lt;'PlayerGrades+'!$AI$5,"A",IF(T153&lt;'PlayerGrades+'!$AI$4,"A+",IF(T153&lt;'PlayerGrades+'!$AI$3,"S-",IF(T153&lt;'PlayerGrades+'!$AI$2,"S","S+"))))))))))))))))))))</f>
        <v>F-</v>
      </c>
      <c r="V153" s="1386"/>
      <c r="W153" s="1386"/>
      <c r="X153" s="1386"/>
      <c r="Y153" s="1386"/>
      <c r="Z153" s="1387"/>
      <c r="AA153" s="1387"/>
      <c r="AB153" s="1387"/>
      <c r="AC153" s="1388"/>
      <c r="AD153" s="1387"/>
      <c r="AE153" s="1387"/>
      <c r="AF153" s="1387"/>
      <c r="AG153" s="1387"/>
      <c r="AH153" s="1387"/>
      <c r="AI153" s="1387"/>
      <c r="AJ153" s="1387"/>
      <c r="AK153" s="1387"/>
      <c r="AL153" s="1387"/>
      <c r="AM153" s="1387"/>
      <c r="AN153" s="1387"/>
      <c r="AO153" s="1387"/>
      <c r="AP153" s="1387"/>
      <c r="AQ153" s="1387"/>
      <c r="AR153" s="1387"/>
      <c r="AS153" s="1387"/>
      <c r="AT153" s="1387"/>
      <c r="AU153" s="1387"/>
      <c r="AV153" s="1387"/>
      <c r="AW153" s="1387"/>
      <c r="AX153" s="1387"/>
      <c r="AY153" s="1387"/>
      <c r="AZ153" s="1387"/>
    </row>
    <row r="154">
      <c r="A154" s="1407"/>
      <c r="B154" s="611" t="str">
        <f>IF(C154&lt;'PlayerGrades+'!$Y$44,"F-",IF(C154&lt;'PlayerGrades+'!$Y$43,"F",IF(C154&lt;'PlayerGrades+'!$Y$42,"F+",IF(C154&lt;'PlayerGrades+'!$Y$41,"E-",IF(C154&lt;'PlayerGrades+'!$Y$40,"E",IF(C154&lt;'PlayerGrades+'!$Y$39,"E+",IF(C154&lt;'PlayerGrades+'!$Y$38,"D-",IF(C154&lt;'PlayerGrades+'!$Y$37,"D",IF(C154&lt;'PlayerGrades+'!$Y$36,"D+",IF(C154&lt;'PlayerGrades+'!$Y$35,"C-",IF(C154&lt;'PlayerGrades+'!$Y$34,"C",IF(C154&lt;'PlayerGrades+'!$Y$33,"C+",IF(C154&lt;'PlayerGrades+'!$Y$32,"B-",IF(C154&lt;'PlayerGrades+'!$Y$31,"B",IF(C154&lt;'PlayerGrades+'!$Y$30,"B+",IF(C154&lt;'PlayerGrades+'!$Y$29,"A-",IF(C154&lt;'PlayerGrades+'!$Y$28,"A",IF(C154&lt;'PlayerGrades+'!$Y$27,"A+",IF(C154&lt;'PlayerGrades+'!$Y$26,"S-",IF(C154&lt;'PlayerGrades+'!$Y$25,"S","S+"))))))))))))))))))))</f>
        <v>#DIV/0!</v>
      </c>
      <c r="C154" s="1378" t="str">
        <f>('PlayerGrades+'!$Y$47*(VLOOKUP(E154, 'PlayerGrades+'!$X$3:$Y$23, 2, FALSE)))+('PlayerGrades+'!$Y$48*(VLOOKUP(G154, 'PlayerGrades+'!$X$3:$Y$23, 2, FALSE)))+('PlayerGrades+'!$Y$49*(VLOOKUP(I154, 'PlayerGrades+'!$X$3:$Y$23, 2, FALSE)))+('PlayerGrades+'!$Y$50*(VLOOKUP(K154, 'PlayerGrades+'!$X$3:$Y$23, 2, FALSE)))+('PlayerGrades+'!$Y$51*(VLOOKUP(M154, 'PlayerGrades+'!$X$3:$Y$23, 2, FALSE)))+('PlayerGrades+'!$Y$52*(VLOOKUP(O154, 'PlayerGrades+'!$X$3:$Y$23, 2, FALSE)))+('PlayerGrades+'!$Y$53*(VLOOKUP(Q154, 'PlayerGrades+'!$X$3:$Y$23, 2, FALSE)))+('PlayerGrades+'!$Y$54*(VLOOKUP(S154, 'PlayerGrades+'!$X$3:$Y$23, 2, FALSE)))+('PlayerGrades+'!$Y$55*(VLOOKUP(U154, 'PlayerGrades+'!$X$3:$Y$23, 2, FALSE)))</f>
        <v>#DIV/0!</v>
      </c>
      <c r="D154" s="961" t="str">
        <f t="shared" si="1"/>
        <v>#DIV/0!</v>
      </c>
      <c r="E154" s="961" t="str">
        <f>IF(D154&lt;'PlayerGrades+'!$AA$21,"F-",IF(D154&lt;'PlayerGrades+'!$AA$20,"F",IF(D154&lt;'PlayerGrades+'!$AA$19,"F+",IF(D154&lt;'PlayerGrades+'!$AA$18,"E-",IF(D154&lt;'PlayerGrades+'!$AA$17,"E",IF(D154&lt;'PlayerGrades+'!$AA$16,"E+",IF(D154&lt;'PlayerGrades+'!$AA$15,"D-",IF(D154&lt;'PlayerGrades+'!$AA$14,"D",IF(D154&lt;'PlayerGrades+'!$AA$13,"D+",IF(D154&lt;'PlayerGrades+'!$AA$12,"C-",IF(D154&lt;'PlayerGrades+'!$AA$11,"C",IF(D154&lt;'PlayerGrades+'!$AA$10,"C+",IF(D154&lt;'PlayerGrades+'!$AA$9,"B-",IF(D154&lt;'PlayerGrades+'!$AA$8,"B",IF(D154&lt;'PlayerGrades+'!$AA$7,"B+",IF(D154&lt;'PlayerGrades+'!$AA$6,"A-",IF(D154&lt;'PlayerGrades+'!$AA$5,"A",IF(D154&lt;'PlayerGrades+'!$AA$4,"A+",IF(D154&lt;'PlayerGrades+'!$AA$3,"S-",IF(D154&lt;'PlayerGrades+'!$AA$2,"S","S+"))))))))))))))))))))</f>
        <v>#DIV/0!</v>
      </c>
      <c r="F154" s="961" t="str">
        <f t="shared" si="2"/>
        <v>#DIV/0!</v>
      </c>
      <c r="G154" s="961" t="str">
        <f>IF(F154&lt;'PlayerGrades+'!$AB$21,"F-",IF(F154&lt;'PlayerGrades+'!$AB$20,"F",IF(F154&lt;'PlayerGrades+'!$AB$19,"F+",IF(F154&lt;'PlayerGrades+'!$AB$18,"E-",IF(F154&lt;'PlayerGrades+'!$AB$17,"E",IF(F154&lt;'PlayerGrades+'!$AB$16,"E+",IF(F154&lt;'PlayerGrades+'!$AB$15,"D-",IF(F154&lt;'PlayerGrades+'!$AB$14,"D",IF(F154&lt;'PlayerGrades+'!$AB$13,"D+",IF(F154&lt;'PlayerGrades+'!$AB$12,"C-",IF(F154&lt;'PlayerGrades+'!$AB$11,"C",IF(F154&lt;'PlayerGrades+'!$AB$10,"C+",IF(F154&lt;'PlayerGrades+'!$AB$9,"B-",IF(F154&lt;'PlayerGrades+'!$AB$8,"B",IF(F154&lt;'PlayerGrades+'!$AB$7,"B+",IF(F154&lt;'PlayerGrades+'!$AB$6,"A-",IF(F154&lt;'PlayerGrades+'!$AB$5,"A",IF(F154&lt;'PlayerGrades+'!$AB$4,"A+",IF(F154&lt;'PlayerGrades+'!$AB$3,"S-",IF(F154&lt;'PlayerGrades+'!$AB$2,"S","S+"))))))))))))))))))))</f>
        <v>#DIV/0!</v>
      </c>
      <c r="H154" s="961" t="str">
        <f t="shared" si="3"/>
        <v>#DIV/0!</v>
      </c>
      <c r="I154" s="961" t="str">
        <f>IF(H154&lt;'PlayerGrades+'!$AC$21,"F-",IF(H154&lt;'PlayerGrades+'!$AC$20,"F",IF(H154&lt;'PlayerGrades+'!$AC$19,"F+",IF(H154&lt;'PlayerGrades+'!$AC$18,"E-",IF(H154&lt;'PlayerGrades+'!$AC$17,"E",IF(H154&lt;'PlayerGrades+'!$AC$16,"E+",IF(H154&lt;'PlayerGrades+'!$AC$15,"D-",IF(H154&lt;'PlayerGrades+'!$AC$14,"D",IF(H154&lt;'PlayerGrades+'!$AC$13,"D+",IF(H154&lt;'PlayerGrades+'!$AC$12,"C-",IF(H154&lt;'PlayerGrades+'!$AC$11,"C",IF(H154&lt;'PlayerGrades+'!$AC$10,"C+",IF(H154&lt;'PlayerGrades+'!$AC$9,"B-",IF(H154&lt;'PlayerGrades+'!$AC$8,"B",IF(H154&lt;'PlayerGrades+'!$AC$7,"B+",IF(H154&lt;'PlayerGrades+'!$AC$6,"A-",IF(H154&lt;'PlayerGrades+'!$AC$5,"A",IF(H154&lt;'PlayerGrades+'!$AC$4,"A+",IF(H154&lt;'PlayerGrades+'!$AC$3,"S-",IF(H154&lt;'PlayerGrades+'!$AC$2,"S","S+"))))))))))))))))))))</f>
        <v>#DIV/0!</v>
      </c>
      <c r="J154" s="961" t="str">
        <f t="shared" si="4"/>
        <v>#DIV/0!</v>
      </c>
      <c r="K154" s="961" t="str">
        <f>IF(J154&lt;'PlayerGrades+'!$AD$21,"F-",IF(J154&lt;'PlayerGrades+'!$AD$20,"F",IF(J154&lt;'PlayerGrades+'!$AD$19,"F+",IF(J154&lt;'PlayerGrades+'!$AD$18,"E-",IF(J154&lt;'PlayerGrades+'!$AD$17,"E",IF(J154&lt;'PlayerGrades+'!$AD$16,"E+",IF(J154&lt;'PlayerGrades+'!$AD$15,"D-",IF(J154&lt;'PlayerGrades+'!$AD$14,"D",IF(J154&lt;'PlayerGrades+'!$AD$13,"D+",IF(J154&lt;'PlayerGrades+'!$AD$12,"C-",IF(J154&lt;'PlayerGrades+'!$AD$11,"C",IF(J154&lt;'PlayerGrades+'!$AD$10,"C+",IF(J154&lt;'PlayerGrades+'!$AD$9,"B-",IF(J154&lt;'PlayerGrades+'!$AD$8,"B",IF(J154&lt;'PlayerGrades+'!$AD$7,"B+",IF(J154&lt;'PlayerGrades+'!$AD$6,"A-",IF(J154&lt;'PlayerGrades+'!$AD$5,"A",IF(J154&lt;'PlayerGrades+'!$AD$4,"A+",IF(J154&lt;'PlayerGrades+'!$AD$3,"S-",IF(J154&lt;'PlayerGrades+'!$AD$2,"S","S+"))))))))))))))))))))</f>
        <v>#DIV/0!</v>
      </c>
      <c r="L154" s="1176" t="str">
        <f t="shared" si="5"/>
        <v>#DIV/0!</v>
      </c>
      <c r="M154" s="992" t="str">
        <f>IF(L154&lt;'PlayerGrades+'!$AE$21,"F-",IF(L154&lt;'PlayerGrades+'!$AE$20,"F",IF(L154&lt;'PlayerGrades+'!$AE$19,"F+",IF(L154&lt;'PlayerGrades+'!$AE$18,"E-",IF(L154&lt;'PlayerGrades+'!$AE$17,"E",IF(L154&lt;'PlayerGrades+'!$AE$16,"E+",IF(L154&lt;'PlayerGrades+'!$AE$15,"D-",IF(L154&lt;'PlayerGrades+'!$AE$14,"D",IF(L154&lt;'PlayerGrades+'!$AE$13,"D+",IF(L154&lt;'PlayerGrades+'!$AE$12,"C-",IF(L154&lt;'PlayerGrades+'!$AE$11,"C",IF(L154&lt;'PlayerGrades+'!$AE$10,"C+",IF(L154&lt;'PlayerGrades+'!$AE$9,"B-",IF(L154&lt;'PlayerGrades+'!$AE$8,"B",IF(L154&lt;'PlayerGrades+'!$AE$7,"B+",IF(L154&lt;'PlayerGrades+'!$AE$6,"A-",IF(L154&lt;'PlayerGrades+'!$AE$5,"A",IF(L154&lt;'PlayerGrades+'!$AE$4,"A+",IF(L154&lt;'PlayerGrades+'!$AE$3,"S-",IF(L154&lt;'PlayerGrades+'!$AE$2,"S","S+"))))))))))))))))))))</f>
        <v>#DIV/0!</v>
      </c>
      <c r="N154" s="961" t="str">
        <f t="shared" si="6"/>
        <v>#DIV/0!</v>
      </c>
      <c r="O154" s="961" t="str">
        <f>IF(N154&lt;'PlayerGrades+'!$AF$21,"F-",IF(N154&lt;'PlayerGrades+'!$AF$20,"F",IF(N154&lt;'PlayerGrades+'!$AF$19,"F+",IF(N154&lt;'PlayerGrades+'!$AF$18,"E-",IF(N154&lt;'PlayerGrades+'!$AF$17,"E",IF(N154&lt;'PlayerGrades+'!$AF$16,"E+",IF(N154&lt;'PlayerGrades+'!$AF$15,"D-",IF(N154&lt;'PlayerGrades+'!$AF$14,"D",IF(N154&lt;'PlayerGrades+'!$AF$13,"D+",IF(N154&lt;'PlayerGrades+'!$AF$12,"C-",IF(N154&lt;'PlayerGrades+'!$AF$11,"C",IF(N154&lt;'PlayerGrades+'!$AF$10,"C+",IF(N154&lt;'PlayerGrades+'!$AF$9,"B-",IF(N154&lt;'PlayerGrades+'!$AF$8,"B",IF(N154&lt;'PlayerGrades+'!$AF$7,"B+",IF(N154&lt;'PlayerGrades+'!$AF$6,"A-",IF(N154&lt;'PlayerGrades+'!$AF$5,"A",IF(N154&lt;'PlayerGrades+'!$AF$4,"A+",IF(N154&lt;'PlayerGrades+'!$AF$3,"S-",IF(N154&lt;'PlayerGrades+'!$AF$2,"S","S+"))))))))))))))))))))</f>
        <v>#DIV/0!</v>
      </c>
      <c r="P154" s="961" t="str">
        <f t="shared" si="7"/>
        <v>#DIV/0!</v>
      </c>
      <c r="Q154" s="961" t="str">
        <f>IF(P154&lt;'PlayerGrades+'!$AG$21,"F-",IF(P154&lt;'PlayerGrades+'!$AG$20,"F",IF(P154&lt;'PlayerGrades+'!$AG$19,"F+",IF(P154&lt;'PlayerGrades+'!$AG$18,"E-",IF(P154&lt;'PlayerGrades+'!$AG$17,"E",IF(P154&lt;'PlayerGrades+'!$AG$16,"E+",IF(P154&lt;'PlayerGrades+'!$AG$15,"D-",IF(P154&lt;'PlayerGrades+'!$AG$14,"D",IF(P154&lt;'PlayerGrades+'!$AG$13,"D+",IF(P154&lt;'PlayerGrades+'!$AG$12,"C-",IF(P154&lt;'PlayerGrades+'!$AG$11,"C",IF(P154&lt;'PlayerGrades+'!$AG$10,"C+",IF(P154&lt;'PlayerGrades+'!$AG$9,"B-",IF(P154&lt;'PlayerGrades+'!$AG$8,"B",IF(P154&lt;'PlayerGrades+'!$AG$7,"B+",IF(P154&lt;'PlayerGrades+'!$AG$6,"A-",IF(P154&lt;'PlayerGrades+'!$AG$5,"A",IF(P154&lt;'PlayerGrades+'!$AG$4,"A+",IF(P154&lt;'PlayerGrades+'!$AG$3,"S-",IF(P154&lt;'PlayerGrades+'!$AG$2,"S","S+"))))))))))))))))))))</f>
        <v>#DIV/0!</v>
      </c>
      <c r="R154" s="961" t="str">
        <f t="shared" si="8"/>
        <v>#DIV/0!</v>
      </c>
      <c r="S154" s="961" t="str">
        <f>IF(R154&lt;'PlayerGrades+'!$AH$21,"F-",IF(R154&lt;'PlayerGrades+'!$AH$20,"F",IF(R154&lt;'PlayerGrades+'!$AH$19,"F+",IF(R154&lt;'PlayerGrades+'!$AH$18,"E-",IF(R154&lt;'PlayerGrades+'!$AH$17,"E",IF(R154&lt;'PlayerGrades+'!$AH$16,"E+",IF(R154&lt;'PlayerGrades+'!$AH$15,"D-",IF(R154&lt;'PlayerGrades+'!$AH$14,"D",IF(R154&lt;'PlayerGrades+'!$AH$13,"D+",IF(R154&lt;'PlayerGrades+'!$AH$12,"C-",IF(R154&lt;'PlayerGrades+'!$AH$11,"C",IF(R154&lt;'PlayerGrades+'!$AH$10,"C+",IF(R154&lt;'PlayerGrades+'!$AH$9,"B-",IF(R154&lt;'PlayerGrades+'!$AH$8,"B",IF(R154&lt;'PlayerGrades+'!$AH$7,"B+",IF(R154&lt;'PlayerGrades+'!$AH$6,"A-",IF(R154&lt;'PlayerGrades+'!$AH$5,"A",IF(R154&lt;'PlayerGrades+'!$AH$4,"A+",IF(R154&lt;'PlayerGrades+'!$AH$3,"S-",IF(R154&lt;'PlayerGrades+'!$AH$2,"S","S+"))))))))))))))))))))</f>
        <v>#DIV/0!</v>
      </c>
      <c r="T154" s="961">
        <f t="shared" si="9"/>
        <v>0</v>
      </c>
      <c r="U154" s="961" t="str">
        <f>IF(T154&lt;'PlayerGrades+'!$AI$21,"F-",IF(T154&lt;'PlayerGrades+'!$AI$20,"F",IF(T154&lt;'PlayerGrades+'!$AI$19,"F+",IF(T154&lt;'PlayerGrades+'!$AI$18,"E-",IF(T154&lt;'PlayerGrades+'!$AI$17,"E",IF(T154&lt;'PlayerGrades+'!$AI$16,"E+",IF(T154&lt;'PlayerGrades+'!$AI$15,"D-",IF(T154&lt;'PlayerGrades+'!$AI$14,"D",IF(T154&lt;'PlayerGrades+'!$AI$13,"D+",IF(T154&lt;'PlayerGrades+'!$AI$12,"C-",IF(T154&lt;'PlayerGrades+'!$AI$11,"C",IF(T154&lt;'PlayerGrades+'!$AI$10,"C+",IF(T154&lt;'PlayerGrades+'!$AI$9,"B-",IF(T154&lt;'PlayerGrades+'!$AI$8,"B",IF(T154&lt;'PlayerGrades+'!$AI$7,"B+",IF(T154&lt;'PlayerGrades+'!$AI$6,"A-",IF(T154&lt;'PlayerGrades+'!$AI$5,"A",IF(T154&lt;'PlayerGrades+'!$AI$4,"A+",IF(T154&lt;'PlayerGrades+'!$AI$3,"S-",IF(T154&lt;'PlayerGrades+'!$AI$2,"S","S+"))))))))))))))))))))</f>
        <v>F-</v>
      </c>
      <c r="V154" s="1410"/>
      <c r="W154" s="1379"/>
      <c r="X154" s="1379"/>
      <c r="Y154" s="1379"/>
      <c r="Z154" s="1380"/>
      <c r="AA154" s="1380"/>
      <c r="AB154" s="1380"/>
      <c r="AC154" s="1381"/>
      <c r="AD154" s="1380"/>
      <c r="AE154" s="1380"/>
      <c r="AF154" s="1380"/>
      <c r="AG154" s="1380"/>
      <c r="AH154" s="1380"/>
      <c r="AI154" s="1380"/>
      <c r="AJ154" s="1380"/>
      <c r="AK154" s="1380"/>
      <c r="AL154" s="1380"/>
      <c r="AM154" s="1380"/>
      <c r="AN154" s="1380"/>
      <c r="AO154" s="1380"/>
      <c r="AP154" s="1380"/>
      <c r="AQ154" s="1380"/>
      <c r="AR154" s="1380"/>
      <c r="AS154" s="1380"/>
      <c r="AT154" s="1380"/>
      <c r="AU154" s="1380"/>
      <c r="AV154" s="1380"/>
      <c r="AW154" s="1380"/>
      <c r="AX154" s="1380"/>
      <c r="AY154" s="1380"/>
      <c r="AZ154" s="1380"/>
    </row>
    <row r="155">
      <c r="A155" s="1408"/>
      <c r="B155" s="611" t="str">
        <f>IF(C155&lt;'PlayerGrades+'!$Y$44,"F-",IF(C155&lt;'PlayerGrades+'!$Y$43,"F",IF(C155&lt;'PlayerGrades+'!$Y$42,"F+",IF(C155&lt;'PlayerGrades+'!$Y$41,"E-",IF(C155&lt;'PlayerGrades+'!$Y$40,"E",IF(C155&lt;'PlayerGrades+'!$Y$39,"E+",IF(C155&lt;'PlayerGrades+'!$Y$38,"D-",IF(C155&lt;'PlayerGrades+'!$Y$37,"D",IF(C155&lt;'PlayerGrades+'!$Y$36,"D+",IF(C155&lt;'PlayerGrades+'!$Y$35,"C-",IF(C155&lt;'PlayerGrades+'!$Y$34,"C",IF(C155&lt;'PlayerGrades+'!$Y$33,"C+",IF(C155&lt;'PlayerGrades+'!$Y$32,"B-",IF(C155&lt;'PlayerGrades+'!$Y$31,"B",IF(C155&lt;'PlayerGrades+'!$Y$30,"B+",IF(C155&lt;'PlayerGrades+'!$Y$29,"A-",IF(C155&lt;'PlayerGrades+'!$Y$28,"A",IF(C155&lt;'PlayerGrades+'!$Y$27,"A+",IF(C155&lt;'PlayerGrades+'!$Y$26,"S-",IF(C155&lt;'PlayerGrades+'!$Y$25,"S","S+"))))))))))))))))))))</f>
        <v>#DIV/0!</v>
      </c>
      <c r="C155" s="1378" t="str">
        <f>('PlayerGrades+'!$Y$47*(VLOOKUP(E155, 'PlayerGrades+'!$X$3:$Y$23, 2, FALSE)))+('PlayerGrades+'!$Y$48*(VLOOKUP(G155, 'PlayerGrades+'!$X$3:$Y$23, 2, FALSE)))+('PlayerGrades+'!$Y$49*(VLOOKUP(I155, 'PlayerGrades+'!$X$3:$Y$23, 2, FALSE)))+('PlayerGrades+'!$Y$50*(VLOOKUP(K155, 'PlayerGrades+'!$X$3:$Y$23, 2, FALSE)))+('PlayerGrades+'!$Y$51*(VLOOKUP(M155, 'PlayerGrades+'!$X$3:$Y$23, 2, FALSE)))+('PlayerGrades+'!$Y$52*(VLOOKUP(O155, 'PlayerGrades+'!$X$3:$Y$23, 2, FALSE)))+('PlayerGrades+'!$Y$53*(VLOOKUP(Q155, 'PlayerGrades+'!$X$3:$Y$23, 2, FALSE)))+('PlayerGrades+'!$Y$54*(VLOOKUP(S155, 'PlayerGrades+'!$X$3:$Y$23, 2, FALSE)))+('PlayerGrades+'!$Y$55*(VLOOKUP(U155, 'PlayerGrades+'!$X$3:$Y$23, 2, FALSE)))</f>
        <v>#DIV/0!</v>
      </c>
      <c r="D155" s="961" t="str">
        <f t="shared" si="1"/>
        <v>#DIV/0!</v>
      </c>
      <c r="E155" s="961" t="str">
        <f>IF(D155&lt;'PlayerGrades+'!$AA$21,"F-",IF(D155&lt;'PlayerGrades+'!$AA$20,"F",IF(D155&lt;'PlayerGrades+'!$AA$19,"F+",IF(D155&lt;'PlayerGrades+'!$AA$18,"E-",IF(D155&lt;'PlayerGrades+'!$AA$17,"E",IF(D155&lt;'PlayerGrades+'!$AA$16,"E+",IF(D155&lt;'PlayerGrades+'!$AA$15,"D-",IF(D155&lt;'PlayerGrades+'!$AA$14,"D",IF(D155&lt;'PlayerGrades+'!$AA$13,"D+",IF(D155&lt;'PlayerGrades+'!$AA$12,"C-",IF(D155&lt;'PlayerGrades+'!$AA$11,"C",IF(D155&lt;'PlayerGrades+'!$AA$10,"C+",IF(D155&lt;'PlayerGrades+'!$AA$9,"B-",IF(D155&lt;'PlayerGrades+'!$AA$8,"B",IF(D155&lt;'PlayerGrades+'!$AA$7,"B+",IF(D155&lt;'PlayerGrades+'!$AA$6,"A-",IF(D155&lt;'PlayerGrades+'!$AA$5,"A",IF(D155&lt;'PlayerGrades+'!$AA$4,"A+",IF(D155&lt;'PlayerGrades+'!$AA$3,"S-",IF(D155&lt;'PlayerGrades+'!$AA$2,"S","S+"))))))))))))))))))))</f>
        <v>#DIV/0!</v>
      </c>
      <c r="F155" s="961" t="str">
        <f t="shared" si="2"/>
        <v>#DIV/0!</v>
      </c>
      <c r="G155" s="961" t="str">
        <f>IF(F155&lt;'PlayerGrades+'!$AB$21,"F-",IF(F155&lt;'PlayerGrades+'!$AB$20,"F",IF(F155&lt;'PlayerGrades+'!$AB$19,"F+",IF(F155&lt;'PlayerGrades+'!$AB$18,"E-",IF(F155&lt;'PlayerGrades+'!$AB$17,"E",IF(F155&lt;'PlayerGrades+'!$AB$16,"E+",IF(F155&lt;'PlayerGrades+'!$AB$15,"D-",IF(F155&lt;'PlayerGrades+'!$AB$14,"D",IF(F155&lt;'PlayerGrades+'!$AB$13,"D+",IF(F155&lt;'PlayerGrades+'!$AB$12,"C-",IF(F155&lt;'PlayerGrades+'!$AB$11,"C",IF(F155&lt;'PlayerGrades+'!$AB$10,"C+",IF(F155&lt;'PlayerGrades+'!$AB$9,"B-",IF(F155&lt;'PlayerGrades+'!$AB$8,"B",IF(F155&lt;'PlayerGrades+'!$AB$7,"B+",IF(F155&lt;'PlayerGrades+'!$AB$6,"A-",IF(F155&lt;'PlayerGrades+'!$AB$5,"A",IF(F155&lt;'PlayerGrades+'!$AB$4,"A+",IF(F155&lt;'PlayerGrades+'!$AB$3,"S-",IF(F155&lt;'PlayerGrades+'!$AB$2,"S","S+"))))))))))))))))))))</f>
        <v>#DIV/0!</v>
      </c>
      <c r="H155" s="961" t="str">
        <f t="shared" si="3"/>
        <v>#DIV/0!</v>
      </c>
      <c r="I155" s="961" t="str">
        <f>IF(H155&lt;'PlayerGrades+'!$AC$21,"F-",IF(H155&lt;'PlayerGrades+'!$AC$20,"F",IF(H155&lt;'PlayerGrades+'!$AC$19,"F+",IF(H155&lt;'PlayerGrades+'!$AC$18,"E-",IF(H155&lt;'PlayerGrades+'!$AC$17,"E",IF(H155&lt;'PlayerGrades+'!$AC$16,"E+",IF(H155&lt;'PlayerGrades+'!$AC$15,"D-",IF(H155&lt;'PlayerGrades+'!$AC$14,"D",IF(H155&lt;'PlayerGrades+'!$AC$13,"D+",IF(H155&lt;'PlayerGrades+'!$AC$12,"C-",IF(H155&lt;'PlayerGrades+'!$AC$11,"C",IF(H155&lt;'PlayerGrades+'!$AC$10,"C+",IF(H155&lt;'PlayerGrades+'!$AC$9,"B-",IF(H155&lt;'PlayerGrades+'!$AC$8,"B",IF(H155&lt;'PlayerGrades+'!$AC$7,"B+",IF(H155&lt;'PlayerGrades+'!$AC$6,"A-",IF(H155&lt;'PlayerGrades+'!$AC$5,"A",IF(H155&lt;'PlayerGrades+'!$AC$4,"A+",IF(H155&lt;'PlayerGrades+'!$AC$3,"S-",IF(H155&lt;'PlayerGrades+'!$AC$2,"S","S+"))))))))))))))))))))</f>
        <v>#DIV/0!</v>
      </c>
      <c r="J155" s="961" t="str">
        <f t="shared" si="4"/>
        <v>#DIV/0!</v>
      </c>
      <c r="K155" s="961" t="str">
        <f>IF(J155&lt;'PlayerGrades+'!$AD$21,"F-",IF(J155&lt;'PlayerGrades+'!$AD$20,"F",IF(J155&lt;'PlayerGrades+'!$AD$19,"F+",IF(J155&lt;'PlayerGrades+'!$AD$18,"E-",IF(J155&lt;'PlayerGrades+'!$AD$17,"E",IF(J155&lt;'PlayerGrades+'!$AD$16,"E+",IF(J155&lt;'PlayerGrades+'!$AD$15,"D-",IF(J155&lt;'PlayerGrades+'!$AD$14,"D",IF(J155&lt;'PlayerGrades+'!$AD$13,"D+",IF(J155&lt;'PlayerGrades+'!$AD$12,"C-",IF(J155&lt;'PlayerGrades+'!$AD$11,"C",IF(J155&lt;'PlayerGrades+'!$AD$10,"C+",IF(J155&lt;'PlayerGrades+'!$AD$9,"B-",IF(J155&lt;'PlayerGrades+'!$AD$8,"B",IF(J155&lt;'PlayerGrades+'!$AD$7,"B+",IF(J155&lt;'PlayerGrades+'!$AD$6,"A-",IF(J155&lt;'PlayerGrades+'!$AD$5,"A",IF(J155&lt;'PlayerGrades+'!$AD$4,"A+",IF(J155&lt;'PlayerGrades+'!$AD$3,"S-",IF(J155&lt;'PlayerGrades+'!$AD$2,"S","S+"))))))))))))))))))))</f>
        <v>#DIV/0!</v>
      </c>
      <c r="L155" s="1176" t="str">
        <f t="shared" si="5"/>
        <v>#DIV/0!</v>
      </c>
      <c r="M155" s="992" t="str">
        <f>IF(L155&lt;'PlayerGrades+'!$AE$21,"F-",IF(L155&lt;'PlayerGrades+'!$AE$20,"F",IF(L155&lt;'PlayerGrades+'!$AE$19,"F+",IF(L155&lt;'PlayerGrades+'!$AE$18,"E-",IF(L155&lt;'PlayerGrades+'!$AE$17,"E",IF(L155&lt;'PlayerGrades+'!$AE$16,"E+",IF(L155&lt;'PlayerGrades+'!$AE$15,"D-",IF(L155&lt;'PlayerGrades+'!$AE$14,"D",IF(L155&lt;'PlayerGrades+'!$AE$13,"D+",IF(L155&lt;'PlayerGrades+'!$AE$12,"C-",IF(L155&lt;'PlayerGrades+'!$AE$11,"C",IF(L155&lt;'PlayerGrades+'!$AE$10,"C+",IF(L155&lt;'PlayerGrades+'!$AE$9,"B-",IF(L155&lt;'PlayerGrades+'!$AE$8,"B",IF(L155&lt;'PlayerGrades+'!$AE$7,"B+",IF(L155&lt;'PlayerGrades+'!$AE$6,"A-",IF(L155&lt;'PlayerGrades+'!$AE$5,"A",IF(L155&lt;'PlayerGrades+'!$AE$4,"A+",IF(L155&lt;'PlayerGrades+'!$AE$3,"S-",IF(L155&lt;'PlayerGrades+'!$AE$2,"S","S+"))))))))))))))))))))</f>
        <v>#DIV/0!</v>
      </c>
      <c r="N155" s="961" t="str">
        <f t="shared" si="6"/>
        <v>#DIV/0!</v>
      </c>
      <c r="O155" s="961" t="str">
        <f>IF(N155&lt;'PlayerGrades+'!$AF$21,"F-",IF(N155&lt;'PlayerGrades+'!$AF$20,"F",IF(N155&lt;'PlayerGrades+'!$AF$19,"F+",IF(N155&lt;'PlayerGrades+'!$AF$18,"E-",IF(N155&lt;'PlayerGrades+'!$AF$17,"E",IF(N155&lt;'PlayerGrades+'!$AF$16,"E+",IF(N155&lt;'PlayerGrades+'!$AF$15,"D-",IF(N155&lt;'PlayerGrades+'!$AF$14,"D",IF(N155&lt;'PlayerGrades+'!$AF$13,"D+",IF(N155&lt;'PlayerGrades+'!$AF$12,"C-",IF(N155&lt;'PlayerGrades+'!$AF$11,"C",IF(N155&lt;'PlayerGrades+'!$AF$10,"C+",IF(N155&lt;'PlayerGrades+'!$AF$9,"B-",IF(N155&lt;'PlayerGrades+'!$AF$8,"B",IF(N155&lt;'PlayerGrades+'!$AF$7,"B+",IF(N155&lt;'PlayerGrades+'!$AF$6,"A-",IF(N155&lt;'PlayerGrades+'!$AF$5,"A",IF(N155&lt;'PlayerGrades+'!$AF$4,"A+",IF(N155&lt;'PlayerGrades+'!$AF$3,"S-",IF(N155&lt;'PlayerGrades+'!$AF$2,"S","S+"))))))))))))))))))))</f>
        <v>#DIV/0!</v>
      </c>
      <c r="P155" s="961" t="str">
        <f t="shared" si="7"/>
        <v>#DIV/0!</v>
      </c>
      <c r="Q155" s="961" t="str">
        <f>IF(P155&lt;'PlayerGrades+'!$AG$21,"F-",IF(P155&lt;'PlayerGrades+'!$AG$20,"F",IF(P155&lt;'PlayerGrades+'!$AG$19,"F+",IF(P155&lt;'PlayerGrades+'!$AG$18,"E-",IF(P155&lt;'PlayerGrades+'!$AG$17,"E",IF(P155&lt;'PlayerGrades+'!$AG$16,"E+",IF(P155&lt;'PlayerGrades+'!$AG$15,"D-",IF(P155&lt;'PlayerGrades+'!$AG$14,"D",IF(P155&lt;'PlayerGrades+'!$AG$13,"D+",IF(P155&lt;'PlayerGrades+'!$AG$12,"C-",IF(P155&lt;'PlayerGrades+'!$AG$11,"C",IF(P155&lt;'PlayerGrades+'!$AG$10,"C+",IF(P155&lt;'PlayerGrades+'!$AG$9,"B-",IF(P155&lt;'PlayerGrades+'!$AG$8,"B",IF(P155&lt;'PlayerGrades+'!$AG$7,"B+",IF(P155&lt;'PlayerGrades+'!$AG$6,"A-",IF(P155&lt;'PlayerGrades+'!$AG$5,"A",IF(P155&lt;'PlayerGrades+'!$AG$4,"A+",IF(P155&lt;'PlayerGrades+'!$AG$3,"S-",IF(P155&lt;'PlayerGrades+'!$AG$2,"S","S+"))))))))))))))))))))</f>
        <v>#DIV/0!</v>
      </c>
      <c r="R155" s="961" t="str">
        <f t="shared" si="8"/>
        <v>#DIV/0!</v>
      </c>
      <c r="S155" s="961" t="str">
        <f>IF(R155&lt;'PlayerGrades+'!$AH$21,"F-",IF(R155&lt;'PlayerGrades+'!$AH$20,"F",IF(R155&lt;'PlayerGrades+'!$AH$19,"F+",IF(R155&lt;'PlayerGrades+'!$AH$18,"E-",IF(R155&lt;'PlayerGrades+'!$AH$17,"E",IF(R155&lt;'PlayerGrades+'!$AH$16,"E+",IF(R155&lt;'PlayerGrades+'!$AH$15,"D-",IF(R155&lt;'PlayerGrades+'!$AH$14,"D",IF(R155&lt;'PlayerGrades+'!$AH$13,"D+",IF(R155&lt;'PlayerGrades+'!$AH$12,"C-",IF(R155&lt;'PlayerGrades+'!$AH$11,"C",IF(R155&lt;'PlayerGrades+'!$AH$10,"C+",IF(R155&lt;'PlayerGrades+'!$AH$9,"B-",IF(R155&lt;'PlayerGrades+'!$AH$8,"B",IF(R155&lt;'PlayerGrades+'!$AH$7,"B+",IF(R155&lt;'PlayerGrades+'!$AH$6,"A-",IF(R155&lt;'PlayerGrades+'!$AH$5,"A",IF(R155&lt;'PlayerGrades+'!$AH$4,"A+",IF(R155&lt;'PlayerGrades+'!$AH$3,"S-",IF(R155&lt;'PlayerGrades+'!$AH$2,"S","S+"))))))))))))))))))))</f>
        <v>#DIV/0!</v>
      </c>
      <c r="T155" s="961">
        <f t="shared" si="9"/>
        <v>0</v>
      </c>
      <c r="U155" s="961" t="str">
        <f>IF(T155&lt;'PlayerGrades+'!$AI$21,"F-",IF(T155&lt;'PlayerGrades+'!$AI$20,"F",IF(T155&lt;'PlayerGrades+'!$AI$19,"F+",IF(T155&lt;'PlayerGrades+'!$AI$18,"E-",IF(T155&lt;'PlayerGrades+'!$AI$17,"E",IF(T155&lt;'PlayerGrades+'!$AI$16,"E+",IF(T155&lt;'PlayerGrades+'!$AI$15,"D-",IF(T155&lt;'PlayerGrades+'!$AI$14,"D",IF(T155&lt;'PlayerGrades+'!$AI$13,"D+",IF(T155&lt;'PlayerGrades+'!$AI$12,"C-",IF(T155&lt;'PlayerGrades+'!$AI$11,"C",IF(T155&lt;'PlayerGrades+'!$AI$10,"C+",IF(T155&lt;'PlayerGrades+'!$AI$9,"B-",IF(T155&lt;'PlayerGrades+'!$AI$8,"B",IF(T155&lt;'PlayerGrades+'!$AI$7,"B+",IF(T155&lt;'PlayerGrades+'!$AI$6,"A-",IF(T155&lt;'PlayerGrades+'!$AI$5,"A",IF(T155&lt;'PlayerGrades+'!$AI$4,"A+",IF(T155&lt;'PlayerGrades+'!$AI$3,"S-",IF(T155&lt;'PlayerGrades+'!$AI$2,"S","S+"))))))))))))))))))))</f>
        <v>F-</v>
      </c>
      <c r="Z155" s="1383"/>
      <c r="AA155" s="1383"/>
      <c r="AB155" s="1383"/>
      <c r="AC155" s="1384"/>
      <c r="AD155" s="1383"/>
      <c r="AE155" s="1383"/>
      <c r="AF155" s="1383"/>
      <c r="AG155" s="1383"/>
      <c r="AH155" s="1383"/>
      <c r="AI155" s="1383"/>
      <c r="AJ155" s="1383"/>
      <c r="AK155" s="1383"/>
      <c r="AL155" s="1383"/>
      <c r="AM155" s="1383"/>
      <c r="AN155" s="1383"/>
      <c r="AO155" s="1383"/>
      <c r="AP155" s="1383"/>
      <c r="AQ155" s="1383"/>
      <c r="AR155" s="1383"/>
      <c r="AS155" s="1383"/>
      <c r="AT155" s="1383"/>
      <c r="AU155" s="1383"/>
      <c r="AV155" s="1383"/>
      <c r="AW155" s="1383"/>
      <c r="AX155" s="1383"/>
      <c r="AY155" s="1383"/>
      <c r="AZ155" s="1383"/>
    </row>
    <row r="156">
      <c r="A156" s="1408"/>
      <c r="B156" s="611" t="str">
        <f>IF(C156&lt;'PlayerGrades+'!$Y$44,"F-",IF(C156&lt;'PlayerGrades+'!$Y$43,"F",IF(C156&lt;'PlayerGrades+'!$Y$42,"F+",IF(C156&lt;'PlayerGrades+'!$Y$41,"E-",IF(C156&lt;'PlayerGrades+'!$Y$40,"E",IF(C156&lt;'PlayerGrades+'!$Y$39,"E+",IF(C156&lt;'PlayerGrades+'!$Y$38,"D-",IF(C156&lt;'PlayerGrades+'!$Y$37,"D",IF(C156&lt;'PlayerGrades+'!$Y$36,"D+",IF(C156&lt;'PlayerGrades+'!$Y$35,"C-",IF(C156&lt;'PlayerGrades+'!$Y$34,"C",IF(C156&lt;'PlayerGrades+'!$Y$33,"C+",IF(C156&lt;'PlayerGrades+'!$Y$32,"B-",IF(C156&lt;'PlayerGrades+'!$Y$31,"B",IF(C156&lt;'PlayerGrades+'!$Y$30,"B+",IF(C156&lt;'PlayerGrades+'!$Y$29,"A-",IF(C156&lt;'PlayerGrades+'!$Y$28,"A",IF(C156&lt;'PlayerGrades+'!$Y$27,"A+",IF(C156&lt;'PlayerGrades+'!$Y$26,"S-",IF(C156&lt;'PlayerGrades+'!$Y$25,"S","S+"))))))))))))))))))))</f>
        <v>#DIV/0!</v>
      </c>
      <c r="C156" s="1378" t="str">
        <f>('PlayerGrades+'!$Y$47*(VLOOKUP(E156, 'PlayerGrades+'!$X$3:$Y$23, 2, FALSE)))+('PlayerGrades+'!$Y$48*(VLOOKUP(G156, 'PlayerGrades+'!$X$3:$Y$23, 2, FALSE)))+('PlayerGrades+'!$Y$49*(VLOOKUP(I156, 'PlayerGrades+'!$X$3:$Y$23, 2, FALSE)))+('PlayerGrades+'!$Y$50*(VLOOKUP(K156, 'PlayerGrades+'!$X$3:$Y$23, 2, FALSE)))+('PlayerGrades+'!$Y$51*(VLOOKUP(M156, 'PlayerGrades+'!$X$3:$Y$23, 2, FALSE)))+('PlayerGrades+'!$Y$52*(VLOOKUP(O156, 'PlayerGrades+'!$X$3:$Y$23, 2, FALSE)))+('PlayerGrades+'!$Y$53*(VLOOKUP(Q156, 'PlayerGrades+'!$X$3:$Y$23, 2, FALSE)))+('PlayerGrades+'!$Y$54*(VLOOKUP(S156, 'PlayerGrades+'!$X$3:$Y$23, 2, FALSE)))+('PlayerGrades+'!$Y$55*(VLOOKUP(U156, 'PlayerGrades+'!$X$3:$Y$23, 2, FALSE)))</f>
        <v>#DIV/0!</v>
      </c>
      <c r="D156" s="961" t="str">
        <f t="shared" si="1"/>
        <v>#DIV/0!</v>
      </c>
      <c r="E156" s="961" t="str">
        <f>IF(D156&lt;'PlayerGrades+'!$AA$21,"F-",IF(D156&lt;'PlayerGrades+'!$AA$20,"F",IF(D156&lt;'PlayerGrades+'!$AA$19,"F+",IF(D156&lt;'PlayerGrades+'!$AA$18,"E-",IF(D156&lt;'PlayerGrades+'!$AA$17,"E",IF(D156&lt;'PlayerGrades+'!$AA$16,"E+",IF(D156&lt;'PlayerGrades+'!$AA$15,"D-",IF(D156&lt;'PlayerGrades+'!$AA$14,"D",IF(D156&lt;'PlayerGrades+'!$AA$13,"D+",IF(D156&lt;'PlayerGrades+'!$AA$12,"C-",IF(D156&lt;'PlayerGrades+'!$AA$11,"C",IF(D156&lt;'PlayerGrades+'!$AA$10,"C+",IF(D156&lt;'PlayerGrades+'!$AA$9,"B-",IF(D156&lt;'PlayerGrades+'!$AA$8,"B",IF(D156&lt;'PlayerGrades+'!$AA$7,"B+",IF(D156&lt;'PlayerGrades+'!$AA$6,"A-",IF(D156&lt;'PlayerGrades+'!$AA$5,"A",IF(D156&lt;'PlayerGrades+'!$AA$4,"A+",IF(D156&lt;'PlayerGrades+'!$AA$3,"S-",IF(D156&lt;'PlayerGrades+'!$AA$2,"S","S+"))))))))))))))))))))</f>
        <v>#DIV/0!</v>
      </c>
      <c r="F156" s="961" t="str">
        <f t="shared" si="2"/>
        <v>#DIV/0!</v>
      </c>
      <c r="G156" s="961" t="str">
        <f>IF(F156&lt;'PlayerGrades+'!$AB$21,"F-",IF(F156&lt;'PlayerGrades+'!$AB$20,"F",IF(F156&lt;'PlayerGrades+'!$AB$19,"F+",IF(F156&lt;'PlayerGrades+'!$AB$18,"E-",IF(F156&lt;'PlayerGrades+'!$AB$17,"E",IF(F156&lt;'PlayerGrades+'!$AB$16,"E+",IF(F156&lt;'PlayerGrades+'!$AB$15,"D-",IF(F156&lt;'PlayerGrades+'!$AB$14,"D",IF(F156&lt;'PlayerGrades+'!$AB$13,"D+",IF(F156&lt;'PlayerGrades+'!$AB$12,"C-",IF(F156&lt;'PlayerGrades+'!$AB$11,"C",IF(F156&lt;'PlayerGrades+'!$AB$10,"C+",IF(F156&lt;'PlayerGrades+'!$AB$9,"B-",IF(F156&lt;'PlayerGrades+'!$AB$8,"B",IF(F156&lt;'PlayerGrades+'!$AB$7,"B+",IF(F156&lt;'PlayerGrades+'!$AB$6,"A-",IF(F156&lt;'PlayerGrades+'!$AB$5,"A",IF(F156&lt;'PlayerGrades+'!$AB$4,"A+",IF(F156&lt;'PlayerGrades+'!$AB$3,"S-",IF(F156&lt;'PlayerGrades+'!$AB$2,"S","S+"))))))))))))))))))))</f>
        <v>#DIV/0!</v>
      </c>
      <c r="H156" s="961" t="str">
        <f t="shared" si="3"/>
        <v>#DIV/0!</v>
      </c>
      <c r="I156" s="961" t="str">
        <f>IF(H156&lt;'PlayerGrades+'!$AC$21,"F-",IF(H156&lt;'PlayerGrades+'!$AC$20,"F",IF(H156&lt;'PlayerGrades+'!$AC$19,"F+",IF(H156&lt;'PlayerGrades+'!$AC$18,"E-",IF(H156&lt;'PlayerGrades+'!$AC$17,"E",IF(H156&lt;'PlayerGrades+'!$AC$16,"E+",IF(H156&lt;'PlayerGrades+'!$AC$15,"D-",IF(H156&lt;'PlayerGrades+'!$AC$14,"D",IF(H156&lt;'PlayerGrades+'!$AC$13,"D+",IF(H156&lt;'PlayerGrades+'!$AC$12,"C-",IF(H156&lt;'PlayerGrades+'!$AC$11,"C",IF(H156&lt;'PlayerGrades+'!$AC$10,"C+",IF(H156&lt;'PlayerGrades+'!$AC$9,"B-",IF(H156&lt;'PlayerGrades+'!$AC$8,"B",IF(H156&lt;'PlayerGrades+'!$AC$7,"B+",IF(H156&lt;'PlayerGrades+'!$AC$6,"A-",IF(H156&lt;'PlayerGrades+'!$AC$5,"A",IF(H156&lt;'PlayerGrades+'!$AC$4,"A+",IF(H156&lt;'PlayerGrades+'!$AC$3,"S-",IF(H156&lt;'PlayerGrades+'!$AC$2,"S","S+"))))))))))))))))))))</f>
        <v>#DIV/0!</v>
      </c>
      <c r="J156" s="961" t="str">
        <f t="shared" si="4"/>
        <v>#DIV/0!</v>
      </c>
      <c r="K156" s="961" t="str">
        <f>IF(J156&lt;'PlayerGrades+'!$AD$21,"F-",IF(J156&lt;'PlayerGrades+'!$AD$20,"F",IF(J156&lt;'PlayerGrades+'!$AD$19,"F+",IF(J156&lt;'PlayerGrades+'!$AD$18,"E-",IF(J156&lt;'PlayerGrades+'!$AD$17,"E",IF(J156&lt;'PlayerGrades+'!$AD$16,"E+",IF(J156&lt;'PlayerGrades+'!$AD$15,"D-",IF(J156&lt;'PlayerGrades+'!$AD$14,"D",IF(J156&lt;'PlayerGrades+'!$AD$13,"D+",IF(J156&lt;'PlayerGrades+'!$AD$12,"C-",IF(J156&lt;'PlayerGrades+'!$AD$11,"C",IF(J156&lt;'PlayerGrades+'!$AD$10,"C+",IF(J156&lt;'PlayerGrades+'!$AD$9,"B-",IF(J156&lt;'PlayerGrades+'!$AD$8,"B",IF(J156&lt;'PlayerGrades+'!$AD$7,"B+",IF(J156&lt;'PlayerGrades+'!$AD$6,"A-",IF(J156&lt;'PlayerGrades+'!$AD$5,"A",IF(J156&lt;'PlayerGrades+'!$AD$4,"A+",IF(J156&lt;'PlayerGrades+'!$AD$3,"S-",IF(J156&lt;'PlayerGrades+'!$AD$2,"S","S+"))))))))))))))))))))</f>
        <v>#DIV/0!</v>
      </c>
      <c r="L156" s="1176" t="str">
        <f t="shared" si="5"/>
        <v>#DIV/0!</v>
      </c>
      <c r="M156" s="992" t="str">
        <f>IF(L156&lt;'PlayerGrades+'!$AE$21,"F-",IF(L156&lt;'PlayerGrades+'!$AE$20,"F",IF(L156&lt;'PlayerGrades+'!$AE$19,"F+",IF(L156&lt;'PlayerGrades+'!$AE$18,"E-",IF(L156&lt;'PlayerGrades+'!$AE$17,"E",IF(L156&lt;'PlayerGrades+'!$AE$16,"E+",IF(L156&lt;'PlayerGrades+'!$AE$15,"D-",IF(L156&lt;'PlayerGrades+'!$AE$14,"D",IF(L156&lt;'PlayerGrades+'!$AE$13,"D+",IF(L156&lt;'PlayerGrades+'!$AE$12,"C-",IF(L156&lt;'PlayerGrades+'!$AE$11,"C",IF(L156&lt;'PlayerGrades+'!$AE$10,"C+",IF(L156&lt;'PlayerGrades+'!$AE$9,"B-",IF(L156&lt;'PlayerGrades+'!$AE$8,"B",IF(L156&lt;'PlayerGrades+'!$AE$7,"B+",IF(L156&lt;'PlayerGrades+'!$AE$6,"A-",IF(L156&lt;'PlayerGrades+'!$AE$5,"A",IF(L156&lt;'PlayerGrades+'!$AE$4,"A+",IF(L156&lt;'PlayerGrades+'!$AE$3,"S-",IF(L156&lt;'PlayerGrades+'!$AE$2,"S","S+"))))))))))))))))))))</f>
        <v>#DIV/0!</v>
      </c>
      <c r="N156" s="961" t="str">
        <f t="shared" si="6"/>
        <v>#DIV/0!</v>
      </c>
      <c r="O156" s="961" t="str">
        <f>IF(N156&lt;'PlayerGrades+'!$AF$21,"F-",IF(N156&lt;'PlayerGrades+'!$AF$20,"F",IF(N156&lt;'PlayerGrades+'!$AF$19,"F+",IF(N156&lt;'PlayerGrades+'!$AF$18,"E-",IF(N156&lt;'PlayerGrades+'!$AF$17,"E",IF(N156&lt;'PlayerGrades+'!$AF$16,"E+",IF(N156&lt;'PlayerGrades+'!$AF$15,"D-",IF(N156&lt;'PlayerGrades+'!$AF$14,"D",IF(N156&lt;'PlayerGrades+'!$AF$13,"D+",IF(N156&lt;'PlayerGrades+'!$AF$12,"C-",IF(N156&lt;'PlayerGrades+'!$AF$11,"C",IF(N156&lt;'PlayerGrades+'!$AF$10,"C+",IF(N156&lt;'PlayerGrades+'!$AF$9,"B-",IF(N156&lt;'PlayerGrades+'!$AF$8,"B",IF(N156&lt;'PlayerGrades+'!$AF$7,"B+",IF(N156&lt;'PlayerGrades+'!$AF$6,"A-",IF(N156&lt;'PlayerGrades+'!$AF$5,"A",IF(N156&lt;'PlayerGrades+'!$AF$4,"A+",IF(N156&lt;'PlayerGrades+'!$AF$3,"S-",IF(N156&lt;'PlayerGrades+'!$AF$2,"S","S+"))))))))))))))))))))</f>
        <v>#DIV/0!</v>
      </c>
      <c r="P156" s="961" t="str">
        <f t="shared" si="7"/>
        <v>#DIV/0!</v>
      </c>
      <c r="Q156" s="961" t="str">
        <f>IF(P156&lt;'PlayerGrades+'!$AG$21,"F-",IF(P156&lt;'PlayerGrades+'!$AG$20,"F",IF(P156&lt;'PlayerGrades+'!$AG$19,"F+",IF(P156&lt;'PlayerGrades+'!$AG$18,"E-",IF(P156&lt;'PlayerGrades+'!$AG$17,"E",IF(P156&lt;'PlayerGrades+'!$AG$16,"E+",IF(P156&lt;'PlayerGrades+'!$AG$15,"D-",IF(P156&lt;'PlayerGrades+'!$AG$14,"D",IF(P156&lt;'PlayerGrades+'!$AG$13,"D+",IF(P156&lt;'PlayerGrades+'!$AG$12,"C-",IF(P156&lt;'PlayerGrades+'!$AG$11,"C",IF(P156&lt;'PlayerGrades+'!$AG$10,"C+",IF(P156&lt;'PlayerGrades+'!$AG$9,"B-",IF(P156&lt;'PlayerGrades+'!$AG$8,"B",IF(P156&lt;'PlayerGrades+'!$AG$7,"B+",IF(P156&lt;'PlayerGrades+'!$AG$6,"A-",IF(P156&lt;'PlayerGrades+'!$AG$5,"A",IF(P156&lt;'PlayerGrades+'!$AG$4,"A+",IF(P156&lt;'PlayerGrades+'!$AG$3,"S-",IF(P156&lt;'PlayerGrades+'!$AG$2,"S","S+"))))))))))))))))))))</f>
        <v>#DIV/0!</v>
      </c>
      <c r="R156" s="961" t="str">
        <f t="shared" si="8"/>
        <v>#DIV/0!</v>
      </c>
      <c r="S156" s="961" t="str">
        <f>IF(R156&lt;'PlayerGrades+'!$AH$21,"F-",IF(R156&lt;'PlayerGrades+'!$AH$20,"F",IF(R156&lt;'PlayerGrades+'!$AH$19,"F+",IF(R156&lt;'PlayerGrades+'!$AH$18,"E-",IF(R156&lt;'PlayerGrades+'!$AH$17,"E",IF(R156&lt;'PlayerGrades+'!$AH$16,"E+",IF(R156&lt;'PlayerGrades+'!$AH$15,"D-",IF(R156&lt;'PlayerGrades+'!$AH$14,"D",IF(R156&lt;'PlayerGrades+'!$AH$13,"D+",IF(R156&lt;'PlayerGrades+'!$AH$12,"C-",IF(R156&lt;'PlayerGrades+'!$AH$11,"C",IF(R156&lt;'PlayerGrades+'!$AH$10,"C+",IF(R156&lt;'PlayerGrades+'!$AH$9,"B-",IF(R156&lt;'PlayerGrades+'!$AH$8,"B",IF(R156&lt;'PlayerGrades+'!$AH$7,"B+",IF(R156&lt;'PlayerGrades+'!$AH$6,"A-",IF(R156&lt;'PlayerGrades+'!$AH$5,"A",IF(R156&lt;'PlayerGrades+'!$AH$4,"A+",IF(R156&lt;'PlayerGrades+'!$AH$3,"S-",IF(R156&lt;'PlayerGrades+'!$AH$2,"S","S+"))))))))))))))))))))</f>
        <v>#DIV/0!</v>
      </c>
      <c r="T156" s="961">
        <f t="shared" si="9"/>
        <v>0</v>
      </c>
      <c r="U156" s="961" t="str">
        <f>IF(T156&lt;'PlayerGrades+'!$AI$21,"F-",IF(T156&lt;'PlayerGrades+'!$AI$20,"F",IF(T156&lt;'PlayerGrades+'!$AI$19,"F+",IF(T156&lt;'PlayerGrades+'!$AI$18,"E-",IF(T156&lt;'PlayerGrades+'!$AI$17,"E",IF(T156&lt;'PlayerGrades+'!$AI$16,"E+",IF(T156&lt;'PlayerGrades+'!$AI$15,"D-",IF(T156&lt;'PlayerGrades+'!$AI$14,"D",IF(T156&lt;'PlayerGrades+'!$AI$13,"D+",IF(T156&lt;'PlayerGrades+'!$AI$12,"C-",IF(T156&lt;'PlayerGrades+'!$AI$11,"C",IF(T156&lt;'PlayerGrades+'!$AI$10,"C+",IF(T156&lt;'PlayerGrades+'!$AI$9,"B-",IF(T156&lt;'PlayerGrades+'!$AI$8,"B",IF(T156&lt;'PlayerGrades+'!$AI$7,"B+",IF(T156&lt;'PlayerGrades+'!$AI$6,"A-",IF(T156&lt;'PlayerGrades+'!$AI$5,"A",IF(T156&lt;'PlayerGrades+'!$AI$4,"A+",IF(T156&lt;'PlayerGrades+'!$AI$3,"S-",IF(T156&lt;'PlayerGrades+'!$AI$2,"S","S+"))))))))))))))))))))</f>
        <v>F-</v>
      </c>
      <c r="Z156" s="1383"/>
      <c r="AA156" s="1383"/>
      <c r="AB156" s="1383"/>
      <c r="AC156" s="1384"/>
      <c r="AD156" s="1383"/>
      <c r="AE156" s="1383"/>
      <c r="AF156" s="1383"/>
      <c r="AG156" s="1383"/>
      <c r="AH156" s="1383"/>
      <c r="AI156" s="1383"/>
      <c r="AJ156" s="1383"/>
      <c r="AK156" s="1383"/>
      <c r="AL156" s="1383"/>
      <c r="AM156" s="1383"/>
      <c r="AN156" s="1383"/>
      <c r="AO156" s="1383"/>
      <c r="AP156" s="1383"/>
      <c r="AQ156" s="1383"/>
      <c r="AR156" s="1383"/>
      <c r="AS156" s="1383"/>
      <c r="AT156" s="1383"/>
      <c r="AU156" s="1383"/>
      <c r="AV156" s="1383"/>
      <c r="AW156" s="1383"/>
      <c r="AX156" s="1383"/>
      <c r="AY156" s="1383"/>
      <c r="AZ156" s="1383"/>
    </row>
    <row r="157">
      <c r="A157" s="1408"/>
      <c r="B157" s="611" t="str">
        <f>IF(C157&lt;'PlayerGrades+'!$Y$44,"F-",IF(C157&lt;'PlayerGrades+'!$Y$43,"F",IF(C157&lt;'PlayerGrades+'!$Y$42,"F+",IF(C157&lt;'PlayerGrades+'!$Y$41,"E-",IF(C157&lt;'PlayerGrades+'!$Y$40,"E",IF(C157&lt;'PlayerGrades+'!$Y$39,"E+",IF(C157&lt;'PlayerGrades+'!$Y$38,"D-",IF(C157&lt;'PlayerGrades+'!$Y$37,"D",IF(C157&lt;'PlayerGrades+'!$Y$36,"D+",IF(C157&lt;'PlayerGrades+'!$Y$35,"C-",IF(C157&lt;'PlayerGrades+'!$Y$34,"C",IF(C157&lt;'PlayerGrades+'!$Y$33,"C+",IF(C157&lt;'PlayerGrades+'!$Y$32,"B-",IF(C157&lt;'PlayerGrades+'!$Y$31,"B",IF(C157&lt;'PlayerGrades+'!$Y$30,"B+",IF(C157&lt;'PlayerGrades+'!$Y$29,"A-",IF(C157&lt;'PlayerGrades+'!$Y$28,"A",IF(C157&lt;'PlayerGrades+'!$Y$27,"A+",IF(C157&lt;'PlayerGrades+'!$Y$26,"S-",IF(C157&lt;'PlayerGrades+'!$Y$25,"S","S+"))))))))))))))))))))</f>
        <v>#DIV/0!</v>
      </c>
      <c r="C157" s="1378" t="str">
        <f>('PlayerGrades+'!$Y$47*(VLOOKUP(E157, 'PlayerGrades+'!$X$3:$Y$23, 2, FALSE)))+('PlayerGrades+'!$Y$48*(VLOOKUP(G157, 'PlayerGrades+'!$X$3:$Y$23, 2, FALSE)))+('PlayerGrades+'!$Y$49*(VLOOKUP(I157, 'PlayerGrades+'!$X$3:$Y$23, 2, FALSE)))+('PlayerGrades+'!$Y$50*(VLOOKUP(K157, 'PlayerGrades+'!$X$3:$Y$23, 2, FALSE)))+('PlayerGrades+'!$Y$51*(VLOOKUP(M157, 'PlayerGrades+'!$X$3:$Y$23, 2, FALSE)))+('PlayerGrades+'!$Y$52*(VLOOKUP(O157, 'PlayerGrades+'!$X$3:$Y$23, 2, FALSE)))+('PlayerGrades+'!$Y$53*(VLOOKUP(Q157, 'PlayerGrades+'!$X$3:$Y$23, 2, FALSE)))+('PlayerGrades+'!$Y$54*(VLOOKUP(S157, 'PlayerGrades+'!$X$3:$Y$23, 2, FALSE)))+('PlayerGrades+'!$Y$55*(VLOOKUP(U157, 'PlayerGrades+'!$X$3:$Y$23, 2, FALSE)))</f>
        <v>#DIV/0!</v>
      </c>
      <c r="D157" s="961" t="str">
        <f t="shared" si="1"/>
        <v>#DIV/0!</v>
      </c>
      <c r="E157" s="961" t="str">
        <f>IF(D157&lt;'PlayerGrades+'!$AA$21,"F-",IF(D157&lt;'PlayerGrades+'!$AA$20,"F",IF(D157&lt;'PlayerGrades+'!$AA$19,"F+",IF(D157&lt;'PlayerGrades+'!$AA$18,"E-",IF(D157&lt;'PlayerGrades+'!$AA$17,"E",IF(D157&lt;'PlayerGrades+'!$AA$16,"E+",IF(D157&lt;'PlayerGrades+'!$AA$15,"D-",IF(D157&lt;'PlayerGrades+'!$AA$14,"D",IF(D157&lt;'PlayerGrades+'!$AA$13,"D+",IF(D157&lt;'PlayerGrades+'!$AA$12,"C-",IF(D157&lt;'PlayerGrades+'!$AA$11,"C",IF(D157&lt;'PlayerGrades+'!$AA$10,"C+",IF(D157&lt;'PlayerGrades+'!$AA$9,"B-",IF(D157&lt;'PlayerGrades+'!$AA$8,"B",IF(D157&lt;'PlayerGrades+'!$AA$7,"B+",IF(D157&lt;'PlayerGrades+'!$AA$6,"A-",IF(D157&lt;'PlayerGrades+'!$AA$5,"A",IF(D157&lt;'PlayerGrades+'!$AA$4,"A+",IF(D157&lt;'PlayerGrades+'!$AA$3,"S-",IF(D157&lt;'PlayerGrades+'!$AA$2,"S","S+"))))))))))))))))))))</f>
        <v>#DIV/0!</v>
      </c>
      <c r="F157" s="961" t="str">
        <f t="shared" si="2"/>
        <v>#DIV/0!</v>
      </c>
      <c r="G157" s="961" t="str">
        <f>IF(F157&lt;'PlayerGrades+'!$AB$21,"F-",IF(F157&lt;'PlayerGrades+'!$AB$20,"F",IF(F157&lt;'PlayerGrades+'!$AB$19,"F+",IF(F157&lt;'PlayerGrades+'!$AB$18,"E-",IF(F157&lt;'PlayerGrades+'!$AB$17,"E",IF(F157&lt;'PlayerGrades+'!$AB$16,"E+",IF(F157&lt;'PlayerGrades+'!$AB$15,"D-",IF(F157&lt;'PlayerGrades+'!$AB$14,"D",IF(F157&lt;'PlayerGrades+'!$AB$13,"D+",IF(F157&lt;'PlayerGrades+'!$AB$12,"C-",IF(F157&lt;'PlayerGrades+'!$AB$11,"C",IF(F157&lt;'PlayerGrades+'!$AB$10,"C+",IF(F157&lt;'PlayerGrades+'!$AB$9,"B-",IF(F157&lt;'PlayerGrades+'!$AB$8,"B",IF(F157&lt;'PlayerGrades+'!$AB$7,"B+",IF(F157&lt;'PlayerGrades+'!$AB$6,"A-",IF(F157&lt;'PlayerGrades+'!$AB$5,"A",IF(F157&lt;'PlayerGrades+'!$AB$4,"A+",IF(F157&lt;'PlayerGrades+'!$AB$3,"S-",IF(F157&lt;'PlayerGrades+'!$AB$2,"S","S+"))))))))))))))))))))</f>
        <v>#DIV/0!</v>
      </c>
      <c r="H157" s="961" t="str">
        <f t="shared" si="3"/>
        <v>#DIV/0!</v>
      </c>
      <c r="I157" s="961" t="str">
        <f>IF(H157&lt;'PlayerGrades+'!$AC$21,"F-",IF(H157&lt;'PlayerGrades+'!$AC$20,"F",IF(H157&lt;'PlayerGrades+'!$AC$19,"F+",IF(H157&lt;'PlayerGrades+'!$AC$18,"E-",IF(H157&lt;'PlayerGrades+'!$AC$17,"E",IF(H157&lt;'PlayerGrades+'!$AC$16,"E+",IF(H157&lt;'PlayerGrades+'!$AC$15,"D-",IF(H157&lt;'PlayerGrades+'!$AC$14,"D",IF(H157&lt;'PlayerGrades+'!$AC$13,"D+",IF(H157&lt;'PlayerGrades+'!$AC$12,"C-",IF(H157&lt;'PlayerGrades+'!$AC$11,"C",IF(H157&lt;'PlayerGrades+'!$AC$10,"C+",IF(H157&lt;'PlayerGrades+'!$AC$9,"B-",IF(H157&lt;'PlayerGrades+'!$AC$8,"B",IF(H157&lt;'PlayerGrades+'!$AC$7,"B+",IF(H157&lt;'PlayerGrades+'!$AC$6,"A-",IF(H157&lt;'PlayerGrades+'!$AC$5,"A",IF(H157&lt;'PlayerGrades+'!$AC$4,"A+",IF(H157&lt;'PlayerGrades+'!$AC$3,"S-",IF(H157&lt;'PlayerGrades+'!$AC$2,"S","S+"))))))))))))))))))))</f>
        <v>#DIV/0!</v>
      </c>
      <c r="J157" s="961" t="str">
        <f t="shared" si="4"/>
        <v>#DIV/0!</v>
      </c>
      <c r="K157" s="961" t="str">
        <f>IF(J157&lt;'PlayerGrades+'!$AD$21,"F-",IF(J157&lt;'PlayerGrades+'!$AD$20,"F",IF(J157&lt;'PlayerGrades+'!$AD$19,"F+",IF(J157&lt;'PlayerGrades+'!$AD$18,"E-",IF(J157&lt;'PlayerGrades+'!$AD$17,"E",IF(J157&lt;'PlayerGrades+'!$AD$16,"E+",IF(J157&lt;'PlayerGrades+'!$AD$15,"D-",IF(J157&lt;'PlayerGrades+'!$AD$14,"D",IF(J157&lt;'PlayerGrades+'!$AD$13,"D+",IF(J157&lt;'PlayerGrades+'!$AD$12,"C-",IF(J157&lt;'PlayerGrades+'!$AD$11,"C",IF(J157&lt;'PlayerGrades+'!$AD$10,"C+",IF(J157&lt;'PlayerGrades+'!$AD$9,"B-",IF(J157&lt;'PlayerGrades+'!$AD$8,"B",IF(J157&lt;'PlayerGrades+'!$AD$7,"B+",IF(J157&lt;'PlayerGrades+'!$AD$6,"A-",IF(J157&lt;'PlayerGrades+'!$AD$5,"A",IF(J157&lt;'PlayerGrades+'!$AD$4,"A+",IF(J157&lt;'PlayerGrades+'!$AD$3,"S-",IF(J157&lt;'PlayerGrades+'!$AD$2,"S","S+"))))))))))))))))))))</f>
        <v>#DIV/0!</v>
      </c>
      <c r="L157" s="1176" t="str">
        <f t="shared" si="5"/>
        <v>#DIV/0!</v>
      </c>
      <c r="M157" s="992" t="str">
        <f>IF(L157&lt;'PlayerGrades+'!$AE$21,"F-",IF(L157&lt;'PlayerGrades+'!$AE$20,"F",IF(L157&lt;'PlayerGrades+'!$AE$19,"F+",IF(L157&lt;'PlayerGrades+'!$AE$18,"E-",IF(L157&lt;'PlayerGrades+'!$AE$17,"E",IF(L157&lt;'PlayerGrades+'!$AE$16,"E+",IF(L157&lt;'PlayerGrades+'!$AE$15,"D-",IF(L157&lt;'PlayerGrades+'!$AE$14,"D",IF(L157&lt;'PlayerGrades+'!$AE$13,"D+",IF(L157&lt;'PlayerGrades+'!$AE$12,"C-",IF(L157&lt;'PlayerGrades+'!$AE$11,"C",IF(L157&lt;'PlayerGrades+'!$AE$10,"C+",IF(L157&lt;'PlayerGrades+'!$AE$9,"B-",IF(L157&lt;'PlayerGrades+'!$AE$8,"B",IF(L157&lt;'PlayerGrades+'!$AE$7,"B+",IF(L157&lt;'PlayerGrades+'!$AE$6,"A-",IF(L157&lt;'PlayerGrades+'!$AE$5,"A",IF(L157&lt;'PlayerGrades+'!$AE$4,"A+",IF(L157&lt;'PlayerGrades+'!$AE$3,"S-",IF(L157&lt;'PlayerGrades+'!$AE$2,"S","S+"))))))))))))))))))))</f>
        <v>#DIV/0!</v>
      </c>
      <c r="N157" s="961" t="str">
        <f t="shared" si="6"/>
        <v>#DIV/0!</v>
      </c>
      <c r="O157" s="961" t="str">
        <f>IF(N157&lt;'PlayerGrades+'!$AF$21,"F-",IF(N157&lt;'PlayerGrades+'!$AF$20,"F",IF(N157&lt;'PlayerGrades+'!$AF$19,"F+",IF(N157&lt;'PlayerGrades+'!$AF$18,"E-",IF(N157&lt;'PlayerGrades+'!$AF$17,"E",IF(N157&lt;'PlayerGrades+'!$AF$16,"E+",IF(N157&lt;'PlayerGrades+'!$AF$15,"D-",IF(N157&lt;'PlayerGrades+'!$AF$14,"D",IF(N157&lt;'PlayerGrades+'!$AF$13,"D+",IF(N157&lt;'PlayerGrades+'!$AF$12,"C-",IF(N157&lt;'PlayerGrades+'!$AF$11,"C",IF(N157&lt;'PlayerGrades+'!$AF$10,"C+",IF(N157&lt;'PlayerGrades+'!$AF$9,"B-",IF(N157&lt;'PlayerGrades+'!$AF$8,"B",IF(N157&lt;'PlayerGrades+'!$AF$7,"B+",IF(N157&lt;'PlayerGrades+'!$AF$6,"A-",IF(N157&lt;'PlayerGrades+'!$AF$5,"A",IF(N157&lt;'PlayerGrades+'!$AF$4,"A+",IF(N157&lt;'PlayerGrades+'!$AF$3,"S-",IF(N157&lt;'PlayerGrades+'!$AF$2,"S","S+"))))))))))))))))))))</f>
        <v>#DIV/0!</v>
      </c>
      <c r="P157" s="961" t="str">
        <f t="shared" si="7"/>
        <v>#DIV/0!</v>
      </c>
      <c r="Q157" s="961" t="str">
        <f>IF(P157&lt;'PlayerGrades+'!$AG$21,"F-",IF(P157&lt;'PlayerGrades+'!$AG$20,"F",IF(P157&lt;'PlayerGrades+'!$AG$19,"F+",IF(P157&lt;'PlayerGrades+'!$AG$18,"E-",IF(P157&lt;'PlayerGrades+'!$AG$17,"E",IF(P157&lt;'PlayerGrades+'!$AG$16,"E+",IF(P157&lt;'PlayerGrades+'!$AG$15,"D-",IF(P157&lt;'PlayerGrades+'!$AG$14,"D",IF(P157&lt;'PlayerGrades+'!$AG$13,"D+",IF(P157&lt;'PlayerGrades+'!$AG$12,"C-",IF(P157&lt;'PlayerGrades+'!$AG$11,"C",IF(P157&lt;'PlayerGrades+'!$AG$10,"C+",IF(P157&lt;'PlayerGrades+'!$AG$9,"B-",IF(P157&lt;'PlayerGrades+'!$AG$8,"B",IF(P157&lt;'PlayerGrades+'!$AG$7,"B+",IF(P157&lt;'PlayerGrades+'!$AG$6,"A-",IF(P157&lt;'PlayerGrades+'!$AG$5,"A",IF(P157&lt;'PlayerGrades+'!$AG$4,"A+",IF(P157&lt;'PlayerGrades+'!$AG$3,"S-",IF(P157&lt;'PlayerGrades+'!$AG$2,"S","S+"))))))))))))))))))))</f>
        <v>#DIV/0!</v>
      </c>
      <c r="R157" s="961" t="str">
        <f t="shared" si="8"/>
        <v>#DIV/0!</v>
      </c>
      <c r="S157" s="961" t="str">
        <f>IF(R157&lt;'PlayerGrades+'!$AH$21,"F-",IF(R157&lt;'PlayerGrades+'!$AH$20,"F",IF(R157&lt;'PlayerGrades+'!$AH$19,"F+",IF(R157&lt;'PlayerGrades+'!$AH$18,"E-",IF(R157&lt;'PlayerGrades+'!$AH$17,"E",IF(R157&lt;'PlayerGrades+'!$AH$16,"E+",IF(R157&lt;'PlayerGrades+'!$AH$15,"D-",IF(R157&lt;'PlayerGrades+'!$AH$14,"D",IF(R157&lt;'PlayerGrades+'!$AH$13,"D+",IF(R157&lt;'PlayerGrades+'!$AH$12,"C-",IF(R157&lt;'PlayerGrades+'!$AH$11,"C",IF(R157&lt;'PlayerGrades+'!$AH$10,"C+",IF(R157&lt;'PlayerGrades+'!$AH$9,"B-",IF(R157&lt;'PlayerGrades+'!$AH$8,"B",IF(R157&lt;'PlayerGrades+'!$AH$7,"B+",IF(R157&lt;'PlayerGrades+'!$AH$6,"A-",IF(R157&lt;'PlayerGrades+'!$AH$5,"A",IF(R157&lt;'PlayerGrades+'!$AH$4,"A+",IF(R157&lt;'PlayerGrades+'!$AH$3,"S-",IF(R157&lt;'PlayerGrades+'!$AH$2,"S","S+"))))))))))))))))))))</f>
        <v>#DIV/0!</v>
      </c>
      <c r="T157" s="961">
        <f t="shared" si="9"/>
        <v>0</v>
      </c>
      <c r="U157" s="961" t="str">
        <f>IF(T157&lt;'PlayerGrades+'!$AI$21,"F-",IF(T157&lt;'PlayerGrades+'!$AI$20,"F",IF(T157&lt;'PlayerGrades+'!$AI$19,"F+",IF(T157&lt;'PlayerGrades+'!$AI$18,"E-",IF(T157&lt;'PlayerGrades+'!$AI$17,"E",IF(T157&lt;'PlayerGrades+'!$AI$16,"E+",IF(T157&lt;'PlayerGrades+'!$AI$15,"D-",IF(T157&lt;'PlayerGrades+'!$AI$14,"D",IF(T157&lt;'PlayerGrades+'!$AI$13,"D+",IF(T157&lt;'PlayerGrades+'!$AI$12,"C-",IF(T157&lt;'PlayerGrades+'!$AI$11,"C",IF(T157&lt;'PlayerGrades+'!$AI$10,"C+",IF(T157&lt;'PlayerGrades+'!$AI$9,"B-",IF(T157&lt;'PlayerGrades+'!$AI$8,"B",IF(T157&lt;'PlayerGrades+'!$AI$7,"B+",IF(T157&lt;'PlayerGrades+'!$AI$6,"A-",IF(T157&lt;'PlayerGrades+'!$AI$5,"A",IF(T157&lt;'PlayerGrades+'!$AI$4,"A+",IF(T157&lt;'PlayerGrades+'!$AI$3,"S-",IF(T157&lt;'PlayerGrades+'!$AI$2,"S","S+"))))))))))))))))))))</f>
        <v>F-</v>
      </c>
      <c r="Z157" s="1383"/>
      <c r="AA157" s="1383"/>
      <c r="AB157" s="1383"/>
      <c r="AC157" s="1384"/>
      <c r="AD157" s="1383"/>
      <c r="AE157" s="1383"/>
      <c r="AF157" s="1383"/>
      <c r="AG157" s="1383"/>
      <c r="AH157" s="1383"/>
      <c r="AI157" s="1383"/>
      <c r="AJ157" s="1383"/>
      <c r="AK157" s="1383"/>
      <c r="AL157" s="1383"/>
      <c r="AM157" s="1383"/>
      <c r="AN157" s="1383"/>
      <c r="AO157" s="1383"/>
      <c r="AP157" s="1383"/>
      <c r="AQ157" s="1383"/>
      <c r="AR157" s="1383"/>
      <c r="AS157" s="1383"/>
      <c r="AT157" s="1383"/>
      <c r="AU157" s="1383"/>
      <c r="AV157" s="1383"/>
      <c r="AW157" s="1383"/>
      <c r="AX157" s="1383"/>
      <c r="AY157" s="1383"/>
      <c r="AZ157" s="1383"/>
    </row>
    <row r="158">
      <c r="A158" s="1408"/>
      <c r="B158" s="611" t="str">
        <f>IF(C158&lt;'PlayerGrades+'!$Y$44,"F-",IF(C158&lt;'PlayerGrades+'!$Y$43,"F",IF(C158&lt;'PlayerGrades+'!$Y$42,"F+",IF(C158&lt;'PlayerGrades+'!$Y$41,"E-",IF(C158&lt;'PlayerGrades+'!$Y$40,"E",IF(C158&lt;'PlayerGrades+'!$Y$39,"E+",IF(C158&lt;'PlayerGrades+'!$Y$38,"D-",IF(C158&lt;'PlayerGrades+'!$Y$37,"D",IF(C158&lt;'PlayerGrades+'!$Y$36,"D+",IF(C158&lt;'PlayerGrades+'!$Y$35,"C-",IF(C158&lt;'PlayerGrades+'!$Y$34,"C",IF(C158&lt;'PlayerGrades+'!$Y$33,"C+",IF(C158&lt;'PlayerGrades+'!$Y$32,"B-",IF(C158&lt;'PlayerGrades+'!$Y$31,"B",IF(C158&lt;'PlayerGrades+'!$Y$30,"B+",IF(C158&lt;'PlayerGrades+'!$Y$29,"A-",IF(C158&lt;'PlayerGrades+'!$Y$28,"A",IF(C158&lt;'PlayerGrades+'!$Y$27,"A+",IF(C158&lt;'PlayerGrades+'!$Y$26,"S-",IF(C158&lt;'PlayerGrades+'!$Y$25,"S","S+"))))))))))))))))))))</f>
        <v>#DIV/0!</v>
      </c>
      <c r="C158" s="1378" t="str">
        <f>('PlayerGrades+'!$Y$47*(VLOOKUP(E158, 'PlayerGrades+'!$X$3:$Y$23, 2, FALSE)))+('PlayerGrades+'!$Y$48*(VLOOKUP(G158, 'PlayerGrades+'!$X$3:$Y$23, 2, FALSE)))+('PlayerGrades+'!$Y$49*(VLOOKUP(I158, 'PlayerGrades+'!$X$3:$Y$23, 2, FALSE)))+('PlayerGrades+'!$Y$50*(VLOOKUP(K158, 'PlayerGrades+'!$X$3:$Y$23, 2, FALSE)))+('PlayerGrades+'!$Y$51*(VLOOKUP(M158, 'PlayerGrades+'!$X$3:$Y$23, 2, FALSE)))+('PlayerGrades+'!$Y$52*(VLOOKUP(O158, 'PlayerGrades+'!$X$3:$Y$23, 2, FALSE)))+('PlayerGrades+'!$Y$53*(VLOOKUP(Q158, 'PlayerGrades+'!$X$3:$Y$23, 2, FALSE)))+('PlayerGrades+'!$Y$54*(VLOOKUP(S158, 'PlayerGrades+'!$X$3:$Y$23, 2, FALSE)))+('PlayerGrades+'!$Y$55*(VLOOKUP(U158, 'PlayerGrades+'!$X$3:$Y$23, 2, FALSE)))</f>
        <v>#DIV/0!</v>
      </c>
      <c r="D158" s="961" t="str">
        <f t="shared" si="1"/>
        <v>#DIV/0!</v>
      </c>
      <c r="E158" s="961" t="str">
        <f>IF(D158&lt;'PlayerGrades+'!$AA$21,"F-",IF(D158&lt;'PlayerGrades+'!$AA$20,"F",IF(D158&lt;'PlayerGrades+'!$AA$19,"F+",IF(D158&lt;'PlayerGrades+'!$AA$18,"E-",IF(D158&lt;'PlayerGrades+'!$AA$17,"E",IF(D158&lt;'PlayerGrades+'!$AA$16,"E+",IF(D158&lt;'PlayerGrades+'!$AA$15,"D-",IF(D158&lt;'PlayerGrades+'!$AA$14,"D",IF(D158&lt;'PlayerGrades+'!$AA$13,"D+",IF(D158&lt;'PlayerGrades+'!$AA$12,"C-",IF(D158&lt;'PlayerGrades+'!$AA$11,"C",IF(D158&lt;'PlayerGrades+'!$AA$10,"C+",IF(D158&lt;'PlayerGrades+'!$AA$9,"B-",IF(D158&lt;'PlayerGrades+'!$AA$8,"B",IF(D158&lt;'PlayerGrades+'!$AA$7,"B+",IF(D158&lt;'PlayerGrades+'!$AA$6,"A-",IF(D158&lt;'PlayerGrades+'!$AA$5,"A",IF(D158&lt;'PlayerGrades+'!$AA$4,"A+",IF(D158&lt;'PlayerGrades+'!$AA$3,"S-",IF(D158&lt;'PlayerGrades+'!$AA$2,"S","S+"))))))))))))))))))))</f>
        <v>#DIV/0!</v>
      </c>
      <c r="F158" s="961" t="str">
        <f t="shared" si="2"/>
        <v>#DIV/0!</v>
      </c>
      <c r="G158" s="961" t="str">
        <f>IF(F158&lt;'PlayerGrades+'!$AB$21,"F-",IF(F158&lt;'PlayerGrades+'!$AB$20,"F",IF(F158&lt;'PlayerGrades+'!$AB$19,"F+",IF(F158&lt;'PlayerGrades+'!$AB$18,"E-",IF(F158&lt;'PlayerGrades+'!$AB$17,"E",IF(F158&lt;'PlayerGrades+'!$AB$16,"E+",IF(F158&lt;'PlayerGrades+'!$AB$15,"D-",IF(F158&lt;'PlayerGrades+'!$AB$14,"D",IF(F158&lt;'PlayerGrades+'!$AB$13,"D+",IF(F158&lt;'PlayerGrades+'!$AB$12,"C-",IF(F158&lt;'PlayerGrades+'!$AB$11,"C",IF(F158&lt;'PlayerGrades+'!$AB$10,"C+",IF(F158&lt;'PlayerGrades+'!$AB$9,"B-",IF(F158&lt;'PlayerGrades+'!$AB$8,"B",IF(F158&lt;'PlayerGrades+'!$AB$7,"B+",IF(F158&lt;'PlayerGrades+'!$AB$6,"A-",IF(F158&lt;'PlayerGrades+'!$AB$5,"A",IF(F158&lt;'PlayerGrades+'!$AB$4,"A+",IF(F158&lt;'PlayerGrades+'!$AB$3,"S-",IF(F158&lt;'PlayerGrades+'!$AB$2,"S","S+"))))))))))))))))))))</f>
        <v>#DIV/0!</v>
      </c>
      <c r="H158" s="961" t="str">
        <f t="shared" si="3"/>
        <v>#DIV/0!</v>
      </c>
      <c r="I158" s="961" t="str">
        <f>IF(H158&lt;'PlayerGrades+'!$AC$21,"F-",IF(H158&lt;'PlayerGrades+'!$AC$20,"F",IF(H158&lt;'PlayerGrades+'!$AC$19,"F+",IF(H158&lt;'PlayerGrades+'!$AC$18,"E-",IF(H158&lt;'PlayerGrades+'!$AC$17,"E",IF(H158&lt;'PlayerGrades+'!$AC$16,"E+",IF(H158&lt;'PlayerGrades+'!$AC$15,"D-",IF(H158&lt;'PlayerGrades+'!$AC$14,"D",IF(H158&lt;'PlayerGrades+'!$AC$13,"D+",IF(H158&lt;'PlayerGrades+'!$AC$12,"C-",IF(H158&lt;'PlayerGrades+'!$AC$11,"C",IF(H158&lt;'PlayerGrades+'!$AC$10,"C+",IF(H158&lt;'PlayerGrades+'!$AC$9,"B-",IF(H158&lt;'PlayerGrades+'!$AC$8,"B",IF(H158&lt;'PlayerGrades+'!$AC$7,"B+",IF(H158&lt;'PlayerGrades+'!$AC$6,"A-",IF(H158&lt;'PlayerGrades+'!$AC$5,"A",IF(H158&lt;'PlayerGrades+'!$AC$4,"A+",IF(H158&lt;'PlayerGrades+'!$AC$3,"S-",IF(H158&lt;'PlayerGrades+'!$AC$2,"S","S+"))))))))))))))))))))</f>
        <v>#DIV/0!</v>
      </c>
      <c r="J158" s="961" t="str">
        <f t="shared" si="4"/>
        <v>#DIV/0!</v>
      </c>
      <c r="K158" s="961" t="str">
        <f>IF(J158&lt;'PlayerGrades+'!$AD$21,"F-",IF(J158&lt;'PlayerGrades+'!$AD$20,"F",IF(J158&lt;'PlayerGrades+'!$AD$19,"F+",IF(J158&lt;'PlayerGrades+'!$AD$18,"E-",IF(J158&lt;'PlayerGrades+'!$AD$17,"E",IF(J158&lt;'PlayerGrades+'!$AD$16,"E+",IF(J158&lt;'PlayerGrades+'!$AD$15,"D-",IF(J158&lt;'PlayerGrades+'!$AD$14,"D",IF(J158&lt;'PlayerGrades+'!$AD$13,"D+",IF(J158&lt;'PlayerGrades+'!$AD$12,"C-",IF(J158&lt;'PlayerGrades+'!$AD$11,"C",IF(J158&lt;'PlayerGrades+'!$AD$10,"C+",IF(J158&lt;'PlayerGrades+'!$AD$9,"B-",IF(J158&lt;'PlayerGrades+'!$AD$8,"B",IF(J158&lt;'PlayerGrades+'!$AD$7,"B+",IF(J158&lt;'PlayerGrades+'!$AD$6,"A-",IF(J158&lt;'PlayerGrades+'!$AD$5,"A",IF(J158&lt;'PlayerGrades+'!$AD$4,"A+",IF(J158&lt;'PlayerGrades+'!$AD$3,"S-",IF(J158&lt;'PlayerGrades+'!$AD$2,"S","S+"))))))))))))))))))))</f>
        <v>#DIV/0!</v>
      </c>
      <c r="L158" s="1176" t="str">
        <f t="shared" si="5"/>
        <v>#DIV/0!</v>
      </c>
      <c r="M158" s="992" t="str">
        <f>IF(L158&lt;'PlayerGrades+'!$AE$21,"F-",IF(L158&lt;'PlayerGrades+'!$AE$20,"F",IF(L158&lt;'PlayerGrades+'!$AE$19,"F+",IF(L158&lt;'PlayerGrades+'!$AE$18,"E-",IF(L158&lt;'PlayerGrades+'!$AE$17,"E",IF(L158&lt;'PlayerGrades+'!$AE$16,"E+",IF(L158&lt;'PlayerGrades+'!$AE$15,"D-",IF(L158&lt;'PlayerGrades+'!$AE$14,"D",IF(L158&lt;'PlayerGrades+'!$AE$13,"D+",IF(L158&lt;'PlayerGrades+'!$AE$12,"C-",IF(L158&lt;'PlayerGrades+'!$AE$11,"C",IF(L158&lt;'PlayerGrades+'!$AE$10,"C+",IF(L158&lt;'PlayerGrades+'!$AE$9,"B-",IF(L158&lt;'PlayerGrades+'!$AE$8,"B",IF(L158&lt;'PlayerGrades+'!$AE$7,"B+",IF(L158&lt;'PlayerGrades+'!$AE$6,"A-",IF(L158&lt;'PlayerGrades+'!$AE$5,"A",IF(L158&lt;'PlayerGrades+'!$AE$4,"A+",IF(L158&lt;'PlayerGrades+'!$AE$3,"S-",IF(L158&lt;'PlayerGrades+'!$AE$2,"S","S+"))))))))))))))))))))</f>
        <v>#DIV/0!</v>
      </c>
      <c r="N158" s="961" t="str">
        <f t="shared" si="6"/>
        <v>#DIV/0!</v>
      </c>
      <c r="O158" s="961" t="str">
        <f>IF(N158&lt;'PlayerGrades+'!$AF$21,"F-",IF(N158&lt;'PlayerGrades+'!$AF$20,"F",IF(N158&lt;'PlayerGrades+'!$AF$19,"F+",IF(N158&lt;'PlayerGrades+'!$AF$18,"E-",IF(N158&lt;'PlayerGrades+'!$AF$17,"E",IF(N158&lt;'PlayerGrades+'!$AF$16,"E+",IF(N158&lt;'PlayerGrades+'!$AF$15,"D-",IF(N158&lt;'PlayerGrades+'!$AF$14,"D",IF(N158&lt;'PlayerGrades+'!$AF$13,"D+",IF(N158&lt;'PlayerGrades+'!$AF$12,"C-",IF(N158&lt;'PlayerGrades+'!$AF$11,"C",IF(N158&lt;'PlayerGrades+'!$AF$10,"C+",IF(N158&lt;'PlayerGrades+'!$AF$9,"B-",IF(N158&lt;'PlayerGrades+'!$AF$8,"B",IF(N158&lt;'PlayerGrades+'!$AF$7,"B+",IF(N158&lt;'PlayerGrades+'!$AF$6,"A-",IF(N158&lt;'PlayerGrades+'!$AF$5,"A",IF(N158&lt;'PlayerGrades+'!$AF$4,"A+",IF(N158&lt;'PlayerGrades+'!$AF$3,"S-",IF(N158&lt;'PlayerGrades+'!$AF$2,"S","S+"))))))))))))))))))))</f>
        <v>#DIV/0!</v>
      </c>
      <c r="P158" s="961" t="str">
        <f t="shared" si="7"/>
        <v>#DIV/0!</v>
      </c>
      <c r="Q158" s="961" t="str">
        <f>IF(P158&lt;'PlayerGrades+'!$AG$21,"F-",IF(P158&lt;'PlayerGrades+'!$AG$20,"F",IF(P158&lt;'PlayerGrades+'!$AG$19,"F+",IF(P158&lt;'PlayerGrades+'!$AG$18,"E-",IF(P158&lt;'PlayerGrades+'!$AG$17,"E",IF(P158&lt;'PlayerGrades+'!$AG$16,"E+",IF(P158&lt;'PlayerGrades+'!$AG$15,"D-",IF(P158&lt;'PlayerGrades+'!$AG$14,"D",IF(P158&lt;'PlayerGrades+'!$AG$13,"D+",IF(P158&lt;'PlayerGrades+'!$AG$12,"C-",IF(P158&lt;'PlayerGrades+'!$AG$11,"C",IF(P158&lt;'PlayerGrades+'!$AG$10,"C+",IF(P158&lt;'PlayerGrades+'!$AG$9,"B-",IF(P158&lt;'PlayerGrades+'!$AG$8,"B",IF(P158&lt;'PlayerGrades+'!$AG$7,"B+",IF(P158&lt;'PlayerGrades+'!$AG$6,"A-",IF(P158&lt;'PlayerGrades+'!$AG$5,"A",IF(P158&lt;'PlayerGrades+'!$AG$4,"A+",IF(P158&lt;'PlayerGrades+'!$AG$3,"S-",IF(P158&lt;'PlayerGrades+'!$AG$2,"S","S+"))))))))))))))))))))</f>
        <v>#DIV/0!</v>
      </c>
      <c r="R158" s="961" t="str">
        <f t="shared" si="8"/>
        <v>#DIV/0!</v>
      </c>
      <c r="S158" s="961" t="str">
        <f>IF(R158&lt;'PlayerGrades+'!$AH$21,"F-",IF(R158&lt;'PlayerGrades+'!$AH$20,"F",IF(R158&lt;'PlayerGrades+'!$AH$19,"F+",IF(R158&lt;'PlayerGrades+'!$AH$18,"E-",IF(R158&lt;'PlayerGrades+'!$AH$17,"E",IF(R158&lt;'PlayerGrades+'!$AH$16,"E+",IF(R158&lt;'PlayerGrades+'!$AH$15,"D-",IF(R158&lt;'PlayerGrades+'!$AH$14,"D",IF(R158&lt;'PlayerGrades+'!$AH$13,"D+",IF(R158&lt;'PlayerGrades+'!$AH$12,"C-",IF(R158&lt;'PlayerGrades+'!$AH$11,"C",IF(R158&lt;'PlayerGrades+'!$AH$10,"C+",IF(R158&lt;'PlayerGrades+'!$AH$9,"B-",IF(R158&lt;'PlayerGrades+'!$AH$8,"B",IF(R158&lt;'PlayerGrades+'!$AH$7,"B+",IF(R158&lt;'PlayerGrades+'!$AH$6,"A-",IF(R158&lt;'PlayerGrades+'!$AH$5,"A",IF(R158&lt;'PlayerGrades+'!$AH$4,"A+",IF(R158&lt;'PlayerGrades+'!$AH$3,"S-",IF(R158&lt;'PlayerGrades+'!$AH$2,"S","S+"))))))))))))))))))))</f>
        <v>#DIV/0!</v>
      </c>
      <c r="T158" s="961">
        <f t="shared" si="9"/>
        <v>0</v>
      </c>
      <c r="U158" s="961" t="str">
        <f>IF(T158&lt;'PlayerGrades+'!$AI$21,"F-",IF(T158&lt;'PlayerGrades+'!$AI$20,"F",IF(T158&lt;'PlayerGrades+'!$AI$19,"F+",IF(T158&lt;'PlayerGrades+'!$AI$18,"E-",IF(T158&lt;'PlayerGrades+'!$AI$17,"E",IF(T158&lt;'PlayerGrades+'!$AI$16,"E+",IF(T158&lt;'PlayerGrades+'!$AI$15,"D-",IF(T158&lt;'PlayerGrades+'!$AI$14,"D",IF(T158&lt;'PlayerGrades+'!$AI$13,"D+",IF(T158&lt;'PlayerGrades+'!$AI$12,"C-",IF(T158&lt;'PlayerGrades+'!$AI$11,"C",IF(T158&lt;'PlayerGrades+'!$AI$10,"C+",IF(T158&lt;'PlayerGrades+'!$AI$9,"B-",IF(T158&lt;'PlayerGrades+'!$AI$8,"B",IF(T158&lt;'PlayerGrades+'!$AI$7,"B+",IF(T158&lt;'PlayerGrades+'!$AI$6,"A-",IF(T158&lt;'PlayerGrades+'!$AI$5,"A",IF(T158&lt;'PlayerGrades+'!$AI$4,"A+",IF(T158&lt;'PlayerGrades+'!$AI$3,"S-",IF(T158&lt;'PlayerGrades+'!$AI$2,"S","S+"))))))))))))))))))))</f>
        <v>F-</v>
      </c>
      <c r="Z158" s="1383"/>
      <c r="AA158" s="1383"/>
      <c r="AB158" s="1383"/>
      <c r="AC158" s="1384"/>
      <c r="AD158" s="1383"/>
      <c r="AE158" s="1383"/>
      <c r="AF158" s="1383"/>
      <c r="AG158" s="1383"/>
      <c r="AH158" s="1383"/>
      <c r="AI158" s="1383"/>
      <c r="AJ158" s="1383"/>
      <c r="AK158" s="1383"/>
      <c r="AL158" s="1383"/>
      <c r="AM158" s="1383"/>
      <c r="AN158" s="1383"/>
      <c r="AO158" s="1383"/>
      <c r="AP158" s="1383"/>
      <c r="AQ158" s="1383"/>
      <c r="AR158" s="1383"/>
      <c r="AS158" s="1383"/>
      <c r="AT158" s="1383"/>
      <c r="AU158" s="1383"/>
      <c r="AV158" s="1383"/>
      <c r="AW158" s="1383"/>
      <c r="AX158" s="1383"/>
      <c r="AY158" s="1383"/>
      <c r="AZ158" s="1383"/>
    </row>
    <row r="159">
      <c r="A159" s="1408"/>
      <c r="B159" s="611" t="str">
        <f>IF(C159&lt;'PlayerGrades+'!$Y$44,"F-",IF(C159&lt;'PlayerGrades+'!$Y$43,"F",IF(C159&lt;'PlayerGrades+'!$Y$42,"F+",IF(C159&lt;'PlayerGrades+'!$Y$41,"E-",IF(C159&lt;'PlayerGrades+'!$Y$40,"E",IF(C159&lt;'PlayerGrades+'!$Y$39,"E+",IF(C159&lt;'PlayerGrades+'!$Y$38,"D-",IF(C159&lt;'PlayerGrades+'!$Y$37,"D",IF(C159&lt;'PlayerGrades+'!$Y$36,"D+",IF(C159&lt;'PlayerGrades+'!$Y$35,"C-",IF(C159&lt;'PlayerGrades+'!$Y$34,"C",IF(C159&lt;'PlayerGrades+'!$Y$33,"C+",IF(C159&lt;'PlayerGrades+'!$Y$32,"B-",IF(C159&lt;'PlayerGrades+'!$Y$31,"B",IF(C159&lt;'PlayerGrades+'!$Y$30,"B+",IF(C159&lt;'PlayerGrades+'!$Y$29,"A-",IF(C159&lt;'PlayerGrades+'!$Y$28,"A",IF(C159&lt;'PlayerGrades+'!$Y$27,"A+",IF(C159&lt;'PlayerGrades+'!$Y$26,"S-",IF(C159&lt;'PlayerGrades+'!$Y$25,"S","S+"))))))))))))))))))))</f>
        <v>#DIV/0!</v>
      </c>
      <c r="C159" s="1378" t="str">
        <f>('PlayerGrades+'!$Y$47*(VLOOKUP(E159, 'PlayerGrades+'!$X$3:$Y$23, 2, FALSE)))+('PlayerGrades+'!$Y$48*(VLOOKUP(G159, 'PlayerGrades+'!$X$3:$Y$23, 2, FALSE)))+('PlayerGrades+'!$Y$49*(VLOOKUP(I159, 'PlayerGrades+'!$X$3:$Y$23, 2, FALSE)))+('PlayerGrades+'!$Y$50*(VLOOKUP(K159, 'PlayerGrades+'!$X$3:$Y$23, 2, FALSE)))+('PlayerGrades+'!$Y$51*(VLOOKUP(M159, 'PlayerGrades+'!$X$3:$Y$23, 2, FALSE)))+('PlayerGrades+'!$Y$52*(VLOOKUP(O159, 'PlayerGrades+'!$X$3:$Y$23, 2, FALSE)))+('PlayerGrades+'!$Y$53*(VLOOKUP(Q159, 'PlayerGrades+'!$X$3:$Y$23, 2, FALSE)))+('PlayerGrades+'!$Y$54*(VLOOKUP(S159, 'PlayerGrades+'!$X$3:$Y$23, 2, FALSE)))+('PlayerGrades+'!$Y$55*(VLOOKUP(U159, 'PlayerGrades+'!$X$3:$Y$23, 2, FALSE)))</f>
        <v>#DIV/0!</v>
      </c>
      <c r="D159" s="961" t="str">
        <f t="shared" si="1"/>
        <v>#DIV/0!</v>
      </c>
      <c r="E159" s="961" t="str">
        <f>IF(D159&lt;'PlayerGrades+'!$AA$21,"F-",IF(D159&lt;'PlayerGrades+'!$AA$20,"F",IF(D159&lt;'PlayerGrades+'!$AA$19,"F+",IF(D159&lt;'PlayerGrades+'!$AA$18,"E-",IF(D159&lt;'PlayerGrades+'!$AA$17,"E",IF(D159&lt;'PlayerGrades+'!$AA$16,"E+",IF(D159&lt;'PlayerGrades+'!$AA$15,"D-",IF(D159&lt;'PlayerGrades+'!$AA$14,"D",IF(D159&lt;'PlayerGrades+'!$AA$13,"D+",IF(D159&lt;'PlayerGrades+'!$AA$12,"C-",IF(D159&lt;'PlayerGrades+'!$AA$11,"C",IF(D159&lt;'PlayerGrades+'!$AA$10,"C+",IF(D159&lt;'PlayerGrades+'!$AA$9,"B-",IF(D159&lt;'PlayerGrades+'!$AA$8,"B",IF(D159&lt;'PlayerGrades+'!$AA$7,"B+",IF(D159&lt;'PlayerGrades+'!$AA$6,"A-",IF(D159&lt;'PlayerGrades+'!$AA$5,"A",IF(D159&lt;'PlayerGrades+'!$AA$4,"A+",IF(D159&lt;'PlayerGrades+'!$AA$3,"S-",IF(D159&lt;'PlayerGrades+'!$AA$2,"S","S+"))))))))))))))))))))</f>
        <v>#DIV/0!</v>
      </c>
      <c r="F159" s="961" t="str">
        <f t="shared" si="2"/>
        <v>#DIV/0!</v>
      </c>
      <c r="G159" s="961" t="str">
        <f>IF(F159&lt;'PlayerGrades+'!$AB$21,"F-",IF(F159&lt;'PlayerGrades+'!$AB$20,"F",IF(F159&lt;'PlayerGrades+'!$AB$19,"F+",IF(F159&lt;'PlayerGrades+'!$AB$18,"E-",IF(F159&lt;'PlayerGrades+'!$AB$17,"E",IF(F159&lt;'PlayerGrades+'!$AB$16,"E+",IF(F159&lt;'PlayerGrades+'!$AB$15,"D-",IF(F159&lt;'PlayerGrades+'!$AB$14,"D",IF(F159&lt;'PlayerGrades+'!$AB$13,"D+",IF(F159&lt;'PlayerGrades+'!$AB$12,"C-",IF(F159&lt;'PlayerGrades+'!$AB$11,"C",IF(F159&lt;'PlayerGrades+'!$AB$10,"C+",IF(F159&lt;'PlayerGrades+'!$AB$9,"B-",IF(F159&lt;'PlayerGrades+'!$AB$8,"B",IF(F159&lt;'PlayerGrades+'!$AB$7,"B+",IF(F159&lt;'PlayerGrades+'!$AB$6,"A-",IF(F159&lt;'PlayerGrades+'!$AB$5,"A",IF(F159&lt;'PlayerGrades+'!$AB$4,"A+",IF(F159&lt;'PlayerGrades+'!$AB$3,"S-",IF(F159&lt;'PlayerGrades+'!$AB$2,"S","S+"))))))))))))))))))))</f>
        <v>#DIV/0!</v>
      </c>
      <c r="H159" s="961" t="str">
        <f t="shared" si="3"/>
        <v>#DIV/0!</v>
      </c>
      <c r="I159" s="961" t="str">
        <f>IF(H159&lt;'PlayerGrades+'!$AC$21,"F-",IF(H159&lt;'PlayerGrades+'!$AC$20,"F",IF(H159&lt;'PlayerGrades+'!$AC$19,"F+",IF(H159&lt;'PlayerGrades+'!$AC$18,"E-",IF(H159&lt;'PlayerGrades+'!$AC$17,"E",IF(H159&lt;'PlayerGrades+'!$AC$16,"E+",IF(H159&lt;'PlayerGrades+'!$AC$15,"D-",IF(H159&lt;'PlayerGrades+'!$AC$14,"D",IF(H159&lt;'PlayerGrades+'!$AC$13,"D+",IF(H159&lt;'PlayerGrades+'!$AC$12,"C-",IF(H159&lt;'PlayerGrades+'!$AC$11,"C",IF(H159&lt;'PlayerGrades+'!$AC$10,"C+",IF(H159&lt;'PlayerGrades+'!$AC$9,"B-",IF(H159&lt;'PlayerGrades+'!$AC$8,"B",IF(H159&lt;'PlayerGrades+'!$AC$7,"B+",IF(H159&lt;'PlayerGrades+'!$AC$6,"A-",IF(H159&lt;'PlayerGrades+'!$AC$5,"A",IF(H159&lt;'PlayerGrades+'!$AC$4,"A+",IF(H159&lt;'PlayerGrades+'!$AC$3,"S-",IF(H159&lt;'PlayerGrades+'!$AC$2,"S","S+"))))))))))))))))))))</f>
        <v>#DIV/0!</v>
      </c>
      <c r="J159" s="961" t="str">
        <f t="shared" si="4"/>
        <v>#DIV/0!</v>
      </c>
      <c r="K159" s="961" t="str">
        <f>IF(J159&lt;'PlayerGrades+'!$AD$21,"F-",IF(J159&lt;'PlayerGrades+'!$AD$20,"F",IF(J159&lt;'PlayerGrades+'!$AD$19,"F+",IF(J159&lt;'PlayerGrades+'!$AD$18,"E-",IF(J159&lt;'PlayerGrades+'!$AD$17,"E",IF(J159&lt;'PlayerGrades+'!$AD$16,"E+",IF(J159&lt;'PlayerGrades+'!$AD$15,"D-",IF(J159&lt;'PlayerGrades+'!$AD$14,"D",IF(J159&lt;'PlayerGrades+'!$AD$13,"D+",IF(J159&lt;'PlayerGrades+'!$AD$12,"C-",IF(J159&lt;'PlayerGrades+'!$AD$11,"C",IF(J159&lt;'PlayerGrades+'!$AD$10,"C+",IF(J159&lt;'PlayerGrades+'!$AD$9,"B-",IF(J159&lt;'PlayerGrades+'!$AD$8,"B",IF(J159&lt;'PlayerGrades+'!$AD$7,"B+",IF(J159&lt;'PlayerGrades+'!$AD$6,"A-",IF(J159&lt;'PlayerGrades+'!$AD$5,"A",IF(J159&lt;'PlayerGrades+'!$AD$4,"A+",IF(J159&lt;'PlayerGrades+'!$AD$3,"S-",IF(J159&lt;'PlayerGrades+'!$AD$2,"S","S+"))))))))))))))))))))</f>
        <v>#DIV/0!</v>
      </c>
      <c r="L159" s="1176" t="str">
        <f t="shared" si="5"/>
        <v>#DIV/0!</v>
      </c>
      <c r="M159" s="992" t="str">
        <f>IF(L159&lt;'PlayerGrades+'!$AE$21,"F-",IF(L159&lt;'PlayerGrades+'!$AE$20,"F",IF(L159&lt;'PlayerGrades+'!$AE$19,"F+",IF(L159&lt;'PlayerGrades+'!$AE$18,"E-",IF(L159&lt;'PlayerGrades+'!$AE$17,"E",IF(L159&lt;'PlayerGrades+'!$AE$16,"E+",IF(L159&lt;'PlayerGrades+'!$AE$15,"D-",IF(L159&lt;'PlayerGrades+'!$AE$14,"D",IF(L159&lt;'PlayerGrades+'!$AE$13,"D+",IF(L159&lt;'PlayerGrades+'!$AE$12,"C-",IF(L159&lt;'PlayerGrades+'!$AE$11,"C",IF(L159&lt;'PlayerGrades+'!$AE$10,"C+",IF(L159&lt;'PlayerGrades+'!$AE$9,"B-",IF(L159&lt;'PlayerGrades+'!$AE$8,"B",IF(L159&lt;'PlayerGrades+'!$AE$7,"B+",IF(L159&lt;'PlayerGrades+'!$AE$6,"A-",IF(L159&lt;'PlayerGrades+'!$AE$5,"A",IF(L159&lt;'PlayerGrades+'!$AE$4,"A+",IF(L159&lt;'PlayerGrades+'!$AE$3,"S-",IF(L159&lt;'PlayerGrades+'!$AE$2,"S","S+"))))))))))))))))))))</f>
        <v>#DIV/0!</v>
      </c>
      <c r="N159" s="961" t="str">
        <f t="shared" si="6"/>
        <v>#DIV/0!</v>
      </c>
      <c r="O159" s="961" t="str">
        <f>IF(N159&lt;'PlayerGrades+'!$AF$21,"F-",IF(N159&lt;'PlayerGrades+'!$AF$20,"F",IF(N159&lt;'PlayerGrades+'!$AF$19,"F+",IF(N159&lt;'PlayerGrades+'!$AF$18,"E-",IF(N159&lt;'PlayerGrades+'!$AF$17,"E",IF(N159&lt;'PlayerGrades+'!$AF$16,"E+",IF(N159&lt;'PlayerGrades+'!$AF$15,"D-",IF(N159&lt;'PlayerGrades+'!$AF$14,"D",IF(N159&lt;'PlayerGrades+'!$AF$13,"D+",IF(N159&lt;'PlayerGrades+'!$AF$12,"C-",IF(N159&lt;'PlayerGrades+'!$AF$11,"C",IF(N159&lt;'PlayerGrades+'!$AF$10,"C+",IF(N159&lt;'PlayerGrades+'!$AF$9,"B-",IF(N159&lt;'PlayerGrades+'!$AF$8,"B",IF(N159&lt;'PlayerGrades+'!$AF$7,"B+",IF(N159&lt;'PlayerGrades+'!$AF$6,"A-",IF(N159&lt;'PlayerGrades+'!$AF$5,"A",IF(N159&lt;'PlayerGrades+'!$AF$4,"A+",IF(N159&lt;'PlayerGrades+'!$AF$3,"S-",IF(N159&lt;'PlayerGrades+'!$AF$2,"S","S+"))))))))))))))))))))</f>
        <v>#DIV/0!</v>
      </c>
      <c r="P159" s="961" t="str">
        <f t="shared" si="7"/>
        <v>#DIV/0!</v>
      </c>
      <c r="Q159" s="961" t="str">
        <f>IF(P159&lt;'PlayerGrades+'!$AG$21,"F-",IF(P159&lt;'PlayerGrades+'!$AG$20,"F",IF(P159&lt;'PlayerGrades+'!$AG$19,"F+",IF(P159&lt;'PlayerGrades+'!$AG$18,"E-",IF(P159&lt;'PlayerGrades+'!$AG$17,"E",IF(P159&lt;'PlayerGrades+'!$AG$16,"E+",IF(P159&lt;'PlayerGrades+'!$AG$15,"D-",IF(P159&lt;'PlayerGrades+'!$AG$14,"D",IF(P159&lt;'PlayerGrades+'!$AG$13,"D+",IF(P159&lt;'PlayerGrades+'!$AG$12,"C-",IF(P159&lt;'PlayerGrades+'!$AG$11,"C",IF(P159&lt;'PlayerGrades+'!$AG$10,"C+",IF(P159&lt;'PlayerGrades+'!$AG$9,"B-",IF(P159&lt;'PlayerGrades+'!$AG$8,"B",IF(P159&lt;'PlayerGrades+'!$AG$7,"B+",IF(P159&lt;'PlayerGrades+'!$AG$6,"A-",IF(P159&lt;'PlayerGrades+'!$AG$5,"A",IF(P159&lt;'PlayerGrades+'!$AG$4,"A+",IF(P159&lt;'PlayerGrades+'!$AG$3,"S-",IF(P159&lt;'PlayerGrades+'!$AG$2,"S","S+"))))))))))))))))))))</f>
        <v>#DIV/0!</v>
      </c>
      <c r="R159" s="961" t="str">
        <f t="shared" si="8"/>
        <v>#DIV/0!</v>
      </c>
      <c r="S159" s="961" t="str">
        <f>IF(R159&lt;'PlayerGrades+'!$AH$21,"F-",IF(R159&lt;'PlayerGrades+'!$AH$20,"F",IF(R159&lt;'PlayerGrades+'!$AH$19,"F+",IF(R159&lt;'PlayerGrades+'!$AH$18,"E-",IF(R159&lt;'PlayerGrades+'!$AH$17,"E",IF(R159&lt;'PlayerGrades+'!$AH$16,"E+",IF(R159&lt;'PlayerGrades+'!$AH$15,"D-",IF(R159&lt;'PlayerGrades+'!$AH$14,"D",IF(R159&lt;'PlayerGrades+'!$AH$13,"D+",IF(R159&lt;'PlayerGrades+'!$AH$12,"C-",IF(R159&lt;'PlayerGrades+'!$AH$11,"C",IF(R159&lt;'PlayerGrades+'!$AH$10,"C+",IF(R159&lt;'PlayerGrades+'!$AH$9,"B-",IF(R159&lt;'PlayerGrades+'!$AH$8,"B",IF(R159&lt;'PlayerGrades+'!$AH$7,"B+",IF(R159&lt;'PlayerGrades+'!$AH$6,"A-",IF(R159&lt;'PlayerGrades+'!$AH$5,"A",IF(R159&lt;'PlayerGrades+'!$AH$4,"A+",IF(R159&lt;'PlayerGrades+'!$AH$3,"S-",IF(R159&lt;'PlayerGrades+'!$AH$2,"S","S+"))))))))))))))))))))</f>
        <v>#DIV/0!</v>
      </c>
      <c r="T159" s="961">
        <f t="shared" si="9"/>
        <v>0</v>
      </c>
      <c r="U159" s="961" t="str">
        <f>IF(T159&lt;'PlayerGrades+'!$AI$21,"F-",IF(T159&lt;'PlayerGrades+'!$AI$20,"F",IF(T159&lt;'PlayerGrades+'!$AI$19,"F+",IF(T159&lt;'PlayerGrades+'!$AI$18,"E-",IF(T159&lt;'PlayerGrades+'!$AI$17,"E",IF(T159&lt;'PlayerGrades+'!$AI$16,"E+",IF(T159&lt;'PlayerGrades+'!$AI$15,"D-",IF(T159&lt;'PlayerGrades+'!$AI$14,"D",IF(T159&lt;'PlayerGrades+'!$AI$13,"D+",IF(T159&lt;'PlayerGrades+'!$AI$12,"C-",IF(T159&lt;'PlayerGrades+'!$AI$11,"C",IF(T159&lt;'PlayerGrades+'!$AI$10,"C+",IF(T159&lt;'PlayerGrades+'!$AI$9,"B-",IF(T159&lt;'PlayerGrades+'!$AI$8,"B",IF(T159&lt;'PlayerGrades+'!$AI$7,"B+",IF(T159&lt;'PlayerGrades+'!$AI$6,"A-",IF(T159&lt;'PlayerGrades+'!$AI$5,"A",IF(T159&lt;'PlayerGrades+'!$AI$4,"A+",IF(T159&lt;'PlayerGrades+'!$AI$3,"S-",IF(T159&lt;'PlayerGrades+'!$AI$2,"S","S+"))))))))))))))))))))</f>
        <v>F-</v>
      </c>
      <c r="Z159" s="1383"/>
      <c r="AA159" s="1383"/>
      <c r="AB159" s="1383"/>
      <c r="AC159" s="1384"/>
      <c r="AD159" s="1383"/>
      <c r="AE159" s="1383"/>
      <c r="AF159" s="1383"/>
      <c r="AG159" s="1383"/>
      <c r="AH159" s="1383"/>
      <c r="AI159" s="1383"/>
      <c r="AJ159" s="1383"/>
      <c r="AK159" s="1383"/>
      <c r="AL159" s="1383"/>
      <c r="AM159" s="1383"/>
      <c r="AN159" s="1383"/>
      <c r="AO159" s="1383"/>
      <c r="AP159" s="1383"/>
      <c r="AQ159" s="1383"/>
      <c r="AR159" s="1383"/>
      <c r="AS159" s="1383"/>
      <c r="AT159" s="1383"/>
      <c r="AU159" s="1383"/>
      <c r="AV159" s="1383"/>
      <c r="AW159" s="1383"/>
      <c r="AX159" s="1383"/>
      <c r="AY159" s="1383"/>
      <c r="AZ159" s="1383"/>
    </row>
    <row r="160">
      <c r="A160" s="1408"/>
      <c r="B160" s="611" t="str">
        <f>IF(C160&lt;'PlayerGrades+'!$Y$44,"F-",IF(C160&lt;'PlayerGrades+'!$Y$43,"F",IF(C160&lt;'PlayerGrades+'!$Y$42,"F+",IF(C160&lt;'PlayerGrades+'!$Y$41,"E-",IF(C160&lt;'PlayerGrades+'!$Y$40,"E",IF(C160&lt;'PlayerGrades+'!$Y$39,"E+",IF(C160&lt;'PlayerGrades+'!$Y$38,"D-",IF(C160&lt;'PlayerGrades+'!$Y$37,"D",IF(C160&lt;'PlayerGrades+'!$Y$36,"D+",IF(C160&lt;'PlayerGrades+'!$Y$35,"C-",IF(C160&lt;'PlayerGrades+'!$Y$34,"C",IF(C160&lt;'PlayerGrades+'!$Y$33,"C+",IF(C160&lt;'PlayerGrades+'!$Y$32,"B-",IF(C160&lt;'PlayerGrades+'!$Y$31,"B",IF(C160&lt;'PlayerGrades+'!$Y$30,"B+",IF(C160&lt;'PlayerGrades+'!$Y$29,"A-",IF(C160&lt;'PlayerGrades+'!$Y$28,"A",IF(C160&lt;'PlayerGrades+'!$Y$27,"A+",IF(C160&lt;'PlayerGrades+'!$Y$26,"S-",IF(C160&lt;'PlayerGrades+'!$Y$25,"S","S+"))))))))))))))))))))</f>
        <v>#DIV/0!</v>
      </c>
      <c r="C160" s="1378" t="str">
        <f>('PlayerGrades+'!$Y$47*(VLOOKUP(E160, 'PlayerGrades+'!$X$3:$Y$23, 2, FALSE)))+('PlayerGrades+'!$Y$48*(VLOOKUP(G160, 'PlayerGrades+'!$X$3:$Y$23, 2, FALSE)))+('PlayerGrades+'!$Y$49*(VLOOKUP(I160, 'PlayerGrades+'!$X$3:$Y$23, 2, FALSE)))+('PlayerGrades+'!$Y$50*(VLOOKUP(K160, 'PlayerGrades+'!$X$3:$Y$23, 2, FALSE)))+('PlayerGrades+'!$Y$51*(VLOOKUP(M160, 'PlayerGrades+'!$X$3:$Y$23, 2, FALSE)))+('PlayerGrades+'!$Y$52*(VLOOKUP(O160, 'PlayerGrades+'!$X$3:$Y$23, 2, FALSE)))+('PlayerGrades+'!$Y$53*(VLOOKUP(Q160, 'PlayerGrades+'!$X$3:$Y$23, 2, FALSE)))+('PlayerGrades+'!$Y$54*(VLOOKUP(S160, 'PlayerGrades+'!$X$3:$Y$23, 2, FALSE)))+('PlayerGrades+'!$Y$55*(VLOOKUP(U160, 'PlayerGrades+'!$X$3:$Y$23, 2, FALSE)))</f>
        <v>#DIV/0!</v>
      </c>
      <c r="D160" s="961" t="str">
        <f t="shared" si="1"/>
        <v>#DIV/0!</v>
      </c>
      <c r="E160" s="961" t="str">
        <f>IF(D160&lt;'PlayerGrades+'!$AA$21,"F-",IF(D160&lt;'PlayerGrades+'!$AA$20,"F",IF(D160&lt;'PlayerGrades+'!$AA$19,"F+",IF(D160&lt;'PlayerGrades+'!$AA$18,"E-",IF(D160&lt;'PlayerGrades+'!$AA$17,"E",IF(D160&lt;'PlayerGrades+'!$AA$16,"E+",IF(D160&lt;'PlayerGrades+'!$AA$15,"D-",IF(D160&lt;'PlayerGrades+'!$AA$14,"D",IF(D160&lt;'PlayerGrades+'!$AA$13,"D+",IF(D160&lt;'PlayerGrades+'!$AA$12,"C-",IF(D160&lt;'PlayerGrades+'!$AA$11,"C",IF(D160&lt;'PlayerGrades+'!$AA$10,"C+",IF(D160&lt;'PlayerGrades+'!$AA$9,"B-",IF(D160&lt;'PlayerGrades+'!$AA$8,"B",IF(D160&lt;'PlayerGrades+'!$AA$7,"B+",IF(D160&lt;'PlayerGrades+'!$AA$6,"A-",IF(D160&lt;'PlayerGrades+'!$AA$5,"A",IF(D160&lt;'PlayerGrades+'!$AA$4,"A+",IF(D160&lt;'PlayerGrades+'!$AA$3,"S-",IF(D160&lt;'PlayerGrades+'!$AA$2,"S","S+"))))))))))))))))))))</f>
        <v>#DIV/0!</v>
      </c>
      <c r="F160" s="961" t="str">
        <f t="shared" si="2"/>
        <v>#DIV/0!</v>
      </c>
      <c r="G160" s="961" t="str">
        <f>IF(F160&lt;'PlayerGrades+'!$AB$21,"F-",IF(F160&lt;'PlayerGrades+'!$AB$20,"F",IF(F160&lt;'PlayerGrades+'!$AB$19,"F+",IF(F160&lt;'PlayerGrades+'!$AB$18,"E-",IF(F160&lt;'PlayerGrades+'!$AB$17,"E",IF(F160&lt;'PlayerGrades+'!$AB$16,"E+",IF(F160&lt;'PlayerGrades+'!$AB$15,"D-",IF(F160&lt;'PlayerGrades+'!$AB$14,"D",IF(F160&lt;'PlayerGrades+'!$AB$13,"D+",IF(F160&lt;'PlayerGrades+'!$AB$12,"C-",IF(F160&lt;'PlayerGrades+'!$AB$11,"C",IF(F160&lt;'PlayerGrades+'!$AB$10,"C+",IF(F160&lt;'PlayerGrades+'!$AB$9,"B-",IF(F160&lt;'PlayerGrades+'!$AB$8,"B",IF(F160&lt;'PlayerGrades+'!$AB$7,"B+",IF(F160&lt;'PlayerGrades+'!$AB$6,"A-",IF(F160&lt;'PlayerGrades+'!$AB$5,"A",IF(F160&lt;'PlayerGrades+'!$AB$4,"A+",IF(F160&lt;'PlayerGrades+'!$AB$3,"S-",IF(F160&lt;'PlayerGrades+'!$AB$2,"S","S+"))))))))))))))))))))</f>
        <v>#DIV/0!</v>
      </c>
      <c r="H160" s="961" t="str">
        <f t="shared" si="3"/>
        <v>#DIV/0!</v>
      </c>
      <c r="I160" s="961" t="str">
        <f>IF(H160&lt;'PlayerGrades+'!$AC$21,"F-",IF(H160&lt;'PlayerGrades+'!$AC$20,"F",IF(H160&lt;'PlayerGrades+'!$AC$19,"F+",IF(H160&lt;'PlayerGrades+'!$AC$18,"E-",IF(H160&lt;'PlayerGrades+'!$AC$17,"E",IF(H160&lt;'PlayerGrades+'!$AC$16,"E+",IF(H160&lt;'PlayerGrades+'!$AC$15,"D-",IF(H160&lt;'PlayerGrades+'!$AC$14,"D",IF(H160&lt;'PlayerGrades+'!$AC$13,"D+",IF(H160&lt;'PlayerGrades+'!$AC$12,"C-",IF(H160&lt;'PlayerGrades+'!$AC$11,"C",IF(H160&lt;'PlayerGrades+'!$AC$10,"C+",IF(H160&lt;'PlayerGrades+'!$AC$9,"B-",IF(H160&lt;'PlayerGrades+'!$AC$8,"B",IF(H160&lt;'PlayerGrades+'!$AC$7,"B+",IF(H160&lt;'PlayerGrades+'!$AC$6,"A-",IF(H160&lt;'PlayerGrades+'!$AC$5,"A",IF(H160&lt;'PlayerGrades+'!$AC$4,"A+",IF(H160&lt;'PlayerGrades+'!$AC$3,"S-",IF(H160&lt;'PlayerGrades+'!$AC$2,"S","S+"))))))))))))))))))))</f>
        <v>#DIV/0!</v>
      </c>
      <c r="J160" s="961" t="str">
        <f t="shared" si="4"/>
        <v>#DIV/0!</v>
      </c>
      <c r="K160" s="961" t="str">
        <f>IF(J160&lt;'PlayerGrades+'!$AD$21,"F-",IF(J160&lt;'PlayerGrades+'!$AD$20,"F",IF(J160&lt;'PlayerGrades+'!$AD$19,"F+",IF(J160&lt;'PlayerGrades+'!$AD$18,"E-",IF(J160&lt;'PlayerGrades+'!$AD$17,"E",IF(J160&lt;'PlayerGrades+'!$AD$16,"E+",IF(J160&lt;'PlayerGrades+'!$AD$15,"D-",IF(J160&lt;'PlayerGrades+'!$AD$14,"D",IF(J160&lt;'PlayerGrades+'!$AD$13,"D+",IF(J160&lt;'PlayerGrades+'!$AD$12,"C-",IF(J160&lt;'PlayerGrades+'!$AD$11,"C",IF(J160&lt;'PlayerGrades+'!$AD$10,"C+",IF(J160&lt;'PlayerGrades+'!$AD$9,"B-",IF(J160&lt;'PlayerGrades+'!$AD$8,"B",IF(J160&lt;'PlayerGrades+'!$AD$7,"B+",IF(J160&lt;'PlayerGrades+'!$AD$6,"A-",IF(J160&lt;'PlayerGrades+'!$AD$5,"A",IF(J160&lt;'PlayerGrades+'!$AD$4,"A+",IF(J160&lt;'PlayerGrades+'!$AD$3,"S-",IF(J160&lt;'PlayerGrades+'!$AD$2,"S","S+"))))))))))))))))))))</f>
        <v>#DIV/0!</v>
      </c>
      <c r="L160" s="1176" t="str">
        <f t="shared" si="5"/>
        <v>#DIV/0!</v>
      </c>
      <c r="M160" s="992" t="str">
        <f>IF(L160&lt;'PlayerGrades+'!$AE$21,"F-",IF(L160&lt;'PlayerGrades+'!$AE$20,"F",IF(L160&lt;'PlayerGrades+'!$AE$19,"F+",IF(L160&lt;'PlayerGrades+'!$AE$18,"E-",IF(L160&lt;'PlayerGrades+'!$AE$17,"E",IF(L160&lt;'PlayerGrades+'!$AE$16,"E+",IF(L160&lt;'PlayerGrades+'!$AE$15,"D-",IF(L160&lt;'PlayerGrades+'!$AE$14,"D",IF(L160&lt;'PlayerGrades+'!$AE$13,"D+",IF(L160&lt;'PlayerGrades+'!$AE$12,"C-",IF(L160&lt;'PlayerGrades+'!$AE$11,"C",IF(L160&lt;'PlayerGrades+'!$AE$10,"C+",IF(L160&lt;'PlayerGrades+'!$AE$9,"B-",IF(L160&lt;'PlayerGrades+'!$AE$8,"B",IF(L160&lt;'PlayerGrades+'!$AE$7,"B+",IF(L160&lt;'PlayerGrades+'!$AE$6,"A-",IF(L160&lt;'PlayerGrades+'!$AE$5,"A",IF(L160&lt;'PlayerGrades+'!$AE$4,"A+",IF(L160&lt;'PlayerGrades+'!$AE$3,"S-",IF(L160&lt;'PlayerGrades+'!$AE$2,"S","S+"))))))))))))))))))))</f>
        <v>#DIV/0!</v>
      </c>
      <c r="N160" s="961" t="str">
        <f t="shared" si="6"/>
        <v>#DIV/0!</v>
      </c>
      <c r="O160" s="961" t="str">
        <f>IF(N160&lt;'PlayerGrades+'!$AF$21,"F-",IF(N160&lt;'PlayerGrades+'!$AF$20,"F",IF(N160&lt;'PlayerGrades+'!$AF$19,"F+",IF(N160&lt;'PlayerGrades+'!$AF$18,"E-",IF(N160&lt;'PlayerGrades+'!$AF$17,"E",IF(N160&lt;'PlayerGrades+'!$AF$16,"E+",IF(N160&lt;'PlayerGrades+'!$AF$15,"D-",IF(N160&lt;'PlayerGrades+'!$AF$14,"D",IF(N160&lt;'PlayerGrades+'!$AF$13,"D+",IF(N160&lt;'PlayerGrades+'!$AF$12,"C-",IF(N160&lt;'PlayerGrades+'!$AF$11,"C",IF(N160&lt;'PlayerGrades+'!$AF$10,"C+",IF(N160&lt;'PlayerGrades+'!$AF$9,"B-",IF(N160&lt;'PlayerGrades+'!$AF$8,"B",IF(N160&lt;'PlayerGrades+'!$AF$7,"B+",IF(N160&lt;'PlayerGrades+'!$AF$6,"A-",IF(N160&lt;'PlayerGrades+'!$AF$5,"A",IF(N160&lt;'PlayerGrades+'!$AF$4,"A+",IF(N160&lt;'PlayerGrades+'!$AF$3,"S-",IF(N160&lt;'PlayerGrades+'!$AF$2,"S","S+"))))))))))))))))))))</f>
        <v>#DIV/0!</v>
      </c>
      <c r="P160" s="961" t="str">
        <f t="shared" si="7"/>
        <v>#DIV/0!</v>
      </c>
      <c r="Q160" s="961" t="str">
        <f>IF(P160&lt;'PlayerGrades+'!$AG$21,"F-",IF(P160&lt;'PlayerGrades+'!$AG$20,"F",IF(P160&lt;'PlayerGrades+'!$AG$19,"F+",IF(P160&lt;'PlayerGrades+'!$AG$18,"E-",IF(P160&lt;'PlayerGrades+'!$AG$17,"E",IF(P160&lt;'PlayerGrades+'!$AG$16,"E+",IF(P160&lt;'PlayerGrades+'!$AG$15,"D-",IF(P160&lt;'PlayerGrades+'!$AG$14,"D",IF(P160&lt;'PlayerGrades+'!$AG$13,"D+",IF(P160&lt;'PlayerGrades+'!$AG$12,"C-",IF(P160&lt;'PlayerGrades+'!$AG$11,"C",IF(P160&lt;'PlayerGrades+'!$AG$10,"C+",IF(P160&lt;'PlayerGrades+'!$AG$9,"B-",IF(P160&lt;'PlayerGrades+'!$AG$8,"B",IF(P160&lt;'PlayerGrades+'!$AG$7,"B+",IF(P160&lt;'PlayerGrades+'!$AG$6,"A-",IF(P160&lt;'PlayerGrades+'!$AG$5,"A",IF(P160&lt;'PlayerGrades+'!$AG$4,"A+",IF(P160&lt;'PlayerGrades+'!$AG$3,"S-",IF(P160&lt;'PlayerGrades+'!$AG$2,"S","S+"))))))))))))))))))))</f>
        <v>#DIV/0!</v>
      </c>
      <c r="R160" s="961" t="str">
        <f t="shared" si="8"/>
        <v>#DIV/0!</v>
      </c>
      <c r="S160" s="961" t="str">
        <f>IF(R160&lt;'PlayerGrades+'!$AH$21,"F-",IF(R160&lt;'PlayerGrades+'!$AH$20,"F",IF(R160&lt;'PlayerGrades+'!$AH$19,"F+",IF(R160&lt;'PlayerGrades+'!$AH$18,"E-",IF(R160&lt;'PlayerGrades+'!$AH$17,"E",IF(R160&lt;'PlayerGrades+'!$AH$16,"E+",IF(R160&lt;'PlayerGrades+'!$AH$15,"D-",IF(R160&lt;'PlayerGrades+'!$AH$14,"D",IF(R160&lt;'PlayerGrades+'!$AH$13,"D+",IF(R160&lt;'PlayerGrades+'!$AH$12,"C-",IF(R160&lt;'PlayerGrades+'!$AH$11,"C",IF(R160&lt;'PlayerGrades+'!$AH$10,"C+",IF(R160&lt;'PlayerGrades+'!$AH$9,"B-",IF(R160&lt;'PlayerGrades+'!$AH$8,"B",IF(R160&lt;'PlayerGrades+'!$AH$7,"B+",IF(R160&lt;'PlayerGrades+'!$AH$6,"A-",IF(R160&lt;'PlayerGrades+'!$AH$5,"A",IF(R160&lt;'PlayerGrades+'!$AH$4,"A+",IF(R160&lt;'PlayerGrades+'!$AH$3,"S-",IF(R160&lt;'PlayerGrades+'!$AH$2,"S","S+"))))))))))))))))))))</f>
        <v>#DIV/0!</v>
      </c>
      <c r="T160" s="961">
        <f t="shared" si="9"/>
        <v>0</v>
      </c>
      <c r="U160" s="961" t="str">
        <f>IF(T160&lt;'PlayerGrades+'!$AI$21,"F-",IF(T160&lt;'PlayerGrades+'!$AI$20,"F",IF(T160&lt;'PlayerGrades+'!$AI$19,"F+",IF(T160&lt;'PlayerGrades+'!$AI$18,"E-",IF(T160&lt;'PlayerGrades+'!$AI$17,"E",IF(T160&lt;'PlayerGrades+'!$AI$16,"E+",IF(T160&lt;'PlayerGrades+'!$AI$15,"D-",IF(T160&lt;'PlayerGrades+'!$AI$14,"D",IF(T160&lt;'PlayerGrades+'!$AI$13,"D+",IF(T160&lt;'PlayerGrades+'!$AI$12,"C-",IF(T160&lt;'PlayerGrades+'!$AI$11,"C",IF(T160&lt;'PlayerGrades+'!$AI$10,"C+",IF(T160&lt;'PlayerGrades+'!$AI$9,"B-",IF(T160&lt;'PlayerGrades+'!$AI$8,"B",IF(T160&lt;'PlayerGrades+'!$AI$7,"B+",IF(T160&lt;'PlayerGrades+'!$AI$6,"A-",IF(T160&lt;'PlayerGrades+'!$AI$5,"A",IF(T160&lt;'PlayerGrades+'!$AI$4,"A+",IF(T160&lt;'PlayerGrades+'!$AI$3,"S-",IF(T160&lt;'PlayerGrades+'!$AI$2,"S","S+"))))))))))))))))))))</f>
        <v>F-</v>
      </c>
      <c r="Z160" s="1383"/>
      <c r="AA160" s="1383"/>
      <c r="AB160" s="1383"/>
      <c r="AC160" s="1384"/>
      <c r="AD160" s="1383"/>
      <c r="AE160" s="1383"/>
      <c r="AF160" s="1383"/>
      <c r="AG160" s="1383"/>
      <c r="AH160" s="1383"/>
      <c r="AI160" s="1383"/>
      <c r="AJ160" s="1383"/>
      <c r="AK160" s="1383"/>
      <c r="AL160" s="1383"/>
      <c r="AM160" s="1383"/>
      <c r="AN160" s="1383"/>
      <c r="AO160" s="1383"/>
      <c r="AP160" s="1383"/>
      <c r="AQ160" s="1383"/>
      <c r="AR160" s="1383"/>
      <c r="AS160" s="1383"/>
      <c r="AT160" s="1383"/>
      <c r="AU160" s="1383"/>
      <c r="AV160" s="1383"/>
      <c r="AW160" s="1383"/>
      <c r="AX160" s="1383"/>
      <c r="AY160" s="1383"/>
      <c r="AZ160" s="1383"/>
    </row>
    <row r="161">
      <c r="A161" s="1409"/>
      <c r="B161" s="611" t="str">
        <f>IF(C161&lt;'PlayerGrades+'!$Y$44,"F-",IF(C161&lt;'PlayerGrades+'!$Y$43,"F",IF(C161&lt;'PlayerGrades+'!$Y$42,"F+",IF(C161&lt;'PlayerGrades+'!$Y$41,"E-",IF(C161&lt;'PlayerGrades+'!$Y$40,"E",IF(C161&lt;'PlayerGrades+'!$Y$39,"E+",IF(C161&lt;'PlayerGrades+'!$Y$38,"D-",IF(C161&lt;'PlayerGrades+'!$Y$37,"D",IF(C161&lt;'PlayerGrades+'!$Y$36,"D+",IF(C161&lt;'PlayerGrades+'!$Y$35,"C-",IF(C161&lt;'PlayerGrades+'!$Y$34,"C",IF(C161&lt;'PlayerGrades+'!$Y$33,"C+",IF(C161&lt;'PlayerGrades+'!$Y$32,"B-",IF(C161&lt;'PlayerGrades+'!$Y$31,"B",IF(C161&lt;'PlayerGrades+'!$Y$30,"B+",IF(C161&lt;'PlayerGrades+'!$Y$29,"A-",IF(C161&lt;'PlayerGrades+'!$Y$28,"A",IF(C161&lt;'PlayerGrades+'!$Y$27,"A+",IF(C161&lt;'PlayerGrades+'!$Y$26,"S-",IF(C161&lt;'PlayerGrades+'!$Y$25,"S","S+"))))))))))))))))))))</f>
        <v>#DIV/0!</v>
      </c>
      <c r="C161" s="1378" t="str">
        <f>('PlayerGrades+'!$Y$47*(VLOOKUP(E161, 'PlayerGrades+'!$X$3:$Y$23, 2, FALSE)))+('PlayerGrades+'!$Y$48*(VLOOKUP(G161, 'PlayerGrades+'!$X$3:$Y$23, 2, FALSE)))+('PlayerGrades+'!$Y$49*(VLOOKUP(I161, 'PlayerGrades+'!$X$3:$Y$23, 2, FALSE)))+('PlayerGrades+'!$Y$50*(VLOOKUP(K161, 'PlayerGrades+'!$X$3:$Y$23, 2, FALSE)))+('PlayerGrades+'!$Y$51*(VLOOKUP(M161, 'PlayerGrades+'!$X$3:$Y$23, 2, FALSE)))+('PlayerGrades+'!$Y$52*(VLOOKUP(O161, 'PlayerGrades+'!$X$3:$Y$23, 2, FALSE)))+('PlayerGrades+'!$Y$53*(VLOOKUP(Q161, 'PlayerGrades+'!$X$3:$Y$23, 2, FALSE)))+('PlayerGrades+'!$Y$54*(VLOOKUP(S161, 'PlayerGrades+'!$X$3:$Y$23, 2, FALSE)))+('PlayerGrades+'!$Y$55*(VLOOKUP(U161, 'PlayerGrades+'!$X$3:$Y$23, 2, FALSE)))</f>
        <v>#DIV/0!</v>
      </c>
      <c r="D161" s="961" t="str">
        <f t="shared" si="1"/>
        <v>#DIV/0!</v>
      </c>
      <c r="E161" s="961" t="str">
        <f>IF(D161&lt;'PlayerGrades+'!$AA$21,"F-",IF(D161&lt;'PlayerGrades+'!$AA$20,"F",IF(D161&lt;'PlayerGrades+'!$AA$19,"F+",IF(D161&lt;'PlayerGrades+'!$AA$18,"E-",IF(D161&lt;'PlayerGrades+'!$AA$17,"E",IF(D161&lt;'PlayerGrades+'!$AA$16,"E+",IF(D161&lt;'PlayerGrades+'!$AA$15,"D-",IF(D161&lt;'PlayerGrades+'!$AA$14,"D",IF(D161&lt;'PlayerGrades+'!$AA$13,"D+",IF(D161&lt;'PlayerGrades+'!$AA$12,"C-",IF(D161&lt;'PlayerGrades+'!$AA$11,"C",IF(D161&lt;'PlayerGrades+'!$AA$10,"C+",IF(D161&lt;'PlayerGrades+'!$AA$9,"B-",IF(D161&lt;'PlayerGrades+'!$AA$8,"B",IF(D161&lt;'PlayerGrades+'!$AA$7,"B+",IF(D161&lt;'PlayerGrades+'!$AA$6,"A-",IF(D161&lt;'PlayerGrades+'!$AA$5,"A",IF(D161&lt;'PlayerGrades+'!$AA$4,"A+",IF(D161&lt;'PlayerGrades+'!$AA$3,"S-",IF(D161&lt;'PlayerGrades+'!$AA$2,"S","S+"))))))))))))))))))))</f>
        <v>#DIV/0!</v>
      </c>
      <c r="F161" s="961" t="str">
        <f t="shared" si="2"/>
        <v>#DIV/0!</v>
      </c>
      <c r="G161" s="961" t="str">
        <f>IF(F161&lt;'PlayerGrades+'!$AB$21,"F-",IF(F161&lt;'PlayerGrades+'!$AB$20,"F",IF(F161&lt;'PlayerGrades+'!$AB$19,"F+",IF(F161&lt;'PlayerGrades+'!$AB$18,"E-",IF(F161&lt;'PlayerGrades+'!$AB$17,"E",IF(F161&lt;'PlayerGrades+'!$AB$16,"E+",IF(F161&lt;'PlayerGrades+'!$AB$15,"D-",IF(F161&lt;'PlayerGrades+'!$AB$14,"D",IF(F161&lt;'PlayerGrades+'!$AB$13,"D+",IF(F161&lt;'PlayerGrades+'!$AB$12,"C-",IF(F161&lt;'PlayerGrades+'!$AB$11,"C",IF(F161&lt;'PlayerGrades+'!$AB$10,"C+",IF(F161&lt;'PlayerGrades+'!$AB$9,"B-",IF(F161&lt;'PlayerGrades+'!$AB$8,"B",IF(F161&lt;'PlayerGrades+'!$AB$7,"B+",IF(F161&lt;'PlayerGrades+'!$AB$6,"A-",IF(F161&lt;'PlayerGrades+'!$AB$5,"A",IF(F161&lt;'PlayerGrades+'!$AB$4,"A+",IF(F161&lt;'PlayerGrades+'!$AB$3,"S-",IF(F161&lt;'PlayerGrades+'!$AB$2,"S","S+"))))))))))))))))))))</f>
        <v>#DIV/0!</v>
      </c>
      <c r="H161" s="961" t="str">
        <f t="shared" si="3"/>
        <v>#DIV/0!</v>
      </c>
      <c r="I161" s="961" t="str">
        <f>IF(H161&lt;'PlayerGrades+'!$AC$21,"F-",IF(H161&lt;'PlayerGrades+'!$AC$20,"F",IF(H161&lt;'PlayerGrades+'!$AC$19,"F+",IF(H161&lt;'PlayerGrades+'!$AC$18,"E-",IF(H161&lt;'PlayerGrades+'!$AC$17,"E",IF(H161&lt;'PlayerGrades+'!$AC$16,"E+",IF(H161&lt;'PlayerGrades+'!$AC$15,"D-",IF(H161&lt;'PlayerGrades+'!$AC$14,"D",IF(H161&lt;'PlayerGrades+'!$AC$13,"D+",IF(H161&lt;'PlayerGrades+'!$AC$12,"C-",IF(H161&lt;'PlayerGrades+'!$AC$11,"C",IF(H161&lt;'PlayerGrades+'!$AC$10,"C+",IF(H161&lt;'PlayerGrades+'!$AC$9,"B-",IF(H161&lt;'PlayerGrades+'!$AC$8,"B",IF(H161&lt;'PlayerGrades+'!$AC$7,"B+",IF(H161&lt;'PlayerGrades+'!$AC$6,"A-",IF(H161&lt;'PlayerGrades+'!$AC$5,"A",IF(H161&lt;'PlayerGrades+'!$AC$4,"A+",IF(H161&lt;'PlayerGrades+'!$AC$3,"S-",IF(H161&lt;'PlayerGrades+'!$AC$2,"S","S+"))))))))))))))))))))</f>
        <v>#DIV/0!</v>
      </c>
      <c r="J161" s="961" t="str">
        <f t="shared" si="4"/>
        <v>#DIV/0!</v>
      </c>
      <c r="K161" s="961" t="str">
        <f>IF(J161&lt;'PlayerGrades+'!$AD$21,"F-",IF(J161&lt;'PlayerGrades+'!$AD$20,"F",IF(J161&lt;'PlayerGrades+'!$AD$19,"F+",IF(J161&lt;'PlayerGrades+'!$AD$18,"E-",IF(J161&lt;'PlayerGrades+'!$AD$17,"E",IF(J161&lt;'PlayerGrades+'!$AD$16,"E+",IF(J161&lt;'PlayerGrades+'!$AD$15,"D-",IF(J161&lt;'PlayerGrades+'!$AD$14,"D",IF(J161&lt;'PlayerGrades+'!$AD$13,"D+",IF(J161&lt;'PlayerGrades+'!$AD$12,"C-",IF(J161&lt;'PlayerGrades+'!$AD$11,"C",IF(J161&lt;'PlayerGrades+'!$AD$10,"C+",IF(J161&lt;'PlayerGrades+'!$AD$9,"B-",IF(J161&lt;'PlayerGrades+'!$AD$8,"B",IF(J161&lt;'PlayerGrades+'!$AD$7,"B+",IF(J161&lt;'PlayerGrades+'!$AD$6,"A-",IF(J161&lt;'PlayerGrades+'!$AD$5,"A",IF(J161&lt;'PlayerGrades+'!$AD$4,"A+",IF(J161&lt;'PlayerGrades+'!$AD$3,"S-",IF(J161&lt;'PlayerGrades+'!$AD$2,"S","S+"))))))))))))))))))))</f>
        <v>#DIV/0!</v>
      </c>
      <c r="L161" s="1176" t="str">
        <f t="shared" si="5"/>
        <v>#DIV/0!</v>
      </c>
      <c r="M161" s="992" t="str">
        <f>IF(L161&lt;'PlayerGrades+'!$AE$21,"F-",IF(L161&lt;'PlayerGrades+'!$AE$20,"F",IF(L161&lt;'PlayerGrades+'!$AE$19,"F+",IF(L161&lt;'PlayerGrades+'!$AE$18,"E-",IF(L161&lt;'PlayerGrades+'!$AE$17,"E",IF(L161&lt;'PlayerGrades+'!$AE$16,"E+",IF(L161&lt;'PlayerGrades+'!$AE$15,"D-",IF(L161&lt;'PlayerGrades+'!$AE$14,"D",IF(L161&lt;'PlayerGrades+'!$AE$13,"D+",IF(L161&lt;'PlayerGrades+'!$AE$12,"C-",IF(L161&lt;'PlayerGrades+'!$AE$11,"C",IF(L161&lt;'PlayerGrades+'!$AE$10,"C+",IF(L161&lt;'PlayerGrades+'!$AE$9,"B-",IF(L161&lt;'PlayerGrades+'!$AE$8,"B",IF(L161&lt;'PlayerGrades+'!$AE$7,"B+",IF(L161&lt;'PlayerGrades+'!$AE$6,"A-",IF(L161&lt;'PlayerGrades+'!$AE$5,"A",IF(L161&lt;'PlayerGrades+'!$AE$4,"A+",IF(L161&lt;'PlayerGrades+'!$AE$3,"S-",IF(L161&lt;'PlayerGrades+'!$AE$2,"S","S+"))))))))))))))))))))</f>
        <v>#DIV/0!</v>
      </c>
      <c r="N161" s="961" t="str">
        <f t="shared" si="6"/>
        <v>#DIV/0!</v>
      </c>
      <c r="O161" s="961" t="str">
        <f>IF(N161&lt;'PlayerGrades+'!$AF$21,"F-",IF(N161&lt;'PlayerGrades+'!$AF$20,"F",IF(N161&lt;'PlayerGrades+'!$AF$19,"F+",IF(N161&lt;'PlayerGrades+'!$AF$18,"E-",IF(N161&lt;'PlayerGrades+'!$AF$17,"E",IF(N161&lt;'PlayerGrades+'!$AF$16,"E+",IF(N161&lt;'PlayerGrades+'!$AF$15,"D-",IF(N161&lt;'PlayerGrades+'!$AF$14,"D",IF(N161&lt;'PlayerGrades+'!$AF$13,"D+",IF(N161&lt;'PlayerGrades+'!$AF$12,"C-",IF(N161&lt;'PlayerGrades+'!$AF$11,"C",IF(N161&lt;'PlayerGrades+'!$AF$10,"C+",IF(N161&lt;'PlayerGrades+'!$AF$9,"B-",IF(N161&lt;'PlayerGrades+'!$AF$8,"B",IF(N161&lt;'PlayerGrades+'!$AF$7,"B+",IF(N161&lt;'PlayerGrades+'!$AF$6,"A-",IF(N161&lt;'PlayerGrades+'!$AF$5,"A",IF(N161&lt;'PlayerGrades+'!$AF$4,"A+",IF(N161&lt;'PlayerGrades+'!$AF$3,"S-",IF(N161&lt;'PlayerGrades+'!$AF$2,"S","S+"))))))))))))))))))))</f>
        <v>#DIV/0!</v>
      </c>
      <c r="P161" s="961" t="str">
        <f t="shared" si="7"/>
        <v>#DIV/0!</v>
      </c>
      <c r="Q161" s="961" t="str">
        <f>IF(P161&lt;'PlayerGrades+'!$AG$21,"F-",IF(P161&lt;'PlayerGrades+'!$AG$20,"F",IF(P161&lt;'PlayerGrades+'!$AG$19,"F+",IF(P161&lt;'PlayerGrades+'!$AG$18,"E-",IF(P161&lt;'PlayerGrades+'!$AG$17,"E",IF(P161&lt;'PlayerGrades+'!$AG$16,"E+",IF(P161&lt;'PlayerGrades+'!$AG$15,"D-",IF(P161&lt;'PlayerGrades+'!$AG$14,"D",IF(P161&lt;'PlayerGrades+'!$AG$13,"D+",IF(P161&lt;'PlayerGrades+'!$AG$12,"C-",IF(P161&lt;'PlayerGrades+'!$AG$11,"C",IF(P161&lt;'PlayerGrades+'!$AG$10,"C+",IF(P161&lt;'PlayerGrades+'!$AG$9,"B-",IF(P161&lt;'PlayerGrades+'!$AG$8,"B",IF(P161&lt;'PlayerGrades+'!$AG$7,"B+",IF(P161&lt;'PlayerGrades+'!$AG$6,"A-",IF(P161&lt;'PlayerGrades+'!$AG$5,"A",IF(P161&lt;'PlayerGrades+'!$AG$4,"A+",IF(P161&lt;'PlayerGrades+'!$AG$3,"S-",IF(P161&lt;'PlayerGrades+'!$AG$2,"S","S+"))))))))))))))))))))</f>
        <v>#DIV/0!</v>
      </c>
      <c r="R161" s="961" t="str">
        <f t="shared" si="8"/>
        <v>#DIV/0!</v>
      </c>
      <c r="S161" s="961" t="str">
        <f>IF(R161&lt;'PlayerGrades+'!$AH$21,"F-",IF(R161&lt;'PlayerGrades+'!$AH$20,"F",IF(R161&lt;'PlayerGrades+'!$AH$19,"F+",IF(R161&lt;'PlayerGrades+'!$AH$18,"E-",IF(R161&lt;'PlayerGrades+'!$AH$17,"E",IF(R161&lt;'PlayerGrades+'!$AH$16,"E+",IF(R161&lt;'PlayerGrades+'!$AH$15,"D-",IF(R161&lt;'PlayerGrades+'!$AH$14,"D",IF(R161&lt;'PlayerGrades+'!$AH$13,"D+",IF(R161&lt;'PlayerGrades+'!$AH$12,"C-",IF(R161&lt;'PlayerGrades+'!$AH$11,"C",IF(R161&lt;'PlayerGrades+'!$AH$10,"C+",IF(R161&lt;'PlayerGrades+'!$AH$9,"B-",IF(R161&lt;'PlayerGrades+'!$AH$8,"B",IF(R161&lt;'PlayerGrades+'!$AH$7,"B+",IF(R161&lt;'PlayerGrades+'!$AH$6,"A-",IF(R161&lt;'PlayerGrades+'!$AH$5,"A",IF(R161&lt;'PlayerGrades+'!$AH$4,"A+",IF(R161&lt;'PlayerGrades+'!$AH$3,"S-",IF(R161&lt;'PlayerGrades+'!$AH$2,"S","S+"))))))))))))))))))))</f>
        <v>#DIV/0!</v>
      </c>
      <c r="T161" s="961">
        <f t="shared" si="9"/>
        <v>0</v>
      </c>
      <c r="U161" s="961" t="str">
        <f>IF(T161&lt;'PlayerGrades+'!$AI$21,"F-",IF(T161&lt;'PlayerGrades+'!$AI$20,"F",IF(T161&lt;'PlayerGrades+'!$AI$19,"F+",IF(T161&lt;'PlayerGrades+'!$AI$18,"E-",IF(T161&lt;'PlayerGrades+'!$AI$17,"E",IF(T161&lt;'PlayerGrades+'!$AI$16,"E+",IF(T161&lt;'PlayerGrades+'!$AI$15,"D-",IF(T161&lt;'PlayerGrades+'!$AI$14,"D",IF(T161&lt;'PlayerGrades+'!$AI$13,"D+",IF(T161&lt;'PlayerGrades+'!$AI$12,"C-",IF(T161&lt;'PlayerGrades+'!$AI$11,"C",IF(T161&lt;'PlayerGrades+'!$AI$10,"C+",IF(T161&lt;'PlayerGrades+'!$AI$9,"B-",IF(T161&lt;'PlayerGrades+'!$AI$8,"B",IF(T161&lt;'PlayerGrades+'!$AI$7,"B+",IF(T161&lt;'PlayerGrades+'!$AI$6,"A-",IF(T161&lt;'PlayerGrades+'!$AI$5,"A",IF(T161&lt;'PlayerGrades+'!$AI$4,"A+",IF(T161&lt;'PlayerGrades+'!$AI$3,"S-",IF(T161&lt;'PlayerGrades+'!$AI$2,"S","S+"))))))))))))))))))))</f>
        <v>F-</v>
      </c>
      <c r="V161" s="1411"/>
      <c r="W161" s="1386"/>
      <c r="X161" s="1386"/>
      <c r="Y161" s="1386"/>
      <c r="Z161" s="1387"/>
      <c r="AA161" s="1387"/>
      <c r="AB161" s="1387"/>
      <c r="AC161" s="1388"/>
      <c r="AD161" s="1387"/>
      <c r="AE161" s="1387"/>
      <c r="AF161" s="1387"/>
      <c r="AG161" s="1387"/>
      <c r="AH161" s="1387"/>
      <c r="AI161" s="1387"/>
      <c r="AJ161" s="1387"/>
      <c r="AK161" s="1387"/>
      <c r="AL161" s="1387"/>
      <c r="AM161" s="1387"/>
      <c r="AN161" s="1387"/>
      <c r="AO161" s="1387"/>
      <c r="AP161" s="1387"/>
      <c r="AQ161" s="1387"/>
      <c r="AR161" s="1387"/>
      <c r="AS161" s="1387"/>
      <c r="AT161" s="1387"/>
      <c r="AU161" s="1387"/>
      <c r="AV161" s="1387"/>
      <c r="AW161" s="1387"/>
      <c r="AX161" s="1387"/>
      <c r="AY161" s="1387"/>
      <c r="AZ161" s="1387"/>
    </row>
    <row r="162">
      <c r="A162" s="1389"/>
      <c r="B162" s="611" t="str">
        <f>IF(C162&lt;'PlayerGrades+'!$Y$44,"F-",IF(C162&lt;'PlayerGrades+'!$Y$43,"F",IF(C162&lt;'PlayerGrades+'!$Y$42,"F+",IF(C162&lt;'PlayerGrades+'!$Y$41,"E-",IF(C162&lt;'PlayerGrades+'!$Y$40,"E",IF(C162&lt;'PlayerGrades+'!$Y$39,"E+",IF(C162&lt;'PlayerGrades+'!$Y$38,"D-",IF(C162&lt;'PlayerGrades+'!$Y$37,"D",IF(C162&lt;'PlayerGrades+'!$Y$36,"D+",IF(C162&lt;'PlayerGrades+'!$Y$35,"C-",IF(C162&lt;'PlayerGrades+'!$Y$34,"C",IF(C162&lt;'PlayerGrades+'!$Y$33,"C+",IF(C162&lt;'PlayerGrades+'!$Y$32,"B-",IF(C162&lt;'PlayerGrades+'!$Y$31,"B",IF(C162&lt;'PlayerGrades+'!$Y$30,"B+",IF(C162&lt;'PlayerGrades+'!$Y$29,"A-",IF(C162&lt;'PlayerGrades+'!$Y$28,"A",IF(C162&lt;'PlayerGrades+'!$Y$27,"A+",IF(C162&lt;'PlayerGrades+'!$Y$26,"S-",IF(C162&lt;'PlayerGrades+'!$Y$25,"S","S+"))))))))))))))))))))</f>
        <v>#DIV/0!</v>
      </c>
      <c r="C162" s="1378" t="str">
        <f>('PlayerGrades+'!$Y$47*(VLOOKUP(E162, 'PlayerGrades+'!$X$3:$Y$23, 2, FALSE)))+('PlayerGrades+'!$Y$48*(VLOOKUP(G162, 'PlayerGrades+'!$X$3:$Y$23, 2, FALSE)))+('PlayerGrades+'!$Y$49*(VLOOKUP(I162, 'PlayerGrades+'!$X$3:$Y$23, 2, FALSE)))+('PlayerGrades+'!$Y$50*(VLOOKUP(K162, 'PlayerGrades+'!$X$3:$Y$23, 2, FALSE)))+('PlayerGrades+'!$Y$51*(VLOOKUP(M162, 'PlayerGrades+'!$X$3:$Y$23, 2, FALSE)))+('PlayerGrades+'!$Y$52*(VLOOKUP(O162, 'PlayerGrades+'!$X$3:$Y$23, 2, FALSE)))+('PlayerGrades+'!$Y$53*(VLOOKUP(Q162, 'PlayerGrades+'!$X$3:$Y$23, 2, FALSE)))+('PlayerGrades+'!$Y$54*(VLOOKUP(S162, 'PlayerGrades+'!$X$3:$Y$23, 2, FALSE)))+('PlayerGrades+'!$Y$55*(VLOOKUP(U162, 'PlayerGrades+'!$X$3:$Y$23, 2, FALSE)))</f>
        <v>#DIV/0!</v>
      </c>
      <c r="D162" s="961" t="str">
        <f t="shared" si="1"/>
        <v>#DIV/0!</v>
      </c>
      <c r="E162" s="961" t="str">
        <f>IF(D162&lt;'PlayerGrades+'!$AA$21,"F-",IF(D162&lt;'PlayerGrades+'!$AA$20,"F",IF(D162&lt;'PlayerGrades+'!$AA$19,"F+",IF(D162&lt;'PlayerGrades+'!$AA$18,"E-",IF(D162&lt;'PlayerGrades+'!$AA$17,"E",IF(D162&lt;'PlayerGrades+'!$AA$16,"E+",IF(D162&lt;'PlayerGrades+'!$AA$15,"D-",IF(D162&lt;'PlayerGrades+'!$AA$14,"D",IF(D162&lt;'PlayerGrades+'!$AA$13,"D+",IF(D162&lt;'PlayerGrades+'!$AA$12,"C-",IF(D162&lt;'PlayerGrades+'!$AA$11,"C",IF(D162&lt;'PlayerGrades+'!$AA$10,"C+",IF(D162&lt;'PlayerGrades+'!$AA$9,"B-",IF(D162&lt;'PlayerGrades+'!$AA$8,"B",IF(D162&lt;'PlayerGrades+'!$AA$7,"B+",IF(D162&lt;'PlayerGrades+'!$AA$6,"A-",IF(D162&lt;'PlayerGrades+'!$AA$5,"A",IF(D162&lt;'PlayerGrades+'!$AA$4,"A+",IF(D162&lt;'PlayerGrades+'!$AA$3,"S-",IF(D162&lt;'PlayerGrades+'!$AA$2,"S","S+"))))))))))))))))))))</f>
        <v>#DIV/0!</v>
      </c>
      <c r="F162" s="961" t="str">
        <f t="shared" si="2"/>
        <v>#DIV/0!</v>
      </c>
      <c r="G162" s="961" t="str">
        <f>IF(F162&lt;'PlayerGrades+'!$AB$21,"F-",IF(F162&lt;'PlayerGrades+'!$AB$20,"F",IF(F162&lt;'PlayerGrades+'!$AB$19,"F+",IF(F162&lt;'PlayerGrades+'!$AB$18,"E-",IF(F162&lt;'PlayerGrades+'!$AB$17,"E",IF(F162&lt;'PlayerGrades+'!$AB$16,"E+",IF(F162&lt;'PlayerGrades+'!$AB$15,"D-",IF(F162&lt;'PlayerGrades+'!$AB$14,"D",IF(F162&lt;'PlayerGrades+'!$AB$13,"D+",IF(F162&lt;'PlayerGrades+'!$AB$12,"C-",IF(F162&lt;'PlayerGrades+'!$AB$11,"C",IF(F162&lt;'PlayerGrades+'!$AB$10,"C+",IF(F162&lt;'PlayerGrades+'!$AB$9,"B-",IF(F162&lt;'PlayerGrades+'!$AB$8,"B",IF(F162&lt;'PlayerGrades+'!$AB$7,"B+",IF(F162&lt;'PlayerGrades+'!$AB$6,"A-",IF(F162&lt;'PlayerGrades+'!$AB$5,"A",IF(F162&lt;'PlayerGrades+'!$AB$4,"A+",IF(F162&lt;'PlayerGrades+'!$AB$3,"S-",IF(F162&lt;'PlayerGrades+'!$AB$2,"S","S+"))))))))))))))))))))</f>
        <v>#DIV/0!</v>
      </c>
      <c r="H162" s="961" t="str">
        <f t="shared" si="3"/>
        <v>#DIV/0!</v>
      </c>
      <c r="I162" s="961" t="str">
        <f>IF(H162&lt;'PlayerGrades+'!$AC$21,"F-",IF(H162&lt;'PlayerGrades+'!$AC$20,"F",IF(H162&lt;'PlayerGrades+'!$AC$19,"F+",IF(H162&lt;'PlayerGrades+'!$AC$18,"E-",IF(H162&lt;'PlayerGrades+'!$AC$17,"E",IF(H162&lt;'PlayerGrades+'!$AC$16,"E+",IF(H162&lt;'PlayerGrades+'!$AC$15,"D-",IF(H162&lt;'PlayerGrades+'!$AC$14,"D",IF(H162&lt;'PlayerGrades+'!$AC$13,"D+",IF(H162&lt;'PlayerGrades+'!$AC$12,"C-",IF(H162&lt;'PlayerGrades+'!$AC$11,"C",IF(H162&lt;'PlayerGrades+'!$AC$10,"C+",IF(H162&lt;'PlayerGrades+'!$AC$9,"B-",IF(H162&lt;'PlayerGrades+'!$AC$8,"B",IF(H162&lt;'PlayerGrades+'!$AC$7,"B+",IF(H162&lt;'PlayerGrades+'!$AC$6,"A-",IF(H162&lt;'PlayerGrades+'!$AC$5,"A",IF(H162&lt;'PlayerGrades+'!$AC$4,"A+",IF(H162&lt;'PlayerGrades+'!$AC$3,"S-",IF(H162&lt;'PlayerGrades+'!$AC$2,"S","S+"))))))))))))))))))))</f>
        <v>#DIV/0!</v>
      </c>
      <c r="J162" s="961" t="str">
        <f t="shared" si="4"/>
        <v>#DIV/0!</v>
      </c>
      <c r="K162" s="961" t="str">
        <f>IF(J162&lt;'PlayerGrades+'!$AD$21,"F-",IF(J162&lt;'PlayerGrades+'!$AD$20,"F",IF(J162&lt;'PlayerGrades+'!$AD$19,"F+",IF(J162&lt;'PlayerGrades+'!$AD$18,"E-",IF(J162&lt;'PlayerGrades+'!$AD$17,"E",IF(J162&lt;'PlayerGrades+'!$AD$16,"E+",IF(J162&lt;'PlayerGrades+'!$AD$15,"D-",IF(J162&lt;'PlayerGrades+'!$AD$14,"D",IF(J162&lt;'PlayerGrades+'!$AD$13,"D+",IF(J162&lt;'PlayerGrades+'!$AD$12,"C-",IF(J162&lt;'PlayerGrades+'!$AD$11,"C",IF(J162&lt;'PlayerGrades+'!$AD$10,"C+",IF(J162&lt;'PlayerGrades+'!$AD$9,"B-",IF(J162&lt;'PlayerGrades+'!$AD$8,"B",IF(J162&lt;'PlayerGrades+'!$AD$7,"B+",IF(J162&lt;'PlayerGrades+'!$AD$6,"A-",IF(J162&lt;'PlayerGrades+'!$AD$5,"A",IF(J162&lt;'PlayerGrades+'!$AD$4,"A+",IF(J162&lt;'PlayerGrades+'!$AD$3,"S-",IF(J162&lt;'PlayerGrades+'!$AD$2,"S","S+"))))))))))))))))))))</f>
        <v>#DIV/0!</v>
      </c>
      <c r="L162" s="1176" t="str">
        <f t="shared" si="5"/>
        <v>#DIV/0!</v>
      </c>
      <c r="M162" s="992" t="str">
        <f>IF(L162&lt;'PlayerGrades+'!$AE$21,"F-",IF(L162&lt;'PlayerGrades+'!$AE$20,"F",IF(L162&lt;'PlayerGrades+'!$AE$19,"F+",IF(L162&lt;'PlayerGrades+'!$AE$18,"E-",IF(L162&lt;'PlayerGrades+'!$AE$17,"E",IF(L162&lt;'PlayerGrades+'!$AE$16,"E+",IF(L162&lt;'PlayerGrades+'!$AE$15,"D-",IF(L162&lt;'PlayerGrades+'!$AE$14,"D",IF(L162&lt;'PlayerGrades+'!$AE$13,"D+",IF(L162&lt;'PlayerGrades+'!$AE$12,"C-",IF(L162&lt;'PlayerGrades+'!$AE$11,"C",IF(L162&lt;'PlayerGrades+'!$AE$10,"C+",IF(L162&lt;'PlayerGrades+'!$AE$9,"B-",IF(L162&lt;'PlayerGrades+'!$AE$8,"B",IF(L162&lt;'PlayerGrades+'!$AE$7,"B+",IF(L162&lt;'PlayerGrades+'!$AE$6,"A-",IF(L162&lt;'PlayerGrades+'!$AE$5,"A",IF(L162&lt;'PlayerGrades+'!$AE$4,"A+",IF(L162&lt;'PlayerGrades+'!$AE$3,"S-",IF(L162&lt;'PlayerGrades+'!$AE$2,"S","S+"))))))))))))))))))))</f>
        <v>#DIV/0!</v>
      </c>
      <c r="N162" s="961" t="str">
        <f t="shared" si="6"/>
        <v>#DIV/0!</v>
      </c>
      <c r="O162" s="961" t="str">
        <f>IF(N162&lt;'PlayerGrades+'!$AF$21,"F-",IF(N162&lt;'PlayerGrades+'!$AF$20,"F",IF(N162&lt;'PlayerGrades+'!$AF$19,"F+",IF(N162&lt;'PlayerGrades+'!$AF$18,"E-",IF(N162&lt;'PlayerGrades+'!$AF$17,"E",IF(N162&lt;'PlayerGrades+'!$AF$16,"E+",IF(N162&lt;'PlayerGrades+'!$AF$15,"D-",IF(N162&lt;'PlayerGrades+'!$AF$14,"D",IF(N162&lt;'PlayerGrades+'!$AF$13,"D+",IF(N162&lt;'PlayerGrades+'!$AF$12,"C-",IF(N162&lt;'PlayerGrades+'!$AF$11,"C",IF(N162&lt;'PlayerGrades+'!$AF$10,"C+",IF(N162&lt;'PlayerGrades+'!$AF$9,"B-",IF(N162&lt;'PlayerGrades+'!$AF$8,"B",IF(N162&lt;'PlayerGrades+'!$AF$7,"B+",IF(N162&lt;'PlayerGrades+'!$AF$6,"A-",IF(N162&lt;'PlayerGrades+'!$AF$5,"A",IF(N162&lt;'PlayerGrades+'!$AF$4,"A+",IF(N162&lt;'PlayerGrades+'!$AF$3,"S-",IF(N162&lt;'PlayerGrades+'!$AF$2,"S","S+"))))))))))))))))))))</f>
        <v>#DIV/0!</v>
      </c>
      <c r="P162" s="961" t="str">
        <f t="shared" si="7"/>
        <v>#DIV/0!</v>
      </c>
      <c r="Q162" s="961" t="str">
        <f>IF(P162&lt;'PlayerGrades+'!$AG$21,"F-",IF(P162&lt;'PlayerGrades+'!$AG$20,"F",IF(P162&lt;'PlayerGrades+'!$AG$19,"F+",IF(P162&lt;'PlayerGrades+'!$AG$18,"E-",IF(P162&lt;'PlayerGrades+'!$AG$17,"E",IF(P162&lt;'PlayerGrades+'!$AG$16,"E+",IF(P162&lt;'PlayerGrades+'!$AG$15,"D-",IF(P162&lt;'PlayerGrades+'!$AG$14,"D",IF(P162&lt;'PlayerGrades+'!$AG$13,"D+",IF(P162&lt;'PlayerGrades+'!$AG$12,"C-",IF(P162&lt;'PlayerGrades+'!$AG$11,"C",IF(P162&lt;'PlayerGrades+'!$AG$10,"C+",IF(P162&lt;'PlayerGrades+'!$AG$9,"B-",IF(P162&lt;'PlayerGrades+'!$AG$8,"B",IF(P162&lt;'PlayerGrades+'!$AG$7,"B+",IF(P162&lt;'PlayerGrades+'!$AG$6,"A-",IF(P162&lt;'PlayerGrades+'!$AG$5,"A",IF(P162&lt;'PlayerGrades+'!$AG$4,"A+",IF(P162&lt;'PlayerGrades+'!$AG$3,"S-",IF(P162&lt;'PlayerGrades+'!$AG$2,"S","S+"))))))))))))))))))))</f>
        <v>#DIV/0!</v>
      </c>
      <c r="R162" s="961" t="str">
        <f t="shared" si="8"/>
        <v>#DIV/0!</v>
      </c>
      <c r="S162" s="961" t="str">
        <f>IF(R162&lt;'PlayerGrades+'!$AH$21,"F-",IF(R162&lt;'PlayerGrades+'!$AH$20,"F",IF(R162&lt;'PlayerGrades+'!$AH$19,"F+",IF(R162&lt;'PlayerGrades+'!$AH$18,"E-",IF(R162&lt;'PlayerGrades+'!$AH$17,"E",IF(R162&lt;'PlayerGrades+'!$AH$16,"E+",IF(R162&lt;'PlayerGrades+'!$AH$15,"D-",IF(R162&lt;'PlayerGrades+'!$AH$14,"D",IF(R162&lt;'PlayerGrades+'!$AH$13,"D+",IF(R162&lt;'PlayerGrades+'!$AH$12,"C-",IF(R162&lt;'PlayerGrades+'!$AH$11,"C",IF(R162&lt;'PlayerGrades+'!$AH$10,"C+",IF(R162&lt;'PlayerGrades+'!$AH$9,"B-",IF(R162&lt;'PlayerGrades+'!$AH$8,"B",IF(R162&lt;'PlayerGrades+'!$AH$7,"B+",IF(R162&lt;'PlayerGrades+'!$AH$6,"A-",IF(R162&lt;'PlayerGrades+'!$AH$5,"A",IF(R162&lt;'PlayerGrades+'!$AH$4,"A+",IF(R162&lt;'PlayerGrades+'!$AH$3,"S-",IF(R162&lt;'PlayerGrades+'!$AH$2,"S","S+"))))))))))))))))))))</f>
        <v>#DIV/0!</v>
      </c>
      <c r="T162" s="961">
        <f t="shared" si="9"/>
        <v>0</v>
      </c>
      <c r="U162" s="961" t="str">
        <f>IF(T162&lt;'PlayerGrades+'!$AI$21,"F-",IF(T162&lt;'PlayerGrades+'!$AI$20,"F",IF(T162&lt;'PlayerGrades+'!$AI$19,"F+",IF(T162&lt;'PlayerGrades+'!$AI$18,"E-",IF(T162&lt;'PlayerGrades+'!$AI$17,"E",IF(T162&lt;'PlayerGrades+'!$AI$16,"E+",IF(T162&lt;'PlayerGrades+'!$AI$15,"D-",IF(T162&lt;'PlayerGrades+'!$AI$14,"D",IF(T162&lt;'PlayerGrades+'!$AI$13,"D+",IF(T162&lt;'PlayerGrades+'!$AI$12,"C-",IF(T162&lt;'PlayerGrades+'!$AI$11,"C",IF(T162&lt;'PlayerGrades+'!$AI$10,"C+",IF(T162&lt;'PlayerGrades+'!$AI$9,"B-",IF(T162&lt;'PlayerGrades+'!$AI$8,"B",IF(T162&lt;'PlayerGrades+'!$AI$7,"B+",IF(T162&lt;'PlayerGrades+'!$AI$6,"A-",IF(T162&lt;'PlayerGrades+'!$AI$5,"A",IF(T162&lt;'PlayerGrades+'!$AI$4,"A+",IF(T162&lt;'PlayerGrades+'!$AI$3,"S-",IF(T162&lt;'PlayerGrades+'!$AI$2,"S","S+"))))))))))))))))))))</f>
        <v>F-</v>
      </c>
      <c r="V162" s="1379"/>
      <c r="W162" s="1379"/>
      <c r="X162" s="1379"/>
      <c r="Y162" s="1379"/>
      <c r="Z162" s="1379"/>
      <c r="AA162" s="1379"/>
      <c r="AB162" s="1379"/>
      <c r="AC162" s="1390"/>
      <c r="AD162" s="1379"/>
      <c r="AE162" s="1379"/>
      <c r="AF162" s="1379"/>
      <c r="AG162" s="1379"/>
      <c r="AH162" s="1379"/>
      <c r="AI162" s="1379"/>
      <c r="AJ162" s="1379"/>
      <c r="AK162" s="1379"/>
      <c r="AL162" s="1379"/>
      <c r="AM162" s="1379"/>
      <c r="AN162" s="1379"/>
      <c r="AO162" s="1379"/>
      <c r="AP162" s="1379"/>
      <c r="AQ162" s="1379"/>
      <c r="AR162" s="1379"/>
      <c r="AS162" s="1379"/>
      <c r="AT162" s="1379"/>
      <c r="AU162" s="1379"/>
      <c r="AV162" s="1379"/>
      <c r="AW162" s="1379"/>
      <c r="AX162" s="1379"/>
      <c r="AY162" s="1379"/>
      <c r="AZ162" s="1379"/>
    </row>
    <row r="163">
      <c r="A163" s="1391"/>
      <c r="B163" s="611" t="str">
        <f>IF(C163&lt;'PlayerGrades+'!$Y$44,"F-",IF(C163&lt;'PlayerGrades+'!$Y$43,"F",IF(C163&lt;'PlayerGrades+'!$Y$42,"F+",IF(C163&lt;'PlayerGrades+'!$Y$41,"E-",IF(C163&lt;'PlayerGrades+'!$Y$40,"E",IF(C163&lt;'PlayerGrades+'!$Y$39,"E+",IF(C163&lt;'PlayerGrades+'!$Y$38,"D-",IF(C163&lt;'PlayerGrades+'!$Y$37,"D",IF(C163&lt;'PlayerGrades+'!$Y$36,"D+",IF(C163&lt;'PlayerGrades+'!$Y$35,"C-",IF(C163&lt;'PlayerGrades+'!$Y$34,"C",IF(C163&lt;'PlayerGrades+'!$Y$33,"C+",IF(C163&lt;'PlayerGrades+'!$Y$32,"B-",IF(C163&lt;'PlayerGrades+'!$Y$31,"B",IF(C163&lt;'PlayerGrades+'!$Y$30,"B+",IF(C163&lt;'PlayerGrades+'!$Y$29,"A-",IF(C163&lt;'PlayerGrades+'!$Y$28,"A",IF(C163&lt;'PlayerGrades+'!$Y$27,"A+",IF(C163&lt;'PlayerGrades+'!$Y$26,"S-",IF(C163&lt;'PlayerGrades+'!$Y$25,"S","S+"))))))))))))))))))))</f>
        <v>#DIV/0!</v>
      </c>
      <c r="C163" s="1378" t="str">
        <f>('PlayerGrades+'!$Y$47*(VLOOKUP(E163, 'PlayerGrades+'!$X$3:$Y$23, 2, FALSE)))+('PlayerGrades+'!$Y$48*(VLOOKUP(G163, 'PlayerGrades+'!$X$3:$Y$23, 2, FALSE)))+('PlayerGrades+'!$Y$49*(VLOOKUP(I163, 'PlayerGrades+'!$X$3:$Y$23, 2, FALSE)))+('PlayerGrades+'!$Y$50*(VLOOKUP(K163, 'PlayerGrades+'!$X$3:$Y$23, 2, FALSE)))+('PlayerGrades+'!$Y$51*(VLOOKUP(M163, 'PlayerGrades+'!$X$3:$Y$23, 2, FALSE)))+('PlayerGrades+'!$Y$52*(VLOOKUP(O163, 'PlayerGrades+'!$X$3:$Y$23, 2, FALSE)))+('PlayerGrades+'!$Y$53*(VLOOKUP(Q163, 'PlayerGrades+'!$X$3:$Y$23, 2, FALSE)))+('PlayerGrades+'!$Y$54*(VLOOKUP(S163, 'PlayerGrades+'!$X$3:$Y$23, 2, FALSE)))+('PlayerGrades+'!$Y$55*(VLOOKUP(U163, 'PlayerGrades+'!$X$3:$Y$23, 2, FALSE)))</f>
        <v>#DIV/0!</v>
      </c>
      <c r="D163" s="961" t="str">
        <f t="shared" si="1"/>
        <v>#DIV/0!</v>
      </c>
      <c r="E163" s="961" t="str">
        <f>IF(D163&lt;'PlayerGrades+'!$AA$21,"F-",IF(D163&lt;'PlayerGrades+'!$AA$20,"F",IF(D163&lt;'PlayerGrades+'!$AA$19,"F+",IF(D163&lt;'PlayerGrades+'!$AA$18,"E-",IF(D163&lt;'PlayerGrades+'!$AA$17,"E",IF(D163&lt;'PlayerGrades+'!$AA$16,"E+",IF(D163&lt;'PlayerGrades+'!$AA$15,"D-",IF(D163&lt;'PlayerGrades+'!$AA$14,"D",IF(D163&lt;'PlayerGrades+'!$AA$13,"D+",IF(D163&lt;'PlayerGrades+'!$AA$12,"C-",IF(D163&lt;'PlayerGrades+'!$AA$11,"C",IF(D163&lt;'PlayerGrades+'!$AA$10,"C+",IF(D163&lt;'PlayerGrades+'!$AA$9,"B-",IF(D163&lt;'PlayerGrades+'!$AA$8,"B",IF(D163&lt;'PlayerGrades+'!$AA$7,"B+",IF(D163&lt;'PlayerGrades+'!$AA$6,"A-",IF(D163&lt;'PlayerGrades+'!$AA$5,"A",IF(D163&lt;'PlayerGrades+'!$AA$4,"A+",IF(D163&lt;'PlayerGrades+'!$AA$3,"S-",IF(D163&lt;'PlayerGrades+'!$AA$2,"S","S+"))))))))))))))))))))</f>
        <v>#DIV/0!</v>
      </c>
      <c r="F163" s="961" t="str">
        <f t="shared" si="2"/>
        <v>#DIV/0!</v>
      </c>
      <c r="G163" s="961" t="str">
        <f>IF(F163&lt;'PlayerGrades+'!$AB$21,"F-",IF(F163&lt;'PlayerGrades+'!$AB$20,"F",IF(F163&lt;'PlayerGrades+'!$AB$19,"F+",IF(F163&lt;'PlayerGrades+'!$AB$18,"E-",IF(F163&lt;'PlayerGrades+'!$AB$17,"E",IF(F163&lt;'PlayerGrades+'!$AB$16,"E+",IF(F163&lt;'PlayerGrades+'!$AB$15,"D-",IF(F163&lt;'PlayerGrades+'!$AB$14,"D",IF(F163&lt;'PlayerGrades+'!$AB$13,"D+",IF(F163&lt;'PlayerGrades+'!$AB$12,"C-",IF(F163&lt;'PlayerGrades+'!$AB$11,"C",IF(F163&lt;'PlayerGrades+'!$AB$10,"C+",IF(F163&lt;'PlayerGrades+'!$AB$9,"B-",IF(F163&lt;'PlayerGrades+'!$AB$8,"B",IF(F163&lt;'PlayerGrades+'!$AB$7,"B+",IF(F163&lt;'PlayerGrades+'!$AB$6,"A-",IF(F163&lt;'PlayerGrades+'!$AB$5,"A",IF(F163&lt;'PlayerGrades+'!$AB$4,"A+",IF(F163&lt;'PlayerGrades+'!$AB$3,"S-",IF(F163&lt;'PlayerGrades+'!$AB$2,"S","S+"))))))))))))))))))))</f>
        <v>#DIV/0!</v>
      </c>
      <c r="H163" s="961" t="str">
        <f t="shared" si="3"/>
        <v>#DIV/0!</v>
      </c>
      <c r="I163" s="961" t="str">
        <f>IF(H163&lt;'PlayerGrades+'!$AC$21,"F-",IF(H163&lt;'PlayerGrades+'!$AC$20,"F",IF(H163&lt;'PlayerGrades+'!$AC$19,"F+",IF(H163&lt;'PlayerGrades+'!$AC$18,"E-",IF(H163&lt;'PlayerGrades+'!$AC$17,"E",IF(H163&lt;'PlayerGrades+'!$AC$16,"E+",IF(H163&lt;'PlayerGrades+'!$AC$15,"D-",IF(H163&lt;'PlayerGrades+'!$AC$14,"D",IF(H163&lt;'PlayerGrades+'!$AC$13,"D+",IF(H163&lt;'PlayerGrades+'!$AC$12,"C-",IF(H163&lt;'PlayerGrades+'!$AC$11,"C",IF(H163&lt;'PlayerGrades+'!$AC$10,"C+",IF(H163&lt;'PlayerGrades+'!$AC$9,"B-",IF(H163&lt;'PlayerGrades+'!$AC$8,"B",IF(H163&lt;'PlayerGrades+'!$AC$7,"B+",IF(H163&lt;'PlayerGrades+'!$AC$6,"A-",IF(H163&lt;'PlayerGrades+'!$AC$5,"A",IF(H163&lt;'PlayerGrades+'!$AC$4,"A+",IF(H163&lt;'PlayerGrades+'!$AC$3,"S-",IF(H163&lt;'PlayerGrades+'!$AC$2,"S","S+"))))))))))))))))))))</f>
        <v>#DIV/0!</v>
      </c>
      <c r="J163" s="961" t="str">
        <f t="shared" si="4"/>
        <v>#DIV/0!</v>
      </c>
      <c r="K163" s="961" t="str">
        <f>IF(J163&lt;'PlayerGrades+'!$AD$21,"F-",IF(J163&lt;'PlayerGrades+'!$AD$20,"F",IF(J163&lt;'PlayerGrades+'!$AD$19,"F+",IF(J163&lt;'PlayerGrades+'!$AD$18,"E-",IF(J163&lt;'PlayerGrades+'!$AD$17,"E",IF(J163&lt;'PlayerGrades+'!$AD$16,"E+",IF(J163&lt;'PlayerGrades+'!$AD$15,"D-",IF(J163&lt;'PlayerGrades+'!$AD$14,"D",IF(J163&lt;'PlayerGrades+'!$AD$13,"D+",IF(J163&lt;'PlayerGrades+'!$AD$12,"C-",IF(J163&lt;'PlayerGrades+'!$AD$11,"C",IF(J163&lt;'PlayerGrades+'!$AD$10,"C+",IF(J163&lt;'PlayerGrades+'!$AD$9,"B-",IF(J163&lt;'PlayerGrades+'!$AD$8,"B",IF(J163&lt;'PlayerGrades+'!$AD$7,"B+",IF(J163&lt;'PlayerGrades+'!$AD$6,"A-",IF(J163&lt;'PlayerGrades+'!$AD$5,"A",IF(J163&lt;'PlayerGrades+'!$AD$4,"A+",IF(J163&lt;'PlayerGrades+'!$AD$3,"S-",IF(J163&lt;'PlayerGrades+'!$AD$2,"S","S+"))))))))))))))))))))</f>
        <v>#DIV/0!</v>
      </c>
      <c r="L163" s="1176" t="str">
        <f t="shared" si="5"/>
        <v>#DIV/0!</v>
      </c>
      <c r="M163" s="992" t="str">
        <f>IF(L163&lt;'PlayerGrades+'!$AE$21,"F-",IF(L163&lt;'PlayerGrades+'!$AE$20,"F",IF(L163&lt;'PlayerGrades+'!$AE$19,"F+",IF(L163&lt;'PlayerGrades+'!$AE$18,"E-",IF(L163&lt;'PlayerGrades+'!$AE$17,"E",IF(L163&lt;'PlayerGrades+'!$AE$16,"E+",IF(L163&lt;'PlayerGrades+'!$AE$15,"D-",IF(L163&lt;'PlayerGrades+'!$AE$14,"D",IF(L163&lt;'PlayerGrades+'!$AE$13,"D+",IF(L163&lt;'PlayerGrades+'!$AE$12,"C-",IF(L163&lt;'PlayerGrades+'!$AE$11,"C",IF(L163&lt;'PlayerGrades+'!$AE$10,"C+",IF(L163&lt;'PlayerGrades+'!$AE$9,"B-",IF(L163&lt;'PlayerGrades+'!$AE$8,"B",IF(L163&lt;'PlayerGrades+'!$AE$7,"B+",IF(L163&lt;'PlayerGrades+'!$AE$6,"A-",IF(L163&lt;'PlayerGrades+'!$AE$5,"A",IF(L163&lt;'PlayerGrades+'!$AE$4,"A+",IF(L163&lt;'PlayerGrades+'!$AE$3,"S-",IF(L163&lt;'PlayerGrades+'!$AE$2,"S","S+"))))))))))))))))))))</f>
        <v>#DIV/0!</v>
      </c>
      <c r="N163" s="961" t="str">
        <f t="shared" si="6"/>
        <v>#DIV/0!</v>
      </c>
      <c r="O163" s="961" t="str">
        <f>IF(N163&lt;'PlayerGrades+'!$AF$21,"F-",IF(N163&lt;'PlayerGrades+'!$AF$20,"F",IF(N163&lt;'PlayerGrades+'!$AF$19,"F+",IF(N163&lt;'PlayerGrades+'!$AF$18,"E-",IF(N163&lt;'PlayerGrades+'!$AF$17,"E",IF(N163&lt;'PlayerGrades+'!$AF$16,"E+",IF(N163&lt;'PlayerGrades+'!$AF$15,"D-",IF(N163&lt;'PlayerGrades+'!$AF$14,"D",IF(N163&lt;'PlayerGrades+'!$AF$13,"D+",IF(N163&lt;'PlayerGrades+'!$AF$12,"C-",IF(N163&lt;'PlayerGrades+'!$AF$11,"C",IF(N163&lt;'PlayerGrades+'!$AF$10,"C+",IF(N163&lt;'PlayerGrades+'!$AF$9,"B-",IF(N163&lt;'PlayerGrades+'!$AF$8,"B",IF(N163&lt;'PlayerGrades+'!$AF$7,"B+",IF(N163&lt;'PlayerGrades+'!$AF$6,"A-",IF(N163&lt;'PlayerGrades+'!$AF$5,"A",IF(N163&lt;'PlayerGrades+'!$AF$4,"A+",IF(N163&lt;'PlayerGrades+'!$AF$3,"S-",IF(N163&lt;'PlayerGrades+'!$AF$2,"S","S+"))))))))))))))))))))</f>
        <v>#DIV/0!</v>
      </c>
      <c r="P163" s="961" t="str">
        <f t="shared" si="7"/>
        <v>#DIV/0!</v>
      </c>
      <c r="Q163" s="961" t="str">
        <f>IF(P163&lt;'PlayerGrades+'!$AG$21,"F-",IF(P163&lt;'PlayerGrades+'!$AG$20,"F",IF(P163&lt;'PlayerGrades+'!$AG$19,"F+",IF(P163&lt;'PlayerGrades+'!$AG$18,"E-",IF(P163&lt;'PlayerGrades+'!$AG$17,"E",IF(P163&lt;'PlayerGrades+'!$AG$16,"E+",IF(P163&lt;'PlayerGrades+'!$AG$15,"D-",IF(P163&lt;'PlayerGrades+'!$AG$14,"D",IF(P163&lt;'PlayerGrades+'!$AG$13,"D+",IF(P163&lt;'PlayerGrades+'!$AG$12,"C-",IF(P163&lt;'PlayerGrades+'!$AG$11,"C",IF(P163&lt;'PlayerGrades+'!$AG$10,"C+",IF(P163&lt;'PlayerGrades+'!$AG$9,"B-",IF(P163&lt;'PlayerGrades+'!$AG$8,"B",IF(P163&lt;'PlayerGrades+'!$AG$7,"B+",IF(P163&lt;'PlayerGrades+'!$AG$6,"A-",IF(P163&lt;'PlayerGrades+'!$AG$5,"A",IF(P163&lt;'PlayerGrades+'!$AG$4,"A+",IF(P163&lt;'PlayerGrades+'!$AG$3,"S-",IF(P163&lt;'PlayerGrades+'!$AG$2,"S","S+"))))))))))))))))))))</f>
        <v>#DIV/0!</v>
      </c>
      <c r="R163" s="961" t="str">
        <f t="shared" si="8"/>
        <v>#DIV/0!</v>
      </c>
      <c r="S163" s="961" t="str">
        <f>IF(R163&lt;'PlayerGrades+'!$AH$21,"F-",IF(R163&lt;'PlayerGrades+'!$AH$20,"F",IF(R163&lt;'PlayerGrades+'!$AH$19,"F+",IF(R163&lt;'PlayerGrades+'!$AH$18,"E-",IF(R163&lt;'PlayerGrades+'!$AH$17,"E",IF(R163&lt;'PlayerGrades+'!$AH$16,"E+",IF(R163&lt;'PlayerGrades+'!$AH$15,"D-",IF(R163&lt;'PlayerGrades+'!$AH$14,"D",IF(R163&lt;'PlayerGrades+'!$AH$13,"D+",IF(R163&lt;'PlayerGrades+'!$AH$12,"C-",IF(R163&lt;'PlayerGrades+'!$AH$11,"C",IF(R163&lt;'PlayerGrades+'!$AH$10,"C+",IF(R163&lt;'PlayerGrades+'!$AH$9,"B-",IF(R163&lt;'PlayerGrades+'!$AH$8,"B",IF(R163&lt;'PlayerGrades+'!$AH$7,"B+",IF(R163&lt;'PlayerGrades+'!$AH$6,"A-",IF(R163&lt;'PlayerGrades+'!$AH$5,"A",IF(R163&lt;'PlayerGrades+'!$AH$4,"A+",IF(R163&lt;'PlayerGrades+'!$AH$3,"S-",IF(R163&lt;'PlayerGrades+'!$AH$2,"S","S+"))))))))))))))))))))</f>
        <v>#DIV/0!</v>
      </c>
      <c r="T163" s="961">
        <f t="shared" si="9"/>
        <v>0</v>
      </c>
      <c r="U163" s="961" t="str">
        <f>IF(T163&lt;'PlayerGrades+'!$AI$21,"F-",IF(T163&lt;'PlayerGrades+'!$AI$20,"F",IF(T163&lt;'PlayerGrades+'!$AI$19,"F+",IF(T163&lt;'PlayerGrades+'!$AI$18,"E-",IF(T163&lt;'PlayerGrades+'!$AI$17,"E",IF(T163&lt;'PlayerGrades+'!$AI$16,"E+",IF(T163&lt;'PlayerGrades+'!$AI$15,"D-",IF(T163&lt;'PlayerGrades+'!$AI$14,"D",IF(T163&lt;'PlayerGrades+'!$AI$13,"D+",IF(T163&lt;'PlayerGrades+'!$AI$12,"C-",IF(T163&lt;'PlayerGrades+'!$AI$11,"C",IF(T163&lt;'PlayerGrades+'!$AI$10,"C+",IF(T163&lt;'PlayerGrades+'!$AI$9,"B-",IF(T163&lt;'PlayerGrades+'!$AI$8,"B",IF(T163&lt;'PlayerGrades+'!$AI$7,"B+",IF(T163&lt;'PlayerGrades+'!$AI$6,"A-",IF(T163&lt;'PlayerGrades+'!$AI$5,"A",IF(T163&lt;'PlayerGrades+'!$AI$4,"A+",IF(T163&lt;'PlayerGrades+'!$AI$3,"S-",IF(T163&lt;'PlayerGrades+'!$AI$2,"S","S+"))))))))))))))))))))</f>
        <v>F-</v>
      </c>
      <c r="AC163" s="1392"/>
    </row>
    <row r="164">
      <c r="A164" s="1391"/>
      <c r="B164" s="611" t="str">
        <f>IF(C164&lt;'PlayerGrades+'!$Y$44,"F-",IF(C164&lt;'PlayerGrades+'!$Y$43,"F",IF(C164&lt;'PlayerGrades+'!$Y$42,"F+",IF(C164&lt;'PlayerGrades+'!$Y$41,"E-",IF(C164&lt;'PlayerGrades+'!$Y$40,"E",IF(C164&lt;'PlayerGrades+'!$Y$39,"E+",IF(C164&lt;'PlayerGrades+'!$Y$38,"D-",IF(C164&lt;'PlayerGrades+'!$Y$37,"D",IF(C164&lt;'PlayerGrades+'!$Y$36,"D+",IF(C164&lt;'PlayerGrades+'!$Y$35,"C-",IF(C164&lt;'PlayerGrades+'!$Y$34,"C",IF(C164&lt;'PlayerGrades+'!$Y$33,"C+",IF(C164&lt;'PlayerGrades+'!$Y$32,"B-",IF(C164&lt;'PlayerGrades+'!$Y$31,"B",IF(C164&lt;'PlayerGrades+'!$Y$30,"B+",IF(C164&lt;'PlayerGrades+'!$Y$29,"A-",IF(C164&lt;'PlayerGrades+'!$Y$28,"A",IF(C164&lt;'PlayerGrades+'!$Y$27,"A+",IF(C164&lt;'PlayerGrades+'!$Y$26,"S-",IF(C164&lt;'PlayerGrades+'!$Y$25,"S","S+"))))))))))))))))))))</f>
        <v>#DIV/0!</v>
      </c>
      <c r="C164" s="1378" t="str">
        <f>('PlayerGrades+'!$Y$47*(VLOOKUP(E164, 'PlayerGrades+'!$X$3:$Y$23, 2, FALSE)))+('PlayerGrades+'!$Y$48*(VLOOKUP(G164, 'PlayerGrades+'!$X$3:$Y$23, 2, FALSE)))+('PlayerGrades+'!$Y$49*(VLOOKUP(I164, 'PlayerGrades+'!$X$3:$Y$23, 2, FALSE)))+('PlayerGrades+'!$Y$50*(VLOOKUP(K164, 'PlayerGrades+'!$X$3:$Y$23, 2, FALSE)))+('PlayerGrades+'!$Y$51*(VLOOKUP(M164, 'PlayerGrades+'!$X$3:$Y$23, 2, FALSE)))+('PlayerGrades+'!$Y$52*(VLOOKUP(O164, 'PlayerGrades+'!$X$3:$Y$23, 2, FALSE)))+('PlayerGrades+'!$Y$53*(VLOOKUP(Q164, 'PlayerGrades+'!$X$3:$Y$23, 2, FALSE)))+('PlayerGrades+'!$Y$54*(VLOOKUP(S164, 'PlayerGrades+'!$X$3:$Y$23, 2, FALSE)))+('PlayerGrades+'!$Y$55*(VLOOKUP(U164, 'PlayerGrades+'!$X$3:$Y$23, 2, FALSE)))</f>
        <v>#DIV/0!</v>
      </c>
      <c r="D164" s="961" t="str">
        <f t="shared" si="1"/>
        <v>#DIV/0!</v>
      </c>
      <c r="E164" s="961" t="str">
        <f>IF(D164&lt;'PlayerGrades+'!$AA$21,"F-",IF(D164&lt;'PlayerGrades+'!$AA$20,"F",IF(D164&lt;'PlayerGrades+'!$AA$19,"F+",IF(D164&lt;'PlayerGrades+'!$AA$18,"E-",IF(D164&lt;'PlayerGrades+'!$AA$17,"E",IF(D164&lt;'PlayerGrades+'!$AA$16,"E+",IF(D164&lt;'PlayerGrades+'!$AA$15,"D-",IF(D164&lt;'PlayerGrades+'!$AA$14,"D",IF(D164&lt;'PlayerGrades+'!$AA$13,"D+",IF(D164&lt;'PlayerGrades+'!$AA$12,"C-",IF(D164&lt;'PlayerGrades+'!$AA$11,"C",IF(D164&lt;'PlayerGrades+'!$AA$10,"C+",IF(D164&lt;'PlayerGrades+'!$AA$9,"B-",IF(D164&lt;'PlayerGrades+'!$AA$8,"B",IF(D164&lt;'PlayerGrades+'!$AA$7,"B+",IF(D164&lt;'PlayerGrades+'!$AA$6,"A-",IF(D164&lt;'PlayerGrades+'!$AA$5,"A",IF(D164&lt;'PlayerGrades+'!$AA$4,"A+",IF(D164&lt;'PlayerGrades+'!$AA$3,"S-",IF(D164&lt;'PlayerGrades+'!$AA$2,"S","S+"))))))))))))))))))))</f>
        <v>#DIV/0!</v>
      </c>
      <c r="F164" s="961" t="str">
        <f t="shared" si="2"/>
        <v>#DIV/0!</v>
      </c>
      <c r="G164" s="961" t="str">
        <f>IF(F164&lt;'PlayerGrades+'!$AB$21,"F-",IF(F164&lt;'PlayerGrades+'!$AB$20,"F",IF(F164&lt;'PlayerGrades+'!$AB$19,"F+",IF(F164&lt;'PlayerGrades+'!$AB$18,"E-",IF(F164&lt;'PlayerGrades+'!$AB$17,"E",IF(F164&lt;'PlayerGrades+'!$AB$16,"E+",IF(F164&lt;'PlayerGrades+'!$AB$15,"D-",IF(F164&lt;'PlayerGrades+'!$AB$14,"D",IF(F164&lt;'PlayerGrades+'!$AB$13,"D+",IF(F164&lt;'PlayerGrades+'!$AB$12,"C-",IF(F164&lt;'PlayerGrades+'!$AB$11,"C",IF(F164&lt;'PlayerGrades+'!$AB$10,"C+",IF(F164&lt;'PlayerGrades+'!$AB$9,"B-",IF(F164&lt;'PlayerGrades+'!$AB$8,"B",IF(F164&lt;'PlayerGrades+'!$AB$7,"B+",IF(F164&lt;'PlayerGrades+'!$AB$6,"A-",IF(F164&lt;'PlayerGrades+'!$AB$5,"A",IF(F164&lt;'PlayerGrades+'!$AB$4,"A+",IF(F164&lt;'PlayerGrades+'!$AB$3,"S-",IF(F164&lt;'PlayerGrades+'!$AB$2,"S","S+"))))))))))))))))))))</f>
        <v>#DIV/0!</v>
      </c>
      <c r="H164" s="961" t="str">
        <f t="shared" si="3"/>
        <v>#DIV/0!</v>
      </c>
      <c r="I164" s="961" t="str">
        <f>IF(H164&lt;'PlayerGrades+'!$AC$21,"F-",IF(H164&lt;'PlayerGrades+'!$AC$20,"F",IF(H164&lt;'PlayerGrades+'!$AC$19,"F+",IF(H164&lt;'PlayerGrades+'!$AC$18,"E-",IF(H164&lt;'PlayerGrades+'!$AC$17,"E",IF(H164&lt;'PlayerGrades+'!$AC$16,"E+",IF(H164&lt;'PlayerGrades+'!$AC$15,"D-",IF(H164&lt;'PlayerGrades+'!$AC$14,"D",IF(H164&lt;'PlayerGrades+'!$AC$13,"D+",IF(H164&lt;'PlayerGrades+'!$AC$12,"C-",IF(H164&lt;'PlayerGrades+'!$AC$11,"C",IF(H164&lt;'PlayerGrades+'!$AC$10,"C+",IF(H164&lt;'PlayerGrades+'!$AC$9,"B-",IF(H164&lt;'PlayerGrades+'!$AC$8,"B",IF(H164&lt;'PlayerGrades+'!$AC$7,"B+",IF(H164&lt;'PlayerGrades+'!$AC$6,"A-",IF(H164&lt;'PlayerGrades+'!$AC$5,"A",IF(H164&lt;'PlayerGrades+'!$AC$4,"A+",IF(H164&lt;'PlayerGrades+'!$AC$3,"S-",IF(H164&lt;'PlayerGrades+'!$AC$2,"S","S+"))))))))))))))))))))</f>
        <v>#DIV/0!</v>
      </c>
      <c r="J164" s="961" t="str">
        <f t="shared" si="4"/>
        <v>#DIV/0!</v>
      </c>
      <c r="K164" s="961" t="str">
        <f>IF(J164&lt;'PlayerGrades+'!$AD$21,"F-",IF(J164&lt;'PlayerGrades+'!$AD$20,"F",IF(J164&lt;'PlayerGrades+'!$AD$19,"F+",IF(J164&lt;'PlayerGrades+'!$AD$18,"E-",IF(J164&lt;'PlayerGrades+'!$AD$17,"E",IF(J164&lt;'PlayerGrades+'!$AD$16,"E+",IF(J164&lt;'PlayerGrades+'!$AD$15,"D-",IF(J164&lt;'PlayerGrades+'!$AD$14,"D",IF(J164&lt;'PlayerGrades+'!$AD$13,"D+",IF(J164&lt;'PlayerGrades+'!$AD$12,"C-",IF(J164&lt;'PlayerGrades+'!$AD$11,"C",IF(J164&lt;'PlayerGrades+'!$AD$10,"C+",IF(J164&lt;'PlayerGrades+'!$AD$9,"B-",IF(J164&lt;'PlayerGrades+'!$AD$8,"B",IF(J164&lt;'PlayerGrades+'!$AD$7,"B+",IF(J164&lt;'PlayerGrades+'!$AD$6,"A-",IF(J164&lt;'PlayerGrades+'!$AD$5,"A",IF(J164&lt;'PlayerGrades+'!$AD$4,"A+",IF(J164&lt;'PlayerGrades+'!$AD$3,"S-",IF(J164&lt;'PlayerGrades+'!$AD$2,"S","S+"))))))))))))))))))))</f>
        <v>#DIV/0!</v>
      </c>
      <c r="L164" s="1176" t="str">
        <f t="shared" si="5"/>
        <v>#DIV/0!</v>
      </c>
      <c r="M164" s="992" t="str">
        <f>IF(L164&lt;'PlayerGrades+'!$AE$21,"F-",IF(L164&lt;'PlayerGrades+'!$AE$20,"F",IF(L164&lt;'PlayerGrades+'!$AE$19,"F+",IF(L164&lt;'PlayerGrades+'!$AE$18,"E-",IF(L164&lt;'PlayerGrades+'!$AE$17,"E",IF(L164&lt;'PlayerGrades+'!$AE$16,"E+",IF(L164&lt;'PlayerGrades+'!$AE$15,"D-",IF(L164&lt;'PlayerGrades+'!$AE$14,"D",IF(L164&lt;'PlayerGrades+'!$AE$13,"D+",IF(L164&lt;'PlayerGrades+'!$AE$12,"C-",IF(L164&lt;'PlayerGrades+'!$AE$11,"C",IF(L164&lt;'PlayerGrades+'!$AE$10,"C+",IF(L164&lt;'PlayerGrades+'!$AE$9,"B-",IF(L164&lt;'PlayerGrades+'!$AE$8,"B",IF(L164&lt;'PlayerGrades+'!$AE$7,"B+",IF(L164&lt;'PlayerGrades+'!$AE$6,"A-",IF(L164&lt;'PlayerGrades+'!$AE$5,"A",IF(L164&lt;'PlayerGrades+'!$AE$4,"A+",IF(L164&lt;'PlayerGrades+'!$AE$3,"S-",IF(L164&lt;'PlayerGrades+'!$AE$2,"S","S+"))))))))))))))))))))</f>
        <v>#DIV/0!</v>
      </c>
      <c r="N164" s="961" t="str">
        <f t="shared" si="6"/>
        <v>#DIV/0!</v>
      </c>
      <c r="O164" s="961" t="str">
        <f>IF(N164&lt;'PlayerGrades+'!$AF$21,"F-",IF(N164&lt;'PlayerGrades+'!$AF$20,"F",IF(N164&lt;'PlayerGrades+'!$AF$19,"F+",IF(N164&lt;'PlayerGrades+'!$AF$18,"E-",IF(N164&lt;'PlayerGrades+'!$AF$17,"E",IF(N164&lt;'PlayerGrades+'!$AF$16,"E+",IF(N164&lt;'PlayerGrades+'!$AF$15,"D-",IF(N164&lt;'PlayerGrades+'!$AF$14,"D",IF(N164&lt;'PlayerGrades+'!$AF$13,"D+",IF(N164&lt;'PlayerGrades+'!$AF$12,"C-",IF(N164&lt;'PlayerGrades+'!$AF$11,"C",IF(N164&lt;'PlayerGrades+'!$AF$10,"C+",IF(N164&lt;'PlayerGrades+'!$AF$9,"B-",IF(N164&lt;'PlayerGrades+'!$AF$8,"B",IF(N164&lt;'PlayerGrades+'!$AF$7,"B+",IF(N164&lt;'PlayerGrades+'!$AF$6,"A-",IF(N164&lt;'PlayerGrades+'!$AF$5,"A",IF(N164&lt;'PlayerGrades+'!$AF$4,"A+",IF(N164&lt;'PlayerGrades+'!$AF$3,"S-",IF(N164&lt;'PlayerGrades+'!$AF$2,"S","S+"))))))))))))))))))))</f>
        <v>#DIV/0!</v>
      </c>
      <c r="P164" s="961" t="str">
        <f t="shared" si="7"/>
        <v>#DIV/0!</v>
      </c>
      <c r="Q164" s="961" t="str">
        <f>IF(P164&lt;'PlayerGrades+'!$AG$21,"F-",IF(P164&lt;'PlayerGrades+'!$AG$20,"F",IF(P164&lt;'PlayerGrades+'!$AG$19,"F+",IF(P164&lt;'PlayerGrades+'!$AG$18,"E-",IF(P164&lt;'PlayerGrades+'!$AG$17,"E",IF(P164&lt;'PlayerGrades+'!$AG$16,"E+",IF(P164&lt;'PlayerGrades+'!$AG$15,"D-",IF(P164&lt;'PlayerGrades+'!$AG$14,"D",IF(P164&lt;'PlayerGrades+'!$AG$13,"D+",IF(P164&lt;'PlayerGrades+'!$AG$12,"C-",IF(P164&lt;'PlayerGrades+'!$AG$11,"C",IF(P164&lt;'PlayerGrades+'!$AG$10,"C+",IF(P164&lt;'PlayerGrades+'!$AG$9,"B-",IF(P164&lt;'PlayerGrades+'!$AG$8,"B",IF(P164&lt;'PlayerGrades+'!$AG$7,"B+",IF(P164&lt;'PlayerGrades+'!$AG$6,"A-",IF(P164&lt;'PlayerGrades+'!$AG$5,"A",IF(P164&lt;'PlayerGrades+'!$AG$4,"A+",IF(P164&lt;'PlayerGrades+'!$AG$3,"S-",IF(P164&lt;'PlayerGrades+'!$AG$2,"S","S+"))))))))))))))))))))</f>
        <v>#DIV/0!</v>
      </c>
      <c r="R164" s="961" t="str">
        <f t="shared" si="8"/>
        <v>#DIV/0!</v>
      </c>
      <c r="S164" s="961" t="str">
        <f>IF(R164&lt;'PlayerGrades+'!$AH$21,"F-",IF(R164&lt;'PlayerGrades+'!$AH$20,"F",IF(R164&lt;'PlayerGrades+'!$AH$19,"F+",IF(R164&lt;'PlayerGrades+'!$AH$18,"E-",IF(R164&lt;'PlayerGrades+'!$AH$17,"E",IF(R164&lt;'PlayerGrades+'!$AH$16,"E+",IF(R164&lt;'PlayerGrades+'!$AH$15,"D-",IF(R164&lt;'PlayerGrades+'!$AH$14,"D",IF(R164&lt;'PlayerGrades+'!$AH$13,"D+",IF(R164&lt;'PlayerGrades+'!$AH$12,"C-",IF(R164&lt;'PlayerGrades+'!$AH$11,"C",IF(R164&lt;'PlayerGrades+'!$AH$10,"C+",IF(R164&lt;'PlayerGrades+'!$AH$9,"B-",IF(R164&lt;'PlayerGrades+'!$AH$8,"B",IF(R164&lt;'PlayerGrades+'!$AH$7,"B+",IF(R164&lt;'PlayerGrades+'!$AH$6,"A-",IF(R164&lt;'PlayerGrades+'!$AH$5,"A",IF(R164&lt;'PlayerGrades+'!$AH$4,"A+",IF(R164&lt;'PlayerGrades+'!$AH$3,"S-",IF(R164&lt;'PlayerGrades+'!$AH$2,"S","S+"))))))))))))))))))))</f>
        <v>#DIV/0!</v>
      </c>
      <c r="T164" s="961">
        <f t="shared" si="9"/>
        <v>0</v>
      </c>
      <c r="U164" s="961" t="str">
        <f>IF(T164&lt;'PlayerGrades+'!$AI$21,"F-",IF(T164&lt;'PlayerGrades+'!$AI$20,"F",IF(T164&lt;'PlayerGrades+'!$AI$19,"F+",IF(T164&lt;'PlayerGrades+'!$AI$18,"E-",IF(T164&lt;'PlayerGrades+'!$AI$17,"E",IF(T164&lt;'PlayerGrades+'!$AI$16,"E+",IF(T164&lt;'PlayerGrades+'!$AI$15,"D-",IF(T164&lt;'PlayerGrades+'!$AI$14,"D",IF(T164&lt;'PlayerGrades+'!$AI$13,"D+",IF(T164&lt;'PlayerGrades+'!$AI$12,"C-",IF(T164&lt;'PlayerGrades+'!$AI$11,"C",IF(T164&lt;'PlayerGrades+'!$AI$10,"C+",IF(T164&lt;'PlayerGrades+'!$AI$9,"B-",IF(T164&lt;'PlayerGrades+'!$AI$8,"B",IF(T164&lt;'PlayerGrades+'!$AI$7,"B+",IF(T164&lt;'PlayerGrades+'!$AI$6,"A-",IF(T164&lt;'PlayerGrades+'!$AI$5,"A",IF(T164&lt;'PlayerGrades+'!$AI$4,"A+",IF(T164&lt;'PlayerGrades+'!$AI$3,"S-",IF(T164&lt;'PlayerGrades+'!$AI$2,"S","S+"))))))))))))))))))))</f>
        <v>F-</v>
      </c>
      <c r="AC164" s="1392"/>
    </row>
    <row r="165">
      <c r="A165" s="1391"/>
      <c r="B165" s="611" t="str">
        <f>IF(C165&lt;'PlayerGrades+'!$Y$44,"F-",IF(C165&lt;'PlayerGrades+'!$Y$43,"F",IF(C165&lt;'PlayerGrades+'!$Y$42,"F+",IF(C165&lt;'PlayerGrades+'!$Y$41,"E-",IF(C165&lt;'PlayerGrades+'!$Y$40,"E",IF(C165&lt;'PlayerGrades+'!$Y$39,"E+",IF(C165&lt;'PlayerGrades+'!$Y$38,"D-",IF(C165&lt;'PlayerGrades+'!$Y$37,"D",IF(C165&lt;'PlayerGrades+'!$Y$36,"D+",IF(C165&lt;'PlayerGrades+'!$Y$35,"C-",IF(C165&lt;'PlayerGrades+'!$Y$34,"C",IF(C165&lt;'PlayerGrades+'!$Y$33,"C+",IF(C165&lt;'PlayerGrades+'!$Y$32,"B-",IF(C165&lt;'PlayerGrades+'!$Y$31,"B",IF(C165&lt;'PlayerGrades+'!$Y$30,"B+",IF(C165&lt;'PlayerGrades+'!$Y$29,"A-",IF(C165&lt;'PlayerGrades+'!$Y$28,"A",IF(C165&lt;'PlayerGrades+'!$Y$27,"A+",IF(C165&lt;'PlayerGrades+'!$Y$26,"S-",IF(C165&lt;'PlayerGrades+'!$Y$25,"S","S+"))))))))))))))))))))</f>
        <v>#DIV/0!</v>
      </c>
      <c r="C165" s="1378" t="str">
        <f>('PlayerGrades+'!$Y$47*(VLOOKUP(E165, 'PlayerGrades+'!$X$3:$Y$23, 2, FALSE)))+('PlayerGrades+'!$Y$48*(VLOOKUP(G165, 'PlayerGrades+'!$X$3:$Y$23, 2, FALSE)))+('PlayerGrades+'!$Y$49*(VLOOKUP(I165, 'PlayerGrades+'!$X$3:$Y$23, 2, FALSE)))+('PlayerGrades+'!$Y$50*(VLOOKUP(K165, 'PlayerGrades+'!$X$3:$Y$23, 2, FALSE)))+('PlayerGrades+'!$Y$51*(VLOOKUP(M165, 'PlayerGrades+'!$X$3:$Y$23, 2, FALSE)))+('PlayerGrades+'!$Y$52*(VLOOKUP(O165, 'PlayerGrades+'!$X$3:$Y$23, 2, FALSE)))+('PlayerGrades+'!$Y$53*(VLOOKUP(Q165, 'PlayerGrades+'!$X$3:$Y$23, 2, FALSE)))+('PlayerGrades+'!$Y$54*(VLOOKUP(S165, 'PlayerGrades+'!$X$3:$Y$23, 2, FALSE)))+('PlayerGrades+'!$Y$55*(VLOOKUP(U165, 'PlayerGrades+'!$X$3:$Y$23, 2, FALSE)))</f>
        <v>#DIV/0!</v>
      </c>
      <c r="D165" s="961" t="str">
        <f t="shared" si="1"/>
        <v>#DIV/0!</v>
      </c>
      <c r="E165" s="961" t="str">
        <f>IF(D165&lt;'PlayerGrades+'!$AA$21,"F-",IF(D165&lt;'PlayerGrades+'!$AA$20,"F",IF(D165&lt;'PlayerGrades+'!$AA$19,"F+",IF(D165&lt;'PlayerGrades+'!$AA$18,"E-",IF(D165&lt;'PlayerGrades+'!$AA$17,"E",IF(D165&lt;'PlayerGrades+'!$AA$16,"E+",IF(D165&lt;'PlayerGrades+'!$AA$15,"D-",IF(D165&lt;'PlayerGrades+'!$AA$14,"D",IF(D165&lt;'PlayerGrades+'!$AA$13,"D+",IF(D165&lt;'PlayerGrades+'!$AA$12,"C-",IF(D165&lt;'PlayerGrades+'!$AA$11,"C",IF(D165&lt;'PlayerGrades+'!$AA$10,"C+",IF(D165&lt;'PlayerGrades+'!$AA$9,"B-",IF(D165&lt;'PlayerGrades+'!$AA$8,"B",IF(D165&lt;'PlayerGrades+'!$AA$7,"B+",IF(D165&lt;'PlayerGrades+'!$AA$6,"A-",IF(D165&lt;'PlayerGrades+'!$AA$5,"A",IF(D165&lt;'PlayerGrades+'!$AA$4,"A+",IF(D165&lt;'PlayerGrades+'!$AA$3,"S-",IF(D165&lt;'PlayerGrades+'!$AA$2,"S","S+"))))))))))))))))))))</f>
        <v>#DIV/0!</v>
      </c>
      <c r="F165" s="961" t="str">
        <f t="shared" si="2"/>
        <v>#DIV/0!</v>
      </c>
      <c r="G165" s="961" t="str">
        <f>IF(F165&lt;'PlayerGrades+'!$AB$21,"F-",IF(F165&lt;'PlayerGrades+'!$AB$20,"F",IF(F165&lt;'PlayerGrades+'!$AB$19,"F+",IF(F165&lt;'PlayerGrades+'!$AB$18,"E-",IF(F165&lt;'PlayerGrades+'!$AB$17,"E",IF(F165&lt;'PlayerGrades+'!$AB$16,"E+",IF(F165&lt;'PlayerGrades+'!$AB$15,"D-",IF(F165&lt;'PlayerGrades+'!$AB$14,"D",IF(F165&lt;'PlayerGrades+'!$AB$13,"D+",IF(F165&lt;'PlayerGrades+'!$AB$12,"C-",IF(F165&lt;'PlayerGrades+'!$AB$11,"C",IF(F165&lt;'PlayerGrades+'!$AB$10,"C+",IF(F165&lt;'PlayerGrades+'!$AB$9,"B-",IF(F165&lt;'PlayerGrades+'!$AB$8,"B",IF(F165&lt;'PlayerGrades+'!$AB$7,"B+",IF(F165&lt;'PlayerGrades+'!$AB$6,"A-",IF(F165&lt;'PlayerGrades+'!$AB$5,"A",IF(F165&lt;'PlayerGrades+'!$AB$4,"A+",IF(F165&lt;'PlayerGrades+'!$AB$3,"S-",IF(F165&lt;'PlayerGrades+'!$AB$2,"S","S+"))))))))))))))))))))</f>
        <v>#DIV/0!</v>
      </c>
      <c r="H165" s="961" t="str">
        <f t="shared" si="3"/>
        <v>#DIV/0!</v>
      </c>
      <c r="I165" s="961" t="str">
        <f>IF(H165&lt;'PlayerGrades+'!$AC$21,"F-",IF(H165&lt;'PlayerGrades+'!$AC$20,"F",IF(H165&lt;'PlayerGrades+'!$AC$19,"F+",IF(H165&lt;'PlayerGrades+'!$AC$18,"E-",IF(H165&lt;'PlayerGrades+'!$AC$17,"E",IF(H165&lt;'PlayerGrades+'!$AC$16,"E+",IF(H165&lt;'PlayerGrades+'!$AC$15,"D-",IF(H165&lt;'PlayerGrades+'!$AC$14,"D",IF(H165&lt;'PlayerGrades+'!$AC$13,"D+",IF(H165&lt;'PlayerGrades+'!$AC$12,"C-",IF(H165&lt;'PlayerGrades+'!$AC$11,"C",IF(H165&lt;'PlayerGrades+'!$AC$10,"C+",IF(H165&lt;'PlayerGrades+'!$AC$9,"B-",IF(H165&lt;'PlayerGrades+'!$AC$8,"B",IF(H165&lt;'PlayerGrades+'!$AC$7,"B+",IF(H165&lt;'PlayerGrades+'!$AC$6,"A-",IF(H165&lt;'PlayerGrades+'!$AC$5,"A",IF(H165&lt;'PlayerGrades+'!$AC$4,"A+",IF(H165&lt;'PlayerGrades+'!$AC$3,"S-",IF(H165&lt;'PlayerGrades+'!$AC$2,"S","S+"))))))))))))))))))))</f>
        <v>#DIV/0!</v>
      </c>
      <c r="J165" s="961" t="str">
        <f t="shared" si="4"/>
        <v>#DIV/0!</v>
      </c>
      <c r="K165" s="961" t="str">
        <f>IF(J165&lt;'PlayerGrades+'!$AD$21,"F-",IF(J165&lt;'PlayerGrades+'!$AD$20,"F",IF(J165&lt;'PlayerGrades+'!$AD$19,"F+",IF(J165&lt;'PlayerGrades+'!$AD$18,"E-",IF(J165&lt;'PlayerGrades+'!$AD$17,"E",IF(J165&lt;'PlayerGrades+'!$AD$16,"E+",IF(J165&lt;'PlayerGrades+'!$AD$15,"D-",IF(J165&lt;'PlayerGrades+'!$AD$14,"D",IF(J165&lt;'PlayerGrades+'!$AD$13,"D+",IF(J165&lt;'PlayerGrades+'!$AD$12,"C-",IF(J165&lt;'PlayerGrades+'!$AD$11,"C",IF(J165&lt;'PlayerGrades+'!$AD$10,"C+",IF(J165&lt;'PlayerGrades+'!$AD$9,"B-",IF(J165&lt;'PlayerGrades+'!$AD$8,"B",IF(J165&lt;'PlayerGrades+'!$AD$7,"B+",IF(J165&lt;'PlayerGrades+'!$AD$6,"A-",IF(J165&lt;'PlayerGrades+'!$AD$5,"A",IF(J165&lt;'PlayerGrades+'!$AD$4,"A+",IF(J165&lt;'PlayerGrades+'!$AD$3,"S-",IF(J165&lt;'PlayerGrades+'!$AD$2,"S","S+"))))))))))))))))))))</f>
        <v>#DIV/0!</v>
      </c>
      <c r="L165" s="1176" t="str">
        <f t="shared" si="5"/>
        <v>#DIV/0!</v>
      </c>
      <c r="M165" s="992" t="str">
        <f>IF(L165&lt;'PlayerGrades+'!$AE$21,"F-",IF(L165&lt;'PlayerGrades+'!$AE$20,"F",IF(L165&lt;'PlayerGrades+'!$AE$19,"F+",IF(L165&lt;'PlayerGrades+'!$AE$18,"E-",IF(L165&lt;'PlayerGrades+'!$AE$17,"E",IF(L165&lt;'PlayerGrades+'!$AE$16,"E+",IF(L165&lt;'PlayerGrades+'!$AE$15,"D-",IF(L165&lt;'PlayerGrades+'!$AE$14,"D",IF(L165&lt;'PlayerGrades+'!$AE$13,"D+",IF(L165&lt;'PlayerGrades+'!$AE$12,"C-",IF(L165&lt;'PlayerGrades+'!$AE$11,"C",IF(L165&lt;'PlayerGrades+'!$AE$10,"C+",IF(L165&lt;'PlayerGrades+'!$AE$9,"B-",IF(L165&lt;'PlayerGrades+'!$AE$8,"B",IF(L165&lt;'PlayerGrades+'!$AE$7,"B+",IF(L165&lt;'PlayerGrades+'!$AE$6,"A-",IF(L165&lt;'PlayerGrades+'!$AE$5,"A",IF(L165&lt;'PlayerGrades+'!$AE$4,"A+",IF(L165&lt;'PlayerGrades+'!$AE$3,"S-",IF(L165&lt;'PlayerGrades+'!$AE$2,"S","S+"))))))))))))))))))))</f>
        <v>#DIV/0!</v>
      </c>
      <c r="N165" s="961" t="str">
        <f t="shared" si="6"/>
        <v>#DIV/0!</v>
      </c>
      <c r="O165" s="961" t="str">
        <f>IF(N165&lt;'PlayerGrades+'!$AF$21,"F-",IF(N165&lt;'PlayerGrades+'!$AF$20,"F",IF(N165&lt;'PlayerGrades+'!$AF$19,"F+",IF(N165&lt;'PlayerGrades+'!$AF$18,"E-",IF(N165&lt;'PlayerGrades+'!$AF$17,"E",IF(N165&lt;'PlayerGrades+'!$AF$16,"E+",IF(N165&lt;'PlayerGrades+'!$AF$15,"D-",IF(N165&lt;'PlayerGrades+'!$AF$14,"D",IF(N165&lt;'PlayerGrades+'!$AF$13,"D+",IF(N165&lt;'PlayerGrades+'!$AF$12,"C-",IF(N165&lt;'PlayerGrades+'!$AF$11,"C",IF(N165&lt;'PlayerGrades+'!$AF$10,"C+",IF(N165&lt;'PlayerGrades+'!$AF$9,"B-",IF(N165&lt;'PlayerGrades+'!$AF$8,"B",IF(N165&lt;'PlayerGrades+'!$AF$7,"B+",IF(N165&lt;'PlayerGrades+'!$AF$6,"A-",IF(N165&lt;'PlayerGrades+'!$AF$5,"A",IF(N165&lt;'PlayerGrades+'!$AF$4,"A+",IF(N165&lt;'PlayerGrades+'!$AF$3,"S-",IF(N165&lt;'PlayerGrades+'!$AF$2,"S","S+"))))))))))))))))))))</f>
        <v>#DIV/0!</v>
      </c>
      <c r="P165" s="961" t="str">
        <f t="shared" si="7"/>
        <v>#DIV/0!</v>
      </c>
      <c r="Q165" s="961" t="str">
        <f>IF(P165&lt;'PlayerGrades+'!$AG$21,"F-",IF(P165&lt;'PlayerGrades+'!$AG$20,"F",IF(P165&lt;'PlayerGrades+'!$AG$19,"F+",IF(P165&lt;'PlayerGrades+'!$AG$18,"E-",IF(P165&lt;'PlayerGrades+'!$AG$17,"E",IF(P165&lt;'PlayerGrades+'!$AG$16,"E+",IF(P165&lt;'PlayerGrades+'!$AG$15,"D-",IF(P165&lt;'PlayerGrades+'!$AG$14,"D",IF(P165&lt;'PlayerGrades+'!$AG$13,"D+",IF(P165&lt;'PlayerGrades+'!$AG$12,"C-",IF(P165&lt;'PlayerGrades+'!$AG$11,"C",IF(P165&lt;'PlayerGrades+'!$AG$10,"C+",IF(P165&lt;'PlayerGrades+'!$AG$9,"B-",IF(P165&lt;'PlayerGrades+'!$AG$8,"B",IF(P165&lt;'PlayerGrades+'!$AG$7,"B+",IF(P165&lt;'PlayerGrades+'!$AG$6,"A-",IF(P165&lt;'PlayerGrades+'!$AG$5,"A",IF(P165&lt;'PlayerGrades+'!$AG$4,"A+",IF(P165&lt;'PlayerGrades+'!$AG$3,"S-",IF(P165&lt;'PlayerGrades+'!$AG$2,"S","S+"))))))))))))))))))))</f>
        <v>#DIV/0!</v>
      </c>
      <c r="R165" s="961" t="str">
        <f t="shared" si="8"/>
        <v>#DIV/0!</v>
      </c>
      <c r="S165" s="961" t="str">
        <f>IF(R165&lt;'PlayerGrades+'!$AH$21,"F-",IF(R165&lt;'PlayerGrades+'!$AH$20,"F",IF(R165&lt;'PlayerGrades+'!$AH$19,"F+",IF(R165&lt;'PlayerGrades+'!$AH$18,"E-",IF(R165&lt;'PlayerGrades+'!$AH$17,"E",IF(R165&lt;'PlayerGrades+'!$AH$16,"E+",IF(R165&lt;'PlayerGrades+'!$AH$15,"D-",IF(R165&lt;'PlayerGrades+'!$AH$14,"D",IF(R165&lt;'PlayerGrades+'!$AH$13,"D+",IF(R165&lt;'PlayerGrades+'!$AH$12,"C-",IF(R165&lt;'PlayerGrades+'!$AH$11,"C",IF(R165&lt;'PlayerGrades+'!$AH$10,"C+",IF(R165&lt;'PlayerGrades+'!$AH$9,"B-",IF(R165&lt;'PlayerGrades+'!$AH$8,"B",IF(R165&lt;'PlayerGrades+'!$AH$7,"B+",IF(R165&lt;'PlayerGrades+'!$AH$6,"A-",IF(R165&lt;'PlayerGrades+'!$AH$5,"A",IF(R165&lt;'PlayerGrades+'!$AH$4,"A+",IF(R165&lt;'PlayerGrades+'!$AH$3,"S-",IF(R165&lt;'PlayerGrades+'!$AH$2,"S","S+"))))))))))))))))))))</f>
        <v>#DIV/0!</v>
      </c>
      <c r="T165" s="961">
        <f t="shared" si="9"/>
        <v>0</v>
      </c>
      <c r="U165" s="961" t="str">
        <f>IF(T165&lt;'PlayerGrades+'!$AI$21,"F-",IF(T165&lt;'PlayerGrades+'!$AI$20,"F",IF(T165&lt;'PlayerGrades+'!$AI$19,"F+",IF(T165&lt;'PlayerGrades+'!$AI$18,"E-",IF(T165&lt;'PlayerGrades+'!$AI$17,"E",IF(T165&lt;'PlayerGrades+'!$AI$16,"E+",IF(T165&lt;'PlayerGrades+'!$AI$15,"D-",IF(T165&lt;'PlayerGrades+'!$AI$14,"D",IF(T165&lt;'PlayerGrades+'!$AI$13,"D+",IF(T165&lt;'PlayerGrades+'!$AI$12,"C-",IF(T165&lt;'PlayerGrades+'!$AI$11,"C",IF(T165&lt;'PlayerGrades+'!$AI$10,"C+",IF(T165&lt;'PlayerGrades+'!$AI$9,"B-",IF(T165&lt;'PlayerGrades+'!$AI$8,"B",IF(T165&lt;'PlayerGrades+'!$AI$7,"B+",IF(T165&lt;'PlayerGrades+'!$AI$6,"A-",IF(T165&lt;'PlayerGrades+'!$AI$5,"A",IF(T165&lt;'PlayerGrades+'!$AI$4,"A+",IF(T165&lt;'PlayerGrades+'!$AI$3,"S-",IF(T165&lt;'PlayerGrades+'!$AI$2,"S","S+"))))))))))))))))))))</f>
        <v>F-</v>
      </c>
      <c r="AC165" s="1392"/>
    </row>
    <row r="166">
      <c r="A166" s="1391"/>
      <c r="B166" s="611" t="str">
        <f>IF(C166&lt;'PlayerGrades+'!$Y$44,"F-",IF(C166&lt;'PlayerGrades+'!$Y$43,"F",IF(C166&lt;'PlayerGrades+'!$Y$42,"F+",IF(C166&lt;'PlayerGrades+'!$Y$41,"E-",IF(C166&lt;'PlayerGrades+'!$Y$40,"E",IF(C166&lt;'PlayerGrades+'!$Y$39,"E+",IF(C166&lt;'PlayerGrades+'!$Y$38,"D-",IF(C166&lt;'PlayerGrades+'!$Y$37,"D",IF(C166&lt;'PlayerGrades+'!$Y$36,"D+",IF(C166&lt;'PlayerGrades+'!$Y$35,"C-",IF(C166&lt;'PlayerGrades+'!$Y$34,"C",IF(C166&lt;'PlayerGrades+'!$Y$33,"C+",IF(C166&lt;'PlayerGrades+'!$Y$32,"B-",IF(C166&lt;'PlayerGrades+'!$Y$31,"B",IF(C166&lt;'PlayerGrades+'!$Y$30,"B+",IF(C166&lt;'PlayerGrades+'!$Y$29,"A-",IF(C166&lt;'PlayerGrades+'!$Y$28,"A",IF(C166&lt;'PlayerGrades+'!$Y$27,"A+",IF(C166&lt;'PlayerGrades+'!$Y$26,"S-",IF(C166&lt;'PlayerGrades+'!$Y$25,"S","S+"))))))))))))))))))))</f>
        <v>#DIV/0!</v>
      </c>
      <c r="C166" s="1378" t="str">
        <f>('PlayerGrades+'!$Y$47*(VLOOKUP(E166, 'PlayerGrades+'!$X$3:$Y$23, 2, FALSE)))+('PlayerGrades+'!$Y$48*(VLOOKUP(G166, 'PlayerGrades+'!$X$3:$Y$23, 2, FALSE)))+('PlayerGrades+'!$Y$49*(VLOOKUP(I166, 'PlayerGrades+'!$X$3:$Y$23, 2, FALSE)))+('PlayerGrades+'!$Y$50*(VLOOKUP(K166, 'PlayerGrades+'!$X$3:$Y$23, 2, FALSE)))+('PlayerGrades+'!$Y$51*(VLOOKUP(M166, 'PlayerGrades+'!$X$3:$Y$23, 2, FALSE)))+('PlayerGrades+'!$Y$52*(VLOOKUP(O166, 'PlayerGrades+'!$X$3:$Y$23, 2, FALSE)))+('PlayerGrades+'!$Y$53*(VLOOKUP(Q166, 'PlayerGrades+'!$X$3:$Y$23, 2, FALSE)))+('PlayerGrades+'!$Y$54*(VLOOKUP(S166, 'PlayerGrades+'!$X$3:$Y$23, 2, FALSE)))+('PlayerGrades+'!$Y$55*(VLOOKUP(U166, 'PlayerGrades+'!$X$3:$Y$23, 2, FALSE)))</f>
        <v>#DIV/0!</v>
      </c>
      <c r="D166" s="961" t="str">
        <f t="shared" si="1"/>
        <v>#DIV/0!</v>
      </c>
      <c r="E166" s="961" t="str">
        <f>IF(D166&lt;'PlayerGrades+'!$AA$21,"F-",IF(D166&lt;'PlayerGrades+'!$AA$20,"F",IF(D166&lt;'PlayerGrades+'!$AA$19,"F+",IF(D166&lt;'PlayerGrades+'!$AA$18,"E-",IF(D166&lt;'PlayerGrades+'!$AA$17,"E",IF(D166&lt;'PlayerGrades+'!$AA$16,"E+",IF(D166&lt;'PlayerGrades+'!$AA$15,"D-",IF(D166&lt;'PlayerGrades+'!$AA$14,"D",IF(D166&lt;'PlayerGrades+'!$AA$13,"D+",IF(D166&lt;'PlayerGrades+'!$AA$12,"C-",IF(D166&lt;'PlayerGrades+'!$AA$11,"C",IF(D166&lt;'PlayerGrades+'!$AA$10,"C+",IF(D166&lt;'PlayerGrades+'!$AA$9,"B-",IF(D166&lt;'PlayerGrades+'!$AA$8,"B",IF(D166&lt;'PlayerGrades+'!$AA$7,"B+",IF(D166&lt;'PlayerGrades+'!$AA$6,"A-",IF(D166&lt;'PlayerGrades+'!$AA$5,"A",IF(D166&lt;'PlayerGrades+'!$AA$4,"A+",IF(D166&lt;'PlayerGrades+'!$AA$3,"S-",IF(D166&lt;'PlayerGrades+'!$AA$2,"S","S+"))))))))))))))))))))</f>
        <v>#DIV/0!</v>
      </c>
      <c r="F166" s="961" t="str">
        <f t="shared" si="2"/>
        <v>#DIV/0!</v>
      </c>
      <c r="G166" s="961" t="str">
        <f>IF(F166&lt;'PlayerGrades+'!$AB$21,"F-",IF(F166&lt;'PlayerGrades+'!$AB$20,"F",IF(F166&lt;'PlayerGrades+'!$AB$19,"F+",IF(F166&lt;'PlayerGrades+'!$AB$18,"E-",IF(F166&lt;'PlayerGrades+'!$AB$17,"E",IF(F166&lt;'PlayerGrades+'!$AB$16,"E+",IF(F166&lt;'PlayerGrades+'!$AB$15,"D-",IF(F166&lt;'PlayerGrades+'!$AB$14,"D",IF(F166&lt;'PlayerGrades+'!$AB$13,"D+",IF(F166&lt;'PlayerGrades+'!$AB$12,"C-",IF(F166&lt;'PlayerGrades+'!$AB$11,"C",IF(F166&lt;'PlayerGrades+'!$AB$10,"C+",IF(F166&lt;'PlayerGrades+'!$AB$9,"B-",IF(F166&lt;'PlayerGrades+'!$AB$8,"B",IF(F166&lt;'PlayerGrades+'!$AB$7,"B+",IF(F166&lt;'PlayerGrades+'!$AB$6,"A-",IF(F166&lt;'PlayerGrades+'!$AB$5,"A",IF(F166&lt;'PlayerGrades+'!$AB$4,"A+",IF(F166&lt;'PlayerGrades+'!$AB$3,"S-",IF(F166&lt;'PlayerGrades+'!$AB$2,"S","S+"))))))))))))))))))))</f>
        <v>#DIV/0!</v>
      </c>
      <c r="H166" s="961" t="str">
        <f t="shared" si="3"/>
        <v>#DIV/0!</v>
      </c>
      <c r="I166" s="961" t="str">
        <f>IF(H166&lt;'PlayerGrades+'!$AC$21,"F-",IF(H166&lt;'PlayerGrades+'!$AC$20,"F",IF(H166&lt;'PlayerGrades+'!$AC$19,"F+",IF(H166&lt;'PlayerGrades+'!$AC$18,"E-",IF(H166&lt;'PlayerGrades+'!$AC$17,"E",IF(H166&lt;'PlayerGrades+'!$AC$16,"E+",IF(H166&lt;'PlayerGrades+'!$AC$15,"D-",IF(H166&lt;'PlayerGrades+'!$AC$14,"D",IF(H166&lt;'PlayerGrades+'!$AC$13,"D+",IF(H166&lt;'PlayerGrades+'!$AC$12,"C-",IF(H166&lt;'PlayerGrades+'!$AC$11,"C",IF(H166&lt;'PlayerGrades+'!$AC$10,"C+",IF(H166&lt;'PlayerGrades+'!$AC$9,"B-",IF(H166&lt;'PlayerGrades+'!$AC$8,"B",IF(H166&lt;'PlayerGrades+'!$AC$7,"B+",IF(H166&lt;'PlayerGrades+'!$AC$6,"A-",IF(H166&lt;'PlayerGrades+'!$AC$5,"A",IF(H166&lt;'PlayerGrades+'!$AC$4,"A+",IF(H166&lt;'PlayerGrades+'!$AC$3,"S-",IF(H166&lt;'PlayerGrades+'!$AC$2,"S","S+"))))))))))))))))))))</f>
        <v>#DIV/0!</v>
      </c>
      <c r="J166" s="961" t="str">
        <f t="shared" si="4"/>
        <v>#DIV/0!</v>
      </c>
      <c r="K166" s="961" t="str">
        <f>IF(J166&lt;'PlayerGrades+'!$AD$21,"F-",IF(J166&lt;'PlayerGrades+'!$AD$20,"F",IF(J166&lt;'PlayerGrades+'!$AD$19,"F+",IF(J166&lt;'PlayerGrades+'!$AD$18,"E-",IF(J166&lt;'PlayerGrades+'!$AD$17,"E",IF(J166&lt;'PlayerGrades+'!$AD$16,"E+",IF(J166&lt;'PlayerGrades+'!$AD$15,"D-",IF(J166&lt;'PlayerGrades+'!$AD$14,"D",IF(J166&lt;'PlayerGrades+'!$AD$13,"D+",IF(J166&lt;'PlayerGrades+'!$AD$12,"C-",IF(J166&lt;'PlayerGrades+'!$AD$11,"C",IF(J166&lt;'PlayerGrades+'!$AD$10,"C+",IF(J166&lt;'PlayerGrades+'!$AD$9,"B-",IF(J166&lt;'PlayerGrades+'!$AD$8,"B",IF(J166&lt;'PlayerGrades+'!$AD$7,"B+",IF(J166&lt;'PlayerGrades+'!$AD$6,"A-",IF(J166&lt;'PlayerGrades+'!$AD$5,"A",IF(J166&lt;'PlayerGrades+'!$AD$4,"A+",IF(J166&lt;'PlayerGrades+'!$AD$3,"S-",IF(J166&lt;'PlayerGrades+'!$AD$2,"S","S+"))))))))))))))))))))</f>
        <v>#DIV/0!</v>
      </c>
      <c r="L166" s="1176" t="str">
        <f t="shared" si="5"/>
        <v>#DIV/0!</v>
      </c>
      <c r="M166" s="992" t="str">
        <f>IF(L166&lt;'PlayerGrades+'!$AE$21,"F-",IF(L166&lt;'PlayerGrades+'!$AE$20,"F",IF(L166&lt;'PlayerGrades+'!$AE$19,"F+",IF(L166&lt;'PlayerGrades+'!$AE$18,"E-",IF(L166&lt;'PlayerGrades+'!$AE$17,"E",IF(L166&lt;'PlayerGrades+'!$AE$16,"E+",IF(L166&lt;'PlayerGrades+'!$AE$15,"D-",IF(L166&lt;'PlayerGrades+'!$AE$14,"D",IF(L166&lt;'PlayerGrades+'!$AE$13,"D+",IF(L166&lt;'PlayerGrades+'!$AE$12,"C-",IF(L166&lt;'PlayerGrades+'!$AE$11,"C",IF(L166&lt;'PlayerGrades+'!$AE$10,"C+",IF(L166&lt;'PlayerGrades+'!$AE$9,"B-",IF(L166&lt;'PlayerGrades+'!$AE$8,"B",IF(L166&lt;'PlayerGrades+'!$AE$7,"B+",IF(L166&lt;'PlayerGrades+'!$AE$6,"A-",IF(L166&lt;'PlayerGrades+'!$AE$5,"A",IF(L166&lt;'PlayerGrades+'!$AE$4,"A+",IF(L166&lt;'PlayerGrades+'!$AE$3,"S-",IF(L166&lt;'PlayerGrades+'!$AE$2,"S","S+"))))))))))))))))))))</f>
        <v>#DIV/0!</v>
      </c>
      <c r="N166" s="961" t="str">
        <f t="shared" si="6"/>
        <v>#DIV/0!</v>
      </c>
      <c r="O166" s="961" t="str">
        <f>IF(N166&lt;'PlayerGrades+'!$AF$21,"F-",IF(N166&lt;'PlayerGrades+'!$AF$20,"F",IF(N166&lt;'PlayerGrades+'!$AF$19,"F+",IF(N166&lt;'PlayerGrades+'!$AF$18,"E-",IF(N166&lt;'PlayerGrades+'!$AF$17,"E",IF(N166&lt;'PlayerGrades+'!$AF$16,"E+",IF(N166&lt;'PlayerGrades+'!$AF$15,"D-",IF(N166&lt;'PlayerGrades+'!$AF$14,"D",IF(N166&lt;'PlayerGrades+'!$AF$13,"D+",IF(N166&lt;'PlayerGrades+'!$AF$12,"C-",IF(N166&lt;'PlayerGrades+'!$AF$11,"C",IF(N166&lt;'PlayerGrades+'!$AF$10,"C+",IF(N166&lt;'PlayerGrades+'!$AF$9,"B-",IF(N166&lt;'PlayerGrades+'!$AF$8,"B",IF(N166&lt;'PlayerGrades+'!$AF$7,"B+",IF(N166&lt;'PlayerGrades+'!$AF$6,"A-",IF(N166&lt;'PlayerGrades+'!$AF$5,"A",IF(N166&lt;'PlayerGrades+'!$AF$4,"A+",IF(N166&lt;'PlayerGrades+'!$AF$3,"S-",IF(N166&lt;'PlayerGrades+'!$AF$2,"S","S+"))))))))))))))))))))</f>
        <v>#DIV/0!</v>
      </c>
      <c r="P166" s="961" t="str">
        <f t="shared" si="7"/>
        <v>#DIV/0!</v>
      </c>
      <c r="Q166" s="961" t="str">
        <f>IF(P166&lt;'PlayerGrades+'!$AG$21,"F-",IF(P166&lt;'PlayerGrades+'!$AG$20,"F",IF(P166&lt;'PlayerGrades+'!$AG$19,"F+",IF(P166&lt;'PlayerGrades+'!$AG$18,"E-",IF(P166&lt;'PlayerGrades+'!$AG$17,"E",IF(P166&lt;'PlayerGrades+'!$AG$16,"E+",IF(P166&lt;'PlayerGrades+'!$AG$15,"D-",IF(P166&lt;'PlayerGrades+'!$AG$14,"D",IF(P166&lt;'PlayerGrades+'!$AG$13,"D+",IF(P166&lt;'PlayerGrades+'!$AG$12,"C-",IF(P166&lt;'PlayerGrades+'!$AG$11,"C",IF(P166&lt;'PlayerGrades+'!$AG$10,"C+",IF(P166&lt;'PlayerGrades+'!$AG$9,"B-",IF(P166&lt;'PlayerGrades+'!$AG$8,"B",IF(P166&lt;'PlayerGrades+'!$AG$7,"B+",IF(P166&lt;'PlayerGrades+'!$AG$6,"A-",IF(P166&lt;'PlayerGrades+'!$AG$5,"A",IF(P166&lt;'PlayerGrades+'!$AG$4,"A+",IF(P166&lt;'PlayerGrades+'!$AG$3,"S-",IF(P166&lt;'PlayerGrades+'!$AG$2,"S","S+"))))))))))))))))))))</f>
        <v>#DIV/0!</v>
      </c>
      <c r="R166" s="961" t="str">
        <f t="shared" si="8"/>
        <v>#DIV/0!</v>
      </c>
      <c r="S166" s="961" t="str">
        <f>IF(R166&lt;'PlayerGrades+'!$AH$21,"F-",IF(R166&lt;'PlayerGrades+'!$AH$20,"F",IF(R166&lt;'PlayerGrades+'!$AH$19,"F+",IF(R166&lt;'PlayerGrades+'!$AH$18,"E-",IF(R166&lt;'PlayerGrades+'!$AH$17,"E",IF(R166&lt;'PlayerGrades+'!$AH$16,"E+",IF(R166&lt;'PlayerGrades+'!$AH$15,"D-",IF(R166&lt;'PlayerGrades+'!$AH$14,"D",IF(R166&lt;'PlayerGrades+'!$AH$13,"D+",IF(R166&lt;'PlayerGrades+'!$AH$12,"C-",IF(R166&lt;'PlayerGrades+'!$AH$11,"C",IF(R166&lt;'PlayerGrades+'!$AH$10,"C+",IF(R166&lt;'PlayerGrades+'!$AH$9,"B-",IF(R166&lt;'PlayerGrades+'!$AH$8,"B",IF(R166&lt;'PlayerGrades+'!$AH$7,"B+",IF(R166&lt;'PlayerGrades+'!$AH$6,"A-",IF(R166&lt;'PlayerGrades+'!$AH$5,"A",IF(R166&lt;'PlayerGrades+'!$AH$4,"A+",IF(R166&lt;'PlayerGrades+'!$AH$3,"S-",IF(R166&lt;'PlayerGrades+'!$AH$2,"S","S+"))))))))))))))))))))</f>
        <v>#DIV/0!</v>
      </c>
      <c r="T166" s="961">
        <f t="shared" si="9"/>
        <v>0</v>
      </c>
      <c r="U166" s="961" t="str">
        <f>IF(T166&lt;'PlayerGrades+'!$AI$21,"F-",IF(T166&lt;'PlayerGrades+'!$AI$20,"F",IF(T166&lt;'PlayerGrades+'!$AI$19,"F+",IF(T166&lt;'PlayerGrades+'!$AI$18,"E-",IF(T166&lt;'PlayerGrades+'!$AI$17,"E",IF(T166&lt;'PlayerGrades+'!$AI$16,"E+",IF(T166&lt;'PlayerGrades+'!$AI$15,"D-",IF(T166&lt;'PlayerGrades+'!$AI$14,"D",IF(T166&lt;'PlayerGrades+'!$AI$13,"D+",IF(T166&lt;'PlayerGrades+'!$AI$12,"C-",IF(T166&lt;'PlayerGrades+'!$AI$11,"C",IF(T166&lt;'PlayerGrades+'!$AI$10,"C+",IF(T166&lt;'PlayerGrades+'!$AI$9,"B-",IF(T166&lt;'PlayerGrades+'!$AI$8,"B",IF(T166&lt;'PlayerGrades+'!$AI$7,"B+",IF(T166&lt;'PlayerGrades+'!$AI$6,"A-",IF(T166&lt;'PlayerGrades+'!$AI$5,"A",IF(T166&lt;'PlayerGrades+'!$AI$4,"A+",IF(T166&lt;'PlayerGrades+'!$AI$3,"S-",IF(T166&lt;'PlayerGrades+'!$AI$2,"S","S+"))))))))))))))))))))</f>
        <v>F-</v>
      </c>
      <c r="AC166" s="1392"/>
    </row>
    <row r="167">
      <c r="A167" s="1391"/>
      <c r="B167" s="611" t="str">
        <f>IF(C167&lt;'PlayerGrades+'!$Y$44,"F-",IF(C167&lt;'PlayerGrades+'!$Y$43,"F",IF(C167&lt;'PlayerGrades+'!$Y$42,"F+",IF(C167&lt;'PlayerGrades+'!$Y$41,"E-",IF(C167&lt;'PlayerGrades+'!$Y$40,"E",IF(C167&lt;'PlayerGrades+'!$Y$39,"E+",IF(C167&lt;'PlayerGrades+'!$Y$38,"D-",IF(C167&lt;'PlayerGrades+'!$Y$37,"D",IF(C167&lt;'PlayerGrades+'!$Y$36,"D+",IF(C167&lt;'PlayerGrades+'!$Y$35,"C-",IF(C167&lt;'PlayerGrades+'!$Y$34,"C",IF(C167&lt;'PlayerGrades+'!$Y$33,"C+",IF(C167&lt;'PlayerGrades+'!$Y$32,"B-",IF(C167&lt;'PlayerGrades+'!$Y$31,"B",IF(C167&lt;'PlayerGrades+'!$Y$30,"B+",IF(C167&lt;'PlayerGrades+'!$Y$29,"A-",IF(C167&lt;'PlayerGrades+'!$Y$28,"A",IF(C167&lt;'PlayerGrades+'!$Y$27,"A+",IF(C167&lt;'PlayerGrades+'!$Y$26,"S-",IF(C167&lt;'PlayerGrades+'!$Y$25,"S","S+"))))))))))))))))))))</f>
        <v>#DIV/0!</v>
      </c>
      <c r="C167" s="1378" t="str">
        <f>('PlayerGrades+'!$Y$47*(VLOOKUP(E167, 'PlayerGrades+'!$X$3:$Y$23, 2, FALSE)))+('PlayerGrades+'!$Y$48*(VLOOKUP(G167, 'PlayerGrades+'!$X$3:$Y$23, 2, FALSE)))+('PlayerGrades+'!$Y$49*(VLOOKUP(I167, 'PlayerGrades+'!$X$3:$Y$23, 2, FALSE)))+('PlayerGrades+'!$Y$50*(VLOOKUP(K167, 'PlayerGrades+'!$X$3:$Y$23, 2, FALSE)))+('PlayerGrades+'!$Y$51*(VLOOKUP(M167, 'PlayerGrades+'!$X$3:$Y$23, 2, FALSE)))+('PlayerGrades+'!$Y$52*(VLOOKUP(O167, 'PlayerGrades+'!$X$3:$Y$23, 2, FALSE)))+('PlayerGrades+'!$Y$53*(VLOOKUP(Q167, 'PlayerGrades+'!$X$3:$Y$23, 2, FALSE)))+('PlayerGrades+'!$Y$54*(VLOOKUP(S167, 'PlayerGrades+'!$X$3:$Y$23, 2, FALSE)))+('PlayerGrades+'!$Y$55*(VLOOKUP(U167, 'PlayerGrades+'!$X$3:$Y$23, 2, FALSE)))</f>
        <v>#DIV/0!</v>
      </c>
      <c r="D167" s="961" t="str">
        <f t="shared" si="1"/>
        <v>#DIV/0!</v>
      </c>
      <c r="E167" s="961" t="str">
        <f>IF(D167&lt;'PlayerGrades+'!$AA$21,"F-",IF(D167&lt;'PlayerGrades+'!$AA$20,"F",IF(D167&lt;'PlayerGrades+'!$AA$19,"F+",IF(D167&lt;'PlayerGrades+'!$AA$18,"E-",IF(D167&lt;'PlayerGrades+'!$AA$17,"E",IF(D167&lt;'PlayerGrades+'!$AA$16,"E+",IF(D167&lt;'PlayerGrades+'!$AA$15,"D-",IF(D167&lt;'PlayerGrades+'!$AA$14,"D",IF(D167&lt;'PlayerGrades+'!$AA$13,"D+",IF(D167&lt;'PlayerGrades+'!$AA$12,"C-",IF(D167&lt;'PlayerGrades+'!$AA$11,"C",IF(D167&lt;'PlayerGrades+'!$AA$10,"C+",IF(D167&lt;'PlayerGrades+'!$AA$9,"B-",IF(D167&lt;'PlayerGrades+'!$AA$8,"B",IF(D167&lt;'PlayerGrades+'!$AA$7,"B+",IF(D167&lt;'PlayerGrades+'!$AA$6,"A-",IF(D167&lt;'PlayerGrades+'!$AA$5,"A",IF(D167&lt;'PlayerGrades+'!$AA$4,"A+",IF(D167&lt;'PlayerGrades+'!$AA$3,"S-",IF(D167&lt;'PlayerGrades+'!$AA$2,"S","S+"))))))))))))))))))))</f>
        <v>#DIV/0!</v>
      </c>
      <c r="F167" s="961" t="str">
        <f t="shared" si="2"/>
        <v>#DIV/0!</v>
      </c>
      <c r="G167" s="961" t="str">
        <f>IF(F167&lt;'PlayerGrades+'!$AB$21,"F-",IF(F167&lt;'PlayerGrades+'!$AB$20,"F",IF(F167&lt;'PlayerGrades+'!$AB$19,"F+",IF(F167&lt;'PlayerGrades+'!$AB$18,"E-",IF(F167&lt;'PlayerGrades+'!$AB$17,"E",IF(F167&lt;'PlayerGrades+'!$AB$16,"E+",IF(F167&lt;'PlayerGrades+'!$AB$15,"D-",IF(F167&lt;'PlayerGrades+'!$AB$14,"D",IF(F167&lt;'PlayerGrades+'!$AB$13,"D+",IF(F167&lt;'PlayerGrades+'!$AB$12,"C-",IF(F167&lt;'PlayerGrades+'!$AB$11,"C",IF(F167&lt;'PlayerGrades+'!$AB$10,"C+",IF(F167&lt;'PlayerGrades+'!$AB$9,"B-",IF(F167&lt;'PlayerGrades+'!$AB$8,"B",IF(F167&lt;'PlayerGrades+'!$AB$7,"B+",IF(F167&lt;'PlayerGrades+'!$AB$6,"A-",IF(F167&lt;'PlayerGrades+'!$AB$5,"A",IF(F167&lt;'PlayerGrades+'!$AB$4,"A+",IF(F167&lt;'PlayerGrades+'!$AB$3,"S-",IF(F167&lt;'PlayerGrades+'!$AB$2,"S","S+"))))))))))))))))))))</f>
        <v>#DIV/0!</v>
      </c>
      <c r="H167" s="961" t="str">
        <f t="shared" si="3"/>
        <v>#DIV/0!</v>
      </c>
      <c r="I167" s="961" t="str">
        <f>IF(H167&lt;'PlayerGrades+'!$AC$21,"F-",IF(H167&lt;'PlayerGrades+'!$AC$20,"F",IF(H167&lt;'PlayerGrades+'!$AC$19,"F+",IF(H167&lt;'PlayerGrades+'!$AC$18,"E-",IF(H167&lt;'PlayerGrades+'!$AC$17,"E",IF(H167&lt;'PlayerGrades+'!$AC$16,"E+",IF(H167&lt;'PlayerGrades+'!$AC$15,"D-",IF(H167&lt;'PlayerGrades+'!$AC$14,"D",IF(H167&lt;'PlayerGrades+'!$AC$13,"D+",IF(H167&lt;'PlayerGrades+'!$AC$12,"C-",IF(H167&lt;'PlayerGrades+'!$AC$11,"C",IF(H167&lt;'PlayerGrades+'!$AC$10,"C+",IF(H167&lt;'PlayerGrades+'!$AC$9,"B-",IF(H167&lt;'PlayerGrades+'!$AC$8,"B",IF(H167&lt;'PlayerGrades+'!$AC$7,"B+",IF(H167&lt;'PlayerGrades+'!$AC$6,"A-",IF(H167&lt;'PlayerGrades+'!$AC$5,"A",IF(H167&lt;'PlayerGrades+'!$AC$4,"A+",IF(H167&lt;'PlayerGrades+'!$AC$3,"S-",IF(H167&lt;'PlayerGrades+'!$AC$2,"S","S+"))))))))))))))))))))</f>
        <v>#DIV/0!</v>
      </c>
      <c r="J167" s="961" t="str">
        <f t="shared" si="4"/>
        <v>#DIV/0!</v>
      </c>
      <c r="K167" s="961" t="str">
        <f>IF(J167&lt;'PlayerGrades+'!$AD$21,"F-",IF(J167&lt;'PlayerGrades+'!$AD$20,"F",IF(J167&lt;'PlayerGrades+'!$AD$19,"F+",IF(J167&lt;'PlayerGrades+'!$AD$18,"E-",IF(J167&lt;'PlayerGrades+'!$AD$17,"E",IF(J167&lt;'PlayerGrades+'!$AD$16,"E+",IF(J167&lt;'PlayerGrades+'!$AD$15,"D-",IF(J167&lt;'PlayerGrades+'!$AD$14,"D",IF(J167&lt;'PlayerGrades+'!$AD$13,"D+",IF(J167&lt;'PlayerGrades+'!$AD$12,"C-",IF(J167&lt;'PlayerGrades+'!$AD$11,"C",IF(J167&lt;'PlayerGrades+'!$AD$10,"C+",IF(J167&lt;'PlayerGrades+'!$AD$9,"B-",IF(J167&lt;'PlayerGrades+'!$AD$8,"B",IF(J167&lt;'PlayerGrades+'!$AD$7,"B+",IF(J167&lt;'PlayerGrades+'!$AD$6,"A-",IF(J167&lt;'PlayerGrades+'!$AD$5,"A",IF(J167&lt;'PlayerGrades+'!$AD$4,"A+",IF(J167&lt;'PlayerGrades+'!$AD$3,"S-",IF(J167&lt;'PlayerGrades+'!$AD$2,"S","S+"))))))))))))))))))))</f>
        <v>#DIV/0!</v>
      </c>
      <c r="L167" s="1176" t="str">
        <f t="shared" si="5"/>
        <v>#DIV/0!</v>
      </c>
      <c r="M167" s="992" t="str">
        <f>IF(L167&lt;'PlayerGrades+'!$AE$21,"F-",IF(L167&lt;'PlayerGrades+'!$AE$20,"F",IF(L167&lt;'PlayerGrades+'!$AE$19,"F+",IF(L167&lt;'PlayerGrades+'!$AE$18,"E-",IF(L167&lt;'PlayerGrades+'!$AE$17,"E",IF(L167&lt;'PlayerGrades+'!$AE$16,"E+",IF(L167&lt;'PlayerGrades+'!$AE$15,"D-",IF(L167&lt;'PlayerGrades+'!$AE$14,"D",IF(L167&lt;'PlayerGrades+'!$AE$13,"D+",IF(L167&lt;'PlayerGrades+'!$AE$12,"C-",IF(L167&lt;'PlayerGrades+'!$AE$11,"C",IF(L167&lt;'PlayerGrades+'!$AE$10,"C+",IF(L167&lt;'PlayerGrades+'!$AE$9,"B-",IF(L167&lt;'PlayerGrades+'!$AE$8,"B",IF(L167&lt;'PlayerGrades+'!$AE$7,"B+",IF(L167&lt;'PlayerGrades+'!$AE$6,"A-",IF(L167&lt;'PlayerGrades+'!$AE$5,"A",IF(L167&lt;'PlayerGrades+'!$AE$4,"A+",IF(L167&lt;'PlayerGrades+'!$AE$3,"S-",IF(L167&lt;'PlayerGrades+'!$AE$2,"S","S+"))))))))))))))))))))</f>
        <v>#DIV/0!</v>
      </c>
      <c r="N167" s="961" t="str">
        <f t="shared" si="6"/>
        <v>#DIV/0!</v>
      </c>
      <c r="O167" s="961" t="str">
        <f>IF(N167&lt;'PlayerGrades+'!$AF$21,"F-",IF(N167&lt;'PlayerGrades+'!$AF$20,"F",IF(N167&lt;'PlayerGrades+'!$AF$19,"F+",IF(N167&lt;'PlayerGrades+'!$AF$18,"E-",IF(N167&lt;'PlayerGrades+'!$AF$17,"E",IF(N167&lt;'PlayerGrades+'!$AF$16,"E+",IF(N167&lt;'PlayerGrades+'!$AF$15,"D-",IF(N167&lt;'PlayerGrades+'!$AF$14,"D",IF(N167&lt;'PlayerGrades+'!$AF$13,"D+",IF(N167&lt;'PlayerGrades+'!$AF$12,"C-",IF(N167&lt;'PlayerGrades+'!$AF$11,"C",IF(N167&lt;'PlayerGrades+'!$AF$10,"C+",IF(N167&lt;'PlayerGrades+'!$AF$9,"B-",IF(N167&lt;'PlayerGrades+'!$AF$8,"B",IF(N167&lt;'PlayerGrades+'!$AF$7,"B+",IF(N167&lt;'PlayerGrades+'!$AF$6,"A-",IF(N167&lt;'PlayerGrades+'!$AF$5,"A",IF(N167&lt;'PlayerGrades+'!$AF$4,"A+",IF(N167&lt;'PlayerGrades+'!$AF$3,"S-",IF(N167&lt;'PlayerGrades+'!$AF$2,"S","S+"))))))))))))))))))))</f>
        <v>#DIV/0!</v>
      </c>
      <c r="P167" s="961" t="str">
        <f t="shared" si="7"/>
        <v>#DIV/0!</v>
      </c>
      <c r="Q167" s="961" t="str">
        <f>IF(P167&lt;'PlayerGrades+'!$AG$21,"F-",IF(P167&lt;'PlayerGrades+'!$AG$20,"F",IF(P167&lt;'PlayerGrades+'!$AG$19,"F+",IF(P167&lt;'PlayerGrades+'!$AG$18,"E-",IF(P167&lt;'PlayerGrades+'!$AG$17,"E",IF(P167&lt;'PlayerGrades+'!$AG$16,"E+",IF(P167&lt;'PlayerGrades+'!$AG$15,"D-",IF(P167&lt;'PlayerGrades+'!$AG$14,"D",IF(P167&lt;'PlayerGrades+'!$AG$13,"D+",IF(P167&lt;'PlayerGrades+'!$AG$12,"C-",IF(P167&lt;'PlayerGrades+'!$AG$11,"C",IF(P167&lt;'PlayerGrades+'!$AG$10,"C+",IF(P167&lt;'PlayerGrades+'!$AG$9,"B-",IF(P167&lt;'PlayerGrades+'!$AG$8,"B",IF(P167&lt;'PlayerGrades+'!$AG$7,"B+",IF(P167&lt;'PlayerGrades+'!$AG$6,"A-",IF(P167&lt;'PlayerGrades+'!$AG$5,"A",IF(P167&lt;'PlayerGrades+'!$AG$4,"A+",IF(P167&lt;'PlayerGrades+'!$AG$3,"S-",IF(P167&lt;'PlayerGrades+'!$AG$2,"S","S+"))))))))))))))))))))</f>
        <v>#DIV/0!</v>
      </c>
      <c r="R167" s="961" t="str">
        <f t="shared" si="8"/>
        <v>#DIV/0!</v>
      </c>
      <c r="S167" s="961" t="str">
        <f>IF(R167&lt;'PlayerGrades+'!$AH$21,"F-",IF(R167&lt;'PlayerGrades+'!$AH$20,"F",IF(R167&lt;'PlayerGrades+'!$AH$19,"F+",IF(R167&lt;'PlayerGrades+'!$AH$18,"E-",IF(R167&lt;'PlayerGrades+'!$AH$17,"E",IF(R167&lt;'PlayerGrades+'!$AH$16,"E+",IF(R167&lt;'PlayerGrades+'!$AH$15,"D-",IF(R167&lt;'PlayerGrades+'!$AH$14,"D",IF(R167&lt;'PlayerGrades+'!$AH$13,"D+",IF(R167&lt;'PlayerGrades+'!$AH$12,"C-",IF(R167&lt;'PlayerGrades+'!$AH$11,"C",IF(R167&lt;'PlayerGrades+'!$AH$10,"C+",IF(R167&lt;'PlayerGrades+'!$AH$9,"B-",IF(R167&lt;'PlayerGrades+'!$AH$8,"B",IF(R167&lt;'PlayerGrades+'!$AH$7,"B+",IF(R167&lt;'PlayerGrades+'!$AH$6,"A-",IF(R167&lt;'PlayerGrades+'!$AH$5,"A",IF(R167&lt;'PlayerGrades+'!$AH$4,"A+",IF(R167&lt;'PlayerGrades+'!$AH$3,"S-",IF(R167&lt;'PlayerGrades+'!$AH$2,"S","S+"))))))))))))))))))))</f>
        <v>#DIV/0!</v>
      </c>
      <c r="T167" s="961">
        <f t="shared" si="9"/>
        <v>0</v>
      </c>
      <c r="U167" s="961" t="str">
        <f>IF(T167&lt;'PlayerGrades+'!$AI$21,"F-",IF(T167&lt;'PlayerGrades+'!$AI$20,"F",IF(T167&lt;'PlayerGrades+'!$AI$19,"F+",IF(T167&lt;'PlayerGrades+'!$AI$18,"E-",IF(T167&lt;'PlayerGrades+'!$AI$17,"E",IF(T167&lt;'PlayerGrades+'!$AI$16,"E+",IF(T167&lt;'PlayerGrades+'!$AI$15,"D-",IF(T167&lt;'PlayerGrades+'!$AI$14,"D",IF(T167&lt;'PlayerGrades+'!$AI$13,"D+",IF(T167&lt;'PlayerGrades+'!$AI$12,"C-",IF(T167&lt;'PlayerGrades+'!$AI$11,"C",IF(T167&lt;'PlayerGrades+'!$AI$10,"C+",IF(T167&lt;'PlayerGrades+'!$AI$9,"B-",IF(T167&lt;'PlayerGrades+'!$AI$8,"B",IF(T167&lt;'PlayerGrades+'!$AI$7,"B+",IF(T167&lt;'PlayerGrades+'!$AI$6,"A-",IF(T167&lt;'PlayerGrades+'!$AI$5,"A",IF(T167&lt;'PlayerGrades+'!$AI$4,"A+",IF(T167&lt;'PlayerGrades+'!$AI$3,"S-",IF(T167&lt;'PlayerGrades+'!$AI$2,"S","S+"))))))))))))))))))))</f>
        <v>F-</v>
      </c>
      <c r="AC167" s="1392"/>
    </row>
    <row r="168">
      <c r="A168" s="1391"/>
      <c r="B168" s="611" t="str">
        <f>IF(C168&lt;'PlayerGrades+'!$Y$44,"F-",IF(C168&lt;'PlayerGrades+'!$Y$43,"F",IF(C168&lt;'PlayerGrades+'!$Y$42,"F+",IF(C168&lt;'PlayerGrades+'!$Y$41,"E-",IF(C168&lt;'PlayerGrades+'!$Y$40,"E",IF(C168&lt;'PlayerGrades+'!$Y$39,"E+",IF(C168&lt;'PlayerGrades+'!$Y$38,"D-",IF(C168&lt;'PlayerGrades+'!$Y$37,"D",IF(C168&lt;'PlayerGrades+'!$Y$36,"D+",IF(C168&lt;'PlayerGrades+'!$Y$35,"C-",IF(C168&lt;'PlayerGrades+'!$Y$34,"C",IF(C168&lt;'PlayerGrades+'!$Y$33,"C+",IF(C168&lt;'PlayerGrades+'!$Y$32,"B-",IF(C168&lt;'PlayerGrades+'!$Y$31,"B",IF(C168&lt;'PlayerGrades+'!$Y$30,"B+",IF(C168&lt;'PlayerGrades+'!$Y$29,"A-",IF(C168&lt;'PlayerGrades+'!$Y$28,"A",IF(C168&lt;'PlayerGrades+'!$Y$27,"A+",IF(C168&lt;'PlayerGrades+'!$Y$26,"S-",IF(C168&lt;'PlayerGrades+'!$Y$25,"S","S+"))))))))))))))))))))</f>
        <v>#DIV/0!</v>
      </c>
      <c r="C168" s="1378" t="str">
        <f>('PlayerGrades+'!$Y$47*(VLOOKUP(E168, 'PlayerGrades+'!$X$3:$Y$23, 2, FALSE)))+('PlayerGrades+'!$Y$48*(VLOOKUP(G168, 'PlayerGrades+'!$X$3:$Y$23, 2, FALSE)))+('PlayerGrades+'!$Y$49*(VLOOKUP(I168, 'PlayerGrades+'!$X$3:$Y$23, 2, FALSE)))+('PlayerGrades+'!$Y$50*(VLOOKUP(K168, 'PlayerGrades+'!$X$3:$Y$23, 2, FALSE)))+('PlayerGrades+'!$Y$51*(VLOOKUP(M168, 'PlayerGrades+'!$X$3:$Y$23, 2, FALSE)))+('PlayerGrades+'!$Y$52*(VLOOKUP(O168, 'PlayerGrades+'!$X$3:$Y$23, 2, FALSE)))+('PlayerGrades+'!$Y$53*(VLOOKUP(Q168, 'PlayerGrades+'!$X$3:$Y$23, 2, FALSE)))+('PlayerGrades+'!$Y$54*(VLOOKUP(S168, 'PlayerGrades+'!$X$3:$Y$23, 2, FALSE)))+('PlayerGrades+'!$Y$55*(VLOOKUP(U168, 'PlayerGrades+'!$X$3:$Y$23, 2, FALSE)))</f>
        <v>#DIV/0!</v>
      </c>
      <c r="D168" s="961" t="str">
        <f t="shared" si="1"/>
        <v>#DIV/0!</v>
      </c>
      <c r="E168" s="961" t="str">
        <f>IF(D168&lt;'PlayerGrades+'!$AA$21,"F-",IF(D168&lt;'PlayerGrades+'!$AA$20,"F",IF(D168&lt;'PlayerGrades+'!$AA$19,"F+",IF(D168&lt;'PlayerGrades+'!$AA$18,"E-",IF(D168&lt;'PlayerGrades+'!$AA$17,"E",IF(D168&lt;'PlayerGrades+'!$AA$16,"E+",IF(D168&lt;'PlayerGrades+'!$AA$15,"D-",IF(D168&lt;'PlayerGrades+'!$AA$14,"D",IF(D168&lt;'PlayerGrades+'!$AA$13,"D+",IF(D168&lt;'PlayerGrades+'!$AA$12,"C-",IF(D168&lt;'PlayerGrades+'!$AA$11,"C",IF(D168&lt;'PlayerGrades+'!$AA$10,"C+",IF(D168&lt;'PlayerGrades+'!$AA$9,"B-",IF(D168&lt;'PlayerGrades+'!$AA$8,"B",IF(D168&lt;'PlayerGrades+'!$AA$7,"B+",IF(D168&lt;'PlayerGrades+'!$AA$6,"A-",IF(D168&lt;'PlayerGrades+'!$AA$5,"A",IF(D168&lt;'PlayerGrades+'!$AA$4,"A+",IF(D168&lt;'PlayerGrades+'!$AA$3,"S-",IF(D168&lt;'PlayerGrades+'!$AA$2,"S","S+"))))))))))))))))))))</f>
        <v>#DIV/0!</v>
      </c>
      <c r="F168" s="961" t="str">
        <f t="shared" si="2"/>
        <v>#DIV/0!</v>
      </c>
      <c r="G168" s="961" t="str">
        <f>IF(F168&lt;'PlayerGrades+'!$AB$21,"F-",IF(F168&lt;'PlayerGrades+'!$AB$20,"F",IF(F168&lt;'PlayerGrades+'!$AB$19,"F+",IF(F168&lt;'PlayerGrades+'!$AB$18,"E-",IF(F168&lt;'PlayerGrades+'!$AB$17,"E",IF(F168&lt;'PlayerGrades+'!$AB$16,"E+",IF(F168&lt;'PlayerGrades+'!$AB$15,"D-",IF(F168&lt;'PlayerGrades+'!$AB$14,"D",IF(F168&lt;'PlayerGrades+'!$AB$13,"D+",IF(F168&lt;'PlayerGrades+'!$AB$12,"C-",IF(F168&lt;'PlayerGrades+'!$AB$11,"C",IF(F168&lt;'PlayerGrades+'!$AB$10,"C+",IF(F168&lt;'PlayerGrades+'!$AB$9,"B-",IF(F168&lt;'PlayerGrades+'!$AB$8,"B",IF(F168&lt;'PlayerGrades+'!$AB$7,"B+",IF(F168&lt;'PlayerGrades+'!$AB$6,"A-",IF(F168&lt;'PlayerGrades+'!$AB$5,"A",IF(F168&lt;'PlayerGrades+'!$AB$4,"A+",IF(F168&lt;'PlayerGrades+'!$AB$3,"S-",IF(F168&lt;'PlayerGrades+'!$AB$2,"S","S+"))))))))))))))))))))</f>
        <v>#DIV/0!</v>
      </c>
      <c r="H168" s="961" t="str">
        <f t="shared" si="3"/>
        <v>#DIV/0!</v>
      </c>
      <c r="I168" s="961" t="str">
        <f>IF(H168&lt;'PlayerGrades+'!$AC$21,"F-",IF(H168&lt;'PlayerGrades+'!$AC$20,"F",IF(H168&lt;'PlayerGrades+'!$AC$19,"F+",IF(H168&lt;'PlayerGrades+'!$AC$18,"E-",IF(H168&lt;'PlayerGrades+'!$AC$17,"E",IF(H168&lt;'PlayerGrades+'!$AC$16,"E+",IF(H168&lt;'PlayerGrades+'!$AC$15,"D-",IF(H168&lt;'PlayerGrades+'!$AC$14,"D",IF(H168&lt;'PlayerGrades+'!$AC$13,"D+",IF(H168&lt;'PlayerGrades+'!$AC$12,"C-",IF(H168&lt;'PlayerGrades+'!$AC$11,"C",IF(H168&lt;'PlayerGrades+'!$AC$10,"C+",IF(H168&lt;'PlayerGrades+'!$AC$9,"B-",IF(H168&lt;'PlayerGrades+'!$AC$8,"B",IF(H168&lt;'PlayerGrades+'!$AC$7,"B+",IF(H168&lt;'PlayerGrades+'!$AC$6,"A-",IF(H168&lt;'PlayerGrades+'!$AC$5,"A",IF(H168&lt;'PlayerGrades+'!$AC$4,"A+",IF(H168&lt;'PlayerGrades+'!$AC$3,"S-",IF(H168&lt;'PlayerGrades+'!$AC$2,"S","S+"))))))))))))))))))))</f>
        <v>#DIV/0!</v>
      </c>
      <c r="J168" s="961" t="str">
        <f t="shared" si="4"/>
        <v>#DIV/0!</v>
      </c>
      <c r="K168" s="961" t="str">
        <f>IF(J168&lt;'PlayerGrades+'!$AD$21,"F-",IF(J168&lt;'PlayerGrades+'!$AD$20,"F",IF(J168&lt;'PlayerGrades+'!$AD$19,"F+",IF(J168&lt;'PlayerGrades+'!$AD$18,"E-",IF(J168&lt;'PlayerGrades+'!$AD$17,"E",IF(J168&lt;'PlayerGrades+'!$AD$16,"E+",IF(J168&lt;'PlayerGrades+'!$AD$15,"D-",IF(J168&lt;'PlayerGrades+'!$AD$14,"D",IF(J168&lt;'PlayerGrades+'!$AD$13,"D+",IF(J168&lt;'PlayerGrades+'!$AD$12,"C-",IF(J168&lt;'PlayerGrades+'!$AD$11,"C",IF(J168&lt;'PlayerGrades+'!$AD$10,"C+",IF(J168&lt;'PlayerGrades+'!$AD$9,"B-",IF(J168&lt;'PlayerGrades+'!$AD$8,"B",IF(J168&lt;'PlayerGrades+'!$AD$7,"B+",IF(J168&lt;'PlayerGrades+'!$AD$6,"A-",IF(J168&lt;'PlayerGrades+'!$AD$5,"A",IF(J168&lt;'PlayerGrades+'!$AD$4,"A+",IF(J168&lt;'PlayerGrades+'!$AD$3,"S-",IF(J168&lt;'PlayerGrades+'!$AD$2,"S","S+"))))))))))))))))))))</f>
        <v>#DIV/0!</v>
      </c>
      <c r="L168" s="1176" t="str">
        <f t="shared" si="5"/>
        <v>#DIV/0!</v>
      </c>
      <c r="M168" s="992" t="str">
        <f>IF(L168&lt;'PlayerGrades+'!$AE$21,"F-",IF(L168&lt;'PlayerGrades+'!$AE$20,"F",IF(L168&lt;'PlayerGrades+'!$AE$19,"F+",IF(L168&lt;'PlayerGrades+'!$AE$18,"E-",IF(L168&lt;'PlayerGrades+'!$AE$17,"E",IF(L168&lt;'PlayerGrades+'!$AE$16,"E+",IF(L168&lt;'PlayerGrades+'!$AE$15,"D-",IF(L168&lt;'PlayerGrades+'!$AE$14,"D",IF(L168&lt;'PlayerGrades+'!$AE$13,"D+",IF(L168&lt;'PlayerGrades+'!$AE$12,"C-",IF(L168&lt;'PlayerGrades+'!$AE$11,"C",IF(L168&lt;'PlayerGrades+'!$AE$10,"C+",IF(L168&lt;'PlayerGrades+'!$AE$9,"B-",IF(L168&lt;'PlayerGrades+'!$AE$8,"B",IF(L168&lt;'PlayerGrades+'!$AE$7,"B+",IF(L168&lt;'PlayerGrades+'!$AE$6,"A-",IF(L168&lt;'PlayerGrades+'!$AE$5,"A",IF(L168&lt;'PlayerGrades+'!$AE$4,"A+",IF(L168&lt;'PlayerGrades+'!$AE$3,"S-",IF(L168&lt;'PlayerGrades+'!$AE$2,"S","S+"))))))))))))))))))))</f>
        <v>#DIV/0!</v>
      </c>
      <c r="N168" s="961" t="str">
        <f t="shared" si="6"/>
        <v>#DIV/0!</v>
      </c>
      <c r="O168" s="961" t="str">
        <f>IF(N168&lt;'PlayerGrades+'!$AF$21,"F-",IF(N168&lt;'PlayerGrades+'!$AF$20,"F",IF(N168&lt;'PlayerGrades+'!$AF$19,"F+",IF(N168&lt;'PlayerGrades+'!$AF$18,"E-",IF(N168&lt;'PlayerGrades+'!$AF$17,"E",IF(N168&lt;'PlayerGrades+'!$AF$16,"E+",IF(N168&lt;'PlayerGrades+'!$AF$15,"D-",IF(N168&lt;'PlayerGrades+'!$AF$14,"D",IF(N168&lt;'PlayerGrades+'!$AF$13,"D+",IF(N168&lt;'PlayerGrades+'!$AF$12,"C-",IF(N168&lt;'PlayerGrades+'!$AF$11,"C",IF(N168&lt;'PlayerGrades+'!$AF$10,"C+",IF(N168&lt;'PlayerGrades+'!$AF$9,"B-",IF(N168&lt;'PlayerGrades+'!$AF$8,"B",IF(N168&lt;'PlayerGrades+'!$AF$7,"B+",IF(N168&lt;'PlayerGrades+'!$AF$6,"A-",IF(N168&lt;'PlayerGrades+'!$AF$5,"A",IF(N168&lt;'PlayerGrades+'!$AF$4,"A+",IF(N168&lt;'PlayerGrades+'!$AF$3,"S-",IF(N168&lt;'PlayerGrades+'!$AF$2,"S","S+"))))))))))))))))))))</f>
        <v>#DIV/0!</v>
      </c>
      <c r="P168" s="961" t="str">
        <f t="shared" si="7"/>
        <v>#DIV/0!</v>
      </c>
      <c r="Q168" s="961" t="str">
        <f>IF(P168&lt;'PlayerGrades+'!$AG$21,"F-",IF(P168&lt;'PlayerGrades+'!$AG$20,"F",IF(P168&lt;'PlayerGrades+'!$AG$19,"F+",IF(P168&lt;'PlayerGrades+'!$AG$18,"E-",IF(P168&lt;'PlayerGrades+'!$AG$17,"E",IF(P168&lt;'PlayerGrades+'!$AG$16,"E+",IF(P168&lt;'PlayerGrades+'!$AG$15,"D-",IF(P168&lt;'PlayerGrades+'!$AG$14,"D",IF(P168&lt;'PlayerGrades+'!$AG$13,"D+",IF(P168&lt;'PlayerGrades+'!$AG$12,"C-",IF(P168&lt;'PlayerGrades+'!$AG$11,"C",IF(P168&lt;'PlayerGrades+'!$AG$10,"C+",IF(P168&lt;'PlayerGrades+'!$AG$9,"B-",IF(P168&lt;'PlayerGrades+'!$AG$8,"B",IF(P168&lt;'PlayerGrades+'!$AG$7,"B+",IF(P168&lt;'PlayerGrades+'!$AG$6,"A-",IF(P168&lt;'PlayerGrades+'!$AG$5,"A",IF(P168&lt;'PlayerGrades+'!$AG$4,"A+",IF(P168&lt;'PlayerGrades+'!$AG$3,"S-",IF(P168&lt;'PlayerGrades+'!$AG$2,"S","S+"))))))))))))))))))))</f>
        <v>#DIV/0!</v>
      </c>
      <c r="R168" s="961" t="str">
        <f t="shared" si="8"/>
        <v>#DIV/0!</v>
      </c>
      <c r="S168" s="961" t="str">
        <f>IF(R168&lt;'PlayerGrades+'!$AH$21,"F-",IF(R168&lt;'PlayerGrades+'!$AH$20,"F",IF(R168&lt;'PlayerGrades+'!$AH$19,"F+",IF(R168&lt;'PlayerGrades+'!$AH$18,"E-",IF(R168&lt;'PlayerGrades+'!$AH$17,"E",IF(R168&lt;'PlayerGrades+'!$AH$16,"E+",IF(R168&lt;'PlayerGrades+'!$AH$15,"D-",IF(R168&lt;'PlayerGrades+'!$AH$14,"D",IF(R168&lt;'PlayerGrades+'!$AH$13,"D+",IF(R168&lt;'PlayerGrades+'!$AH$12,"C-",IF(R168&lt;'PlayerGrades+'!$AH$11,"C",IF(R168&lt;'PlayerGrades+'!$AH$10,"C+",IF(R168&lt;'PlayerGrades+'!$AH$9,"B-",IF(R168&lt;'PlayerGrades+'!$AH$8,"B",IF(R168&lt;'PlayerGrades+'!$AH$7,"B+",IF(R168&lt;'PlayerGrades+'!$AH$6,"A-",IF(R168&lt;'PlayerGrades+'!$AH$5,"A",IF(R168&lt;'PlayerGrades+'!$AH$4,"A+",IF(R168&lt;'PlayerGrades+'!$AH$3,"S-",IF(R168&lt;'PlayerGrades+'!$AH$2,"S","S+"))))))))))))))))))))</f>
        <v>#DIV/0!</v>
      </c>
      <c r="T168" s="961">
        <f t="shared" si="9"/>
        <v>0</v>
      </c>
      <c r="U168" s="961" t="str">
        <f>IF(T168&lt;'PlayerGrades+'!$AI$21,"F-",IF(T168&lt;'PlayerGrades+'!$AI$20,"F",IF(T168&lt;'PlayerGrades+'!$AI$19,"F+",IF(T168&lt;'PlayerGrades+'!$AI$18,"E-",IF(T168&lt;'PlayerGrades+'!$AI$17,"E",IF(T168&lt;'PlayerGrades+'!$AI$16,"E+",IF(T168&lt;'PlayerGrades+'!$AI$15,"D-",IF(T168&lt;'PlayerGrades+'!$AI$14,"D",IF(T168&lt;'PlayerGrades+'!$AI$13,"D+",IF(T168&lt;'PlayerGrades+'!$AI$12,"C-",IF(T168&lt;'PlayerGrades+'!$AI$11,"C",IF(T168&lt;'PlayerGrades+'!$AI$10,"C+",IF(T168&lt;'PlayerGrades+'!$AI$9,"B-",IF(T168&lt;'PlayerGrades+'!$AI$8,"B",IF(T168&lt;'PlayerGrades+'!$AI$7,"B+",IF(T168&lt;'PlayerGrades+'!$AI$6,"A-",IF(T168&lt;'PlayerGrades+'!$AI$5,"A",IF(T168&lt;'PlayerGrades+'!$AI$4,"A+",IF(T168&lt;'PlayerGrades+'!$AI$3,"S-",IF(T168&lt;'PlayerGrades+'!$AI$2,"S","S+"))))))))))))))))))))</f>
        <v>F-</v>
      </c>
      <c r="AC168" s="1392"/>
    </row>
    <row r="169">
      <c r="A169" s="1393"/>
      <c r="B169" s="611" t="str">
        <f>IF(C169&lt;'PlayerGrades+'!$Y$44,"F-",IF(C169&lt;'PlayerGrades+'!$Y$43,"F",IF(C169&lt;'PlayerGrades+'!$Y$42,"F+",IF(C169&lt;'PlayerGrades+'!$Y$41,"E-",IF(C169&lt;'PlayerGrades+'!$Y$40,"E",IF(C169&lt;'PlayerGrades+'!$Y$39,"E+",IF(C169&lt;'PlayerGrades+'!$Y$38,"D-",IF(C169&lt;'PlayerGrades+'!$Y$37,"D",IF(C169&lt;'PlayerGrades+'!$Y$36,"D+",IF(C169&lt;'PlayerGrades+'!$Y$35,"C-",IF(C169&lt;'PlayerGrades+'!$Y$34,"C",IF(C169&lt;'PlayerGrades+'!$Y$33,"C+",IF(C169&lt;'PlayerGrades+'!$Y$32,"B-",IF(C169&lt;'PlayerGrades+'!$Y$31,"B",IF(C169&lt;'PlayerGrades+'!$Y$30,"B+",IF(C169&lt;'PlayerGrades+'!$Y$29,"A-",IF(C169&lt;'PlayerGrades+'!$Y$28,"A",IF(C169&lt;'PlayerGrades+'!$Y$27,"A+",IF(C169&lt;'PlayerGrades+'!$Y$26,"S-",IF(C169&lt;'PlayerGrades+'!$Y$25,"S","S+"))))))))))))))))))))</f>
        <v>#DIV/0!</v>
      </c>
      <c r="C169" s="1378" t="str">
        <f>('PlayerGrades+'!$Y$47*(VLOOKUP(E169, 'PlayerGrades+'!$X$3:$Y$23, 2, FALSE)))+('PlayerGrades+'!$Y$48*(VLOOKUP(G169, 'PlayerGrades+'!$X$3:$Y$23, 2, FALSE)))+('PlayerGrades+'!$Y$49*(VLOOKUP(I169, 'PlayerGrades+'!$X$3:$Y$23, 2, FALSE)))+('PlayerGrades+'!$Y$50*(VLOOKUP(K169, 'PlayerGrades+'!$X$3:$Y$23, 2, FALSE)))+('PlayerGrades+'!$Y$51*(VLOOKUP(M169, 'PlayerGrades+'!$X$3:$Y$23, 2, FALSE)))+('PlayerGrades+'!$Y$52*(VLOOKUP(O169, 'PlayerGrades+'!$X$3:$Y$23, 2, FALSE)))+('PlayerGrades+'!$Y$53*(VLOOKUP(Q169, 'PlayerGrades+'!$X$3:$Y$23, 2, FALSE)))+('PlayerGrades+'!$Y$54*(VLOOKUP(S169, 'PlayerGrades+'!$X$3:$Y$23, 2, FALSE)))+('PlayerGrades+'!$Y$55*(VLOOKUP(U169, 'PlayerGrades+'!$X$3:$Y$23, 2, FALSE)))</f>
        <v>#DIV/0!</v>
      </c>
      <c r="D169" s="961" t="str">
        <f t="shared" si="1"/>
        <v>#DIV/0!</v>
      </c>
      <c r="E169" s="961" t="str">
        <f>IF(D169&lt;'PlayerGrades+'!$AA$21,"F-",IF(D169&lt;'PlayerGrades+'!$AA$20,"F",IF(D169&lt;'PlayerGrades+'!$AA$19,"F+",IF(D169&lt;'PlayerGrades+'!$AA$18,"E-",IF(D169&lt;'PlayerGrades+'!$AA$17,"E",IF(D169&lt;'PlayerGrades+'!$AA$16,"E+",IF(D169&lt;'PlayerGrades+'!$AA$15,"D-",IF(D169&lt;'PlayerGrades+'!$AA$14,"D",IF(D169&lt;'PlayerGrades+'!$AA$13,"D+",IF(D169&lt;'PlayerGrades+'!$AA$12,"C-",IF(D169&lt;'PlayerGrades+'!$AA$11,"C",IF(D169&lt;'PlayerGrades+'!$AA$10,"C+",IF(D169&lt;'PlayerGrades+'!$AA$9,"B-",IF(D169&lt;'PlayerGrades+'!$AA$8,"B",IF(D169&lt;'PlayerGrades+'!$AA$7,"B+",IF(D169&lt;'PlayerGrades+'!$AA$6,"A-",IF(D169&lt;'PlayerGrades+'!$AA$5,"A",IF(D169&lt;'PlayerGrades+'!$AA$4,"A+",IF(D169&lt;'PlayerGrades+'!$AA$3,"S-",IF(D169&lt;'PlayerGrades+'!$AA$2,"S","S+"))))))))))))))))))))</f>
        <v>#DIV/0!</v>
      </c>
      <c r="F169" s="961" t="str">
        <f t="shared" si="2"/>
        <v>#DIV/0!</v>
      </c>
      <c r="G169" s="961" t="str">
        <f>IF(F169&lt;'PlayerGrades+'!$AB$21,"F-",IF(F169&lt;'PlayerGrades+'!$AB$20,"F",IF(F169&lt;'PlayerGrades+'!$AB$19,"F+",IF(F169&lt;'PlayerGrades+'!$AB$18,"E-",IF(F169&lt;'PlayerGrades+'!$AB$17,"E",IF(F169&lt;'PlayerGrades+'!$AB$16,"E+",IF(F169&lt;'PlayerGrades+'!$AB$15,"D-",IF(F169&lt;'PlayerGrades+'!$AB$14,"D",IF(F169&lt;'PlayerGrades+'!$AB$13,"D+",IF(F169&lt;'PlayerGrades+'!$AB$12,"C-",IF(F169&lt;'PlayerGrades+'!$AB$11,"C",IF(F169&lt;'PlayerGrades+'!$AB$10,"C+",IF(F169&lt;'PlayerGrades+'!$AB$9,"B-",IF(F169&lt;'PlayerGrades+'!$AB$8,"B",IF(F169&lt;'PlayerGrades+'!$AB$7,"B+",IF(F169&lt;'PlayerGrades+'!$AB$6,"A-",IF(F169&lt;'PlayerGrades+'!$AB$5,"A",IF(F169&lt;'PlayerGrades+'!$AB$4,"A+",IF(F169&lt;'PlayerGrades+'!$AB$3,"S-",IF(F169&lt;'PlayerGrades+'!$AB$2,"S","S+"))))))))))))))))))))</f>
        <v>#DIV/0!</v>
      </c>
      <c r="H169" s="961" t="str">
        <f t="shared" si="3"/>
        <v>#DIV/0!</v>
      </c>
      <c r="I169" s="961" t="str">
        <f>IF(H169&lt;'PlayerGrades+'!$AC$21,"F-",IF(H169&lt;'PlayerGrades+'!$AC$20,"F",IF(H169&lt;'PlayerGrades+'!$AC$19,"F+",IF(H169&lt;'PlayerGrades+'!$AC$18,"E-",IF(H169&lt;'PlayerGrades+'!$AC$17,"E",IF(H169&lt;'PlayerGrades+'!$AC$16,"E+",IF(H169&lt;'PlayerGrades+'!$AC$15,"D-",IF(H169&lt;'PlayerGrades+'!$AC$14,"D",IF(H169&lt;'PlayerGrades+'!$AC$13,"D+",IF(H169&lt;'PlayerGrades+'!$AC$12,"C-",IF(H169&lt;'PlayerGrades+'!$AC$11,"C",IF(H169&lt;'PlayerGrades+'!$AC$10,"C+",IF(H169&lt;'PlayerGrades+'!$AC$9,"B-",IF(H169&lt;'PlayerGrades+'!$AC$8,"B",IF(H169&lt;'PlayerGrades+'!$AC$7,"B+",IF(H169&lt;'PlayerGrades+'!$AC$6,"A-",IF(H169&lt;'PlayerGrades+'!$AC$5,"A",IF(H169&lt;'PlayerGrades+'!$AC$4,"A+",IF(H169&lt;'PlayerGrades+'!$AC$3,"S-",IF(H169&lt;'PlayerGrades+'!$AC$2,"S","S+"))))))))))))))))))))</f>
        <v>#DIV/0!</v>
      </c>
      <c r="J169" s="961" t="str">
        <f t="shared" si="4"/>
        <v>#DIV/0!</v>
      </c>
      <c r="K169" s="961" t="str">
        <f>IF(J169&lt;'PlayerGrades+'!$AD$21,"F-",IF(J169&lt;'PlayerGrades+'!$AD$20,"F",IF(J169&lt;'PlayerGrades+'!$AD$19,"F+",IF(J169&lt;'PlayerGrades+'!$AD$18,"E-",IF(J169&lt;'PlayerGrades+'!$AD$17,"E",IF(J169&lt;'PlayerGrades+'!$AD$16,"E+",IF(J169&lt;'PlayerGrades+'!$AD$15,"D-",IF(J169&lt;'PlayerGrades+'!$AD$14,"D",IF(J169&lt;'PlayerGrades+'!$AD$13,"D+",IF(J169&lt;'PlayerGrades+'!$AD$12,"C-",IF(J169&lt;'PlayerGrades+'!$AD$11,"C",IF(J169&lt;'PlayerGrades+'!$AD$10,"C+",IF(J169&lt;'PlayerGrades+'!$AD$9,"B-",IF(J169&lt;'PlayerGrades+'!$AD$8,"B",IF(J169&lt;'PlayerGrades+'!$AD$7,"B+",IF(J169&lt;'PlayerGrades+'!$AD$6,"A-",IF(J169&lt;'PlayerGrades+'!$AD$5,"A",IF(J169&lt;'PlayerGrades+'!$AD$4,"A+",IF(J169&lt;'PlayerGrades+'!$AD$3,"S-",IF(J169&lt;'PlayerGrades+'!$AD$2,"S","S+"))))))))))))))))))))</f>
        <v>#DIV/0!</v>
      </c>
      <c r="L169" s="1176" t="str">
        <f t="shared" si="5"/>
        <v>#DIV/0!</v>
      </c>
      <c r="M169" s="992" t="str">
        <f>IF(L169&lt;'PlayerGrades+'!$AE$21,"F-",IF(L169&lt;'PlayerGrades+'!$AE$20,"F",IF(L169&lt;'PlayerGrades+'!$AE$19,"F+",IF(L169&lt;'PlayerGrades+'!$AE$18,"E-",IF(L169&lt;'PlayerGrades+'!$AE$17,"E",IF(L169&lt;'PlayerGrades+'!$AE$16,"E+",IF(L169&lt;'PlayerGrades+'!$AE$15,"D-",IF(L169&lt;'PlayerGrades+'!$AE$14,"D",IF(L169&lt;'PlayerGrades+'!$AE$13,"D+",IF(L169&lt;'PlayerGrades+'!$AE$12,"C-",IF(L169&lt;'PlayerGrades+'!$AE$11,"C",IF(L169&lt;'PlayerGrades+'!$AE$10,"C+",IF(L169&lt;'PlayerGrades+'!$AE$9,"B-",IF(L169&lt;'PlayerGrades+'!$AE$8,"B",IF(L169&lt;'PlayerGrades+'!$AE$7,"B+",IF(L169&lt;'PlayerGrades+'!$AE$6,"A-",IF(L169&lt;'PlayerGrades+'!$AE$5,"A",IF(L169&lt;'PlayerGrades+'!$AE$4,"A+",IF(L169&lt;'PlayerGrades+'!$AE$3,"S-",IF(L169&lt;'PlayerGrades+'!$AE$2,"S","S+"))))))))))))))))))))</f>
        <v>#DIV/0!</v>
      </c>
      <c r="N169" s="961" t="str">
        <f t="shared" si="6"/>
        <v>#DIV/0!</v>
      </c>
      <c r="O169" s="961" t="str">
        <f>IF(N169&lt;'PlayerGrades+'!$AF$21,"F-",IF(N169&lt;'PlayerGrades+'!$AF$20,"F",IF(N169&lt;'PlayerGrades+'!$AF$19,"F+",IF(N169&lt;'PlayerGrades+'!$AF$18,"E-",IF(N169&lt;'PlayerGrades+'!$AF$17,"E",IF(N169&lt;'PlayerGrades+'!$AF$16,"E+",IF(N169&lt;'PlayerGrades+'!$AF$15,"D-",IF(N169&lt;'PlayerGrades+'!$AF$14,"D",IF(N169&lt;'PlayerGrades+'!$AF$13,"D+",IF(N169&lt;'PlayerGrades+'!$AF$12,"C-",IF(N169&lt;'PlayerGrades+'!$AF$11,"C",IF(N169&lt;'PlayerGrades+'!$AF$10,"C+",IF(N169&lt;'PlayerGrades+'!$AF$9,"B-",IF(N169&lt;'PlayerGrades+'!$AF$8,"B",IF(N169&lt;'PlayerGrades+'!$AF$7,"B+",IF(N169&lt;'PlayerGrades+'!$AF$6,"A-",IF(N169&lt;'PlayerGrades+'!$AF$5,"A",IF(N169&lt;'PlayerGrades+'!$AF$4,"A+",IF(N169&lt;'PlayerGrades+'!$AF$3,"S-",IF(N169&lt;'PlayerGrades+'!$AF$2,"S","S+"))))))))))))))))))))</f>
        <v>#DIV/0!</v>
      </c>
      <c r="P169" s="961" t="str">
        <f t="shared" si="7"/>
        <v>#DIV/0!</v>
      </c>
      <c r="Q169" s="961" t="str">
        <f>IF(P169&lt;'PlayerGrades+'!$AG$21,"F-",IF(P169&lt;'PlayerGrades+'!$AG$20,"F",IF(P169&lt;'PlayerGrades+'!$AG$19,"F+",IF(P169&lt;'PlayerGrades+'!$AG$18,"E-",IF(P169&lt;'PlayerGrades+'!$AG$17,"E",IF(P169&lt;'PlayerGrades+'!$AG$16,"E+",IF(P169&lt;'PlayerGrades+'!$AG$15,"D-",IF(P169&lt;'PlayerGrades+'!$AG$14,"D",IF(P169&lt;'PlayerGrades+'!$AG$13,"D+",IF(P169&lt;'PlayerGrades+'!$AG$12,"C-",IF(P169&lt;'PlayerGrades+'!$AG$11,"C",IF(P169&lt;'PlayerGrades+'!$AG$10,"C+",IF(P169&lt;'PlayerGrades+'!$AG$9,"B-",IF(P169&lt;'PlayerGrades+'!$AG$8,"B",IF(P169&lt;'PlayerGrades+'!$AG$7,"B+",IF(P169&lt;'PlayerGrades+'!$AG$6,"A-",IF(P169&lt;'PlayerGrades+'!$AG$5,"A",IF(P169&lt;'PlayerGrades+'!$AG$4,"A+",IF(P169&lt;'PlayerGrades+'!$AG$3,"S-",IF(P169&lt;'PlayerGrades+'!$AG$2,"S","S+"))))))))))))))))))))</f>
        <v>#DIV/0!</v>
      </c>
      <c r="R169" s="961" t="str">
        <f t="shared" si="8"/>
        <v>#DIV/0!</v>
      </c>
      <c r="S169" s="961" t="str">
        <f>IF(R169&lt;'PlayerGrades+'!$AH$21,"F-",IF(R169&lt;'PlayerGrades+'!$AH$20,"F",IF(R169&lt;'PlayerGrades+'!$AH$19,"F+",IF(R169&lt;'PlayerGrades+'!$AH$18,"E-",IF(R169&lt;'PlayerGrades+'!$AH$17,"E",IF(R169&lt;'PlayerGrades+'!$AH$16,"E+",IF(R169&lt;'PlayerGrades+'!$AH$15,"D-",IF(R169&lt;'PlayerGrades+'!$AH$14,"D",IF(R169&lt;'PlayerGrades+'!$AH$13,"D+",IF(R169&lt;'PlayerGrades+'!$AH$12,"C-",IF(R169&lt;'PlayerGrades+'!$AH$11,"C",IF(R169&lt;'PlayerGrades+'!$AH$10,"C+",IF(R169&lt;'PlayerGrades+'!$AH$9,"B-",IF(R169&lt;'PlayerGrades+'!$AH$8,"B",IF(R169&lt;'PlayerGrades+'!$AH$7,"B+",IF(R169&lt;'PlayerGrades+'!$AH$6,"A-",IF(R169&lt;'PlayerGrades+'!$AH$5,"A",IF(R169&lt;'PlayerGrades+'!$AH$4,"A+",IF(R169&lt;'PlayerGrades+'!$AH$3,"S-",IF(R169&lt;'PlayerGrades+'!$AH$2,"S","S+"))))))))))))))))))))</f>
        <v>#DIV/0!</v>
      </c>
      <c r="T169" s="961">
        <f t="shared" si="9"/>
        <v>0</v>
      </c>
      <c r="U169" s="961" t="str">
        <f>IF(T169&lt;'PlayerGrades+'!$AI$21,"F-",IF(T169&lt;'PlayerGrades+'!$AI$20,"F",IF(T169&lt;'PlayerGrades+'!$AI$19,"F+",IF(T169&lt;'PlayerGrades+'!$AI$18,"E-",IF(T169&lt;'PlayerGrades+'!$AI$17,"E",IF(T169&lt;'PlayerGrades+'!$AI$16,"E+",IF(T169&lt;'PlayerGrades+'!$AI$15,"D-",IF(T169&lt;'PlayerGrades+'!$AI$14,"D",IF(T169&lt;'PlayerGrades+'!$AI$13,"D+",IF(T169&lt;'PlayerGrades+'!$AI$12,"C-",IF(T169&lt;'PlayerGrades+'!$AI$11,"C",IF(T169&lt;'PlayerGrades+'!$AI$10,"C+",IF(T169&lt;'PlayerGrades+'!$AI$9,"B-",IF(T169&lt;'PlayerGrades+'!$AI$8,"B",IF(T169&lt;'PlayerGrades+'!$AI$7,"B+",IF(T169&lt;'PlayerGrades+'!$AI$6,"A-",IF(T169&lt;'PlayerGrades+'!$AI$5,"A",IF(T169&lt;'PlayerGrades+'!$AI$4,"A+",IF(T169&lt;'PlayerGrades+'!$AI$3,"S-",IF(T169&lt;'PlayerGrades+'!$AI$2,"S","S+"))))))))))))))))))))</f>
        <v>F-</v>
      </c>
      <c r="V169" s="1386"/>
      <c r="W169" s="1386"/>
      <c r="X169" s="1386"/>
      <c r="Y169" s="1386"/>
      <c r="Z169" s="1386"/>
      <c r="AA169" s="1386"/>
      <c r="AB169" s="1386"/>
      <c r="AC169" s="1397"/>
      <c r="AD169" s="1386"/>
      <c r="AE169" s="1386"/>
      <c r="AF169" s="1386"/>
      <c r="AG169" s="1386"/>
      <c r="AH169" s="1386"/>
      <c r="AI169" s="1386"/>
      <c r="AJ169" s="1386"/>
      <c r="AK169" s="1386"/>
      <c r="AL169" s="1386"/>
      <c r="AM169" s="1386"/>
      <c r="AN169" s="1386"/>
      <c r="AO169" s="1386"/>
      <c r="AP169" s="1386"/>
      <c r="AQ169" s="1386"/>
      <c r="AR169" s="1386"/>
      <c r="AS169" s="1386"/>
      <c r="AT169" s="1386"/>
      <c r="AU169" s="1386"/>
      <c r="AV169" s="1386"/>
      <c r="AW169" s="1386"/>
      <c r="AX169" s="1386"/>
      <c r="AY169" s="1386"/>
      <c r="AZ169" s="1386"/>
    </row>
    <row r="170">
      <c r="A170" s="1389"/>
      <c r="B170" s="611" t="str">
        <f>IF(C170&lt;'PlayerGrades+'!$Y$44,"F-",IF(C170&lt;'PlayerGrades+'!$Y$43,"F",IF(C170&lt;'PlayerGrades+'!$Y$42,"F+",IF(C170&lt;'PlayerGrades+'!$Y$41,"E-",IF(C170&lt;'PlayerGrades+'!$Y$40,"E",IF(C170&lt;'PlayerGrades+'!$Y$39,"E+",IF(C170&lt;'PlayerGrades+'!$Y$38,"D-",IF(C170&lt;'PlayerGrades+'!$Y$37,"D",IF(C170&lt;'PlayerGrades+'!$Y$36,"D+",IF(C170&lt;'PlayerGrades+'!$Y$35,"C-",IF(C170&lt;'PlayerGrades+'!$Y$34,"C",IF(C170&lt;'PlayerGrades+'!$Y$33,"C+",IF(C170&lt;'PlayerGrades+'!$Y$32,"B-",IF(C170&lt;'PlayerGrades+'!$Y$31,"B",IF(C170&lt;'PlayerGrades+'!$Y$30,"B+",IF(C170&lt;'PlayerGrades+'!$Y$29,"A-",IF(C170&lt;'PlayerGrades+'!$Y$28,"A",IF(C170&lt;'PlayerGrades+'!$Y$27,"A+",IF(C170&lt;'PlayerGrades+'!$Y$26,"S-",IF(C170&lt;'PlayerGrades+'!$Y$25,"S","S+"))))))))))))))))))))</f>
        <v>#DIV/0!</v>
      </c>
      <c r="C170" s="1378" t="str">
        <f>('PlayerGrades+'!$Y$47*(VLOOKUP(E170, 'PlayerGrades+'!$X$3:$Y$23, 2, FALSE)))+('PlayerGrades+'!$Y$48*(VLOOKUP(G170, 'PlayerGrades+'!$X$3:$Y$23, 2, FALSE)))+('PlayerGrades+'!$Y$49*(VLOOKUP(I170, 'PlayerGrades+'!$X$3:$Y$23, 2, FALSE)))+('PlayerGrades+'!$Y$50*(VLOOKUP(K170, 'PlayerGrades+'!$X$3:$Y$23, 2, FALSE)))+('PlayerGrades+'!$Y$51*(VLOOKUP(M170, 'PlayerGrades+'!$X$3:$Y$23, 2, FALSE)))+('PlayerGrades+'!$Y$52*(VLOOKUP(O170, 'PlayerGrades+'!$X$3:$Y$23, 2, FALSE)))+('PlayerGrades+'!$Y$53*(VLOOKUP(Q170, 'PlayerGrades+'!$X$3:$Y$23, 2, FALSE)))+('PlayerGrades+'!$Y$54*(VLOOKUP(S170, 'PlayerGrades+'!$X$3:$Y$23, 2, FALSE)))+('PlayerGrades+'!$Y$55*(VLOOKUP(U170, 'PlayerGrades+'!$X$3:$Y$23, 2, FALSE)))</f>
        <v>#DIV/0!</v>
      </c>
      <c r="D170" s="961" t="str">
        <f t="shared" si="1"/>
        <v>#DIV/0!</v>
      </c>
      <c r="E170" s="961" t="str">
        <f>IF(D170&lt;'PlayerGrades+'!$AA$21,"F-",IF(D170&lt;'PlayerGrades+'!$AA$20,"F",IF(D170&lt;'PlayerGrades+'!$AA$19,"F+",IF(D170&lt;'PlayerGrades+'!$AA$18,"E-",IF(D170&lt;'PlayerGrades+'!$AA$17,"E",IF(D170&lt;'PlayerGrades+'!$AA$16,"E+",IF(D170&lt;'PlayerGrades+'!$AA$15,"D-",IF(D170&lt;'PlayerGrades+'!$AA$14,"D",IF(D170&lt;'PlayerGrades+'!$AA$13,"D+",IF(D170&lt;'PlayerGrades+'!$AA$12,"C-",IF(D170&lt;'PlayerGrades+'!$AA$11,"C",IF(D170&lt;'PlayerGrades+'!$AA$10,"C+",IF(D170&lt;'PlayerGrades+'!$AA$9,"B-",IF(D170&lt;'PlayerGrades+'!$AA$8,"B",IF(D170&lt;'PlayerGrades+'!$AA$7,"B+",IF(D170&lt;'PlayerGrades+'!$AA$6,"A-",IF(D170&lt;'PlayerGrades+'!$AA$5,"A",IF(D170&lt;'PlayerGrades+'!$AA$4,"A+",IF(D170&lt;'PlayerGrades+'!$AA$3,"S-",IF(D170&lt;'PlayerGrades+'!$AA$2,"S","S+"))))))))))))))))))))</f>
        <v>#DIV/0!</v>
      </c>
      <c r="F170" s="961" t="str">
        <f t="shared" si="2"/>
        <v>#DIV/0!</v>
      </c>
      <c r="G170" s="961" t="str">
        <f>IF(F170&lt;'PlayerGrades+'!$AB$21,"F-",IF(F170&lt;'PlayerGrades+'!$AB$20,"F",IF(F170&lt;'PlayerGrades+'!$AB$19,"F+",IF(F170&lt;'PlayerGrades+'!$AB$18,"E-",IF(F170&lt;'PlayerGrades+'!$AB$17,"E",IF(F170&lt;'PlayerGrades+'!$AB$16,"E+",IF(F170&lt;'PlayerGrades+'!$AB$15,"D-",IF(F170&lt;'PlayerGrades+'!$AB$14,"D",IF(F170&lt;'PlayerGrades+'!$AB$13,"D+",IF(F170&lt;'PlayerGrades+'!$AB$12,"C-",IF(F170&lt;'PlayerGrades+'!$AB$11,"C",IF(F170&lt;'PlayerGrades+'!$AB$10,"C+",IF(F170&lt;'PlayerGrades+'!$AB$9,"B-",IF(F170&lt;'PlayerGrades+'!$AB$8,"B",IF(F170&lt;'PlayerGrades+'!$AB$7,"B+",IF(F170&lt;'PlayerGrades+'!$AB$6,"A-",IF(F170&lt;'PlayerGrades+'!$AB$5,"A",IF(F170&lt;'PlayerGrades+'!$AB$4,"A+",IF(F170&lt;'PlayerGrades+'!$AB$3,"S-",IF(F170&lt;'PlayerGrades+'!$AB$2,"S","S+"))))))))))))))))))))</f>
        <v>#DIV/0!</v>
      </c>
      <c r="H170" s="961" t="str">
        <f t="shared" si="3"/>
        <v>#DIV/0!</v>
      </c>
      <c r="I170" s="961" t="str">
        <f>IF(H170&lt;'PlayerGrades+'!$AC$21,"F-",IF(H170&lt;'PlayerGrades+'!$AC$20,"F",IF(H170&lt;'PlayerGrades+'!$AC$19,"F+",IF(H170&lt;'PlayerGrades+'!$AC$18,"E-",IF(H170&lt;'PlayerGrades+'!$AC$17,"E",IF(H170&lt;'PlayerGrades+'!$AC$16,"E+",IF(H170&lt;'PlayerGrades+'!$AC$15,"D-",IF(H170&lt;'PlayerGrades+'!$AC$14,"D",IF(H170&lt;'PlayerGrades+'!$AC$13,"D+",IF(H170&lt;'PlayerGrades+'!$AC$12,"C-",IF(H170&lt;'PlayerGrades+'!$AC$11,"C",IF(H170&lt;'PlayerGrades+'!$AC$10,"C+",IF(H170&lt;'PlayerGrades+'!$AC$9,"B-",IF(H170&lt;'PlayerGrades+'!$AC$8,"B",IF(H170&lt;'PlayerGrades+'!$AC$7,"B+",IF(H170&lt;'PlayerGrades+'!$AC$6,"A-",IF(H170&lt;'PlayerGrades+'!$AC$5,"A",IF(H170&lt;'PlayerGrades+'!$AC$4,"A+",IF(H170&lt;'PlayerGrades+'!$AC$3,"S-",IF(H170&lt;'PlayerGrades+'!$AC$2,"S","S+"))))))))))))))))))))</f>
        <v>#DIV/0!</v>
      </c>
      <c r="J170" s="961" t="str">
        <f t="shared" si="4"/>
        <v>#DIV/0!</v>
      </c>
      <c r="K170" s="961" t="str">
        <f>IF(J170&lt;'PlayerGrades+'!$AD$21,"F-",IF(J170&lt;'PlayerGrades+'!$AD$20,"F",IF(J170&lt;'PlayerGrades+'!$AD$19,"F+",IF(J170&lt;'PlayerGrades+'!$AD$18,"E-",IF(J170&lt;'PlayerGrades+'!$AD$17,"E",IF(J170&lt;'PlayerGrades+'!$AD$16,"E+",IF(J170&lt;'PlayerGrades+'!$AD$15,"D-",IF(J170&lt;'PlayerGrades+'!$AD$14,"D",IF(J170&lt;'PlayerGrades+'!$AD$13,"D+",IF(J170&lt;'PlayerGrades+'!$AD$12,"C-",IF(J170&lt;'PlayerGrades+'!$AD$11,"C",IF(J170&lt;'PlayerGrades+'!$AD$10,"C+",IF(J170&lt;'PlayerGrades+'!$AD$9,"B-",IF(J170&lt;'PlayerGrades+'!$AD$8,"B",IF(J170&lt;'PlayerGrades+'!$AD$7,"B+",IF(J170&lt;'PlayerGrades+'!$AD$6,"A-",IF(J170&lt;'PlayerGrades+'!$AD$5,"A",IF(J170&lt;'PlayerGrades+'!$AD$4,"A+",IF(J170&lt;'PlayerGrades+'!$AD$3,"S-",IF(J170&lt;'PlayerGrades+'!$AD$2,"S","S+"))))))))))))))))))))</f>
        <v>#DIV/0!</v>
      </c>
      <c r="L170" s="1176" t="str">
        <f t="shared" si="5"/>
        <v>#DIV/0!</v>
      </c>
      <c r="M170" s="992" t="str">
        <f>IF(L170&lt;'PlayerGrades+'!$AE$21,"F-",IF(L170&lt;'PlayerGrades+'!$AE$20,"F",IF(L170&lt;'PlayerGrades+'!$AE$19,"F+",IF(L170&lt;'PlayerGrades+'!$AE$18,"E-",IF(L170&lt;'PlayerGrades+'!$AE$17,"E",IF(L170&lt;'PlayerGrades+'!$AE$16,"E+",IF(L170&lt;'PlayerGrades+'!$AE$15,"D-",IF(L170&lt;'PlayerGrades+'!$AE$14,"D",IF(L170&lt;'PlayerGrades+'!$AE$13,"D+",IF(L170&lt;'PlayerGrades+'!$AE$12,"C-",IF(L170&lt;'PlayerGrades+'!$AE$11,"C",IF(L170&lt;'PlayerGrades+'!$AE$10,"C+",IF(L170&lt;'PlayerGrades+'!$AE$9,"B-",IF(L170&lt;'PlayerGrades+'!$AE$8,"B",IF(L170&lt;'PlayerGrades+'!$AE$7,"B+",IF(L170&lt;'PlayerGrades+'!$AE$6,"A-",IF(L170&lt;'PlayerGrades+'!$AE$5,"A",IF(L170&lt;'PlayerGrades+'!$AE$4,"A+",IF(L170&lt;'PlayerGrades+'!$AE$3,"S-",IF(L170&lt;'PlayerGrades+'!$AE$2,"S","S+"))))))))))))))))))))</f>
        <v>#DIV/0!</v>
      </c>
      <c r="N170" s="961" t="str">
        <f t="shared" si="6"/>
        <v>#DIV/0!</v>
      </c>
      <c r="O170" s="961" t="str">
        <f>IF(N170&lt;'PlayerGrades+'!$AF$21,"F-",IF(N170&lt;'PlayerGrades+'!$AF$20,"F",IF(N170&lt;'PlayerGrades+'!$AF$19,"F+",IF(N170&lt;'PlayerGrades+'!$AF$18,"E-",IF(N170&lt;'PlayerGrades+'!$AF$17,"E",IF(N170&lt;'PlayerGrades+'!$AF$16,"E+",IF(N170&lt;'PlayerGrades+'!$AF$15,"D-",IF(N170&lt;'PlayerGrades+'!$AF$14,"D",IF(N170&lt;'PlayerGrades+'!$AF$13,"D+",IF(N170&lt;'PlayerGrades+'!$AF$12,"C-",IF(N170&lt;'PlayerGrades+'!$AF$11,"C",IF(N170&lt;'PlayerGrades+'!$AF$10,"C+",IF(N170&lt;'PlayerGrades+'!$AF$9,"B-",IF(N170&lt;'PlayerGrades+'!$AF$8,"B",IF(N170&lt;'PlayerGrades+'!$AF$7,"B+",IF(N170&lt;'PlayerGrades+'!$AF$6,"A-",IF(N170&lt;'PlayerGrades+'!$AF$5,"A",IF(N170&lt;'PlayerGrades+'!$AF$4,"A+",IF(N170&lt;'PlayerGrades+'!$AF$3,"S-",IF(N170&lt;'PlayerGrades+'!$AF$2,"S","S+"))))))))))))))))))))</f>
        <v>#DIV/0!</v>
      </c>
      <c r="P170" s="961" t="str">
        <f t="shared" si="7"/>
        <v>#DIV/0!</v>
      </c>
      <c r="Q170" s="961" t="str">
        <f>IF(P170&lt;'PlayerGrades+'!$AG$21,"F-",IF(P170&lt;'PlayerGrades+'!$AG$20,"F",IF(P170&lt;'PlayerGrades+'!$AG$19,"F+",IF(P170&lt;'PlayerGrades+'!$AG$18,"E-",IF(P170&lt;'PlayerGrades+'!$AG$17,"E",IF(P170&lt;'PlayerGrades+'!$AG$16,"E+",IF(P170&lt;'PlayerGrades+'!$AG$15,"D-",IF(P170&lt;'PlayerGrades+'!$AG$14,"D",IF(P170&lt;'PlayerGrades+'!$AG$13,"D+",IF(P170&lt;'PlayerGrades+'!$AG$12,"C-",IF(P170&lt;'PlayerGrades+'!$AG$11,"C",IF(P170&lt;'PlayerGrades+'!$AG$10,"C+",IF(P170&lt;'PlayerGrades+'!$AG$9,"B-",IF(P170&lt;'PlayerGrades+'!$AG$8,"B",IF(P170&lt;'PlayerGrades+'!$AG$7,"B+",IF(P170&lt;'PlayerGrades+'!$AG$6,"A-",IF(P170&lt;'PlayerGrades+'!$AG$5,"A",IF(P170&lt;'PlayerGrades+'!$AG$4,"A+",IF(P170&lt;'PlayerGrades+'!$AG$3,"S-",IF(P170&lt;'PlayerGrades+'!$AG$2,"S","S+"))))))))))))))))))))</f>
        <v>#DIV/0!</v>
      </c>
      <c r="R170" s="961" t="str">
        <f t="shared" si="8"/>
        <v>#DIV/0!</v>
      </c>
      <c r="S170" s="961" t="str">
        <f>IF(R170&lt;'PlayerGrades+'!$AH$21,"F-",IF(R170&lt;'PlayerGrades+'!$AH$20,"F",IF(R170&lt;'PlayerGrades+'!$AH$19,"F+",IF(R170&lt;'PlayerGrades+'!$AH$18,"E-",IF(R170&lt;'PlayerGrades+'!$AH$17,"E",IF(R170&lt;'PlayerGrades+'!$AH$16,"E+",IF(R170&lt;'PlayerGrades+'!$AH$15,"D-",IF(R170&lt;'PlayerGrades+'!$AH$14,"D",IF(R170&lt;'PlayerGrades+'!$AH$13,"D+",IF(R170&lt;'PlayerGrades+'!$AH$12,"C-",IF(R170&lt;'PlayerGrades+'!$AH$11,"C",IF(R170&lt;'PlayerGrades+'!$AH$10,"C+",IF(R170&lt;'PlayerGrades+'!$AH$9,"B-",IF(R170&lt;'PlayerGrades+'!$AH$8,"B",IF(R170&lt;'PlayerGrades+'!$AH$7,"B+",IF(R170&lt;'PlayerGrades+'!$AH$6,"A-",IF(R170&lt;'PlayerGrades+'!$AH$5,"A",IF(R170&lt;'PlayerGrades+'!$AH$4,"A+",IF(R170&lt;'PlayerGrades+'!$AH$3,"S-",IF(R170&lt;'PlayerGrades+'!$AH$2,"S","S+"))))))))))))))))))))</f>
        <v>#DIV/0!</v>
      </c>
      <c r="T170" s="961">
        <f t="shared" si="9"/>
        <v>0</v>
      </c>
      <c r="U170" s="961" t="str">
        <f>IF(T170&lt;'PlayerGrades+'!$AI$21,"F-",IF(T170&lt;'PlayerGrades+'!$AI$20,"F",IF(T170&lt;'PlayerGrades+'!$AI$19,"F+",IF(T170&lt;'PlayerGrades+'!$AI$18,"E-",IF(T170&lt;'PlayerGrades+'!$AI$17,"E",IF(T170&lt;'PlayerGrades+'!$AI$16,"E+",IF(T170&lt;'PlayerGrades+'!$AI$15,"D-",IF(T170&lt;'PlayerGrades+'!$AI$14,"D",IF(T170&lt;'PlayerGrades+'!$AI$13,"D+",IF(T170&lt;'PlayerGrades+'!$AI$12,"C-",IF(T170&lt;'PlayerGrades+'!$AI$11,"C",IF(T170&lt;'PlayerGrades+'!$AI$10,"C+",IF(T170&lt;'PlayerGrades+'!$AI$9,"B-",IF(T170&lt;'PlayerGrades+'!$AI$8,"B",IF(T170&lt;'PlayerGrades+'!$AI$7,"B+",IF(T170&lt;'PlayerGrades+'!$AI$6,"A-",IF(T170&lt;'PlayerGrades+'!$AI$5,"A",IF(T170&lt;'PlayerGrades+'!$AI$4,"A+",IF(T170&lt;'PlayerGrades+'!$AI$3,"S-",IF(T170&lt;'PlayerGrades+'!$AI$2,"S","S+"))))))))))))))))))))</f>
        <v>F-</v>
      </c>
      <c r="V170" s="1379"/>
      <c r="W170" s="1379"/>
      <c r="X170" s="1379"/>
      <c r="Y170" s="1379"/>
      <c r="Z170" s="1379"/>
      <c r="AA170" s="1379"/>
      <c r="AB170" s="1379"/>
      <c r="AC170" s="1390"/>
      <c r="AD170" s="1379"/>
      <c r="AE170" s="1379"/>
      <c r="AF170" s="1379"/>
      <c r="AG170" s="1379"/>
      <c r="AH170" s="1379"/>
      <c r="AI170" s="1379"/>
      <c r="AJ170" s="1379"/>
      <c r="AK170" s="1379"/>
      <c r="AL170" s="1379"/>
      <c r="AM170" s="1379"/>
      <c r="AN170" s="1379"/>
      <c r="AO170" s="1379"/>
      <c r="AP170" s="1379"/>
      <c r="AQ170" s="1379"/>
      <c r="AR170" s="1379"/>
      <c r="AS170" s="1379"/>
      <c r="AT170" s="1379"/>
      <c r="AU170" s="1379"/>
      <c r="AV170" s="1379"/>
      <c r="AW170" s="1379"/>
      <c r="AX170" s="1379"/>
      <c r="AY170" s="1379"/>
      <c r="AZ170" s="1379"/>
    </row>
    <row r="171">
      <c r="A171" s="1391"/>
      <c r="B171" s="611" t="str">
        <f>IF(C171&lt;'PlayerGrades+'!$Y$44,"F-",IF(C171&lt;'PlayerGrades+'!$Y$43,"F",IF(C171&lt;'PlayerGrades+'!$Y$42,"F+",IF(C171&lt;'PlayerGrades+'!$Y$41,"E-",IF(C171&lt;'PlayerGrades+'!$Y$40,"E",IF(C171&lt;'PlayerGrades+'!$Y$39,"E+",IF(C171&lt;'PlayerGrades+'!$Y$38,"D-",IF(C171&lt;'PlayerGrades+'!$Y$37,"D",IF(C171&lt;'PlayerGrades+'!$Y$36,"D+",IF(C171&lt;'PlayerGrades+'!$Y$35,"C-",IF(C171&lt;'PlayerGrades+'!$Y$34,"C",IF(C171&lt;'PlayerGrades+'!$Y$33,"C+",IF(C171&lt;'PlayerGrades+'!$Y$32,"B-",IF(C171&lt;'PlayerGrades+'!$Y$31,"B",IF(C171&lt;'PlayerGrades+'!$Y$30,"B+",IF(C171&lt;'PlayerGrades+'!$Y$29,"A-",IF(C171&lt;'PlayerGrades+'!$Y$28,"A",IF(C171&lt;'PlayerGrades+'!$Y$27,"A+",IF(C171&lt;'PlayerGrades+'!$Y$26,"S-",IF(C171&lt;'PlayerGrades+'!$Y$25,"S","S+"))))))))))))))))))))</f>
        <v>#DIV/0!</v>
      </c>
      <c r="C171" s="1378" t="str">
        <f>('PlayerGrades+'!$Y$47*(VLOOKUP(E171, 'PlayerGrades+'!$X$3:$Y$23, 2, FALSE)))+('PlayerGrades+'!$Y$48*(VLOOKUP(G171, 'PlayerGrades+'!$X$3:$Y$23, 2, FALSE)))+('PlayerGrades+'!$Y$49*(VLOOKUP(I171, 'PlayerGrades+'!$X$3:$Y$23, 2, FALSE)))+('PlayerGrades+'!$Y$50*(VLOOKUP(K171, 'PlayerGrades+'!$X$3:$Y$23, 2, FALSE)))+('PlayerGrades+'!$Y$51*(VLOOKUP(M171, 'PlayerGrades+'!$X$3:$Y$23, 2, FALSE)))+('PlayerGrades+'!$Y$52*(VLOOKUP(O171, 'PlayerGrades+'!$X$3:$Y$23, 2, FALSE)))+('PlayerGrades+'!$Y$53*(VLOOKUP(Q171, 'PlayerGrades+'!$X$3:$Y$23, 2, FALSE)))+('PlayerGrades+'!$Y$54*(VLOOKUP(S171, 'PlayerGrades+'!$X$3:$Y$23, 2, FALSE)))+('PlayerGrades+'!$Y$55*(VLOOKUP(U171, 'PlayerGrades+'!$X$3:$Y$23, 2, FALSE)))</f>
        <v>#DIV/0!</v>
      </c>
      <c r="D171" s="961" t="str">
        <f t="shared" si="1"/>
        <v>#DIV/0!</v>
      </c>
      <c r="E171" s="961" t="str">
        <f>IF(D171&lt;'PlayerGrades+'!$AA$21,"F-",IF(D171&lt;'PlayerGrades+'!$AA$20,"F",IF(D171&lt;'PlayerGrades+'!$AA$19,"F+",IF(D171&lt;'PlayerGrades+'!$AA$18,"E-",IF(D171&lt;'PlayerGrades+'!$AA$17,"E",IF(D171&lt;'PlayerGrades+'!$AA$16,"E+",IF(D171&lt;'PlayerGrades+'!$AA$15,"D-",IF(D171&lt;'PlayerGrades+'!$AA$14,"D",IF(D171&lt;'PlayerGrades+'!$AA$13,"D+",IF(D171&lt;'PlayerGrades+'!$AA$12,"C-",IF(D171&lt;'PlayerGrades+'!$AA$11,"C",IF(D171&lt;'PlayerGrades+'!$AA$10,"C+",IF(D171&lt;'PlayerGrades+'!$AA$9,"B-",IF(D171&lt;'PlayerGrades+'!$AA$8,"B",IF(D171&lt;'PlayerGrades+'!$AA$7,"B+",IF(D171&lt;'PlayerGrades+'!$AA$6,"A-",IF(D171&lt;'PlayerGrades+'!$AA$5,"A",IF(D171&lt;'PlayerGrades+'!$AA$4,"A+",IF(D171&lt;'PlayerGrades+'!$AA$3,"S-",IF(D171&lt;'PlayerGrades+'!$AA$2,"S","S+"))))))))))))))))))))</f>
        <v>#DIV/0!</v>
      </c>
      <c r="F171" s="961" t="str">
        <f t="shared" si="2"/>
        <v>#DIV/0!</v>
      </c>
      <c r="G171" s="961" t="str">
        <f>IF(F171&lt;'PlayerGrades+'!$AB$21,"F-",IF(F171&lt;'PlayerGrades+'!$AB$20,"F",IF(F171&lt;'PlayerGrades+'!$AB$19,"F+",IF(F171&lt;'PlayerGrades+'!$AB$18,"E-",IF(F171&lt;'PlayerGrades+'!$AB$17,"E",IF(F171&lt;'PlayerGrades+'!$AB$16,"E+",IF(F171&lt;'PlayerGrades+'!$AB$15,"D-",IF(F171&lt;'PlayerGrades+'!$AB$14,"D",IF(F171&lt;'PlayerGrades+'!$AB$13,"D+",IF(F171&lt;'PlayerGrades+'!$AB$12,"C-",IF(F171&lt;'PlayerGrades+'!$AB$11,"C",IF(F171&lt;'PlayerGrades+'!$AB$10,"C+",IF(F171&lt;'PlayerGrades+'!$AB$9,"B-",IF(F171&lt;'PlayerGrades+'!$AB$8,"B",IF(F171&lt;'PlayerGrades+'!$AB$7,"B+",IF(F171&lt;'PlayerGrades+'!$AB$6,"A-",IF(F171&lt;'PlayerGrades+'!$AB$5,"A",IF(F171&lt;'PlayerGrades+'!$AB$4,"A+",IF(F171&lt;'PlayerGrades+'!$AB$3,"S-",IF(F171&lt;'PlayerGrades+'!$AB$2,"S","S+"))))))))))))))))))))</f>
        <v>#DIV/0!</v>
      </c>
      <c r="H171" s="961" t="str">
        <f t="shared" si="3"/>
        <v>#DIV/0!</v>
      </c>
      <c r="I171" s="961" t="str">
        <f>IF(H171&lt;'PlayerGrades+'!$AC$21,"F-",IF(H171&lt;'PlayerGrades+'!$AC$20,"F",IF(H171&lt;'PlayerGrades+'!$AC$19,"F+",IF(H171&lt;'PlayerGrades+'!$AC$18,"E-",IF(H171&lt;'PlayerGrades+'!$AC$17,"E",IF(H171&lt;'PlayerGrades+'!$AC$16,"E+",IF(H171&lt;'PlayerGrades+'!$AC$15,"D-",IF(H171&lt;'PlayerGrades+'!$AC$14,"D",IF(H171&lt;'PlayerGrades+'!$AC$13,"D+",IF(H171&lt;'PlayerGrades+'!$AC$12,"C-",IF(H171&lt;'PlayerGrades+'!$AC$11,"C",IF(H171&lt;'PlayerGrades+'!$AC$10,"C+",IF(H171&lt;'PlayerGrades+'!$AC$9,"B-",IF(H171&lt;'PlayerGrades+'!$AC$8,"B",IF(H171&lt;'PlayerGrades+'!$AC$7,"B+",IF(H171&lt;'PlayerGrades+'!$AC$6,"A-",IF(H171&lt;'PlayerGrades+'!$AC$5,"A",IF(H171&lt;'PlayerGrades+'!$AC$4,"A+",IF(H171&lt;'PlayerGrades+'!$AC$3,"S-",IF(H171&lt;'PlayerGrades+'!$AC$2,"S","S+"))))))))))))))))))))</f>
        <v>#DIV/0!</v>
      </c>
      <c r="J171" s="961" t="str">
        <f t="shared" si="4"/>
        <v>#DIV/0!</v>
      </c>
      <c r="K171" s="961" t="str">
        <f>IF(J171&lt;'PlayerGrades+'!$AD$21,"F-",IF(J171&lt;'PlayerGrades+'!$AD$20,"F",IF(J171&lt;'PlayerGrades+'!$AD$19,"F+",IF(J171&lt;'PlayerGrades+'!$AD$18,"E-",IF(J171&lt;'PlayerGrades+'!$AD$17,"E",IF(J171&lt;'PlayerGrades+'!$AD$16,"E+",IF(J171&lt;'PlayerGrades+'!$AD$15,"D-",IF(J171&lt;'PlayerGrades+'!$AD$14,"D",IF(J171&lt;'PlayerGrades+'!$AD$13,"D+",IF(J171&lt;'PlayerGrades+'!$AD$12,"C-",IF(J171&lt;'PlayerGrades+'!$AD$11,"C",IF(J171&lt;'PlayerGrades+'!$AD$10,"C+",IF(J171&lt;'PlayerGrades+'!$AD$9,"B-",IF(J171&lt;'PlayerGrades+'!$AD$8,"B",IF(J171&lt;'PlayerGrades+'!$AD$7,"B+",IF(J171&lt;'PlayerGrades+'!$AD$6,"A-",IF(J171&lt;'PlayerGrades+'!$AD$5,"A",IF(J171&lt;'PlayerGrades+'!$AD$4,"A+",IF(J171&lt;'PlayerGrades+'!$AD$3,"S-",IF(J171&lt;'PlayerGrades+'!$AD$2,"S","S+"))))))))))))))))))))</f>
        <v>#DIV/0!</v>
      </c>
      <c r="L171" s="1176" t="str">
        <f t="shared" si="5"/>
        <v>#DIV/0!</v>
      </c>
      <c r="M171" s="992" t="str">
        <f>IF(L171&lt;'PlayerGrades+'!$AE$21,"F-",IF(L171&lt;'PlayerGrades+'!$AE$20,"F",IF(L171&lt;'PlayerGrades+'!$AE$19,"F+",IF(L171&lt;'PlayerGrades+'!$AE$18,"E-",IF(L171&lt;'PlayerGrades+'!$AE$17,"E",IF(L171&lt;'PlayerGrades+'!$AE$16,"E+",IF(L171&lt;'PlayerGrades+'!$AE$15,"D-",IF(L171&lt;'PlayerGrades+'!$AE$14,"D",IF(L171&lt;'PlayerGrades+'!$AE$13,"D+",IF(L171&lt;'PlayerGrades+'!$AE$12,"C-",IF(L171&lt;'PlayerGrades+'!$AE$11,"C",IF(L171&lt;'PlayerGrades+'!$AE$10,"C+",IF(L171&lt;'PlayerGrades+'!$AE$9,"B-",IF(L171&lt;'PlayerGrades+'!$AE$8,"B",IF(L171&lt;'PlayerGrades+'!$AE$7,"B+",IF(L171&lt;'PlayerGrades+'!$AE$6,"A-",IF(L171&lt;'PlayerGrades+'!$AE$5,"A",IF(L171&lt;'PlayerGrades+'!$AE$4,"A+",IF(L171&lt;'PlayerGrades+'!$AE$3,"S-",IF(L171&lt;'PlayerGrades+'!$AE$2,"S","S+"))))))))))))))))))))</f>
        <v>#DIV/0!</v>
      </c>
      <c r="N171" s="961" t="str">
        <f t="shared" si="6"/>
        <v>#DIV/0!</v>
      </c>
      <c r="O171" s="961" t="str">
        <f>IF(N171&lt;'PlayerGrades+'!$AF$21,"F-",IF(N171&lt;'PlayerGrades+'!$AF$20,"F",IF(N171&lt;'PlayerGrades+'!$AF$19,"F+",IF(N171&lt;'PlayerGrades+'!$AF$18,"E-",IF(N171&lt;'PlayerGrades+'!$AF$17,"E",IF(N171&lt;'PlayerGrades+'!$AF$16,"E+",IF(N171&lt;'PlayerGrades+'!$AF$15,"D-",IF(N171&lt;'PlayerGrades+'!$AF$14,"D",IF(N171&lt;'PlayerGrades+'!$AF$13,"D+",IF(N171&lt;'PlayerGrades+'!$AF$12,"C-",IF(N171&lt;'PlayerGrades+'!$AF$11,"C",IF(N171&lt;'PlayerGrades+'!$AF$10,"C+",IF(N171&lt;'PlayerGrades+'!$AF$9,"B-",IF(N171&lt;'PlayerGrades+'!$AF$8,"B",IF(N171&lt;'PlayerGrades+'!$AF$7,"B+",IF(N171&lt;'PlayerGrades+'!$AF$6,"A-",IF(N171&lt;'PlayerGrades+'!$AF$5,"A",IF(N171&lt;'PlayerGrades+'!$AF$4,"A+",IF(N171&lt;'PlayerGrades+'!$AF$3,"S-",IF(N171&lt;'PlayerGrades+'!$AF$2,"S","S+"))))))))))))))))))))</f>
        <v>#DIV/0!</v>
      </c>
      <c r="P171" s="961" t="str">
        <f t="shared" si="7"/>
        <v>#DIV/0!</v>
      </c>
      <c r="Q171" s="961" t="str">
        <f>IF(P171&lt;'PlayerGrades+'!$AG$21,"F-",IF(P171&lt;'PlayerGrades+'!$AG$20,"F",IF(P171&lt;'PlayerGrades+'!$AG$19,"F+",IF(P171&lt;'PlayerGrades+'!$AG$18,"E-",IF(P171&lt;'PlayerGrades+'!$AG$17,"E",IF(P171&lt;'PlayerGrades+'!$AG$16,"E+",IF(P171&lt;'PlayerGrades+'!$AG$15,"D-",IF(P171&lt;'PlayerGrades+'!$AG$14,"D",IF(P171&lt;'PlayerGrades+'!$AG$13,"D+",IF(P171&lt;'PlayerGrades+'!$AG$12,"C-",IF(P171&lt;'PlayerGrades+'!$AG$11,"C",IF(P171&lt;'PlayerGrades+'!$AG$10,"C+",IF(P171&lt;'PlayerGrades+'!$AG$9,"B-",IF(P171&lt;'PlayerGrades+'!$AG$8,"B",IF(P171&lt;'PlayerGrades+'!$AG$7,"B+",IF(P171&lt;'PlayerGrades+'!$AG$6,"A-",IF(P171&lt;'PlayerGrades+'!$AG$5,"A",IF(P171&lt;'PlayerGrades+'!$AG$4,"A+",IF(P171&lt;'PlayerGrades+'!$AG$3,"S-",IF(P171&lt;'PlayerGrades+'!$AG$2,"S","S+"))))))))))))))))))))</f>
        <v>#DIV/0!</v>
      </c>
      <c r="R171" s="961" t="str">
        <f t="shared" si="8"/>
        <v>#DIV/0!</v>
      </c>
      <c r="S171" s="961" t="str">
        <f>IF(R171&lt;'PlayerGrades+'!$AH$21,"F-",IF(R171&lt;'PlayerGrades+'!$AH$20,"F",IF(R171&lt;'PlayerGrades+'!$AH$19,"F+",IF(R171&lt;'PlayerGrades+'!$AH$18,"E-",IF(R171&lt;'PlayerGrades+'!$AH$17,"E",IF(R171&lt;'PlayerGrades+'!$AH$16,"E+",IF(R171&lt;'PlayerGrades+'!$AH$15,"D-",IF(R171&lt;'PlayerGrades+'!$AH$14,"D",IF(R171&lt;'PlayerGrades+'!$AH$13,"D+",IF(R171&lt;'PlayerGrades+'!$AH$12,"C-",IF(R171&lt;'PlayerGrades+'!$AH$11,"C",IF(R171&lt;'PlayerGrades+'!$AH$10,"C+",IF(R171&lt;'PlayerGrades+'!$AH$9,"B-",IF(R171&lt;'PlayerGrades+'!$AH$8,"B",IF(R171&lt;'PlayerGrades+'!$AH$7,"B+",IF(R171&lt;'PlayerGrades+'!$AH$6,"A-",IF(R171&lt;'PlayerGrades+'!$AH$5,"A",IF(R171&lt;'PlayerGrades+'!$AH$4,"A+",IF(R171&lt;'PlayerGrades+'!$AH$3,"S-",IF(R171&lt;'PlayerGrades+'!$AH$2,"S","S+"))))))))))))))))))))</f>
        <v>#DIV/0!</v>
      </c>
      <c r="T171" s="961">
        <f t="shared" si="9"/>
        <v>0</v>
      </c>
      <c r="U171" s="961" t="str">
        <f>IF(T171&lt;'PlayerGrades+'!$AI$21,"F-",IF(T171&lt;'PlayerGrades+'!$AI$20,"F",IF(T171&lt;'PlayerGrades+'!$AI$19,"F+",IF(T171&lt;'PlayerGrades+'!$AI$18,"E-",IF(T171&lt;'PlayerGrades+'!$AI$17,"E",IF(T171&lt;'PlayerGrades+'!$AI$16,"E+",IF(T171&lt;'PlayerGrades+'!$AI$15,"D-",IF(T171&lt;'PlayerGrades+'!$AI$14,"D",IF(T171&lt;'PlayerGrades+'!$AI$13,"D+",IF(T171&lt;'PlayerGrades+'!$AI$12,"C-",IF(T171&lt;'PlayerGrades+'!$AI$11,"C",IF(T171&lt;'PlayerGrades+'!$AI$10,"C+",IF(T171&lt;'PlayerGrades+'!$AI$9,"B-",IF(T171&lt;'PlayerGrades+'!$AI$8,"B",IF(T171&lt;'PlayerGrades+'!$AI$7,"B+",IF(T171&lt;'PlayerGrades+'!$AI$6,"A-",IF(T171&lt;'PlayerGrades+'!$AI$5,"A",IF(T171&lt;'PlayerGrades+'!$AI$4,"A+",IF(T171&lt;'PlayerGrades+'!$AI$3,"S-",IF(T171&lt;'PlayerGrades+'!$AI$2,"S","S+"))))))))))))))))))))</f>
        <v>F-</v>
      </c>
      <c r="AC171" s="1392"/>
    </row>
    <row r="172">
      <c r="A172" s="1391"/>
      <c r="B172" s="611" t="str">
        <f>IF(C172&lt;'PlayerGrades+'!$Y$44,"F-",IF(C172&lt;'PlayerGrades+'!$Y$43,"F",IF(C172&lt;'PlayerGrades+'!$Y$42,"F+",IF(C172&lt;'PlayerGrades+'!$Y$41,"E-",IF(C172&lt;'PlayerGrades+'!$Y$40,"E",IF(C172&lt;'PlayerGrades+'!$Y$39,"E+",IF(C172&lt;'PlayerGrades+'!$Y$38,"D-",IF(C172&lt;'PlayerGrades+'!$Y$37,"D",IF(C172&lt;'PlayerGrades+'!$Y$36,"D+",IF(C172&lt;'PlayerGrades+'!$Y$35,"C-",IF(C172&lt;'PlayerGrades+'!$Y$34,"C",IF(C172&lt;'PlayerGrades+'!$Y$33,"C+",IF(C172&lt;'PlayerGrades+'!$Y$32,"B-",IF(C172&lt;'PlayerGrades+'!$Y$31,"B",IF(C172&lt;'PlayerGrades+'!$Y$30,"B+",IF(C172&lt;'PlayerGrades+'!$Y$29,"A-",IF(C172&lt;'PlayerGrades+'!$Y$28,"A",IF(C172&lt;'PlayerGrades+'!$Y$27,"A+",IF(C172&lt;'PlayerGrades+'!$Y$26,"S-",IF(C172&lt;'PlayerGrades+'!$Y$25,"S","S+"))))))))))))))))))))</f>
        <v>#DIV/0!</v>
      </c>
      <c r="C172" s="1378" t="str">
        <f>('PlayerGrades+'!$Y$47*(VLOOKUP(E172, 'PlayerGrades+'!$X$3:$Y$23, 2, FALSE)))+('PlayerGrades+'!$Y$48*(VLOOKUP(G172, 'PlayerGrades+'!$X$3:$Y$23, 2, FALSE)))+('PlayerGrades+'!$Y$49*(VLOOKUP(I172, 'PlayerGrades+'!$X$3:$Y$23, 2, FALSE)))+('PlayerGrades+'!$Y$50*(VLOOKUP(K172, 'PlayerGrades+'!$X$3:$Y$23, 2, FALSE)))+('PlayerGrades+'!$Y$51*(VLOOKUP(M172, 'PlayerGrades+'!$X$3:$Y$23, 2, FALSE)))+('PlayerGrades+'!$Y$52*(VLOOKUP(O172, 'PlayerGrades+'!$X$3:$Y$23, 2, FALSE)))+('PlayerGrades+'!$Y$53*(VLOOKUP(Q172, 'PlayerGrades+'!$X$3:$Y$23, 2, FALSE)))+('PlayerGrades+'!$Y$54*(VLOOKUP(S172, 'PlayerGrades+'!$X$3:$Y$23, 2, FALSE)))+('PlayerGrades+'!$Y$55*(VLOOKUP(U172, 'PlayerGrades+'!$X$3:$Y$23, 2, FALSE)))</f>
        <v>#DIV/0!</v>
      </c>
      <c r="D172" s="961" t="str">
        <f t="shared" si="1"/>
        <v>#DIV/0!</v>
      </c>
      <c r="E172" s="961" t="str">
        <f>IF(D172&lt;'PlayerGrades+'!$AA$21,"F-",IF(D172&lt;'PlayerGrades+'!$AA$20,"F",IF(D172&lt;'PlayerGrades+'!$AA$19,"F+",IF(D172&lt;'PlayerGrades+'!$AA$18,"E-",IF(D172&lt;'PlayerGrades+'!$AA$17,"E",IF(D172&lt;'PlayerGrades+'!$AA$16,"E+",IF(D172&lt;'PlayerGrades+'!$AA$15,"D-",IF(D172&lt;'PlayerGrades+'!$AA$14,"D",IF(D172&lt;'PlayerGrades+'!$AA$13,"D+",IF(D172&lt;'PlayerGrades+'!$AA$12,"C-",IF(D172&lt;'PlayerGrades+'!$AA$11,"C",IF(D172&lt;'PlayerGrades+'!$AA$10,"C+",IF(D172&lt;'PlayerGrades+'!$AA$9,"B-",IF(D172&lt;'PlayerGrades+'!$AA$8,"B",IF(D172&lt;'PlayerGrades+'!$AA$7,"B+",IF(D172&lt;'PlayerGrades+'!$AA$6,"A-",IF(D172&lt;'PlayerGrades+'!$AA$5,"A",IF(D172&lt;'PlayerGrades+'!$AA$4,"A+",IF(D172&lt;'PlayerGrades+'!$AA$3,"S-",IF(D172&lt;'PlayerGrades+'!$AA$2,"S","S+"))))))))))))))))))))</f>
        <v>#DIV/0!</v>
      </c>
      <c r="F172" s="961" t="str">
        <f t="shared" si="2"/>
        <v>#DIV/0!</v>
      </c>
      <c r="G172" s="961" t="str">
        <f>IF(F172&lt;'PlayerGrades+'!$AB$21,"F-",IF(F172&lt;'PlayerGrades+'!$AB$20,"F",IF(F172&lt;'PlayerGrades+'!$AB$19,"F+",IF(F172&lt;'PlayerGrades+'!$AB$18,"E-",IF(F172&lt;'PlayerGrades+'!$AB$17,"E",IF(F172&lt;'PlayerGrades+'!$AB$16,"E+",IF(F172&lt;'PlayerGrades+'!$AB$15,"D-",IF(F172&lt;'PlayerGrades+'!$AB$14,"D",IF(F172&lt;'PlayerGrades+'!$AB$13,"D+",IF(F172&lt;'PlayerGrades+'!$AB$12,"C-",IF(F172&lt;'PlayerGrades+'!$AB$11,"C",IF(F172&lt;'PlayerGrades+'!$AB$10,"C+",IF(F172&lt;'PlayerGrades+'!$AB$9,"B-",IF(F172&lt;'PlayerGrades+'!$AB$8,"B",IF(F172&lt;'PlayerGrades+'!$AB$7,"B+",IF(F172&lt;'PlayerGrades+'!$AB$6,"A-",IF(F172&lt;'PlayerGrades+'!$AB$5,"A",IF(F172&lt;'PlayerGrades+'!$AB$4,"A+",IF(F172&lt;'PlayerGrades+'!$AB$3,"S-",IF(F172&lt;'PlayerGrades+'!$AB$2,"S","S+"))))))))))))))))))))</f>
        <v>#DIV/0!</v>
      </c>
      <c r="H172" s="961" t="str">
        <f t="shared" si="3"/>
        <v>#DIV/0!</v>
      </c>
      <c r="I172" s="961" t="str">
        <f>IF(H172&lt;'PlayerGrades+'!$AC$21,"F-",IF(H172&lt;'PlayerGrades+'!$AC$20,"F",IF(H172&lt;'PlayerGrades+'!$AC$19,"F+",IF(H172&lt;'PlayerGrades+'!$AC$18,"E-",IF(H172&lt;'PlayerGrades+'!$AC$17,"E",IF(H172&lt;'PlayerGrades+'!$AC$16,"E+",IF(H172&lt;'PlayerGrades+'!$AC$15,"D-",IF(H172&lt;'PlayerGrades+'!$AC$14,"D",IF(H172&lt;'PlayerGrades+'!$AC$13,"D+",IF(H172&lt;'PlayerGrades+'!$AC$12,"C-",IF(H172&lt;'PlayerGrades+'!$AC$11,"C",IF(H172&lt;'PlayerGrades+'!$AC$10,"C+",IF(H172&lt;'PlayerGrades+'!$AC$9,"B-",IF(H172&lt;'PlayerGrades+'!$AC$8,"B",IF(H172&lt;'PlayerGrades+'!$AC$7,"B+",IF(H172&lt;'PlayerGrades+'!$AC$6,"A-",IF(H172&lt;'PlayerGrades+'!$AC$5,"A",IF(H172&lt;'PlayerGrades+'!$AC$4,"A+",IF(H172&lt;'PlayerGrades+'!$AC$3,"S-",IF(H172&lt;'PlayerGrades+'!$AC$2,"S","S+"))))))))))))))))))))</f>
        <v>#DIV/0!</v>
      </c>
      <c r="J172" s="961" t="str">
        <f t="shared" si="4"/>
        <v>#DIV/0!</v>
      </c>
      <c r="K172" s="961" t="str">
        <f>IF(J172&lt;'PlayerGrades+'!$AD$21,"F-",IF(J172&lt;'PlayerGrades+'!$AD$20,"F",IF(J172&lt;'PlayerGrades+'!$AD$19,"F+",IF(J172&lt;'PlayerGrades+'!$AD$18,"E-",IF(J172&lt;'PlayerGrades+'!$AD$17,"E",IF(J172&lt;'PlayerGrades+'!$AD$16,"E+",IF(J172&lt;'PlayerGrades+'!$AD$15,"D-",IF(J172&lt;'PlayerGrades+'!$AD$14,"D",IF(J172&lt;'PlayerGrades+'!$AD$13,"D+",IF(J172&lt;'PlayerGrades+'!$AD$12,"C-",IF(J172&lt;'PlayerGrades+'!$AD$11,"C",IF(J172&lt;'PlayerGrades+'!$AD$10,"C+",IF(J172&lt;'PlayerGrades+'!$AD$9,"B-",IF(J172&lt;'PlayerGrades+'!$AD$8,"B",IF(J172&lt;'PlayerGrades+'!$AD$7,"B+",IF(J172&lt;'PlayerGrades+'!$AD$6,"A-",IF(J172&lt;'PlayerGrades+'!$AD$5,"A",IF(J172&lt;'PlayerGrades+'!$AD$4,"A+",IF(J172&lt;'PlayerGrades+'!$AD$3,"S-",IF(J172&lt;'PlayerGrades+'!$AD$2,"S","S+"))))))))))))))))))))</f>
        <v>#DIV/0!</v>
      </c>
      <c r="L172" s="1176" t="str">
        <f t="shared" si="5"/>
        <v>#DIV/0!</v>
      </c>
      <c r="M172" s="992" t="str">
        <f>IF(L172&lt;'PlayerGrades+'!$AE$21,"F-",IF(L172&lt;'PlayerGrades+'!$AE$20,"F",IF(L172&lt;'PlayerGrades+'!$AE$19,"F+",IF(L172&lt;'PlayerGrades+'!$AE$18,"E-",IF(L172&lt;'PlayerGrades+'!$AE$17,"E",IF(L172&lt;'PlayerGrades+'!$AE$16,"E+",IF(L172&lt;'PlayerGrades+'!$AE$15,"D-",IF(L172&lt;'PlayerGrades+'!$AE$14,"D",IF(L172&lt;'PlayerGrades+'!$AE$13,"D+",IF(L172&lt;'PlayerGrades+'!$AE$12,"C-",IF(L172&lt;'PlayerGrades+'!$AE$11,"C",IF(L172&lt;'PlayerGrades+'!$AE$10,"C+",IF(L172&lt;'PlayerGrades+'!$AE$9,"B-",IF(L172&lt;'PlayerGrades+'!$AE$8,"B",IF(L172&lt;'PlayerGrades+'!$AE$7,"B+",IF(L172&lt;'PlayerGrades+'!$AE$6,"A-",IF(L172&lt;'PlayerGrades+'!$AE$5,"A",IF(L172&lt;'PlayerGrades+'!$AE$4,"A+",IF(L172&lt;'PlayerGrades+'!$AE$3,"S-",IF(L172&lt;'PlayerGrades+'!$AE$2,"S","S+"))))))))))))))))))))</f>
        <v>#DIV/0!</v>
      </c>
      <c r="N172" s="961" t="str">
        <f t="shared" si="6"/>
        <v>#DIV/0!</v>
      </c>
      <c r="O172" s="961" t="str">
        <f>IF(N172&lt;'PlayerGrades+'!$AF$21,"F-",IF(N172&lt;'PlayerGrades+'!$AF$20,"F",IF(N172&lt;'PlayerGrades+'!$AF$19,"F+",IF(N172&lt;'PlayerGrades+'!$AF$18,"E-",IF(N172&lt;'PlayerGrades+'!$AF$17,"E",IF(N172&lt;'PlayerGrades+'!$AF$16,"E+",IF(N172&lt;'PlayerGrades+'!$AF$15,"D-",IF(N172&lt;'PlayerGrades+'!$AF$14,"D",IF(N172&lt;'PlayerGrades+'!$AF$13,"D+",IF(N172&lt;'PlayerGrades+'!$AF$12,"C-",IF(N172&lt;'PlayerGrades+'!$AF$11,"C",IF(N172&lt;'PlayerGrades+'!$AF$10,"C+",IF(N172&lt;'PlayerGrades+'!$AF$9,"B-",IF(N172&lt;'PlayerGrades+'!$AF$8,"B",IF(N172&lt;'PlayerGrades+'!$AF$7,"B+",IF(N172&lt;'PlayerGrades+'!$AF$6,"A-",IF(N172&lt;'PlayerGrades+'!$AF$5,"A",IF(N172&lt;'PlayerGrades+'!$AF$4,"A+",IF(N172&lt;'PlayerGrades+'!$AF$3,"S-",IF(N172&lt;'PlayerGrades+'!$AF$2,"S","S+"))))))))))))))))))))</f>
        <v>#DIV/0!</v>
      </c>
      <c r="P172" s="961" t="str">
        <f t="shared" si="7"/>
        <v>#DIV/0!</v>
      </c>
      <c r="Q172" s="961" t="str">
        <f>IF(P172&lt;'PlayerGrades+'!$AG$21,"F-",IF(P172&lt;'PlayerGrades+'!$AG$20,"F",IF(P172&lt;'PlayerGrades+'!$AG$19,"F+",IF(P172&lt;'PlayerGrades+'!$AG$18,"E-",IF(P172&lt;'PlayerGrades+'!$AG$17,"E",IF(P172&lt;'PlayerGrades+'!$AG$16,"E+",IF(P172&lt;'PlayerGrades+'!$AG$15,"D-",IF(P172&lt;'PlayerGrades+'!$AG$14,"D",IF(P172&lt;'PlayerGrades+'!$AG$13,"D+",IF(P172&lt;'PlayerGrades+'!$AG$12,"C-",IF(P172&lt;'PlayerGrades+'!$AG$11,"C",IF(P172&lt;'PlayerGrades+'!$AG$10,"C+",IF(P172&lt;'PlayerGrades+'!$AG$9,"B-",IF(P172&lt;'PlayerGrades+'!$AG$8,"B",IF(P172&lt;'PlayerGrades+'!$AG$7,"B+",IF(P172&lt;'PlayerGrades+'!$AG$6,"A-",IF(P172&lt;'PlayerGrades+'!$AG$5,"A",IF(P172&lt;'PlayerGrades+'!$AG$4,"A+",IF(P172&lt;'PlayerGrades+'!$AG$3,"S-",IF(P172&lt;'PlayerGrades+'!$AG$2,"S","S+"))))))))))))))))))))</f>
        <v>#DIV/0!</v>
      </c>
      <c r="R172" s="961" t="str">
        <f t="shared" si="8"/>
        <v>#DIV/0!</v>
      </c>
      <c r="S172" s="961" t="str">
        <f>IF(R172&lt;'PlayerGrades+'!$AH$21,"F-",IF(R172&lt;'PlayerGrades+'!$AH$20,"F",IF(R172&lt;'PlayerGrades+'!$AH$19,"F+",IF(R172&lt;'PlayerGrades+'!$AH$18,"E-",IF(R172&lt;'PlayerGrades+'!$AH$17,"E",IF(R172&lt;'PlayerGrades+'!$AH$16,"E+",IF(R172&lt;'PlayerGrades+'!$AH$15,"D-",IF(R172&lt;'PlayerGrades+'!$AH$14,"D",IF(R172&lt;'PlayerGrades+'!$AH$13,"D+",IF(R172&lt;'PlayerGrades+'!$AH$12,"C-",IF(R172&lt;'PlayerGrades+'!$AH$11,"C",IF(R172&lt;'PlayerGrades+'!$AH$10,"C+",IF(R172&lt;'PlayerGrades+'!$AH$9,"B-",IF(R172&lt;'PlayerGrades+'!$AH$8,"B",IF(R172&lt;'PlayerGrades+'!$AH$7,"B+",IF(R172&lt;'PlayerGrades+'!$AH$6,"A-",IF(R172&lt;'PlayerGrades+'!$AH$5,"A",IF(R172&lt;'PlayerGrades+'!$AH$4,"A+",IF(R172&lt;'PlayerGrades+'!$AH$3,"S-",IF(R172&lt;'PlayerGrades+'!$AH$2,"S","S+"))))))))))))))))))))</f>
        <v>#DIV/0!</v>
      </c>
      <c r="T172" s="961">
        <f t="shared" si="9"/>
        <v>0</v>
      </c>
      <c r="U172" s="961" t="str">
        <f>IF(T172&lt;'PlayerGrades+'!$AI$21,"F-",IF(T172&lt;'PlayerGrades+'!$AI$20,"F",IF(T172&lt;'PlayerGrades+'!$AI$19,"F+",IF(T172&lt;'PlayerGrades+'!$AI$18,"E-",IF(T172&lt;'PlayerGrades+'!$AI$17,"E",IF(T172&lt;'PlayerGrades+'!$AI$16,"E+",IF(T172&lt;'PlayerGrades+'!$AI$15,"D-",IF(T172&lt;'PlayerGrades+'!$AI$14,"D",IF(T172&lt;'PlayerGrades+'!$AI$13,"D+",IF(T172&lt;'PlayerGrades+'!$AI$12,"C-",IF(T172&lt;'PlayerGrades+'!$AI$11,"C",IF(T172&lt;'PlayerGrades+'!$AI$10,"C+",IF(T172&lt;'PlayerGrades+'!$AI$9,"B-",IF(T172&lt;'PlayerGrades+'!$AI$8,"B",IF(T172&lt;'PlayerGrades+'!$AI$7,"B+",IF(T172&lt;'PlayerGrades+'!$AI$6,"A-",IF(T172&lt;'PlayerGrades+'!$AI$5,"A",IF(T172&lt;'PlayerGrades+'!$AI$4,"A+",IF(T172&lt;'PlayerGrades+'!$AI$3,"S-",IF(T172&lt;'PlayerGrades+'!$AI$2,"S","S+"))))))))))))))))))))</f>
        <v>F-</v>
      </c>
      <c r="AC172" s="1392"/>
    </row>
    <row r="173">
      <c r="A173" s="1391"/>
      <c r="B173" s="611" t="str">
        <f>IF(C173&lt;'PlayerGrades+'!$Y$44,"F-",IF(C173&lt;'PlayerGrades+'!$Y$43,"F",IF(C173&lt;'PlayerGrades+'!$Y$42,"F+",IF(C173&lt;'PlayerGrades+'!$Y$41,"E-",IF(C173&lt;'PlayerGrades+'!$Y$40,"E",IF(C173&lt;'PlayerGrades+'!$Y$39,"E+",IF(C173&lt;'PlayerGrades+'!$Y$38,"D-",IF(C173&lt;'PlayerGrades+'!$Y$37,"D",IF(C173&lt;'PlayerGrades+'!$Y$36,"D+",IF(C173&lt;'PlayerGrades+'!$Y$35,"C-",IF(C173&lt;'PlayerGrades+'!$Y$34,"C",IF(C173&lt;'PlayerGrades+'!$Y$33,"C+",IF(C173&lt;'PlayerGrades+'!$Y$32,"B-",IF(C173&lt;'PlayerGrades+'!$Y$31,"B",IF(C173&lt;'PlayerGrades+'!$Y$30,"B+",IF(C173&lt;'PlayerGrades+'!$Y$29,"A-",IF(C173&lt;'PlayerGrades+'!$Y$28,"A",IF(C173&lt;'PlayerGrades+'!$Y$27,"A+",IF(C173&lt;'PlayerGrades+'!$Y$26,"S-",IF(C173&lt;'PlayerGrades+'!$Y$25,"S","S+"))))))))))))))))))))</f>
        <v>#DIV/0!</v>
      </c>
      <c r="C173" s="1378" t="str">
        <f>('PlayerGrades+'!$Y$47*(VLOOKUP(E173, 'PlayerGrades+'!$X$3:$Y$23, 2, FALSE)))+('PlayerGrades+'!$Y$48*(VLOOKUP(G173, 'PlayerGrades+'!$X$3:$Y$23, 2, FALSE)))+('PlayerGrades+'!$Y$49*(VLOOKUP(I173, 'PlayerGrades+'!$X$3:$Y$23, 2, FALSE)))+('PlayerGrades+'!$Y$50*(VLOOKUP(K173, 'PlayerGrades+'!$X$3:$Y$23, 2, FALSE)))+('PlayerGrades+'!$Y$51*(VLOOKUP(M173, 'PlayerGrades+'!$X$3:$Y$23, 2, FALSE)))+('PlayerGrades+'!$Y$52*(VLOOKUP(O173, 'PlayerGrades+'!$X$3:$Y$23, 2, FALSE)))+('PlayerGrades+'!$Y$53*(VLOOKUP(Q173, 'PlayerGrades+'!$X$3:$Y$23, 2, FALSE)))+('PlayerGrades+'!$Y$54*(VLOOKUP(S173, 'PlayerGrades+'!$X$3:$Y$23, 2, FALSE)))+('PlayerGrades+'!$Y$55*(VLOOKUP(U173, 'PlayerGrades+'!$X$3:$Y$23, 2, FALSE)))</f>
        <v>#DIV/0!</v>
      </c>
      <c r="D173" s="961" t="str">
        <f t="shared" si="1"/>
        <v>#DIV/0!</v>
      </c>
      <c r="E173" s="961" t="str">
        <f>IF(D173&lt;'PlayerGrades+'!$AA$21,"F-",IF(D173&lt;'PlayerGrades+'!$AA$20,"F",IF(D173&lt;'PlayerGrades+'!$AA$19,"F+",IF(D173&lt;'PlayerGrades+'!$AA$18,"E-",IF(D173&lt;'PlayerGrades+'!$AA$17,"E",IF(D173&lt;'PlayerGrades+'!$AA$16,"E+",IF(D173&lt;'PlayerGrades+'!$AA$15,"D-",IF(D173&lt;'PlayerGrades+'!$AA$14,"D",IF(D173&lt;'PlayerGrades+'!$AA$13,"D+",IF(D173&lt;'PlayerGrades+'!$AA$12,"C-",IF(D173&lt;'PlayerGrades+'!$AA$11,"C",IF(D173&lt;'PlayerGrades+'!$AA$10,"C+",IF(D173&lt;'PlayerGrades+'!$AA$9,"B-",IF(D173&lt;'PlayerGrades+'!$AA$8,"B",IF(D173&lt;'PlayerGrades+'!$AA$7,"B+",IF(D173&lt;'PlayerGrades+'!$AA$6,"A-",IF(D173&lt;'PlayerGrades+'!$AA$5,"A",IF(D173&lt;'PlayerGrades+'!$AA$4,"A+",IF(D173&lt;'PlayerGrades+'!$AA$3,"S-",IF(D173&lt;'PlayerGrades+'!$AA$2,"S","S+"))))))))))))))))))))</f>
        <v>#DIV/0!</v>
      </c>
      <c r="F173" s="961" t="str">
        <f t="shared" si="2"/>
        <v>#DIV/0!</v>
      </c>
      <c r="G173" s="961" t="str">
        <f>IF(F173&lt;'PlayerGrades+'!$AB$21,"F-",IF(F173&lt;'PlayerGrades+'!$AB$20,"F",IF(F173&lt;'PlayerGrades+'!$AB$19,"F+",IF(F173&lt;'PlayerGrades+'!$AB$18,"E-",IF(F173&lt;'PlayerGrades+'!$AB$17,"E",IF(F173&lt;'PlayerGrades+'!$AB$16,"E+",IF(F173&lt;'PlayerGrades+'!$AB$15,"D-",IF(F173&lt;'PlayerGrades+'!$AB$14,"D",IF(F173&lt;'PlayerGrades+'!$AB$13,"D+",IF(F173&lt;'PlayerGrades+'!$AB$12,"C-",IF(F173&lt;'PlayerGrades+'!$AB$11,"C",IF(F173&lt;'PlayerGrades+'!$AB$10,"C+",IF(F173&lt;'PlayerGrades+'!$AB$9,"B-",IF(F173&lt;'PlayerGrades+'!$AB$8,"B",IF(F173&lt;'PlayerGrades+'!$AB$7,"B+",IF(F173&lt;'PlayerGrades+'!$AB$6,"A-",IF(F173&lt;'PlayerGrades+'!$AB$5,"A",IF(F173&lt;'PlayerGrades+'!$AB$4,"A+",IF(F173&lt;'PlayerGrades+'!$AB$3,"S-",IF(F173&lt;'PlayerGrades+'!$AB$2,"S","S+"))))))))))))))))))))</f>
        <v>#DIV/0!</v>
      </c>
      <c r="H173" s="961" t="str">
        <f t="shared" si="3"/>
        <v>#DIV/0!</v>
      </c>
      <c r="I173" s="961" t="str">
        <f>IF(H173&lt;'PlayerGrades+'!$AC$21,"F-",IF(H173&lt;'PlayerGrades+'!$AC$20,"F",IF(H173&lt;'PlayerGrades+'!$AC$19,"F+",IF(H173&lt;'PlayerGrades+'!$AC$18,"E-",IF(H173&lt;'PlayerGrades+'!$AC$17,"E",IF(H173&lt;'PlayerGrades+'!$AC$16,"E+",IF(H173&lt;'PlayerGrades+'!$AC$15,"D-",IF(H173&lt;'PlayerGrades+'!$AC$14,"D",IF(H173&lt;'PlayerGrades+'!$AC$13,"D+",IF(H173&lt;'PlayerGrades+'!$AC$12,"C-",IF(H173&lt;'PlayerGrades+'!$AC$11,"C",IF(H173&lt;'PlayerGrades+'!$AC$10,"C+",IF(H173&lt;'PlayerGrades+'!$AC$9,"B-",IF(H173&lt;'PlayerGrades+'!$AC$8,"B",IF(H173&lt;'PlayerGrades+'!$AC$7,"B+",IF(H173&lt;'PlayerGrades+'!$AC$6,"A-",IF(H173&lt;'PlayerGrades+'!$AC$5,"A",IF(H173&lt;'PlayerGrades+'!$AC$4,"A+",IF(H173&lt;'PlayerGrades+'!$AC$3,"S-",IF(H173&lt;'PlayerGrades+'!$AC$2,"S","S+"))))))))))))))))))))</f>
        <v>#DIV/0!</v>
      </c>
      <c r="J173" s="961" t="str">
        <f t="shared" si="4"/>
        <v>#DIV/0!</v>
      </c>
      <c r="K173" s="961" t="str">
        <f>IF(J173&lt;'PlayerGrades+'!$AD$21,"F-",IF(J173&lt;'PlayerGrades+'!$AD$20,"F",IF(J173&lt;'PlayerGrades+'!$AD$19,"F+",IF(J173&lt;'PlayerGrades+'!$AD$18,"E-",IF(J173&lt;'PlayerGrades+'!$AD$17,"E",IF(J173&lt;'PlayerGrades+'!$AD$16,"E+",IF(J173&lt;'PlayerGrades+'!$AD$15,"D-",IF(J173&lt;'PlayerGrades+'!$AD$14,"D",IF(J173&lt;'PlayerGrades+'!$AD$13,"D+",IF(J173&lt;'PlayerGrades+'!$AD$12,"C-",IF(J173&lt;'PlayerGrades+'!$AD$11,"C",IF(J173&lt;'PlayerGrades+'!$AD$10,"C+",IF(J173&lt;'PlayerGrades+'!$AD$9,"B-",IF(J173&lt;'PlayerGrades+'!$AD$8,"B",IF(J173&lt;'PlayerGrades+'!$AD$7,"B+",IF(J173&lt;'PlayerGrades+'!$AD$6,"A-",IF(J173&lt;'PlayerGrades+'!$AD$5,"A",IF(J173&lt;'PlayerGrades+'!$AD$4,"A+",IF(J173&lt;'PlayerGrades+'!$AD$3,"S-",IF(J173&lt;'PlayerGrades+'!$AD$2,"S","S+"))))))))))))))))))))</f>
        <v>#DIV/0!</v>
      </c>
      <c r="L173" s="1176" t="str">
        <f t="shared" si="5"/>
        <v>#DIV/0!</v>
      </c>
      <c r="M173" s="992" t="str">
        <f>IF(L173&lt;'PlayerGrades+'!$AE$21,"F-",IF(L173&lt;'PlayerGrades+'!$AE$20,"F",IF(L173&lt;'PlayerGrades+'!$AE$19,"F+",IF(L173&lt;'PlayerGrades+'!$AE$18,"E-",IF(L173&lt;'PlayerGrades+'!$AE$17,"E",IF(L173&lt;'PlayerGrades+'!$AE$16,"E+",IF(L173&lt;'PlayerGrades+'!$AE$15,"D-",IF(L173&lt;'PlayerGrades+'!$AE$14,"D",IF(L173&lt;'PlayerGrades+'!$AE$13,"D+",IF(L173&lt;'PlayerGrades+'!$AE$12,"C-",IF(L173&lt;'PlayerGrades+'!$AE$11,"C",IF(L173&lt;'PlayerGrades+'!$AE$10,"C+",IF(L173&lt;'PlayerGrades+'!$AE$9,"B-",IF(L173&lt;'PlayerGrades+'!$AE$8,"B",IF(L173&lt;'PlayerGrades+'!$AE$7,"B+",IF(L173&lt;'PlayerGrades+'!$AE$6,"A-",IF(L173&lt;'PlayerGrades+'!$AE$5,"A",IF(L173&lt;'PlayerGrades+'!$AE$4,"A+",IF(L173&lt;'PlayerGrades+'!$AE$3,"S-",IF(L173&lt;'PlayerGrades+'!$AE$2,"S","S+"))))))))))))))))))))</f>
        <v>#DIV/0!</v>
      </c>
      <c r="N173" s="961" t="str">
        <f t="shared" si="6"/>
        <v>#DIV/0!</v>
      </c>
      <c r="O173" s="961" t="str">
        <f>IF(N173&lt;'PlayerGrades+'!$AF$21,"F-",IF(N173&lt;'PlayerGrades+'!$AF$20,"F",IF(N173&lt;'PlayerGrades+'!$AF$19,"F+",IF(N173&lt;'PlayerGrades+'!$AF$18,"E-",IF(N173&lt;'PlayerGrades+'!$AF$17,"E",IF(N173&lt;'PlayerGrades+'!$AF$16,"E+",IF(N173&lt;'PlayerGrades+'!$AF$15,"D-",IF(N173&lt;'PlayerGrades+'!$AF$14,"D",IF(N173&lt;'PlayerGrades+'!$AF$13,"D+",IF(N173&lt;'PlayerGrades+'!$AF$12,"C-",IF(N173&lt;'PlayerGrades+'!$AF$11,"C",IF(N173&lt;'PlayerGrades+'!$AF$10,"C+",IF(N173&lt;'PlayerGrades+'!$AF$9,"B-",IF(N173&lt;'PlayerGrades+'!$AF$8,"B",IF(N173&lt;'PlayerGrades+'!$AF$7,"B+",IF(N173&lt;'PlayerGrades+'!$AF$6,"A-",IF(N173&lt;'PlayerGrades+'!$AF$5,"A",IF(N173&lt;'PlayerGrades+'!$AF$4,"A+",IF(N173&lt;'PlayerGrades+'!$AF$3,"S-",IF(N173&lt;'PlayerGrades+'!$AF$2,"S","S+"))))))))))))))))))))</f>
        <v>#DIV/0!</v>
      </c>
      <c r="P173" s="961" t="str">
        <f t="shared" si="7"/>
        <v>#DIV/0!</v>
      </c>
      <c r="Q173" s="961" t="str">
        <f>IF(P173&lt;'PlayerGrades+'!$AG$21,"F-",IF(P173&lt;'PlayerGrades+'!$AG$20,"F",IF(P173&lt;'PlayerGrades+'!$AG$19,"F+",IF(P173&lt;'PlayerGrades+'!$AG$18,"E-",IF(P173&lt;'PlayerGrades+'!$AG$17,"E",IF(P173&lt;'PlayerGrades+'!$AG$16,"E+",IF(P173&lt;'PlayerGrades+'!$AG$15,"D-",IF(P173&lt;'PlayerGrades+'!$AG$14,"D",IF(P173&lt;'PlayerGrades+'!$AG$13,"D+",IF(P173&lt;'PlayerGrades+'!$AG$12,"C-",IF(P173&lt;'PlayerGrades+'!$AG$11,"C",IF(P173&lt;'PlayerGrades+'!$AG$10,"C+",IF(P173&lt;'PlayerGrades+'!$AG$9,"B-",IF(P173&lt;'PlayerGrades+'!$AG$8,"B",IF(P173&lt;'PlayerGrades+'!$AG$7,"B+",IF(P173&lt;'PlayerGrades+'!$AG$6,"A-",IF(P173&lt;'PlayerGrades+'!$AG$5,"A",IF(P173&lt;'PlayerGrades+'!$AG$4,"A+",IF(P173&lt;'PlayerGrades+'!$AG$3,"S-",IF(P173&lt;'PlayerGrades+'!$AG$2,"S","S+"))))))))))))))))))))</f>
        <v>#DIV/0!</v>
      </c>
      <c r="R173" s="961" t="str">
        <f t="shared" si="8"/>
        <v>#DIV/0!</v>
      </c>
      <c r="S173" s="961" t="str">
        <f>IF(R173&lt;'PlayerGrades+'!$AH$21,"F-",IF(R173&lt;'PlayerGrades+'!$AH$20,"F",IF(R173&lt;'PlayerGrades+'!$AH$19,"F+",IF(R173&lt;'PlayerGrades+'!$AH$18,"E-",IF(R173&lt;'PlayerGrades+'!$AH$17,"E",IF(R173&lt;'PlayerGrades+'!$AH$16,"E+",IF(R173&lt;'PlayerGrades+'!$AH$15,"D-",IF(R173&lt;'PlayerGrades+'!$AH$14,"D",IF(R173&lt;'PlayerGrades+'!$AH$13,"D+",IF(R173&lt;'PlayerGrades+'!$AH$12,"C-",IF(R173&lt;'PlayerGrades+'!$AH$11,"C",IF(R173&lt;'PlayerGrades+'!$AH$10,"C+",IF(R173&lt;'PlayerGrades+'!$AH$9,"B-",IF(R173&lt;'PlayerGrades+'!$AH$8,"B",IF(R173&lt;'PlayerGrades+'!$AH$7,"B+",IF(R173&lt;'PlayerGrades+'!$AH$6,"A-",IF(R173&lt;'PlayerGrades+'!$AH$5,"A",IF(R173&lt;'PlayerGrades+'!$AH$4,"A+",IF(R173&lt;'PlayerGrades+'!$AH$3,"S-",IF(R173&lt;'PlayerGrades+'!$AH$2,"S","S+"))))))))))))))))))))</f>
        <v>#DIV/0!</v>
      </c>
      <c r="T173" s="961">
        <f t="shared" si="9"/>
        <v>0</v>
      </c>
      <c r="U173" s="961" t="str">
        <f>IF(T173&lt;'PlayerGrades+'!$AI$21,"F-",IF(T173&lt;'PlayerGrades+'!$AI$20,"F",IF(T173&lt;'PlayerGrades+'!$AI$19,"F+",IF(T173&lt;'PlayerGrades+'!$AI$18,"E-",IF(T173&lt;'PlayerGrades+'!$AI$17,"E",IF(T173&lt;'PlayerGrades+'!$AI$16,"E+",IF(T173&lt;'PlayerGrades+'!$AI$15,"D-",IF(T173&lt;'PlayerGrades+'!$AI$14,"D",IF(T173&lt;'PlayerGrades+'!$AI$13,"D+",IF(T173&lt;'PlayerGrades+'!$AI$12,"C-",IF(T173&lt;'PlayerGrades+'!$AI$11,"C",IF(T173&lt;'PlayerGrades+'!$AI$10,"C+",IF(T173&lt;'PlayerGrades+'!$AI$9,"B-",IF(T173&lt;'PlayerGrades+'!$AI$8,"B",IF(T173&lt;'PlayerGrades+'!$AI$7,"B+",IF(T173&lt;'PlayerGrades+'!$AI$6,"A-",IF(T173&lt;'PlayerGrades+'!$AI$5,"A",IF(T173&lt;'PlayerGrades+'!$AI$4,"A+",IF(T173&lt;'PlayerGrades+'!$AI$3,"S-",IF(T173&lt;'PlayerGrades+'!$AI$2,"S","S+"))))))))))))))))))))</f>
        <v>F-</v>
      </c>
      <c r="AC173" s="1392"/>
    </row>
    <row r="174">
      <c r="A174" s="1391"/>
      <c r="B174" s="611" t="str">
        <f>IF(C174&lt;'PlayerGrades+'!$Y$44,"F-",IF(C174&lt;'PlayerGrades+'!$Y$43,"F",IF(C174&lt;'PlayerGrades+'!$Y$42,"F+",IF(C174&lt;'PlayerGrades+'!$Y$41,"E-",IF(C174&lt;'PlayerGrades+'!$Y$40,"E",IF(C174&lt;'PlayerGrades+'!$Y$39,"E+",IF(C174&lt;'PlayerGrades+'!$Y$38,"D-",IF(C174&lt;'PlayerGrades+'!$Y$37,"D",IF(C174&lt;'PlayerGrades+'!$Y$36,"D+",IF(C174&lt;'PlayerGrades+'!$Y$35,"C-",IF(C174&lt;'PlayerGrades+'!$Y$34,"C",IF(C174&lt;'PlayerGrades+'!$Y$33,"C+",IF(C174&lt;'PlayerGrades+'!$Y$32,"B-",IF(C174&lt;'PlayerGrades+'!$Y$31,"B",IF(C174&lt;'PlayerGrades+'!$Y$30,"B+",IF(C174&lt;'PlayerGrades+'!$Y$29,"A-",IF(C174&lt;'PlayerGrades+'!$Y$28,"A",IF(C174&lt;'PlayerGrades+'!$Y$27,"A+",IF(C174&lt;'PlayerGrades+'!$Y$26,"S-",IF(C174&lt;'PlayerGrades+'!$Y$25,"S","S+"))))))))))))))))))))</f>
        <v>#DIV/0!</v>
      </c>
      <c r="C174" s="1378" t="str">
        <f>('PlayerGrades+'!$Y$47*(VLOOKUP(E174, 'PlayerGrades+'!$X$3:$Y$23, 2, FALSE)))+('PlayerGrades+'!$Y$48*(VLOOKUP(G174, 'PlayerGrades+'!$X$3:$Y$23, 2, FALSE)))+('PlayerGrades+'!$Y$49*(VLOOKUP(I174, 'PlayerGrades+'!$X$3:$Y$23, 2, FALSE)))+('PlayerGrades+'!$Y$50*(VLOOKUP(K174, 'PlayerGrades+'!$X$3:$Y$23, 2, FALSE)))+('PlayerGrades+'!$Y$51*(VLOOKUP(M174, 'PlayerGrades+'!$X$3:$Y$23, 2, FALSE)))+('PlayerGrades+'!$Y$52*(VLOOKUP(O174, 'PlayerGrades+'!$X$3:$Y$23, 2, FALSE)))+('PlayerGrades+'!$Y$53*(VLOOKUP(Q174, 'PlayerGrades+'!$X$3:$Y$23, 2, FALSE)))+('PlayerGrades+'!$Y$54*(VLOOKUP(S174, 'PlayerGrades+'!$X$3:$Y$23, 2, FALSE)))+('PlayerGrades+'!$Y$55*(VLOOKUP(U174, 'PlayerGrades+'!$X$3:$Y$23, 2, FALSE)))</f>
        <v>#DIV/0!</v>
      </c>
      <c r="D174" s="961" t="str">
        <f t="shared" si="1"/>
        <v>#DIV/0!</v>
      </c>
      <c r="E174" s="961" t="str">
        <f>IF(D174&lt;'PlayerGrades+'!$AA$21,"F-",IF(D174&lt;'PlayerGrades+'!$AA$20,"F",IF(D174&lt;'PlayerGrades+'!$AA$19,"F+",IF(D174&lt;'PlayerGrades+'!$AA$18,"E-",IF(D174&lt;'PlayerGrades+'!$AA$17,"E",IF(D174&lt;'PlayerGrades+'!$AA$16,"E+",IF(D174&lt;'PlayerGrades+'!$AA$15,"D-",IF(D174&lt;'PlayerGrades+'!$AA$14,"D",IF(D174&lt;'PlayerGrades+'!$AA$13,"D+",IF(D174&lt;'PlayerGrades+'!$AA$12,"C-",IF(D174&lt;'PlayerGrades+'!$AA$11,"C",IF(D174&lt;'PlayerGrades+'!$AA$10,"C+",IF(D174&lt;'PlayerGrades+'!$AA$9,"B-",IF(D174&lt;'PlayerGrades+'!$AA$8,"B",IF(D174&lt;'PlayerGrades+'!$AA$7,"B+",IF(D174&lt;'PlayerGrades+'!$AA$6,"A-",IF(D174&lt;'PlayerGrades+'!$AA$5,"A",IF(D174&lt;'PlayerGrades+'!$AA$4,"A+",IF(D174&lt;'PlayerGrades+'!$AA$3,"S-",IF(D174&lt;'PlayerGrades+'!$AA$2,"S","S+"))))))))))))))))))))</f>
        <v>#DIV/0!</v>
      </c>
      <c r="F174" s="961" t="str">
        <f t="shared" si="2"/>
        <v>#DIV/0!</v>
      </c>
      <c r="G174" s="961" t="str">
        <f>IF(F174&lt;'PlayerGrades+'!$AB$21,"F-",IF(F174&lt;'PlayerGrades+'!$AB$20,"F",IF(F174&lt;'PlayerGrades+'!$AB$19,"F+",IF(F174&lt;'PlayerGrades+'!$AB$18,"E-",IF(F174&lt;'PlayerGrades+'!$AB$17,"E",IF(F174&lt;'PlayerGrades+'!$AB$16,"E+",IF(F174&lt;'PlayerGrades+'!$AB$15,"D-",IF(F174&lt;'PlayerGrades+'!$AB$14,"D",IF(F174&lt;'PlayerGrades+'!$AB$13,"D+",IF(F174&lt;'PlayerGrades+'!$AB$12,"C-",IF(F174&lt;'PlayerGrades+'!$AB$11,"C",IF(F174&lt;'PlayerGrades+'!$AB$10,"C+",IF(F174&lt;'PlayerGrades+'!$AB$9,"B-",IF(F174&lt;'PlayerGrades+'!$AB$8,"B",IF(F174&lt;'PlayerGrades+'!$AB$7,"B+",IF(F174&lt;'PlayerGrades+'!$AB$6,"A-",IF(F174&lt;'PlayerGrades+'!$AB$5,"A",IF(F174&lt;'PlayerGrades+'!$AB$4,"A+",IF(F174&lt;'PlayerGrades+'!$AB$3,"S-",IF(F174&lt;'PlayerGrades+'!$AB$2,"S","S+"))))))))))))))))))))</f>
        <v>#DIV/0!</v>
      </c>
      <c r="H174" s="961" t="str">
        <f t="shared" si="3"/>
        <v>#DIV/0!</v>
      </c>
      <c r="I174" s="961" t="str">
        <f>IF(H174&lt;'PlayerGrades+'!$AC$21,"F-",IF(H174&lt;'PlayerGrades+'!$AC$20,"F",IF(H174&lt;'PlayerGrades+'!$AC$19,"F+",IF(H174&lt;'PlayerGrades+'!$AC$18,"E-",IF(H174&lt;'PlayerGrades+'!$AC$17,"E",IF(H174&lt;'PlayerGrades+'!$AC$16,"E+",IF(H174&lt;'PlayerGrades+'!$AC$15,"D-",IF(H174&lt;'PlayerGrades+'!$AC$14,"D",IF(H174&lt;'PlayerGrades+'!$AC$13,"D+",IF(H174&lt;'PlayerGrades+'!$AC$12,"C-",IF(H174&lt;'PlayerGrades+'!$AC$11,"C",IF(H174&lt;'PlayerGrades+'!$AC$10,"C+",IF(H174&lt;'PlayerGrades+'!$AC$9,"B-",IF(H174&lt;'PlayerGrades+'!$AC$8,"B",IF(H174&lt;'PlayerGrades+'!$AC$7,"B+",IF(H174&lt;'PlayerGrades+'!$AC$6,"A-",IF(H174&lt;'PlayerGrades+'!$AC$5,"A",IF(H174&lt;'PlayerGrades+'!$AC$4,"A+",IF(H174&lt;'PlayerGrades+'!$AC$3,"S-",IF(H174&lt;'PlayerGrades+'!$AC$2,"S","S+"))))))))))))))))))))</f>
        <v>#DIV/0!</v>
      </c>
      <c r="J174" s="961" t="str">
        <f t="shared" si="4"/>
        <v>#DIV/0!</v>
      </c>
      <c r="K174" s="961" t="str">
        <f>IF(J174&lt;'PlayerGrades+'!$AD$21,"F-",IF(J174&lt;'PlayerGrades+'!$AD$20,"F",IF(J174&lt;'PlayerGrades+'!$AD$19,"F+",IF(J174&lt;'PlayerGrades+'!$AD$18,"E-",IF(J174&lt;'PlayerGrades+'!$AD$17,"E",IF(J174&lt;'PlayerGrades+'!$AD$16,"E+",IF(J174&lt;'PlayerGrades+'!$AD$15,"D-",IF(J174&lt;'PlayerGrades+'!$AD$14,"D",IF(J174&lt;'PlayerGrades+'!$AD$13,"D+",IF(J174&lt;'PlayerGrades+'!$AD$12,"C-",IF(J174&lt;'PlayerGrades+'!$AD$11,"C",IF(J174&lt;'PlayerGrades+'!$AD$10,"C+",IF(J174&lt;'PlayerGrades+'!$AD$9,"B-",IF(J174&lt;'PlayerGrades+'!$AD$8,"B",IF(J174&lt;'PlayerGrades+'!$AD$7,"B+",IF(J174&lt;'PlayerGrades+'!$AD$6,"A-",IF(J174&lt;'PlayerGrades+'!$AD$5,"A",IF(J174&lt;'PlayerGrades+'!$AD$4,"A+",IF(J174&lt;'PlayerGrades+'!$AD$3,"S-",IF(J174&lt;'PlayerGrades+'!$AD$2,"S","S+"))))))))))))))))))))</f>
        <v>#DIV/0!</v>
      </c>
      <c r="L174" s="1176" t="str">
        <f t="shared" si="5"/>
        <v>#DIV/0!</v>
      </c>
      <c r="M174" s="992" t="str">
        <f>IF(L174&lt;'PlayerGrades+'!$AE$21,"F-",IF(L174&lt;'PlayerGrades+'!$AE$20,"F",IF(L174&lt;'PlayerGrades+'!$AE$19,"F+",IF(L174&lt;'PlayerGrades+'!$AE$18,"E-",IF(L174&lt;'PlayerGrades+'!$AE$17,"E",IF(L174&lt;'PlayerGrades+'!$AE$16,"E+",IF(L174&lt;'PlayerGrades+'!$AE$15,"D-",IF(L174&lt;'PlayerGrades+'!$AE$14,"D",IF(L174&lt;'PlayerGrades+'!$AE$13,"D+",IF(L174&lt;'PlayerGrades+'!$AE$12,"C-",IF(L174&lt;'PlayerGrades+'!$AE$11,"C",IF(L174&lt;'PlayerGrades+'!$AE$10,"C+",IF(L174&lt;'PlayerGrades+'!$AE$9,"B-",IF(L174&lt;'PlayerGrades+'!$AE$8,"B",IF(L174&lt;'PlayerGrades+'!$AE$7,"B+",IF(L174&lt;'PlayerGrades+'!$AE$6,"A-",IF(L174&lt;'PlayerGrades+'!$AE$5,"A",IF(L174&lt;'PlayerGrades+'!$AE$4,"A+",IF(L174&lt;'PlayerGrades+'!$AE$3,"S-",IF(L174&lt;'PlayerGrades+'!$AE$2,"S","S+"))))))))))))))))))))</f>
        <v>#DIV/0!</v>
      </c>
      <c r="N174" s="961" t="str">
        <f t="shared" si="6"/>
        <v>#DIV/0!</v>
      </c>
      <c r="O174" s="961" t="str">
        <f>IF(N174&lt;'PlayerGrades+'!$AF$21,"F-",IF(N174&lt;'PlayerGrades+'!$AF$20,"F",IF(N174&lt;'PlayerGrades+'!$AF$19,"F+",IF(N174&lt;'PlayerGrades+'!$AF$18,"E-",IF(N174&lt;'PlayerGrades+'!$AF$17,"E",IF(N174&lt;'PlayerGrades+'!$AF$16,"E+",IF(N174&lt;'PlayerGrades+'!$AF$15,"D-",IF(N174&lt;'PlayerGrades+'!$AF$14,"D",IF(N174&lt;'PlayerGrades+'!$AF$13,"D+",IF(N174&lt;'PlayerGrades+'!$AF$12,"C-",IF(N174&lt;'PlayerGrades+'!$AF$11,"C",IF(N174&lt;'PlayerGrades+'!$AF$10,"C+",IF(N174&lt;'PlayerGrades+'!$AF$9,"B-",IF(N174&lt;'PlayerGrades+'!$AF$8,"B",IF(N174&lt;'PlayerGrades+'!$AF$7,"B+",IF(N174&lt;'PlayerGrades+'!$AF$6,"A-",IF(N174&lt;'PlayerGrades+'!$AF$5,"A",IF(N174&lt;'PlayerGrades+'!$AF$4,"A+",IF(N174&lt;'PlayerGrades+'!$AF$3,"S-",IF(N174&lt;'PlayerGrades+'!$AF$2,"S","S+"))))))))))))))))))))</f>
        <v>#DIV/0!</v>
      </c>
      <c r="P174" s="961" t="str">
        <f t="shared" si="7"/>
        <v>#DIV/0!</v>
      </c>
      <c r="Q174" s="961" t="str">
        <f>IF(P174&lt;'PlayerGrades+'!$AG$21,"F-",IF(P174&lt;'PlayerGrades+'!$AG$20,"F",IF(P174&lt;'PlayerGrades+'!$AG$19,"F+",IF(P174&lt;'PlayerGrades+'!$AG$18,"E-",IF(P174&lt;'PlayerGrades+'!$AG$17,"E",IF(P174&lt;'PlayerGrades+'!$AG$16,"E+",IF(P174&lt;'PlayerGrades+'!$AG$15,"D-",IF(P174&lt;'PlayerGrades+'!$AG$14,"D",IF(P174&lt;'PlayerGrades+'!$AG$13,"D+",IF(P174&lt;'PlayerGrades+'!$AG$12,"C-",IF(P174&lt;'PlayerGrades+'!$AG$11,"C",IF(P174&lt;'PlayerGrades+'!$AG$10,"C+",IF(P174&lt;'PlayerGrades+'!$AG$9,"B-",IF(P174&lt;'PlayerGrades+'!$AG$8,"B",IF(P174&lt;'PlayerGrades+'!$AG$7,"B+",IF(P174&lt;'PlayerGrades+'!$AG$6,"A-",IF(P174&lt;'PlayerGrades+'!$AG$5,"A",IF(P174&lt;'PlayerGrades+'!$AG$4,"A+",IF(P174&lt;'PlayerGrades+'!$AG$3,"S-",IF(P174&lt;'PlayerGrades+'!$AG$2,"S","S+"))))))))))))))))))))</f>
        <v>#DIV/0!</v>
      </c>
      <c r="R174" s="961" t="str">
        <f t="shared" si="8"/>
        <v>#DIV/0!</v>
      </c>
      <c r="S174" s="961" t="str">
        <f>IF(R174&lt;'PlayerGrades+'!$AH$21,"F-",IF(R174&lt;'PlayerGrades+'!$AH$20,"F",IF(R174&lt;'PlayerGrades+'!$AH$19,"F+",IF(R174&lt;'PlayerGrades+'!$AH$18,"E-",IF(R174&lt;'PlayerGrades+'!$AH$17,"E",IF(R174&lt;'PlayerGrades+'!$AH$16,"E+",IF(R174&lt;'PlayerGrades+'!$AH$15,"D-",IF(R174&lt;'PlayerGrades+'!$AH$14,"D",IF(R174&lt;'PlayerGrades+'!$AH$13,"D+",IF(R174&lt;'PlayerGrades+'!$AH$12,"C-",IF(R174&lt;'PlayerGrades+'!$AH$11,"C",IF(R174&lt;'PlayerGrades+'!$AH$10,"C+",IF(R174&lt;'PlayerGrades+'!$AH$9,"B-",IF(R174&lt;'PlayerGrades+'!$AH$8,"B",IF(R174&lt;'PlayerGrades+'!$AH$7,"B+",IF(R174&lt;'PlayerGrades+'!$AH$6,"A-",IF(R174&lt;'PlayerGrades+'!$AH$5,"A",IF(R174&lt;'PlayerGrades+'!$AH$4,"A+",IF(R174&lt;'PlayerGrades+'!$AH$3,"S-",IF(R174&lt;'PlayerGrades+'!$AH$2,"S","S+"))))))))))))))))))))</f>
        <v>#DIV/0!</v>
      </c>
      <c r="T174" s="961">
        <f t="shared" si="9"/>
        <v>0</v>
      </c>
      <c r="U174" s="961" t="str">
        <f>IF(T174&lt;'PlayerGrades+'!$AI$21,"F-",IF(T174&lt;'PlayerGrades+'!$AI$20,"F",IF(T174&lt;'PlayerGrades+'!$AI$19,"F+",IF(T174&lt;'PlayerGrades+'!$AI$18,"E-",IF(T174&lt;'PlayerGrades+'!$AI$17,"E",IF(T174&lt;'PlayerGrades+'!$AI$16,"E+",IF(T174&lt;'PlayerGrades+'!$AI$15,"D-",IF(T174&lt;'PlayerGrades+'!$AI$14,"D",IF(T174&lt;'PlayerGrades+'!$AI$13,"D+",IF(T174&lt;'PlayerGrades+'!$AI$12,"C-",IF(T174&lt;'PlayerGrades+'!$AI$11,"C",IF(T174&lt;'PlayerGrades+'!$AI$10,"C+",IF(T174&lt;'PlayerGrades+'!$AI$9,"B-",IF(T174&lt;'PlayerGrades+'!$AI$8,"B",IF(T174&lt;'PlayerGrades+'!$AI$7,"B+",IF(T174&lt;'PlayerGrades+'!$AI$6,"A-",IF(T174&lt;'PlayerGrades+'!$AI$5,"A",IF(T174&lt;'PlayerGrades+'!$AI$4,"A+",IF(T174&lt;'PlayerGrades+'!$AI$3,"S-",IF(T174&lt;'PlayerGrades+'!$AI$2,"S","S+"))))))))))))))))))))</f>
        <v>F-</v>
      </c>
      <c r="AC174" s="1392"/>
    </row>
    <row r="175">
      <c r="A175" s="1391"/>
      <c r="B175" s="611" t="str">
        <f>IF(C175&lt;'PlayerGrades+'!$Y$44,"F-",IF(C175&lt;'PlayerGrades+'!$Y$43,"F",IF(C175&lt;'PlayerGrades+'!$Y$42,"F+",IF(C175&lt;'PlayerGrades+'!$Y$41,"E-",IF(C175&lt;'PlayerGrades+'!$Y$40,"E",IF(C175&lt;'PlayerGrades+'!$Y$39,"E+",IF(C175&lt;'PlayerGrades+'!$Y$38,"D-",IF(C175&lt;'PlayerGrades+'!$Y$37,"D",IF(C175&lt;'PlayerGrades+'!$Y$36,"D+",IF(C175&lt;'PlayerGrades+'!$Y$35,"C-",IF(C175&lt;'PlayerGrades+'!$Y$34,"C",IF(C175&lt;'PlayerGrades+'!$Y$33,"C+",IF(C175&lt;'PlayerGrades+'!$Y$32,"B-",IF(C175&lt;'PlayerGrades+'!$Y$31,"B",IF(C175&lt;'PlayerGrades+'!$Y$30,"B+",IF(C175&lt;'PlayerGrades+'!$Y$29,"A-",IF(C175&lt;'PlayerGrades+'!$Y$28,"A",IF(C175&lt;'PlayerGrades+'!$Y$27,"A+",IF(C175&lt;'PlayerGrades+'!$Y$26,"S-",IF(C175&lt;'PlayerGrades+'!$Y$25,"S","S+"))))))))))))))))))))</f>
        <v>#DIV/0!</v>
      </c>
      <c r="C175" s="1378" t="str">
        <f>('PlayerGrades+'!$Y$47*(VLOOKUP(E175, 'PlayerGrades+'!$X$3:$Y$23, 2, FALSE)))+('PlayerGrades+'!$Y$48*(VLOOKUP(G175, 'PlayerGrades+'!$X$3:$Y$23, 2, FALSE)))+('PlayerGrades+'!$Y$49*(VLOOKUP(I175, 'PlayerGrades+'!$X$3:$Y$23, 2, FALSE)))+('PlayerGrades+'!$Y$50*(VLOOKUP(K175, 'PlayerGrades+'!$X$3:$Y$23, 2, FALSE)))+('PlayerGrades+'!$Y$51*(VLOOKUP(M175, 'PlayerGrades+'!$X$3:$Y$23, 2, FALSE)))+('PlayerGrades+'!$Y$52*(VLOOKUP(O175, 'PlayerGrades+'!$X$3:$Y$23, 2, FALSE)))+('PlayerGrades+'!$Y$53*(VLOOKUP(Q175, 'PlayerGrades+'!$X$3:$Y$23, 2, FALSE)))+('PlayerGrades+'!$Y$54*(VLOOKUP(S175, 'PlayerGrades+'!$X$3:$Y$23, 2, FALSE)))+('PlayerGrades+'!$Y$55*(VLOOKUP(U175, 'PlayerGrades+'!$X$3:$Y$23, 2, FALSE)))</f>
        <v>#DIV/0!</v>
      </c>
      <c r="D175" s="961" t="str">
        <f t="shared" si="1"/>
        <v>#DIV/0!</v>
      </c>
      <c r="E175" s="961" t="str">
        <f>IF(D175&lt;'PlayerGrades+'!$AA$21,"F-",IF(D175&lt;'PlayerGrades+'!$AA$20,"F",IF(D175&lt;'PlayerGrades+'!$AA$19,"F+",IF(D175&lt;'PlayerGrades+'!$AA$18,"E-",IF(D175&lt;'PlayerGrades+'!$AA$17,"E",IF(D175&lt;'PlayerGrades+'!$AA$16,"E+",IF(D175&lt;'PlayerGrades+'!$AA$15,"D-",IF(D175&lt;'PlayerGrades+'!$AA$14,"D",IF(D175&lt;'PlayerGrades+'!$AA$13,"D+",IF(D175&lt;'PlayerGrades+'!$AA$12,"C-",IF(D175&lt;'PlayerGrades+'!$AA$11,"C",IF(D175&lt;'PlayerGrades+'!$AA$10,"C+",IF(D175&lt;'PlayerGrades+'!$AA$9,"B-",IF(D175&lt;'PlayerGrades+'!$AA$8,"B",IF(D175&lt;'PlayerGrades+'!$AA$7,"B+",IF(D175&lt;'PlayerGrades+'!$AA$6,"A-",IF(D175&lt;'PlayerGrades+'!$AA$5,"A",IF(D175&lt;'PlayerGrades+'!$AA$4,"A+",IF(D175&lt;'PlayerGrades+'!$AA$3,"S-",IF(D175&lt;'PlayerGrades+'!$AA$2,"S","S+"))))))))))))))))))))</f>
        <v>#DIV/0!</v>
      </c>
      <c r="F175" s="961" t="str">
        <f t="shared" si="2"/>
        <v>#DIV/0!</v>
      </c>
      <c r="G175" s="961" t="str">
        <f>IF(F175&lt;'PlayerGrades+'!$AB$21,"F-",IF(F175&lt;'PlayerGrades+'!$AB$20,"F",IF(F175&lt;'PlayerGrades+'!$AB$19,"F+",IF(F175&lt;'PlayerGrades+'!$AB$18,"E-",IF(F175&lt;'PlayerGrades+'!$AB$17,"E",IF(F175&lt;'PlayerGrades+'!$AB$16,"E+",IF(F175&lt;'PlayerGrades+'!$AB$15,"D-",IF(F175&lt;'PlayerGrades+'!$AB$14,"D",IF(F175&lt;'PlayerGrades+'!$AB$13,"D+",IF(F175&lt;'PlayerGrades+'!$AB$12,"C-",IF(F175&lt;'PlayerGrades+'!$AB$11,"C",IF(F175&lt;'PlayerGrades+'!$AB$10,"C+",IF(F175&lt;'PlayerGrades+'!$AB$9,"B-",IF(F175&lt;'PlayerGrades+'!$AB$8,"B",IF(F175&lt;'PlayerGrades+'!$AB$7,"B+",IF(F175&lt;'PlayerGrades+'!$AB$6,"A-",IF(F175&lt;'PlayerGrades+'!$AB$5,"A",IF(F175&lt;'PlayerGrades+'!$AB$4,"A+",IF(F175&lt;'PlayerGrades+'!$AB$3,"S-",IF(F175&lt;'PlayerGrades+'!$AB$2,"S","S+"))))))))))))))))))))</f>
        <v>#DIV/0!</v>
      </c>
      <c r="H175" s="961" t="str">
        <f t="shared" si="3"/>
        <v>#DIV/0!</v>
      </c>
      <c r="I175" s="961" t="str">
        <f>IF(H175&lt;'PlayerGrades+'!$AC$21,"F-",IF(H175&lt;'PlayerGrades+'!$AC$20,"F",IF(H175&lt;'PlayerGrades+'!$AC$19,"F+",IF(H175&lt;'PlayerGrades+'!$AC$18,"E-",IF(H175&lt;'PlayerGrades+'!$AC$17,"E",IF(H175&lt;'PlayerGrades+'!$AC$16,"E+",IF(H175&lt;'PlayerGrades+'!$AC$15,"D-",IF(H175&lt;'PlayerGrades+'!$AC$14,"D",IF(H175&lt;'PlayerGrades+'!$AC$13,"D+",IF(H175&lt;'PlayerGrades+'!$AC$12,"C-",IF(H175&lt;'PlayerGrades+'!$AC$11,"C",IF(H175&lt;'PlayerGrades+'!$AC$10,"C+",IF(H175&lt;'PlayerGrades+'!$AC$9,"B-",IF(H175&lt;'PlayerGrades+'!$AC$8,"B",IF(H175&lt;'PlayerGrades+'!$AC$7,"B+",IF(H175&lt;'PlayerGrades+'!$AC$6,"A-",IF(H175&lt;'PlayerGrades+'!$AC$5,"A",IF(H175&lt;'PlayerGrades+'!$AC$4,"A+",IF(H175&lt;'PlayerGrades+'!$AC$3,"S-",IF(H175&lt;'PlayerGrades+'!$AC$2,"S","S+"))))))))))))))))))))</f>
        <v>#DIV/0!</v>
      </c>
      <c r="J175" s="961" t="str">
        <f t="shared" si="4"/>
        <v>#DIV/0!</v>
      </c>
      <c r="K175" s="961" t="str">
        <f>IF(J175&lt;'PlayerGrades+'!$AD$21,"F-",IF(J175&lt;'PlayerGrades+'!$AD$20,"F",IF(J175&lt;'PlayerGrades+'!$AD$19,"F+",IF(J175&lt;'PlayerGrades+'!$AD$18,"E-",IF(J175&lt;'PlayerGrades+'!$AD$17,"E",IF(J175&lt;'PlayerGrades+'!$AD$16,"E+",IF(J175&lt;'PlayerGrades+'!$AD$15,"D-",IF(J175&lt;'PlayerGrades+'!$AD$14,"D",IF(J175&lt;'PlayerGrades+'!$AD$13,"D+",IF(J175&lt;'PlayerGrades+'!$AD$12,"C-",IF(J175&lt;'PlayerGrades+'!$AD$11,"C",IF(J175&lt;'PlayerGrades+'!$AD$10,"C+",IF(J175&lt;'PlayerGrades+'!$AD$9,"B-",IF(J175&lt;'PlayerGrades+'!$AD$8,"B",IF(J175&lt;'PlayerGrades+'!$AD$7,"B+",IF(J175&lt;'PlayerGrades+'!$AD$6,"A-",IF(J175&lt;'PlayerGrades+'!$AD$5,"A",IF(J175&lt;'PlayerGrades+'!$AD$4,"A+",IF(J175&lt;'PlayerGrades+'!$AD$3,"S-",IF(J175&lt;'PlayerGrades+'!$AD$2,"S","S+"))))))))))))))))))))</f>
        <v>#DIV/0!</v>
      </c>
      <c r="L175" s="1176" t="str">
        <f t="shared" si="5"/>
        <v>#DIV/0!</v>
      </c>
      <c r="M175" s="992" t="str">
        <f>IF(L175&lt;'PlayerGrades+'!$AE$21,"F-",IF(L175&lt;'PlayerGrades+'!$AE$20,"F",IF(L175&lt;'PlayerGrades+'!$AE$19,"F+",IF(L175&lt;'PlayerGrades+'!$AE$18,"E-",IF(L175&lt;'PlayerGrades+'!$AE$17,"E",IF(L175&lt;'PlayerGrades+'!$AE$16,"E+",IF(L175&lt;'PlayerGrades+'!$AE$15,"D-",IF(L175&lt;'PlayerGrades+'!$AE$14,"D",IF(L175&lt;'PlayerGrades+'!$AE$13,"D+",IF(L175&lt;'PlayerGrades+'!$AE$12,"C-",IF(L175&lt;'PlayerGrades+'!$AE$11,"C",IF(L175&lt;'PlayerGrades+'!$AE$10,"C+",IF(L175&lt;'PlayerGrades+'!$AE$9,"B-",IF(L175&lt;'PlayerGrades+'!$AE$8,"B",IF(L175&lt;'PlayerGrades+'!$AE$7,"B+",IF(L175&lt;'PlayerGrades+'!$AE$6,"A-",IF(L175&lt;'PlayerGrades+'!$AE$5,"A",IF(L175&lt;'PlayerGrades+'!$AE$4,"A+",IF(L175&lt;'PlayerGrades+'!$AE$3,"S-",IF(L175&lt;'PlayerGrades+'!$AE$2,"S","S+"))))))))))))))))))))</f>
        <v>#DIV/0!</v>
      </c>
      <c r="N175" s="961" t="str">
        <f t="shared" si="6"/>
        <v>#DIV/0!</v>
      </c>
      <c r="O175" s="961" t="str">
        <f>IF(N175&lt;'PlayerGrades+'!$AF$21,"F-",IF(N175&lt;'PlayerGrades+'!$AF$20,"F",IF(N175&lt;'PlayerGrades+'!$AF$19,"F+",IF(N175&lt;'PlayerGrades+'!$AF$18,"E-",IF(N175&lt;'PlayerGrades+'!$AF$17,"E",IF(N175&lt;'PlayerGrades+'!$AF$16,"E+",IF(N175&lt;'PlayerGrades+'!$AF$15,"D-",IF(N175&lt;'PlayerGrades+'!$AF$14,"D",IF(N175&lt;'PlayerGrades+'!$AF$13,"D+",IF(N175&lt;'PlayerGrades+'!$AF$12,"C-",IF(N175&lt;'PlayerGrades+'!$AF$11,"C",IF(N175&lt;'PlayerGrades+'!$AF$10,"C+",IF(N175&lt;'PlayerGrades+'!$AF$9,"B-",IF(N175&lt;'PlayerGrades+'!$AF$8,"B",IF(N175&lt;'PlayerGrades+'!$AF$7,"B+",IF(N175&lt;'PlayerGrades+'!$AF$6,"A-",IF(N175&lt;'PlayerGrades+'!$AF$5,"A",IF(N175&lt;'PlayerGrades+'!$AF$4,"A+",IF(N175&lt;'PlayerGrades+'!$AF$3,"S-",IF(N175&lt;'PlayerGrades+'!$AF$2,"S","S+"))))))))))))))))))))</f>
        <v>#DIV/0!</v>
      </c>
      <c r="P175" s="961" t="str">
        <f t="shared" si="7"/>
        <v>#DIV/0!</v>
      </c>
      <c r="Q175" s="961" t="str">
        <f>IF(P175&lt;'PlayerGrades+'!$AG$21,"F-",IF(P175&lt;'PlayerGrades+'!$AG$20,"F",IF(P175&lt;'PlayerGrades+'!$AG$19,"F+",IF(P175&lt;'PlayerGrades+'!$AG$18,"E-",IF(P175&lt;'PlayerGrades+'!$AG$17,"E",IF(P175&lt;'PlayerGrades+'!$AG$16,"E+",IF(P175&lt;'PlayerGrades+'!$AG$15,"D-",IF(P175&lt;'PlayerGrades+'!$AG$14,"D",IF(P175&lt;'PlayerGrades+'!$AG$13,"D+",IF(P175&lt;'PlayerGrades+'!$AG$12,"C-",IF(P175&lt;'PlayerGrades+'!$AG$11,"C",IF(P175&lt;'PlayerGrades+'!$AG$10,"C+",IF(P175&lt;'PlayerGrades+'!$AG$9,"B-",IF(P175&lt;'PlayerGrades+'!$AG$8,"B",IF(P175&lt;'PlayerGrades+'!$AG$7,"B+",IF(P175&lt;'PlayerGrades+'!$AG$6,"A-",IF(P175&lt;'PlayerGrades+'!$AG$5,"A",IF(P175&lt;'PlayerGrades+'!$AG$4,"A+",IF(P175&lt;'PlayerGrades+'!$AG$3,"S-",IF(P175&lt;'PlayerGrades+'!$AG$2,"S","S+"))))))))))))))))))))</f>
        <v>#DIV/0!</v>
      </c>
      <c r="R175" s="961" t="str">
        <f t="shared" si="8"/>
        <v>#DIV/0!</v>
      </c>
      <c r="S175" s="961" t="str">
        <f>IF(R175&lt;'PlayerGrades+'!$AH$21,"F-",IF(R175&lt;'PlayerGrades+'!$AH$20,"F",IF(R175&lt;'PlayerGrades+'!$AH$19,"F+",IF(R175&lt;'PlayerGrades+'!$AH$18,"E-",IF(R175&lt;'PlayerGrades+'!$AH$17,"E",IF(R175&lt;'PlayerGrades+'!$AH$16,"E+",IF(R175&lt;'PlayerGrades+'!$AH$15,"D-",IF(R175&lt;'PlayerGrades+'!$AH$14,"D",IF(R175&lt;'PlayerGrades+'!$AH$13,"D+",IF(R175&lt;'PlayerGrades+'!$AH$12,"C-",IF(R175&lt;'PlayerGrades+'!$AH$11,"C",IF(R175&lt;'PlayerGrades+'!$AH$10,"C+",IF(R175&lt;'PlayerGrades+'!$AH$9,"B-",IF(R175&lt;'PlayerGrades+'!$AH$8,"B",IF(R175&lt;'PlayerGrades+'!$AH$7,"B+",IF(R175&lt;'PlayerGrades+'!$AH$6,"A-",IF(R175&lt;'PlayerGrades+'!$AH$5,"A",IF(R175&lt;'PlayerGrades+'!$AH$4,"A+",IF(R175&lt;'PlayerGrades+'!$AH$3,"S-",IF(R175&lt;'PlayerGrades+'!$AH$2,"S","S+"))))))))))))))))))))</f>
        <v>#DIV/0!</v>
      </c>
      <c r="T175" s="961">
        <f t="shared" si="9"/>
        <v>0</v>
      </c>
      <c r="U175" s="961" t="str">
        <f>IF(T175&lt;'PlayerGrades+'!$AI$21,"F-",IF(T175&lt;'PlayerGrades+'!$AI$20,"F",IF(T175&lt;'PlayerGrades+'!$AI$19,"F+",IF(T175&lt;'PlayerGrades+'!$AI$18,"E-",IF(T175&lt;'PlayerGrades+'!$AI$17,"E",IF(T175&lt;'PlayerGrades+'!$AI$16,"E+",IF(T175&lt;'PlayerGrades+'!$AI$15,"D-",IF(T175&lt;'PlayerGrades+'!$AI$14,"D",IF(T175&lt;'PlayerGrades+'!$AI$13,"D+",IF(T175&lt;'PlayerGrades+'!$AI$12,"C-",IF(T175&lt;'PlayerGrades+'!$AI$11,"C",IF(T175&lt;'PlayerGrades+'!$AI$10,"C+",IF(T175&lt;'PlayerGrades+'!$AI$9,"B-",IF(T175&lt;'PlayerGrades+'!$AI$8,"B",IF(T175&lt;'PlayerGrades+'!$AI$7,"B+",IF(T175&lt;'PlayerGrades+'!$AI$6,"A-",IF(T175&lt;'PlayerGrades+'!$AI$5,"A",IF(T175&lt;'PlayerGrades+'!$AI$4,"A+",IF(T175&lt;'PlayerGrades+'!$AI$3,"S-",IF(T175&lt;'PlayerGrades+'!$AI$2,"S","S+"))))))))))))))))))))</f>
        <v>F-</v>
      </c>
      <c r="AC175" s="1392"/>
    </row>
    <row r="176">
      <c r="A176" s="1391"/>
      <c r="B176" s="611" t="str">
        <f>IF(C176&lt;'PlayerGrades+'!$Y$44,"F-",IF(C176&lt;'PlayerGrades+'!$Y$43,"F",IF(C176&lt;'PlayerGrades+'!$Y$42,"F+",IF(C176&lt;'PlayerGrades+'!$Y$41,"E-",IF(C176&lt;'PlayerGrades+'!$Y$40,"E",IF(C176&lt;'PlayerGrades+'!$Y$39,"E+",IF(C176&lt;'PlayerGrades+'!$Y$38,"D-",IF(C176&lt;'PlayerGrades+'!$Y$37,"D",IF(C176&lt;'PlayerGrades+'!$Y$36,"D+",IF(C176&lt;'PlayerGrades+'!$Y$35,"C-",IF(C176&lt;'PlayerGrades+'!$Y$34,"C",IF(C176&lt;'PlayerGrades+'!$Y$33,"C+",IF(C176&lt;'PlayerGrades+'!$Y$32,"B-",IF(C176&lt;'PlayerGrades+'!$Y$31,"B",IF(C176&lt;'PlayerGrades+'!$Y$30,"B+",IF(C176&lt;'PlayerGrades+'!$Y$29,"A-",IF(C176&lt;'PlayerGrades+'!$Y$28,"A",IF(C176&lt;'PlayerGrades+'!$Y$27,"A+",IF(C176&lt;'PlayerGrades+'!$Y$26,"S-",IF(C176&lt;'PlayerGrades+'!$Y$25,"S","S+"))))))))))))))))))))</f>
        <v>#DIV/0!</v>
      </c>
      <c r="C176" s="1378" t="str">
        <f>('PlayerGrades+'!$Y$47*(VLOOKUP(E176, 'PlayerGrades+'!$X$3:$Y$23, 2, FALSE)))+('PlayerGrades+'!$Y$48*(VLOOKUP(G176, 'PlayerGrades+'!$X$3:$Y$23, 2, FALSE)))+('PlayerGrades+'!$Y$49*(VLOOKUP(I176, 'PlayerGrades+'!$X$3:$Y$23, 2, FALSE)))+('PlayerGrades+'!$Y$50*(VLOOKUP(K176, 'PlayerGrades+'!$X$3:$Y$23, 2, FALSE)))+('PlayerGrades+'!$Y$51*(VLOOKUP(M176, 'PlayerGrades+'!$X$3:$Y$23, 2, FALSE)))+('PlayerGrades+'!$Y$52*(VLOOKUP(O176, 'PlayerGrades+'!$X$3:$Y$23, 2, FALSE)))+('PlayerGrades+'!$Y$53*(VLOOKUP(Q176, 'PlayerGrades+'!$X$3:$Y$23, 2, FALSE)))+('PlayerGrades+'!$Y$54*(VLOOKUP(S176, 'PlayerGrades+'!$X$3:$Y$23, 2, FALSE)))+('PlayerGrades+'!$Y$55*(VLOOKUP(U176, 'PlayerGrades+'!$X$3:$Y$23, 2, FALSE)))</f>
        <v>#DIV/0!</v>
      </c>
      <c r="D176" s="961" t="str">
        <f t="shared" si="1"/>
        <v>#DIV/0!</v>
      </c>
      <c r="E176" s="961" t="str">
        <f>IF(D176&lt;'PlayerGrades+'!$AA$21,"F-",IF(D176&lt;'PlayerGrades+'!$AA$20,"F",IF(D176&lt;'PlayerGrades+'!$AA$19,"F+",IF(D176&lt;'PlayerGrades+'!$AA$18,"E-",IF(D176&lt;'PlayerGrades+'!$AA$17,"E",IF(D176&lt;'PlayerGrades+'!$AA$16,"E+",IF(D176&lt;'PlayerGrades+'!$AA$15,"D-",IF(D176&lt;'PlayerGrades+'!$AA$14,"D",IF(D176&lt;'PlayerGrades+'!$AA$13,"D+",IF(D176&lt;'PlayerGrades+'!$AA$12,"C-",IF(D176&lt;'PlayerGrades+'!$AA$11,"C",IF(D176&lt;'PlayerGrades+'!$AA$10,"C+",IF(D176&lt;'PlayerGrades+'!$AA$9,"B-",IF(D176&lt;'PlayerGrades+'!$AA$8,"B",IF(D176&lt;'PlayerGrades+'!$AA$7,"B+",IF(D176&lt;'PlayerGrades+'!$AA$6,"A-",IF(D176&lt;'PlayerGrades+'!$AA$5,"A",IF(D176&lt;'PlayerGrades+'!$AA$4,"A+",IF(D176&lt;'PlayerGrades+'!$AA$3,"S-",IF(D176&lt;'PlayerGrades+'!$AA$2,"S","S+"))))))))))))))))))))</f>
        <v>#DIV/0!</v>
      </c>
      <c r="F176" s="961" t="str">
        <f t="shared" si="2"/>
        <v>#DIV/0!</v>
      </c>
      <c r="G176" s="961" t="str">
        <f>IF(F176&lt;'PlayerGrades+'!$AB$21,"F-",IF(F176&lt;'PlayerGrades+'!$AB$20,"F",IF(F176&lt;'PlayerGrades+'!$AB$19,"F+",IF(F176&lt;'PlayerGrades+'!$AB$18,"E-",IF(F176&lt;'PlayerGrades+'!$AB$17,"E",IF(F176&lt;'PlayerGrades+'!$AB$16,"E+",IF(F176&lt;'PlayerGrades+'!$AB$15,"D-",IF(F176&lt;'PlayerGrades+'!$AB$14,"D",IF(F176&lt;'PlayerGrades+'!$AB$13,"D+",IF(F176&lt;'PlayerGrades+'!$AB$12,"C-",IF(F176&lt;'PlayerGrades+'!$AB$11,"C",IF(F176&lt;'PlayerGrades+'!$AB$10,"C+",IF(F176&lt;'PlayerGrades+'!$AB$9,"B-",IF(F176&lt;'PlayerGrades+'!$AB$8,"B",IF(F176&lt;'PlayerGrades+'!$AB$7,"B+",IF(F176&lt;'PlayerGrades+'!$AB$6,"A-",IF(F176&lt;'PlayerGrades+'!$AB$5,"A",IF(F176&lt;'PlayerGrades+'!$AB$4,"A+",IF(F176&lt;'PlayerGrades+'!$AB$3,"S-",IF(F176&lt;'PlayerGrades+'!$AB$2,"S","S+"))))))))))))))))))))</f>
        <v>#DIV/0!</v>
      </c>
      <c r="H176" s="961" t="str">
        <f t="shared" si="3"/>
        <v>#DIV/0!</v>
      </c>
      <c r="I176" s="961" t="str">
        <f>IF(H176&lt;'PlayerGrades+'!$AC$21,"F-",IF(H176&lt;'PlayerGrades+'!$AC$20,"F",IF(H176&lt;'PlayerGrades+'!$AC$19,"F+",IF(H176&lt;'PlayerGrades+'!$AC$18,"E-",IF(H176&lt;'PlayerGrades+'!$AC$17,"E",IF(H176&lt;'PlayerGrades+'!$AC$16,"E+",IF(H176&lt;'PlayerGrades+'!$AC$15,"D-",IF(H176&lt;'PlayerGrades+'!$AC$14,"D",IF(H176&lt;'PlayerGrades+'!$AC$13,"D+",IF(H176&lt;'PlayerGrades+'!$AC$12,"C-",IF(H176&lt;'PlayerGrades+'!$AC$11,"C",IF(H176&lt;'PlayerGrades+'!$AC$10,"C+",IF(H176&lt;'PlayerGrades+'!$AC$9,"B-",IF(H176&lt;'PlayerGrades+'!$AC$8,"B",IF(H176&lt;'PlayerGrades+'!$AC$7,"B+",IF(H176&lt;'PlayerGrades+'!$AC$6,"A-",IF(H176&lt;'PlayerGrades+'!$AC$5,"A",IF(H176&lt;'PlayerGrades+'!$AC$4,"A+",IF(H176&lt;'PlayerGrades+'!$AC$3,"S-",IF(H176&lt;'PlayerGrades+'!$AC$2,"S","S+"))))))))))))))))))))</f>
        <v>#DIV/0!</v>
      </c>
      <c r="J176" s="961" t="str">
        <f t="shared" si="4"/>
        <v>#DIV/0!</v>
      </c>
      <c r="K176" s="961" t="str">
        <f>IF(J176&lt;'PlayerGrades+'!$AD$21,"F-",IF(J176&lt;'PlayerGrades+'!$AD$20,"F",IF(J176&lt;'PlayerGrades+'!$AD$19,"F+",IF(J176&lt;'PlayerGrades+'!$AD$18,"E-",IF(J176&lt;'PlayerGrades+'!$AD$17,"E",IF(J176&lt;'PlayerGrades+'!$AD$16,"E+",IF(J176&lt;'PlayerGrades+'!$AD$15,"D-",IF(J176&lt;'PlayerGrades+'!$AD$14,"D",IF(J176&lt;'PlayerGrades+'!$AD$13,"D+",IF(J176&lt;'PlayerGrades+'!$AD$12,"C-",IF(J176&lt;'PlayerGrades+'!$AD$11,"C",IF(J176&lt;'PlayerGrades+'!$AD$10,"C+",IF(J176&lt;'PlayerGrades+'!$AD$9,"B-",IF(J176&lt;'PlayerGrades+'!$AD$8,"B",IF(J176&lt;'PlayerGrades+'!$AD$7,"B+",IF(J176&lt;'PlayerGrades+'!$AD$6,"A-",IF(J176&lt;'PlayerGrades+'!$AD$5,"A",IF(J176&lt;'PlayerGrades+'!$AD$4,"A+",IF(J176&lt;'PlayerGrades+'!$AD$3,"S-",IF(J176&lt;'PlayerGrades+'!$AD$2,"S","S+"))))))))))))))))))))</f>
        <v>#DIV/0!</v>
      </c>
      <c r="L176" s="1176" t="str">
        <f t="shared" si="5"/>
        <v>#DIV/0!</v>
      </c>
      <c r="M176" s="992" t="str">
        <f>IF(L176&lt;'PlayerGrades+'!$AE$21,"F-",IF(L176&lt;'PlayerGrades+'!$AE$20,"F",IF(L176&lt;'PlayerGrades+'!$AE$19,"F+",IF(L176&lt;'PlayerGrades+'!$AE$18,"E-",IF(L176&lt;'PlayerGrades+'!$AE$17,"E",IF(L176&lt;'PlayerGrades+'!$AE$16,"E+",IF(L176&lt;'PlayerGrades+'!$AE$15,"D-",IF(L176&lt;'PlayerGrades+'!$AE$14,"D",IF(L176&lt;'PlayerGrades+'!$AE$13,"D+",IF(L176&lt;'PlayerGrades+'!$AE$12,"C-",IF(L176&lt;'PlayerGrades+'!$AE$11,"C",IF(L176&lt;'PlayerGrades+'!$AE$10,"C+",IF(L176&lt;'PlayerGrades+'!$AE$9,"B-",IF(L176&lt;'PlayerGrades+'!$AE$8,"B",IF(L176&lt;'PlayerGrades+'!$AE$7,"B+",IF(L176&lt;'PlayerGrades+'!$AE$6,"A-",IF(L176&lt;'PlayerGrades+'!$AE$5,"A",IF(L176&lt;'PlayerGrades+'!$AE$4,"A+",IF(L176&lt;'PlayerGrades+'!$AE$3,"S-",IF(L176&lt;'PlayerGrades+'!$AE$2,"S","S+"))))))))))))))))))))</f>
        <v>#DIV/0!</v>
      </c>
      <c r="N176" s="961" t="str">
        <f t="shared" si="6"/>
        <v>#DIV/0!</v>
      </c>
      <c r="O176" s="961" t="str">
        <f>IF(N176&lt;'PlayerGrades+'!$AF$21,"F-",IF(N176&lt;'PlayerGrades+'!$AF$20,"F",IF(N176&lt;'PlayerGrades+'!$AF$19,"F+",IF(N176&lt;'PlayerGrades+'!$AF$18,"E-",IF(N176&lt;'PlayerGrades+'!$AF$17,"E",IF(N176&lt;'PlayerGrades+'!$AF$16,"E+",IF(N176&lt;'PlayerGrades+'!$AF$15,"D-",IF(N176&lt;'PlayerGrades+'!$AF$14,"D",IF(N176&lt;'PlayerGrades+'!$AF$13,"D+",IF(N176&lt;'PlayerGrades+'!$AF$12,"C-",IF(N176&lt;'PlayerGrades+'!$AF$11,"C",IF(N176&lt;'PlayerGrades+'!$AF$10,"C+",IF(N176&lt;'PlayerGrades+'!$AF$9,"B-",IF(N176&lt;'PlayerGrades+'!$AF$8,"B",IF(N176&lt;'PlayerGrades+'!$AF$7,"B+",IF(N176&lt;'PlayerGrades+'!$AF$6,"A-",IF(N176&lt;'PlayerGrades+'!$AF$5,"A",IF(N176&lt;'PlayerGrades+'!$AF$4,"A+",IF(N176&lt;'PlayerGrades+'!$AF$3,"S-",IF(N176&lt;'PlayerGrades+'!$AF$2,"S","S+"))))))))))))))))))))</f>
        <v>#DIV/0!</v>
      </c>
      <c r="P176" s="961" t="str">
        <f t="shared" si="7"/>
        <v>#DIV/0!</v>
      </c>
      <c r="Q176" s="961" t="str">
        <f>IF(P176&lt;'PlayerGrades+'!$AG$21,"F-",IF(P176&lt;'PlayerGrades+'!$AG$20,"F",IF(P176&lt;'PlayerGrades+'!$AG$19,"F+",IF(P176&lt;'PlayerGrades+'!$AG$18,"E-",IF(P176&lt;'PlayerGrades+'!$AG$17,"E",IF(P176&lt;'PlayerGrades+'!$AG$16,"E+",IF(P176&lt;'PlayerGrades+'!$AG$15,"D-",IF(P176&lt;'PlayerGrades+'!$AG$14,"D",IF(P176&lt;'PlayerGrades+'!$AG$13,"D+",IF(P176&lt;'PlayerGrades+'!$AG$12,"C-",IF(P176&lt;'PlayerGrades+'!$AG$11,"C",IF(P176&lt;'PlayerGrades+'!$AG$10,"C+",IF(P176&lt;'PlayerGrades+'!$AG$9,"B-",IF(P176&lt;'PlayerGrades+'!$AG$8,"B",IF(P176&lt;'PlayerGrades+'!$AG$7,"B+",IF(P176&lt;'PlayerGrades+'!$AG$6,"A-",IF(P176&lt;'PlayerGrades+'!$AG$5,"A",IF(P176&lt;'PlayerGrades+'!$AG$4,"A+",IF(P176&lt;'PlayerGrades+'!$AG$3,"S-",IF(P176&lt;'PlayerGrades+'!$AG$2,"S","S+"))))))))))))))))))))</f>
        <v>#DIV/0!</v>
      </c>
      <c r="R176" s="961" t="str">
        <f t="shared" si="8"/>
        <v>#DIV/0!</v>
      </c>
      <c r="S176" s="961" t="str">
        <f>IF(R176&lt;'PlayerGrades+'!$AH$21,"F-",IF(R176&lt;'PlayerGrades+'!$AH$20,"F",IF(R176&lt;'PlayerGrades+'!$AH$19,"F+",IF(R176&lt;'PlayerGrades+'!$AH$18,"E-",IF(R176&lt;'PlayerGrades+'!$AH$17,"E",IF(R176&lt;'PlayerGrades+'!$AH$16,"E+",IF(R176&lt;'PlayerGrades+'!$AH$15,"D-",IF(R176&lt;'PlayerGrades+'!$AH$14,"D",IF(R176&lt;'PlayerGrades+'!$AH$13,"D+",IF(R176&lt;'PlayerGrades+'!$AH$12,"C-",IF(R176&lt;'PlayerGrades+'!$AH$11,"C",IF(R176&lt;'PlayerGrades+'!$AH$10,"C+",IF(R176&lt;'PlayerGrades+'!$AH$9,"B-",IF(R176&lt;'PlayerGrades+'!$AH$8,"B",IF(R176&lt;'PlayerGrades+'!$AH$7,"B+",IF(R176&lt;'PlayerGrades+'!$AH$6,"A-",IF(R176&lt;'PlayerGrades+'!$AH$5,"A",IF(R176&lt;'PlayerGrades+'!$AH$4,"A+",IF(R176&lt;'PlayerGrades+'!$AH$3,"S-",IF(R176&lt;'PlayerGrades+'!$AH$2,"S","S+"))))))))))))))))))))</f>
        <v>#DIV/0!</v>
      </c>
      <c r="T176" s="961">
        <f t="shared" si="9"/>
        <v>0</v>
      </c>
      <c r="U176" s="961" t="str">
        <f>IF(T176&lt;'PlayerGrades+'!$AI$21,"F-",IF(T176&lt;'PlayerGrades+'!$AI$20,"F",IF(T176&lt;'PlayerGrades+'!$AI$19,"F+",IF(T176&lt;'PlayerGrades+'!$AI$18,"E-",IF(T176&lt;'PlayerGrades+'!$AI$17,"E",IF(T176&lt;'PlayerGrades+'!$AI$16,"E+",IF(T176&lt;'PlayerGrades+'!$AI$15,"D-",IF(T176&lt;'PlayerGrades+'!$AI$14,"D",IF(T176&lt;'PlayerGrades+'!$AI$13,"D+",IF(T176&lt;'PlayerGrades+'!$AI$12,"C-",IF(T176&lt;'PlayerGrades+'!$AI$11,"C",IF(T176&lt;'PlayerGrades+'!$AI$10,"C+",IF(T176&lt;'PlayerGrades+'!$AI$9,"B-",IF(T176&lt;'PlayerGrades+'!$AI$8,"B",IF(T176&lt;'PlayerGrades+'!$AI$7,"B+",IF(T176&lt;'PlayerGrades+'!$AI$6,"A-",IF(T176&lt;'PlayerGrades+'!$AI$5,"A",IF(T176&lt;'PlayerGrades+'!$AI$4,"A+",IF(T176&lt;'PlayerGrades+'!$AI$3,"S-",IF(T176&lt;'PlayerGrades+'!$AI$2,"S","S+"))))))))))))))))))))</f>
        <v>F-</v>
      </c>
      <c r="AC176" s="1392"/>
    </row>
    <row r="177">
      <c r="A177" s="1391"/>
      <c r="B177" s="611" t="str">
        <f>IF(C177&lt;'PlayerGrades+'!$Y$44,"F-",IF(C177&lt;'PlayerGrades+'!$Y$43,"F",IF(C177&lt;'PlayerGrades+'!$Y$42,"F+",IF(C177&lt;'PlayerGrades+'!$Y$41,"E-",IF(C177&lt;'PlayerGrades+'!$Y$40,"E",IF(C177&lt;'PlayerGrades+'!$Y$39,"E+",IF(C177&lt;'PlayerGrades+'!$Y$38,"D-",IF(C177&lt;'PlayerGrades+'!$Y$37,"D",IF(C177&lt;'PlayerGrades+'!$Y$36,"D+",IF(C177&lt;'PlayerGrades+'!$Y$35,"C-",IF(C177&lt;'PlayerGrades+'!$Y$34,"C",IF(C177&lt;'PlayerGrades+'!$Y$33,"C+",IF(C177&lt;'PlayerGrades+'!$Y$32,"B-",IF(C177&lt;'PlayerGrades+'!$Y$31,"B",IF(C177&lt;'PlayerGrades+'!$Y$30,"B+",IF(C177&lt;'PlayerGrades+'!$Y$29,"A-",IF(C177&lt;'PlayerGrades+'!$Y$28,"A",IF(C177&lt;'PlayerGrades+'!$Y$27,"A+",IF(C177&lt;'PlayerGrades+'!$Y$26,"S-",IF(C177&lt;'PlayerGrades+'!$Y$25,"S","S+"))))))))))))))))))))</f>
        <v>#DIV/0!</v>
      </c>
      <c r="C177" s="1378" t="str">
        <f>('PlayerGrades+'!$Y$47*(VLOOKUP(E177, 'PlayerGrades+'!$X$3:$Y$23, 2, FALSE)))+('PlayerGrades+'!$Y$48*(VLOOKUP(G177, 'PlayerGrades+'!$X$3:$Y$23, 2, FALSE)))+('PlayerGrades+'!$Y$49*(VLOOKUP(I177, 'PlayerGrades+'!$X$3:$Y$23, 2, FALSE)))+('PlayerGrades+'!$Y$50*(VLOOKUP(K177, 'PlayerGrades+'!$X$3:$Y$23, 2, FALSE)))+('PlayerGrades+'!$Y$51*(VLOOKUP(M177, 'PlayerGrades+'!$X$3:$Y$23, 2, FALSE)))+('PlayerGrades+'!$Y$52*(VLOOKUP(O177, 'PlayerGrades+'!$X$3:$Y$23, 2, FALSE)))+('PlayerGrades+'!$Y$53*(VLOOKUP(Q177, 'PlayerGrades+'!$X$3:$Y$23, 2, FALSE)))+('PlayerGrades+'!$Y$54*(VLOOKUP(S177, 'PlayerGrades+'!$X$3:$Y$23, 2, FALSE)))+('PlayerGrades+'!$Y$55*(VLOOKUP(U177, 'PlayerGrades+'!$X$3:$Y$23, 2, FALSE)))</f>
        <v>#DIV/0!</v>
      </c>
      <c r="D177" s="961" t="str">
        <f t="shared" si="1"/>
        <v>#DIV/0!</v>
      </c>
      <c r="E177" s="961" t="str">
        <f>IF(D177&lt;'PlayerGrades+'!$AA$21,"F-",IF(D177&lt;'PlayerGrades+'!$AA$20,"F",IF(D177&lt;'PlayerGrades+'!$AA$19,"F+",IF(D177&lt;'PlayerGrades+'!$AA$18,"E-",IF(D177&lt;'PlayerGrades+'!$AA$17,"E",IF(D177&lt;'PlayerGrades+'!$AA$16,"E+",IF(D177&lt;'PlayerGrades+'!$AA$15,"D-",IF(D177&lt;'PlayerGrades+'!$AA$14,"D",IF(D177&lt;'PlayerGrades+'!$AA$13,"D+",IF(D177&lt;'PlayerGrades+'!$AA$12,"C-",IF(D177&lt;'PlayerGrades+'!$AA$11,"C",IF(D177&lt;'PlayerGrades+'!$AA$10,"C+",IF(D177&lt;'PlayerGrades+'!$AA$9,"B-",IF(D177&lt;'PlayerGrades+'!$AA$8,"B",IF(D177&lt;'PlayerGrades+'!$AA$7,"B+",IF(D177&lt;'PlayerGrades+'!$AA$6,"A-",IF(D177&lt;'PlayerGrades+'!$AA$5,"A",IF(D177&lt;'PlayerGrades+'!$AA$4,"A+",IF(D177&lt;'PlayerGrades+'!$AA$3,"S-",IF(D177&lt;'PlayerGrades+'!$AA$2,"S","S+"))))))))))))))))))))</f>
        <v>#DIV/0!</v>
      </c>
      <c r="F177" s="961" t="str">
        <f t="shared" si="2"/>
        <v>#DIV/0!</v>
      </c>
      <c r="G177" s="961" t="str">
        <f>IF(F177&lt;'PlayerGrades+'!$AB$21,"F-",IF(F177&lt;'PlayerGrades+'!$AB$20,"F",IF(F177&lt;'PlayerGrades+'!$AB$19,"F+",IF(F177&lt;'PlayerGrades+'!$AB$18,"E-",IF(F177&lt;'PlayerGrades+'!$AB$17,"E",IF(F177&lt;'PlayerGrades+'!$AB$16,"E+",IF(F177&lt;'PlayerGrades+'!$AB$15,"D-",IF(F177&lt;'PlayerGrades+'!$AB$14,"D",IF(F177&lt;'PlayerGrades+'!$AB$13,"D+",IF(F177&lt;'PlayerGrades+'!$AB$12,"C-",IF(F177&lt;'PlayerGrades+'!$AB$11,"C",IF(F177&lt;'PlayerGrades+'!$AB$10,"C+",IF(F177&lt;'PlayerGrades+'!$AB$9,"B-",IF(F177&lt;'PlayerGrades+'!$AB$8,"B",IF(F177&lt;'PlayerGrades+'!$AB$7,"B+",IF(F177&lt;'PlayerGrades+'!$AB$6,"A-",IF(F177&lt;'PlayerGrades+'!$AB$5,"A",IF(F177&lt;'PlayerGrades+'!$AB$4,"A+",IF(F177&lt;'PlayerGrades+'!$AB$3,"S-",IF(F177&lt;'PlayerGrades+'!$AB$2,"S","S+"))))))))))))))))))))</f>
        <v>#DIV/0!</v>
      </c>
      <c r="H177" s="961" t="str">
        <f t="shared" si="3"/>
        <v>#DIV/0!</v>
      </c>
      <c r="I177" s="961" t="str">
        <f>IF(H177&lt;'PlayerGrades+'!$AC$21,"F-",IF(H177&lt;'PlayerGrades+'!$AC$20,"F",IF(H177&lt;'PlayerGrades+'!$AC$19,"F+",IF(H177&lt;'PlayerGrades+'!$AC$18,"E-",IF(H177&lt;'PlayerGrades+'!$AC$17,"E",IF(H177&lt;'PlayerGrades+'!$AC$16,"E+",IF(H177&lt;'PlayerGrades+'!$AC$15,"D-",IF(H177&lt;'PlayerGrades+'!$AC$14,"D",IF(H177&lt;'PlayerGrades+'!$AC$13,"D+",IF(H177&lt;'PlayerGrades+'!$AC$12,"C-",IF(H177&lt;'PlayerGrades+'!$AC$11,"C",IF(H177&lt;'PlayerGrades+'!$AC$10,"C+",IF(H177&lt;'PlayerGrades+'!$AC$9,"B-",IF(H177&lt;'PlayerGrades+'!$AC$8,"B",IF(H177&lt;'PlayerGrades+'!$AC$7,"B+",IF(H177&lt;'PlayerGrades+'!$AC$6,"A-",IF(H177&lt;'PlayerGrades+'!$AC$5,"A",IF(H177&lt;'PlayerGrades+'!$AC$4,"A+",IF(H177&lt;'PlayerGrades+'!$AC$3,"S-",IF(H177&lt;'PlayerGrades+'!$AC$2,"S","S+"))))))))))))))))))))</f>
        <v>#DIV/0!</v>
      </c>
      <c r="J177" s="961" t="str">
        <f t="shared" si="4"/>
        <v>#DIV/0!</v>
      </c>
      <c r="K177" s="961" t="str">
        <f>IF(J177&lt;'PlayerGrades+'!$AD$21,"F-",IF(J177&lt;'PlayerGrades+'!$AD$20,"F",IF(J177&lt;'PlayerGrades+'!$AD$19,"F+",IF(J177&lt;'PlayerGrades+'!$AD$18,"E-",IF(J177&lt;'PlayerGrades+'!$AD$17,"E",IF(J177&lt;'PlayerGrades+'!$AD$16,"E+",IF(J177&lt;'PlayerGrades+'!$AD$15,"D-",IF(J177&lt;'PlayerGrades+'!$AD$14,"D",IF(J177&lt;'PlayerGrades+'!$AD$13,"D+",IF(J177&lt;'PlayerGrades+'!$AD$12,"C-",IF(J177&lt;'PlayerGrades+'!$AD$11,"C",IF(J177&lt;'PlayerGrades+'!$AD$10,"C+",IF(J177&lt;'PlayerGrades+'!$AD$9,"B-",IF(J177&lt;'PlayerGrades+'!$AD$8,"B",IF(J177&lt;'PlayerGrades+'!$AD$7,"B+",IF(J177&lt;'PlayerGrades+'!$AD$6,"A-",IF(J177&lt;'PlayerGrades+'!$AD$5,"A",IF(J177&lt;'PlayerGrades+'!$AD$4,"A+",IF(J177&lt;'PlayerGrades+'!$AD$3,"S-",IF(J177&lt;'PlayerGrades+'!$AD$2,"S","S+"))))))))))))))))))))</f>
        <v>#DIV/0!</v>
      </c>
      <c r="L177" s="1176" t="str">
        <f t="shared" si="5"/>
        <v>#DIV/0!</v>
      </c>
      <c r="M177" s="992" t="str">
        <f>IF(L177&lt;'PlayerGrades+'!$AE$21,"F-",IF(L177&lt;'PlayerGrades+'!$AE$20,"F",IF(L177&lt;'PlayerGrades+'!$AE$19,"F+",IF(L177&lt;'PlayerGrades+'!$AE$18,"E-",IF(L177&lt;'PlayerGrades+'!$AE$17,"E",IF(L177&lt;'PlayerGrades+'!$AE$16,"E+",IF(L177&lt;'PlayerGrades+'!$AE$15,"D-",IF(L177&lt;'PlayerGrades+'!$AE$14,"D",IF(L177&lt;'PlayerGrades+'!$AE$13,"D+",IF(L177&lt;'PlayerGrades+'!$AE$12,"C-",IF(L177&lt;'PlayerGrades+'!$AE$11,"C",IF(L177&lt;'PlayerGrades+'!$AE$10,"C+",IF(L177&lt;'PlayerGrades+'!$AE$9,"B-",IF(L177&lt;'PlayerGrades+'!$AE$8,"B",IF(L177&lt;'PlayerGrades+'!$AE$7,"B+",IF(L177&lt;'PlayerGrades+'!$AE$6,"A-",IF(L177&lt;'PlayerGrades+'!$AE$5,"A",IF(L177&lt;'PlayerGrades+'!$AE$4,"A+",IF(L177&lt;'PlayerGrades+'!$AE$3,"S-",IF(L177&lt;'PlayerGrades+'!$AE$2,"S","S+"))))))))))))))))))))</f>
        <v>#DIV/0!</v>
      </c>
      <c r="N177" s="961" t="str">
        <f t="shared" si="6"/>
        <v>#DIV/0!</v>
      </c>
      <c r="O177" s="961" t="str">
        <f>IF(N177&lt;'PlayerGrades+'!$AF$21,"F-",IF(N177&lt;'PlayerGrades+'!$AF$20,"F",IF(N177&lt;'PlayerGrades+'!$AF$19,"F+",IF(N177&lt;'PlayerGrades+'!$AF$18,"E-",IF(N177&lt;'PlayerGrades+'!$AF$17,"E",IF(N177&lt;'PlayerGrades+'!$AF$16,"E+",IF(N177&lt;'PlayerGrades+'!$AF$15,"D-",IF(N177&lt;'PlayerGrades+'!$AF$14,"D",IF(N177&lt;'PlayerGrades+'!$AF$13,"D+",IF(N177&lt;'PlayerGrades+'!$AF$12,"C-",IF(N177&lt;'PlayerGrades+'!$AF$11,"C",IF(N177&lt;'PlayerGrades+'!$AF$10,"C+",IF(N177&lt;'PlayerGrades+'!$AF$9,"B-",IF(N177&lt;'PlayerGrades+'!$AF$8,"B",IF(N177&lt;'PlayerGrades+'!$AF$7,"B+",IF(N177&lt;'PlayerGrades+'!$AF$6,"A-",IF(N177&lt;'PlayerGrades+'!$AF$5,"A",IF(N177&lt;'PlayerGrades+'!$AF$4,"A+",IF(N177&lt;'PlayerGrades+'!$AF$3,"S-",IF(N177&lt;'PlayerGrades+'!$AF$2,"S","S+"))))))))))))))))))))</f>
        <v>#DIV/0!</v>
      </c>
      <c r="P177" s="961" t="str">
        <f t="shared" si="7"/>
        <v>#DIV/0!</v>
      </c>
      <c r="Q177" s="961" t="str">
        <f>IF(P177&lt;'PlayerGrades+'!$AG$21,"F-",IF(P177&lt;'PlayerGrades+'!$AG$20,"F",IF(P177&lt;'PlayerGrades+'!$AG$19,"F+",IF(P177&lt;'PlayerGrades+'!$AG$18,"E-",IF(P177&lt;'PlayerGrades+'!$AG$17,"E",IF(P177&lt;'PlayerGrades+'!$AG$16,"E+",IF(P177&lt;'PlayerGrades+'!$AG$15,"D-",IF(P177&lt;'PlayerGrades+'!$AG$14,"D",IF(P177&lt;'PlayerGrades+'!$AG$13,"D+",IF(P177&lt;'PlayerGrades+'!$AG$12,"C-",IF(P177&lt;'PlayerGrades+'!$AG$11,"C",IF(P177&lt;'PlayerGrades+'!$AG$10,"C+",IF(P177&lt;'PlayerGrades+'!$AG$9,"B-",IF(P177&lt;'PlayerGrades+'!$AG$8,"B",IF(P177&lt;'PlayerGrades+'!$AG$7,"B+",IF(P177&lt;'PlayerGrades+'!$AG$6,"A-",IF(P177&lt;'PlayerGrades+'!$AG$5,"A",IF(P177&lt;'PlayerGrades+'!$AG$4,"A+",IF(P177&lt;'PlayerGrades+'!$AG$3,"S-",IF(P177&lt;'PlayerGrades+'!$AG$2,"S","S+"))))))))))))))))))))</f>
        <v>#DIV/0!</v>
      </c>
      <c r="R177" s="961" t="str">
        <f t="shared" si="8"/>
        <v>#DIV/0!</v>
      </c>
      <c r="S177" s="961" t="str">
        <f>IF(R177&lt;'PlayerGrades+'!$AH$21,"F-",IF(R177&lt;'PlayerGrades+'!$AH$20,"F",IF(R177&lt;'PlayerGrades+'!$AH$19,"F+",IF(R177&lt;'PlayerGrades+'!$AH$18,"E-",IF(R177&lt;'PlayerGrades+'!$AH$17,"E",IF(R177&lt;'PlayerGrades+'!$AH$16,"E+",IF(R177&lt;'PlayerGrades+'!$AH$15,"D-",IF(R177&lt;'PlayerGrades+'!$AH$14,"D",IF(R177&lt;'PlayerGrades+'!$AH$13,"D+",IF(R177&lt;'PlayerGrades+'!$AH$12,"C-",IF(R177&lt;'PlayerGrades+'!$AH$11,"C",IF(R177&lt;'PlayerGrades+'!$AH$10,"C+",IF(R177&lt;'PlayerGrades+'!$AH$9,"B-",IF(R177&lt;'PlayerGrades+'!$AH$8,"B",IF(R177&lt;'PlayerGrades+'!$AH$7,"B+",IF(R177&lt;'PlayerGrades+'!$AH$6,"A-",IF(R177&lt;'PlayerGrades+'!$AH$5,"A",IF(R177&lt;'PlayerGrades+'!$AH$4,"A+",IF(R177&lt;'PlayerGrades+'!$AH$3,"S-",IF(R177&lt;'PlayerGrades+'!$AH$2,"S","S+"))))))))))))))))))))</f>
        <v>#DIV/0!</v>
      </c>
      <c r="T177" s="961">
        <f t="shared" si="9"/>
        <v>0</v>
      </c>
      <c r="U177" s="961" t="str">
        <f>IF(T177&lt;'PlayerGrades+'!$AI$21,"F-",IF(T177&lt;'PlayerGrades+'!$AI$20,"F",IF(T177&lt;'PlayerGrades+'!$AI$19,"F+",IF(T177&lt;'PlayerGrades+'!$AI$18,"E-",IF(T177&lt;'PlayerGrades+'!$AI$17,"E",IF(T177&lt;'PlayerGrades+'!$AI$16,"E+",IF(T177&lt;'PlayerGrades+'!$AI$15,"D-",IF(T177&lt;'PlayerGrades+'!$AI$14,"D",IF(T177&lt;'PlayerGrades+'!$AI$13,"D+",IF(T177&lt;'PlayerGrades+'!$AI$12,"C-",IF(T177&lt;'PlayerGrades+'!$AI$11,"C",IF(T177&lt;'PlayerGrades+'!$AI$10,"C+",IF(T177&lt;'PlayerGrades+'!$AI$9,"B-",IF(T177&lt;'PlayerGrades+'!$AI$8,"B",IF(T177&lt;'PlayerGrades+'!$AI$7,"B+",IF(T177&lt;'PlayerGrades+'!$AI$6,"A-",IF(T177&lt;'PlayerGrades+'!$AI$5,"A",IF(T177&lt;'PlayerGrades+'!$AI$4,"A+",IF(T177&lt;'PlayerGrades+'!$AI$3,"S-",IF(T177&lt;'PlayerGrades+'!$AI$2,"S","S+"))))))))))))))))))))</f>
        <v>F-</v>
      </c>
      <c r="AC177" s="1392"/>
    </row>
    <row r="178">
      <c r="A178" s="1389"/>
      <c r="B178" s="611" t="str">
        <f>IF(C178&lt;'PlayerGrades+'!$Y$44,"F-",IF(C178&lt;'PlayerGrades+'!$Y$43,"F",IF(C178&lt;'PlayerGrades+'!$Y$42,"F+",IF(C178&lt;'PlayerGrades+'!$Y$41,"E-",IF(C178&lt;'PlayerGrades+'!$Y$40,"E",IF(C178&lt;'PlayerGrades+'!$Y$39,"E+",IF(C178&lt;'PlayerGrades+'!$Y$38,"D-",IF(C178&lt;'PlayerGrades+'!$Y$37,"D",IF(C178&lt;'PlayerGrades+'!$Y$36,"D+",IF(C178&lt;'PlayerGrades+'!$Y$35,"C-",IF(C178&lt;'PlayerGrades+'!$Y$34,"C",IF(C178&lt;'PlayerGrades+'!$Y$33,"C+",IF(C178&lt;'PlayerGrades+'!$Y$32,"B-",IF(C178&lt;'PlayerGrades+'!$Y$31,"B",IF(C178&lt;'PlayerGrades+'!$Y$30,"B+",IF(C178&lt;'PlayerGrades+'!$Y$29,"A-",IF(C178&lt;'PlayerGrades+'!$Y$28,"A",IF(C178&lt;'PlayerGrades+'!$Y$27,"A+",IF(C178&lt;'PlayerGrades+'!$Y$26,"S-",IF(C178&lt;'PlayerGrades+'!$Y$25,"S","S+"))))))))))))))))))))</f>
        <v>#DIV/0!</v>
      </c>
      <c r="C178" s="1378" t="str">
        <f>('PlayerGrades+'!$Y$47*(VLOOKUP(E178, 'PlayerGrades+'!$X$3:$Y$23, 2, FALSE)))+('PlayerGrades+'!$Y$48*(VLOOKUP(G178, 'PlayerGrades+'!$X$3:$Y$23, 2, FALSE)))+('PlayerGrades+'!$Y$49*(VLOOKUP(I178, 'PlayerGrades+'!$X$3:$Y$23, 2, FALSE)))+('PlayerGrades+'!$Y$50*(VLOOKUP(K178, 'PlayerGrades+'!$X$3:$Y$23, 2, FALSE)))+('PlayerGrades+'!$Y$51*(VLOOKUP(M178, 'PlayerGrades+'!$X$3:$Y$23, 2, FALSE)))+('PlayerGrades+'!$Y$52*(VLOOKUP(O178, 'PlayerGrades+'!$X$3:$Y$23, 2, FALSE)))+('PlayerGrades+'!$Y$53*(VLOOKUP(Q178, 'PlayerGrades+'!$X$3:$Y$23, 2, FALSE)))+('PlayerGrades+'!$Y$54*(VLOOKUP(S178, 'PlayerGrades+'!$X$3:$Y$23, 2, FALSE)))+('PlayerGrades+'!$Y$55*(VLOOKUP(U178, 'PlayerGrades+'!$X$3:$Y$23, 2, FALSE)))</f>
        <v>#DIV/0!</v>
      </c>
      <c r="D178" s="961" t="str">
        <f t="shared" si="1"/>
        <v>#DIV/0!</v>
      </c>
      <c r="E178" s="961" t="str">
        <f>IF(D178&lt;'PlayerGrades+'!$AA$21,"F-",IF(D178&lt;'PlayerGrades+'!$AA$20,"F",IF(D178&lt;'PlayerGrades+'!$AA$19,"F+",IF(D178&lt;'PlayerGrades+'!$AA$18,"E-",IF(D178&lt;'PlayerGrades+'!$AA$17,"E",IF(D178&lt;'PlayerGrades+'!$AA$16,"E+",IF(D178&lt;'PlayerGrades+'!$AA$15,"D-",IF(D178&lt;'PlayerGrades+'!$AA$14,"D",IF(D178&lt;'PlayerGrades+'!$AA$13,"D+",IF(D178&lt;'PlayerGrades+'!$AA$12,"C-",IF(D178&lt;'PlayerGrades+'!$AA$11,"C",IF(D178&lt;'PlayerGrades+'!$AA$10,"C+",IF(D178&lt;'PlayerGrades+'!$AA$9,"B-",IF(D178&lt;'PlayerGrades+'!$AA$8,"B",IF(D178&lt;'PlayerGrades+'!$AA$7,"B+",IF(D178&lt;'PlayerGrades+'!$AA$6,"A-",IF(D178&lt;'PlayerGrades+'!$AA$5,"A",IF(D178&lt;'PlayerGrades+'!$AA$4,"A+",IF(D178&lt;'PlayerGrades+'!$AA$3,"S-",IF(D178&lt;'PlayerGrades+'!$AA$2,"S","S+"))))))))))))))))))))</f>
        <v>#DIV/0!</v>
      </c>
      <c r="F178" s="961" t="str">
        <f t="shared" si="2"/>
        <v>#DIV/0!</v>
      </c>
      <c r="G178" s="961" t="str">
        <f>IF(F178&lt;'PlayerGrades+'!$AB$21,"F-",IF(F178&lt;'PlayerGrades+'!$AB$20,"F",IF(F178&lt;'PlayerGrades+'!$AB$19,"F+",IF(F178&lt;'PlayerGrades+'!$AB$18,"E-",IF(F178&lt;'PlayerGrades+'!$AB$17,"E",IF(F178&lt;'PlayerGrades+'!$AB$16,"E+",IF(F178&lt;'PlayerGrades+'!$AB$15,"D-",IF(F178&lt;'PlayerGrades+'!$AB$14,"D",IF(F178&lt;'PlayerGrades+'!$AB$13,"D+",IF(F178&lt;'PlayerGrades+'!$AB$12,"C-",IF(F178&lt;'PlayerGrades+'!$AB$11,"C",IF(F178&lt;'PlayerGrades+'!$AB$10,"C+",IF(F178&lt;'PlayerGrades+'!$AB$9,"B-",IF(F178&lt;'PlayerGrades+'!$AB$8,"B",IF(F178&lt;'PlayerGrades+'!$AB$7,"B+",IF(F178&lt;'PlayerGrades+'!$AB$6,"A-",IF(F178&lt;'PlayerGrades+'!$AB$5,"A",IF(F178&lt;'PlayerGrades+'!$AB$4,"A+",IF(F178&lt;'PlayerGrades+'!$AB$3,"S-",IF(F178&lt;'PlayerGrades+'!$AB$2,"S","S+"))))))))))))))))))))</f>
        <v>#DIV/0!</v>
      </c>
      <c r="H178" s="961" t="str">
        <f t="shared" si="3"/>
        <v>#DIV/0!</v>
      </c>
      <c r="I178" s="961" t="str">
        <f>IF(H178&lt;'PlayerGrades+'!$AC$21,"F-",IF(H178&lt;'PlayerGrades+'!$AC$20,"F",IF(H178&lt;'PlayerGrades+'!$AC$19,"F+",IF(H178&lt;'PlayerGrades+'!$AC$18,"E-",IF(H178&lt;'PlayerGrades+'!$AC$17,"E",IF(H178&lt;'PlayerGrades+'!$AC$16,"E+",IF(H178&lt;'PlayerGrades+'!$AC$15,"D-",IF(H178&lt;'PlayerGrades+'!$AC$14,"D",IF(H178&lt;'PlayerGrades+'!$AC$13,"D+",IF(H178&lt;'PlayerGrades+'!$AC$12,"C-",IF(H178&lt;'PlayerGrades+'!$AC$11,"C",IF(H178&lt;'PlayerGrades+'!$AC$10,"C+",IF(H178&lt;'PlayerGrades+'!$AC$9,"B-",IF(H178&lt;'PlayerGrades+'!$AC$8,"B",IF(H178&lt;'PlayerGrades+'!$AC$7,"B+",IF(H178&lt;'PlayerGrades+'!$AC$6,"A-",IF(H178&lt;'PlayerGrades+'!$AC$5,"A",IF(H178&lt;'PlayerGrades+'!$AC$4,"A+",IF(H178&lt;'PlayerGrades+'!$AC$3,"S-",IF(H178&lt;'PlayerGrades+'!$AC$2,"S","S+"))))))))))))))))))))</f>
        <v>#DIV/0!</v>
      </c>
      <c r="J178" s="961" t="str">
        <f t="shared" si="4"/>
        <v>#DIV/0!</v>
      </c>
      <c r="K178" s="961" t="str">
        <f>IF(J178&lt;'PlayerGrades+'!$AD$21,"F-",IF(J178&lt;'PlayerGrades+'!$AD$20,"F",IF(J178&lt;'PlayerGrades+'!$AD$19,"F+",IF(J178&lt;'PlayerGrades+'!$AD$18,"E-",IF(J178&lt;'PlayerGrades+'!$AD$17,"E",IF(J178&lt;'PlayerGrades+'!$AD$16,"E+",IF(J178&lt;'PlayerGrades+'!$AD$15,"D-",IF(J178&lt;'PlayerGrades+'!$AD$14,"D",IF(J178&lt;'PlayerGrades+'!$AD$13,"D+",IF(J178&lt;'PlayerGrades+'!$AD$12,"C-",IF(J178&lt;'PlayerGrades+'!$AD$11,"C",IF(J178&lt;'PlayerGrades+'!$AD$10,"C+",IF(J178&lt;'PlayerGrades+'!$AD$9,"B-",IF(J178&lt;'PlayerGrades+'!$AD$8,"B",IF(J178&lt;'PlayerGrades+'!$AD$7,"B+",IF(J178&lt;'PlayerGrades+'!$AD$6,"A-",IF(J178&lt;'PlayerGrades+'!$AD$5,"A",IF(J178&lt;'PlayerGrades+'!$AD$4,"A+",IF(J178&lt;'PlayerGrades+'!$AD$3,"S-",IF(J178&lt;'PlayerGrades+'!$AD$2,"S","S+"))))))))))))))))))))</f>
        <v>#DIV/0!</v>
      </c>
      <c r="L178" s="1176" t="str">
        <f t="shared" si="5"/>
        <v>#DIV/0!</v>
      </c>
      <c r="M178" s="992" t="str">
        <f>IF(L178&lt;'PlayerGrades+'!$AE$21,"F-",IF(L178&lt;'PlayerGrades+'!$AE$20,"F",IF(L178&lt;'PlayerGrades+'!$AE$19,"F+",IF(L178&lt;'PlayerGrades+'!$AE$18,"E-",IF(L178&lt;'PlayerGrades+'!$AE$17,"E",IF(L178&lt;'PlayerGrades+'!$AE$16,"E+",IF(L178&lt;'PlayerGrades+'!$AE$15,"D-",IF(L178&lt;'PlayerGrades+'!$AE$14,"D",IF(L178&lt;'PlayerGrades+'!$AE$13,"D+",IF(L178&lt;'PlayerGrades+'!$AE$12,"C-",IF(L178&lt;'PlayerGrades+'!$AE$11,"C",IF(L178&lt;'PlayerGrades+'!$AE$10,"C+",IF(L178&lt;'PlayerGrades+'!$AE$9,"B-",IF(L178&lt;'PlayerGrades+'!$AE$8,"B",IF(L178&lt;'PlayerGrades+'!$AE$7,"B+",IF(L178&lt;'PlayerGrades+'!$AE$6,"A-",IF(L178&lt;'PlayerGrades+'!$AE$5,"A",IF(L178&lt;'PlayerGrades+'!$AE$4,"A+",IF(L178&lt;'PlayerGrades+'!$AE$3,"S-",IF(L178&lt;'PlayerGrades+'!$AE$2,"S","S+"))))))))))))))))))))</f>
        <v>#DIV/0!</v>
      </c>
      <c r="N178" s="961" t="str">
        <f t="shared" si="6"/>
        <v>#DIV/0!</v>
      </c>
      <c r="O178" s="961" t="str">
        <f>IF(N178&lt;'PlayerGrades+'!$AF$21,"F-",IF(N178&lt;'PlayerGrades+'!$AF$20,"F",IF(N178&lt;'PlayerGrades+'!$AF$19,"F+",IF(N178&lt;'PlayerGrades+'!$AF$18,"E-",IF(N178&lt;'PlayerGrades+'!$AF$17,"E",IF(N178&lt;'PlayerGrades+'!$AF$16,"E+",IF(N178&lt;'PlayerGrades+'!$AF$15,"D-",IF(N178&lt;'PlayerGrades+'!$AF$14,"D",IF(N178&lt;'PlayerGrades+'!$AF$13,"D+",IF(N178&lt;'PlayerGrades+'!$AF$12,"C-",IF(N178&lt;'PlayerGrades+'!$AF$11,"C",IF(N178&lt;'PlayerGrades+'!$AF$10,"C+",IF(N178&lt;'PlayerGrades+'!$AF$9,"B-",IF(N178&lt;'PlayerGrades+'!$AF$8,"B",IF(N178&lt;'PlayerGrades+'!$AF$7,"B+",IF(N178&lt;'PlayerGrades+'!$AF$6,"A-",IF(N178&lt;'PlayerGrades+'!$AF$5,"A",IF(N178&lt;'PlayerGrades+'!$AF$4,"A+",IF(N178&lt;'PlayerGrades+'!$AF$3,"S-",IF(N178&lt;'PlayerGrades+'!$AF$2,"S","S+"))))))))))))))))))))</f>
        <v>#DIV/0!</v>
      </c>
      <c r="P178" s="961" t="str">
        <f t="shared" si="7"/>
        <v>#DIV/0!</v>
      </c>
      <c r="Q178" s="961" t="str">
        <f>IF(P178&lt;'PlayerGrades+'!$AG$21,"F-",IF(P178&lt;'PlayerGrades+'!$AG$20,"F",IF(P178&lt;'PlayerGrades+'!$AG$19,"F+",IF(P178&lt;'PlayerGrades+'!$AG$18,"E-",IF(P178&lt;'PlayerGrades+'!$AG$17,"E",IF(P178&lt;'PlayerGrades+'!$AG$16,"E+",IF(P178&lt;'PlayerGrades+'!$AG$15,"D-",IF(P178&lt;'PlayerGrades+'!$AG$14,"D",IF(P178&lt;'PlayerGrades+'!$AG$13,"D+",IF(P178&lt;'PlayerGrades+'!$AG$12,"C-",IF(P178&lt;'PlayerGrades+'!$AG$11,"C",IF(P178&lt;'PlayerGrades+'!$AG$10,"C+",IF(P178&lt;'PlayerGrades+'!$AG$9,"B-",IF(P178&lt;'PlayerGrades+'!$AG$8,"B",IF(P178&lt;'PlayerGrades+'!$AG$7,"B+",IF(P178&lt;'PlayerGrades+'!$AG$6,"A-",IF(P178&lt;'PlayerGrades+'!$AG$5,"A",IF(P178&lt;'PlayerGrades+'!$AG$4,"A+",IF(P178&lt;'PlayerGrades+'!$AG$3,"S-",IF(P178&lt;'PlayerGrades+'!$AG$2,"S","S+"))))))))))))))))))))</f>
        <v>#DIV/0!</v>
      </c>
      <c r="R178" s="961" t="str">
        <f t="shared" si="8"/>
        <v>#DIV/0!</v>
      </c>
      <c r="S178" s="961" t="str">
        <f>IF(R178&lt;'PlayerGrades+'!$AH$21,"F-",IF(R178&lt;'PlayerGrades+'!$AH$20,"F",IF(R178&lt;'PlayerGrades+'!$AH$19,"F+",IF(R178&lt;'PlayerGrades+'!$AH$18,"E-",IF(R178&lt;'PlayerGrades+'!$AH$17,"E",IF(R178&lt;'PlayerGrades+'!$AH$16,"E+",IF(R178&lt;'PlayerGrades+'!$AH$15,"D-",IF(R178&lt;'PlayerGrades+'!$AH$14,"D",IF(R178&lt;'PlayerGrades+'!$AH$13,"D+",IF(R178&lt;'PlayerGrades+'!$AH$12,"C-",IF(R178&lt;'PlayerGrades+'!$AH$11,"C",IF(R178&lt;'PlayerGrades+'!$AH$10,"C+",IF(R178&lt;'PlayerGrades+'!$AH$9,"B-",IF(R178&lt;'PlayerGrades+'!$AH$8,"B",IF(R178&lt;'PlayerGrades+'!$AH$7,"B+",IF(R178&lt;'PlayerGrades+'!$AH$6,"A-",IF(R178&lt;'PlayerGrades+'!$AH$5,"A",IF(R178&lt;'PlayerGrades+'!$AH$4,"A+",IF(R178&lt;'PlayerGrades+'!$AH$3,"S-",IF(R178&lt;'PlayerGrades+'!$AH$2,"S","S+"))))))))))))))))))))</f>
        <v>#DIV/0!</v>
      </c>
      <c r="T178" s="961">
        <f t="shared" si="9"/>
        <v>0</v>
      </c>
      <c r="U178" s="961" t="str">
        <f>IF(T178&lt;'PlayerGrades+'!$AI$21,"F-",IF(T178&lt;'PlayerGrades+'!$AI$20,"F",IF(T178&lt;'PlayerGrades+'!$AI$19,"F+",IF(T178&lt;'PlayerGrades+'!$AI$18,"E-",IF(T178&lt;'PlayerGrades+'!$AI$17,"E",IF(T178&lt;'PlayerGrades+'!$AI$16,"E+",IF(T178&lt;'PlayerGrades+'!$AI$15,"D-",IF(T178&lt;'PlayerGrades+'!$AI$14,"D",IF(T178&lt;'PlayerGrades+'!$AI$13,"D+",IF(T178&lt;'PlayerGrades+'!$AI$12,"C-",IF(T178&lt;'PlayerGrades+'!$AI$11,"C",IF(T178&lt;'PlayerGrades+'!$AI$10,"C+",IF(T178&lt;'PlayerGrades+'!$AI$9,"B-",IF(T178&lt;'PlayerGrades+'!$AI$8,"B",IF(T178&lt;'PlayerGrades+'!$AI$7,"B+",IF(T178&lt;'PlayerGrades+'!$AI$6,"A-",IF(T178&lt;'PlayerGrades+'!$AI$5,"A",IF(T178&lt;'PlayerGrades+'!$AI$4,"A+",IF(T178&lt;'PlayerGrades+'!$AI$3,"S-",IF(T178&lt;'PlayerGrades+'!$AI$2,"S","S+"))))))))))))))))))))</f>
        <v>F-</v>
      </c>
      <c r="V178" s="1379"/>
      <c r="W178" s="1379"/>
      <c r="X178" s="1379"/>
      <c r="Y178" s="1379"/>
      <c r="Z178" s="1379"/>
      <c r="AA178" s="1379"/>
      <c r="AB178" s="1379"/>
      <c r="AC178" s="1390"/>
      <c r="AD178" s="1379"/>
      <c r="AE178" s="1379"/>
      <c r="AF178" s="1379"/>
      <c r="AG178" s="1379"/>
      <c r="AH178" s="1379"/>
      <c r="AI178" s="1379"/>
      <c r="AJ178" s="1379"/>
      <c r="AK178" s="1379"/>
      <c r="AL178" s="1379"/>
      <c r="AM178" s="1379"/>
      <c r="AN178" s="1379"/>
      <c r="AO178" s="1379"/>
      <c r="AP178" s="1379"/>
      <c r="AQ178" s="1379"/>
      <c r="AR178" s="1379"/>
      <c r="AS178" s="1379"/>
      <c r="AT178" s="1379"/>
      <c r="AU178" s="1379"/>
      <c r="AV178" s="1379"/>
      <c r="AW178" s="1379"/>
      <c r="AX178" s="1379"/>
      <c r="AY178" s="1379"/>
      <c r="AZ178" s="1379"/>
    </row>
    <row r="179">
      <c r="A179" s="1391"/>
      <c r="B179" s="611" t="str">
        <f>IF(C179&lt;'PlayerGrades+'!$Y$44,"F-",IF(C179&lt;'PlayerGrades+'!$Y$43,"F",IF(C179&lt;'PlayerGrades+'!$Y$42,"F+",IF(C179&lt;'PlayerGrades+'!$Y$41,"E-",IF(C179&lt;'PlayerGrades+'!$Y$40,"E",IF(C179&lt;'PlayerGrades+'!$Y$39,"E+",IF(C179&lt;'PlayerGrades+'!$Y$38,"D-",IF(C179&lt;'PlayerGrades+'!$Y$37,"D",IF(C179&lt;'PlayerGrades+'!$Y$36,"D+",IF(C179&lt;'PlayerGrades+'!$Y$35,"C-",IF(C179&lt;'PlayerGrades+'!$Y$34,"C",IF(C179&lt;'PlayerGrades+'!$Y$33,"C+",IF(C179&lt;'PlayerGrades+'!$Y$32,"B-",IF(C179&lt;'PlayerGrades+'!$Y$31,"B",IF(C179&lt;'PlayerGrades+'!$Y$30,"B+",IF(C179&lt;'PlayerGrades+'!$Y$29,"A-",IF(C179&lt;'PlayerGrades+'!$Y$28,"A",IF(C179&lt;'PlayerGrades+'!$Y$27,"A+",IF(C179&lt;'PlayerGrades+'!$Y$26,"S-",IF(C179&lt;'PlayerGrades+'!$Y$25,"S","S+"))))))))))))))))))))</f>
        <v>#DIV/0!</v>
      </c>
      <c r="C179" s="1378" t="str">
        <f>('PlayerGrades+'!$Y$47*(VLOOKUP(E179, 'PlayerGrades+'!$X$3:$Y$23, 2, FALSE)))+('PlayerGrades+'!$Y$48*(VLOOKUP(G179, 'PlayerGrades+'!$X$3:$Y$23, 2, FALSE)))+('PlayerGrades+'!$Y$49*(VLOOKUP(I179, 'PlayerGrades+'!$X$3:$Y$23, 2, FALSE)))+('PlayerGrades+'!$Y$50*(VLOOKUP(K179, 'PlayerGrades+'!$X$3:$Y$23, 2, FALSE)))+('PlayerGrades+'!$Y$51*(VLOOKUP(M179, 'PlayerGrades+'!$X$3:$Y$23, 2, FALSE)))+('PlayerGrades+'!$Y$52*(VLOOKUP(O179, 'PlayerGrades+'!$X$3:$Y$23, 2, FALSE)))+('PlayerGrades+'!$Y$53*(VLOOKUP(Q179, 'PlayerGrades+'!$X$3:$Y$23, 2, FALSE)))+('PlayerGrades+'!$Y$54*(VLOOKUP(S179, 'PlayerGrades+'!$X$3:$Y$23, 2, FALSE)))+('PlayerGrades+'!$Y$55*(VLOOKUP(U179, 'PlayerGrades+'!$X$3:$Y$23, 2, FALSE)))</f>
        <v>#DIV/0!</v>
      </c>
      <c r="D179" s="961" t="str">
        <f t="shared" si="1"/>
        <v>#DIV/0!</v>
      </c>
      <c r="E179" s="961" t="str">
        <f>IF(D179&lt;'PlayerGrades+'!$AA$21,"F-",IF(D179&lt;'PlayerGrades+'!$AA$20,"F",IF(D179&lt;'PlayerGrades+'!$AA$19,"F+",IF(D179&lt;'PlayerGrades+'!$AA$18,"E-",IF(D179&lt;'PlayerGrades+'!$AA$17,"E",IF(D179&lt;'PlayerGrades+'!$AA$16,"E+",IF(D179&lt;'PlayerGrades+'!$AA$15,"D-",IF(D179&lt;'PlayerGrades+'!$AA$14,"D",IF(D179&lt;'PlayerGrades+'!$AA$13,"D+",IF(D179&lt;'PlayerGrades+'!$AA$12,"C-",IF(D179&lt;'PlayerGrades+'!$AA$11,"C",IF(D179&lt;'PlayerGrades+'!$AA$10,"C+",IF(D179&lt;'PlayerGrades+'!$AA$9,"B-",IF(D179&lt;'PlayerGrades+'!$AA$8,"B",IF(D179&lt;'PlayerGrades+'!$AA$7,"B+",IF(D179&lt;'PlayerGrades+'!$AA$6,"A-",IF(D179&lt;'PlayerGrades+'!$AA$5,"A",IF(D179&lt;'PlayerGrades+'!$AA$4,"A+",IF(D179&lt;'PlayerGrades+'!$AA$3,"S-",IF(D179&lt;'PlayerGrades+'!$AA$2,"S","S+"))))))))))))))))))))</f>
        <v>#DIV/0!</v>
      </c>
      <c r="F179" s="961" t="str">
        <f t="shared" si="2"/>
        <v>#DIV/0!</v>
      </c>
      <c r="G179" s="961" t="str">
        <f>IF(F179&lt;'PlayerGrades+'!$AB$21,"F-",IF(F179&lt;'PlayerGrades+'!$AB$20,"F",IF(F179&lt;'PlayerGrades+'!$AB$19,"F+",IF(F179&lt;'PlayerGrades+'!$AB$18,"E-",IF(F179&lt;'PlayerGrades+'!$AB$17,"E",IF(F179&lt;'PlayerGrades+'!$AB$16,"E+",IF(F179&lt;'PlayerGrades+'!$AB$15,"D-",IF(F179&lt;'PlayerGrades+'!$AB$14,"D",IF(F179&lt;'PlayerGrades+'!$AB$13,"D+",IF(F179&lt;'PlayerGrades+'!$AB$12,"C-",IF(F179&lt;'PlayerGrades+'!$AB$11,"C",IF(F179&lt;'PlayerGrades+'!$AB$10,"C+",IF(F179&lt;'PlayerGrades+'!$AB$9,"B-",IF(F179&lt;'PlayerGrades+'!$AB$8,"B",IF(F179&lt;'PlayerGrades+'!$AB$7,"B+",IF(F179&lt;'PlayerGrades+'!$AB$6,"A-",IF(F179&lt;'PlayerGrades+'!$AB$5,"A",IF(F179&lt;'PlayerGrades+'!$AB$4,"A+",IF(F179&lt;'PlayerGrades+'!$AB$3,"S-",IF(F179&lt;'PlayerGrades+'!$AB$2,"S","S+"))))))))))))))))))))</f>
        <v>#DIV/0!</v>
      </c>
      <c r="H179" s="961" t="str">
        <f t="shared" si="3"/>
        <v>#DIV/0!</v>
      </c>
      <c r="I179" s="961" t="str">
        <f>IF(H179&lt;'PlayerGrades+'!$AC$21,"F-",IF(H179&lt;'PlayerGrades+'!$AC$20,"F",IF(H179&lt;'PlayerGrades+'!$AC$19,"F+",IF(H179&lt;'PlayerGrades+'!$AC$18,"E-",IF(H179&lt;'PlayerGrades+'!$AC$17,"E",IF(H179&lt;'PlayerGrades+'!$AC$16,"E+",IF(H179&lt;'PlayerGrades+'!$AC$15,"D-",IF(H179&lt;'PlayerGrades+'!$AC$14,"D",IF(H179&lt;'PlayerGrades+'!$AC$13,"D+",IF(H179&lt;'PlayerGrades+'!$AC$12,"C-",IF(H179&lt;'PlayerGrades+'!$AC$11,"C",IF(H179&lt;'PlayerGrades+'!$AC$10,"C+",IF(H179&lt;'PlayerGrades+'!$AC$9,"B-",IF(H179&lt;'PlayerGrades+'!$AC$8,"B",IF(H179&lt;'PlayerGrades+'!$AC$7,"B+",IF(H179&lt;'PlayerGrades+'!$AC$6,"A-",IF(H179&lt;'PlayerGrades+'!$AC$5,"A",IF(H179&lt;'PlayerGrades+'!$AC$4,"A+",IF(H179&lt;'PlayerGrades+'!$AC$3,"S-",IF(H179&lt;'PlayerGrades+'!$AC$2,"S","S+"))))))))))))))))))))</f>
        <v>#DIV/0!</v>
      </c>
      <c r="J179" s="961" t="str">
        <f t="shared" si="4"/>
        <v>#DIV/0!</v>
      </c>
      <c r="K179" s="961" t="str">
        <f>IF(J179&lt;'PlayerGrades+'!$AD$21,"F-",IF(J179&lt;'PlayerGrades+'!$AD$20,"F",IF(J179&lt;'PlayerGrades+'!$AD$19,"F+",IF(J179&lt;'PlayerGrades+'!$AD$18,"E-",IF(J179&lt;'PlayerGrades+'!$AD$17,"E",IF(J179&lt;'PlayerGrades+'!$AD$16,"E+",IF(J179&lt;'PlayerGrades+'!$AD$15,"D-",IF(J179&lt;'PlayerGrades+'!$AD$14,"D",IF(J179&lt;'PlayerGrades+'!$AD$13,"D+",IF(J179&lt;'PlayerGrades+'!$AD$12,"C-",IF(J179&lt;'PlayerGrades+'!$AD$11,"C",IF(J179&lt;'PlayerGrades+'!$AD$10,"C+",IF(J179&lt;'PlayerGrades+'!$AD$9,"B-",IF(J179&lt;'PlayerGrades+'!$AD$8,"B",IF(J179&lt;'PlayerGrades+'!$AD$7,"B+",IF(J179&lt;'PlayerGrades+'!$AD$6,"A-",IF(J179&lt;'PlayerGrades+'!$AD$5,"A",IF(J179&lt;'PlayerGrades+'!$AD$4,"A+",IF(J179&lt;'PlayerGrades+'!$AD$3,"S-",IF(J179&lt;'PlayerGrades+'!$AD$2,"S","S+"))))))))))))))))))))</f>
        <v>#DIV/0!</v>
      </c>
      <c r="L179" s="1176" t="str">
        <f t="shared" si="5"/>
        <v>#DIV/0!</v>
      </c>
      <c r="M179" s="992" t="str">
        <f>IF(L179&lt;'PlayerGrades+'!$AE$21,"F-",IF(L179&lt;'PlayerGrades+'!$AE$20,"F",IF(L179&lt;'PlayerGrades+'!$AE$19,"F+",IF(L179&lt;'PlayerGrades+'!$AE$18,"E-",IF(L179&lt;'PlayerGrades+'!$AE$17,"E",IF(L179&lt;'PlayerGrades+'!$AE$16,"E+",IF(L179&lt;'PlayerGrades+'!$AE$15,"D-",IF(L179&lt;'PlayerGrades+'!$AE$14,"D",IF(L179&lt;'PlayerGrades+'!$AE$13,"D+",IF(L179&lt;'PlayerGrades+'!$AE$12,"C-",IF(L179&lt;'PlayerGrades+'!$AE$11,"C",IF(L179&lt;'PlayerGrades+'!$AE$10,"C+",IF(L179&lt;'PlayerGrades+'!$AE$9,"B-",IF(L179&lt;'PlayerGrades+'!$AE$8,"B",IF(L179&lt;'PlayerGrades+'!$AE$7,"B+",IF(L179&lt;'PlayerGrades+'!$AE$6,"A-",IF(L179&lt;'PlayerGrades+'!$AE$5,"A",IF(L179&lt;'PlayerGrades+'!$AE$4,"A+",IF(L179&lt;'PlayerGrades+'!$AE$3,"S-",IF(L179&lt;'PlayerGrades+'!$AE$2,"S","S+"))))))))))))))))))))</f>
        <v>#DIV/0!</v>
      </c>
      <c r="N179" s="961" t="str">
        <f t="shared" si="6"/>
        <v>#DIV/0!</v>
      </c>
      <c r="O179" s="961" t="str">
        <f>IF(N179&lt;'PlayerGrades+'!$AF$21,"F-",IF(N179&lt;'PlayerGrades+'!$AF$20,"F",IF(N179&lt;'PlayerGrades+'!$AF$19,"F+",IF(N179&lt;'PlayerGrades+'!$AF$18,"E-",IF(N179&lt;'PlayerGrades+'!$AF$17,"E",IF(N179&lt;'PlayerGrades+'!$AF$16,"E+",IF(N179&lt;'PlayerGrades+'!$AF$15,"D-",IF(N179&lt;'PlayerGrades+'!$AF$14,"D",IF(N179&lt;'PlayerGrades+'!$AF$13,"D+",IF(N179&lt;'PlayerGrades+'!$AF$12,"C-",IF(N179&lt;'PlayerGrades+'!$AF$11,"C",IF(N179&lt;'PlayerGrades+'!$AF$10,"C+",IF(N179&lt;'PlayerGrades+'!$AF$9,"B-",IF(N179&lt;'PlayerGrades+'!$AF$8,"B",IF(N179&lt;'PlayerGrades+'!$AF$7,"B+",IF(N179&lt;'PlayerGrades+'!$AF$6,"A-",IF(N179&lt;'PlayerGrades+'!$AF$5,"A",IF(N179&lt;'PlayerGrades+'!$AF$4,"A+",IF(N179&lt;'PlayerGrades+'!$AF$3,"S-",IF(N179&lt;'PlayerGrades+'!$AF$2,"S","S+"))))))))))))))))))))</f>
        <v>#DIV/0!</v>
      </c>
      <c r="P179" s="961" t="str">
        <f t="shared" si="7"/>
        <v>#DIV/0!</v>
      </c>
      <c r="Q179" s="961" t="str">
        <f>IF(P179&lt;'PlayerGrades+'!$AG$21,"F-",IF(P179&lt;'PlayerGrades+'!$AG$20,"F",IF(P179&lt;'PlayerGrades+'!$AG$19,"F+",IF(P179&lt;'PlayerGrades+'!$AG$18,"E-",IF(P179&lt;'PlayerGrades+'!$AG$17,"E",IF(P179&lt;'PlayerGrades+'!$AG$16,"E+",IF(P179&lt;'PlayerGrades+'!$AG$15,"D-",IF(P179&lt;'PlayerGrades+'!$AG$14,"D",IF(P179&lt;'PlayerGrades+'!$AG$13,"D+",IF(P179&lt;'PlayerGrades+'!$AG$12,"C-",IF(P179&lt;'PlayerGrades+'!$AG$11,"C",IF(P179&lt;'PlayerGrades+'!$AG$10,"C+",IF(P179&lt;'PlayerGrades+'!$AG$9,"B-",IF(P179&lt;'PlayerGrades+'!$AG$8,"B",IF(P179&lt;'PlayerGrades+'!$AG$7,"B+",IF(P179&lt;'PlayerGrades+'!$AG$6,"A-",IF(P179&lt;'PlayerGrades+'!$AG$5,"A",IF(P179&lt;'PlayerGrades+'!$AG$4,"A+",IF(P179&lt;'PlayerGrades+'!$AG$3,"S-",IF(P179&lt;'PlayerGrades+'!$AG$2,"S","S+"))))))))))))))))))))</f>
        <v>#DIV/0!</v>
      </c>
      <c r="R179" s="961" t="str">
        <f t="shared" si="8"/>
        <v>#DIV/0!</v>
      </c>
      <c r="S179" s="961" t="str">
        <f>IF(R179&lt;'PlayerGrades+'!$AH$21,"F-",IF(R179&lt;'PlayerGrades+'!$AH$20,"F",IF(R179&lt;'PlayerGrades+'!$AH$19,"F+",IF(R179&lt;'PlayerGrades+'!$AH$18,"E-",IF(R179&lt;'PlayerGrades+'!$AH$17,"E",IF(R179&lt;'PlayerGrades+'!$AH$16,"E+",IF(R179&lt;'PlayerGrades+'!$AH$15,"D-",IF(R179&lt;'PlayerGrades+'!$AH$14,"D",IF(R179&lt;'PlayerGrades+'!$AH$13,"D+",IF(R179&lt;'PlayerGrades+'!$AH$12,"C-",IF(R179&lt;'PlayerGrades+'!$AH$11,"C",IF(R179&lt;'PlayerGrades+'!$AH$10,"C+",IF(R179&lt;'PlayerGrades+'!$AH$9,"B-",IF(R179&lt;'PlayerGrades+'!$AH$8,"B",IF(R179&lt;'PlayerGrades+'!$AH$7,"B+",IF(R179&lt;'PlayerGrades+'!$AH$6,"A-",IF(R179&lt;'PlayerGrades+'!$AH$5,"A",IF(R179&lt;'PlayerGrades+'!$AH$4,"A+",IF(R179&lt;'PlayerGrades+'!$AH$3,"S-",IF(R179&lt;'PlayerGrades+'!$AH$2,"S","S+"))))))))))))))))))))</f>
        <v>#DIV/0!</v>
      </c>
      <c r="T179" s="961">
        <f t="shared" si="9"/>
        <v>0</v>
      </c>
      <c r="U179" s="961" t="str">
        <f>IF(T179&lt;'PlayerGrades+'!$AI$21,"F-",IF(T179&lt;'PlayerGrades+'!$AI$20,"F",IF(T179&lt;'PlayerGrades+'!$AI$19,"F+",IF(T179&lt;'PlayerGrades+'!$AI$18,"E-",IF(T179&lt;'PlayerGrades+'!$AI$17,"E",IF(T179&lt;'PlayerGrades+'!$AI$16,"E+",IF(T179&lt;'PlayerGrades+'!$AI$15,"D-",IF(T179&lt;'PlayerGrades+'!$AI$14,"D",IF(T179&lt;'PlayerGrades+'!$AI$13,"D+",IF(T179&lt;'PlayerGrades+'!$AI$12,"C-",IF(T179&lt;'PlayerGrades+'!$AI$11,"C",IF(T179&lt;'PlayerGrades+'!$AI$10,"C+",IF(T179&lt;'PlayerGrades+'!$AI$9,"B-",IF(T179&lt;'PlayerGrades+'!$AI$8,"B",IF(T179&lt;'PlayerGrades+'!$AI$7,"B+",IF(T179&lt;'PlayerGrades+'!$AI$6,"A-",IF(T179&lt;'PlayerGrades+'!$AI$5,"A",IF(T179&lt;'PlayerGrades+'!$AI$4,"A+",IF(T179&lt;'PlayerGrades+'!$AI$3,"S-",IF(T179&lt;'PlayerGrades+'!$AI$2,"S","S+"))))))))))))))))))))</f>
        <v>F-</v>
      </c>
      <c r="AC179" s="1392"/>
    </row>
    <row r="180">
      <c r="A180" s="1391"/>
      <c r="B180" s="611" t="str">
        <f>IF(C180&lt;'PlayerGrades+'!$Y$44,"F-",IF(C180&lt;'PlayerGrades+'!$Y$43,"F",IF(C180&lt;'PlayerGrades+'!$Y$42,"F+",IF(C180&lt;'PlayerGrades+'!$Y$41,"E-",IF(C180&lt;'PlayerGrades+'!$Y$40,"E",IF(C180&lt;'PlayerGrades+'!$Y$39,"E+",IF(C180&lt;'PlayerGrades+'!$Y$38,"D-",IF(C180&lt;'PlayerGrades+'!$Y$37,"D",IF(C180&lt;'PlayerGrades+'!$Y$36,"D+",IF(C180&lt;'PlayerGrades+'!$Y$35,"C-",IF(C180&lt;'PlayerGrades+'!$Y$34,"C",IF(C180&lt;'PlayerGrades+'!$Y$33,"C+",IF(C180&lt;'PlayerGrades+'!$Y$32,"B-",IF(C180&lt;'PlayerGrades+'!$Y$31,"B",IF(C180&lt;'PlayerGrades+'!$Y$30,"B+",IF(C180&lt;'PlayerGrades+'!$Y$29,"A-",IF(C180&lt;'PlayerGrades+'!$Y$28,"A",IF(C180&lt;'PlayerGrades+'!$Y$27,"A+",IF(C180&lt;'PlayerGrades+'!$Y$26,"S-",IF(C180&lt;'PlayerGrades+'!$Y$25,"S","S+"))))))))))))))))))))</f>
        <v>#DIV/0!</v>
      </c>
      <c r="C180" s="1378" t="str">
        <f>('PlayerGrades+'!$Y$47*(VLOOKUP(E180, 'PlayerGrades+'!$X$3:$Y$23, 2, FALSE)))+('PlayerGrades+'!$Y$48*(VLOOKUP(G180, 'PlayerGrades+'!$X$3:$Y$23, 2, FALSE)))+('PlayerGrades+'!$Y$49*(VLOOKUP(I180, 'PlayerGrades+'!$X$3:$Y$23, 2, FALSE)))+('PlayerGrades+'!$Y$50*(VLOOKUP(K180, 'PlayerGrades+'!$X$3:$Y$23, 2, FALSE)))+('PlayerGrades+'!$Y$51*(VLOOKUP(M180, 'PlayerGrades+'!$X$3:$Y$23, 2, FALSE)))+('PlayerGrades+'!$Y$52*(VLOOKUP(O180, 'PlayerGrades+'!$X$3:$Y$23, 2, FALSE)))+('PlayerGrades+'!$Y$53*(VLOOKUP(Q180, 'PlayerGrades+'!$X$3:$Y$23, 2, FALSE)))+('PlayerGrades+'!$Y$54*(VLOOKUP(S180, 'PlayerGrades+'!$X$3:$Y$23, 2, FALSE)))+('PlayerGrades+'!$Y$55*(VLOOKUP(U180, 'PlayerGrades+'!$X$3:$Y$23, 2, FALSE)))</f>
        <v>#DIV/0!</v>
      </c>
      <c r="D180" s="961" t="str">
        <f t="shared" si="1"/>
        <v>#DIV/0!</v>
      </c>
      <c r="E180" s="961" t="str">
        <f>IF(D180&lt;'PlayerGrades+'!$AA$21,"F-",IF(D180&lt;'PlayerGrades+'!$AA$20,"F",IF(D180&lt;'PlayerGrades+'!$AA$19,"F+",IF(D180&lt;'PlayerGrades+'!$AA$18,"E-",IF(D180&lt;'PlayerGrades+'!$AA$17,"E",IF(D180&lt;'PlayerGrades+'!$AA$16,"E+",IF(D180&lt;'PlayerGrades+'!$AA$15,"D-",IF(D180&lt;'PlayerGrades+'!$AA$14,"D",IF(D180&lt;'PlayerGrades+'!$AA$13,"D+",IF(D180&lt;'PlayerGrades+'!$AA$12,"C-",IF(D180&lt;'PlayerGrades+'!$AA$11,"C",IF(D180&lt;'PlayerGrades+'!$AA$10,"C+",IF(D180&lt;'PlayerGrades+'!$AA$9,"B-",IF(D180&lt;'PlayerGrades+'!$AA$8,"B",IF(D180&lt;'PlayerGrades+'!$AA$7,"B+",IF(D180&lt;'PlayerGrades+'!$AA$6,"A-",IF(D180&lt;'PlayerGrades+'!$AA$5,"A",IF(D180&lt;'PlayerGrades+'!$AA$4,"A+",IF(D180&lt;'PlayerGrades+'!$AA$3,"S-",IF(D180&lt;'PlayerGrades+'!$AA$2,"S","S+"))))))))))))))))))))</f>
        <v>#DIV/0!</v>
      </c>
      <c r="F180" s="961" t="str">
        <f t="shared" si="2"/>
        <v>#DIV/0!</v>
      </c>
      <c r="G180" s="961" t="str">
        <f>IF(F180&lt;'PlayerGrades+'!$AB$21,"F-",IF(F180&lt;'PlayerGrades+'!$AB$20,"F",IF(F180&lt;'PlayerGrades+'!$AB$19,"F+",IF(F180&lt;'PlayerGrades+'!$AB$18,"E-",IF(F180&lt;'PlayerGrades+'!$AB$17,"E",IF(F180&lt;'PlayerGrades+'!$AB$16,"E+",IF(F180&lt;'PlayerGrades+'!$AB$15,"D-",IF(F180&lt;'PlayerGrades+'!$AB$14,"D",IF(F180&lt;'PlayerGrades+'!$AB$13,"D+",IF(F180&lt;'PlayerGrades+'!$AB$12,"C-",IF(F180&lt;'PlayerGrades+'!$AB$11,"C",IF(F180&lt;'PlayerGrades+'!$AB$10,"C+",IF(F180&lt;'PlayerGrades+'!$AB$9,"B-",IF(F180&lt;'PlayerGrades+'!$AB$8,"B",IF(F180&lt;'PlayerGrades+'!$AB$7,"B+",IF(F180&lt;'PlayerGrades+'!$AB$6,"A-",IF(F180&lt;'PlayerGrades+'!$AB$5,"A",IF(F180&lt;'PlayerGrades+'!$AB$4,"A+",IF(F180&lt;'PlayerGrades+'!$AB$3,"S-",IF(F180&lt;'PlayerGrades+'!$AB$2,"S","S+"))))))))))))))))))))</f>
        <v>#DIV/0!</v>
      </c>
      <c r="H180" s="961" t="str">
        <f t="shared" si="3"/>
        <v>#DIV/0!</v>
      </c>
      <c r="I180" s="961" t="str">
        <f>IF(H180&lt;'PlayerGrades+'!$AC$21,"F-",IF(H180&lt;'PlayerGrades+'!$AC$20,"F",IF(H180&lt;'PlayerGrades+'!$AC$19,"F+",IF(H180&lt;'PlayerGrades+'!$AC$18,"E-",IF(H180&lt;'PlayerGrades+'!$AC$17,"E",IF(H180&lt;'PlayerGrades+'!$AC$16,"E+",IF(H180&lt;'PlayerGrades+'!$AC$15,"D-",IF(H180&lt;'PlayerGrades+'!$AC$14,"D",IF(H180&lt;'PlayerGrades+'!$AC$13,"D+",IF(H180&lt;'PlayerGrades+'!$AC$12,"C-",IF(H180&lt;'PlayerGrades+'!$AC$11,"C",IF(H180&lt;'PlayerGrades+'!$AC$10,"C+",IF(H180&lt;'PlayerGrades+'!$AC$9,"B-",IF(H180&lt;'PlayerGrades+'!$AC$8,"B",IF(H180&lt;'PlayerGrades+'!$AC$7,"B+",IF(H180&lt;'PlayerGrades+'!$AC$6,"A-",IF(H180&lt;'PlayerGrades+'!$AC$5,"A",IF(H180&lt;'PlayerGrades+'!$AC$4,"A+",IF(H180&lt;'PlayerGrades+'!$AC$3,"S-",IF(H180&lt;'PlayerGrades+'!$AC$2,"S","S+"))))))))))))))))))))</f>
        <v>#DIV/0!</v>
      </c>
      <c r="J180" s="961" t="str">
        <f t="shared" si="4"/>
        <v>#DIV/0!</v>
      </c>
      <c r="K180" s="961" t="str">
        <f>IF(J180&lt;'PlayerGrades+'!$AD$21,"F-",IF(J180&lt;'PlayerGrades+'!$AD$20,"F",IF(J180&lt;'PlayerGrades+'!$AD$19,"F+",IF(J180&lt;'PlayerGrades+'!$AD$18,"E-",IF(J180&lt;'PlayerGrades+'!$AD$17,"E",IF(J180&lt;'PlayerGrades+'!$AD$16,"E+",IF(J180&lt;'PlayerGrades+'!$AD$15,"D-",IF(J180&lt;'PlayerGrades+'!$AD$14,"D",IF(J180&lt;'PlayerGrades+'!$AD$13,"D+",IF(J180&lt;'PlayerGrades+'!$AD$12,"C-",IF(J180&lt;'PlayerGrades+'!$AD$11,"C",IF(J180&lt;'PlayerGrades+'!$AD$10,"C+",IF(J180&lt;'PlayerGrades+'!$AD$9,"B-",IF(J180&lt;'PlayerGrades+'!$AD$8,"B",IF(J180&lt;'PlayerGrades+'!$AD$7,"B+",IF(J180&lt;'PlayerGrades+'!$AD$6,"A-",IF(J180&lt;'PlayerGrades+'!$AD$5,"A",IF(J180&lt;'PlayerGrades+'!$AD$4,"A+",IF(J180&lt;'PlayerGrades+'!$AD$3,"S-",IF(J180&lt;'PlayerGrades+'!$AD$2,"S","S+"))))))))))))))))))))</f>
        <v>#DIV/0!</v>
      </c>
      <c r="L180" s="1176" t="str">
        <f t="shared" si="5"/>
        <v>#DIV/0!</v>
      </c>
      <c r="M180" s="992" t="str">
        <f>IF(L180&lt;'PlayerGrades+'!$AE$21,"F-",IF(L180&lt;'PlayerGrades+'!$AE$20,"F",IF(L180&lt;'PlayerGrades+'!$AE$19,"F+",IF(L180&lt;'PlayerGrades+'!$AE$18,"E-",IF(L180&lt;'PlayerGrades+'!$AE$17,"E",IF(L180&lt;'PlayerGrades+'!$AE$16,"E+",IF(L180&lt;'PlayerGrades+'!$AE$15,"D-",IF(L180&lt;'PlayerGrades+'!$AE$14,"D",IF(L180&lt;'PlayerGrades+'!$AE$13,"D+",IF(L180&lt;'PlayerGrades+'!$AE$12,"C-",IF(L180&lt;'PlayerGrades+'!$AE$11,"C",IF(L180&lt;'PlayerGrades+'!$AE$10,"C+",IF(L180&lt;'PlayerGrades+'!$AE$9,"B-",IF(L180&lt;'PlayerGrades+'!$AE$8,"B",IF(L180&lt;'PlayerGrades+'!$AE$7,"B+",IF(L180&lt;'PlayerGrades+'!$AE$6,"A-",IF(L180&lt;'PlayerGrades+'!$AE$5,"A",IF(L180&lt;'PlayerGrades+'!$AE$4,"A+",IF(L180&lt;'PlayerGrades+'!$AE$3,"S-",IF(L180&lt;'PlayerGrades+'!$AE$2,"S","S+"))))))))))))))))))))</f>
        <v>#DIV/0!</v>
      </c>
      <c r="N180" s="961" t="str">
        <f t="shared" si="6"/>
        <v>#DIV/0!</v>
      </c>
      <c r="O180" s="961" t="str">
        <f>IF(N180&lt;'PlayerGrades+'!$AF$21,"F-",IF(N180&lt;'PlayerGrades+'!$AF$20,"F",IF(N180&lt;'PlayerGrades+'!$AF$19,"F+",IF(N180&lt;'PlayerGrades+'!$AF$18,"E-",IF(N180&lt;'PlayerGrades+'!$AF$17,"E",IF(N180&lt;'PlayerGrades+'!$AF$16,"E+",IF(N180&lt;'PlayerGrades+'!$AF$15,"D-",IF(N180&lt;'PlayerGrades+'!$AF$14,"D",IF(N180&lt;'PlayerGrades+'!$AF$13,"D+",IF(N180&lt;'PlayerGrades+'!$AF$12,"C-",IF(N180&lt;'PlayerGrades+'!$AF$11,"C",IF(N180&lt;'PlayerGrades+'!$AF$10,"C+",IF(N180&lt;'PlayerGrades+'!$AF$9,"B-",IF(N180&lt;'PlayerGrades+'!$AF$8,"B",IF(N180&lt;'PlayerGrades+'!$AF$7,"B+",IF(N180&lt;'PlayerGrades+'!$AF$6,"A-",IF(N180&lt;'PlayerGrades+'!$AF$5,"A",IF(N180&lt;'PlayerGrades+'!$AF$4,"A+",IF(N180&lt;'PlayerGrades+'!$AF$3,"S-",IF(N180&lt;'PlayerGrades+'!$AF$2,"S","S+"))))))))))))))))))))</f>
        <v>#DIV/0!</v>
      </c>
      <c r="P180" s="961" t="str">
        <f t="shared" si="7"/>
        <v>#DIV/0!</v>
      </c>
      <c r="Q180" s="961" t="str">
        <f>IF(P180&lt;'PlayerGrades+'!$AG$21,"F-",IF(P180&lt;'PlayerGrades+'!$AG$20,"F",IF(P180&lt;'PlayerGrades+'!$AG$19,"F+",IF(P180&lt;'PlayerGrades+'!$AG$18,"E-",IF(P180&lt;'PlayerGrades+'!$AG$17,"E",IF(P180&lt;'PlayerGrades+'!$AG$16,"E+",IF(P180&lt;'PlayerGrades+'!$AG$15,"D-",IF(P180&lt;'PlayerGrades+'!$AG$14,"D",IF(P180&lt;'PlayerGrades+'!$AG$13,"D+",IF(P180&lt;'PlayerGrades+'!$AG$12,"C-",IF(P180&lt;'PlayerGrades+'!$AG$11,"C",IF(P180&lt;'PlayerGrades+'!$AG$10,"C+",IF(P180&lt;'PlayerGrades+'!$AG$9,"B-",IF(P180&lt;'PlayerGrades+'!$AG$8,"B",IF(P180&lt;'PlayerGrades+'!$AG$7,"B+",IF(P180&lt;'PlayerGrades+'!$AG$6,"A-",IF(P180&lt;'PlayerGrades+'!$AG$5,"A",IF(P180&lt;'PlayerGrades+'!$AG$4,"A+",IF(P180&lt;'PlayerGrades+'!$AG$3,"S-",IF(P180&lt;'PlayerGrades+'!$AG$2,"S","S+"))))))))))))))))))))</f>
        <v>#DIV/0!</v>
      </c>
      <c r="R180" s="961" t="str">
        <f t="shared" si="8"/>
        <v>#DIV/0!</v>
      </c>
      <c r="S180" s="961" t="str">
        <f>IF(R180&lt;'PlayerGrades+'!$AH$21,"F-",IF(R180&lt;'PlayerGrades+'!$AH$20,"F",IF(R180&lt;'PlayerGrades+'!$AH$19,"F+",IF(R180&lt;'PlayerGrades+'!$AH$18,"E-",IF(R180&lt;'PlayerGrades+'!$AH$17,"E",IF(R180&lt;'PlayerGrades+'!$AH$16,"E+",IF(R180&lt;'PlayerGrades+'!$AH$15,"D-",IF(R180&lt;'PlayerGrades+'!$AH$14,"D",IF(R180&lt;'PlayerGrades+'!$AH$13,"D+",IF(R180&lt;'PlayerGrades+'!$AH$12,"C-",IF(R180&lt;'PlayerGrades+'!$AH$11,"C",IF(R180&lt;'PlayerGrades+'!$AH$10,"C+",IF(R180&lt;'PlayerGrades+'!$AH$9,"B-",IF(R180&lt;'PlayerGrades+'!$AH$8,"B",IF(R180&lt;'PlayerGrades+'!$AH$7,"B+",IF(R180&lt;'PlayerGrades+'!$AH$6,"A-",IF(R180&lt;'PlayerGrades+'!$AH$5,"A",IF(R180&lt;'PlayerGrades+'!$AH$4,"A+",IF(R180&lt;'PlayerGrades+'!$AH$3,"S-",IF(R180&lt;'PlayerGrades+'!$AH$2,"S","S+"))))))))))))))))))))</f>
        <v>#DIV/0!</v>
      </c>
      <c r="T180" s="961">
        <f t="shared" si="9"/>
        <v>0</v>
      </c>
      <c r="U180" s="961" t="str">
        <f>IF(T180&lt;'PlayerGrades+'!$AI$21,"F-",IF(T180&lt;'PlayerGrades+'!$AI$20,"F",IF(T180&lt;'PlayerGrades+'!$AI$19,"F+",IF(T180&lt;'PlayerGrades+'!$AI$18,"E-",IF(T180&lt;'PlayerGrades+'!$AI$17,"E",IF(T180&lt;'PlayerGrades+'!$AI$16,"E+",IF(T180&lt;'PlayerGrades+'!$AI$15,"D-",IF(T180&lt;'PlayerGrades+'!$AI$14,"D",IF(T180&lt;'PlayerGrades+'!$AI$13,"D+",IF(T180&lt;'PlayerGrades+'!$AI$12,"C-",IF(T180&lt;'PlayerGrades+'!$AI$11,"C",IF(T180&lt;'PlayerGrades+'!$AI$10,"C+",IF(T180&lt;'PlayerGrades+'!$AI$9,"B-",IF(T180&lt;'PlayerGrades+'!$AI$8,"B",IF(T180&lt;'PlayerGrades+'!$AI$7,"B+",IF(T180&lt;'PlayerGrades+'!$AI$6,"A-",IF(T180&lt;'PlayerGrades+'!$AI$5,"A",IF(T180&lt;'PlayerGrades+'!$AI$4,"A+",IF(T180&lt;'PlayerGrades+'!$AI$3,"S-",IF(T180&lt;'PlayerGrades+'!$AI$2,"S","S+"))))))))))))))))))))</f>
        <v>F-</v>
      </c>
      <c r="AC180" s="1392"/>
    </row>
    <row r="181">
      <c r="A181" s="1391"/>
      <c r="B181" s="611" t="str">
        <f>IF(C181&lt;'PlayerGrades+'!$Y$44,"F-",IF(C181&lt;'PlayerGrades+'!$Y$43,"F",IF(C181&lt;'PlayerGrades+'!$Y$42,"F+",IF(C181&lt;'PlayerGrades+'!$Y$41,"E-",IF(C181&lt;'PlayerGrades+'!$Y$40,"E",IF(C181&lt;'PlayerGrades+'!$Y$39,"E+",IF(C181&lt;'PlayerGrades+'!$Y$38,"D-",IF(C181&lt;'PlayerGrades+'!$Y$37,"D",IF(C181&lt;'PlayerGrades+'!$Y$36,"D+",IF(C181&lt;'PlayerGrades+'!$Y$35,"C-",IF(C181&lt;'PlayerGrades+'!$Y$34,"C",IF(C181&lt;'PlayerGrades+'!$Y$33,"C+",IF(C181&lt;'PlayerGrades+'!$Y$32,"B-",IF(C181&lt;'PlayerGrades+'!$Y$31,"B",IF(C181&lt;'PlayerGrades+'!$Y$30,"B+",IF(C181&lt;'PlayerGrades+'!$Y$29,"A-",IF(C181&lt;'PlayerGrades+'!$Y$28,"A",IF(C181&lt;'PlayerGrades+'!$Y$27,"A+",IF(C181&lt;'PlayerGrades+'!$Y$26,"S-",IF(C181&lt;'PlayerGrades+'!$Y$25,"S","S+"))))))))))))))))))))</f>
        <v>#DIV/0!</v>
      </c>
      <c r="C181" s="1378" t="str">
        <f>('PlayerGrades+'!$Y$47*(VLOOKUP(E181, 'PlayerGrades+'!$X$3:$Y$23, 2, FALSE)))+('PlayerGrades+'!$Y$48*(VLOOKUP(G181, 'PlayerGrades+'!$X$3:$Y$23, 2, FALSE)))+('PlayerGrades+'!$Y$49*(VLOOKUP(I181, 'PlayerGrades+'!$X$3:$Y$23, 2, FALSE)))+('PlayerGrades+'!$Y$50*(VLOOKUP(K181, 'PlayerGrades+'!$X$3:$Y$23, 2, FALSE)))+('PlayerGrades+'!$Y$51*(VLOOKUP(M181, 'PlayerGrades+'!$X$3:$Y$23, 2, FALSE)))+('PlayerGrades+'!$Y$52*(VLOOKUP(O181, 'PlayerGrades+'!$X$3:$Y$23, 2, FALSE)))+('PlayerGrades+'!$Y$53*(VLOOKUP(Q181, 'PlayerGrades+'!$X$3:$Y$23, 2, FALSE)))+('PlayerGrades+'!$Y$54*(VLOOKUP(S181, 'PlayerGrades+'!$X$3:$Y$23, 2, FALSE)))+('PlayerGrades+'!$Y$55*(VLOOKUP(U181, 'PlayerGrades+'!$X$3:$Y$23, 2, FALSE)))</f>
        <v>#DIV/0!</v>
      </c>
      <c r="D181" s="961" t="str">
        <f t="shared" si="1"/>
        <v>#DIV/0!</v>
      </c>
      <c r="E181" s="961" t="str">
        <f>IF(D181&lt;'PlayerGrades+'!$AA$21,"F-",IF(D181&lt;'PlayerGrades+'!$AA$20,"F",IF(D181&lt;'PlayerGrades+'!$AA$19,"F+",IF(D181&lt;'PlayerGrades+'!$AA$18,"E-",IF(D181&lt;'PlayerGrades+'!$AA$17,"E",IF(D181&lt;'PlayerGrades+'!$AA$16,"E+",IF(D181&lt;'PlayerGrades+'!$AA$15,"D-",IF(D181&lt;'PlayerGrades+'!$AA$14,"D",IF(D181&lt;'PlayerGrades+'!$AA$13,"D+",IF(D181&lt;'PlayerGrades+'!$AA$12,"C-",IF(D181&lt;'PlayerGrades+'!$AA$11,"C",IF(D181&lt;'PlayerGrades+'!$AA$10,"C+",IF(D181&lt;'PlayerGrades+'!$AA$9,"B-",IF(D181&lt;'PlayerGrades+'!$AA$8,"B",IF(D181&lt;'PlayerGrades+'!$AA$7,"B+",IF(D181&lt;'PlayerGrades+'!$AA$6,"A-",IF(D181&lt;'PlayerGrades+'!$AA$5,"A",IF(D181&lt;'PlayerGrades+'!$AA$4,"A+",IF(D181&lt;'PlayerGrades+'!$AA$3,"S-",IF(D181&lt;'PlayerGrades+'!$AA$2,"S","S+"))))))))))))))))))))</f>
        <v>#DIV/0!</v>
      </c>
      <c r="F181" s="961" t="str">
        <f t="shared" si="2"/>
        <v>#DIV/0!</v>
      </c>
      <c r="G181" s="961" t="str">
        <f>IF(F181&lt;'PlayerGrades+'!$AB$21,"F-",IF(F181&lt;'PlayerGrades+'!$AB$20,"F",IF(F181&lt;'PlayerGrades+'!$AB$19,"F+",IF(F181&lt;'PlayerGrades+'!$AB$18,"E-",IF(F181&lt;'PlayerGrades+'!$AB$17,"E",IF(F181&lt;'PlayerGrades+'!$AB$16,"E+",IF(F181&lt;'PlayerGrades+'!$AB$15,"D-",IF(F181&lt;'PlayerGrades+'!$AB$14,"D",IF(F181&lt;'PlayerGrades+'!$AB$13,"D+",IF(F181&lt;'PlayerGrades+'!$AB$12,"C-",IF(F181&lt;'PlayerGrades+'!$AB$11,"C",IF(F181&lt;'PlayerGrades+'!$AB$10,"C+",IF(F181&lt;'PlayerGrades+'!$AB$9,"B-",IF(F181&lt;'PlayerGrades+'!$AB$8,"B",IF(F181&lt;'PlayerGrades+'!$AB$7,"B+",IF(F181&lt;'PlayerGrades+'!$AB$6,"A-",IF(F181&lt;'PlayerGrades+'!$AB$5,"A",IF(F181&lt;'PlayerGrades+'!$AB$4,"A+",IF(F181&lt;'PlayerGrades+'!$AB$3,"S-",IF(F181&lt;'PlayerGrades+'!$AB$2,"S","S+"))))))))))))))))))))</f>
        <v>#DIV/0!</v>
      </c>
      <c r="H181" s="961" t="str">
        <f t="shared" si="3"/>
        <v>#DIV/0!</v>
      </c>
      <c r="I181" s="961" t="str">
        <f>IF(H181&lt;'PlayerGrades+'!$AC$21,"F-",IF(H181&lt;'PlayerGrades+'!$AC$20,"F",IF(H181&lt;'PlayerGrades+'!$AC$19,"F+",IF(H181&lt;'PlayerGrades+'!$AC$18,"E-",IF(H181&lt;'PlayerGrades+'!$AC$17,"E",IF(H181&lt;'PlayerGrades+'!$AC$16,"E+",IF(H181&lt;'PlayerGrades+'!$AC$15,"D-",IF(H181&lt;'PlayerGrades+'!$AC$14,"D",IF(H181&lt;'PlayerGrades+'!$AC$13,"D+",IF(H181&lt;'PlayerGrades+'!$AC$12,"C-",IF(H181&lt;'PlayerGrades+'!$AC$11,"C",IF(H181&lt;'PlayerGrades+'!$AC$10,"C+",IF(H181&lt;'PlayerGrades+'!$AC$9,"B-",IF(H181&lt;'PlayerGrades+'!$AC$8,"B",IF(H181&lt;'PlayerGrades+'!$AC$7,"B+",IF(H181&lt;'PlayerGrades+'!$AC$6,"A-",IF(H181&lt;'PlayerGrades+'!$AC$5,"A",IF(H181&lt;'PlayerGrades+'!$AC$4,"A+",IF(H181&lt;'PlayerGrades+'!$AC$3,"S-",IF(H181&lt;'PlayerGrades+'!$AC$2,"S","S+"))))))))))))))))))))</f>
        <v>#DIV/0!</v>
      </c>
      <c r="J181" s="961" t="str">
        <f t="shared" si="4"/>
        <v>#DIV/0!</v>
      </c>
      <c r="K181" s="961" t="str">
        <f>IF(J181&lt;'PlayerGrades+'!$AD$21,"F-",IF(J181&lt;'PlayerGrades+'!$AD$20,"F",IF(J181&lt;'PlayerGrades+'!$AD$19,"F+",IF(J181&lt;'PlayerGrades+'!$AD$18,"E-",IF(J181&lt;'PlayerGrades+'!$AD$17,"E",IF(J181&lt;'PlayerGrades+'!$AD$16,"E+",IF(J181&lt;'PlayerGrades+'!$AD$15,"D-",IF(J181&lt;'PlayerGrades+'!$AD$14,"D",IF(J181&lt;'PlayerGrades+'!$AD$13,"D+",IF(J181&lt;'PlayerGrades+'!$AD$12,"C-",IF(J181&lt;'PlayerGrades+'!$AD$11,"C",IF(J181&lt;'PlayerGrades+'!$AD$10,"C+",IF(J181&lt;'PlayerGrades+'!$AD$9,"B-",IF(J181&lt;'PlayerGrades+'!$AD$8,"B",IF(J181&lt;'PlayerGrades+'!$AD$7,"B+",IF(J181&lt;'PlayerGrades+'!$AD$6,"A-",IF(J181&lt;'PlayerGrades+'!$AD$5,"A",IF(J181&lt;'PlayerGrades+'!$AD$4,"A+",IF(J181&lt;'PlayerGrades+'!$AD$3,"S-",IF(J181&lt;'PlayerGrades+'!$AD$2,"S","S+"))))))))))))))))))))</f>
        <v>#DIV/0!</v>
      </c>
      <c r="L181" s="1176" t="str">
        <f t="shared" si="5"/>
        <v>#DIV/0!</v>
      </c>
      <c r="M181" s="992" t="str">
        <f>IF(L181&lt;'PlayerGrades+'!$AE$21,"F-",IF(L181&lt;'PlayerGrades+'!$AE$20,"F",IF(L181&lt;'PlayerGrades+'!$AE$19,"F+",IF(L181&lt;'PlayerGrades+'!$AE$18,"E-",IF(L181&lt;'PlayerGrades+'!$AE$17,"E",IF(L181&lt;'PlayerGrades+'!$AE$16,"E+",IF(L181&lt;'PlayerGrades+'!$AE$15,"D-",IF(L181&lt;'PlayerGrades+'!$AE$14,"D",IF(L181&lt;'PlayerGrades+'!$AE$13,"D+",IF(L181&lt;'PlayerGrades+'!$AE$12,"C-",IF(L181&lt;'PlayerGrades+'!$AE$11,"C",IF(L181&lt;'PlayerGrades+'!$AE$10,"C+",IF(L181&lt;'PlayerGrades+'!$AE$9,"B-",IF(L181&lt;'PlayerGrades+'!$AE$8,"B",IF(L181&lt;'PlayerGrades+'!$AE$7,"B+",IF(L181&lt;'PlayerGrades+'!$AE$6,"A-",IF(L181&lt;'PlayerGrades+'!$AE$5,"A",IF(L181&lt;'PlayerGrades+'!$AE$4,"A+",IF(L181&lt;'PlayerGrades+'!$AE$3,"S-",IF(L181&lt;'PlayerGrades+'!$AE$2,"S","S+"))))))))))))))))))))</f>
        <v>#DIV/0!</v>
      </c>
      <c r="N181" s="961" t="str">
        <f t="shared" si="6"/>
        <v>#DIV/0!</v>
      </c>
      <c r="O181" s="961" t="str">
        <f>IF(N181&lt;'PlayerGrades+'!$AF$21,"F-",IF(N181&lt;'PlayerGrades+'!$AF$20,"F",IF(N181&lt;'PlayerGrades+'!$AF$19,"F+",IF(N181&lt;'PlayerGrades+'!$AF$18,"E-",IF(N181&lt;'PlayerGrades+'!$AF$17,"E",IF(N181&lt;'PlayerGrades+'!$AF$16,"E+",IF(N181&lt;'PlayerGrades+'!$AF$15,"D-",IF(N181&lt;'PlayerGrades+'!$AF$14,"D",IF(N181&lt;'PlayerGrades+'!$AF$13,"D+",IF(N181&lt;'PlayerGrades+'!$AF$12,"C-",IF(N181&lt;'PlayerGrades+'!$AF$11,"C",IF(N181&lt;'PlayerGrades+'!$AF$10,"C+",IF(N181&lt;'PlayerGrades+'!$AF$9,"B-",IF(N181&lt;'PlayerGrades+'!$AF$8,"B",IF(N181&lt;'PlayerGrades+'!$AF$7,"B+",IF(N181&lt;'PlayerGrades+'!$AF$6,"A-",IF(N181&lt;'PlayerGrades+'!$AF$5,"A",IF(N181&lt;'PlayerGrades+'!$AF$4,"A+",IF(N181&lt;'PlayerGrades+'!$AF$3,"S-",IF(N181&lt;'PlayerGrades+'!$AF$2,"S","S+"))))))))))))))))))))</f>
        <v>#DIV/0!</v>
      </c>
      <c r="P181" s="961" t="str">
        <f t="shared" si="7"/>
        <v>#DIV/0!</v>
      </c>
      <c r="Q181" s="961" t="str">
        <f>IF(P181&lt;'PlayerGrades+'!$AG$21,"F-",IF(P181&lt;'PlayerGrades+'!$AG$20,"F",IF(P181&lt;'PlayerGrades+'!$AG$19,"F+",IF(P181&lt;'PlayerGrades+'!$AG$18,"E-",IF(P181&lt;'PlayerGrades+'!$AG$17,"E",IF(P181&lt;'PlayerGrades+'!$AG$16,"E+",IF(P181&lt;'PlayerGrades+'!$AG$15,"D-",IF(P181&lt;'PlayerGrades+'!$AG$14,"D",IF(P181&lt;'PlayerGrades+'!$AG$13,"D+",IF(P181&lt;'PlayerGrades+'!$AG$12,"C-",IF(P181&lt;'PlayerGrades+'!$AG$11,"C",IF(P181&lt;'PlayerGrades+'!$AG$10,"C+",IF(P181&lt;'PlayerGrades+'!$AG$9,"B-",IF(P181&lt;'PlayerGrades+'!$AG$8,"B",IF(P181&lt;'PlayerGrades+'!$AG$7,"B+",IF(P181&lt;'PlayerGrades+'!$AG$6,"A-",IF(P181&lt;'PlayerGrades+'!$AG$5,"A",IF(P181&lt;'PlayerGrades+'!$AG$4,"A+",IF(P181&lt;'PlayerGrades+'!$AG$3,"S-",IF(P181&lt;'PlayerGrades+'!$AG$2,"S","S+"))))))))))))))))))))</f>
        <v>#DIV/0!</v>
      </c>
      <c r="R181" s="961" t="str">
        <f t="shared" si="8"/>
        <v>#DIV/0!</v>
      </c>
      <c r="S181" s="961" t="str">
        <f>IF(R181&lt;'PlayerGrades+'!$AH$21,"F-",IF(R181&lt;'PlayerGrades+'!$AH$20,"F",IF(R181&lt;'PlayerGrades+'!$AH$19,"F+",IF(R181&lt;'PlayerGrades+'!$AH$18,"E-",IF(R181&lt;'PlayerGrades+'!$AH$17,"E",IF(R181&lt;'PlayerGrades+'!$AH$16,"E+",IF(R181&lt;'PlayerGrades+'!$AH$15,"D-",IF(R181&lt;'PlayerGrades+'!$AH$14,"D",IF(R181&lt;'PlayerGrades+'!$AH$13,"D+",IF(R181&lt;'PlayerGrades+'!$AH$12,"C-",IF(R181&lt;'PlayerGrades+'!$AH$11,"C",IF(R181&lt;'PlayerGrades+'!$AH$10,"C+",IF(R181&lt;'PlayerGrades+'!$AH$9,"B-",IF(R181&lt;'PlayerGrades+'!$AH$8,"B",IF(R181&lt;'PlayerGrades+'!$AH$7,"B+",IF(R181&lt;'PlayerGrades+'!$AH$6,"A-",IF(R181&lt;'PlayerGrades+'!$AH$5,"A",IF(R181&lt;'PlayerGrades+'!$AH$4,"A+",IF(R181&lt;'PlayerGrades+'!$AH$3,"S-",IF(R181&lt;'PlayerGrades+'!$AH$2,"S","S+"))))))))))))))))))))</f>
        <v>#DIV/0!</v>
      </c>
      <c r="T181" s="961">
        <f t="shared" si="9"/>
        <v>0</v>
      </c>
      <c r="U181" s="961" t="str">
        <f>IF(T181&lt;'PlayerGrades+'!$AI$21,"F-",IF(T181&lt;'PlayerGrades+'!$AI$20,"F",IF(T181&lt;'PlayerGrades+'!$AI$19,"F+",IF(T181&lt;'PlayerGrades+'!$AI$18,"E-",IF(T181&lt;'PlayerGrades+'!$AI$17,"E",IF(T181&lt;'PlayerGrades+'!$AI$16,"E+",IF(T181&lt;'PlayerGrades+'!$AI$15,"D-",IF(T181&lt;'PlayerGrades+'!$AI$14,"D",IF(T181&lt;'PlayerGrades+'!$AI$13,"D+",IF(T181&lt;'PlayerGrades+'!$AI$12,"C-",IF(T181&lt;'PlayerGrades+'!$AI$11,"C",IF(T181&lt;'PlayerGrades+'!$AI$10,"C+",IF(T181&lt;'PlayerGrades+'!$AI$9,"B-",IF(T181&lt;'PlayerGrades+'!$AI$8,"B",IF(T181&lt;'PlayerGrades+'!$AI$7,"B+",IF(T181&lt;'PlayerGrades+'!$AI$6,"A-",IF(T181&lt;'PlayerGrades+'!$AI$5,"A",IF(T181&lt;'PlayerGrades+'!$AI$4,"A+",IF(T181&lt;'PlayerGrades+'!$AI$3,"S-",IF(T181&lt;'PlayerGrades+'!$AI$2,"S","S+"))))))))))))))))))))</f>
        <v>F-</v>
      </c>
      <c r="AC181" s="1392"/>
    </row>
    <row r="182">
      <c r="A182" s="1391"/>
      <c r="B182" s="611" t="str">
        <f>IF(C182&lt;'PlayerGrades+'!$Y$44,"F-",IF(C182&lt;'PlayerGrades+'!$Y$43,"F",IF(C182&lt;'PlayerGrades+'!$Y$42,"F+",IF(C182&lt;'PlayerGrades+'!$Y$41,"E-",IF(C182&lt;'PlayerGrades+'!$Y$40,"E",IF(C182&lt;'PlayerGrades+'!$Y$39,"E+",IF(C182&lt;'PlayerGrades+'!$Y$38,"D-",IF(C182&lt;'PlayerGrades+'!$Y$37,"D",IF(C182&lt;'PlayerGrades+'!$Y$36,"D+",IF(C182&lt;'PlayerGrades+'!$Y$35,"C-",IF(C182&lt;'PlayerGrades+'!$Y$34,"C",IF(C182&lt;'PlayerGrades+'!$Y$33,"C+",IF(C182&lt;'PlayerGrades+'!$Y$32,"B-",IF(C182&lt;'PlayerGrades+'!$Y$31,"B",IF(C182&lt;'PlayerGrades+'!$Y$30,"B+",IF(C182&lt;'PlayerGrades+'!$Y$29,"A-",IF(C182&lt;'PlayerGrades+'!$Y$28,"A",IF(C182&lt;'PlayerGrades+'!$Y$27,"A+",IF(C182&lt;'PlayerGrades+'!$Y$26,"S-",IF(C182&lt;'PlayerGrades+'!$Y$25,"S","S+"))))))))))))))))))))</f>
        <v>#DIV/0!</v>
      </c>
      <c r="C182" s="1378" t="str">
        <f>('PlayerGrades+'!$Y$47*(VLOOKUP(E182, 'PlayerGrades+'!$X$3:$Y$23, 2, FALSE)))+('PlayerGrades+'!$Y$48*(VLOOKUP(G182, 'PlayerGrades+'!$X$3:$Y$23, 2, FALSE)))+('PlayerGrades+'!$Y$49*(VLOOKUP(I182, 'PlayerGrades+'!$X$3:$Y$23, 2, FALSE)))+('PlayerGrades+'!$Y$50*(VLOOKUP(K182, 'PlayerGrades+'!$X$3:$Y$23, 2, FALSE)))+('PlayerGrades+'!$Y$51*(VLOOKUP(M182, 'PlayerGrades+'!$X$3:$Y$23, 2, FALSE)))+('PlayerGrades+'!$Y$52*(VLOOKUP(O182, 'PlayerGrades+'!$X$3:$Y$23, 2, FALSE)))+('PlayerGrades+'!$Y$53*(VLOOKUP(Q182, 'PlayerGrades+'!$X$3:$Y$23, 2, FALSE)))+('PlayerGrades+'!$Y$54*(VLOOKUP(S182, 'PlayerGrades+'!$X$3:$Y$23, 2, FALSE)))+('PlayerGrades+'!$Y$55*(VLOOKUP(U182, 'PlayerGrades+'!$X$3:$Y$23, 2, FALSE)))</f>
        <v>#DIV/0!</v>
      </c>
      <c r="D182" s="961" t="str">
        <f t="shared" si="1"/>
        <v>#DIV/0!</v>
      </c>
      <c r="E182" s="961" t="str">
        <f>IF(D182&lt;'PlayerGrades+'!$AA$21,"F-",IF(D182&lt;'PlayerGrades+'!$AA$20,"F",IF(D182&lt;'PlayerGrades+'!$AA$19,"F+",IF(D182&lt;'PlayerGrades+'!$AA$18,"E-",IF(D182&lt;'PlayerGrades+'!$AA$17,"E",IF(D182&lt;'PlayerGrades+'!$AA$16,"E+",IF(D182&lt;'PlayerGrades+'!$AA$15,"D-",IF(D182&lt;'PlayerGrades+'!$AA$14,"D",IF(D182&lt;'PlayerGrades+'!$AA$13,"D+",IF(D182&lt;'PlayerGrades+'!$AA$12,"C-",IF(D182&lt;'PlayerGrades+'!$AA$11,"C",IF(D182&lt;'PlayerGrades+'!$AA$10,"C+",IF(D182&lt;'PlayerGrades+'!$AA$9,"B-",IF(D182&lt;'PlayerGrades+'!$AA$8,"B",IF(D182&lt;'PlayerGrades+'!$AA$7,"B+",IF(D182&lt;'PlayerGrades+'!$AA$6,"A-",IF(D182&lt;'PlayerGrades+'!$AA$5,"A",IF(D182&lt;'PlayerGrades+'!$AA$4,"A+",IF(D182&lt;'PlayerGrades+'!$AA$3,"S-",IF(D182&lt;'PlayerGrades+'!$AA$2,"S","S+"))))))))))))))))))))</f>
        <v>#DIV/0!</v>
      </c>
      <c r="F182" s="961" t="str">
        <f t="shared" si="2"/>
        <v>#DIV/0!</v>
      </c>
      <c r="G182" s="961" t="str">
        <f>IF(F182&lt;'PlayerGrades+'!$AB$21,"F-",IF(F182&lt;'PlayerGrades+'!$AB$20,"F",IF(F182&lt;'PlayerGrades+'!$AB$19,"F+",IF(F182&lt;'PlayerGrades+'!$AB$18,"E-",IF(F182&lt;'PlayerGrades+'!$AB$17,"E",IF(F182&lt;'PlayerGrades+'!$AB$16,"E+",IF(F182&lt;'PlayerGrades+'!$AB$15,"D-",IF(F182&lt;'PlayerGrades+'!$AB$14,"D",IF(F182&lt;'PlayerGrades+'!$AB$13,"D+",IF(F182&lt;'PlayerGrades+'!$AB$12,"C-",IF(F182&lt;'PlayerGrades+'!$AB$11,"C",IF(F182&lt;'PlayerGrades+'!$AB$10,"C+",IF(F182&lt;'PlayerGrades+'!$AB$9,"B-",IF(F182&lt;'PlayerGrades+'!$AB$8,"B",IF(F182&lt;'PlayerGrades+'!$AB$7,"B+",IF(F182&lt;'PlayerGrades+'!$AB$6,"A-",IF(F182&lt;'PlayerGrades+'!$AB$5,"A",IF(F182&lt;'PlayerGrades+'!$AB$4,"A+",IF(F182&lt;'PlayerGrades+'!$AB$3,"S-",IF(F182&lt;'PlayerGrades+'!$AB$2,"S","S+"))))))))))))))))))))</f>
        <v>#DIV/0!</v>
      </c>
      <c r="H182" s="961" t="str">
        <f t="shared" si="3"/>
        <v>#DIV/0!</v>
      </c>
      <c r="I182" s="961" t="str">
        <f>IF(H182&lt;'PlayerGrades+'!$AC$21,"F-",IF(H182&lt;'PlayerGrades+'!$AC$20,"F",IF(H182&lt;'PlayerGrades+'!$AC$19,"F+",IF(H182&lt;'PlayerGrades+'!$AC$18,"E-",IF(H182&lt;'PlayerGrades+'!$AC$17,"E",IF(H182&lt;'PlayerGrades+'!$AC$16,"E+",IF(H182&lt;'PlayerGrades+'!$AC$15,"D-",IF(H182&lt;'PlayerGrades+'!$AC$14,"D",IF(H182&lt;'PlayerGrades+'!$AC$13,"D+",IF(H182&lt;'PlayerGrades+'!$AC$12,"C-",IF(H182&lt;'PlayerGrades+'!$AC$11,"C",IF(H182&lt;'PlayerGrades+'!$AC$10,"C+",IF(H182&lt;'PlayerGrades+'!$AC$9,"B-",IF(H182&lt;'PlayerGrades+'!$AC$8,"B",IF(H182&lt;'PlayerGrades+'!$AC$7,"B+",IF(H182&lt;'PlayerGrades+'!$AC$6,"A-",IF(H182&lt;'PlayerGrades+'!$AC$5,"A",IF(H182&lt;'PlayerGrades+'!$AC$4,"A+",IF(H182&lt;'PlayerGrades+'!$AC$3,"S-",IF(H182&lt;'PlayerGrades+'!$AC$2,"S","S+"))))))))))))))))))))</f>
        <v>#DIV/0!</v>
      </c>
      <c r="J182" s="961" t="str">
        <f t="shared" si="4"/>
        <v>#DIV/0!</v>
      </c>
      <c r="K182" s="961" t="str">
        <f>IF(J182&lt;'PlayerGrades+'!$AD$21,"F-",IF(J182&lt;'PlayerGrades+'!$AD$20,"F",IF(J182&lt;'PlayerGrades+'!$AD$19,"F+",IF(J182&lt;'PlayerGrades+'!$AD$18,"E-",IF(J182&lt;'PlayerGrades+'!$AD$17,"E",IF(J182&lt;'PlayerGrades+'!$AD$16,"E+",IF(J182&lt;'PlayerGrades+'!$AD$15,"D-",IF(J182&lt;'PlayerGrades+'!$AD$14,"D",IF(J182&lt;'PlayerGrades+'!$AD$13,"D+",IF(J182&lt;'PlayerGrades+'!$AD$12,"C-",IF(J182&lt;'PlayerGrades+'!$AD$11,"C",IF(J182&lt;'PlayerGrades+'!$AD$10,"C+",IF(J182&lt;'PlayerGrades+'!$AD$9,"B-",IF(J182&lt;'PlayerGrades+'!$AD$8,"B",IF(J182&lt;'PlayerGrades+'!$AD$7,"B+",IF(J182&lt;'PlayerGrades+'!$AD$6,"A-",IF(J182&lt;'PlayerGrades+'!$AD$5,"A",IF(J182&lt;'PlayerGrades+'!$AD$4,"A+",IF(J182&lt;'PlayerGrades+'!$AD$3,"S-",IF(J182&lt;'PlayerGrades+'!$AD$2,"S","S+"))))))))))))))))))))</f>
        <v>#DIV/0!</v>
      </c>
      <c r="L182" s="1176" t="str">
        <f t="shared" si="5"/>
        <v>#DIV/0!</v>
      </c>
      <c r="M182" s="992" t="str">
        <f>IF(L182&lt;'PlayerGrades+'!$AE$21,"F-",IF(L182&lt;'PlayerGrades+'!$AE$20,"F",IF(L182&lt;'PlayerGrades+'!$AE$19,"F+",IF(L182&lt;'PlayerGrades+'!$AE$18,"E-",IF(L182&lt;'PlayerGrades+'!$AE$17,"E",IF(L182&lt;'PlayerGrades+'!$AE$16,"E+",IF(L182&lt;'PlayerGrades+'!$AE$15,"D-",IF(L182&lt;'PlayerGrades+'!$AE$14,"D",IF(L182&lt;'PlayerGrades+'!$AE$13,"D+",IF(L182&lt;'PlayerGrades+'!$AE$12,"C-",IF(L182&lt;'PlayerGrades+'!$AE$11,"C",IF(L182&lt;'PlayerGrades+'!$AE$10,"C+",IF(L182&lt;'PlayerGrades+'!$AE$9,"B-",IF(L182&lt;'PlayerGrades+'!$AE$8,"B",IF(L182&lt;'PlayerGrades+'!$AE$7,"B+",IF(L182&lt;'PlayerGrades+'!$AE$6,"A-",IF(L182&lt;'PlayerGrades+'!$AE$5,"A",IF(L182&lt;'PlayerGrades+'!$AE$4,"A+",IF(L182&lt;'PlayerGrades+'!$AE$3,"S-",IF(L182&lt;'PlayerGrades+'!$AE$2,"S","S+"))))))))))))))))))))</f>
        <v>#DIV/0!</v>
      </c>
      <c r="N182" s="961" t="str">
        <f t="shared" si="6"/>
        <v>#DIV/0!</v>
      </c>
      <c r="O182" s="961" t="str">
        <f>IF(N182&lt;'PlayerGrades+'!$AF$21,"F-",IF(N182&lt;'PlayerGrades+'!$AF$20,"F",IF(N182&lt;'PlayerGrades+'!$AF$19,"F+",IF(N182&lt;'PlayerGrades+'!$AF$18,"E-",IF(N182&lt;'PlayerGrades+'!$AF$17,"E",IF(N182&lt;'PlayerGrades+'!$AF$16,"E+",IF(N182&lt;'PlayerGrades+'!$AF$15,"D-",IF(N182&lt;'PlayerGrades+'!$AF$14,"D",IF(N182&lt;'PlayerGrades+'!$AF$13,"D+",IF(N182&lt;'PlayerGrades+'!$AF$12,"C-",IF(N182&lt;'PlayerGrades+'!$AF$11,"C",IF(N182&lt;'PlayerGrades+'!$AF$10,"C+",IF(N182&lt;'PlayerGrades+'!$AF$9,"B-",IF(N182&lt;'PlayerGrades+'!$AF$8,"B",IF(N182&lt;'PlayerGrades+'!$AF$7,"B+",IF(N182&lt;'PlayerGrades+'!$AF$6,"A-",IF(N182&lt;'PlayerGrades+'!$AF$5,"A",IF(N182&lt;'PlayerGrades+'!$AF$4,"A+",IF(N182&lt;'PlayerGrades+'!$AF$3,"S-",IF(N182&lt;'PlayerGrades+'!$AF$2,"S","S+"))))))))))))))))))))</f>
        <v>#DIV/0!</v>
      </c>
      <c r="P182" s="961" t="str">
        <f t="shared" si="7"/>
        <v>#DIV/0!</v>
      </c>
      <c r="Q182" s="961" t="str">
        <f>IF(P182&lt;'PlayerGrades+'!$AG$21,"F-",IF(P182&lt;'PlayerGrades+'!$AG$20,"F",IF(P182&lt;'PlayerGrades+'!$AG$19,"F+",IF(P182&lt;'PlayerGrades+'!$AG$18,"E-",IF(P182&lt;'PlayerGrades+'!$AG$17,"E",IF(P182&lt;'PlayerGrades+'!$AG$16,"E+",IF(P182&lt;'PlayerGrades+'!$AG$15,"D-",IF(P182&lt;'PlayerGrades+'!$AG$14,"D",IF(P182&lt;'PlayerGrades+'!$AG$13,"D+",IF(P182&lt;'PlayerGrades+'!$AG$12,"C-",IF(P182&lt;'PlayerGrades+'!$AG$11,"C",IF(P182&lt;'PlayerGrades+'!$AG$10,"C+",IF(P182&lt;'PlayerGrades+'!$AG$9,"B-",IF(P182&lt;'PlayerGrades+'!$AG$8,"B",IF(P182&lt;'PlayerGrades+'!$AG$7,"B+",IF(P182&lt;'PlayerGrades+'!$AG$6,"A-",IF(P182&lt;'PlayerGrades+'!$AG$5,"A",IF(P182&lt;'PlayerGrades+'!$AG$4,"A+",IF(P182&lt;'PlayerGrades+'!$AG$3,"S-",IF(P182&lt;'PlayerGrades+'!$AG$2,"S","S+"))))))))))))))))))))</f>
        <v>#DIV/0!</v>
      </c>
      <c r="R182" s="961" t="str">
        <f t="shared" si="8"/>
        <v>#DIV/0!</v>
      </c>
      <c r="S182" s="961" t="str">
        <f>IF(R182&lt;'PlayerGrades+'!$AH$21,"F-",IF(R182&lt;'PlayerGrades+'!$AH$20,"F",IF(R182&lt;'PlayerGrades+'!$AH$19,"F+",IF(R182&lt;'PlayerGrades+'!$AH$18,"E-",IF(R182&lt;'PlayerGrades+'!$AH$17,"E",IF(R182&lt;'PlayerGrades+'!$AH$16,"E+",IF(R182&lt;'PlayerGrades+'!$AH$15,"D-",IF(R182&lt;'PlayerGrades+'!$AH$14,"D",IF(R182&lt;'PlayerGrades+'!$AH$13,"D+",IF(R182&lt;'PlayerGrades+'!$AH$12,"C-",IF(R182&lt;'PlayerGrades+'!$AH$11,"C",IF(R182&lt;'PlayerGrades+'!$AH$10,"C+",IF(R182&lt;'PlayerGrades+'!$AH$9,"B-",IF(R182&lt;'PlayerGrades+'!$AH$8,"B",IF(R182&lt;'PlayerGrades+'!$AH$7,"B+",IF(R182&lt;'PlayerGrades+'!$AH$6,"A-",IF(R182&lt;'PlayerGrades+'!$AH$5,"A",IF(R182&lt;'PlayerGrades+'!$AH$4,"A+",IF(R182&lt;'PlayerGrades+'!$AH$3,"S-",IF(R182&lt;'PlayerGrades+'!$AH$2,"S","S+"))))))))))))))))))))</f>
        <v>#DIV/0!</v>
      </c>
      <c r="T182" s="961">
        <f t="shared" si="9"/>
        <v>0</v>
      </c>
      <c r="U182" s="961" t="str">
        <f>IF(T182&lt;'PlayerGrades+'!$AI$21,"F-",IF(T182&lt;'PlayerGrades+'!$AI$20,"F",IF(T182&lt;'PlayerGrades+'!$AI$19,"F+",IF(T182&lt;'PlayerGrades+'!$AI$18,"E-",IF(T182&lt;'PlayerGrades+'!$AI$17,"E",IF(T182&lt;'PlayerGrades+'!$AI$16,"E+",IF(T182&lt;'PlayerGrades+'!$AI$15,"D-",IF(T182&lt;'PlayerGrades+'!$AI$14,"D",IF(T182&lt;'PlayerGrades+'!$AI$13,"D+",IF(T182&lt;'PlayerGrades+'!$AI$12,"C-",IF(T182&lt;'PlayerGrades+'!$AI$11,"C",IF(T182&lt;'PlayerGrades+'!$AI$10,"C+",IF(T182&lt;'PlayerGrades+'!$AI$9,"B-",IF(T182&lt;'PlayerGrades+'!$AI$8,"B",IF(T182&lt;'PlayerGrades+'!$AI$7,"B+",IF(T182&lt;'PlayerGrades+'!$AI$6,"A-",IF(T182&lt;'PlayerGrades+'!$AI$5,"A",IF(T182&lt;'PlayerGrades+'!$AI$4,"A+",IF(T182&lt;'PlayerGrades+'!$AI$3,"S-",IF(T182&lt;'PlayerGrades+'!$AI$2,"S","S+"))))))))))))))))))))</f>
        <v>F-</v>
      </c>
      <c r="AC182" s="1392"/>
    </row>
    <row r="183">
      <c r="A183" s="1391"/>
      <c r="B183" s="611" t="str">
        <f>IF(C183&lt;'PlayerGrades+'!$Y$44,"F-",IF(C183&lt;'PlayerGrades+'!$Y$43,"F",IF(C183&lt;'PlayerGrades+'!$Y$42,"F+",IF(C183&lt;'PlayerGrades+'!$Y$41,"E-",IF(C183&lt;'PlayerGrades+'!$Y$40,"E",IF(C183&lt;'PlayerGrades+'!$Y$39,"E+",IF(C183&lt;'PlayerGrades+'!$Y$38,"D-",IF(C183&lt;'PlayerGrades+'!$Y$37,"D",IF(C183&lt;'PlayerGrades+'!$Y$36,"D+",IF(C183&lt;'PlayerGrades+'!$Y$35,"C-",IF(C183&lt;'PlayerGrades+'!$Y$34,"C",IF(C183&lt;'PlayerGrades+'!$Y$33,"C+",IF(C183&lt;'PlayerGrades+'!$Y$32,"B-",IF(C183&lt;'PlayerGrades+'!$Y$31,"B",IF(C183&lt;'PlayerGrades+'!$Y$30,"B+",IF(C183&lt;'PlayerGrades+'!$Y$29,"A-",IF(C183&lt;'PlayerGrades+'!$Y$28,"A",IF(C183&lt;'PlayerGrades+'!$Y$27,"A+",IF(C183&lt;'PlayerGrades+'!$Y$26,"S-",IF(C183&lt;'PlayerGrades+'!$Y$25,"S","S+"))))))))))))))))))))</f>
        <v>#DIV/0!</v>
      </c>
      <c r="C183" s="1378" t="str">
        <f>('PlayerGrades+'!$Y$47*(VLOOKUP(E183, 'PlayerGrades+'!$X$3:$Y$23, 2, FALSE)))+('PlayerGrades+'!$Y$48*(VLOOKUP(G183, 'PlayerGrades+'!$X$3:$Y$23, 2, FALSE)))+('PlayerGrades+'!$Y$49*(VLOOKUP(I183, 'PlayerGrades+'!$X$3:$Y$23, 2, FALSE)))+('PlayerGrades+'!$Y$50*(VLOOKUP(K183, 'PlayerGrades+'!$X$3:$Y$23, 2, FALSE)))+('PlayerGrades+'!$Y$51*(VLOOKUP(M183, 'PlayerGrades+'!$X$3:$Y$23, 2, FALSE)))+('PlayerGrades+'!$Y$52*(VLOOKUP(O183, 'PlayerGrades+'!$X$3:$Y$23, 2, FALSE)))+('PlayerGrades+'!$Y$53*(VLOOKUP(Q183, 'PlayerGrades+'!$X$3:$Y$23, 2, FALSE)))+('PlayerGrades+'!$Y$54*(VLOOKUP(S183, 'PlayerGrades+'!$X$3:$Y$23, 2, FALSE)))+('PlayerGrades+'!$Y$55*(VLOOKUP(U183, 'PlayerGrades+'!$X$3:$Y$23, 2, FALSE)))</f>
        <v>#DIV/0!</v>
      </c>
      <c r="D183" s="961" t="str">
        <f t="shared" si="1"/>
        <v>#DIV/0!</v>
      </c>
      <c r="E183" s="961" t="str">
        <f>IF(D183&lt;'PlayerGrades+'!$AA$21,"F-",IF(D183&lt;'PlayerGrades+'!$AA$20,"F",IF(D183&lt;'PlayerGrades+'!$AA$19,"F+",IF(D183&lt;'PlayerGrades+'!$AA$18,"E-",IF(D183&lt;'PlayerGrades+'!$AA$17,"E",IF(D183&lt;'PlayerGrades+'!$AA$16,"E+",IF(D183&lt;'PlayerGrades+'!$AA$15,"D-",IF(D183&lt;'PlayerGrades+'!$AA$14,"D",IF(D183&lt;'PlayerGrades+'!$AA$13,"D+",IF(D183&lt;'PlayerGrades+'!$AA$12,"C-",IF(D183&lt;'PlayerGrades+'!$AA$11,"C",IF(D183&lt;'PlayerGrades+'!$AA$10,"C+",IF(D183&lt;'PlayerGrades+'!$AA$9,"B-",IF(D183&lt;'PlayerGrades+'!$AA$8,"B",IF(D183&lt;'PlayerGrades+'!$AA$7,"B+",IF(D183&lt;'PlayerGrades+'!$AA$6,"A-",IF(D183&lt;'PlayerGrades+'!$AA$5,"A",IF(D183&lt;'PlayerGrades+'!$AA$4,"A+",IF(D183&lt;'PlayerGrades+'!$AA$3,"S-",IF(D183&lt;'PlayerGrades+'!$AA$2,"S","S+"))))))))))))))))))))</f>
        <v>#DIV/0!</v>
      </c>
      <c r="F183" s="961" t="str">
        <f t="shared" si="2"/>
        <v>#DIV/0!</v>
      </c>
      <c r="G183" s="961" t="str">
        <f>IF(F183&lt;'PlayerGrades+'!$AB$21,"F-",IF(F183&lt;'PlayerGrades+'!$AB$20,"F",IF(F183&lt;'PlayerGrades+'!$AB$19,"F+",IF(F183&lt;'PlayerGrades+'!$AB$18,"E-",IF(F183&lt;'PlayerGrades+'!$AB$17,"E",IF(F183&lt;'PlayerGrades+'!$AB$16,"E+",IF(F183&lt;'PlayerGrades+'!$AB$15,"D-",IF(F183&lt;'PlayerGrades+'!$AB$14,"D",IF(F183&lt;'PlayerGrades+'!$AB$13,"D+",IF(F183&lt;'PlayerGrades+'!$AB$12,"C-",IF(F183&lt;'PlayerGrades+'!$AB$11,"C",IF(F183&lt;'PlayerGrades+'!$AB$10,"C+",IF(F183&lt;'PlayerGrades+'!$AB$9,"B-",IF(F183&lt;'PlayerGrades+'!$AB$8,"B",IF(F183&lt;'PlayerGrades+'!$AB$7,"B+",IF(F183&lt;'PlayerGrades+'!$AB$6,"A-",IF(F183&lt;'PlayerGrades+'!$AB$5,"A",IF(F183&lt;'PlayerGrades+'!$AB$4,"A+",IF(F183&lt;'PlayerGrades+'!$AB$3,"S-",IF(F183&lt;'PlayerGrades+'!$AB$2,"S","S+"))))))))))))))))))))</f>
        <v>#DIV/0!</v>
      </c>
      <c r="H183" s="961" t="str">
        <f t="shared" si="3"/>
        <v>#DIV/0!</v>
      </c>
      <c r="I183" s="961" t="str">
        <f>IF(H183&lt;'PlayerGrades+'!$AC$21,"F-",IF(H183&lt;'PlayerGrades+'!$AC$20,"F",IF(H183&lt;'PlayerGrades+'!$AC$19,"F+",IF(H183&lt;'PlayerGrades+'!$AC$18,"E-",IF(H183&lt;'PlayerGrades+'!$AC$17,"E",IF(H183&lt;'PlayerGrades+'!$AC$16,"E+",IF(H183&lt;'PlayerGrades+'!$AC$15,"D-",IF(H183&lt;'PlayerGrades+'!$AC$14,"D",IF(H183&lt;'PlayerGrades+'!$AC$13,"D+",IF(H183&lt;'PlayerGrades+'!$AC$12,"C-",IF(H183&lt;'PlayerGrades+'!$AC$11,"C",IF(H183&lt;'PlayerGrades+'!$AC$10,"C+",IF(H183&lt;'PlayerGrades+'!$AC$9,"B-",IF(H183&lt;'PlayerGrades+'!$AC$8,"B",IF(H183&lt;'PlayerGrades+'!$AC$7,"B+",IF(H183&lt;'PlayerGrades+'!$AC$6,"A-",IF(H183&lt;'PlayerGrades+'!$AC$5,"A",IF(H183&lt;'PlayerGrades+'!$AC$4,"A+",IF(H183&lt;'PlayerGrades+'!$AC$3,"S-",IF(H183&lt;'PlayerGrades+'!$AC$2,"S","S+"))))))))))))))))))))</f>
        <v>#DIV/0!</v>
      </c>
      <c r="J183" s="961" t="str">
        <f t="shared" si="4"/>
        <v>#DIV/0!</v>
      </c>
      <c r="K183" s="961" t="str">
        <f>IF(J183&lt;'PlayerGrades+'!$AD$21,"F-",IF(J183&lt;'PlayerGrades+'!$AD$20,"F",IF(J183&lt;'PlayerGrades+'!$AD$19,"F+",IF(J183&lt;'PlayerGrades+'!$AD$18,"E-",IF(J183&lt;'PlayerGrades+'!$AD$17,"E",IF(J183&lt;'PlayerGrades+'!$AD$16,"E+",IF(J183&lt;'PlayerGrades+'!$AD$15,"D-",IF(J183&lt;'PlayerGrades+'!$AD$14,"D",IF(J183&lt;'PlayerGrades+'!$AD$13,"D+",IF(J183&lt;'PlayerGrades+'!$AD$12,"C-",IF(J183&lt;'PlayerGrades+'!$AD$11,"C",IF(J183&lt;'PlayerGrades+'!$AD$10,"C+",IF(J183&lt;'PlayerGrades+'!$AD$9,"B-",IF(J183&lt;'PlayerGrades+'!$AD$8,"B",IF(J183&lt;'PlayerGrades+'!$AD$7,"B+",IF(J183&lt;'PlayerGrades+'!$AD$6,"A-",IF(J183&lt;'PlayerGrades+'!$AD$5,"A",IF(J183&lt;'PlayerGrades+'!$AD$4,"A+",IF(J183&lt;'PlayerGrades+'!$AD$3,"S-",IF(J183&lt;'PlayerGrades+'!$AD$2,"S","S+"))))))))))))))))))))</f>
        <v>#DIV/0!</v>
      </c>
      <c r="L183" s="1176" t="str">
        <f t="shared" si="5"/>
        <v>#DIV/0!</v>
      </c>
      <c r="M183" s="992" t="str">
        <f>IF(L183&lt;'PlayerGrades+'!$AE$21,"F-",IF(L183&lt;'PlayerGrades+'!$AE$20,"F",IF(L183&lt;'PlayerGrades+'!$AE$19,"F+",IF(L183&lt;'PlayerGrades+'!$AE$18,"E-",IF(L183&lt;'PlayerGrades+'!$AE$17,"E",IF(L183&lt;'PlayerGrades+'!$AE$16,"E+",IF(L183&lt;'PlayerGrades+'!$AE$15,"D-",IF(L183&lt;'PlayerGrades+'!$AE$14,"D",IF(L183&lt;'PlayerGrades+'!$AE$13,"D+",IF(L183&lt;'PlayerGrades+'!$AE$12,"C-",IF(L183&lt;'PlayerGrades+'!$AE$11,"C",IF(L183&lt;'PlayerGrades+'!$AE$10,"C+",IF(L183&lt;'PlayerGrades+'!$AE$9,"B-",IF(L183&lt;'PlayerGrades+'!$AE$8,"B",IF(L183&lt;'PlayerGrades+'!$AE$7,"B+",IF(L183&lt;'PlayerGrades+'!$AE$6,"A-",IF(L183&lt;'PlayerGrades+'!$AE$5,"A",IF(L183&lt;'PlayerGrades+'!$AE$4,"A+",IF(L183&lt;'PlayerGrades+'!$AE$3,"S-",IF(L183&lt;'PlayerGrades+'!$AE$2,"S","S+"))))))))))))))))))))</f>
        <v>#DIV/0!</v>
      </c>
      <c r="N183" s="961" t="str">
        <f t="shared" si="6"/>
        <v>#DIV/0!</v>
      </c>
      <c r="O183" s="961" t="str">
        <f>IF(N183&lt;'PlayerGrades+'!$AF$21,"F-",IF(N183&lt;'PlayerGrades+'!$AF$20,"F",IF(N183&lt;'PlayerGrades+'!$AF$19,"F+",IF(N183&lt;'PlayerGrades+'!$AF$18,"E-",IF(N183&lt;'PlayerGrades+'!$AF$17,"E",IF(N183&lt;'PlayerGrades+'!$AF$16,"E+",IF(N183&lt;'PlayerGrades+'!$AF$15,"D-",IF(N183&lt;'PlayerGrades+'!$AF$14,"D",IF(N183&lt;'PlayerGrades+'!$AF$13,"D+",IF(N183&lt;'PlayerGrades+'!$AF$12,"C-",IF(N183&lt;'PlayerGrades+'!$AF$11,"C",IF(N183&lt;'PlayerGrades+'!$AF$10,"C+",IF(N183&lt;'PlayerGrades+'!$AF$9,"B-",IF(N183&lt;'PlayerGrades+'!$AF$8,"B",IF(N183&lt;'PlayerGrades+'!$AF$7,"B+",IF(N183&lt;'PlayerGrades+'!$AF$6,"A-",IF(N183&lt;'PlayerGrades+'!$AF$5,"A",IF(N183&lt;'PlayerGrades+'!$AF$4,"A+",IF(N183&lt;'PlayerGrades+'!$AF$3,"S-",IF(N183&lt;'PlayerGrades+'!$AF$2,"S","S+"))))))))))))))))))))</f>
        <v>#DIV/0!</v>
      </c>
      <c r="P183" s="961" t="str">
        <f t="shared" si="7"/>
        <v>#DIV/0!</v>
      </c>
      <c r="Q183" s="961" t="str">
        <f>IF(P183&lt;'PlayerGrades+'!$AG$21,"F-",IF(P183&lt;'PlayerGrades+'!$AG$20,"F",IF(P183&lt;'PlayerGrades+'!$AG$19,"F+",IF(P183&lt;'PlayerGrades+'!$AG$18,"E-",IF(P183&lt;'PlayerGrades+'!$AG$17,"E",IF(P183&lt;'PlayerGrades+'!$AG$16,"E+",IF(P183&lt;'PlayerGrades+'!$AG$15,"D-",IF(P183&lt;'PlayerGrades+'!$AG$14,"D",IF(P183&lt;'PlayerGrades+'!$AG$13,"D+",IF(P183&lt;'PlayerGrades+'!$AG$12,"C-",IF(P183&lt;'PlayerGrades+'!$AG$11,"C",IF(P183&lt;'PlayerGrades+'!$AG$10,"C+",IF(P183&lt;'PlayerGrades+'!$AG$9,"B-",IF(P183&lt;'PlayerGrades+'!$AG$8,"B",IF(P183&lt;'PlayerGrades+'!$AG$7,"B+",IF(P183&lt;'PlayerGrades+'!$AG$6,"A-",IF(P183&lt;'PlayerGrades+'!$AG$5,"A",IF(P183&lt;'PlayerGrades+'!$AG$4,"A+",IF(P183&lt;'PlayerGrades+'!$AG$3,"S-",IF(P183&lt;'PlayerGrades+'!$AG$2,"S","S+"))))))))))))))))))))</f>
        <v>#DIV/0!</v>
      </c>
      <c r="R183" s="961" t="str">
        <f t="shared" si="8"/>
        <v>#DIV/0!</v>
      </c>
      <c r="S183" s="961" t="str">
        <f>IF(R183&lt;'PlayerGrades+'!$AH$21,"F-",IF(R183&lt;'PlayerGrades+'!$AH$20,"F",IF(R183&lt;'PlayerGrades+'!$AH$19,"F+",IF(R183&lt;'PlayerGrades+'!$AH$18,"E-",IF(R183&lt;'PlayerGrades+'!$AH$17,"E",IF(R183&lt;'PlayerGrades+'!$AH$16,"E+",IF(R183&lt;'PlayerGrades+'!$AH$15,"D-",IF(R183&lt;'PlayerGrades+'!$AH$14,"D",IF(R183&lt;'PlayerGrades+'!$AH$13,"D+",IF(R183&lt;'PlayerGrades+'!$AH$12,"C-",IF(R183&lt;'PlayerGrades+'!$AH$11,"C",IF(R183&lt;'PlayerGrades+'!$AH$10,"C+",IF(R183&lt;'PlayerGrades+'!$AH$9,"B-",IF(R183&lt;'PlayerGrades+'!$AH$8,"B",IF(R183&lt;'PlayerGrades+'!$AH$7,"B+",IF(R183&lt;'PlayerGrades+'!$AH$6,"A-",IF(R183&lt;'PlayerGrades+'!$AH$5,"A",IF(R183&lt;'PlayerGrades+'!$AH$4,"A+",IF(R183&lt;'PlayerGrades+'!$AH$3,"S-",IF(R183&lt;'PlayerGrades+'!$AH$2,"S","S+"))))))))))))))))))))</f>
        <v>#DIV/0!</v>
      </c>
      <c r="T183" s="961">
        <f t="shared" si="9"/>
        <v>0</v>
      </c>
      <c r="U183" s="961" t="str">
        <f>IF(T183&lt;'PlayerGrades+'!$AI$21,"F-",IF(T183&lt;'PlayerGrades+'!$AI$20,"F",IF(T183&lt;'PlayerGrades+'!$AI$19,"F+",IF(T183&lt;'PlayerGrades+'!$AI$18,"E-",IF(T183&lt;'PlayerGrades+'!$AI$17,"E",IF(T183&lt;'PlayerGrades+'!$AI$16,"E+",IF(T183&lt;'PlayerGrades+'!$AI$15,"D-",IF(T183&lt;'PlayerGrades+'!$AI$14,"D",IF(T183&lt;'PlayerGrades+'!$AI$13,"D+",IF(T183&lt;'PlayerGrades+'!$AI$12,"C-",IF(T183&lt;'PlayerGrades+'!$AI$11,"C",IF(T183&lt;'PlayerGrades+'!$AI$10,"C+",IF(T183&lt;'PlayerGrades+'!$AI$9,"B-",IF(T183&lt;'PlayerGrades+'!$AI$8,"B",IF(T183&lt;'PlayerGrades+'!$AI$7,"B+",IF(T183&lt;'PlayerGrades+'!$AI$6,"A-",IF(T183&lt;'PlayerGrades+'!$AI$5,"A",IF(T183&lt;'PlayerGrades+'!$AI$4,"A+",IF(T183&lt;'PlayerGrades+'!$AI$3,"S-",IF(T183&lt;'PlayerGrades+'!$AI$2,"S","S+"))))))))))))))))))))</f>
        <v>F-</v>
      </c>
      <c r="AC183" s="1392"/>
    </row>
    <row r="184">
      <c r="A184" s="1391"/>
      <c r="B184" s="611" t="str">
        <f>IF(C184&lt;'PlayerGrades+'!$Y$44,"F-",IF(C184&lt;'PlayerGrades+'!$Y$43,"F",IF(C184&lt;'PlayerGrades+'!$Y$42,"F+",IF(C184&lt;'PlayerGrades+'!$Y$41,"E-",IF(C184&lt;'PlayerGrades+'!$Y$40,"E",IF(C184&lt;'PlayerGrades+'!$Y$39,"E+",IF(C184&lt;'PlayerGrades+'!$Y$38,"D-",IF(C184&lt;'PlayerGrades+'!$Y$37,"D",IF(C184&lt;'PlayerGrades+'!$Y$36,"D+",IF(C184&lt;'PlayerGrades+'!$Y$35,"C-",IF(C184&lt;'PlayerGrades+'!$Y$34,"C",IF(C184&lt;'PlayerGrades+'!$Y$33,"C+",IF(C184&lt;'PlayerGrades+'!$Y$32,"B-",IF(C184&lt;'PlayerGrades+'!$Y$31,"B",IF(C184&lt;'PlayerGrades+'!$Y$30,"B+",IF(C184&lt;'PlayerGrades+'!$Y$29,"A-",IF(C184&lt;'PlayerGrades+'!$Y$28,"A",IF(C184&lt;'PlayerGrades+'!$Y$27,"A+",IF(C184&lt;'PlayerGrades+'!$Y$26,"S-",IF(C184&lt;'PlayerGrades+'!$Y$25,"S","S+"))))))))))))))))))))</f>
        <v>#DIV/0!</v>
      </c>
      <c r="C184" s="1378" t="str">
        <f>('PlayerGrades+'!$Y$47*(VLOOKUP(E184, 'PlayerGrades+'!$X$3:$Y$23, 2, FALSE)))+('PlayerGrades+'!$Y$48*(VLOOKUP(G184, 'PlayerGrades+'!$X$3:$Y$23, 2, FALSE)))+('PlayerGrades+'!$Y$49*(VLOOKUP(I184, 'PlayerGrades+'!$X$3:$Y$23, 2, FALSE)))+('PlayerGrades+'!$Y$50*(VLOOKUP(K184, 'PlayerGrades+'!$X$3:$Y$23, 2, FALSE)))+('PlayerGrades+'!$Y$51*(VLOOKUP(M184, 'PlayerGrades+'!$X$3:$Y$23, 2, FALSE)))+('PlayerGrades+'!$Y$52*(VLOOKUP(O184, 'PlayerGrades+'!$X$3:$Y$23, 2, FALSE)))+('PlayerGrades+'!$Y$53*(VLOOKUP(Q184, 'PlayerGrades+'!$X$3:$Y$23, 2, FALSE)))+('PlayerGrades+'!$Y$54*(VLOOKUP(S184, 'PlayerGrades+'!$X$3:$Y$23, 2, FALSE)))+('PlayerGrades+'!$Y$55*(VLOOKUP(U184, 'PlayerGrades+'!$X$3:$Y$23, 2, FALSE)))</f>
        <v>#DIV/0!</v>
      </c>
      <c r="D184" s="961" t="str">
        <f t="shared" si="1"/>
        <v>#DIV/0!</v>
      </c>
      <c r="E184" s="961" t="str">
        <f>IF(D184&lt;'PlayerGrades+'!$AA$21,"F-",IF(D184&lt;'PlayerGrades+'!$AA$20,"F",IF(D184&lt;'PlayerGrades+'!$AA$19,"F+",IF(D184&lt;'PlayerGrades+'!$AA$18,"E-",IF(D184&lt;'PlayerGrades+'!$AA$17,"E",IF(D184&lt;'PlayerGrades+'!$AA$16,"E+",IF(D184&lt;'PlayerGrades+'!$AA$15,"D-",IF(D184&lt;'PlayerGrades+'!$AA$14,"D",IF(D184&lt;'PlayerGrades+'!$AA$13,"D+",IF(D184&lt;'PlayerGrades+'!$AA$12,"C-",IF(D184&lt;'PlayerGrades+'!$AA$11,"C",IF(D184&lt;'PlayerGrades+'!$AA$10,"C+",IF(D184&lt;'PlayerGrades+'!$AA$9,"B-",IF(D184&lt;'PlayerGrades+'!$AA$8,"B",IF(D184&lt;'PlayerGrades+'!$AA$7,"B+",IF(D184&lt;'PlayerGrades+'!$AA$6,"A-",IF(D184&lt;'PlayerGrades+'!$AA$5,"A",IF(D184&lt;'PlayerGrades+'!$AA$4,"A+",IF(D184&lt;'PlayerGrades+'!$AA$3,"S-",IF(D184&lt;'PlayerGrades+'!$AA$2,"S","S+"))))))))))))))))))))</f>
        <v>#DIV/0!</v>
      </c>
      <c r="F184" s="961" t="str">
        <f t="shared" si="2"/>
        <v>#DIV/0!</v>
      </c>
      <c r="G184" s="961" t="str">
        <f>IF(F184&lt;'PlayerGrades+'!$AB$21,"F-",IF(F184&lt;'PlayerGrades+'!$AB$20,"F",IF(F184&lt;'PlayerGrades+'!$AB$19,"F+",IF(F184&lt;'PlayerGrades+'!$AB$18,"E-",IF(F184&lt;'PlayerGrades+'!$AB$17,"E",IF(F184&lt;'PlayerGrades+'!$AB$16,"E+",IF(F184&lt;'PlayerGrades+'!$AB$15,"D-",IF(F184&lt;'PlayerGrades+'!$AB$14,"D",IF(F184&lt;'PlayerGrades+'!$AB$13,"D+",IF(F184&lt;'PlayerGrades+'!$AB$12,"C-",IF(F184&lt;'PlayerGrades+'!$AB$11,"C",IF(F184&lt;'PlayerGrades+'!$AB$10,"C+",IF(F184&lt;'PlayerGrades+'!$AB$9,"B-",IF(F184&lt;'PlayerGrades+'!$AB$8,"B",IF(F184&lt;'PlayerGrades+'!$AB$7,"B+",IF(F184&lt;'PlayerGrades+'!$AB$6,"A-",IF(F184&lt;'PlayerGrades+'!$AB$5,"A",IF(F184&lt;'PlayerGrades+'!$AB$4,"A+",IF(F184&lt;'PlayerGrades+'!$AB$3,"S-",IF(F184&lt;'PlayerGrades+'!$AB$2,"S","S+"))))))))))))))))))))</f>
        <v>#DIV/0!</v>
      </c>
      <c r="H184" s="961" t="str">
        <f t="shared" si="3"/>
        <v>#DIV/0!</v>
      </c>
      <c r="I184" s="961" t="str">
        <f>IF(H184&lt;'PlayerGrades+'!$AC$21,"F-",IF(H184&lt;'PlayerGrades+'!$AC$20,"F",IF(H184&lt;'PlayerGrades+'!$AC$19,"F+",IF(H184&lt;'PlayerGrades+'!$AC$18,"E-",IF(H184&lt;'PlayerGrades+'!$AC$17,"E",IF(H184&lt;'PlayerGrades+'!$AC$16,"E+",IF(H184&lt;'PlayerGrades+'!$AC$15,"D-",IF(H184&lt;'PlayerGrades+'!$AC$14,"D",IF(H184&lt;'PlayerGrades+'!$AC$13,"D+",IF(H184&lt;'PlayerGrades+'!$AC$12,"C-",IF(H184&lt;'PlayerGrades+'!$AC$11,"C",IF(H184&lt;'PlayerGrades+'!$AC$10,"C+",IF(H184&lt;'PlayerGrades+'!$AC$9,"B-",IF(H184&lt;'PlayerGrades+'!$AC$8,"B",IF(H184&lt;'PlayerGrades+'!$AC$7,"B+",IF(H184&lt;'PlayerGrades+'!$AC$6,"A-",IF(H184&lt;'PlayerGrades+'!$AC$5,"A",IF(H184&lt;'PlayerGrades+'!$AC$4,"A+",IF(H184&lt;'PlayerGrades+'!$AC$3,"S-",IF(H184&lt;'PlayerGrades+'!$AC$2,"S","S+"))))))))))))))))))))</f>
        <v>#DIV/0!</v>
      </c>
      <c r="J184" s="961" t="str">
        <f t="shared" si="4"/>
        <v>#DIV/0!</v>
      </c>
      <c r="K184" s="961" t="str">
        <f>IF(J184&lt;'PlayerGrades+'!$AD$21,"F-",IF(J184&lt;'PlayerGrades+'!$AD$20,"F",IF(J184&lt;'PlayerGrades+'!$AD$19,"F+",IF(J184&lt;'PlayerGrades+'!$AD$18,"E-",IF(J184&lt;'PlayerGrades+'!$AD$17,"E",IF(J184&lt;'PlayerGrades+'!$AD$16,"E+",IF(J184&lt;'PlayerGrades+'!$AD$15,"D-",IF(J184&lt;'PlayerGrades+'!$AD$14,"D",IF(J184&lt;'PlayerGrades+'!$AD$13,"D+",IF(J184&lt;'PlayerGrades+'!$AD$12,"C-",IF(J184&lt;'PlayerGrades+'!$AD$11,"C",IF(J184&lt;'PlayerGrades+'!$AD$10,"C+",IF(J184&lt;'PlayerGrades+'!$AD$9,"B-",IF(J184&lt;'PlayerGrades+'!$AD$8,"B",IF(J184&lt;'PlayerGrades+'!$AD$7,"B+",IF(J184&lt;'PlayerGrades+'!$AD$6,"A-",IF(J184&lt;'PlayerGrades+'!$AD$5,"A",IF(J184&lt;'PlayerGrades+'!$AD$4,"A+",IF(J184&lt;'PlayerGrades+'!$AD$3,"S-",IF(J184&lt;'PlayerGrades+'!$AD$2,"S","S+"))))))))))))))))))))</f>
        <v>#DIV/0!</v>
      </c>
      <c r="L184" s="1176" t="str">
        <f t="shared" si="5"/>
        <v>#DIV/0!</v>
      </c>
      <c r="M184" s="992" t="str">
        <f>IF(L184&lt;'PlayerGrades+'!$AE$21,"F-",IF(L184&lt;'PlayerGrades+'!$AE$20,"F",IF(L184&lt;'PlayerGrades+'!$AE$19,"F+",IF(L184&lt;'PlayerGrades+'!$AE$18,"E-",IF(L184&lt;'PlayerGrades+'!$AE$17,"E",IF(L184&lt;'PlayerGrades+'!$AE$16,"E+",IF(L184&lt;'PlayerGrades+'!$AE$15,"D-",IF(L184&lt;'PlayerGrades+'!$AE$14,"D",IF(L184&lt;'PlayerGrades+'!$AE$13,"D+",IF(L184&lt;'PlayerGrades+'!$AE$12,"C-",IF(L184&lt;'PlayerGrades+'!$AE$11,"C",IF(L184&lt;'PlayerGrades+'!$AE$10,"C+",IF(L184&lt;'PlayerGrades+'!$AE$9,"B-",IF(L184&lt;'PlayerGrades+'!$AE$8,"B",IF(L184&lt;'PlayerGrades+'!$AE$7,"B+",IF(L184&lt;'PlayerGrades+'!$AE$6,"A-",IF(L184&lt;'PlayerGrades+'!$AE$5,"A",IF(L184&lt;'PlayerGrades+'!$AE$4,"A+",IF(L184&lt;'PlayerGrades+'!$AE$3,"S-",IF(L184&lt;'PlayerGrades+'!$AE$2,"S","S+"))))))))))))))))))))</f>
        <v>#DIV/0!</v>
      </c>
      <c r="N184" s="961" t="str">
        <f t="shared" si="6"/>
        <v>#DIV/0!</v>
      </c>
      <c r="O184" s="961" t="str">
        <f>IF(N184&lt;'PlayerGrades+'!$AF$21,"F-",IF(N184&lt;'PlayerGrades+'!$AF$20,"F",IF(N184&lt;'PlayerGrades+'!$AF$19,"F+",IF(N184&lt;'PlayerGrades+'!$AF$18,"E-",IF(N184&lt;'PlayerGrades+'!$AF$17,"E",IF(N184&lt;'PlayerGrades+'!$AF$16,"E+",IF(N184&lt;'PlayerGrades+'!$AF$15,"D-",IF(N184&lt;'PlayerGrades+'!$AF$14,"D",IF(N184&lt;'PlayerGrades+'!$AF$13,"D+",IF(N184&lt;'PlayerGrades+'!$AF$12,"C-",IF(N184&lt;'PlayerGrades+'!$AF$11,"C",IF(N184&lt;'PlayerGrades+'!$AF$10,"C+",IF(N184&lt;'PlayerGrades+'!$AF$9,"B-",IF(N184&lt;'PlayerGrades+'!$AF$8,"B",IF(N184&lt;'PlayerGrades+'!$AF$7,"B+",IF(N184&lt;'PlayerGrades+'!$AF$6,"A-",IF(N184&lt;'PlayerGrades+'!$AF$5,"A",IF(N184&lt;'PlayerGrades+'!$AF$4,"A+",IF(N184&lt;'PlayerGrades+'!$AF$3,"S-",IF(N184&lt;'PlayerGrades+'!$AF$2,"S","S+"))))))))))))))))))))</f>
        <v>#DIV/0!</v>
      </c>
      <c r="P184" s="961" t="str">
        <f t="shared" si="7"/>
        <v>#DIV/0!</v>
      </c>
      <c r="Q184" s="961" t="str">
        <f>IF(P184&lt;'PlayerGrades+'!$AG$21,"F-",IF(P184&lt;'PlayerGrades+'!$AG$20,"F",IF(P184&lt;'PlayerGrades+'!$AG$19,"F+",IF(P184&lt;'PlayerGrades+'!$AG$18,"E-",IF(P184&lt;'PlayerGrades+'!$AG$17,"E",IF(P184&lt;'PlayerGrades+'!$AG$16,"E+",IF(P184&lt;'PlayerGrades+'!$AG$15,"D-",IF(P184&lt;'PlayerGrades+'!$AG$14,"D",IF(P184&lt;'PlayerGrades+'!$AG$13,"D+",IF(P184&lt;'PlayerGrades+'!$AG$12,"C-",IF(P184&lt;'PlayerGrades+'!$AG$11,"C",IF(P184&lt;'PlayerGrades+'!$AG$10,"C+",IF(P184&lt;'PlayerGrades+'!$AG$9,"B-",IF(P184&lt;'PlayerGrades+'!$AG$8,"B",IF(P184&lt;'PlayerGrades+'!$AG$7,"B+",IF(P184&lt;'PlayerGrades+'!$AG$6,"A-",IF(P184&lt;'PlayerGrades+'!$AG$5,"A",IF(P184&lt;'PlayerGrades+'!$AG$4,"A+",IF(P184&lt;'PlayerGrades+'!$AG$3,"S-",IF(P184&lt;'PlayerGrades+'!$AG$2,"S","S+"))))))))))))))))))))</f>
        <v>#DIV/0!</v>
      </c>
      <c r="R184" s="961" t="str">
        <f t="shared" si="8"/>
        <v>#DIV/0!</v>
      </c>
      <c r="S184" s="961" t="str">
        <f>IF(R184&lt;'PlayerGrades+'!$AH$21,"F-",IF(R184&lt;'PlayerGrades+'!$AH$20,"F",IF(R184&lt;'PlayerGrades+'!$AH$19,"F+",IF(R184&lt;'PlayerGrades+'!$AH$18,"E-",IF(R184&lt;'PlayerGrades+'!$AH$17,"E",IF(R184&lt;'PlayerGrades+'!$AH$16,"E+",IF(R184&lt;'PlayerGrades+'!$AH$15,"D-",IF(R184&lt;'PlayerGrades+'!$AH$14,"D",IF(R184&lt;'PlayerGrades+'!$AH$13,"D+",IF(R184&lt;'PlayerGrades+'!$AH$12,"C-",IF(R184&lt;'PlayerGrades+'!$AH$11,"C",IF(R184&lt;'PlayerGrades+'!$AH$10,"C+",IF(R184&lt;'PlayerGrades+'!$AH$9,"B-",IF(R184&lt;'PlayerGrades+'!$AH$8,"B",IF(R184&lt;'PlayerGrades+'!$AH$7,"B+",IF(R184&lt;'PlayerGrades+'!$AH$6,"A-",IF(R184&lt;'PlayerGrades+'!$AH$5,"A",IF(R184&lt;'PlayerGrades+'!$AH$4,"A+",IF(R184&lt;'PlayerGrades+'!$AH$3,"S-",IF(R184&lt;'PlayerGrades+'!$AH$2,"S","S+"))))))))))))))))))))</f>
        <v>#DIV/0!</v>
      </c>
      <c r="T184" s="961">
        <f t="shared" si="9"/>
        <v>0</v>
      </c>
      <c r="U184" s="961" t="str">
        <f>IF(T184&lt;'PlayerGrades+'!$AI$21,"F-",IF(T184&lt;'PlayerGrades+'!$AI$20,"F",IF(T184&lt;'PlayerGrades+'!$AI$19,"F+",IF(T184&lt;'PlayerGrades+'!$AI$18,"E-",IF(T184&lt;'PlayerGrades+'!$AI$17,"E",IF(T184&lt;'PlayerGrades+'!$AI$16,"E+",IF(T184&lt;'PlayerGrades+'!$AI$15,"D-",IF(T184&lt;'PlayerGrades+'!$AI$14,"D",IF(T184&lt;'PlayerGrades+'!$AI$13,"D+",IF(T184&lt;'PlayerGrades+'!$AI$12,"C-",IF(T184&lt;'PlayerGrades+'!$AI$11,"C",IF(T184&lt;'PlayerGrades+'!$AI$10,"C+",IF(T184&lt;'PlayerGrades+'!$AI$9,"B-",IF(T184&lt;'PlayerGrades+'!$AI$8,"B",IF(T184&lt;'PlayerGrades+'!$AI$7,"B+",IF(T184&lt;'PlayerGrades+'!$AI$6,"A-",IF(T184&lt;'PlayerGrades+'!$AI$5,"A",IF(T184&lt;'PlayerGrades+'!$AI$4,"A+",IF(T184&lt;'PlayerGrades+'!$AI$3,"S-",IF(T184&lt;'PlayerGrades+'!$AI$2,"S","S+"))))))))))))))))))))</f>
        <v>F-</v>
      </c>
      <c r="AC184" s="1392"/>
    </row>
    <row r="185">
      <c r="A185" s="1393"/>
      <c r="B185" s="611" t="str">
        <f>IF(C185&lt;'PlayerGrades+'!$Y$44,"F-",IF(C185&lt;'PlayerGrades+'!$Y$43,"F",IF(C185&lt;'PlayerGrades+'!$Y$42,"F+",IF(C185&lt;'PlayerGrades+'!$Y$41,"E-",IF(C185&lt;'PlayerGrades+'!$Y$40,"E",IF(C185&lt;'PlayerGrades+'!$Y$39,"E+",IF(C185&lt;'PlayerGrades+'!$Y$38,"D-",IF(C185&lt;'PlayerGrades+'!$Y$37,"D",IF(C185&lt;'PlayerGrades+'!$Y$36,"D+",IF(C185&lt;'PlayerGrades+'!$Y$35,"C-",IF(C185&lt;'PlayerGrades+'!$Y$34,"C",IF(C185&lt;'PlayerGrades+'!$Y$33,"C+",IF(C185&lt;'PlayerGrades+'!$Y$32,"B-",IF(C185&lt;'PlayerGrades+'!$Y$31,"B",IF(C185&lt;'PlayerGrades+'!$Y$30,"B+",IF(C185&lt;'PlayerGrades+'!$Y$29,"A-",IF(C185&lt;'PlayerGrades+'!$Y$28,"A",IF(C185&lt;'PlayerGrades+'!$Y$27,"A+",IF(C185&lt;'PlayerGrades+'!$Y$26,"S-",IF(C185&lt;'PlayerGrades+'!$Y$25,"S","S+"))))))))))))))))))))</f>
        <v>#DIV/0!</v>
      </c>
      <c r="C185" s="1378" t="str">
        <f>('PlayerGrades+'!$Y$47*(VLOOKUP(E185, 'PlayerGrades+'!$X$3:$Y$23, 2, FALSE)))+('PlayerGrades+'!$Y$48*(VLOOKUP(G185, 'PlayerGrades+'!$X$3:$Y$23, 2, FALSE)))+('PlayerGrades+'!$Y$49*(VLOOKUP(I185, 'PlayerGrades+'!$X$3:$Y$23, 2, FALSE)))+('PlayerGrades+'!$Y$50*(VLOOKUP(K185, 'PlayerGrades+'!$X$3:$Y$23, 2, FALSE)))+('PlayerGrades+'!$Y$51*(VLOOKUP(M185, 'PlayerGrades+'!$X$3:$Y$23, 2, FALSE)))+('PlayerGrades+'!$Y$52*(VLOOKUP(O185, 'PlayerGrades+'!$X$3:$Y$23, 2, FALSE)))+('PlayerGrades+'!$Y$53*(VLOOKUP(Q185, 'PlayerGrades+'!$X$3:$Y$23, 2, FALSE)))+('PlayerGrades+'!$Y$54*(VLOOKUP(S185, 'PlayerGrades+'!$X$3:$Y$23, 2, FALSE)))+('PlayerGrades+'!$Y$55*(VLOOKUP(U185, 'PlayerGrades+'!$X$3:$Y$23, 2, FALSE)))</f>
        <v>#DIV/0!</v>
      </c>
      <c r="D185" s="961" t="str">
        <f t="shared" si="1"/>
        <v>#DIV/0!</v>
      </c>
      <c r="E185" s="961" t="str">
        <f>IF(D185&lt;'PlayerGrades+'!$AA$21,"F-",IF(D185&lt;'PlayerGrades+'!$AA$20,"F",IF(D185&lt;'PlayerGrades+'!$AA$19,"F+",IF(D185&lt;'PlayerGrades+'!$AA$18,"E-",IF(D185&lt;'PlayerGrades+'!$AA$17,"E",IF(D185&lt;'PlayerGrades+'!$AA$16,"E+",IF(D185&lt;'PlayerGrades+'!$AA$15,"D-",IF(D185&lt;'PlayerGrades+'!$AA$14,"D",IF(D185&lt;'PlayerGrades+'!$AA$13,"D+",IF(D185&lt;'PlayerGrades+'!$AA$12,"C-",IF(D185&lt;'PlayerGrades+'!$AA$11,"C",IF(D185&lt;'PlayerGrades+'!$AA$10,"C+",IF(D185&lt;'PlayerGrades+'!$AA$9,"B-",IF(D185&lt;'PlayerGrades+'!$AA$8,"B",IF(D185&lt;'PlayerGrades+'!$AA$7,"B+",IF(D185&lt;'PlayerGrades+'!$AA$6,"A-",IF(D185&lt;'PlayerGrades+'!$AA$5,"A",IF(D185&lt;'PlayerGrades+'!$AA$4,"A+",IF(D185&lt;'PlayerGrades+'!$AA$3,"S-",IF(D185&lt;'PlayerGrades+'!$AA$2,"S","S+"))))))))))))))))))))</f>
        <v>#DIV/0!</v>
      </c>
      <c r="F185" s="961" t="str">
        <f t="shared" si="2"/>
        <v>#DIV/0!</v>
      </c>
      <c r="G185" s="961" t="str">
        <f>IF(F185&lt;'PlayerGrades+'!$AB$21,"F-",IF(F185&lt;'PlayerGrades+'!$AB$20,"F",IF(F185&lt;'PlayerGrades+'!$AB$19,"F+",IF(F185&lt;'PlayerGrades+'!$AB$18,"E-",IF(F185&lt;'PlayerGrades+'!$AB$17,"E",IF(F185&lt;'PlayerGrades+'!$AB$16,"E+",IF(F185&lt;'PlayerGrades+'!$AB$15,"D-",IF(F185&lt;'PlayerGrades+'!$AB$14,"D",IF(F185&lt;'PlayerGrades+'!$AB$13,"D+",IF(F185&lt;'PlayerGrades+'!$AB$12,"C-",IF(F185&lt;'PlayerGrades+'!$AB$11,"C",IF(F185&lt;'PlayerGrades+'!$AB$10,"C+",IF(F185&lt;'PlayerGrades+'!$AB$9,"B-",IF(F185&lt;'PlayerGrades+'!$AB$8,"B",IF(F185&lt;'PlayerGrades+'!$AB$7,"B+",IF(F185&lt;'PlayerGrades+'!$AB$6,"A-",IF(F185&lt;'PlayerGrades+'!$AB$5,"A",IF(F185&lt;'PlayerGrades+'!$AB$4,"A+",IF(F185&lt;'PlayerGrades+'!$AB$3,"S-",IF(F185&lt;'PlayerGrades+'!$AB$2,"S","S+"))))))))))))))))))))</f>
        <v>#DIV/0!</v>
      </c>
      <c r="H185" s="961" t="str">
        <f t="shared" si="3"/>
        <v>#DIV/0!</v>
      </c>
      <c r="I185" s="961" t="str">
        <f>IF(H185&lt;'PlayerGrades+'!$AC$21,"F-",IF(H185&lt;'PlayerGrades+'!$AC$20,"F",IF(H185&lt;'PlayerGrades+'!$AC$19,"F+",IF(H185&lt;'PlayerGrades+'!$AC$18,"E-",IF(H185&lt;'PlayerGrades+'!$AC$17,"E",IF(H185&lt;'PlayerGrades+'!$AC$16,"E+",IF(H185&lt;'PlayerGrades+'!$AC$15,"D-",IF(H185&lt;'PlayerGrades+'!$AC$14,"D",IF(H185&lt;'PlayerGrades+'!$AC$13,"D+",IF(H185&lt;'PlayerGrades+'!$AC$12,"C-",IF(H185&lt;'PlayerGrades+'!$AC$11,"C",IF(H185&lt;'PlayerGrades+'!$AC$10,"C+",IF(H185&lt;'PlayerGrades+'!$AC$9,"B-",IF(H185&lt;'PlayerGrades+'!$AC$8,"B",IF(H185&lt;'PlayerGrades+'!$AC$7,"B+",IF(H185&lt;'PlayerGrades+'!$AC$6,"A-",IF(H185&lt;'PlayerGrades+'!$AC$5,"A",IF(H185&lt;'PlayerGrades+'!$AC$4,"A+",IF(H185&lt;'PlayerGrades+'!$AC$3,"S-",IF(H185&lt;'PlayerGrades+'!$AC$2,"S","S+"))))))))))))))))))))</f>
        <v>#DIV/0!</v>
      </c>
      <c r="J185" s="961" t="str">
        <f t="shared" si="4"/>
        <v>#DIV/0!</v>
      </c>
      <c r="K185" s="961" t="str">
        <f>IF(J185&lt;'PlayerGrades+'!$AD$21,"F-",IF(J185&lt;'PlayerGrades+'!$AD$20,"F",IF(J185&lt;'PlayerGrades+'!$AD$19,"F+",IF(J185&lt;'PlayerGrades+'!$AD$18,"E-",IF(J185&lt;'PlayerGrades+'!$AD$17,"E",IF(J185&lt;'PlayerGrades+'!$AD$16,"E+",IF(J185&lt;'PlayerGrades+'!$AD$15,"D-",IF(J185&lt;'PlayerGrades+'!$AD$14,"D",IF(J185&lt;'PlayerGrades+'!$AD$13,"D+",IF(J185&lt;'PlayerGrades+'!$AD$12,"C-",IF(J185&lt;'PlayerGrades+'!$AD$11,"C",IF(J185&lt;'PlayerGrades+'!$AD$10,"C+",IF(J185&lt;'PlayerGrades+'!$AD$9,"B-",IF(J185&lt;'PlayerGrades+'!$AD$8,"B",IF(J185&lt;'PlayerGrades+'!$AD$7,"B+",IF(J185&lt;'PlayerGrades+'!$AD$6,"A-",IF(J185&lt;'PlayerGrades+'!$AD$5,"A",IF(J185&lt;'PlayerGrades+'!$AD$4,"A+",IF(J185&lt;'PlayerGrades+'!$AD$3,"S-",IF(J185&lt;'PlayerGrades+'!$AD$2,"S","S+"))))))))))))))))))))</f>
        <v>#DIV/0!</v>
      </c>
      <c r="L185" s="1176" t="str">
        <f t="shared" si="5"/>
        <v>#DIV/0!</v>
      </c>
      <c r="M185" s="992" t="str">
        <f>IF(L185&lt;'PlayerGrades+'!$AE$21,"F-",IF(L185&lt;'PlayerGrades+'!$AE$20,"F",IF(L185&lt;'PlayerGrades+'!$AE$19,"F+",IF(L185&lt;'PlayerGrades+'!$AE$18,"E-",IF(L185&lt;'PlayerGrades+'!$AE$17,"E",IF(L185&lt;'PlayerGrades+'!$AE$16,"E+",IF(L185&lt;'PlayerGrades+'!$AE$15,"D-",IF(L185&lt;'PlayerGrades+'!$AE$14,"D",IF(L185&lt;'PlayerGrades+'!$AE$13,"D+",IF(L185&lt;'PlayerGrades+'!$AE$12,"C-",IF(L185&lt;'PlayerGrades+'!$AE$11,"C",IF(L185&lt;'PlayerGrades+'!$AE$10,"C+",IF(L185&lt;'PlayerGrades+'!$AE$9,"B-",IF(L185&lt;'PlayerGrades+'!$AE$8,"B",IF(L185&lt;'PlayerGrades+'!$AE$7,"B+",IF(L185&lt;'PlayerGrades+'!$AE$6,"A-",IF(L185&lt;'PlayerGrades+'!$AE$5,"A",IF(L185&lt;'PlayerGrades+'!$AE$4,"A+",IF(L185&lt;'PlayerGrades+'!$AE$3,"S-",IF(L185&lt;'PlayerGrades+'!$AE$2,"S","S+"))))))))))))))))))))</f>
        <v>#DIV/0!</v>
      </c>
      <c r="N185" s="961" t="str">
        <f t="shared" si="6"/>
        <v>#DIV/0!</v>
      </c>
      <c r="O185" s="961" t="str">
        <f>IF(N185&lt;'PlayerGrades+'!$AF$21,"F-",IF(N185&lt;'PlayerGrades+'!$AF$20,"F",IF(N185&lt;'PlayerGrades+'!$AF$19,"F+",IF(N185&lt;'PlayerGrades+'!$AF$18,"E-",IF(N185&lt;'PlayerGrades+'!$AF$17,"E",IF(N185&lt;'PlayerGrades+'!$AF$16,"E+",IF(N185&lt;'PlayerGrades+'!$AF$15,"D-",IF(N185&lt;'PlayerGrades+'!$AF$14,"D",IF(N185&lt;'PlayerGrades+'!$AF$13,"D+",IF(N185&lt;'PlayerGrades+'!$AF$12,"C-",IF(N185&lt;'PlayerGrades+'!$AF$11,"C",IF(N185&lt;'PlayerGrades+'!$AF$10,"C+",IF(N185&lt;'PlayerGrades+'!$AF$9,"B-",IF(N185&lt;'PlayerGrades+'!$AF$8,"B",IF(N185&lt;'PlayerGrades+'!$AF$7,"B+",IF(N185&lt;'PlayerGrades+'!$AF$6,"A-",IF(N185&lt;'PlayerGrades+'!$AF$5,"A",IF(N185&lt;'PlayerGrades+'!$AF$4,"A+",IF(N185&lt;'PlayerGrades+'!$AF$3,"S-",IF(N185&lt;'PlayerGrades+'!$AF$2,"S","S+"))))))))))))))))))))</f>
        <v>#DIV/0!</v>
      </c>
      <c r="P185" s="961" t="str">
        <f t="shared" si="7"/>
        <v>#DIV/0!</v>
      </c>
      <c r="Q185" s="961" t="str">
        <f>IF(P185&lt;'PlayerGrades+'!$AG$21,"F-",IF(P185&lt;'PlayerGrades+'!$AG$20,"F",IF(P185&lt;'PlayerGrades+'!$AG$19,"F+",IF(P185&lt;'PlayerGrades+'!$AG$18,"E-",IF(P185&lt;'PlayerGrades+'!$AG$17,"E",IF(P185&lt;'PlayerGrades+'!$AG$16,"E+",IF(P185&lt;'PlayerGrades+'!$AG$15,"D-",IF(P185&lt;'PlayerGrades+'!$AG$14,"D",IF(P185&lt;'PlayerGrades+'!$AG$13,"D+",IF(P185&lt;'PlayerGrades+'!$AG$12,"C-",IF(P185&lt;'PlayerGrades+'!$AG$11,"C",IF(P185&lt;'PlayerGrades+'!$AG$10,"C+",IF(P185&lt;'PlayerGrades+'!$AG$9,"B-",IF(P185&lt;'PlayerGrades+'!$AG$8,"B",IF(P185&lt;'PlayerGrades+'!$AG$7,"B+",IF(P185&lt;'PlayerGrades+'!$AG$6,"A-",IF(P185&lt;'PlayerGrades+'!$AG$5,"A",IF(P185&lt;'PlayerGrades+'!$AG$4,"A+",IF(P185&lt;'PlayerGrades+'!$AG$3,"S-",IF(P185&lt;'PlayerGrades+'!$AG$2,"S","S+"))))))))))))))))))))</f>
        <v>#DIV/0!</v>
      </c>
      <c r="R185" s="961" t="str">
        <f t="shared" si="8"/>
        <v>#DIV/0!</v>
      </c>
      <c r="S185" s="961" t="str">
        <f>IF(R185&lt;'PlayerGrades+'!$AH$21,"F-",IF(R185&lt;'PlayerGrades+'!$AH$20,"F",IF(R185&lt;'PlayerGrades+'!$AH$19,"F+",IF(R185&lt;'PlayerGrades+'!$AH$18,"E-",IF(R185&lt;'PlayerGrades+'!$AH$17,"E",IF(R185&lt;'PlayerGrades+'!$AH$16,"E+",IF(R185&lt;'PlayerGrades+'!$AH$15,"D-",IF(R185&lt;'PlayerGrades+'!$AH$14,"D",IF(R185&lt;'PlayerGrades+'!$AH$13,"D+",IF(R185&lt;'PlayerGrades+'!$AH$12,"C-",IF(R185&lt;'PlayerGrades+'!$AH$11,"C",IF(R185&lt;'PlayerGrades+'!$AH$10,"C+",IF(R185&lt;'PlayerGrades+'!$AH$9,"B-",IF(R185&lt;'PlayerGrades+'!$AH$8,"B",IF(R185&lt;'PlayerGrades+'!$AH$7,"B+",IF(R185&lt;'PlayerGrades+'!$AH$6,"A-",IF(R185&lt;'PlayerGrades+'!$AH$5,"A",IF(R185&lt;'PlayerGrades+'!$AH$4,"A+",IF(R185&lt;'PlayerGrades+'!$AH$3,"S-",IF(R185&lt;'PlayerGrades+'!$AH$2,"S","S+"))))))))))))))))))))</f>
        <v>#DIV/0!</v>
      </c>
      <c r="T185" s="961">
        <f t="shared" si="9"/>
        <v>0</v>
      </c>
      <c r="U185" s="961" t="str">
        <f>IF(T185&lt;'PlayerGrades+'!$AI$21,"F-",IF(T185&lt;'PlayerGrades+'!$AI$20,"F",IF(T185&lt;'PlayerGrades+'!$AI$19,"F+",IF(T185&lt;'PlayerGrades+'!$AI$18,"E-",IF(T185&lt;'PlayerGrades+'!$AI$17,"E",IF(T185&lt;'PlayerGrades+'!$AI$16,"E+",IF(T185&lt;'PlayerGrades+'!$AI$15,"D-",IF(T185&lt;'PlayerGrades+'!$AI$14,"D",IF(T185&lt;'PlayerGrades+'!$AI$13,"D+",IF(T185&lt;'PlayerGrades+'!$AI$12,"C-",IF(T185&lt;'PlayerGrades+'!$AI$11,"C",IF(T185&lt;'PlayerGrades+'!$AI$10,"C+",IF(T185&lt;'PlayerGrades+'!$AI$9,"B-",IF(T185&lt;'PlayerGrades+'!$AI$8,"B",IF(T185&lt;'PlayerGrades+'!$AI$7,"B+",IF(T185&lt;'PlayerGrades+'!$AI$6,"A-",IF(T185&lt;'PlayerGrades+'!$AI$5,"A",IF(T185&lt;'PlayerGrades+'!$AI$4,"A+",IF(T185&lt;'PlayerGrades+'!$AI$3,"S-",IF(T185&lt;'PlayerGrades+'!$AI$2,"S","S+"))))))))))))))))))))</f>
        <v>F-</v>
      </c>
      <c r="V185" s="1386"/>
      <c r="W185" s="1386"/>
      <c r="X185" s="1386"/>
      <c r="Y185" s="1386"/>
      <c r="Z185" s="1386"/>
      <c r="AA185" s="1386"/>
      <c r="AB185" s="1386"/>
      <c r="AC185" s="1397"/>
      <c r="AD185" s="1386"/>
      <c r="AE185" s="1386"/>
      <c r="AF185" s="1386"/>
      <c r="AG185" s="1386"/>
      <c r="AH185" s="1386"/>
      <c r="AI185" s="1386"/>
      <c r="AJ185" s="1386"/>
      <c r="AK185" s="1386"/>
      <c r="AL185" s="1386"/>
      <c r="AM185" s="1386"/>
      <c r="AN185" s="1386"/>
      <c r="AO185" s="1386"/>
      <c r="AP185" s="1386"/>
      <c r="AQ185" s="1386"/>
      <c r="AR185" s="1386"/>
      <c r="AS185" s="1386"/>
      <c r="AT185" s="1386"/>
      <c r="AU185" s="1386"/>
      <c r="AV185" s="1386"/>
      <c r="AW185" s="1386"/>
      <c r="AX185" s="1386"/>
      <c r="AY185" s="1386"/>
      <c r="AZ185" s="1386"/>
    </row>
    <row r="186">
      <c r="A186" s="1389"/>
      <c r="B186" s="611" t="str">
        <f>IF(C186&lt;'PlayerGrades+'!$Y$44,"F-",IF(C186&lt;'PlayerGrades+'!$Y$43,"F",IF(C186&lt;'PlayerGrades+'!$Y$42,"F+",IF(C186&lt;'PlayerGrades+'!$Y$41,"E-",IF(C186&lt;'PlayerGrades+'!$Y$40,"E",IF(C186&lt;'PlayerGrades+'!$Y$39,"E+",IF(C186&lt;'PlayerGrades+'!$Y$38,"D-",IF(C186&lt;'PlayerGrades+'!$Y$37,"D",IF(C186&lt;'PlayerGrades+'!$Y$36,"D+",IF(C186&lt;'PlayerGrades+'!$Y$35,"C-",IF(C186&lt;'PlayerGrades+'!$Y$34,"C",IF(C186&lt;'PlayerGrades+'!$Y$33,"C+",IF(C186&lt;'PlayerGrades+'!$Y$32,"B-",IF(C186&lt;'PlayerGrades+'!$Y$31,"B",IF(C186&lt;'PlayerGrades+'!$Y$30,"B+",IF(C186&lt;'PlayerGrades+'!$Y$29,"A-",IF(C186&lt;'PlayerGrades+'!$Y$28,"A",IF(C186&lt;'PlayerGrades+'!$Y$27,"A+",IF(C186&lt;'PlayerGrades+'!$Y$26,"S-",IF(C186&lt;'PlayerGrades+'!$Y$25,"S","S+"))))))))))))))))))))</f>
        <v>#DIV/0!</v>
      </c>
      <c r="C186" s="1378" t="str">
        <f>('PlayerGrades+'!$Y$47*(VLOOKUP(E186, 'PlayerGrades+'!$X$3:$Y$23, 2, FALSE)))+('PlayerGrades+'!$Y$48*(VLOOKUP(G186, 'PlayerGrades+'!$X$3:$Y$23, 2, FALSE)))+('PlayerGrades+'!$Y$49*(VLOOKUP(I186, 'PlayerGrades+'!$X$3:$Y$23, 2, FALSE)))+('PlayerGrades+'!$Y$50*(VLOOKUP(K186, 'PlayerGrades+'!$X$3:$Y$23, 2, FALSE)))+('PlayerGrades+'!$Y$51*(VLOOKUP(M186, 'PlayerGrades+'!$X$3:$Y$23, 2, FALSE)))+('PlayerGrades+'!$Y$52*(VLOOKUP(O186, 'PlayerGrades+'!$X$3:$Y$23, 2, FALSE)))+('PlayerGrades+'!$Y$53*(VLOOKUP(Q186, 'PlayerGrades+'!$X$3:$Y$23, 2, FALSE)))+('PlayerGrades+'!$Y$54*(VLOOKUP(S186, 'PlayerGrades+'!$X$3:$Y$23, 2, FALSE)))+('PlayerGrades+'!$Y$55*(VLOOKUP(U186, 'PlayerGrades+'!$X$3:$Y$23, 2, FALSE)))</f>
        <v>#DIV/0!</v>
      </c>
      <c r="D186" s="961" t="str">
        <f t="shared" si="1"/>
        <v>#DIV/0!</v>
      </c>
      <c r="E186" s="961" t="str">
        <f>IF(D186&lt;'PlayerGrades+'!$AA$21,"F-",IF(D186&lt;'PlayerGrades+'!$AA$20,"F",IF(D186&lt;'PlayerGrades+'!$AA$19,"F+",IF(D186&lt;'PlayerGrades+'!$AA$18,"E-",IF(D186&lt;'PlayerGrades+'!$AA$17,"E",IF(D186&lt;'PlayerGrades+'!$AA$16,"E+",IF(D186&lt;'PlayerGrades+'!$AA$15,"D-",IF(D186&lt;'PlayerGrades+'!$AA$14,"D",IF(D186&lt;'PlayerGrades+'!$AA$13,"D+",IF(D186&lt;'PlayerGrades+'!$AA$12,"C-",IF(D186&lt;'PlayerGrades+'!$AA$11,"C",IF(D186&lt;'PlayerGrades+'!$AA$10,"C+",IF(D186&lt;'PlayerGrades+'!$AA$9,"B-",IF(D186&lt;'PlayerGrades+'!$AA$8,"B",IF(D186&lt;'PlayerGrades+'!$AA$7,"B+",IF(D186&lt;'PlayerGrades+'!$AA$6,"A-",IF(D186&lt;'PlayerGrades+'!$AA$5,"A",IF(D186&lt;'PlayerGrades+'!$AA$4,"A+",IF(D186&lt;'PlayerGrades+'!$AA$3,"S-",IF(D186&lt;'PlayerGrades+'!$AA$2,"S","S+"))))))))))))))))))))</f>
        <v>#DIV/0!</v>
      </c>
      <c r="F186" s="961" t="str">
        <f t="shared" si="2"/>
        <v>#DIV/0!</v>
      </c>
      <c r="G186" s="961" t="str">
        <f>IF(F186&lt;'PlayerGrades+'!$AB$21,"F-",IF(F186&lt;'PlayerGrades+'!$AB$20,"F",IF(F186&lt;'PlayerGrades+'!$AB$19,"F+",IF(F186&lt;'PlayerGrades+'!$AB$18,"E-",IF(F186&lt;'PlayerGrades+'!$AB$17,"E",IF(F186&lt;'PlayerGrades+'!$AB$16,"E+",IF(F186&lt;'PlayerGrades+'!$AB$15,"D-",IF(F186&lt;'PlayerGrades+'!$AB$14,"D",IF(F186&lt;'PlayerGrades+'!$AB$13,"D+",IF(F186&lt;'PlayerGrades+'!$AB$12,"C-",IF(F186&lt;'PlayerGrades+'!$AB$11,"C",IF(F186&lt;'PlayerGrades+'!$AB$10,"C+",IF(F186&lt;'PlayerGrades+'!$AB$9,"B-",IF(F186&lt;'PlayerGrades+'!$AB$8,"B",IF(F186&lt;'PlayerGrades+'!$AB$7,"B+",IF(F186&lt;'PlayerGrades+'!$AB$6,"A-",IF(F186&lt;'PlayerGrades+'!$AB$5,"A",IF(F186&lt;'PlayerGrades+'!$AB$4,"A+",IF(F186&lt;'PlayerGrades+'!$AB$3,"S-",IF(F186&lt;'PlayerGrades+'!$AB$2,"S","S+"))))))))))))))))))))</f>
        <v>#DIV/0!</v>
      </c>
      <c r="H186" s="961" t="str">
        <f t="shared" si="3"/>
        <v>#DIV/0!</v>
      </c>
      <c r="I186" s="961" t="str">
        <f>IF(H186&lt;'PlayerGrades+'!$AC$21,"F-",IF(H186&lt;'PlayerGrades+'!$AC$20,"F",IF(H186&lt;'PlayerGrades+'!$AC$19,"F+",IF(H186&lt;'PlayerGrades+'!$AC$18,"E-",IF(H186&lt;'PlayerGrades+'!$AC$17,"E",IF(H186&lt;'PlayerGrades+'!$AC$16,"E+",IF(H186&lt;'PlayerGrades+'!$AC$15,"D-",IF(H186&lt;'PlayerGrades+'!$AC$14,"D",IF(H186&lt;'PlayerGrades+'!$AC$13,"D+",IF(H186&lt;'PlayerGrades+'!$AC$12,"C-",IF(H186&lt;'PlayerGrades+'!$AC$11,"C",IF(H186&lt;'PlayerGrades+'!$AC$10,"C+",IF(H186&lt;'PlayerGrades+'!$AC$9,"B-",IF(H186&lt;'PlayerGrades+'!$AC$8,"B",IF(H186&lt;'PlayerGrades+'!$AC$7,"B+",IF(H186&lt;'PlayerGrades+'!$AC$6,"A-",IF(H186&lt;'PlayerGrades+'!$AC$5,"A",IF(H186&lt;'PlayerGrades+'!$AC$4,"A+",IF(H186&lt;'PlayerGrades+'!$AC$3,"S-",IF(H186&lt;'PlayerGrades+'!$AC$2,"S","S+"))))))))))))))))))))</f>
        <v>#DIV/0!</v>
      </c>
      <c r="J186" s="961" t="str">
        <f t="shared" si="4"/>
        <v>#DIV/0!</v>
      </c>
      <c r="K186" s="961" t="str">
        <f>IF(J186&lt;'PlayerGrades+'!$AD$21,"F-",IF(J186&lt;'PlayerGrades+'!$AD$20,"F",IF(J186&lt;'PlayerGrades+'!$AD$19,"F+",IF(J186&lt;'PlayerGrades+'!$AD$18,"E-",IF(J186&lt;'PlayerGrades+'!$AD$17,"E",IF(J186&lt;'PlayerGrades+'!$AD$16,"E+",IF(J186&lt;'PlayerGrades+'!$AD$15,"D-",IF(J186&lt;'PlayerGrades+'!$AD$14,"D",IF(J186&lt;'PlayerGrades+'!$AD$13,"D+",IF(J186&lt;'PlayerGrades+'!$AD$12,"C-",IF(J186&lt;'PlayerGrades+'!$AD$11,"C",IF(J186&lt;'PlayerGrades+'!$AD$10,"C+",IF(J186&lt;'PlayerGrades+'!$AD$9,"B-",IF(J186&lt;'PlayerGrades+'!$AD$8,"B",IF(J186&lt;'PlayerGrades+'!$AD$7,"B+",IF(J186&lt;'PlayerGrades+'!$AD$6,"A-",IF(J186&lt;'PlayerGrades+'!$AD$5,"A",IF(J186&lt;'PlayerGrades+'!$AD$4,"A+",IF(J186&lt;'PlayerGrades+'!$AD$3,"S-",IF(J186&lt;'PlayerGrades+'!$AD$2,"S","S+"))))))))))))))))))))</f>
        <v>#DIV/0!</v>
      </c>
      <c r="L186" s="1176" t="str">
        <f t="shared" si="5"/>
        <v>#DIV/0!</v>
      </c>
      <c r="M186" s="992" t="str">
        <f>IF(L186&lt;'PlayerGrades+'!$AE$21,"F-",IF(L186&lt;'PlayerGrades+'!$AE$20,"F",IF(L186&lt;'PlayerGrades+'!$AE$19,"F+",IF(L186&lt;'PlayerGrades+'!$AE$18,"E-",IF(L186&lt;'PlayerGrades+'!$AE$17,"E",IF(L186&lt;'PlayerGrades+'!$AE$16,"E+",IF(L186&lt;'PlayerGrades+'!$AE$15,"D-",IF(L186&lt;'PlayerGrades+'!$AE$14,"D",IF(L186&lt;'PlayerGrades+'!$AE$13,"D+",IF(L186&lt;'PlayerGrades+'!$AE$12,"C-",IF(L186&lt;'PlayerGrades+'!$AE$11,"C",IF(L186&lt;'PlayerGrades+'!$AE$10,"C+",IF(L186&lt;'PlayerGrades+'!$AE$9,"B-",IF(L186&lt;'PlayerGrades+'!$AE$8,"B",IF(L186&lt;'PlayerGrades+'!$AE$7,"B+",IF(L186&lt;'PlayerGrades+'!$AE$6,"A-",IF(L186&lt;'PlayerGrades+'!$AE$5,"A",IF(L186&lt;'PlayerGrades+'!$AE$4,"A+",IF(L186&lt;'PlayerGrades+'!$AE$3,"S-",IF(L186&lt;'PlayerGrades+'!$AE$2,"S","S+"))))))))))))))))))))</f>
        <v>#DIV/0!</v>
      </c>
      <c r="N186" s="961" t="str">
        <f t="shared" si="6"/>
        <v>#DIV/0!</v>
      </c>
      <c r="O186" s="961" t="str">
        <f>IF(N186&lt;'PlayerGrades+'!$AF$21,"F-",IF(N186&lt;'PlayerGrades+'!$AF$20,"F",IF(N186&lt;'PlayerGrades+'!$AF$19,"F+",IF(N186&lt;'PlayerGrades+'!$AF$18,"E-",IF(N186&lt;'PlayerGrades+'!$AF$17,"E",IF(N186&lt;'PlayerGrades+'!$AF$16,"E+",IF(N186&lt;'PlayerGrades+'!$AF$15,"D-",IF(N186&lt;'PlayerGrades+'!$AF$14,"D",IF(N186&lt;'PlayerGrades+'!$AF$13,"D+",IF(N186&lt;'PlayerGrades+'!$AF$12,"C-",IF(N186&lt;'PlayerGrades+'!$AF$11,"C",IF(N186&lt;'PlayerGrades+'!$AF$10,"C+",IF(N186&lt;'PlayerGrades+'!$AF$9,"B-",IF(N186&lt;'PlayerGrades+'!$AF$8,"B",IF(N186&lt;'PlayerGrades+'!$AF$7,"B+",IF(N186&lt;'PlayerGrades+'!$AF$6,"A-",IF(N186&lt;'PlayerGrades+'!$AF$5,"A",IF(N186&lt;'PlayerGrades+'!$AF$4,"A+",IF(N186&lt;'PlayerGrades+'!$AF$3,"S-",IF(N186&lt;'PlayerGrades+'!$AF$2,"S","S+"))))))))))))))))))))</f>
        <v>#DIV/0!</v>
      </c>
      <c r="P186" s="961" t="str">
        <f t="shared" si="7"/>
        <v>#DIV/0!</v>
      </c>
      <c r="Q186" s="961" t="str">
        <f>IF(P186&lt;'PlayerGrades+'!$AG$21,"F-",IF(P186&lt;'PlayerGrades+'!$AG$20,"F",IF(P186&lt;'PlayerGrades+'!$AG$19,"F+",IF(P186&lt;'PlayerGrades+'!$AG$18,"E-",IF(P186&lt;'PlayerGrades+'!$AG$17,"E",IF(P186&lt;'PlayerGrades+'!$AG$16,"E+",IF(P186&lt;'PlayerGrades+'!$AG$15,"D-",IF(P186&lt;'PlayerGrades+'!$AG$14,"D",IF(P186&lt;'PlayerGrades+'!$AG$13,"D+",IF(P186&lt;'PlayerGrades+'!$AG$12,"C-",IF(P186&lt;'PlayerGrades+'!$AG$11,"C",IF(P186&lt;'PlayerGrades+'!$AG$10,"C+",IF(P186&lt;'PlayerGrades+'!$AG$9,"B-",IF(P186&lt;'PlayerGrades+'!$AG$8,"B",IF(P186&lt;'PlayerGrades+'!$AG$7,"B+",IF(P186&lt;'PlayerGrades+'!$AG$6,"A-",IF(P186&lt;'PlayerGrades+'!$AG$5,"A",IF(P186&lt;'PlayerGrades+'!$AG$4,"A+",IF(P186&lt;'PlayerGrades+'!$AG$3,"S-",IF(P186&lt;'PlayerGrades+'!$AG$2,"S","S+"))))))))))))))))))))</f>
        <v>#DIV/0!</v>
      </c>
      <c r="R186" s="961" t="str">
        <f t="shared" si="8"/>
        <v>#DIV/0!</v>
      </c>
      <c r="S186" s="961" t="str">
        <f>IF(R186&lt;'PlayerGrades+'!$AH$21,"F-",IF(R186&lt;'PlayerGrades+'!$AH$20,"F",IF(R186&lt;'PlayerGrades+'!$AH$19,"F+",IF(R186&lt;'PlayerGrades+'!$AH$18,"E-",IF(R186&lt;'PlayerGrades+'!$AH$17,"E",IF(R186&lt;'PlayerGrades+'!$AH$16,"E+",IF(R186&lt;'PlayerGrades+'!$AH$15,"D-",IF(R186&lt;'PlayerGrades+'!$AH$14,"D",IF(R186&lt;'PlayerGrades+'!$AH$13,"D+",IF(R186&lt;'PlayerGrades+'!$AH$12,"C-",IF(R186&lt;'PlayerGrades+'!$AH$11,"C",IF(R186&lt;'PlayerGrades+'!$AH$10,"C+",IF(R186&lt;'PlayerGrades+'!$AH$9,"B-",IF(R186&lt;'PlayerGrades+'!$AH$8,"B",IF(R186&lt;'PlayerGrades+'!$AH$7,"B+",IF(R186&lt;'PlayerGrades+'!$AH$6,"A-",IF(R186&lt;'PlayerGrades+'!$AH$5,"A",IF(R186&lt;'PlayerGrades+'!$AH$4,"A+",IF(R186&lt;'PlayerGrades+'!$AH$3,"S-",IF(R186&lt;'PlayerGrades+'!$AH$2,"S","S+"))))))))))))))))))))</f>
        <v>#DIV/0!</v>
      </c>
      <c r="T186" s="961">
        <f t="shared" si="9"/>
        <v>0</v>
      </c>
      <c r="U186" s="961" t="str">
        <f>IF(T186&lt;'PlayerGrades+'!$AI$21,"F-",IF(T186&lt;'PlayerGrades+'!$AI$20,"F",IF(T186&lt;'PlayerGrades+'!$AI$19,"F+",IF(T186&lt;'PlayerGrades+'!$AI$18,"E-",IF(T186&lt;'PlayerGrades+'!$AI$17,"E",IF(T186&lt;'PlayerGrades+'!$AI$16,"E+",IF(T186&lt;'PlayerGrades+'!$AI$15,"D-",IF(T186&lt;'PlayerGrades+'!$AI$14,"D",IF(T186&lt;'PlayerGrades+'!$AI$13,"D+",IF(T186&lt;'PlayerGrades+'!$AI$12,"C-",IF(T186&lt;'PlayerGrades+'!$AI$11,"C",IF(T186&lt;'PlayerGrades+'!$AI$10,"C+",IF(T186&lt;'PlayerGrades+'!$AI$9,"B-",IF(T186&lt;'PlayerGrades+'!$AI$8,"B",IF(T186&lt;'PlayerGrades+'!$AI$7,"B+",IF(T186&lt;'PlayerGrades+'!$AI$6,"A-",IF(T186&lt;'PlayerGrades+'!$AI$5,"A",IF(T186&lt;'PlayerGrades+'!$AI$4,"A+",IF(T186&lt;'PlayerGrades+'!$AI$3,"S-",IF(T186&lt;'PlayerGrades+'!$AI$2,"S","S+"))))))))))))))))))))</f>
        <v>F-</v>
      </c>
      <c r="V186" s="1379"/>
      <c r="W186" s="1379"/>
      <c r="X186" s="1379"/>
      <c r="Y186" s="1379"/>
      <c r="Z186" s="1379"/>
      <c r="AA186" s="1379"/>
      <c r="AB186" s="1379"/>
      <c r="AC186" s="1390"/>
      <c r="AD186" s="1379"/>
      <c r="AE186" s="1379"/>
      <c r="AF186" s="1379"/>
      <c r="AG186" s="1379"/>
      <c r="AH186" s="1379"/>
      <c r="AI186" s="1379"/>
      <c r="AJ186" s="1379"/>
      <c r="AK186" s="1379"/>
      <c r="AL186" s="1379"/>
      <c r="AM186" s="1379"/>
      <c r="AN186" s="1379"/>
      <c r="AO186" s="1379"/>
      <c r="AP186" s="1379"/>
      <c r="AQ186" s="1379"/>
      <c r="AR186" s="1379"/>
      <c r="AS186" s="1379"/>
      <c r="AT186" s="1379"/>
      <c r="AU186" s="1379"/>
      <c r="AV186" s="1379"/>
      <c r="AW186" s="1379"/>
      <c r="AX186" s="1379"/>
      <c r="AY186" s="1379"/>
      <c r="AZ186" s="1379"/>
    </row>
    <row r="187">
      <c r="A187" s="1391"/>
      <c r="B187" s="611" t="str">
        <f>IF(C187&lt;'PlayerGrades+'!$Y$44,"F-",IF(C187&lt;'PlayerGrades+'!$Y$43,"F",IF(C187&lt;'PlayerGrades+'!$Y$42,"F+",IF(C187&lt;'PlayerGrades+'!$Y$41,"E-",IF(C187&lt;'PlayerGrades+'!$Y$40,"E",IF(C187&lt;'PlayerGrades+'!$Y$39,"E+",IF(C187&lt;'PlayerGrades+'!$Y$38,"D-",IF(C187&lt;'PlayerGrades+'!$Y$37,"D",IF(C187&lt;'PlayerGrades+'!$Y$36,"D+",IF(C187&lt;'PlayerGrades+'!$Y$35,"C-",IF(C187&lt;'PlayerGrades+'!$Y$34,"C",IF(C187&lt;'PlayerGrades+'!$Y$33,"C+",IF(C187&lt;'PlayerGrades+'!$Y$32,"B-",IF(C187&lt;'PlayerGrades+'!$Y$31,"B",IF(C187&lt;'PlayerGrades+'!$Y$30,"B+",IF(C187&lt;'PlayerGrades+'!$Y$29,"A-",IF(C187&lt;'PlayerGrades+'!$Y$28,"A",IF(C187&lt;'PlayerGrades+'!$Y$27,"A+",IF(C187&lt;'PlayerGrades+'!$Y$26,"S-",IF(C187&lt;'PlayerGrades+'!$Y$25,"S","S+"))))))))))))))))))))</f>
        <v>#DIV/0!</v>
      </c>
      <c r="C187" s="1378" t="str">
        <f>('PlayerGrades+'!$Y$47*(VLOOKUP(E187, 'PlayerGrades+'!$X$3:$Y$23, 2, FALSE)))+('PlayerGrades+'!$Y$48*(VLOOKUP(G187, 'PlayerGrades+'!$X$3:$Y$23, 2, FALSE)))+('PlayerGrades+'!$Y$49*(VLOOKUP(I187, 'PlayerGrades+'!$X$3:$Y$23, 2, FALSE)))+('PlayerGrades+'!$Y$50*(VLOOKUP(K187, 'PlayerGrades+'!$X$3:$Y$23, 2, FALSE)))+('PlayerGrades+'!$Y$51*(VLOOKUP(M187, 'PlayerGrades+'!$X$3:$Y$23, 2, FALSE)))+('PlayerGrades+'!$Y$52*(VLOOKUP(O187, 'PlayerGrades+'!$X$3:$Y$23, 2, FALSE)))+('PlayerGrades+'!$Y$53*(VLOOKUP(Q187, 'PlayerGrades+'!$X$3:$Y$23, 2, FALSE)))+('PlayerGrades+'!$Y$54*(VLOOKUP(S187, 'PlayerGrades+'!$X$3:$Y$23, 2, FALSE)))+('PlayerGrades+'!$Y$55*(VLOOKUP(U187, 'PlayerGrades+'!$X$3:$Y$23, 2, FALSE)))</f>
        <v>#DIV/0!</v>
      </c>
      <c r="D187" s="961" t="str">
        <f t="shared" si="1"/>
        <v>#DIV/0!</v>
      </c>
      <c r="E187" s="961" t="str">
        <f>IF(D187&lt;'PlayerGrades+'!$AA$21,"F-",IF(D187&lt;'PlayerGrades+'!$AA$20,"F",IF(D187&lt;'PlayerGrades+'!$AA$19,"F+",IF(D187&lt;'PlayerGrades+'!$AA$18,"E-",IF(D187&lt;'PlayerGrades+'!$AA$17,"E",IF(D187&lt;'PlayerGrades+'!$AA$16,"E+",IF(D187&lt;'PlayerGrades+'!$AA$15,"D-",IF(D187&lt;'PlayerGrades+'!$AA$14,"D",IF(D187&lt;'PlayerGrades+'!$AA$13,"D+",IF(D187&lt;'PlayerGrades+'!$AA$12,"C-",IF(D187&lt;'PlayerGrades+'!$AA$11,"C",IF(D187&lt;'PlayerGrades+'!$AA$10,"C+",IF(D187&lt;'PlayerGrades+'!$AA$9,"B-",IF(D187&lt;'PlayerGrades+'!$AA$8,"B",IF(D187&lt;'PlayerGrades+'!$AA$7,"B+",IF(D187&lt;'PlayerGrades+'!$AA$6,"A-",IF(D187&lt;'PlayerGrades+'!$AA$5,"A",IF(D187&lt;'PlayerGrades+'!$AA$4,"A+",IF(D187&lt;'PlayerGrades+'!$AA$3,"S-",IF(D187&lt;'PlayerGrades+'!$AA$2,"S","S+"))))))))))))))))))))</f>
        <v>#DIV/0!</v>
      </c>
      <c r="F187" s="961" t="str">
        <f t="shared" si="2"/>
        <v>#DIV/0!</v>
      </c>
      <c r="G187" s="961" t="str">
        <f>IF(F187&lt;'PlayerGrades+'!$AB$21,"F-",IF(F187&lt;'PlayerGrades+'!$AB$20,"F",IF(F187&lt;'PlayerGrades+'!$AB$19,"F+",IF(F187&lt;'PlayerGrades+'!$AB$18,"E-",IF(F187&lt;'PlayerGrades+'!$AB$17,"E",IF(F187&lt;'PlayerGrades+'!$AB$16,"E+",IF(F187&lt;'PlayerGrades+'!$AB$15,"D-",IF(F187&lt;'PlayerGrades+'!$AB$14,"D",IF(F187&lt;'PlayerGrades+'!$AB$13,"D+",IF(F187&lt;'PlayerGrades+'!$AB$12,"C-",IF(F187&lt;'PlayerGrades+'!$AB$11,"C",IF(F187&lt;'PlayerGrades+'!$AB$10,"C+",IF(F187&lt;'PlayerGrades+'!$AB$9,"B-",IF(F187&lt;'PlayerGrades+'!$AB$8,"B",IF(F187&lt;'PlayerGrades+'!$AB$7,"B+",IF(F187&lt;'PlayerGrades+'!$AB$6,"A-",IF(F187&lt;'PlayerGrades+'!$AB$5,"A",IF(F187&lt;'PlayerGrades+'!$AB$4,"A+",IF(F187&lt;'PlayerGrades+'!$AB$3,"S-",IF(F187&lt;'PlayerGrades+'!$AB$2,"S","S+"))))))))))))))))))))</f>
        <v>#DIV/0!</v>
      </c>
      <c r="H187" s="961" t="str">
        <f t="shared" si="3"/>
        <v>#DIV/0!</v>
      </c>
      <c r="I187" s="961" t="str">
        <f>IF(H187&lt;'PlayerGrades+'!$AC$21,"F-",IF(H187&lt;'PlayerGrades+'!$AC$20,"F",IF(H187&lt;'PlayerGrades+'!$AC$19,"F+",IF(H187&lt;'PlayerGrades+'!$AC$18,"E-",IF(H187&lt;'PlayerGrades+'!$AC$17,"E",IF(H187&lt;'PlayerGrades+'!$AC$16,"E+",IF(H187&lt;'PlayerGrades+'!$AC$15,"D-",IF(H187&lt;'PlayerGrades+'!$AC$14,"D",IF(H187&lt;'PlayerGrades+'!$AC$13,"D+",IF(H187&lt;'PlayerGrades+'!$AC$12,"C-",IF(H187&lt;'PlayerGrades+'!$AC$11,"C",IF(H187&lt;'PlayerGrades+'!$AC$10,"C+",IF(H187&lt;'PlayerGrades+'!$AC$9,"B-",IF(H187&lt;'PlayerGrades+'!$AC$8,"B",IF(H187&lt;'PlayerGrades+'!$AC$7,"B+",IF(H187&lt;'PlayerGrades+'!$AC$6,"A-",IF(H187&lt;'PlayerGrades+'!$AC$5,"A",IF(H187&lt;'PlayerGrades+'!$AC$4,"A+",IF(H187&lt;'PlayerGrades+'!$AC$3,"S-",IF(H187&lt;'PlayerGrades+'!$AC$2,"S","S+"))))))))))))))))))))</f>
        <v>#DIV/0!</v>
      </c>
      <c r="J187" s="961" t="str">
        <f t="shared" si="4"/>
        <v>#DIV/0!</v>
      </c>
      <c r="K187" s="961" t="str">
        <f>IF(J187&lt;'PlayerGrades+'!$AD$21,"F-",IF(J187&lt;'PlayerGrades+'!$AD$20,"F",IF(J187&lt;'PlayerGrades+'!$AD$19,"F+",IF(J187&lt;'PlayerGrades+'!$AD$18,"E-",IF(J187&lt;'PlayerGrades+'!$AD$17,"E",IF(J187&lt;'PlayerGrades+'!$AD$16,"E+",IF(J187&lt;'PlayerGrades+'!$AD$15,"D-",IF(J187&lt;'PlayerGrades+'!$AD$14,"D",IF(J187&lt;'PlayerGrades+'!$AD$13,"D+",IF(J187&lt;'PlayerGrades+'!$AD$12,"C-",IF(J187&lt;'PlayerGrades+'!$AD$11,"C",IF(J187&lt;'PlayerGrades+'!$AD$10,"C+",IF(J187&lt;'PlayerGrades+'!$AD$9,"B-",IF(J187&lt;'PlayerGrades+'!$AD$8,"B",IF(J187&lt;'PlayerGrades+'!$AD$7,"B+",IF(J187&lt;'PlayerGrades+'!$AD$6,"A-",IF(J187&lt;'PlayerGrades+'!$AD$5,"A",IF(J187&lt;'PlayerGrades+'!$AD$4,"A+",IF(J187&lt;'PlayerGrades+'!$AD$3,"S-",IF(J187&lt;'PlayerGrades+'!$AD$2,"S","S+"))))))))))))))))))))</f>
        <v>#DIV/0!</v>
      </c>
      <c r="L187" s="1176" t="str">
        <f t="shared" si="5"/>
        <v>#DIV/0!</v>
      </c>
      <c r="M187" s="992" t="str">
        <f>IF(L187&lt;'PlayerGrades+'!$AE$21,"F-",IF(L187&lt;'PlayerGrades+'!$AE$20,"F",IF(L187&lt;'PlayerGrades+'!$AE$19,"F+",IF(L187&lt;'PlayerGrades+'!$AE$18,"E-",IF(L187&lt;'PlayerGrades+'!$AE$17,"E",IF(L187&lt;'PlayerGrades+'!$AE$16,"E+",IF(L187&lt;'PlayerGrades+'!$AE$15,"D-",IF(L187&lt;'PlayerGrades+'!$AE$14,"D",IF(L187&lt;'PlayerGrades+'!$AE$13,"D+",IF(L187&lt;'PlayerGrades+'!$AE$12,"C-",IF(L187&lt;'PlayerGrades+'!$AE$11,"C",IF(L187&lt;'PlayerGrades+'!$AE$10,"C+",IF(L187&lt;'PlayerGrades+'!$AE$9,"B-",IF(L187&lt;'PlayerGrades+'!$AE$8,"B",IF(L187&lt;'PlayerGrades+'!$AE$7,"B+",IF(L187&lt;'PlayerGrades+'!$AE$6,"A-",IF(L187&lt;'PlayerGrades+'!$AE$5,"A",IF(L187&lt;'PlayerGrades+'!$AE$4,"A+",IF(L187&lt;'PlayerGrades+'!$AE$3,"S-",IF(L187&lt;'PlayerGrades+'!$AE$2,"S","S+"))))))))))))))))))))</f>
        <v>#DIV/0!</v>
      </c>
      <c r="N187" s="961" t="str">
        <f t="shared" si="6"/>
        <v>#DIV/0!</v>
      </c>
      <c r="O187" s="961" t="str">
        <f>IF(N187&lt;'PlayerGrades+'!$AF$21,"F-",IF(N187&lt;'PlayerGrades+'!$AF$20,"F",IF(N187&lt;'PlayerGrades+'!$AF$19,"F+",IF(N187&lt;'PlayerGrades+'!$AF$18,"E-",IF(N187&lt;'PlayerGrades+'!$AF$17,"E",IF(N187&lt;'PlayerGrades+'!$AF$16,"E+",IF(N187&lt;'PlayerGrades+'!$AF$15,"D-",IF(N187&lt;'PlayerGrades+'!$AF$14,"D",IF(N187&lt;'PlayerGrades+'!$AF$13,"D+",IF(N187&lt;'PlayerGrades+'!$AF$12,"C-",IF(N187&lt;'PlayerGrades+'!$AF$11,"C",IF(N187&lt;'PlayerGrades+'!$AF$10,"C+",IF(N187&lt;'PlayerGrades+'!$AF$9,"B-",IF(N187&lt;'PlayerGrades+'!$AF$8,"B",IF(N187&lt;'PlayerGrades+'!$AF$7,"B+",IF(N187&lt;'PlayerGrades+'!$AF$6,"A-",IF(N187&lt;'PlayerGrades+'!$AF$5,"A",IF(N187&lt;'PlayerGrades+'!$AF$4,"A+",IF(N187&lt;'PlayerGrades+'!$AF$3,"S-",IF(N187&lt;'PlayerGrades+'!$AF$2,"S","S+"))))))))))))))))))))</f>
        <v>#DIV/0!</v>
      </c>
      <c r="P187" s="961" t="str">
        <f t="shared" si="7"/>
        <v>#DIV/0!</v>
      </c>
      <c r="Q187" s="961" t="str">
        <f>IF(P187&lt;'PlayerGrades+'!$AG$21,"F-",IF(P187&lt;'PlayerGrades+'!$AG$20,"F",IF(P187&lt;'PlayerGrades+'!$AG$19,"F+",IF(P187&lt;'PlayerGrades+'!$AG$18,"E-",IF(P187&lt;'PlayerGrades+'!$AG$17,"E",IF(P187&lt;'PlayerGrades+'!$AG$16,"E+",IF(P187&lt;'PlayerGrades+'!$AG$15,"D-",IF(P187&lt;'PlayerGrades+'!$AG$14,"D",IF(P187&lt;'PlayerGrades+'!$AG$13,"D+",IF(P187&lt;'PlayerGrades+'!$AG$12,"C-",IF(P187&lt;'PlayerGrades+'!$AG$11,"C",IF(P187&lt;'PlayerGrades+'!$AG$10,"C+",IF(P187&lt;'PlayerGrades+'!$AG$9,"B-",IF(P187&lt;'PlayerGrades+'!$AG$8,"B",IF(P187&lt;'PlayerGrades+'!$AG$7,"B+",IF(P187&lt;'PlayerGrades+'!$AG$6,"A-",IF(P187&lt;'PlayerGrades+'!$AG$5,"A",IF(P187&lt;'PlayerGrades+'!$AG$4,"A+",IF(P187&lt;'PlayerGrades+'!$AG$3,"S-",IF(P187&lt;'PlayerGrades+'!$AG$2,"S","S+"))))))))))))))))))))</f>
        <v>#DIV/0!</v>
      </c>
      <c r="R187" s="961" t="str">
        <f t="shared" si="8"/>
        <v>#DIV/0!</v>
      </c>
      <c r="S187" s="961" t="str">
        <f>IF(R187&lt;'PlayerGrades+'!$AH$21,"F-",IF(R187&lt;'PlayerGrades+'!$AH$20,"F",IF(R187&lt;'PlayerGrades+'!$AH$19,"F+",IF(R187&lt;'PlayerGrades+'!$AH$18,"E-",IF(R187&lt;'PlayerGrades+'!$AH$17,"E",IF(R187&lt;'PlayerGrades+'!$AH$16,"E+",IF(R187&lt;'PlayerGrades+'!$AH$15,"D-",IF(R187&lt;'PlayerGrades+'!$AH$14,"D",IF(R187&lt;'PlayerGrades+'!$AH$13,"D+",IF(R187&lt;'PlayerGrades+'!$AH$12,"C-",IF(R187&lt;'PlayerGrades+'!$AH$11,"C",IF(R187&lt;'PlayerGrades+'!$AH$10,"C+",IF(R187&lt;'PlayerGrades+'!$AH$9,"B-",IF(R187&lt;'PlayerGrades+'!$AH$8,"B",IF(R187&lt;'PlayerGrades+'!$AH$7,"B+",IF(R187&lt;'PlayerGrades+'!$AH$6,"A-",IF(R187&lt;'PlayerGrades+'!$AH$5,"A",IF(R187&lt;'PlayerGrades+'!$AH$4,"A+",IF(R187&lt;'PlayerGrades+'!$AH$3,"S-",IF(R187&lt;'PlayerGrades+'!$AH$2,"S","S+"))))))))))))))))))))</f>
        <v>#DIV/0!</v>
      </c>
      <c r="T187" s="961">
        <f t="shared" si="9"/>
        <v>0</v>
      </c>
      <c r="U187" s="961" t="str">
        <f>IF(T187&lt;'PlayerGrades+'!$AI$21,"F-",IF(T187&lt;'PlayerGrades+'!$AI$20,"F",IF(T187&lt;'PlayerGrades+'!$AI$19,"F+",IF(T187&lt;'PlayerGrades+'!$AI$18,"E-",IF(T187&lt;'PlayerGrades+'!$AI$17,"E",IF(T187&lt;'PlayerGrades+'!$AI$16,"E+",IF(T187&lt;'PlayerGrades+'!$AI$15,"D-",IF(T187&lt;'PlayerGrades+'!$AI$14,"D",IF(T187&lt;'PlayerGrades+'!$AI$13,"D+",IF(T187&lt;'PlayerGrades+'!$AI$12,"C-",IF(T187&lt;'PlayerGrades+'!$AI$11,"C",IF(T187&lt;'PlayerGrades+'!$AI$10,"C+",IF(T187&lt;'PlayerGrades+'!$AI$9,"B-",IF(T187&lt;'PlayerGrades+'!$AI$8,"B",IF(T187&lt;'PlayerGrades+'!$AI$7,"B+",IF(T187&lt;'PlayerGrades+'!$AI$6,"A-",IF(T187&lt;'PlayerGrades+'!$AI$5,"A",IF(T187&lt;'PlayerGrades+'!$AI$4,"A+",IF(T187&lt;'PlayerGrades+'!$AI$3,"S-",IF(T187&lt;'PlayerGrades+'!$AI$2,"S","S+"))))))))))))))))))))</f>
        <v>F-</v>
      </c>
      <c r="AC187" s="1392"/>
    </row>
    <row r="188">
      <c r="A188" s="1391"/>
      <c r="B188" s="611" t="str">
        <f>IF(C188&lt;'PlayerGrades+'!$Y$44,"F-",IF(C188&lt;'PlayerGrades+'!$Y$43,"F",IF(C188&lt;'PlayerGrades+'!$Y$42,"F+",IF(C188&lt;'PlayerGrades+'!$Y$41,"E-",IF(C188&lt;'PlayerGrades+'!$Y$40,"E",IF(C188&lt;'PlayerGrades+'!$Y$39,"E+",IF(C188&lt;'PlayerGrades+'!$Y$38,"D-",IF(C188&lt;'PlayerGrades+'!$Y$37,"D",IF(C188&lt;'PlayerGrades+'!$Y$36,"D+",IF(C188&lt;'PlayerGrades+'!$Y$35,"C-",IF(C188&lt;'PlayerGrades+'!$Y$34,"C",IF(C188&lt;'PlayerGrades+'!$Y$33,"C+",IF(C188&lt;'PlayerGrades+'!$Y$32,"B-",IF(C188&lt;'PlayerGrades+'!$Y$31,"B",IF(C188&lt;'PlayerGrades+'!$Y$30,"B+",IF(C188&lt;'PlayerGrades+'!$Y$29,"A-",IF(C188&lt;'PlayerGrades+'!$Y$28,"A",IF(C188&lt;'PlayerGrades+'!$Y$27,"A+",IF(C188&lt;'PlayerGrades+'!$Y$26,"S-",IF(C188&lt;'PlayerGrades+'!$Y$25,"S","S+"))))))))))))))))))))</f>
        <v>#DIV/0!</v>
      </c>
      <c r="C188" s="1378" t="str">
        <f>('PlayerGrades+'!$Y$47*(VLOOKUP(E188, 'PlayerGrades+'!$X$3:$Y$23, 2, FALSE)))+('PlayerGrades+'!$Y$48*(VLOOKUP(G188, 'PlayerGrades+'!$X$3:$Y$23, 2, FALSE)))+('PlayerGrades+'!$Y$49*(VLOOKUP(I188, 'PlayerGrades+'!$X$3:$Y$23, 2, FALSE)))+('PlayerGrades+'!$Y$50*(VLOOKUP(K188, 'PlayerGrades+'!$X$3:$Y$23, 2, FALSE)))+('PlayerGrades+'!$Y$51*(VLOOKUP(M188, 'PlayerGrades+'!$X$3:$Y$23, 2, FALSE)))+('PlayerGrades+'!$Y$52*(VLOOKUP(O188, 'PlayerGrades+'!$X$3:$Y$23, 2, FALSE)))+('PlayerGrades+'!$Y$53*(VLOOKUP(Q188, 'PlayerGrades+'!$X$3:$Y$23, 2, FALSE)))+('PlayerGrades+'!$Y$54*(VLOOKUP(S188, 'PlayerGrades+'!$X$3:$Y$23, 2, FALSE)))+('PlayerGrades+'!$Y$55*(VLOOKUP(U188, 'PlayerGrades+'!$X$3:$Y$23, 2, FALSE)))</f>
        <v>#DIV/0!</v>
      </c>
      <c r="D188" s="961" t="str">
        <f t="shared" si="1"/>
        <v>#DIV/0!</v>
      </c>
      <c r="E188" s="961" t="str">
        <f>IF(D188&lt;'PlayerGrades+'!$AA$21,"F-",IF(D188&lt;'PlayerGrades+'!$AA$20,"F",IF(D188&lt;'PlayerGrades+'!$AA$19,"F+",IF(D188&lt;'PlayerGrades+'!$AA$18,"E-",IF(D188&lt;'PlayerGrades+'!$AA$17,"E",IF(D188&lt;'PlayerGrades+'!$AA$16,"E+",IF(D188&lt;'PlayerGrades+'!$AA$15,"D-",IF(D188&lt;'PlayerGrades+'!$AA$14,"D",IF(D188&lt;'PlayerGrades+'!$AA$13,"D+",IF(D188&lt;'PlayerGrades+'!$AA$12,"C-",IF(D188&lt;'PlayerGrades+'!$AA$11,"C",IF(D188&lt;'PlayerGrades+'!$AA$10,"C+",IF(D188&lt;'PlayerGrades+'!$AA$9,"B-",IF(D188&lt;'PlayerGrades+'!$AA$8,"B",IF(D188&lt;'PlayerGrades+'!$AA$7,"B+",IF(D188&lt;'PlayerGrades+'!$AA$6,"A-",IF(D188&lt;'PlayerGrades+'!$AA$5,"A",IF(D188&lt;'PlayerGrades+'!$AA$4,"A+",IF(D188&lt;'PlayerGrades+'!$AA$3,"S-",IF(D188&lt;'PlayerGrades+'!$AA$2,"S","S+"))))))))))))))))))))</f>
        <v>#DIV/0!</v>
      </c>
      <c r="F188" s="961" t="str">
        <f t="shared" si="2"/>
        <v>#DIV/0!</v>
      </c>
      <c r="G188" s="961" t="str">
        <f>IF(F188&lt;'PlayerGrades+'!$AB$21,"F-",IF(F188&lt;'PlayerGrades+'!$AB$20,"F",IF(F188&lt;'PlayerGrades+'!$AB$19,"F+",IF(F188&lt;'PlayerGrades+'!$AB$18,"E-",IF(F188&lt;'PlayerGrades+'!$AB$17,"E",IF(F188&lt;'PlayerGrades+'!$AB$16,"E+",IF(F188&lt;'PlayerGrades+'!$AB$15,"D-",IF(F188&lt;'PlayerGrades+'!$AB$14,"D",IF(F188&lt;'PlayerGrades+'!$AB$13,"D+",IF(F188&lt;'PlayerGrades+'!$AB$12,"C-",IF(F188&lt;'PlayerGrades+'!$AB$11,"C",IF(F188&lt;'PlayerGrades+'!$AB$10,"C+",IF(F188&lt;'PlayerGrades+'!$AB$9,"B-",IF(F188&lt;'PlayerGrades+'!$AB$8,"B",IF(F188&lt;'PlayerGrades+'!$AB$7,"B+",IF(F188&lt;'PlayerGrades+'!$AB$6,"A-",IF(F188&lt;'PlayerGrades+'!$AB$5,"A",IF(F188&lt;'PlayerGrades+'!$AB$4,"A+",IF(F188&lt;'PlayerGrades+'!$AB$3,"S-",IF(F188&lt;'PlayerGrades+'!$AB$2,"S","S+"))))))))))))))))))))</f>
        <v>#DIV/0!</v>
      </c>
      <c r="H188" s="961" t="str">
        <f t="shared" si="3"/>
        <v>#DIV/0!</v>
      </c>
      <c r="I188" s="961" t="str">
        <f>IF(H188&lt;'PlayerGrades+'!$AC$21,"F-",IF(H188&lt;'PlayerGrades+'!$AC$20,"F",IF(H188&lt;'PlayerGrades+'!$AC$19,"F+",IF(H188&lt;'PlayerGrades+'!$AC$18,"E-",IF(H188&lt;'PlayerGrades+'!$AC$17,"E",IF(H188&lt;'PlayerGrades+'!$AC$16,"E+",IF(H188&lt;'PlayerGrades+'!$AC$15,"D-",IF(H188&lt;'PlayerGrades+'!$AC$14,"D",IF(H188&lt;'PlayerGrades+'!$AC$13,"D+",IF(H188&lt;'PlayerGrades+'!$AC$12,"C-",IF(H188&lt;'PlayerGrades+'!$AC$11,"C",IF(H188&lt;'PlayerGrades+'!$AC$10,"C+",IF(H188&lt;'PlayerGrades+'!$AC$9,"B-",IF(H188&lt;'PlayerGrades+'!$AC$8,"B",IF(H188&lt;'PlayerGrades+'!$AC$7,"B+",IF(H188&lt;'PlayerGrades+'!$AC$6,"A-",IF(H188&lt;'PlayerGrades+'!$AC$5,"A",IF(H188&lt;'PlayerGrades+'!$AC$4,"A+",IF(H188&lt;'PlayerGrades+'!$AC$3,"S-",IF(H188&lt;'PlayerGrades+'!$AC$2,"S","S+"))))))))))))))))))))</f>
        <v>#DIV/0!</v>
      </c>
      <c r="J188" s="961" t="str">
        <f t="shared" si="4"/>
        <v>#DIV/0!</v>
      </c>
      <c r="K188" s="961" t="str">
        <f>IF(J188&lt;'PlayerGrades+'!$AD$21,"F-",IF(J188&lt;'PlayerGrades+'!$AD$20,"F",IF(J188&lt;'PlayerGrades+'!$AD$19,"F+",IF(J188&lt;'PlayerGrades+'!$AD$18,"E-",IF(J188&lt;'PlayerGrades+'!$AD$17,"E",IF(J188&lt;'PlayerGrades+'!$AD$16,"E+",IF(J188&lt;'PlayerGrades+'!$AD$15,"D-",IF(J188&lt;'PlayerGrades+'!$AD$14,"D",IF(J188&lt;'PlayerGrades+'!$AD$13,"D+",IF(J188&lt;'PlayerGrades+'!$AD$12,"C-",IF(J188&lt;'PlayerGrades+'!$AD$11,"C",IF(J188&lt;'PlayerGrades+'!$AD$10,"C+",IF(J188&lt;'PlayerGrades+'!$AD$9,"B-",IF(J188&lt;'PlayerGrades+'!$AD$8,"B",IF(J188&lt;'PlayerGrades+'!$AD$7,"B+",IF(J188&lt;'PlayerGrades+'!$AD$6,"A-",IF(J188&lt;'PlayerGrades+'!$AD$5,"A",IF(J188&lt;'PlayerGrades+'!$AD$4,"A+",IF(J188&lt;'PlayerGrades+'!$AD$3,"S-",IF(J188&lt;'PlayerGrades+'!$AD$2,"S","S+"))))))))))))))))))))</f>
        <v>#DIV/0!</v>
      </c>
      <c r="L188" s="1176" t="str">
        <f t="shared" si="5"/>
        <v>#DIV/0!</v>
      </c>
      <c r="M188" s="992" t="str">
        <f>IF(L188&lt;'PlayerGrades+'!$AE$21,"F-",IF(L188&lt;'PlayerGrades+'!$AE$20,"F",IF(L188&lt;'PlayerGrades+'!$AE$19,"F+",IF(L188&lt;'PlayerGrades+'!$AE$18,"E-",IF(L188&lt;'PlayerGrades+'!$AE$17,"E",IF(L188&lt;'PlayerGrades+'!$AE$16,"E+",IF(L188&lt;'PlayerGrades+'!$AE$15,"D-",IF(L188&lt;'PlayerGrades+'!$AE$14,"D",IF(L188&lt;'PlayerGrades+'!$AE$13,"D+",IF(L188&lt;'PlayerGrades+'!$AE$12,"C-",IF(L188&lt;'PlayerGrades+'!$AE$11,"C",IF(L188&lt;'PlayerGrades+'!$AE$10,"C+",IF(L188&lt;'PlayerGrades+'!$AE$9,"B-",IF(L188&lt;'PlayerGrades+'!$AE$8,"B",IF(L188&lt;'PlayerGrades+'!$AE$7,"B+",IF(L188&lt;'PlayerGrades+'!$AE$6,"A-",IF(L188&lt;'PlayerGrades+'!$AE$5,"A",IF(L188&lt;'PlayerGrades+'!$AE$4,"A+",IF(L188&lt;'PlayerGrades+'!$AE$3,"S-",IF(L188&lt;'PlayerGrades+'!$AE$2,"S","S+"))))))))))))))))))))</f>
        <v>#DIV/0!</v>
      </c>
      <c r="N188" s="961" t="str">
        <f t="shared" si="6"/>
        <v>#DIV/0!</v>
      </c>
      <c r="O188" s="961" t="str">
        <f>IF(N188&lt;'PlayerGrades+'!$AF$21,"F-",IF(N188&lt;'PlayerGrades+'!$AF$20,"F",IF(N188&lt;'PlayerGrades+'!$AF$19,"F+",IF(N188&lt;'PlayerGrades+'!$AF$18,"E-",IF(N188&lt;'PlayerGrades+'!$AF$17,"E",IF(N188&lt;'PlayerGrades+'!$AF$16,"E+",IF(N188&lt;'PlayerGrades+'!$AF$15,"D-",IF(N188&lt;'PlayerGrades+'!$AF$14,"D",IF(N188&lt;'PlayerGrades+'!$AF$13,"D+",IF(N188&lt;'PlayerGrades+'!$AF$12,"C-",IF(N188&lt;'PlayerGrades+'!$AF$11,"C",IF(N188&lt;'PlayerGrades+'!$AF$10,"C+",IF(N188&lt;'PlayerGrades+'!$AF$9,"B-",IF(N188&lt;'PlayerGrades+'!$AF$8,"B",IF(N188&lt;'PlayerGrades+'!$AF$7,"B+",IF(N188&lt;'PlayerGrades+'!$AF$6,"A-",IF(N188&lt;'PlayerGrades+'!$AF$5,"A",IF(N188&lt;'PlayerGrades+'!$AF$4,"A+",IF(N188&lt;'PlayerGrades+'!$AF$3,"S-",IF(N188&lt;'PlayerGrades+'!$AF$2,"S","S+"))))))))))))))))))))</f>
        <v>#DIV/0!</v>
      </c>
      <c r="P188" s="961" t="str">
        <f t="shared" si="7"/>
        <v>#DIV/0!</v>
      </c>
      <c r="Q188" s="961" t="str">
        <f>IF(P188&lt;'PlayerGrades+'!$AG$21,"F-",IF(P188&lt;'PlayerGrades+'!$AG$20,"F",IF(P188&lt;'PlayerGrades+'!$AG$19,"F+",IF(P188&lt;'PlayerGrades+'!$AG$18,"E-",IF(P188&lt;'PlayerGrades+'!$AG$17,"E",IF(P188&lt;'PlayerGrades+'!$AG$16,"E+",IF(P188&lt;'PlayerGrades+'!$AG$15,"D-",IF(P188&lt;'PlayerGrades+'!$AG$14,"D",IF(P188&lt;'PlayerGrades+'!$AG$13,"D+",IF(P188&lt;'PlayerGrades+'!$AG$12,"C-",IF(P188&lt;'PlayerGrades+'!$AG$11,"C",IF(P188&lt;'PlayerGrades+'!$AG$10,"C+",IF(P188&lt;'PlayerGrades+'!$AG$9,"B-",IF(P188&lt;'PlayerGrades+'!$AG$8,"B",IF(P188&lt;'PlayerGrades+'!$AG$7,"B+",IF(P188&lt;'PlayerGrades+'!$AG$6,"A-",IF(P188&lt;'PlayerGrades+'!$AG$5,"A",IF(P188&lt;'PlayerGrades+'!$AG$4,"A+",IF(P188&lt;'PlayerGrades+'!$AG$3,"S-",IF(P188&lt;'PlayerGrades+'!$AG$2,"S","S+"))))))))))))))))))))</f>
        <v>#DIV/0!</v>
      </c>
      <c r="R188" s="961" t="str">
        <f t="shared" si="8"/>
        <v>#DIV/0!</v>
      </c>
      <c r="S188" s="961" t="str">
        <f>IF(R188&lt;'PlayerGrades+'!$AH$21,"F-",IF(R188&lt;'PlayerGrades+'!$AH$20,"F",IF(R188&lt;'PlayerGrades+'!$AH$19,"F+",IF(R188&lt;'PlayerGrades+'!$AH$18,"E-",IF(R188&lt;'PlayerGrades+'!$AH$17,"E",IF(R188&lt;'PlayerGrades+'!$AH$16,"E+",IF(R188&lt;'PlayerGrades+'!$AH$15,"D-",IF(R188&lt;'PlayerGrades+'!$AH$14,"D",IF(R188&lt;'PlayerGrades+'!$AH$13,"D+",IF(R188&lt;'PlayerGrades+'!$AH$12,"C-",IF(R188&lt;'PlayerGrades+'!$AH$11,"C",IF(R188&lt;'PlayerGrades+'!$AH$10,"C+",IF(R188&lt;'PlayerGrades+'!$AH$9,"B-",IF(R188&lt;'PlayerGrades+'!$AH$8,"B",IF(R188&lt;'PlayerGrades+'!$AH$7,"B+",IF(R188&lt;'PlayerGrades+'!$AH$6,"A-",IF(R188&lt;'PlayerGrades+'!$AH$5,"A",IF(R188&lt;'PlayerGrades+'!$AH$4,"A+",IF(R188&lt;'PlayerGrades+'!$AH$3,"S-",IF(R188&lt;'PlayerGrades+'!$AH$2,"S","S+"))))))))))))))))))))</f>
        <v>#DIV/0!</v>
      </c>
      <c r="T188" s="961">
        <f t="shared" si="9"/>
        <v>0</v>
      </c>
      <c r="U188" s="961" t="str">
        <f>IF(T188&lt;'PlayerGrades+'!$AI$21,"F-",IF(T188&lt;'PlayerGrades+'!$AI$20,"F",IF(T188&lt;'PlayerGrades+'!$AI$19,"F+",IF(T188&lt;'PlayerGrades+'!$AI$18,"E-",IF(T188&lt;'PlayerGrades+'!$AI$17,"E",IF(T188&lt;'PlayerGrades+'!$AI$16,"E+",IF(T188&lt;'PlayerGrades+'!$AI$15,"D-",IF(T188&lt;'PlayerGrades+'!$AI$14,"D",IF(T188&lt;'PlayerGrades+'!$AI$13,"D+",IF(T188&lt;'PlayerGrades+'!$AI$12,"C-",IF(T188&lt;'PlayerGrades+'!$AI$11,"C",IF(T188&lt;'PlayerGrades+'!$AI$10,"C+",IF(T188&lt;'PlayerGrades+'!$AI$9,"B-",IF(T188&lt;'PlayerGrades+'!$AI$8,"B",IF(T188&lt;'PlayerGrades+'!$AI$7,"B+",IF(T188&lt;'PlayerGrades+'!$AI$6,"A-",IF(T188&lt;'PlayerGrades+'!$AI$5,"A",IF(T188&lt;'PlayerGrades+'!$AI$4,"A+",IF(T188&lt;'PlayerGrades+'!$AI$3,"S-",IF(T188&lt;'PlayerGrades+'!$AI$2,"S","S+"))))))))))))))))))))</f>
        <v>F-</v>
      </c>
      <c r="AC188" s="1392"/>
    </row>
    <row r="189">
      <c r="A189" s="1391"/>
      <c r="B189" s="611" t="str">
        <f>IF(C189&lt;'PlayerGrades+'!$Y$44,"F-",IF(C189&lt;'PlayerGrades+'!$Y$43,"F",IF(C189&lt;'PlayerGrades+'!$Y$42,"F+",IF(C189&lt;'PlayerGrades+'!$Y$41,"E-",IF(C189&lt;'PlayerGrades+'!$Y$40,"E",IF(C189&lt;'PlayerGrades+'!$Y$39,"E+",IF(C189&lt;'PlayerGrades+'!$Y$38,"D-",IF(C189&lt;'PlayerGrades+'!$Y$37,"D",IF(C189&lt;'PlayerGrades+'!$Y$36,"D+",IF(C189&lt;'PlayerGrades+'!$Y$35,"C-",IF(C189&lt;'PlayerGrades+'!$Y$34,"C",IF(C189&lt;'PlayerGrades+'!$Y$33,"C+",IF(C189&lt;'PlayerGrades+'!$Y$32,"B-",IF(C189&lt;'PlayerGrades+'!$Y$31,"B",IF(C189&lt;'PlayerGrades+'!$Y$30,"B+",IF(C189&lt;'PlayerGrades+'!$Y$29,"A-",IF(C189&lt;'PlayerGrades+'!$Y$28,"A",IF(C189&lt;'PlayerGrades+'!$Y$27,"A+",IF(C189&lt;'PlayerGrades+'!$Y$26,"S-",IF(C189&lt;'PlayerGrades+'!$Y$25,"S","S+"))))))))))))))))))))</f>
        <v>#DIV/0!</v>
      </c>
      <c r="C189" s="1378" t="str">
        <f>('PlayerGrades+'!$Y$47*(VLOOKUP(E189, 'PlayerGrades+'!$X$3:$Y$23, 2, FALSE)))+('PlayerGrades+'!$Y$48*(VLOOKUP(G189, 'PlayerGrades+'!$X$3:$Y$23, 2, FALSE)))+('PlayerGrades+'!$Y$49*(VLOOKUP(I189, 'PlayerGrades+'!$X$3:$Y$23, 2, FALSE)))+('PlayerGrades+'!$Y$50*(VLOOKUP(K189, 'PlayerGrades+'!$X$3:$Y$23, 2, FALSE)))+('PlayerGrades+'!$Y$51*(VLOOKUP(M189, 'PlayerGrades+'!$X$3:$Y$23, 2, FALSE)))+('PlayerGrades+'!$Y$52*(VLOOKUP(O189, 'PlayerGrades+'!$X$3:$Y$23, 2, FALSE)))+('PlayerGrades+'!$Y$53*(VLOOKUP(Q189, 'PlayerGrades+'!$X$3:$Y$23, 2, FALSE)))+('PlayerGrades+'!$Y$54*(VLOOKUP(S189, 'PlayerGrades+'!$X$3:$Y$23, 2, FALSE)))+('PlayerGrades+'!$Y$55*(VLOOKUP(U189, 'PlayerGrades+'!$X$3:$Y$23, 2, FALSE)))</f>
        <v>#DIV/0!</v>
      </c>
      <c r="D189" s="961" t="str">
        <f t="shared" si="1"/>
        <v>#DIV/0!</v>
      </c>
      <c r="E189" s="961" t="str">
        <f>IF(D189&lt;'PlayerGrades+'!$AA$21,"F-",IF(D189&lt;'PlayerGrades+'!$AA$20,"F",IF(D189&lt;'PlayerGrades+'!$AA$19,"F+",IF(D189&lt;'PlayerGrades+'!$AA$18,"E-",IF(D189&lt;'PlayerGrades+'!$AA$17,"E",IF(D189&lt;'PlayerGrades+'!$AA$16,"E+",IF(D189&lt;'PlayerGrades+'!$AA$15,"D-",IF(D189&lt;'PlayerGrades+'!$AA$14,"D",IF(D189&lt;'PlayerGrades+'!$AA$13,"D+",IF(D189&lt;'PlayerGrades+'!$AA$12,"C-",IF(D189&lt;'PlayerGrades+'!$AA$11,"C",IF(D189&lt;'PlayerGrades+'!$AA$10,"C+",IF(D189&lt;'PlayerGrades+'!$AA$9,"B-",IF(D189&lt;'PlayerGrades+'!$AA$8,"B",IF(D189&lt;'PlayerGrades+'!$AA$7,"B+",IF(D189&lt;'PlayerGrades+'!$AA$6,"A-",IF(D189&lt;'PlayerGrades+'!$AA$5,"A",IF(D189&lt;'PlayerGrades+'!$AA$4,"A+",IF(D189&lt;'PlayerGrades+'!$AA$3,"S-",IF(D189&lt;'PlayerGrades+'!$AA$2,"S","S+"))))))))))))))))))))</f>
        <v>#DIV/0!</v>
      </c>
      <c r="F189" s="961" t="str">
        <f t="shared" si="2"/>
        <v>#DIV/0!</v>
      </c>
      <c r="G189" s="961" t="str">
        <f>IF(F189&lt;'PlayerGrades+'!$AB$21,"F-",IF(F189&lt;'PlayerGrades+'!$AB$20,"F",IF(F189&lt;'PlayerGrades+'!$AB$19,"F+",IF(F189&lt;'PlayerGrades+'!$AB$18,"E-",IF(F189&lt;'PlayerGrades+'!$AB$17,"E",IF(F189&lt;'PlayerGrades+'!$AB$16,"E+",IF(F189&lt;'PlayerGrades+'!$AB$15,"D-",IF(F189&lt;'PlayerGrades+'!$AB$14,"D",IF(F189&lt;'PlayerGrades+'!$AB$13,"D+",IF(F189&lt;'PlayerGrades+'!$AB$12,"C-",IF(F189&lt;'PlayerGrades+'!$AB$11,"C",IF(F189&lt;'PlayerGrades+'!$AB$10,"C+",IF(F189&lt;'PlayerGrades+'!$AB$9,"B-",IF(F189&lt;'PlayerGrades+'!$AB$8,"B",IF(F189&lt;'PlayerGrades+'!$AB$7,"B+",IF(F189&lt;'PlayerGrades+'!$AB$6,"A-",IF(F189&lt;'PlayerGrades+'!$AB$5,"A",IF(F189&lt;'PlayerGrades+'!$AB$4,"A+",IF(F189&lt;'PlayerGrades+'!$AB$3,"S-",IF(F189&lt;'PlayerGrades+'!$AB$2,"S","S+"))))))))))))))))))))</f>
        <v>#DIV/0!</v>
      </c>
      <c r="H189" s="961" t="str">
        <f t="shared" si="3"/>
        <v>#DIV/0!</v>
      </c>
      <c r="I189" s="961" t="str">
        <f>IF(H189&lt;'PlayerGrades+'!$AC$21,"F-",IF(H189&lt;'PlayerGrades+'!$AC$20,"F",IF(H189&lt;'PlayerGrades+'!$AC$19,"F+",IF(H189&lt;'PlayerGrades+'!$AC$18,"E-",IF(H189&lt;'PlayerGrades+'!$AC$17,"E",IF(H189&lt;'PlayerGrades+'!$AC$16,"E+",IF(H189&lt;'PlayerGrades+'!$AC$15,"D-",IF(H189&lt;'PlayerGrades+'!$AC$14,"D",IF(H189&lt;'PlayerGrades+'!$AC$13,"D+",IF(H189&lt;'PlayerGrades+'!$AC$12,"C-",IF(H189&lt;'PlayerGrades+'!$AC$11,"C",IF(H189&lt;'PlayerGrades+'!$AC$10,"C+",IF(H189&lt;'PlayerGrades+'!$AC$9,"B-",IF(H189&lt;'PlayerGrades+'!$AC$8,"B",IF(H189&lt;'PlayerGrades+'!$AC$7,"B+",IF(H189&lt;'PlayerGrades+'!$AC$6,"A-",IF(H189&lt;'PlayerGrades+'!$AC$5,"A",IF(H189&lt;'PlayerGrades+'!$AC$4,"A+",IF(H189&lt;'PlayerGrades+'!$AC$3,"S-",IF(H189&lt;'PlayerGrades+'!$AC$2,"S","S+"))))))))))))))))))))</f>
        <v>#DIV/0!</v>
      </c>
      <c r="J189" s="961" t="str">
        <f t="shared" si="4"/>
        <v>#DIV/0!</v>
      </c>
      <c r="K189" s="961" t="str">
        <f>IF(J189&lt;'PlayerGrades+'!$AD$21,"F-",IF(J189&lt;'PlayerGrades+'!$AD$20,"F",IF(J189&lt;'PlayerGrades+'!$AD$19,"F+",IF(J189&lt;'PlayerGrades+'!$AD$18,"E-",IF(J189&lt;'PlayerGrades+'!$AD$17,"E",IF(J189&lt;'PlayerGrades+'!$AD$16,"E+",IF(J189&lt;'PlayerGrades+'!$AD$15,"D-",IF(J189&lt;'PlayerGrades+'!$AD$14,"D",IF(J189&lt;'PlayerGrades+'!$AD$13,"D+",IF(J189&lt;'PlayerGrades+'!$AD$12,"C-",IF(J189&lt;'PlayerGrades+'!$AD$11,"C",IF(J189&lt;'PlayerGrades+'!$AD$10,"C+",IF(J189&lt;'PlayerGrades+'!$AD$9,"B-",IF(J189&lt;'PlayerGrades+'!$AD$8,"B",IF(J189&lt;'PlayerGrades+'!$AD$7,"B+",IF(J189&lt;'PlayerGrades+'!$AD$6,"A-",IF(J189&lt;'PlayerGrades+'!$AD$5,"A",IF(J189&lt;'PlayerGrades+'!$AD$4,"A+",IF(J189&lt;'PlayerGrades+'!$AD$3,"S-",IF(J189&lt;'PlayerGrades+'!$AD$2,"S","S+"))))))))))))))))))))</f>
        <v>#DIV/0!</v>
      </c>
      <c r="L189" s="1176" t="str">
        <f t="shared" si="5"/>
        <v>#DIV/0!</v>
      </c>
      <c r="M189" s="992" t="str">
        <f>IF(L189&lt;'PlayerGrades+'!$AE$21,"F-",IF(L189&lt;'PlayerGrades+'!$AE$20,"F",IF(L189&lt;'PlayerGrades+'!$AE$19,"F+",IF(L189&lt;'PlayerGrades+'!$AE$18,"E-",IF(L189&lt;'PlayerGrades+'!$AE$17,"E",IF(L189&lt;'PlayerGrades+'!$AE$16,"E+",IF(L189&lt;'PlayerGrades+'!$AE$15,"D-",IF(L189&lt;'PlayerGrades+'!$AE$14,"D",IF(L189&lt;'PlayerGrades+'!$AE$13,"D+",IF(L189&lt;'PlayerGrades+'!$AE$12,"C-",IF(L189&lt;'PlayerGrades+'!$AE$11,"C",IF(L189&lt;'PlayerGrades+'!$AE$10,"C+",IF(L189&lt;'PlayerGrades+'!$AE$9,"B-",IF(L189&lt;'PlayerGrades+'!$AE$8,"B",IF(L189&lt;'PlayerGrades+'!$AE$7,"B+",IF(L189&lt;'PlayerGrades+'!$AE$6,"A-",IF(L189&lt;'PlayerGrades+'!$AE$5,"A",IF(L189&lt;'PlayerGrades+'!$AE$4,"A+",IF(L189&lt;'PlayerGrades+'!$AE$3,"S-",IF(L189&lt;'PlayerGrades+'!$AE$2,"S","S+"))))))))))))))))))))</f>
        <v>#DIV/0!</v>
      </c>
      <c r="N189" s="961" t="str">
        <f t="shared" si="6"/>
        <v>#DIV/0!</v>
      </c>
      <c r="O189" s="961" t="str">
        <f>IF(N189&lt;'PlayerGrades+'!$AF$21,"F-",IF(N189&lt;'PlayerGrades+'!$AF$20,"F",IF(N189&lt;'PlayerGrades+'!$AF$19,"F+",IF(N189&lt;'PlayerGrades+'!$AF$18,"E-",IF(N189&lt;'PlayerGrades+'!$AF$17,"E",IF(N189&lt;'PlayerGrades+'!$AF$16,"E+",IF(N189&lt;'PlayerGrades+'!$AF$15,"D-",IF(N189&lt;'PlayerGrades+'!$AF$14,"D",IF(N189&lt;'PlayerGrades+'!$AF$13,"D+",IF(N189&lt;'PlayerGrades+'!$AF$12,"C-",IF(N189&lt;'PlayerGrades+'!$AF$11,"C",IF(N189&lt;'PlayerGrades+'!$AF$10,"C+",IF(N189&lt;'PlayerGrades+'!$AF$9,"B-",IF(N189&lt;'PlayerGrades+'!$AF$8,"B",IF(N189&lt;'PlayerGrades+'!$AF$7,"B+",IF(N189&lt;'PlayerGrades+'!$AF$6,"A-",IF(N189&lt;'PlayerGrades+'!$AF$5,"A",IF(N189&lt;'PlayerGrades+'!$AF$4,"A+",IF(N189&lt;'PlayerGrades+'!$AF$3,"S-",IF(N189&lt;'PlayerGrades+'!$AF$2,"S","S+"))))))))))))))))))))</f>
        <v>#DIV/0!</v>
      </c>
      <c r="P189" s="961" t="str">
        <f t="shared" si="7"/>
        <v>#DIV/0!</v>
      </c>
      <c r="Q189" s="961" t="str">
        <f>IF(P189&lt;'PlayerGrades+'!$AG$21,"F-",IF(P189&lt;'PlayerGrades+'!$AG$20,"F",IF(P189&lt;'PlayerGrades+'!$AG$19,"F+",IF(P189&lt;'PlayerGrades+'!$AG$18,"E-",IF(P189&lt;'PlayerGrades+'!$AG$17,"E",IF(P189&lt;'PlayerGrades+'!$AG$16,"E+",IF(P189&lt;'PlayerGrades+'!$AG$15,"D-",IF(P189&lt;'PlayerGrades+'!$AG$14,"D",IF(P189&lt;'PlayerGrades+'!$AG$13,"D+",IF(P189&lt;'PlayerGrades+'!$AG$12,"C-",IF(P189&lt;'PlayerGrades+'!$AG$11,"C",IF(P189&lt;'PlayerGrades+'!$AG$10,"C+",IF(P189&lt;'PlayerGrades+'!$AG$9,"B-",IF(P189&lt;'PlayerGrades+'!$AG$8,"B",IF(P189&lt;'PlayerGrades+'!$AG$7,"B+",IF(P189&lt;'PlayerGrades+'!$AG$6,"A-",IF(P189&lt;'PlayerGrades+'!$AG$5,"A",IF(P189&lt;'PlayerGrades+'!$AG$4,"A+",IF(P189&lt;'PlayerGrades+'!$AG$3,"S-",IF(P189&lt;'PlayerGrades+'!$AG$2,"S","S+"))))))))))))))))))))</f>
        <v>#DIV/0!</v>
      </c>
      <c r="R189" s="961" t="str">
        <f t="shared" si="8"/>
        <v>#DIV/0!</v>
      </c>
      <c r="S189" s="961" t="str">
        <f>IF(R189&lt;'PlayerGrades+'!$AH$21,"F-",IF(R189&lt;'PlayerGrades+'!$AH$20,"F",IF(R189&lt;'PlayerGrades+'!$AH$19,"F+",IF(R189&lt;'PlayerGrades+'!$AH$18,"E-",IF(R189&lt;'PlayerGrades+'!$AH$17,"E",IF(R189&lt;'PlayerGrades+'!$AH$16,"E+",IF(R189&lt;'PlayerGrades+'!$AH$15,"D-",IF(R189&lt;'PlayerGrades+'!$AH$14,"D",IF(R189&lt;'PlayerGrades+'!$AH$13,"D+",IF(R189&lt;'PlayerGrades+'!$AH$12,"C-",IF(R189&lt;'PlayerGrades+'!$AH$11,"C",IF(R189&lt;'PlayerGrades+'!$AH$10,"C+",IF(R189&lt;'PlayerGrades+'!$AH$9,"B-",IF(R189&lt;'PlayerGrades+'!$AH$8,"B",IF(R189&lt;'PlayerGrades+'!$AH$7,"B+",IF(R189&lt;'PlayerGrades+'!$AH$6,"A-",IF(R189&lt;'PlayerGrades+'!$AH$5,"A",IF(R189&lt;'PlayerGrades+'!$AH$4,"A+",IF(R189&lt;'PlayerGrades+'!$AH$3,"S-",IF(R189&lt;'PlayerGrades+'!$AH$2,"S","S+"))))))))))))))))))))</f>
        <v>#DIV/0!</v>
      </c>
      <c r="T189" s="961">
        <f t="shared" si="9"/>
        <v>0</v>
      </c>
      <c r="U189" s="961" t="str">
        <f>IF(T189&lt;'PlayerGrades+'!$AI$21,"F-",IF(T189&lt;'PlayerGrades+'!$AI$20,"F",IF(T189&lt;'PlayerGrades+'!$AI$19,"F+",IF(T189&lt;'PlayerGrades+'!$AI$18,"E-",IF(T189&lt;'PlayerGrades+'!$AI$17,"E",IF(T189&lt;'PlayerGrades+'!$AI$16,"E+",IF(T189&lt;'PlayerGrades+'!$AI$15,"D-",IF(T189&lt;'PlayerGrades+'!$AI$14,"D",IF(T189&lt;'PlayerGrades+'!$AI$13,"D+",IF(T189&lt;'PlayerGrades+'!$AI$12,"C-",IF(T189&lt;'PlayerGrades+'!$AI$11,"C",IF(T189&lt;'PlayerGrades+'!$AI$10,"C+",IF(T189&lt;'PlayerGrades+'!$AI$9,"B-",IF(T189&lt;'PlayerGrades+'!$AI$8,"B",IF(T189&lt;'PlayerGrades+'!$AI$7,"B+",IF(T189&lt;'PlayerGrades+'!$AI$6,"A-",IF(T189&lt;'PlayerGrades+'!$AI$5,"A",IF(T189&lt;'PlayerGrades+'!$AI$4,"A+",IF(T189&lt;'PlayerGrades+'!$AI$3,"S-",IF(T189&lt;'PlayerGrades+'!$AI$2,"S","S+"))))))))))))))))))))</f>
        <v>F-</v>
      </c>
      <c r="AC189" s="1392"/>
    </row>
    <row r="190">
      <c r="A190" s="1391"/>
      <c r="B190" s="611" t="str">
        <f>IF(C190&lt;'PlayerGrades+'!$Y$44,"F-",IF(C190&lt;'PlayerGrades+'!$Y$43,"F",IF(C190&lt;'PlayerGrades+'!$Y$42,"F+",IF(C190&lt;'PlayerGrades+'!$Y$41,"E-",IF(C190&lt;'PlayerGrades+'!$Y$40,"E",IF(C190&lt;'PlayerGrades+'!$Y$39,"E+",IF(C190&lt;'PlayerGrades+'!$Y$38,"D-",IF(C190&lt;'PlayerGrades+'!$Y$37,"D",IF(C190&lt;'PlayerGrades+'!$Y$36,"D+",IF(C190&lt;'PlayerGrades+'!$Y$35,"C-",IF(C190&lt;'PlayerGrades+'!$Y$34,"C",IF(C190&lt;'PlayerGrades+'!$Y$33,"C+",IF(C190&lt;'PlayerGrades+'!$Y$32,"B-",IF(C190&lt;'PlayerGrades+'!$Y$31,"B",IF(C190&lt;'PlayerGrades+'!$Y$30,"B+",IF(C190&lt;'PlayerGrades+'!$Y$29,"A-",IF(C190&lt;'PlayerGrades+'!$Y$28,"A",IF(C190&lt;'PlayerGrades+'!$Y$27,"A+",IF(C190&lt;'PlayerGrades+'!$Y$26,"S-",IF(C190&lt;'PlayerGrades+'!$Y$25,"S","S+"))))))))))))))))))))</f>
        <v>#DIV/0!</v>
      </c>
      <c r="C190" s="1378" t="str">
        <f>('PlayerGrades+'!$Y$47*(VLOOKUP(E190, 'PlayerGrades+'!$X$3:$Y$23, 2, FALSE)))+('PlayerGrades+'!$Y$48*(VLOOKUP(G190, 'PlayerGrades+'!$X$3:$Y$23, 2, FALSE)))+('PlayerGrades+'!$Y$49*(VLOOKUP(I190, 'PlayerGrades+'!$X$3:$Y$23, 2, FALSE)))+('PlayerGrades+'!$Y$50*(VLOOKUP(K190, 'PlayerGrades+'!$X$3:$Y$23, 2, FALSE)))+('PlayerGrades+'!$Y$51*(VLOOKUP(M190, 'PlayerGrades+'!$X$3:$Y$23, 2, FALSE)))+('PlayerGrades+'!$Y$52*(VLOOKUP(O190, 'PlayerGrades+'!$X$3:$Y$23, 2, FALSE)))+('PlayerGrades+'!$Y$53*(VLOOKUP(Q190, 'PlayerGrades+'!$X$3:$Y$23, 2, FALSE)))+('PlayerGrades+'!$Y$54*(VLOOKUP(S190, 'PlayerGrades+'!$X$3:$Y$23, 2, FALSE)))+('PlayerGrades+'!$Y$55*(VLOOKUP(U190, 'PlayerGrades+'!$X$3:$Y$23, 2, FALSE)))</f>
        <v>#DIV/0!</v>
      </c>
      <c r="D190" s="961" t="str">
        <f t="shared" si="1"/>
        <v>#DIV/0!</v>
      </c>
      <c r="E190" s="961" t="str">
        <f>IF(D190&lt;'PlayerGrades+'!$AA$21,"F-",IF(D190&lt;'PlayerGrades+'!$AA$20,"F",IF(D190&lt;'PlayerGrades+'!$AA$19,"F+",IF(D190&lt;'PlayerGrades+'!$AA$18,"E-",IF(D190&lt;'PlayerGrades+'!$AA$17,"E",IF(D190&lt;'PlayerGrades+'!$AA$16,"E+",IF(D190&lt;'PlayerGrades+'!$AA$15,"D-",IF(D190&lt;'PlayerGrades+'!$AA$14,"D",IF(D190&lt;'PlayerGrades+'!$AA$13,"D+",IF(D190&lt;'PlayerGrades+'!$AA$12,"C-",IF(D190&lt;'PlayerGrades+'!$AA$11,"C",IF(D190&lt;'PlayerGrades+'!$AA$10,"C+",IF(D190&lt;'PlayerGrades+'!$AA$9,"B-",IF(D190&lt;'PlayerGrades+'!$AA$8,"B",IF(D190&lt;'PlayerGrades+'!$AA$7,"B+",IF(D190&lt;'PlayerGrades+'!$AA$6,"A-",IF(D190&lt;'PlayerGrades+'!$AA$5,"A",IF(D190&lt;'PlayerGrades+'!$AA$4,"A+",IF(D190&lt;'PlayerGrades+'!$AA$3,"S-",IF(D190&lt;'PlayerGrades+'!$AA$2,"S","S+"))))))))))))))))))))</f>
        <v>#DIV/0!</v>
      </c>
      <c r="F190" s="961" t="str">
        <f t="shared" si="2"/>
        <v>#DIV/0!</v>
      </c>
      <c r="G190" s="961" t="str">
        <f>IF(F190&lt;'PlayerGrades+'!$AB$21,"F-",IF(F190&lt;'PlayerGrades+'!$AB$20,"F",IF(F190&lt;'PlayerGrades+'!$AB$19,"F+",IF(F190&lt;'PlayerGrades+'!$AB$18,"E-",IF(F190&lt;'PlayerGrades+'!$AB$17,"E",IF(F190&lt;'PlayerGrades+'!$AB$16,"E+",IF(F190&lt;'PlayerGrades+'!$AB$15,"D-",IF(F190&lt;'PlayerGrades+'!$AB$14,"D",IF(F190&lt;'PlayerGrades+'!$AB$13,"D+",IF(F190&lt;'PlayerGrades+'!$AB$12,"C-",IF(F190&lt;'PlayerGrades+'!$AB$11,"C",IF(F190&lt;'PlayerGrades+'!$AB$10,"C+",IF(F190&lt;'PlayerGrades+'!$AB$9,"B-",IF(F190&lt;'PlayerGrades+'!$AB$8,"B",IF(F190&lt;'PlayerGrades+'!$AB$7,"B+",IF(F190&lt;'PlayerGrades+'!$AB$6,"A-",IF(F190&lt;'PlayerGrades+'!$AB$5,"A",IF(F190&lt;'PlayerGrades+'!$AB$4,"A+",IF(F190&lt;'PlayerGrades+'!$AB$3,"S-",IF(F190&lt;'PlayerGrades+'!$AB$2,"S","S+"))))))))))))))))))))</f>
        <v>#DIV/0!</v>
      </c>
      <c r="H190" s="961" t="str">
        <f t="shared" si="3"/>
        <v>#DIV/0!</v>
      </c>
      <c r="I190" s="961" t="str">
        <f>IF(H190&lt;'PlayerGrades+'!$AC$21,"F-",IF(H190&lt;'PlayerGrades+'!$AC$20,"F",IF(H190&lt;'PlayerGrades+'!$AC$19,"F+",IF(H190&lt;'PlayerGrades+'!$AC$18,"E-",IF(H190&lt;'PlayerGrades+'!$AC$17,"E",IF(H190&lt;'PlayerGrades+'!$AC$16,"E+",IF(H190&lt;'PlayerGrades+'!$AC$15,"D-",IF(H190&lt;'PlayerGrades+'!$AC$14,"D",IF(H190&lt;'PlayerGrades+'!$AC$13,"D+",IF(H190&lt;'PlayerGrades+'!$AC$12,"C-",IF(H190&lt;'PlayerGrades+'!$AC$11,"C",IF(H190&lt;'PlayerGrades+'!$AC$10,"C+",IF(H190&lt;'PlayerGrades+'!$AC$9,"B-",IF(H190&lt;'PlayerGrades+'!$AC$8,"B",IF(H190&lt;'PlayerGrades+'!$AC$7,"B+",IF(H190&lt;'PlayerGrades+'!$AC$6,"A-",IF(H190&lt;'PlayerGrades+'!$AC$5,"A",IF(H190&lt;'PlayerGrades+'!$AC$4,"A+",IF(H190&lt;'PlayerGrades+'!$AC$3,"S-",IF(H190&lt;'PlayerGrades+'!$AC$2,"S","S+"))))))))))))))))))))</f>
        <v>#DIV/0!</v>
      </c>
      <c r="J190" s="961" t="str">
        <f t="shared" si="4"/>
        <v>#DIV/0!</v>
      </c>
      <c r="K190" s="961" t="str">
        <f>IF(J190&lt;'PlayerGrades+'!$AD$21,"F-",IF(J190&lt;'PlayerGrades+'!$AD$20,"F",IF(J190&lt;'PlayerGrades+'!$AD$19,"F+",IF(J190&lt;'PlayerGrades+'!$AD$18,"E-",IF(J190&lt;'PlayerGrades+'!$AD$17,"E",IF(J190&lt;'PlayerGrades+'!$AD$16,"E+",IF(J190&lt;'PlayerGrades+'!$AD$15,"D-",IF(J190&lt;'PlayerGrades+'!$AD$14,"D",IF(J190&lt;'PlayerGrades+'!$AD$13,"D+",IF(J190&lt;'PlayerGrades+'!$AD$12,"C-",IF(J190&lt;'PlayerGrades+'!$AD$11,"C",IF(J190&lt;'PlayerGrades+'!$AD$10,"C+",IF(J190&lt;'PlayerGrades+'!$AD$9,"B-",IF(J190&lt;'PlayerGrades+'!$AD$8,"B",IF(J190&lt;'PlayerGrades+'!$AD$7,"B+",IF(J190&lt;'PlayerGrades+'!$AD$6,"A-",IF(J190&lt;'PlayerGrades+'!$AD$5,"A",IF(J190&lt;'PlayerGrades+'!$AD$4,"A+",IF(J190&lt;'PlayerGrades+'!$AD$3,"S-",IF(J190&lt;'PlayerGrades+'!$AD$2,"S","S+"))))))))))))))))))))</f>
        <v>#DIV/0!</v>
      </c>
      <c r="L190" s="1176" t="str">
        <f t="shared" si="5"/>
        <v>#DIV/0!</v>
      </c>
      <c r="M190" s="992" t="str">
        <f>IF(L190&lt;'PlayerGrades+'!$AE$21,"F-",IF(L190&lt;'PlayerGrades+'!$AE$20,"F",IF(L190&lt;'PlayerGrades+'!$AE$19,"F+",IF(L190&lt;'PlayerGrades+'!$AE$18,"E-",IF(L190&lt;'PlayerGrades+'!$AE$17,"E",IF(L190&lt;'PlayerGrades+'!$AE$16,"E+",IF(L190&lt;'PlayerGrades+'!$AE$15,"D-",IF(L190&lt;'PlayerGrades+'!$AE$14,"D",IF(L190&lt;'PlayerGrades+'!$AE$13,"D+",IF(L190&lt;'PlayerGrades+'!$AE$12,"C-",IF(L190&lt;'PlayerGrades+'!$AE$11,"C",IF(L190&lt;'PlayerGrades+'!$AE$10,"C+",IF(L190&lt;'PlayerGrades+'!$AE$9,"B-",IF(L190&lt;'PlayerGrades+'!$AE$8,"B",IF(L190&lt;'PlayerGrades+'!$AE$7,"B+",IF(L190&lt;'PlayerGrades+'!$AE$6,"A-",IF(L190&lt;'PlayerGrades+'!$AE$5,"A",IF(L190&lt;'PlayerGrades+'!$AE$4,"A+",IF(L190&lt;'PlayerGrades+'!$AE$3,"S-",IF(L190&lt;'PlayerGrades+'!$AE$2,"S","S+"))))))))))))))))))))</f>
        <v>#DIV/0!</v>
      </c>
      <c r="N190" s="961" t="str">
        <f t="shared" si="6"/>
        <v>#DIV/0!</v>
      </c>
      <c r="O190" s="961" t="str">
        <f>IF(N190&lt;'PlayerGrades+'!$AF$21,"F-",IF(N190&lt;'PlayerGrades+'!$AF$20,"F",IF(N190&lt;'PlayerGrades+'!$AF$19,"F+",IF(N190&lt;'PlayerGrades+'!$AF$18,"E-",IF(N190&lt;'PlayerGrades+'!$AF$17,"E",IF(N190&lt;'PlayerGrades+'!$AF$16,"E+",IF(N190&lt;'PlayerGrades+'!$AF$15,"D-",IF(N190&lt;'PlayerGrades+'!$AF$14,"D",IF(N190&lt;'PlayerGrades+'!$AF$13,"D+",IF(N190&lt;'PlayerGrades+'!$AF$12,"C-",IF(N190&lt;'PlayerGrades+'!$AF$11,"C",IF(N190&lt;'PlayerGrades+'!$AF$10,"C+",IF(N190&lt;'PlayerGrades+'!$AF$9,"B-",IF(N190&lt;'PlayerGrades+'!$AF$8,"B",IF(N190&lt;'PlayerGrades+'!$AF$7,"B+",IF(N190&lt;'PlayerGrades+'!$AF$6,"A-",IF(N190&lt;'PlayerGrades+'!$AF$5,"A",IF(N190&lt;'PlayerGrades+'!$AF$4,"A+",IF(N190&lt;'PlayerGrades+'!$AF$3,"S-",IF(N190&lt;'PlayerGrades+'!$AF$2,"S","S+"))))))))))))))))))))</f>
        <v>#DIV/0!</v>
      </c>
      <c r="P190" s="961" t="str">
        <f t="shared" si="7"/>
        <v>#DIV/0!</v>
      </c>
      <c r="Q190" s="961" t="str">
        <f>IF(P190&lt;'PlayerGrades+'!$AG$21,"F-",IF(P190&lt;'PlayerGrades+'!$AG$20,"F",IF(P190&lt;'PlayerGrades+'!$AG$19,"F+",IF(P190&lt;'PlayerGrades+'!$AG$18,"E-",IF(P190&lt;'PlayerGrades+'!$AG$17,"E",IF(P190&lt;'PlayerGrades+'!$AG$16,"E+",IF(P190&lt;'PlayerGrades+'!$AG$15,"D-",IF(P190&lt;'PlayerGrades+'!$AG$14,"D",IF(P190&lt;'PlayerGrades+'!$AG$13,"D+",IF(P190&lt;'PlayerGrades+'!$AG$12,"C-",IF(P190&lt;'PlayerGrades+'!$AG$11,"C",IF(P190&lt;'PlayerGrades+'!$AG$10,"C+",IF(P190&lt;'PlayerGrades+'!$AG$9,"B-",IF(P190&lt;'PlayerGrades+'!$AG$8,"B",IF(P190&lt;'PlayerGrades+'!$AG$7,"B+",IF(P190&lt;'PlayerGrades+'!$AG$6,"A-",IF(P190&lt;'PlayerGrades+'!$AG$5,"A",IF(P190&lt;'PlayerGrades+'!$AG$4,"A+",IF(P190&lt;'PlayerGrades+'!$AG$3,"S-",IF(P190&lt;'PlayerGrades+'!$AG$2,"S","S+"))))))))))))))))))))</f>
        <v>#DIV/0!</v>
      </c>
      <c r="R190" s="961" t="str">
        <f t="shared" si="8"/>
        <v>#DIV/0!</v>
      </c>
      <c r="S190" s="961" t="str">
        <f>IF(R190&lt;'PlayerGrades+'!$AH$21,"F-",IF(R190&lt;'PlayerGrades+'!$AH$20,"F",IF(R190&lt;'PlayerGrades+'!$AH$19,"F+",IF(R190&lt;'PlayerGrades+'!$AH$18,"E-",IF(R190&lt;'PlayerGrades+'!$AH$17,"E",IF(R190&lt;'PlayerGrades+'!$AH$16,"E+",IF(R190&lt;'PlayerGrades+'!$AH$15,"D-",IF(R190&lt;'PlayerGrades+'!$AH$14,"D",IF(R190&lt;'PlayerGrades+'!$AH$13,"D+",IF(R190&lt;'PlayerGrades+'!$AH$12,"C-",IF(R190&lt;'PlayerGrades+'!$AH$11,"C",IF(R190&lt;'PlayerGrades+'!$AH$10,"C+",IF(R190&lt;'PlayerGrades+'!$AH$9,"B-",IF(R190&lt;'PlayerGrades+'!$AH$8,"B",IF(R190&lt;'PlayerGrades+'!$AH$7,"B+",IF(R190&lt;'PlayerGrades+'!$AH$6,"A-",IF(R190&lt;'PlayerGrades+'!$AH$5,"A",IF(R190&lt;'PlayerGrades+'!$AH$4,"A+",IF(R190&lt;'PlayerGrades+'!$AH$3,"S-",IF(R190&lt;'PlayerGrades+'!$AH$2,"S","S+"))))))))))))))))))))</f>
        <v>#DIV/0!</v>
      </c>
      <c r="T190" s="961">
        <f t="shared" si="9"/>
        <v>0</v>
      </c>
      <c r="U190" s="961" t="str">
        <f>IF(T190&lt;'PlayerGrades+'!$AI$21,"F-",IF(T190&lt;'PlayerGrades+'!$AI$20,"F",IF(T190&lt;'PlayerGrades+'!$AI$19,"F+",IF(T190&lt;'PlayerGrades+'!$AI$18,"E-",IF(T190&lt;'PlayerGrades+'!$AI$17,"E",IF(T190&lt;'PlayerGrades+'!$AI$16,"E+",IF(T190&lt;'PlayerGrades+'!$AI$15,"D-",IF(T190&lt;'PlayerGrades+'!$AI$14,"D",IF(T190&lt;'PlayerGrades+'!$AI$13,"D+",IF(T190&lt;'PlayerGrades+'!$AI$12,"C-",IF(T190&lt;'PlayerGrades+'!$AI$11,"C",IF(T190&lt;'PlayerGrades+'!$AI$10,"C+",IF(T190&lt;'PlayerGrades+'!$AI$9,"B-",IF(T190&lt;'PlayerGrades+'!$AI$8,"B",IF(T190&lt;'PlayerGrades+'!$AI$7,"B+",IF(T190&lt;'PlayerGrades+'!$AI$6,"A-",IF(T190&lt;'PlayerGrades+'!$AI$5,"A",IF(T190&lt;'PlayerGrades+'!$AI$4,"A+",IF(T190&lt;'PlayerGrades+'!$AI$3,"S-",IF(T190&lt;'PlayerGrades+'!$AI$2,"S","S+"))))))))))))))))))))</f>
        <v>F-</v>
      </c>
      <c r="AC190" s="1392"/>
    </row>
    <row r="191">
      <c r="A191" s="1391"/>
      <c r="B191" s="611" t="str">
        <f>IF(C191&lt;'PlayerGrades+'!$Y$44,"F-",IF(C191&lt;'PlayerGrades+'!$Y$43,"F",IF(C191&lt;'PlayerGrades+'!$Y$42,"F+",IF(C191&lt;'PlayerGrades+'!$Y$41,"E-",IF(C191&lt;'PlayerGrades+'!$Y$40,"E",IF(C191&lt;'PlayerGrades+'!$Y$39,"E+",IF(C191&lt;'PlayerGrades+'!$Y$38,"D-",IF(C191&lt;'PlayerGrades+'!$Y$37,"D",IF(C191&lt;'PlayerGrades+'!$Y$36,"D+",IF(C191&lt;'PlayerGrades+'!$Y$35,"C-",IF(C191&lt;'PlayerGrades+'!$Y$34,"C",IF(C191&lt;'PlayerGrades+'!$Y$33,"C+",IF(C191&lt;'PlayerGrades+'!$Y$32,"B-",IF(C191&lt;'PlayerGrades+'!$Y$31,"B",IF(C191&lt;'PlayerGrades+'!$Y$30,"B+",IF(C191&lt;'PlayerGrades+'!$Y$29,"A-",IF(C191&lt;'PlayerGrades+'!$Y$28,"A",IF(C191&lt;'PlayerGrades+'!$Y$27,"A+",IF(C191&lt;'PlayerGrades+'!$Y$26,"S-",IF(C191&lt;'PlayerGrades+'!$Y$25,"S","S+"))))))))))))))))))))</f>
        <v>#DIV/0!</v>
      </c>
      <c r="C191" s="1378" t="str">
        <f>('PlayerGrades+'!$Y$47*(VLOOKUP(E191, 'PlayerGrades+'!$X$3:$Y$23, 2, FALSE)))+('PlayerGrades+'!$Y$48*(VLOOKUP(G191, 'PlayerGrades+'!$X$3:$Y$23, 2, FALSE)))+('PlayerGrades+'!$Y$49*(VLOOKUP(I191, 'PlayerGrades+'!$X$3:$Y$23, 2, FALSE)))+('PlayerGrades+'!$Y$50*(VLOOKUP(K191, 'PlayerGrades+'!$X$3:$Y$23, 2, FALSE)))+('PlayerGrades+'!$Y$51*(VLOOKUP(M191, 'PlayerGrades+'!$X$3:$Y$23, 2, FALSE)))+('PlayerGrades+'!$Y$52*(VLOOKUP(O191, 'PlayerGrades+'!$X$3:$Y$23, 2, FALSE)))+('PlayerGrades+'!$Y$53*(VLOOKUP(Q191, 'PlayerGrades+'!$X$3:$Y$23, 2, FALSE)))+('PlayerGrades+'!$Y$54*(VLOOKUP(S191, 'PlayerGrades+'!$X$3:$Y$23, 2, FALSE)))+('PlayerGrades+'!$Y$55*(VLOOKUP(U191, 'PlayerGrades+'!$X$3:$Y$23, 2, FALSE)))</f>
        <v>#DIV/0!</v>
      </c>
      <c r="D191" s="961" t="str">
        <f t="shared" si="1"/>
        <v>#DIV/0!</v>
      </c>
      <c r="E191" s="961" t="str">
        <f>IF(D191&lt;'PlayerGrades+'!$AA$21,"F-",IF(D191&lt;'PlayerGrades+'!$AA$20,"F",IF(D191&lt;'PlayerGrades+'!$AA$19,"F+",IF(D191&lt;'PlayerGrades+'!$AA$18,"E-",IF(D191&lt;'PlayerGrades+'!$AA$17,"E",IF(D191&lt;'PlayerGrades+'!$AA$16,"E+",IF(D191&lt;'PlayerGrades+'!$AA$15,"D-",IF(D191&lt;'PlayerGrades+'!$AA$14,"D",IF(D191&lt;'PlayerGrades+'!$AA$13,"D+",IF(D191&lt;'PlayerGrades+'!$AA$12,"C-",IF(D191&lt;'PlayerGrades+'!$AA$11,"C",IF(D191&lt;'PlayerGrades+'!$AA$10,"C+",IF(D191&lt;'PlayerGrades+'!$AA$9,"B-",IF(D191&lt;'PlayerGrades+'!$AA$8,"B",IF(D191&lt;'PlayerGrades+'!$AA$7,"B+",IF(D191&lt;'PlayerGrades+'!$AA$6,"A-",IF(D191&lt;'PlayerGrades+'!$AA$5,"A",IF(D191&lt;'PlayerGrades+'!$AA$4,"A+",IF(D191&lt;'PlayerGrades+'!$AA$3,"S-",IF(D191&lt;'PlayerGrades+'!$AA$2,"S","S+"))))))))))))))))))))</f>
        <v>#DIV/0!</v>
      </c>
      <c r="F191" s="961" t="str">
        <f t="shared" si="2"/>
        <v>#DIV/0!</v>
      </c>
      <c r="G191" s="961" t="str">
        <f>IF(F191&lt;'PlayerGrades+'!$AB$21,"F-",IF(F191&lt;'PlayerGrades+'!$AB$20,"F",IF(F191&lt;'PlayerGrades+'!$AB$19,"F+",IF(F191&lt;'PlayerGrades+'!$AB$18,"E-",IF(F191&lt;'PlayerGrades+'!$AB$17,"E",IF(F191&lt;'PlayerGrades+'!$AB$16,"E+",IF(F191&lt;'PlayerGrades+'!$AB$15,"D-",IF(F191&lt;'PlayerGrades+'!$AB$14,"D",IF(F191&lt;'PlayerGrades+'!$AB$13,"D+",IF(F191&lt;'PlayerGrades+'!$AB$12,"C-",IF(F191&lt;'PlayerGrades+'!$AB$11,"C",IF(F191&lt;'PlayerGrades+'!$AB$10,"C+",IF(F191&lt;'PlayerGrades+'!$AB$9,"B-",IF(F191&lt;'PlayerGrades+'!$AB$8,"B",IF(F191&lt;'PlayerGrades+'!$AB$7,"B+",IF(F191&lt;'PlayerGrades+'!$AB$6,"A-",IF(F191&lt;'PlayerGrades+'!$AB$5,"A",IF(F191&lt;'PlayerGrades+'!$AB$4,"A+",IF(F191&lt;'PlayerGrades+'!$AB$3,"S-",IF(F191&lt;'PlayerGrades+'!$AB$2,"S","S+"))))))))))))))))))))</f>
        <v>#DIV/0!</v>
      </c>
      <c r="H191" s="961" t="str">
        <f t="shared" si="3"/>
        <v>#DIV/0!</v>
      </c>
      <c r="I191" s="961" t="str">
        <f>IF(H191&lt;'PlayerGrades+'!$AC$21,"F-",IF(H191&lt;'PlayerGrades+'!$AC$20,"F",IF(H191&lt;'PlayerGrades+'!$AC$19,"F+",IF(H191&lt;'PlayerGrades+'!$AC$18,"E-",IF(H191&lt;'PlayerGrades+'!$AC$17,"E",IF(H191&lt;'PlayerGrades+'!$AC$16,"E+",IF(H191&lt;'PlayerGrades+'!$AC$15,"D-",IF(H191&lt;'PlayerGrades+'!$AC$14,"D",IF(H191&lt;'PlayerGrades+'!$AC$13,"D+",IF(H191&lt;'PlayerGrades+'!$AC$12,"C-",IF(H191&lt;'PlayerGrades+'!$AC$11,"C",IF(H191&lt;'PlayerGrades+'!$AC$10,"C+",IF(H191&lt;'PlayerGrades+'!$AC$9,"B-",IF(H191&lt;'PlayerGrades+'!$AC$8,"B",IF(H191&lt;'PlayerGrades+'!$AC$7,"B+",IF(H191&lt;'PlayerGrades+'!$AC$6,"A-",IF(H191&lt;'PlayerGrades+'!$AC$5,"A",IF(H191&lt;'PlayerGrades+'!$AC$4,"A+",IF(H191&lt;'PlayerGrades+'!$AC$3,"S-",IF(H191&lt;'PlayerGrades+'!$AC$2,"S","S+"))))))))))))))))))))</f>
        <v>#DIV/0!</v>
      </c>
      <c r="J191" s="961" t="str">
        <f t="shared" si="4"/>
        <v>#DIV/0!</v>
      </c>
      <c r="K191" s="961" t="str">
        <f>IF(J191&lt;'PlayerGrades+'!$AD$21,"F-",IF(J191&lt;'PlayerGrades+'!$AD$20,"F",IF(J191&lt;'PlayerGrades+'!$AD$19,"F+",IF(J191&lt;'PlayerGrades+'!$AD$18,"E-",IF(J191&lt;'PlayerGrades+'!$AD$17,"E",IF(J191&lt;'PlayerGrades+'!$AD$16,"E+",IF(J191&lt;'PlayerGrades+'!$AD$15,"D-",IF(J191&lt;'PlayerGrades+'!$AD$14,"D",IF(J191&lt;'PlayerGrades+'!$AD$13,"D+",IF(J191&lt;'PlayerGrades+'!$AD$12,"C-",IF(J191&lt;'PlayerGrades+'!$AD$11,"C",IF(J191&lt;'PlayerGrades+'!$AD$10,"C+",IF(J191&lt;'PlayerGrades+'!$AD$9,"B-",IF(J191&lt;'PlayerGrades+'!$AD$8,"B",IF(J191&lt;'PlayerGrades+'!$AD$7,"B+",IF(J191&lt;'PlayerGrades+'!$AD$6,"A-",IF(J191&lt;'PlayerGrades+'!$AD$5,"A",IF(J191&lt;'PlayerGrades+'!$AD$4,"A+",IF(J191&lt;'PlayerGrades+'!$AD$3,"S-",IF(J191&lt;'PlayerGrades+'!$AD$2,"S","S+"))))))))))))))))))))</f>
        <v>#DIV/0!</v>
      </c>
      <c r="L191" s="1176" t="str">
        <f t="shared" si="5"/>
        <v>#DIV/0!</v>
      </c>
      <c r="M191" s="992" t="str">
        <f>IF(L191&lt;'PlayerGrades+'!$AE$21,"F-",IF(L191&lt;'PlayerGrades+'!$AE$20,"F",IF(L191&lt;'PlayerGrades+'!$AE$19,"F+",IF(L191&lt;'PlayerGrades+'!$AE$18,"E-",IF(L191&lt;'PlayerGrades+'!$AE$17,"E",IF(L191&lt;'PlayerGrades+'!$AE$16,"E+",IF(L191&lt;'PlayerGrades+'!$AE$15,"D-",IF(L191&lt;'PlayerGrades+'!$AE$14,"D",IF(L191&lt;'PlayerGrades+'!$AE$13,"D+",IF(L191&lt;'PlayerGrades+'!$AE$12,"C-",IF(L191&lt;'PlayerGrades+'!$AE$11,"C",IF(L191&lt;'PlayerGrades+'!$AE$10,"C+",IF(L191&lt;'PlayerGrades+'!$AE$9,"B-",IF(L191&lt;'PlayerGrades+'!$AE$8,"B",IF(L191&lt;'PlayerGrades+'!$AE$7,"B+",IF(L191&lt;'PlayerGrades+'!$AE$6,"A-",IF(L191&lt;'PlayerGrades+'!$AE$5,"A",IF(L191&lt;'PlayerGrades+'!$AE$4,"A+",IF(L191&lt;'PlayerGrades+'!$AE$3,"S-",IF(L191&lt;'PlayerGrades+'!$AE$2,"S","S+"))))))))))))))))))))</f>
        <v>#DIV/0!</v>
      </c>
      <c r="N191" s="961" t="str">
        <f t="shared" si="6"/>
        <v>#DIV/0!</v>
      </c>
      <c r="O191" s="961" t="str">
        <f>IF(N191&lt;'PlayerGrades+'!$AF$21,"F-",IF(N191&lt;'PlayerGrades+'!$AF$20,"F",IF(N191&lt;'PlayerGrades+'!$AF$19,"F+",IF(N191&lt;'PlayerGrades+'!$AF$18,"E-",IF(N191&lt;'PlayerGrades+'!$AF$17,"E",IF(N191&lt;'PlayerGrades+'!$AF$16,"E+",IF(N191&lt;'PlayerGrades+'!$AF$15,"D-",IF(N191&lt;'PlayerGrades+'!$AF$14,"D",IF(N191&lt;'PlayerGrades+'!$AF$13,"D+",IF(N191&lt;'PlayerGrades+'!$AF$12,"C-",IF(N191&lt;'PlayerGrades+'!$AF$11,"C",IF(N191&lt;'PlayerGrades+'!$AF$10,"C+",IF(N191&lt;'PlayerGrades+'!$AF$9,"B-",IF(N191&lt;'PlayerGrades+'!$AF$8,"B",IF(N191&lt;'PlayerGrades+'!$AF$7,"B+",IF(N191&lt;'PlayerGrades+'!$AF$6,"A-",IF(N191&lt;'PlayerGrades+'!$AF$5,"A",IF(N191&lt;'PlayerGrades+'!$AF$4,"A+",IF(N191&lt;'PlayerGrades+'!$AF$3,"S-",IF(N191&lt;'PlayerGrades+'!$AF$2,"S","S+"))))))))))))))))))))</f>
        <v>#DIV/0!</v>
      </c>
      <c r="P191" s="961" t="str">
        <f t="shared" si="7"/>
        <v>#DIV/0!</v>
      </c>
      <c r="Q191" s="961" t="str">
        <f>IF(P191&lt;'PlayerGrades+'!$AG$21,"F-",IF(P191&lt;'PlayerGrades+'!$AG$20,"F",IF(P191&lt;'PlayerGrades+'!$AG$19,"F+",IF(P191&lt;'PlayerGrades+'!$AG$18,"E-",IF(P191&lt;'PlayerGrades+'!$AG$17,"E",IF(P191&lt;'PlayerGrades+'!$AG$16,"E+",IF(P191&lt;'PlayerGrades+'!$AG$15,"D-",IF(P191&lt;'PlayerGrades+'!$AG$14,"D",IF(P191&lt;'PlayerGrades+'!$AG$13,"D+",IF(P191&lt;'PlayerGrades+'!$AG$12,"C-",IF(P191&lt;'PlayerGrades+'!$AG$11,"C",IF(P191&lt;'PlayerGrades+'!$AG$10,"C+",IF(P191&lt;'PlayerGrades+'!$AG$9,"B-",IF(P191&lt;'PlayerGrades+'!$AG$8,"B",IF(P191&lt;'PlayerGrades+'!$AG$7,"B+",IF(P191&lt;'PlayerGrades+'!$AG$6,"A-",IF(P191&lt;'PlayerGrades+'!$AG$5,"A",IF(P191&lt;'PlayerGrades+'!$AG$4,"A+",IF(P191&lt;'PlayerGrades+'!$AG$3,"S-",IF(P191&lt;'PlayerGrades+'!$AG$2,"S","S+"))))))))))))))))))))</f>
        <v>#DIV/0!</v>
      </c>
      <c r="R191" s="961" t="str">
        <f t="shared" si="8"/>
        <v>#DIV/0!</v>
      </c>
      <c r="S191" s="961" t="str">
        <f>IF(R191&lt;'PlayerGrades+'!$AH$21,"F-",IF(R191&lt;'PlayerGrades+'!$AH$20,"F",IF(R191&lt;'PlayerGrades+'!$AH$19,"F+",IF(R191&lt;'PlayerGrades+'!$AH$18,"E-",IF(R191&lt;'PlayerGrades+'!$AH$17,"E",IF(R191&lt;'PlayerGrades+'!$AH$16,"E+",IF(R191&lt;'PlayerGrades+'!$AH$15,"D-",IF(R191&lt;'PlayerGrades+'!$AH$14,"D",IF(R191&lt;'PlayerGrades+'!$AH$13,"D+",IF(R191&lt;'PlayerGrades+'!$AH$12,"C-",IF(R191&lt;'PlayerGrades+'!$AH$11,"C",IF(R191&lt;'PlayerGrades+'!$AH$10,"C+",IF(R191&lt;'PlayerGrades+'!$AH$9,"B-",IF(R191&lt;'PlayerGrades+'!$AH$8,"B",IF(R191&lt;'PlayerGrades+'!$AH$7,"B+",IF(R191&lt;'PlayerGrades+'!$AH$6,"A-",IF(R191&lt;'PlayerGrades+'!$AH$5,"A",IF(R191&lt;'PlayerGrades+'!$AH$4,"A+",IF(R191&lt;'PlayerGrades+'!$AH$3,"S-",IF(R191&lt;'PlayerGrades+'!$AH$2,"S","S+"))))))))))))))))))))</f>
        <v>#DIV/0!</v>
      </c>
      <c r="T191" s="961">
        <f t="shared" si="9"/>
        <v>0</v>
      </c>
      <c r="U191" s="961" t="str">
        <f>IF(T191&lt;'PlayerGrades+'!$AI$21,"F-",IF(T191&lt;'PlayerGrades+'!$AI$20,"F",IF(T191&lt;'PlayerGrades+'!$AI$19,"F+",IF(T191&lt;'PlayerGrades+'!$AI$18,"E-",IF(T191&lt;'PlayerGrades+'!$AI$17,"E",IF(T191&lt;'PlayerGrades+'!$AI$16,"E+",IF(T191&lt;'PlayerGrades+'!$AI$15,"D-",IF(T191&lt;'PlayerGrades+'!$AI$14,"D",IF(T191&lt;'PlayerGrades+'!$AI$13,"D+",IF(T191&lt;'PlayerGrades+'!$AI$12,"C-",IF(T191&lt;'PlayerGrades+'!$AI$11,"C",IF(T191&lt;'PlayerGrades+'!$AI$10,"C+",IF(T191&lt;'PlayerGrades+'!$AI$9,"B-",IF(T191&lt;'PlayerGrades+'!$AI$8,"B",IF(T191&lt;'PlayerGrades+'!$AI$7,"B+",IF(T191&lt;'PlayerGrades+'!$AI$6,"A-",IF(T191&lt;'PlayerGrades+'!$AI$5,"A",IF(T191&lt;'PlayerGrades+'!$AI$4,"A+",IF(T191&lt;'PlayerGrades+'!$AI$3,"S-",IF(T191&lt;'PlayerGrades+'!$AI$2,"S","S+"))))))))))))))))))))</f>
        <v>F-</v>
      </c>
      <c r="AC191" s="1392"/>
    </row>
    <row r="192">
      <c r="A192" s="1391"/>
      <c r="B192" s="611" t="str">
        <f>IF(C192&lt;'PlayerGrades+'!$Y$44,"F-",IF(C192&lt;'PlayerGrades+'!$Y$43,"F",IF(C192&lt;'PlayerGrades+'!$Y$42,"F+",IF(C192&lt;'PlayerGrades+'!$Y$41,"E-",IF(C192&lt;'PlayerGrades+'!$Y$40,"E",IF(C192&lt;'PlayerGrades+'!$Y$39,"E+",IF(C192&lt;'PlayerGrades+'!$Y$38,"D-",IF(C192&lt;'PlayerGrades+'!$Y$37,"D",IF(C192&lt;'PlayerGrades+'!$Y$36,"D+",IF(C192&lt;'PlayerGrades+'!$Y$35,"C-",IF(C192&lt;'PlayerGrades+'!$Y$34,"C",IF(C192&lt;'PlayerGrades+'!$Y$33,"C+",IF(C192&lt;'PlayerGrades+'!$Y$32,"B-",IF(C192&lt;'PlayerGrades+'!$Y$31,"B",IF(C192&lt;'PlayerGrades+'!$Y$30,"B+",IF(C192&lt;'PlayerGrades+'!$Y$29,"A-",IF(C192&lt;'PlayerGrades+'!$Y$28,"A",IF(C192&lt;'PlayerGrades+'!$Y$27,"A+",IF(C192&lt;'PlayerGrades+'!$Y$26,"S-",IF(C192&lt;'PlayerGrades+'!$Y$25,"S","S+"))))))))))))))))))))</f>
        <v>#DIV/0!</v>
      </c>
      <c r="C192" s="1378" t="str">
        <f>('PlayerGrades+'!$Y$47*(VLOOKUP(E192, 'PlayerGrades+'!$X$3:$Y$23, 2, FALSE)))+('PlayerGrades+'!$Y$48*(VLOOKUP(G192, 'PlayerGrades+'!$X$3:$Y$23, 2, FALSE)))+('PlayerGrades+'!$Y$49*(VLOOKUP(I192, 'PlayerGrades+'!$X$3:$Y$23, 2, FALSE)))+('PlayerGrades+'!$Y$50*(VLOOKUP(K192, 'PlayerGrades+'!$X$3:$Y$23, 2, FALSE)))+('PlayerGrades+'!$Y$51*(VLOOKUP(M192, 'PlayerGrades+'!$X$3:$Y$23, 2, FALSE)))+('PlayerGrades+'!$Y$52*(VLOOKUP(O192, 'PlayerGrades+'!$X$3:$Y$23, 2, FALSE)))+('PlayerGrades+'!$Y$53*(VLOOKUP(Q192, 'PlayerGrades+'!$X$3:$Y$23, 2, FALSE)))+('PlayerGrades+'!$Y$54*(VLOOKUP(S192, 'PlayerGrades+'!$X$3:$Y$23, 2, FALSE)))+('PlayerGrades+'!$Y$55*(VLOOKUP(U192, 'PlayerGrades+'!$X$3:$Y$23, 2, FALSE)))</f>
        <v>#DIV/0!</v>
      </c>
      <c r="D192" s="961" t="str">
        <f t="shared" si="1"/>
        <v>#DIV/0!</v>
      </c>
      <c r="E192" s="961" t="str">
        <f>IF(D192&lt;'PlayerGrades+'!$AA$21,"F-",IF(D192&lt;'PlayerGrades+'!$AA$20,"F",IF(D192&lt;'PlayerGrades+'!$AA$19,"F+",IF(D192&lt;'PlayerGrades+'!$AA$18,"E-",IF(D192&lt;'PlayerGrades+'!$AA$17,"E",IF(D192&lt;'PlayerGrades+'!$AA$16,"E+",IF(D192&lt;'PlayerGrades+'!$AA$15,"D-",IF(D192&lt;'PlayerGrades+'!$AA$14,"D",IF(D192&lt;'PlayerGrades+'!$AA$13,"D+",IF(D192&lt;'PlayerGrades+'!$AA$12,"C-",IF(D192&lt;'PlayerGrades+'!$AA$11,"C",IF(D192&lt;'PlayerGrades+'!$AA$10,"C+",IF(D192&lt;'PlayerGrades+'!$AA$9,"B-",IF(D192&lt;'PlayerGrades+'!$AA$8,"B",IF(D192&lt;'PlayerGrades+'!$AA$7,"B+",IF(D192&lt;'PlayerGrades+'!$AA$6,"A-",IF(D192&lt;'PlayerGrades+'!$AA$5,"A",IF(D192&lt;'PlayerGrades+'!$AA$4,"A+",IF(D192&lt;'PlayerGrades+'!$AA$3,"S-",IF(D192&lt;'PlayerGrades+'!$AA$2,"S","S+"))))))))))))))))))))</f>
        <v>#DIV/0!</v>
      </c>
      <c r="F192" s="961" t="str">
        <f t="shared" si="2"/>
        <v>#DIV/0!</v>
      </c>
      <c r="G192" s="961" t="str">
        <f>IF(F192&lt;'PlayerGrades+'!$AB$21,"F-",IF(F192&lt;'PlayerGrades+'!$AB$20,"F",IF(F192&lt;'PlayerGrades+'!$AB$19,"F+",IF(F192&lt;'PlayerGrades+'!$AB$18,"E-",IF(F192&lt;'PlayerGrades+'!$AB$17,"E",IF(F192&lt;'PlayerGrades+'!$AB$16,"E+",IF(F192&lt;'PlayerGrades+'!$AB$15,"D-",IF(F192&lt;'PlayerGrades+'!$AB$14,"D",IF(F192&lt;'PlayerGrades+'!$AB$13,"D+",IF(F192&lt;'PlayerGrades+'!$AB$12,"C-",IF(F192&lt;'PlayerGrades+'!$AB$11,"C",IF(F192&lt;'PlayerGrades+'!$AB$10,"C+",IF(F192&lt;'PlayerGrades+'!$AB$9,"B-",IF(F192&lt;'PlayerGrades+'!$AB$8,"B",IF(F192&lt;'PlayerGrades+'!$AB$7,"B+",IF(F192&lt;'PlayerGrades+'!$AB$6,"A-",IF(F192&lt;'PlayerGrades+'!$AB$5,"A",IF(F192&lt;'PlayerGrades+'!$AB$4,"A+",IF(F192&lt;'PlayerGrades+'!$AB$3,"S-",IF(F192&lt;'PlayerGrades+'!$AB$2,"S","S+"))))))))))))))))))))</f>
        <v>#DIV/0!</v>
      </c>
      <c r="H192" s="961" t="str">
        <f t="shared" si="3"/>
        <v>#DIV/0!</v>
      </c>
      <c r="I192" s="961" t="str">
        <f>IF(H192&lt;'PlayerGrades+'!$AC$21,"F-",IF(H192&lt;'PlayerGrades+'!$AC$20,"F",IF(H192&lt;'PlayerGrades+'!$AC$19,"F+",IF(H192&lt;'PlayerGrades+'!$AC$18,"E-",IF(H192&lt;'PlayerGrades+'!$AC$17,"E",IF(H192&lt;'PlayerGrades+'!$AC$16,"E+",IF(H192&lt;'PlayerGrades+'!$AC$15,"D-",IF(H192&lt;'PlayerGrades+'!$AC$14,"D",IF(H192&lt;'PlayerGrades+'!$AC$13,"D+",IF(H192&lt;'PlayerGrades+'!$AC$12,"C-",IF(H192&lt;'PlayerGrades+'!$AC$11,"C",IF(H192&lt;'PlayerGrades+'!$AC$10,"C+",IF(H192&lt;'PlayerGrades+'!$AC$9,"B-",IF(H192&lt;'PlayerGrades+'!$AC$8,"B",IF(H192&lt;'PlayerGrades+'!$AC$7,"B+",IF(H192&lt;'PlayerGrades+'!$AC$6,"A-",IF(H192&lt;'PlayerGrades+'!$AC$5,"A",IF(H192&lt;'PlayerGrades+'!$AC$4,"A+",IF(H192&lt;'PlayerGrades+'!$AC$3,"S-",IF(H192&lt;'PlayerGrades+'!$AC$2,"S","S+"))))))))))))))))))))</f>
        <v>#DIV/0!</v>
      </c>
      <c r="J192" s="961" t="str">
        <f t="shared" si="4"/>
        <v>#DIV/0!</v>
      </c>
      <c r="K192" s="961" t="str">
        <f>IF(J192&lt;'PlayerGrades+'!$AD$21,"F-",IF(J192&lt;'PlayerGrades+'!$AD$20,"F",IF(J192&lt;'PlayerGrades+'!$AD$19,"F+",IF(J192&lt;'PlayerGrades+'!$AD$18,"E-",IF(J192&lt;'PlayerGrades+'!$AD$17,"E",IF(J192&lt;'PlayerGrades+'!$AD$16,"E+",IF(J192&lt;'PlayerGrades+'!$AD$15,"D-",IF(J192&lt;'PlayerGrades+'!$AD$14,"D",IF(J192&lt;'PlayerGrades+'!$AD$13,"D+",IF(J192&lt;'PlayerGrades+'!$AD$12,"C-",IF(J192&lt;'PlayerGrades+'!$AD$11,"C",IF(J192&lt;'PlayerGrades+'!$AD$10,"C+",IF(J192&lt;'PlayerGrades+'!$AD$9,"B-",IF(J192&lt;'PlayerGrades+'!$AD$8,"B",IF(J192&lt;'PlayerGrades+'!$AD$7,"B+",IF(J192&lt;'PlayerGrades+'!$AD$6,"A-",IF(J192&lt;'PlayerGrades+'!$AD$5,"A",IF(J192&lt;'PlayerGrades+'!$AD$4,"A+",IF(J192&lt;'PlayerGrades+'!$AD$3,"S-",IF(J192&lt;'PlayerGrades+'!$AD$2,"S","S+"))))))))))))))))))))</f>
        <v>#DIV/0!</v>
      </c>
      <c r="L192" s="1176" t="str">
        <f t="shared" si="5"/>
        <v>#DIV/0!</v>
      </c>
      <c r="M192" s="992" t="str">
        <f>IF(L192&lt;'PlayerGrades+'!$AE$21,"F-",IF(L192&lt;'PlayerGrades+'!$AE$20,"F",IF(L192&lt;'PlayerGrades+'!$AE$19,"F+",IF(L192&lt;'PlayerGrades+'!$AE$18,"E-",IF(L192&lt;'PlayerGrades+'!$AE$17,"E",IF(L192&lt;'PlayerGrades+'!$AE$16,"E+",IF(L192&lt;'PlayerGrades+'!$AE$15,"D-",IF(L192&lt;'PlayerGrades+'!$AE$14,"D",IF(L192&lt;'PlayerGrades+'!$AE$13,"D+",IF(L192&lt;'PlayerGrades+'!$AE$12,"C-",IF(L192&lt;'PlayerGrades+'!$AE$11,"C",IF(L192&lt;'PlayerGrades+'!$AE$10,"C+",IF(L192&lt;'PlayerGrades+'!$AE$9,"B-",IF(L192&lt;'PlayerGrades+'!$AE$8,"B",IF(L192&lt;'PlayerGrades+'!$AE$7,"B+",IF(L192&lt;'PlayerGrades+'!$AE$6,"A-",IF(L192&lt;'PlayerGrades+'!$AE$5,"A",IF(L192&lt;'PlayerGrades+'!$AE$4,"A+",IF(L192&lt;'PlayerGrades+'!$AE$3,"S-",IF(L192&lt;'PlayerGrades+'!$AE$2,"S","S+"))))))))))))))))))))</f>
        <v>#DIV/0!</v>
      </c>
      <c r="N192" s="961" t="str">
        <f t="shared" si="6"/>
        <v>#DIV/0!</v>
      </c>
      <c r="O192" s="961" t="str">
        <f>IF(N192&lt;'PlayerGrades+'!$AF$21,"F-",IF(N192&lt;'PlayerGrades+'!$AF$20,"F",IF(N192&lt;'PlayerGrades+'!$AF$19,"F+",IF(N192&lt;'PlayerGrades+'!$AF$18,"E-",IF(N192&lt;'PlayerGrades+'!$AF$17,"E",IF(N192&lt;'PlayerGrades+'!$AF$16,"E+",IF(N192&lt;'PlayerGrades+'!$AF$15,"D-",IF(N192&lt;'PlayerGrades+'!$AF$14,"D",IF(N192&lt;'PlayerGrades+'!$AF$13,"D+",IF(N192&lt;'PlayerGrades+'!$AF$12,"C-",IF(N192&lt;'PlayerGrades+'!$AF$11,"C",IF(N192&lt;'PlayerGrades+'!$AF$10,"C+",IF(N192&lt;'PlayerGrades+'!$AF$9,"B-",IF(N192&lt;'PlayerGrades+'!$AF$8,"B",IF(N192&lt;'PlayerGrades+'!$AF$7,"B+",IF(N192&lt;'PlayerGrades+'!$AF$6,"A-",IF(N192&lt;'PlayerGrades+'!$AF$5,"A",IF(N192&lt;'PlayerGrades+'!$AF$4,"A+",IF(N192&lt;'PlayerGrades+'!$AF$3,"S-",IF(N192&lt;'PlayerGrades+'!$AF$2,"S","S+"))))))))))))))))))))</f>
        <v>#DIV/0!</v>
      </c>
      <c r="P192" s="961" t="str">
        <f t="shared" si="7"/>
        <v>#DIV/0!</v>
      </c>
      <c r="Q192" s="961" t="str">
        <f>IF(P192&lt;'PlayerGrades+'!$AG$21,"F-",IF(P192&lt;'PlayerGrades+'!$AG$20,"F",IF(P192&lt;'PlayerGrades+'!$AG$19,"F+",IF(P192&lt;'PlayerGrades+'!$AG$18,"E-",IF(P192&lt;'PlayerGrades+'!$AG$17,"E",IF(P192&lt;'PlayerGrades+'!$AG$16,"E+",IF(P192&lt;'PlayerGrades+'!$AG$15,"D-",IF(P192&lt;'PlayerGrades+'!$AG$14,"D",IF(P192&lt;'PlayerGrades+'!$AG$13,"D+",IF(P192&lt;'PlayerGrades+'!$AG$12,"C-",IF(P192&lt;'PlayerGrades+'!$AG$11,"C",IF(P192&lt;'PlayerGrades+'!$AG$10,"C+",IF(P192&lt;'PlayerGrades+'!$AG$9,"B-",IF(P192&lt;'PlayerGrades+'!$AG$8,"B",IF(P192&lt;'PlayerGrades+'!$AG$7,"B+",IF(P192&lt;'PlayerGrades+'!$AG$6,"A-",IF(P192&lt;'PlayerGrades+'!$AG$5,"A",IF(P192&lt;'PlayerGrades+'!$AG$4,"A+",IF(P192&lt;'PlayerGrades+'!$AG$3,"S-",IF(P192&lt;'PlayerGrades+'!$AG$2,"S","S+"))))))))))))))))))))</f>
        <v>#DIV/0!</v>
      </c>
      <c r="R192" s="961" t="str">
        <f t="shared" si="8"/>
        <v>#DIV/0!</v>
      </c>
      <c r="S192" s="961" t="str">
        <f>IF(R192&lt;'PlayerGrades+'!$AH$21,"F-",IF(R192&lt;'PlayerGrades+'!$AH$20,"F",IF(R192&lt;'PlayerGrades+'!$AH$19,"F+",IF(R192&lt;'PlayerGrades+'!$AH$18,"E-",IF(R192&lt;'PlayerGrades+'!$AH$17,"E",IF(R192&lt;'PlayerGrades+'!$AH$16,"E+",IF(R192&lt;'PlayerGrades+'!$AH$15,"D-",IF(R192&lt;'PlayerGrades+'!$AH$14,"D",IF(R192&lt;'PlayerGrades+'!$AH$13,"D+",IF(R192&lt;'PlayerGrades+'!$AH$12,"C-",IF(R192&lt;'PlayerGrades+'!$AH$11,"C",IF(R192&lt;'PlayerGrades+'!$AH$10,"C+",IF(R192&lt;'PlayerGrades+'!$AH$9,"B-",IF(R192&lt;'PlayerGrades+'!$AH$8,"B",IF(R192&lt;'PlayerGrades+'!$AH$7,"B+",IF(R192&lt;'PlayerGrades+'!$AH$6,"A-",IF(R192&lt;'PlayerGrades+'!$AH$5,"A",IF(R192&lt;'PlayerGrades+'!$AH$4,"A+",IF(R192&lt;'PlayerGrades+'!$AH$3,"S-",IF(R192&lt;'PlayerGrades+'!$AH$2,"S","S+"))))))))))))))))))))</f>
        <v>#DIV/0!</v>
      </c>
      <c r="T192" s="961">
        <f t="shared" si="9"/>
        <v>0</v>
      </c>
      <c r="U192" s="961" t="str">
        <f>IF(T192&lt;'PlayerGrades+'!$AI$21,"F-",IF(T192&lt;'PlayerGrades+'!$AI$20,"F",IF(T192&lt;'PlayerGrades+'!$AI$19,"F+",IF(T192&lt;'PlayerGrades+'!$AI$18,"E-",IF(T192&lt;'PlayerGrades+'!$AI$17,"E",IF(T192&lt;'PlayerGrades+'!$AI$16,"E+",IF(T192&lt;'PlayerGrades+'!$AI$15,"D-",IF(T192&lt;'PlayerGrades+'!$AI$14,"D",IF(T192&lt;'PlayerGrades+'!$AI$13,"D+",IF(T192&lt;'PlayerGrades+'!$AI$12,"C-",IF(T192&lt;'PlayerGrades+'!$AI$11,"C",IF(T192&lt;'PlayerGrades+'!$AI$10,"C+",IF(T192&lt;'PlayerGrades+'!$AI$9,"B-",IF(T192&lt;'PlayerGrades+'!$AI$8,"B",IF(T192&lt;'PlayerGrades+'!$AI$7,"B+",IF(T192&lt;'PlayerGrades+'!$AI$6,"A-",IF(T192&lt;'PlayerGrades+'!$AI$5,"A",IF(T192&lt;'PlayerGrades+'!$AI$4,"A+",IF(T192&lt;'PlayerGrades+'!$AI$3,"S-",IF(T192&lt;'PlayerGrades+'!$AI$2,"S","S+"))))))))))))))))))))</f>
        <v>F-</v>
      </c>
      <c r="AC192" s="1392"/>
    </row>
    <row r="193">
      <c r="A193" s="1393"/>
      <c r="B193" s="611" t="str">
        <f>IF(C193&lt;'PlayerGrades+'!$Y$44,"F-",IF(C193&lt;'PlayerGrades+'!$Y$43,"F",IF(C193&lt;'PlayerGrades+'!$Y$42,"F+",IF(C193&lt;'PlayerGrades+'!$Y$41,"E-",IF(C193&lt;'PlayerGrades+'!$Y$40,"E",IF(C193&lt;'PlayerGrades+'!$Y$39,"E+",IF(C193&lt;'PlayerGrades+'!$Y$38,"D-",IF(C193&lt;'PlayerGrades+'!$Y$37,"D",IF(C193&lt;'PlayerGrades+'!$Y$36,"D+",IF(C193&lt;'PlayerGrades+'!$Y$35,"C-",IF(C193&lt;'PlayerGrades+'!$Y$34,"C",IF(C193&lt;'PlayerGrades+'!$Y$33,"C+",IF(C193&lt;'PlayerGrades+'!$Y$32,"B-",IF(C193&lt;'PlayerGrades+'!$Y$31,"B",IF(C193&lt;'PlayerGrades+'!$Y$30,"B+",IF(C193&lt;'PlayerGrades+'!$Y$29,"A-",IF(C193&lt;'PlayerGrades+'!$Y$28,"A",IF(C193&lt;'PlayerGrades+'!$Y$27,"A+",IF(C193&lt;'PlayerGrades+'!$Y$26,"S-",IF(C193&lt;'PlayerGrades+'!$Y$25,"S","S+"))))))))))))))))))))</f>
        <v>#DIV/0!</v>
      </c>
      <c r="C193" s="1378" t="str">
        <f>('PlayerGrades+'!$Y$47*(VLOOKUP(E193, 'PlayerGrades+'!$X$3:$Y$23, 2, FALSE)))+('PlayerGrades+'!$Y$48*(VLOOKUP(G193, 'PlayerGrades+'!$X$3:$Y$23, 2, FALSE)))+('PlayerGrades+'!$Y$49*(VLOOKUP(I193, 'PlayerGrades+'!$X$3:$Y$23, 2, FALSE)))+('PlayerGrades+'!$Y$50*(VLOOKUP(K193, 'PlayerGrades+'!$X$3:$Y$23, 2, FALSE)))+('PlayerGrades+'!$Y$51*(VLOOKUP(M193, 'PlayerGrades+'!$X$3:$Y$23, 2, FALSE)))+('PlayerGrades+'!$Y$52*(VLOOKUP(O193, 'PlayerGrades+'!$X$3:$Y$23, 2, FALSE)))+('PlayerGrades+'!$Y$53*(VLOOKUP(Q193, 'PlayerGrades+'!$X$3:$Y$23, 2, FALSE)))+('PlayerGrades+'!$Y$54*(VLOOKUP(S193, 'PlayerGrades+'!$X$3:$Y$23, 2, FALSE)))+('PlayerGrades+'!$Y$55*(VLOOKUP(U193, 'PlayerGrades+'!$X$3:$Y$23, 2, FALSE)))</f>
        <v>#DIV/0!</v>
      </c>
      <c r="D193" s="961" t="str">
        <f t="shared" si="1"/>
        <v>#DIV/0!</v>
      </c>
      <c r="E193" s="961" t="str">
        <f>IF(D193&lt;'PlayerGrades+'!$AA$21,"F-",IF(D193&lt;'PlayerGrades+'!$AA$20,"F",IF(D193&lt;'PlayerGrades+'!$AA$19,"F+",IF(D193&lt;'PlayerGrades+'!$AA$18,"E-",IF(D193&lt;'PlayerGrades+'!$AA$17,"E",IF(D193&lt;'PlayerGrades+'!$AA$16,"E+",IF(D193&lt;'PlayerGrades+'!$AA$15,"D-",IF(D193&lt;'PlayerGrades+'!$AA$14,"D",IF(D193&lt;'PlayerGrades+'!$AA$13,"D+",IF(D193&lt;'PlayerGrades+'!$AA$12,"C-",IF(D193&lt;'PlayerGrades+'!$AA$11,"C",IF(D193&lt;'PlayerGrades+'!$AA$10,"C+",IF(D193&lt;'PlayerGrades+'!$AA$9,"B-",IF(D193&lt;'PlayerGrades+'!$AA$8,"B",IF(D193&lt;'PlayerGrades+'!$AA$7,"B+",IF(D193&lt;'PlayerGrades+'!$AA$6,"A-",IF(D193&lt;'PlayerGrades+'!$AA$5,"A",IF(D193&lt;'PlayerGrades+'!$AA$4,"A+",IF(D193&lt;'PlayerGrades+'!$AA$3,"S-",IF(D193&lt;'PlayerGrades+'!$AA$2,"S","S+"))))))))))))))))))))</f>
        <v>#DIV/0!</v>
      </c>
      <c r="F193" s="961" t="str">
        <f t="shared" si="2"/>
        <v>#DIV/0!</v>
      </c>
      <c r="G193" s="961" t="str">
        <f>IF(F193&lt;'PlayerGrades+'!$AB$21,"F-",IF(F193&lt;'PlayerGrades+'!$AB$20,"F",IF(F193&lt;'PlayerGrades+'!$AB$19,"F+",IF(F193&lt;'PlayerGrades+'!$AB$18,"E-",IF(F193&lt;'PlayerGrades+'!$AB$17,"E",IF(F193&lt;'PlayerGrades+'!$AB$16,"E+",IF(F193&lt;'PlayerGrades+'!$AB$15,"D-",IF(F193&lt;'PlayerGrades+'!$AB$14,"D",IF(F193&lt;'PlayerGrades+'!$AB$13,"D+",IF(F193&lt;'PlayerGrades+'!$AB$12,"C-",IF(F193&lt;'PlayerGrades+'!$AB$11,"C",IF(F193&lt;'PlayerGrades+'!$AB$10,"C+",IF(F193&lt;'PlayerGrades+'!$AB$9,"B-",IF(F193&lt;'PlayerGrades+'!$AB$8,"B",IF(F193&lt;'PlayerGrades+'!$AB$7,"B+",IF(F193&lt;'PlayerGrades+'!$AB$6,"A-",IF(F193&lt;'PlayerGrades+'!$AB$5,"A",IF(F193&lt;'PlayerGrades+'!$AB$4,"A+",IF(F193&lt;'PlayerGrades+'!$AB$3,"S-",IF(F193&lt;'PlayerGrades+'!$AB$2,"S","S+"))))))))))))))))))))</f>
        <v>#DIV/0!</v>
      </c>
      <c r="H193" s="961" t="str">
        <f t="shared" si="3"/>
        <v>#DIV/0!</v>
      </c>
      <c r="I193" s="961" t="str">
        <f>IF(H193&lt;'PlayerGrades+'!$AC$21,"F-",IF(H193&lt;'PlayerGrades+'!$AC$20,"F",IF(H193&lt;'PlayerGrades+'!$AC$19,"F+",IF(H193&lt;'PlayerGrades+'!$AC$18,"E-",IF(H193&lt;'PlayerGrades+'!$AC$17,"E",IF(H193&lt;'PlayerGrades+'!$AC$16,"E+",IF(H193&lt;'PlayerGrades+'!$AC$15,"D-",IF(H193&lt;'PlayerGrades+'!$AC$14,"D",IF(H193&lt;'PlayerGrades+'!$AC$13,"D+",IF(H193&lt;'PlayerGrades+'!$AC$12,"C-",IF(H193&lt;'PlayerGrades+'!$AC$11,"C",IF(H193&lt;'PlayerGrades+'!$AC$10,"C+",IF(H193&lt;'PlayerGrades+'!$AC$9,"B-",IF(H193&lt;'PlayerGrades+'!$AC$8,"B",IF(H193&lt;'PlayerGrades+'!$AC$7,"B+",IF(H193&lt;'PlayerGrades+'!$AC$6,"A-",IF(H193&lt;'PlayerGrades+'!$AC$5,"A",IF(H193&lt;'PlayerGrades+'!$AC$4,"A+",IF(H193&lt;'PlayerGrades+'!$AC$3,"S-",IF(H193&lt;'PlayerGrades+'!$AC$2,"S","S+"))))))))))))))))))))</f>
        <v>#DIV/0!</v>
      </c>
      <c r="J193" s="961" t="str">
        <f t="shared" si="4"/>
        <v>#DIV/0!</v>
      </c>
      <c r="K193" s="961" t="str">
        <f>IF(J193&lt;'PlayerGrades+'!$AD$21,"F-",IF(J193&lt;'PlayerGrades+'!$AD$20,"F",IF(J193&lt;'PlayerGrades+'!$AD$19,"F+",IF(J193&lt;'PlayerGrades+'!$AD$18,"E-",IF(J193&lt;'PlayerGrades+'!$AD$17,"E",IF(J193&lt;'PlayerGrades+'!$AD$16,"E+",IF(J193&lt;'PlayerGrades+'!$AD$15,"D-",IF(J193&lt;'PlayerGrades+'!$AD$14,"D",IF(J193&lt;'PlayerGrades+'!$AD$13,"D+",IF(J193&lt;'PlayerGrades+'!$AD$12,"C-",IF(J193&lt;'PlayerGrades+'!$AD$11,"C",IF(J193&lt;'PlayerGrades+'!$AD$10,"C+",IF(J193&lt;'PlayerGrades+'!$AD$9,"B-",IF(J193&lt;'PlayerGrades+'!$AD$8,"B",IF(J193&lt;'PlayerGrades+'!$AD$7,"B+",IF(J193&lt;'PlayerGrades+'!$AD$6,"A-",IF(J193&lt;'PlayerGrades+'!$AD$5,"A",IF(J193&lt;'PlayerGrades+'!$AD$4,"A+",IF(J193&lt;'PlayerGrades+'!$AD$3,"S-",IF(J193&lt;'PlayerGrades+'!$AD$2,"S","S+"))))))))))))))))))))</f>
        <v>#DIV/0!</v>
      </c>
      <c r="L193" s="1176" t="str">
        <f t="shared" si="5"/>
        <v>#DIV/0!</v>
      </c>
      <c r="M193" s="992" t="str">
        <f>IF(L193&lt;'PlayerGrades+'!$AE$21,"F-",IF(L193&lt;'PlayerGrades+'!$AE$20,"F",IF(L193&lt;'PlayerGrades+'!$AE$19,"F+",IF(L193&lt;'PlayerGrades+'!$AE$18,"E-",IF(L193&lt;'PlayerGrades+'!$AE$17,"E",IF(L193&lt;'PlayerGrades+'!$AE$16,"E+",IF(L193&lt;'PlayerGrades+'!$AE$15,"D-",IF(L193&lt;'PlayerGrades+'!$AE$14,"D",IF(L193&lt;'PlayerGrades+'!$AE$13,"D+",IF(L193&lt;'PlayerGrades+'!$AE$12,"C-",IF(L193&lt;'PlayerGrades+'!$AE$11,"C",IF(L193&lt;'PlayerGrades+'!$AE$10,"C+",IF(L193&lt;'PlayerGrades+'!$AE$9,"B-",IF(L193&lt;'PlayerGrades+'!$AE$8,"B",IF(L193&lt;'PlayerGrades+'!$AE$7,"B+",IF(L193&lt;'PlayerGrades+'!$AE$6,"A-",IF(L193&lt;'PlayerGrades+'!$AE$5,"A",IF(L193&lt;'PlayerGrades+'!$AE$4,"A+",IF(L193&lt;'PlayerGrades+'!$AE$3,"S-",IF(L193&lt;'PlayerGrades+'!$AE$2,"S","S+"))))))))))))))))))))</f>
        <v>#DIV/0!</v>
      </c>
      <c r="N193" s="961" t="str">
        <f t="shared" si="6"/>
        <v>#DIV/0!</v>
      </c>
      <c r="O193" s="961" t="str">
        <f>IF(N193&lt;'PlayerGrades+'!$AF$21,"F-",IF(N193&lt;'PlayerGrades+'!$AF$20,"F",IF(N193&lt;'PlayerGrades+'!$AF$19,"F+",IF(N193&lt;'PlayerGrades+'!$AF$18,"E-",IF(N193&lt;'PlayerGrades+'!$AF$17,"E",IF(N193&lt;'PlayerGrades+'!$AF$16,"E+",IF(N193&lt;'PlayerGrades+'!$AF$15,"D-",IF(N193&lt;'PlayerGrades+'!$AF$14,"D",IF(N193&lt;'PlayerGrades+'!$AF$13,"D+",IF(N193&lt;'PlayerGrades+'!$AF$12,"C-",IF(N193&lt;'PlayerGrades+'!$AF$11,"C",IF(N193&lt;'PlayerGrades+'!$AF$10,"C+",IF(N193&lt;'PlayerGrades+'!$AF$9,"B-",IF(N193&lt;'PlayerGrades+'!$AF$8,"B",IF(N193&lt;'PlayerGrades+'!$AF$7,"B+",IF(N193&lt;'PlayerGrades+'!$AF$6,"A-",IF(N193&lt;'PlayerGrades+'!$AF$5,"A",IF(N193&lt;'PlayerGrades+'!$AF$4,"A+",IF(N193&lt;'PlayerGrades+'!$AF$3,"S-",IF(N193&lt;'PlayerGrades+'!$AF$2,"S","S+"))))))))))))))))))))</f>
        <v>#DIV/0!</v>
      </c>
      <c r="P193" s="961" t="str">
        <f t="shared" si="7"/>
        <v>#DIV/0!</v>
      </c>
      <c r="Q193" s="961" t="str">
        <f>IF(P193&lt;'PlayerGrades+'!$AG$21,"F-",IF(P193&lt;'PlayerGrades+'!$AG$20,"F",IF(P193&lt;'PlayerGrades+'!$AG$19,"F+",IF(P193&lt;'PlayerGrades+'!$AG$18,"E-",IF(P193&lt;'PlayerGrades+'!$AG$17,"E",IF(P193&lt;'PlayerGrades+'!$AG$16,"E+",IF(P193&lt;'PlayerGrades+'!$AG$15,"D-",IF(P193&lt;'PlayerGrades+'!$AG$14,"D",IF(P193&lt;'PlayerGrades+'!$AG$13,"D+",IF(P193&lt;'PlayerGrades+'!$AG$12,"C-",IF(P193&lt;'PlayerGrades+'!$AG$11,"C",IF(P193&lt;'PlayerGrades+'!$AG$10,"C+",IF(P193&lt;'PlayerGrades+'!$AG$9,"B-",IF(P193&lt;'PlayerGrades+'!$AG$8,"B",IF(P193&lt;'PlayerGrades+'!$AG$7,"B+",IF(P193&lt;'PlayerGrades+'!$AG$6,"A-",IF(P193&lt;'PlayerGrades+'!$AG$5,"A",IF(P193&lt;'PlayerGrades+'!$AG$4,"A+",IF(P193&lt;'PlayerGrades+'!$AG$3,"S-",IF(P193&lt;'PlayerGrades+'!$AG$2,"S","S+"))))))))))))))))))))</f>
        <v>#DIV/0!</v>
      </c>
      <c r="R193" s="961" t="str">
        <f t="shared" si="8"/>
        <v>#DIV/0!</v>
      </c>
      <c r="S193" s="961" t="str">
        <f>IF(R193&lt;'PlayerGrades+'!$AH$21,"F-",IF(R193&lt;'PlayerGrades+'!$AH$20,"F",IF(R193&lt;'PlayerGrades+'!$AH$19,"F+",IF(R193&lt;'PlayerGrades+'!$AH$18,"E-",IF(R193&lt;'PlayerGrades+'!$AH$17,"E",IF(R193&lt;'PlayerGrades+'!$AH$16,"E+",IF(R193&lt;'PlayerGrades+'!$AH$15,"D-",IF(R193&lt;'PlayerGrades+'!$AH$14,"D",IF(R193&lt;'PlayerGrades+'!$AH$13,"D+",IF(R193&lt;'PlayerGrades+'!$AH$12,"C-",IF(R193&lt;'PlayerGrades+'!$AH$11,"C",IF(R193&lt;'PlayerGrades+'!$AH$10,"C+",IF(R193&lt;'PlayerGrades+'!$AH$9,"B-",IF(R193&lt;'PlayerGrades+'!$AH$8,"B",IF(R193&lt;'PlayerGrades+'!$AH$7,"B+",IF(R193&lt;'PlayerGrades+'!$AH$6,"A-",IF(R193&lt;'PlayerGrades+'!$AH$5,"A",IF(R193&lt;'PlayerGrades+'!$AH$4,"A+",IF(R193&lt;'PlayerGrades+'!$AH$3,"S-",IF(R193&lt;'PlayerGrades+'!$AH$2,"S","S+"))))))))))))))))))))</f>
        <v>#DIV/0!</v>
      </c>
      <c r="T193" s="961">
        <f t="shared" si="9"/>
        <v>0</v>
      </c>
      <c r="U193" s="961" t="str">
        <f>IF(T193&lt;'PlayerGrades+'!$AI$21,"F-",IF(T193&lt;'PlayerGrades+'!$AI$20,"F",IF(T193&lt;'PlayerGrades+'!$AI$19,"F+",IF(T193&lt;'PlayerGrades+'!$AI$18,"E-",IF(T193&lt;'PlayerGrades+'!$AI$17,"E",IF(T193&lt;'PlayerGrades+'!$AI$16,"E+",IF(T193&lt;'PlayerGrades+'!$AI$15,"D-",IF(T193&lt;'PlayerGrades+'!$AI$14,"D",IF(T193&lt;'PlayerGrades+'!$AI$13,"D+",IF(T193&lt;'PlayerGrades+'!$AI$12,"C-",IF(T193&lt;'PlayerGrades+'!$AI$11,"C",IF(T193&lt;'PlayerGrades+'!$AI$10,"C+",IF(T193&lt;'PlayerGrades+'!$AI$9,"B-",IF(T193&lt;'PlayerGrades+'!$AI$8,"B",IF(T193&lt;'PlayerGrades+'!$AI$7,"B+",IF(T193&lt;'PlayerGrades+'!$AI$6,"A-",IF(T193&lt;'PlayerGrades+'!$AI$5,"A",IF(T193&lt;'PlayerGrades+'!$AI$4,"A+",IF(T193&lt;'PlayerGrades+'!$AI$3,"S-",IF(T193&lt;'PlayerGrades+'!$AI$2,"S","S+"))))))))))))))))))))</f>
        <v>F-</v>
      </c>
      <c r="V193" s="1386"/>
      <c r="W193" s="1386"/>
      <c r="X193" s="1386"/>
      <c r="Y193" s="1386"/>
      <c r="Z193" s="1386"/>
      <c r="AA193" s="1386"/>
      <c r="AB193" s="1386"/>
      <c r="AC193" s="1397"/>
      <c r="AD193" s="1386"/>
      <c r="AE193" s="1386"/>
      <c r="AF193" s="1386"/>
      <c r="AG193" s="1386"/>
      <c r="AH193" s="1386"/>
      <c r="AI193" s="1386"/>
      <c r="AJ193" s="1386"/>
      <c r="AK193" s="1386"/>
      <c r="AL193" s="1386"/>
      <c r="AM193" s="1386"/>
      <c r="AN193" s="1386"/>
      <c r="AO193" s="1386"/>
      <c r="AP193" s="1386"/>
      <c r="AQ193" s="1386"/>
      <c r="AR193" s="1386"/>
      <c r="AS193" s="1386"/>
      <c r="AT193" s="1386"/>
      <c r="AU193" s="1386"/>
      <c r="AV193" s="1386"/>
      <c r="AW193" s="1386"/>
      <c r="AX193" s="1386"/>
      <c r="AY193" s="1386"/>
      <c r="AZ193" s="1386"/>
    </row>
    <row r="194">
      <c r="A194" s="1389"/>
      <c r="B194" s="611" t="str">
        <f>IF(C194&lt;'PlayerGrades+'!$Y$44,"F-",IF(C194&lt;'PlayerGrades+'!$Y$43,"F",IF(C194&lt;'PlayerGrades+'!$Y$42,"F+",IF(C194&lt;'PlayerGrades+'!$Y$41,"E-",IF(C194&lt;'PlayerGrades+'!$Y$40,"E",IF(C194&lt;'PlayerGrades+'!$Y$39,"E+",IF(C194&lt;'PlayerGrades+'!$Y$38,"D-",IF(C194&lt;'PlayerGrades+'!$Y$37,"D",IF(C194&lt;'PlayerGrades+'!$Y$36,"D+",IF(C194&lt;'PlayerGrades+'!$Y$35,"C-",IF(C194&lt;'PlayerGrades+'!$Y$34,"C",IF(C194&lt;'PlayerGrades+'!$Y$33,"C+",IF(C194&lt;'PlayerGrades+'!$Y$32,"B-",IF(C194&lt;'PlayerGrades+'!$Y$31,"B",IF(C194&lt;'PlayerGrades+'!$Y$30,"B+",IF(C194&lt;'PlayerGrades+'!$Y$29,"A-",IF(C194&lt;'PlayerGrades+'!$Y$28,"A",IF(C194&lt;'PlayerGrades+'!$Y$27,"A+",IF(C194&lt;'PlayerGrades+'!$Y$26,"S-",IF(C194&lt;'PlayerGrades+'!$Y$25,"S","S+"))))))))))))))))))))</f>
        <v>#DIV/0!</v>
      </c>
      <c r="C194" s="1378" t="str">
        <f>('PlayerGrades+'!$Y$47*(VLOOKUP(E194, 'PlayerGrades+'!$X$3:$Y$23, 2, FALSE)))+('PlayerGrades+'!$Y$48*(VLOOKUP(G194, 'PlayerGrades+'!$X$3:$Y$23, 2, FALSE)))+('PlayerGrades+'!$Y$49*(VLOOKUP(I194, 'PlayerGrades+'!$X$3:$Y$23, 2, FALSE)))+('PlayerGrades+'!$Y$50*(VLOOKUP(K194, 'PlayerGrades+'!$X$3:$Y$23, 2, FALSE)))+('PlayerGrades+'!$Y$51*(VLOOKUP(M194, 'PlayerGrades+'!$X$3:$Y$23, 2, FALSE)))+('PlayerGrades+'!$Y$52*(VLOOKUP(O194, 'PlayerGrades+'!$X$3:$Y$23, 2, FALSE)))+('PlayerGrades+'!$Y$53*(VLOOKUP(Q194, 'PlayerGrades+'!$X$3:$Y$23, 2, FALSE)))+('PlayerGrades+'!$Y$54*(VLOOKUP(S194, 'PlayerGrades+'!$X$3:$Y$23, 2, FALSE)))+('PlayerGrades+'!$Y$55*(VLOOKUP(U194, 'PlayerGrades+'!$X$3:$Y$23, 2, FALSE)))</f>
        <v>#DIV/0!</v>
      </c>
      <c r="D194" s="961" t="str">
        <f t="shared" si="1"/>
        <v>#DIV/0!</v>
      </c>
      <c r="E194" s="961" t="str">
        <f>IF(D194&lt;'PlayerGrades+'!$AA$21,"F-",IF(D194&lt;'PlayerGrades+'!$AA$20,"F",IF(D194&lt;'PlayerGrades+'!$AA$19,"F+",IF(D194&lt;'PlayerGrades+'!$AA$18,"E-",IF(D194&lt;'PlayerGrades+'!$AA$17,"E",IF(D194&lt;'PlayerGrades+'!$AA$16,"E+",IF(D194&lt;'PlayerGrades+'!$AA$15,"D-",IF(D194&lt;'PlayerGrades+'!$AA$14,"D",IF(D194&lt;'PlayerGrades+'!$AA$13,"D+",IF(D194&lt;'PlayerGrades+'!$AA$12,"C-",IF(D194&lt;'PlayerGrades+'!$AA$11,"C",IF(D194&lt;'PlayerGrades+'!$AA$10,"C+",IF(D194&lt;'PlayerGrades+'!$AA$9,"B-",IF(D194&lt;'PlayerGrades+'!$AA$8,"B",IF(D194&lt;'PlayerGrades+'!$AA$7,"B+",IF(D194&lt;'PlayerGrades+'!$AA$6,"A-",IF(D194&lt;'PlayerGrades+'!$AA$5,"A",IF(D194&lt;'PlayerGrades+'!$AA$4,"A+",IF(D194&lt;'PlayerGrades+'!$AA$3,"S-",IF(D194&lt;'PlayerGrades+'!$AA$2,"S","S+"))))))))))))))))))))</f>
        <v>#DIV/0!</v>
      </c>
      <c r="F194" s="961" t="str">
        <f t="shared" si="2"/>
        <v>#DIV/0!</v>
      </c>
      <c r="G194" s="961" t="str">
        <f>IF(F194&lt;'PlayerGrades+'!$AB$21,"F-",IF(F194&lt;'PlayerGrades+'!$AB$20,"F",IF(F194&lt;'PlayerGrades+'!$AB$19,"F+",IF(F194&lt;'PlayerGrades+'!$AB$18,"E-",IF(F194&lt;'PlayerGrades+'!$AB$17,"E",IF(F194&lt;'PlayerGrades+'!$AB$16,"E+",IF(F194&lt;'PlayerGrades+'!$AB$15,"D-",IF(F194&lt;'PlayerGrades+'!$AB$14,"D",IF(F194&lt;'PlayerGrades+'!$AB$13,"D+",IF(F194&lt;'PlayerGrades+'!$AB$12,"C-",IF(F194&lt;'PlayerGrades+'!$AB$11,"C",IF(F194&lt;'PlayerGrades+'!$AB$10,"C+",IF(F194&lt;'PlayerGrades+'!$AB$9,"B-",IF(F194&lt;'PlayerGrades+'!$AB$8,"B",IF(F194&lt;'PlayerGrades+'!$AB$7,"B+",IF(F194&lt;'PlayerGrades+'!$AB$6,"A-",IF(F194&lt;'PlayerGrades+'!$AB$5,"A",IF(F194&lt;'PlayerGrades+'!$AB$4,"A+",IF(F194&lt;'PlayerGrades+'!$AB$3,"S-",IF(F194&lt;'PlayerGrades+'!$AB$2,"S","S+"))))))))))))))))))))</f>
        <v>#DIV/0!</v>
      </c>
      <c r="H194" s="961" t="str">
        <f t="shared" si="3"/>
        <v>#DIV/0!</v>
      </c>
      <c r="I194" s="961" t="str">
        <f>IF(H194&lt;'PlayerGrades+'!$AC$21,"F-",IF(H194&lt;'PlayerGrades+'!$AC$20,"F",IF(H194&lt;'PlayerGrades+'!$AC$19,"F+",IF(H194&lt;'PlayerGrades+'!$AC$18,"E-",IF(H194&lt;'PlayerGrades+'!$AC$17,"E",IF(H194&lt;'PlayerGrades+'!$AC$16,"E+",IF(H194&lt;'PlayerGrades+'!$AC$15,"D-",IF(H194&lt;'PlayerGrades+'!$AC$14,"D",IF(H194&lt;'PlayerGrades+'!$AC$13,"D+",IF(H194&lt;'PlayerGrades+'!$AC$12,"C-",IF(H194&lt;'PlayerGrades+'!$AC$11,"C",IF(H194&lt;'PlayerGrades+'!$AC$10,"C+",IF(H194&lt;'PlayerGrades+'!$AC$9,"B-",IF(H194&lt;'PlayerGrades+'!$AC$8,"B",IF(H194&lt;'PlayerGrades+'!$AC$7,"B+",IF(H194&lt;'PlayerGrades+'!$AC$6,"A-",IF(H194&lt;'PlayerGrades+'!$AC$5,"A",IF(H194&lt;'PlayerGrades+'!$AC$4,"A+",IF(H194&lt;'PlayerGrades+'!$AC$3,"S-",IF(H194&lt;'PlayerGrades+'!$AC$2,"S","S+"))))))))))))))))))))</f>
        <v>#DIV/0!</v>
      </c>
      <c r="J194" s="961" t="str">
        <f t="shared" si="4"/>
        <v>#DIV/0!</v>
      </c>
      <c r="K194" s="961" t="str">
        <f>IF(J194&lt;'PlayerGrades+'!$AD$21,"F-",IF(J194&lt;'PlayerGrades+'!$AD$20,"F",IF(J194&lt;'PlayerGrades+'!$AD$19,"F+",IF(J194&lt;'PlayerGrades+'!$AD$18,"E-",IF(J194&lt;'PlayerGrades+'!$AD$17,"E",IF(J194&lt;'PlayerGrades+'!$AD$16,"E+",IF(J194&lt;'PlayerGrades+'!$AD$15,"D-",IF(J194&lt;'PlayerGrades+'!$AD$14,"D",IF(J194&lt;'PlayerGrades+'!$AD$13,"D+",IF(J194&lt;'PlayerGrades+'!$AD$12,"C-",IF(J194&lt;'PlayerGrades+'!$AD$11,"C",IF(J194&lt;'PlayerGrades+'!$AD$10,"C+",IF(J194&lt;'PlayerGrades+'!$AD$9,"B-",IF(J194&lt;'PlayerGrades+'!$AD$8,"B",IF(J194&lt;'PlayerGrades+'!$AD$7,"B+",IF(J194&lt;'PlayerGrades+'!$AD$6,"A-",IF(J194&lt;'PlayerGrades+'!$AD$5,"A",IF(J194&lt;'PlayerGrades+'!$AD$4,"A+",IF(J194&lt;'PlayerGrades+'!$AD$3,"S-",IF(J194&lt;'PlayerGrades+'!$AD$2,"S","S+"))))))))))))))))))))</f>
        <v>#DIV/0!</v>
      </c>
      <c r="L194" s="1176" t="str">
        <f t="shared" si="5"/>
        <v>#DIV/0!</v>
      </c>
      <c r="M194" s="992" t="str">
        <f>IF(L194&lt;'PlayerGrades+'!$AE$21,"F-",IF(L194&lt;'PlayerGrades+'!$AE$20,"F",IF(L194&lt;'PlayerGrades+'!$AE$19,"F+",IF(L194&lt;'PlayerGrades+'!$AE$18,"E-",IF(L194&lt;'PlayerGrades+'!$AE$17,"E",IF(L194&lt;'PlayerGrades+'!$AE$16,"E+",IF(L194&lt;'PlayerGrades+'!$AE$15,"D-",IF(L194&lt;'PlayerGrades+'!$AE$14,"D",IF(L194&lt;'PlayerGrades+'!$AE$13,"D+",IF(L194&lt;'PlayerGrades+'!$AE$12,"C-",IF(L194&lt;'PlayerGrades+'!$AE$11,"C",IF(L194&lt;'PlayerGrades+'!$AE$10,"C+",IF(L194&lt;'PlayerGrades+'!$AE$9,"B-",IF(L194&lt;'PlayerGrades+'!$AE$8,"B",IF(L194&lt;'PlayerGrades+'!$AE$7,"B+",IF(L194&lt;'PlayerGrades+'!$AE$6,"A-",IF(L194&lt;'PlayerGrades+'!$AE$5,"A",IF(L194&lt;'PlayerGrades+'!$AE$4,"A+",IF(L194&lt;'PlayerGrades+'!$AE$3,"S-",IF(L194&lt;'PlayerGrades+'!$AE$2,"S","S+"))))))))))))))))))))</f>
        <v>#DIV/0!</v>
      </c>
      <c r="N194" s="961" t="str">
        <f t="shared" si="6"/>
        <v>#DIV/0!</v>
      </c>
      <c r="O194" s="961" t="str">
        <f>IF(N194&lt;'PlayerGrades+'!$AF$21,"F-",IF(N194&lt;'PlayerGrades+'!$AF$20,"F",IF(N194&lt;'PlayerGrades+'!$AF$19,"F+",IF(N194&lt;'PlayerGrades+'!$AF$18,"E-",IF(N194&lt;'PlayerGrades+'!$AF$17,"E",IF(N194&lt;'PlayerGrades+'!$AF$16,"E+",IF(N194&lt;'PlayerGrades+'!$AF$15,"D-",IF(N194&lt;'PlayerGrades+'!$AF$14,"D",IF(N194&lt;'PlayerGrades+'!$AF$13,"D+",IF(N194&lt;'PlayerGrades+'!$AF$12,"C-",IF(N194&lt;'PlayerGrades+'!$AF$11,"C",IF(N194&lt;'PlayerGrades+'!$AF$10,"C+",IF(N194&lt;'PlayerGrades+'!$AF$9,"B-",IF(N194&lt;'PlayerGrades+'!$AF$8,"B",IF(N194&lt;'PlayerGrades+'!$AF$7,"B+",IF(N194&lt;'PlayerGrades+'!$AF$6,"A-",IF(N194&lt;'PlayerGrades+'!$AF$5,"A",IF(N194&lt;'PlayerGrades+'!$AF$4,"A+",IF(N194&lt;'PlayerGrades+'!$AF$3,"S-",IF(N194&lt;'PlayerGrades+'!$AF$2,"S","S+"))))))))))))))))))))</f>
        <v>#DIV/0!</v>
      </c>
      <c r="P194" s="961" t="str">
        <f t="shared" si="7"/>
        <v>#DIV/0!</v>
      </c>
      <c r="Q194" s="961" t="str">
        <f>IF(P194&lt;'PlayerGrades+'!$AG$21,"F-",IF(P194&lt;'PlayerGrades+'!$AG$20,"F",IF(P194&lt;'PlayerGrades+'!$AG$19,"F+",IF(P194&lt;'PlayerGrades+'!$AG$18,"E-",IF(P194&lt;'PlayerGrades+'!$AG$17,"E",IF(P194&lt;'PlayerGrades+'!$AG$16,"E+",IF(P194&lt;'PlayerGrades+'!$AG$15,"D-",IF(P194&lt;'PlayerGrades+'!$AG$14,"D",IF(P194&lt;'PlayerGrades+'!$AG$13,"D+",IF(P194&lt;'PlayerGrades+'!$AG$12,"C-",IF(P194&lt;'PlayerGrades+'!$AG$11,"C",IF(P194&lt;'PlayerGrades+'!$AG$10,"C+",IF(P194&lt;'PlayerGrades+'!$AG$9,"B-",IF(P194&lt;'PlayerGrades+'!$AG$8,"B",IF(P194&lt;'PlayerGrades+'!$AG$7,"B+",IF(P194&lt;'PlayerGrades+'!$AG$6,"A-",IF(P194&lt;'PlayerGrades+'!$AG$5,"A",IF(P194&lt;'PlayerGrades+'!$AG$4,"A+",IF(P194&lt;'PlayerGrades+'!$AG$3,"S-",IF(P194&lt;'PlayerGrades+'!$AG$2,"S","S+"))))))))))))))))))))</f>
        <v>#DIV/0!</v>
      </c>
      <c r="R194" s="961" t="str">
        <f t="shared" si="8"/>
        <v>#DIV/0!</v>
      </c>
      <c r="S194" s="961" t="str">
        <f>IF(R194&lt;'PlayerGrades+'!$AH$21,"F-",IF(R194&lt;'PlayerGrades+'!$AH$20,"F",IF(R194&lt;'PlayerGrades+'!$AH$19,"F+",IF(R194&lt;'PlayerGrades+'!$AH$18,"E-",IF(R194&lt;'PlayerGrades+'!$AH$17,"E",IF(R194&lt;'PlayerGrades+'!$AH$16,"E+",IF(R194&lt;'PlayerGrades+'!$AH$15,"D-",IF(R194&lt;'PlayerGrades+'!$AH$14,"D",IF(R194&lt;'PlayerGrades+'!$AH$13,"D+",IF(R194&lt;'PlayerGrades+'!$AH$12,"C-",IF(R194&lt;'PlayerGrades+'!$AH$11,"C",IF(R194&lt;'PlayerGrades+'!$AH$10,"C+",IF(R194&lt;'PlayerGrades+'!$AH$9,"B-",IF(R194&lt;'PlayerGrades+'!$AH$8,"B",IF(R194&lt;'PlayerGrades+'!$AH$7,"B+",IF(R194&lt;'PlayerGrades+'!$AH$6,"A-",IF(R194&lt;'PlayerGrades+'!$AH$5,"A",IF(R194&lt;'PlayerGrades+'!$AH$4,"A+",IF(R194&lt;'PlayerGrades+'!$AH$3,"S-",IF(R194&lt;'PlayerGrades+'!$AH$2,"S","S+"))))))))))))))))))))</f>
        <v>#DIV/0!</v>
      </c>
      <c r="T194" s="961">
        <f t="shared" si="9"/>
        <v>0</v>
      </c>
      <c r="U194" s="961" t="str">
        <f>IF(T194&lt;'PlayerGrades+'!$AI$21,"F-",IF(T194&lt;'PlayerGrades+'!$AI$20,"F",IF(T194&lt;'PlayerGrades+'!$AI$19,"F+",IF(T194&lt;'PlayerGrades+'!$AI$18,"E-",IF(T194&lt;'PlayerGrades+'!$AI$17,"E",IF(T194&lt;'PlayerGrades+'!$AI$16,"E+",IF(T194&lt;'PlayerGrades+'!$AI$15,"D-",IF(T194&lt;'PlayerGrades+'!$AI$14,"D",IF(T194&lt;'PlayerGrades+'!$AI$13,"D+",IF(T194&lt;'PlayerGrades+'!$AI$12,"C-",IF(T194&lt;'PlayerGrades+'!$AI$11,"C",IF(T194&lt;'PlayerGrades+'!$AI$10,"C+",IF(T194&lt;'PlayerGrades+'!$AI$9,"B-",IF(T194&lt;'PlayerGrades+'!$AI$8,"B",IF(T194&lt;'PlayerGrades+'!$AI$7,"B+",IF(T194&lt;'PlayerGrades+'!$AI$6,"A-",IF(T194&lt;'PlayerGrades+'!$AI$5,"A",IF(T194&lt;'PlayerGrades+'!$AI$4,"A+",IF(T194&lt;'PlayerGrades+'!$AI$3,"S-",IF(T194&lt;'PlayerGrades+'!$AI$2,"S","S+"))))))))))))))))))))</f>
        <v>F-</v>
      </c>
      <c r="V194" s="1379"/>
      <c r="W194" s="1379"/>
      <c r="X194" s="1379"/>
      <c r="Y194" s="1379"/>
      <c r="Z194" s="1379"/>
      <c r="AA194" s="1379"/>
      <c r="AB194" s="1379"/>
      <c r="AC194" s="1390"/>
      <c r="AD194" s="1379"/>
      <c r="AE194" s="1379"/>
      <c r="AF194" s="1379"/>
      <c r="AG194" s="1379"/>
      <c r="AH194" s="1379"/>
      <c r="AI194" s="1379"/>
      <c r="AJ194" s="1379"/>
      <c r="AK194" s="1379"/>
      <c r="AL194" s="1379"/>
      <c r="AM194" s="1379"/>
      <c r="AN194" s="1379"/>
      <c r="AO194" s="1379"/>
      <c r="AP194" s="1379"/>
      <c r="AQ194" s="1379"/>
      <c r="AR194" s="1379"/>
      <c r="AS194" s="1379"/>
      <c r="AT194" s="1379"/>
      <c r="AU194" s="1379"/>
      <c r="AV194" s="1379"/>
      <c r="AW194" s="1379"/>
      <c r="AX194" s="1379"/>
      <c r="AY194" s="1379"/>
      <c r="AZ194" s="1379"/>
    </row>
    <row r="195">
      <c r="A195" s="1391"/>
      <c r="B195" s="611" t="str">
        <f>IF(C195&lt;'PlayerGrades+'!$Y$44,"F-",IF(C195&lt;'PlayerGrades+'!$Y$43,"F",IF(C195&lt;'PlayerGrades+'!$Y$42,"F+",IF(C195&lt;'PlayerGrades+'!$Y$41,"E-",IF(C195&lt;'PlayerGrades+'!$Y$40,"E",IF(C195&lt;'PlayerGrades+'!$Y$39,"E+",IF(C195&lt;'PlayerGrades+'!$Y$38,"D-",IF(C195&lt;'PlayerGrades+'!$Y$37,"D",IF(C195&lt;'PlayerGrades+'!$Y$36,"D+",IF(C195&lt;'PlayerGrades+'!$Y$35,"C-",IF(C195&lt;'PlayerGrades+'!$Y$34,"C",IF(C195&lt;'PlayerGrades+'!$Y$33,"C+",IF(C195&lt;'PlayerGrades+'!$Y$32,"B-",IF(C195&lt;'PlayerGrades+'!$Y$31,"B",IF(C195&lt;'PlayerGrades+'!$Y$30,"B+",IF(C195&lt;'PlayerGrades+'!$Y$29,"A-",IF(C195&lt;'PlayerGrades+'!$Y$28,"A",IF(C195&lt;'PlayerGrades+'!$Y$27,"A+",IF(C195&lt;'PlayerGrades+'!$Y$26,"S-",IF(C195&lt;'PlayerGrades+'!$Y$25,"S","S+"))))))))))))))))))))</f>
        <v>#DIV/0!</v>
      </c>
      <c r="C195" s="1378" t="str">
        <f>('PlayerGrades+'!$Y$47*(VLOOKUP(E195, 'PlayerGrades+'!$X$3:$Y$23, 2, FALSE)))+('PlayerGrades+'!$Y$48*(VLOOKUP(G195, 'PlayerGrades+'!$X$3:$Y$23, 2, FALSE)))+('PlayerGrades+'!$Y$49*(VLOOKUP(I195, 'PlayerGrades+'!$X$3:$Y$23, 2, FALSE)))+('PlayerGrades+'!$Y$50*(VLOOKUP(K195, 'PlayerGrades+'!$X$3:$Y$23, 2, FALSE)))+('PlayerGrades+'!$Y$51*(VLOOKUP(M195, 'PlayerGrades+'!$X$3:$Y$23, 2, FALSE)))+('PlayerGrades+'!$Y$52*(VLOOKUP(O195, 'PlayerGrades+'!$X$3:$Y$23, 2, FALSE)))+('PlayerGrades+'!$Y$53*(VLOOKUP(Q195, 'PlayerGrades+'!$X$3:$Y$23, 2, FALSE)))+('PlayerGrades+'!$Y$54*(VLOOKUP(S195, 'PlayerGrades+'!$X$3:$Y$23, 2, FALSE)))+('PlayerGrades+'!$Y$55*(VLOOKUP(U195, 'PlayerGrades+'!$X$3:$Y$23, 2, FALSE)))</f>
        <v>#DIV/0!</v>
      </c>
      <c r="D195" s="961" t="str">
        <f t="shared" si="1"/>
        <v>#DIV/0!</v>
      </c>
      <c r="E195" s="961" t="str">
        <f>IF(D195&lt;'PlayerGrades+'!$AA$21,"F-",IF(D195&lt;'PlayerGrades+'!$AA$20,"F",IF(D195&lt;'PlayerGrades+'!$AA$19,"F+",IF(D195&lt;'PlayerGrades+'!$AA$18,"E-",IF(D195&lt;'PlayerGrades+'!$AA$17,"E",IF(D195&lt;'PlayerGrades+'!$AA$16,"E+",IF(D195&lt;'PlayerGrades+'!$AA$15,"D-",IF(D195&lt;'PlayerGrades+'!$AA$14,"D",IF(D195&lt;'PlayerGrades+'!$AA$13,"D+",IF(D195&lt;'PlayerGrades+'!$AA$12,"C-",IF(D195&lt;'PlayerGrades+'!$AA$11,"C",IF(D195&lt;'PlayerGrades+'!$AA$10,"C+",IF(D195&lt;'PlayerGrades+'!$AA$9,"B-",IF(D195&lt;'PlayerGrades+'!$AA$8,"B",IF(D195&lt;'PlayerGrades+'!$AA$7,"B+",IF(D195&lt;'PlayerGrades+'!$AA$6,"A-",IF(D195&lt;'PlayerGrades+'!$AA$5,"A",IF(D195&lt;'PlayerGrades+'!$AA$4,"A+",IF(D195&lt;'PlayerGrades+'!$AA$3,"S-",IF(D195&lt;'PlayerGrades+'!$AA$2,"S","S+"))))))))))))))))))))</f>
        <v>#DIV/0!</v>
      </c>
      <c r="F195" s="961" t="str">
        <f t="shared" si="2"/>
        <v>#DIV/0!</v>
      </c>
      <c r="G195" s="961" t="str">
        <f>IF(F195&lt;'PlayerGrades+'!$AB$21,"F-",IF(F195&lt;'PlayerGrades+'!$AB$20,"F",IF(F195&lt;'PlayerGrades+'!$AB$19,"F+",IF(F195&lt;'PlayerGrades+'!$AB$18,"E-",IF(F195&lt;'PlayerGrades+'!$AB$17,"E",IF(F195&lt;'PlayerGrades+'!$AB$16,"E+",IF(F195&lt;'PlayerGrades+'!$AB$15,"D-",IF(F195&lt;'PlayerGrades+'!$AB$14,"D",IF(F195&lt;'PlayerGrades+'!$AB$13,"D+",IF(F195&lt;'PlayerGrades+'!$AB$12,"C-",IF(F195&lt;'PlayerGrades+'!$AB$11,"C",IF(F195&lt;'PlayerGrades+'!$AB$10,"C+",IF(F195&lt;'PlayerGrades+'!$AB$9,"B-",IF(F195&lt;'PlayerGrades+'!$AB$8,"B",IF(F195&lt;'PlayerGrades+'!$AB$7,"B+",IF(F195&lt;'PlayerGrades+'!$AB$6,"A-",IF(F195&lt;'PlayerGrades+'!$AB$5,"A",IF(F195&lt;'PlayerGrades+'!$AB$4,"A+",IF(F195&lt;'PlayerGrades+'!$AB$3,"S-",IF(F195&lt;'PlayerGrades+'!$AB$2,"S","S+"))))))))))))))))))))</f>
        <v>#DIV/0!</v>
      </c>
      <c r="H195" s="961" t="str">
        <f t="shared" si="3"/>
        <v>#DIV/0!</v>
      </c>
      <c r="I195" s="961" t="str">
        <f>IF(H195&lt;'PlayerGrades+'!$AC$21,"F-",IF(H195&lt;'PlayerGrades+'!$AC$20,"F",IF(H195&lt;'PlayerGrades+'!$AC$19,"F+",IF(H195&lt;'PlayerGrades+'!$AC$18,"E-",IF(H195&lt;'PlayerGrades+'!$AC$17,"E",IF(H195&lt;'PlayerGrades+'!$AC$16,"E+",IF(H195&lt;'PlayerGrades+'!$AC$15,"D-",IF(H195&lt;'PlayerGrades+'!$AC$14,"D",IF(H195&lt;'PlayerGrades+'!$AC$13,"D+",IF(H195&lt;'PlayerGrades+'!$AC$12,"C-",IF(H195&lt;'PlayerGrades+'!$AC$11,"C",IF(H195&lt;'PlayerGrades+'!$AC$10,"C+",IF(H195&lt;'PlayerGrades+'!$AC$9,"B-",IF(H195&lt;'PlayerGrades+'!$AC$8,"B",IF(H195&lt;'PlayerGrades+'!$AC$7,"B+",IF(H195&lt;'PlayerGrades+'!$AC$6,"A-",IF(H195&lt;'PlayerGrades+'!$AC$5,"A",IF(H195&lt;'PlayerGrades+'!$AC$4,"A+",IF(H195&lt;'PlayerGrades+'!$AC$3,"S-",IF(H195&lt;'PlayerGrades+'!$AC$2,"S","S+"))))))))))))))))))))</f>
        <v>#DIV/0!</v>
      </c>
      <c r="J195" s="961" t="str">
        <f t="shared" si="4"/>
        <v>#DIV/0!</v>
      </c>
      <c r="K195" s="961" t="str">
        <f>IF(J195&lt;'PlayerGrades+'!$AD$21,"F-",IF(J195&lt;'PlayerGrades+'!$AD$20,"F",IF(J195&lt;'PlayerGrades+'!$AD$19,"F+",IF(J195&lt;'PlayerGrades+'!$AD$18,"E-",IF(J195&lt;'PlayerGrades+'!$AD$17,"E",IF(J195&lt;'PlayerGrades+'!$AD$16,"E+",IF(J195&lt;'PlayerGrades+'!$AD$15,"D-",IF(J195&lt;'PlayerGrades+'!$AD$14,"D",IF(J195&lt;'PlayerGrades+'!$AD$13,"D+",IF(J195&lt;'PlayerGrades+'!$AD$12,"C-",IF(J195&lt;'PlayerGrades+'!$AD$11,"C",IF(J195&lt;'PlayerGrades+'!$AD$10,"C+",IF(J195&lt;'PlayerGrades+'!$AD$9,"B-",IF(J195&lt;'PlayerGrades+'!$AD$8,"B",IF(J195&lt;'PlayerGrades+'!$AD$7,"B+",IF(J195&lt;'PlayerGrades+'!$AD$6,"A-",IF(J195&lt;'PlayerGrades+'!$AD$5,"A",IF(J195&lt;'PlayerGrades+'!$AD$4,"A+",IF(J195&lt;'PlayerGrades+'!$AD$3,"S-",IF(J195&lt;'PlayerGrades+'!$AD$2,"S","S+"))))))))))))))))))))</f>
        <v>#DIV/0!</v>
      </c>
      <c r="L195" s="1176" t="str">
        <f t="shared" si="5"/>
        <v>#DIV/0!</v>
      </c>
      <c r="M195" s="992" t="str">
        <f>IF(L195&lt;'PlayerGrades+'!$AE$21,"F-",IF(L195&lt;'PlayerGrades+'!$AE$20,"F",IF(L195&lt;'PlayerGrades+'!$AE$19,"F+",IF(L195&lt;'PlayerGrades+'!$AE$18,"E-",IF(L195&lt;'PlayerGrades+'!$AE$17,"E",IF(L195&lt;'PlayerGrades+'!$AE$16,"E+",IF(L195&lt;'PlayerGrades+'!$AE$15,"D-",IF(L195&lt;'PlayerGrades+'!$AE$14,"D",IF(L195&lt;'PlayerGrades+'!$AE$13,"D+",IF(L195&lt;'PlayerGrades+'!$AE$12,"C-",IF(L195&lt;'PlayerGrades+'!$AE$11,"C",IF(L195&lt;'PlayerGrades+'!$AE$10,"C+",IF(L195&lt;'PlayerGrades+'!$AE$9,"B-",IF(L195&lt;'PlayerGrades+'!$AE$8,"B",IF(L195&lt;'PlayerGrades+'!$AE$7,"B+",IF(L195&lt;'PlayerGrades+'!$AE$6,"A-",IF(L195&lt;'PlayerGrades+'!$AE$5,"A",IF(L195&lt;'PlayerGrades+'!$AE$4,"A+",IF(L195&lt;'PlayerGrades+'!$AE$3,"S-",IF(L195&lt;'PlayerGrades+'!$AE$2,"S","S+"))))))))))))))))))))</f>
        <v>#DIV/0!</v>
      </c>
      <c r="N195" s="961" t="str">
        <f t="shared" si="6"/>
        <v>#DIV/0!</v>
      </c>
      <c r="O195" s="961" t="str">
        <f>IF(N195&lt;'PlayerGrades+'!$AF$21,"F-",IF(N195&lt;'PlayerGrades+'!$AF$20,"F",IF(N195&lt;'PlayerGrades+'!$AF$19,"F+",IF(N195&lt;'PlayerGrades+'!$AF$18,"E-",IF(N195&lt;'PlayerGrades+'!$AF$17,"E",IF(N195&lt;'PlayerGrades+'!$AF$16,"E+",IF(N195&lt;'PlayerGrades+'!$AF$15,"D-",IF(N195&lt;'PlayerGrades+'!$AF$14,"D",IF(N195&lt;'PlayerGrades+'!$AF$13,"D+",IF(N195&lt;'PlayerGrades+'!$AF$12,"C-",IF(N195&lt;'PlayerGrades+'!$AF$11,"C",IF(N195&lt;'PlayerGrades+'!$AF$10,"C+",IF(N195&lt;'PlayerGrades+'!$AF$9,"B-",IF(N195&lt;'PlayerGrades+'!$AF$8,"B",IF(N195&lt;'PlayerGrades+'!$AF$7,"B+",IF(N195&lt;'PlayerGrades+'!$AF$6,"A-",IF(N195&lt;'PlayerGrades+'!$AF$5,"A",IF(N195&lt;'PlayerGrades+'!$AF$4,"A+",IF(N195&lt;'PlayerGrades+'!$AF$3,"S-",IF(N195&lt;'PlayerGrades+'!$AF$2,"S","S+"))))))))))))))))))))</f>
        <v>#DIV/0!</v>
      </c>
      <c r="P195" s="961" t="str">
        <f t="shared" si="7"/>
        <v>#DIV/0!</v>
      </c>
      <c r="Q195" s="961" t="str">
        <f>IF(P195&lt;'PlayerGrades+'!$AG$21,"F-",IF(P195&lt;'PlayerGrades+'!$AG$20,"F",IF(P195&lt;'PlayerGrades+'!$AG$19,"F+",IF(P195&lt;'PlayerGrades+'!$AG$18,"E-",IF(P195&lt;'PlayerGrades+'!$AG$17,"E",IF(P195&lt;'PlayerGrades+'!$AG$16,"E+",IF(P195&lt;'PlayerGrades+'!$AG$15,"D-",IF(P195&lt;'PlayerGrades+'!$AG$14,"D",IF(P195&lt;'PlayerGrades+'!$AG$13,"D+",IF(P195&lt;'PlayerGrades+'!$AG$12,"C-",IF(P195&lt;'PlayerGrades+'!$AG$11,"C",IF(P195&lt;'PlayerGrades+'!$AG$10,"C+",IF(P195&lt;'PlayerGrades+'!$AG$9,"B-",IF(P195&lt;'PlayerGrades+'!$AG$8,"B",IF(P195&lt;'PlayerGrades+'!$AG$7,"B+",IF(P195&lt;'PlayerGrades+'!$AG$6,"A-",IF(P195&lt;'PlayerGrades+'!$AG$5,"A",IF(P195&lt;'PlayerGrades+'!$AG$4,"A+",IF(P195&lt;'PlayerGrades+'!$AG$3,"S-",IF(P195&lt;'PlayerGrades+'!$AG$2,"S","S+"))))))))))))))))))))</f>
        <v>#DIV/0!</v>
      </c>
      <c r="R195" s="961" t="str">
        <f t="shared" si="8"/>
        <v>#DIV/0!</v>
      </c>
      <c r="S195" s="961" t="str">
        <f>IF(R195&lt;'PlayerGrades+'!$AH$21,"F-",IF(R195&lt;'PlayerGrades+'!$AH$20,"F",IF(R195&lt;'PlayerGrades+'!$AH$19,"F+",IF(R195&lt;'PlayerGrades+'!$AH$18,"E-",IF(R195&lt;'PlayerGrades+'!$AH$17,"E",IF(R195&lt;'PlayerGrades+'!$AH$16,"E+",IF(R195&lt;'PlayerGrades+'!$AH$15,"D-",IF(R195&lt;'PlayerGrades+'!$AH$14,"D",IF(R195&lt;'PlayerGrades+'!$AH$13,"D+",IF(R195&lt;'PlayerGrades+'!$AH$12,"C-",IF(R195&lt;'PlayerGrades+'!$AH$11,"C",IF(R195&lt;'PlayerGrades+'!$AH$10,"C+",IF(R195&lt;'PlayerGrades+'!$AH$9,"B-",IF(R195&lt;'PlayerGrades+'!$AH$8,"B",IF(R195&lt;'PlayerGrades+'!$AH$7,"B+",IF(R195&lt;'PlayerGrades+'!$AH$6,"A-",IF(R195&lt;'PlayerGrades+'!$AH$5,"A",IF(R195&lt;'PlayerGrades+'!$AH$4,"A+",IF(R195&lt;'PlayerGrades+'!$AH$3,"S-",IF(R195&lt;'PlayerGrades+'!$AH$2,"S","S+"))))))))))))))))))))</f>
        <v>#DIV/0!</v>
      </c>
      <c r="T195" s="961">
        <f t="shared" si="9"/>
        <v>0</v>
      </c>
      <c r="U195" s="961" t="str">
        <f>IF(T195&lt;'PlayerGrades+'!$AI$21,"F-",IF(T195&lt;'PlayerGrades+'!$AI$20,"F",IF(T195&lt;'PlayerGrades+'!$AI$19,"F+",IF(T195&lt;'PlayerGrades+'!$AI$18,"E-",IF(T195&lt;'PlayerGrades+'!$AI$17,"E",IF(T195&lt;'PlayerGrades+'!$AI$16,"E+",IF(T195&lt;'PlayerGrades+'!$AI$15,"D-",IF(T195&lt;'PlayerGrades+'!$AI$14,"D",IF(T195&lt;'PlayerGrades+'!$AI$13,"D+",IF(T195&lt;'PlayerGrades+'!$AI$12,"C-",IF(T195&lt;'PlayerGrades+'!$AI$11,"C",IF(T195&lt;'PlayerGrades+'!$AI$10,"C+",IF(T195&lt;'PlayerGrades+'!$AI$9,"B-",IF(T195&lt;'PlayerGrades+'!$AI$8,"B",IF(T195&lt;'PlayerGrades+'!$AI$7,"B+",IF(T195&lt;'PlayerGrades+'!$AI$6,"A-",IF(T195&lt;'PlayerGrades+'!$AI$5,"A",IF(T195&lt;'PlayerGrades+'!$AI$4,"A+",IF(T195&lt;'PlayerGrades+'!$AI$3,"S-",IF(T195&lt;'PlayerGrades+'!$AI$2,"S","S+"))))))))))))))))))))</f>
        <v>F-</v>
      </c>
      <c r="AC195" s="1392"/>
    </row>
    <row r="196">
      <c r="A196" s="1391"/>
      <c r="B196" s="611" t="str">
        <f>IF(C196&lt;'PlayerGrades+'!$Y$44,"F-",IF(C196&lt;'PlayerGrades+'!$Y$43,"F",IF(C196&lt;'PlayerGrades+'!$Y$42,"F+",IF(C196&lt;'PlayerGrades+'!$Y$41,"E-",IF(C196&lt;'PlayerGrades+'!$Y$40,"E",IF(C196&lt;'PlayerGrades+'!$Y$39,"E+",IF(C196&lt;'PlayerGrades+'!$Y$38,"D-",IF(C196&lt;'PlayerGrades+'!$Y$37,"D",IF(C196&lt;'PlayerGrades+'!$Y$36,"D+",IF(C196&lt;'PlayerGrades+'!$Y$35,"C-",IF(C196&lt;'PlayerGrades+'!$Y$34,"C",IF(C196&lt;'PlayerGrades+'!$Y$33,"C+",IF(C196&lt;'PlayerGrades+'!$Y$32,"B-",IF(C196&lt;'PlayerGrades+'!$Y$31,"B",IF(C196&lt;'PlayerGrades+'!$Y$30,"B+",IF(C196&lt;'PlayerGrades+'!$Y$29,"A-",IF(C196&lt;'PlayerGrades+'!$Y$28,"A",IF(C196&lt;'PlayerGrades+'!$Y$27,"A+",IF(C196&lt;'PlayerGrades+'!$Y$26,"S-",IF(C196&lt;'PlayerGrades+'!$Y$25,"S","S+"))))))))))))))))))))</f>
        <v>#DIV/0!</v>
      </c>
      <c r="C196" s="1378" t="str">
        <f>('PlayerGrades+'!$Y$47*(VLOOKUP(E196, 'PlayerGrades+'!$X$3:$Y$23, 2, FALSE)))+('PlayerGrades+'!$Y$48*(VLOOKUP(G196, 'PlayerGrades+'!$X$3:$Y$23, 2, FALSE)))+('PlayerGrades+'!$Y$49*(VLOOKUP(I196, 'PlayerGrades+'!$X$3:$Y$23, 2, FALSE)))+('PlayerGrades+'!$Y$50*(VLOOKUP(K196, 'PlayerGrades+'!$X$3:$Y$23, 2, FALSE)))+('PlayerGrades+'!$Y$51*(VLOOKUP(M196, 'PlayerGrades+'!$X$3:$Y$23, 2, FALSE)))+('PlayerGrades+'!$Y$52*(VLOOKUP(O196, 'PlayerGrades+'!$X$3:$Y$23, 2, FALSE)))+('PlayerGrades+'!$Y$53*(VLOOKUP(Q196, 'PlayerGrades+'!$X$3:$Y$23, 2, FALSE)))+('PlayerGrades+'!$Y$54*(VLOOKUP(S196, 'PlayerGrades+'!$X$3:$Y$23, 2, FALSE)))+('PlayerGrades+'!$Y$55*(VLOOKUP(U196, 'PlayerGrades+'!$X$3:$Y$23, 2, FALSE)))</f>
        <v>#DIV/0!</v>
      </c>
      <c r="D196" s="961" t="str">
        <f t="shared" si="1"/>
        <v>#DIV/0!</v>
      </c>
      <c r="E196" s="961" t="str">
        <f>IF(D196&lt;'PlayerGrades+'!$AA$21,"F-",IF(D196&lt;'PlayerGrades+'!$AA$20,"F",IF(D196&lt;'PlayerGrades+'!$AA$19,"F+",IF(D196&lt;'PlayerGrades+'!$AA$18,"E-",IF(D196&lt;'PlayerGrades+'!$AA$17,"E",IF(D196&lt;'PlayerGrades+'!$AA$16,"E+",IF(D196&lt;'PlayerGrades+'!$AA$15,"D-",IF(D196&lt;'PlayerGrades+'!$AA$14,"D",IF(D196&lt;'PlayerGrades+'!$AA$13,"D+",IF(D196&lt;'PlayerGrades+'!$AA$12,"C-",IF(D196&lt;'PlayerGrades+'!$AA$11,"C",IF(D196&lt;'PlayerGrades+'!$AA$10,"C+",IF(D196&lt;'PlayerGrades+'!$AA$9,"B-",IF(D196&lt;'PlayerGrades+'!$AA$8,"B",IF(D196&lt;'PlayerGrades+'!$AA$7,"B+",IF(D196&lt;'PlayerGrades+'!$AA$6,"A-",IF(D196&lt;'PlayerGrades+'!$AA$5,"A",IF(D196&lt;'PlayerGrades+'!$AA$4,"A+",IF(D196&lt;'PlayerGrades+'!$AA$3,"S-",IF(D196&lt;'PlayerGrades+'!$AA$2,"S","S+"))))))))))))))))))))</f>
        <v>#DIV/0!</v>
      </c>
      <c r="F196" s="961" t="str">
        <f t="shared" si="2"/>
        <v>#DIV/0!</v>
      </c>
      <c r="G196" s="961" t="str">
        <f>IF(F196&lt;'PlayerGrades+'!$AB$21,"F-",IF(F196&lt;'PlayerGrades+'!$AB$20,"F",IF(F196&lt;'PlayerGrades+'!$AB$19,"F+",IF(F196&lt;'PlayerGrades+'!$AB$18,"E-",IF(F196&lt;'PlayerGrades+'!$AB$17,"E",IF(F196&lt;'PlayerGrades+'!$AB$16,"E+",IF(F196&lt;'PlayerGrades+'!$AB$15,"D-",IF(F196&lt;'PlayerGrades+'!$AB$14,"D",IF(F196&lt;'PlayerGrades+'!$AB$13,"D+",IF(F196&lt;'PlayerGrades+'!$AB$12,"C-",IF(F196&lt;'PlayerGrades+'!$AB$11,"C",IF(F196&lt;'PlayerGrades+'!$AB$10,"C+",IF(F196&lt;'PlayerGrades+'!$AB$9,"B-",IF(F196&lt;'PlayerGrades+'!$AB$8,"B",IF(F196&lt;'PlayerGrades+'!$AB$7,"B+",IF(F196&lt;'PlayerGrades+'!$AB$6,"A-",IF(F196&lt;'PlayerGrades+'!$AB$5,"A",IF(F196&lt;'PlayerGrades+'!$AB$4,"A+",IF(F196&lt;'PlayerGrades+'!$AB$3,"S-",IF(F196&lt;'PlayerGrades+'!$AB$2,"S","S+"))))))))))))))))))))</f>
        <v>#DIV/0!</v>
      </c>
      <c r="H196" s="961" t="str">
        <f t="shared" si="3"/>
        <v>#DIV/0!</v>
      </c>
      <c r="I196" s="961" t="str">
        <f>IF(H196&lt;'PlayerGrades+'!$AC$21,"F-",IF(H196&lt;'PlayerGrades+'!$AC$20,"F",IF(H196&lt;'PlayerGrades+'!$AC$19,"F+",IF(H196&lt;'PlayerGrades+'!$AC$18,"E-",IF(H196&lt;'PlayerGrades+'!$AC$17,"E",IF(H196&lt;'PlayerGrades+'!$AC$16,"E+",IF(H196&lt;'PlayerGrades+'!$AC$15,"D-",IF(H196&lt;'PlayerGrades+'!$AC$14,"D",IF(H196&lt;'PlayerGrades+'!$AC$13,"D+",IF(H196&lt;'PlayerGrades+'!$AC$12,"C-",IF(H196&lt;'PlayerGrades+'!$AC$11,"C",IF(H196&lt;'PlayerGrades+'!$AC$10,"C+",IF(H196&lt;'PlayerGrades+'!$AC$9,"B-",IF(H196&lt;'PlayerGrades+'!$AC$8,"B",IF(H196&lt;'PlayerGrades+'!$AC$7,"B+",IF(H196&lt;'PlayerGrades+'!$AC$6,"A-",IF(H196&lt;'PlayerGrades+'!$AC$5,"A",IF(H196&lt;'PlayerGrades+'!$AC$4,"A+",IF(H196&lt;'PlayerGrades+'!$AC$3,"S-",IF(H196&lt;'PlayerGrades+'!$AC$2,"S","S+"))))))))))))))))))))</f>
        <v>#DIV/0!</v>
      </c>
      <c r="J196" s="961" t="str">
        <f t="shared" si="4"/>
        <v>#DIV/0!</v>
      </c>
      <c r="K196" s="961" t="str">
        <f>IF(J196&lt;'PlayerGrades+'!$AD$21,"F-",IF(J196&lt;'PlayerGrades+'!$AD$20,"F",IF(J196&lt;'PlayerGrades+'!$AD$19,"F+",IF(J196&lt;'PlayerGrades+'!$AD$18,"E-",IF(J196&lt;'PlayerGrades+'!$AD$17,"E",IF(J196&lt;'PlayerGrades+'!$AD$16,"E+",IF(J196&lt;'PlayerGrades+'!$AD$15,"D-",IF(J196&lt;'PlayerGrades+'!$AD$14,"D",IF(J196&lt;'PlayerGrades+'!$AD$13,"D+",IF(J196&lt;'PlayerGrades+'!$AD$12,"C-",IF(J196&lt;'PlayerGrades+'!$AD$11,"C",IF(J196&lt;'PlayerGrades+'!$AD$10,"C+",IF(J196&lt;'PlayerGrades+'!$AD$9,"B-",IF(J196&lt;'PlayerGrades+'!$AD$8,"B",IF(J196&lt;'PlayerGrades+'!$AD$7,"B+",IF(J196&lt;'PlayerGrades+'!$AD$6,"A-",IF(J196&lt;'PlayerGrades+'!$AD$5,"A",IF(J196&lt;'PlayerGrades+'!$AD$4,"A+",IF(J196&lt;'PlayerGrades+'!$AD$3,"S-",IF(J196&lt;'PlayerGrades+'!$AD$2,"S","S+"))))))))))))))))))))</f>
        <v>#DIV/0!</v>
      </c>
      <c r="L196" s="1176" t="str">
        <f t="shared" si="5"/>
        <v>#DIV/0!</v>
      </c>
      <c r="M196" s="992" t="str">
        <f>IF(L196&lt;'PlayerGrades+'!$AE$21,"F-",IF(L196&lt;'PlayerGrades+'!$AE$20,"F",IF(L196&lt;'PlayerGrades+'!$AE$19,"F+",IF(L196&lt;'PlayerGrades+'!$AE$18,"E-",IF(L196&lt;'PlayerGrades+'!$AE$17,"E",IF(L196&lt;'PlayerGrades+'!$AE$16,"E+",IF(L196&lt;'PlayerGrades+'!$AE$15,"D-",IF(L196&lt;'PlayerGrades+'!$AE$14,"D",IF(L196&lt;'PlayerGrades+'!$AE$13,"D+",IF(L196&lt;'PlayerGrades+'!$AE$12,"C-",IF(L196&lt;'PlayerGrades+'!$AE$11,"C",IF(L196&lt;'PlayerGrades+'!$AE$10,"C+",IF(L196&lt;'PlayerGrades+'!$AE$9,"B-",IF(L196&lt;'PlayerGrades+'!$AE$8,"B",IF(L196&lt;'PlayerGrades+'!$AE$7,"B+",IF(L196&lt;'PlayerGrades+'!$AE$6,"A-",IF(L196&lt;'PlayerGrades+'!$AE$5,"A",IF(L196&lt;'PlayerGrades+'!$AE$4,"A+",IF(L196&lt;'PlayerGrades+'!$AE$3,"S-",IF(L196&lt;'PlayerGrades+'!$AE$2,"S","S+"))))))))))))))))))))</f>
        <v>#DIV/0!</v>
      </c>
      <c r="N196" s="961" t="str">
        <f t="shared" si="6"/>
        <v>#DIV/0!</v>
      </c>
      <c r="O196" s="961" t="str">
        <f>IF(N196&lt;'PlayerGrades+'!$AF$21,"F-",IF(N196&lt;'PlayerGrades+'!$AF$20,"F",IF(N196&lt;'PlayerGrades+'!$AF$19,"F+",IF(N196&lt;'PlayerGrades+'!$AF$18,"E-",IF(N196&lt;'PlayerGrades+'!$AF$17,"E",IF(N196&lt;'PlayerGrades+'!$AF$16,"E+",IF(N196&lt;'PlayerGrades+'!$AF$15,"D-",IF(N196&lt;'PlayerGrades+'!$AF$14,"D",IF(N196&lt;'PlayerGrades+'!$AF$13,"D+",IF(N196&lt;'PlayerGrades+'!$AF$12,"C-",IF(N196&lt;'PlayerGrades+'!$AF$11,"C",IF(N196&lt;'PlayerGrades+'!$AF$10,"C+",IF(N196&lt;'PlayerGrades+'!$AF$9,"B-",IF(N196&lt;'PlayerGrades+'!$AF$8,"B",IF(N196&lt;'PlayerGrades+'!$AF$7,"B+",IF(N196&lt;'PlayerGrades+'!$AF$6,"A-",IF(N196&lt;'PlayerGrades+'!$AF$5,"A",IF(N196&lt;'PlayerGrades+'!$AF$4,"A+",IF(N196&lt;'PlayerGrades+'!$AF$3,"S-",IF(N196&lt;'PlayerGrades+'!$AF$2,"S","S+"))))))))))))))))))))</f>
        <v>#DIV/0!</v>
      </c>
      <c r="P196" s="961" t="str">
        <f t="shared" si="7"/>
        <v>#DIV/0!</v>
      </c>
      <c r="Q196" s="961" t="str">
        <f>IF(P196&lt;'PlayerGrades+'!$AG$21,"F-",IF(P196&lt;'PlayerGrades+'!$AG$20,"F",IF(P196&lt;'PlayerGrades+'!$AG$19,"F+",IF(P196&lt;'PlayerGrades+'!$AG$18,"E-",IF(P196&lt;'PlayerGrades+'!$AG$17,"E",IF(P196&lt;'PlayerGrades+'!$AG$16,"E+",IF(P196&lt;'PlayerGrades+'!$AG$15,"D-",IF(P196&lt;'PlayerGrades+'!$AG$14,"D",IF(P196&lt;'PlayerGrades+'!$AG$13,"D+",IF(P196&lt;'PlayerGrades+'!$AG$12,"C-",IF(P196&lt;'PlayerGrades+'!$AG$11,"C",IF(P196&lt;'PlayerGrades+'!$AG$10,"C+",IF(P196&lt;'PlayerGrades+'!$AG$9,"B-",IF(P196&lt;'PlayerGrades+'!$AG$8,"B",IF(P196&lt;'PlayerGrades+'!$AG$7,"B+",IF(P196&lt;'PlayerGrades+'!$AG$6,"A-",IF(P196&lt;'PlayerGrades+'!$AG$5,"A",IF(P196&lt;'PlayerGrades+'!$AG$4,"A+",IF(P196&lt;'PlayerGrades+'!$AG$3,"S-",IF(P196&lt;'PlayerGrades+'!$AG$2,"S","S+"))))))))))))))))))))</f>
        <v>#DIV/0!</v>
      </c>
      <c r="R196" s="961" t="str">
        <f t="shared" si="8"/>
        <v>#DIV/0!</v>
      </c>
      <c r="S196" s="961" t="str">
        <f>IF(R196&lt;'PlayerGrades+'!$AH$21,"F-",IF(R196&lt;'PlayerGrades+'!$AH$20,"F",IF(R196&lt;'PlayerGrades+'!$AH$19,"F+",IF(R196&lt;'PlayerGrades+'!$AH$18,"E-",IF(R196&lt;'PlayerGrades+'!$AH$17,"E",IF(R196&lt;'PlayerGrades+'!$AH$16,"E+",IF(R196&lt;'PlayerGrades+'!$AH$15,"D-",IF(R196&lt;'PlayerGrades+'!$AH$14,"D",IF(R196&lt;'PlayerGrades+'!$AH$13,"D+",IF(R196&lt;'PlayerGrades+'!$AH$12,"C-",IF(R196&lt;'PlayerGrades+'!$AH$11,"C",IF(R196&lt;'PlayerGrades+'!$AH$10,"C+",IF(R196&lt;'PlayerGrades+'!$AH$9,"B-",IF(R196&lt;'PlayerGrades+'!$AH$8,"B",IF(R196&lt;'PlayerGrades+'!$AH$7,"B+",IF(R196&lt;'PlayerGrades+'!$AH$6,"A-",IF(R196&lt;'PlayerGrades+'!$AH$5,"A",IF(R196&lt;'PlayerGrades+'!$AH$4,"A+",IF(R196&lt;'PlayerGrades+'!$AH$3,"S-",IF(R196&lt;'PlayerGrades+'!$AH$2,"S","S+"))))))))))))))))))))</f>
        <v>#DIV/0!</v>
      </c>
      <c r="T196" s="961">
        <f t="shared" si="9"/>
        <v>0</v>
      </c>
      <c r="U196" s="961" t="str">
        <f>IF(T196&lt;'PlayerGrades+'!$AI$21,"F-",IF(T196&lt;'PlayerGrades+'!$AI$20,"F",IF(T196&lt;'PlayerGrades+'!$AI$19,"F+",IF(T196&lt;'PlayerGrades+'!$AI$18,"E-",IF(T196&lt;'PlayerGrades+'!$AI$17,"E",IF(T196&lt;'PlayerGrades+'!$AI$16,"E+",IF(T196&lt;'PlayerGrades+'!$AI$15,"D-",IF(T196&lt;'PlayerGrades+'!$AI$14,"D",IF(T196&lt;'PlayerGrades+'!$AI$13,"D+",IF(T196&lt;'PlayerGrades+'!$AI$12,"C-",IF(T196&lt;'PlayerGrades+'!$AI$11,"C",IF(T196&lt;'PlayerGrades+'!$AI$10,"C+",IF(T196&lt;'PlayerGrades+'!$AI$9,"B-",IF(T196&lt;'PlayerGrades+'!$AI$8,"B",IF(T196&lt;'PlayerGrades+'!$AI$7,"B+",IF(T196&lt;'PlayerGrades+'!$AI$6,"A-",IF(T196&lt;'PlayerGrades+'!$AI$5,"A",IF(T196&lt;'PlayerGrades+'!$AI$4,"A+",IF(T196&lt;'PlayerGrades+'!$AI$3,"S-",IF(T196&lt;'PlayerGrades+'!$AI$2,"S","S+"))))))))))))))))))))</f>
        <v>F-</v>
      </c>
      <c r="AC196" s="1392"/>
    </row>
    <row r="197">
      <c r="A197" s="1391"/>
      <c r="B197" s="611" t="str">
        <f>IF(C197&lt;'PlayerGrades+'!$Y$44,"F-",IF(C197&lt;'PlayerGrades+'!$Y$43,"F",IF(C197&lt;'PlayerGrades+'!$Y$42,"F+",IF(C197&lt;'PlayerGrades+'!$Y$41,"E-",IF(C197&lt;'PlayerGrades+'!$Y$40,"E",IF(C197&lt;'PlayerGrades+'!$Y$39,"E+",IF(C197&lt;'PlayerGrades+'!$Y$38,"D-",IF(C197&lt;'PlayerGrades+'!$Y$37,"D",IF(C197&lt;'PlayerGrades+'!$Y$36,"D+",IF(C197&lt;'PlayerGrades+'!$Y$35,"C-",IF(C197&lt;'PlayerGrades+'!$Y$34,"C",IF(C197&lt;'PlayerGrades+'!$Y$33,"C+",IF(C197&lt;'PlayerGrades+'!$Y$32,"B-",IF(C197&lt;'PlayerGrades+'!$Y$31,"B",IF(C197&lt;'PlayerGrades+'!$Y$30,"B+",IF(C197&lt;'PlayerGrades+'!$Y$29,"A-",IF(C197&lt;'PlayerGrades+'!$Y$28,"A",IF(C197&lt;'PlayerGrades+'!$Y$27,"A+",IF(C197&lt;'PlayerGrades+'!$Y$26,"S-",IF(C197&lt;'PlayerGrades+'!$Y$25,"S","S+"))))))))))))))))))))</f>
        <v>#DIV/0!</v>
      </c>
      <c r="C197" s="1378" t="str">
        <f>('PlayerGrades+'!$Y$47*(VLOOKUP(E197, 'PlayerGrades+'!$X$3:$Y$23, 2, FALSE)))+('PlayerGrades+'!$Y$48*(VLOOKUP(G197, 'PlayerGrades+'!$X$3:$Y$23, 2, FALSE)))+('PlayerGrades+'!$Y$49*(VLOOKUP(I197, 'PlayerGrades+'!$X$3:$Y$23, 2, FALSE)))+('PlayerGrades+'!$Y$50*(VLOOKUP(K197, 'PlayerGrades+'!$X$3:$Y$23, 2, FALSE)))+('PlayerGrades+'!$Y$51*(VLOOKUP(M197, 'PlayerGrades+'!$X$3:$Y$23, 2, FALSE)))+('PlayerGrades+'!$Y$52*(VLOOKUP(O197, 'PlayerGrades+'!$X$3:$Y$23, 2, FALSE)))+('PlayerGrades+'!$Y$53*(VLOOKUP(Q197, 'PlayerGrades+'!$X$3:$Y$23, 2, FALSE)))+('PlayerGrades+'!$Y$54*(VLOOKUP(S197, 'PlayerGrades+'!$X$3:$Y$23, 2, FALSE)))+('PlayerGrades+'!$Y$55*(VLOOKUP(U197, 'PlayerGrades+'!$X$3:$Y$23, 2, FALSE)))</f>
        <v>#DIV/0!</v>
      </c>
      <c r="D197" s="961" t="str">
        <f t="shared" si="1"/>
        <v>#DIV/0!</v>
      </c>
      <c r="E197" s="961" t="str">
        <f>IF(D197&lt;'PlayerGrades+'!$AA$21,"F-",IF(D197&lt;'PlayerGrades+'!$AA$20,"F",IF(D197&lt;'PlayerGrades+'!$AA$19,"F+",IF(D197&lt;'PlayerGrades+'!$AA$18,"E-",IF(D197&lt;'PlayerGrades+'!$AA$17,"E",IF(D197&lt;'PlayerGrades+'!$AA$16,"E+",IF(D197&lt;'PlayerGrades+'!$AA$15,"D-",IF(D197&lt;'PlayerGrades+'!$AA$14,"D",IF(D197&lt;'PlayerGrades+'!$AA$13,"D+",IF(D197&lt;'PlayerGrades+'!$AA$12,"C-",IF(D197&lt;'PlayerGrades+'!$AA$11,"C",IF(D197&lt;'PlayerGrades+'!$AA$10,"C+",IF(D197&lt;'PlayerGrades+'!$AA$9,"B-",IF(D197&lt;'PlayerGrades+'!$AA$8,"B",IF(D197&lt;'PlayerGrades+'!$AA$7,"B+",IF(D197&lt;'PlayerGrades+'!$AA$6,"A-",IF(D197&lt;'PlayerGrades+'!$AA$5,"A",IF(D197&lt;'PlayerGrades+'!$AA$4,"A+",IF(D197&lt;'PlayerGrades+'!$AA$3,"S-",IF(D197&lt;'PlayerGrades+'!$AA$2,"S","S+"))))))))))))))))))))</f>
        <v>#DIV/0!</v>
      </c>
      <c r="F197" s="961" t="str">
        <f t="shared" si="2"/>
        <v>#DIV/0!</v>
      </c>
      <c r="G197" s="961" t="str">
        <f>IF(F197&lt;'PlayerGrades+'!$AB$21,"F-",IF(F197&lt;'PlayerGrades+'!$AB$20,"F",IF(F197&lt;'PlayerGrades+'!$AB$19,"F+",IF(F197&lt;'PlayerGrades+'!$AB$18,"E-",IF(F197&lt;'PlayerGrades+'!$AB$17,"E",IF(F197&lt;'PlayerGrades+'!$AB$16,"E+",IF(F197&lt;'PlayerGrades+'!$AB$15,"D-",IF(F197&lt;'PlayerGrades+'!$AB$14,"D",IF(F197&lt;'PlayerGrades+'!$AB$13,"D+",IF(F197&lt;'PlayerGrades+'!$AB$12,"C-",IF(F197&lt;'PlayerGrades+'!$AB$11,"C",IF(F197&lt;'PlayerGrades+'!$AB$10,"C+",IF(F197&lt;'PlayerGrades+'!$AB$9,"B-",IF(F197&lt;'PlayerGrades+'!$AB$8,"B",IF(F197&lt;'PlayerGrades+'!$AB$7,"B+",IF(F197&lt;'PlayerGrades+'!$AB$6,"A-",IF(F197&lt;'PlayerGrades+'!$AB$5,"A",IF(F197&lt;'PlayerGrades+'!$AB$4,"A+",IF(F197&lt;'PlayerGrades+'!$AB$3,"S-",IF(F197&lt;'PlayerGrades+'!$AB$2,"S","S+"))))))))))))))))))))</f>
        <v>#DIV/0!</v>
      </c>
      <c r="H197" s="961" t="str">
        <f t="shared" si="3"/>
        <v>#DIV/0!</v>
      </c>
      <c r="I197" s="961" t="str">
        <f>IF(H197&lt;'PlayerGrades+'!$AC$21,"F-",IF(H197&lt;'PlayerGrades+'!$AC$20,"F",IF(H197&lt;'PlayerGrades+'!$AC$19,"F+",IF(H197&lt;'PlayerGrades+'!$AC$18,"E-",IF(H197&lt;'PlayerGrades+'!$AC$17,"E",IF(H197&lt;'PlayerGrades+'!$AC$16,"E+",IF(H197&lt;'PlayerGrades+'!$AC$15,"D-",IF(H197&lt;'PlayerGrades+'!$AC$14,"D",IF(H197&lt;'PlayerGrades+'!$AC$13,"D+",IF(H197&lt;'PlayerGrades+'!$AC$12,"C-",IF(H197&lt;'PlayerGrades+'!$AC$11,"C",IF(H197&lt;'PlayerGrades+'!$AC$10,"C+",IF(H197&lt;'PlayerGrades+'!$AC$9,"B-",IF(H197&lt;'PlayerGrades+'!$AC$8,"B",IF(H197&lt;'PlayerGrades+'!$AC$7,"B+",IF(H197&lt;'PlayerGrades+'!$AC$6,"A-",IF(H197&lt;'PlayerGrades+'!$AC$5,"A",IF(H197&lt;'PlayerGrades+'!$AC$4,"A+",IF(H197&lt;'PlayerGrades+'!$AC$3,"S-",IF(H197&lt;'PlayerGrades+'!$AC$2,"S","S+"))))))))))))))))))))</f>
        <v>#DIV/0!</v>
      </c>
      <c r="J197" s="961" t="str">
        <f t="shared" si="4"/>
        <v>#DIV/0!</v>
      </c>
      <c r="K197" s="961" t="str">
        <f>IF(J197&lt;'PlayerGrades+'!$AD$21,"F-",IF(J197&lt;'PlayerGrades+'!$AD$20,"F",IF(J197&lt;'PlayerGrades+'!$AD$19,"F+",IF(J197&lt;'PlayerGrades+'!$AD$18,"E-",IF(J197&lt;'PlayerGrades+'!$AD$17,"E",IF(J197&lt;'PlayerGrades+'!$AD$16,"E+",IF(J197&lt;'PlayerGrades+'!$AD$15,"D-",IF(J197&lt;'PlayerGrades+'!$AD$14,"D",IF(J197&lt;'PlayerGrades+'!$AD$13,"D+",IF(J197&lt;'PlayerGrades+'!$AD$12,"C-",IF(J197&lt;'PlayerGrades+'!$AD$11,"C",IF(J197&lt;'PlayerGrades+'!$AD$10,"C+",IF(J197&lt;'PlayerGrades+'!$AD$9,"B-",IF(J197&lt;'PlayerGrades+'!$AD$8,"B",IF(J197&lt;'PlayerGrades+'!$AD$7,"B+",IF(J197&lt;'PlayerGrades+'!$AD$6,"A-",IF(J197&lt;'PlayerGrades+'!$AD$5,"A",IF(J197&lt;'PlayerGrades+'!$AD$4,"A+",IF(J197&lt;'PlayerGrades+'!$AD$3,"S-",IF(J197&lt;'PlayerGrades+'!$AD$2,"S","S+"))))))))))))))))))))</f>
        <v>#DIV/0!</v>
      </c>
      <c r="L197" s="1176" t="str">
        <f t="shared" si="5"/>
        <v>#DIV/0!</v>
      </c>
      <c r="M197" s="992" t="str">
        <f>IF(L197&lt;'PlayerGrades+'!$AE$21,"F-",IF(L197&lt;'PlayerGrades+'!$AE$20,"F",IF(L197&lt;'PlayerGrades+'!$AE$19,"F+",IF(L197&lt;'PlayerGrades+'!$AE$18,"E-",IF(L197&lt;'PlayerGrades+'!$AE$17,"E",IF(L197&lt;'PlayerGrades+'!$AE$16,"E+",IF(L197&lt;'PlayerGrades+'!$AE$15,"D-",IF(L197&lt;'PlayerGrades+'!$AE$14,"D",IF(L197&lt;'PlayerGrades+'!$AE$13,"D+",IF(L197&lt;'PlayerGrades+'!$AE$12,"C-",IF(L197&lt;'PlayerGrades+'!$AE$11,"C",IF(L197&lt;'PlayerGrades+'!$AE$10,"C+",IF(L197&lt;'PlayerGrades+'!$AE$9,"B-",IF(L197&lt;'PlayerGrades+'!$AE$8,"B",IF(L197&lt;'PlayerGrades+'!$AE$7,"B+",IF(L197&lt;'PlayerGrades+'!$AE$6,"A-",IF(L197&lt;'PlayerGrades+'!$AE$5,"A",IF(L197&lt;'PlayerGrades+'!$AE$4,"A+",IF(L197&lt;'PlayerGrades+'!$AE$3,"S-",IF(L197&lt;'PlayerGrades+'!$AE$2,"S","S+"))))))))))))))))))))</f>
        <v>#DIV/0!</v>
      </c>
      <c r="N197" s="961" t="str">
        <f t="shared" si="6"/>
        <v>#DIV/0!</v>
      </c>
      <c r="O197" s="961" t="str">
        <f>IF(N197&lt;'PlayerGrades+'!$AF$21,"F-",IF(N197&lt;'PlayerGrades+'!$AF$20,"F",IF(N197&lt;'PlayerGrades+'!$AF$19,"F+",IF(N197&lt;'PlayerGrades+'!$AF$18,"E-",IF(N197&lt;'PlayerGrades+'!$AF$17,"E",IF(N197&lt;'PlayerGrades+'!$AF$16,"E+",IF(N197&lt;'PlayerGrades+'!$AF$15,"D-",IF(N197&lt;'PlayerGrades+'!$AF$14,"D",IF(N197&lt;'PlayerGrades+'!$AF$13,"D+",IF(N197&lt;'PlayerGrades+'!$AF$12,"C-",IF(N197&lt;'PlayerGrades+'!$AF$11,"C",IF(N197&lt;'PlayerGrades+'!$AF$10,"C+",IF(N197&lt;'PlayerGrades+'!$AF$9,"B-",IF(N197&lt;'PlayerGrades+'!$AF$8,"B",IF(N197&lt;'PlayerGrades+'!$AF$7,"B+",IF(N197&lt;'PlayerGrades+'!$AF$6,"A-",IF(N197&lt;'PlayerGrades+'!$AF$5,"A",IF(N197&lt;'PlayerGrades+'!$AF$4,"A+",IF(N197&lt;'PlayerGrades+'!$AF$3,"S-",IF(N197&lt;'PlayerGrades+'!$AF$2,"S","S+"))))))))))))))))))))</f>
        <v>#DIV/0!</v>
      </c>
      <c r="P197" s="961" t="str">
        <f t="shared" si="7"/>
        <v>#DIV/0!</v>
      </c>
      <c r="Q197" s="961" t="str">
        <f>IF(P197&lt;'PlayerGrades+'!$AG$21,"F-",IF(P197&lt;'PlayerGrades+'!$AG$20,"F",IF(P197&lt;'PlayerGrades+'!$AG$19,"F+",IF(P197&lt;'PlayerGrades+'!$AG$18,"E-",IF(P197&lt;'PlayerGrades+'!$AG$17,"E",IF(P197&lt;'PlayerGrades+'!$AG$16,"E+",IF(P197&lt;'PlayerGrades+'!$AG$15,"D-",IF(P197&lt;'PlayerGrades+'!$AG$14,"D",IF(P197&lt;'PlayerGrades+'!$AG$13,"D+",IF(P197&lt;'PlayerGrades+'!$AG$12,"C-",IF(P197&lt;'PlayerGrades+'!$AG$11,"C",IF(P197&lt;'PlayerGrades+'!$AG$10,"C+",IF(P197&lt;'PlayerGrades+'!$AG$9,"B-",IF(P197&lt;'PlayerGrades+'!$AG$8,"B",IF(P197&lt;'PlayerGrades+'!$AG$7,"B+",IF(P197&lt;'PlayerGrades+'!$AG$6,"A-",IF(P197&lt;'PlayerGrades+'!$AG$5,"A",IF(P197&lt;'PlayerGrades+'!$AG$4,"A+",IF(P197&lt;'PlayerGrades+'!$AG$3,"S-",IF(P197&lt;'PlayerGrades+'!$AG$2,"S","S+"))))))))))))))))))))</f>
        <v>#DIV/0!</v>
      </c>
      <c r="R197" s="961" t="str">
        <f t="shared" si="8"/>
        <v>#DIV/0!</v>
      </c>
      <c r="S197" s="961" t="str">
        <f>IF(R197&lt;'PlayerGrades+'!$AH$21,"F-",IF(R197&lt;'PlayerGrades+'!$AH$20,"F",IF(R197&lt;'PlayerGrades+'!$AH$19,"F+",IF(R197&lt;'PlayerGrades+'!$AH$18,"E-",IF(R197&lt;'PlayerGrades+'!$AH$17,"E",IF(R197&lt;'PlayerGrades+'!$AH$16,"E+",IF(R197&lt;'PlayerGrades+'!$AH$15,"D-",IF(R197&lt;'PlayerGrades+'!$AH$14,"D",IF(R197&lt;'PlayerGrades+'!$AH$13,"D+",IF(R197&lt;'PlayerGrades+'!$AH$12,"C-",IF(R197&lt;'PlayerGrades+'!$AH$11,"C",IF(R197&lt;'PlayerGrades+'!$AH$10,"C+",IF(R197&lt;'PlayerGrades+'!$AH$9,"B-",IF(R197&lt;'PlayerGrades+'!$AH$8,"B",IF(R197&lt;'PlayerGrades+'!$AH$7,"B+",IF(R197&lt;'PlayerGrades+'!$AH$6,"A-",IF(R197&lt;'PlayerGrades+'!$AH$5,"A",IF(R197&lt;'PlayerGrades+'!$AH$4,"A+",IF(R197&lt;'PlayerGrades+'!$AH$3,"S-",IF(R197&lt;'PlayerGrades+'!$AH$2,"S","S+"))))))))))))))))))))</f>
        <v>#DIV/0!</v>
      </c>
      <c r="T197" s="961">
        <f t="shared" si="9"/>
        <v>0</v>
      </c>
      <c r="U197" s="961" t="str">
        <f>IF(T197&lt;'PlayerGrades+'!$AI$21,"F-",IF(T197&lt;'PlayerGrades+'!$AI$20,"F",IF(T197&lt;'PlayerGrades+'!$AI$19,"F+",IF(T197&lt;'PlayerGrades+'!$AI$18,"E-",IF(T197&lt;'PlayerGrades+'!$AI$17,"E",IF(T197&lt;'PlayerGrades+'!$AI$16,"E+",IF(T197&lt;'PlayerGrades+'!$AI$15,"D-",IF(T197&lt;'PlayerGrades+'!$AI$14,"D",IF(T197&lt;'PlayerGrades+'!$AI$13,"D+",IF(T197&lt;'PlayerGrades+'!$AI$12,"C-",IF(T197&lt;'PlayerGrades+'!$AI$11,"C",IF(T197&lt;'PlayerGrades+'!$AI$10,"C+",IF(T197&lt;'PlayerGrades+'!$AI$9,"B-",IF(T197&lt;'PlayerGrades+'!$AI$8,"B",IF(T197&lt;'PlayerGrades+'!$AI$7,"B+",IF(T197&lt;'PlayerGrades+'!$AI$6,"A-",IF(T197&lt;'PlayerGrades+'!$AI$5,"A",IF(T197&lt;'PlayerGrades+'!$AI$4,"A+",IF(T197&lt;'PlayerGrades+'!$AI$3,"S-",IF(T197&lt;'PlayerGrades+'!$AI$2,"S","S+"))))))))))))))))))))</f>
        <v>F-</v>
      </c>
      <c r="AC197" s="1392"/>
    </row>
    <row r="198">
      <c r="A198" s="1391"/>
      <c r="B198" s="611" t="str">
        <f>IF(C198&lt;'PlayerGrades+'!$Y$44,"F-",IF(C198&lt;'PlayerGrades+'!$Y$43,"F",IF(C198&lt;'PlayerGrades+'!$Y$42,"F+",IF(C198&lt;'PlayerGrades+'!$Y$41,"E-",IF(C198&lt;'PlayerGrades+'!$Y$40,"E",IF(C198&lt;'PlayerGrades+'!$Y$39,"E+",IF(C198&lt;'PlayerGrades+'!$Y$38,"D-",IF(C198&lt;'PlayerGrades+'!$Y$37,"D",IF(C198&lt;'PlayerGrades+'!$Y$36,"D+",IF(C198&lt;'PlayerGrades+'!$Y$35,"C-",IF(C198&lt;'PlayerGrades+'!$Y$34,"C",IF(C198&lt;'PlayerGrades+'!$Y$33,"C+",IF(C198&lt;'PlayerGrades+'!$Y$32,"B-",IF(C198&lt;'PlayerGrades+'!$Y$31,"B",IF(C198&lt;'PlayerGrades+'!$Y$30,"B+",IF(C198&lt;'PlayerGrades+'!$Y$29,"A-",IF(C198&lt;'PlayerGrades+'!$Y$28,"A",IF(C198&lt;'PlayerGrades+'!$Y$27,"A+",IF(C198&lt;'PlayerGrades+'!$Y$26,"S-",IF(C198&lt;'PlayerGrades+'!$Y$25,"S","S+"))))))))))))))))))))</f>
        <v>#DIV/0!</v>
      </c>
      <c r="C198" s="1378" t="str">
        <f>('PlayerGrades+'!$Y$47*(VLOOKUP(E198, 'PlayerGrades+'!$X$3:$Y$23, 2, FALSE)))+('PlayerGrades+'!$Y$48*(VLOOKUP(G198, 'PlayerGrades+'!$X$3:$Y$23, 2, FALSE)))+('PlayerGrades+'!$Y$49*(VLOOKUP(I198, 'PlayerGrades+'!$X$3:$Y$23, 2, FALSE)))+('PlayerGrades+'!$Y$50*(VLOOKUP(K198, 'PlayerGrades+'!$X$3:$Y$23, 2, FALSE)))+('PlayerGrades+'!$Y$51*(VLOOKUP(M198, 'PlayerGrades+'!$X$3:$Y$23, 2, FALSE)))+('PlayerGrades+'!$Y$52*(VLOOKUP(O198, 'PlayerGrades+'!$X$3:$Y$23, 2, FALSE)))+('PlayerGrades+'!$Y$53*(VLOOKUP(Q198, 'PlayerGrades+'!$X$3:$Y$23, 2, FALSE)))+('PlayerGrades+'!$Y$54*(VLOOKUP(S198, 'PlayerGrades+'!$X$3:$Y$23, 2, FALSE)))+('PlayerGrades+'!$Y$55*(VLOOKUP(U198, 'PlayerGrades+'!$X$3:$Y$23, 2, FALSE)))</f>
        <v>#DIV/0!</v>
      </c>
      <c r="D198" s="961" t="str">
        <f t="shared" si="1"/>
        <v>#DIV/0!</v>
      </c>
      <c r="E198" s="961" t="str">
        <f>IF(D198&lt;'PlayerGrades+'!$AA$21,"F-",IF(D198&lt;'PlayerGrades+'!$AA$20,"F",IF(D198&lt;'PlayerGrades+'!$AA$19,"F+",IF(D198&lt;'PlayerGrades+'!$AA$18,"E-",IF(D198&lt;'PlayerGrades+'!$AA$17,"E",IF(D198&lt;'PlayerGrades+'!$AA$16,"E+",IF(D198&lt;'PlayerGrades+'!$AA$15,"D-",IF(D198&lt;'PlayerGrades+'!$AA$14,"D",IF(D198&lt;'PlayerGrades+'!$AA$13,"D+",IF(D198&lt;'PlayerGrades+'!$AA$12,"C-",IF(D198&lt;'PlayerGrades+'!$AA$11,"C",IF(D198&lt;'PlayerGrades+'!$AA$10,"C+",IF(D198&lt;'PlayerGrades+'!$AA$9,"B-",IF(D198&lt;'PlayerGrades+'!$AA$8,"B",IF(D198&lt;'PlayerGrades+'!$AA$7,"B+",IF(D198&lt;'PlayerGrades+'!$AA$6,"A-",IF(D198&lt;'PlayerGrades+'!$AA$5,"A",IF(D198&lt;'PlayerGrades+'!$AA$4,"A+",IF(D198&lt;'PlayerGrades+'!$AA$3,"S-",IF(D198&lt;'PlayerGrades+'!$AA$2,"S","S+"))))))))))))))))))))</f>
        <v>#DIV/0!</v>
      </c>
      <c r="F198" s="961" t="str">
        <f t="shared" si="2"/>
        <v>#DIV/0!</v>
      </c>
      <c r="G198" s="961" t="str">
        <f>IF(F198&lt;'PlayerGrades+'!$AB$21,"F-",IF(F198&lt;'PlayerGrades+'!$AB$20,"F",IF(F198&lt;'PlayerGrades+'!$AB$19,"F+",IF(F198&lt;'PlayerGrades+'!$AB$18,"E-",IF(F198&lt;'PlayerGrades+'!$AB$17,"E",IF(F198&lt;'PlayerGrades+'!$AB$16,"E+",IF(F198&lt;'PlayerGrades+'!$AB$15,"D-",IF(F198&lt;'PlayerGrades+'!$AB$14,"D",IF(F198&lt;'PlayerGrades+'!$AB$13,"D+",IF(F198&lt;'PlayerGrades+'!$AB$12,"C-",IF(F198&lt;'PlayerGrades+'!$AB$11,"C",IF(F198&lt;'PlayerGrades+'!$AB$10,"C+",IF(F198&lt;'PlayerGrades+'!$AB$9,"B-",IF(F198&lt;'PlayerGrades+'!$AB$8,"B",IF(F198&lt;'PlayerGrades+'!$AB$7,"B+",IF(F198&lt;'PlayerGrades+'!$AB$6,"A-",IF(F198&lt;'PlayerGrades+'!$AB$5,"A",IF(F198&lt;'PlayerGrades+'!$AB$4,"A+",IF(F198&lt;'PlayerGrades+'!$AB$3,"S-",IF(F198&lt;'PlayerGrades+'!$AB$2,"S","S+"))))))))))))))))))))</f>
        <v>#DIV/0!</v>
      </c>
      <c r="H198" s="961" t="str">
        <f t="shared" si="3"/>
        <v>#DIV/0!</v>
      </c>
      <c r="I198" s="961" t="str">
        <f>IF(H198&lt;'PlayerGrades+'!$AC$21,"F-",IF(H198&lt;'PlayerGrades+'!$AC$20,"F",IF(H198&lt;'PlayerGrades+'!$AC$19,"F+",IF(H198&lt;'PlayerGrades+'!$AC$18,"E-",IF(H198&lt;'PlayerGrades+'!$AC$17,"E",IF(H198&lt;'PlayerGrades+'!$AC$16,"E+",IF(H198&lt;'PlayerGrades+'!$AC$15,"D-",IF(H198&lt;'PlayerGrades+'!$AC$14,"D",IF(H198&lt;'PlayerGrades+'!$AC$13,"D+",IF(H198&lt;'PlayerGrades+'!$AC$12,"C-",IF(H198&lt;'PlayerGrades+'!$AC$11,"C",IF(H198&lt;'PlayerGrades+'!$AC$10,"C+",IF(H198&lt;'PlayerGrades+'!$AC$9,"B-",IF(H198&lt;'PlayerGrades+'!$AC$8,"B",IF(H198&lt;'PlayerGrades+'!$AC$7,"B+",IF(H198&lt;'PlayerGrades+'!$AC$6,"A-",IF(H198&lt;'PlayerGrades+'!$AC$5,"A",IF(H198&lt;'PlayerGrades+'!$AC$4,"A+",IF(H198&lt;'PlayerGrades+'!$AC$3,"S-",IF(H198&lt;'PlayerGrades+'!$AC$2,"S","S+"))))))))))))))))))))</f>
        <v>#DIV/0!</v>
      </c>
      <c r="J198" s="961" t="str">
        <f t="shared" si="4"/>
        <v>#DIV/0!</v>
      </c>
      <c r="K198" s="961" t="str">
        <f>IF(J198&lt;'PlayerGrades+'!$AD$21,"F-",IF(J198&lt;'PlayerGrades+'!$AD$20,"F",IF(J198&lt;'PlayerGrades+'!$AD$19,"F+",IF(J198&lt;'PlayerGrades+'!$AD$18,"E-",IF(J198&lt;'PlayerGrades+'!$AD$17,"E",IF(J198&lt;'PlayerGrades+'!$AD$16,"E+",IF(J198&lt;'PlayerGrades+'!$AD$15,"D-",IF(J198&lt;'PlayerGrades+'!$AD$14,"D",IF(J198&lt;'PlayerGrades+'!$AD$13,"D+",IF(J198&lt;'PlayerGrades+'!$AD$12,"C-",IF(J198&lt;'PlayerGrades+'!$AD$11,"C",IF(J198&lt;'PlayerGrades+'!$AD$10,"C+",IF(J198&lt;'PlayerGrades+'!$AD$9,"B-",IF(J198&lt;'PlayerGrades+'!$AD$8,"B",IF(J198&lt;'PlayerGrades+'!$AD$7,"B+",IF(J198&lt;'PlayerGrades+'!$AD$6,"A-",IF(J198&lt;'PlayerGrades+'!$AD$5,"A",IF(J198&lt;'PlayerGrades+'!$AD$4,"A+",IF(J198&lt;'PlayerGrades+'!$AD$3,"S-",IF(J198&lt;'PlayerGrades+'!$AD$2,"S","S+"))))))))))))))))))))</f>
        <v>#DIV/0!</v>
      </c>
      <c r="L198" s="1176" t="str">
        <f t="shared" si="5"/>
        <v>#DIV/0!</v>
      </c>
      <c r="M198" s="992" t="str">
        <f>IF(L198&lt;'PlayerGrades+'!$AE$21,"F-",IF(L198&lt;'PlayerGrades+'!$AE$20,"F",IF(L198&lt;'PlayerGrades+'!$AE$19,"F+",IF(L198&lt;'PlayerGrades+'!$AE$18,"E-",IF(L198&lt;'PlayerGrades+'!$AE$17,"E",IF(L198&lt;'PlayerGrades+'!$AE$16,"E+",IF(L198&lt;'PlayerGrades+'!$AE$15,"D-",IF(L198&lt;'PlayerGrades+'!$AE$14,"D",IF(L198&lt;'PlayerGrades+'!$AE$13,"D+",IF(L198&lt;'PlayerGrades+'!$AE$12,"C-",IF(L198&lt;'PlayerGrades+'!$AE$11,"C",IF(L198&lt;'PlayerGrades+'!$AE$10,"C+",IF(L198&lt;'PlayerGrades+'!$AE$9,"B-",IF(L198&lt;'PlayerGrades+'!$AE$8,"B",IF(L198&lt;'PlayerGrades+'!$AE$7,"B+",IF(L198&lt;'PlayerGrades+'!$AE$6,"A-",IF(L198&lt;'PlayerGrades+'!$AE$5,"A",IF(L198&lt;'PlayerGrades+'!$AE$4,"A+",IF(L198&lt;'PlayerGrades+'!$AE$3,"S-",IF(L198&lt;'PlayerGrades+'!$AE$2,"S","S+"))))))))))))))))))))</f>
        <v>#DIV/0!</v>
      </c>
      <c r="N198" s="961" t="str">
        <f t="shared" si="6"/>
        <v>#DIV/0!</v>
      </c>
      <c r="O198" s="961" t="str">
        <f>IF(N198&lt;'PlayerGrades+'!$AF$21,"F-",IF(N198&lt;'PlayerGrades+'!$AF$20,"F",IF(N198&lt;'PlayerGrades+'!$AF$19,"F+",IF(N198&lt;'PlayerGrades+'!$AF$18,"E-",IF(N198&lt;'PlayerGrades+'!$AF$17,"E",IF(N198&lt;'PlayerGrades+'!$AF$16,"E+",IF(N198&lt;'PlayerGrades+'!$AF$15,"D-",IF(N198&lt;'PlayerGrades+'!$AF$14,"D",IF(N198&lt;'PlayerGrades+'!$AF$13,"D+",IF(N198&lt;'PlayerGrades+'!$AF$12,"C-",IF(N198&lt;'PlayerGrades+'!$AF$11,"C",IF(N198&lt;'PlayerGrades+'!$AF$10,"C+",IF(N198&lt;'PlayerGrades+'!$AF$9,"B-",IF(N198&lt;'PlayerGrades+'!$AF$8,"B",IF(N198&lt;'PlayerGrades+'!$AF$7,"B+",IF(N198&lt;'PlayerGrades+'!$AF$6,"A-",IF(N198&lt;'PlayerGrades+'!$AF$5,"A",IF(N198&lt;'PlayerGrades+'!$AF$4,"A+",IF(N198&lt;'PlayerGrades+'!$AF$3,"S-",IF(N198&lt;'PlayerGrades+'!$AF$2,"S","S+"))))))))))))))))))))</f>
        <v>#DIV/0!</v>
      </c>
      <c r="P198" s="961" t="str">
        <f t="shared" si="7"/>
        <v>#DIV/0!</v>
      </c>
      <c r="Q198" s="961" t="str">
        <f>IF(P198&lt;'PlayerGrades+'!$AG$21,"F-",IF(P198&lt;'PlayerGrades+'!$AG$20,"F",IF(P198&lt;'PlayerGrades+'!$AG$19,"F+",IF(P198&lt;'PlayerGrades+'!$AG$18,"E-",IF(P198&lt;'PlayerGrades+'!$AG$17,"E",IF(P198&lt;'PlayerGrades+'!$AG$16,"E+",IF(P198&lt;'PlayerGrades+'!$AG$15,"D-",IF(P198&lt;'PlayerGrades+'!$AG$14,"D",IF(P198&lt;'PlayerGrades+'!$AG$13,"D+",IF(P198&lt;'PlayerGrades+'!$AG$12,"C-",IF(P198&lt;'PlayerGrades+'!$AG$11,"C",IF(P198&lt;'PlayerGrades+'!$AG$10,"C+",IF(P198&lt;'PlayerGrades+'!$AG$9,"B-",IF(P198&lt;'PlayerGrades+'!$AG$8,"B",IF(P198&lt;'PlayerGrades+'!$AG$7,"B+",IF(P198&lt;'PlayerGrades+'!$AG$6,"A-",IF(P198&lt;'PlayerGrades+'!$AG$5,"A",IF(P198&lt;'PlayerGrades+'!$AG$4,"A+",IF(P198&lt;'PlayerGrades+'!$AG$3,"S-",IF(P198&lt;'PlayerGrades+'!$AG$2,"S","S+"))))))))))))))))))))</f>
        <v>#DIV/0!</v>
      </c>
      <c r="R198" s="961" t="str">
        <f t="shared" si="8"/>
        <v>#DIV/0!</v>
      </c>
      <c r="S198" s="961" t="str">
        <f>IF(R198&lt;'PlayerGrades+'!$AH$21,"F-",IF(R198&lt;'PlayerGrades+'!$AH$20,"F",IF(R198&lt;'PlayerGrades+'!$AH$19,"F+",IF(R198&lt;'PlayerGrades+'!$AH$18,"E-",IF(R198&lt;'PlayerGrades+'!$AH$17,"E",IF(R198&lt;'PlayerGrades+'!$AH$16,"E+",IF(R198&lt;'PlayerGrades+'!$AH$15,"D-",IF(R198&lt;'PlayerGrades+'!$AH$14,"D",IF(R198&lt;'PlayerGrades+'!$AH$13,"D+",IF(R198&lt;'PlayerGrades+'!$AH$12,"C-",IF(R198&lt;'PlayerGrades+'!$AH$11,"C",IF(R198&lt;'PlayerGrades+'!$AH$10,"C+",IF(R198&lt;'PlayerGrades+'!$AH$9,"B-",IF(R198&lt;'PlayerGrades+'!$AH$8,"B",IF(R198&lt;'PlayerGrades+'!$AH$7,"B+",IF(R198&lt;'PlayerGrades+'!$AH$6,"A-",IF(R198&lt;'PlayerGrades+'!$AH$5,"A",IF(R198&lt;'PlayerGrades+'!$AH$4,"A+",IF(R198&lt;'PlayerGrades+'!$AH$3,"S-",IF(R198&lt;'PlayerGrades+'!$AH$2,"S","S+"))))))))))))))))))))</f>
        <v>#DIV/0!</v>
      </c>
      <c r="T198" s="961">
        <f t="shared" si="9"/>
        <v>0</v>
      </c>
      <c r="U198" s="961" t="str">
        <f>IF(T198&lt;'PlayerGrades+'!$AI$21,"F-",IF(T198&lt;'PlayerGrades+'!$AI$20,"F",IF(T198&lt;'PlayerGrades+'!$AI$19,"F+",IF(T198&lt;'PlayerGrades+'!$AI$18,"E-",IF(T198&lt;'PlayerGrades+'!$AI$17,"E",IF(T198&lt;'PlayerGrades+'!$AI$16,"E+",IF(T198&lt;'PlayerGrades+'!$AI$15,"D-",IF(T198&lt;'PlayerGrades+'!$AI$14,"D",IF(T198&lt;'PlayerGrades+'!$AI$13,"D+",IF(T198&lt;'PlayerGrades+'!$AI$12,"C-",IF(T198&lt;'PlayerGrades+'!$AI$11,"C",IF(T198&lt;'PlayerGrades+'!$AI$10,"C+",IF(T198&lt;'PlayerGrades+'!$AI$9,"B-",IF(T198&lt;'PlayerGrades+'!$AI$8,"B",IF(T198&lt;'PlayerGrades+'!$AI$7,"B+",IF(T198&lt;'PlayerGrades+'!$AI$6,"A-",IF(T198&lt;'PlayerGrades+'!$AI$5,"A",IF(T198&lt;'PlayerGrades+'!$AI$4,"A+",IF(T198&lt;'PlayerGrades+'!$AI$3,"S-",IF(T198&lt;'PlayerGrades+'!$AI$2,"S","S+"))))))))))))))))))))</f>
        <v>F-</v>
      </c>
      <c r="AC198" s="1392"/>
    </row>
    <row r="199">
      <c r="A199" s="1391"/>
      <c r="B199" s="611" t="str">
        <f>IF(C199&lt;'PlayerGrades+'!$Y$44,"F-",IF(C199&lt;'PlayerGrades+'!$Y$43,"F",IF(C199&lt;'PlayerGrades+'!$Y$42,"F+",IF(C199&lt;'PlayerGrades+'!$Y$41,"E-",IF(C199&lt;'PlayerGrades+'!$Y$40,"E",IF(C199&lt;'PlayerGrades+'!$Y$39,"E+",IF(C199&lt;'PlayerGrades+'!$Y$38,"D-",IF(C199&lt;'PlayerGrades+'!$Y$37,"D",IF(C199&lt;'PlayerGrades+'!$Y$36,"D+",IF(C199&lt;'PlayerGrades+'!$Y$35,"C-",IF(C199&lt;'PlayerGrades+'!$Y$34,"C",IF(C199&lt;'PlayerGrades+'!$Y$33,"C+",IF(C199&lt;'PlayerGrades+'!$Y$32,"B-",IF(C199&lt;'PlayerGrades+'!$Y$31,"B",IF(C199&lt;'PlayerGrades+'!$Y$30,"B+",IF(C199&lt;'PlayerGrades+'!$Y$29,"A-",IF(C199&lt;'PlayerGrades+'!$Y$28,"A",IF(C199&lt;'PlayerGrades+'!$Y$27,"A+",IF(C199&lt;'PlayerGrades+'!$Y$26,"S-",IF(C199&lt;'PlayerGrades+'!$Y$25,"S","S+"))))))))))))))))))))</f>
        <v>#DIV/0!</v>
      </c>
      <c r="C199" s="1378" t="str">
        <f>('PlayerGrades+'!$Y$47*(VLOOKUP(E199, 'PlayerGrades+'!$X$3:$Y$23, 2, FALSE)))+('PlayerGrades+'!$Y$48*(VLOOKUP(G199, 'PlayerGrades+'!$X$3:$Y$23, 2, FALSE)))+('PlayerGrades+'!$Y$49*(VLOOKUP(I199, 'PlayerGrades+'!$X$3:$Y$23, 2, FALSE)))+('PlayerGrades+'!$Y$50*(VLOOKUP(K199, 'PlayerGrades+'!$X$3:$Y$23, 2, FALSE)))+('PlayerGrades+'!$Y$51*(VLOOKUP(M199, 'PlayerGrades+'!$X$3:$Y$23, 2, FALSE)))+('PlayerGrades+'!$Y$52*(VLOOKUP(O199, 'PlayerGrades+'!$X$3:$Y$23, 2, FALSE)))+('PlayerGrades+'!$Y$53*(VLOOKUP(Q199, 'PlayerGrades+'!$X$3:$Y$23, 2, FALSE)))+('PlayerGrades+'!$Y$54*(VLOOKUP(S199, 'PlayerGrades+'!$X$3:$Y$23, 2, FALSE)))+('PlayerGrades+'!$Y$55*(VLOOKUP(U199, 'PlayerGrades+'!$X$3:$Y$23, 2, FALSE)))</f>
        <v>#DIV/0!</v>
      </c>
      <c r="D199" s="961" t="str">
        <f t="shared" si="1"/>
        <v>#DIV/0!</v>
      </c>
      <c r="E199" s="961" t="str">
        <f>IF(D199&lt;'PlayerGrades+'!$AA$21,"F-",IF(D199&lt;'PlayerGrades+'!$AA$20,"F",IF(D199&lt;'PlayerGrades+'!$AA$19,"F+",IF(D199&lt;'PlayerGrades+'!$AA$18,"E-",IF(D199&lt;'PlayerGrades+'!$AA$17,"E",IF(D199&lt;'PlayerGrades+'!$AA$16,"E+",IF(D199&lt;'PlayerGrades+'!$AA$15,"D-",IF(D199&lt;'PlayerGrades+'!$AA$14,"D",IF(D199&lt;'PlayerGrades+'!$AA$13,"D+",IF(D199&lt;'PlayerGrades+'!$AA$12,"C-",IF(D199&lt;'PlayerGrades+'!$AA$11,"C",IF(D199&lt;'PlayerGrades+'!$AA$10,"C+",IF(D199&lt;'PlayerGrades+'!$AA$9,"B-",IF(D199&lt;'PlayerGrades+'!$AA$8,"B",IF(D199&lt;'PlayerGrades+'!$AA$7,"B+",IF(D199&lt;'PlayerGrades+'!$AA$6,"A-",IF(D199&lt;'PlayerGrades+'!$AA$5,"A",IF(D199&lt;'PlayerGrades+'!$AA$4,"A+",IF(D199&lt;'PlayerGrades+'!$AA$3,"S-",IF(D199&lt;'PlayerGrades+'!$AA$2,"S","S+"))))))))))))))))))))</f>
        <v>#DIV/0!</v>
      </c>
      <c r="F199" s="961" t="str">
        <f t="shared" si="2"/>
        <v>#DIV/0!</v>
      </c>
      <c r="G199" s="961" t="str">
        <f>IF(F199&lt;'PlayerGrades+'!$AB$21,"F-",IF(F199&lt;'PlayerGrades+'!$AB$20,"F",IF(F199&lt;'PlayerGrades+'!$AB$19,"F+",IF(F199&lt;'PlayerGrades+'!$AB$18,"E-",IF(F199&lt;'PlayerGrades+'!$AB$17,"E",IF(F199&lt;'PlayerGrades+'!$AB$16,"E+",IF(F199&lt;'PlayerGrades+'!$AB$15,"D-",IF(F199&lt;'PlayerGrades+'!$AB$14,"D",IF(F199&lt;'PlayerGrades+'!$AB$13,"D+",IF(F199&lt;'PlayerGrades+'!$AB$12,"C-",IF(F199&lt;'PlayerGrades+'!$AB$11,"C",IF(F199&lt;'PlayerGrades+'!$AB$10,"C+",IF(F199&lt;'PlayerGrades+'!$AB$9,"B-",IF(F199&lt;'PlayerGrades+'!$AB$8,"B",IF(F199&lt;'PlayerGrades+'!$AB$7,"B+",IF(F199&lt;'PlayerGrades+'!$AB$6,"A-",IF(F199&lt;'PlayerGrades+'!$AB$5,"A",IF(F199&lt;'PlayerGrades+'!$AB$4,"A+",IF(F199&lt;'PlayerGrades+'!$AB$3,"S-",IF(F199&lt;'PlayerGrades+'!$AB$2,"S","S+"))))))))))))))))))))</f>
        <v>#DIV/0!</v>
      </c>
      <c r="H199" s="961" t="str">
        <f t="shared" si="3"/>
        <v>#DIV/0!</v>
      </c>
      <c r="I199" s="961" t="str">
        <f>IF(H199&lt;'PlayerGrades+'!$AC$21,"F-",IF(H199&lt;'PlayerGrades+'!$AC$20,"F",IF(H199&lt;'PlayerGrades+'!$AC$19,"F+",IF(H199&lt;'PlayerGrades+'!$AC$18,"E-",IF(H199&lt;'PlayerGrades+'!$AC$17,"E",IF(H199&lt;'PlayerGrades+'!$AC$16,"E+",IF(H199&lt;'PlayerGrades+'!$AC$15,"D-",IF(H199&lt;'PlayerGrades+'!$AC$14,"D",IF(H199&lt;'PlayerGrades+'!$AC$13,"D+",IF(H199&lt;'PlayerGrades+'!$AC$12,"C-",IF(H199&lt;'PlayerGrades+'!$AC$11,"C",IF(H199&lt;'PlayerGrades+'!$AC$10,"C+",IF(H199&lt;'PlayerGrades+'!$AC$9,"B-",IF(H199&lt;'PlayerGrades+'!$AC$8,"B",IF(H199&lt;'PlayerGrades+'!$AC$7,"B+",IF(H199&lt;'PlayerGrades+'!$AC$6,"A-",IF(H199&lt;'PlayerGrades+'!$AC$5,"A",IF(H199&lt;'PlayerGrades+'!$AC$4,"A+",IF(H199&lt;'PlayerGrades+'!$AC$3,"S-",IF(H199&lt;'PlayerGrades+'!$AC$2,"S","S+"))))))))))))))))))))</f>
        <v>#DIV/0!</v>
      </c>
      <c r="J199" s="961" t="str">
        <f t="shared" si="4"/>
        <v>#DIV/0!</v>
      </c>
      <c r="K199" s="961" t="str">
        <f>IF(J199&lt;'PlayerGrades+'!$AD$21,"F-",IF(J199&lt;'PlayerGrades+'!$AD$20,"F",IF(J199&lt;'PlayerGrades+'!$AD$19,"F+",IF(J199&lt;'PlayerGrades+'!$AD$18,"E-",IF(J199&lt;'PlayerGrades+'!$AD$17,"E",IF(J199&lt;'PlayerGrades+'!$AD$16,"E+",IF(J199&lt;'PlayerGrades+'!$AD$15,"D-",IF(J199&lt;'PlayerGrades+'!$AD$14,"D",IF(J199&lt;'PlayerGrades+'!$AD$13,"D+",IF(J199&lt;'PlayerGrades+'!$AD$12,"C-",IF(J199&lt;'PlayerGrades+'!$AD$11,"C",IF(J199&lt;'PlayerGrades+'!$AD$10,"C+",IF(J199&lt;'PlayerGrades+'!$AD$9,"B-",IF(J199&lt;'PlayerGrades+'!$AD$8,"B",IF(J199&lt;'PlayerGrades+'!$AD$7,"B+",IF(J199&lt;'PlayerGrades+'!$AD$6,"A-",IF(J199&lt;'PlayerGrades+'!$AD$5,"A",IF(J199&lt;'PlayerGrades+'!$AD$4,"A+",IF(J199&lt;'PlayerGrades+'!$AD$3,"S-",IF(J199&lt;'PlayerGrades+'!$AD$2,"S","S+"))))))))))))))))))))</f>
        <v>#DIV/0!</v>
      </c>
      <c r="L199" s="1176" t="str">
        <f t="shared" si="5"/>
        <v>#DIV/0!</v>
      </c>
      <c r="M199" s="992" t="str">
        <f>IF(L199&lt;'PlayerGrades+'!$AE$21,"F-",IF(L199&lt;'PlayerGrades+'!$AE$20,"F",IF(L199&lt;'PlayerGrades+'!$AE$19,"F+",IF(L199&lt;'PlayerGrades+'!$AE$18,"E-",IF(L199&lt;'PlayerGrades+'!$AE$17,"E",IF(L199&lt;'PlayerGrades+'!$AE$16,"E+",IF(L199&lt;'PlayerGrades+'!$AE$15,"D-",IF(L199&lt;'PlayerGrades+'!$AE$14,"D",IF(L199&lt;'PlayerGrades+'!$AE$13,"D+",IF(L199&lt;'PlayerGrades+'!$AE$12,"C-",IF(L199&lt;'PlayerGrades+'!$AE$11,"C",IF(L199&lt;'PlayerGrades+'!$AE$10,"C+",IF(L199&lt;'PlayerGrades+'!$AE$9,"B-",IF(L199&lt;'PlayerGrades+'!$AE$8,"B",IF(L199&lt;'PlayerGrades+'!$AE$7,"B+",IF(L199&lt;'PlayerGrades+'!$AE$6,"A-",IF(L199&lt;'PlayerGrades+'!$AE$5,"A",IF(L199&lt;'PlayerGrades+'!$AE$4,"A+",IF(L199&lt;'PlayerGrades+'!$AE$3,"S-",IF(L199&lt;'PlayerGrades+'!$AE$2,"S","S+"))))))))))))))))))))</f>
        <v>#DIV/0!</v>
      </c>
      <c r="N199" s="961" t="str">
        <f t="shared" si="6"/>
        <v>#DIV/0!</v>
      </c>
      <c r="O199" s="961" t="str">
        <f>IF(N199&lt;'PlayerGrades+'!$AF$21,"F-",IF(N199&lt;'PlayerGrades+'!$AF$20,"F",IF(N199&lt;'PlayerGrades+'!$AF$19,"F+",IF(N199&lt;'PlayerGrades+'!$AF$18,"E-",IF(N199&lt;'PlayerGrades+'!$AF$17,"E",IF(N199&lt;'PlayerGrades+'!$AF$16,"E+",IF(N199&lt;'PlayerGrades+'!$AF$15,"D-",IF(N199&lt;'PlayerGrades+'!$AF$14,"D",IF(N199&lt;'PlayerGrades+'!$AF$13,"D+",IF(N199&lt;'PlayerGrades+'!$AF$12,"C-",IF(N199&lt;'PlayerGrades+'!$AF$11,"C",IF(N199&lt;'PlayerGrades+'!$AF$10,"C+",IF(N199&lt;'PlayerGrades+'!$AF$9,"B-",IF(N199&lt;'PlayerGrades+'!$AF$8,"B",IF(N199&lt;'PlayerGrades+'!$AF$7,"B+",IF(N199&lt;'PlayerGrades+'!$AF$6,"A-",IF(N199&lt;'PlayerGrades+'!$AF$5,"A",IF(N199&lt;'PlayerGrades+'!$AF$4,"A+",IF(N199&lt;'PlayerGrades+'!$AF$3,"S-",IF(N199&lt;'PlayerGrades+'!$AF$2,"S","S+"))))))))))))))))))))</f>
        <v>#DIV/0!</v>
      </c>
      <c r="P199" s="961" t="str">
        <f t="shared" si="7"/>
        <v>#DIV/0!</v>
      </c>
      <c r="Q199" s="961" t="str">
        <f>IF(P199&lt;'PlayerGrades+'!$AG$21,"F-",IF(P199&lt;'PlayerGrades+'!$AG$20,"F",IF(P199&lt;'PlayerGrades+'!$AG$19,"F+",IF(P199&lt;'PlayerGrades+'!$AG$18,"E-",IF(P199&lt;'PlayerGrades+'!$AG$17,"E",IF(P199&lt;'PlayerGrades+'!$AG$16,"E+",IF(P199&lt;'PlayerGrades+'!$AG$15,"D-",IF(P199&lt;'PlayerGrades+'!$AG$14,"D",IF(P199&lt;'PlayerGrades+'!$AG$13,"D+",IF(P199&lt;'PlayerGrades+'!$AG$12,"C-",IF(P199&lt;'PlayerGrades+'!$AG$11,"C",IF(P199&lt;'PlayerGrades+'!$AG$10,"C+",IF(P199&lt;'PlayerGrades+'!$AG$9,"B-",IF(P199&lt;'PlayerGrades+'!$AG$8,"B",IF(P199&lt;'PlayerGrades+'!$AG$7,"B+",IF(P199&lt;'PlayerGrades+'!$AG$6,"A-",IF(P199&lt;'PlayerGrades+'!$AG$5,"A",IF(P199&lt;'PlayerGrades+'!$AG$4,"A+",IF(P199&lt;'PlayerGrades+'!$AG$3,"S-",IF(P199&lt;'PlayerGrades+'!$AG$2,"S","S+"))))))))))))))))))))</f>
        <v>#DIV/0!</v>
      </c>
      <c r="R199" s="961" t="str">
        <f t="shared" si="8"/>
        <v>#DIV/0!</v>
      </c>
      <c r="S199" s="961" t="str">
        <f>IF(R199&lt;'PlayerGrades+'!$AH$21,"F-",IF(R199&lt;'PlayerGrades+'!$AH$20,"F",IF(R199&lt;'PlayerGrades+'!$AH$19,"F+",IF(R199&lt;'PlayerGrades+'!$AH$18,"E-",IF(R199&lt;'PlayerGrades+'!$AH$17,"E",IF(R199&lt;'PlayerGrades+'!$AH$16,"E+",IF(R199&lt;'PlayerGrades+'!$AH$15,"D-",IF(R199&lt;'PlayerGrades+'!$AH$14,"D",IF(R199&lt;'PlayerGrades+'!$AH$13,"D+",IF(R199&lt;'PlayerGrades+'!$AH$12,"C-",IF(R199&lt;'PlayerGrades+'!$AH$11,"C",IF(R199&lt;'PlayerGrades+'!$AH$10,"C+",IF(R199&lt;'PlayerGrades+'!$AH$9,"B-",IF(R199&lt;'PlayerGrades+'!$AH$8,"B",IF(R199&lt;'PlayerGrades+'!$AH$7,"B+",IF(R199&lt;'PlayerGrades+'!$AH$6,"A-",IF(R199&lt;'PlayerGrades+'!$AH$5,"A",IF(R199&lt;'PlayerGrades+'!$AH$4,"A+",IF(R199&lt;'PlayerGrades+'!$AH$3,"S-",IF(R199&lt;'PlayerGrades+'!$AH$2,"S","S+"))))))))))))))))))))</f>
        <v>#DIV/0!</v>
      </c>
      <c r="T199" s="961">
        <f t="shared" si="9"/>
        <v>0</v>
      </c>
      <c r="U199" s="961" t="str">
        <f>IF(T199&lt;'PlayerGrades+'!$AI$21,"F-",IF(T199&lt;'PlayerGrades+'!$AI$20,"F",IF(T199&lt;'PlayerGrades+'!$AI$19,"F+",IF(T199&lt;'PlayerGrades+'!$AI$18,"E-",IF(T199&lt;'PlayerGrades+'!$AI$17,"E",IF(T199&lt;'PlayerGrades+'!$AI$16,"E+",IF(T199&lt;'PlayerGrades+'!$AI$15,"D-",IF(T199&lt;'PlayerGrades+'!$AI$14,"D",IF(T199&lt;'PlayerGrades+'!$AI$13,"D+",IF(T199&lt;'PlayerGrades+'!$AI$12,"C-",IF(T199&lt;'PlayerGrades+'!$AI$11,"C",IF(T199&lt;'PlayerGrades+'!$AI$10,"C+",IF(T199&lt;'PlayerGrades+'!$AI$9,"B-",IF(T199&lt;'PlayerGrades+'!$AI$8,"B",IF(T199&lt;'PlayerGrades+'!$AI$7,"B+",IF(T199&lt;'PlayerGrades+'!$AI$6,"A-",IF(T199&lt;'PlayerGrades+'!$AI$5,"A",IF(T199&lt;'PlayerGrades+'!$AI$4,"A+",IF(T199&lt;'PlayerGrades+'!$AI$3,"S-",IF(T199&lt;'PlayerGrades+'!$AI$2,"S","S+"))))))))))))))))))))</f>
        <v>F-</v>
      </c>
      <c r="AC199" s="1392"/>
    </row>
    <row r="200">
      <c r="A200" s="1391"/>
      <c r="B200" s="611" t="str">
        <f>IF(C200&lt;'PlayerGrades+'!$Y$44,"F-",IF(C200&lt;'PlayerGrades+'!$Y$43,"F",IF(C200&lt;'PlayerGrades+'!$Y$42,"F+",IF(C200&lt;'PlayerGrades+'!$Y$41,"E-",IF(C200&lt;'PlayerGrades+'!$Y$40,"E",IF(C200&lt;'PlayerGrades+'!$Y$39,"E+",IF(C200&lt;'PlayerGrades+'!$Y$38,"D-",IF(C200&lt;'PlayerGrades+'!$Y$37,"D",IF(C200&lt;'PlayerGrades+'!$Y$36,"D+",IF(C200&lt;'PlayerGrades+'!$Y$35,"C-",IF(C200&lt;'PlayerGrades+'!$Y$34,"C",IF(C200&lt;'PlayerGrades+'!$Y$33,"C+",IF(C200&lt;'PlayerGrades+'!$Y$32,"B-",IF(C200&lt;'PlayerGrades+'!$Y$31,"B",IF(C200&lt;'PlayerGrades+'!$Y$30,"B+",IF(C200&lt;'PlayerGrades+'!$Y$29,"A-",IF(C200&lt;'PlayerGrades+'!$Y$28,"A",IF(C200&lt;'PlayerGrades+'!$Y$27,"A+",IF(C200&lt;'PlayerGrades+'!$Y$26,"S-",IF(C200&lt;'PlayerGrades+'!$Y$25,"S","S+"))))))))))))))))))))</f>
        <v>#DIV/0!</v>
      </c>
      <c r="C200" s="1378" t="str">
        <f>('PlayerGrades+'!$Y$47*(VLOOKUP(E200, 'PlayerGrades+'!$X$3:$Y$23, 2, FALSE)))+('PlayerGrades+'!$Y$48*(VLOOKUP(G200, 'PlayerGrades+'!$X$3:$Y$23, 2, FALSE)))+('PlayerGrades+'!$Y$49*(VLOOKUP(I200, 'PlayerGrades+'!$X$3:$Y$23, 2, FALSE)))+('PlayerGrades+'!$Y$50*(VLOOKUP(K200, 'PlayerGrades+'!$X$3:$Y$23, 2, FALSE)))+('PlayerGrades+'!$Y$51*(VLOOKUP(M200, 'PlayerGrades+'!$X$3:$Y$23, 2, FALSE)))+('PlayerGrades+'!$Y$52*(VLOOKUP(O200, 'PlayerGrades+'!$X$3:$Y$23, 2, FALSE)))+('PlayerGrades+'!$Y$53*(VLOOKUP(Q200, 'PlayerGrades+'!$X$3:$Y$23, 2, FALSE)))+('PlayerGrades+'!$Y$54*(VLOOKUP(S200, 'PlayerGrades+'!$X$3:$Y$23, 2, FALSE)))+('PlayerGrades+'!$Y$55*(VLOOKUP(U200, 'PlayerGrades+'!$X$3:$Y$23, 2, FALSE)))</f>
        <v>#DIV/0!</v>
      </c>
      <c r="D200" s="961" t="str">
        <f t="shared" si="1"/>
        <v>#DIV/0!</v>
      </c>
      <c r="E200" s="961" t="str">
        <f>IF(D200&lt;'PlayerGrades+'!$AA$21,"F-",IF(D200&lt;'PlayerGrades+'!$AA$20,"F",IF(D200&lt;'PlayerGrades+'!$AA$19,"F+",IF(D200&lt;'PlayerGrades+'!$AA$18,"E-",IF(D200&lt;'PlayerGrades+'!$AA$17,"E",IF(D200&lt;'PlayerGrades+'!$AA$16,"E+",IF(D200&lt;'PlayerGrades+'!$AA$15,"D-",IF(D200&lt;'PlayerGrades+'!$AA$14,"D",IF(D200&lt;'PlayerGrades+'!$AA$13,"D+",IF(D200&lt;'PlayerGrades+'!$AA$12,"C-",IF(D200&lt;'PlayerGrades+'!$AA$11,"C",IF(D200&lt;'PlayerGrades+'!$AA$10,"C+",IF(D200&lt;'PlayerGrades+'!$AA$9,"B-",IF(D200&lt;'PlayerGrades+'!$AA$8,"B",IF(D200&lt;'PlayerGrades+'!$AA$7,"B+",IF(D200&lt;'PlayerGrades+'!$AA$6,"A-",IF(D200&lt;'PlayerGrades+'!$AA$5,"A",IF(D200&lt;'PlayerGrades+'!$AA$4,"A+",IF(D200&lt;'PlayerGrades+'!$AA$3,"S-",IF(D200&lt;'PlayerGrades+'!$AA$2,"S","S+"))))))))))))))))))))</f>
        <v>#DIV/0!</v>
      </c>
      <c r="F200" s="961" t="str">
        <f t="shared" si="2"/>
        <v>#DIV/0!</v>
      </c>
      <c r="G200" s="961" t="str">
        <f>IF(F200&lt;'PlayerGrades+'!$AB$21,"F-",IF(F200&lt;'PlayerGrades+'!$AB$20,"F",IF(F200&lt;'PlayerGrades+'!$AB$19,"F+",IF(F200&lt;'PlayerGrades+'!$AB$18,"E-",IF(F200&lt;'PlayerGrades+'!$AB$17,"E",IF(F200&lt;'PlayerGrades+'!$AB$16,"E+",IF(F200&lt;'PlayerGrades+'!$AB$15,"D-",IF(F200&lt;'PlayerGrades+'!$AB$14,"D",IF(F200&lt;'PlayerGrades+'!$AB$13,"D+",IF(F200&lt;'PlayerGrades+'!$AB$12,"C-",IF(F200&lt;'PlayerGrades+'!$AB$11,"C",IF(F200&lt;'PlayerGrades+'!$AB$10,"C+",IF(F200&lt;'PlayerGrades+'!$AB$9,"B-",IF(F200&lt;'PlayerGrades+'!$AB$8,"B",IF(F200&lt;'PlayerGrades+'!$AB$7,"B+",IF(F200&lt;'PlayerGrades+'!$AB$6,"A-",IF(F200&lt;'PlayerGrades+'!$AB$5,"A",IF(F200&lt;'PlayerGrades+'!$AB$4,"A+",IF(F200&lt;'PlayerGrades+'!$AB$3,"S-",IF(F200&lt;'PlayerGrades+'!$AB$2,"S","S+"))))))))))))))))))))</f>
        <v>#DIV/0!</v>
      </c>
      <c r="H200" s="961" t="str">
        <f t="shared" si="3"/>
        <v>#DIV/0!</v>
      </c>
      <c r="I200" s="961" t="str">
        <f>IF(H200&lt;'PlayerGrades+'!$AC$21,"F-",IF(H200&lt;'PlayerGrades+'!$AC$20,"F",IF(H200&lt;'PlayerGrades+'!$AC$19,"F+",IF(H200&lt;'PlayerGrades+'!$AC$18,"E-",IF(H200&lt;'PlayerGrades+'!$AC$17,"E",IF(H200&lt;'PlayerGrades+'!$AC$16,"E+",IF(H200&lt;'PlayerGrades+'!$AC$15,"D-",IF(H200&lt;'PlayerGrades+'!$AC$14,"D",IF(H200&lt;'PlayerGrades+'!$AC$13,"D+",IF(H200&lt;'PlayerGrades+'!$AC$12,"C-",IF(H200&lt;'PlayerGrades+'!$AC$11,"C",IF(H200&lt;'PlayerGrades+'!$AC$10,"C+",IF(H200&lt;'PlayerGrades+'!$AC$9,"B-",IF(H200&lt;'PlayerGrades+'!$AC$8,"B",IF(H200&lt;'PlayerGrades+'!$AC$7,"B+",IF(H200&lt;'PlayerGrades+'!$AC$6,"A-",IF(H200&lt;'PlayerGrades+'!$AC$5,"A",IF(H200&lt;'PlayerGrades+'!$AC$4,"A+",IF(H200&lt;'PlayerGrades+'!$AC$3,"S-",IF(H200&lt;'PlayerGrades+'!$AC$2,"S","S+"))))))))))))))))))))</f>
        <v>#DIV/0!</v>
      </c>
      <c r="J200" s="961" t="str">
        <f t="shared" si="4"/>
        <v>#DIV/0!</v>
      </c>
      <c r="K200" s="961" t="str">
        <f>IF(J200&lt;'PlayerGrades+'!$AD$21,"F-",IF(J200&lt;'PlayerGrades+'!$AD$20,"F",IF(J200&lt;'PlayerGrades+'!$AD$19,"F+",IF(J200&lt;'PlayerGrades+'!$AD$18,"E-",IF(J200&lt;'PlayerGrades+'!$AD$17,"E",IF(J200&lt;'PlayerGrades+'!$AD$16,"E+",IF(J200&lt;'PlayerGrades+'!$AD$15,"D-",IF(J200&lt;'PlayerGrades+'!$AD$14,"D",IF(J200&lt;'PlayerGrades+'!$AD$13,"D+",IF(J200&lt;'PlayerGrades+'!$AD$12,"C-",IF(J200&lt;'PlayerGrades+'!$AD$11,"C",IF(J200&lt;'PlayerGrades+'!$AD$10,"C+",IF(J200&lt;'PlayerGrades+'!$AD$9,"B-",IF(J200&lt;'PlayerGrades+'!$AD$8,"B",IF(J200&lt;'PlayerGrades+'!$AD$7,"B+",IF(J200&lt;'PlayerGrades+'!$AD$6,"A-",IF(J200&lt;'PlayerGrades+'!$AD$5,"A",IF(J200&lt;'PlayerGrades+'!$AD$4,"A+",IF(J200&lt;'PlayerGrades+'!$AD$3,"S-",IF(J200&lt;'PlayerGrades+'!$AD$2,"S","S+"))))))))))))))))))))</f>
        <v>#DIV/0!</v>
      </c>
      <c r="L200" s="1176" t="str">
        <f t="shared" si="5"/>
        <v>#DIV/0!</v>
      </c>
      <c r="M200" s="992" t="str">
        <f>IF(L200&lt;'PlayerGrades+'!$AE$21,"F-",IF(L200&lt;'PlayerGrades+'!$AE$20,"F",IF(L200&lt;'PlayerGrades+'!$AE$19,"F+",IF(L200&lt;'PlayerGrades+'!$AE$18,"E-",IF(L200&lt;'PlayerGrades+'!$AE$17,"E",IF(L200&lt;'PlayerGrades+'!$AE$16,"E+",IF(L200&lt;'PlayerGrades+'!$AE$15,"D-",IF(L200&lt;'PlayerGrades+'!$AE$14,"D",IF(L200&lt;'PlayerGrades+'!$AE$13,"D+",IF(L200&lt;'PlayerGrades+'!$AE$12,"C-",IF(L200&lt;'PlayerGrades+'!$AE$11,"C",IF(L200&lt;'PlayerGrades+'!$AE$10,"C+",IF(L200&lt;'PlayerGrades+'!$AE$9,"B-",IF(L200&lt;'PlayerGrades+'!$AE$8,"B",IF(L200&lt;'PlayerGrades+'!$AE$7,"B+",IF(L200&lt;'PlayerGrades+'!$AE$6,"A-",IF(L200&lt;'PlayerGrades+'!$AE$5,"A",IF(L200&lt;'PlayerGrades+'!$AE$4,"A+",IF(L200&lt;'PlayerGrades+'!$AE$3,"S-",IF(L200&lt;'PlayerGrades+'!$AE$2,"S","S+"))))))))))))))))))))</f>
        <v>#DIV/0!</v>
      </c>
      <c r="N200" s="961" t="str">
        <f t="shared" si="6"/>
        <v>#DIV/0!</v>
      </c>
      <c r="O200" s="961" t="str">
        <f>IF(N200&lt;'PlayerGrades+'!$AF$21,"F-",IF(N200&lt;'PlayerGrades+'!$AF$20,"F",IF(N200&lt;'PlayerGrades+'!$AF$19,"F+",IF(N200&lt;'PlayerGrades+'!$AF$18,"E-",IF(N200&lt;'PlayerGrades+'!$AF$17,"E",IF(N200&lt;'PlayerGrades+'!$AF$16,"E+",IF(N200&lt;'PlayerGrades+'!$AF$15,"D-",IF(N200&lt;'PlayerGrades+'!$AF$14,"D",IF(N200&lt;'PlayerGrades+'!$AF$13,"D+",IF(N200&lt;'PlayerGrades+'!$AF$12,"C-",IF(N200&lt;'PlayerGrades+'!$AF$11,"C",IF(N200&lt;'PlayerGrades+'!$AF$10,"C+",IF(N200&lt;'PlayerGrades+'!$AF$9,"B-",IF(N200&lt;'PlayerGrades+'!$AF$8,"B",IF(N200&lt;'PlayerGrades+'!$AF$7,"B+",IF(N200&lt;'PlayerGrades+'!$AF$6,"A-",IF(N200&lt;'PlayerGrades+'!$AF$5,"A",IF(N200&lt;'PlayerGrades+'!$AF$4,"A+",IF(N200&lt;'PlayerGrades+'!$AF$3,"S-",IF(N200&lt;'PlayerGrades+'!$AF$2,"S","S+"))))))))))))))))))))</f>
        <v>#DIV/0!</v>
      </c>
      <c r="P200" s="961" t="str">
        <f t="shared" si="7"/>
        <v>#DIV/0!</v>
      </c>
      <c r="Q200" s="961" t="str">
        <f>IF(P200&lt;'PlayerGrades+'!$AG$21,"F-",IF(P200&lt;'PlayerGrades+'!$AG$20,"F",IF(P200&lt;'PlayerGrades+'!$AG$19,"F+",IF(P200&lt;'PlayerGrades+'!$AG$18,"E-",IF(P200&lt;'PlayerGrades+'!$AG$17,"E",IF(P200&lt;'PlayerGrades+'!$AG$16,"E+",IF(P200&lt;'PlayerGrades+'!$AG$15,"D-",IF(P200&lt;'PlayerGrades+'!$AG$14,"D",IF(P200&lt;'PlayerGrades+'!$AG$13,"D+",IF(P200&lt;'PlayerGrades+'!$AG$12,"C-",IF(P200&lt;'PlayerGrades+'!$AG$11,"C",IF(P200&lt;'PlayerGrades+'!$AG$10,"C+",IF(P200&lt;'PlayerGrades+'!$AG$9,"B-",IF(P200&lt;'PlayerGrades+'!$AG$8,"B",IF(P200&lt;'PlayerGrades+'!$AG$7,"B+",IF(P200&lt;'PlayerGrades+'!$AG$6,"A-",IF(P200&lt;'PlayerGrades+'!$AG$5,"A",IF(P200&lt;'PlayerGrades+'!$AG$4,"A+",IF(P200&lt;'PlayerGrades+'!$AG$3,"S-",IF(P200&lt;'PlayerGrades+'!$AG$2,"S","S+"))))))))))))))))))))</f>
        <v>#DIV/0!</v>
      </c>
      <c r="R200" s="961" t="str">
        <f t="shared" si="8"/>
        <v>#DIV/0!</v>
      </c>
      <c r="S200" s="961" t="str">
        <f>IF(R200&lt;'PlayerGrades+'!$AH$21,"F-",IF(R200&lt;'PlayerGrades+'!$AH$20,"F",IF(R200&lt;'PlayerGrades+'!$AH$19,"F+",IF(R200&lt;'PlayerGrades+'!$AH$18,"E-",IF(R200&lt;'PlayerGrades+'!$AH$17,"E",IF(R200&lt;'PlayerGrades+'!$AH$16,"E+",IF(R200&lt;'PlayerGrades+'!$AH$15,"D-",IF(R200&lt;'PlayerGrades+'!$AH$14,"D",IF(R200&lt;'PlayerGrades+'!$AH$13,"D+",IF(R200&lt;'PlayerGrades+'!$AH$12,"C-",IF(R200&lt;'PlayerGrades+'!$AH$11,"C",IF(R200&lt;'PlayerGrades+'!$AH$10,"C+",IF(R200&lt;'PlayerGrades+'!$AH$9,"B-",IF(R200&lt;'PlayerGrades+'!$AH$8,"B",IF(R200&lt;'PlayerGrades+'!$AH$7,"B+",IF(R200&lt;'PlayerGrades+'!$AH$6,"A-",IF(R200&lt;'PlayerGrades+'!$AH$5,"A",IF(R200&lt;'PlayerGrades+'!$AH$4,"A+",IF(R200&lt;'PlayerGrades+'!$AH$3,"S-",IF(R200&lt;'PlayerGrades+'!$AH$2,"S","S+"))))))))))))))))))))</f>
        <v>#DIV/0!</v>
      </c>
      <c r="T200" s="961">
        <f t="shared" si="9"/>
        <v>0</v>
      </c>
      <c r="U200" s="961" t="str">
        <f>IF(T200&lt;'PlayerGrades+'!$AI$21,"F-",IF(T200&lt;'PlayerGrades+'!$AI$20,"F",IF(T200&lt;'PlayerGrades+'!$AI$19,"F+",IF(T200&lt;'PlayerGrades+'!$AI$18,"E-",IF(T200&lt;'PlayerGrades+'!$AI$17,"E",IF(T200&lt;'PlayerGrades+'!$AI$16,"E+",IF(T200&lt;'PlayerGrades+'!$AI$15,"D-",IF(T200&lt;'PlayerGrades+'!$AI$14,"D",IF(T200&lt;'PlayerGrades+'!$AI$13,"D+",IF(T200&lt;'PlayerGrades+'!$AI$12,"C-",IF(T200&lt;'PlayerGrades+'!$AI$11,"C",IF(T200&lt;'PlayerGrades+'!$AI$10,"C+",IF(T200&lt;'PlayerGrades+'!$AI$9,"B-",IF(T200&lt;'PlayerGrades+'!$AI$8,"B",IF(T200&lt;'PlayerGrades+'!$AI$7,"B+",IF(T200&lt;'PlayerGrades+'!$AI$6,"A-",IF(T200&lt;'PlayerGrades+'!$AI$5,"A",IF(T200&lt;'PlayerGrades+'!$AI$4,"A+",IF(T200&lt;'PlayerGrades+'!$AI$3,"S-",IF(T200&lt;'PlayerGrades+'!$AI$2,"S","S+"))))))))))))))))))))</f>
        <v>F-</v>
      </c>
      <c r="AC200" s="1392"/>
    </row>
    <row r="201">
      <c r="A201" s="1393"/>
      <c r="B201" s="611" t="str">
        <f>IF(C201&lt;'PlayerGrades+'!$Y$44,"F-",IF(C201&lt;'PlayerGrades+'!$Y$43,"F",IF(C201&lt;'PlayerGrades+'!$Y$42,"F+",IF(C201&lt;'PlayerGrades+'!$Y$41,"E-",IF(C201&lt;'PlayerGrades+'!$Y$40,"E",IF(C201&lt;'PlayerGrades+'!$Y$39,"E+",IF(C201&lt;'PlayerGrades+'!$Y$38,"D-",IF(C201&lt;'PlayerGrades+'!$Y$37,"D",IF(C201&lt;'PlayerGrades+'!$Y$36,"D+",IF(C201&lt;'PlayerGrades+'!$Y$35,"C-",IF(C201&lt;'PlayerGrades+'!$Y$34,"C",IF(C201&lt;'PlayerGrades+'!$Y$33,"C+",IF(C201&lt;'PlayerGrades+'!$Y$32,"B-",IF(C201&lt;'PlayerGrades+'!$Y$31,"B",IF(C201&lt;'PlayerGrades+'!$Y$30,"B+",IF(C201&lt;'PlayerGrades+'!$Y$29,"A-",IF(C201&lt;'PlayerGrades+'!$Y$28,"A",IF(C201&lt;'PlayerGrades+'!$Y$27,"A+",IF(C201&lt;'PlayerGrades+'!$Y$26,"S-",IF(C201&lt;'PlayerGrades+'!$Y$25,"S","S+"))))))))))))))))))))</f>
        <v>#DIV/0!</v>
      </c>
      <c r="C201" s="1378" t="str">
        <f>('PlayerGrades+'!$Y$47*(VLOOKUP(E201, 'PlayerGrades+'!$X$3:$Y$23, 2, FALSE)))+('PlayerGrades+'!$Y$48*(VLOOKUP(G201, 'PlayerGrades+'!$X$3:$Y$23, 2, FALSE)))+('PlayerGrades+'!$Y$49*(VLOOKUP(I201, 'PlayerGrades+'!$X$3:$Y$23, 2, FALSE)))+('PlayerGrades+'!$Y$50*(VLOOKUP(K201, 'PlayerGrades+'!$X$3:$Y$23, 2, FALSE)))+('PlayerGrades+'!$Y$51*(VLOOKUP(M201, 'PlayerGrades+'!$X$3:$Y$23, 2, FALSE)))+('PlayerGrades+'!$Y$52*(VLOOKUP(O201, 'PlayerGrades+'!$X$3:$Y$23, 2, FALSE)))+('PlayerGrades+'!$Y$53*(VLOOKUP(Q201, 'PlayerGrades+'!$X$3:$Y$23, 2, FALSE)))+('PlayerGrades+'!$Y$54*(VLOOKUP(S201, 'PlayerGrades+'!$X$3:$Y$23, 2, FALSE)))+('PlayerGrades+'!$Y$55*(VLOOKUP(U201, 'PlayerGrades+'!$X$3:$Y$23, 2, FALSE)))</f>
        <v>#DIV/0!</v>
      </c>
      <c r="D201" s="961" t="str">
        <f t="shared" si="1"/>
        <v>#DIV/0!</v>
      </c>
      <c r="E201" s="961" t="str">
        <f>IF(D201&lt;'PlayerGrades+'!$AA$21,"F-",IF(D201&lt;'PlayerGrades+'!$AA$20,"F",IF(D201&lt;'PlayerGrades+'!$AA$19,"F+",IF(D201&lt;'PlayerGrades+'!$AA$18,"E-",IF(D201&lt;'PlayerGrades+'!$AA$17,"E",IF(D201&lt;'PlayerGrades+'!$AA$16,"E+",IF(D201&lt;'PlayerGrades+'!$AA$15,"D-",IF(D201&lt;'PlayerGrades+'!$AA$14,"D",IF(D201&lt;'PlayerGrades+'!$AA$13,"D+",IF(D201&lt;'PlayerGrades+'!$AA$12,"C-",IF(D201&lt;'PlayerGrades+'!$AA$11,"C",IF(D201&lt;'PlayerGrades+'!$AA$10,"C+",IF(D201&lt;'PlayerGrades+'!$AA$9,"B-",IF(D201&lt;'PlayerGrades+'!$AA$8,"B",IF(D201&lt;'PlayerGrades+'!$AA$7,"B+",IF(D201&lt;'PlayerGrades+'!$AA$6,"A-",IF(D201&lt;'PlayerGrades+'!$AA$5,"A",IF(D201&lt;'PlayerGrades+'!$AA$4,"A+",IF(D201&lt;'PlayerGrades+'!$AA$3,"S-",IF(D201&lt;'PlayerGrades+'!$AA$2,"S","S+"))))))))))))))))))))</f>
        <v>#DIV/0!</v>
      </c>
      <c r="F201" s="961" t="str">
        <f t="shared" si="2"/>
        <v>#DIV/0!</v>
      </c>
      <c r="G201" s="961" t="str">
        <f>IF(F201&lt;'PlayerGrades+'!$AB$21,"F-",IF(F201&lt;'PlayerGrades+'!$AB$20,"F",IF(F201&lt;'PlayerGrades+'!$AB$19,"F+",IF(F201&lt;'PlayerGrades+'!$AB$18,"E-",IF(F201&lt;'PlayerGrades+'!$AB$17,"E",IF(F201&lt;'PlayerGrades+'!$AB$16,"E+",IF(F201&lt;'PlayerGrades+'!$AB$15,"D-",IF(F201&lt;'PlayerGrades+'!$AB$14,"D",IF(F201&lt;'PlayerGrades+'!$AB$13,"D+",IF(F201&lt;'PlayerGrades+'!$AB$12,"C-",IF(F201&lt;'PlayerGrades+'!$AB$11,"C",IF(F201&lt;'PlayerGrades+'!$AB$10,"C+",IF(F201&lt;'PlayerGrades+'!$AB$9,"B-",IF(F201&lt;'PlayerGrades+'!$AB$8,"B",IF(F201&lt;'PlayerGrades+'!$AB$7,"B+",IF(F201&lt;'PlayerGrades+'!$AB$6,"A-",IF(F201&lt;'PlayerGrades+'!$AB$5,"A",IF(F201&lt;'PlayerGrades+'!$AB$4,"A+",IF(F201&lt;'PlayerGrades+'!$AB$3,"S-",IF(F201&lt;'PlayerGrades+'!$AB$2,"S","S+"))))))))))))))))))))</f>
        <v>#DIV/0!</v>
      </c>
      <c r="H201" s="961" t="str">
        <f t="shared" si="3"/>
        <v>#DIV/0!</v>
      </c>
      <c r="I201" s="961" t="str">
        <f>IF(H201&lt;'PlayerGrades+'!$AC$21,"F-",IF(H201&lt;'PlayerGrades+'!$AC$20,"F",IF(H201&lt;'PlayerGrades+'!$AC$19,"F+",IF(H201&lt;'PlayerGrades+'!$AC$18,"E-",IF(H201&lt;'PlayerGrades+'!$AC$17,"E",IF(H201&lt;'PlayerGrades+'!$AC$16,"E+",IF(H201&lt;'PlayerGrades+'!$AC$15,"D-",IF(H201&lt;'PlayerGrades+'!$AC$14,"D",IF(H201&lt;'PlayerGrades+'!$AC$13,"D+",IF(H201&lt;'PlayerGrades+'!$AC$12,"C-",IF(H201&lt;'PlayerGrades+'!$AC$11,"C",IF(H201&lt;'PlayerGrades+'!$AC$10,"C+",IF(H201&lt;'PlayerGrades+'!$AC$9,"B-",IF(H201&lt;'PlayerGrades+'!$AC$8,"B",IF(H201&lt;'PlayerGrades+'!$AC$7,"B+",IF(H201&lt;'PlayerGrades+'!$AC$6,"A-",IF(H201&lt;'PlayerGrades+'!$AC$5,"A",IF(H201&lt;'PlayerGrades+'!$AC$4,"A+",IF(H201&lt;'PlayerGrades+'!$AC$3,"S-",IF(H201&lt;'PlayerGrades+'!$AC$2,"S","S+"))))))))))))))))))))</f>
        <v>#DIV/0!</v>
      </c>
      <c r="J201" s="961" t="str">
        <f t="shared" si="4"/>
        <v>#DIV/0!</v>
      </c>
      <c r="K201" s="961" t="str">
        <f>IF(J201&lt;'PlayerGrades+'!$AD$21,"F-",IF(J201&lt;'PlayerGrades+'!$AD$20,"F",IF(J201&lt;'PlayerGrades+'!$AD$19,"F+",IF(J201&lt;'PlayerGrades+'!$AD$18,"E-",IF(J201&lt;'PlayerGrades+'!$AD$17,"E",IF(J201&lt;'PlayerGrades+'!$AD$16,"E+",IF(J201&lt;'PlayerGrades+'!$AD$15,"D-",IF(J201&lt;'PlayerGrades+'!$AD$14,"D",IF(J201&lt;'PlayerGrades+'!$AD$13,"D+",IF(J201&lt;'PlayerGrades+'!$AD$12,"C-",IF(J201&lt;'PlayerGrades+'!$AD$11,"C",IF(J201&lt;'PlayerGrades+'!$AD$10,"C+",IF(J201&lt;'PlayerGrades+'!$AD$9,"B-",IF(J201&lt;'PlayerGrades+'!$AD$8,"B",IF(J201&lt;'PlayerGrades+'!$AD$7,"B+",IF(J201&lt;'PlayerGrades+'!$AD$6,"A-",IF(J201&lt;'PlayerGrades+'!$AD$5,"A",IF(J201&lt;'PlayerGrades+'!$AD$4,"A+",IF(J201&lt;'PlayerGrades+'!$AD$3,"S-",IF(J201&lt;'PlayerGrades+'!$AD$2,"S","S+"))))))))))))))))))))</f>
        <v>#DIV/0!</v>
      </c>
      <c r="L201" s="1176" t="str">
        <f t="shared" si="5"/>
        <v>#DIV/0!</v>
      </c>
      <c r="M201" s="992" t="str">
        <f>IF(L201&lt;'PlayerGrades+'!$AE$21,"F-",IF(L201&lt;'PlayerGrades+'!$AE$20,"F",IF(L201&lt;'PlayerGrades+'!$AE$19,"F+",IF(L201&lt;'PlayerGrades+'!$AE$18,"E-",IF(L201&lt;'PlayerGrades+'!$AE$17,"E",IF(L201&lt;'PlayerGrades+'!$AE$16,"E+",IF(L201&lt;'PlayerGrades+'!$AE$15,"D-",IF(L201&lt;'PlayerGrades+'!$AE$14,"D",IF(L201&lt;'PlayerGrades+'!$AE$13,"D+",IF(L201&lt;'PlayerGrades+'!$AE$12,"C-",IF(L201&lt;'PlayerGrades+'!$AE$11,"C",IF(L201&lt;'PlayerGrades+'!$AE$10,"C+",IF(L201&lt;'PlayerGrades+'!$AE$9,"B-",IF(L201&lt;'PlayerGrades+'!$AE$8,"B",IF(L201&lt;'PlayerGrades+'!$AE$7,"B+",IF(L201&lt;'PlayerGrades+'!$AE$6,"A-",IF(L201&lt;'PlayerGrades+'!$AE$5,"A",IF(L201&lt;'PlayerGrades+'!$AE$4,"A+",IF(L201&lt;'PlayerGrades+'!$AE$3,"S-",IF(L201&lt;'PlayerGrades+'!$AE$2,"S","S+"))))))))))))))))))))</f>
        <v>#DIV/0!</v>
      </c>
      <c r="N201" s="961" t="str">
        <f t="shared" si="6"/>
        <v>#DIV/0!</v>
      </c>
      <c r="O201" s="961" t="str">
        <f>IF(N201&lt;'PlayerGrades+'!$AF$21,"F-",IF(N201&lt;'PlayerGrades+'!$AF$20,"F",IF(N201&lt;'PlayerGrades+'!$AF$19,"F+",IF(N201&lt;'PlayerGrades+'!$AF$18,"E-",IF(N201&lt;'PlayerGrades+'!$AF$17,"E",IF(N201&lt;'PlayerGrades+'!$AF$16,"E+",IF(N201&lt;'PlayerGrades+'!$AF$15,"D-",IF(N201&lt;'PlayerGrades+'!$AF$14,"D",IF(N201&lt;'PlayerGrades+'!$AF$13,"D+",IF(N201&lt;'PlayerGrades+'!$AF$12,"C-",IF(N201&lt;'PlayerGrades+'!$AF$11,"C",IF(N201&lt;'PlayerGrades+'!$AF$10,"C+",IF(N201&lt;'PlayerGrades+'!$AF$9,"B-",IF(N201&lt;'PlayerGrades+'!$AF$8,"B",IF(N201&lt;'PlayerGrades+'!$AF$7,"B+",IF(N201&lt;'PlayerGrades+'!$AF$6,"A-",IF(N201&lt;'PlayerGrades+'!$AF$5,"A",IF(N201&lt;'PlayerGrades+'!$AF$4,"A+",IF(N201&lt;'PlayerGrades+'!$AF$3,"S-",IF(N201&lt;'PlayerGrades+'!$AF$2,"S","S+"))))))))))))))))))))</f>
        <v>#DIV/0!</v>
      </c>
      <c r="P201" s="961" t="str">
        <f t="shared" si="7"/>
        <v>#DIV/0!</v>
      </c>
      <c r="Q201" s="961" t="str">
        <f>IF(P201&lt;'PlayerGrades+'!$AG$21,"F-",IF(P201&lt;'PlayerGrades+'!$AG$20,"F",IF(P201&lt;'PlayerGrades+'!$AG$19,"F+",IF(P201&lt;'PlayerGrades+'!$AG$18,"E-",IF(P201&lt;'PlayerGrades+'!$AG$17,"E",IF(P201&lt;'PlayerGrades+'!$AG$16,"E+",IF(P201&lt;'PlayerGrades+'!$AG$15,"D-",IF(P201&lt;'PlayerGrades+'!$AG$14,"D",IF(P201&lt;'PlayerGrades+'!$AG$13,"D+",IF(P201&lt;'PlayerGrades+'!$AG$12,"C-",IF(P201&lt;'PlayerGrades+'!$AG$11,"C",IF(P201&lt;'PlayerGrades+'!$AG$10,"C+",IF(P201&lt;'PlayerGrades+'!$AG$9,"B-",IF(P201&lt;'PlayerGrades+'!$AG$8,"B",IF(P201&lt;'PlayerGrades+'!$AG$7,"B+",IF(P201&lt;'PlayerGrades+'!$AG$6,"A-",IF(P201&lt;'PlayerGrades+'!$AG$5,"A",IF(P201&lt;'PlayerGrades+'!$AG$4,"A+",IF(P201&lt;'PlayerGrades+'!$AG$3,"S-",IF(P201&lt;'PlayerGrades+'!$AG$2,"S","S+"))))))))))))))))))))</f>
        <v>#DIV/0!</v>
      </c>
      <c r="R201" s="961" t="str">
        <f t="shared" si="8"/>
        <v>#DIV/0!</v>
      </c>
      <c r="S201" s="961" t="str">
        <f>IF(R201&lt;'PlayerGrades+'!$AH$21,"F-",IF(R201&lt;'PlayerGrades+'!$AH$20,"F",IF(R201&lt;'PlayerGrades+'!$AH$19,"F+",IF(R201&lt;'PlayerGrades+'!$AH$18,"E-",IF(R201&lt;'PlayerGrades+'!$AH$17,"E",IF(R201&lt;'PlayerGrades+'!$AH$16,"E+",IF(R201&lt;'PlayerGrades+'!$AH$15,"D-",IF(R201&lt;'PlayerGrades+'!$AH$14,"D",IF(R201&lt;'PlayerGrades+'!$AH$13,"D+",IF(R201&lt;'PlayerGrades+'!$AH$12,"C-",IF(R201&lt;'PlayerGrades+'!$AH$11,"C",IF(R201&lt;'PlayerGrades+'!$AH$10,"C+",IF(R201&lt;'PlayerGrades+'!$AH$9,"B-",IF(R201&lt;'PlayerGrades+'!$AH$8,"B",IF(R201&lt;'PlayerGrades+'!$AH$7,"B+",IF(R201&lt;'PlayerGrades+'!$AH$6,"A-",IF(R201&lt;'PlayerGrades+'!$AH$5,"A",IF(R201&lt;'PlayerGrades+'!$AH$4,"A+",IF(R201&lt;'PlayerGrades+'!$AH$3,"S-",IF(R201&lt;'PlayerGrades+'!$AH$2,"S","S+"))))))))))))))))))))</f>
        <v>#DIV/0!</v>
      </c>
      <c r="T201" s="961">
        <f t="shared" si="9"/>
        <v>0</v>
      </c>
      <c r="U201" s="961" t="str">
        <f>IF(T201&lt;'PlayerGrades+'!$AI$21,"F-",IF(T201&lt;'PlayerGrades+'!$AI$20,"F",IF(T201&lt;'PlayerGrades+'!$AI$19,"F+",IF(T201&lt;'PlayerGrades+'!$AI$18,"E-",IF(T201&lt;'PlayerGrades+'!$AI$17,"E",IF(T201&lt;'PlayerGrades+'!$AI$16,"E+",IF(T201&lt;'PlayerGrades+'!$AI$15,"D-",IF(T201&lt;'PlayerGrades+'!$AI$14,"D",IF(T201&lt;'PlayerGrades+'!$AI$13,"D+",IF(T201&lt;'PlayerGrades+'!$AI$12,"C-",IF(T201&lt;'PlayerGrades+'!$AI$11,"C",IF(T201&lt;'PlayerGrades+'!$AI$10,"C+",IF(T201&lt;'PlayerGrades+'!$AI$9,"B-",IF(T201&lt;'PlayerGrades+'!$AI$8,"B",IF(T201&lt;'PlayerGrades+'!$AI$7,"B+",IF(T201&lt;'PlayerGrades+'!$AI$6,"A-",IF(T201&lt;'PlayerGrades+'!$AI$5,"A",IF(T201&lt;'PlayerGrades+'!$AI$4,"A+",IF(T201&lt;'PlayerGrades+'!$AI$3,"S-",IF(T201&lt;'PlayerGrades+'!$AI$2,"S","S+"))))))))))))))))))))</f>
        <v>F-</v>
      </c>
      <c r="V201" s="1386"/>
      <c r="W201" s="1386"/>
      <c r="X201" s="1386"/>
      <c r="Y201" s="1386"/>
      <c r="Z201" s="1386"/>
      <c r="AA201" s="1386"/>
      <c r="AB201" s="1386"/>
      <c r="AC201" s="1397"/>
      <c r="AD201" s="1386"/>
      <c r="AE201" s="1386"/>
      <c r="AF201" s="1386"/>
      <c r="AG201" s="1386"/>
      <c r="AH201" s="1386"/>
      <c r="AI201" s="1386"/>
      <c r="AJ201" s="1386"/>
      <c r="AK201" s="1386"/>
      <c r="AL201" s="1386"/>
      <c r="AM201" s="1386"/>
      <c r="AN201" s="1386"/>
      <c r="AO201" s="1386"/>
      <c r="AP201" s="1386"/>
      <c r="AQ201" s="1386"/>
      <c r="AR201" s="1386"/>
      <c r="AS201" s="1386"/>
      <c r="AT201" s="1386"/>
      <c r="AU201" s="1386"/>
      <c r="AV201" s="1386"/>
      <c r="AW201" s="1386"/>
      <c r="AX201" s="1386"/>
      <c r="AY201" s="1386"/>
      <c r="AZ201" s="1386"/>
    </row>
    <row r="202">
      <c r="A202" s="1389"/>
      <c r="B202" s="611" t="str">
        <f>IF(C202&lt;'PlayerGrades+'!$Y$44,"F-",IF(C202&lt;'PlayerGrades+'!$Y$43,"F",IF(C202&lt;'PlayerGrades+'!$Y$42,"F+",IF(C202&lt;'PlayerGrades+'!$Y$41,"E-",IF(C202&lt;'PlayerGrades+'!$Y$40,"E",IF(C202&lt;'PlayerGrades+'!$Y$39,"E+",IF(C202&lt;'PlayerGrades+'!$Y$38,"D-",IF(C202&lt;'PlayerGrades+'!$Y$37,"D",IF(C202&lt;'PlayerGrades+'!$Y$36,"D+",IF(C202&lt;'PlayerGrades+'!$Y$35,"C-",IF(C202&lt;'PlayerGrades+'!$Y$34,"C",IF(C202&lt;'PlayerGrades+'!$Y$33,"C+",IF(C202&lt;'PlayerGrades+'!$Y$32,"B-",IF(C202&lt;'PlayerGrades+'!$Y$31,"B",IF(C202&lt;'PlayerGrades+'!$Y$30,"B+",IF(C202&lt;'PlayerGrades+'!$Y$29,"A-",IF(C202&lt;'PlayerGrades+'!$Y$28,"A",IF(C202&lt;'PlayerGrades+'!$Y$27,"A+",IF(C202&lt;'PlayerGrades+'!$Y$26,"S-",IF(C202&lt;'PlayerGrades+'!$Y$25,"S","S+"))))))))))))))))))))</f>
        <v>#DIV/0!</v>
      </c>
      <c r="C202" s="1378" t="str">
        <f>('PlayerGrades+'!$Y$47*(VLOOKUP(E202, 'PlayerGrades+'!$X$3:$Y$23, 2, FALSE)))+('PlayerGrades+'!$Y$48*(VLOOKUP(G202, 'PlayerGrades+'!$X$3:$Y$23, 2, FALSE)))+('PlayerGrades+'!$Y$49*(VLOOKUP(I202, 'PlayerGrades+'!$X$3:$Y$23, 2, FALSE)))+('PlayerGrades+'!$Y$50*(VLOOKUP(K202, 'PlayerGrades+'!$X$3:$Y$23, 2, FALSE)))+('PlayerGrades+'!$Y$51*(VLOOKUP(M202, 'PlayerGrades+'!$X$3:$Y$23, 2, FALSE)))+('PlayerGrades+'!$Y$52*(VLOOKUP(O202, 'PlayerGrades+'!$X$3:$Y$23, 2, FALSE)))+('PlayerGrades+'!$Y$53*(VLOOKUP(Q202, 'PlayerGrades+'!$X$3:$Y$23, 2, FALSE)))+('PlayerGrades+'!$Y$54*(VLOOKUP(S202, 'PlayerGrades+'!$X$3:$Y$23, 2, FALSE)))+('PlayerGrades+'!$Y$55*(VLOOKUP(U202, 'PlayerGrades+'!$X$3:$Y$23, 2, FALSE)))</f>
        <v>#DIV/0!</v>
      </c>
      <c r="D202" s="961" t="str">
        <f t="shared" si="1"/>
        <v>#DIV/0!</v>
      </c>
      <c r="E202" s="961" t="str">
        <f>IF(D202&lt;'PlayerGrades+'!$AA$21,"F-",IF(D202&lt;'PlayerGrades+'!$AA$20,"F",IF(D202&lt;'PlayerGrades+'!$AA$19,"F+",IF(D202&lt;'PlayerGrades+'!$AA$18,"E-",IF(D202&lt;'PlayerGrades+'!$AA$17,"E",IF(D202&lt;'PlayerGrades+'!$AA$16,"E+",IF(D202&lt;'PlayerGrades+'!$AA$15,"D-",IF(D202&lt;'PlayerGrades+'!$AA$14,"D",IF(D202&lt;'PlayerGrades+'!$AA$13,"D+",IF(D202&lt;'PlayerGrades+'!$AA$12,"C-",IF(D202&lt;'PlayerGrades+'!$AA$11,"C",IF(D202&lt;'PlayerGrades+'!$AA$10,"C+",IF(D202&lt;'PlayerGrades+'!$AA$9,"B-",IF(D202&lt;'PlayerGrades+'!$AA$8,"B",IF(D202&lt;'PlayerGrades+'!$AA$7,"B+",IF(D202&lt;'PlayerGrades+'!$AA$6,"A-",IF(D202&lt;'PlayerGrades+'!$AA$5,"A",IF(D202&lt;'PlayerGrades+'!$AA$4,"A+",IF(D202&lt;'PlayerGrades+'!$AA$3,"S-",IF(D202&lt;'PlayerGrades+'!$AA$2,"S","S+"))))))))))))))))))))</f>
        <v>#DIV/0!</v>
      </c>
      <c r="F202" s="961" t="str">
        <f t="shared" si="2"/>
        <v>#DIV/0!</v>
      </c>
      <c r="G202" s="961" t="str">
        <f>IF(F202&lt;'PlayerGrades+'!$AB$21,"F-",IF(F202&lt;'PlayerGrades+'!$AB$20,"F",IF(F202&lt;'PlayerGrades+'!$AB$19,"F+",IF(F202&lt;'PlayerGrades+'!$AB$18,"E-",IF(F202&lt;'PlayerGrades+'!$AB$17,"E",IF(F202&lt;'PlayerGrades+'!$AB$16,"E+",IF(F202&lt;'PlayerGrades+'!$AB$15,"D-",IF(F202&lt;'PlayerGrades+'!$AB$14,"D",IF(F202&lt;'PlayerGrades+'!$AB$13,"D+",IF(F202&lt;'PlayerGrades+'!$AB$12,"C-",IF(F202&lt;'PlayerGrades+'!$AB$11,"C",IF(F202&lt;'PlayerGrades+'!$AB$10,"C+",IF(F202&lt;'PlayerGrades+'!$AB$9,"B-",IF(F202&lt;'PlayerGrades+'!$AB$8,"B",IF(F202&lt;'PlayerGrades+'!$AB$7,"B+",IF(F202&lt;'PlayerGrades+'!$AB$6,"A-",IF(F202&lt;'PlayerGrades+'!$AB$5,"A",IF(F202&lt;'PlayerGrades+'!$AB$4,"A+",IF(F202&lt;'PlayerGrades+'!$AB$3,"S-",IF(F202&lt;'PlayerGrades+'!$AB$2,"S","S+"))))))))))))))))))))</f>
        <v>#DIV/0!</v>
      </c>
      <c r="H202" s="961" t="str">
        <f t="shared" si="3"/>
        <v>#DIV/0!</v>
      </c>
      <c r="I202" s="961" t="str">
        <f>IF(H202&lt;'PlayerGrades+'!$AC$21,"F-",IF(H202&lt;'PlayerGrades+'!$AC$20,"F",IF(H202&lt;'PlayerGrades+'!$AC$19,"F+",IF(H202&lt;'PlayerGrades+'!$AC$18,"E-",IF(H202&lt;'PlayerGrades+'!$AC$17,"E",IF(H202&lt;'PlayerGrades+'!$AC$16,"E+",IF(H202&lt;'PlayerGrades+'!$AC$15,"D-",IF(H202&lt;'PlayerGrades+'!$AC$14,"D",IF(H202&lt;'PlayerGrades+'!$AC$13,"D+",IF(H202&lt;'PlayerGrades+'!$AC$12,"C-",IF(H202&lt;'PlayerGrades+'!$AC$11,"C",IF(H202&lt;'PlayerGrades+'!$AC$10,"C+",IF(H202&lt;'PlayerGrades+'!$AC$9,"B-",IF(H202&lt;'PlayerGrades+'!$AC$8,"B",IF(H202&lt;'PlayerGrades+'!$AC$7,"B+",IF(H202&lt;'PlayerGrades+'!$AC$6,"A-",IF(H202&lt;'PlayerGrades+'!$AC$5,"A",IF(H202&lt;'PlayerGrades+'!$AC$4,"A+",IF(H202&lt;'PlayerGrades+'!$AC$3,"S-",IF(H202&lt;'PlayerGrades+'!$AC$2,"S","S+"))))))))))))))))))))</f>
        <v>#DIV/0!</v>
      </c>
      <c r="J202" s="961" t="str">
        <f t="shared" si="4"/>
        <v>#DIV/0!</v>
      </c>
      <c r="K202" s="961" t="str">
        <f>IF(J202&lt;'PlayerGrades+'!$AD$21,"F-",IF(J202&lt;'PlayerGrades+'!$AD$20,"F",IF(J202&lt;'PlayerGrades+'!$AD$19,"F+",IF(J202&lt;'PlayerGrades+'!$AD$18,"E-",IF(J202&lt;'PlayerGrades+'!$AD$17,"E",IF(J202&lt;'PlayerGrades+'!$AD$16,"E+",IF(J202&lt;'PlayerGrades+'!$AD$15,"D-",IF(J202&lt;'PlayerGrades+'!$AD$14,"D",IF(J202&lt;'PlayerGrades+'!$AD$13,"D+",IF(J202&lt;'PlayerGrades+'!$AD$12,"C-",IF(J202&lt;'PlayerGrades+'!$AD$11,"C",IF(J202&lt;'PlayerGrades+'!$AD$10,"C+",IF(J202&lt;'PlayerGrades+'!$AD$9,"B-",IF(J202&lt;'PlayerGrades+'!$AD$8,"B",IF(J202&lt;'PlayerGrades+'!$AD$7,"B+",IF(J202&lt;'PlayerGrades+'!$AD$6,"A-",IF(J202&lt;'PlayerGrades+'!$AD$5,"A",IF(J202&lt;'PlayerGrades+'!$AD$4,"A+",IF(J202&lt;'PlayerGrades+'!$AD$3,"S-",IF(J202&lt;'PlayerGrades+'!$AD$2,"S","S+"))))))))))))))))))))</f>
        <v>#DIV/0!</v>
      </c>
      <c r="L202" s="1176" t="str">
        <f t="shared" si="5"/>
        <v>#DIV/0!</v>
      </c>
      <c r="M202" s="992" t="str">
        <f>IF(L202&lt;'PlayerGrades+'!$AE$21,"F-",IF(L202&lt;'PlayerGrades+'!$AE$20,"F",IF(L202&lt;'PlayerGrades+'!$AE$19,"F+",IF(L202&lt;'PlayerGrades+'!$AE$18,"E-",IF(L202&lt;'PlayerGrades+'!$AE$17,"E",IF(L202&lt;'PlayerGrades+'!$AE$16,"E+",IF(L202&lt;'PlayerGrades+'!$AE$15,"D-",IF(L202&lt;'PlayerGrades+'!$AE$14,"D",IF(L202&lt;'PlayerGrades+'!$AE$13,"D+",IF(L202&lt;'PlayerGrades+'!$AE$12,"C-",IF(L202&lt;'PlayerGrades+'!$AE$11,"C",IF(L202&lt;'PlayerGrades+'!$AE$10,"C+",IF(L202&lt;'PlayerGrades+'!$AE$9,"B-",IF(L202&lt;'PlayerGrades+'!$AE$8,"B",IF(L202&lt;'PlayerGrades+'!$AE$7,"B+",IF(L202&lt;'PlayerGrades+'!$AE$6,"A-",IF(L202&lt;'PlayerGrades+'!$AE$5,"A",IF(L202&lt;'PlayerGrades+'!$AE$4,"A+",IF(L202&lt;'PlayerGrades+'!$AE$3,"S-",IF(L202&lt;'PlayerGrades+'!$AE$2,"S","S+"))))))))))))))))))))</f>
        <v>#DIV/0!</v>
      </c>
      <c r="N202" s="961" t="str">
        <f t="shared" si="6"/>
        <v>#DIV/0!</v>
      </c>
      <c r="O202" s="961" t="str">
        <f>IF(N202&lt;'PlayerGrades+'!$AF$21,"F-",IF(N202&lt;'PlayerGrades+'!$AF$20,"F",IF(N202&lt;'PlayerGrades+'!$AF$19,"F+",IF(N202&lt;'PlayerGrades+'!$AF$18,"E-",IF(N202&lt;'PlayerGrades+'!$AF$17,"E",IF(N202&lt;'PlayerGrades+'!$AF$16,"E+",IF(N202&lt;'PlayerGrades+'!$AF$15,"D-",IF(N202&lt;'PlayerGrades+'!$AF$14,"D",IF(N202&lt;'PlayerGrades+'!$AF$13,"D+",IF(N202&lt;'PlayerGrades+'!$AF$12,"C-",IF(N202&lt;'PlayerGrades+'!$AF$11,"C",IF(N202&lt;'PlayerGrades+'!$AF$10,"C+",IF(N202&lt;'PlayerGrades+'!$AF$9,"B-",IF(N202&lt;'PlayerGrades+'!$AF$8,"B",IF(N202&lt;'PlayerGrades+'!$AF$7,"B+",IF(N202&lt;'PlayerGrades+'!$AF$6,"A-",IF(N202&lt;'PlayerGrades+'!$AF$5,"A",IF(N202&lt;'PlayerGrades+'!$AF$4,"A+",IF(N202&lt;'PlayerGrades+'!$AF$3,"S-",IF(N202&lt;'PlayerGrades+'!$AF$2,"S","S+"))))))))))))))))))))</f>
        <v>#DIV/0!</v>
      </c>
      <c r="P202" s="961" t="str">
        <f t="shared" si="7"/>
        <v>#DIV/0!</v>
      </c>
      <c r="Q202" s="961" t="str">
        <f>IF(P202&lt;'PlayerGrades+'!$AG$21,"F-",IF(P202&lt;'PlayerGrades+'!$AG$20,"F",IF(P202&lt;'PlayerGrades+'!$AG$19,"F+",IF(P202&lt;'PlayerGrades+'!$AG$18,"E-",IF(P202&lt;'PlayerGrades+'!$AG$17,"E",IF(P202&lt;'PlayerGrades+'!$AG$16,"E+",IF(P202&lt;'PlayerGrades+'!$AG$15,"D-",IF(P202&lt;'PlayerGrades+'!$AG$14,"D",IF(P202&lt;'PlayerGrades+'!$AG$13,"D+",IF(P202&lt;'PlayerGrades+'!$AG$12,"C-",IF(P202&lt;'PlayerGrades+'!$AG$11,"C",IF(P202&lt;'PlayerGrades+'!$AG$10,"C+",IF(P202&lt;'PlayerGrades+'!$AG$9,"B-",IF(P202&lt;'PlayerGrades+'!$AG$8,"B",IF(P202&lt;'PlayerGrades+'!$AG$7,"B+",IF(P202&lt;'PlayerGrades+'!$AG$6,"A-",IF(P202&lt;'PlayerGrades+'!$AG$5,"A",IF(P202&lt;'PlayerGrades+'!$AG$4,"A+",IF(P202&lt;'PlayerGrades+'!$AG$3,"S-",IF(P202&lt;'PlayerGrades+'!$AG$2,"S","S+"))))))))))))))))))))</f>
        <v>#DIV/0!</v>
      </c>
      <c r="R202" s="961" t="str">
        <f t="shared" si="8"/>
        <v>#DIV/0!</v>
      </c>
      <c r="S202" s="961" t="str">
        <f>IF(R202&lt;'PlayerGrades+'!$AH$21,"F-",IF(R202&lt;'PlayerGrades+'!$AH$20,"F",IF(R202&lt;'PlayerGrades+'!$AH$19,"F+",IF(R202&lt;'PlayerGrades+'!$AH$18,"E-",IF(R202&lt;'PlayerGrades+'!$AH$17,"E",IF(R202&lt;'PlayerGrades+'!$AH$16,"E+",IF(R202&lt;'PlayerGrades+'!$AH$15,"D-",IF(R202&lt;'PlayerGrades+'!$AH$14,"D",IF(R202&lt;'PlayerGrades+'!$AH$13,"D+",IF(R202&lt;'PlayerGrades+'!$AH$12,"C-",IF(R202&lt;'PlayerGrades+'!$AH$11,"C",IF(R202&lt;'PlayerGrades+'!$AH$10,"C+",IF(R202&lt;'PlayerGrades+'!$AH$9,"B-",IF(R202&lt;'PlayerGrades+'!$AH$8,"B",IF(R202&lt;'PlayerGrades+'!$AH$7,"B+",IF(R202&lt;'PlayerGrades+'!$AH$6,"A-",IF(R202&lt;'PlayerGrades+'!$AH$5,"A",IF(R202&lt;'PlayerGrades+'!$AH$4,"A+",IF(R202&lt;'PlayerGrades+'!$AH$3,"S-",IF(R202&lt;'PlayerGrades+'!$AH$2,"S","S+"))))))))))))))))))))</f>
        <v>#DIV/0!</v>
      </c>
      <c r="T202" s="961">
        <f t="shared" si="9"/>
        <v>0</v>
      </c>
      <c r="U202" s="961" t="str">
        <f>IF(T202&lt;'PlayerGrades+'!$AI$21,"F-",IF(T202&lt;'PlayerGrades+'!$AI$20,"F",IF(T202&lt;'PlayerGrades+'!$AI$19,"F+",IF(T202&lt;'PlayerGrades+'!$AI$18,"E-",IF(T202&lt;'PlayerGrades+'!$AI$17,"E",IF(T202&lt;'PlayerGrades+'!$AI$16,"E+",IF(T202&lt;'PlayerGrades+'!$AI$15,"D-",IF(T202&lt;'PlayerGrades+'!$AI$14,"D",IF(T202&lt;'PlayerGrades+'!$AI$13,"D+",IF(T202&lt;'PlayerGrades+'!$AI$12,"C-",IF(T202&lt;'PlayerGrades+'!$AI$11,"C",IF(T202&lt;'PlayerGrades+'!$AI$10,"C+",IF(T202&lt;'PlayerGrades+'!$AI$9,"B-",IF(T202&lt;'PlayerGrades+'!$AI$8,"B",IF(T202&lt;'PlayerGrades+'!$AI$7,"B+",IF(T202&lt;'PlayerGrades+'!$AI$6,"A-",IF(T202&lt;'PlayerGrades+'!$AI$5,"A",IF(T202&lt;'PlayerGrades+'!$AI$4,"A+",IF(T202&lt;'PlayerGrades+'!$AI$3,"S-",IF(T202&lt;'PlayerGrades+'!$AI$2,"S","S+"))))))))))))))))))))</f>
        <v>F-</v>
      </c>
      <c r="V202" s="1379"/>
      <c r="W202" s="1379"/>
      <c r="X202" s="1379"/>
      <c r="Y202" s="1379"/>
      <c r="Z202" s="1379"/>
      <c r="AA202" s="1379"/>
      <c r="AB202" s="1379"/>
      <c r="AC202" s="1390"/>
      <c r="AD202" s="1379"/>
      <c r="AE202" s="1379"/>
      <c r="AF202" s="1379"/>
      <c r="AG202" s="1379"/>
      <c r="AH202" s="1379"/>
      <c r="AI202" s="1379"/>
      <c r="AJ202" s="1379"/>
      <c r="AK202" s="1379"/>
      <c r="AL202" s="1379"/>
      <c r="AM202" s="1379"/>
      <c r="AN202" s="1379"/>
      <c r="AO202" s="1379"/>
      <c r="AP202" s="1379"/>
      <c r="AQ202" s="1379"/>
      <c r="AR202" s="1379"/>
      <c r="AS202" s="1379"/>
      <c r="AT202" s="1379"/>
      <c r="AU202" s="1379"/>
      <c r="AV202" s="1379"/>
      <c r="AW202" s="1379"/>
      <c r="AX202" s="1379"/>
      <c r="AY202" s="1379"/>
      <c r="AZ202" s="1379"/>
    </row>
    <row r="203">
      <c r="A203" s="1391"/>
      <c r="B203" s="611" t="str">
        <f>IF(C203&lt;'PlayerGrades+'!$Y$44,"F-",IF(C203&lt;'PlayerGrades+'!$Y$43,"F",IF(C203&lt;'PlayerGrades+'!$Y$42,"F+",IF(C203&lt;'PlayerGrades+'!$Y$41,"E-",IF(C203&lt;'PlayerGrades+'!$Y$40,"E",IF(C203&lt;'PlayerGrades+'!$Y$39,"E+",IF(C203&lt;'PlayerGrades+'!$Y$38,"D-",IF(C203&lt;'PlayerGrades+'!$Y$37,"D",IF(C203&lt;'PlayerGrades+'!$Y$36,"D+",IF(C203&lt;'PlayerGrades+'!$Y$35,"C-",IF(C203&lt;'PlayerGrades+'!$Y$34,"C",IF(C203&lt;'PlayerGrades+'!$Y$33,"C+",IF(C203&lt;'PlayerGrades+'!$Y$32,"B-",IF(C203&lt;'PlayerGrades+'!$Y$31,"B",IF(C203&lt;'PlayerGrades+'!$Y$30,"B+",IF(C203&lt;'PlayerGrades+'!$Y$29,"A-",IF(C203&lt;'PlayerGrades+'!$Y$28,"A",IF(C203&lt;'PlayerGrades+'!$Y$27,"A+",IF(C203&lt;'PlayerGrades+'!$Y$26,"S-",IF(C203&lt;'PlayerGrades+'!$Y$25,"S","S+"))))))))))))))))))))</f>
        <v>#DIV/0!</v>
      </c>
      <c r="C203" s="1378" t="str">
        <f>('PlayerGrades+'!$Y$47*(VLOOKUP(E203, 'PlayerGrades+'!$X$3:$Y$23, 2, FALSE)))+('PlayerGrades+'!$Y$48*(VLOOKUP(G203, 'PlayerGrades+'!$X$3:$Y$23, 2, FALSE)))+('PlayerGrades+'!$Y$49*(VLOOKUP(I203, 'PlayerGrades+'!$X$3:$Y$23, 2, FALSE)))+('PlayerGrades+'!$Y$50*(VLOOKUP(K203, 'PlayerGrades+'!$X$3:$Y$23, 2, FALSE)))+('PlayerGrades+'!$Y$51*(VLOOKUP(M203, 'PlayerGrades+'!$X$3:$Y$23, 2, FALSE)))+('PlayerGrades+'!$Y$52*(VLOOKUP(O203, 'PlayerGrades+'!$X$3:$Y$23, 2, FALSE)))+('PlayerGrades+'!$Y$53*(VLOOKUP(Q203, 'PlayerGrades+'!$X$3:$Y$23, 2, FALSE)))+('PlayerGrades+'!$Y$54*(VLOOKUP(S203, 'PlayerGrades+'!$X$3:$Y$23, 2, FALSE)))+('PlayerGrades+'!$Y$55*(VLOOKUP(U203, 'PlayerGrades+'!$X$3:$Y$23, 2, FALSE)))</f>
        <v>#DIV/0!</v>
      </c>
      <c r="D203" s="961" t="str">
        <f t="shared" si="1"/>
        <v>#DIV/0!</v>
      </c>
      <c r="E203" s="961" t="str">
        <f>IF(D203&lt;'PlayerGrades+'!$AA$21,"F-",IF(D203&lt;'PlayerGrades+'!$AA$20,"F",IF(D203&lt;'PlayerGrades+'!$AA$19,"F+",IF(D203&lt;'PlayerGrades+'!$AA$18,"E-",IF(D203&lt;'PlayerGrades+'!$AA$17,"E",IF(D203&lt;'PlayerGrades+'!$AA$16,"E+",IF(D203&lt;'PlayerGrades+'!$AA$15,"D-",IF(D203&lt;'PlayerGrades+'!$AA$14,"D",IF(D203&lt;'PlayerGrades+'!$AA$13,"D+",IF(D203&lt;'PlayerGrades+'!$AA$12,"C-",IF(D203&lt;'PlayerGrades+'!$AA$11,"C",IF(D203&lt;'PlayerGrades+'!$AA$10,"C+",IF(D203&lt;'PlayerGrades+'!$AA$9,"B-",IF(D203&lt;'PlayerGrades+'!$AA$8,"B",IF(D203&lt;'PlayerGrades+'!$AA$7,"B+",IF(D203&lt;'PlayerGrades+'!$AA$6,"A-",IF(D203&lt;'PlayerGrades+'!$AA$5,"A",IF(D203&lt;'PlayerGrades+'!$AA$4,"A+",IF(D203&lt;'PlayerGrades+'!$AA$3,"S-",IF(D203&lt;'PlayerGrades+'!$AA$2,"S","S+"))))))))))))))))))))</f>
        <v>#DIV/0!</v>
      </c>
      <c r="F203" s="961" t="str">
        <f t="shared" si="2"/>
        <v>#DIV/0!</v>
      </c>
      <c r="G203" s="961" t="str">
        <f>IF(F203&lt;'PlayerGrades+'!$AB$21,"F-",IF(F203&lt;'PlayerGrades+'!$AB$20,"F",IF(F203&lt;'PlayerGrades+'!$AB$19,"F+",IF(F203&lt;'PlayerGrades+'!$AB$18,"E-",IF(F203&lt;'PlayerGrades+'!$AB$17,"E",IF(F203&lt;'PlayerGrades+'!$AB$16,"E+",IF(F203&lt;'PlayerGrades+'!$AB$15,"D-",IF(F203&lt;'PlayerGrades+'!$AB$14,"D",IF(F203&lt;'PlayerGrades+'!$AB$13,"D+",IF(F203&lt;'PlayerGrades+'!$AB$12,"C-",IF(F203&lt;'PlayerGrades+'!$AB$11,"C",IF(F203&lt;'PlayerGrades+'!$AB$10,"C+",IF(F203&lt;'PlayerGrades+'!$AB$9,"B-",IF(F203&lt;'PlayerGrades+'!$AB$8,"B",IF(F203&lt;'PlayerGrades+'!$AB$7,"B+",IF(F203&lt;'PlayerGrades+'!$AB$6,"A-",IF(F203&lt;'PlayerGrades+'!$AB$5,"A",IF(F203&lt;'PlayerGrades+'!$AB$4,"A+",IF(F203&lt;'PlayerGrades+'!$AB$3,"S-",IF(F203&lt;'PlayerGrades+'!$AB$2,"S","S+"))))))))))))))))))))</f>
        <v>#DIV/0!</v>
      </c>
      <c r="H203" s="961" t="str">
        <f t="shared" si="3"/>
        <v>#DIV/0!</v>
      </c>
      <c r="I203" s="961" t="str">
        <f>IF(H203&lt;'PlayerGrades+'!$AC$21,"F-",IF(H203&lt;'PlayerGrades+'!$AC$20,"F",IF(H203&lt;'PlayerGrades+'!$AC$19,"F+",IF(H203&lt;'PlayerGrades+'!$AC$18,"E-",IF(H203&lt;'PlayerGrades+'!$AC$17,"E",IF(H203&lt;'PlayerGrades+'!$AC$16,"E+",IF(H203&lt;'PlayerGrades+'!$AC$15,"D-",IF(H203&lt;'PlayerGrades+'!$AC$14,"D",IF(H203&lt;'PlayerGrades+'!$AC$13,"D+",IF(H203&lt;'PlayerGrades+'!$AC$12,"C-",IF(H203&lt;'PlayerGrades+'!$AC$11,"C",IF(H203&lt;'PlayerGrades+'!$AC$10,"C+",IF(H203&lt;'PlayerGrades+'!$AC$9,"B-",IF(H203&lt;'PlayerGrades+'!$AC$8,"B",IF(H203&lt;'PlayerGrades+'!$AC$7,"B+",IF(H203&lt;'PlayerGrades+'!$AC$6,"A-",IF(H203&lt;'PlayerGrades+'!$AC$5,"A",IF(H203&lt;'PlayerGrades+'!$AC$4,"A+",IF(H203&lt;'PlayerGrades+'!$AC$3,"S-",IF(H203&lt;'PlayerGrades+'!$AC$2,"S","S+"))))))))))))))))))))</f>
        <v>#DIV/0!</v>
      </c>
      <c r="J203" s="961" t="str">
        <f t="shared" si="4"/>
        <v>#DIV/0!</v>
      </c>
      <c r="K203" s="961" t="str">
        <f>IF(J203&lt;'PlayerGrades+'!$AD$21,"F-",IF(J203&lt;'PlayerGrades+'!$AD$20,"F",IF(J203&lt;'PlayerGrades+'!$AD$19,"F+",IF(J203&lt;'PlayerGrades+'!$AD$18,"E-",IF(J203&lt;'PlayerGrades+'!$AD$17,"E",IF(J203&lt;'PlayerGrades+'!$AD$16,"E+",IF(J203&lt;'PlayerGrades+'!$AD$15,"D-",IF(J203&lt;'PlayerGrades+'!$AD$14,"D",IF(J203&lt;'PlayerGrades+'!$AD$13,"D+",IF(J203&lt;'PlayerGrades+'!$AD$12,"C-",IF(J203&lt;'PlayerGrades+'!$AD$11,"C",IF(J203&lt;'PlayerGrades+'!$AD$10,"C+",IF(J203&lt;'PlayerGrades+'!$AD$9,"B-",IF(J203&lt;'PlayerGrades+'!$AD$8,"B",IF(J203&lt;'PlayerGrades+'!$AD$7,"B+",IF(J203&lt;'PlayerGrades+'!$AD$6,"A-",IF(J203&lt;'PlayerGrades+'!$AD$5,"A",IF(J203&lt;'PlayerGrades+'!$AD$4,"A+",IF(J203&lt;'PlayerGrades+'!$AD$3,"S-",IF(J203&lt;'PlayerGrades+'!$AD$2,"S","S+"))))))))))))))))))))</f>
        <v>#DIV/0!</v>
      </c>
      <c r="L203" s="1176" t="str">
        <f t="shared" si="5"/>
        <v>#DIV/0!</v>
      </c>
      <c r="M203" s="992" t="str">
        <f>IF(L203&lt;'PlayerGrades+'!$AE$21,"F-",IF(L203&lt;'PlayerGrades+'!$AE$20,"F",IF(L203&lt;'PlayerGrades+'!$AE$19,"F+",IF(L203&lt;'PlayerGrades+'!$AE$18,"E-",IF(L203&lt;'PlayerGrades+'!$AE$17,"E",IF(L203&lt;'PlayerGrades+'!$AE$16,"E+",IF(L203&lt;'PlayerGrades+'!$AE$15,"D-",IF(L203&lt;'PlayerGrades+'!$AE$14,"D",IF(L203&lt;'PlayerGrades+'!$AE$13,"D+",IF(L203&lt;'PlayerGrades+'!$AE$12,"C-",IF(L203&lt;'PlayerGrades+'!$AE$11,"C",IF(L203&lt;'PlayerGrades+'!$AE$10,"C+",IF(L203&lt;'PlayerGrades+'!$AE$9,"B-",IF(L203&lt;'PlayerGrades+'!$AE$8,"B",IF(L203&lt;'PlayerGrades+'!$AE$7,"B+",IF(L203&lt;'PlayerGrades+'!$AE$6,"A-",IF(L203&lt;'PlayerGrades+'!$AE$5,"A",IF(L203&lt;'PlayerGrades+'!$AE$4,"A+",IF(L203&lt;'PlayerGrades+'!$AE$3,"S-",IF(L203&lt;'PlayerGrades+'!$AE$2,"S","S+"))))))))))))))))))))</f>
        <v>#DIV/0!</v>
      </c>
      <c r="N203" s="961" t="str">
        <f t="shared" si="6"/>
        <v>#DIV/0!</v>
      </c>
      <c r="O203" s="961" t="str">
        <f>IF(N203&lt;'PlayerGrades+'!$AF$21,"F-",IF(N203&lt;'PlayerGrades+'!$AF$20,"F",IF(N203&lt;'PlayerGrades+'!$AF$19,"F+",IF(N203&lt;'PlayerGrades+'!$AF$18,"E-",IF(N203&lt;'PlayerGrades+'!$AF$17,"E",IF(N203&lt;'PlayerGrades+'!$AF$16,"E+",IF(N203&lt;'PlayerGrades+'!$AF$15,"D-",IF(N203&lt;'PlayerGrades+'!$AF$14,"D",IF(N203&lt;'PlayerGrades+'!$AF$13,"D+",IF(N203&lt;'PlayerGrades+'!$AF$12,"C-",IF(N203&lt;'PlayerGrades+'!$AF$11,"C",IF(N203&lt;'PlayerGrades+'!$AF$10,"C+",IF(N203&lt;'PlayerGrades+'!$AF$9,"B-",IF(N203&lt;'PlayerGrades+'!$AF$8,"B",IF(N203&lt;'PlayerGrades+'!$AF$7,"B+",IF(N203&lt;'PlayerGrades+'!$AF$6,"A-",IF(N203&lt;'PlayerGrades+'!$AF$5,"A",IF(N203&lt;'PlayerGrades+'!$AF$4,"A+",IF(N203&lt;'PlayerGrades+'!$AF$3,"S-",IF(N203&lt;'PlayerGrades+'!$AF$2,"S","S+"))))))))))))))))))))</f>
        <v>#DIV/0!</v>
      </c>
      <c r="P203" s="961" t="str">
        <f t="shared" si="7"/>
        <v>#DIV/0!</v>
      </c>
      <c r="Q203" s="961" t="str">
        <f>IF(P203&lt;'PlayerGrades+'!$AG$21,"F-",IF(P203&lt;'PlayerGrades+'!$AG$20,"F",IF(P203&lt;'PlayerGrades+'!$AG$19,"F+",IF(P203&lt;'PlayerGrades+'!$AG$18,"E-",IF(P203&lt;'PlayerGrades+'!$AG$17,"E",IF(P203&lt;'PlayerGrades+'!$AG$16,"E+",IF(P203&lt;'PlayerGrades+'!$AG$15,"D-",IF(P203&lt;'PlayerGrades+'!$AG$14,"D",IF(P203&lt;'PlayerGrades+'!$AG$13,"D+",IF(P203&lt;'PlayerGrades+'!$AG$12,"C-",IF(P203&lt;'PlayerGrades+'!$AG$11,"C",IF(P203&lt;'PlayerGrades+'!$AG$10,"C+",IF(P203&lt;'PlayerGrades+'!$AG$9,"B-",IF(P203&lt;'PlayerGrades+'!$AG$8,"B",IF(P203&lt;'PlayerGrades+'!$AG$7,"B+",IF(P203&lt;'PlayerGrades+'!$AG$6,"A-",IF(P203&lt;'PlayerGrades+'!$AG$5,"A",IF(P203&lt;'PlayerGrades+'!$AG$4,"A+",IF(P203&lt;'PlayerGrades+'!$AG$3,"S-",IF(P203&lt;'PlayerGrades+'!$AG$2,"S","S+"))))))))))))))))))))</f>
        <v>#DIV/0!</v>
      </c>
      <c r="R203" s="961" t="str">
        <f t="shared" si="8"/>
        <v>#DIV/0!</v>
      </c>
      <c r="S203" s="961" t="str">
        <f>IF(R203&lt;'PlayerGrades+'!$AH$21,"F-",IF(R203&lt;'PlayerGrades+'!$AH$20,"F",IF(R203&lt;'PlayerGrades+'!$AH$19,"F+",IF(R203&lt;'PlayerGrades+'!$AH$18,"E-",IF(R203&lt;'PlayerGrades+'!$AH$17,"E",IF(R203&lt;'PlayerGrades+'!$AH$16,"E+",IF(R203&lt;'PlayerGrades+'!$AH$15,"D-",IF(R203&lt;'PlayerGrades+'!$AH$14,"D",IF(R203&lt;'PlayerGrades+'!$AH$13,"D+",IF(R203&lt;'PlayerGrades+'!$AH$12,"C-",IF(R203&lt;'PlayerGrades+'!$AH$11,"C",IF(R203&lt;'PlayerGrades+'!$AH$10,"C+",IF(R203&lt;'PlayerGrades+'!$AH$9,"B-",IF(R203&lt;'PlayerGrades+'!$AH$8,"B",IF(R203&lt;'PlayerGrades+'!$AH$7,"B+",IF(R203&lt;'PlayerGrades+'!$AH$6,"A-",IF(R203&lt;'PlayerGrades+'!$AH$5,"A",IF(R203&lt;'PlayerGrades+'!$AH$4,"A+",IF(R203&lt;'PlayerGrades+'!$AH$3,"S-",IF(R203&lt;'PlayerGrades+'!$AH$2,"S","S+"))))))))))))))))))))</f>
        <v>#DIV/0!</v>
      </c>
      <c r="T203" s="961">
        <f t="shared" si="9"/>
        <v>0</v>
      </c>
      <c r="U203" s="961" t="str">
        <f>IF(T203&lt;'PlayerGrades+'!$AI$21,"F-",IF(T203&lt;'PlayerGrades+'!$AI$20,"F",IF(T203&lt;'PlayerGrades+'!$AI$19,"F+",IF(T203&lt;'PlayerGrades+'!$AI$18,"E-",IF(T203&lt;'PlayerGrades+'!$AI$17,"E",IF(T203&lt;'PlayerGrades+'!$AI$16,"E+",IF(T203&lt;'PlayerGrades+'!$AI$15,"D-",IF(T203&lt;'PlayerGrades+'!$AI$14,"D",IF(T203&lt;'PlayerGrades+'!$AI$13,"D+",IF(T203&lt;'PlayerGrades+'!$AI$12,"C-",IF(T203&lt;'PlayerGrades+'!$AI$11,"C",IF(T203&lt;'PlayerGrades+'!$AI$10,"C+",IF(T203&lt;'PlayerGrades+'!$AI$9,"B-",IF(T203&lt;'PlayerGrades+'!$AI$8,"B",IF(T203&lt;'PlayerGrades+'!$AI$7,"B+",IF(T203&lt;'PlayerGrades+'!$AI$6,"A-",IF(T203&lt;'PlayerGrades+'!$AI$5,"A",IF(T203&lt;'PlayerGrades+'!$AI$4,"A+",IF(T203&lt;'PlayerGrades+'!$AI$3,"S-",IF(T203&lt;'PlayerGrades+'!$AI$2,"S","S+"))))))))))))))))))))</f>
        <v>F-</v>
      </c>
      <c r="AC203" s="1392"/>
    </row>
    <row r="204">
      <c r="A204" s="1391"/>
      <c r="B204" s="611" t="str">
        <f>IF(C204&lt;'PlayerGrades+'!$Y$44,"F-",IF(C204&lt;'PlayerGrades+'!$Y$43,"F",IF(C204&lt;'PlayerGrades+'!$Y$42,"F+",IF(C204&lt;'PlayerGrades+'!$Y$41,"E-",IF(C204&lt;'PlayerGrades+'!$Y$40,"E",IF(C204&lt;'PlayerGrades+'!$Y$39,"E+",IF(C204&lt;'PlayerGrades+'!$Y$38,"D-",IF(C204&lt;'PlayerGrades+'!$Y$37,"D",IF(C204&lt;'PlayerGrades+'!$Y$36,"D+",IF(C204&lt;'PlayerGrades+'!$Y$35,"C-",IF(C204&lt;'PlayerGrades+'!$Y$34,"C",IF(C204&lt;'PlayerGrades+'!$Y$33,"C+",IF(C204&lt;'PlayerGrades+'!$Y$32,"B-",IF(C204&lt;'PlayerGrades+'!$Y$31,"B",IF(C204&lt;'PlayerGrades+'!$Y$30,"B+",IF(C204&lt;'PlayerGrades+'!$Y$29,"A-",IF(C204&lt;'PlayerGrades+'!$Y$28,"A",IF(C204&lt;'PlayerGrades+'!$Y$27,"A+",IF(C204&lt;'PlayerGrades+'!$Y$26,"S-",IF(C204&lt;'PlayerGrades+'!$Y$25,"S","S+"))))))))))))))))))))</f>
        <v>#DIV/0!</v>
      </c>
      <c r="C204" s="1378" t="str">
        <f>('PlayerGrades+'!$Y$47*(VLOOKUP(E204, 'PlayerGrades+'!$X$3:$Y$23, 2, FALSE)))+('PlayerGrades+'!$Y$48*(VLOOKUP(G204, 'PlayerGrades+'!$X$3:$Y$23, 2, FALSE)))+('PlayerGrades+'!$Y$49*(VLOOKUP(I204, 'PlayerGrades+'!$X$3:$Y$23, 2, FALSE)))+('PlayerGrades+'!$Y$50*(VLOOKUP(K204, 'PlayerGrades+'!$X$3:$Y$23, 2, FALSE)))+('PlayerGrades+'!$Y$51*(VLOOKUP(M204, 'PlayerGrades+'!$X$3:$Y$23, 2, FALSE)))+('PlayerGrades+'!$Y$52*(VLOOKUP(O204, 'PlayerGrades+'!$X$3:$Y$23, 2, FALSE)))+('PlayerGrades+'!$Y$53*(VLOOKUP(Q204, 'PlayerGrades+'!$X$3:$Y$23, 2, FALSE)))+('PlayerGrades+'!$Y$54*(VLOOKUP(S204, 'PlayerGrades+'!$X$3:$Y$23, 2, FALSE)))+('PlayerGrades+'!$Y$55*(VLOOKUP(U204, 'PlayerGrades+'!$X$3:$Y$23, 2, FALSE)))</f>
        <v>#DIV/0!</v>
      </c>
      <c r="D204" s="961" t="str">
        <f t="shared" si="1"/>
        <v>#DIV/0!</v>
      </c>
      <c r="E204" s="961" t="str">
        <f>IF(D204&lt;'PlayerGrades+'!$AA$21,"F-",IF(D204&lt;'PlayerGrades+'!$AA$20,"F",IF(D204&lt;'PlayerGrades+'!$AA$19,"F+",IF(D204&lt;'PlayerGrades+'!$AA$18,"E-",IF(D204&lt;'PlayerGrades+'!$AA$17,"E",IF(D204&lt;'PlayerGrades+'!$AA$16,"E+",IF(D204&lt;'PlayerGrades+'!$AA$15,"D-",IF(D204&lt;'PlayerGrades+'!$AA$14,"D",IF(D204&lt;'PlayerGrades+'!$AA$13,"D+",IF(D204&lt;'PlayerGrades+'!$AA$12,"C-",IF(D204&lt;'PlayerGrades+'!$AA$11,"C",IF(D204&lt;'PlayerGrades+'!$AA$10,"C+",IF(D204&lt;'PlayerGrades+'!$AA$9,"B-",IF(D204&lt;'PlayerGrades+'!$AA$8,"B",IF(D204&lt;'PlayerGrades+'!$AA$7,"B+",IF(D204&lt;'PlayerGrades+'!$AA$6,"A-",IF(D204&lt;'PlayerGrades+'!$AA$5,"A",IF(D204&lt;'PlayerGrades+'!$AA$4,"A+",IF(D204&lt;'PlayerGrades+'!$AA$3,"S-",IF(D204&lt;'PlayerGrades+'!$AA$2,"S","S+"))))))))))))))))))))</f>
        <v>#DIV/0!</v>
      </c>
      <c r="F204" s="961" t="str">
        <f t="shared" si="2"/>
        <v>#DIV/0!</v>
      </c>
      <c r="G204" s="961" t="str">
        <f>IF(F204&lt;'PlayerGrades+'!$AB$21,"F-",IF(F204&lt;'PlayerGrades+'!$AB$20,"F",IF(F204&lt;'PlayerGrades+'!$AB$19,"F+",IF(F204&lt;'PlayerGrades+'!$AB$18,"E-",IF(F204&lt;'PlayerGrades+'!$AB$17,"E",IF(F204&lt;'PlayerGrades+'!$AB$16,"E+",IF(F204&lt;'PlayerGrades+'!$AB$15,"D-",IF(F204&lt;'PlayerGrades+'!$AB$14,"D",IF(F204&lt;'PlayerGrades+'!$AB$13,"D+",IF(F204&lt;'PlayerGrades+'!$AB$12,"C-",IF(F204&lt;'PlayerGrades+'!$AB$11,"C",IF(F204&lt;'PlayerGrades+'!$AB$10,"C+",IF(F204&lt;'PlayerGrades+'!$AB$9,"B-",IF(F204&lt;'PlayerGrades+'!$AB$8,"B",IF(F204&lt;'PlayerGrades+'!$AB$7,"B+",IF(F204&lt;'PlayerGrades+'!$AB$6,"A-",IF(F204&lt;'PlayerGrades+'!$AB$5,"A",IF(F204&lt;'PlayerGrades+'!$AB$4,"A+",IF(F204&lt;'PlayerGrades+'!$AB$3,"S-",IF(F204&lt;'PlayerGrades+'!$AB$2,"S","S+"))))))))))))))))))))</f>
        <v>#DIV/0!</v>
      </c>
      <c r="H204" s="961" t="str">
        <f t="shared" si="3"/>
        <v>#DIV/0!</v>
      </c>
      <c r="I204" s="961" t="str">
        <f>IF(H204&lt;'PlayerGrades+'!$AC$21,"F-",IF(H204&lt;'PlayerGrades+'!$AC$20,"F",IF(H204&lt;'PlayerGrades+'!$AC$19,"F+",IF(H204&lt;'PlayerGrades+'!$AC$18,"E-",IF(H204&lt;'PlayerGrades+'!$AC$17,"E",IF(H204&lt;'PlayerGrades+'!$AC$16,"E+",IF(H204&lt;'PlayerGrades+'!$AC$15,"D-",IF(H204&lt;'PlayerGrades+'!$AC$14,"D",IF(H204&lt;'PlayerGrades+'!$AC$13,"D+",IF(H204&lt;'PlayerGrades+'!$AC$12,"C-",IF(H204&lt;'PlayerGrades+'!$AC$11,"C",IF(H204&lt;'PlayerGrades+'!$AC$10,"C+",IF(H204&lt;'PlayerGrades+'!$AC$9,"B-",IF(H204&lt;'PlayerGrades+'!$AC$8,"B",IF(H204&lt;'PlayerGrades+'!$AC$7,"B+",IF(H204&lt;'PlayerGrades+'!$AC$6,"A-",IF(H204&lt;'PlayerGrades+'!$AC$5,"A",IF(H204&lt;'PlayerGrades+'!$AC$4,"A+",IF(H204&lt;'PlayerGrades+'!$AC$3,"S-",IF(H204&lt;'PlayerGrades+'!$AC$2,"S","S+"))))))))))))))))))))</f>
        <v>#DIV/0!</v>
      </c>
      <c r="J204" s="961" t="str">
        <f t="shared" si="4"/>
        <v>#DIV/0!</v>
      </c>
      <c r="K204" s="961" t="str">
        <f>IF(J204&lt;'PlayerGrades+'!$AD$21,"F-",IF(J204&lt;'PlayerGrades+'!$AD$20,"F",IF(J204&lt;'PlayerGrades+'!$AD$19,"F+",IF(J204&lt;'PlayerGrades+'!$AD$18,"E-",IF(J204&lt;'PlayerGrades+'!$AD$17,"E",IF(J204&lt;'PlayerGrades+'!$AD$16,"E+",IF(J204&lt;'PlayerGrades+'!$AD$15,"D-",IF(J204&lt;'PlayerGrades+'!$AD$14,"D",IF(J204&lt;'PlayerGrades+'!$AD$13,"D+",IF(J204&lt;'PlayerGrades+'!$AD$12,"C-",IF(J204&lt;'PlayerGrades+'!$AD$11,"C",IF(J204&lt;'PlayerGrades+'!$AD$10,"C+",IF(J204&lt;'PlayerGrades+'!$AD$9,"B-",IF(J204&lt;'PlayerGrades+'!$AD$8,"B",IF(J204&lt;'PlayerGrades+'!$AD$7,"B+",IF(J204&lt;'PlayerGrades+'!$AD$6,"A-",IF(J204&lt;'PlayerGrades+'!$AD$5,"A",IF(J204&lt;'PlayerGrades+'!$AD$4,"A+",IF(J204&lt;'PlayerGrades+'!$AD$3,"S-",IF(J204&lt;'PlayerGrades+'!$AD$2,"S","S+"))))))))))))))))))))</f>
        <v>#DIV/0!</v>
      </c>
      <c r="L204" s="1176" t="str">
        <f t="shared" si="5"/>
        <v>#DIV/0!</v>
      </c>
      <c r="M204" s="992" t="str">
        <f>IF(L204&lt;'PlayerGrades+'!$AE$21,"F-",IF(L204&lt;'PlayerGrades+'!$AE$20,"F",IF(L204&lt;'PlayerGrades+'!$AE$19,"F+",IF(L204&lt;'PlayerGrades+'!$AE$18,"E-",IF(L204&lt;'PlayerGrades+'!$AE$17,"E",IF(L204&lt;'PlayerGrades+'!$AE$16,"E+",IF(L204&lt;'PlayerGrades+'!$AE$15,"D-",IF(L204&lt;'PlayerGrades+'!$AE$14,"D",IF(L204&lt;'PlayerGrades+'!$AE$13,"D+",IF(L204&lt;'PlayerGrades+'!$AE$12,"C-",IF(L204&lt;'PlayerGrades+'!$AE$11,"C",IF(L204&lt;'PlayerGrades+'!$AE$10,"C+",IF(L204&lt;'PlayerGrades+'!$AE$9,"B-",IF(L204&lt;'PlayerGrades+'!$AE$8,"B",IF(L204&lt;'PlayerGrades+'!$AE$7,"B+",IF(L204&lt;'PlayerGrades+'!$AE$6,"A-",IF(L204&lt;'PlayerGrades+'!$AE$5,"A",IF(L204&lt;'PlayerGrades+'!$AE$4,"A+",IF(L204&lt;'PlayerGrades+'!$AE$3,"S-",IF(L204&lt;'PlayerGrades+'!$AE$2,"S","S+"))))))))))))))))))))</f>
        <v>#DIV/0!</v>
      </c>
      <c r="N204" s="961" t="str">
        <f t="shared" si="6"/>
        <v>#DIV/0!</v>
      </c>
      <c r="O204" s="961" t="str">
        <f>IF(N204&lt;'PlayerGrades+'!$AF$21,"F-",IF(N204&lt;'PlayerGrades+'!$AF$20,"F",IF(N204&lt;'PlayerGrades+'!$AF$19,"F+",IF(N204&lt;'PlayerGrades+'!$AF$18,"E-",IF(N204&lt;'PlayerGrades+'!$AF$17,"E",IF(N204&lt;'PlayerGrades+'!$AF$16,"E+",IF(N204&lt;'PlayerGrades+'!$AF$15,"D-",IF(N204&lt;'PlayerGrades+'!$AF$14,"D",IF(N204&lt;'PlayerGrades+'!$AF$13,"D+",IF(N204&lt;'PlayerGrades+'!$AF$12,"C-",IF(N204&lt;'PlayerGrades+'!$AF$11,"C",IF(N204&lt;'PlayerGrades+'!$AF$10,"C+",IF(N204&lt;'PlayerGrades+'!$AF$9,"B-",IF(N204&lt;'PlayerGrades+'!$AF$8,"B",IF(N204&lt;'PlayerGrades+'!$AF$7,"B+",IF(N204&lt;'PlayerGrades+'!$AF$6,"A-",IF(N204&lt;'PlayerGrades+'!$AF$5,"A",IF(N204&lt;'PlayerGrades+'!$AF$4,"A+",IF(N204&lt;'PlayerGrades+'!$AF$3,"S-",IF(N204&lt;'PlayerGrades+'!$AF$2,"S","S+"))))))))))))))))))))</f>
        <v>#DIV/0!</v>
      </c>
      <c r="P204" s="961" t="str">
        <f t="shared" si="7"/>
        <v>#DIV/0!</v>
      </c>
      <c r="Q204" s="961" t="str">
        <f>IF(P204&lt;'PlayerGrades+'!$AG$21,"F-",IF(P204&lt;'PlayerGrades+'!$AG$20,"F",IF(P204&lt;'PlayerGrades+'!$AG$19,"F+",IF(P204&lt;'PlayerGrades+'!$AG$18,"E-",IF(P204&lt;'PlayerGrades+'!$AG$17,"E",IF(P204&lt;'PlayerGrades+'!$AG$16,"E+",IF(P204&lt;'PlayerGrades+'!$AG$15,"D-",IF(P204&lt;'PlayerGrades+'!$AG$14,"D",IF(P204&lt;'PlayerGrades+'!$AG$13,"D+",IF(P204&lt;'PlayerGrades+'!$AG$12,"C-",IF(P204&lt;'PlayerGrades+'!$AG$11,"C",IF(P204&lt;'PlayerGrades+'!$AG$10,"C+",IF(P204&lt;'PlayerGrades+'!$AG$9,"B-",IF(P204&lt;'PlayerGrades+'!$AG$8,"B",IF(P204&lt;'PlayerGrades+'!$AG$7,"B+",IF(P204&lt;'PlayerGrades+'!$AG$6,"A-",IF(P204&lt;'PlayerGrades+'!$AG$5,"A",IF(P204&lt;'PlayerGrades+'!$AG$4,"A+",IF(P204&lt;'PlayerGrades+'!$AG$3,"S-",IF(P204&lt;'PlayerGrades+'!$AG$2,"S","S+"))))))))))))))))))))</f>
        <v>#DIV/0!</v>
      </c>
      <c r="R204" s="961" t="str">
        <f t="shared" si="8"/>
        <v>#DIV/0!</v>
      </c>
      <c r="S204" s="961" t="str">
        <f>IF(R204&lt;'PlayerGrades+'!$AH$21,"F-",IF(R204&lt;'PlayerGrades+'!$AH$20,"F",IF(R204&lt;'PlayerGrades+'!$AH$19,"F+",IF(R204&lt;'PlayerGrades+'!$AH$18,"E-",IF(R204&lt;'PlayerGrades+'!$AH$17,"E",IF(R204&lt;'PlayerGrades+'!$AH$16,"E+",IF(R204&lt;'PlayerGrades+'!$AH$15,"D-",IF(R204&lt;'PlayerGrades+'!$AH$14,"D",IF(R204&lt;'PlayerGrades+'!$AH$13,"D+",IF(R204&lt;'PlayerGrades+'!$AH$12,"C-",IF(R204&lt;'PlayerGrades+'!$AH$11,"C",IF(R204&lt;'PlayerGrades+'!$AH$10,"C+",IF(R204&lt;'PlayerGrades+'!$AH$9,"B-",IF(R204&lt;'PlayerGrades+'!$AH$8,"B",IF(R204&lt;'PlayerGrades+'!$AH$7,"B+",IF(R204&lt;'PlayerGrades+'!$AH$6,"A-",IF(R204&lt;'PlayerGrades+'!$AH$5,"A",IF(R204&lt;'PlayerGrades+'!$AH$4,"A+",IF(R204&lt;'PlayerGrades+'!$AH$3,"S-",IF(R204&lt;'PlayerGrades+'!$AH$2,"S","S+"))))))))))))))))))))</f>
        <v>#DIV/0!</v>
      </c>
      <c r="T204" s="961">
        <f t="shared" si="9"/>
        <v>0</v>
      </c>
      <c r="U204" s="961" t="str">
        <f>IF(T204&lt;'PlayerGrades+'!$AI$21,"F-",IF(T204&lt;'PlayerGrades+'!$AI$20,"F",IF(T204&lt;'PlayerGrades+'!$AI$19,"F+",IF(T204&lt;'PlayerGrades+'!$AI$18,"E-",IF(T204&lt;'PlayerGrades+'!$AI$17,"E",IF(T204&lt;'PlayerGrades+'!$AI$16,"E+",IF(T204&lt;'PlayerGrades+'!$AI$15,"D-",IF(T204&lt;'PlayerGrades+'!$AI$14,"D",IF(T204&lt;'PlayerGrades+'!$AI$13,"D+",IF(T204&lt;'PlayerGrades+'!$AI$12,"C-",IF(T204&lt;'PlayerGrades+'!$AI$11,"C",IF(T204&lt;'PlayerGrades+'!$AI$10,"C+",IF(T204&lt;'PlayerGrades+'!$AI$9,"B-",IF(T204&lt;'PlayerGrades+'!$AI$8,"B",IF(T204&lt;'PlayerGrades+'!$AI$7,"B+",IF(T204&lt;'PlayerGrades+'!$AI$6,"A-",IF(T204&lt;'PlayerGrades+'!$AI$5,"A",IF(T204&lt;'PlayerGrades+'!$AI$4,"A+",IF(T204&lt;'PlayerGrades+'!$AI$3,"S-",IF(T204&lt;'PlayerGrades+'!$AI$2,"S","S+"))))))))))))))))))))</f>
        <v>F-</v>
      </c>
      <c r="AC204" s="1392"/>
    </row>
    <row r="205">
      <c r="A205" s="1391"/>
      <c r="B205" s="611" t="str">
        <f>IF(C205&lt;'PlayerGrades+'!$Y$44,"F-",IF(C205&lt;'PlayerGrades+'!$Y$43,"F",IF(C205&lt;'PlayerGrades+'!$Y$42,"F+",IF(C205&lt;'PlayerGrades+'!$Y$41,"E-",IF(C205&lt;'PlayerGrades+'!$Y$40,"E",IF(C205&lt;'PlayerGrades+'!$Y$39,"E+",IF(C205&lt;'PlayerGrades+'!$Y$38,"D-",IF(C205&lt;'PlayerGrades+'!$Y$37,"D",IF(C205&lt;'PlayerGrades+'!$Y$36,"D+",IF(C205&lt;'PlayerGrades+'!$Y$35,"C-",IF(C205&lt;'PlayerGrades+'!$Y$34,"C",IF(C205&lt;'PlayerGrades+'!$Y$33,"C+",IF(C205&lt;'PlayerGrades+'!$Y$32,"B-",IF(C205&lt;'PlayerGrades+'!$Y$31,"B",IF(C205&lt;'PlayerGrades+'!$Y$30,"B+",IF(C205&lt;'PlayerGrades+'!$Y$29,"A-",IF(C205&lt;'PlayerGrades+'!$Y$28,"A",IF(C205&lt;'PlayerGrades+'!$Y$27,"A+",IF(C205&lt;'PlayerGrades+'!$Y$26,"S-",IF(C205&lt;'PlayerGrades+'!$Y$25,"S","S+"))))))))))))))))))))</f>
        <v>#DIV/0!</v>
      </c>
      <c r="C205" s="1378" t="str">
        <f>('PlayerGrades+'!$Y$47*(VLOOKUP(E205, 'PlayerGrades+'!$X$3:$Y$23, 2, FALSE)))+('PlayerGrades+'!$Y$48*(VLOOKUP(G205, 'PlayerGrades+'!$X$3:$Y$23, 2, FALSE)))+('PlayerGrades+'!$Y$49*(VLOOKUP(I205, 'PlayerGrades+'!$X$3:$Y$23, 2, FALSE)))+('PlayerGrades+'!$Y$50*(VLOOKUP(K205, 'PlayerGrades+'!$X$3:$Y$23, 2, FALSE)))+('PlayerGrades+'!$Y$51*(VLOOKUP(M205, 'PlayerGrades+'!$X$3:$Y$23, 2, FALSE)))+('PlayerGrades+'!$Y$52*(VLOOKUP(O205, 'PlayerGrades+'!$X$3:$Y$23, 2, FALSE)))+('PlayerGrades+'!$Y$53*(VLOOKUP(Q205, 'PlayerGrades+'!$X$3:$Y$23, 2, FALSE)))+('PlayerGrades+'!$Y$54*(VLOOKUP(S205, 'PlayerGrades+'!$X$3:$Y$23, 2, FALSE)))+('PlayerGrades+'!$Y$55*(VLOOKUP(U205, 'PlayerGrades+'!$X$3:$Y$23, 2, FALSE)))</f>
        <v>#DIV/0!</v>
      </c>
      <c r="D205" s="961" t="str">
        <f t="shared" si="1"/>
        <v>#DIV/0!</v>
      </c>
      <c r="E205" s="961" t="str">
        <f>IF(D205&lt;'PlayerGrades+'!$AA$21,"F-",IF(D205&lt;'PlayerGrades+'!$AA$20,"F",IF(D205&lt;'PlayerGrades+'!$AA$19,"F+",IF(D205&lt;'PlayerGrades+'!$AA$18,"E-",IF(D205&lt;'PlayerGrades+'!$AA$17,"E",IF(D205&lt;'PlayerGrades+'!$AA$16,"E+",IF(D205&lt;'PlayerGrades+'!$AA$15,"D-",IF(D205&lt;'PlayerGrades+'!$AA$14,"D",IF(D205&lt;'PlayerGrades+'!$AA$13,"D+",IF(D205&lt;'PlayerGrades+'!$AA$12,"C-",IF(D205&lt;'PlayerGrades+'!$AA$11,"C",IF(D205&lt;'PlayerGrades+'!$AA$10,"C+",IF(D205&lt;'PlayerGrades+'!$AA$9,"B-",IF(D205&lt;'PlayerGrades+'!$AA$8,"B",IF(D205&lt;'PlayerGrades+'!$AA$7,"B+",IF(D205&lt;'PlayerGrades+'!$AA$6,"A-",IF(D205&lt;'PlayerGrades+'!$AA$5,"A",IF(D205&lt;'PlayerGrades+'!$AA$4,"A+",IF(D205&lt;'PlayerGrades+'!$AA$3,"S-",IF(D205&lt;'PlayerGrades+'!$AA$2,"S","S+"))))))))))))))))))))</f>
        <v>#DIV/0!</v>
      </c>
      <c r="F205" s="961" t="str">
        <f t="shared" si="2"/>
        <v>#DIV/0!</v>
      </c>
      <c r="G205" s="961" t="str">
        <f>IF(F205&lt;'PlayerGrades+'!$AB$21,"F-",IF(F205&lt;'PlayerGrades+'!$AB$20,"F",IF(F205&lt;'PlayerGrades+'!$AB$19,"F+",IF(F205&lt;'PlayerGrades+'!$AB$18,"E-",IF(F205&lt;'PlayerGrades+'!$AB$17,"E",IF(F205&lt;'PlayerGrades+'!$AB$16,"E+",IF(F205&lt;'PlayerGrades+'!$AB$15,"D-",IF(F205&lt;'PlayerGrades+'!$AB$14,"D",IF(F205&lt;'PlayerGrades+'!$AB$13,"D+",IF(F205&lt;'PlayerGrades+'!$AB$12,"C-",IF(F205&lt;'PlayerGrades+'!$AB$11,"C",IF(F205&lt;'PlayerGrades+'!$AB$10,"C+",IF(F205&lt;'PlayerGrades+'!$AB$9,"B-",IF(F205&lt;'PlayerGrades+'!$AB$8,"B",IF(F205&lt;'PlayerGrades+'!$AB$7,"B+",IF(F205&lt;'PlayerGrades+'!$AB$6,"A-",IF(F205&lt;'PlayerGrades+'!$AB$5,"A",IF(F205&lt;'PlayerGrades+'!$AB$4,"A+",IF(F205&lt;'PlayerGrades+'!$AB$3,"S-",IF(F205&lt;'PlayerGrades+'!$AB$2,"S","S+"))))))))))))))))))))</f>
        <v>#DIV/0!</v>
      </c>
      <c r="H205" s="961" t="str">
        <f t="shared" si="3"/>
        <v>#DIV/0!</v>
      </c>
      <c r="I205" s="961" t="str">
        <f>IF(H205&lt;'PlayerGrades+'!$AC$21,"F-",IF(H205&lt;'PlayerGrades+'!$AC$20,"F",IF(H205&lt;'PlayerGrades+'!$AC$19,"F+",IF(H205&lt;'PlayerGrades+'!$AC$18,"E-",IF(H205&lt;'PlayerGrades+'!$AC$17,"E",IF(H205&lt;'PlayerGrades+'!$AC$16,"E+",IF(H205&lt;'PlayerGrades+'!$AC$15,"D-",IF(H205&lt;'PlayerGrades+'!$AC$14,"D",IF(H205&lt;'PlayerGrades+'!$AC$13,"D+",IF(H205&lt;'PlayerGrades+'!$AC$12,"C-",IF(H205&lt;'PlayerGrades+'!$AC$11,"C",IF(H205&lt;'PlayerGrades+'!$AC$10,"C+",IF(H205&lt;'PlayerGrades+'!$AC$9,"B-",IF(H205&lt;'PlayerGrades+'!$AC$8,"B",IF(H205&lt;'PlayerGrades+'!$AC$7,"B+",IF(H205&lt;'PlayerGrades+'!$AC$6,"A-",IF(H205&lt;'PlayerGrades+'!$AC$5,"A",IF(H205&lt;'PlayerGrades+'!$AC$4,"A+",IF(H205&lt;'PlayerGrades+'!$AC$3,"S-",IF(H205&lt;'PlayerGrades+'!$AC$2,"S","S+"))))))))))))))))))))</f>
        <v>#DIV/0!</v>
      </c>
      <c r="J205" s="961" t="str">
        <f t="shared" si="4"/>
        <v>#DIV/0!</v>
      </c>
      <c r="K205" s="961" t="str">
        <f>IF(J205&lt;'PlayerGrades+'!$AD$21,"F-",IF(J205&lt;'PlayerGrades+'!$AD$20,"F",IF(J205&lt;'PlayerGrades+'!$AD$19,"F+",IF(J205&lt;'PlayerGrades+'!$AD$18,"E-",IF(J205&lt;'PlayerGrades+'!$AD$17,"E",IF(J205&lt;'PlayerGrades+'!$AD$16,"E+",IF(J205&lt;'PlayerGrades+'!$AD$15,"D-",IF(J205&lt;'PlayerGrades+'!$AD$14,"D",IF(J205&lt;'PlayerGrades+'!$AD$13,"D+",IF(J205&lt;'PlayerGrades+'!$AD$12,"C-",IF(J205&lt;'PlayerGrades+'!$AD$11,"C",IF(J205&lt;'PlayerGrades+'!$AD$10,"C+",IF(J205&lt;'PlayerGrades+'!$AD$9,"B-",IF(J205&lt;'PlayerGrades+'!$AD$8,"B",IF(J205&lt;'PlayerGrades+'!$AD$7,"B+",IF(J205&lt;'PlayerGrades+'!$AD$6,"A-",IF(J205&lt;'PlayerGrades+'!$AD$5,"A",IF(J205&lt;'PlayerGrades+'!$AD$4,"A+",IF(J205&lt;'PlayerGrades+'!$AD$3,"S-",IF(J205&lt;'PlayerGrades+'!$AD$2,"S","S+"))))))))))))))))))))</f>
        <v>#DIV/0!</v>
      </c>
      <c r="L205" s="1176" t="str">
        <f t="shared" si="5"/>
        <v>#DIV/0!</v>
      </c>
      <c r="M205" s="992" t="str">
        <f>IF(L205&lt;'PlayerGrades+'!$AE$21,"F-",IF(L205&lt;'PlayerGrades+'!$AE$20,"F",IF(L205&lt;'PlayerGrades+'!$AE$19,"F+",IF(L205&lt;'PlayerGrades+'!$AE$18,"E-",IF(L205&lt;'PlayerGrades+'!$AE$17,"E",IF(L205&lt;'PlayerGrades+'!$AE$16,"E+",IF(L205&lt;'PlayerGrades+'!$AE$15,"D-",IF(L205&lt;'PlayerGrades+'!$AE$14,"D",IF(L205&lt;'PlayerGrades+'!$AE$13,"D+",IF(L205&lt;'PlayerGrades+'!$AE$12,"C-",IF(L205&lt;'PlayerGrades+'!$AE$11,"C",IF(L205&lt;'PlayerGrades+'!$AE$10,"C+",IF(L205&lt;'PlayerGrades+'!$AE$9,"B-",IF(L205&lt;'PlayerGrades+'!$AE$8,"B",IF(L205&lt;'PlayerGrades+'!$AE$7,"B+",IF(L205&lt;'PlayerGrades+'!$AE$6,"A-",IF(L205&lt;'PlayerGrades+'!$AE$5,"A",IF(L205&lt;'PlayerGrades+'!$AE$4,"A+",IF(L205&lt;'PlayerGrades+'!$AE$3,"S-",IF(L205&lt;'PlayerGrades+'!$AE$2,"S","S+"))))))))))))))))))))</f>
        <v>#DIV/0!</v>
      </c>
      <c r="N205" s="961" t="str">
        <f t="shared" si="6"/>
        <v>#DIV/0!</v>
      </c>
      <c r="O205" s="961" t="str">
        <f>IF(N205&lt;'PlayerGrades+'!$AF$21,"F-",IF(N205&lt;'PlayerGrades+'!$AF$20,"F",IF(N205&lt;'PlayerGrades+'!$AF$19,"F+",IF(N205&lt;'PlayerGrades+'!$AF$18,"E-",IF(N205&lt;'PlayerGrades+'!$AF$17,"E",IF(N205&lt;'PlayerGrades+'!$AF$16,"E+",IF(N205&lt;'PlayerGrades+'!$AF$15,"D-",IF(N205&lt;'PlayerGrades+'!$AF$14,"D",IF(N205&lt;'PlayerGrades+'!$AF$13,"D+",IF(N205&lt;'PlayerGrades+'!$AF$12,"C-",IF(N205&lt;'PlayerGrades+'!$AF$11,"C",IF(N205&lt;'PlayerGrades+'!$AF$10,"C+",IF(N205&lt;'PlayerGrades+'!$AF$9,"B-",IF(N205&lt;'PlayerGrades+'!$AF$8,"B",IF(N205&lt;'PlayerGrades+'!$AF$7,"B+",IF(N205&lt;'PlayerGrades+'!$AF$6,"A-",IF(N205&lt;'PlayerGrades+'!$AF$5,"A",IF(N205&lt;'PlayerGrades+'!$AF$4,"A+",IF(N205&lt;'PlayerGrades+'!$AF$3,"S-",IF(N205&lt;'PlayerGrades+'!$AF$2,"S","S+"))))))))))))))))))))</f>
        <v>#DIV/0!</v>
      </c>
      <c r="P205" s="961" t="str">
        <f t="shared" si="7"/>
        <v>#DIV/0!</v>
      </c>
      <c r="Q205" s="961" t="str">
        <f>IF(P205&lt;'PlayerGrades+'!$AG$21,"F-",IF(P205&lt;'PlayerGrades+'!$AG$20,"F",IF(P205&lt;'PlayerGrades+'!$AG$19,"F+",IF(P205&lt;'PlayerGrades+'!$AG$18,"E-",IF(P205&lt;'PlayerGrades+'!$AG$17,"E",IF(P205&lt;'PlayerGrades+'!$AG$16,"E+",IF(P205&lt;'PlayerGrades+'!$AG$15,"D-",IF(P205&lt;'PlayerGrades+'!$AG$14,"D",IF(P205&lt;'PlayerGrades+'!$AG$13,"D+",IF(P205&lt;'PlayerGrades+'!$AG$12,"C-",IF(P205&lt;'PlayerGrades+'!$AG$11,"C",IF(P205&lt;'PlayerGrades+'!$AG$10,"C+",IF(P205&lt;'PlayerGrades+'!$AG$9,"B-",IF(P205&lt;'PlayerGrades+'!$AG$8,"B",IF(P205&lt;'PlayerGrades+'!$AG$7,"B+",IF(P205&lt;'PlayerGrades+'!$AG$6,"A-",IF(P205&lt;'PlayerGrades+'!$AG$5,"A",IF(P205&lt;'PlayerGrades+'!$AG$4,"A+",IF(P205&lt;'PlayerGrades+'!$AG$3,"S-",IF(P205&lt;'PlayerGrades+'!$AG$2,"S","S+"))))))))))))))))))))</f>
        <v>#DIV/0!</v>
      </c>
      <c r="R205" s="961" t="str">
        <f t="shared" si="8"/>
        <v>#DIV/0!</v>
      </c>
      <c r="S205" s="961" t="str">
        <f>IF(R205&lt;'PlayerGrades+'!$AH$21,"F-",IF(R205&lt;'PlayerGrades+'!$AH$20,"F",IF(R205&lt;'PlayerGrades+'!$AH$19,"F+",IF(R205&lt;'PlayerGrades+'!$AH$18,"E-",IF(R205&lt;'PlayerGrades+'!$AH$17,"E",IF(R205&lt;'PlayerGrades+'!$AH$16,"E+",IF(R205&lt;'PlayerGrades+'!$AH$15,"D-",IF(R205&lt;'PlayerGrades+'!$AH$14,"D",IF(R205&lt;'PlayerGrades+'!$AH$13,"D+",IF(R205&lt;'PlayerGrades+'!$AH$12,"C-",IF(R205&lt;'PlayerGrades+'!$AH$11,"C",IF(R205&lt;'PlayerGrades+'!$AH$10,"C+",IF(R205&lt;'PlayerGrades+'!$AH$9,"B-",IF(R205&lt;'PlayerGrades+'!$AH$8,"B",IF(R205&lt;'PlayerGrades+'!$AH$7,"B+",IF(R205&lt;'PlayerGrades+'!$AH$6,"A-",IF(R205&lt;'PlayerGrades+'!$AH$5,"A",IF(R205&lt;'PlayerGrades+'!$AH$4,"A+",IF(R205&lt;'PlayerGrades+'!$AH$3,"S-",IF(R205&lt;'PlayerGrades+'!$AH$2,"S","S+"))))))))))))))))))))</f>
        <v>#DIV/0!</v>
      </c>
      <c r="T205" s="961">
        <f t="shared" si="9"/>
        <v>0</v>
      </c>
      <c r="U205" s="961" t="str">
        <f>IF(T205&lt;'PlayerGrades+'!$AI$21,"F-",IF(T205&lt;'PlayerGrades+'!$AI$20,"F",IF(T205&lt;'PlayerGrades+'!$AI$19,"F+",IF(T205&lt;'PlayerGrades+'!$AI$18,"E-",IF(T205&lt;'PlayerGrades+'!$AI$17,"E",IF(T205&lt;'PlayerGrades+'!$AI$16,"E+",IF(T205&lt;'PlayerGrades+'!$AI$15,"D-",IF(T205&lt;'PlayerGrades+'!$AI$14,"D",IF(T205&lt;'PlayerGrades+'!$AI$13,"D+",IF(T205&lt;'PlayerGrades+'!$AI$12,"C-",IF(T205&lt;'PlayerGrades+'!$AI$11,"C",IF(T205&lt;'PlayerGrades+'!$AI$10,"C+",IF(T205&lt;'PlayerGrades+'!$AI$9,"B-",IF(T205&lt;'PlayerGrades+'!$AI$8,"B",IF(T205&lt;'PlayerGrades+'!$AI$7,"B+",IF(T205&lt;'PlayerGrades+'!$AI$6,"A-",IF(T205&lt;'PlayerGrades+'!$AI$5,"A",IF(T205&lt;'PlayerGrades+'!$AI$4,"A+",IF(T205&lt;'PlayerGrades+'!$AI$3,"S-",IF(T205&lt;'PlayerGrades+'!$AI$2,"S","S+"))))))))))))))))))))</f>
        <v>F-</v>
      </c>
      <c r="AC205" s="1392"/>
    </row>
    <row r="206">
      <c r="A206" s="1391"/>
      <c r="B206" s="611" t="str">
        <f>IF(C206&lt;'PlayerGrades+'!$Y$44,"F-",IF(C206&lt;'PlayerGrades+'!$Y$43,"F",IF(C206&lt;'PlayerGrades+'!$Y$42,"F+",IF(C206&lt;'PlayerGrades+'!$Y$41,"E-",IF(C206&lt;'PlayerGrades+'!$Y$40,"E",IF(C206&lt;'PlayerGrades+'!$Y$39,"E+",IF(C206&lt;'PlayerGrades+'!$Y$38,"D-",IF(C206&lt;'PlayerGrades+'!$Y$37,"D",IF(C206&lt;'PlayerGrades+'!$Y$36,"D+",IF(C206&lt;'PlayerGrades+'!$Y$35,"C-",IF(C206&lt;'PlayerGrades+'!$Y$34,"C",IF(C206&lt;'PlayerGrades+'!$Y$33,"C+",IF(C206&lt;'PlayerGrades+'!$Y$32,"B-",IF(C206&lt;'PlayerGrades+'!$Y$31,"B",IF(C206&lt;'PlayerGrades+'!$Y$30,"B+",IF(C206&lt;'PlayerGrades+'!$Y$29,"A-",IF(C206&lt;'PlayerGrades+'!$Y$28,"A",IF(C206&lt;'PlayerGrades+'!$Y$27,"A+",IF(C206&lt;'PlayerGrades+'!$Y$26,"S-",IF(C206&lt;'PlayerGrades+'!$Y$25,"S","S+"))))))))))))))))))))</f>
        <v>#DIV/0!</v>
      </c>
      <c r="C206" s="1378" t="str">
        <f>('PlayerGrades+'!$Y$47*(VLOOKUP(E206, 'PlayerGrades+'!$X$3:$Y$23, 2, FALSE)))+('PlayerGrades+'!$Y$48*(VLOOKUP(G206, 'PlayerGrades+'!$X$3:$Y$23, 2, FALSE)))+('PlayerGrades+'!$Y$49*(VLOOKUP(I206, 'PlayerGrades+'!$X$3:$Y$23, 2, FALSE)))+('PlayerGrades+'!$Y$50*(VLOOKUP(K206, 'PlayerGrades+'!$X$3:$Y$23, 2, FALSE)))+('PlayerGrades+'!$Y$51*(VLOOKUP(M206, 'PlayerGrades+'!$X$3:$Y$23, 2, FALSE)))+('PlayerGrades+'!$Y$52*(VLOOKUP(O206, 'PlayerGrades+'!$X$3:$Y$23, 2, FALSE)))+('PlayerGrades+'!$Y$53*(VLOOKUP(Q206, 'PlayerGrades+'!$X$3:$Y$23, 2, FALSE)))+('PlayerGrades+'!$Y$54*(VLOOKUP(S206, 'PlayerGrades+'!$X$3:$Y$23, 2, FALSE)))+('PlayerGrades+'!$Y$55*(VLOOKUP(U206, 'PlayerGrades+'!$X$3:$Y$23, 2, FALSE)))</f>
        <v>#DIV/0!</v>
      </c>
      <c r="D206" s="961" t="str">
        <f t="shared" si="1"/>
        <v>#DIV/0!</v>
      </c>
      <c r="E206" s="961" t="str">
        <f>IF(D206&lt;'PlayerGrades+'!$AA$21,"F-",IF(D206&lt;'PlayerGrades+'!$AA$20,"F",IF(D206&lt;'PlayerGrades+'!$AA$19,"F+",IF(D206&lt;'PlayerGrades+'!$AA$18,"E-",IF(D206&lt;'PlayerGrades+'!$AA$17,"E",IF(D206&lt;'PlayerGrades+'!$AA$16,"E+",IF(D206&lt;'PlayerGrades+'!$AA$15,"D-",IF(D206&lt;'PlayerGrades+'!$AA$14,"D",IF(D206&lt;'PlayerGrades+'!$AA$13,"D+",IF(D206&lt;'PlayerGrades+'!$AA$12,"C-",IF(D206&lt;'PlayerGrades+'!$AA$11,"C",IF(D206&lt;'PlayerGrades+'!$AA$10,"C+",IF(D206&lt;'PlayerGrades+'!$AA$9,"B-",IF(D206&lt;'PlayerGrades+'!$AA$8,"B",IF(D206&lt;'PlayerGrades+'!$AA$7,"B+",IF(D206&lt;'PlayerGrades+'!$AA$6,"A-",IF(D206&lt;'PlayerGrades+'!$AA$5,"A",IF(D206&lt;'PlayerGrades+'!$AA$4,"A+",IF(D206&lt;'PlayerGrades+'!$AA$3,"S-",IF(D206&lt;'PlayerGrades+'!$AA$2,"S","S+"))))))))))))))))))))</f>
        <v>#DIV/0!</v>
      </c>
      <c r="F206" s="961" t="str">
        <f t="shared" si="2"/>
        <v>#DIV/0!</v>
      </c>
      <c r="G206" s="961" t="str">
        <f>IF(F206&lt;'PlayerGrades+'!$AB$21,"F-",IF(F206&lt;'PlayerGrades+'!$AB$20,"F",IF(F206&lt;'PlayerGrades+'!$AB$19,"F+",IF(F206&lt;'PlayerGrades+'!$AB$18,"E-",IF(F206&lt;'PlayerGrades+'!$AB$17,"E",IF(F206&lt;'PlayerGrades+'!$AB$16,"E+",IF(F206&lt;'PlayerGrades+'!$AB$15,"D-",IF(F206&lt;'PlayerGrades+'!$AB$14,"D",IF(F206&lt;'PlayerGrades+'!$AB$13,"D+",IF(F206&lt;'PlayerGrades+'!$AB$12,"C-",IF(F206&lt;'PlayerGrades+'!$AB$11,"C",IF(F206&lt;'PlayerGrades+'!$AB$10,"C+",IF(F206&lt;'PlayerGrades+'!$AB$9,"B-",IF(F206&lt;'PlayerGrades+'!$AB$8,"B",IF(F206&lt;'PlayerGrades+'!$AB$7,"B+",IF(F206&lt;'PlayerGrades+'!$AB$6,"A-",IF(F206&lt;'PlayerGrades+'!$AB$5,"A",IF(F206&lt;'PlayerGrades+'!$AB$4,"A+",IF(F206&lt;'PlayerGrades+'!$AB$3,"S-",IF(F206&lt;'PlayerGrades+'!$AB$2,"S","S+"))))))))))))))))))))</f>
        <v>#DIV/0!</v>
      </c>
      <c r="H206" s="961" t="str">
        <f t="shared" si="3"/>
        <v>#DIV/0!</v>
      </c>
      <c r="I206" s="961" t="str">
        <f>IF(H206&lt;'PlayerGrades+'!$AC$21,"F-",IF(H206&lt;'PlayerGrades+'!$AC$20,"F",IF(H206&lt;'PlayerGrades+'!$AC$19,"F+",IF(H206&lt;'PlayerGrades+'!$AC$18,"E-",IF(H206&lt;'PlayerGrades+'!$AC$17,"E",IF(H206&lt;'PlayerGrades+'!$AC$16,"E+",IF(H206&lt;'PlayerGrades+'!$AC$15,"D-",IF(H206&lt;'PlayerGrades+'!$AC$14,"D",IF(H206&lt;'PlayerGrades+'!$AC$13,"D+",IF(H206&lt;'PlayerGrades+'!$AC$12,"C-",IF(H206&lt;'PlayerGrades+'!$AC$11,"C",IF(H206&lt;'PlayerGrades+'!$AC$10,"C+",IF(H206&lt;'PlayerGrades+'!$AC$9,"B-",IF(H206&lt;'PlayerGrades+'!$AC$8,"B",IF(H206&lt;'PlayerGrades+'!$AC$7,"B+",IF(H206&lt;'PlayerGrades+'!$AC$6,"A-",IF(H206&lt;'PlayerGrades+'!$AC$5,"A",IF(H206&lt;'PlayerGrades+'!$AC$4,"A+",IF(H206&lt;'PlayerGrades+'!$AC$3,"S-",IF(H206&lt;'PlayerGrades+'!$AC$2,"S","S+"))))))))))))))))))))</f>
        <v>#DIV/0!</v>
      </c>
      <c r="J206" s="961" t="str">
        <f t="shared" si="4"/>
        <v>#DIV/0!</v>
      </c>
      <c r="K206" s="961" t="str">
        <f>IF(J206&lt;'PlayerGrades+'!$AD$21,"F-",IF(J206&lt;'PlayerGrades+'!$AD$20,"F",IF(J206&lt;'PlayerGrades+'!$AD$19,"F+",IF(J206&lt;'PlayerGrades+'!$AD$18,"E-",IF(J206&lt;'PlayerGrades+'!$AD$17,"E",IF(J206&lt;'PlayerGrades+'!$AD$16,"E+",IF(J206&lt;'PlayerGrades+'!$AD$15,"D-",IF(J206&lt;'PlayerGrades+'!$AD$14,"D",IF(J206&lt;'PlayerGrades+'!$AD$13,"D+",IF(J206&lt;'PlayerGrades+'!$AD$12,"C-",IF(J206&lt;'PlayerGrades+'!$AD$11,"C",IF(J206&lt;'PlayerGrades+'!$AD$10,"C+",IF(J206&lt;'PlayerGrades+'!$AD$9,"B-",IF(J206&lt;'PlayerGrades+'!$AD$8,"B",IF(J206&lt;'PlayerGrades+'!$AD$7,"B+",IF(J206&lt;'PlayerGrades+'!$AD$6,"A-",IF(J206&lt;'PlayerGrades+'!$AD$5,"A",IF(J206&lt;'PlayerGrades+'!$AD$4,"A+",IF(J206&lt;'PlayerGrades+'!$AD$3,"S-",IF(J206&lt;'PlayerGrades+'!$AD$2,"S","S+"))))))))))))))))))))</f>
        <v>#DIV/0!</v>
      </c>
      <c r="L206" s="1176" t="str">
        <f t="shared" si="5"/>
        <v>#DIV/0!</v>
      </c>
      <c r="M206" s="992" t="str">
        <f>IF(L206&lt;'PlayerGrades+'!$AE$21,"F-",IF(L206&lt;'PlayerGrades+'!$AE$20,"F",IF(L206&lt;'PlayerGrades+'!$AE$19,"F+",IF(L206&lt;'PlayerGrades+'!$AE$18,"E-",IF(L206&lt;'PlayerGrades+'!$AE$17,"E",IF(L206&lt;'PlayerGrades+'!$AE$16,"E+",IF(L206&lt;'PlayerGrades+'!$AE$15,"D-",IF(L206&lt;'PlayerGrades+'!$AE$14,"D",IF(L206&lt;'PlayerGrades+'!$AE$13,"D+",IF(L206&lt;'PlayerGrades+'!$AE$12,"C-",IF(L206&lt;'PlayerGrades+'!$AE$11,"C",IF(L206&lt;'PlayerGrades+'!$AE$10,"C+",IF(L206&lt;'PlayerGrades+'!$AE$9,"B-",IF(L206&lt;'PlayerGrades+'!$AE$8,"B",IF(L206&lt;'PlayerGrades+'!$AE$7,"B+",IF(L206&lt;'PlayerGrades+'!$AE$6,"A-",IF(L206&lt;'PlayerGrades+'!$AE$5,"A",IF(L206&lt;'PlayerGrades+'!$AE$4,"A+",IF(L206&lt;'PlayerGrades+'!$AE$3,"S-",IF(L206&lt;'PlayerGrades+'!$AE$2,"S","S+"))))))))))))))))))))</f>
        <v>#DIV/0!</v>
      </c>
      <c r="N206" s="961" t="str">
        <f t="shared" si="6"/>
        <v>#DIV/0!</v>
      </c>
      <c r="O206" s="961" t="str">
        <f>IF(N206&lt;'PlayerGrades+'!$AF$21,"F-",IF(N206&lt;'PlayerGrades+'!$AF$20,"F",IF(N206&lt;'PlayerGrades+'!$AF$19,"F+",IF(N206&lt;'PlayerGrades+'!$AF$18,"E-",IF(N206&lt;'PlayerGrades+'!$AF$17,"E",IF(N206&lt;'PlayerGrades+'!$AF$16,"E+",IF(N206&lt;'PlayerGrades+'!$AF$15,"D-",IF(N206&lt;'PlayerGrades+'!$AF$14,"D",IF(N206&lt;'PlayerGrades+'!$AF$13,"D+",IF(N206&lt;'PlayerGrades+'!$AF$12,"C-",IF(N206&lt;'PlayerGrades+'!$AF$11,"C",IF(N206&lt;'PlayerGrades+'!$AF$10,"C+",IF(N206&lt;'PlayerGrades+'!$AF$9,"B-",IF(N206&lt;'PlayerGrades+'!$AF$8,"B",IF(N206&lt;'PlayerGrades+'!$AF$7,"B+",IF(N206&lt;'PlayerGrades+'!$AF$6,"A-",IF(N206&lt;'PlayerGrades+'!$AF$5,"A",IF(N206&lt;'PlayerGrades+'!$AF$4,"A+",IF(N206&lt;'PlayerGrades+'!$AF$3,"S-",IF(N206&lt;'PlayerGrades+'!$AF$2,"S","S+"))))))))))))))))))))</f>
        <v>#DIV/0!</v>
      </c>
      <c r="P206" s="961" t="str">
        <f t="shared" si="7"/>
        <v>#DIV/0!</v>
      </c>
      <c r="Q206" s="961" t="str">
        <f>IF(P206&lt;'PlayerGrades+'!$AG$21,"F-",IF(P206&lt;'PlayerGrades+'!$AG$20,"F",IF(P206&lt;'PlayerGrades+'!$AG$19,"F+",IF(P206&lt;'PlayerGrades+'!$AG$18,"E-",IF(P206&lt;'PlayerGrades+'!$AG$17,"E",IF(P206&lt;'PlayerGrades+'!$AG$16,"E+",IF(P206&lt;'PlayerGrades+'!$AG$15,"D-",IF(P206&lt;'PlayerGrades+'!$AG$14,"D",IF(P206&lt;'PlayerGrades+'!$AG$13,"D+",IF(P206&lt;'PlayerGrades+'!$AG$12,"C-",IF(P206&lt;'PlayerGrades+'!$AG$11,"C",IF(P206&lt;'PlayerGrades+'!$AG$10,"C+",IF(P206&lt;'PlayerGrades+'!$AG$9,"B-",IF(P206&lt;'PlayerGrades+'!$AG$8,"B",IF(P206&lt;'PlayerGrades+'!$AG$7,"B+",IF(P206&lt;'PlayerGrades+'!$AG$6,"A-",IF(P206&lt;'PlayerGrades+'!$AG$5,"A",IF(P206&lt;'PlayerGrades+'!$AG$4,"A+",IF(P206&lt;'PlayerGrades+'!$AG$3,"S-",IF(P206&lt;'PlayerGrades+'!$AG$2,"S","S+"))))))))))))))))))))</f>
        <v>#DIV/0!</v>
      </c>
      <c r="R206" s="961" t="str">
        <f t="shared" si="8"/>
        <v>#DIV/0!</v>
      </c>
      <c r="S206" s="961" t="str">
        <f>IF(R206&lt;'PlayerGrades+'!$AH$21,"F-",IF(R206&lt;'PlayerGrades+'!$AH$20,"F",IF(R206&lt;'PlayerGrades+'!$AH$19,"F+",IF(R206&lt;'PlayerGrades+'!$AH$18,"E-",IF(R206&lt;'PlayerGrades+'!$AH$17,"E",IF(R206&lt;'PlayerGrades+'!$AH$16,"E+",IF(R206&lt;'PlayerGrades+'!$AH$15,"D-",IF(R206&lt;'PlayerGrades+'!$AH$14,"D",IF(R206&lt;'PlayerGrades+'!$AH$13,"D+",IF(R206&lt;'PlayerGrades+'!$AH$12,"C-",IF(R206&lt;'PlayerGrades+'!$AH$11,"C",IF(R206&lt;'PlayerGrades+'!$AH$10,"C+",IF(R206&lt;'PlayerGrades+'!$AH$9,"B-",IF(R206&lt;'PlayerGrades+'!$AH$8,"B",IF(R206&lt;'PlayerGrades+'!$AH$7,"B+",IF(R206&lt;'PlayerGrades+'!$AH$6,"A-",IF(R206&lt;'PlayerGrades+'!$AH$5,"A",IF(R206&lt;'PlayerGrades+'!$AH$4,"A+",IF(R206&lt;'PlayerGrades+'!$AH$3,"S-",IF(R206&lt;'PlayerGrades+'!$AH$2,"S","S+"))))))))))))))))))))</f>
        <v>#DIV/0!</v>
      </c>
      <c r="T206" s="961">
        <f t="shared" si="9"/>
        <v>0</v>
      </c>
      <c r="U206" s="961" t="str">
        <f>IF(T206&lt;'PlayerGrades+'!$AI$21,"F-",IF(T206&lt;'PlayerGrades+'!$AI$20,"F",IF(T206&lt;'PlayerGrades+'!$AI$19,"F+",IF(T206&lt;'PlayerGrades+'!$AI$18,"E-",IF(T206&lt;'PlayerGrades+'!$AI$17,"E",IF(T206&lt;'PlayerGrades+'!$AI$16,"E+",IF(T206&lt;'PlayerGrades+'!$AI$15,"D-",IF(T206&lt;'PlayerGrades+'!$AI$14,"D",IF(T206&lt;'PlayerGrades+'!$AI$13,"D+",IF(T206&lt;'PlayerGrades+'!$AI$12,"C-",IF(T206&lt;'PlayerGrades+'!$AI$11,"C",IF(T206&lt;'PlayerGrades+'!$AI$10,"C+",IF(T206&lt;'PlayerGrades+'!$AI$9,"B-",IF(T206&lt;'PlayerGrades+'!$AI$8,"B",IF(T206&lt;'PlayerGrades+'!$AI$7,"B+",IF(T206&lt;'PlayerGrades+'!$AI$6,"A-",IF(T206&lt;'PlayerGrades+'!$AI$5,"A",IF(T206&lt;'PlayerGrades+'!$AI$4,"A+",IF(T206&lt;'PlayerGrades+'!$AI$3,"S-",IF(T206&lt;'PlayerGrades+'!$AI$2,"S","S+"))))))))))))))))))))</f>
        <v>F-</v>
      </c>
      <c r="AC206" s="1392"/>
    </row>
    <row r="207">
      <c r="A207" s="1391"/>
      <c r="B207" s="611" t="str">
        <f>IF(C207&lt;'PlayerGrades+'!$Y$44,"F-",IF(C207&lt;'PlayerGrades+'!$Y$43,"F",IF(C207&lt;'PlayerGrades+'!$Y$42,"F+",IF(C207&lt;'PlayerGrades+'!$Y$41,"E-",IF(C207&lt;'PlayerGrades+'!$Y$40,"E",IF(C207&lt;'PlayerGrades+'!$Y$39,"E+",IF(C207&lt;'PlayerGrades+'!$Y$38,"D-",IF(C207&lt;'PlayerGrades+'!$Y$37,"D",IF(C207&lt;'PlayerGrades+'!$Y$36,"D+",IF(C207&lt;'PlayerGrades+'!$Y$35,"C-",IF(C207&lt;'PlayerGrades+'!$Y$34,"C",IF(C207&lt;'PlayerGrades+'!$Y$33,"C+",IF(C207&lt;'PlayerGrades+'!$Y$32,"B-",IF(C207&lt;'PlayerGrades+'!$Y$31,"B",IF(C207&lt;'PlayerGrades+'!$Y$30,"B+",IF(C207&lt;'PlayerGrades+'!$Y$29,"A-",IF(C207&lt;'PlayerGrades+'!$Y$28,"A",IF(C207&lt;'PlayerGrades+'!$Y$27,"A+",IF(C207&lt;'PlayerGrades+'!$Y$26,"S-",IF(C207&lt;'PlayerGrades+'!$Y$25,"S","S+"))))))))))))))))))))</f>
        <v>#DIV/0!</v>
      </c>
      <c r="C207" s="1378" t="str">
        <f>('PlayerGrades+'!$Y$47*(VLOOKUP(E207, 'PlayerGrades+'!$X$3:$Y$23, 2, FALSE)))+('PlayerGrades+'!$Y$48*(VLOOKUP(G207, 'PlayerGrades+'!$X$3:$Y$23, 2, FALSE)))+('PlayerGrades+'!$Y$49*(VLOOKUP(I207, 'PlayerGrades+'!$X$3:$Y$23, 2, FALSE)))+('PlayerGrades+'!$Y$50*(VLOOKUP(K207, 'PlayerGrades+'!$X$3:$Y$23, 2, FALSE)))+('PlayerGrades+'!$Y$51*(VLOOKUP(M207, 'PlayerGrades+'!$X$3:$Y$23, 2, FALSE)))+('PlayerGrades+'!$Y$52*(VLOOKUP(O207, 'PlayerGrades+'!$X$3:$Y$23, 2, FALSE)))+('PlayerGrades+'!$Y$53*(VLOOKUP(Q207, 'PlayerGrades+'!$X$3:$Y$23, 2, FALSE)))+('PlayerGrades+'!$Y$54*(VLOOKUP(S207, 'PlayerGrades+'!$X$3:$Y$23, 2, FALSE)))+('PlayerGrades+'!$Y$55*(VLOOKUP(U207, 'PlayerGrades+'!$X$3:$Y$23, 2, FALSE)))</f>
        <v>#DIV/0!</v>
      </c>
      <c r="D207" s="961" t="str">
        <f t="shared" si="1"/>
        <v>#DIV/0!</v>
      </c>
      <c r="E207" s="961" t="str">
        <f>IF(D207&lt;'PlayerGrades+'!$AA$21,"F-",IF(D207&lt;'PlayerGrades+'!$AA$20,"F",IF(D207&lt;'PlayerGrades+'!$AA$19,"F+",IF(D207&lt;'PlayerGrades+'!$AA$18,"E-",IF(D207&lt;'PlayerGrades+'!$AA$17,"E",IF(D207&lt;'PlayerGrades+'!$AA$16,"E+",IF(D207&lt;'PlayerGrades+'!$AA$15,"D-",IF(D207&lt;'PlayerGrades+'!$AA$14,"D",IF(D207&lt;'PlayerGrades+'!$AA$13,"D+",IF(D207&lt;'PlayerGrades+'!$AA$12,"C-",IF(D207&lt;'PlayerGrades+'!$AA$11,"C",IF(D207&lt;'PlayerGrades+'!$AA$10,"C+",IF(D207&lt;'PlayerGrades+'!$AA$9,"B-",IF(D207&lt;'PlayerGrades+'!$AA$8,"B",IF(D207&lt;'PlayerGrades+'!$AA$7,"B+",IF(D207&lt;'PlayerGrades+'!$AA$6,"A-",IF(D207&lt;'PlayerGrades+'!$AA$5,"A",IF(D207&lt;'PlayerGrades+'!$AA$4,"A+",IF(D207&lt;'PlayerGrades+'!$AA$3,"S-",IF(D207&lt;'PlayerGrades+'!$AA$2,"S","S+"))))))))))))))))))))</f>
        <v>#DIV/0!</v>
      </c>
      <c r="F207" s="961" t="str">
        <f t="shared" si="2"/>
        <v>#DIV/0!</v>
      </c>
      <c r="G207" s="961" t="str">
        <f>IF(F207&lt;'PlayerGrades+'!$AB$21,"F-",IF(F207&lt;'PlayerGrades+'!$AB$20,"F",IF(F207&lt;'PlayerGrades+'!$AB$19,"F+",IF(F207&lt;'PlayerGrades+'!$AB$18,"E-",IF(F207&lt;'PlayerGrades+'!$AB$17,"E",IF(F207&lt;'PlayerGrades+'!$AB$16,"E+",IF(F207&lt;'PlayerGrades+'!$AB$15,"D-",IF(F207&lt;'PlayerGrades+'!$AB$14,"D",IF(F207&lt;'PlayerGrades+'!$AB$13,"D+",IF(F207&lt;'PlayerGrades+'!$AB$12,"C-",IF(F207&lt;'PlayerGrades+'!$AB$11,"C",IF(F207&lt;'PlayerGrades+'!$AB$10,"C+",IF(F207&lt;'PlayerGrades+'!$AB$9,"B-",IF(F207&lt;'PlayerGrades+'!$AB$8,"B",IF(F207&lt;'PlayerGrades+'!$AB$7,"B+",IF(F207&lt;'PlayerGrades+'!$AB$6,"A-",IF(F207&lt;'PlayerGrades+'!$AB$5,"A",IF(F207&lt;'PlayerGrades+'!$AB$4,"A+",IF(F207&lt;'PlayerGrades+'!$AB$3,"S-",IF(F207&lt;'PlayerGrades+'!$AB$2,"S","S+"))))))))))))))))))))</f>
        <v>#DIV/0!</v>
      </c>
      <c r="H207" s="961" t="str">
        <f t="shared" si="3"/>
        <v>#DIV/0!</v>
      </c>
      <c r="I207" s="961" t="str">
        <f>IF(H207&lt;'PlayerGrades+'!$AC$21,"F-",IF(H207&lt;'PlayerGrades+'!$AC$20,"F",IF(H207&lt;'PlayerGrades+'!$AC$19,"F+",IF(H207&lt;'PlayerGrades+'!$AC$18,"E-",IF(H207&lt;'PlayerGrades+'!$AC$17,"E",IF(H207&lt;'PlayerGrades+'!$AC$16,"E+",IF(H207&lt;'PlayerGrades+'!$AC$15,"D-",IF(H207&lt;'PlayerGrades+'!$AC$14,"D",IF(H207&lt;'PlayerGrades+'!$AC$13,"D+",IF(H207&lt;'PlayerGrades+'!$AC$12,"C-",IF(H207&lt;'PlayerGrades+'!$AC$11,"C",IF(H207&lt;'PlayerGrades+'!$AC$10,"C+",IF(H207&lt;'PlayerGrades+'!$AC$9,"B-",IF(H207&lt;'PlayerGrades+'!$AC$8,"B",IF(H207&lt;'PlayerGrades+'!$AC$7,"B+",IF(H207&lt;'PlayerGrades+'!$AC$6,"A-",IF(H207&lt;'PlayerGrades+'!$AC$5,"A",IF(H207&lt;'PlayerGrades+'!$AC$4,"A+",IF(H207&lt;'PlayerGrades+'!$AC$3,"S-",IF(H207&lt;'PlayerGrades+'!$AC$2,"S","S+"))))))))))))))))))))</f>
        <v>#DIV/0!</v>
      </c>
      <c r="J207" s="961" t="str">
        <f t="shared" si="4"/>
        <v>#DIV/0!</v>
      </c>
      <c r="K207" s="961" t="str">
        <f>IF(J207&lt;'PlayerGrades+'!$AD$21,"F-",IF(J207&lt;'PlayerGrades+'!$AD$20,"F",IF(J207&lt;'PlayerGrades+'!$AD$19,"F+",IF(J207&lt;'PlayerGrades+'!$AD$18,"E-",IF(J207&lt;'PlayerGrades+'!$AD$17,"E",IF(J207&lt;'PlayerGrades+'!$AD$16,"E+",IF(J207&lt;'PlayerGrades+'!$AD$15,"D-",IF(J207&lt;'PlayerGrades+'!$AD$14,"D",IF(J207&lt;'PlayerGrades+'!$AD$13,"D+",IF(J207&lt;'PlayerGrades+'!$AD$12,"C-",IF(J207&lt;'PlayerGrades+'!$AD$11,"C",IF(J207&lt;'PlayerGrades+'!$AD$10,"C+",IF(J207&lt;'PlayerGrades+'!$AD$9,"B-",IF(J207&lt;'PlayerGrades+'!$AD$8,"B",IF(J207&lt;'PlayerGrades+'!$AD$7,"B+",IF(J207&lt;'PlayerGrades+'!$AD$6,"A-",IF(J207&lt;'PlayerGrades+'!$AD$5,"A",IF(J207&lt;'PlayerGrades+'!$AD$4,"A+",IF(J207&lt;'PlayerGrades+'!$AD$3,"S-",IF(J207&lt;'PlayerGrades+'!$AD$2,"S","S+"))))))))))))))))))))</f>
        <v>#DIV/0!</v>
      </c>
      <c r="L207" s="1176" t="str">
        <f t="shared" si="5"/>
        <v>#DIV/0!</v>
      </c>
      <c r="M207" s="992" t="str">
        <f>IF(L207&lt;'PlayerGrades+'!$AE$21,"F-",IF(L207&lt;'PlayerGrades+'!$AE$20,"F",IF(L207&lt;'PlayerGrades+'!$AE$19,"F+",IF(L207&lt;'PlayerGrades+'!$AE$18,"E-",IF(L207&lt;'PlayerGrades+'!$AE$17,"E",IF(L207&lt;'PlayerGrades+'!$AE$16,"E+",IF(L207&lt;'PlayerGrades+'!$AE$15,"D-",IF(L207&lt;'PlayerGrades+'!$AE$14,"D",IF(L207&lt;'PlayerGrades+'!$AE$13,"D+",IF(L207&lt;'PlayerGrades+'!$AE$12,"C-",IF(L207&lt;'PlayerGrades+'!$AE$11,"C",IF(L207&lt;'PlayerGrades+'!$AE$10,"C+",IF(L207&lt;'PlayerGrades+'!$AE$9,"B-",IF(L207&lt;'PlayerGrades+'!$AE$8,"B",IF(L207&lt;'PlayerGrades+'!$AE$7,"B+",IF(L207&lt;'PlayerGrades+'!$AE$6,"A-",IF(L207&lt;'PlayerGrades+'!$AE$5,"A",IF(L207&lt;'PlayerGrades+'!$AE$4,"A+",IF(L207&lt;'PlayerGrades+'!$AE$3,"S-",IF(L207&lt;'PlayerGrades+'!$AE$2,"S","S+"))))))))))))))))))))</f>
        <v>#DIV/0!</v>
      </c>
      <c r="N207" s="961" t="str">
        <f t="shared" si="6"/>
        <v>#DIV/0!</v>
      </c>
      <c r="O207" s="961" t="str">
        <f>IF(N207&lt;'PlayerGrades+'!$AF$21,"F-",IF(N207&lt;'PlayerGrades+'!$AF$20,"F",IF(N207&lt;'PlayerGrades+'!$AF$19,"F+",IF(N207&lt;'PlayerGrades+'!$AF$18,"E-",IF(N207&lt;'PlayerGrades+'!$AF$17,"E",IF(N207&lt;'PlayerGrades+'!$AF$16,"E+",IF(N207&lt;'PlayerGrades+'!$AF$15,"D-",IF(N207&lt;'PlayerGrades+'!$AF$14,"D",IF(N207&lt;'PlayerGrades+'!$AF$13,"D+",IF(N207&lt;'PlayerGrades+'!$AF$12,"C-",IF(N207&lt;'PlayerGrades+'!$AF$11,"C",IF(N207&lt;'PlayerGrades+'!$AF$10,"C+",IF(N207&lt;'PlayerGrades+'!$AF$9,"B-",IF(N207&lt;'PlayerGrades+'!$AF$8,"B",IF(N207&lt;'PlayerGrades+'!$AF$7,"B+",IF(N207&lt;'PlayerGrades+'!$AF$6,"A-",IF(N207&lt;'PlayerGrades+'!$AF$5,"A",IF(N207&lt;'PlayerGrades+'!$AF$4,"A+",IF(N207&lt;'PlayerGrades+'!$AF$3,"S-",IF(N207&lt;'PlayerGrades+'!$AF$2,"S","S+"))))))))))))))))))))</f>
        <v>#DIV/0!</v>
      </c>
      <c r="P207" s="961" t="str">
        <f t="shared" si="7"/>
        <v>#DIV/0!</v>
      </c>
      <c r="Q207" s="961" t="str">
        <f>IF(P207&lt;'PlayerGrades+'!$AG$21,"F-",IF(P207&lt;'PlayerGrades+'!$AG$20,"F",IF(P207&lt;'PlayerGrades+'!$AG$19,"F+",IF(P207&lt;'PlayerGrades+'!$AG$18,"E-",IF(P207&lt;'PlayerGrades+'!$AG$17,"E",IF(P207&lt;'PlayerGrades+'!$AG$16,"E+",IF(P207&lt;'PlayerGrades+'!$AG$15,"D-",IF(P207&lt;'PlayerGrades+'!$AG$14,"D",IF(P207&lt;'PlayerGrades+'!$AG$13,"D+",IF(P207&lt;'PlayerGrades+'!$AG$12,"C-",IF(P207&lt;'PlayerGrades+'!$AG$11,"C",IF(P207&lt;'PlayerGrades+'!$AG$10,"C+",IF(P207&lt;'PlayerGrades+'!$AG$9,"B-",IF(P207&lt;'PlayerGrades+'!$AG$8,"B",IF(P207&lt;'PlayerGrades+'!$AG$7,"B+",IF(P207&lt;'PlayerGrades+'!$AG$6,"A-",IF(P207&lt;'PlayerGrades+'!$AG$5,"A",IF(P207&lt;'PlayerGrades+'!$AG$4,"A+",IF(P207&lt;'PlayerGrades+'!$AG$3,"S-",IF(P207&lt;'PlayerGrades+'!$AG$2,"S","S+"))))))))))))))))))))</f>
        <v>#DIV/0!</v>
      </c>
      <c r="R207" s="961" t="str">
        <f t="shared" si="8"/>
        <v>#DIV/0!</v>
      </c>
      <c r="S207" s="961" t="str">
        <f>IF(R207&lt;'PlayerGrades+'!$AH$21,"F-",IF(R207&lt;'PlayerGrades+'!$AH$20,"F",IF(R207&lt;'PlayerGrades+'!$AH$19,"F+",IF(R207&lt;'PlayerGrades+'!$AH$18,"E-",IF(R207&lt;'PlayerGrades+'!$AH$17,"E",IF(R207&lt;'PlayerGrades+'!$AH$16,"E+",IF(R207&lt;'PlayerGrades+'!$AH$15,"D-",IF(R207&lt;'PlayerGrades+'!$AH$14,"D",IF(R207&lt;'PlayerGrades+'!$AH$13,"D+",IF(R207&lt;'PlayerGrades+'!$AH$12,"C-",IF(R207&lt;'PlayerGrades+'!$AH$11,"C",IF(R207&lt;'PlayerGrades+'!$AH$10,"C+",IF(R207&lt;'PlayerGrades+'!$AH$9,"B-",IF(R207&lt;'PlayerGrades+'!$AH$8,"B",IF(R207&lt;'PlayerGrades+'!$AH$7,"B+",IF(R207&lt;'PlayerGrades+'!$AH$6,"A-",IF(R207&lt;'PlayerGrades+'!$AH$5,"A",IF(R207&lt;'PlayerGrades+'!$AH$4,"A+",IF(R207&lt;'PlayerGrades+'!$AH$3,"S-",IF(R207&lt;'PlayerGrades+'!$AH$2,"S","S+"))))))))))))))))))))</f>
        <v>#DIV/0!</v>
      </c>
      <c r="T207" s="961">
        <f t="shared" si="9"/>
        <v>0</v>
      </c>
      <c r="U207" s="961" t="str">
        <f>IF(T207&lt;'PlayerGrades+'!$AI$21,"F-",IF(T207&lt;'PlayerGrades+'!$AI$20,"F",IF(T207&lt;'PlayerGrades+'!$AI$19,"F+",IF(T207&lt;'PlayerGrades+'!$AI$18,"E-",IF(T207&lt;'PlayerGrades+'!$AI$17,"E",IF(T207&lt;'PlayerGrades+'!$AI$16,"E+",IF(T207&lt;'PlayerGrades+'!$AI$15,"D-",IF(T207&lt;'PlayerGrades+'!$AI$14,"D",IF(T207&lt;'PlayerGrades+'!$AI$13,"D+",IF(T207&lt;'PlayerGrades+'!$AI$12,"C-",IF(T207&lt;'PlayerGrades+'!$AI$11,"C",IF(T207&lt;'PlayerGrades+'!$AI$10,"C+",IF(T207&lt;'PlayerGrades+'!$AI$9,"B-",IF(T207&lt;'PlayerGrades+'!$AI$8,"B",IF(T207&lt;'PlayerGrades+'!$AI$7,"B+",IF(T207&lt;'PlayerGrades+'!$AI$6,"A-",IF(T207&lt;'PlayerGrades+'!$AI$5,"A",IF(T207&lt;'PlayerGrades+'!$AI$4,"A+",IF(T207&lt;'PlayerGrades+'!$AI$3,"S-",IF(T207&lt;'PlayerGrades+'!$AI$2,"S","S+"))))))))))))))))))))</f>
        <v>F-</v>
      </c>
      <c r="AC207" s="1392"/>
    </row>
    <row r="208">
      <c r="A208" s="1391"/>
      <c r="B208" s="611" t="str">
        <f>IF(C208&lt;'PlayerGrades+'!$Y$44,"F-",IF(C208&lt;'PlayerGrades+'!$Y$43,"F",IF(C208&lt;'PlayerGrades+'!$Y$42,"F+",IF(C208&lt;'PlayerGrades+'!$Y$41,"E-",IF(C208&lt;'PlayerGrades+'!$Y$40,"E",IF(C208&lt;'PlayerGrades+'!$Y$39,"E+",IF(C208&lt;'PlayerGrades+'!$Y$38,"D-",IF(C208&lt;'PlayerGrades+'!$Y$37,"D",IF(C208&lt;'PlayerGrades+'!$Y$36,"D+",IF(C208&lt;'PlayerGrades+'!$Y$35,"C-",IF(C208&lt;'PlayerGrades+'!$Y$34,"C",IF(C208&lt;'PlayerGrades+'!$Y$33,"C+",IF(C208&lt;'PlayerGrades+'!$Y$32,"B-",IF(C208&lt;'PlayerGrades+'!$Y$31,"B",IF(C208&lt;'PlayerGrades+'!$Y$30,"B+",IF(C208&lt;'PlayerGrades+'!$Y$29,"A-",IF(C208&lt;'PlayerGrades+'!$Y$28,"A",IF(C208&lt;'PlayerGrades+'!$Y$27,"A+",IF(C208&lt;'PlayerGrades+'!$Y$26,"S-",IF(C208&lt;'PlayerGrades+'!$Y$25,"S","S+"))))))))))))))))))))</f>
        <v>#DIV/0!</v>
      </c>
      <c r="C208" s="1378" t="str">
        <f>('PlayerGrades+'!$Y$47*(VLOOKUP(E208, 'PlayerGrades+'!$X$3:$Y$23, 2, FALSE)))+('PlayerGrades+'!$Y$48*(VLOOKUP(G208, 'PlayerGrades+'!$X$3:$Y$23, 2, FALSE)))+('PlayerGrades+'!$Y$49*(VLOOKUP(I208, 'PlayerGrades+'!$X$3:$Y$23, 2, FALSE)))+('PlayerGrades+'!$Y$50*(VLOOKUP(K208, 'PlayerGrades+'!$X$3:$Y$23, 2, FALSE)))+('PlayerGrades+'!$Y$51*(VLOOKUP(M208, 'PlayerGrades+'!$X$3:$Y$23, 2, FALSE)))+('PlayerGrades+'!$Y$52*(VLOOKUP(O208, 'PlayerGrades+'!$X$3:$Y$23, 2, FALSE)))+('PlayerGrades+'!$Y$53*(VLOOKUP(Q208, 'PlayerGrades+'!$X$3:$Y$23, 2, FALSE)))+('PlayerGrades+'!$Y$54*(VLOOKUP(S208, 'PlayerGrades+'!$X$3:$Y$23, 2, FALSE)))+('PlayerGrades+'!$Y$55*(VLOOKUP(U208, 'PlayerGrades+'!$X$3:$Y$23, 2, FALSE)))</f>
        <v>#DIV/0!</v>
      </c>
      <c r="D208" s="961" t="str">
        <f t="shared" si="1"/>
        <v>#DIV/0!</v>
      </c>
      <c r="E208" s="961" t="str">
        <f>IF(D208&lt;'PlayerGrades+'!$AA$21,"F-",IF(D208&lt;'PlayerGrades+'!$AA$20,"F",IF(D208&lt;'PlayerGrades+'!$AA$19,"F+",IF(D208&lt;'PlayerGrades+'!$AA$18,"E-",IF(D208&lt;'PlayerGrades+'!$AA$17,"E",IF(D208&lt;'PlayerGrades+'!$AA$16,"E+",IF(D208&lt;'PlayerGrades+'!$AA$15,"D-",IF(D208&lt;'PlayerGrades+'!$AA$14,"D",IF(D208&lt;'PlayerGrades+'!$AA$13,"D+",IF(D208&lt;'PlayerGrades+'!$AA$12,"C-",IF(D208&lt;'PlayerGrades+'!$AA$11,"C",IF(D208&lt;'PlayerGrades+'!$AA$10,"C+",IF(D208&lt;'PlayerGrades+'!$AA$9,"B-",IF(D208&lt;'PlayerGrades+'!$AA$8,"B",IF(D208&lt;'PlayerGrades+'!$AA$7,"B+",IF(D208&lt;'PlayerGrades+'!$AA$6,"A-",IF(D208&lt;'PlayerGrades+'!$AA$5,"A",IF(D208&lt;'PlayerGrades+'!$AA$4,"A+",IF(D208&lt;'PlayerGrades+'!$AA$3,"S-",IF(D208&lt;'PlayerGrades+'!$AA$2,"S","S+"))))))))))))))))))))</f>
        <v>#DIV/0!</v>
      </c>
      <c r="F208" s="961" t="str">
        <f t="shared" si="2"/>
        <v>#DIV/0!</v>
      </c>
      <c r="G208" s="961" t="str">
        <f>IF(F208&lt;'PlayerGrades+'!$AB$21,"F-",IF(F208&lt;'PlayerGrades+'!$AB$20,"F",IF(F208&lt;'PlayerGrades+'!$AB$19,"F+",IF(F208&lt;'PlayerGrades+'!$AB$18,"E-",IF(F208&lt;'PlayerGrades+'!$AB$17,"E",IF(F208&lt;'PlayerGrades+'!$AB$16,"E+",IF(F208&lt;'PlayerGrades+'!$AB$15,"D-",IF(F208&lt;'PlayerGrades+'!$AB$14,"D",IF(F208&lt;'PlayerGrades+'!$AB$13,"D+",IF(F208&lt;'PlayerGrades+'!$AB$12,"C-",IF(F208&lt;'PlayerGrades+'!$AB$11,"C",IF(F208&lt;'PlayerGrades+'!$AB$10,"C+",IF(F208&lt;'PlayerGrades+'!$AB$9,"B-",IF(F208&lt;'PlayerGrades+'!$AB$8,"B",IF(F208&lt;'PlayerGrades+'!$AB$7,"B+",IF(F208&lt;'PlayerGrades+'!$AB$6,"A-",IF(F208&lt;'PlayerGrades+'!$AB$5,"A",IF(F208&lt;'PlayerGrades+'!$AB$4,"A+",IF(F208&lt;'PlayerGrades+'!$AB$3,"S-",IF(F208&lt;'PlayerGrades+'!$AB$2,"S","S+"))))))))))))))))))))</f>
        <v>#DIV/0!</v>
      </c>
      <c r="H208" s="961" t="str">
        <f t="shared" si="3"/>
        <v>#DIV/0!</v>
      </c>
      <c r="I208" s="961" t="str">
        <f>IF(H208&lt;'PlayerGrades+'!$AC$21,"F-",IF(H208&lt;'PlayerGrades+'!$AC$20,"F",IF(H208&lt;'PlayerGrades+'!$AC$19,"F+",IF(H208&lt;'PlayerGrades+'!$AC$18,"E-",IF(H208&lt;'PlayerGrades+'!$AC$17,"E",IF(H208&lt;'PlayerGrades+'!$AC$16,"E+",IF(H208&lt;'PlayerGrades+'!$AC$15,"D-",IF(H208&lt;'PlayerGrades+'!$AC$14,"D",IF(H208&lt;'PlayerGrades+'!$AC$13,"D+",IF(H208&lt;'PlayerGrades+'!$AC$12,"C-",IF(H208&lt;'PlayerGrades+'!$AC$11,"C",IF(H208&lt;'PlayerGrades+'!$AC$10,"C+",IF(H208&lt;'PlayerGrades+'!$AC$9,"B-",IF(H208&lt;'PlayerGrades+'!$AC$8,"B",IF(H208&lt;'PlayerGrades+'!$AC$7,"B+",IF(H208&lt;'PlayerGrades+'!$AC$6,"A-",IF(H208&lt;'PlayerGrades+'!$AC$5,"A",IF(H208&lt;'PlayerGrades+'!$AC$4,"A+",IF(H208&lt;'PlayerGrades+'!$AC$3,"S-",IF(H208&lt;'PlayerGrades+'!$AC$2,"S","S+"))))))))))))))))))))</f>
        <v>#DIV/0!</v>
      </c>
      <c r="J208" s="961" t="str">
        <f t="shared" si="4"/>
        <v>#DIV/0!</v>
      </c>
      <c r="K208" s="961" t="str">
        <f>IF(J208&lt;'PlayerGrades+'!$AD$21,"F-",IF(J208&lt;'PlayerGrades+'!$AD$20,"F",IF(J208&lt;'PlayerGrades+'!$AD$19,"F+",IF(J208&lt;'PlayerGrades+'!$AD$18,"E-",IF(J208&lt;'PlayerGrades+'!$AD$17,"E",IF(J208&lt;'PlayerGrades+'!$AD$16,"E+",IF(J208&lt;'PlayerGrades+'!$AD$15,"D-",IF(J208&lt;'PlayerGrades+'!$AD$14,"D",IF(J208&lt;'PlayerGrades+'!$AD$13,"D+",IF(J208&lt;'PlayerGrades+'!$AD$12,"C-",IF(J208&lt;'PlayerGrades+'!$AD$11,"C",IF(J208&lt;'PlayerGrades+'!$AD$10,"C+",IF(J208&lt;'PlayerGrades+'!$AD$9,"B-",IF(J208&lt;'PlayerGrades+'!$AD$8,"B",IF(J208&lt;'PlayerGrades+'!$AD$7,"B+",IF(J208&lt;'PlayerGrades+'!$AD$6,"A-",IF(J208&lt;'PlayerGrades+'!$AD$5,"A",IF(J208&lt;'PlayerGrades+'!$AD$4,"A+",IF(J208&lt;'PlayerGrades+'!$AD$3,"S-",IF(J208&lt;'PlayerGrades+'!$AD$2,"S","S+"))))))))))))))))))))</f>
        <v>#DIV/0!</v>
      </c>
      <c r="L208" s="1176" t="str">
        <f t="shared" si="5"/>
        <v>#DIV/0!</v>
      </c>
      <c r="M208" s="992" t="str">
        <f>IF(L208&lt;'PlayerGrades+'!$AE$21,"F-",IF(L208&lt;'PlayerGrades+'!$AE$20,"F",IF(L208&lt;'PlayerGrades+'!$AE$19,"F+",IF(L208&lt;'PlayerGrades+'!$AE$18,"E-",IF(L208&lt;'PlayerGrades+'!$AE$17,"E",IF(L208&lt;'PlayerGrades+'!$AE$16,"E+",IF(L208&lt;'PlayerGrades+'!$AE$15,"D-",IF(L208&lt;'PlayerGrades+'!$AE$14,"D",IF(L208&lt;'PlayerGrades+'!$AE$13,"D+",IF(L208&lt;'PlayerGrades+'!$AE$12,"C-",IF(L208&lt;'PlayerGrades+'!$AE$11,"C",IF(L208&lt;'PlayerGrades+'!$AE$10,"C+",IF(L208&lt;'PlayerGrades+'!$AE$9,"B-",IF(L208&lt;'PlayerGrades+'!$AE$8,"B",IF(L208&lt;'PlayerGrades+'!$AE$7,"B+",IF(L208&lt;'PlayerGrades+'!$AE$6,"A-",IF(L208&lt;'PlayerGrades+'!$AE$5,"A",IF(L208&lt;'PlayerGrades+'!$AE$4,"A+",IF(L208&lt;'PlayerGrades+'!$AE$3,"S-",IF(L208&lt;'PlayerGrades+'!$AE$2,"S","S+"))))))))))))))))))))</f>
        <v>#DIV/0!</v>
      </c>
      <c r="N208" s="961" t="str">
        <f t="shared" si="6"/>
        <v>#DIV/0!</v>
      </c>
      <c r="O208" s="961" t="str">
        <f>IF(N208&lt;'PlayerGrades+'!$AF$21,"F-",IF(N208&lt;'PlayerGrades+'!$AF$20,"F",IF(N208&lt;'PlayerGrades+'!$AF$19,"F+",IF(N208&lt;'PlayerGrades+'!$AF$18,"E-",IF(N208&lt;'PlayerGrades+'!$AF$17,"E",IF(N208&lt;'PlayerGrades+'!$AF$16,"E+",IF(N208&lt;'PlayerGrades+'!$AF$15,"D-",IF(N208&lt;'PlayerGrades+'!$AF$14,"D",IF(N208&lt;'PlayerGrades+'!$AF$13,"D+",IF(N208&lt;'PlayerGrades+'!$AF$12,"C-",IF(N208&lt;'PlayerGrades+'!$AF$11,"C",IF(N208&lt;'PlayerGrades+'!$AF$10,"C+",IF(N208&lt;'PlayerGrades+'!$AF$9,"B-",IF(N208&lt;'PlayerGrades+'!$AF$8,"B",IF(N208&lt;'PlayerGrades+'!$AF$7,"B+",IF(N208&lt;'PlayerGrades+'!$AF$6,"A-",IF(N208&lt;'PlayerGrades+'!$AF$5,"A",IF(N208&lt;'PlayerGrades+'!$AF$4,"A+",IF(N208&lt;'PlayerGrades+'!$AF$3,"S-",IF(N208&lt;'PlayerGrades+'!$AF$2,"S","S+"))))))))))))))))))))</f>
        <v>#DIV/0!</v>
      </c>
      <c r="P208" s="961" t="str">
        <f t="shared" si="7"/>
        <v>#DIV/0!</v>
      </c>
      <c r="Q208" s="961" t="str">
        <f>IF(P208&lt;'PlayerGrades+'!$AG$21,"F-",IF(P208&lt;'PlayerGrades+'!$AG$20,"F",IF(P208&lt;'PlayerGrades+'!$AG$19,"F+",IF(P208&lt;'PlayerGrades+'!$AG$18,"E-",IF(P208&lt;'PlayerGrades+'!$AG$17,"E",IF(P208&lt;'PlayerGrades+'!$AG$16,"E+",IF(P208&lt;'PlayerGrades+'!$AG$15,"D-",IF(P208&lt;'PlayerGrades+'!$AG$14,"D",IF(P208&lt;'PlayerGrades+'!$AG$13,"D+",IF(P208&lt;'PlayerGrades+'!$AG$12,"C-",IF(P208&lt;'PlayerGrades+'!$AG$11,"C",IF(P208&lt;'PlayerGrades+'!$AG$10,"C+",IF(P208&lt;'PlayerGrades+'!$AG$9,"B-",IF(P208&lt;'PlayerGrades+'!$AG$8,"B",IF(P208&lt;'PlayerGrades+'!$AG$7,"B+",IF(P208&lt;'PlayerGrades+'!$AG$6,"A-",IF(P208&lt;'PlayerGrades+'!$AG$5,"A",IF(P208&lt;'PlayerGrades+'!$AG$4,"A+",IF(P208&lt;'PlayerGrades+'!$AG$3,"S-",IF(P208&lt;'PlayerGrades+'!$AG$2,"S","S+"))))))))))))))))))))</f>
        <v>#DIV/0!</v>
      </c>
      <c r="R208" s="961" t="str">
        <f t="shared" si="8"/>
        <v>#DIV/0!</v>
      </c>
      <c r="S208" s="961" t="str">
        <f>IF(R208&lt;'PlayerGrades+'!$AH$21,"F-",IF(R208&lt;'PlayerGrades+'!$AH$20,"F",IF(R208&lt;'PlayerGrades+'!$AH$19,"F+",IF(R208&lt;'PlayerGrades+'!$AH$18,"E-",IF(R208&lt;'PlayerGrades+'!$AH$17,"E",IF(R208&lt;'PlayerGrades+'!$AH$16,"E+",IF(R208&lt;'PlayerGrades+'!$AH$15,"D-",IF(R208&lt;'PlayerGrades+'!$AH$14,"D",IF(R208&lt;'PlayerGrades+'!$AH$13,"D+",IF(R208&lt;'PlayerGrades+'!$AH$12,"C-",IF(R208&lt;'PlayerGrades+'!$AH$11,"C",IF(R208&lt;'PlayerGrades+'!$AH$10,"C+",IF(R208&lt;'PlayerGrades+'!$AH$9,"B-",IF(R208&lt;'PlayerGrades+'!$AH$8,"B",IF(R208&lt;'PlayerGrades+'!$AH$7,"B+",IF(R208&lt;'PlayerGrades+'!$AH$6,"A-",IF(R208&lt;'PlayerGrades+'!$AH$5,"A",IF(R208&lt;'PlayerGrades+'!$AH$4,"A+",IF(R208&lt;'PlayerGrades+'!$AH$3,"S-",IF(R208&lt;'PlayerGrades+'!$AH$2,"S","S+"))))))))))))))))))))</f>
        <v>#DIV/0!</v>
      </c>
      <c r="T208" s="961">
        <f t="shared" si="9"/>
        <v>0</v>
      </c>
      <c r="U208" s="961" t="str">
        <f>IF(T208&lt;'PlayerGrades+'!$AI$21,"F-",IF(T208&lt;'PlayerGrades+'!$AI$20,"F",IF(T208&lt;'PlayerGrades+'!$AI$19,"F+",IF(T208&lt;'PlayerGrades+'!$AI$18,"E-",IF(T208&lt;'PlayerGrades+'!$AI$17,"E",IF(T208&lt;'PlayerGrades+'!$AI$16,"E+",IF(T208&lt;'PlayerGrades+'!$AI$15,"D-",IF(T208&lt;'PlayerGrades+'!$AI$14,"D",IF(T208&lt;'PlayerGrades+'!$AI$13,"D+",IF(T208&lt;'PlayerGrades+'!$AI$12,"C-",IF(T208&lt;'PlayerGrades+'!$AI$11,"C",IF(T208&lt;'PlayerGrades+'!$AI$10,"C+",IF(T208&lt;'PlayerGrades+'!$AI$9,"B-",IF(T208&lt;'PlayerGrades+'!$AI$8,"B",IF(T208&lt;'PlayerGrades+'!$AI$7,"B+",IF(T208&lt;'PlayerGrades+'!$AI$6,"A-",IF(T208&lt;'PlayerGrades+'!$AI$5,"A",IF(T208&lt;'PlayerGrades+'!$AI$4,"A+",IF(T208&lt;'PlayerGrades+'!$AI$3,"S-",IF(T208&lt;'PlayerGrades+'!$AI$2,"S","S+"))))))))))))))))))))</f>
        <v>F-</v>
      </c>
      <c r="AC208" s="1392"/>
    </row>
    <row r="209">
      <c r="A209" s="1393"/>
      <c r="B209" s="611" t="str">
        <f>IF(C209&lt;'PlayerGrades+'!$Y$44,"F-",IF(C209&lt;'PlayerGrades+'!$Y$43,"F",IF(C209&lt;'PlayerGrades+'!$Y$42,"F+",IF(C209&lt;'PlayerGrades+'!$Y$41,"E-",IF(C209&lt;'PlayerGrades+'!$Y$40,"E",IF(C209&lt;'PlayerGrades+'!$Y$39,"E+",IF(C209&lt;'PlayerGrades+'!$Y$38,"D-",IF(C209&lt;'PlayerGrades+'!$Y$37,"D",IF(C209&lt;'PlayerGrades+'!$Y$36,"D+",IF(C209&lt;'PlayerGrades+'!$Y$35,"C-",IF(C209&lt;'PlayerGrades+'!$Y$34,"C",IF(C209&lt;'PlayerGrades+'!$Y$33,"C+",IF(C209&lt;'PlayerGrades+'!$Y$32,"B-",IF(C209&lt;'PlayerGrades+'!$Y$31,"B",IF(C209&lt;'PlayerGrades+'!$Y$30,"B+",IF(C209&lt;'PlayerGrades+'!$Y$29,"A-",IF(C209&lt;'PlayerGrades+'!$Y$28,"A",IF(C209&lt;'PlayerGrades+'!$Y$27,"A+",IF(C209&lt;'PlayerGrades+'!$Y$26,"S-",IF(C209&lt;'PlayerGrades+'!$Y$25,"S","S+"))))))))))))))))))))</f>
        <v>#DIV/0!</v>
      </c>
      <c r="C209" s="1378" t="str">
        <f>('PlayerGrades+'!$Y$47*(VLOOKUP(E209, 'PlayerGrades+'!$X$3:$Y$23, 2, FALSE)))+('PlayerGrades+'!$Y$48*(VLOOKUP(G209, 'PlayerGrades+'!$X$3:$Y$23, 2, FALSE)))+('PlayerGrades+'!$Y$49*(VLOOKUP(I209, 'PlayerGrades+'!$X$3:$Y$23, 2, FALSE)))+('PlayerGrades+'!$Y$50*(VLOOKUP(K209, 'PlayerGrades+'!$X$3:$Y$23, 2, FALSE)))+('PlayerGrades+'!$Y$51*(VLOOKUP(M209, 'PlayerGrades+'!$X$3:$Y$23, 2, FALSE)))+('PlayerGrades+'!$Y$52*(VLOOKUP(O209, 'PlayerGrades+'!$X$3:$Y$23, 2, FALSE)))+('PlayerGrades+'!$Y$53*(VLOOKUP(Q209, 'PlayerGrades+'!$X$3:$Y$23, 2, FALSE)))+('PlayerGrades+'!$Y$54*(VLOOKUP(S209, 'PlayerGrades+'!$X$3:$Y$23, 2, FALSE)))+('PlayerGrades+'!$Y$55*(VLOOKUP(U209, 'PlayerGrades+'!$X$3:$Y$23, 2, FALSE)))</f>
        <v>#DIV/0!</v>
      </c>
      <c r="D209" s="961" t="str">
        <f t="shared" si="1"/>
        <v>#DIV/0!</v>
      </c>
      <c r="E209" s="961" t="str">
        <f>IF(D209&lt;'PlayerGrades+'!$AA$21,"F-",IF(D209&lt;'PlayerGrades+'!$AA$20,"F",IF(D209&lt;'PlayerGrades+'!$AA$19,"F+",IF(D209&lt;'PlayerGrades+'!$AA$18,"E-",IF(D209&lt;'PlayerGrades+'!$AA$17,"E",IF(D209&lt;'PlayerGrades+'!$AA$16,"E+",IF(D209&lt;'PlayerGrades+'!$AA$15,"D-",IF(D209&lt;'PlayerGrades+'!$AA$14,"D",IF(D209&lt;'PlayerGrades+'!$AA$13,"D+",IF(D209&lt;'PlayerGrades+'!$AA$12,"C-",IF(D209&lt;'PlayerGrades+'!$AA$11,"C",IF(D209&lt;'PlayerGrades+'!$AA$10,"C+",IF(D209&lt;'PlayerGrades+'!$AA$9,"B-",IF(D209&lt;'PlayerGrades+'!$AA$8,"B",IF(D209&lt;'PlayerGrades+'!$AA$7,"B+",IF(D209&lt;'PlayerGrades+'!$AA$6,"A-",IF(D209&lt;'PlayerGrades+'!$AA$5,"A",IF(D209&lt;'PlayerGrades+'!$AA$4,"A+",IF(D209&lt;'PlayerGrades+'!$AA$3,"S-",IF(D209&lt;'PlayerGrades+'!$AA$2,"S","S+"))))))))))))))))))))</f>
        <v>#DIV/0!</v>
      </c>
      <c r="F209" s="961" t="str">
        <f t="shared" si="2"/>
        <v>#DIV/0!</v>
      </c>
      <c r="G209" s="961" t="str">
        <f>IF(F209&lt;'PlayerGrades+'!$AB$21,"F-",IF(F209&lt;'PlayerGrades+'!$AB$20,"F",IF(F209&lt;'PlayerGrades+'!$AB$19,"F+",IF(F209&lt;'PlayerGrades+'!$AB$18,"E-",IF(F209&lt;'PlayerGrades+'!$AB$17,"E",IF(F209&lt;'PlayerGrades+'!$AB$16,"E+",IF(F209&lt;'PlayerGrades+'!$AB$15,"D-",IF(F209&lt;'PlayerGrades+'!$AB$14,"D",IF(F209&lt;'PlayerGrades+'!$AB$13,"D+",IF(F209&lt;'PlayerGrades+'!$AB$12,"C-",IF(F209&lt;'PlayerGrades+'!$AB$11,"C",IF(F209&lt;'PlayerGrades+'!$AB$10,"C+",IF(F209&lt;'PlayerGrades+'!$AB$9,"B-",IF(F209&lt;'PlayerGrades+'!$AB$8,"B",IF(F209&lt;'PlayerGrades+'!$AB$7,"B+",IF(F209&lt;'PlayerGrades+'!$AB$6,"A-",IF(F209&lt;'PlayerGrades+'!$AB$5,"A",IF(F209&lt;'PlayerGrades+'!$AB$4,"A+",IF(F209&lt;'PlayerGrades+'!$AB$3,"S-",IF(F209&lt;'PlayerGrades+'!$AB$2,"S","S+"))))))))))))))))))))</f>
        <v>#DIV/0!</v>
      </c>
      <c r="H209" s="961" t="str">
        <f t="shared" si="3"/>
        <v>#DIV/0!</v>
      </c>
      <c r="I209" s="961" t="str">
        <f>IF(H209&lt;'PlayerGrades+'!$AC$21,"F-",IF(H209&lt;'PlayerGrades+'!$AC$20,"F",IF(H209&lt;'PlayerGrades+'!$AC$19,"F+",IF(H209&lt;'PlayerGrades+'!$AC$18,"E-",IF(H209&lt;'PlayerGrades+'!$AC$17,"E",IF(H209&lt;'PlayerGrades+'!$AC$16,"E+",IF(H209&lt;'PlayerGrades+'!$AC$15,"D-",IF(H209&lt;'PlayerGrades+'!$AC$14,"D",IF(H209&lt;'PlayerGrades+'!$AC$13,"D+",IF(H209&lt;'PlayerGrades+'!$AC$12,"C-",IF(H209&lt;'PlayerGrades+'!$AC$11,"C",IF(H209&lt;'PlayerGrades+'!$AC$10,"C+",IF(H209&lt;'PlayerGrades+'!$AC$9,"B-",IF(H209&lt;'PlayerGrades+'!$AC$8,"B",IF(H209&lt;'PlayerGrades+'!$AC$7,"B+",IF(H209&lt;'PlayerGrades+'!$AC$6,"A-",IF(H209&lt;'PlayerGrades+'!$AC$5,"A",IF(H209&lt;'PlayerGrades+'!$AC$4,"A+",IF(H209&lt;'PlayerGrades+'!$AC$3,"S-",IF(H209&lt;'PlayerGrades+'!$AC$2,"S","S+"))))))))))))))))))))</f>
        <v>#DIV/0!</v>
      </c>
      <c r="J209" s="961" t="str">
        <f t="shared" si="4"/>
        <v>#DIV/0!</v>
      </c>
      <c r="K209" s="961" t="str">
        <f>IF(J209&lt;'PlayerGrades+'!$AD$21,"F-",IF(J209&lt;'PlayerGrades+'!$AD$20,"F",IF(J209&lt;'PlayerGrades+'!$AD$19,"F+",IF(J209&lt;'PlayerGrades+'!$AD$18,"E-",IF(J209&lt;'PlayerGrades+'!$AD$17,"E",IF(J209&lt;'PlayerGrades+'!$AD$16,"E+",IF(J209&lt;'PlayerGrades+'!$AD$15,"D-",IF(J209&lt;'PlayerGrades+'!$AD$14,"D",IF(J209&lt;'PlayerGrades+'!$AD$13,"D+",IF(J209&lt;'PlayerGrades+'!$AD$12,"C-",IF(J209&lt;'PlayerGrades+'!$AD$11,"C",IF(J209&lt;'PlayerGrades+'!$AD$10,"C+",IF(J209&lt;'PlayerGrades+'!$AD$9,"B-",IF(J209&lt;'PlayerGrades+'!$AD$8,"B",IF(J209&lt;'PlayerGrades+'!$AD$7,"B+",IF(J209&lt;'PlayerGrades+'!$AD$6,"A-",IF(J209&lt;'PlayerGrades+'!$AD$5,"A",IF(J209&lt;'PlayerGrades+'!$AD$4,"A+",IF(J209&lt;'PlayerGrades+'!$AD$3,"S-",IF(J209&lt;'PlayerGrades+'!$AD$2,"S","S+"))))))))))))))))))))</f>
        <v>#DIV/0!</v>
      </c>
      <c r="L209" s="1176" t="str">
        <f t="shared" si="5"/>
        <v>#DIV/0!</v>
      </c>
      <c r="M209" s="992" t="str">
        <f>IF(L209&lt;'PlayerGrades+'!$AE$21,"F-",IF(L209&lt;'PlayerGrades+'!$AE$20,"F",IF(L209&lt;'PlayerGrades+'!$AE$19,"F+",IF(L209&lt;'PlayerGrades+'!$AE$18,"E-",IF(L209&lt;'PlayerGrades+'!$AE$17,"E",IF(L209&lt;'PlayerGrades+'!$AE$16,"E+",IF(L209&lt;'PlayerGrades+'!$AE$15,"D-",IF(L209&lt;'PlayerGrades+'!$AE$14,"D",IF(L209&lt;'PlayerGrades+'!$AE$13,"D+",IF(L209&lt;'PlayerGrades+'!$AE$12,"C-",IF(L209&lt;'PlayerGrades+'!$AE$11,"C",IF(L209&lt;'PlayerGrades+'!$AE$10,"C+",IF(L209&lt;'PlayerGrades+'!$AE$9,"B-",IF(L209&lt;'PlayerGrades+'!$AE$8,"B",IF(L209&lt;'PlayerGrades+'!$AE$7,"B+",IF(L209&lt;'PlayerGrades+'!$AE$6,"A-",IF(L209&lt;'PlayerGrades+'!$AE$5,"A",IF(L209&lt;'PlayerGrades+'!$AE$4,"A+",IF(L209&lt;'PlayerGrades+'!$AE$3,"S-",IF(L209&lt;'PlayerGrades+'!$AE$2,"S","S+"))))))))))))))))))))</f>
        <v>#DIV/0!</v>
      </c>
      <c r="N209" s="961" t="str">
        <f t="shared" si="6"/>
        <v>#DIV/0!</v>
      </c>
      <c r="O209" s="961" t="str">
        <f>IF(N209&lt;'PlayerGrades+'!$AF$21,"F-",IF(N209&lt;'PlayerGrades+'!$AF$20,"F",IF(N209&lt;'PlayerGrades+'!$AF$19,"F+",IF(N209&lt;'PlayerGrades+'!$AF$18,"E-",IF(N209&lt;'PlayerGrades+'!$AF$17,"E",IF(N209&lt;'PlayerGrades+'!$AF$16,"E+",IF(N209&lt;'PlayerGrades+'!$AF$15,"D-",IF(N209&lt;'PlayerGrades+'!$AF$14,"D",IF(N209&lt;'PlayerGrades+'!$AF$13,"D+",IF(N209&lt;'PlayerGrades+'!$AF$12,"C-",IF(N209&lt;'PlayerGrades+'!$AF$11,"C",IF(N209&lt;'PlayerGrades+'!$AF$10,"C+",IF(N209&lt;'PlayerGrades+'!$AF$9,"B-",IF(N209&lt;'PlayerGrades+'!$AF$8,"B",IF(N209&lt;'PlayerGrades+'!$AF$7,"B+",IF(N209&lt;'PlayerGrades+'!$AF$6,"A-",IF(N209&lt;'PlayerGrades+'!$AF$5,"A",IF(N209&lt;'PlayerGrades+'!$AF$4,"A+",IF(N209&lt;'PlayerGrades+'!$AF$3,"S-",IF(N209&lt;'PlayerGrades+'!$AF$2,"S","S+"))))))))))))))))))))</f>
        <v>#DIV/0!</v>
      </c>
      <c r="P209" s="961" t="str">
        <f t="shared" si="7"/>
        <v>#DIV/0!</v>
      </c>
      <c r="Q209" s="961" t="str">
        <f>IF(P209&lt;'PlayerGrades+'!$AG$21,"F-",IF(P209&lt;'PlayerGrades+'!$AG$20,"F",IF(P209&lt;'PlayerGrades+'!$AG$19,"F+",IF(P209&lt;'PlayerGrades+'!$AG$18,"E-",IF(P209&lt;'PlayerGrades+'!$AG$17,"E",IF(P209&lt;'PlayerGrades+'!$AG$16,"E+",IF(P209&lt;'PlayerGrades+'!$AG$15,"D-",IF(P209&lt;'PlayerGrades+'!$AG$14,"D",IF(P209&lt;'PlayerGrades+'!$AG$13,"D+",IF(P209&lt;'PlayerGrades+'!$AG$12,"C-",IF(P209&lt;'PlayerGrades+'!$AG$11,"C",IF(P209&lt;'PlayerGrades+'!$AG$10,"C+",IF(P209&lt;'PlayerGrades+'!$AG$9,"B-",IF(P209&lt;'PlayerGrades+'!$AG$8,"B",IF(P209&lt;'PlayerGrades+'!$AG$7,"B+",IF(P209&lt;'PlayerGrades+'!$AG$6,"A-",IF(P209&lt;'PlayerGrades+'!$AG$5,"A",IF(P209&lt;'PlayerGrades+'!$AG$4,"A+",IF(P209&lt;'PlayerGrades+'!$AG$3,"S-",IF(P209&lt;'PlayerGrades+'!$AG$2,"S","S+"))))))))))))))))))))</f>
        <v>#DIV/0!</v>
      </c>
      <c r="R209" s="961" t="str">
        <f t="shared" si="8"/>
        <v>#DIV/0!</v>
      </c>
      <c r="S209" s="961" t="str">
        <f>IF(R209&lt;'PlayerGrades+'!$AH$21,"F-",IF(R209&lt;'PlayerGrades+'!$AH$20,"F",IF(R209&lt;'PlayerGrades+'!$AH$19,"F+",IF(R209&lt;'PlayerGrades+'!$AH$18,"E-",IF(R209&lt;'PlayerGrades+'!$AH$17,"E",IF(R209&lt;'PlayerGrades+'!$AH$16,"E+",IF(R209&lt;'PlayerGrades+'!$AH$15,"D-",IF(R209&lt;'PlayerGrades+'!$AH$14,"D",IF(R209&lt;'PlayerGrades+'!$AH$13,"D+",IF(R209&lt;'PlayerGrades+'!$AH$12,"C-",IF(R209&lt;'PlayerGrades+'!$AH$11,"C",IF(R209&lt;'PlayerGrades+'!$AH$10,"C+",IF(R209&lt;'PlayerGrades+'!$AH$9,"B-",IF(R209&lt;'PlayerGrades+'!$AH$8,"B",IF(R209&lt;'PlayerGrades+'!$AH$7,"B+",IF(R209&lt;'PlayerGrades+'!$AH$6,"A-",IF(R209&lt;'PlayerGrades+'!$AH$5,"A",IF(R209&lt;'PlayerGrades+'!$AH$4,"A+",IF(R209&lt;'PlayerGrades+'!$AH$3,"S-",IF(R209&lt;'PlayerGrades+'!$AH$2,"S","S+"))))))))))))))))))))</f>
        <v>#DIV/0!</v>
      </c>
      <c r="T209" s="961">
        <f t="shared" si="9"/>
        <v>0</v>
      </c>
      <c r="U209" s="961" t="str">
        <f>IF(T209&lt;'PlayerGrades+'!$AI$21,"F-",IF(T209&lt;'PlayerGrades+'!$AI$20,"F",IF(T209&lt;'PlayerGrades+'!$AI$19,"F+",IF(T209&lt;'PlayerGrades+'!$AI$18,"E-",IF(T209&lt;'PlayerGrades+'!$AI$17,"E",IF(T209&lt;'PlayerGrades+'!$AI$16,"E+",IF(T209&lt;'PlayerGrades+'!$AI$15,"D-",IF(T209&lt;'PlayerGrades+'!$AI$14,"D",IF(T209&lt;'PlayerGrades+'!$AI$13,"D+",IF(T209&lt;'PlayerGrades+'!$AI$12,"C-",IF(T209&lt;'PlayerGrades+'!$AI$11,"C",IF(T209&lt;'PlayerGrades+'!$AI$10,"C+",IF(T209&lt;'PlayerGrades+'!$AI$9,"B-",IF(T209&lt;'PlayerGrades+'!$AI$8,"B",IF(T209&lt;'PlayerGrades+'!$AI$7,"B+",IF(T209&lt;'PlayerGrades+'!$AI$6,"A-",IF(T209&lt;'PlayerGrades+'!$AI$5,"A",IF(T209&lt;'PlayerGrades+'!$AI$4,"A+",IF(T209&lt;'PlayerGrades+'!$AI$3,"S-",IF(T209&lt;'PlayerGrades+'!$AI$2,"S","S+"))))))))))))))))))))</f>
        <v>F-</v>
      </c>
      <c r="V209" s="1386"/>
      <c r="W209" s="1386"/>
      <c r="X209" s="1386"/>
      <c r="Y209" s="1386"/>
      <c r="Z209" s="1386"/>
      <c r="AA209" s="1386"/>
      <c r="AB209" s="1386"/>
      <c r="AC209" s="1397"/>
      <c r="AD209" s="1386"/>
      <c r="AE209" s="1386"/>
      <c r="AF209" s="1386"/>
      <c r="AG209" s="1386"/>
      <c r="AH209" s="1386"/>
      <c r="AI209" s="1386"/>
      <c r="AJ209" s="1386"/>
      <c r="AK209" s="1386"/>
      <c r="AL209" s="1386"/>
      <c r="AM209" s="1386"/>
      <c r="AN209" s="1386"/>
      <c r="AO209" s="1386"/>
      <c r="AP209" s="1386"/>
      <c r="AQ209" s="1386"/>
      <c r="AR209" s="1386"/>
      <c r="AS209" s="1386"/>
      <c r="AT209" s="1386"/>
      <c r="AU209" s="1386"/>
      <c r="AV209" s="1386"/>
      <c r="AW209" s="1386"/>
      <c r="AX209" s="1386"/>
      <c r="AY209" s="1386"/>
      <c r="AZ209" s="1386"/>
    </row>
    <row r="210">
      <c r="A210" s="1389"/>
      <c r="B210" s="611" t="str">
        <f>IF(C210&lt;'PlayerGrades+'!$Y$44,"F-",IF(C210&lt;'PlayerGrades+'!$Y$43,"F",IF(C210&lt;'PlayerGrades+'!$Y$42,"F+",IF(C210&lt;'PlayerGrades+'!$Y$41,"E-",IF(C210&lt;'PlayerGrades+'!$Y$40,"E",IF(C210&lt;'PlayerGrades+'!$Y$39,"E+",IF(C210&lt;'PlayerGrades+'!$Y$38,"D-",IF(C210&lt;'PlayerGrades+'!$Y$37,"D",IF(C210&lt;'PlayerGrades+'!$Y$36,"D+",IF(C210&lt;'PlayerGrades+'!$Y$35,"C-",IF(C210&lt;'PlayerGrades+'!$Y$34,"C",IF(C210&lt;'PlayerGrades+'!$Y$33,"C+",IF(C210&lt;'PlayerGrades+'!$Y$32,"B-",IF(C210&lt;'PlayerGrades+'!$Y$31,"B",IF(C210&lt;'PlayerGrades+'!$Y$30,"B+",IF(C210&lt;'PlayerGrades+'!$Y$29,"A-",IF(C210&lt;'PlayerGrades+'!$Y$28,"A",IF(C210&lt;'PlayerGrades+'!$Y$27,"A+",IF(C210&lt;'PlayerGrades+'!$Y$26,"S-",IF(C210&lt;'PlayerGrades+'!$Y$25,"S","S+"))))))))))))))))))))</f>
        <v>#DIV/0!</v>
      </c>
      <c r="C210" s="1378" t="str">
        <f>('PlayerGrades+'!$Y$47*(VLOOKUP(E210, 'PlayerGrades+'!$X$3:$Y$23, 2, FALSE)))+('PlayerGrades+'!$Y$48*(VLOOKUP(G210, 'PlayerGrades+'!$X$3:$Y$23, 2, FALSE)))+('PlayerGrades+'!$Y$49*(VLOOKUP(I210, 'PlayerGrades+'!$X$3:$Y$23, 2, FALSE)))+('PlayerGrades+'!$Y$50*(VLOOKUP(K210, 'PlayerGrades+'!$X$3:$Y$23, 2, FALSE)))+('PlayerGrades+'!$Y$51*(VLOOKUP(M210, 'PlayerGrades+'!$X$3:$Y$23, 2, FALSE)))+('PlayerGrades+'!$Y$52*(VLOOKUP(O210, 'PlayerGrades+'!$X$3:$Y$23, 2, FALSE)))+('PlayerGrades+'!$Y$53*(VLOOKUP(Q210, 'PlayerGrades+'!$X$3:$Y$23, 2, FALSE)))+('PlayerGrades+'!$Y$54*(VLOOKUP(S210, 'PlayerGrades+'!$X$3:$Y$23, 2, FALSE)))+('PlayerGrades+'!$Y$55*(VLOOKUP(U210, 'PlayerGrades+'!$X$3:$Y$23, 2, FALSE)))</f>
        <v>#DIV/0!</v>
      </c>
      <c r="D210" s="961" t="str">
        <f t="shared" si="1"/>
        <v>#DIV/0!</v>
      </c>
      <c r="E210" s="961" t="str">
        <f>IF(D210&lt;'PlayerGrades+'!$AA$21,"F-",IF(D210&lt;'PlayerGrades+'!$AA$20,"F",IF(D210&lt;'PlayerGrades+'!$AA$19,"F+",IF(D210&lt;'PlayerGrades+'!$AA$18,"E-",IF(D210&lt;'PlayerGrades+'!$AA$17,"E",IF(D210&lt;'PlayerGrades+'!$AA$16,"E+",IF(D210&lt;'PlayerGrades+'!$AA$15,"D-",IF(D210&lt;'PlayerGrades+'!$AA$14,"D",IF(D210&lt;'PlayerGrades+'!$AA$13,"D+",IF(D210&lt;'PlayerGrades+'!$AA$12,"C-",IF(D210&lt;'PlayerGrades+'!$AA$11,"C",IF(D210&lt;'PlayerGrades+'!$AA$10,"C+",IF(D210&lt;'PlayerGrades+'!$AA$9,"B-",IF(D210&lt;'PlayerGrades+'!$AA$8,"B",IF(D210&lt;'PlayerGrades+'!$AA$7,"B+",IF(D210&lt;'PlayerGrades+'!$AA$6,"A-",IF(D210&lt;'PlayerGrades+'!$AA$5,"A",IF(D210&lt;'PlayerGrades+'!$AA$4,"A+",IF(D210&lt;'PlayerGrades+'!$AA$3,"S-",IF(D210&lt;'PlayerGrades+'!$AA$2,"S","S+"))))))))))))))))))))</f>
        <v>#DIV/0!</v>
      </c>
      <c r="F210" s="961" t="str">
        <f t="shared" si="2"/>
        <v>#DIV/0!</v>
      </c>
      <c r="G210" s="961" t="str">
        <f>IF(F210&lt;'PlayerGrades+'!$AB$21,"F-",IF(F210&lt;'PlayerGrades+'!$AB$20,"F",IF(F210&lt;'PlayerGrades+'!$AB$19,"F+",IF(F210&lt;'PlayerGrades+'!$AB$18,"E-",IF(F210&lt;'PlayerGrades+'!$AB$17,"E",IF(F210&lt;'PlayerGrades+'!$AB$16,"E+",IF(F210&lt;'PlayerGrades+'!$AB$15,"D-",IF(F210&lt;'PlayerGrades+'!$AB$14,"D",IF(F210&lt;'PlayerGrades+'!$AB$13,"D+",IF(F210&lt;'PlayerGrades+'!$AB$12,"C-",IF(F210&lt;'PlayerGrades+'!$AB$11,"C",IF(F210&lt;'PlayerGrades+'!$AB$10,"C+",IF(F210&lt;'PlayerGrades+'!$AB$9,"B-",IF(F210&lt;'PlayerGrades+'!$AB$8,"B",IF(F210&lt;'PlayerGrades+'!$AB$7,"B+",IF(F210&lt;'PlayerGrades+'!$AB$6,"A-",IF(F210&lt;'PlayerGrades+'!$AB$5,"A",IF(F210&lt;'PlayerGrades+'!$AB$4,"A+",IF(F210&lt;'PlayerGrades+'!$AB$3,"S-",IF(F210&lt;'PlayerGrades+'!$AB$2,"S","S+"))))))))))))))))))))</f>
        <v>#DIV/0!</v>
      </c>
      <c r="H210" s="961" t="str">
        <f t="shared" si="3"/>
        <v>#DIV/0!</v>
      </c>
      <c r="I210" s="961" t="str">
        <f>IF(H210&lt;'PlayerGrades+'!$AC$21,"F-",IF(H210&lt;'PlayerGrades+'!$AC$20,"F",IF(H210&lt;'PlayerGrades+'!$AC$19,"F+",IF(H210&lt;'PlayerGrades+'!$AC$18,"E-",IF(H210&lt;'PlayerGrades+'!$AC$17,"E",IF(H210&lt;'PlayerGrades+'!$AC$16,"E+",IF(H210&lt;'PlayerGrades+'!$AC$15,"D-",IF(H210&lt;'PlayerGrades+'!$AC$14,"D",IF(H210&lt;'PlayerGrades+'!$AC$13,"D+",IF(H210&lt;'PlayerGrades+'!$AC$12,"C-",IF(H210&lt;'PlayerGrades+'!$AC$11,"C",IF(H210&lt;'PlayerGrades+'!$AC$10,"C+",IF(H210&lt;'PlayerGrades+'!$AC$9,"B-",IF(H210&lt;'PlayerGrades+'!$AC$8,"B",IF(H210&lt;'PlayerGrades+'!$AC$7,"B+",IF(H210&lt;'PlayerGrades+'!$AC$6,"A-",IF(H210&lt;'PlayerGrades+'!$AC$5,"A",IF(H210&lt;'PlayerGrades+'!$AC$4,"A+",IF(H210&lt;'PlayerGrades+'!$AC$3,"S-",IF(H210&lt;'PlayerGrades+'!$AC$2,"S","S+"))))))))))))))))))))</f>
        <v>#DIV/0!</v>
      </c>
      <c r="J210" s="961" t="str">
        <f t="shared" si="4"/>
        <v>#DIV/0!</v>
      </c>
      <c r="K210" s="961" t="str">
        <f>IF(J210&lt;'PlayerGrades+'!$AD$21,"F-",IF(J210&lt;'PlayerGrades+'!$AD$20,"F",IF(J210&lt;'PlayerGrades+'!$AD$19,"F+",IF(J210&lt;'PlayerGrades+'!$AD$18,"E-",IF(J210&lt;'PlayerGrades+'!$AD$17,"E",IF(J210&lt;'PlayerGrades+'!$AD$16,"E+",IF(J210&lt;'PlayerGrades+'!$AD$15,"D-",IF(J210&lt;'PlayerGrades+'!$AD$14,"D",IF(J210&lt;'PlayerGrades+'!$AD$13,"D+",IF(J210&lt;'PlayerGrades+'!$AD$12,"C-",IF(J210&lt;'PlayerGrades+'!$AD$11,"C",IF(J210&lt;'PlayerGrades+'!$AD$10,"C+",IF(J210&lt;'PlayerGrades+'!$AD$9,"B-",IF(J210&lt;'PlayerGrades+'!$AD$8,"B",IF(J210&lt;'PlayerGrades+'!$AD$7,"B+",IF(J210&lt;'PlayerGrades+'!$AD$6,"A-",IF(J210&lt;'PlayerGrades+'!$AD$5,"A",IF(J210&lt;'PlayerGrades+'!$AD$4,"A+",IF(J210&lt;'PlayerGrades+'!$AD$3,"S-",IF(J210&lt;'PlayerGrades+'!$AD$2,"S","S+"))))))))))))))))))))</f>
        <v>#DIV/0!</v>
      </c>
      <c r="L210" s="1176" t="str">
        <f t="shared" si="5"/>
        <v>#DIV/0!</v>
      </c>
      <c r="M210" s="992" t="str">
        <f>IF(L210&lt;'PlayerGrades+'!$AE$21,"F-",IF(L210&lt;'PlayerGrades+'!$AE$20,"F",IF(L210&lt;'PlayerGrades+'!$AE$19,"F+",IF(L210&lt;'PlayerGrades+'!$AE$18,"E-",IF(L210&lt;'PlayerGrades+'!$AE$17,"E",IF(L210&lt;'PlayerGrades+'!$AE$16,"E+",IF(L210&lt;'PlayerGrades+'!$AE$15,"D-",IF(L210&lt;'PlayerGrades+'!$AE$14,"D",IF(L210&lt;'PlayerGrades+'!$AE$13,"D+",IF(L210&lt;'PlayerGrades+'!$AE$12,"C-",IF(L210&lt;'PlayerGrades+'!$AE$11,"C",IF(L210&lt;'PlayerGrades+'!$AE$10,"C+",IF(L210&lt;'PlayerGrades+'!$AE$9,"B-",IF(L210&lt;'PlayerGrades+'!$AE$8,"B",IF(L210&lt;'PlayerGrades+'!$AE$7,"B+",IF(L210&lt;'PlayerGrades+'!$AE$6,"A-",IF(L210&lt;'PlayerGrades+'!$AE$5,"A",IF(L210&lt;'PlayerGrades+'!$AE$4,"A+",IF(L210&lt;'PlayerGrades+'!$AE$3,"S-",IF(L210&lt;'PlayerGrades+'!$AE$2,"S","S+"))))))))))))))))))))</f>
        <v>#DIV/0!</v>
      </c>
      <c r="N210" s="961" t="str">
        <f t="shared" si="6"/>
        <v>#DIV/0!</v>
      </c>
      <c r="O210" s="961" t="str">
        <f>IF(N210&lt;'PlayerGrades+'!$AF$21,"F-",IF(N210&lt;'PlayerGrades+'!$AF$20,"F",IF(N210&lt;'PlayerGrades+'!$AF$19,"F+",IF(N210&lt;'PlayerGrades+'!$AF$18,"E-",IF(N210&lt;'PlayerGrades+'!$AF$17,"E",IF(N210&lt;'PlayerGrades+'!$AF$16,"E+",IF(N210&lt;'PlayerGrades+'!$AF$15,"D-",IF(N210&lt;'PlayerGrades+'!$AF$14,"D",IF(N210&lt;'PlayerGrades+'!$AF$13,"D+",IF(N210&lt;'PlayerGrades+'!$AF$12,"C-",IF(N210&lt;'PlayerGrades+'!$AF$11,"C",IF(N210&lt;'PlayerGrades+'!$AF$10,"C+",IF(N210&lt;'PlayerGrades+'!$AF$9,"B-",IF(N210&lt;'PlayerGrades+'!$AF$8,"B",IF(N210&lt;'PlayerGrades+'!$AF$7,"B+",IF(N210&lt;'PlayerGrades+'!$AF$6,"A-",IF(N210&lt;'PlayerGrades+'!$AF$5,"A",IF(N210&lt;'PlayerGrades+'!$AF$4,"A+",IF(N210&lt;'PlayerGrades+'!$AF$3,"S-",IF(N210&lt;'PlayerGrades+'!$AF$2,"S","S+"))))))))))))))))))))</f>
        <v>#DIV/0!</v>
      </c>
      <c r="P210" s="961" t="str">
        <f t="shared" si="7"/>
        <v>#DIV/0!</v>
      </c>
      <c r="Q210" s="961" t="str">
        <f>IF(P210&lt;'PlayerGrades+'!$AG$21,"F-",IF(P210&lt;'PlayerGrades+'!$AG$20,"F",IF(P210&lt;'PlayerGrades+'!$AG$19,"F+",IF(P210&lt;'PlayerGrades+'!$AG$18,"E-",IF(P210&lt;'PlayerGrades+'!$AG$17,"E",IF(P210&lt;'PlayerGrades+'!$AG$16,"E+",IF(P210&lt;'PlayerGrades+'!$AG$15,"D-",IF(P210&lt;'PlayerGrades+'!$AG$14,"D",IF(P210&lt;'PlayerGrades+'!$AG$13,"D+",IF(P210&lt;'PlayerGrades+'!$AG$12,"C-",IF(P210&lt;'PlayerGrades+'!$AG$11,"C",IF(P210&lt;'PlayerGrades+'!$AG$10,"C+",IF(P210&lt;'PlayerGrades+'!$AG$9,"B-",IF(P210&lt;'PlayerGrades+'!$AG$8,"B",IF(P210&lt;'PlayerGrades+'!$AG$7,"B+",IF(P210&lt;'PlayerGrades+'!$AG$6,"A-",IF(P210&lt;'PlayerGrades+'!$AG$5,"A",IF(P210&lt;'PlayerGrades+'!$AG$4,"A+",IF(P210&lt;'PlayerGrades+'!$AG$3,"S-",IF(P210&lt;'PlayerGrades+'!$AG$2,"S","S+"))))))))))))))))))))</f>
        <v>#DIV/0!</v>
      </c>
      <c r="R210" s="961" t="str">
        <f t="shared" si="8"/>
        <v>#DIV/0!</v>
      </c>
      <c r="S210" s="961" t="str">
        <f>IF(R210&lt;'PlayerGrades+'!$AH$21,"F-",IF(R210&lt;'PlayerGrades+'!$AH$20,"F",IF(R210&lt;'PlayerGrades+'!$AH$19,"F+",IF(R210&lt;'PlayerGrades+'!$AH$18,"E-",IF(R210&lt;'PlayerGrades+'!$AH$17,"E",IF(R210&lt;'PlayerGrades+'!$AH$16,"E+",IF(R210&lt;'PlayerGrades+'!$AH$15,"D-",IF(R210&lt;'PlayerGrades+'!$AH$14,"D",IF(R210&lt;'PlayerGrades+'!$AH$13,"D+",IF(R210&lt;'PlayerGrades+'!$AH$12,"C-",IF(R210&lt;'PlayerGrades+'!$AH$11,"C",IF(R210&lt;'PlayerGrades+'!$AH$10,"C+",IF(R210&lt;'PlayerGrades+'!$AH$9,"B-",IF(R210&lt;'PlayerGrades+'!$AH$8,"B",IF(R210&lt;'PlayerGrades+'!$AH$7,"B+",IF(R210&lt;'PlayerGrades+'!$AH$6,"A-",IF(R210&lt;'PlayerGrades+'!$AH$5,"A",IF(R210&lt;'PlayerGrades+'!$AH$4,"A+",IF(R210&lt;'PlayerGrades+'!$AH$3,"S-",IF(R210&lt;'PlayerGrades+'!$AH$2,"S","S+"))))))))))))))))))))</f>
        <v>#DIV/0!</v>
      </c>
      <c r="T210" s="961">
        <f t="shared" si="9"/>
        <v>0</v>
      </c>
      <c r="U210" s="961" t="str">
        <f>IF(T210&lt;'PlayerGrades+'!$AI$21,"F-",IF(T210&lt;'PlayerGrades+'!$AI$20,"F",IF(T210&lt;'PlayerGrades+'!$AI$19,"F+",IF(T210&lt;'PlayerGrades+'!$AI$18,"E-",IF(T210&lt;'PlayerGrades+'!$AI$17,"E",IF(T210&lt;'PlayerGrades+'!$AI$16,"E+",IF(T210&lt;'PlayerGrades+'!$AI$15,"D-",IF(T210&lt;'PlayerGrades+'!$AI$14,"D",IF(T210&lt;'PlayerGrades+'!$AI$13,"D+",IF(T210&lt;'PlayerGrades+'!$AI$12,"C-",IF(T210&lt;'PlayerGrades+'!$AI$11,"C",IF(T210&lt;'PlayerGrades+'!$AI$10,"C+",IF(T210&lt;'PlayerGrades+'!$AI$9,"B-",IF(T210&lt;'PlayerGrades+'!$AI$8,"B",IF(T210&lt;'PlayerGrades+'!$AI$7,"B+",IF(T210&lt;'PlayerGrades+'!$AI$6,"A-",IF(T210&lt;'PlayerGrades+'!$AI$5,"A",IF(T210&lt;'PlayerGrades+'!$AI$4,"A+",IF(T210&lt;'PlayerGrades+'!$AI$3,"S-",IF(T210&lt;'PlayerGrades+'!$AI$2,"S","S+"))))))))))))))))))))</f>
        <v>F-</v>
      </c>
      <c r="V210" s="1379"/>
      <c r="W210" s="1379"/>
      <c r="X210" s="1379"/>
      <c r="Y210" s="1379"/>
      <c r="Z210" s="1379"/>
      <c r="AA210" s="1379"/>
      <c r="AB210" s="1379"/>
      <c r="AC210" s="1390"/>
      <c r="AD210" s="1379"/>
      <c r="AE210" s="1379"/>
      <c r="AF210" s="1379"/>
      <c r="AG210" s="1379"/>
      <c r="AH210" s="1379"/>
      <c r="AI210" s="1379"/>
      <c r="AJ210" s="1379"/>
      <c r="AK210" s="1379"/>
      <c r="AL210" s="1379"/>
      <c r="AM210" s="1379"/>
      <c r="AN210" s="1379"/>
      <c r="AO210" s="1379"/>
      <c r="AP210" s="1379"/>
      <c r="AQ210" s="1379"/>
      <c r="AR210" s="1379"/>
      <c r="AS210" s="1379"/>
      <c r="AT210" s="1379"/>
      <c r="AU210" s="1379"/>
      <c r="AV210" s="1379"/>
      <c r="AW210" s="1379"/>
      <c r="AX210" s="1379"/>
      <c r="AY210" s="1379"/>
      <c r="AZ210" s="1379"/>
    </row>
    <row r="211">
      <c r="A211" s="1391"/>
      <c r="B211" s="611" t="str">
        <f>IF(C211&lt;'PlayerGrades+'!$Y$44,"F-",IF(C211&lt;'PlayerGrades+'!$Y$43,"F",IF(C211&lt;'PlayerGrades+'!$Y$42,"F+",IF(C211&lt;'PlayerGrades+'!$Y$41,"E-",IF(C211&lt;'PlayerGrades+'!$Y$40,"E",IF(C211&lt;'PlayerGrades+'!$Y$39,"E+",IF(C211&lt;'PlayerGrades+'!$Y$38,"D-",IF(C211&lt;'PlayerGrades+'!$Y$37,"D",IF(C211&lt;'PlayerGrades+'!$Y$36,"D+",IF(C211&lt;'PlayerGrades+'!$Y$35,"C-",IF(C211&lt;'PlayerGrades+'!$Y$34,"C",IF(C211&lt;'PlayerGrades+'!$Y$33,"C+",IF(C211&lt;'PlayerGrades+'!$Y$32,"B-",IF(C211&lt;'PlayerGrades+'!$Y$31,"B",IF(C211&lt;'PlayerGrades+'!$Y$30,"B+",IF(C211&lt;'PlayerGrades+'!$Y$29,"A-",IF(C211&lt;'PlayerGrades+'!$Y$28,"A",IF(C211&lt;'PlayerGrades+'!$Y$27,"A+",IF(C211&lt;'PlayerGrades+'!$Y$26,"S-",IF(C211&lt;'PlayerGrades+'!$Y$25,"S","S+"))))))))))))))))))))</f>
        <v>#DIV/0!</v>
      </c>
      <c r="C211" s="1378" t="str">
        <f>('PlayerGrades+'!$Y$47*(VLOOKUP(E211, 'PlayerGrades+'!$X$3:$Y$23, 2, FALSE)))+('PlayerGrades+'!$Y$48*(VLOOKUP(G211, 'PlayerGrades+'!$X$3:$Y$23, 2, FALSE)))+('PlayerGrades+'!$Y$49*(VLOOKUP(I211, 'PlayerGrades+'!$X$3:$Y$23, 2, FALSE)))+('PlayerGrades+'!$Y$50*(VLOOKUP(K211, 'PlayerGrades+'!$X$3:$Y$23, 2, FALSE)))+('PlayerGrades+'!$Y$51*(VLOOKUP(M211, 'PlayerGrades+'!$X$3:$Y$23, 2, FALSE)))+('PlayerGrades+'!$Y$52*(VLOOKUP(O211, 'PlayerGrades+'!$X$3:$Y$23, 2, FALSE)))+('PlayerGrades+'!$Y$53*(VLOOKUP(Q211, 'PlayerGrades+'!$X$3:$Y$23, 2, FALSE)))+('PlayerGrades+'!$Y$54*(VLOOKUP(S211, 'PlayerGrades+'!$X$3:$Y$23, 2, FALSE)))+('PlayerGrades+'!$Y$55*(VLOOKUP(U211, 'PlayerGrades+'!$X$3:$Y$23, 2, FALSE)))</f>
        <v>#DIV/0!</v>
      </c>
      <c r="D211" s="961" t="str">
        <f t="shared" si="1"/>
        <v>#DIV/0!</v>
      </c>
      <c r="E211" s="961" t="str">
        <f>IF(D211&lt;'PlayerGrades+'!$AA$21,"F-",IF(D211&lt;'PlayerGrades+'!$AA$20,"F",IF(D211&lt;'PlayerGrades+'!$AA$19,"F+",IF(D211&lt;'PlayerGrades+'!$AA$18,"E-",IF(D211&lt;'PlayerGrades+'!$AA$17,"E",IF(D211&lt;'PlayerGrades+'!$AA$16,"E+",IF(D211&lt;'PlayerGrades+'!$AA$15,"D-",IF(D211&lt;'PlayerGrades+'!$AA$14,"D",IF(D211&lt;'PlayerGrades+'!$AA$13,"D+",IF(D211&lt;'PlayerGrades+'!$AA$12,"C-",IF(D211&lt;'PlayerGrades+'!$AA$11,"C",IF(D211&lt;'PlayerGrades+'!$AA$10,"C+",IF(D211&lt;'PlayerGrades+'!$AA$9,"B-",IF(D211&lt;'PlayerGrades+'!$AA$8,"B",IF(D211&lt;'PlayerGrades+'!$AA$7,"B+",IF(D211&lt;'PlayerGrades+'!$AA$6,"A-",IF(D211&lt;'PlayerGrades+'!$AA$5,"A",IF(D211&lt;'PlayerGrades+'!$AA$4,"A+",IF(D211&lt;'PlayerGrades+'!$AA$3,"S-",IF(D211&lt;'PlayerGrades+'!$AA$2,"S","S+"))))))))))))))))))))</f>
        <v>#DIV/0!</v>
      </c>
      <c r="F211" s="961" t="str">
        <f t="shared" si="2"/>
        <v>#DIV/0!</v>
      </c>
      <c r="G211" s="961" t="str">
        <f>IF(F211&lt;'PlayerGrades+'!$AB$21,"F-",IF(F211&lt;'PlayerGrades+'!$AB$20,"F",IF(F211&lt;'PlayerGrades+'!$AB$19,"F+",IF(F211&lt;'PlayerGrades+'!$AB$18,"E-",IF(F211&lt;'PlayerGrades+'!$AB$17,"E",IF(F211&lt;'PlayerGrades+'!$AB$16,"E+",IF(F211&lt;'PlayerGrades+'!$AB$15,"D-",IF(F211&lt;'PlayerGrades+'!$AB$14,"D",IF(F211&lt;'PlayerGrades+'!$AB$13,"D+",IF(F211&lt;'PlayerGrades+'!$AB$12,"C-",IF(F211&lt;'PlayerGrades+'!$AB$11,"C",IF(F211&lt;'PlayerGrades+'!$AB$10,"C+",IF(F211&lt;'PlayerGrades+'!$AB$9,"B-",IF(F211&lt;'PlayerGrades+'!$AB$8,"B",IF(F211&lt;'PlayerGrades+'!$AB$7,"B+",IF(F211&lt;'PlayerGrades+'!$AB$6,"A-",IF(F211&lt;'PlayerGrades+'!$AB$5,"A",IF(F211&lt;'PlayerGrades+'!$AB$4,"A+",IF(F211&lt;'PlayerGrades+'!$AB$3,"S-",IF(F211&lt;'PlayerGrades+'!$AB$2,"S","S+"))))))))))))))))))))</f>
        <v>#DIV/0!</v>
      </c>
      <c r="H211" s="961" t="str">
        <f t="shared" si="3"/>
        <v>#DIV/0!</v>
      </c>
      <c r="I211" s="961" t="str">
        <f>IF(H211&lt;'PlayerGrades+'!$AC$21,"F-",IF(H211&lt;'PlayerGrades+'!$AC$20,"F",IF(H211&lt;'PlayerGrades+'!$AC$19,"F+",IF(H211&lt;'PlayerGrades+'!$AC$18,"E-",IF(H211&lt;'PlayerGrades+'!$AC$17,"E",IF(H211&lt;'PlayerGrades+'!$AC$16,"E+",IF(H211&lt;'PlayerGrades+'!$AC$15,"D-",IF(H211&lt;'PlayerGrades+'!$AC$14,"D",IF(H211&lt;'PlayerGrades+'!$AC$13,"D+",IF(H211&lt;'PlayerGrades+'!$AC$12,"C-",IF(H211&lt;'PlayerGrades+'!$AC$11,"C",IF(H211&lt;'PlayerGrades+'!$AC$10,"C+",IF(H211&lt;'PlayerGrades+'!$AC$9,"B-",IF(H211&lt;'PlayerGrades+'!$AC$8,"B",IF(H211&lt;'PlayerGrades+'!$AC$7,"B+",IF(H211&lt;'PlayerGrades+'!$AC$6,"A-",IF(H211&lt;'PlayerGrades+'!$AC$5,"A",IF(H211&lt;'PlayerGrades+'!$AC$4,"A+",IF(H211&lt;'PlayerGrades+'!$AC$3,"S-",IF(H211&lt;'PlayerGrades+'!$AC$2,"S","S+"))))))))))))))))))))</f>
        <v>#DIV/0!</v>
      </c>
      <c r="J211" s="961" t="str">
        <f t="shared" si="4"/>
        <v>#DIV/0!</v>
      </c>
      <c r="K211" s="961" t="str">
        <f>IF(J211&lt;'PlayerGrades+'!$AD$21,"F-",IF(J211&lt;'PlayerGrades+'!$AD$20,"F",IF(J211&lt;'PlayerGrades+'!$AD$19,"F+",IF(J211&lt;'PlayerGrades+'!$AD$18,"E-",IF(J211&lt;'PlayerGrades+'!$AD$17,"E",IF(J211&lt;'PlayerGrades+'!$AD$16,"E+",IF(J211&lt;'PlayerGrades+'!$AD$15,"D-",IF(J211&lt;'PlayerGrades+'!$AD$14,"D",IF(J211&lt;'PlayerGrades+'!$AD$13,"D+",IF(J211&lt;'PlayerGrades+'!$AD$12,"C-",IF(J211&lt;'PlayerGrades+'!$AD$11,"C",IF(J211&lt;'PlayerGrades+'!$AD$10,"C+",IF(J211&lt;'PlayerGrades+'!$AD$9,"B-",IF(J211&lt;'PlayerGrades+'!$AD$8,"B",IF(J211&lt;'PlayerGrades+'!$AD$7,"B+",IF(J211&lt;'PlayerGrades+'!$AD$6,"A-",IF(J211&lt;'PlayerGrades+'!$AD$5,"A",IF(J211&lt;'PlayerGrades+'!$AD$4,"A+",IF(J211&lt;'PlayerGrades+'!$AD$3,"S-",IF(J211&lt;'PlayerGrades+'!$AD$2,"S","S+"))))))))))))))))))))</f>
        <v>#DIV/0!</v>
      </c>
      <c r="L211" s="1176" t="str">
        <f t="shared" si="5"/>
        <v>#DIV/0!</v>
      </c>
      <c r="M211" s="992" t="str">
        <f>IF(L211&lt;'PlayerGrades+'!$AE$21,"F-",IF(L211&lt;'PlayerGrades+'!$AE$20,"F",IF(L211&lt;'PlayerGrades+'!$AE$19,"F+",IF(L211&lt;'PlayerGrades+'!$AE$18,"E-",IF(L211&lt;'PlayerGrades+'!$AE$17,"E",IF(L211&lt;'PlayerGrades+'!$AE$16,"E+",IF(L211&lt;'PlayerGrades+'!$AE$15,"D-",IF(L211&lt;'PlayerGrades+'!$AE$14,"D",IF(L211&lt;'PlayerGrades+'!$AE$13,"D+",IF(L211&lt;'PlayerGrades+'!$AE$12,"C-",IF(L211&lt;'PlayerGrades+'!$AE$11,"C",IF(L211&lt;'PlayerGrades+'!$AE$10,"C+",IF(L211&lt;'PlayerGrades+'!$AE$9,"B-",IF(L211&lt;'PlayerGrades+'!$AE$8,"B",IF(L211&lt;'PlayerGrades+'!$AE$7,"B+",IF(L211&lt;'PlayerGrades+'!$AE$6,"A-",IF(L211&lt;'PlayerGrades+'!$AE$5,"A",IF(L211&lt;'PlayerGrades+'!$AE$4,"A+",IF(L211&lt;'PlayerGrades+'!$AE$3,"S-",IF(L211&lt;'PlayerGrades+'!$AE$2,"S","S+"))))))))))))))))))))</f>
        <v>#DIV/0!</v>
      </c>
      <c r="N211" s="961" t="str">
        <f t="shared" si="6"/>
        <v>#DIV/0!</v>
      </c>
      <c r="O211" s="961" t="str">
        <f>IF(N211&lt;'PlayerGrades+'!$AF$21,"F-",IF(N211&lt;'PlayerGrades+'!$AF$20,"F",IF(N211&lt;'PlayerGrades+'!$AF$19,"F+",IF(N211&lt;'PlayerGrades+'!$AF$18,"E-",IF(N211&lt;'PlayerGrades+'!$AF$17,"E",IF(N211&lt;'PlayerGrades+'!$AF$16,"E+",IF(N211&lt;'PlayerGrades+'!$AF$15,"D-",IF(N211&lt;'PlayerGrades+'!$AF$14,"D",IF(N211&lt;'PlayerGrades+'!$AF$13,"D+",IF(N211&lt;'PlayerGrades+'!$AF$12,"C-",IF(N211&lt;'PlayerGrades+'!$AF$11,"C",IF(N211&lt;'PlayerGrades+'!$AF$10,"C+",IF(N211&lt;'PlayerGrades+'!$AF$9,"B-",IF(N211&lt;'PlayerGrades+'!$AF$8,"B",IF(N211&lt;'PlayerGrades+'!$AF$7,"B+",IF(N211&lt;'PlayerGrades+'!$AF$6,"A-",IF(N211&lt;'PlayerGrades+'!$AF$5,"A",IF(N211&lt;'PlayerGrades+'!$AF$4,"A+",IF(N211&lt;'PlayerGrades+'!$AF$3,"S-",IF(N211&lt;'PlayerGrades+'!$AF$2,"S","S+"))))))))))))))))))))</f>
        <v>#DIV/0!</v>
      </c>
      <c r="P211" s="961" t="str">
        <f t="shared" si="7"/>
        <v>#DIV/0!</v>
      </c>
      <c r="Q211" s="961" t="str">
        <f>IF(P211&lt;'PlayerGrades+'!$AG$21,"F-",IF(P211&lt;'PlayerGrades+'!$AG$20,"F",IF(P211&lt;'PlayerGrades+'!$AG$19,"F+",IF(P211&lt;'PlayerGrades+'!$AG$18,"E-",IF(P211&lt;'PlayerGrades+'!$AG$17,"E",IF(P211&lt;'PlayerGrades+'!$AG$16,"E+",IF(P211&lt;'PlayerGrades+'!$AG$15,"D-",IF(P211&lt;'PlayerGrades+'!$AG$14,"D",IF(P211&lt;'PlayerGrades+'!$AG$13,"D+",IF(P211&lt;'PlayerGrades+'!$AG$12,"C-",IF(P211&lt;'PlayerGrades+'!$AG$11,"C",IF(P211&lt;'PlayerGrades+'!$AG$10,"C+",IF(P211&lt;'PlayerGrades+'!$AG$9,"B-",IF(P211&lt;'PlayerGrades+'!$AG$8,"B",IF(P211&lt;'PlayerGrades+'!$AG$7,"B+",IF(P211&lt;'PlayerGrades+'!$AG$6,"A-",IF(P211&lt;'PlayerGrades+'!$AG$5,"A",IF(P211&lt;'PlayerGrades+'!$AG$4,"A+",IF(P211&lt;'PlayerGrades+'!$AG$3,"S-",IF(P211&lt;'PlayerGrades+'!$AG$2,"S","S+"))))))))))))))))))))</f>
        <v>#DIV/0!</v>
      </c>
      <c r="R211" s="961" t="str">
        <f t="shared" si="8"/>
        <v>#DIV/0!</v>
      </c>
      <c r="S211" s="961" t="str">
        <f>IF(R211&lt;'PlayerGrades+'!$AH$21,"F-",IF(R211&lt;'PlayerGrades+'!$AH$20,"F",IF(R211&lt;'PlayerGrades+'!$AH$19,"F+",IF(R211&lt;'PlayerGrades+'!$AH$18,"E-",IF(R211&lt;'PlayerGrades+'!$AH$17,"E",IF(R211&lt;'PlayerGrades+'!$AH$16,"E+",IF(R211&lt;'PlayerGrades+'!$AH$15,"D-",IF(R211&lt;'PlayerGrades+'!$AH$14,"D",IF(R211&lt;'PlayerGrades+'!$AH$13,"D+",IF(R211&lt;'PlayerGrades+'!$AH$12,"C-",IF(R211&lt;'PlayerGrades+'!$AH$11,"C",IF(R211&lt;'PlayerGrades+'!$AH$10,"C+",IF(R211&lt;'PlayerGrades+'!$AH$9,"B-",IF(R211&lt;'PlayerGrades+'!$AH$8,"B",IF(R211&lt;'PlayerGrades+'!$AH$7,"B+",IF(R211&lt;'PlayerGrades+'!$AH$6,"A-",IF(R211&lt;'PlayerGrades+'!$AH$5,"A",IF(R211&lt;'PlayerGrades+'!$AH$4,"A+",IF(R211&lt;'PlayerGrades+'!$AH$3,"S-",IF(R211&lt;'PlayerGrades+'!$AH$2,"S","S+"))))))))))))))))))))</f>
        <v>#DIV/0!</v>
      </c>
      <c r="T211" s="961">
        <f t="shared" si="9"/>
        <v>0</v>
      </c>
      <c r="U211" s="961" t="str">
        <f>IF(T211&lt;'PlayerGrades+'!$AI$21,"F-",IF(T211&lt;'PlayerGrades+'!$AI$20,"F",IF(T211&lt;'PlayerGrades+'!$AI$19,"F+",IF(T211&lt;'PlayerGrades+'!$AI$18,"E-",IF(T211&lt;'PlayerGrades+'!$AI$17,"E",IF(T211&lt;'PlayerGrades+'!$AI$16,"E+",IF(T211&lt;'PlayerGrades+'!$AI$15,"D-",IF(T211&lt;'PlayerGrades+'!$AI$14,"D",IF(T211&lt;'PlayerGrades+'!$AI$13,"D+",IF(T211&lt;'PlayerGrades+'!$AI$12,"C-",IF(T211&lt;'PlayerGrades+'!$AI$11,"C",IF(T211&lt;'PlayerGrades+'!$AI$10,"C+",IF(T211&lt;'PlayerGrades+'!$AI$9,"B-",IF(T211&lt;'PlayerGrades+'!$AI$8,"B",IF(T211&lt;'PlayerGrades+'!$AI$7,"B+",IF(T211&lt;'PlayerGrades+'!$AI$6,"A-",IF(T211&lt;'PlayerGrades+'!$AI$5,"A",IF(T211&lt;'PlayerGrades+'!$AI$4,"A+",IF(T211&lt;'PlayerGrades+'!$AI$3,"S-",IF(T211&lt;'PlayerGrades+'!$AI$2,"S","S+"))))))))))))))))))))</f>
        <v>F-</v>
      </c>
      <c r="AC211" s="1392"/>
    </row>
    <row r="212">
      <c r="A212" s="1391"/>
      <c r="B212" s="611" t="str">
        <f>IF(C212&lt;'PlayerGrades+'!$Y$44,"F-",IF(C212&lt;'PlayerGrades+'!$Y$43,"F",IF(C212&lt;'PlayerGrades+'!$Y$42,"F+",IF(C212&lt;'PlayerGrades+'!$Y$41,"E-",IF(C212&lt;'PlayerGrades+'!$Y$40,"E",IF(C212&lt;'PlayerGrades+'!$Y$39,"E+",IF(C212&lt;'PlayerGrades+'!$Y$38,"D-",IF(C212&lt;'PlayerGrades+'!$Y$37,"D",IF(C212&lt;'PlayerGrades+'!$Y$36,"D+",IF(C212&lt;'PlayerGrades+'!$Y$35,"C-",IF(C212&lt;'PlayerGrades+'!$Y$34,"C",IF(C212&lt;'PlayerGrades+'!$Y$33,"C+",IF(C212&lt;'PlayerGrades+'!$Y$32,"B-",IF(C212&lt;'PlayerGrades+'!$Y$31,"B",IF(C212&lt;'PlayerGrades+'!$Y$30,"B+",IF(C212&lt;'PlayerGrades+'!$Y$29,"A-",IF(C212&lt;'PlayerGrades+'!$Y$28,"A",IF(C212&lt;'PlayerGrades+'!$Y$27,"A+",IF(C212&lt;'PlayerGrades+'!$Y$26,"S-",IF(C212&lt;'PlayerGrades+'!$Y$25,"S","S+"))))))))))))))))))))</f>
        <v>#DIV/0!</v>
      </c>
      <c r="C212" s="1378" t="str">
        <f>('PlayerGrades+'!$Y$47*(VLOOKUP(E212, 'PlayerGrades+'!$X$3:$Y$23, 2, FALSE)))+('PlayerGrades+'!$Y$48*(VLOOKUP(G212, 'PlayerGrades+'!$X$3:$Y$23, 2, FALSE)))+('PlayerGrades+'!$Y$49*(VLOOKUP(I212, 'PlayerGrades+'!$X$3:$Y$23, 2, FALSE)))+('PlayerGrades+'!$Y$50*(VLOOKUP(K212, 'PlayerGrades+'!$X$3:$Y$23, 2, FALSE)))+('PlayerGrades+'!$Y$51*(VLOOKUP(M212, 'PlayerGrades+'!$X$3:$Y$23, 2, FALSE)))+('PlayerGrades+'!$Y$52*(VLOOKUP(O212, 'PlayerGrades+'!$X$3:$Y$23, 2, FALSE)))+('PlayerGrades+'!$Y$53*(VLOOKUP(Q212, 'PlayerGrades+'!$X$3:$Y$23, 2, FALSE)))+('PlayerGrades+'!$Y$54*(VLOOKUP(S212, 'PlayerGrades+'!$X$3:$Y$23, 2, FALSE)))+('PlayerGrades+'!$Y$55*(VLOOKUP(U212, 'PlayerGrades+'!$X$3:$Y$23, 2, FALSE)))</f>
        <v>#DIV/0!</v>
      </c>
      <c r="D212" s="961" t="str">
        <f t="shared" si="1"/>
        <v>#DIV/0!</v>
      </c>
      <c r="E212" s="961" t="str">
        <f>IF(D212&lt;'PlayerGrades+'!$AA$21,"F-",IF(D212&lt;'PlayerGrades+'!$AA$20,"F",IF(D212&lt;'PlayerGrades+'!$AA$19,"F+",IF(D212&lt;'PlayerGrades+'!$AA$18,"E-",IF(D212&lt;'PlayerGrades+'!$AA$17,"E",IF(D212&lt;'PlayerGrades+'!$AA$16,"E+",IF(D212&lt;'PlayerGrades+'!$AA$15,"D-",IF(D212&lt;'PlayerGrades+'!$AA$14,"D",IF(D212&lt;'PlayerGrades+'!$AA$13,"D+",IF(D212&lt;'PlayerGrades+'!$AA$12,"C-",IF(D212&lt;'PlayerGrades+'!$AA$11,"C",IF(D212&lt;'PlayerGrades+'!$AA$10,"C+",IF(D212&lt;'PlayerGrades+'!$AA$9,"B-",IF(D212&lt;'PlayerGrades+'!$AA$8,"B",IF(D212&lt;'PlayerGrades+'!$AA$7,"B+",IF(D212&lt;'PlayerGrades+'!$AA$6,"A-",IF(D212&lt;'PlayerGrades+'!$AA$5,"A",IF(D212&lt;'PlayerGrades+'!$AA$4,"A+",IF(D212&lt;'PlayerGrades+'!$AA$3,"S-",IF(D212&lt;'PlayerGrades+'!$AA$2,"S","S+"))))))))))))))))))))</f>
        <v>#DIV/0!</v>
      </c>
      <c r="F212" s="961" t="str">
        <f t="shared" si="2"/>
        <v>#DIV/0!</v>
      </c>
      <c r="G212" s="961" t="str">
        <f>IF(F212&lt;'PlayerGrades+'!$AB$21,"F-",IF(F212&lt;'PlayerGrades+'!$AB$20,"F",IF(F212&lt;'PlayerGrades+'!$AB$19,"F+",IF(F212&lt;'PlayerGrades+'!$AB$18,"E-",IF(F212&lt;'PlayerGrades+'!$AB$17,"E",IF(F212&lt;'PlayerGrades+'!$AB$16,"E+",IF(F212&lt;'PlayerGrades+'!$AB$15,"D-",IF(F212&lt;'PlayerGrades+'!$AB$14,"D",IF(F212&lt;'PlayerGrades+'!$AB$13,"D+",IF(F212&lt;'PlayerGrades+'!$AB$12,"C-",IF(F212&lt;'PlayerGrades+'!$AB$11,"C",IF(F212&lt;'PlayerGrades+'!$AB$10,"C+",IF(F212&lt;'PlayerGrades+'!$AB$9,"B-",IF(F212&lt;'PlayerGrades+'!$AB$8,"B",IF(F212&lt;'PlayerGrades+'!$AB$7,"B+",IF(F212&lt;'PlayerGrades+'!$AB$6,"A-",IF(F212&lt;'PlayerGrades+'!$AB$5,"A",IF(F212&lt;'PlayerGrades+'!$AB$4,"A+",IF(F212&lt;'PlayerGrades+'!$AB$3,"S-",IF(F212&lt;'PlayerGrades+'!$AB$2,"S","S+"))))))))))))))))))))</f>
        <v>#DIV/0!</v>
      </c>
      <c r="H212" s="961" t="str">
        <f t="shared" si="3"/>
        <v>#DIV/0!</v>
      </c>
      <c r="I212" s="961" t="str">
        <f>IF(H212&lt;'PlayerGrades+'!$AC$21,"F-",IF(H212&lt;'PlayerGrades+'!$AC$20,"F",IF(H212&lt;'PlayerGrades+'!$AC$19,"F+",IF(H212&lt;'PlayerGrades+'!$AC$18,"E-",IF(H212&lt;'PlayerGrades+'!$AC$17,"E",IF(H212&lt;'PlayerGrades+'!$AC$16,"E+",IF(H212&lt;'PlayerGrades+'!$AC$15,"D-",IF(H212&lt;'PlayerGrades+'!$AC$14,"D",IF(H212&lt;'PlayerGrades+'!$AC$13,"D+",IF(H212&lt;'PlayerGrades+'!$AC$12,"C-",IF(H212&lt;'PlayerGrades+'!$AC$11,"C",IF(H212&lt;'PlayerGrades+'!$AC$10,"C+",IF(H212&lt;'PlayerGrades+'!$AC$9,"B-",IF(H212&lt;'PlayerGrades+'!$AC$8,"B",IF(H212&lt;'PlayerGrades+'!$AC$7,"B+",IF(H212&lt;'PlayerGrades+'!$AC$6,"A-",IF(H212&lt;'PlayerGrades+'!$AC$5,"A",IF(H212&lt;'PlayerGrades+'!$AC$4,"A+",IF(H212&lt;'PlayerGrades+'!$AC$3,"S-",IF(H212&lt;'PlayerGrades+'!$AC$2,"S","S+"))))))))))))))))))))</f>
        <v>#DIV/0!</v>
      </c>
      <c r="J212" s="961" t="str">
        <f t="shared" si="4"/>
        <v>#DIV/0!</v>
      </c>
      <c r="K212" s="961" t="str">
        <f>IF(J212&lt;'PlayerGrades+'!$AD$21,"F-",IF(J212&lt;'PlayerGrades+'!$AD$20,"F",IF(J212&lt;'PlayerGrades+'!$AD$19,"F+",IF(J212&lt;'PlayerGrades+'!$AD$18,"E-",IF(J212&lt;'PlayerGrades+'!$AD$17,"E",IF(J212&lt;'PlayerGrades+'!$AD$16,"E+",IF(J212&lt;'PlayerGrades+'!$AD$15,"D-",IF(J212&lt;'PlayerGrades+'!$AD$14,"D",IF(J212&lt;'PlayerGrades+'!$AD$13,"D+",IF(J212&lt;'PlayerGrades+'!$AD$12,"C-",IF(J212&lt;'PlayerGrades+'!$AD$11,"C",IF(J212&lt;'PlayerGrades+'!$AD$10,"C+",IF(J212&lt;'PlayerGrades+'!$AD$9,"B-",IF(J212&lt;'PlayerGrades+'!$AD$8,"B",IF(J212&lt;'PlayerGrades+'!$AD$7,"B+",IF(J212&lt;'PlayerGrades+'!$AD$6,"A-",IF(J212&lt;'PlayerGrades+'!$AD$5,"A",IF(J212&lt;'PlayerGrades+'!$AD$4,"A+",IF(J212&lt;'PlayerGrades+'!$AD$3,"S-",IF(J212&lt;'PlayerGrades+'!$AD$2,"S","S+"))))))))))))))))))))</f>
        <v>#DIV/0!</v>
      </c>
      <c r="L212" s="1176" t="str">
        <f t="shared" si="5"/>
        <v>#DIV/0!</v>
      </c>
      <c r="M212" s="992" t="str">
        <f>IF(L212&lt;'PlayerGrades+'!$AE$21,"F-",IF(L212&lt;'PlayerGrades+'!$AE$20,"F",IF(L212&lt;'PlayerGrades+'!$AE$19,"F+",IF(L212&lt;'PlayerGrades+'!$AE$18,"E-",IF(L212&lt;'PlayerGrades+'!$AE$17,"E",IF(L212&lt;'PlayerGrades+'!$AE$16,"E+",IF(L212&lt;'PlayerGrades+'!$AE$15,"D-",IF(L212&lt;'PlayerGrades+'!$AE$14,"D",IF(L212&lt;'PlayerGrades+'!$AE$13,"D+",IF(L212&lt;'PlayerGrades+'!$AE$12,"C-",IF(L212&lt;'PlayerGrades+'!$AE$11,"C",IF(L212&lt;'PlayerGrades+'!$AE$10,"C+",IF(L212&lt;'PlayerGrades+'!$AE$9,"B-",IF(L212&lt;'PlayerGrades+'!$AE$8,"B",IF(L212&lt;'PlayerGrades+'!$AE$7,"B+",IF(L212&lt;'PlayerGrades+'!$AE$6,"A-",IF(L212&lt;'PlayerGrades+'!$AE$5,"A",IF(L212&lt;'PlayerGrades+'!$AE$4,"A+",IF(L212&lt;'PlayerGrades+'!$AE$3,"S-",IF(L212&lt;'PlayerGrades+'!$AE$2,"S","S+"))))))))))))))))))))</f>
        <v>#DIV/0!</v>
      </c>
      <c r="N212" s="961" t="str">
        <f t="shared" si="6"/>
        <v>#DIV/0!</v>
      </c>
      <c r="O212" s="961" t="str">
        <f>IF(N212&lt;'PlayerGrades+'!$AF$21,"F-",IF(N212&lt;'PlayerGrades+'!$AF$20,"F",IF(N212&lt;'PlayerGrades+'!$AF$19,"F+",IF(N212&lt;'PlayerGrades+'!$AF$18,"E-",IF(N212&lt;'PlayerGrades+'!$AF$17,"E",IF(N212&lt;'PlayerGrades+'!$AF$16,"E+",IF(N212&lt;'PlayerGrades+'!$AF$15,"D-",IF(N212&lt;'PlayerGrades+'!$AF$14,"D",IF(N212&lt;'PlayerGrades+'!$AF$13,"D+",IF(N212&lt;'PlayerGrades+'!$AF$12,"C-",IF(N212&lt;'PlayerGrades+'!$AF$11,"C",IF(N212&lt;'PlayerGrades+'!$AF$10,"C+",IF(N212&lt;'PlayerGrades+'!$AF$9,"B-",IF(N212&lt;'PlayerGrades+'!$AF$8,"B",IF(N212&lt;'PlayerGrades+'!$AF$7,"B+",IF(N212&lt;'PlayerGrades+'!$AF$6,"A-",IF(N212&lt;'PlayerGrades+'!$AF$5,"A",IF(N212&lt;'PlayerGrades+'!$AF$4,"A+",IF(N212&lt;'PlayerGrades+'!$AF$3,"S-",IF(N212&lt;'PlayerGrades+'!$AF$2,"S","S+"))))))))))))))))))))</f>
        <v>#DIV/0!</v>
      </c>
      <c r="P212" s="961" t="str">
        <f t="shared" si="7"/>
        <v>#DIV/0!</v>
      </c>
      <c r="Q212" s="961" t="str">
        <f>IF(P212&lt;'PlayerGrades+'!$AG$21,"F-",IF(P212&lt;'PlayerGrades+'!$AG$20,"F",IF(P212&lt;'PlayerGrades+'!$AG$19,"F+",IF(P212&lt;'PlayerGrades+'!$AG$18,"E-",IF(P212&lt;'PlayerGrades+'!$AG$17,"E",IF(P212&lt;'PlayerGrades+'!$AG$16,"E+",IF(P212&lt;'PlayerGrades+'!$AG$15,"D-",IF(P212&lt;'PlayerGrades+'!$AG$14,"D",IF(P212&lt;'PlayerGrades+'!$AG$13,"D+",IF(P212&lt;'PlayerGrades+'!$AG$12,"C-",IF(P212&lt;'PlayerGrades+'!$AG$11,"C",IF(P212&lt;'PlayerGrades+'!$AG$10,"C+",IF(P212&lt;'PlayerGrades+'!$AG$9,"B-",IF(P212&lt;'PlayerGrades+'!$AG$8,"B",IF(P212&lt;'PlayerGrades+'!$AG$7,"B+",IF(P212&lt;'PlayerGrades+'!$AG$6,"A-",IF(P212&lt;'PlayerGrades+'!$AG$5,"A",IF(P212&lt;'PlayerGrades+'!$AG$4,"A+",IF(P212&lt;'PlayerGrades+'!$AG$3,"S-",IF(P212&lt;'PlayerGrades+'!$AG$2,"S","S+"))))))))))))))))))))</f>
        <v>#DIV/0!</v>
      </c>
      <c r="R212" s="961" t="str">
        <f t="shared" si="8"/>
        <v>#DIV/0!</v>
      </c>
      <c r="S212" s="961" t="str">
        <f>IF(R212&lt;'PlayerGrades+'!$AH$21,"F-",IF(R212&lt;'PlayerGrades+'!$AH$20,"F",IF(R212&lt;'PlayerGrades+'!$AH$19,"F+",IF(R212&lt;'PlayerGrades+'!$AH$18,"E-",IF(R212&lt;'PlayerGrades+'!$AH$17,"E",IF(R212&lt;'PlayerGrades+'!$AH$16,"E+",IF(R212&lt;'PlayerGrades+'!$AH$15,"D-",IF(R212&lt;'PlayerGrades+'!$AH$14,"D",IF(R212&lt;'PlayerGrades+'!$AH$13,"D+",IF(R212&lt;'PlayerGrades+'!$AH$12,"C-",IF(R212&lt;'PlayerGrades+'!$AH$11,"C",IF(R212&lt;'PlayerGrades+'!$AH$10,"C+",IF(R212&lt;'PlayerGrades+'!$AH$9,"B-",IF(R212&lt;'PlayerGrades+'!$AH$8,"B",IF(R212&lt;'PlayerGrades+'!$AH$7,"B+",IF(R212&lt;'PlayerGrades+'!$AH$6,"A-",IF(R212&lt;'PlayerGrades+'!$AH$5,"A",IF(R212&lt;'PlayerGrades+'!$AH$4,"A+",IF(R212&lt;'PlayerGrades+'!$AH$3,"S-",IF(R212&lt;'PlayerGrades+'!$AH$2,"S","S+"))))))))))))))))))))</f>
        <v>#DIV/0!</v>
      </c>
      <c r="T212" s="961">
        <f t="shared" si="9"/>
        <v>0</v>
      </c>
      <c r="U212" s="961" t="str">
        <f>IF(T212&lt;'PlayerGrades+'!$AI$21,"F-",IF(T212&lt;'PlayerGrades+'!$AI$20,"F",IF(T212&lt;'PlayerGrades+'!$AI$19,"F+",IF(T212&lt;'PlayerGrades+'!$AI$18,"E-",IF(T212&lt;'PlayerGrades+'!$AI$17,"E",IF(T212&lt;'PlayerGrades+'!$AI$16,"E+",IF(T212&lt;'PlayerGrades+'!$AI$15,"D-",IF(T212&lt;'PlayerGrades+'!$AI$14,"D",IF(T212&lt;'PlayerGrades+'!$AI$13,"D+",IF(T212&lt;'PlayerGrades+'!$AI$12,"C-",IF(T212&lt;'PlayerGrades+'!$AI$11,"C",IF(T212&lt;'PlayerGrades+'!$AI$10,"C+",IF(T212&lt;'PlayerGrades+'!$AI$9,"B-",IF(T212&lt;'PlayerGrades+'!$AI$8,"B",IF(T212&lt;'PlayerGrades+'!$AI$7,"B+",IF(T212&lt;'PlayerGrades+'!$AI$6,"A-",IF(T212&lt;'PlayerGrades+'!$AI$5,"A",IF(T212&lt;'PlayerGrades+'!$AI$4,"A+",IF(T212&lt;'PlayerGrades+'!$AI$3,"S-",IF(T212&lt;'PlayerGrades+'!$AI$2,"S","S+"))))))))))))))))))))</f>
        <v>F-</v>
      </c>
      <c r="AC212" s="1392"/>
    </row>
    <row r="213">
      <c r="A213" s="1391"/>
      <c r="B213" s="611" t="str">
        <f>IF(C213&lt;'PlayerGrades+'!$Y$44,"F-",IF(C213&lt;'PlayerGrades+'!$Y$43,"F",IF(C213&lt;'PlayerGrades+'!$Y$42,"F+",IF(C213&lt;'PlayerGrades+'!$Y$41,"E-",IF(C213&lt;'PlayerGrades+'!$Y$40,"E",IF(C213&lt;'PlayerGrades+'!$Y$39,"E+",IF(C213&lt;'PlayerGrades+'!$Y$38,"D-",IF(C213&lt;'PlayerGrades+'!$Y$37,"D",IF(C213&lt;'PlayerGrades+'!$Y$36,"D+",IF(C213&lt;'PlayerGrades+'!$Y$35,"C-",IF(C213&lt;'PlayerGrades+'!$Y$34,"C",IF(C213&lt;'PlayerGrades+'!$Y$33,"C+",IF(C213&lt;'PlayerGrades+'!$Y$32,"B-",IF(C213&lt;'PlayerGrades+'!$Y$31,"B",IF(C213&lt;'PlayerGrades+'!$Y$30,"B+",IF(C213&lt;'PlayerGrades+'!$Y$29,"A-",IF(C213&lt;'PlayerGrades+'!$Y$28,"A",IF(C213&lt;'PlayerGrades+'!$Y$27,"A+",IF(C213&lt;'PlayerGrades+'!$Y$26,"S-",IF(C213&lt;'PlayerGrades+'!$Y$25,"S","S+"))))))))))))))))))))</f>
        <v>#DIV/0!</v>
      </c>
      <c r="C213" s="1378" t="str">
        <f>('PlayerGrades+'!$Y$47*(VLOOKUP(E213, 'PlayerGrades+'!$X$3:$Y$23, 2, FALSE)))+('PlayerGrades+'!$Y$48*(VLOOKUP(G213, 'PlayerGrades+'!$X$3:$Y$23, 2, FALSE)))+('PlayerGrades+'!$Y$49*(VLOOKUP(I213, 'PlayerGrades+'!$X$3:$Y$23, 2, FALSE)))+('PlayerGrades+'!$Y$50*(VLOOKUP(K213, 'PlayerGrades+'!$X$3:$Y$23, 2, FALSE)))+('PlayerGrades+'!$Y$51*(VLOOKUP(M213, 'PlayerGrades+'!$X$3:$Y$23, 2, FALSE)))+('PlayerGrades+'!$Y$52*(VLOOKUP(O213, 'PlayerGrades+'!$X$3:$Y$23, 2, FALSE)))+('PlayerGrades+'!$Y$53*(VLOOKUP(Q213, 'PlayerGrades+'!$X$3:$Y$23, 2, FALSE)))+('PlayerGrades+'!$Y$54*(VLOOKUP(S213, 'PlayerGrades+'!$X$3:$Y$23, 2, FALSE)))+('PlayerGrades+'!$Y$55*(VLOOKUP(U213, 'PlayerGrades+'!$X$3:$Y$23, 2, FALSE)))</f>
        <v>#DIV/0!</v>
      </c>
      <c r="D213" s="961" t="str">
        <f t="shared" si="1"/>
        <v>#DIV/0!</v>
      </c>
      <c r="E213" s="961" t="str">
        <f>IF(D213&lt;'PlayerGrades+'!$AA$21,"F-",IF(D213&lt;'PlayerGrades+'!$AA$20,"F",IF(D213&lt;'PlayerGrades+'!$AA$19,"F+",IF(D213&lt;'PlayerGrades+'!$AA$18,"E-",IF(D213&lt;'PlayerGrades+'!$AA$17,"E",IF(D213&lt;'PlayerGrades+'!$AA$16,"E+",IF(D213&lt;'PlayerGrades+'!$AA$15,"D-",IF(D213&lt;'PlayerGrades+'!$AA$14,"D",IF(D213&lt;'PlayerGrades+'!$AA$13,"D+",IF(D213&lt;'PlayerGrades+'!$AA$12,"C-",IF(D213&lt;'PlayerGrades+'!$AA$11,"C",IF(D213&lt;'PlayerGrades+'!$AA$10,"C+",IF(D213&lt;'PlayerGrades+'!$AA$9,"B-",IF(D213&lt;'PlayerGrades+'!$AA$8,"B",IF(D213&lt;'PlayerGrades+'!$AA$7,"B+",IF(D213&lt;'PlayerGrades+'!$AA$6,"A-",IF(D213&lt;'PlayerGrades+'!$AA$5,"A",IF(D213&lt;'PlayerGrades+'!$AA$4,"A+",IF(D213&lt;'PlayerGrades+'!$AA$3,"S-",IF(D213&lt;'PlayerGrades+'!$AA$2,"S","S+"))))))))))))))))))))</f>
        <v>#DIV/0!</v>
      </c>
      <c r="F213" s="961" t="str">
        <f t="shared" si="2"/>
        <v>#DIV/0!</v>
      </c>
      <c r="G213" s="961" t="str">
        <f>IF(F213&lt;'PlayerGrades+'!$AB$21,"F-",IF(F213&lt;'PlayerGrades+'!$AB$20,"F",IF(F213&lt;'PlayerGrades+'!$AB$19,"F+",IF(F213&lt;'PlayerGrades+'!$AB$18,"E-",IF(F213&lt;'PlayerGrades+'!$AB$17,"E",IF(F213&lt;'PlayerGrades+'!$AB$16,"E+",IF(F213&lt;'PlayerGrades+'!$AB$15,"D-",IF(F213&lt;'PlayerGrades+'!$AB$14,"D",IF(F213&lt;'PlayerGrades+'!$AB$13,"D+",IF(F213&lt;'PlayerGrades+'!$AB$12,"C-",IF(F213&lt;'PlayerGrades+'!$AB$11,"C",IF(F213&lt;'PlayerGrades+'!$AB$10,"C+",IF(F213&lt;'PlayerGrades+'!$AB$9,"B-",IF(F213&lt;'PlayerGrades+'!$AB$8,"B",IF(F213&lt;'PlayerGrades+'!$AB$7,"B+",IF(F213&lt;'PlayerGrades+'!$AB$6,"A-",IF(F213&lt;'PlayerGrades+'!$AB$5,"A",IF(F213&lt;'PlayerGrades+'!$AB$4,"A+",IF(F213&lt;'PlayerGrades+'!$AB$3,"S-",IF(F213&lt;'PlayerGrades+'!$AB$2,"S","S+"))))))))))))))))))))</f>
        <v>#DIV/0!</v>
      </c>
      <c r="H213" s="961" t="str">
        <f t="shared" si="3"/>
        <v>#DIV/0!</v>
      </c>
      <c r="I213" s="961" t="str">
        <f>IF(H213&lt;'PlayerGrades+'!$AC$21,"F-",IF(H213&lt;'PlayerGrades+'!$AC$20,"F",IF(H213&lt;'PlayerGrades+'!$AC$19,"F+",IF(H213&lt;'PlayerGrades+'!$AC$18,"E-",IF(H213&lt;'PlayerGrades+'!$AC$17,"E",IF(H213&lt;'PlayerGrades+'!$AC$16,"E+",IF(H213&lt;'PlayerGrades+'!$AC$15,"D-",IF(H213&lt;'PlayerGrades+'!$AC$14,"D",IF(H213&lt;'PlayerGrades+'!$AC$13,"D+",IF(H213&lt;'PlayerGrades+'!$AC$12,"C-",IF(H213&lt;'PlayerGrades+'!$AC$11,"C",IF(H213&lt;'PlayerGrades+'!$AC$10,"C+",IF(H213&lt;'PlayerGrades+'!$AC$9,"B-",IF(H213&lt;'PlayerGrades+'!$AC$8,"B",IF(H213&lt;'PlayerGrades+'!$AC$7,"B+",IF(H213&lt;'PlayerGrades+'!$AC$6,"A-",IF(H213&lt;'PlayerGrades+'!$AC$5,"A",IF(H213&lt;'PlayerGrades+'!$AC$4,"A+",IF(H213&lt;'PlayerGrades+'!$AC$3,"S-",IF(H213&lt;'PlayerGrades+'!$AC$2,"S","S+"))))))))))))))))))))</f>
        <v>#DIV/0!</v>
      </c>
      <c r="J213" s="961" t="str">
        <f t="shared" si="4"/>
        <v>#DIV/0!</v>
      </c>
      <c r="K213" s="961" t="str">
        <f>IF(J213&lt;'PlayerGrades+'!$AD$21,"F-",IF(J213&lt;'PlayerGrades+'!$AD$20,"F",IF(J213&lt;'PlayerGrades+'!$AD$19,"F+",IF(J213&lt;'PlayerGrades+'!$AD$18,"E-",IF(J213&lt;'PlayerGrades+'!$AD$17,"E",IF(J213&lt;'PlayerGrades+'!$AD$16,"E+",IF(J213&lt;'PlayerGrades+'!$AD$15,"D-",IF(J213&lt;'PlayerGrades+'!$AD$14,"D",IF(J213&lt;'PlayerGrades+'!$AD$13,"D+",IF(J213&lt;'PlayerGrades+'!$AD$12,"C-",IF(J213&lt;'PlayerGrades+'!$AD$11,"C",IF(J213&lt;'PlayerGrades+'!$AD$10,"C+",IF(J213&lt;'PlayerGrades+'!$AD$9,"B-",IF(J213&lt;'PlayerGrades+'!$AD$8,"B",IF(J213&lt;'PlayerGrades+'!$AD$7,"B+",IF(J213&lt;'PlayerGrades+'!$AD$6,"A-",IF(J213&lt;'PlayerGrades+'!$AD$5,"A",IF(J213&lt;'PlayerGrades+'!$AD$4,"A+",IF(J213&lt;'PlayerGrades+'!$AD$3,"S-",IF(J213&lt;'PlayerGrades+'!$AD$2,"S","S+"))))))))))))))))))))</f>
        <v>#DIV/0!</v>
      </c>
      <c r="L213" s="1176" t="str">
        <f t="shared" si="5"/>
        <v>#DIV/0!</v>
      </c>
      <c r="M213" s="992" t="str">
        <f>IF(L213&lt;'PlayerGrades+'!$AE$21,"F-",IF(L213&lt;'PlayerGrades+'!$AE$20,"F",IF(L213&lt;'PlayerGrades+'!$AE$19,"F+",IF(L213&lt;'PlayerGrades+'!$AE$18,"E-",IF(L213&lt;'PlayerGrades+'!$AE$17,"E",IF(L213&lt;'PlayerGrades+'!$AE$16,"E+",IF(L213&lt;'PlayerGrades+'!$AE$15,"D-",IF(L213&lt;'PlayerGrades+'!$AE$14,"D",IF(L213&lt;'PlayerGrades+'!$AE$13,"D+",IF(L213&lt;'PlayerGrades+'!$AE$12,"C-",IF(L213&lt;'PlayerGrades+'!$AE$11,"C",IF(L213&lt;'PlayerGrades+'!$AE$10,"C+",IF(L213&lt;'PlayerGrades+'!$AE$9,"B-",IF(L213&lt;'PlayerGrades+'!$AE$8,"B",IF(L213&lt;'PlayerGrades+'!$AE$7,"B+",IF(L213&lt;'PlayerGrades+'!$AE$6,"A-",IF(L213&lt;'PlayerGrades+'!$AE$5,"A",IF(L213&lt;'PlayerGrades+'!$AE$4,"A+",IF(L213&lt;'PlayerGrades+'!$AE$3,"S-",IF(L213&lt;'PlayerGrades+'!$AE$2,"S","S+"))))))))))))))))))))</f>
        <v>#DIV/0!</v>
      </c>
      <c r="N213" s="961" t="str">
        <f t="shared" si="6"/>
        <v>#DIV/0!</v>
      </c>
      <c r="O213" s="961" t="str">
        <f>IF(N213&lt;'PlayerGrades+'!$AF$21,"F-",IF(N213&lt;'PlayerGrades+'!$AF$20,"F",IF(N213&lt;'PlayerGrades+'!$AF$19,"F+",IF(N213&lt;'PlayerGrades+'!$AF$18,"E-",IF(N213&lt;'PlayerGrades+'!$AF$17,"E",IF(N213&lt;'PlayerGrades+'!$AF$16,"E+",IF(N213&lt;'PlayerGrades+'!$AF$15,"D-",IF(N213&lt;'PlayerGrades+'!$AF$14,"D",IF(N213&lt;'PlayerGrades+'!$AF$13,"D+",IF(N213&lt;'PlayerGrades+'!$AF$12,"C-",IF(N213&lt;'PlayerGrades+'!$AF$11,"C",IF(N213&lt;'PlayerGrades+'!$AF$10,"C+",IF(N213&lt;'PlayerGrades+'!$AF$9,"B-",IF(N213&lt;'PlayerGrades+'!$AF$8,"B",IF(N213&lt;'PlayerGrades+'!$AF$7,"B+",IF(N213&lt;'PlayerGrades+'!$AF$6,"A-",IF(N213&lt;'PlayerGrades+'!$AF$5,"A",IF(N213&lt;'PlayerGrades+'!$AF$4,"A+",IF(N213&lt;'PlayerGrades+'!$AF$3,"S-",IF(N213&lt;'PlayerGrades+'!$AF$2,"S","S+"))))))))))))))))))))</f>
        <v>#DIV/0!</v>
      </c>
      <c r="P213" s="961" t="str">
        <f t="shared" si="7"/>
        <v>#DIV/0!</v>
      </c>
      <c r="Q213" s="961" t="str">
        <f>IF(P213&lt;'PlayerGrades+'!$AG$21,"F-",IF(P213&lt;'PlayerGrades+'!$AG$20,"F",IF(P213&lt;'PlayerGrades+'!$AG$19,"F+",IF(P213&lt;'PlayerGrades+'!$AG$18,"E-",IF(P213&lt;'PlayerGrades+'!$AG$17,"E",IF(P213&lt;'PlayerGrades+'!$AG$16,"E+",IF(P213&lt;'PlayerGrades+'!$AG$15,"D-",IF(P213&lt;'PlayerGrades+'!$AG$14,"D",IF(P213&lt;'PlayerGrades+'!$AG$13,"D+",IF(P213&lt;'PlayerGrades+'!$AG$12,"C-",IF(P213&lt;'PlayerGrades+'!$AG$11,"C",IF(P213&lt;'PlayerGrades+'!$AG$10,"C+",IF(P213&lt;'PlayerGrades+'!$AG$9,"B-",IF(P213&lt;'PlayerGrades+'!$AG$8,"B",IF(P213&lt;'PlayerGrades+'!$AG$7,"B+",IF(P213&lt;'PlayerGrades+'!$AG$6,"A-",IF(P213&lt;'PlayerGrades+'!$AG$5,"A",IF(P213&lt;'PlayerGrades+'!$AG$4,"A+",IF(P213&lt;'PlayerGrades+'!$AG$3,"S-",IF(P213&lt;'PlayerGrades+'!$AG$2,"S","S+"))))))))))))))))))))</f>
        <v>#DIV/0!</v>
      </c>
      <c r="R213" s="961" t="str">
        <f t="shared" si="8"/>
        <v>#DIV/0!</v>
      </c>
      <c r="S213" s="961" t="str">
        <f>IF(R213&lt;'PlayerGrades+'!$AH$21,"F-",IF(R213&lt;'PlayerGrades+'!$AH$20,"F",IF(R213&lt;'PlayerGrades+'!$AH$19,"F+",IF(R213&lt;'PlayerGrades+'!$AH$18,"E-",IF(R213&lt;'PlayerGrades+'!$AH$17,"E",IF(R213&lt;'PlayerGrades+'!$AH$16,"E+",IF(R213&lt;'PlayerGrades+'!$AH$15,"D-",IF(R213&lt;'PlayerGrades+'!$AH$14,"D",IF(R213&lt;'PlayerGrades+'!$AH$13,"D+",IF(R213&lt;'PlayerGrades+'!$AH$12,"C-",IF(R213&lt;'PlayerGrades+'!$AH$11,"C",IF(R213&lt;'PlayerGrades+'!$AH$10,"C+",IF(R213&lt;'PlayerGrades+'!$AH$9,"B-",IF(R213&lt;'PlayerGrades+'!$AH$8,"B",IF(R213&lt;'PlayerGrades+'!$AH$7,"B+",IF(R213&lt;'PlayerGrades+'!$AH$6,"A-",IF(R213&lt;'PlayerGrades+'!$AH$5,"A",IF(R213&lt;'PlayerGrades+'!$AH$4,"A+",IF(R213&lt;'PlayerGrades+'!$AH$3,"S-",IF(R213&lt;'PlayerGrades+'!$AH$2,"S","S+"))))))))))))))))))))</f>
        <v>#DIV/0!</v>
      </c>
      <c r="T213" s="961">
        <f t="shared" si="9"/>
        <v>0</v>
      </c>
      <c r="U213" s="961" t="str">
        <f>IF(T213&lt;'PlayerGrades+'!$AI$21,"F-",IF(T213&lt;'PlayerGrades+'!$AI$20,"F",IF(T213&lt;'PlayerGrades+'!$AI$19,"F+",IF(T213&lt;'PlayerGrades+'!$AI$18,"E-",IF(T213&lt;'PlayerGrades+'!$AI$17,"E",IF(T213&lt;'PlayerGrades+'!$AI$16,"E+",IF(T213&lt;'PlayerGrades+'!$AI$15,"D-",IF(T213&lt;'PlayerGrades+'!$AI$14,"D",IF(T213&lt;'PlayerGrades+'!$AI$13,"D+",IF(T213&lt;'PlayerGrades+'!$AI$12,"C-",IF(T213&lt;'PlayerGrades+'!$AI$11,"C",IF(T213&lt;'PlayerGrades+'!$AI$10,"C+",IF(T213&lt;'PlayerGrades+'!$AI$9,"B-",IF(T213&lt;'PlayerGrades+'!$AI$8,"B",IF(T213&lt;'PlayerGrades+'!$AI$7,"B+",IF(T213&lt;'PlayerGrades+'!$AI$6,"A-",IF(T213&lt;'PlayerGrades+'!$AI$5,"A",IF(T213&lt;'PlayerGrades+'!$AI$4,"A+",IF(T213&lt;'PlayerGrades+'!$AI$3,"S-",IF(T213&lt;'PlayerGrades+'!$AI$2,"S","S+"))))))))))))))))))))</f>
        <v>F-</v>
      </c>
      <c r="AC213" s="1392"/>
    </row>
    <row r="214">
      <c r="A214" s="1391"/>
      <c r="B214" s="611" t="str">
        <f>IF(C214&lt;'PlayerGrades+'!$Y$44,"F-",IF(C214&lt;'PlayerGrades+'!$Y$43,"F",IF(C214&lt;'PlayerGrades+'!$Y$42,"F+",IF(C214&lt;'PlayerGrades+'!$Y$41,"E-",IF(C214&lt;'PlayerGrades+'!$Y$40,"E",IF(C214&lt;'PlayerGrades+'!$Y$39,"E+",IF(C214&lt;'PlayerGrades+'!$Y$38,"D-",IF(C214&lt;'PlayerGrades+'!$Y$37,"D",IF(C214&lt;'PlayerGrades+'!$Y$36,"D+",IF(C214&lt;'PlayerGrades+'!$Y$35,"C-",IF(C214&lt;'PlayerGrades+'!$Y$34,"C",IF(C214&lt;'PlayerGrades+'!$Y$33,"C+",IF(C214&lt;'PlayerGrades+'!$Y$32,"B-",IF(C214&lt;'PlayerGrades+'!$Y$31,"B",IF(C214&lt;'PlayerGrades+'!$Y$30,"B+",IF(C214&lt;'PlayerGrades+'!$Y$29,"A-",IF(C214&lt;'PlayerGrades+'!$Y$28,"A",IF(C214&lt;'PlayerGrades+'!$Y$27,"A+",IF(C214&lt;'PlayerGrades+'!$Y$26,"S-",IF(C214&lt;'PlayerGrades+'!$Y$25,"S","S+"))))))))))))))))))))</f>
        <v>#DIV/0!</v>
      </c>
      <c r="C214" s="1378" t="str">
        <f>('PlayerGrades+'!$Y$47*(VLOOKUP(E214, 'PlayerGrades+'!$X$3:$Y$23, 2, FALSE)))+('PlayerGrades+'!$Y$48*(VLOOKUP(G214, 'PlayerGrades+'!$X$3:$Y$23, 2, FALSE)))+('PlayerGrades+'!$Y$49*(VLOOKUP(I214, 'PlayerGrades+'!$X$3:$Y$23, 2, FALSE)))+('PlayerGrades+'!$Y$50*(VLOOKUP(K214, 'PlayerGrades+'!$X$3:$Y$23, 2, FALSE)))+('PlayerGrades+'!$Y$51*(VLOOKUP(M214, 'PlayerGrades+'!$X$3:$Y$23, 2, FALSE)))+('PlayerGrades+'!$Y$52*(VLOOKUP(O214, 'PlayerGrades+'!$X$3:$Y$23, 2, FALSE)))+('PlayerGrades+'!$Y$53*(VLOOKUP(Q214, 'PlayerGrades+'!$X$3:$Y$23, 2, FALSE)))+('PlayerGrades+'!$Y$54*(VLOOKUP(S214, 'PlayerGrades+'!$X$3:$Y$23, 2, FALSE)))+('PlayerGrades+'!$Y$55*(VLOOKUP(U214, 'PlayerGrades+'!$X$3:$Y$23, 2, FALSE)))</f>
        <v>#DIV/0!</v>
      </c>
      <c r="D214" s="961" t="str">
        <f t="shared" si="1"/>
        <v>#DIV/0!</v>
      </c>
      <c r="E214" s="961" t="str">
        <f>IF(D214&lt;'PlayerGrades+'!$AA$21,"F-",IF(D214&lt;'PlayerGrades+'!$AA$20,"F",IF(D214&lt;'PlayerGrades+'!$AA$19,"F+",IF(D214&lt;'PlayerGrades+'!$AA$18,"E-",IF(D214&lt;'PlayerGrades+'!$AA$17,"E",IF(D214&lt;'PlayerGrades+'!$AA$16,"E+",IF(D214&lt;'PlayerGrades+'!$AA$15,"D-",IF(D214&lt;'PlayerGrades+'!$AA$14,"D",IF(D214&lt;'PlayerGrades+'!$AA$13,"D+",IF(D214&lt;'PlayerGrades+'!$AA$12,"C-",IF(D214&lt;'PlayerGrades+'!$AA$11,"C",IF(D214&lt;'PlayerGrades+'!$AA$10,"C+",IF(D214&lt;'PlayerGrades+'!$AA$9,"B-",IF(D214&lt;'PlayerGrades+'!$AA$8,"B",IF(D214&lt;'PlayerGrades+'!$AA$7,"B+",IF(D214&lt;'PlayerGrades+'!$AA$6,"A-",IF(D214&lt;'PlayerGrades+'!$AA$5,"A",IF(D214&lt;'PlayerGrades+'!$AA$4,"A+",IF(D214&lt;'PlayerGrades+'!$AA$3,"S-",IF(D214&lt;'PlayerGrades+'!$AA$2,"S","S+"))))))))))))))))))))</f>
        <v>#DIV/0!</v>
      </c>
      <c r="F214" s="961" t="str">
        <f t="shared" si="2"/>
        <v>#DIV/0!</v>
      </c>
      <c r="G214" s="961" t="str">
        <f>IF(F214&lt;'PlayerGrades+'!$AB$21,"F-",IF(F214&lt;'PlayerGrades+'!$AB$20,"F",IF(F214&lt;'PlayerGrades+'!$AB$19,"F+",IF(F214&lt;'PlayerGrades+'!$AB$18,"E-",IF(F214&lt;'PlayerGrades+'!$AB$17,"E",IF(F214&lt;'PlayerGrades+'!$AB$16,"E+",IF(F214&lt;'PlayerGrades+'!$AB$15,"D-",IF(F214&lt;'PlayerGrades+'!$AB$14,"D",IF(F214&lt;'PlayerGrades+'!$AB$13,"D+",IF(F214&lt;'PlayerGrades+'!$AB$12,"C-",IF(F214&lt;'PlayerGrades+'!$AB$11,"C",IF(F214&lt;'PlayerGrades+'!$AB$10,"C+",IF(F214&lt;'PlayerGrades+'!$AB$9,"B-",IF(F214&lt;'PlayerGrades+'!$AB$8,"B",IF(F214&lt;'PlayerGrades+'!$AB$7,"B+",IF(F214&lt;'PlayerGrades+'!$AB$6,"A-",IF(F214&lt;'PlayerGrades+'!$AB$5,"A",IF(F214&lt;'PlayerGrades+'!$AB$4,"A+",IF(F214&lt;'PlayerGrades+'!$AB$3,"S-",IF(F214&lt;'PlayerGrades+'!$AB$2,"S","S+"))))))))))))))))))))</f>
        <v>#DIV/0!</v>
      </c>
      <c r="H214" s="961" t="str">
        <f t="shared" si="3"/>
        <v>#DIV/0!</v>
      </c>
      <c r="I214" s="961" t="str">
        <f>IF(H214&lt;'PlayerGrades+'!$AC$21,"F-",IF(H214&lt;'PlayerGrades+'!$AC$20,"F",IF(H214&lt;'PlayerGrades+'!$AC$19,"F+",IF(H214&lt;'PlayerGrades+'!$AC$18,"E-",IF(H214&lt;'PlayerGrades+'!$AC$17,"E",IF(H214&lt;'PlayerGrades+'!$AC$16,"E+",IF(H214&lt;'PlayerGrades+'!$AC$15,"D-",IF(H214&lt;'PlayerGrades+'!$AC$14,"D",IF(H214&lt;'PlayerGrades+'!$AC$13,"D+",IF(H214&lt;'PlayerGrades+'!$AC$12,"C-",IF(H214&lt;'PlayerGrades+'!$AC$11,"C",IF(H214&lt;'PlayerGrades+'!$AC$10,"C+",IF(H214&lt;'PlayerGrades+'!$AC$9,"B-",IF(H214&lt;'PlayerGrades+'!$AC$8,"B",IF(H214&lt;'PlayerGrades+'!$AC$7,"B+",IF(H214&lt;'PlayerGrades+'!$AC$6,"A-",IF(H214&lt;'PlayerGrades+'!$AC$5,"A",IF(H214&lt;'PlayerGrades+'!$AC$4,"A+",IF(H214&lt;'PlayerGrades+'!$AC$3,"S-",IF(H214&lt;'PlayerGrades+'!$AC$2,"S","S+"))))))))))))))))))))</f>
        <v>#DIV/0!</v>
      </c>
      <c r="J214" s="961" t="str">
        <f t="shared" si="4"/>
        <v>#DIV/0!</v>
      </c>
      <c r="K214" s="961" t="str">
        <f>IF(J214&lt;'PlayerGrades+'!$AD$21,"F-",IF(J214&lt;'PlayerGrades+'!$AD$20,"F",IF(J214&lt;'PlayerGrades+'!$AD$19,"F+",IF(J214&lt;'PlayerGrades+'!$AD$18,"E-",IF(J214&lt;'PlayerGrades+'!$AD$17,"E",IF(J214&lt;'PlayerGrades+'!$AD$16,"E+",IF(J214&lt;'PlayerGrades+'!$AD$15,"D-",IF(J214&lt;'PlayerGrades+'!$AD$14,"D",IF(J214&lt;'PlayerGrades+'!$AD$13,"D+",IF(J214&lt;'PlayerGrades+'!$AD$12,"C-",IF(J214&lt;'PlayerGrades+'!$AD$11,"C",IF(J214&lt;'PlayerGrades+'!$AD$10,"C+",IF(J214&lt;'PlayerGrades+'!$AD$9,"B-",IF(J214&lt;'PlayerGrades+'!$AD$8,"B",IF(J214&lt;'PlayerGrades+'!$AD$7,"B+",IF(J214&lt;'PlayerGrades+'!$AD$6,"A-",IF(J214&lt;'PlayerGrades+'!$AD$5,"A",IF(J214&lt;'PlayerGrades+'!$AD$4,"A+",IF(J214&lt;'PlayerGrades+'!$AD$3,"S-",IF(J214&lt;'PlayerGrades+'!$AD$2,"S","S+"))))))))))))))))))))</f>
        <v>#DIV/0!</v>
      </c>
      <c r="L214" s="1176" t="str">
        <f t="shared" si="5"/>
        <v>#DIV/0!</v>
      </c>
      <c r="M214" s="992" t="str">
        <f>IF(L214&lt;'PlayerGrades+'!$AE$21,"F-",IF(L214&lt;'PlayerGrades+'!$AE$20,"F",IF(L214&lt;'PlayerGrades+'!$AE$19,"F+",IF(L214&lt;'PlayerGrades+'!$AE$18,"E-",IF(L214&lt;'PlayerGrades+'!$AE$17,"E",IF(L214&lt;'PlayerGrades+'!$AE$16,"E+",IF(L214&lt;'PlayerGrades+'!$AE$15,"D-",IF(L214&lt;'PlayerGrades+'!$AE$14,"D",IF(L214&lt;'PlayerGrades+'!$AE$13,"D+",IF(L214&lt;'PlayerGrades+'!$AE$12,"C-",IF(L214&lt;'PlayerGrades+'!$AE$11,"C",IF(L214&lt;'PlayerGrades+'!$AE$10,"C+",IF(L214&lt;'PlayerGrades+'!$AE$9,"B-",IF(L214&lt;'PlayerGrades+'!$AE$8,"B",IF(L214&lt;'PlayerGrades+'!$AE$7,"B+",IF(L214&lt;'PlayerGrades+'!$AE$6,"A-",IF(L214&lt;'PlayerGrades+'!$AE$5,"A",IF(L214&lt;'PlayerGrades+'!$AE$4,"A+",IF(L214&lt;'PlayerGrades+'!$AE$3,"S-",IF(L214&lt;'PlayerGrades+'!$AE$2,"S","S+"))))))))))))))))))))</f>
        <v>#DIV/0!</v>
      </c>
      <c r="N214" s="961" t="str">
        <f t="shared" si="6"/>
        <v>#DIV/0!</v>
      </c>
      <c r="O214" s="961" t="str">
        <f>IF(N214&lt;'PlayerGrades+'!$AF$21,"F-",IF(N214&lt;'PlayerGrades+'!$AF$20,"F",IF(N214&lt;'PlayerGrades+'!$AF$19,"F+",IF(N214&lt;'PlayerGrades+'!$AF$18,"E-",IF(N214&lt;'PlayerGrades+'!$AF$17,"E",IF(N214&lt;'PlayerGrades+'!$AF$16,"E+",IF(N214&lt;'PlayerGrades+'!$AF$15,"D-",IF(N214&lt;'PlayerGrades+'!$AF$14,"D",IF(N214&lt;'PlayerGrades+'!$AF$13,"D+",IF(N214&lt;'PlayerGrades+'!$AF$12,"C-",IF(N214&lt;'PlayerGrades+'!$AF$11,"C",IF(N214&lt;'PlayerGrades+'!$AF$10,"C+",IF(N214&lt;'PlayerGrades+'!$AF$9,"B-",IF(N214&lt;'PlayerGrades+'!$AF$8,"B",IF(N214&lt;'PlayerGrades+'!$AF$7,"B+",IF(N214&lt;'PlayerGrades+'!$AF$6,"A-",IF(N214&lt;'PlayerGrades+'!$AF$5,"A",IF(N214&lt;'PlayerGrades+'!$AF$4,"A+",IF(N214&lt;'PlayerGrades+'!$AF$3,"S-",IF(N214&lt;'PlayerGrades+'!$AF$2,"S","S+"))))))))))))))))))))</f>
        <v>#DIV/0!</v>
      </c>
      <c r="P214" s="961" t="str">
        <f t="shared" si="7"/>
        <v>#DIV/0!</v>
      </c>
      <c r="Q214" s="961" t="str">
        <f>IF(P214&lt;'PlayerGrades+'!$AG$21,"F-",IF(P214&lt;'PlayerGrades+'!$AG$20,"F",IF(P214&lt;'PlayerGrades+'!$AG$19,"F+",IF(P214&lt;'PlayerGrades+'!$AG$18,"E-",IF(P214&lt;'PlayerGrades+'!$AG$17,"E",IF(P214&lt;'PlayerGrades+'!$AG$16,"E+",IF(P214&lt;'PlayerGrades+'!$AG$15,"D-",IF(P214&lt;'PlayerGrades+'!$AG$14,"D",IF(P214&lt;'PlayerGrades+'!$AG$13,"D+",IF(P214&lt;'PlayerGrades+'!$AG$12,"C-",IF(P214&lt;'PlayerGrades+'!$AG$11,"C",IF(P214&lt;'PlayerGrades+'!$AG$10,"C+",IF(P214&lt;'PlayerGrades+'!$AG$9,"B-",IF(P214&lt;'PlayerGrades+'!$AG$8,"B",IF(P214&lt;'PlayerGrades+'!$AG$7,"B+",IF(P214&lt;'PlayerGrades+'!$AG$6,"A-",IF(P214&lt;'PlayerGrades+'!$AG$5,"A",IF(P214&lt;'PlayerGrades+'!$AG$4,"A+",IF(P214&lt;'PlayerGrades+'!$AG$3,"S-",IF(P214&lt;'PlayerGrades+'!$AG$2,"S","S+"))))))))))))))))))))</f>
        <v>#DIV/0!</v>
      </c>
      <c r="R214" s="961" t="str">
        <f t="shared" si="8"/>
        <v>#DIV/0!</v>
      </c>
      <c r="S214" s="961" t="str">
        <f>IF(R214&lt;'PlayerGrades+'!$AH$21,"F-",IF(R214&lt;'PlayerGrades+'!$AH$20,"F",IF(R214&lt;'PlayerGrades+'!$AH$19,"F+",IF(R214&lt;'PlayerGrades+'!$AH$18,"E-",IF(R214&lt;'PlayerGrades+'!$AH$17,"E",IF(R214&lt;'PlayerGrades+'!$AH$16,"E+",IF(R214&lt;'PlayerGrades+'!$AH$15,"D-",IF(R214&lt;'PlayerGrades+'!$AH$14,"D",IF(R214&lt;'PlayerGrades+'!$AH$13,"D+",IF(R214&lt;'PlayerGrades+'!$AH$12,"C-",IF(R214&lt;'PlayerGrades+'!$AH$11,"C",IF(R214&lt;'PlayerGrades+'!$AH$10,"C+",IF(R214&lt;'PlayerGrades+'!$AH$9,"B-",IF(R214&lt;'PlayerGrades+'!$AH$8,"B",IF(R214&lt;'PlayerGrades+'!$AH$7,"B+",IF(R214&lt;'PlayerGrades+'!$AH$6,"A-",IF(R214&lt;'PlayerGrades+'!$AH$5,"A",IF(R214&lt;'PlayerGrades+'!$AH$4,"A+",IF(R214&lt;'PlayerGrades+'!$AH$3,"S-",IF(R214&lt;'PlayerGrades+'!$AH$2,"S","S+"))))))))))))))))))))</f>
        <v>#DIV/0!</v>
      </c>
      <c r="T214" s="961">
        <f t="shared" si="9"/>
        <v>0</v>
      </c>
      <c r="U214" s="961" t="str">
        <f>IF(T214&lt;'PlayerGrades+'!$AI$21,"F-",IF(T214&lt;'PlayerGrades+'!$AI$20,"F",IF(T214&lt;'PlayerGrades+'!$AI$19,"F+",IF(T214&lt;'PlayerGrades+'!$AI$18,"E-",IF(T214&lt;'PlayerGrades+'!$AI$17,"E",IF(T214&lt;'PlayerGrades+'!$AI$16,"E+",IF(T214&lt;'PlayerGrades+'!$AI$15,"D-",IF(T214&lt;'PlayerGrades+'!$AI$14,"D",IF(T214&lt;'PlayerGrades+'!$AI$13,"D+",IF(T214&lt;'PlayerGrades+'!$AI$12,"C-",IF(T214&lt;'PlayerGrades+'!$AI$11,"C",IF(T214&lt;'PlayerGrades+'!$AI$10,"C+",IF(T214&lt;'PlayerGrades+'!$AI$9,"B-",IF(T214&lt;'PlayerGrades+'!$AI$8,"B",IF(T214&lt;'PlayerGrades+'!$AI$7,"B+",IF(T214&lt;'PlayerGrades+'!$AI$6,"A-",IF(T214&lt;'PlayerGrades+'!$AI$5,"A",IF(T214&lt;'PlayerGrades+'!$AI$4,"A+",IF(T214&lt;'PlayerGrades+'!$AI$3,"S-",IF(T214&lt;'PlayerGrades+'!$AI$2,"S","S+"))))))))))))))))))))</f>
        <v>F-</v>
      </c>
      <c r="AC214" s="1392"/>
    </row>
    <row r="215">
      <c r="A215" s="1391"/>
      <c r="B215" s="611" t="str">
        <f>IF(C215&lt;'PlayerGrades+'!$Y$44,"F-",IF(C215&lt;'PlayerGrades+'!$Y$43,"F",IF(C215&lt;'PlayerGrades+'!$Y$42,"F+",IF(C215&lt;'PlayerGrades+'!$Y$41,"E-",IF(C215&lt;'PlayerGrades+'!$Y$40,"E",IF(C215&lt;'PlayerGrades+'!$Y$39,"E+",IF(C215&lt;'PlayerGrades+'!$Y$38,"D-",IF(C215&lt;'PlayerGrades+'!$Y$37,"D",IF(C215&lt;'PlayerGrades+'!$Y$36,"D+",IF(C215&lt;'PlayerGrades+'!$Y$35,"C-",IF(C215&lt;'PlayerGrades+'!$Y$34,"C",IF(C215&lt;'PlayerGrades+'!$Y$33,"C+",IF(C215&lt;'PlayerGrades+'!$Y$32,"B-",IF(C215&lt;'PlayerGrades+'!$Y$31,"B",IF(C215&lt;'PlayerGrades+'!$Y$30,"B+",IF(C215&lt;'PlayerGrades+'!$Y$29,"A-",IF(C215&lt;'PlayerGrades+'!$Y$28,"A",IF(C215&lt;'PlayerGrades+'!$Y$27,"A+",IF(C215&lt;'PlayerGrades+'!$Y$26,"S-",IF(C215&lt;'PlayerGrades+'!$Y$25,"S","S+"))))))))))))))))))))</f>
        <v>#DIV/0!</v>
      </c>
      <c r="C215" s="1378" t="str">
        <f>('PlayerGrades+'!$Y$47*(VLOOKUP(E215, 'PlayerGrades+'!$X$3:$Y$23, 2, FALSE)))+('PlayerGrades+'!$Y$48*(VLOOKUP(G215, 'PlayerGrades+'!$X$3:$Y$23, 2, FALSE)))+('PlayerGrades+'!$Y$49*(VLOOKUP(I215, 'PlayerGrades+'!$X$3:$Y$23, 2, FALSE)))+('PlayerGrades+'!$Y$50*(VLOOKUP(K215, 'PlayerGrades+'!$X$3:$Y$23, 2, FALSE)))+('PlayerGrades+'!$Y$51*(VLOOKUP(M215, 'PlayerGrades+'!$X$3:$Y$23, 2, FALSE)))+('PlayerGrades+'!$Y$52*(VLOOKUP(O215, 'PlayerGrades+'!$X$3:$Y$23, 2, FALSE)))+('PlayerGrades+'!$Y$53*(VLOOKUP(Q215, 'PlayerGrades+'!$X$3:$Y$23, 2, FALSE)))+('PlayerGrades+'!$Y$54*(VLOOKUP(S215, 'PlayerGrades+'!$X$3:$Y$23, 2, FALSE)))+('PlayerGrades+'!$Y$55*(VLOOKUP(U215, 'PlayerGrades+'!$X$3:$Y$23, 2, FALSE)))</f>
        <v>#DIV/0!</v>
      </c>
      <c r="D215" s="961" t="str">
        <f t="shared" si="1"/>
        <v>#DIV/0!</v>
      </c>
      <c r="E215" s="961" t="str">
        <f>IF(D215&lt;'PlayerGrades+'!$AA$21,"F-",IF(D215&lt;'PlayerGrades+'!$AA$20,"F",IF(D215&lt;'PlayerGrades+'!$AA$19,"F+",IF(D215&lt;'PlayerGrades+'!$AA$18,"E-",IF(D215&lt;'PlayerGrades+'!$AA$17,"E",IF(D215&lt;'PlayerGrades+'!$AA$16,"E+",IF(D215&lt;'PlayerGrades+'!$AA$15,"D-",IF(D215&lt;'PlayerGrades+'!$AA$14,"D",IF(D215&lt;'PlayerGrades+'!$AA$13,"D+",IF(D215&lt;'PlayerGrades+'!$AA$12,"C-",IF(D215&lt;'PlayerGrades+'!$AA$11,"C",IF(D215&lt;'PlayerGrades+'!$AA$10,"C+",IF(D215&lt;'PlayerGrades+'!$AA$9,"B-",IF(D215&lt;'PlayerGrades+'!$AA$8,"B",IF(D215&lt;'PlayerGrades+'!$AA$7,"B+",IF(D215&lt;'PlayerGrades+'!$AA$6,"A-",IF(D215&lt;'PlayerGrades+'!$AA$5,"A",IF(D215&lt;'PlayerGrades+'!$AA$4,"A+",IF(D215&lt;'PlayerGrades+'!$AA$3,"S-",IF(D215&lt;'PlayerGrades+'!$AA$2,"S","S+"))))))))))))))))))))</f>
        <v>#DIV/0!</v>
      </c>
      <c r="F215" s="961" t="str">
        <f t="shared" si="2"/>
        <v>#DIV/0!</v>
      </c>
      <c r="G215" s="961" t="str">
        <f>IF(F215&lt;'PlayerGrades+'!$AB$21,"F-",IF(F215&lt;'PlayerGrades+'!$AB$20,"F",IF(F215&lt;'PlayerGrades+'!$AB$19,"F+",IF(F215&lt;'PlayerGrades+'!$AB$18,"E-",IF(F215&lt;'PlayerGrades+'!$AB$17,"E",IF(F215&lt;'PlayerGrades+'!$AB$16,"E+",IF(F215&lt;'PlayerGrades+'!$AB$15,"D-",IF(F215&lt;'PlayerGrades+'!$AB$14,"D",IF(F215&lt;'PlayerGrades+'!$AB$13,"D+",IF(F215&lt;'PlayerGrades+'!$AB$12,"C-",IF(F215&lt;'PlayerGrades+'!$AB$11,"C",IF(F215&lt;'PlayerGrades+'!$AB$10,"C+",IF(F215&lt;'PlayerGrades+'!$AB$9,"B-",IF(F215&lt;'PlayerGrades+'!$AB$8,"B",IF(F215&lt;'PlayerGrades+'!$AB$7,"B+",IF(F215&lt;'PlayerGrades+'!$AB$6,"A-",IF(F215&lt;'PlayerGrades+'!$AB$5,"A",IF(F215&lt;'PlayerGrades+'!$AB$4,"A+",IF(F215&lt;'PlayerGrades+'!$AB$3,"S-",IF(F215&lt;'PlayerGrades+'!$AB$2,"S","S+"))))))))))))))))))))</f>
        <v>#DIV/0!</v>
      </c>
      <c r="H215" s="961" t="str">
        <f t="shared" si="3"/>
        <v>#DIV/0!</v>
      </c>
      <c r="I215" s="961" t="str">
        <f>IF(H215&lt;'PlayerGrades+'!$AC$21,"F-",IF(H215&lt;'PlayerGrades+'!$AC$20,"F",IF(H215&lt;'PlayerGrades+'!$AC$19,"F+",IF(H215&lt;'PlayerGrades+'!$AC$18,"E-",IF(H215&lt;'PlayerGrades+'!$AC$17,"E",IF(H215&lt;'PlayerGrades+'!$AC$16,"E+",IF(H215&lt;'PlayerGrades+'!$AC$15,"D-",IF(H215&lt;'PlayerGrades+'!$AC$14,"D",IF(H215&lt;'PlayerGrades+'!$AC$13,"D+",IF(H215&lt;'PlayerGrades+'!$AC$12,"C-",IF(H215&lt;'PlayerGrades+'!$AC$11,"C",IF(H215&lt;'PlayerGrades+'!$AC$10,"C+",IF(H215&lt;'PlayerGrades+'!$AC$9,"B-",IF(H215&lt;'PlayerGrades+'!$AC$8,"B",IF(H215&lt;'PlayerGrades+'!$AC$7,"B+",IF(H215&lt;'PlayerGrades+'!$AC$6,"A-",IF(H215&lt;'PlayerGrades+'!$AC$5,"A",IF(H215&lt;'PlayerGrades+'!$AC$4,"A+",IF(H215&lt;'PlayerGrades+'!$AC$3,"S-",IF(H215&lt;'PlayerGrades+'!$AC$2,"S","S+"))))))))))))))))))))</f>
        <v>#DIV/0!</v>
      </c>
      <c r="J215" s="961" t="str">
        <f t="shared" si="4"/>
        <v>#DIV/0!</v>
      </c>
      <c r="K215" s="961" t="str">
        <f>IF(J215&lt;'PlayerGrades+'!$AD$21,"F-",IF(J215&lt;'PlayerGrades+'!$AD$20,"F",IF(J215&lt;'PlayerGrades+'!$AD$19,"F+",IF(J215&lt;'PlayerGrades+'!$AD$18,"E-",IF(J215&lt;'PlayerGrades+'!$AD$17,"E",IF(J215&lt;'PlayerGrades+'!$AD$16,"E+",IF(J215&lt;'PlayerGrades+'!$AD$15,"D-",IF(J215&lt;'PlayerGrades+'!$AD$14,"D",IF(J215&lt;'PlayerGrades+'!$AD$13,"D+",IF(J215&lt;'PlayerGrades+'!$AD$12,"C-",IF(J215&lt;'PlayerGrades+'!$AD$11,"C",IF(J215&lt;'PlayerGrades+'!$AD$10,"C+",IF(J215&lt;'PlayerGrades+'!$AD$9,"B-",IF(J215&lt;'PlayerGrades+'!$AD$8,"B",IF(J215&lt;'PlayerGrades+'!$AD$7,"B+",IF(J215&lt;'PlayerGrades+'!$AD$6,"A-",IF(J215&lt;'PlayerGrades+'!$AD$5,"A",IF(J215&lt;'PlayerGrades+'!$AD$4,"A+",IF(J215&lt;'PlayerGrades+'!$AD$3,"S-",IF(J215&lt;'PlayerGrades+'!$AD$2,"S","S+"))))))))))))))))))))</f>
        <v>#DIV/0!</v>
      </c>
      <c r="L215" s="1176" t="str">
        <f t="shared" si="5"/>
        <v>#DIV/0!</v>
      </c>
      <c r="M215" s="992" t="str">
        <f>IF(L215&lt;'PlayerGrades+'!$AE$21,"F-",IF(L215&lt;'PlayerGrades+'!$AE$20,"F",IF(L215&lt;'PlayerGrades+'!$AE$19,"F+",IF(L215&lt;'PlayerGrades+'!$AE$18,"E-",IF(L215&lt;'PlayerGrades+'!$AE$17,"E",IF(L215&lt;'PlayerGrades+'!$AE$16,"E+",IF(L215&lt;'PlayerGrades+'!$AE$15,"D-",IF(L215&lt;'PlayerGrades+'!$AE$14,"D",IF(L215&lt;'PlayerGrades+'!$AE$13,"D+",IF(L215&lt;'PlayerGrades+'!$AE$12,"C-",IF(L215&lt;'PlayerGrades+'!$AE$11,"C",IF(L215&lt;'PlayerGrades+'!$AE$10,"C+",IF(L215&lt;'PlayerGrades+'!$AE$9,"B-",IF(L215&lt;'PlayerGrades+'!$AE$8,"B",IF(L215&lt;'PlayerGrades+'!$AE$7,"B+",IF(L215&lt;'PlayerGrades+'!$AE$6,"A-",IF(L215&lt;'PlayerGrades+'!$AE$5,"A",IF(L215&lt;'PlayerGrades+'!$AE$4,"A+",IF(L215&lt;'PlayerGrades+'!$AE$3,"S-",IF(L215&lt;'PlayerGrades+'!$AE$2,"S","S+"))))))))))))))))))))</f>
        <v>#DIV/0!</v>
      </c>
      <c r="N215" s="961" t="str">
        <f t="shared" si="6"/>
        <v>#DIV/0!</v>
      </c>
      <c r="O215" s="961" t="str">
        <f>IF(N215&lt;'PlayerGrades+'!$AF$21,"F-",IF(N215&lt;'PlayerGrades+'!$AF$20,"F",IF(N215&lt;'PlayerGrades+'!$AF$19,"F+",IF(N215&lt;'PlayerGrades+'!$AF$18,"E-",IF(N215&lt;'PlayerGrades+'!$AF$17,"E",IF(N215&lt;'PlayerGrades+'!$AF$16,"E+",IF(N215&lt;'PlayerGrades+'!$AF$15,"D-",IF(N215&lt;'PlayerGrades+'!$AF$14,"D",IF(N215&lt;'PlayerGrades+'!$AF$13,"D+",IF(N215&lt;'PlayerGrades+'!$AF$12,"C-",IF(N215&lt;'PlayerGrades+'!$AF$11,"C",IF(N215&lt;'PlayerGrades+'!$AF$10,"C+",IF(N215&lt;'PlayerGrades+'!$AF$9,"B-",IF(N215&lt;'PlayerGrades+'!$AF$8,"B",IF(N215&lt;'PlayerGrades+'!$AF$7,"B+",IF(N215&lt;'PlayerGrades+'!$AF$6,"A-",IF(N215&lt;'PlayerGrades+'!$AF$5,"A",IF(N215&lt;'PlayerGrades+'!$AF$4,"A+",IF(N215&lt;'PlayerGrades+'!$AF$3,"S-",IF(N215&lt;'PlayerGrades+'!$AF$2,"S","S+"))))))))))))))))))))</f>
        <v>#DIV/0!</v>
      </c>
      <c r="P215" s="961" t="str">
        <f t="shared" si="7"/>
        <v>#DIV/0!</v>
      </c>
      <c r="Q215" s="961" t="str">
        <f>IF(P215&lt;'PlayerGrades+'!$AG$21,"F-",IF(P215&lt;'PlayerGrades+'!$AG$20,"F",IF(P215&lt;'PlayerGrades+'!$AG$19,"F+",IF(P215&lt;'PlayerGrades+'!$AG$18,"E-",IF(P215&lt;'PlayerGrades+'!$AG$17,"E",IF(P215&lt;'PlayerGrades+'!$AG$16,"E+",IF(P215&lt;'PlayerGrades+'!$AG$15,"D-",IF(P215&lt;'PlayerGrades+'!$AG$14,"D",IF(P215&lt;'PlayerGrades+'!$AG$13,"D+",IF(P215&lt;'PlayerGrades+'!$AG$12,"C-",IF(P215&lt;'PlayerGrades+'!$AG$11,"C",IF(P215&lt;'PlayerGrades+'!$AG$10,"C+",IF(P215&lt;'PlayerGrades+'!$AG$9,"B-",IF(P215&lt;'PlayerGrades+'!$AG$8,"B",IF(P215&lt;'PlayerGrades+'!$AG$7,"B+",IF(P215&lt;'PlayerGrades+'!$AG$6,"A-",IF(P215&lt;'PlayerGrades+'!$AG$5,"A",IF(P215&lt;'PlayerGrades+'!$AG$4,"A+",IF(P215&lt;'PlayerGrades+'!$AG$3,"S-",IF(P215&lt;'PlayerGrades+'!$AG$2,"S","S+"))))))))))))))))))))</f>
        <v>#DIV/0!</v>
      </c>
      <c r="R215" s="961" t="str">
        <f t="shared" si="8"/>
        <v>#DIV/0!</v>
      </c>
      <c r="S215" s="961" t="str">
        <f>IF(R215&lt;'PlayerGrades+'!$AH$21,"F-",IF(R215&lt;'PlayerGrades+'!$AH$20,"F",IF(R215&lt;'PlayerGrades+'!$AH$19,"F+",IF(R215&lt;'PlayerGrades+'!$AH$18,"E-",IF(R215&lt;'PlayerGrades+'!$AH$17,"E",IF(R215&lt;'PlayerGrades+'!$AH$16,"E+",IF(R215&lt;'PlayerGrades+'!$AH$15,"D-",IF(R215&lt;'PlayerGrades+'!$AH$14,"D",IF(R215&lt;'PlayerGrades+'!$AH$13,"D+",IF(R215&lt;'PlayerGrades+'!$AH$12,"C-",IF(R215&lt;'PlayerGrades+'!$AH$11,"C",IF(R215&lt;'PlayerGrades+'!$AH$10,"C+",IF(R215&lt;'PlayerGrades+'!$AH$9,"B-",IF(R215&lt;'PlayerGrades+'!$AH$8,"B",IF(R215&lt;'PlayerGrades+'!$AH$7,"B+",IF(R215&lt;'PlayerGrades+'!$AH$6,"A-",IF(R215&lt;'PlayerGrades+'!$AH$5,"A",IF(R215&lt;'PlayerGrades+'!$AH$4,"A+",IF(R215&lt;'PlayerGrades+'!$AH$3,"S-",IF(R215&lt;'PlayerGrades+'!$AH$2,"S","S+"))))))))))))))))))))</f>
        <v>#DIV/0!</v>
      </c>
      <c r="T215" s="961">
        <f t="shared" si="9"/>
        <v>0</v>
      </c>
      <c r="U215" s="961" t="str">
        <f>IF(T215&lt;'PlayerGrades+'!$AI$21,"F-",IF(T215&lt;'PlayerGrades+'!$AI$20,"F",IF(T215&lt;'PlayerGrades+'!$AI$19,"F+",IF(T215&lt;'PlayerGrades+'!$AI$18,"E-",IF(T215&lt;'PlayerGrades+'!$AI$17,"E",IF(T215&lt;'PlayerGrades+'!$AI$16,"E+",IF(T215&lt;'PlayerGrades+'!$AI$15,"D-",IF(T215&lt;'PlayerGrades+'!$AI$14,"D",IF(T215&lt;'PlayerGrades+'!$AI$13,"D+",IF(T215&lt;'PlayerGrades+'!$AI$12,"C-",IF(T215&lt;'PlayerGrades+'!$AI$11,"C",IF(T215&lt;'PlayerGrades+'!$AI$10,"C+",IF(T215&lt;'PlayerGrades+'!$AI$9,"B-",IF(T215&lt;'PlayerGrades+'!$AI$8,"B",IF(T215&lt;'PlayerGrades+'!$AI$7,"B+",IF(T215&lt;'PlayerGrades+'!$AI$6,"A-",IF(T215&lt;'PlayerGrades+'!$AI$5,"A",IF(T215&lt;'PlayerGrades+'!$AI$4,"A+",IF(T215&lt;'PlayerGrades+'!$AI$3,"S-",IF(T215&lt;'PlayerGrades+'!$AI$2,"S","S+"))))))))))))))))))))</f>
        <v>F-</v>
      </c>
      <c r="AC215" s="1392"/>
    </row>
    <row r="216">
      <c r="A216" s="1391"/>
      <c r="B216" s="611" t="str">
        <f>IF(C216&lt;'PlayerGrades+'!$Y$44,"F-",IF(C216&lt;'PlayerGrades+'!$Y$43,"F",IF(C216&lt;'PlayerGrades+'!$Y$42,"F+",IF(C216&lt;'PlayerGrades+'!$Y$41,"E-",IF(C216&lt;'PlayerGrades+'!$Y$40,"E",IF(C216&lt;'PlayerGrades+'!$Y$39,"E+",IF(C216&lt;'PlayerGrades+'!$Y$38,"D-",IF(C216&lt;'PlayerGrades+'!$Y$37,"D",IF(C216&lt;'PlayerGrades+'!$Y$36,"D+",IF(C216&lt;'PlayerGrades+'!$Y$35,"C-",IF(C216&lt;'PlayerGrades+'!$Y$34,"C",IF(C216&lt;'PlayerGrades+'!$Y$33,"C+",IF(C216&lt;'PlayerGrades+'!$Y$32,"B-",IF(C216&lt;'PlayerGrades+'!$Y$31,"B",IF(C216&lt;'PlayerGrades+'!$Y$30,"B+",IF(C216&lt;'PlayerGrades+'!$Y$29,"A-",IF(C216&lt;'PlayerGrades+'!$Y$28,"A",IF(C216&lt;'PlayerGrades+'!$Y$27,"A+",IF(C216&lt;'PlayerGrades+'!$Y$26,"S-",IF(C216&lt;'PlayerGrades+'!$Y$25,"S","S+"))))))))))))))))))))</f>
        <v>#DIV/0!</v>
      </c>
      <c r="C216" s="1378" t="str">
        <f>('PlayerGrades+'!$Y$47*(VLOOKUP(E216, 'PlayerGrades+'!$X$3:$Y$23, 2, FALSE)))+('PlayerGrades+'!$Y$48*(VLOOKUP(G216, 'PlayerGrades+'!$X$3:$Y$23, 2, FALSE)))+('PlayerGrades+'!$Y$49*(VLOOKUP(I216, 'PlayerGrades+'!$X$3:$Y$23, 2, FALSE)))+('PlayerGrades+'!$Y$50*(VLOOKUP(K216, 'PlayerGrades+'!$X$3:$Y$23, 2, FALSE)))+('PlayerGrades+'!$Y$51*(VLOOKUP(M216, 'PlayerGrades+'!$X$3:$Y$23, 2, FALSE)))+('PlayerGrades+'!$Y$52*(VLOOKUP(O216, 'PlayerGrades+'!$X$3:$Y$23, 2, FALSE)))+('PlayerGrades+'!$Y$53*(VLOOKUP(Q216, 'PlayerGrades+'!$X$3:$Y$23, 2, FALSE)))+('PlayerGrades+'!$Y$54*(VLOOKUP(S216, 'PlayerGrades+'!$X$3:$Y$23, 2, FALSE)))+('PlayerGrades+'!$Y$55*(VLOOKUP(U216, 'PlayerGrades+'!$X$3:$Y$23, 2, FALSE)))</f>
        <v>#DIV/0!</v>
      </c>
      <c r="D216" s="961" t="str">
        <f t="shared" si="1"/>
        <v>#DIV/0!</v>
      </c>
      <c r="E216" s="961" t="str">
        <f>IF(D216&lt;'PlayerGrades+'!$AA$21,"F-",IF(D216&lt;'PlayerGrades+'!$AA$20,"F",IF(D216&lt;'PlayerGrades+'!$AA$19,"F+",IF(D216&lt;'PlayerGrades+'!$AA$18,"E-",IF(D216&lt;'PlayerGrades+'!$AA$17,"E",IF(D216&lt;'PlayerGrades+'!$AA$16,"E+",IF(D216&lt;'PlayerGrades+'!$AA$15,"D-",IF(D216&lt;'PlayerGrades+'!$AA$14,"D",IF(D216&lt;'PlayerGrades+'!$AA$13,"D+",IF(D216&lt;'PlayerGrades+'!$AA$12,"C-",IF(D216&lt;'PlayerGrades+'!$AA$11,"C",IF(D216&lt;'PlayerGrades+'!$AA$10,"C+",IF(D216&lt;'PlayerGrades+'!$AA$9,"B-",IF(D216&lt;'PlayerGrades+'!$AA$8,"B",IF(D216&lt;'PlayerGrades+'!$AA$7,"B+",IF(D216&lt;'PlayerGrades+'!$AA$6,"A-",IF(D216&lt;'PlayerGrades+'!$AA$5,"A",IF(D216&lt;'PlayerGrades+'!$AA$4,"A+",IF(D216&lt;'PlayerGrades+'!$AA$3,"S-",IF(D216&lt;'PlayerGrades+'!$AA$2,"S","S+"))))))))))))))))))))</f>
        <v>#DIV/0!</v>
      </c>
      <c r="F216" s="961" t="str">
        <f t="shared" si="2"/>
        <v>#DIV/0!</v>
      </c>
      <c r="G216" s="961" t="str">
        <f>IF(F216&lt;'PlayerGrades+'!$AB$21,"F-",IF(F216&lt;'PlayerGrades+'!$AB$20,"F",IF(F216&lt;'PlayerGrades+'!$AB$19,"F+",IF(F216&lt;'PlayerGrades+'!$AB$18,"E-",IF(F216&lt;'PlayerGrades+'!$AB$17,"E",IF(F216&lt;'PlayerGrades+'!$AB$16,"E+",IF(F216&lt;'PlayerGrades+'!$AB$15,"D-",IF(F216&lt;'PlayerGrades+'!$AB$14,"D",IF(F216&lt;'PlayerGrades+'!$AB$13,"D+",IF(F216&lt;'PlayerGrades+'!$AB$12,"C-",IF(F216&lt;'PlayerGrades+'!$AB$11,"C",IF(F216&lt;'PlayerGrades+'!$AB$10,"C+",IF(F216&lt;'PlayerGrades+'!$AB$9,"B-",IF(F216&lt;'PlayerGrades+'!$AB$8,"B",IF(F216&lt;'PlayerGrades+'!$AB$7,"B+",IF(F216&lt;'PlayerGrades+'!$AB$6,"A-",IF(F216&lt;'PlayerGrades+'!$AB$5,"A",IF(F216&lt;'PlayerGrades+'!$AB$4,"A+",IF(F216&lt;'PlayerGrades+'!$AB$3,"S-",IF(F216&lt;'PlayerGrades+'!$AB$2,"S","S+"))))))))))))))))))))</f>
        <v>#DIV/0!</v>
      </c>
      <c r="H216" s="961" t="str">
        <f t="shared" si="3"/>
        <v>#DIV/0!</v>
      </c>
      <c r="I216" s="961" t="str">
        <f>IF(H216&lt;'PlayerGrades+'!$AC$21,"F-",IF(H216&lt;'PlayerGrades+'!$AC$20,"F",IF(H216&lt;'PlayerGrades+'!$AC$19,"F+",IF(H216&lt;'PlayerGrades+'!$AC$18,"E-",IF(H216&lt;'PlayerGrades+'!$AC$17,"E",IF(H216&lt;'PlayerGrades+'!$AC$16,"E+",IF(H216&lt;'PlayerGrades+'!$AC$15,"D-",IF(H216&lt;'PlayerGrades+'!$AC$14,"D",IF(H216&lt;'PlayerGrades+'!$AC$13,"D+",IF(H216&lt;'PlayerGrades+'!$AC$12,"C-",IF(H216&lt;'PlayerGrades+'!$AC$11,"C",IF(H216&lt;'PlayerGrades+'!$AC$10,"C+",IF(H216&lt;'PlayerGrades+'!$AC$9,"B-",IF(H216&lt;'PlayerGrades+'!$AC$8,"B",IF(H216&lt;'PlayerGrades+'!$AC$7,"B+",IF(H216&lt;'PlayerGrades+'!$AC$6,"A-",IF(H216&lt;'PlayerGrades+'!$AC$5,"A",IF(H216&lt;'PlayerGrades+'!$AC$4,"A+",IF(H216&lt;'PlayerGrades+'!$AC$3,"S-",IF(H216&lt;'PlayerGrades+'!$AC$2,"S","S+"))))))))))))))))))))</f>
        <v>#DIV/0!</v>
      </c>
      <c r="J216" s="961" t="str">
        <f t="shared" si="4"/>
        <v>#DIV/0!</v>
      </c>
      <c r="K216" s="961" t="str">
        <f>IF(J216&lt;'PlayerGrades+'!$AD$21,"F-",IF(J216&lt;'PlayerGrades+'!$AD$20,"F",IF(J216&lt;'PlayerGrades+'!$AD$19,"F+",IF(J216&lt;'PlayerGrades+'!$AD$18,"E-",IF(J216&lt;'PlayerGrades+'!$AD$17,"E",IF(J216&lt;'PlayerGrades+'!$AD$16,"E+",IF(J216&lt;'PlayerGrades+'!$AD$15,"D-",IF(J216&lt;'PlayerGrades+'!$AD$14,"D",IF(J216&lt;'PlayerGrades+'!$AD$13,"D+",IF(J216&lt;'PlayerGrades+'!$AD$12,"C-",IF(J216&lt;'PlayerGrades+'!$AD$11,"C",IF(J216&lt;'PlayerGrades+'!$AD$10,"C+",IF(J216&lt;'PlayerGrades+'!$AD$9,"B-",IF(J216&lt;'PlayerGrades+'!$AD$8,"B",IF(J216&lt;'PlayerGrades+'!$AD$7,"B+",IF(J216&lt;'PlayerGrades+'!$AD$6,"A-",IF(J216&lt;'PlayerGrades+'!$AD$5,"A",IF(J216&lt;'PlayerGrades+'!$AD$4,"A+",IF(J216&lt;'PlayerGrades+'!$AD$3,"S-",IF(J216&lt;'PlayerGrades+'!$AD$2,"S","S+"))))))))))))))))))))</f>
        <v>#DIV/0!</v>
      </c>
      <c r="L216" s="1176" t="str">
        <f t="shared" si="5"/>
        <v>#DIV/0!</v>
      </c>
      <c r="M216" s="992" t="str">
        <f>IF(L216&lt;'PlayerGrades+'!$AE$21,"F-",IF(L216&lt;'PlayerGrades+'!$AE$20,"F",IF(L216&lt;'PlayerGrades+'!$AE$19,"F+",IF(L216&lt;'PlayerGrades+'!$AE$18,"E-",IF(L216&lt;'PlayerGrades+'!$AE$17,"E",IF(L216&lt;'PlayerGrades+'!$AE$16,"E+",IF(L216&lt;'PlayerGrades+'!$AE$15,"D-",IF(L216&lt;'PlayerGrades+'!$AE$14,"D",IF(L216&lt;'PlayerGrades+'!$AE$13,"D+",IF(L216&lt;'PlayerGrades+'!$AE$12,"C-",IF(L216&lt;'PlayerGrades+'!$AE$11,"C",IF(L216&lt;'PlayerGrades+'!$AE$10,"C+",IF(L216&lt;'PlayerGrades+'!$AE$9,"B-",IF(L216&lt;'PlayerGrades+'!$AE$8,"B",IF(L216&lt;'PlayerGrades+'!$AE$7,"B+",IF(L216&lt;'PlayerGrades+'!$AE$6,"A-",IF(L216&lt;'PlayerGrades+'!$AE$5,"A",IF(L216&lt;'PlayerGrades+'!$AE$4,"A+",IF(L216&lt;'PlayerGrades+'!$AE$3,"S-",IF(L216&lt;'PlayerGrades+'!$AE$2,"S","S+"))))))))))))))))))))</f>
        <v>#DIV/0!</v>
      </c>
      <c r="N216" s="961" t="str">
        <f t="shared" si="6"/>
        <v>#DIV/0!</v>
      </c>
      <c r="O216" s="961" t="str">
        <f>IF(N216&lt;'PlayerGrades+'!$AF$21,"F-",IF(N216&lt;'PlayerGrades+'!$AF$20,"F",IF(N216&lt;'PlayerGrades+'!$AF$19,"F+",IF(N216&lt;'PlayerGrades+'!$AF$18,"E-",IF(N216&lt;'PlayerGrades+'!$AF$17,"E",IF(N216&lt;'PlayerGrades+'!$AF$16,"E+",IF(N216&lt;'PlayerGrades+'!$AF$15,"D-",IF(N216&lt;'PlayerGrades+'!$AF$14,"D",IF(N216&lt;'PlayerGrades+'!$AF$13,"D+",IF(N216&lt;'PlayerGrades+'!$AF$12,"C-",IF(N216&lt;'PlayerGrades+'!$AF$11,"C",IF(N216&lt;'PlayerGrades+'!$AF$10,"C+",IF(N216&lt;'PlayerGrades+'!$AF$9,"B-",IF(N216&lt;'PlayerGrades+'!$AF$8,"B",IF(N216&lt;'PlayerGrades+'!$AF$7,"B+",IF(N216&lt;'PlayerGrades+'!$AF$6,"A-",IF(N216&lt;'PlayerGrades+'!$AF$5,"A",IF(N216&lt;'PlayerGrades+'!$AF$4,"A+",IF(N216&lt;'PlayerGrades+'!$AF$3,"S-",IF(N216&lt;'PlayerGrades+'!$AF$2,"S","S+"))))))))))))))))))))</f>
        <v>#DIV/0!</v>
      </c>
      <c r="P216" s="961" t="str">
        <f t="shared" si="7"/>
        <v>#DIV/0!</v>
      </c>
      <c r="Q216" s="961" t="str">
        <f>IF(P216&lt;'PlayerGrades+'!$AG$21,"F-",IF(P216&lt;'PlayerGrades+'!$AG$20,"F",IF(P216&lt;'PlayerGrades+'!$AG$19,"F+",IF(P216&lt;'PlayerGrades+'!$AG$18,"E-",IF(P216&lt;'PlayerGrades+'!$AG$17,"E",IF(P216&lt;'PlayerGrades+'!$AG$16,"E+",IF(P216&lt;'PlayerGrades+'!$AG$15,"D-",IF(P216&lt;'PlayerGrades+'!$AG$14,"D",IF(P216&lt;'PlayerGrades+'!$AG$13,"D+",IF(P216&lt;'PlayerGrades+'!$AG$12,"C-",IF(P216&lt;'PlayerGrades+'!$AG$11,"C",IF(P216&lt;'PlayerGrades+'!$AG$10,"C+",IF(P216&lt;'PlayerGrades+'!$AG$9,"B-",IF(P216&lt;'PlayerGrades+'!$AG$8,"B",IF(P216&lt;'PlayerGrades+'!$AG$7,"B+",IF(P216&lt;'PlayerGrades+'!$AG$6,"A-",IF(P216&lt;'PlayerGrades+'!$AG$5,"A",IF(P216&lt;'PlayerGrades+'!$AG$4,"A+",IF(P216&lt;'PlayerGrades+'!$AG$3,"S-",IF(P216&lt;'PlayerGrades+'!$AG$2,"S","S+"))))))))))))))))))))</f>
        <v>#DIV/0!</v>
      </c>
      <c r="R216" s="961" t="str">
        <f t="shared" si="8"/>
        <v>#DIV/0!</v>
      </c>
      <c r="S216" s="961" t="str">
        <f>IF(R216&lt;'PlayerGrades+'!$AH$21,"F-",IF(R216&lt;'PlayerGrades+'!$AH$20,"F",IF(R216&lt;'PlayerGrades+'!$AH$19,"F+",IF(R216&lt;'PlayerGrades+'!$AH$18,"E-",IF(R216&lt;'PlayerGrades+'!$AH$17,"E",IF(R216&lt;'PlayerGrades+'!$AH$16,"E+",IF(R216&lt;'PlayerGrades+'!$AH$15,"D-",IF(R216&lt;'PlayerGrades+'!$AH$14,"D",IF(R216&lt;'PlayerGrades+'!$AH$13,"D+",IF(R216&lt;'PlayerGrades+'!$AH$12,"C-",IF(R216&lt;'PlayerGrades+'!$AH$11,"C",IF(R216&lt;'PlayerGrades+'!$AH$10,"C+",IF(R216&lt;'PlayerGrades+'!$AH$9,"B-",IF(R216&lt;'PlayerGrades+'!$AH$8,"B",IF(R216&lt;'PlayerGrades+'!$AH$7,"B+",IF(R216&lt;'PlayerGrades+'!$AH$6,"A-",IF(R216&lt;'PlayerGrades+'!$AH$5,"A",IF(R216&lt;'PlayerGrades+'!$AH$4,"A+",IF(R216&lt;'PlayerGrades+'!$AH$3,"S-",IF(R216&lt;'PlayerGrades+'!$AH$2,"S","S+"))))))))))))))))))))</f>
        <v>#DIV/0!</v>
      </c>
      <c r="T216" s="961">
        <f t="shared" si="9"/>
        <v>0</v>
      </c>
      <c r="U216" s="961" t="str">
        <f>IF(T216&lt;'PlayerGrades+'!$AI$21,"F-",IF(T216&lt;'PlayerGrades+'!$AI$20,"F",IF(T216&lt;'PlayerGrades+'!$AI$19,"F+",IF(T216&lt;'PlayerGrades+'!$AI$18,"E-",IF(T216&lt;'PlayerGrades+'!$AI$17,"E",IF(T216&lt;'PlayerGrades+'!$AI$16,"E+",IF(T216&lt;'PlayerGrades+'!$AI$15,"D-",IF(T216&lt;'PlayerGrades+'!$AI$14,"D",IF(T216&lt;'PlayerGrades+'!$AI$13,"D+",IF(T216&lt;'PlayerGrades+'!$AI$12,"C-",IF(T216&lt;'PlayerGrades+'!$AI$11,"C",IF(T216&lt;'PlayerGrades+'!$AI$10,"C+",IF(T216&lt;'PlayerGrades+'!$AI$9,"B-",IF(T216&lt;'PlayerGrades+'!$AI$8,"B",IF(T216&lt;'PlayerGrades+'!$AI$7,"B+",IF(T216&lt;'PlayerGrades+'!$AI$6,"A-",IF(T216&lt;'PlayerGrades+'!$AI$5,"A",IF(T216&lt;'PlayerGrades+'!$AI$4,"A+",IF(T216&lt;'PlayerGrades+'!$AI$3,"S-",IF(T216&lt;'PlayerGrades+'!$AI$2,"S","S+"))))))))))))))))))))</f>
        <v>F-</v>
      </c>
      <c r="AC216" s="1392"/>
    </row>
    <row r="217">
      <c r="A217" s="1393"/>
      <c r="B217" s="611" t="str">
        <f>IF(C217&lt;'PlayerGrades+'!$Y$44,"F-",IF(C217&lt;'PlayerGrades+'!$Y$43,"F",IF(C217&lt;'PlayerGrades+'!$Y$42,"F+",IF(C217&lt;'PlayerGrades+'!$Y$41,"E-",IF(C217&lt;'PlayerGrades+'!$Y$40,"E",IF(C217&lt;'PlayerGrades+'!$Y$39,"E+",IF(C217&lt;'PlayerGrades+'!$Y$38,"D-",IF(C217&lt;'PlayerGrades+'!$Y$37,"D",IF(C217&lt;'PlayerGrades+'!$Y$36,"D+",IF(C217&lt;'PlayerGrades+'!$Y$35,"C-",IF(C217&lt;'PlayerGrades+'!$Y$34,"C",IF(C217&lt;'PlayerGrades+'!$Y$33,"C+",IF(C217&lt;'PlayerGrades+'!$Y$32,"B-",IF(C217&lt;'PlayerGrades+'!$Y$31,"B",IF(C217&lt;'PlayerGrades+'!$Y$30,"B+",IF(C217&lt;'PlayerGrades+'!$Y$29,"A-",IF(C217&lt;'PlayerGrades+'!$Y$28,"A",IF(C217&lt;'PlayerGrades+'!$Y$27,"A+",IF(C217&lt;'PlayerGrades+'!$Y$26,"S-",IF(C217&lt;'PlayerGrades+'!$Y$25,"S","S+"))))))))))))))))))))</f>
        <v>#DIV/0!</v>
      </c>
      <c r="C217" s="1378" t="str">
        <f>('PlayerGrades+'!$Y$47*(VLOOKUP(E217, 'PlayerGrades+'!$X$3:$Y$23, 2, FALSE)))+('PlayerGrades+'!$Y$48*(VLOOKUP(G217, 'PlayerGrades+'!$X$3:$Y$23, 2, FALSE)))+('PlayerGrades+'!$Y$49*(VLOOKUP(I217, 'PlayerGrades+'!$X$3:$Y$23, 2, FALSE)))+('PlayerGrades+'!$Y$50*(VLOOKUP(K217, 'PlayerGrades+'!$X$3:$Y$23, 2, FALSE)))+('PlayerGrades+'!$Y$51*(VLOOKUP(M217, 'PlayerGrades+'!$X$3:$Y$23, 2, FALSE)))+('PlayerGrades+'!$Y$52*(VLOOKUP(O217, 'PlayerGrades+'!$X$3:$Y$23, 2, FALSE)))+('PlayerGrades+'!$Y$53*(VLOOKUP(Q217, 'PlayerGrades+'!$X$3:$Y$23, 2, FALSE)))+('PlayerGrades+'!$Y$54*(VLOOKUP(S217, 'PlayerGrades+'!$X$3:$Y$23, 2, FALSE)))+('PlayerGrades+'!$Y$55*(VLOOKUP(U217, 'PlayerGrades+'!$X$3:$Y$23, 2, FALSE)))</f>
        <v>#DIV/0!</v>
      </c>
      <c r="D217" s="961" t="str">
        <f t="shared" si="1"/>
        <v>#DIV/0!</v>
      </c>
      <c r="E217" s="961" t="str">
        <f>IF(D217&lt;'PlayerGrades+'!$AA$21,"F-",IF(D217&lt;'PlayerGrades+'!$AA$20,"F",IF(D217&lt;'PlayerGrades+'!$AA$19,"F+",IF(D217&lt;'PlayerGrades+'!$AA$18,"E-",IF(D217&lt;'PlayerGrades+'!$AA$17,"E",IF(D217&lt;'PlayerGrades+'!$AA$16,"E+",IF(D217&lt;'PlayerGrades+'!$AA$15,"D-",IF(D217&lt;'PlayerGrades+'!$AA$14,"D",IF(D217&lt;'PlayerGrades+'!$AA$13,"D+",IF(D217&lt;'PlayerGrades+'!$AA$12,"C-",IF(D217&lt;'PlayerGrades+'!$AA$11,"C",IF(D217&lt;'PlayerGrades+'!$AA$10,"C+",IF(D217&lt;'PlayerGrades+'!$AA$9,"B-",IF(D217&lt;'PlayerGrades+'!$AA$8,"B",IF(D217&lt;'PlayerGrades+'!$AA$7,"B+",IF(D217&lt;'PlayerGrades+'!$AA$6,"A-",IF(D217&lt;'PlayerGrades+'!$AA$5,"A",IF(D217&lt;'PlayerGrades+'!$AA$4,"A+",IF(D217&lt;'PlayerGrades+'!$AA$3,"S-",IF(D217&lt;'PlayerGrades+'!$AA$2,"S","S+"))))))))))))))))))))</f>
        <v>#DIV/0!</v>
      </c>
      <c r="F217" s="961" t="str">
        <f t="shared" si="2"/>
        <v>#DIV/0!</v>
      </c>
      <c r="G217" s="961" t="str">
        <f>IF(F217&lt;'PlayerGrades+'!$AB$21,"F-",IF(F217&lt;'PlayerGrades+'!$AB$20,"F",IF(F217&lt;'PlayerGrades+'!$AB$19,"F+",IF(F217&lt;'PlayerGrades+'!$AB$18,"E-",IF(F217&lt;'PlayerGrades+'!$AB$17,"E",IF(F217&lt;'PlayerGrades+'!$AB$16,"E+",IF(F217&lt;'PlayerGrades+'!$AB$15,"D-",IF(F217&lt;'PlayerGrades+'!$AB$14,"D",IF(F217&lt;'PlayerGrades+'!$AB$13,"D+",IF(F217&lt;'PlayerGrades+'!$AB$12,"C-",IF(F217&lt;'PlayerGrades+'!$AB$11,"C",IF(F217&lt;'PlayerGrades+'!$AB$10,"C+",IF(F217&lt;'PlayerGrades+'!$AB$9,"B-",IF(F217&lt;'PlayerGrades+'!$AB$8,"B",IF(F217&lt;'PlayerGrades+'!$AB$7,"B+",IF(F217&lt;'PlayerGrades+'!$AB$6,"A-",IF(F217&lt;'PlayerGrades+'!$AB$5,"A",IF(F217&lt;'PlayerGrades+'!$AB$4,"A+",IF(F217&lt;'PlayerGrades+'!$AB$3,"S-",IF(F217&lt;'PlayerGrades+'!$AB$2,"S","S+"))))))))))))))))))))</f>
        <v>#DIV/0!</v>
      </c>
      <c r="H217" s="961" t="str">
        <f t="shared" si="3"/>
        <v>#DIV/0!</v>
      </c>
      <c r="I217" s="961" t="str">
        <f>IF(H217&lt;'PlayerGrades+'!$AC$21,"F-",IF(H217&lt;'PlayerGrades+'!$AC$20,"F",IF(H217&lt;'PlayerGrades+'!$AC$19,"F+",IF(H217&lt;'PlayerGrades+'!$AC$18,"E-",IF(H217&lt;'PlayerGrades+'!$AC$17,"E",IF(H217&lt;'PlayerGrades+'!$AC$16,"E+",IF(H217&lt;'PlayerGrades+'!$AC$15,"D-",IF(H217&lt;'PlayerGrades+'!$AC$14,"D",IF(H217&lt;'PlayerGrades+'!$AC$13,"D+",IF(H217&lt;'PlayerGrades+'!$AC$12,"C-",IF(H217&lt;'PlayerGrades+'!$AC$11,"C",IF(H217&lt;'PlayerGrades+'!$AC$10,"C+",IF(H217&lt;'PlayerGrades+'!$AC$9,"B-",IF(H217&lt;'PlayerGrades+'!$AC$8,"B",IF(H217&lt;'PlayerGrades+'!$AC$7,"B+",IF(H217&lt;'PlayerGrades+'!$AC$6,"A-",IF(H217&lt;'PlayerGrades+'!$AC$5,"A",IF(H217&lt;'PlayerGrades+'!$AC$4,"A+",IF(H217&lt;'PlayerGrades+'!$AC$3,"S-",IF(H217&lt;'PlayerGrades+'!$AC$2,"S","S+"))))))))))))))))))))</f>
        <v>#DIV/0!</v>
      </c>
      <c r="J217" s="961" t="str">
        <f t="shared" si="4"/>
        <v>#DIV/0!</v>
      </c>
      <c r="K217" s="961" t="str">
        <f>IF(J217&lt;'PlayerGrades+'!$AD$21,"F-",IF(J217&lt;'PlayerGrades+'!$AD$20,"F",IF(J217&lt;'PlayerGrades+'!$AD$19,"F+",IF(J217&lt;'PlayerGrades+'!$AD$18,"E-",IF(J217&lt;'PlayerGrades+'!$AD$17,"E",IF(J217&lt;'PlayerGrades+'!$AD$16,"E+",IF(J217&lt;'PlayerGrades+'!$AD$15,"D-",IF(J217&lt;'PlayerGrades+'!$AD$14,"D",IF(J217&lt;'PlayerGrades+'!$AD$13,"D+",IF(J217&lt;'PlayerGrades+'!$AD$12,"C-",IF(J217&lt;'PlayerGrades+'!$AD$11,"C",IF(J217&lt;'PlayerGrades+'!$AD$10,"C+",IF(J217&lt;'PlayerGrades+'!$AD$9,"B-",IF(J217&lt;'PlayerGrades+'!$AD$8,"B",IF(J217&lt;'PlayerGrades+'!$AD$7,"B+",IF(J217&lt;'PlayerGrades+'!$AD$6,"A-",IF(J217&lt;'PlayerGrades+'!$AD$5,"A",IF(J217&lt;'PlayerGrades+'!$AD$4,"A+",IF(J217&lt;'PlayerGrades+'!$AD$3,"S-",IF(J217&lt;'PlayerGrades+'!$AD$2,"S","S+"))))))))))))))))))))</f>
        <v>#DIV/0!</v>
      </c>
      <c r="L217" s="1176" t="str">
        <f t="shared" si="5"/>
        <v>#DIV/0!</v>
      </c>
      <c r="M217" s="992" t="str">
        <f>IF(L217&lt;'PlayerGrades+'!$AE$21,"F-",IF(L217&lt;'PlayerGrades+'!$AE$20,"F",IF(L217&lt;'PlayerGrades+'!$AE$19,"F+",IF(L217&lt;'PlayerGrades+'!$AE$18,"E-",IF(L217&lt;'PlayerGrades+'!$AE$17,"E",IF(L217&lt;'PlayerGrades+'!$AE$16,"E+",IF(L217&lt;'PlayerGrades+'!$AE$15,"D-",IF(L217&lt;'PlayerGrades+'!$AE$14,"D",IF(L217&lt;'PlayerGrades+'!$AE$13,"D+",IF(L217&lt;'PlayerGrades+'!$AE$12,"C-",IF(L217&lt;'PlayerGrades+'!$AE$11,"C",IF(L217&lt;'PlayerGrades+'!$AE$10,"C+",IF(L217&lt;'PlayerGrades+'!$AE$9,"B-",IF(L217&lt;'PlayerGrades+'!$AE$8,"B",IF(L217&lt;'PlayerGrades+'!$AE$7,"B+",IF(L217&lt;'PlayerGrades+'!$AE$6,"A-",IF(L217&lt;'PlayerGrades+'!$AE$5,"A",IF(L217&lt;'PlayerGrades+'!$AE$4,"A+",IF(L217&lt;'PlayerGrades+'!$AE$3,"S-",IF(L217&lt;'PlayerGrades+'!$AE$2,"S","S+"))))))))))))))))))))</f>
        <v>#DIV/0!</v>
      </c>
      <c r="N217" s="961" t="str">
        <f t="shared" si="6"/>
        <v>#DIV/0!</v>
      </c>
      <c r="O217" s="961" t="str">
        <f>IF(N217&lt;'PlayerGrades+'!$AF$21,"F-",IF(N217&lt;'PlayerGrades+'!$AF$20,"F",IF(N217&lt;'PlayerGrades+'!$AF$19,"F+",IF(N217&lt;'PlayerGrades+'!$AF$18,"E-",IF(N217&lt;'PlayerGrades+'!$AF$17,"E",IF(N217&lt;'PlayerGrades+'!$AF$16,"E+",IF(N217&lt;'PlayerGrades+'!$AF$15,"D-",IF(N217&lt;'PlayerGrades+'!$AF$14,"D",IF(N217&lt;'PlayerGrades+'!$AF$13,"D+",IF(N217&lt;'PlayerGrades+'!$AF$12,"C-",IF(N217&lt;'PlayerGrades+'!$AF$11,"C",IF(N217&lt;'PlayerGrades+'!$AF$10,"C+",IF(N217&lt;'PlayerGrades+'!$AF$9,"B-",IF(N217&lt;'PlayerGrades+'!$AF$8,"B",IF(N217&lt;'PlayerGrades+'!$AF$7,"B+",IF(N217&lt;'PlayerGrades+'!$AF$6,"A-",IF(N217&lt;'PlayerGrades+'!$AF$5,"A",IF(N217&lt;'PlayerGrades+'!$AF$4,"A+",IF(N217&lt;'PlayerGrades+'!$AF$3,"S-",IF(N217&lt;'PlayerGrades+'!$AF$2,"S","S+"))))))))))))))))))))</f>
        <v>#DIV/0!</v>
      </c>
      <c r="P217" s="961" t="str">
        <f t="shared" si="7"/>
        <v>#DIV/0!</v>
      </c>
      <c r="Q217" s="961" t="str">
        <f>IF(P217&lt;'PlayerGrades+'!$AG$21,"F-",IF(P217&lt;'PlayerGrades+'!$AG$20,"F",IF(P217&lt;'PlayerGrades+'!$AG$19,"F+",IF(P217&lt;'PlayerGrades+'!$AG$18,"E-",IF(P217&lt;'PlayerGrades+'!$AG$17,"E",IF(P217&lt;'PlayerGrades+'!$AG$16,"E+",IF(P217&lt;'PlayerGrades+'!$AG$15,"D-",IF(P217&lt;'PlayerGrades+'!$AG$14,"D",IF(P217&lt;'PlayerGrades+'!$AG$13,"D+",IF(P217&lt;'PlayerGrades+'!$AG$12,"C-",IF(P217&lt;'PlayerGrades+'!$AG$11,"C",IF(P217&lt;'PlayerGrades+'!$AG$10,"C+",IF(P217&lt;'PlayerGrades+'!$AG$9,"B-",IF(P217&lt;'PlayerGrades+'!$AG$8,"B",IF(P217&lt;'PlayerGrades+'!$AG$7,"B+",IF(P217&lt;'PlayerGrades+'!$AG$6,"A-",IF(P217&lt;'PlayerGrades+'!$AG$5,"A",IF(P217&lt;'PlayerGrades+'!$AG$4,"A+",IF(P217&lt;'PlayerGrades+'!$AG$3,"S-",IF(P217&lt;'PlayerGrades+'!$AG$2,"S","S+"))))))))))))))))))))</f>
        <v>#DIV/0!</v>
      </c>
      <c r="R217" s="961" t="str">
        <f t="shared" si="8"/>
        <v>#DIV/0!</v>
      </c>
      <c r="S217" s="961" t="str">
        <f>IF(R217&lt;'PlayerGrades+'!$AH$21,"F-",IF(R217&lt;'PlayerGrades+'!$AH$20,"F",IF(R217&lt;'PlayerGrades+'!$AH$19,"F+",IF(R217&lt;'PlayerGrades+'!$AH$18,"E-",IF(R217&lt;'PlayerGrades+'!$AH$17,"E",IF(R217&lt;'PlayerGrades+'!$AH$16,"E+",IF(R217&lt;'PlayerGrades+'!$AH$15,"D-",IF(R217&lt;'PlayerGrades+'!$AH$14,"D",IF(R217&lt;'PlayerGrades+'!$AH$13,"D+",IF(R217&lt;'PlayerGrades+'!$AH$12,"C-",IF(R217&lt;'PlayerGrades+'!$AH$11,"C",IF(R217&lt;'PlayerGrades+'!$AH$10,"C+",IF(R217&lt;'PlayerGrades+'!$AH$9,"B-",IF(R217&lt;'PlayerGrades+'!$AH$8,"B",IF(R217&lt;'PlayerGrades+'!$AH$7,"B+",IF(R217&lt;'PlayerGrades+'!$AH$6,"A-",IF(R217&lt;'PlayerGrades+'!$AH$5,"A",IF(R217&lt;'PlayerGrades+'!$AH$4,"A+",IF(R217&lt;'PlayerGrades+'!$AH$3,"S-",IF(R217&lt;'PlayerGrades+'!$AH$2,"S","S+"))))))))))))))))))))</f>
        <v>#DIV/0!</v>
      </c>
      <c r="T217" s="961">
        <f t="shared" si="9"/>
        <v>0</v>
      </c>
      <c r="U217" s="961" t="str">
        <f>IF(T217&lt;'PlayerGrades+'!$AI$21,"F-",IF(T217&lt;'PlayerGrades+'!$AI$20,"F",IF(T217&lt;'PlayerGrades+'!$AI$19,"F+",IF(T217&lt;'PlayerGrades+'!$AI$18,"E-",IF(T217&lt;'PlayerGrades+'!$AI$17,"E",IF(T217&lt;'PlayerGrades+'!$AI$16,"E+",IF(T217&lt;'PlayerGrades+'!$AI$15,"D-",IF(T217&lt;'PlayerGrades+'!$AI$14,"D",IF(T217&lt;'PlayerGrades+'!$AI$13,"D+",IF(T217&lt;'PlayerGrades+'!$AI$12,"C-",IF(T217&lt;'PlayerGrades+'!$AI$11,"C",IF(T217&lt;'PlayerGrades+'!$AI$10,"C+",IF(T217&lt;'PlayerGrades+'!$AI$9,"B-",IF(T217&lt;'PlayerGrades+'!$AI$8,"B",IF(T217&lt;'PlayerGrades+'!$AI$7,"B+",IF(T217&lt;'PlayerGrades+'!$AI$6,"A-",IF(T217&lt;'PlayerGrades+'!$AI$5,"A",IF(T217&lt;'PlayerGrades+'!$AI$4,"A+",IF(T217&lt;'PlayerGrades+'!$AI$3,"S-",IF(T217&lt;'PlayerGrades+'!$AI$2,"S","S+"))))))))))))))))))))</f>
        <v>F-</v>
      </c>
      <c r="V217" s="1386"/>
      <c r="W217" s="1386"/>
      <c r="X217" s="1386"/>
      <c r="Y217" s="1386"/>
      <c r="Z217" s="1386"/>
      <c r="AA217" s="1386"/>
      <c r="AB217" s="1386"/>
      <c r="AC217" s="1397"/>
      <c r="AD217" s="1386"/>
      <c r="AE217" s="1386"/>
      <c r="AF217" s="1386"/>
      <c r="AG217" s="1386"/>
      <c r="AH217" s="1386"/>
      <c r="AI217" s="1386"/>
      <c r="AJ217" s="1386"/>
      <c r="AK217" s="1386"/>
      <c r="AL217" s="1386"/>
      <c r="AM217" s="1386"/>
      <c r="AN217" s="1386"/>
      <c r="AO217" s="1386"/>
      <c r="AP217" s="1386"/>
      <c r="AQ217" s="1386"/>
      <c r="AR217" s="1386"/>
      <c r="AS217" s="1386"/>
      <c r="AT217" s="1386"/>
      <c r="AU217" s="1386"/>
      <c r="AV217" s="1386"/>
      <c r="AW217" s="1386"/>
      <c r="AX217" s="1386"/>
      <c r="AY217" s="1386"/>
      <c r="AZ217" s="1386"/>
    </row>
    <row r="218">
      <c r="A218" s="1389"/>
      <c r="B218" s="611" t="str">
        <f>IF(C218&lt;'PlayerGrades+'!$Y$44,"F-",IF(C218&lt;'PlayerGrades+'!$Y$43,"F",IF(C218&lt;'PlayerGrades+'!$Y$42,"F+",IF(C218&lt;'PlayerGrades+'!$Y$41,"E-",IF(C218&lt;'PlayerGrades+'!$Y$40,"E",IF(C218&lt;'PlayerGrades+'!$Y$39,"E+",IF(C218&lt;'PlayerGrades+'!$Y$38,"D-",IF(C218&lt;'PlayerGrades+'!$Y$37,"D",IF(C218&lt;'PlayerGrades+'!$Y$36,"D+",IF(C218&lt;'PlayerGrades+'!$Y$35,"C-",IF(C218&lt;'PlayerGrades+'!$Y$34,"C",IF(C218&lt;'PlayerGrades+'!$Y$33,"C+",IF(C218&lt;'PlayerGrades+'!$Y$32,"B-",IF(C218&lt;'PlayerGrades+'!$Y$31,"B",IF(C218&lt;'PlayerGrades+'!$Y$30,"B+",IF(C218&lt;'PlayerGrades+'!$Y$29,"A-",IF(C218&lt;'PlayerGrades+'!$Y$28,"A",IF(C218&lt;'PlayerGrades+'!$Y$27,"A+",IF(C218&lt;'PlayerGrades+'!$Y$26,"S-",IF(C218&lt;'PlayerGrades+'!$Y$25,"S","S+"))))))))))))))))))))</f>
        <v>#DIV/0!</v>
      </c>
      <c r="C218" s="1378" t="str">
        <f>('PlayerGrades+'!$Y$47*(VLOOKUP(E218, 'PlayerGrades+'!$X$3:$Y$23, 2, FALSE)))+('PlayerGrades+'!$Y$48*(VLOOKUP(G218, 'PlayerGrades+'!$X$3:$Y$23, 2, FALSE)))+('PlayerGrades+'!$Y$49*(VLOOKUP(I218, 'PlayerGrades+'!$X$3:$Y$23, 2, FALSE)))+('PlayerGrades+'!$Y$50*(VLOOKUP(K218, 'PlayerGrades+'!$X$3:$Y$23, 2, FALSE)))+('PlayerGrades+'!$Y$51*(VLOOKUP(M218, 'PlayerGrades+'!$X$3:$Y$23, 2, FALSE)))+('PlayerGrades+'!$Y$52*(VLOOKUP(O218, 'PlayerGrades+'!$X$3:$Y$23, 2, FALSE)))+('PlayerGrades+'!$Y$53*(VLOOKUP(Q218, 'PlayerGrades+'!$X$3:$Y$23, 2, FALSE)))+('PlayerGrades+'!$Y$54*(VLOOKUP(S218, 'PlayerGrades+'!$X$3:$Y$23, 2, FALSE)))+('PlayerGrades+'!$Y$55*(VLOOKUP(U218, 'PlayerGrades+'!$X$3:$Y$23, 2, FALSE)))</f>
        <v>#DIV/0!</v>
      </c>
      <c r="D218" s="961" t="str">
        <f t="shared" si="1"/>
        <v>#DIV/0!</v>
      </c>
      <c r="E218" s="961" t="str">
        <f>IF(D218&lt;'PlayerGrades+'!$AA$21,"F-",IF(D218&lt;'PlayerGrades+'!$AA$20,"F",IF(D218&lt;'PlayerGrades+'!$AA$19,"F+",IF(D218&lt;'PlayerGrades+'!$AA$18,"E-",IF(D218&lt;'PlayerGrades+'!$AA$17,"E",IF(D218&lt;'PlayerGrades+'!$AA$16,"E+",IF(D218&lt;'PlayerGrades+'!$AA$15,"D-",IF(D218&lt;'PlayerGrades+'!$AA$14,"D",IF(D218&lt;'PlayerGrades+'!$AA$13,"D+",IF(D218&lt;'PlayerGrades+'!$AA$12,"C-",IF(D218&lt;'PlayerGrades+'!$AA$11,"C",IF(D218&lt;'PlayerGrades+'!$AA$10,"C+",IF(D218&lt;'PlayerGrades+'!$AA$9,"B-",IF(D218&lt;'PlayerGrades+'!$AA$8,"B",IF(D218&lt;'PlayerGrades+'!$AA$7,"B+",IF(D218&lt;'PlayerGrades+'!$AA$6,"A-",IF(D218&lt;'PlayerGrades+'!$AA$5,"A",IF(D218&lt;'PlayerGrades+'!$AA$4,"A+",IF(D218&lt;'PlayerGrades+'!$AA$3,"S-",IF(D218&lt;'PlayerGrades+'!$AA$2,"S","S+"))))))))))))))))))))</f>
        <v>#DIV/0!</v>
      </c>
      <c r="F218" s="961" t="str">
        <f t="shared" si="2"/>
        <v>#DIV/0!</v>
      </c>
      <c r="G218" s="961" t="str">
        <f>IF(F218&lt;'PlayerGrades+'!$AB$21,"F-",IF(F218&lt;'PlayerGrades+'!$AB$20,"F",IF(F218&lt;'PlayerGrades+'!$AB$19,"F+",IF(F218&lt;'PlayerGrades+'!$AB$18,"E-",IF(F218&lt;'PlayerGrades+'!$AB$17,"E",IF(F218&lt;'PlayerGrades+'!$AB$16,"E+",IF(F218&lt;'PlayerGrades+'!$AB$15,"D-",IF(F218&lt;'PlayerGrades+'!$AB$14,"D",IF(F218&lt;'PlayerGrades+'!$AB$13,"D+",IF(F218&lt;'PlayerGrades+'!$AB$12,"C-",IF(F218&lt;'PlayerGrades+'!$AB$11,"C",IF(F218&lt;'PlayerGrades+'!$AB$10,"C+",IF(F218&lt;'PlayerGrades+'!$AB$9,"B-",IF(F218&lt;'PlayerGrades+'!$AB$8,"B",IF(F218&lt;'PlayerGrades+'!$AB$7,"B+",IF(F218&lt;'PlayerGrades+'!$AB$6,"A-",IF(F218&lt;'PlayerGrades+'!$AB$5,"A",IF(F218&lt;'PlayerGrades+'!$AB$4,"A+",IF(F218&lt;'PlayerGrades+'!$AB$3,"S-",IF(F218&lt;'PlayerGrades+'!$AB$2,"S","S+"))))))))))))))))))))</f>
        <v>#DIV/0!</v>
      </c>
      <c r="H218" s="961" t="str">
        <f t="shared" si="3"/>
        <v>#DIV/0!</v>
      </c>
      <c r="I218" s="961" t="str">
        <f>IF(H218&lt;'PlayerGrades+'!$AC$21,"F-",IF(H218&lt;'PlayerGrades+'!$AC$20,"F",IF(H218&lt;'PlayerGrades+'!$AC$19,"F+",IF(H218&lt;'PlayerGrades+'!$AC$18,"E-",IF(H218&lt;'PlayerGrades+'!$AC$17,"E",IF(H218&lt;'PlayerGrades+'!$AC$16,"E+",IF(H218&lt;'PlayerGrades+'!$AC$15,"D-",IF(H218&lt;'PlayerGrades+'!$AC$14,"D",IF(H218&lt;'PlayerGrades+'!$AC$13,"D+",IF(H218&lt;'PlayerGrades+'!$AC$12,"C-",IF(H218&lt;'PlayerGrades+'!$AC$11,"C",IF(H218&lt;'PlayerGrades+'!$AC$10,"C+",IF(H218&lt;'PlayerGrades+'!$AC$9,"B-",IF(H218&lt;'PlayerGrades+'!$AC$8,"B",IF(H218&lt;'PlayerGrades+'!$AC$7,"B+",IF(H218&lt;'PlayerGrades+'!$AC$6,"A-",IF(H218&lt;'PlayerGrades+'!$AC$5,"A",IF(H218&lt;'PlayerGrades+'!$AC$4,"A+",IF(H218&lt;'PlayerGrades+'!$AC$3,"S-",IF(H218&lt;'PlayerGrades+'!$AC$2,"S","S+"))))))))))))))))))))</f>
        <v>#DIV/0!</v>
      </c>
      <c r="J218" s="961" t="str">
        <f t="shared" si="4"/>
        <v>#DIV/0!</v>
      </c>
      <c r="K218" s="961" t="str">
        <f>IF(J218&lt;'PlayerGrades+'!$AD$21,"F-",IF(J218&lt;'PlayerGrades+'!$AD$20,"F",IF(J218&lt;'PlayerGrades+'!$AD$19,"F+",IF(J218&lt;'PlayerGrades+'!$AD$18,"E-",IF(J218&lt;'PlayerGrades+'!$AD$17,"E",IF(J218&lt;'PlayerGrades+'!$AD$16,"E+",IF(J218&lt;'PlayerGrades+'!$AD$15,"D-",IF(J218&lt;'PlayerGrades+'!$AD$14,"D",IF(J218&lt;'PlayerGrades+'!$AD$13,"D+",IF(J218&lt;'PlayerGrades+'!$AD$12,"C-",IF(J218&lt;'PlayerGrades+'!$AD$11,"C",IF(J218&lt;'PlayerGrades+'!$AD$10,"C+",IF(J218&lt;'PlayerGrades+'!$AD$9,"B-",IF(J218&lt;'PlayerGrades+'!$AD$8,"B",IF(J218&lt;'PlayerGrades+'!$AD$7,"B+",IF(J218&lt;'PlayerGrades+'!$AD$6,"A-",IF(J218&lt;'PlayerGrades+'!$AD$5,"A",IF(J218&lt;'PlayerGrades+'!$AD$4,"A+",IF(J218&lt;'PlayerGrades+'!$AD$3,"S-",IF(J218&lt;'PlayerGrades+'!$AD$2,"S","S+"))))))))))))))))))))</f>
        <v>#DIV/0!</v>
      </c>
      <c r="L218" s="1176" t="str">
        <f t="shared" si="5"/>
        <v>#DIV/0!</v>
      </c>
      <c r="M218" s="992" t="str">
        <f>IF(L218&lt;'PlayerGrades+'!$AE$21,"F-",IF(L218&lt;'PlayerGrades+'!$AE$20,"F",IF(L218&lt;'PlayerGrades+'!$AE$19,"F+",IF(L218&lt;'PlayerGrades+'!$AE$18,"E-",IF(L218&lt;'PlayerGrades+'!$AE$17,"E",IF(L218&lt;'PlayerGrades+'!$AE$16,"E+",IF(L218&lt;'PlayerGrades+'!$AE$15,"D-",IF(L218&lt;'PlayerGrades+'!$AE$14,"D",IF(L218&lt;'PlayerGrades+'!$AE$13,"D+",IF(L218&lt;'PlayerGrades+'!$AE$12,"C-",IF(L218&lt;'PlayerGrades+'!$AE$11,"C",IF(L218&lt;'PlayerGrades+'!$AE$10,"C+",IF(L218&lt;'PlayerGrades+'!$AE$9,"B-",IF(L218&lt;'PlayerGrades+'!$AE$8,"B",IF(L218&lt;'PlayerGrades+'!$AE$7,"B+",IF(L218&lt;'PlayerGrades+'!$AE$6,"A-",IF(L218&lt;'PlayerGrades+'!$AE$5,"A",IF(L218&lt;'PlayerGrades+'!$AE$4,"A+",IF(L218&lt;'PlayerGrades+'!$AE$3,"S-",IF(L218&lt;'PlayerGrades+'!$AE$2,"S","S+"))))))))))))))))))))</f>
        <v>#DIV/0!</v>
      </c>
      <c r="N218" s="961" t="str">
        <f t="shared" si="6"/>
        <v>#DIV/0!</v>
      </c>
      <c r="O218" s="961" t="str">
        <f>IF(N218&lt;'PlayerGrades+'!$AF$21,"F-",IF(N218&lt;'PlayerGrades+'!$AF$20,"F",IF(N218&lt;'PlayerGrades+'!$AF$19,"F+",IF(N218&lt;'PlayerGrades+'!$AF$18,"E-",IF(N218&lt;'PlayerGrades+'!$AF$17,"E",IF(N218&lt;'PlayerGrades+'!$AF$16,"E+",IF(N218&lt;'PlayerGrades+'!$AF$15,"D-",IF(N218&lt;'PlayerGrades+'!$AF$14,"D",IF(N218&lt;'PlayerGrades+'!$AF$13,"D+",IF(N218&lt;'PlayerGrades+'!$AF$12,"C-",IF(N218&lt;'PlayerGrades+'!$AF$11,"C",IF(N218&lt;'PlayerGrades+'!$AF$10,"C+",IF(N218&lt;'PlayerGrades+'!$AF$9,"B-",IF(N218&lt;'PlayerGrades+'!$AF$8,"B",IF(N218&lt;'PlayerGrades+'!$AF$7,"B+",IF(N218&lt;'PlayerGrades+'!$AF$6,"A-",IF(N218&lt;'PlayerGrades+'!$AF$5,"A",IF(N218&lt;'PlayerGrades+'!$AF$4,"A+",IF(N218&lt;'PlayerGrades+'!$AF$3,"S-",IF(N218&lt;'PlayerGrades+'!$AF$2,"S","S+"))))))))))))))))))))</f>
        <v>#DIV/0!</v>
      </c>
      <c r="P218" s="961" t="str">
        <f t="shared" si="7"/>
        <v>#DIV/0!</v>
      </c>
      <c r="Q218" s="961" t="str">
        <f>IF(P218&lt;'PlayerGrades+'!$AG$21,"F-",IF(P218&lt;'PlayerGrades+'!$AG$20,"F",IF(P218&lt;'PlayerGrades+'!$AG$19,"F+",IF(P218&lt;'PlayerGrades+'!$AG$18,"E-",IF(P218&lt;'PlayerGrades+'!$AG$17,"E",IF(P218&lt;'PlayerGrades+'!$AG$16,"E+",IF(P218&lt;'PlayerGrades+'!$AG$15,"D-",IF(P218&lt;'PlayerGrades+'!$AG$14,"D",IF(P218&lt;'PlayerGrades+'!$AG$13,"D+",IF(P218&lt;'PlayerGrades+'!$AG$12,"C-",IF(P218&lt;'PlayerGrades+'!$AG$11,"C",IF(P218&lt;'PlayerGrades+'!$AG$10,"C+",IF(P218&lt;'PlayerGrades+'!$AG$9,"B-",IF(P218&lt;'PlayerGrades+'!$AG$8,"B",IF(P218&lt;'PlayerGrades+'!$AG$7,"B+",IF(P218&lt;'PlayerGrades+'!$AG$6,"A-",IF(P218&lt;'PlayerGrades+'!$AG$5,"A",IF(P218&lt;'PlayerGrades+'!$AG$4,"A+",IF(P218&lt;'PlayerGrades+'!$AG$3,"S-",IF(P218&lt;'PlayerGrades+'!$AG$2,"S","S+"))))))))))))))))))))</f>
        <v>#DIV/0!</v>
      </c>
      <c r="R218" s="961" t="str">
        <f t="shared" si="8"/>
        <v>#DIV/0!</v>
      </c>
      <c r="S218" s="961" t="str">
        <f>IF(R218&lt;'PlayerGrades+'!$AH$21,"F-",IF(R218&lt;'PlayerGrades+'!$AH$20,"F",IF(R218&lt;'PlayerGrades+'!$AH$19,"F+",IF(R218&lt;'PlayerGrades+'!$AH$18,"E-",IF(R218&lt;'PlayerGrades+'!$AH$17,"E",IF(R218&lt;'PlayerGrades+'!$AH$16,"E+",IF(R218&lt;'PlayerGrades+'!$AH$15,"D-",IF(R218&lt;'PlayerGrades+'!$AH$14,"D",IF(R218&lt;'PlayerGrades+'!$AH$13,"D+",IF(R218&lt;'PlayerGrades+'!$AH$12,"C-",IF(R218&lt;'PlayerGrades+'!$AH$11,"C",IF(R218&lt;'PlayerGrades+'!$AH$10,"C+",IF(R218&lt;'PlayerGrades+'!$AH$9,"B-",IF(R218&lt;'PlayerGrades+'!$AH$8,"B",IF(R218&lt;'PlayerGrades+'!$AH$7,"B+",IF(R218&lt;'PlayerGrades+'!$AH$6,"A-",IF(R218&lt;'PlayerGrades+'!$AH$5,"A",IF(R218&lt;'PlayerGrades+'!$AH$4,"A+",IF(R218&lt;'PlayerGrades+'!$AH$3,"S-",IF(R218&lt;'PlayerGrades+'!$AH$2,"S","S+"))))))))))))))))))))</f>
        <v>#DIV/0!</v>
      </c>
      <c r="T218" s="961">
        <f t="shared" si="9"/>
        <v>0</v>
      </c>
      <c r="U218" s="961" t="str">
        <f>IF(T218&lt;'PlayerGrades+'!$AI$21,"F-",IF(T218&lt;'PlayerGrades+'!$AI$20,"F",IF(T218&lt;'PlayerGrades+'!$AI$19,"F+",IF(T218&lt;'PlayerGrades+'!$AI$18,"E-",IF(T218&lt;'PlayerGrades+'!$AI$17,"E",IF(T218&lt;'PlayerGrades+'!$AI$16,"E+",IF(T218&lt;'PlayerGrades+'!$AI$15,"D-",IF(T218&lt;'PlayerGrades+'!$AI$14,"D",IF(T218&lt;'PlayerGrades+'!$AI$13,"D+",IF(T218&lt;'PlayerGrades+'!$AI$12,"C-",IF(T218&lt;'PlayerGrades+'!$AI$11,"C",IF(T218&lt;'PlayerGrades+'!$AI$10,"C+",IF(T218&lt;'PlayerGrades+'!$AI$9,"B-",IF(T218&lt;'PlayerGrades+'!$AI$8,"B",IF(T218&lt;'PlayerGrades+'!$AI$7,"B+",IF(T218&lt;'PlayerGrades+'!$AI$6,"A-",IF(T218&lt;'PlayerGrades+'!$AI$5,"A",IF(T218&lt;'PlayerGrades+'!$AI$4,"A+",IF(T218&lt;'PlayerGrades+'!$AI$3,"S-",IF(T218&lt;'PlayerGrades+'!$AI$2,"S","S+"))))))))))))))))))))</f>
        <v>F-</v>
      </c>
      <c r="V218" s="1379"/>
      <c r="W218" s="1379"/>
      <c r="X218" s="1379"/>
      <c r="Y218" s="1379"/>
      <c r="Z218" s="1379"/>
      <c r="AA218" s="1379"/>
      <c r="AB218" s="1379"/>
      <c r="AC218" s="1390"/>
      <c r="AD218" s="1379"/>
      <c r="AE218" s="1379"/>
      <c r="AF218" s="1379"/>
      <c r="AG218" s="1379"/>
      <c r="AH218" s="1379"/>
      <c r="AI218" s="1379"/>
      <c r="AJ218" s="1379"/>
      <c r="AK218" s="1379"/>
      <c r="AL218" s="1379"/>
      <c r="AM218" s="1379"/>
      <c r="AN218" s="1379"/>
      <c r="AO218" s="1379"/>
      <c r="AP218" s="1379"/>
      <c r="AQ218" s="1379"/>
      <c r="AR218" s="1379"/>
      <c r="AS218" s="1379"/>
      <c r="AT218" s="1379"/>
      <c r="AU218" s="1379"/>
      <c r="AV218" s="1379"/>
      <c r="AW218" s="1379"/>
      <c r="AX218" s="1379"/>
      <c r="AY218" s="1379"/>
      <c r="AZ218" s="1379"/>
    </row>
    <row r="219">
      <c r="A219" s="1391"/>
      <c r="B219" s="611" t="str">
        <f>IF(C219&lt;'PlayerGrades+'!$Y$44,"F-",IF(C219&lt;'PlayerGrades+'!$Y$43,"F",IF(C219&lt;'PlayerGrades+'!$Y$42,"F+",IF(C219&lt;'PlayerGrades+'!$Y$41,"E-",IF(C219&lt;'PlayerGrades+'!$Y$40,"E",IF(C219&lt;'PlayerGrades+'!$Y$39,"E+",IF(C219&lt;'PlayerGrades+'!$Y$38,"D-",IF(C219&lt;'PlayerGrades+'!$Y$37,"D",IF(C219&lt;'PlayerGrades+'!$Y$36,"D+",IF(C219&lt;'PlayerGrades+'!$Y$35,"C-",IF(C219&lt;'PlayerGrades+'!$Y$34,"C",IF(C219&lt;'PlayerGrades+'!$Y$33,"C+",IF(C219&lt;'PlayerGrades+'!$Y$32,"B-",IF(C219&lt;'PlayerGrades+'!$Y$31,"B",IF(C219&lt;'PlayerGrades+'!$Y$30,"B+",IF(C219&lt;'PlayerGrades+'!$Y$29,"A-",IF(C219&lt;'PlayerGrades+'!$Y$28,"A",IF(C219&lt;'PlayerGrades+'!$Y$27,"A+",IF(C219&lt;'PlayerGrades+'!$Y$26,"S-",IF(C219&lt;'PlayerGrades+'!$Y$25,"S","S+"))))))))))))))))))))</f>
        <v>#DIV/0!</v>
      </c>
      <c r="C219" s="1378" t="str">
        <f>('PlayerGrades+'!$Y$47*(VLOOKUP(E219, 'PlayerGrades+'!$X$3:$Y$23, 2, FALSE)))+('PlayerGrades+'!$Y$48*(VLOOKUP(G219, 'PlayerGrades+'!$X$3:$Y$23, 2, FALSE)))+('PlayerGrades+'!$Y$49*(VLOOKUP(I219, 'PlayerGrades+'!$X$3:$Y$23, 2, FALSE)))+('PlayerGrades+'!$Y$50*(VLOOKUP(K219, 'PlayerGrades+'!$X$3:$Y$23, 2, FALSE)))+('PlayerGrades+'!$Y$51*(VLOOKUP(M219, 'PlayerGrades+'!$X$3:$Y$23, 2, FALSE)))+('PlayerGrades+'!$Y$52*(VLOOKUP(O219, 'PlayerGrades+'!$X$3:$Y$23, 2, FALSE)))+('PlayerGrades+'!$Y$53*(VLOOKUP(Q219, 'PlayerGrades+'!$X$3:$Y$23, 2, FALSE)))+('PlayerGrades+'!$Y$54*(VLOOKUP(S219, 'PlayerGrades+'!$X$3:$Y$23, 2, FALSE)))+('PlayerGrades+'!$Y$55*(VLOOKUP(U219, 'PlayerGrades+'!$X$3:$Y$23, 2, FALSE)))</f>
        <v>#DIV/0!</v>
      </c>
      <c r="D219" s="961" t="str">
        <f t="shared" si="1"/>
        <v>#DIV/0!</v>
      </c>
      <c r="E219" s="961" t="str">
        <f>IF(D219&lt;'PlayerGrades+'!$AA$21,"F-",IF(D219&lt;'PlayerGrades+'!$AA$20,"F",IF(D219&lt;'PlayerGrades+'!$AA$19,"F+",IF(D219&lt;'PlayerGrades+'!$AA$18,"E-",IF(D219&lt;'PlayerGrades+'!$AA$17,"E",IF(D219&lt;'PlayerGrades+'!$AA$16,"E+",IF(D219&lt;'PlayerGrades+'!$AA$15,"D-",IF(D219&lt;'PlayerGrades+'!$AA$14,"D",IF(D219&lt;'PlayerGrades+'!$AA$13,"D+",IF(D219&lt;'PlayerGrades+'!$AA$12,"C-",IF(D219&lt;'PlayerGrades+'!$AA$11,"C",IF(D219&lt;'PlayerGrades+'!$AA$10,"C+",IF(D219&lt;'PlayerGrades+'!$AA$9,"B-",IF(D219&lt;'PlayerGrades+'!$AA$8,"B",IF(D219&lt;'PlayerGrades+'!$AA$7,"B+",IF(D219&lt;'PlayerGrades+'!$AA$6,"A-",IF(D219&lt;'PlayerGrades+'!$AA$5,"A",IF(D219&lt;'PlayerGrades+'!$AA$4,"A+",IF(D219&lt;'PlayerGrades+'!$AA$3,"S-",IF(D219&lt;'PlayerGrades+'!$AA$2,"S","S+"))))))))))))))))))))</f>
        <v>#DIV/0!</v>
      </c>
      <c r="F219" s="961" t="str">
        <f t="shared" si="2"/>
        <v>#DIV/0!</v>
      </c>
      <c r="G219" s="961" t="str">
        <f>IF(F219&lt;'PlayerGrades+'!$AB$21,"F-",IF(F219&lt;'PlayerGrades+'!$AB$20,"F",IF(F219&lt;'PlayerGrades+'!$AB$19,"F+",IF(F219&lt;'PlayerGrades+'!$AB$18,"E-",IF(F219&lt;'PlayerGrades+'!$AB$17,"E",IF(F219&lt;'PlayerGrades+'!$AB$16,"E+",IF(F219&lt;'PlayerGrades+'!$AB$15,"D-",IF(F219&lt;'PlayerGrades+'!$AB$14,"D",IF(F219&lt;'PlayerGrades+'!$AB$13,"D+",IF(F219&lt;'PlayerGrades+'!$AB$12,"C-",IF(F219&lt;'PlayerGrades+'!$AB$11,"C",IF(F219&lt;'PlayerGrades+'!$AB$10,"C+",IF(F219&lt;'PlayerGrades+'!$AB$9,"B-",IF(F219&lt;'PlayerGrades+'!$AB$8,"B",IF(F219&lt;'PlayerGrades+'!$AB$7,"B+",IF(F219&lt;'PlayerGrades+'!$AB$6,"A-",IF(F219&lt;'PlayerGrades+'!$AB$5,"A",IF(F219&lt;'PlayerGrades+'!$AB$4,"A+",IF(F219&lt;'PlayerGrades+'!$AB$3,"S-",IF(F219&lt;'PlayerGrades+'!$AB$2,"S","S+"))))))))))))))))))))</f>
        <v>#DIV/0!</v>
      </c>
      <c r="H219" s="961" t="str">
        <f t="shared" si="3"/>
        <v>#DIV/0!</v>
      </c>
      <c r="I219" s="961" t="str">
        <f>IF(H219&lt;'PlayerGrades+'!$AC$21,"F-",IF(H219&lt;'PlayerGrades+'!$AC$20,"F",IF(H219&lt;'PlayerGrades+'!$AC$19,"F+",IF(H219&lt;'PlayerGrades+'!$AC$18,"E-",IF(H219&lt;'PlayerGrades+'!$AC$17,"E",IF(H219&lt;'PlayerGrades+'!$AC$16,"E+",IF(H219&lt;'PlayerGrades+'!$AC$15,"D-",IF(H219&lt;'PlayerGrades+'!$AC$14,"D",IF(H219&lt;'PlayerGrades+'!$AC$13,"D+",IF(H219&lt;'PlayerGrades+'!$AC$12,"C-",IF(H219&lt;'PlayerGrades+'!$AC$11,"C",IF(H219&lt;'PlayerGrades+'!$AC$10,"C+",IF(H219&lt;'PlayerGrades+'!$AC$9,"B-",IF(H219&lt;'PlayerGrades+'!$AC$8,"B",IF(H219&lt;'PlayerGrades+'!$AC$7,"B+",IF(H219&lt;'PlayerGrades+'!$AC$6,"A-",IF(H219&lt;'PlayerGrades+'!$AC$5,"A",IF(H219&lt;'PlayerGrades+'!$AC$4,"A+",IF(H219&lt;'PlayerGrades+'!$AC$3,"S-",IF(H219&lt;'PlayerGrades+'!$AC$2,"S","S+"))))))))))))))))))))</f>
        <v>#DIV/0!</v>
      </c>
      <c r="J219" s="961" t="str">
        <f t="shared" si="4"/>
        <v>#DIV/0!</v>
      </c>
      <c r="K219" s="961" t="str">
        <f>IF(J219&lt;'PlayerGrades+'!$AD$21,"F-",IF(J219&lt;'PlayerGrades+'!$AD$20,"F",IF(J219&lt;'PlayerGrades+'!$AD$19,"F+",IF(J219&lt;'PlayerGrades+'!$AD$18,"E-",IF(J219&lt;'PlayerGrades+'!$AD$17,"E",IF(J219&lt;'PlayerGrades+'!$AD$16,"E+",IF(J219&lt;'PlayerGrades+'!$AD$15,"D-",IF(J219&lt;'PlayerGrades+'!$AD$14,"D",IF(J219&lt;'PlayerGrades+'!$AD$13,"D+",IF(J219&lt;'PlayerGrades+'!$AD$12,"C-",IF(J219&lt;'PlayerGrades+'!$AD$11,"C",IF(J219&lt;'PlayerGrades+'!$AD$10,"C+",IF(J219&lt;'PlayerGrades+'!$AD$9,"B-",IF(J219&lt;'PlayerGrades+'!$AD$8,"B",IF(J219&lt;'PlayerGrades+'!$AD$7,"B+",IF(J219&lt;'PlayerGrades+'!$AD$6,"A-",IF(J219&lt;'PlayerGrades+'!$AD$5,"A",IF(J219&lt;'PlayerGrades+'!$AD$4,"A+",IF(J219&lt;'PlayerGrades+'!$AD$3,"S-",IF(J219&lt;'PlayerGrades+'!$AD$2,"S","S+"))))))))))))))))))))</f>
        <v>#DIV/0!</v>
      </c>
      <c r="L219" s="1176" t="str">
        <f t="shared" si="5"/>
        <v>#DIV/0!</v>
      </c>
      <c r="M219" s="992" t="str">
        <f>IF(L219&lt;'PlayerGrades+'!$AE$21,"F-",IF(L219&lt;'PlayerGrades+'!$AE$20,"F",IF(L219&lt;'PlayerGrades+'!$AE$19,"F+",IF(L219&lt;'PlayerGrades+'!$AE$18,"E-",IF(L219&lt;'PlayerGrades+'!$AE$17,"E",IF(L219&lt;'PlayerGrades+'!$AE$16,"E+",IF(L219&lt;'PlayerGrades+'!$AE$15,"D-",IF(L219&lt;'PlayerGrades+'!$AE$14,"D",IF(L219&lt;'PlayerGrades+'!$AE$13,"D+",IF(L219&lt;'PlayerGrades+'!$AE$12,"C-",IF(L219&lt;'PlayerGrades+'!$AE$11,"C",IF(L219&lt;'PlayerGrades+'!$AE$10,"C+",IF(L219&lt;'PlayerGrades+'!$AE$9,"B-",IF(L219&lt;'PlayerGrades+'!$AE$8,"B",IF(L219&lt;'PlayerGrades+'!$AE$7,"B+",IF(L219&lt;'PlayerGrades+'!$AE$6,"A-",IF(L219&lt;'PlayerGrades+'!$AE$5,"A",IF(L219&lt;'PlayerGrades+'!$AE$4,"A+",IF(L219&lt;'PlayerGrades+'!$AE$3,"S-",IF(L219&lt;'PlayerGrades+'!$AE$2,"S","S+"))))))))))))))))))))</f>
        <v>#DIV/0!</v>
      </c>
      <c r="N219" s="961" t="str">
        <f t="shared" si="6"/>
        <v>#DIV/0!</v>
      </c>
      <c r="O219" s="961" t="str">
        <f>IF(N219&lt;'PlayerGrades+'!$AF$21,"F-",IF(N219&lt;'PlayerGrades+'!$AF$20,"F",IF(N219&lt;'PlayerGrades+'!$AF$19,"F+",IF(N219&lt;'PlayerGrades+'!$AF$18,"E-",IF(N219&lt;'PlayerGrades+'!$AF$17,"E",IF(N219&lt;'PlayerGrades+'!$AF$16,"E+",IF(N219&lt;'PlayerGrades+'!$AF$15,"D-",IF(N219&lt;'PlayerGrades+'!$AF$14,"D",IF(N219&lt;'PlayerGrades+'!$AF$13,"D+",IF(N219&lt;'PlayerGrades+'!$AF$12,"C-",IF(N219&lt;'PlayerGrades+'!$AF$11,"C",IF(N219&lt;'PlayerGrades+'!$AF$10,"C+",IF(N219&lt;'PlayerGrades+'!$AF$9,"B-",IF(N219&lt;'PlayerGrades+'!$AF$8,"B",IF(N219&lt;'PlayerGrades+'!$AF$7,"B+",IF(N219&lt;'PlayerGrades+'!$AF$6,"A-",IF(N219&lt;'PlayerGrades+'!$AF$5,"A",IF(N219&lt;'PlayerGrades+'!$AF$4,"A+",IF(N219&lt;'PlayerGrades+'!$AF$3,"S-",IF(N219&lt;'PlayerGrades+'!$AF$2,"S","S+"))))))))))))))))))))</f>
        <v>#DIV/0!</v>
      </c>
      <c r="P219" s="961" t="str">
        <f t="shared" si="7"/>
        <v>#DIV/0!</v>
      </c>
      <c r="Q219" s="961" t="str">
        <f>IF(P219&lt;'PlayerGrades+'!$AG$21,"F-",IF(P219&lt;'PlayerGrades+'!$AG$20,"F",IF(P219&lt;'PlayerGrades+'!$AG$19,"F+",IF(P219&lt;'PlayerGrades+'!$AG$18,"E-",IF(P219&lt;'PlayerGrades+'!$AG$17,"E",IF(P219&lt;'PlayerGrades+'!$AG$16,"E+",IF(P219&lt;'PlayerGrades+'!$AG$15,"D-",IF(P219&lt;'PlayerGrades+'!$AG$14,"D",IF(P219&lt;'PlayerGrades+'!$AG$13,"D+",IF(P219&lt;'PlayerGrades+'!$AG$12,"C-",IF(P219&lt;'PlayerGrades+'!$AG$11,"C",IF(P219&lt;'PlayerGrades+'!$AG$10,"C+",IF(P219&lt;'PlayerGrades+'!$AG$9,"B-",IF(P219&lt;'PlayerGrades+'!$AG$8,"B",IF(P219&lt;'PlayerGrades+'!$AG$7,"B+",IF(P219&lt;'PlayerGrades+'!$AG$6,"A-",IF(P219&lt;'PlayerGrades+'!$AG$5,"A",IF(P219&lt;'PlayerGrades+'!$AG$4,"A+",IF(P219&lt;'PlayerGrades+'!$AG$3,"S-",IF(P219&lt;'PlayerGrades+'!$AG$2,"S","S+"))))))))))))))))))))</f>
        <v>#DIV/0!</v>
      </c>
      <c r="R219" s="961" t="str">
        <f t="shared" si="8"/>
        <v>#DIV/0!</v>
      </c>
      <c r="S219" s="961" t="str">
        <f>IF(R219&lt;'PlayerGrades+'!$AH$21,"F-",IF(R219&lt;'PlayerGrades+'!$AH$20,"F",IF(R219&lt;'PlayerGrades+'!$AH$19,"F+",IF(R219&lt;'PlayerGrades+'!$AH$18,"E-",IF(R219&lt;'PlayerGrades+'!$AH$17,"E",IF(R219&lt;'PlayerGrades+'!$AH$16,"E+",IF(R219&lt;'PlayerGrades+'!$AH$15,"D-",IF(R219&lt;'PlayerGrades+'!$AH$14,"D",IF(R219&lt;'PlayerGrades+'!$AH$13,"D+",IF(R219&lt;'PlayerGrades+'!$AH$12,"C-",IF(R219&lt;'PlayerGrades+'!$AH$11,"C",IF(R219&lt;'PlayerGrades+'!$AH$10,"C+",IF(R219&lt;'PlayerGrades+'!$AH$9,"B-",IF(R219&lt;'PlayerGrades+'!$AH$8,"B",IF(R219&lt;'PlayerGrades+'!$AH$7,"B+",IF(R219&lt;'PlayerGrades+'!$AH$6,"A-",IF(R219&lt;'PlayerGrades+'!$AH$5,"A",IF(R219&lt;'PlayerGrades+'!$AH$4,"A+",IF(R219&lt;'PlayerGrades+'!$AH$3,"S-",IF(R219&lt;'PlayerGrades+'!$AH$2,"S","S+"))))))))))))))))))))</f>
        <v>#DIV/0!</v>
      </c>
      <c r="T219" s="961">
        <f t="shared" si="9"/>
        <v>0</v>
      </c>
      <c r="U219" s="961" t="str">
        <f>IF(T219&lt;'PlayerGrades+'!$AI$21,"F-",IF(T219&lt;'PlayerGrades+'!$AI$20,"F",IF(T219&lt;'PlayerGrades+'!$AI$19,"F+",IF(T219&lt;'PlayerGrades+'!$AI$18,"E-",IF(T219&lt;'PlayerGrades+'!$AI$17,"E",IF(T219&lt;'PlayerGrades+'!$AI$16,"E+",IF(T219&lt;'PlayerGrades+'!$AI$15,"D-",IF(T219&lt;'PlayerGrades+'!$AI$14,"D",IF(T219&lt;'PlayerGrades+'!$AI$13,"D+",IF(T219&lt;'PlayerGrades+'!$AI$12,"C-",IF(T219&lt;'PlayerGrades+'!$AI$11,"C",IF(T219&lt;'PlayerGrades+'!$AI$10,"C+",IF(T219&lt;'PlayerGrades+'!$AI$9,"B-",IF(T219&lt;'PlayerGrades+'!$AI$8,"B",IF(T219&lt;'PlayerGrades+'!$AI$7,"B+",IF(T219&lt;'PlayerGrades+'!$AI$6,"A-",IF(T219&lt;'PlayerGrades+'!$AI$5,"A",IF(T219&lt;'PlayerGrades+'!$AI$4,"A+",IF(T219&lt;'PlayerGrades+'!$AI$3,"S-",IF(T219&lt;'PlayerGrades+'!$AI$2,"S","S+"))))))))))))))))))))</f>
        <v>F-</v>
      </c>
      <c r="AC219" s="1392"/>
    </row>
    <row r="220">
      <c r="A220" s="1391"/>
      <c r="B220" s="611" t="str">
        <f>IF(C220&lt;'PlayerGrades+'!$Y$44,"F-",IF(C220&lt;'PlayerGrades+'!$Y$43,"F",IF(C220&lt;'PlayerGrades+'!$Y$42,"F+",IF(C220&lt;'PlayerGrades+'!$Y$41,"E-",IF(C220&lt;'PlayerGrades+'!$Y$40,"E",IF(C220&lt;'PlayerGrades+'!$Y$39,"E+",IF(C220&lt;'PlayerGrades+'!$Y$38,"D-",IF(C220&lt;'PlayerGrades+'!$Y$37,"D",IF(C220&lt;'PlayerGrades+'!$Y$36,"D+",IF(C220&lt;'PlayerGrades+'!$Y$35,"C-",IF(C220&lt;'PlayerGrades+'!$Y$34,"C",IF(C220&lt;'PlayerGrades+'!$Y$33,"C+",IF(C220&lt;'PlayerGrades+'!$Y$32,"B-",IF(C220&lt;'PlayerGrades+'!$Y$31,"B",IF(C220&lt;'PlayerGrades+'!$Y$30,"B+",IF(C220&lt;'PlayerGrades+'!$Y$29,"A-",IF(C220&lt;'PlayerGrades+'!$Y$28,"A",IF(C220&lt;'PlayerGrades+'!$Y$27,"A+",IF(C220&lt;'PlayerGrades+'!$Y$26,"S-",IF(C220&lt;'PlayerGrades+'!$Y$25,"S","S+"))))))))))))))))))))</f>
        <v>#DIV/0!</v>
      </c>
      <c r="C220" s="1378" t="str">
        <f>('PlayerGrades+'!$Y$47*(VLOOKUP(E220, 'PlayerGrades+'!$X$3:$Y$23, 2, FALSE)))+('PlayerGrades+'!$Y$48*(VLOOKUP(G220, 'PlayerGrades+'!$X$3:$Y$23, 2, FALSE)))+('PlayerGrades+'!$Y$49*(VLOOKUP(I220, 'PlayerGrades+'!$X$3:$Y$23, 2, FALSE)))+('PlayerGrades+'!$Y$50*(VLOOKUP(K220, 'PlayerGrades+'!$X$3:$Y$23, 2, FALSE)))+('PlayerGrades+'!$Y$51*(VLOOKUP(M220, 'PlayerGrades+'!$X$3:$Y$23, 2, FALSE)))+('PlayerGrades+'!$Y$52*(VLOOKUP(O220, 'PlayerGrades+'!$X$3:$Y$23, 2, FALSE)))+('PlayerGrades+'!$Y$53*(VLOOKUP(Q220, 'PlayerGrades+'!$X$3:$Y$23, 2, FALSE)))+('PlayerGrades+'!$Y$54*(VLOOKUP(S220, 'PlayerGrades+'!$X$3:$Y$23, 2, FALSE)))+('PlayerGrades+'!$Y$55*(VLOOKUP(U220, 'PlayerGrades+'!$X$3:$Y$23, 2, FALSE)))</f>
        <v>#DIV/0!</v>
      </c>
      <c r="D220" s="961" t="str">
        <f t="shared" si="1"/>
        <v>#DIV/0!</v>
      </c>
      <c r="E220" s="961" t="str">
        <f>IF(D220&lt;'PlayerGrades+'!$AA$21,"F-",IF(D220&lt;'PlayerGrades+'!$AA$20,"F",IF(D220&lt;'PlayerGrades+'!$AA$19,"F+",IF(D220&lt;'PlayerGrades+'!$AA$18,"E-",IF(D220&lt;'PlayerGrades+'!$AA$17,"E",IF(D220&lt;'PlayerGrades+'!$AA$16,"E+",IF(D220&lt;'PlayerGrades+'!$AA$15,"D-",IF(D220&lt;'PlayerGrades+'!$AA$14,"D",IF(D220&lt;'PlayerGrades+'!$AA$13,"D+",IF(D220&lt;'PlayerGrades+'!$AA$12,"C-",IF(D220&lt;'PlayerGrades+'!$AA$11,"C",IF(D220&lt;'PlayerGrades+'!$AA$10,"C+",IF(D220&lt;'PlayerGrades+'!$AA$9,"B-",IF(D220&lt;'PlayerGrades+'!$AA$8,"B",IF(D220&lt;'PlayerGrades+'!$AA$7,"B+",IF(D220&lt;'PlayerGrades+'!$AA$6,"A-",IF(D220&lt;'PlayerGrades+'!$AA$5,"A",IF(D220&lt;'PlayerGrades+'!$AA$4,"A+",IF(D220&lt;'PlayerGrades+'!$AA$3,"S-",IF(D220&lt;'PlayerGrades+'!$AA$2,"S","S+"))))))))))))))))))))</f>
        <v>#DIV/0!</v>
      </c>
      <c r="F220" s="961" t="str">
        <f t="shared" si="2"/>
        <v>#DIV/0!</v>
      </c>
      <c r="G220" s="961" t="str">
        <f>IF(F220&lt;'PlayerGrades+'!$AB$21,"F-",IF(F220&lt;'PlayerGrades+'!$AB$20,"F",IF(F220&lt;'PlayerGrades+'!$AB$19,"F+",IF(F220&lt;'PlayerGrades+'!$AB$18,"E-",IF(F220&lt;'PlayerGrades+'!$AB$17,"E",IF(F220&lt;'PlayerGrades+'!$AB$16,"E+",IF(F220&lt;'PlayerGrades+'!$AB$15,"D-",IF(F220&lt;'PlayerGrades+'!$AB$14,"D",IF(F220&lt;'PlayerGrades+'!$AB$13,"D+",IF(F220&lt;'PlayerGrades+'!$AB$12,"C-",IF(F220&lt;'PlayerGrades+'!$AB$11,"C",IF(F220&lt;'PlayerGrades+'!$AB$10,"C+",IF(F220&lt;'PlayerGrades+'!$AB$9,"B-",IF(F220&lt;'PlayerGrades+'!$AB$8,"B",IF(F220&lt;'PlayerGrades+'!$AB$7,"B+",IF(F220&lt;'PlayerGrades+'!$AB$6,"A-",IF(F220&lt;'PlayerGrades+'!$AB$5,"A",IF(F220&lt;'PlayerGrades+'!$AB$4,"A+",IF(F220&lt;'PlayerGrades+'!$AB$3,"S-",IF(F220&lt;'PlayerGrades+'!$AB$2,"S","S+"))))))))))))))))))))</f>
        <v>#DIV/0!</v>
      </c>
      <c r="H220" s="961" t="str">
        <f t="shared" si="3"/>
        <v>#DIV/0!</v>
      </c>
      <c r="I220" s="961" t="str">
        <f>IF(H220&lt;'PlayerGrades+'!$AC$21,"F-",IF(H220&lt;'PlayerGrades+'!$AC$20,"F",IF(H220&lt;'PlayerGrades+'!$AC$19,"F+",IF(H220&lt;'PlayerGrades+'!$AC$18,"E-",IF(H220&lt;'PlayerGrades+'!$AC$17,"E",IF(H220&lt;'PlayerGrades+'!$AC$16,"E+",IF(H220&lt;'PlayerGrades+'!$AC$15,"D-",IF(H220&lt;'PlayerGrades+'!$AC$14,"D",IF(H220&lt;'PlayerGrades+'!$AC$13,"D+",IF(H220&lt;'PlayerGrades+'!$AC$12,"C-",IF(H220&lt;'PlayerGrades+'!$AC$11,"C",IF(H220&lt;'PlayerGrades+'!$AC$10,"C+",IF(H220&lt;'PlayerGrades+'!$AC$9,"B-",IF(H220&lt;'PlayerGrades+'!$AC$8,"B",IF(H220&lt;'PlayerGrades+'!$AC$7,"B+",IF(H220&lt;'PlayerGrades+'!$AC$6,"A-",IF(H220&lt;'PlayerGrades+'!$AC$5,"A",IF(H220&lt;'PlayerGrades+'!$AC$4,"A+",IF(H220&lt;'PlayerGrades+'!$AC$3,"S-",IF(H220&lt;'PlayerGrades+'!$AC$2,"S","S+"))))))))))))))))))))</f>
        <v>#DIV/0!</v>
      </c>
      <c r="J220" s="961" t="str">
        <f t="shared" si="4"/>
        <v>#DIV/0!</v>
      </c>
      <c r="K220" s="961" t="str">
        <f>IF(J220&lt;'PlayerGrades+'!$AD$21,"F-",IF(J220&lt;'PlayerGrades+'!$AD$20,"F",IF(J220&lt;'PlayerGrades+'!$AD$19,"F+",IF(J220&lt;'PlayerGrades+'!$AD$18,"E-",IF(J220&lt;'PlayerGrades+'!$AD$17,"E",IF(J220&lt;'PlayerGrades+'!$AD$16,"E+",IF(J220&lt;'PlayerGrades+'!$AD$15,"D-",IF(J220&lt;'PlayerGrades+'!$AD$14,"D",IF(J220&lt;'PlayerGrades+'!$AD$13,"D+",IF(J220&lt;'PlayerGrades+'!$AD$12,"C-",IF(J220&lt;'PlayerGrades+'!$AD$11,"C",IF(J220&lt;'PlayerGrades+'!$AD$10,"C+",IF(J220&lt;'PlayerGrades+'!$AD$9,"B-",IF(J220&lt;'PlayerGrades+'!$AD$8,"B",IF(J220&lt;'PlayerGrades+'!$AD$7,"B+",IF(J220&lt;'PlayerGrades+'!$AD$6,"A-",IF(J220&lt;'PlayerGrades+'!$AD$5,"A",IF(J220&lt;'PlayerGrades+'!$AD$4,"A+",IF(J220&lt;'PlayerGrades+'!$AD$3,"S-",IF(J220&lt;'PlayerGrades+'!$AD$2,"S","S+"))))))))))))))))))))</f>
        <v>#DIV/0!</v>
      </c>
      <c r="L220" s="1176" t="str">
        <f t="shared" si="5"/>
        <v>#DIV/0!</v>
      </c>
      <c r="M220" s="992" t="str">
        <f>IF(L220&lt;'PlayerGrades+'!$AE$21,"F-",IF(L220&lt;'PlayerGrades+'!$AE$20,"F",IF(L220&lt;'PlayerGrades+'!$AE$19,"F+",IF(L220&lt;'PlayerGrades+'!$AE$18,"E-",IF(L220&lt;'PlayerGrades+'!$AE$17,"E",IF(L220&lt;'PlayerGrades+'!$AE$16,"E+",IF(L220&lt;'PlayerGrades+'!$AE$15,"D-",IF(L220&lt;'PlayerGrades+'!$AE$14,"D",IF(L220&lt;'PlayerGrades+'!$AE$13,"D+",IF(L220&lt;'PlayerGrades+'!$AE$12,"C-",IF(L220&lt;'PlayerGrades+'!$AE$11,"C",IF(L220&lt;'PlayerGrades+'!$AE$10,"C+",IF(L220&lt;'PlayerGrades+'!$AE$9,"B-",IF(L220&lt;'PlayerGrades+'!$AE$8,"B",IF(L220&lt;'PlayerGrades+'!$AE$7,"B+",IF(L220&lt;'PlayerGrades+'!$AE$6,"A-",IF(L220&lt;'PlayerGrades+'!$AE$5,"A",IF(L220&lt;'PlayerGrades+'!$AE$4,"A+",IF(L220&lt;'PlayerGrades+'!$AE$3,"S-",IF(L220&lt;'PlayerGrades+'!$AE$2,"S","S+"))))))))))))))))))))</f>
        <v>#DIV/0!</v>
      </c>
      <c r="N220" s="961" t="str">
        <f t="shared" si="6"/>
        <v>#DIV/0!</v>
      </c>
      <c r="O220" s="961" t="str">
        <f>IF(N220&lt;'PlayerGrades+'!$AF$21,"F-",IF(N220&lt;'PlayerGrades+'!$AF$20,"F",IF(N220&lt;'PlayerGrades+'!$AF$19,"F+",IF(N220&lt;'PlayerGrades+'!$AF$18,"E-",IF(N220&lt;'PlayerGrades+'!$AF$17,"E",IF(N220&lt;'PlayerGrades+'!$AF$16,"E+",IF(N220&lt;'PlayerGrades+'!$AF$15,"D-",IF(N220&lt;'PlayerGrades+'!$AF$14,"D",IF(N220&lt;'PlayerGrades+'!$AF$13,"D+",IF(N220&lt;'PlayerGrades+'!$AF$12,"C-",IF(N220&lt;'PlayerGrades+'!$AF$11,"C",IF(N220&lt;'PlayerGrades+'!$AF$10,"C+",IF(N220&lt;'PlayerGrades+'!$AF$9,"B-",IF(N220&lt;'PlayerGrades+'!$AF$8,"B",IF(N220&lt;'PlayerGrades+'!$AF$7,"B+",IF(N220&lt;'PlayerGrades+'!$AF$6,"A-",IF(N220&lt;'PlayerGrades+'!$AF$5,"A",IF(N220&lt;'PlayerGrades+'!$AF$4,"A+",IF(N220&lt;'PlayerGrades+'!$AF$3,"S-",IF(N220&lt;'PlayerGrades+'!$AF$2,"S","S+"))))))))))))))))))))</f>
        <v>#DIV/0!</v>
      </c>
      <c r="P220" s="961" t="str">
        <f t="shared" si="7"/>
        <v>#DIV/0!</v>
      </c>
      <c r="Q220" s="961" t="str">
        <f>IF(P220&lt;'PlayerGrades+'!$AG$21,"F-",IF(P220&lt;'PlayerGrades+'!$AG$20,"F",IF(P220&lt;'PlayerGrades+'!$AG$19,"F+",IF(P220&lt;'PlayerGrades+'!$AG$18,"E-",IF(P220&lt;'PlayerGrades+'!$AG$17,"E",IF(P220&lt;'PlayerGrades+'!$AG$16,"E+",IF(P220&lt;'PlayerGrades+'!$AG$15,"D-",IF(P220&lt;'PlayerGrades+'!$AG$14,"D",IF(P220&lt;'PlayerGrades+'!$AG$13,"D+",IF(P220&lt;'PlayerGrades+'!$AG$12,"C-",IF(P220&lt;'PlayerGrades+'!$AG$11,"C",IF(P220&lt;'PlayerGrades+'!$AG$10,"C+",IF(P220&lt;'PlayerGrades+'!$AG$9,"B-",IF(P220&lt;'PlayerGrades+'!$AG$8,"B",IF(P220&lt;'PlayerGrades+'!$AG$7,"B+",IF(P220&lt;'PlayerGrades+'!$AG$6,"A-",IF(P220&lt;'PlayerGrades+'!$AG$5,"A",IF(P220&lt;'PlayerGrades+'!$AG$4,"A+",IF(P220&lt;'PlayerGrades+'!$AG$3,"S-",IF(P220&lt;'PlayerGrades+'!$AG$2,"S","S+"))))))))))))))))))))</f>
        <v>#DIV/0!</v>
      </c>
      <c r="R220" s="961" t="str">
        <f t="shared" si="8"/>
        <v>#DIV/0!</v>
      </c>
      <c r="S220" s="961" t="str">
        <f>IF(R220&lt;'PlayerGrades+'!$AH$21,"F-",IF(R220&lt;'PlayerGrades+'!$AH$20,"F",IF(R220&lt;'PlayerGrades+'!$AH$19,"F+",IF(R220&lt;'PlayerGrades+'!$AH$18,"E-",IF(R220&lt;'PlayerGrades+'!$AH$17,"E",IF(R220&lt;'PlayerGrades+'!$AH$16,"E+",IF(R220&lt;'PlayerGrades+'!$AH$15,"D-",IF(R220&lt;'PlayerGrades+'!$AH$14,"D",IF(R220&lt;'PlayerGrades+'!$AH$13,"D+",IF(R220&lt;'PlayerGrades+'!$AH$12,"C-",IF(R220&lt;'PlayerGrades+'!$AH$11,"C",IF(R220&lt;'PlayerGrades+'!$AH$10,"C+",IF(R220&lt;'PlayerGrades+'!$AH$9,"B-",IF(R220&lt;'PlayerGrades+'!$AH$8,"B",IF(R220&lt;'PlayerGrades+'!$AH$7,"B+",IF(R220&lt;'PlayerGrades+'!$AH$6,"A-",IF(R220&lt;'PlayerGrades+'!$AH$5,"A",IF(R220&lt;'PlayerGrades+'!$AH$4,"A+",IF(R220&lt;'PlayerGrades+'!$AH$3,"S-",IF(R220&lt;'PlayerGrades+'!$AH$2,"S","S+"))))))))))))))))))))</f>
        <v>#DIV/0!</v>
      </c>
      <c r="T220" s="961">
        <f t="shared" si="9"/>
        <v>0</v>
      </c>
      <c r="U220" s="961" t="str">
        <f>IF(T220&lt;'PlayerGrades+'!$AI$21,"F-",IF(T220&lt;'PlayerGrades+'!$AI$20,"F",IF(T220&lt;'PlayerGrades+'!$AI$19,"F+",IF(T220&lt;'PlayerGrades+'!$AI$18,"E-",IF(T220&lt;'PlayerGrades+'!$AI$17,"E",IF(T220&lt;'PlayerGrades+'!$AI$16,"E+",IF(T220&lt;'PlayerGrades+'!$AI$15,"D-",IF(T220&lt;'PlayerGrades+'!$AI$14,"D",IF(T220&lt;'PlayerGrades+'!$AI$13,"D+",IF(T220&lt;'PlayerGrades+'!$AI$12,"C-",IF(T220&lt;'PlayerGrades+'!$AI$11,"C",IF(T220&lt;'PlayerGrades+'!$AI$10,"C+",IF(T220&lt;'PlayerGrades+'!$AI$9,"B-",IF(T220&lt;'PlayerGrades+'!$AI$8,"B",IF(T220&lt;'PlayerGrades+'!$AI$7,"B+",IF(T220&lt;'PlayerGrades+'!$AI$6,"A-",IF(T220&lt;'PlayerGrades+'!$AI$5,"A",IF(T220&lt;'PlayerGrades+'!$AI$4,"A+",IF(T220&lt;'PlayerGrades+'!$AI$3,"S-",IF(T220&lt;'PlayerGrades+'!$AI$2,"S","S+"))))))))))))))))))))</f>
        <v>F-</v>
      </c>
      <c r="AC220" s="1392"/>
    </row>
    <row r="221">
      <c r="A221" s="1391"/>
      <c r="B221" s="611" t="str">
        <f>IF(C221&lt;'PlayerGrades+'!$Y$44,"F-",IF(C221&lt;'PlayerGrades+'!$Y$43,"F",IF(C221&lt;'PlayerGrades+'!$Y$42,"F+",IF(C221&lt;'PlayerGrades+'!$Y$41,"E-",IF(C221&lt;'PlayerGrades+'!$Y$40,"E",IF(C221&lt;'PlayerGrades+'!$Y$39,"E+",IF(C221&lt;'PlayerGrades+'!$Y$38,"D-",IF(C221&lt;'PlayerGrades+'!$Y$37,"D",IF(C221&lt;'PlayerGrades+'!$Y$36,"D+",IF(C221&lt;'PlayerGrades+'!$Y$35,"C-",IF(C221&lt;'PlayerGrades+'!$Y$34,"C",IF(C221&lt;'PlayerGrades+'!$Y$33,"C+",IF(C221&lt;'PlayerGrades+'!$Y$32,"B-",IF(C221&lt;'PlayerGrades+'!$Y$31,"B",IF(C221&lt;'PlayerGrades+'!$Y$30,"B+",IF(C221&lt;'PlayerGrades+'!$Y$29,"A-",IF(C221&lt;'PlayerGrades+'!$Y$28,"A",IF(C221&lt;'PlayerGrades+'!$Y$27,"A+",IF(C221&lt;'PlayerGrades+'!$Y$26,"S-",IF(C221&lt;'PlayerGrades+'!$Y$25,"S","S+"))))))))))))))))))))</f>
        <v>#DIV/0!</v>
      </c>
      <c r="C221" s="1378" t="str">
        <f>('PlayerGrades+'!$Y$47*(VLOOKUP(E221, 'PlayerGrades+'!$X$3:$Y$23, 2, FALSE)))+('PlayerGrades+'!$Y$48*(VLOOKUP(G221, 'PlayerGrades+'!$X$3:$Y$23, 2, FALSE)))+('PlayerGrades+'!$Y$49*(VLOOKUP(I221, 'PlayerGrades+'!$X$3:$Y$23, 2, FALSE)))+('PlayerGrades+'!$Y$50*(VLOOKUP(K221, 'PlayerGrades+'!$X$3:$Y$23, 2, FALSE)))+('PlayerGrades+'!$Y$51*(VLOOKUP(M221, 'PlayerGrades+'!$X$3:$Y$23, 2, FALSE)))+('PlayerGrades+'!$Y$52*(VLOOKUP(O221, 'PlayerGrades+'!$X$3:$Y$23, 2, FALSE)))+('PlayerGrades+'!$Y$53*(VLOOKUP(Q221, 'PlayerGrades+'!$X$3:$Y$23, 2, FALSE)))+('PlayerGrades+'!$Y$54*(VLOOKUP(S221, 'PlayerGrades+'!$X$3:$Y$23, 2, FALSE)))+('PlayerGrades+'!$Y$55*(VLOOKUP(U221, 'PlayerGrades+'!$X$3:$Y$23, 2, FALSE)))</f>
        <v>#DIV/0!</v>
      </c>
      <c r="D221" s="961" t="str">
        <f t="shared" si="1"/>
        <v>#DIV/0!</v>
      </c>
      <c r="E221" s="961" t="str">
        <f>IF(D221&lt;'PlayerGrades+'!$AA$21,"F-",IF(D221&lt;'PlayerGrades+'!$AA$20,"F",IF(D221&lt;'PlayerGrades+'!$AA$19,"F+",IF(D221&lt;'PlayerGrades+'!$AA$18,"E-",IF(D221&lt;'PlayerGrades+'!$AA$17,"E",IF(D221&lt;'PlayerGrades+'!$AA$16,"E+",IF(D221&lt;'PlayerGrades+'!$AA$15,"D-",IF(D221&lt;'PlayerGrades+'!$AA$14,"D",IF(D221&lt;'PlayerGrades+'!$AA$13,"D+",IF(D221&lt;'PlayerGrades+'!$AA$12,"C-",IF(D221&lt;'PlayerGrades+'!$AA$11,"C",IF(D221&lt;'PlayerGrades+'!$AA$10,"C+",IF(D221&lt;'PlayerGrades+'!$AA$9,"B-",IF(D221&lt;'PlayerGrades+'!$AA$8,"B",IF(D221&lt;'PlayerGrades+'!$AA$7,"B+",IF(D221&lt;'PlayerGrades+'!$AA$6,"A-",IF(D221&lt;'PlayerGrades+'!$AA$5,"A",IF(D221&lt;'PlayerGrades+'!$AA$4,"A+",IF(D221&lt;'PlayerGrades+'!$AA$3,"S-",IF(D221&lt;'PlayerGrades+'!$AA$2,"S","S+"))))))))))))))))))))</f>
        <v>#DIV/0!</v>
      </c>
      <c r="F221" s="961" t="str">
        <f t="shared" si="2"/>
        <v>#DIV/0!</v>
      </c>
      <c r="G221" s="961" t="str">
        <f>IF(F221&lt;'PlayerGrades+'!$AB$21,"F-",IF(F221&lt;'PlayerGrades+'!$AB$20,"F",IF(F221&lt;'PlayerGrades+'!$AB$19,"F+",IF(F221&lt;'PlayerGrades+'!$AB$18,"E-",IF(F221&lt;'PlayerGrades+'!$AB$17,"E",IF(F221&lt;'PlayerGrades+'!$AB$16,"E+",IF(F221&lt;'PlayerGrades+'!$AB$15,"D-",IF(F221&lt;'PlayerGrades+'!$AB$14,"D",IF(F221&lt;'PlayerGrades+'!$AB$13,"D+",IF(F221&lt;'PlayerGrades+'!$AB$12,"C-",IF(F221&lt;'PlayerGrades+'!$AB$11,"C",IF(F221&lt;'PlayerGrades+'!$AB$10,"C+",IF(F221&lt;'PlayerGrades+'!$AB$9,"B-",IF(F221&lt;'PlayerGrades+'!$AB$8,"B",IF(F221&lt;'PlayerGrades+'!$AB$7,"B+",IF(F221&lt;'PlayerGrades+'!$AB$6,"A-",IF(F221&lt;'PlayerGrades+'!$AB$5,"A",IF(F221&lt;'PlayerGrades+'!$AB$4,"A+",IF(F221&lt;'PlayerGrades+'!$AB$3,"S-",IF(F221&lt;'PlayerGrades+'!$AB$2,"S","S+"))))))))))))))))))))</f>
        <v>#DIV/0!</v>
      </c>
      <c r="H221" s="961" t="str">
        <f t="shared" si="3"/>
        <v>#DIV/0!</v>
      </c>
      <c r="I221" s="961" t="str">
        <f>IF(H221&lt;'PlayerGrades+'!$AC$21,"F-",IF(H221&lt;'PlayerGrades+'!$AC$20,"F",IF(H221&lt;'PlayerGrades+'!$AC$19,"F+",IF(H221&lt;'PlayerGrades+'!$AC$18,"E-",IF(H221&lt;'PlayerGrades+'!$AC$17,"E",IF(H221&lt;'PlayerGrades+'!$AC$16,"E+",IF(H221&lt;'PlayerGrades+'!$AC$15,"D-",IF(H221&lt;'PlayerGrades+'!$AC$14,"D",IF(H221&lt;'PlayerGrades+'!$AC$13,"D+",IF(H221&lt;'PlayerGrades+'!$AC$12,"C-",IF(H221&lt;'PlayerGrades+'!$AC$11,"C",IF(H221&lt;'PlayerGrades+'!$AC$10,"C+",IF(H221&lt;'PlayerGrades+'!$AC$9,"B-",IF(H221&lt;'PlayerGrades+'!$AC$8,"B",IF(H221&lt;'PlayerGrades+'!$AC$7,"B+",IF(H221&lt;'PlayerGrades+'!$AC$6,"A-",IF(H221&lt;'PlayerGrades+'!$AC$5,"A",IF(H221&lt;'PlayerGrades+'!$AC$4,"A+",IF(H221&lt;'PlayerGrades+'!$AC$3,"S-",IF(H221&lt;'PlayerGrades+'!$AC$2,"S","S+"))))))))))))))))))))</f>
        <v>#DIV/0!</v>
      </c>
      <c r="J221" s="961" t="str">
        <f t="shared" si="4"/>
        <v>#DIV/0!</v>
      </c>
      <c r="K221" s="961" t="str">
        <f>IF(J221&lt;'PlayerGrades+'!$AD$21,"F-",IF(J221&lt;'PlayerGrades+'!$AD$20,"F",IF(J221&lt;'PlayerGrades+'!$AD$19,"F+",IF(J221&lt;'PlayerGrades+'!$AD$18,"E-",IF(J221&lt;'PlayerGrades+'!$AD$17,"E",IF(J221&lt;'PlayerGrades+'!$AD$16,"E+",IF(J221&lt;'PlayerGrades+'!$AD$15,"D-",IF(J221&lt;'PlayerGrades+'!$AD$14,"D",IF(J221&lt;'PlayerGrades+'!$AD$13,"D+",IF(J221&lt;'PlayerGrades+'!$AD$12,"C-",IF(J221&lt;'PlayerGrades+'!$AD$11,"C",IF(J221&lt;'PlayerGrades+'!$AD$10,"C+",IF(J221&lt;'PlayerGrades+'!$AD$9,"B-",IF(J221&lt;'PlayerGrades+'!$AD$8,"B",IF(J221&lt;'PlayerGrades+'!$AD$7,"B+",IF(J221&lt;'PlayerGrades+'!$AD$6,"A-",IF(J221&lt;'PlayerGrades+'!$AD$5,"A",IF(J221&lt;'PlayerGrades+'!$AD$4,"A+",IF(J221&lt;'PlayerGrades+'!$AD$3,"S-",IF(J221&lt;'PlayerGrades+'!$AD$2,"S","S+"))))))))))))))))))))</f>
        <v>#DIV/0!</v>
      </c>
      <c r="L221" s="1176" t="str">
        <f t="shared" si="5"/>
        <v>#DIV/0!</v>
      </c>
      <c r="M221" s="992" t="str">
        <f>IF(L221&lt;'PlayerGrades+'!$AE$21,"F-",IF(L221&lt;'PlayerGrades+'!$AE$20,"F",IF(L221&lt;'PlayerGrades+'!$AE$19,"F+",IF(L221&lt;'PlayerGrades+'!$AE$18,"E-",IF(L221&lt;'PlayerGrades+'!$AE$17,"E",IF(L221&lt;'PlayerGrades+'!$AE$16,"E+",IF(L221&lt;'PlayerGrades+'!$AE$15,"D-",IF(L221&lt;'PlayerGrades+'!$AE$14,"D",IF(L221&lt;'PlayerGrades+'!$AE$13,"D+",IF(L221&lt;'PlayerGrades+'!$AE$12,"C-",IF(L221&lt;'PlayerGrades+'!$AE$11,"C",IF(L221&lt;'PlayerGrades+'!$AE$10,"C+",IF(L221&lt;'PlayerGrades+'!$AE$9,"B-",IF(L221&lt;'PlayerGrades+'!$AE$8,"B",IF(L221&lt;'PlayerGrades+'!$AE$7,"B+",IF(L221&lt;'PlayerGrades+'!$AE$6,"A-",IF(L221&lt;'PlayerGrades+'!$AE$5,"A",IF(L221&lt;'PlayerGrades+'!$AE$4,"A+",IF(L221&lt;'PlayerGrades+'!$AE$3,"S-",IF(L221&lt;'PlayerGrades+'!$AE$2,"S","S+"))))))))))))))))))))</f>
        <v>#DIV/0!</v>
      </c>
      <c r="N221" s="961" t="str">
        <f t="shared" si="6"/>
        <v>#DIV/0!</v>
      </c>
      <c r="O221" s="961" t="str">
        <f>IF(N221&lt;'PlayerGrades+'!$AF$21,"F-",IF(N221&lt;'PlayerGrades+'!$AF$20,"F",IF(N221&lt;'PlayerGrades+'!$AF$19,"F+",IF(N221&lt;'PlayerGrades+'!$AF$18,"E-",IF(N221&lt;'PlayerGrades+'!$AF$17,"E",IF(N221&lt;'PlayerGrades+'!$AF$16,"E+",IF(N221&lt;'PlayerGrades+'!$AF$15,"D-",IF(N221&lt;'PlayerGrades+'!$AF$14,"D",IF(N221&lt;'PlayerGrades+'!$AF$13,"D+",IF(N221&lt;'PlayerGrades+'!$AF$12,"C-",IF(N221&lt;'PlayerGrades+'!$AF$11,"C",IF(N221&lt;'PlayerGrades+'!$AF$10,"C+",IF(N221&lt;'PlayerGrades+'!$AF$9,"B-",IF(N221&lt;'PlayerGrades+'!$AF$8,"B",IF(N221&lt;'PlayerGrades+'!$AF$7,"B+",IF(N221&lt;'PlayerGrades+'!$AF$6,"A-",IF(N221&lt;'PlayerGrades+'!$AF$5,"A",IF(N221&lt;'PlayerGrades+'!$AF$4,"A+",IF(N221&lt;'PlayerGrades+'!$AF$3,"S-",IF(N221&lt;'PlayerGrades+'!$AF$2,"S","S+"))))))))))))))))))))</f>
        <v>#DIV/0!</v>
      </c>
      <c r="P221" s="961" t="str">
        <f t="shared" si="7"/>
        <v>#DIV/0!</v>
      </c>
      <c r="Q221" s="961" t="str">
        <f>IF(P221&lt;'PlayerGrades+'!$AG$21,"F-",IF(P221&lt;'PlayerGrades+'!$AG$20,"F",IF(P221&lt;'PlayerGrades+'!$AG$19,"F+",IF(P221&lt;'PlayerGrades+'!$AG$18,"E-",IF(P221&lt;'PlayerGrades+'!$AG$17,"E",IF(P221&lt;'PlayerGrades+'!$AG$16,"E+",IF(P221&lt;'PlayerGrades+'!$AG$15,"D-",IF(P221&lt;'PlayerGrades+'!$AG$14,"D",IF(P221&lt;'PlayerGrades+'!$AG$13,"D+",IF(P221&lt;'PlayerGrades+'!$AG$12,"C-",IF(P221&lt;'PlayerGrades+'!$AG$11,"C",IF(P221&lt;'PlayerGrades+'!$AG$10,"C+",IF(P221&lt;'PlayerGrades+'!$AG$9,"B-",IF(P221&lt;'PlayerGrades+'!$AG$8,"B",IF(P221&lt;'PlayerGrades+'!$AG$7,"B+",IF(P221&lt;'PlayerGrades+'!$AG$6,"A-",IF(P221&lt;'PlayerGrades+'!$AG$5,"A",IF(P221&lt;'PlayerGrades+'!$AG$4,"A+",IF(P221&lt;'PlayerGrades+'!$AG$3,"S-",IF(P221&lt;'PlayerGrades+'!$AG$2,"S","S+"))))))))))))))))))))</f>
        <v>#DIV/0!</v>
      </c>
      <c r="R221" s="961" t="str">
        <f t="shared" si="8"/>
        <v>#DIV/0!</v>
      </c>
      <c r="S221" s="961" t="str">
        <f>IF(R221&lt;'PlayerGrades+'!$AH$21,"F-",IF(R221&lt;'PlayerGrades+'!$AH$20,"F",IF(R221&lt;'PlayerGrades+'!$AH$19,"F+",IF(R221&lt;'PlayerGrades+'!$AH$18,"E-",IF(R221&lt;'PlayerGrades+'!$AH$17,"E",IF(R221&lt;'PlayerGrades+'!$AH$16,"E+",IF(R221&lt;'PlayerGrades+'!$AH$15,"D-",IF(R221&lt;'PlayerGrades+'!$AH$14,"D",IF(R221&lt;'PlayerGrades+'!$AH$13,"D+",IF(R221&lt;'PlayerGrades+'!$AH$12,"C-",IF(R221&lt;'PlayerGrades+'!$AH$11,"C",IF(R221&lt;'PlayerGrades+'!$AH$10,"C+",IF(R221&lt;'PlayerGrades+'!$AH$9,"B-",IF(R221&lt;'PlayerGrades+'!$AH$8,"B",IF(R221&lt;'PlayerGrades+'!$AH$7,"B+",IF(R221&lt;'PlayerGrades+'!$AH$6,"A-",IF(R221&lt;'PlayerGrades+'!$AH$5,"A",IF(R221&lt;'PlayerGrades+'!$AH$4,"A+",IF(R221&lt;'PlayerGrades+'!$AH$3,"S-",IF(R221&lt;'PlayerGrades+'!$AH$2,"S","S+"))))))))))))))))))))</f>
        <v>#DIV/0!</v>
      </c>
      <c r="T221" s="961">
        <f t="shared" si="9"/>
        <v>0</v>
      </c>
      <c r="U221" s="961" t="str">
        <f>IF(T221&lt;'PlayerGrades+'!$AI$21,"F-",IF(T221&lt;'PlayerGrades+'!$AI$20,"F",IF(T221&lt;'PlayerGrades+'!$AI$19,"F+",IF(T221&lt;'PlayerGrades+'!$AI$18,"E-",IF(T221&lt;'PlayerGrades+'!$AI$17,"E",IF(T221&lt;'PlayerGrades+'!$AI$16,"E+",IF(T221&lt;'PlayerGrades+'!$AI$15,"D-",IF(T221&lt;'PlayerGrades+'!$AI$14,"D",IF(T221&lt;'PlayerGrades+'!$AI$13,"D+",IF(T221&lt;'PlayerGrades+'!$AI$12,"C-",IF(T221&lt;'PlayerGrades+'!$AI$11,"C",IF(T221&lt;'PlayerGrades+'!$AI$10,"C+",IF(T221&lt;'PlayerGrades+'!$AI$9,"B-",IF(T221&lt;'PlayerGrades+'!$AI$8,"B",IF(T221&lt;'PlayerGrades+'!$AI$7,"B+",IF(T221&lt;'PlayerGrades+'!$AI$6,"A-",IF(T221&lt;'PlayerGrades+'!$AI$5,"A",IF(T221&lt;'PlayerGrades+'!$AI$4,"A+",IF(T221&lt;'PlayerGrades+'!$AI$3,"S-",IF(T221&lt;'PlayerGrades+'!$AI$2,"S","S+"))))))))))))))))))))</f>
        <v>F-</v>
      </c>
      <c r="AC221" s="1392"/>
    </row>
    <row r="222">
      <c r="A222" s="1391"/>
      <c r="B222" s="611" t="str">
        <f>IF(C222&lt;'PlayerGrades+'!$Y$44,"F-",IF(C222&lt;'PlayerGrades+'!$Y$43,"F",IF(C222&lt;'PlayerGrades+'!$Y$42,"F+",IF(C222&lt;'PlayerGrades+'!$Y$41,"E-",IF(C222&lt;'PlayerGrades+'!$Y$40,"E",IF(C222&lt;'PlayerGrades+'!$Y$39,"E+",IF(C222&lt;'PlayerGrades+'!$Y$38,"D-",IF(C222&lt;'PlayerGrades+'!$Y$37,"D",IF(C222&lt;'PlayerGrades+'!$Y$36,"D+",IF(C222&lt;'PlayerGrades+'!$Y$35,"C-",IF(C222&lt;'PlayerGrades+'!$Y$34,"C",IF(C222&lt;'PlayerGrades+'!$Y$33,"C+",IF(C222&lt;'PlayerGrades+'!$Y$32,"B-",IF(C222&lt;'PlayerGrades+'!$Y$31,"B",IF(C222&lt;'PlayerGrades+'!$Y$30,"B+",IF(C222&lt;'PlayerGrades+'!$Y$29,"A-",IF(C222&lt;'PlayerGrades+'!$Y$28,"A",IF(C222&lt;'PlayerGrades+'!$Y$27,"A+",IF(C222&lt;'PlayerGrades+'!$Y$26,"S-",IF(C222&lt;'PlayerGrades+'!$Y$25,"S","S+"))))))))))))))))))))</f>
        <v>#DIV/0!</v>
      </c>
      <c r="C222" s="1378" t="str">
        <f>('PlayerGrades+'!$Y$47*(VLOOKUP(E222, 'PlayerGrades+'!$X$3:$Y$23, 2, FALSE)))+('PlayerGrades+'!$Y$48*(VLOOKUP(G222, 'PlayerGrades+'!$X$3:$Y$23, 2, FALSE)))+('PlayerGrades+'!$Y$49*(VLOOKUP(I222, 'PlayerGrades+'!$X$3:$Y$23, 2, FALSE)))+('PlayerGrades+'!$Y$50*(VLOOKUP(K222, 'PlayerGrades+'!$X$3:$Y$23, 2, FALSE)))+('PlayerGrades+'!$Y$51*(VLOOKUP(M222, 'PlayerGrades+'!$X$3:$Y$23, 2, FALSE)))+('PlayerGrades+'!$Y$52*(VLOOKUP(O222, 'PlayerGrades+'!$X$3:$Y$23, 2, FALSE)))+('PlayerGrades+'!$Y$53*(VLOOKUP(Q222, 'PlayerGrades+'!$X$3:$Y$23, 2, FALSE)))+('PlayerGrades+'!$Y$54*(VLOOKUP(S222, 'PlayerGrades+'!$X$3:$Y$23, 2, FALSE)))+('PlayerGrades+'!$Y$55*(VLOOKUP(U222, 'PlayerGrades+'!$X$3:$Y$23, 2, FALSE)))</f>
        <v>#DIV/0!</v>
      </c>
      <c r="D222" s="961" t="str">
        <f t="shared" si="1"/>
        <v>#DIV/0!</v>
      </c>
      <c r="E222" s="961" t="str">
        <f>IF(D222&lt;'PlayerGrades+'!$AA$21,"F-",IF(D222&lt;'PlayerGrades+'!$AA$20,"F",IF(D222&lt;'PlayerGrades+'!$AA$19,"F+",IF(D222&lt;'PlayerGrades+'!$AA$18,"E-",IF(D222&lt;'PlayerGrades+'!$AA$17,"E",IF(D222&lt;'PlayerGrades+'!$AA$16,"E+",IF(D222&lt;'PlayerGrades+'!$AA$15,"D-",IF(D222&lt;'PlayerGrades+'!$AA$14,"D",IF(D222&lt;'PlayerGrades+'!$AA$13,"D+",IF(D222&lt;'PlayerGrades+'!$AA$12,"C-",IF(D222&lt;'PlayerGrades+'!$AA$11,"C",IF(D222&lt;'PlayerGrades+'!$AA$10,"C+",IF(D222&lt;'PlayerGrades+'!$AA$9,"B-",IF(D222&lt;'PlayerGrades+'!$AA$8,"B",IF(D222&lt;'PlayerGrades+'!$AA$7,"B+",IF(D222&lt;'PlayerGrades+'!$AA$6,"A-",IF(D222&lt;'PlayerGrades+'!$AA$5,"A",IF(D222&lt;'PlayerGrades+'!$AA$4,"A+",IF(D222&lt;'PlayerGrades+'!$AA$3,"S-",IF(D222&lt;'PlayerGrades+'!$AA$2,"S","S+"))))))))))))))))))))</f>
        <v>#DIV/0!</v>
      </c>
      <c r="F222" s="961" t="str">
        <f t="shared" si="2"/>
        <v>#DIV/0!</v>
      </c>
      <c r="G222" s="961" t="str">
        <f>IF(F222&lt;'PlayerGrades+'!$AB$21,"F-",IF(F222&lt;'PlayerGrades+'!$AB$20,"F",IF(F222&lt;'PlayerGrades+'!$AB$19,"F+",IF(F222&lt;'PlayerGrades+'!$AB$18,"E-",IF(F222&lt;'PlayerGrades+'!$AB$17,"E",IF(F222&lt;'PlayerGrades+'!$AB$16,"E+",IF(F222&lt;'PlayerGrades+'!$AB$15,"D-",IF(F222&lt;'PlayerGrades+'!$AB$14,"D",IF(F222&lt;'PlayerGrades+'!$AB$13,"D+",IF(F222&lt;'PlayerGrades+'!$AB$12,"C-",IF(F222&lt;'PlayerGrades+'!$AB$11,"C",IF(F222&lt;'PlayerGrades+'!$AB$10,"C+",IF(F222&lt;'PlayerGrades+'!$AB$9,"B-",IF(F222&lt;'PlayerGrades+'!$AB$8,"B",IF(F222&lt;'PlayerGrades+'!$AB$7,"B+",IF(F222&lt;'PlayerGrades+'!$AB$6,"A-",IF(F222&lt;'PlayerGrades+'!$AB$5,"A",IF(F222&lt;'PlayerGrades+'!$AB$4,"A+",IF(F222&lt;'PlayerGrades+'!$AB$3,"S-",IF(F222&lt;'PlayerGrades+'!$AB$2,"S","S+"))))))))))))))))))))</f>
        <v>#DIV/0!</v>
      </c>
      <c r="H222" s="961" t="str">
        <f t="shared" si="3"/>
        <v>#DIV/0!</v>
      </c>
      <c r="I222" s="961" t="str">
        <f>IF(H222&lt;'PlayerGrades+'!$AC$21,"F-",IF(H222&lt;'PlayerGrades+'!$AC$20,"F",IF(H222&lt;'PlayerGrades+'!$AC$19,"F+",IF(H222&lt;'PlayerGrades+'!$AC$18,"E-",IF(H222&lt;'PlayerGrades+'!$AC$17,"E",IF(H222&lt;'PlayerGrades+'!$AC$16,"E+",IF(H222&lt;'PlayerGrades+'!$AC$15,"D-",IF(H222&lt;'PlayerGrades+'!$AC$14,"D",IF(H222&lt;'PlayerGrades+'!$AC$13,"D+",IF(H222&lt;'PlayerGrades+'!$AC$12,"C-",IF(H222&lt;'PlayerGrades+'!$AC$11,"C",IF(H222&lt;'PlayerGrades+'!$AC$10,"C+",IF(H222&lt;'PlayerGrades+'!$AC$9,"B-",IF(H222&lt;'PlayerGrades+'!$AC$8,"B",IF(H222&lt;'PlayerGrades+'!$AC$7,"B+",IF(H222&lt;'PlayerGrades+'!$AC$6,"A-",IF(H222&lt;'PlayerGrades+'!$AC$5,"A",IF(H222&lt;'PlayerGrades+'!$AC$4,"A+",IF(H222&lt;'PlayerGrades+'!$AC$3,"S-",IF(H222&lt;'PlayerGrades+'!$AC$2,"S","S+"))))))))))))))))))))</f>
        <v>#DIV/0!</v>
      </c>
      <c r="J222" s="961" t="str">
        <f t="shared" si="4"/>
        <v>#DIV/0!</v>
      </c>
      <c r="K222" s="961" t="str">
        <f>IF(J222&lt;'PlayerGrades+'!$AD$21,"F-",IF(J222&lt;'PlayerGrades+'!$AD$20,"F",IF(J222&lt;'PlayerGrades+'!$AD$19,"F+",IF(J222&lt;'PlayerGrades+'!$AD$18,"E-",IF(J222&lt;'PlayerGrades+'!$AD$17,"E",IF(J222&lt;'PlayerGrades+'!$AD$16,"E+",IF(J222&lt;'PlayerGrades+'!$AD$15,"D-",IF(J222&lt;'PlayerGrades+'!$AD$14,"D",IF(J222&lt;'PlayerGrades+'!$AD$13,"D+",IF(J222&lt;'PlayerGrades+'!$AD$12,"C-",IF(J222&lt;'PlayerGrades+'!$AD$11,"C",IF(J222&lt;'PlayerGrades+'!$AD$10,"C+",IF(J222&lt;'PlayerGrades+'!$AD$9,"B-",IF(J222&lt;'PlayerGrades+'!$AD$8,"B",IF(J222&lt;'PlayerGrades+'!$AD$7,"B+",IF(J222&lt;'PlayerGrades+'!$AD$6,"A-",IF(J222&lt;'PlayerGrades+'!$AD$5,"A",IF(J222&lt;'PlayerGrades+'!$AD$4,"A+",IF(J222&lt;'PlayerGrades+'!$AD$3,"S-",IF(J222&lt;'PlayerGrades+'!$AD$2,"S","S+"))))))))))))))))))))</f>
        <v>#DIV/0!</v>
      </c>
      <c r="L222" s="1176" t="str">
        <f t="shared" si="5"/>
        <v>#DIV/0!</v>
      </c>
      <c r="M222" s="992" t="str">
        <f>IF(L222&lt;'PlayerGrades+'!$AE$21,"F-",IF(L222&lt;'PlayerGrades+'!$AE$20,"F",IF(L222&lt;'PlayerGrades+'!$AE$19,"F+",IF(L222&lt;'PlayerGrades+'!$AE$18,"E-",IF(L222&lt;'PlayerGrades+'!$AE$17,"E",IF(L222&lt;'PlayerGrades+'!$AE$16,"E+",IF(L222&lt;'PlayerGrades+'!$AE$15,"D-",IF(L222&lt;'PlayerGrades+'!$AE$14,"D",IF(L222&lt;'PlayerGrades+'!$AE$13,"D+",IF(L222&lt;'PlayerGrades+'!$AE$12,"C-",IF(L222&lt;'PlayerGrades+'!$AE$11,"C",IF(L222&lt;'PlayerGrades+'!$AE$10,"C+",IF(L222&lt;'PlayerGrades+'!$AE$9,"B-",IF(L222&lt;'PlayerGrades+'!$AE$8,"B",IF(L222&lt;'PlayerGrades+'!$AE$7,"B+",IF(L222&lt;'PlayerGrades+'!$AE$6,"A-",IF(L222&lt;'PlayerGrades+'!$AE$5,"A",IF(L222&lt;'PlayerGrades+'!$AE$4,"A+",IF(L222&lt;'PlayerGrades+'!$AE$3,"S-",IF(L222&lt;'PlayerGrades+'!$AE$2,"S","S+"))))))))))))))))))))</f>
        <v>#DIV/0!</v>
      </c>
      <c r="N222" s="961" t="str">
        <f t="shared" si="6"/>
        <v>#DIV/0!</v>
      </c>
      <c r="O222" s="961" t="str">
        <f>IF(N222&lt;'PlayerGrades+'!$AF$21,"F-",IF(N222&lt;'PlayerGrades+'!$AF$20,"F",IF(N222&lt;'PlayerGrades+'!$AF$19,"F+",IF(N222&lt;'PlayerGrades+'!$AF$18,"E-",IF(N222&lt;'PlayerGrades+'!$AF$17,"E",IF(N222&lt;'PlayerGrades+'!$AF$16,"E+",IF(N222&lt;'PlayerGrades+'!$AF$15,"D-",IF(N222&lt;'PlayerGrades+'!$AF$14,"D",IF(N222&lt;'PlayerGrades+'!$AF$13,"D+",IF(N222&lt;'PlayerGrades+'!$AF$12,"C-",IF(N222&lt;'PlayerGrades+'!$AF$11,"C",IF(N222&lt;'PlayerGrades+'!$AF$10,"C+",IF(N222&lt;'PlayerGrades+'!$AF$9,"B-",IF(N222&lt;'PlayerGrades+'!$AF$8,"B",IF(N222&lt;'PlayerGrades+'!$AF$7,"B+",IF(N222&lt;'PlayerGrades+'!$AF$6,"A-",IF(N222&lt;'PlayerGrades+'!$AF$5,"A",IF(N222&lt;'PlayerGrades+'!$AF$4,"A+",IF(N222&lt;'PlayerGrades+'!$AF$3,"S-",IF(N222&lt;'PlayerGrades+'!$AF$2,"S","S+"))))))))))))))))))))</f>
        <v>#DIV/0!</v>
      </c>
      <c r="P222" s="961" t="str">
        <f t="shared" si="7"/>
        <v>#DIV/0!</v>
      </c>
      <c r="Q222" s="961" t="str">
        <f>IF(P222&lt;'PlayerGrades+'!$AG$21,"F-",IF(P222&lt;'PlayerGrades+'!$AG$20,"F",IF(P222&lt;'PlayerGrades+'!$AG$19,"F+",IF(P222&lt;'PlayerGrades+'!$AG$18,"E-",IF(P222&lt;'PlayerGrades+'!$AG$17,"E",IF(P222&lt;'PlayerGrades+'!$AG$16,"E+",IF(P222&lt;'PlayerGrades+'!$AG$15,"D-",IF(P222&lt;'PlayerGrades+'!$AG$14,"D",IF(P222&lt;'PlayerGrades+'!$AG$13,"D+",IF(P222&lt;'PlayerGrades+'!$AG$12,"C-",IF(P222&lt;'PlayerGrades+'!$AG$11,"C",IF(P222&lt;'PlayerGrades+'!$AG$10,"C+",IF(P222&lt;'PlayerGrades+'!$AG$9,"B-",IF(P222&lt;'PlayerGrades+'!$AG$8,"B",IF(P222&lt;'PlayerGrades+'!$AG$7,"B+",IF(P222&lt;'PlayerGrades+'!$AG$6,"A-",IF(P222&lt;'PlayerGrades+'!$AG$5,"A",IF(P222&lt;'PlayerGrades+'!$AG$4,"A+",IF(P222&lt;'PlayerGrades+'!$AG$3,"S-",IF(P222&lt;'PlayerGrades+'!$AG$2,"S","S+"))))))))))))))))))))</f>
        <v>#DIV/0!</v>
      </c>
      <c r="R222" s="961" t="str">
        <f t="shared" si="8"/>
        <v>#DIV/0!</v>
      </c>
      <c r="S222" s="961" t="str">
        <f>IF(R222&lt;'PlayerGrades+'!$AH$21,"F-",IF(R222&lt;'PlayerGrades+'!$AH$20,"F",IF(R222&lt;'PlayerGrades+'!$AH$19,"F+",IF(R222&lt;'PlayerGrades+'!$AH$18,"E-",IF(R222&lt;'PlayerGrades+'!$AH$17,"E",IF(R222&lt;'PlayerGrades+'!$AH$16,"E+",IF(R222&lt;'PlayerGrades+'!$AH$15,"D-",IF(R222&lt;'PlayerGrades+'!$AH$14,"D",IF(R222&lt;'PlayerGrades+'!$AH$13,"D+",IF(R222&lt;'PlayerGrades+'!$AH$12,"C-",IF(R222&lt;'PlayerGrades+'!$AH$11,"C",IF(R222&lt;'PlayerGrades+'!$AH$10,"C+",IF(R222&lt;'PlayerGrades+'!$AH$9,"B-",IF(R222&lt;'PlayerGrades+'!$AH$8,"B",IF(R222&lt;'PlayerGrades+'!$AH$7,"B+",IF(R222&lt;'PlayerGrades+'!$AH$6,"A-",IF(R222&lt;'PlayerGrades+'!$AH$5,"A",IF(R222&lt;'PlayerGrades+'!$AH$4,"A+",IF(R222&lt;'PlayerGrades+'!$AH$3,"S-",IF(R222&lt;'PlayerGrades+'!$AH$2,"S","S+"))))))))))))))))))))</f>
        <v>#DIV/0!</v>
      </c>
      <c r="T222" s="961">
        <f t="shared" si="9"/>
        <v>0</v>
      </c>
      <c r="U222" s="961" t="str">
        <f>IF(T222&lt;'PlayerGrades+'!$AI$21,"F-",IF(T222&lt;'PlayerGrades+'!$AI$20,"F",IF(T222&lt;'PlayerGrades+'!$AI$19,"F+",IF(T222&lt;'PlayerGrades+'!$AI$18,"E-",IF(T222&lt;'PlayerGrades+'!$AI$17,"E",IF(T222&lt;'PlayerGrades+'!$AI$16,"E+",IF(T222&lt;'PlayerGrades+'!$AI$15,"D-",IF(T222&lt;'PlayerGrades+'!$AI$14,"D",IF(T222&lt;'PlayerGrades+'!$AI$13,"D+",IF(T222&lt;'PlayerGrades+'!$AI$12,"C-",IF(T222&lt;'PlayerGrades+'!$AI$11,"C",IF(T222&lt;'PlayerGrades+'!$AI$10,"C+",IF(T222&lt;'PlayerGrades+'!$AI$9,"B-",IF(T222&lt;'PlayerGrades+'!$AI$8,"B",IF(T222&lt;'PlayerGrades+'!$AI$7,"B+",IF(T222&lt;'PlayerGrades+'!$AI$6,"A-",IF(T222&lt;'PlayerGrades+'!$AI$5,"A",IF(T222&lt;'PlayerGrades+'!$AI$4,"A+",IF(T222&lt;'PlayerGrades+'!$AI$3,"S-",IF(T222&lt;'PlayerGrades+'!$AI$2,"S","S+"))))))))))))))))))))</f>
        <v>F-</v>
      </c>
      <c r="AC222" s="1392"/>
    </row>
    <row r="223">
      <c r="A223" s="1391"/>
      <c r="B223" s="611" t="str">
        <f>IF(C223&lt;'PlayerGrades+'!$Y$44,"F-",IF(C223&lt;'PlayerGrades+'!$Y$43,"F",IF(C223&lt;'PlayerGrades+'!$Y$42,"F+",IF(C223&lt;'PlayerGrades+'!$Y$41,"E-",IF(C223&lt;'PlayerGrades+'!$Y$40,"E",IF(C223&lt;'PlayerGrades+'!$Y$39,"E+",IF(C223&lt;'PlayerGrades+'!$Y$38,"D-",IF(C223&lt;'PlayerGrades+'!$Y$37,"D",IF(C223&lt;'PlayerGrades+'!$Y$36,"D+",IF(C223&lt;'PlayerGrades+'!$Y$35,"C-",IF(C223&lt;'PlayerGrades+'!$Y$34,"C",IF(C223&lt;'PlayerGrades+'!$Y$33,"C+",IF(C223&lt;'PlayerGrades+'!$Y$32,"B-",IF(C223&lt;'PlayerGrades+'!$Y$31,"B",IF(C223&lt;'PlayerGrades+'!$Y$30,"B+",IF(C223&lt;'PlayerGrades+'!$Y$29,"A-",IF(C223&lt;'PlayerGrades+'!$Y$28,"A",IF(C223&lt;'PlayerGrades+'!$Y$27,"A+",IF(C223&lt;'PlayerGrades+'!$Y$26,"S-",IF(C223&lt;'PlayerGrades+'!$Y$25,"S","S+"))))))))))))))))))))</f>
        <v>#DIV/0!</v>
      </c>
      <c r="C223" s="1378" t="str">
        <f>('PlayerGrades+'!$Y$47*(VLOOKUP(E223, 'PlayerGrades+'!$X$3:$Y$23, 2, FALSE)))+('PlayerGrades+'!$Y$48*(VLOOKUP(G223, 'PlayerGrades+'!$X$3:$Y$23, 2, FALSE)))+('PlayerGrades+'!$Y$49*(VLOOKUP(I223, 'PlayerGrades+'!$X$3:$Y$23, 2, FALSE)))+('PlayerGrades+'!$Y$50*(VLOOKUP(K223, 'PlayerGrades+'!$X$3:$Y$23, 2, FALSE)))+('PlayerGrades+'!$Y$51*(VLOOKUP(M223, 'PlayerGrades+'!$X$3:$Y$23, 2, FALSE)))+('PlayerGrades+'!$Y$52*(VLOOKUP(O223, 'PlayerGrades+'!$X$3:$Y$23, 2, FALSE)))+('PlayerGrades+'!$Y$53*(VLOOKUP(Q223, 'PlayerGrades+'!$X$3:$Y$23, 2, FALSE)))+('PlayerGrades+'!$Y$54*(VLOOKUP(S223, 'PlayerGrades+'!$X$3:$Y$23, 2, FALSE)))+('PlayerGrades+'!$Y$55*(VLOOKUP(U223, 'PlayerGrades+'!$X$3:$Y$23, 2, FALSE)))</f>
        <v>#DIV/0!</v>
      </c>
      <c r="D223" s="961" t="str">
        <f t="shared" si="1"/>
        <v>#DIV/0!</v>
      </c>
      <c r="E223" s="961" t="str">
        <f>IF(D223&lt;'PlayerGrades+'!$AA$21,"F-",IF(D223&lt;'PlayerGrades+'!$AA$20,"F",IF(D223&lt;'PlayerGrades+'!$AA$19,"F+",IF(D223&lt;'PlayerGrades+'!$AA$18,"E-",IF(D223&lt;'PlayerGrades+'!$AA$17,"E",IF(D223&lt;'PlayerGrades+'!$AA$16,"E+",IF(D223&lt;'PlayerGrades+'!$AA$15,"D-",IF(D223&lt;'PlayerGrades+'!$AA$14,"D",IF(D223&lt;'PlayerGrades+'!$AA$13,"D+",IF(D223&lt;'PlayerGrades+'!$AA$12,"C-",IF(D223&lt;'PlayerGrades+'!$AA$11,"C",IF(D223&lt;'PlayerGrades+'!$AA$10,"C+",IF(D223&lt;'PlayerGrades+'!$AA$9,"B-",IF(D223&lt;'PlayerGrades+'!$AA$8,"B",IF(D223&lt;'PlayerGrades+'!$AA$7,"B+",IF(D223&lt;'PlayerGrades+'!$AA$6,"A-",IF(D223&lt;'PlayerGrades+'!$AA$5,"A",IF(D223&lt;'PlayerGrades+'!$AA$4,"A+",IF(D223&lt;'PlayerGrades+'!$AA$3,"S-",IF(D223&lt;'PlayerGrades+'!$AA$2,"S","S+"))))))))))))))))))))</f>
        <v>#DIV/0!</v>
      </c>
      <c r="F223" s="961" t="str">
        <f t="shared" si="2"/>
        <v>#DIV/0!</v>
      </c>
      <c r="G223" s="961" t="str">
        <f>IF(F223&lt;'PlayerGrades+'!$AB$21,"F-",IF(F223&lt;'PlayerGrades+'!$AB$20,"F",IF(F223&lt;'PlayerGrades+'!$AB$19,"F+",IF(F223&lt;'PlayerGrades+'!$AB$18,"E-",IF(F223&lt;'PlayerGrades+'!$AB$17,"E",IF(F223&lt;'PlayerGrades+'!$AB$16,"E+",IF(F223&lt;'PlayerGrades+'!$AB$15,"D-",IF(F223&lt;'PlayerGrades+'!$AB$14,"D",IF(F223&lt;'PlayerGrades+'!$AB$13,"D+",IF(F223&lt;'PlayerGrades+'!$AB$12,"C-",IF(F223&lt;'PlayerGrades+'!$AB$11,"C",IF(F223&lt;'PlayerGrades+'!$AB$10,"C+",IF(F223&lt;'PlayerGrades+'!$AB$9,"B-",IF(F223&lt;'PlayerGrades+'!$AB$8,"B",IF(F223&lt;'PlayerGrades+'!$AB$7,"B+",IF(F223&lt;'PlayerGrades+'!$AB$6,"A-",IF(F223&lt;'PlayerGrades+'!$AB$5,"A",IF(F223&lt;'PlayerGrades+'!$AB$4,"A+",IF(F223&lt;'PlayerGrades+'!$AB$3,"S-",IF(F223&lt;'PlayerGrades+'!$AB$2,"S","S+"))))))))))))))))))))</f>
        <v>#DIV/0!</v>
      </c>
      <c r="H223" s="961" t="str">
        <f t="shared" si="3"/>
        <v>#DIV/0!</v>
      </c>
      <c r="I223" s="961" t="str">
        <f>IF(H223&lt;'PlayerGrades+'!$AC$21,"F-",IF(H223&lt;'PlayerGrades+'!$AC$20,"F",IF(H223&lt;'PlayerGrades+'!$AC$19,"F+",IF(H223&lt;'PlayerGrades+'!$AC$18,"E-",IF(H223&lt;'PlayerGrades+'!$AC$17,"E",IF(H223&lt;'PlayerGrades+'!$AC$16,"E+",IF(H223&lt;'PlayerGrades+'!$AC$15,"D-",IF(H223&lt;'PlayerGrades+'!$AC$14,"D",IF(H223&lt;'PlayerGrades+'!$AC$13,"D+",IF(H223&lt;'PlayerGrades+'!$AC$12,"C-",IF(H223&lt;'PlayerGrades+'!$AC$11,"C",IF(H223&lt;'PlayerGrades+'!$AC$10,"C+",IF(H223&lt;'PlayerGrades+'!$AC$9,"B-",IF(H223&lt;'PlayerGrades+'!$AC$8,"B",IF(H223&lt;'PlayerGrades+'!$AC$7,"B+",IF(H223&lt;'PlayerGrades+'!$AC$6,"A-",IF(H223&lt;'PlayerGrades+'!$AC$5,"A",IF(H223&lt;'PlayerGrades+'!$AC$4,"A+",IF(H223&lt;'PlayerGrades+'!$AC$3,"S-",IF(H223&lt;'PlayerGrades+'!$AC$2,"S","S+"))))))))))))))))))))</f>
        <v>#DIV/0!</v>
      </c>
      <c r="J223" s="961" t="str">
        <f t="shared" si="4"/>
        <v>#DIV/0!</v>
      </c>
      <c r="K223" s="961" t="str">
        <f>IF(J223&lt;'PlayerGrades+'!$AD$21,"F-",IF(J223&lt;'PlayerGrades+'!$AD$20,"F",IF(J223&lt;'PlayerGrades+'!$AD$19,"F+",IF(J223&lt;'PlayerGrades+'!$AD$18,"E-",IF(J223&lt;'PlayerGrades+'!$AD$17,"E",IF(J223&lt;'PlayerGrades+'!$AD$16,"E+",IF(J223&lt;'PlayerGrades+'!$AD$15,"D-",IF(J223&lt;'PlayerGrades+'!$AD$14,"D",IF(J223&lt;'PlayerGrades+'!$AD$13,"D+",IF(J223&lt;'PlayerGrades+'!$AD$12,"C-",IF(J223&lt;'PlayerGrades+'!$AD$11,"C",IF(J223&lt;'PlayerGrades+'!$AD$10,"C+",IF(J223&lt;'PlayerGrades+'!$AD$9,"B-",IF(J223&lt;'PlayerGrades+'!$AD$8,"B",IF(J223&lt;'PlayerGrades+'!$AD$7,"B+",IF(J223&lt;'PlayerGrades+'!$AD$6,"A-",IF(J223&lt;'PlayerGrades+'!$AD$5,"A",IF(J223&lt;'PlayerGrades+'!$AD$4,"A+",IF(J223&lt;'PlayerGrades+'!$AD$3,"S-",IF(J223&lt;'PlayerGrades+'!$AD$2,"S","S+"))))))))))))))))))))</f>
        <v>#DIV/0!</v>
      </c>
      <c r="L223" s="1176" t="str">
        <f t="shared" si="5"/>
        <v>#DIV/0!</v>
      </c>
      <c r="M223" s="992" t="str">
        <f>IF(L223&lt;'PlayerGrades+'!$AE$21,"F-",IF(L223&lt;'PlayerGrades+'!$AE$20,"F",IF(L223&lt;'PlayerGrades+'!$AE$19,"F+",IF(L223&lt;'PlayerGrades+'!$AE$18,"E-",IF(L223&lt;'PlayerGrades+'!$AE$17,"E",IF(L223&lt;'PlayerGrades+'!$AE$16,"E+",IF(L223&lt;'PlayerGrades+'!$AE$15,"D-",IF(L223&lt;'PlayerGrades+'!$AE$14,"D",IF(L223&lt;'PlayerGrades+'!$AE$13,"D+",IF(L223&lt;'PlayerGrades+'!$AE$12,"C-",IF(L223&lt;'PlayerGrades+'!$AE$11,"C",IF(L223&lt;'PlayerGrades+'!$AE$10,"C+",IF(L223&lt;'PlayerGrades+'!$AE$9,"B-",IF(L223&lt;'PlayerGrades+'!$AE$8,"B",IF(L223&lt;'PlayerGrades+'!$AE$7,"B+",IF(L223&lt;'PlayerGrades+'!$AE$6,"A-",IF(L223&lt;'PlayerGrades+'!$AE$5,"A",IF(L223&lt;'PlayerGrades+'!$AE$4,"A+",IF(L223&lt;'PlayerGrades+'!$AE$3,"S-",IF(L223&lt;'PlayerGrades+'!$AE$2,"S","S+"))))))))))))))))))))</f>
        <v>#DIV/0!</v>
      </c>
      <c r="N223" s="961" t="str">
        <f t="shared" si="6"/>
        <v>#DIV/0!</v>
      </c>
      <c r="O223" s="961" t="str">
        <f>IF(N223&lt;'PlayerGrades+'!$AF$21,"F-",IF(N223&lt;'PlayerGrades+'!$AF$20,"F",IF(N223&lt;'PlayerGrades+'!$AF$19,"F+",IF(N223&lt;'PlayerGrades+'!$AF$18,"E-",IF(N223&lt;'PlayerGrades+'!$AF$17,"E",IF(N223&lt;'PlayerGrades+'!$AF$16,"E+",IF(N223&lt;'PlayerGrades+'!$AF$15,"D-",IF(N223&lt;'PlayerGrades+'!$AF$14,"D",IF(N223&lt;'PlayerGrades+'!$AF$13,"D+",IF(N223&lt;'PlayerGrades+'!$AF$12,"C-",IF(N223&lt;'PlayerGrades+'!$AF$11,"C",IF(N223&lt;'PlayerGrades+'!$AF$10,"C+",IF(N223&lt;'PlayerGrades+'!$AF$9,"B-",IF(N223&lt;'PlayerGrades+'!$AF$8,"B",IF(N223&lt;'PlayerGrades+'!$AF$7,"B+",IF(N223&lt;'PlayerGrades+'!$AF$6,"A-",IF(N223&lt;'PlayerGrades+'!$AF$5,"A",IF(N223&lt;'PlayerGrades+'!$AF$4,"A+",IF(N223&lt;'PlayerGrades+'!$AF$3,"S-",IF(N223&lt;'PlayerGrades+'!$AF$2,"S","S+"))))))))))))))))))))</f>
        <v>#DIV/0!</v>
      </c>
      <c r="P223" s="961" t="str">
        <f t="shared" si="7"/>
        <v>#DIV/0!</v>
      </c>
      <c r="Q223" s="961" t="str">
        <f>IF(P223&lt;'PlayerGrades+'!$AG$21,"F-",IF(P223&lt;'PlayerGrades+'!$AG$20,"F",IF(P223&lt;'PlayerGrades+'!$AG$19,"F+",IF(P223&lt;'PlayerGrades+'!$AG$18,"E-",IF(P223&lt;'PlayerGrades+'!$AG$17,"E",IF(P223&lt;'PlayerGrades+'!$AG$16,"E+",IF(P223&lt;'PlayerGrades+'!$AG$15,"D-",IF(P223&lt;'PlayerGrades+'!$AG$14,"D",IF(P223&lt;'PlayerGrades+'!$AG$13,"D+",IF(P223&lt;'PlayerGrades+'!$AG$12,"C-",IF(P223&lt;'PlayerGrades+'!$AG$11,"C",IF(P223&lt;'PlayerGrades+'!$AG$10,"C+",IF(P223&lt;'PlayerGrades+'!$AG$9,"B-",IF(P223&lt;'PlayerGrades+'!$AG$8,"B",IF(P223&lt;'PlayerGrades+'!$AG$7,"B+",IF(P223&lt;'PlayerGrades+'!$AG$6,"A-",IF(P223&lt;'PlayerGrades+'!$AG$5,"A",IF(P223&lt;'PlayerGrades+'!$AG$4,"A+",IF(P223&lt;'PlayerGrades+'!$AG$3,"S-",IF(P223&lt;'PlayerGrades+'!$AG$2,"S","S+"))))))))))))))))))))</f>
        <v>#DIV/0!</v>
      </c>
      <c r="R223" s="961" t="str">
        <f t="shared" si="8"/>
        <v>#DIV/0!</v>
      </c>
      <c r="S223" s="961" t="str">
        <f>IF(R223&lt;'PlayerGrades+'!$AH$21,"F-",IF(R223&lt;'PlayerGrades+'!$AH$20,"F",IF(R223&lt;'PlayerGrades+'!$AH$19,"F+",IF(R223&lt;'PlayerGrades+'!$AH$18,"E-",IF(R223&lt;'PlayerGrades+'!$AH$17,"E",IF(R223&lt;'PlayerGrades+'!$AH$16,"E+",IF(R223&lt;'PlayerGrades+'!$AH$15,"D-",IF(R223&lt;'PlayerGrades+'!$AH$14,"D",IF(R223&lt;'PlayerGrades+'!$AH$13,"D+",IF(R223&lt;'PlayerGrades+'!$AH$12,"C-",IF(R223&lt;'PlayerGrades+'!$AH$11,"C",IF(R223&lt;'PlayerGrades+'!$AH$10,"C+",IF(R223&lt;'PlayerGrades+'!$AH$9,"B-",IF(R223&lt;'PlayerGrades+'!$AH$8,"B",IF(R223&lt;'PlayerGrades+'!$AH$7,"B+",IF(R223&lt;'PlayerGrades+'!$AH$6,"A-",IF(R223&lt;'PlayerGrades+'!$AH$5,"A",IF(R223&lt;'PlayerGrades+'!$AH$4,"A+",IF(R223&lt;'PlayerGrades+'!$AH$3,"S-",IF(R223&lt;'PlayerGrades+'!$AH$2,"S","S+"))))))))))))))))))))</f>
        <v>#DIV/0!</v>
      </c>
      <c r="T223" s="961">
        <f t="shared" si="9"/>
        <v>0</v>
      </c>
      <c r="U223" s="961" t="str">
        <f>IF(T223&lt;'PlayerGrades+'!$AI$21,"F-",IF(T223&lt;'PlayerGrades+'!$AI$20,"F",IF(T223&lt;'PlayerGrades+'!$AI$19,"F+",IF(T223&lt;'PlayerGrades+'!$AI$18,"E-",IF(T223&lt;'PlayerGrades+'!$AI$17,"E",IF(T223&lt;'PlayerGrades+'!$AI$16,"E+",IF(T223&lt;'PlayerGrades+'!$AI$15,"D-",IF(T223&lt;'PlayerGrades+'!$AI$14,"D",IF(T223&lt;'PlayerGrades+'!$AI$13,"D+",IF(T223&lt;'PlayerGrades+'!$AI$12,"C-",IF(T223&lt;'PlayerGrades+'!$AI$11,"C",IF(T223&lt;'PlayerGrades+'!$AI$10,"C+",IF(T223&lt;'PlayerGrades+'!$AI$9,"B-",IF(T223&lt;'PlayerGrades+'!$AI$8,"B",IF(T223&lt;'PlayerGrades+'!$AI$7,"B+",IF(T223&lt;'PlayerGrades+'!$AI$6,"A-",IF(T223&lt;'PlayerGrades+'!$AI$5,"A",IF(T223&lt;'PlayerGrades+'!$AI$4,"A+",IF(T223&lt;'PlayerGrades+'!$AI$3,"S-",IF(T223&lt;'PlayerGrades+'!$AI$2,"S","S+"))))))))))))))))))))</f>
        <v>F-</v>
      </c>
      <c r="AC223" s="1392"/>
    </row>
    <row r="224">
      <c r="A224" s="1391"/>
      <c r="B224" s="611" t="str">
        <f>IF(C224&lt;'PlayerGrades+'!$Y$44,"F-",IF(C224&lt;'PlayerGrades+'!$Y$43,"F",IF(C224&lt;'PlayerGrades+'!$Y$42,"F+",IF(C224&lt;'PlayerGrades+'!$Y$41,"E-",IF(C224&lt;'PlayerGrades+'!$Y$40,"E",IF(C224&lt;'PlayerGrades+'!$Y$39,"E+",IF(C224&lt;'PlayerGrades+'!$Y$38,"D-",IF(C224&lt;'PlayerGrades+'!$Y$37,"D",IF(C224&lt;'PlayerGrades+'!$Y$36,"D+",IF(C224&lt;'PlayerGrades+'!$Y$35,"C-",IF(C224&lt;'PlayerGrades+'!$Y$34,"C",IF(C224&lt;'PlayerGrades+'!$Y$33,"C+",IF(C224&lt;'PlayerGrades+'!$Y$32,"B-",IF(C224&lt;'PlayerGrades+'!$Y$31,"B",IF(C224&lt;'PlayerGrades+'!$Y$30,"B+",IF(C224&lt;'PlayerGrades+'!$Y$29,"A-",IF(C224&lt;'PlayerGrades+'!$Y$28,"A",IF(C224&lt;'PlayerGrades+'!$Y$27,"A+",IF(C224&lt;'PlayerGrades+'!$Y$26,"S-",IF(C224&lt;'PlayerGrades+'!$Y$25,"S","S+"))))))))))))))))))))</f>
        <v>#DIV/0!</v>
      </c>
      <c r="C224" s="1378" t="str">
        <f>('PlayerGrades+'!$Y$47*(VLOOKUP(E224, 'PlayerGrades+'!$X$3:$Y$23, 2, FALSE)))+('PlayerGrades+'!$Y$48*(VLOOKUP(G224, 'PlayerGrades+'!$X$3:$Y$23, 2, FALSE)))+('PlayerGrades+'!$Y$49*(VLOOKUP(I224, 'PlayerGrades+'!$X$3:$Y$23, 2, FALSE)))+('PlayerGrades+'!$Y$50*(VLOOKUP(K224, 'PlayerGrades+'!$X$3:$Y$23, 2, FALSE)))+('PlayerGrades+'!$Y$51*(VLOOKUP(M224, 'PlayerGrades+'!$X$3:$Y$23, 2, FALSE)))+('PlayerGrades+'!$Y$52*(VLOOKUP(O224, 'PlayerGrades+'!$X$3:$Y$23, 2, FALSE)))+('PlayerGrades+'!$Y$53*(VLOOKUP(Q224, 'PlayerGrades+'!$X$3:$Y$23, 2, FALSE)))+('PlayerGrades+'!$Y$54*(VLOOKUP(S224, 'PlayerGrades+'!$X$3:$Y$23, 2, FALSE)))+('PlayerGrades+'!$Y$55*(VLOOKUP(U224, 'PlayerGrades+'!$X$3:$Y$23, 2, FALSE)))</f>
        <v>#DIV/0!</v>
      </c>
      <c r="D224" s="961" t="str">
        <f t="shared" si="1"/>
        <v>#DIV/0!</v>
      </c>
      <c r="E224" s="961" t="str">
        <f>IF(D224&lt;'PlayerGrades+'!$AA$21,"F-",IF(D224&lt;'PlayerGrades+'!$AA$20,"F",IF(D224&lt;'PlayerGrades+'!$AA$19,"F+",IF(D224&lt;'PlayerGrades+'!$AA$18,"E-",IF(D224&lt;'PlayerGrades+'!$AA$17,"E",IF(D224&lt;'PlayerGrades+'!$AA$16,"E+",IF(D224&lt;'PlayerGrades+'!$AA$15,"D-",IF(D224&lt;'PlayerGrades+'!$AA$14,"D",IF(D224&lt;'PlayerGrades+'!$AA$13,"D+",IF(D224&lt;'PlayerGrades+'!$AA$12,"C-",IF(D224&lt;'PlayerGrades+'!$AA$11,"C",IF(D224&lt;'PlayerGrades+'!$AA$10,"C+",IF(D224&lt;'PlayerGrades+'!$AA$9,"B-",IF(D224&lt;'PlayerGrades+'!$AA$8,"B",IF(D224&lt;'PlayerGrades+'!$AA$7,"B+",IF(D224&lt;'PlayerGrades+'!$AA$6,"A-",IF(D224&lt;'PlayerGrades+'!$AA$5,"A",IF(D224&lt;'PlayerGrades+'!$AA$4,"A+",IF(D224&lt;'PlayerGrades+'!$AA$3,"S-",IF(D224&lt;'PlayerGrades+'!$AA$2,"S","S+"))))))))))))))))))))</f>
        <v>#DIV/0!</v>
      </c>
      <c r="F224" s="961" t="str">
        <f t="shared" si="2"/>
        <v>#DIV/0!</v>
      </c>
      <c r="G224" s="961" t="str">
        <f>IF(F224&lt;'PlayerGrades+'!$AB$21,"F-",IF(F224&lt;'PlayerGrades+'!$AB$20,"F",IF(F224&lt;'PlayerGrades+'!$AB$19,"F+",IF(F224&lt;'PlayerGrades+'!$AB$18,"E-",IF(F224&lt;'PlayerGrades+'!$AB$17,"E",IF(F224&lt;'PlayerGrades+'!$AB$16,"E+",IF(F224&lt;'PlayerGrades+'!$AB$15,"D-",IF(F224&lt;'PlayerGrades+'!$AB$14,"D",IF(F224&lt;'PlayerGrades+'!$AB$13,"D+",IF(F224&lt;'PlayerGrades+'!$AB$12,"C-",IF(F224&lt;'PlayerGrades+'!$AB$11,"C",IF(F224&lt;'PlayerGrades+'!$AB$10,"C+",IF(F224&lt;'PlayerGrades+'!$AB$9,"B-",IF(F224&lt;'PlayerGrades+'!$AB$8,"B",IF(F224&lt;'PlayerGrades+'!$AB$7,"B+",IF(F224&lt;'PlayerGrades+'!$AB$6,"A-",IF(F224&lt;'PlayerGrades+'!$AB$5,"A",IF(F224&lt;'PlayerGrades+'!$AB$4,"A+",IF(F224&lt;'PlayerGrades+'!$AB$3,"S-",IF(F224&lt;'PlayerGrades+'!$AB$2,"S","S+"))))))))))))))))))))</f>
        <v>#DIV/0!</v>
      </c>
      <c r="H224" s="961" t="str">
        <f t="shared" si="3"/>
        <v>#DIV/0!</v>
      </c>
      <c r="I224" s="961" t="str">
        <f>IF(H224&lt;'PlayerGrades+'!$AC$21,"F-",IF(H224&lt;'PlayerGrades+'!$AC$20,"F",IF(H224&lt;'PlayerGrades+'!$AC$19,"F+",IF(H224&lt;'PlayerGrades+'!$AC$18,"E-",IF(H224&lt;'PlayerGrades+'!$AC$17,"E",IF(H224&lt;'PlayerGrades+'!$AC$16,"E+",IF(H224&lt;'PlayerGrades+'!$AC$15,"D-",IF(H224&lt;'PlayerGrades+'!$AC$14,"D",IF(H224&lt;'PlayerGrades+'!$AC$13,"D+",IF(H224&lt;'PlayerGrades+'!$AC$12,"C-",IF(H224&lt;'PlayerGrades+'!$AC$11,"C",IF(H224&lt;'PlayerGrades+'!$AC$10,"C+",IF(H224&lt;'PlayerGrades+'!$AC$9,"B-",IF(H224&lt;'PlayerGrades+'!$AC$8,"B",IF(H224&lt;'PlayerGrades+'!$AC$7,"B+",IF(H224&lt;'PlayerGrades+'!$AC$6,"A-",IF(H224&lt;'PlayerGrades+'!$AC$5,"A",IF(H224&lt;'PlayerGrades+'!$AC$4,"A+",IF(H224&lt;'PlayerGrades+'!$AC$3,"S-",IF(H224&lt;'PlayerGrades+'!$AC$2,"S","S+"))))))))))))))))))))</f>
        <v>#DIV/0!</v>
      </c>
      <c r="J224" s="961" t="str">
        <f t="shared" si="4"/>
        <v>#DIV/0!</v>
      </c>
      <c r="K224" s="961" t="str">
        <f>IF(J224&lt;'PlayerGrades+'!$AD$21,"F-",IF(J224&lt;'PlayerGrades+'!$AD$20,"F",IF(J224&lt;'PlayerGrades+'!$AD$19,"F+",IF(J224&lt;'PlayerGrades+'!$AD$18,"E-",IF(J224&lt;'PlayerGrades+'!$AD$17,"E",IF(J224&lt;'PlayerGrades+'!$AD$16,"E+",IF(J224&lt;'PlayerGrades+'!$AD$15,"D-",IF(J224&lt;'PlayerGrades+'!$AD$14,"D",IF(J224&lt;'PlayerGrades+'!$AD$13,"D+",IF(J224&lt;'PlayerGrades+'!$AD$12,"C-",IF(J224&lt;'PlayerGrades+'!$AD$11,"C",IF(J224&lt;'PlayerGrades+'!$AD$10,"C+",IF(J224&lt;'PlayerGrades+'!$AD$9,"B-",IF(J224&lt;'PlayerGrades+'!$AD$8,"B",IF(J224&lt;'PlayerGrades+'!$AD$7,"B+",IF(J224&lt;'PlayerGrades+'!$AD$6,"A-",IF(J224&lt;'PlayerGrades+'!$AD$5,"A",IF(J224&lt;'PlayerGrades+'!$AD$4,"A+",IF(J224&lt;'PlayerGrades+'!$AD$3,"S-",IF(J224&lt;'PlayerGrades+'!$AD$2,"S","S+"))))))))))))))))))))</f>
        <v>#DIV/0!</v>
      </c>
      <c r="L224" s="1176" t="str">
        <f t="shared" si="5"/>
        <v>#DIV/0!</v>
      </c>
      <c r="M224" s="992" t="str">
        <f>IF(L224&lt;'PlayerGrades+'!$AE$21,"F-",IF(L224&lt;'PlayerGrades+'!$AE$20,"F",IF(L224&lt;'PlayerGrades+'!$AE$19,"F+",IF(L224&lt;'PlayerGrades+'!$AE$18,"E-",IF(L224&lt;'PlayerGrades+'!$AE$17,"E",IF(L224&lt;'PlayerGrades+'!$AE$16,"E+",IF(L224&lt;'PlayerGrades+'!$AE$15,"D-",IF(L224&lt;'PlayerGrades+'!$AE$14,"D",IF(L224&lt;'PlayerGrades+'!$AE$13,"D+",IF(L224&lt;'PlayerGrades+'!$AE$12,"C-",IF(L224&lt;'PlayerGrades+'!$AE$11,"C",IF(L224&lt;'PlayerGrades+'!$AE$10,"C+",IF(L224&lt;'PlayerGrades+'!$AE$9,"B-",IF(L224&lt;'PlayerGrades+'!$AE$8,"B",IF(L224&lt;'PlayerGrades+'!$AE$7,"B+",IF(L224&lt;'PlayerGrades+'!$AE$6,"A-",IF(L224&lt;'PlayerGrades+'!$AE$5,"A",IF(L224&lt;'PlayerGrades+'!$AE$4,"A+",IF(L224&lt;'PlayerGrades+'!$AE$3,"S-",IF(L224&lt;'PlayerGrades+'!$AE$2,"S","S+"))))))))))))))))))))</f>
        <v>#DIV/0!</v>
      </c>
      <c r="N224" s="961" t="str">
        <f t="shared" si="6"/>
        <v>#DIV/0!</v>
      </c>
      <c r="O224" s="961" t="str">
        <f>IF(N224&lt;'PlayerGrades+'!$AF$21,"F-",IF(N224&lt;'PlayerGrades+'!$AF$20,"F",IF(N224&lt;'PlayerGrades+'!$AF$19,"F+",IF(N224&lt;'PlayerGrades+'!$AF$18,"E-",IF(N224&lt;'PlayerGrades+'!$AF$17,"E",IF(N224&lt;'PlayerGrades+'!$AF$16,"E+",IF(N224&lt;'PlayerGrades+'!$AF$15,"D-",IF(N224&lt;'PlayerGrades+'!$AF$14,"D",IF(N224&lt;'PlayerGrades+'!$AF$13,"D+",IF(N224&lt;'PlayerGrades+'!$AF$12,"C-",IF(N224&lt;'PlayerGrades+'!$AF$11,"C",IF(N224&lt;'PlayerGrades+'!$AF$10,"C+",IF(N224&lt;'PlayerGrades+'!$AF$9,"B-",IF(N224&lt;'PlayerGrades+'!$AF$8,"B",IF(N224&lt;'PlayerGrades+'!$AF$7,"B+",IF(N224&lt;'PlayerGrades+'!$AF$6,"A-",IF(N224&lt;'PlayerGrades+'!$AF$5,"A",IF(N224&lt;'PlayerGrades+'!$AF$4,"A+",IF(N224&lt;'PlayerGrades+'!$AF$3,"S-",IF(N224&lt;'PlayerGrades+'!$AF$2,"S","S+"))))))))))))))))))))</f>
        <v>#DIV/0!</v>
      </c>
      <c r="P224" s="961" t="str">
        <f t="shared" si="7"/>
        <v>#DIV/0!</v>
      </c>
      <c r="Q224" s="961" t="str">
        <f>IF(P224&lt;'PlayerGrades+'!$AG$21,"F-",IF(P224&lt;'PlayerGrades+'!$AG$20,"F",IF(P224&lt;'PlayerGrades+'!$AG$19,"F+",IF(P224&lt;'PlayerGrades+'!$AG$18,"E-",IF(P224&lt;'PlayerGrades+'!$AG$17,"E",IF(P224&lt;'PlayerGrades+'!$AG$16,"E+",IF(P224&lt;'PlayerGrades+'!$AG$15,"D-",IF(P224&lt;'PlayerGrades+'!$AG$14,"D",IF(P224&lt;'PlayerGrades+'!$AG$13,"D+",IF(P224&lt;'PlayerGrades+'!$AG$12,"C-",IF(P224&lt;'PlayerGrades+'!$AG$11,"C",IF(P224&lt;'PlayerGrades+'!$AG$10,"C+",IF(P224&lt;'PlayerGrades+'!$AG$9,"B-",IF(P224&lt;'PlayerGrades+'!$AG$8,"B",IF(P224&lt;'PlayerGrades+'!$AG$7,"B+",IF(P224&lt;'PlayerGrades+'!$AG$6,"A-",IF(P224&lt;'PlayerGrades+'!$AG$5,"A",IF(P224&lt;'PlayerGrades+'!$AG$4,"A+",IF(P224&lt;'PlayerGrades+'!$AG$3,"S-",IF(P224&lt;'PlayerGrades+'!$AG$2,"S","S+"))))))))))))))))))))</f>
        <v>#DIV/0!</v>
      </c>
      <c r="R224" s="961" t="str">
        <f t="shared" si="8"/>
        <v>#DIV/0!</v>
      </c>
      <c r="S224" s="961" t="str">
        <f>IF(R224&lt;'PlayerGrades+'!$AH$21,"F-",IF(R224&lt;'PlayerGrades+'!$AH$20,"F",IF(R224&lt;'PlayerGrades+'!$AH$19,"F+",IF(R224&lt;'PlayerGrades+'!$AH$18,"E-",IF(R224&lt;'PlayerGrades+'!$AH$17,"E",IF(R224&lt;'PlayerGrades+'!$AH$16,"E+",IF(R224&lt;'PlayerGrades+'!$AH$15,"D-",IF(R224&lt;'PlayerGrades+'!$AH$14,"D",IF(R224&lt;'PlayerGrades+'!$AH$13,"D+",IF(R224&lt;'PlayerGrades+'!$AH$12,"C-",IF(R224&lt;'PlayerGrades+'!$AH$11,"C",IF(R224&lt;'PlayerGrades+'!$AH$10,"C+",IF(R224&lt;'PlayerGrades+'!$AH$9,"B-",IF(R224&lt;'PlayerGrades+'!$AH$8,"B",IF(R224&lt;'PlayerGrades+'!$AH$7,"B+",IF(R224&lt;'PlayerGrades+'!$AH$6,"A-",IF(R224&lt;'PlayerGrades+'!$AH$5,"A",IF(R224&lt;'PlayerGrades+'!$AH$4,"A+",IF(R224&lt;'PlayerGrades+'!$AH$3,"S-",IF(R224&lt;'PlayerGrades+'!$AH$2,"S","S+"))))))))))))))))))))</f>
        <v>#DIV/0!</v>
      </c>
      <c r="T224" s="961">
        <f t="shared" si="9"/>
        <v>0</v>
      </c>
      <c r="U224" s="961" t="str">
        <f>IF(T224&lt;'PlayerGrades+'!$AI$21,"F-",IF(T224&lt;'PlayerGrades+'!$AI$20,"F",IF(T224&lt;'PlayerGrades+'!$AI$19,"F+",IF(T224&lt;'PlayerGrades+'!$AI$18,"E-",IF(T224&lt;'PlayerGrades+'!$AI$17,"E",IF(T224&lt;'PlayerGrades+'!$AI$16,"E+",IF(T224&lt;'PlayerGrades+'!$AI$15,"D-",IF(T224&lt;'PlayerGrades+'!$AI$14,"D",IF(T224&lt;'PlayerGrades+'!$AI$13,"D+",IF(T224&lt;'PlayerGrades+'!$AI$12,"C-",IF(T224&lt;'PlayerGrades+'!$AI$11,"C",IF(T224&lt;'PlayerGrades+'!$AI$10,"C+",IF(T224&lt;'PlayerGrades+'!$AI$9,"B-",IF(T224&lt;'PlayerGrades+'!$AI$8,"B",IF(T224&lt;'PlayerGrades+'!$AI$7,"B+",IF(T224&lt;'PlayerGrades+'!$AI$6,"A-",IF(T224&lt;'PlayerGrades+'!$AI$5,"A",IF(T224&lt;'PlayerGrades+'!$AI$4,"A+",IF(T224&lt;'PlayerGrades+'!$AI$3,"S-",IF(T224&lt;'PlayerGrades+'!$AI$2,"S","S+"))))))))))))))))))))</f>
        <v>F-</v>
      </c>
      <c r="AC224" s="1392"/>
    </row>
    <row r="225">
      <c r="A225" s="1393"/>
      <c r="B225" s="611" t="str">
        <f>IF(C225&lt;'PlayerGrades+'!$Y$44,"F-",IF(C225&lt;'PlayerGrades+'!$Y$43,"F",IF(C225&lt;'PlayerGrades+'!$Y$42,"F+",IF(C225&lt;'PlayerGrades+'!$Y$41,"E-",IF(C225&lt;'PlayerGrades+'!$Y$40,"E",IF(C225&lt;'PlayerGrades+'!$Y$39,"E+",IF(C225&lt;'PlayerGrades+'!$Y$38,"D-",IF(C225&lt;'PlayerGrades+'!$Y$37,"D",IF(C225&lt;'PlayerGrades+'!$Y$36,"D+",IF(C225&lt;'PlayerGrades+'!$Y$35,"C-",IF(C225&lt;'PlayerGrades+'!$Y$34,"C",IF(C225&lt;'PlayerGrades+'!$Y$33,"C+",IF(C225&lt;'PlayerGrades+'!$Y$32,"B-",IF(C225&lt;'PlayerGrades+'!$Y$31,"B",IF(C225&lt;'PlayerGrades+'!$Y$30,"B+",IF(C225&lt;'PlayerGrades+'!$Y$29,"A-",IF(C225&lt;'PlayerGrades+'!$Y$28,"A",IF(C225&lt;'PlayerGrades+'!$Y$27,"A+",IF(C225&lt;'PlayerGrades+'!$Y$26,"S-",IF(C225&lt;'PlayerGrades+'!$Y$25,"S","S+"))))))))))))))))))))</f>
        <v>#DIV/0!</v>
      </c>
      <c r="C225" s="1378" t="str">
        <f>('PlayerGrades+'!$Y$47*(VLOOKUP(E225, 'PlayerGrades+'!$X$3:$Y$23, 2, FALSE)))+('PlayerGrades+'!$Y$48*(VLOOKUP(G225, 'PlayerGrades+'!$X$3:$Y$23, 2, FALSE)))+('PlayerGrades+'!$Y$49*(VLOOKUP(I225, 'PlayerGrades+'!$X$3:$Y$23, 2, FALSE)))+('PlayerGrades+'!$Y$50*(VLOOKUP(K225, 'PlayerGrades+'!$X$3:$Y$23, 2, FALSE)))+('PlayerGrades+'!$Y$51*(VLOOKUP(M225, 'PlayerGrades+'!$X$3:$Y$23, 2, FALSE)))+('PlayerGrades+'!$Y$52*(VLOOKUP(O225, 'PlayerGrades+'!$X$3:$Y$23, 2, FALSE)))+('PlayerGrades+'!$Y$53*(VLOOKUP(Q225, 'PlayerGrades+'!$X$3:$Y$23, 2, FALSE)))+('PlayerGrades+'!$Y$54*(VLOOKUP(S225, 'PlayerGrades+'!$X$3:$Y$23, 2, FALSE)))+('PlayerGrades+'!$Y$55*(VLOOKUP(U225, 'PlayerGrades+'!$X$3:$Y$23, 2, FALSE)))</f>
        <v>#DIV/0!</v>
      </c>
      <c r="D225" s="961" t="str">
        <f t="shared" si="1"/>
        <v>#DIV/0!</v>
      </c>
      <c r="E225" s="961" t="str">
        <f>IF(D225&lt;'PlayerGrades+'!$AA$21,"F-",IF(D225&lt;'PlayerGrades+'!$AA$20,"F",IF(D225&lt;'PlayerGrades+'!$AA$19,"F+",IF(D225&lt;'PlayerGrades+'!$AA$18,"E-",IF(D225&lt;'PlayerGrades+'!$AA$17,"E",IF(D225&lt;'PlayerGrades+'!$AA$16,"E+",IF(D225&lt;'PlayerGrades+'!$AA$15,"D-",IF(D225&lt;'PlayerGrades+'!$AA$14,"D",IF(D225&lt;'PlayerGrades+'!$AA$13,"D+",IF(D225&lt;'PlayerGrades+'!$AA$12,"C-",IF(D225&lt;'PlayerGrades+'!$AA$11,"C",IF(D225&lt;'PlayerGrades+'!$AA$10,"C+",IF(D225&lt;'PlayerGrades+'!$AA$9,"B-",IF(D225&lt;'PlayerGrades+'!$AA$8,"B",IF(D225&lt;'PlayerGrades+'!$AA$7,"B+",IF(D225&lt;'PlayerGrades+'!$AA$6,"A-",IF(D225&lt;'PlayerGrades+'!$AA$5,"A",IF(D225&lt;'PlayerGrades+'!$AA$4,"A+",IF(D225&lt;'PlayerGrades+'!$AA$3,"S-",IF(D225&lt;'PlayerGrades+'!$AA$2,"S","S+"))))))))))))))))))))</f>
        <v>#DIV/0!</v>
      </c>
      <c r="F225" s="961" t="str">
        <f t="shared" si="2"/>
        <v>#DIV/0!</v>
      </c>
      <c r="G225" s="961" t="str">
        <f>IF(F225&lt;'PlayerGrades+'!$AB$21,"F-",IF(F225&lt;'PlayerGrades+'!$AB$20,"F",IF(F225&lt;'PlayerGrades+'!$AB$19,"F+",IF(F225&lt;'PlayerGrades+'!$AB$18,"E-",IF(F225&lt;'PlayerGrades+'!$AB$17,"E",IF(F225&lt;'PlayerGrades+'!$AB$16,"E+",IF(F225&lt;'PlayerGrades+'!$AB$15,"D-",IF(F225&lt;'PlayerGrades+'!$AB$14,"D",IF(F225&lt;'PlayerGrades+'!$AB$13,"D+",IF(F225&lt;'PlayerGrades+'!$AB$12,"C-",IF(F225&lt;'PlayerGrades+'!$AB$11,"C",IF(F225&lt;'PlayerGrades+'!$AB$10,"C+",IF(F225&lt;'PlayerGrades+'!$AB$9,"B-",IF(F225&lt;'PlayerGrades+'!$AB$8,"B",IF(F225&lt;'PlayerGrades+'!$AB$7,"B+",IF(F225&lt;'PlayerGrades+'!$AB$6,"A-",IF(F225&lt;'PlayerGrades+'!$AB$5,"A",IF(F225&lt;'PlayerGrades+'!$AB$4,"A+",IF(F225&lt;'PlayerGrades+'!$AB$3,"S-",IF(F225&lt;'PlayerGrades+'!$AB$2,"S","S+"))))))))))))))))))))</f>
        <v>#DIV/0!</v>
      </c>
      <c r="H225" s="961" t="str">
        <f t="shared" si="3"/>
        <v>#DIV/0!</v>
      </c>
      <c r="I225" s="961" t="str">
        <f>IF(H225&lt;'PlayerGrades+'!$AC$21,"F-",IF(H225&lt;'PlayerGrades+'!$AC$20,"F",IF(H225&lt;'PlayerGrades+'!$AC$19,"F+",IF(H225&lt;'PlayerGrades+'!$AC$18,"E-",IF(H225&lt;'PlayerGrades+'!$AC$17,"E",IF(H225&lt;'PlayerGrades+'!$AC$16,"E+",IF(H225&lt;'PlayerGrades+'!$AC$15,"D-",IF(H225&lt;'PlayerGrades+'!$AC$14,"D",IF(H225&lt;'PlayerGrades+'!$AC$13,"D+",IF(H225&lt;'PlayerGrades+'!$AC$12,"C-",IF(H225&lt;'PlayerGrades+'!$AC$11,"C",IF(H225&lt;'PlayerGrades+'!$AC$10,"C+",IF(H225&lt;'PlayerGrades+'!$AC$9,"B-",IF(H225&lt;'PlayerGrades+'!$AC$8,"B",IF(H225&lt;'PlayerGrades+'!$AC$7,"B+",IF(H225&lt;'PlayerGrades+'!$AC$6,"A-",IF(H225&lt;'PlayerGrades+'!$AC$5,"A",IF(H225&lt;'PlayerGrades+'!$AC$4,"A+",IF(H225&lt;'PlayerGrades+'!$AC$3,"S-",IF(H225&lt;'PlayerGrades+'!$AC$2,"S","S+"))))))))))))))))))))</f>
        <v>#DIV/0!</v>
      </c>
      <c r="J225" s="961" t="str">
        <f t="shared" si="4"/>
        <v>#DIV/0!</v>
      </c>
      <c r="K225" s="961" t="str">
        <f>IF(J225&lt;'PlayerGrades+'!$AD$21,"F-",IF(J225&lt;'PlayerGrades+'!$AD$20,"F",IF(J225&lt;'PlayerGrades+'!$AD$19,"F+",IF(J225&lt;'PlayerGrades+'!$AD$18,"E-",IF(J225&lt;'PlayerGrades+'!$AD$17,"E",IF(J225&lt;'PlayerGrades+'!$AD$16,"E+",IF(J225&lt;'PlayerGrades+'!$AD$15,"D-",IF(J225&lt;'PlayerGrades+'!$AD$14,"D",IF(J225&lt;'PlayerGrades+'!$AD$13,"D+",IF(J225&lt;'PlayerGrades+'!$AD$12,"C-",IF(J225&lt;'PlayerGrades+'!$AD$11,"C",IF(J225&lt;'PlayerGrades+'!$AD$10,"C+",IF(J225&lt;'PlayerGrades+'!$AD$9,"B-",IF(J225&lt;'PlayerGrades+'!$AD$8,"B",IF(J225&lt;'PlayerGrades+'!$AD$7,"B+",IF(J225&lt;'PlayerGrades+'!$AD$6,"A-",IF(J225&lt;'PlayerGrades+'!$AD$5,"A",IF(J225&lt;'PlayerGrades+'!$AD$4,"A+",IF(J225&lt;'PlayerGrades+'!$AD$3,"S-",IF(J225&lt;'PlayerGrades+'!$AD$2,"S","S+"))))))))))))))))))))</f>
        <v>#DIV/0!</v>
      </c>
      <c r="L225" s="1176" t="str">
        <f t="shared" si="5"/>
        <v>#DIV/0!</v>
      </c>
      <c r="M225" s="992" t="str">
        <f>IF(L225&lt;'PlayerGrades+'!$AE$21,"F-",IF(L225&lt;'PlayerGrades+'!$AE$20,"F",IF(L225&lt;'PlayerGrades+'!$AE$19,"F+",IF(L225&lt;'PlayerGrades+'!$AE$18,"E-",IF(L225&lt;'PlayerGrades+'!$AE$17,"E",IF(L225&lt;'PlayerGrades+'!$AE$16,"E+",IF(L225&lt;'PlayerGrades+'!$AE$15,"D-",IF(L225&lt;'PlayerGrades+'!$AE$14,"D",IF(L225&lt;'PlayerGrades+'!$AE$13,"D+",IF(L225&lt;'PlayerGrades+'!$AE$12,"C-",IF(L225&lt;'PlayerGrades+'!$AE$11,"C",IF(L225&lt;'PlayerGrades+'!$AE$10,"C+",IF(L225&lt;'PlayerGrades+'!$AE$9,"B-",IF(L225&lt;'PlayerGrades+'!$AE$8,"B",IF(L225&lt;'PlayerGrades+'!$AE$7,"B+",IF(L225&lt;'PlayerGrades+'!$AE$6,"A-",IF(L225&lt;'PlayerGrades+'!$AE$5,"A",IF(L225&lt;'PlayerGrades+'!$AE$4,"A+",IF(L225&lt;'PlayerGrades+'!$AE$3,"S-",IF(L225&lt;'PlayerGrades+'!$AE$2,"S","S+"))))))))))))))))))))</f>
        <v>#DIV/0!</v>
      </c>
      <c r="N225" s="961" t="str">
        <f t="shared" si="6"/>
        <v>#DIV/0!</v>
      </c>
      <c r="O225" s="961" t="str">
        <f>IF(N225&lt;'PlayerGrades+'!$AF$21,"F-",IF(N225&lt;'PlayerGrades+'!$AF$20,"F",IF(N225&lt;'PlayerGrades+'!$AF$19,"F+",IF(N225&lt;'PlayerGrades+'!$AF$18,"E-",IF(N225&lt;'PlayerGrades+'!$AF$17,"E",IF(N225&lt;'PlayerGrades+'!$AF$16,"E+",IF(N225&lt;'PlayerGrades+'!$AF$15,"D-",IF(N225&lt;'PlayerGrades+'!$AF$14,"D",IF(N225&lt;'PlayerGrades+'!$AF$13,"D+",IF(N225&lt;'PlayerGrades+'!$AF$12,"C-",IF(N225&lt;'PlayerGrades+'!$AF$11,"C",IF(N225&lt;'PlayerGrades+'!$AF$10,"C+",IF(N225&lt;'PlayerGrades+'!$AF$9,"B-",IF(N225&lt;'PlayerGrades+'!$AF$8,"B",IF(N225&lt;'PlayerGrades+'!$AF$7,"B+",IF(N225&lt;'PlayerGrades+'!$AF$6,"A-",IF(N225&lt;'PlayerGrades+'!$AF$5,"A",IF(N225&lt;'PlayerGrades+'!$AF$4,"A+",IF(N225&lt;'PlayerGrades+'!$AF$3,"S-",IF(N225&lt;'PlayerGrades+'!$AF$2,"S","S+"))))))))))))))))))))</f>
        <v>#DIV/0!</v>
      </c>
      <c r="P225" s="961" t="str">
        <f t="shared" si="7"/>
        <v>#DIV/0!</v>
      </c>
      <c r="Q225" s="961" t="str">
        <f>IF(P225&lt;'PlayerGrades+'!$AG$21,"F-",IF(P225&lt;'PlayerGrades+'!$AG$20,"F",IF(P225&lt;'PlayerGrades+'!$AG$19,"F+",IF(P225&lt;'PlayerGrades+'!$AG$18,"E-",IF(P225&lt;'PlayerGrades+'!$AG$17,"E",IF(P225&lt;'PlayerGrades+'!$AG$16,"E+",IF(P225&lt;'PlayerGrades+'!$AG$15,"D-",IF(P225&lt;'PlayerGrades+'!$AG$14,"D",IF(P225&lt;'PlayerGrades+'!$AG$13,"D+",IF(P225&lt;'PlayerGrades+'!$AG$12,"C-",IF(P225&lt;'PlayerGrades+'!$AG$11,"C",IF(P225&lt;'PlayerGrades+'!$AG$10,"C+",IF(P225&lt;'PlayerGrades+'!$AG$9,"B-",IF(P225&lt;'PlayerGrades+'!$AG$8,"B",IF(P225&lt;'PlayerGrades+'!$AG$7,"B+",IF(P225&lt;'PlayerGrades+'!$AG$6,"A-",IF(P225&lt;'PlayerGrades+'!$AG$5,"A",IF(P225&lt;'PlayerGrades+'!$AG$4,"A+",IF(P225&lt;'PlayerGrades+'!$AG$3,"S-",IF(P225&lt;'PlayerGrades+'!$AG$2,"S","S+"))))))))))))))))))))</f>
        <v>#DIV/0!</v>
      </c>
      <c r="R225" s="961" t="str">
        <f t="shared" si="8"/>
        <v>#DIV/0!</v>
      </c>
      <c r="S225" s="961" t="str">
        <f>IF(R225&lt;'PlayerGrades+'!$AH$21,"F-",IF(R225&lt;'PlayerGrades+'!$AH$20,"F",IF(R225&lt;'PlayerGrades+'!$AH$19,"F+",IF(R225&lt;'PlayerGrades+'!$AH$18,"E-",IF(R225&lt;'PlayerGrades+'!$AH$17,"E",IF(R225&lt;'PlayerGrades+'!$AH$16,"E+",IF(R225&lt;'PlayerGrades+'!$AH$15,"D-",IF(R225&lt;'PlayerGrades+'!$AH$14,"D",IF(R225&lt;'PlayerGrades+'!$AH$13,"D+",IF(R225&lt;'PlayerGrades+'!$AH$12,"C-",IF(R225&lt;'PlayerGrades+'!$AH$11,"C",IF(R225&lt;'PlayerGrades+'!$AH$10,"C+",IF(R225&lt;'PlayerGrades+'!$AH$9,"B-",IF(R225&lt;'PlayerGrades+'!$AH$8,"B",IF(R225&lt;'PlayerGrades+'!$AH$7,"B+",IF(R225&lt;'PlayerGrades+'!$AH$6,"A-",IF(R225&lt;'PlayerGrades+'!$AH$5,"A",IF(R225&lt;'PlayerGrades+'!$AH$4,"A+",IF(R225&lt;'PlayerGrades+'!$AH$3,"S-",IF(R225&lt;'PlayerGrades+'!$AH$2,"S","S+"))))))))))))))))))))</f>
        <v>#DIV/0!</v>
      </c>
      <c r="T225" s="961">
        <f t="shared" si="9"/>
        <v>0</v>
      </c>
      <c r="U225" s="961" t="str">
        <f>IF(T225&lt;'PlayerGrades+'!$AI$21,"F-",IF(T225&lt;'PlayerGrades+'!$AI$20,"F",IF(T225&lt;'PlayerGrades+'!$AI$19,"F+",IF(T225&lt;'PlayerGrades+'!$AI$18,"E-",IF(T225&lt;'PlayerGrades+'!$AI$17,"E",IF(T225&lt;'PlayerGrades+'!$AI$16,"E+",IF(T225&lt;'PlayerGrades+'!$AI$15,"D-",IF(T225&lt;'PlayerGrades+'!$AI$14,"D",IF(T225&lt;'PlayerGrades+'!$AI$13,"D+",IF(T225&lt;'PlayerGrades+'!$AI$12,"C-",IF(T225&lt;'PlayerGrades+'!$AI$11,"C",IF(T225&lt;'PlayerGrades+'!$AI$10,"C+",IF(T225&lt;'PlayerGrades+'!$AI$9,"B-",IF(T225&lt;'PlayerGrades+'!$AI$8,"B",IF(T225&lt;'PlayerGrades+'!$AI$7,"B+",IF(T225&lt;'PlayerGrades+'!$AI$6,"A-",IF(T225&lt;'PlayerGrades+'!$AI$5,"A",IF(T225&lt;'PlayerGrades+'!$AI$4,"A+",IF(T225&lt;'PlayerGrades+'!$AI$3,"S-",IF(T225&lt;'PlayerGrades+'!$AI$2,"S","S+"))))))))))))))))))))</f>
        <v>F-</v>
      </c>
      <c r="V225" s="1386"/>
      <c r="W225" s="1386"/>
      <c r="X225" s="1386"/>
      <c r="Y225" s="1386"/>
      <c r="Z225" s="1386"/>
      <c r="AA225" s="1386"/>
      <c r="AB225" s="1386"/>
      <c r="AC225" s="1397"/>
      <c r="AD225" s="1386"/>
      <c r="AE225" s="1386"/>
      <c r="AF225" s="1386"/>
      <c r="AG225" s="1386"/>
      <c r="AH225" s="1386"/>
      <c r="AI225" s="1386"/>
      <c r="AJ225" s="1386"/>
      <c r="AK225" s="1386"/>
      <c r="AL225" s="1386"/>
      <c r="AM225" s="1386"/>
      <c r="AN225" s="1386"/>
      <c r="AO225" s="1386"/>
      <c r="AP225" s="1386"/>
      <c r="AQ225" s="1386"/>
      <c r="AR225" s="1386"/>
      <c r="AS225" s="1386"/>
      <c r="AT225" s="1386"/>
      <c r="AU225" s="1386"/>
      <c r="AV225" s="1386"/>
      <c r="AW225" s="1386"/>
      <c r="AX225" s="1386"/>
      <c r="AY225" s="1386"/>
      <c r="AZ225" s="1386"/>
    </row>
    <row r="226">
      <c r="A226" s="1389"/>
      <c r="B226" s="611" t="str">
        <f>IF(C226&lt;'PlayerGrades+'!$Y$44,"F-",IF(C226&lt;'PlayerGrades+'!$Y$43,"F",IF(C226&lt;'PlayerGrades+'!$Y$42,"F+",IF(C226&lt;'PlayerGrades+'!$Y$41,"E-",IF(C226&lt;'PlayerGrades+'!$Y$40,"E",IF(C226&lt;'PlayerGrades+'!$Y$39,"E+",IF(C226&lt;'PlayerGrades+'!$Y$38,"D-",IF(C226&lt;'PlayerGrades+'!$Y$37,"D",IF(C226&lt;'PlayerGrades+'!$Y$36,"D+",IF(C226&lt;'PlayerGrades+'!$Y$35,"C-",IF(C226&lt;'PlayerGrades+'!$Y$34,"C",IF(C226&lt;'PlayerGrades+'!$Y$33,"C+",IF(C226&lt;'PlayerGrades+'!$Y$32,"B-",IF(C226&lt;'PlayerGrades+'!$Y$31,"B",IF(C226&lt;'PlayerGrades+'!$Y$30,"B+",IF(C226&lt;'PlayerGrades+'!$Y$29,"A-",IF(C226&lt;'PlayerGrades+'!$Y$28,"A",IF(C226&lt;'PlayerGrades+'!$Y$27,"A+",IF(C226&lt;'PlayerGrades+'!$Y$26,"S-",IF(C226&lt;'PlayerGrades+'!$Y$25,"S","S+"))))))))))))))))))))</f>
        <v>#DIV/0!</v>
      </c>
      <c r="C226" s="1378" t="str">
        <f>('PlayerGrades+'!$Y$47*(VLOOKUP(E226, 'PlayerGrades+'!$X$3:$Y$23, 2, FALSE)))+('PlayerGrades+'!$Y$48*(VLOOKUP(G226, 'PlayerGrades+'!$X$3:$Y$23, 2, FALSE)))+('PlayerGrades+'!$Y$49*(VLOOKUP(I226, 'PlayerGrades+'!$X$3:$Y$23, 2, FALSE)))+('PlayerGrades+'!$Y$50*(VLOOKUP(K226, 'PlayerGrades+'!$X$3:$Y$23, 2, FALSE)))+('PlayerGrades+'!$Y$51*(VLOOKUP(M226, 'PlayerGrades+'!$X$3:$Y$23, 2, FALSE)))+('PlayerGrades+'!$Y$52*(VLOOKUP(O226, 'PlayerGrades+'!$X$3:$Y$23, 2, FALSE)))+('PlayerGrades+'!$Y$53*(VLOOKUP(Q226, 'PlayerGrades+'!$X$3:$Y$23, 2, FALSE)))+('PlayerGrades+'!$Y$54*(VLOOKUP(S226, 'PlayerGrades+'!$X$3:$Y$23, 2, FALSE)))+('PlayerGrades+'!$Y$55*(VLOOKUP(U226, 'PlayerGrades+'!$X$3:$Y$23, 2, FALSE)))</f>
        <v>#DIV/0!</v>
      </c>
      <c r="D226" s="961" t="str">
        <f t="shared" si="1"/>
        <v>#DIV/0!</v>
      </c>
      <c r="E226" s="961" t="str">
        <f>IF(D226&lt;'PlayerGrades+'!$AA$21,"F-",IF(D226&lt;'PlayerGrades+'!$AA$20,"F",IF(D226&lt;'PlayerGrades+'!$AA$19,"F+",IF(D226&lt;'PlayerGrades+'!$AA$18,"E-",IF(D226&lt;'PlayerGrades+'!$AA$17,"E",IF(D226&lt;'PlayerGrades+'!$AA$16,"E+",IF(D226&lt;'PlayerGrades+'!$AA$15,"D-",IF(D226&lt;'PlayerGrades+'!$AA$14,"D",IF(D226&lt;'PlayerGrades+'!$AA$13,"D+",IF(D226&lt;'PlayerGrades+'!$AA$12,"C-",IF(D226&lt;'PlayerGrades+'!$AA$11,"C",IF(D226&lt;'PlayerGrades+'!$AA$10,"C+",IF(D226&lt;'PlayerGrades+'!$AA$9,"B-",IF(D226&lt;'PlayerGrades+'!$AA$8,"B",IF(D226&lt;'PlayerGrades+'!$AA$7,"B+",IF(D226&lt;'PlayerGrades+'!$AA$6,"A-",IF(D226&lt;'PlayerGrades+'!$AA$5,"A",IF(D226&lt;'PlayerGrades+'!$AA$4,"A+",IF(D226&lt;'PlayerGrades+'!$AA$3,"S-",IF(D226&lt;'PlayerGrades+'!$AA$2,"S","S+"))))))))))))))))))))</f>
        <v>#DIV/0!</v>
      </c>
      <c r="F226" s="961" t="str">
        <f t="shared" si="2"/>
        <v>#DIV/0!</v>
      </c>
      <c r="G226" s="961" t="str">
        <f>IF(F226&lt;'PlayerGrades+'!$AB$21,"F-",IF(F226&lt;'PlayerGrades+'!$AB$20,"F",IF(F226&lt;'PlayerGrades+'!$AB$19,"F+",IF(F226&lt;'PlayerGrades+'!$AB$18,"E-",IF(F226&lt;'PlayerGrades+'!$AB$17,"E",IF(F226&lt;'PlayerGrades+'!$AB$16,"E+",IF(F226&lt;'PlayerGrades+'!$AB$15,"D-",IF(F226&lt;'PlayerGrades+'!$AB$14,"D",IF(F226&lt;'PlayerGrades+'!$AB$13,"D+",IF(F226&lt;'PlayerGrades+'!$AB$12,"C-",IF(F226&lt;'PlayerGrades+'!$AB$11,"C",IF(F226&lt;'PlayerGrades+'!$AB$10,"C+",IF(F226&lt;'PlayerGrades+'!$AB$9,"B-",IF(F226&lt;'PlayerGrades+'!$AB$8,"B",IF(F226&lt;'PlayerGrades+'!$AB$7,"B+",IF(F226&lt;'PlayerGrades+'!$AB$6,"A-",IF(F226&lt;'PlayerGrades+'!$AB$5,"A",IF(F226&lt;'PlayerGrades+'!$AB$4,"A+",IF(F226&lt;'PlayerGrades+'!$AB$3,"S-",IF(F226&lt;'PlayerGrades+'!$AB$2,"S","S+"))))))))))))))))))))</f>
        <v>#DIV/0!</v>
      </c>
      <c r="H226" s="961" t="str">
        <f t="shared" si="3"/>
        <v>#DIV/0!</v>
      </c>
      <c r="I226" s="961" t="str">
        <f>IF(H226&lt;'PlayerGrades+'!$AC$21,"F-",IF(H226&lt;'PlayerGrades+'!$AC$20,"F",IF(H226&lt;'PlayerGrades+'!$AC$19,"F+",IF(H226&lt;'PlayerGrades+'!$AC$18,"E-",IF(H226&lt;'PlayerGrades+'!$AC$17,"E",IF(H226&lt;'PlayerGrades+'!$AC$16,"E+",IF(H226&lt;'PlayerGrades+'!$AC$15,"D-",IF(H226&lt;'PlayerGrades+'!$AC$14,"D",IF(H226&lt;'PlayerGrades+'!$AC$13,"D+",IF(H226&lt;'PlayerGrades+'!$AC$12,"C-",IF(H226&lt;'PlayerGrades+'!$AC$11,"C",IF(H226&lt;'PlayerGrades+'!$AC$10,"C+",IF(H226&lt;'PlayerGrades+'!$AC$9,"B-",IF(H226&lt;'PlayerGrades+'!$AC$8,"B",IF(H226&lt;'PlayerGrades+'!$AC$7,"B+",IF(H226&lt;'PlayerGrades+'!$AC$6,"A-",IF(H226&lt;'PlayerGrades+'!$AC$5,"A",IF(H226&lt;'PlayerGrades+'!$AC$4,"A+",IF(H226&lt;'PlayerGrades+'!$AC$3,"S-",IF(H226&lt;'PlayerGrades+'!$AC$2,"S","S+"))))))))))))))))))))</f>
        <v>#DIV/0!</v>
      </c>
      <c r="J226" s="961" t="str">
        <f t="shared" si="4"/>
        <v>#DIV/0!</v>
      </c>
      <c r="K226" s="961" t="str">
        <f>IF(J226&lt;'PlayerGrades+'!$AD$21,"F-",IF(J226&lt;'PlayerGrades+'!$AD$20,"F",IF(J226&lt;'PlayerGrades+'!$AD$19,"F+",IF(J226&lt;'PlayerGrades+'!$AD$18,"E-",IF(J226&lt;'PlayerGrades+'!$AD$17,"E",IF(J226&lt;'PlayerGrades+'!$AD$16,"E+",IF(J226&lt;'PlayerGrades+'!$AD$15,"D-",IF(J226&lt;'PlayerGrades+'!$AD$14,"D",IF(J226&lt;'PlayerGrades+'!$AD$13,"D+",IF(J226&lt;'PlayerGrades+'!$AD$12,"C-",IF(J226&lt;'PlayerGrades+'!$AD$11,"C",IF(J226&lt;'PlayerGrades+'!$AD$10,"C+",IF(J226&lt;'PlayerGrades+'!$AD$9,"B-",IF(J226&lt;'PlayerGrades+'!$AD$8,"B",IF(J226&lt;'PlayerGrades+'!$AD$7,"B+",IF(J226&lt;'PlayerGrades+'!$AD$6,"A-",IF(J226&lt;'PlayerGrades+'!$AD$5,"A",IF(J226&lt;'PlayerGrades+'!$AD$4,"A+",IF(J226&lt;'PlayerGrades+'!$AD$3,"S-",IF(J226&lt;'PlayerGrades+'!$AD$2,"S","S+"))))))))))))))))))))</f>
        <v>#DIV/0!</v>
      </c>
      <c r="L226" s="1176" t="str">
        <f t="shared" si="5"/>
        <v>#DIV/0!</v>
      </c>
      <c r="M226" s="992" t="str">
        <f>IF(L226&lt;'PlayerGrades+'!$AE$21,"F-",IF(L226&lt;'PlayerGrades+'!$AE$20,"F",IF(L226&lt;'PlayerGrades+'!$AE$19,"F+",IF(L226&lt;'PlayerGrades+'!$AE$18,"E-",IF(L226&lt;'PlayerGrades+'!$AE$17,"E",IF(L226&lt;'PlayerGrades+'!$AE$16,"E+",IF(L226&lt;'PlayerGrades+'!$AE$15,"D-",IF(L226&lt;'PlayerGrades+'!$AE$14,"D",IF(L226&lt;'PlayerGrades+'!$AE$13,"D+",IF(L226&lt;'PlayerGrades+'!$AE$12,"C-",IF(L226&lt;'PlayerGrades+'!$AE$11,"C",IF(L226&lt;'PlayerGrades+'!$AE$10,"C+",IF(L226&lt;'PlayerGrades+'!$AE$9,"B-",IF(L226&lt;'PlayerGrades+'!$AE$8,"B",IF(L226&lt;'PlayerGrades+'!$AE$7,"B+",IF(L226&lt;'PlayerGrades+'!$AE$6,"A-",IF(L226&lt;'PlayerGrades+'!$AE$5,"A",IF(L226&lt;'PlayerGrades+'!$AE$4,"A+",IF(L226&lt;'PlayerGrades+'!$AE$3,"S-",IF(L226&lt;'PlayerGrades+'!$AE$2,"S","S+"))))))))))))))))))))</f>
        <v>#DIV/0!</v>
      </c>
      <c r="N226" s="961" t="str">
        <f t="shared" si="6"/>
        <v>#DIV/0!</v>
      </c>
      <c r="O226" s="961" t="str">
        <f>IF(N226&lt;'PlayerGrades+'!$AF$21,"F-",IF(N226&lt;'PlayerGrades+'!$AF$20,"F",IF(N226&lt;'PlayerGrades+'!$AF$19,"F+",IF(N226&lt;'PlayerGrades+'!$AF$18,"E-",IF(N226&lt;'PlayerGrades+'!$AF$17,"E",IF(N226&lt;'PlayerGrades+'!$AF$16,"E+",IF(N226&lt;'PlayerGrades+'!$AF$15,"D-",IF(N226&lt;'PlayerGrades+'!$AF$14,"D",IF(N226&lt;'PlayerGrades+'!$AF$13,"D+",IF(N226&lt;'PlayerGrades+'!$AF$12,"C-",IF(N226&lt;'PlayerGrades+'!$AF$11,"C",IF(N226&lt;'PlayerGrades+'!$AF$10,"C+",IF(N226&lt;'PlayerGrades+'!$AF$9,"B-",IF(N226&lt;'PlayerGrades+'!$AF$8,"B",IF(N226&lt;'PlayerGrades+'!$AF$7,"B+",IF(N226&lt;'PlayerGrades+'!$AF$6,"A-",IF(N226&lt;'PlayerGrades+'!$AF$5,"A",IF(N226&lt;'PlayerGrades+'!$AF$4,"A+",IF(N226&lt;'PlayerGrades+'!$AF$3,"S-",IF(N226&lt;'PlayerGrades+'!$AF$2,"S","S+"))))))))))))))))))))</f>
        <v>#DIV/0!</v>
      </c>
      <c r="P226" s="961" t="str">
        <f t="shared" si="7"/>
        <v>#DIV/0!</v>
      </c>
      <c r="Q226" s="961" t="str">
        <f>IF(P226&lt;'PlayerGrades+'!$AG$21,"F-",IF(P226&lt;'PlayerGrades+'!$AG$20,"F",IF(P226&lt;'PlayerGrades+'!$AG$19,"F+",IF(P226&lt;'PlayerGrades+'!$AG$18,"E-",IF(P226&lt;'PlayerGrades+'!$AG$17,"E",IF(P226&lt;'PlayerGrades+'!$AG$16,"E+",IF(P226&lt;'PlayerGrades+'!$AG$15,"D-",IF(P226&lt;'PlayerGrades+'!$AG$14,"D",IF(P226&lt;'PlayerGrades+'!$AG$13,"D+",IF(P226&lt;'PlayerGrades+'!$AG$12,"C-",IF(P226&lt;'PlayerGrades+'!$AG$11,"C",IF(P226&lt;'PlayerGrades+'!$AG$10,"C+",IF(P226&lt;'PlayerGrades+'!$AG$9,"B-",IF(P226&lt;'PlayerGrades+'!$AG$8,"B",IF(P226&lt;'PlayerGrades+'!$AG$7,"B+",IF(P226&lt;'PlayerGrades+'!$AG$6,"A-",IF(P226&lt;'PlayerGrades+'!$AG$5,"A",IF(P226&lt;'PlayerGrades+'!$AG$4,"A+",IF(P226&lt;'PlayerGrades+'!$AG$3,"S-",IF(P226&lt;'PlayerGrades+'!$AG$2,"S","S+"))))))))))))))))))))</f>
        <v>#DIV/0!</v>
      </c>
      <c r="R226" s="961" t="str">
        <f t="shared" si="8"/>
        <v>#DIV/0!</v>
      </c>
      <c r="S226" s="961" t="str">
        <f>IF(R226&lt;'PlayerGrades+'!$AH$21,"F-",IF(R226&lt;'PlayerGrades+'!$AH$20,"F",IF(R226&lt;'PlayerGrades+'!$AH$19,"F+",IF(R226&lt;'PlayerGrades+'!$AH$18,"E-",IF(R226&lt;'PlayerGrades+'!$AH$17,"E",IF(R226&lt;'PlayerGrades+'!$AH$16,"E+",IF(R226&lt;'PlayerGrades+'!$AH$15,"D-",IF(R226&lt;'PlayerGrades+'!$AH$14,"D",IF(R226&lt;'PlayerGrades+'!$AH$13,"D+",IF(R226&lt;'PlayerGrades+'!$AH$12,"C-",IF(R226&lt;'PlayerGrades+'!$AH$11,"C",IF(R226&lt;'PlayerGrades+'!$AH$10,"C+",IF(R226&lt;'PlayerGrades+'!$AH$9,"B-",IF(R226&lt;'PlayerGrades+'!$AH$8,"B",IF(R226&lt;'PlayerGrades+'!$AH$7,"B+",IF(R226&lt;'PlayerGrades+'!$AH$6,"A-",IF(R226&lt;'PlayerGrades+'!$AH$5,"A",IF(R226&lt;'PlayerGrades+'!$AH$4,"A+",IF(R226&lt;'PlayerGrades+'!$AH$3,"S-",IF(R226&lt;'PlayerGrades+'!$AH$2,"S","S+"))))))))))))))))))))</f>
        <v>#DIV/0!</v>
      </c>
      <c r="T226" s="961">
        <f t="shared" si="9"/>
        <v>0</v>
      </c>
      <c r="U226" s="961" t="str">
        <f>IF(T226&lt;'PlayerGrades+'!$AI$21,"F-",IF(T226&lt;'PlayerGrades+'!$AI$20,"F",IF(T226&lt;'PlayerGrades+'!$AI$19,"F+",IF(T226&lt;'PlayerGrades+'!$AI$18,"E-",IF(T226&lt;'PlayerGrades+'!$AI$17,"E",IF(T226&lt;'PlayerGrades+'!$AI$16,"E+",IF(T226&lt;'PlayerGrades+'!$AI$15,"D-",IF(T226&lt;'PlayerGrades+'!$AI$14,"D",IF(T226&lt;'PlayerGrades+'!$AI$13,"D+",IF(T226&lt;'PlayerGrades+'!$AI$12,"C-",IF(T226&lt;'PlayerGrades+'!$AI$11,"C",IF(T226&lt;'PlayerGrades+'!$AI$10,"C+",IF(T226&lt;'PlayerGrades+'!$AI$9,"B-",IF(T226&lt;'PlayerGrades+'!$AI$8,"B",IF(T226&lt;'PlayerGrades+'!$AI$7,"B+",IF(T226&lt;'PlayerGrades+'!$AI$6,"A-",IF(T226&lt;'PlayerGrades+'!$AI$5,"A",IF(T226&lt;'PlayerGrades+'!$AI$4,"A+",IF(T226&lt;'PlayerGrades+'!$AI$3,"S-",IF(T226&lt;'PlayerGrades+'!$AI$2,"S","S+"))))))))))))))))))))</f>
        <v>F-</v>
      </c>
      <c r="V226" s="1379"/>
      <c r="W226" s="1379"/>
      <c r="X226" s="1379"/>
      <c r="Y226" s="1379"/>
      <c r="Z226" s="1379"/>
      <c r="AA226" s="1379"/>
      <c r="AB226" s="1379"/>
      <c r="AC226" s="1390"/>
      <c r="AD226" s="1379"/>
      <c r="AE226" s="1379"/>
      <c r="AF226" s="1379"/>
      <c r="AG226" s="1379"/>
      <c r="AH226" s="1379"/>
      <c r="AI226" s="1379"/>
      <c r="AJ226" s="1379"/>
      <c r="AK226" s="1379"/>
      <c r="AL226" s="1379"/>
      <c r="AM226" s="1379"/>
      <c r="AN226" s="1379"/>
      <c r="AO226" s="1379"/>
      <c r="AP226" s="1379"/>
      <c r="AQ226" s="1379"/>
      <c r="AR226" s="1379"/>
      <c r="AS226" s="1379"/>
      <c r="AT226" s="1379"/>
      <c r="AU226" s="1379"/>
      <c r="AV226" s="1379"/>
      <c r="AW226" s="1379"/>
      <c r="AX226" s="1379"/>
      <c r="AY226" s="1379"/>
      <c r="AZ226" s="1379"/>
    </row>
    <row r="227">
      <c r="A227" s="1391"/>
      <c r="B227" s="611" t="str">
        <f>IF(C227&lt;'PlayerGrades+'!$Y$44,"F-",IF(C227&lt;'PlayerGrades+'!$Y$43,"F",IF(C227&lt;'PlayerGrades+'!$Y$42,"F+",IF(C227&lt;'PlayerGrades+'!$Y$41,"E-",IF(C227&lt;'PlayerGrades+'!$Y$40,"E",IF(C227&lt;'PlayerGrades+'!$Y$39,"E+",IF(C227&lt;'PlayerGrades+'!$Y$38,"D-",IF(C227&lt;'PlayerGrades+'!$Y$37,"D",IF(C227&lt;'PlayerGrades+'!$Y$36,"D+",IF(C227&lt;'PlayerGrades+'!$Y$35,"C-",IF(C227&lt;'PlayerGrades+'!$Y$34,"C",IF(C227&lt;'PlayerGrades+'!$Y$33,"C+",IF(C227&lt;'PlayerGrades+'!$Y$32,"B-",IF(C227&lt;'PlayerGrades+'!$Y$31,"B",IF(C227&lt;'PlayerGrades+'!$Y$30,"B+",IF(C227&lt;'PlayerGrades+'!$Y$29,"A-",IF(C227&lt;'PlayerGrades+'!$Y$28,"A",IF(C227&lt;'PlayerGrades+'!$Y$27,"A+",IF(C227&lt;'PlayerGrades+'!$Y$26,"S-",IF(C227&lt;'PlayerGrades+'!$Y$25,"S","S+"))))))))))))))))))))</f>
        <v>#DIV/0!</v>
      </c>
      <c r="C227" s="1378" t="str">
        <f>('PlayerGrades+'!$Y$47*(VLOOKUP(E227, 'PlayerGrades+'!$X$3:$Y$23, 2, FALSE)))+('PlayerGrades+'!$Y$48*(VLOOKUP(G227, 'PlayerGrades+'!$X$3:$Y$23, 2, FALSE)))+('PlayerGrades+'!$Y$49*(VLOOKUP(I227, 'PlayerGrades+'!$X$3:$Y$23, 2, FALSE)))+('PlayerGrades+'!$Y$50*(VLOOKUP(K227, 'PlayerGrades+'!$X$3:$Y$23, 2, FALSE)))+('PlayerGrades+'!$Y$51*(VLOOKUP(M227, 'PlayerGrades+'!$X$3:$Y$23, 2, FALSE)))+('PlayerGrades+'!$Y$52*(VLOOKUP(O227, 'PlayerGrades+'!$X$3:$Y$23, 2, FALSE)))+('PlayerGrades+'!$Y$53*(VLOOKUP(Q227, 'PlayerGrades+'!$X$3:$Y$23, 2, FALSE)))+('PlayerGrades+'!$Y$54*(VLOOKUP(S227, 'PlayerGrades+'!$X$3:$Y$23, 2, FALSE)))+('PlayerGrades+'!$Y$55*(VLOOKUP(U227, 'PlayerGrades+'!$X$3:$Y$23, 2, FALSE)))</f>
        <v>#DIV/0!</v>
      </c>
      <c r="D227" s="961" t="str">
        <f t="shared" si="1"/>
        <v>#DIV/0!</v>
      </c>
      <c r="E227" s="961" t="str">
        <f>IF(D227&lt;'PlayerGrades+'!$AA$21,"F-",IF(D227&lt;'PlayerGrades+'!$AA$20,"F",IF(D227&lt;'PlayerGrades+'!$AA$19,"F+",IF(D227&lt;'PlayerGrades+'!$AA$18,"E-",IF(D227&lt;'PlayerGrades+'!$AA$17,"E",IF(D227&lt;'PlayerGrades+'!$AA$16,"E+",IF(D227&lt;'PlayerGrades+'!$AA$15,"D-",IF(D227&lt;'PlayerGrades+'!$AA$14,"D",IF(D227&lt;'PlayerGrades+'!$AA$13,"D+",IF(D227&lt;'PlayerGrades+'!$AA$12,"C-",IF(D227&lt;'PlayerGrades+'!$AA$11,"C",IF(D227&lt;'PlayerGrades+'!$AA$10,"C+",IF(D227&lt;'PlayerGrades+'!$AA$9,"B-",IF(D227&lt;'PlayerGrades+'!$AA$8,"B",IF(D227&lt;'PlayerGrades+'!$AA$7,"B+",IF(D227&lt;'PlayerGrades+'!$AA$6,"A-",IF(D227&lt;'PlayerGrades+'!$AA$5,"A",IF(D227&lt;'PlayerGrades+'!$AA$4,"A+",IF(D227&lt;'PlayerGrades+'!$AA$3,"S-",IF(D227&lt;'PlayerGrades+'!$AA$2,"S","S+"))))))))))))))))))))</f>
        <v>#DIV/0!</v>
      </c>
      <c r="F227" s="961" t="str">
        <f t="shared" si="2"/>
        <v>#DIV/0!</v>
      </c>
      <c r="G227" s="961" t="str">
        <f>IF(F227&lt;'PlayerGrades+'!$AB$21,"F-",IF(F227&lt;'PlayerGrades+'!$AB$20,"F",IF(F227&lt;'PlayerGrades+'!$AB$19,"F+",IF(F227&lt;'PlayerGrades+'!$AB$18,"E-",IF(F227&lt;'PlayerGrades+'!$AB$17,"E",IF(F227&lt;'PlayerGrades+'!$AB$16,"E+",IF(F227&lt;'PlayerGrades+'!$AB$15,"D-",IF(F227&lt;'PlayerGrades+'!$AB$14,"D",IF(F227&lt;'PlayerGrades+'!$AB$13,"D+",IF(F227&lt;'PlayerGrades+'!$AB$12,"C-",IF(F227&lt;'PlayerGrades+'!$AB$11,"C",IF(F227&lt;'PlayerGrades+'!$AB$10,"C+",IF(F227&lt;'PlayerGrades+'!$AB$9,"B-",IF(F227&lt;'PlayerGrades+'!$AB$8,"B",IF(F227&lt;'PlayerGrades+'!$AB$7,"B+",IF(F227&lt;'PlayerGrades+'!$AB$6,"A-",IF(F227&lt;'PlayerGrades+'!$AB$5,"A",IF(F227&lt;'PlayerGrades+'!$AB$4,"A+",IF(F227&lt;'PlayerGrades+'!$AB$3,"S-",IF(F227&lt;'PlayerGrades+'!$AB$2,"S","S+"))))))))))))))))))))</f>
        <v>#DIV/0!</v>
      </c>
      <c r="H227" s="961" t="str">
        <f t="shared" si="3"/>
        <v>#DIV/0!</v>
      </c>
      <c r="I227" s="961" t="str">
        <f>IF(H227&lt;'PlayerGrades+'!$AC$21,"F-",IF(H227&lt;'PlayerGrades+'!$AC$20,"F",IF(H227&lt;'PlayerGrades+'!$AC$19,"F+",IF(H227&lt;'PlayerGrades+'!$AC$18,"E-",IF(H227&lt;'PlayerGrades+'!$AC$17,"E",IF(H227&lt;'PlayerGrades+'!$AC$16,"E+",IF(H227&lt;'PlayerGrades+'!$AC$15,"D-",IF(H227&lt;'PlayerGrades+'!$AC$14,"D",IF(H227&lt;'PlayerGrades+'!$AC$13,"D+",IF(H227&lt;'PlayerGrades+'!$AC$12,"C-",IF(H227&lt;'PlayerGrades+'!$AC$11,"C",IF(H227&lt;'PlayerGrades+'!$AC$10,"C+",IF(H227&lt;'PlayerGrades+'!$AC$9,"B-",IF(H227&lt;'PlayerGrades+'!$AC$8,"B",IF(H227&lt;'PlayerGrades+'!$AC$7,"B+",IF(H227&lt;'PlayerGrades+'!$AC$6,"A-",IF(H227&lt;'PlayerGrades+'!$AC$5,"A",IF(H227&lt;'PlayerGrades+'!$AC$4,"A+",IF(H227&lt;'PlayerGrades+'!$AC$3,"S-",IF(H227&lt;'PlayerGrades+'!$AC$2,"S","S+"))))))))))))))))))))</f>
        <v>#DIV/0!</v>
      </c>
      <c r="J227" s="961" t="str">
        <f t="shared" si="4"/>
        <v>#DIV/0!</v>
      </c>
      <c r="K227" s="961" t="str">
        <f>IF(J227&lt;'PlayerGrades+'!$AD$21,"F-",IF(J227&lt;'PlayerGrades+'!$AD$20,"F",IF(J227&lt;'PlayerGrades+'!$AD$19,"F+",IF(J227&lt;'PlayerGrades+'!$AD$18,"E-",IF(J227&lt;'PlayerGrades+'!$AD$17,"E",IF(J227&lt;'PlayerGrades+'!$AD$16,"E+",IF(J227&lt;'PlayerGrades+'!$AD$15,"D-",IF(J227&lt;'PlayerGrades+'!$AD$14,"D",IF(J227&lt;'PlayerGrades+'!$AD$13,"D+",IF(J227&lt;'PlayerGrades+'!$AD$12,"C-",IF(J227&lt;'PlayerGrades+'!$AD$11,"C",IF(J227&lt;'PlayerGrades+'!$AD$10,"C+",IF(J227&lt;'PlayerGrades+'!$AD$9,"B-",IF(J227&lt;'PlayerGrades+'!$AD$8,"B",IF(J227&lt;'PlayerGrades+'!$AD$7,"B+",IF(J227&lt;'PlayerGrades+'!$AD$6,"A-",IF(J227&lt;'PlayerGrades+'!$AD$5,"A",IF(J227&lt;'PlayerGrades+'!$AD$4,"A+",IF(J227&lt;'PlayerGrades+'!$AD$3,"S-",IF(J227&lt;'PlayerGrades+'!$AD$2,"S","S+"))))))))))))))))))))</f>
        <v>#DIV/0!</v>
      </c>
      <c r="L227" s="1176" t="str">
        <f t="shared" si="5"/>
        <v>#DIV/0!</v>
      </c>
      <c r="M227" s="992" t="str">
        <f>IF(L227&lt;'PlayerGrades+'!$AE$21,"F-",IF(L227&lt;'PlayerGrades+'!$AE$20,"F",IF(L227&lt;'PlayerGrades+'!$AE$19,"F+",IF(L227&lt;'PlayerGrades+'!$AE$18,"E-",IF(L227&lt;'PlayerGrades+'!$AE$17,"E",IF(L227&lt;'PlayerGrades+'!$AE$16,"E+",IF(L227&lt;'PlayerGrades+'!$AE$15,"D-",IF(L227&lt;'PlayerGrades+'!$AE$14,"D",IF(L227&lt;'PlayerGrades+'!$AE$13,"D+",IF(L227&lt;'PlayerGrades+'!$AE$12,"C-",IF(L227&lt;'PlayerGrades+'!$AE$11,"C",IF(L227&lt;'PlayerGrades+'!$AE$10,"C+",IF(L227&lt;'PlayerGrades+'!$AE$9,"B-",IF(L227&lt;'PlayerGrades+'!$AE$8,"B",IF(L227&lt;'PlayerGrades+'!$AE$7,"B+",IF(L227&lt;'PlayerGrades+'!$AE$6,"A-",IF(L227&lt;'PlayerGrades+'!$AE$5,"A",IF(L227&lt;'PlayerGrades+'!$AE$4,"A+",IF(L227&lt;'PlayerGrades+'!$AE$3,"S-",IF(L227&lt;'PlayerGrades+'!$AE$2,"S","S+"))))))))))))))))))))</f>
        <v>#DIV/0!</v>
      </c>
      <c r="N227" s="961" t="str">
        <f t="shared" si="6"/>
        <v>#DIV/0!</v>
      </c>
      <c r="O227" s="961" t="str">
        <f>IF(N227&lt;'PlayerGrades+'!$AF$21,"F-",IF(N227&lt;'PlayerGrades+'!$AF$20,"F",IF(N227&lt;'PlayerGrades+'!$AF$19,"F+",IF(N227&lt;'PlayerGrades+'!$AF$18,"E-",IF(N227&lt;'PlayerGrades+'!$AF$17,"E",IF(N227&lt;'PlayerGrades+'!$AF$16,"E+",IF(N227&lt;'PlayerGrades+'!$AF$15,"D-",IF(N227&lt;'PlayerGrades+'!$AF$14,"D",IF(N227&lt;'PlayerGrades+'!$AF$13,"D+",IF(N227&lt;'PlayerGrades+'!$AF$12,"C-",IF(N227&lt;'PlayerGrades+'!$AF$11,"C",IF(N227&lt;'PlayerGrades+'!$AF$10,"C+",IF(N227&lt;'PlayerGrades+'!$AF$9,"B-",IF(N227&lt;'PlayerGrades+'!$AF$8,"B",IF(N227&lt;'PlayerGrades+'!$AF$7,"B+",IF(N227&lt;'PlayerGrades+'!$AF$6,"A-",IF(N227&lt;'PlayerGrades+'!$AF$5,"A",IF(N227&lt;'PlayerGrades+'!$AF$4,"A+",IF(N227&lt;'PlayerGrades+'!$AF$3,"S-",IF(N227&lt;'PlayerGrades+'!$AF$2,"S","S+"))))))))))))))))))))</f>
        <v>#DIV/0!</v>
      </c>
      <c r="P227" s="961" t="str">
        <f t="shared" si="7"/>
        <v>#DIV/0!</v>
      </c>
      <c r="Q227" s="961" t="str">
        <f>IF(P227&lt;'PlayerGrades+'!$AG$21,"F-",IF(P227&lt;'PlayerGrades+'!$AG$20,"F",IF(P227&lt;'PlayerGrades+'!$AG$19,"F+",IF(P227&lt;'PlayerGrades+'!$AG$18,"E-",IF(P227&lt;'PlayerGrades+'!$AG$17,"E",IF(P227&lt;'PlayerGrades+'!$AG$16,"E+",IF(P227&lt;'PlayerGrades+'!$AG$15,"D-",IF(P227&lt;'PlayerGrades+'!$AG$14,"D",IF(P227&lt;'PlayerGrades+'!$AG$13,"D+",IF(P227&lt;'PlayerGrades+'!$AG$12,"C-",IF(P227&lt;'PlayerGrades+'!$AG$11,"C",IF(P227&lt;'PlayerGrades+'!$AG$10,"C+",IF(P227&lt;'PlayerGrades+'!$AG$9,"B-",IF(P227&lt;'PlayerGrades+'!$AG$8,"B",IF(P227&lt;'PlayerGrades+'!$AG$7,"B+",IF(P227&lt;'PlayerGrades+'!$AG$6,"A-",IF(P227&lt;'PlayerGrades+'!$AG$5,"A",IF(P227&lt;'PlayerGrades+'!$AG$4,"A+",IF(P227&lt;'PlayerGrades+'!$AG$3,"S-",IF(P227&lt;'PlayerGrades+'!$AG$2,"S","S+"))))))))))))))))))))</f>
        <v>#DIV/0!</v>
      </c>
      <c r="R227" s="961" t="str">
        <f t="shared" si="8"/>
        <v>#DIV/0!</v>
      </c>
      <c r="S227" s="961" t="str">
        <f>IF(R227&lt;'PlayerGrades+'!$AH$21,"F-",IF(R227&lt;'PlayerGrades+'!$AH$20,"F",IF(R227&lt;'PlayerGrades+'!$AH$19,"F+",IF(R227&lt;'PlayerGrades+'!$AH$18,"E-",IF(R227&lt;'PlayerGrades+'!$AH$17,"E",IF(R227&lt;'PlayerGrades+'!$AH$16,"E+",IF(R227&lt;'PlayerGrades+'!$AH$15,"D-",IF(R227&lt;'PlayerGrades+'!$AH$14,"D",IF(R227&lt;'PlayerGrades+'!$AH$13,"D+",IF(R227&lt;'PlayerGrades+'!$AH$12,"C-",IF(R227&lt;'PlayerGrades+'!$AH$11,"C",IF(R227&lt;'PlayerGrades+'!$AH$10,"C+",IF(R227&lt;'PlayerGrades+'!$AH$9,"B-",IF(R227&lt;'PlayerGrades+'!$AH$8,"B",IF(R227&lt;'PlayerGrades+'!$AH$7,"B+",IF(R227&lt;'PlayerGrades+'!$AH$6,"A-",IF(R227&lt;'PlayerGrades+'!$AH$5,"A",IF(R227&lt;'PlayerGrades+'!$AH$4,"A+",IF(R227&lt;'PlayerGrades+'!$AH$3,"S-",IF(R227&lt;'PlayerGrades+'!$AH$2,"S","S+"))))))))))))))))))))</f>
        <v>#DIV/0!</v>
      </c>
      <c r="T227" s="961">
        <f t="shared" si="9"/>
        <v>0</v>
      </c>
      <c r="U227" s="961" t="str">
        <f>IF(T227&lt;'PlayerGrades+'!$AI$21,"F-",IF(T227&lt;'PlayerGrades+'!$AI$20,"F",IF(T227&lt;'PlayerGrades+'!$AI$19,"F+",IF(T227&lt;'PlayerGrades+'!$AI$18,"E-",IF(T227&lt;'PlayerGrades+'!$AI$17,"E",IF(T227&lt;'PlayerGrades+'!$AI$16,"E+",IF(T227&lt;'PlayerGrades+'!$AI$15,"D-",IF(T227&lt;'PlayerGrades+'!$AI$14,"D",IF(T227&lt;'PlayerGrades+'!$AI$13,"D+",IF(T227&lt;'PlayerGrades+'!$AI$12,"C-",IF(T227&lt;'PlayerGrades+'!$AI$11,"C",IF(T227&lt;'PlayerGrades+'!$AI$10,"C+",IF(T227&lt;'PlayerGrades+'!$AI$9,"B-",IF(T227&lt;'PlayerGrades+'!$AI$8,"B",IF(T227&lt;'PlayerGrades+'!$AI$7,"B+",IF(T227&lt;'PlayerGrades+'!$AI$6,"A-",IF(T227&lt;'PlayerGrades+'!$AI$5,"A",IF(T227&lt;'PlayerGrades+'!$AI$4,"A+",IF(T227&lt;'PlayerGrades+'!$AI$3,"S-",IF(T227&lt;'PlayerGrades+'!$AI$2,"S","S+"))))))))))))))))))))</f>
        <v>F-</v>
      </c>
      <c r="AC227" s="1392"/>
    </row>
    <row r="228">
      <c r="A228" s="1391"/>
      <c r="B228" s="611" t="str">
        <f>IF(C228&lt;'PlayerGrades+'!$Y$44,"F-",IF(C228&lt;'PlayerGrades+'!$Y$43,"F",IF(C228&lt;'PlayerGrades+'!$Y$42,"F+",IF(C228&lt;'PlayerGrades+'!$Y$41,"E-",IF(C228&lt;'PlayerGrades+'!$Y$40,"E",IF(C228&lt;'PlayerGrades+'!$Y$39,"E+",IF(C228&lt;'PlayerGrades+'!$Y$38,"D-",IF(C228&lt;'PlayerGrades+'!$Y$37,"D",IF(C228&lt;'PlayerGrades+'!$Y$36,"D+",IF(C228&lt;'PlayerGrades+'!$Y$35,"C-",IF(C228&lt;'PlayerGrades+'!$Y$34,"C",IF(C228&lt;'PlayerGrades+'!$Y$33,"C+",IF(C228&lt;'PlayerGrades+'!$Y$32,"B-",IF(C228&lt;'PlayerGrades+'!$Y$31,"B",IF(C228&lt;'PlayerGrades+'!$Y$30,"B+",IF(C228&lt;'PlayerGrades+'!$Y$29,"A-",IF(C228&lt;'PlayerGrades+'!$Y$28,"A",IF(C228&lt;'PlayerGrades+'!$Y$27,"A+",IF(C228&lt;'PlayerGrades+'!$Y$26,"S-",IF(C228&lt;'PlayerGrades+'!$Y$25,"S","S+"))))))))))))))))))))</f>
        <v>#DIV/0!</v>
      </c>
      <c r="C228" s="1378" t="str">
        <f>('PlayerGrades+'!$Y$47*(VLOOKUP(E228, 'PlayerGrades+'!$X$3:$Y$23, 2, FALSE)))+('PlayerGrades+'!$Y$48*(VLOOKUP(G228, 'PlayerGrades+'!$X$3:$Y$23, 2, FALSE)))+('PlayerGrades+'!$Y$49*(VLOOKUP(I228, 'PlayerGrades+'!$X$3:$Y$23, 2, FALSE)))+('PlayerGrades+'!$Y$50*(VLOOKUP(K228, 'PlayerGrades+'!$X$3:$Y$23, 2, FALSE)))+('PlayerGrades+'!$Y$51*(VLOOKUP(M228, 'PlayerGrades+'!$X$3:$Y$23, 2, FALSE)))+('PlayerGrades+'!$Y$52*(VLOOKUP(O228, 'PlayerGrades+'!$X$3:$Y$23, 2, FALSE)))+('PlayerGrades+'!$Y$53*(VLOOKUP(Q228, 'PlayerGrades+'!$X$3:$Y$23, 2, FALSE)))+('PlayerGrades+'!$Y$54*(VLOOKUP(S228, 'PlayerGrades+'!$X$3:$Y$23, 2, FALSE)))+('PlayerGrades+'!$Y$55*(VLOOKUP(U228, 'PlayerGrades+'!$X$3:$Y$23, 2, FALSE)))</f>
        <v>#DIV/0!</v>
      </c>
      <c r="D228" s="961" t="str">
        <f t="shared" si="1"/>
        <v>#DIV/0!</v>
      </c>
      <c r="E228" s="961" t="str">
        <f>IF(D228&lt;'PlayerGrades+'!$AA$21,"F-",IF(D228&lt;'PlayerGrades+'!$AA$20,"F",IF(D228&lt;'PlayerGrades+'!$AA$19,"F+",IF(D228&lt;'PlayerGrades+'!$AA$18,"E-",IF(D228&lt;'PlayerGrades+'!$AA$17,"E",IF(D228&lt;'PlayerGrades+'!$AA$16,"E+",IF(D228&lt;'PlayerGrades+'!$AA$15,"D-",IF(D228&lt;'PlayerGrades+'!$AA$14,"D",IF(D228&lt;'PlayerGrades+'!$AA$13,"D+",IF(D228&lt;'PlayerGrades+'!$AA$12,"C-",IF(D228&lt;'PlayerGrades+'!$AA$11,"C",IF(D228&lt;'PlayerGrades+'!$AA$10,"C+",IF(D228&lt;'PlayerGrades+'!$AA$9,"B-",IF(D228&lt;'PlayerGrades+'!$AA$8,"B",IF(D228&lt;'PlayerGrades+'!$AA$7,"B+",IF(D228&lt;'PlayerGrades+'!$AA$6,"A-",IF(D228&lt;'PlayerGrades+'!$AA$5,"A",IF(D228&lt;'PlayerGrades+'!$AA$4,"A+",IF(D228&lt;'PlayerGrades+'!$AA$3,"S-",IF(D228&lt;'PlayerGrades+'!$AA$2,"S","S+"))))))))))))))))))))</f>
        <v>#DIV/0!</v>
      </c>
      <c r="F228" s="961" t="str">
        <f t="shared" si="2"/>
        <v>#DIV/0!</v>
      </c>
      <c r="G228" s="961" t="str">
        <f>IF(F228&lt;'PlayerGrades+'!$AB$21,"F-",IF(F228&lt;'PlayerGrades+'!$AB$20,"F",IF(F228&lt;'PlayerGrades+'!$AB$19,"F+",IF(F228&lt;'PlayerGrades+'!$AB$18,"E-",IF(F228&lt;'PlayerGrades+'!$AB$17,"E",IF(F228&lt;'PlayerGrades+'!$AB$16,"E+",IF(F228&lt;'PlayerGrades+'!$AB$15,"D-",IF(F228&lt;'PlayerGrades+'!$AB$14,"D",IF(F228&lt;'PlayerGrades+'!$AB$13,"D+",IF(F228&lt;'PlayerGrades+'!$AB$12,"C-",IF(F228&lt;'PlayerGrades+'!$AB$11,"C",IF(F228&lt;'PlayerGrades+'!$AB$10,"C+",IF(F228&lt;'PlayerGrades+'!$AB$9,"B-",IF(F228&lt;'PlayerGrades+'!$AB$8,"B",IF(F228&lt;'PlayerGrades+'!$AB$7,"B+",IF(F228&lt;'PlayerGrades+'!$AB$6,"A-",IF(F228&lt;'PlayerGrades+'!$AB$5,"A",IF(F228&lt;'PlayerGrades+'!$AB$4,"A+",IF(F228&lt;'PlayerGrades+'!$AB$3,"S-",IF(F228&lt;'PlayerGrades+'!$AB$2,"S","S+"))))))))))))))))))))</f>
        <v>#DIV/0!</v>
      </c>
      <c r="H228" s="961" t="str">
        <f t="shared" si="3"/>
        <v>#DIV/0!</v>
      </c>
      <c r="I228" s="961" t="str">
        <f>IF(H228&lt;'PlayerGrades+'!$AC$21,"F-",IF(H228&lt;'PlayerGrades+'!$AC$20,"F",IF(H228&lt;'PlayerGrades+'!$AC$19,"F+",IF(H228&lt;'PlayerGrades+'!$AC$18,"E-",IF(H228&lt;'PlayerGrades+'!$AC$17,"E",IF(H228&lt;'PlayerGrades+'!$AC$16,"E+",IF(H228&lt;'PlayerGrades+'!$AC$15,"D-",IF(H228&lt;'PlayerGrades+'!$AC$14,"D",IF(H228&lt;'PlayerGrades+'!$AC$13,"D+",IF(H228&lt;'PlayerGrades+'!$AC$12,"C-",IF(H228&lt;'PlayerGrades+'!$AC$11,"C",IF(H228&lt;'PlayerGrades+'!$AC$10,"C+",IF(H228&lt;'PlayerGrades+'!$AC$9,"B-",IF(H228&lt;'PlayerGrades+'!$AC$8,"B",IF(H228&lt;'PlayerGrades+'!$AC$7,"B+",IF(H228&lt;'PlayerGrades+'!$AC$6,"A-",IF(H228&lt;'PlayerGrades+'!$AC$5,"A",IF(H228&lt;'PlayerGrades+'!$AC$4,"A+",IF(H228&lt;'PlayerGrades+'!$AC$3,"S-",IF(H228&lt;'PlayerGrades+'!$AC$2,"S","S+"))))))))))))))))))))</f>
        <v>#DIV/0!</v>
      </c>
      <c r="J228" s="961" t="str">
        <f t="shared" si="4"/>
        <v>#DIV/0!</v>
      </c>
      <c r="K228" s="961" t="str">
        <f>IF(J228&lt;'PlayerGrades+'!$AD$21,"F-",IF(J228&lt;'PlayerGrades+'!$AD$20,"F",IF(J228&lt;'PlayerGrades+'!$AD$19,"F+",IF(J228&lt;'PlayerGrades+'!$AD$18,"E-",IF(J228&lt;'PlayerGrades+'!$AD$17,"E",IF(J228&lt;'PlayerGrades+'!$AD$16,"E+",IF(J228&lt;'PlayerGrades+'!$AD$15,"D-",IF(J228&lt;'PlayerGrades+'!$AD$14,"D",IF(J228&lt;'PlayerGrades+'!$AD$13,"D+",IF(J228&lt;'PlayerGrades+'!$AD$12,"C-",IF(J228&lt;'PlayerGrades+'!$AD$11,"C",IF(J228&lt;'PlayerGrades+'!$AD$10,"C+",IF(J228&lt;'PlayerGrades+'!$AD$9,"B-",IF(J228&lt;'PlayerGrades+'!$AD$8,"B",IF(J228&lt;'PlayerGrades+'!$AD$7,"B+",IF(J228&lt;'PlayerGrades+'!$AD$6,"A-",IF(J228&lt;'PlayerGrades+'!$AD$5,"A",IF(J228&lt;'PlayerGrades+'!$AD$4,"A+",IF(J228&lt;'PlayerGrades+'!$AD$3,"S-",IF(J228&lt;'PlayerGrades+'!$AD$2,"S","S+"))))))))))))))))))))</f>
        <v>#DIV/0!</v>
      </c>
      <c r="L228" s="1176" t="str">
        <f t="shared" si="5"/>
        <v>#DIV/0!</v>
      </c>
      <c r="M228" s="992" t="str">
        <f>IF(L228&lt;'PlayerGrades+'!$AE$21,"F-",IF(L228&lt;'PlayerGrades+'!$AE$20,"F",IF(L228&lt;'PlayerGrades+'!$AE$19,"F+",IF(L228&lt;'PlayerGrades+'!$AE$18,"E-",IF(L228&lt;'PlayerGrades+'!$AE$17,"E",IF(L228&lt;'PlayerGrades+'!$AE$16,"E+",IF(L228&lt;'PlayerGrades+'!$AE$15,"D-",IF(L228&lt;'PlayerGrades+'!$AE$14,"D",IF(L228&lt;'PlayerGrades+'!$AE$13,"D+",IF(L228&lt;'PlayerGrades+'!$AE$12,"C-",IF(L228&lt;'PlayerGrades+'!$AE$11,"C",IF(L228&lt;'PlayerGrades+'!$AE$10,"C+",IF(L228&lt;'PlayerGrades+'!$AE$9,"B-",IF(L228&lt;'PlayerGrades+'!$AE$8,"B",IF(L228&lt;'PlayerGrades+'!$AE$7,"B+",IF(L228&lt;'PlayerGrades+'!$AE$6,"A-",IF(L228&lt;'PlayerGrades+'!$AE$5,"A",IF(L228&lt;'PlayerGrades+'!$AE$4,"A+",IF(L228&lt;'PlayerGrades+'!$AE$3,"S-",IF(L228&lt;'PlayerGrades+'!$AE$2,"S","S+"))))))))))))))))))))</f>
        <v>#DIV/0!</v>
      </c>
      <c r="N228" s="961" t="str">
        <f t="shared" si="6"/>
        <v>#DIV/0!</v>
      </c>
      <c r="O228" s="961" t="str">
        <f>IF(N228&lt;'PlayerGrades+'!$AF$21,"F-",IF(N228&lt;'PlayerGrades+'!$AF$20,"F",IF(N228&lt;'PlayerGrades+'!$AF$19,"F+",IF(N228&lt;'PlayerGrades+'!$AF$18,"E-",IF(N228&lt;'PlayerGrades+'!$AF$17,"E",IF(N228&lt;'PlayerGrades+'!$AF$16,"E+",IF(N228&lt;'PlayerGrades+'!$AF$15,"D-",IF(N228&lt;'PlayerGrades+'!$AF$14,"D",IF(N228&lt;'PlayerGrades+'!$AF$13,"D+",IF(N228&lt;'PlayerGrades+'!$AF$12,"C-",IF(N228&lt;'PlayerGrades+'!$AF$11,"C",IF(N228&lt;'PlayerGrades+'!$AF$10,"C+",IF(N228&lt;'PlayerGrades+'!$AF$9,"B-",IF(N228&lt;'PlayerGrades+'!$AF$8,"B",IF(N228&lt;'PlayerGrades+'!$AF$7,"B+",IF(N228&lt;'PlayerGrades+'!$AF$6,"A-",IF(N228&lt;'PlayerGrades+'!$AF$5,"A",IF(N228&lt;'PlayerGrades+'!$AF$4,"A+",IF(N228&lt;'PlayerGrades+'!$AF$3,"S-",IF(N228&lt;'PlayerGrades+'!$AF$2,"S","S+"))))))))))))))))))))</f>
        <v>#DIV/0!</v>
      </c>
      <c r="P228" s="961" t="str">
        <f t="shared" si="7"/>
        <v>#DIV/0!</v>
      </c>
      <c r="Q228" s="961" t="str">
        <f>IF(P228&lt;'PlayerGrades+'!$AG$21,"F-",IF(P228&lt;'PlayerGrades+'!$AG$20,"F",IF(P228&lt;'PlayerGrades+'!$AG$19,"F+",IF(P228&lt;'PlayerGrades+'!$AG$18,"E-",IF(P228&lt;'PlayerGrades+'!$AG$17,"E",IF(P228&lt;'PlayerGrades+'!$AG$16,"E+",IF(P228&lt;'PlayerGrades+'!$AG$15,"D-",IF(P228&lt;'PlayerGrades+'!$AG$14,"D",IF(P228&lt;'PlayerGrades+'!$AG$13,"D+",IF(P228&lt;'PlayerGrades+'!$AG$12,"C-",IF(P228&lt;'PlayerGrades+'!$AG$11,"C",IF(P228&lt;'PlayerGrades+'!$AG$10,"C+",IF(P228&lt;'PlayerGrades+'!$AG$9,"B-",IF(P228&lt;'PlayerGrades+'!$AG$8,"B",IF(P228&lt;'PlayerGrades+'!$AG$7,"B+",IF(P228&lt;'PlayerGrades+'!$AG$6,"A-",IF(P228&lt;'PlayerGrades+'!$AG$5,"A",IF(P228&lt;'PlayerGrades+'!$AG$4,"A+",IF(P228&lt;'PlayerGrades+'!$AG$3,"S-",IF(P228&lt;'PlayerGrades+'!$AG$2,"S","S+"))))))))))))))))))))</f>
        <v>#DIV/0!</v>
      </c>
      <c r="R228" s="961" t="str">
        <f t="shared" si="8"/>
        <v>#DIV/0!</v>
      </c>
      <c r="S228" s="961" t="str">
        <f>IF(R228&lt;'PlayerGrades+'!$AH$21,"F-",IF(R228&lt;'PlayerGrades+'!$AH$20,"F",IF(R228&lt;'PlayerGrades+'!$AH$19,"F+",IF(R228&lt;'PlayerGrades+'!$AH$18,"E-",IF(R228&lt;'PlayerGrades+'!$AH$17,"E",IF(R228&lt;'PlayerGrades+'!$AH$16,"E+",IF(R228&lt;'PlayerGrades+'!$AH$15,"D-",IF(R228&lt;'PlayerGrades+'!$AH$14,"D",IF(R228&lt;'PlayerGrades+'!$AH$13,"D+",IF(R228&lt;'PlayerGrades+'!$AH$12,"C-",IF(R228&lt;'PlayerGrades+'!$AH$11,"C",IF(R228&lt;'PlayerGrades+'!$AH$10,"C+",IF(R228&lt;'PlayerGrades+'!$AH$9,"B-",IF(R228&lt;'PlayerGrades+'!$AH$8,"B",IF(R228&lt;'PlayerGrades+'!$AH$7,"B+",IF(R228&lt;'PlayerGrades+'!$AH$6,"A-",IF(R228&lt;'PlayerGrades+'!$AH$5,"A",IF(R228&lt;'PlayerGrades+'!$AH$4,"A+",IF(R228&lt;'PlayerGrades+'!$AH$3,"S-",IF(R228&lt;'PlayerGrades+'!$AH$2,"S","S+"))))))))))))))))))))</f>
        <v>#DIV/0!</v>
      </c>
      <c r="T228" s="961">
        <f t="shared" si="9"/>
        <v>0</v>
      </c>
      <c r="U228" s="961" t="str">
        <f>IF(T228&lt;'PlayerGrades+'!$AI$21,"F-",IF(T228&lt;'PlayerGrades+'!$AI$20,"F",IF(T228&lt;'PlayerGrades+'!$AI$19,"F+",IF(T228&lt;'PlayerGrades+'!$AI$18,"E-",IF(T228&lt;'PlayerGrades+'!$AI$17,"E",IF(T228&lt;'PlayerGrades+'!$AI$16,"E+",IF(T228&lt;'PlayerGrades+'!$AI$15,"D-",IF(T228&lt;'PlayerGrades+'!$AI$14,"D",IF(T228&lt;'PlayerGrades+'!$AI$13,"D+",IF(T228&lt;'PlayerGrades+'!$AI$12,"C-",IF(T228&lt;'PlayerGrades+'!$AI$11,"C",IF(T228&lt;'PlayerGrades+'!$AI$10,"C+",IF(T228&lt;'PlayerGrades+'!$AI$9,"B-",IF(T228&lt;'PlayerGrades+'!$AI$8,"B",IF(T228&lt;'PlayerGrades+'!$AI$7,"B+",IF(T228&lt;'PlayerGrades+'!$AI$6,"A-",IF(T228&lt;'PlayerGrades+'!$AI$5,"A",IF(T228&lt;'PlayerGrades+'!$AI$4,"A+",IF(T228&lt;'PlayerGrades+'!$AI$3,"S-",IF(T228&lt;'PlayerGrades+'!$AI$2,"S","S+"))))))))))))))))))))</f>
        <v>F-</v>
      </c>
      <c r="AC228" s="1392"/>
    </row>
    <row r="229">
      <c r="A229" s="1391"/>
      <c r="B229" s="611" t="str">
        <f>IF(C229&lt;'PlayerGrades+'!$Y$44,"F-",IF(C229&lt;'PlayerGrades+'!$Y$43,"F",IF(C229&lt;'PlayerGrades+'!$Y$42,"F+",IF(C229&lt;'PlayerGrades+'!$Y$41,"E-",IF(C229&lt;'PlayerGrades+'!$Y$40,"E",IF(C229&lt;'PlayerGrades+'!$Y$39,"E+",IF(C229&lt;'PlayerGrades+'!$Y$38,"D-",IF(C229&lt;'PlayerGrades+'!$Y$37,"D",IF(C229&lt;'PlayerGrades+'!$Y$36,"D+",IF(C229&lt;'PlayerGrades+'!$Y$35,"C-",IF(C229&lt;'PlayerGrades+'!$Y$34,"C",IF(C229&lt;'PlayerGrades+'!$Y$33,"C+",IF(C229&lt;'PlayerGrades+'!$Y$32,"B-",IF(C229&lt;'PlayerGrades+'!$Y$31,"B",IF(C229&lt;'PlayerGrades+'!$Y$30,"B+",IF(C229&lt;'PlayerGrades+'!$Y$29,"A-",IF(C229&lt;'PlayerGrades+'!$Y$28,"A",IF(C229&lt;'PlayerGrades+'!$Y$27,"A+",IF(C229&lt;'PlayerGrades+'!$Y$26,"S-",IF(C229&lt;'PlayerGrades+'!$Y$25,"S","S+"))))))))))))))))))))</f>
        <v>#DIV/0!</v>
      </c>
      <c r="C229" s="1378" t="str">
        <f>('PlayerGrades+'!$Y$47*(VLOOKUP(E229, 'PlayerGrades+'!$X$3:$Y$23, 2, FALSE)))+('PlayerGrades+'!$Y$48*(VLOOKUP(G229, 'PlayerGrades+'!$X$3:$Y$23, 2, FALSE)))+('PlayerGrades+'!$Y$49*(VLOOKUP(I229, 'PlayerGrades+'!$X$3:$Y$23, 2, FALSE)))+('PlayerGrades+'!$Y$50*(VLOOKUP(K229, 'PlayerGrades+'!$X$3:$Y$23, 2, FALSE)))+('PlayerGrades+'!$Y$51*(VLOOKUP(M229, 'PlayerGrades+'!$X$3:$Y$23, 2, FALSE)))+('PlayerGrades+'!$Y$52*(VLOOKUP(O229, 'PlayerGrades+'!$X$3:$Y$23, 2, FALSE)))+('PlayerGrades+'!$Y$53*(VLOOKUP(Q229, 'PlayerGrades+'!$X$3:$Y$23, 2, FALSE)))+('PlayerGrades+'!$Y$54*(VLOOKUP(S229, 'PlayerGrades+'!$X$3:$Y$23, 2, FALSE)))+('PlayerGrades+'!$Y$55*(VLOOKUP(U229, 'PlayerGrades+'!$X$3:$Y$23, 2, FALSE)))</f>
        <v>#DIV/0!</v>
      </c>
      <c r="D229" s="961" t="str">
        <f t="shared" si="1"/>
        <v>#DIV/0!</v>
      </c>
      <c r="E229" s="961" t="str">
        <f>IF(D229&lt;'PlayerGrades+'!$AA$21,"F-",IF(D229&lt;'PlayerGrades+'!$AA$20,"F",IF(D229&lt;'PlayerGrades+'!$AA$19,"F+",IF(D229&lt;'PlayerGrades+'!$AA$18,"E-",IF(D229&lt;'PlayerGrades+'!$AA$17,"E",IF(D229&lt;'PlayerGrades+'!$AA$16,"E+",IF(D229&lt;'PlayerGrades+'!$AA$15,"D-",IF(D229&lt;'PlayerGrades+'!$AA$14,"D",IF(D229&lt;'PlayerGrades+'!$AA$13,"D+",IF(D229&lt;'PlayerGrades+'!$AA$12,"C-",IF(D229&lt;'PlayerGrades+'!$AA$11,"C",IF(D229&lt;'PlayerGrades+'!$AA$10,"C+",IF(D229&lt;'PlayerGrades+'!$AA$9,"B-",IF(D229&lt;'PlayerGrades+'!$AA$8,"B",IF(D229&lt;'PlayerGrades+'!$AA$7,"B+",IF(D229&lt;'PlayerGrades+'!$AA$6,"A-",IF(D229&lt;'PlayerGrades+'!$AA$5,"A",IF(D229&lt;'PlayerGrades+'!$AA$4,"A+",IF(D229&lt;'PlayerGrades+'!$AA$3,"S-",IF(D229&lt;'PlayerGrades+'!$AA$2,"S","S+"))))))))))))))))))))</f>
        <v>#DIV/0!</v>
      </c>
      <c r="F229" s="961" t="str">
        <f t="shared" si="2"/>
        <v>#DIV/0!</v>
      </c>
      <c r="G229" s="961" t="str">
        <f>IF(F229&lt;'PlayerGrades+'!$AB$21,"F-",IF(F229&lt;'PlayerGrades+'!$AB$20,"F",IF(F229&lt;'PlayerGrades+'!$AB$19,"F+",IF(F229&lt;'PlayerGrades+'!$AB$18,"E-",IF(F229&lt;'PlayerGrades+'!$AB$17,"E",IF(F229&lt;'PlayerGrades+'!$AB$16,"E+",IF(F229&lt;'PlayerGrades+'!$AB$15,"D-",IF(F229&lt;'PlayerGrades+'!$AB$14,"D",IF(F229&lt;'PlayerGrades+'!$AB$13,"D+",IF(F229&lt;'PlayerGrades+'!$AB$12,"C-",IF(F229&lt;'PlayerGrades+'!$AB$11,"C",IF(F229&lt;'PlayerGrades+'!$AB$10,"C+",IF(F229&lt;'PlayerGrades+'!$AB$9,"B-",IF(F229&lt;'PlayerGrades+'!$AB$8,"B",IF(F229&lt;'PlayerGrades+'!$AB$7,"B+",IF(F229&lt;'PlayerGrades+'!$AB$6,"A-",IF(F229&lt;'PlayerGrades+'!$AB$5,"A",IF(F229&lt;'PlayerGrades+'!$AB$4,"A+",IF(F229&lt;'PlayerGrades+'!$AB$3,"S-",IF(F229&lt;'PlayerGrades+'!$AB$2,"S","S+"))))))))))))))))))))</f>
        <v>#DIV/0!</v>
      </c>
      <c r="H229" s="961" t="str">
        <f t="shared" si="3"/>
        <v>#DIV/0!</v>
      </c>
      <c r="I229" s="961" t="str">
        <f>IF(H229&lt;'PlayerGrades+'!$AC$21,"F-",IF(H229&lt;'PlayerGrades+'!$AC$20,"F",IF(H229&lt;'PlayerGrades+'!$AC$19,"F+",IF(H229&lt;'PlayerGrades+'!$AC$18,"E-",IF(H229&lt;'PlayerGrades+'!$AC$17,"E",IF(H229&lt;'PlayerGrades+'!$AC$16,"E+",IF(H229&lt;'PlayerGrades+'!$AC$15,"D-",IF(H229&lt;'PlayerGrades+'!$AC$14,"D",IF(H229&lt;'PlayerGrades+'!$AC$13,"D+",IF(H229&lt;'PlayerGrades+'!$AC$12,"C-",IF(H229&lt;'PlayerGrades+'!$AC$11,"C",IF(H229&lt;'PlayerGrades+'!$AC$10,"C+",IF(H229&lt;'PlayerGrades+'!$AC$9,"B-",IF(H229&lt;'PlayerGrades+'!$AC$8,"B",IF(H229&lt;'PlayerGrades+'!$AC$7,"B+",IF(H229&lt;'PlayerGrades+'!$AC$6,"A-",IF(H229&lt;'PlayerGrades+'!$AC$5,"A",IF(H229&lt;'PlayerGrades+'!$AC$4,"A+",IF(H229&lt;'PlayerGrades+'!$AC$3,"S-",IF(H229&lt;'PlayerGrades+'!$AC$2,"S","S+"))))))))))))))))))))</f>
        <v>#DIV/0!</v>
      </c>
      <c r="J229" s="961" t="str">
        <f t="shared" si="4"/>
        <v>#DIV/0!</v>
      </c>
      <c r="K229" s="961" t="str">
        <f>IF(J229&lt;'PlayerGrades+'!$AD$21,"F-",IF(J229&lt;'PlayerGrades+'!$AD$20,"F",IF(J229&lt;'PlayerGrades+'!$AD$19,"F+",IF(J229&lt;'PlayerGrades+'!$AD$18,"E-",IF(J229&lt;'PlayerGrades+'!$AD$17,"E",IF(J229&lt;'PlayerGrades+'!$AD$16,"E+",IF(J229&lt;'PlayerGrades+'!$AD$15,"D-",IF(J229&lt;'PlayerGrades+'!$AD$14,"D",IF(J229&lt;'PlayerGrades+'!$AD$13,"D+",IF(J229&lt;'PlayerGrades+'!$AD$12,"C-",IF(J229&lt;'PlayerGrades+'!$AD$11,"C",IF(J229&lt;'PlayerGrades+'!$AD$10,"C+",IF(J229&lt;'PlayerGrades+'!$AD$9,"B-",IF(J229&lt;'PlayerGrades+'!$AD$8,"B",IF(J229&lt;'PlayerGrades+'!$AD$7,"B+",IF(J229&lt;'PlayerGrades+'!$AD$6,"A-",IF(J229&lt;'PlayerGrades+'!$AD$5,"A",IF(J229&lt;'PlayerGrades+'!$AD$4,"A+",IF(J229&lt;'PlayerGrades+'!$AD$3,"S-",IF(J229&lt;'PlayerGrades+'!$AD$2,"S","S+"))))))))))))))))))))</f>
        <v>#DIV/0!</v>
      </c>
      <c r="L229" s="1176" t="str">
        <f t="shared" si="5"/>
        <v>#DIV/0!</v>
      </c>
      <c r="M229" s="992" t="str">
        <f>IF(L229&lt;'PlayerGrades+'!$AE$21,"F-",IF(L229&lt;'PlayerGrades+'!$AE$20,"F",IF(L229&lt;'PlayerGrades+'!$AE$19,"F+",IF(L229&lt;'PlayerGrades+'!$AE$18,"E-",IF(L229&lt;'PlayerGrades+'!$AE$17,"E",IF(L229&lt;'PlayerGrades+'!$AE$16,"E+",IF(L229&lt;'PlayerGrades+'!$AE$15,"D-",IF(L229&lt;'PlayerGrades+'!$AE$14,"D",IF(L229&lt;'PlayerGrades+'!$AE$13,"D+",IF(L229&lt;'PlayerGrades+'!$AE$12,"C-",IF(L229&lt;'PlayerGrades+'!$AE$11,"C",IF(L229&lt;'PlayerGrades+'!$AE$10,"C+",IF(L229&lt;'PlayerGrades+'!$AE$9,"B-",IF(L229&lt;'PlayerGrades+'!$AE$8,"B",IF(L229&lt;'PlayerGrades+'!$AE$7,"B+",IF(L229&lt;'PlayerGrades+'!$AE$6,"A-",IF(L229&lt;'PlayerGrades+'!$AE$5,"A",IF(L229&lt;'PlayerGrades+'!$AE$4,"A+",IF(L229&lt;'PlayerGrades+'!$AE$3,"S-",IF(L229&lt;'PlayerGrades+'!$AE$2,"S","S+"))))))))))))))))))))</f>
        <v>#DIV/0!</v>
      </c>
      <c r="N229" s="961" t="str">
        <f t="shared" si="6"/>
        <v>#DIV/0!</v>
      </c>
      <c r="O229" s="961" t="str">
        <f>IF(N229&lt;'PlayerGrades+'!$AF$21,"F-",IF(N229&lt;'PlayerGrades+'!$AF$20,"F",IF(N229&lt;'PlayerGrades+'!$AF$19,"F+",IF(N229&lt;'PlayerGrades+'!$AF$18,"E-",IF(N229&lt;'PlayerGrades+'!$AF$17,"E",IF(N229&lt;'PlayerGrades+'!$AF$16,"E+",IF(N229&lt;'PlayerGrades+'!$AF$15,"D-",IF(N229&lt;'PlayerGrades+'!$AF$14,"D",IF(N229&lt;'PlayerGrades+'!$AF$13,"D+",IF(N229&lt;'PlayerGrades+'!$AF$12,"C-",IF(N229&lt;'PlayerGrades+'!$AF$11,"C",IF(N229&lt;'PlayerGrades+'!$AF$10,"C+",IF(N229&lt;'PlayerGrades+'!$AF$9,"B-",IF(N229&lt;'PlayerGrades+'!$AF$8,"B",IF(N229&lt;'PlayerGrades+'!$AF$7,"B+",IF(N229&lt;'PlayerGrades+'!$AF$6,"A-",IF(N229&lt;'PlayerGrades+'!$AF$5,"A",IF(N229&lt;'PlayerGrades+'!$AF$4,"A+",IF(N229&lt;'PlayerGrades+'!$AF$3,"S-",IF(N229&lt;'PlayerGrades+'!$AF$2,"S","S+"))))))))))))))))))))</f>
        <v>#DIV/0!</v>
      </c>
      <c r="P229" s="961" t="str">
        <f t="shared" si="7"/>
        <v>#DIV/0!</v>
      </c>
      <c r="Q229" s="961" t="str">
        <f>IF(P229&lt;'PlayerGrades+'!$AG$21,"F-",IF(P229&lt;'PlayerGrades+'!$AG$20,"F",IF(P229&lt;'PlayerGrades+'!$AG$19,"F+",IF(P229&lt;'PlayerGrades+'!$AG$18,"E-",IF(P229&lt;'PlayerGrades+'!$AG$17,"E",IF(P229&lt;'PlayerGrades+'!$AG$16,"E+",IF(P229&lt;'PlayerGrades+'!$AG$15,"D-",IF(P229&lt;'PlayerGrades+'!$AG$14,"D",IF(P229&lt;'PlayerGrades+'!$AG$13,"D+",IF(P229&lt;'PlayerGrades+'!$AG$12,"C-",IF(P229&lt;'PlayerGrades+'!$AG$11,"C",IF(P229&lt;'PlayerGrades+'!$AG$10,"C+",IF(P229&lt;'PlayerGrades+'!$AG$9,"B-",IF(P229&lt;'PlayerGrades+'!$AG$8,"B",IF(P229&lt;'PlayerGrades+'!$AG$7,"B+",IF(P229&lt;'PlayerGrades+'!$AG$6,"A-",IF(P229&lt;'PlayerGrades+'!$AG$5,"A",IF(P229&lt;'PlayerGrades+'!$AG$4,"A+",IF(P229&lt;'PlayerGrades+'!$AG$3,"S-",IF(P229&lt;'PlayerGrades+'!$AG$2,"S","S+"))))))))))))))))))))</f>
        <v>#DIV/0!</v>
      </c>
      <c r="R229" s="961" t="str">
        <f t="shared" si="8"/>
        <v>#DIV/0!</v>
      </c>
      <c r="S229" s="961" t="str">
        <f>IF(R229&lt;'PlayerGrades+'!$AH$21,"F-",IF(R229&lt;'PlayerGrades+'!$AH$20,"F",IF(R229&lt;'PlayerGrades+'!$AH$19,"F+",IF(R229&lt;'PlayerGrades+'!$AH$18,"E-",IF(R229&lt;'PlayerGrades+'!$AH$17,"E",IF(R229&lt;'PlayerGrades+'!$AH$16,"E+",IF(R229&lt;'PlayerGrades+'!$AH$15,"D-",IF(R229&lt;'PlayerGrades+'!$AH$14,"D",IF(R229&lt;'PlayerGrades+'!$AH$13,"D+",IF(R229&lt;'PlayerGrades+'!$AH$12,"C-",IF(R229&lt;'PlayerGrades+'!$AH$11,"C",IF(R229&lt;'PlayerGrades+'!$AH$10,"C+",IF(R229&lt;'PlayerGrades+'!$AH$9,"B-",IF(R229&lt;'PlayerGrades+'!$AH$8,"B",IF(R229&lt;'PlayerGrades+'!$AH$7,"B+",IF(R229&lt;'PlayerGrades+'!$AH$6,"A-",IF(R229&lt;'PlayerGrades+'!$AH$5,"A",IF(R229&lt;'PlayerGrades+'!$AH$4,"A+",IF(R229&lt;'PlayerGrades+'!$AH$3,"S-",IF(R229&lt;'PlayerGrades+'!$AH$2,"S","S+"))))))))))))))))))))</f>
        <v>#DIV/0!</v>
      </c>
      <c r="T229" s="961">
        <f t="shared" si="9"/>
        <v>0</v>
      </c>
      <c r="U229" s="961" t="str">
        <f>IF(T229&lt;'PlayerGrades+'!$AI$21,"F-",IF(T229&lt;'PlayerGrades+'!$AI$20,"F",IF(T229&lt;'PlayerGrades+'!$AI$19,"F+",IF(T229&lt;'PlayerGrades+'!$AI$18,"E-",IF(T229&lt;'PlayerGrades+'!$AI$17,"E",IF(T229&lt;'PlayerGrades+'!$AI$16,"E+",IF(T229&lt;'PlayerGrades+'!$AI$15,"D-",IF(T229&lt;'PlayerGrades+'!$AI$14,"D",IF(T229&lt;'PlayerGrades+'!$AI$13,"D+",IF(T229&lt;'PlayerGrades+'!$AI$12,"C-",IF(T229&lt;'PlayerGrades+'!$AI$11,"C",IF(T229&lt;'PlayerGrades+'!$AI$10,"C+",IF(T229&lt;'PlayerGrades+'!$AI$9,"B-",IF(T229&lt;'PlayerGrades+'!$AI$8,"B",IF(T229&lt;'PlayerGrades+'!$AI$7,"B+",IF(T229&lt;'PlayerGrades+'!$AI$6,"A-",IF(T229&lt;'PlayerGrades+'!$AI$5,"A",IF(T229&lt;'PlayerGrades+'!$AI$4,"A+",IF(T229&lt;'PlayerGrades+'!$AI$3,"S-",IF(T229&lt;'PlayerGrades+'!$AI$2,"S","S+"))))))))))))))))))))</f>
        <v>F-</v>
      </c>
      <c r="AC229" s="1392"/>
    </row>
    <row r="230">
      <c r="A230" s="1391"/>
      <c r="B230" s="611" t="str">
        <f>IF(C230&lt;'PlayerGrades+'!$Y$44,"F-",IF(C230&lt;'PlayerGrades+'!$Y$43,"F",IF(C230&lt;'PlayerGrades+'!$Y$42,"F+",IF(C230&lt;'PlayerGrades+'!$Y$41,"E-",IF(C230&lt;'PlayerGrades+'!$Y$40,"E",IF(C230&lt;'PlayerGrades+'!$Y$39,"E+",IF(C230&lt;'PlayerGrades+'!$Y$38,"D-",IF(C230&lt;'PlayerGrades+'!$Y$37,"D",IF(C230&lt;'PlayerGrades+'!$Y$36,"D+",IF(C230&lt;'PlayerGrades+'!$Y$35,"C-",IF(C230&lt;'PlayerGrades+'!$Y$34,"C",IF(C230&lt;'PlayerGrades+'!$Y$33,"C+",IF(C230&lt;'PlayerGrades+'!$Y$32,"B-",IF(C230&lt;'PlayerGrades+'!$Y$31,"B",IF(C230&lt;'PlayerGrades+'!$Y$30,"B+",IF(C230&lt;'PlayerGrades+'!$Y$29,"A-",IF(C230&lt;'PlayerGrades+'!$Y$28,"A",IF(C230&lt;'PlayerGrades+'!$Y$27,"A+",IF(C230&lt;'PlayerGrades+'!$Y$26,"S-",IF(C230&lt;'PlayerGrades+'!$Y$25,"S","S+"))))))))))))))))))))</f>
        <v>#DIV/0!</v>
      </c>
      <c r="C230" s="1378" t="str">
        <f>('PlayerGrades+'!$Y$47*(VLOOKUP(E230, 'PlayerGrades+'!$X$3:$Y$23, 2, FALSE)))+('PlayerGrades+'!$Y$48*(VLOOKUP(G230, 'PlayerGrades+'!$X$3:$Y$23, 2, FALSE)))+('PlayerGrades+'!$Y$49*(VLOOKUP(I230, 'PlayerGrades+'!$X$3:$Y$23, 2, FALSE)))+('PlayerGrades+'!$Y$50*(VLOOKUP(K230, 'PlayerGrades+'!$X$3:$Y$23, 2, FALSE)))+('PlayerGrades+'!$Y$51*(VLOOKUP(M230, 'PlayerGrades+'!$X$3:$Y$23, 2, FALSE)))+('PlayerGrades+'!$Y$52*(VLOOKUP(O230, 'PlayerGrades+'!$X$3:$Y$23, 2, FALSE)))+('PlayerGrades+'!$Y$53*(VLOOKUP(Q230, 'PlayerGrades+'!$X$3:$Y$23, 2, FALSE)))+('PlayerGrades+'!$Y$54*(VLOOKUP(S230, 'PlayerGrades+'!$X$3:$Y$23, 2, FALSE)))+('PlayerGrades+'!$Y$55*(VLOOKUP(U230, 'PlayerGrades+'!$X$3:$Y$23, 2, FALSE)))</f>
        <v>#DIV/0!</v>
      </c>
      <c r="D230" s="961" t="str">
        <f t="shared" si="1"/>
        <v>#DIV/0!</v>
      </c>
      <c r="E230" s="961" t="str">
        <f>IF(D230&lt;'PlayerGrades+'!$AA$21,"F-",IF(D230&lt;'PlayerGrades+'!$AA$20,"F",IF(D230&lt;'PlayerGrades+'!$AA$19,"F+",IF(D230&lt;'PlayerGrades+'!$AA$18,"E-",IF(D230&lt;'PlayerGrades+'!$AA$17,"E",IF(D230&lt;'PlayerGrades+'!$AA$16,"E+",IF(D230&lt;'PlayerGrades+'!$AA$15,"D-",IF(D230&lt;'PlayerGrades+'!$AA$14,"D",IF(D230&lt;'PlayerGrades+'!$AA$13,"D+",IF(D230&lt;'PlayerGrades+'!$AA$12,"C-",IF(D230&lt;'PlayerGrades+'!$AA$11,"C",IF(D230&lt;'PlayerGrades+'!$AA$10,"C+",IF(D230&lt;'PlayerGrades+'!$AA$9,"B-",IF(D230&lt;'PlayerGrades+'!$AA$8,"B",IF(D230&lt;'PlayerGrades+'!$AA$7,"B+",IF(D230&lt;'PlayerGrades+'!$AA$6,"A-",IF(D230&lt;'PlayerGrades+'!$AA$5,"A",IF(D230&lt;'PlayerGrades+'!$AA$4,"A+",IF(D230&lt;'PlayerGrades+'!$AA$3,"S-",IF(D230&lt;'PlayerGrades+'!$AA$2,"S","S+"))))))))))))))))))))</f>
        <v>#DIV/0!</v>
      </c>
      <c r="F230" s="961" t="str">
        <f t="shared" si="2"/>
        <v>#DIV/0!</v>
      </c>
      <c r="G230" s="961" t="str">
        <f>IF(F230&lt;'PlayerGrades+'!$AB$21,"F-",IF(F230&lt;'PlayerGrades+'!$AB$20,"F",IF(F230&lt;'PlayerGrades+'!$AB$19,"F+",IF(F230&lt;'PlayerGrades+'!$AB$18,"E-",IF(F230&lt;'PlayerGrades+'!$AB$17,"E",IF(F230&lt;'PlayerGrades+'!$AB$16,"E+",IF(F230&lt;'PlayerGrades+'!$AB$15,"D-",IF(F230&lt;'PlayerGrades+'!$AB$14,"D",IF(F230&lt;'PlayerGrades+'!$AB$13,"D+",IF(F230&lt;'PlayerGrades+'!$AB$12,"C-",IF(F230&lt;'PlayerGrades+'!$AB$11,"C",IF(F230&lt;'PlayerGrades+'!$AB$10,"C+",IF(F230&lt;'PlayerGrades+'!$AB$9,"B-",IF(F230&lt;'PlayerGrades+'!$AB$8,"B",IF(F230&lt;'PlayerGrades+'!$AB$7,"B+",IF(F230&lt;'PlayerGrades+'!$AB$6,"A-",IF(F230&lt;'PlayerGrades+'!$AB$5,"A",IF(F230&lt;'PlayerGrades+'!$AB$4,"A+",IF(F230&lt;'PlayerGrades+'!$AB$3,"S-",IF(F230&lt;'PlayerGrades+'!$AB$2,"S","S+"))))))))))))))))))))</f>
        <v>#DIV/0!</v>
      </c>
      <c r="H230" s="961" t="str">
        <f t="shared" si="3"/>
        <v>#DIV/0!</v>
      </c>
      <c r="I230" s="961" t="str">
        <f>IF(H230&lt;'PlayerGrades+'!$AC$21,"F-",IF(H230&lt;'PlayerGrades+'!$AC$20,"F",IF(H230&lt;'PlayerGrades+'!$AC$19,"F+",IF(H230&lt;'PlayerGrades+'!$AC$18,"E-",IF(H230&lt;'PlayerGrades+'!$AC$17,"E",IF(H230&lt;'PlayerGrades+'!$AC$16,"E+",IF(H230&lt;'PlayerGrades+'!$AC$15,"D-",IF(H230&lt;'PlayerGrades+'!$AC$14,"D",IF(H230&lt;'PlayerGrades+'!$AC$13,"D+",IF(H230&lt;'PlayerGrades+'!$AC$12,"C-",IF(H230&lt;'PlayerGrades+'!$AC$11,"C",IF(H230&lt;'PlayerGrades+'!$AC$10,"C+",IF(H230&lt;'PlayerGrades+'!$AC$9,"B-",IF(H230&lt;'PlayerGrades+'!$AC$8,"B",IF(H230&lt;'PlayerGrades+'!$AC$7,"B+",IF(H230&lt;'PlayerGrades+'!$AC$6,"A-",IF(H230&lt;'PlayerGrades+'!$AC$5,"A",IF(H230&lt;'PlayerGrades+'!$AC$4,"A+",IF(H230&lt;'PlayerGrades+'!$AC$3,"S-",IF(H230&lt;'PlayerGrades+'!$AC$2,"S","S+"))))))))))))))))))))</f>
        <v>#DIV/0!</v>
      </c>
      <c r="J230" s="961" t="str">
        <f t="shared" si="4"/>
        <v>#DIV/0!</v>
      </c>
      <c r="K230" s="961" t="str">
        <f>IF(J230&lt;'PlayerGrades+'!$AD$21,"F-",IF(J230&lt;'PlayerGrades+'!$AD$20,"F",IF(J230&lt;'PlayerGrades+'!$AD$19,"F+",IF(J230&lt;'PlayerGrades+'!$AD$18,"E-",IF(J230&lt;'PlayerGrades+'!$AD$17,"E",IF(J230&lt;'PlayerGrades+'!$AD$16,"E+",IF(J230&lt;'PlayerGrades+'!$AD$15,"D-",IF(J230&lt;'PlayerGrades+'!$AD$14,"D",IF(J230&lt;'PlayerGrades+'!$AD$13,"D+",IF(J230&lt;'PlayerGrades+'!$AD$12,"C-",IF(J230&lt;'PlayerGrades+'!$AD$11,"C",IF(J230&lt;'PlayerGrades+'!$AD$10,"C+",IF(J230&lt;'PlayerGrades+'!$AD$9,"B-",IF(J230&lt;'PlayerGrades+'!$AD$8,"B",IF(J230&lt;'PlayerGrades+'!$AD$7,"B+",IF(J230&lt;'PlayerGrades+'!$AD$6,"A-",IF(J230&lt;'PlayerGrades+'!$AD$5,"A",IF(J230&lt;'PlayerGrades+'!$AD$4,"A+",IF(J230&lt;'PlayerGrades+'!$AD$3,"S-",IF(J230&lt;'PlayerGrades+'!$AD$2,"S","S+"))))))))))))))))))))</f>
        <v>#DIV/0!</v>
      </c>
      <c r="L230" s="1176" t="str">
        <f t="shared" si="5"/>
        <v>#DIV/0!</v>
      </c>
      <c r="M230" s="992" t="str">
        <f>IF(L230&lt;'PlayerGrades+'!$AE$21,"F-",IF(L230&lt;'PlayerGrades+'!$AE$20,"F",IF(L230&lt;'PlayerGrades+'!$AE$19,"F+",IF(L230&lt;'PlayerGrades+'!$AE$18,"E-",IF(L230&lt;'PlayerGrades+'!$AE$17,"E",IF(L230&lt;'PlayerGrades+'!$AE$16,"E+",IF(L230&lt;'PlayerGrades+'!$AE$15,"D-",IF(L230&lt;'PlayerGrades+'!$AE$14,"D",IF(L230&lt;'PlayerGrades+'!$AE$13,"D+",IF(L230&lt;'PlayerGrades+'!$AE$12,"C-",IF(L230&lt;'PlayerGrades+'!$AE$11,"C",IF(L230&lt;'PlayerGrades+'!$AE$10,"C+",IF(L230&lt;'PlayerGrades+'!$AE$9,"B-",IF(L230&lt;'PlayerGrades+'!$AE$8,"B",IF(L230&lt;'PlayerGrades+'!$AE$7,"B+",IF(L230&lt;'PlayerGrades+'!$AE$6,"A-",IF(L230&lt;'PlayerGrades+'!$AE$5,"A",IF(L230&lt;'PlayerGrades+'!$AE$4,"A+",IF(L230&lt;'PlayerGrades+'!$AE$3,"S-",IF(L230&lt;'PlayerGrades+'!$AE$2,"S","S+"))))))))))))))))))))</f>
        <v>#DIV/0!</v>
      </c>
      <c r="N230" s="961" t="str">
        <f t="shared" si="6"/>
        <v>#DIV/0!</v>
      </c>
      <c r="O230" s="961" t="str">
        <f>IF(N230&lt;'PlayerGrades+'!$AF$21,"F-",IF(N230&lt;'PlayerGrades+'!$AF$20,"F",IF(N230&lt;'PlayerGrades+'!$AF$19,"F+",IF(N230&lt;'PlayerGrades+'!$AF$18,"E-",IF(N230&lt;'PlayerGrades+'!$AF$17,"E",IF(N230&lt;'PlayerGrades+'!$AF$16,"E+",IF(N230&lt;'PlayerGrades+'!$AF$15,"D-",IF(N230&lt;'PlayerGrades+'!$AF$14,"D",IF(N230&lt;'PlayerGrades+'!$AF$13,"D+",IF(N230&lt;'PlayerGrades+'!$AF$12,"C-",IF(N230&lt;'PlayerGrades+'!$AF$11,"C",IF(N230&lt;'PlayerGrades+'!$AF$10,"C+",IF(N230&lt;'PlayerGrades+'!$AF$9,"B-",IF(N230&lt;'PlayerGrades+'!$AF$8,"B",IF(N230&lt;'PlayerGrades+'!$AF$7,"B+",IF(N230&lt;'PlayerGrades+'!$AF$6,"A-",IF(N230&lt;'PlayerGrades+'!$AF$5,"A",IF(N230&lt;'PlayerGrades+'!$AF$4,"A+",IF(N230&lt;'PlayerGrades+'!$AF$3,"S-",IF(N230&lt;'PlayerGrades+'!$AF$2,"S","S+"))))))))))))))))))))</f>
        <v>#DIV/0!</v>
      </c>
      <c r="P230" s="961" t="str">
        <f t="shared" si="7"/>
        <v>#DIV/0!</v>
      </c>
      <c r="Q230" s="961" t="str">
        <f>IF(P230&lt;'PlayerGrades+'!$AG$21,"F-",IF(P230&lt;'PlayerGrades+'!$AG$20,"F",IF(P230&lt;'PlayerGrades+'!$AG$19,"F+",IF(P230&lt;'PlayerGrades+'!$AG$18,"E-",IF(P230&lt;'PlayerGrades+'!$AG$17,"E",IF(P230&lt;'PlayerGrades+'!$AG$16,"E+",IF(P230&lt;'PlayerGrades+'!$AG$15,"D-",IF(P230&lt;'PlayerGrades+'!$AG$14,"D",IF(P230&lt;'PlayerGrades+'!$AG$13,"D+",IF(P230&lt;'PlayerGrades+'!$AG$12,"C-",IF(P230&lt;'PlayerGrades+'!$AG$11,"C",IF(P230&lt;'PlayerGrades+'!$AG$10,"C+",IF(P230&lt;'PlayerGrades+'!$AG$9,"B-",IF(P230&lt;'PlayerGrades+'!$AG$8,"B",IF(P230&lt;'PlayerGrades+'!$AG$7,"B+",IF(P230&lt;'PlayerGrades+'!$AG$6,"A-",IF(P230&lt;'PlayerGrades+'!$AG$5,"A",IF(P230&lt;'PlayerGrades+'!$AG$4,"A+",IF(P230&lt;'PlayerGrades+'!$AG$3,"S-",IF(P230&lt;'PlayerGrades+'!$AG$2,"S","S+"))))))))))))))))))))</f>
        <v>#DIV/0!</v>
      </c>
      <c r="R230" s="961" t="str">
        <f t="shared" si="8"/>
        <v>#DIV/0!</v>
      </c>
      <c r="S230" s="961" t="str">
        <f>IF(R230&lt;'PlayerGrades+'!$AH$21,"F-",IF(R230&lt;'PlayerGrades+'!$AH$20,"F",IF(R230&lt;'PlayerGrades+'!$AH$19,"F+",IF(R230&lt;'PlayerGrades+'!$AH$18,"E-",IF(R230&lt;'PlayerGrades+'!$AH$17,"E",IF(R230&lt;'PlayerGrades+'!$AH$16,"E+",IF(R230&lt;'PlayerGrades+'!$AH$15,"D-",IF(R230&lt;'PlayerGrades+'!$AH$14,"D",IF(R230&lt;'PlayerGrades+'!$AH$13,"D+",IF(R230&lt;'PlayerGrades+'!$AH$12,"C-",IF(R230&lt;'PlayerGrades+'!$AH$11,"C",IF(R230&lt;'PlayerGrades+'!$AH$10,"C+",IF(R230&lt;'PlayerGrades+'!$AH$9,"B-",IF(R230&lt;'PlayerGrades+'!$AH$8,"B",IF(R230&lt;'PlayerGrades+'!$AH$7,"B+",IF(R230&lt;'PlayerGrades+'!$AH$6,"A-",IF(R230&lt;'PlayerGrades+'!$AH$5,"A",IF(R230&lt;'PlayerGrades+'!$AH$4,"A+",IF(R230&lt;'PlayerGrades+'!$AH$3,"S-",IF(R230&lt;'PlayerGrades+'!$AH$2,"S","S+"))))))))))))))))))))</f>
        <v>#DIV/0!</v>
      </c>
      <c r="T230" s="961">
        <f t="shared" si="9"/>
        <v>0</v>
      </c>
      <c r="U230" s="961" t="str">
        <f>IF(T230&lt;'PlayerGrades+'!$AI$21,"F-",IF(T230&lt;'PlayerGrades+'!$AI$20,"F",IF(T230&lt;'PlayerGrades+'!$AI$19,"F+",IF(T230&lt;'PlayerGrades+'!$AI$18,"E-",IF(T230&lt;'PlayerGrades+'!$AI$17,"E",IF(T230&lt;'PlayerGrades+'!$AI$16,"E+",IF(T230&lt;'PlayerGrades+'!$AI$15,"D-",IF(T230&lt;'PlayerGrades+'!$AI$14,"D",IF(T230&lt;'PlayerGrades+'!$AI$13,"D+",IF(T230&lt;'PlayerGrades+'!$AI$12,"C-",IF(T230&lt;'PlayerGrades+'!$AI$11,"C",IF(T230&lt;'PlayerGrades+'!$AI$10,"C+",IF(T230&lt;'PlayerGrades+'!$AI$9,"B-",IF(T230&lt;'PlayerGrades+'!$AI$8,"B",IF(T230&lt;'PlayerGrades+'!$AI$7,"B+",IF(T230&lt;'PlayerGrades+'!$AI$6,"A-",IF(T230&lt;'PlayerGrades+'!$AI$5,"A",IF(T230&lt;'PlayerGrades+'!$AI$4,"A+",IF(T230&lt;'PlayerGrades+'!$AI$3,"S-",IF(T230&lt;'PlayerGrades+'!$AI$2,"S","S+"))))))))))))))))))))</f>
        <v>F-</v>
      </c>
      <c r="AC230" s="1392"/>
    </row>
    <row r="231">
      <c r="A231" s="1391"/>
      <c r="B231" s="611" t="str">
        <f>IF(C231&lt;'PlayerGrades+'!$Y$44,"F-",IF(C231&lt;'PlayerGrades+'!$Y$43,"F",IF(C231&lt;'PlayerGrades+'!$Y$42,"F+",IF(C231&lt;'PlayerGrades+'!$Y$41,"E-",IF(C231&lt;'PlayerGrades+'!$Y$40,"E",IF(C231&lt;'PlayerGrades+'!$Y$39,"E+",IF(C231&lt;'PlayerGrades+'!$Y$38,"D-",IF(C231&lt;'PlayerGrades+'!$Y$37,"D",IF(C231&lt;'PlayerGrades+'!$Y$36,"D+",IF(C231&lt;'PlayerGrades+'!$Y$35,"C-",IF(C231&lt;'PlayerGrades+'!$Y$34,"C",IF(C231&lt;'PlayerGrades+'!$Y$33,"C+",IF(C231&lt;'PlayerGrades+'!$Y$32,"B-",IF(C231&lt;'PlayerGrades+'!$Y$31,"B",IF(C231&lt;'PlayerGrades+'!$Y$30,"B+",IF(C231&lt;'PlayerGrades+'!$Y$29,"A-",IF(C231&lt;'PlayerGrades+'!$Y$28,"A",IF(C231&lt;'PlayerGrades+'!$Y$27,"A+",IF(C231&lt;'PlayerGrades+'!$Y$26,"S-",IF(C231&lt;'PlayerGrades+'!$Y$25,"S","S+"))))))))))))))))))))</f>
        <v>#DIV/0!</v>
      </c>
      <c r="C231" s="1378" t="str">
        <f>('PlayerGrades+'!$Y$47*(VLOOKUP(E231, 'PlayerGrades+'!$X$3:$Y$23, 2, FALSE)))+('PlayerGrades+'!$Y$48*(VLOOKUP(G231, 'PlayerGrades+'!$X$3:$Y$23, 2, FALSE)))+('PlayerGrades+'!$Y$49*(VLOOKUP(I231, 'PlayerGrades+'!$X$3:$Y$23, 2, FALSE)))+('PlayerGrades+'!$Y$50*(VLOOKUP(K231, 'PlayerGrades+'!$X$3:$Y$23, 2, FALSE)))+('PlayerGrades+'!$Y$51*(VLOOKUP(M231, 'PlayerGrades+'!$X$3:$Y$23, 2, FALSE)))+('PlayerGrades+'!$Y$52*(VLOOKUP(O231, 'PlayerGrades+'!$X$3:$Y$23, 2, FALSE)))+('PlayerGrades+'!$Y$53*(VLOOKUP(Q231, 'PlayerGrades+'!$X$3:$Y$23, 2, FALSE)))+('PlayerGrades+'!$Y$54*(VLOOKUP(S231, 'PlayerGrades+'!$X$3:$Y$23, 2, FALSE)))+('PlayerGrades+'!$Y$55*(VLOOKUP(U231, 'PlayerGrades+'!$X$3:$Y$23, 2, FALSE)))</f>
        <v>#DIV/0!</v>
      </c>
      <c r="D231" s="961" t="str">
        <f t="shared" si="1"/>
        <v>#DIV/0!</v>
      </c>
      <c r="E231" s="961" t="str">
        <f>IF(D231&lt;'PlayerGrades+'!$AA$21,"F-",IF(D231&lt;'PlayerGrades+'!$AA$20,"F",IF(D231&lt;'PlayerGrades+'!$AA$19,"F+",IF(D231&lt;'PlayerGrades+'!$AA$18,"E-",IF(D231&lt;'PlayerGrades+'!$AA$17,"E",IF(D231&lt;'PlayerGrades+'!$AA$16,"E+",IF(D231&lt;'PlayerGrades+'!$AA$15,"D-",IF(D231&lt;'PlayerGrades+'!$AA$14,"D",IF(D231&lt;'PlayerGrades+'!$AA$13,"D+",IF(D231&lt;'PlayerGrades+'!$AA$12,"C-",IF(D231&lt;'PlayerGrades+'!$AA$11,"C",IF(D231&lt;'PlayerGrades+'!$AA$10,"C+",IF(D231&lt;'PlayerGrades+'!$AA$9,"B-",IF(D231&lt;'PlayerGrades+'!$AA$8,"B",IF(D231&lt;'PlayerGrades+'!$AA$7,"B+",IF(D231&lt;'PlayerGrades+'!$AA$6,"A-",IF(D231&lt;'PlayerGrades+'!$AA$5,"A",IF(D231&lt;'PlayerGrades+'!$AA$4,"A+",IF(D231&lt;'PlayerGrades+'!$AA$3,"S-",IF(D231&lt;'PlayerGrades+'!$AA$2,"S","S+"))))))))))))))))))))</f>
        <v>#DIV/0!</v>
      </c>
      <c r="F231" s="961" t="str">
        <f t="shared" si="2"/>
        <v>#DIV/0!</v>
      </c>
      <c r="G231" s="961" t="str">
        <f>IF(F231&lt;'PlayerGrades+'!$AB$21,"F-",IF(F231&lt;'PlayerGrades+'!$AB$20,"F",IF(F231&lt;'PlayerGrades+'!$AB$19,"F+",IF(F231&lt;'PlayerGrades+'!$AB$18,"E-",IF(F231&lt;'PlayerGrades+'!$AB$17,"E",IF(F231&lt;'PlayerGrades+'!$AB$16,"E+",IF(F231&lt;'PlayerGrades+'!$AB$15,"D-",IF(F231&lt;'PlayerGrades+'!$AB$14,"D",IF(F231&lt;'PlayerGrades+'!$AB$13,"D+",IF(F231&lt;'PlayerGrades+'!$AB$12,"C-",IF(F231&lt;'PlayerGrades+'!$AB$11,"C",IF(F231&lt;'PlayerGrades+'!$AB$10,"C+",IF(F231&lt;'PlayerGrades+'!$AB$9,"B-",IF(F231&lt;'PlayerGrades+'!$AB$8,"B",IF(F231&lt;'PlayerGrades+'!$AB$7,"B+",IF(F231&lt;'PlayerGrades+'!$AB$6,"A-",IF(F231&lt;'PlayerGrades+'!$AB$5,"A",IF(F231&lt;'PlayerGrades+'!$AB$4,"A+",IF(F231&lt;'PlayerGrades+'!$AB$3,"S-",IF(F231&lt;'PlayerGrades+'!$AB$2,"S","S+"))))))))))))))))))))</f>
        <v>#DIV/0!</v>
      </c>
      <c r="H231" s="961" t="str">
        <f t="shared" si="3"/>
        <v>#DIV/0!</v>
      </c>
      <c r="I231" s="961" t="str">
        <f>IF(H231&lt;'PlayerGrades+'!$AC$21,"F-",IF(H231&lt;'PlayerGrades+'!$AC$20,"F",IF(H231&lt;'PlayerGrades+'!$AC$19,"F+",IF(H231&lt;'PlayerGrades+'!$AC$18,"E-",IF(H231&lt;'PlayerGrades+'!$AC$17,"E",IF(H231&lt;'PlayerGrades+'!$AC$16,"E+",IF(H231&lt;'PlayerGrades+'!$AC$15,"D-",IF(H231&lt;'PlayerGrades+'!$AC$14,"D",IF(H231&lt;'PlayerGrades+'!$AC$13,"D+",IF(H231&lt;'PlayerGrades+'!$AC$12,"C-",IF(H231&lt;'PlayerGrades+'!$AC$11,"C",IF(H231&lt;'PlayerGrades+'!$AC$10,"C+",IF(H231&lt;'PlayerGrades+'!$AC$9,"B-",IF(H231&lt;'PlayerGrades+'!$AC$8,"B",IF(H231&lt;'PlayerGrades+'!$AC$7,"B+",IF(H231&lt;'PlayerGrades+'!$AC$6,"A-",IF(H231&lt;'PlayerGrades+'!$AC$5,"A",IF(H231&lt;'PlayerGrades+'!$AC$4,"A+",IF(H231&lt;'PlayerGrades+'!$AC$3,"S-",IF(H231&lt;'PlayerGrades+'!$AC$2,"S","S+"))))))))))))))))))))</f>
        <v>#DIV/0!</v>
      </c>
      <c r="J231" s="961" t="str">
        <f t="shared" si="4"/>
        <v>#DIV/0!</v>
      </c>
      <c r="K231" s="961" t="str">
        <f>IF(J231&lt;'PlayerGrades+'!$AD$21,"F-",IF(J231&lt;'PlayerGrades+'!$AD$20,"F",IF(J231&lt;'PlayerGrades+'!$AD$19,"F+",IF(J231&lt;'PlayerGrades+'!$AD$18,"E-",IF(J231&lt;'PlayerGrades+'!$AD$17,"E",IF(J231&lt;'PlayerGrades+'!$AD$16,"E+",IF(J231&lt;'PlayerGrades+'!$AD$15,"D-",IF(J231&lt;'PlayerGrades+'!$AD$14,"D",IF(J231&lt;'PlayerGrades+'!$AD$13,"D+",IF(J231&lt;'PlayerGrades+'!$AD$12,"C-",IF(J231&lt;'PlayerGrades+'!$AD$11,"C",IF(J231&lt;'PlayerGrades+'!$AD$10,"C+",IF(J231&lt;'PlayerGrades+'!$AD$9,"B-",IF(J231&lt;'PlayerGrades+'!$AD$8,"B",IF(J231&lt;'PlayerGrades+'!$AD$7,"B+",IF(J231&lt;'PlayerGrades+'!$AD$6,"A-",IF(J231&lt;'PlayerGrades+'!$AD$5,"A",IF(J231&lt;'PlayerGrades+'!$AD$4,"A+",IF(J231&lt;'PlayerGrades+'!$AD$3,"S-",IF(J231&lt;'PlayerGrades+'!$AD$2,"S","S+"))))))))))))))))))))</f>
        <v>#DIV/0!</v>
      </c>
      <c r="L231" s="1176" t="str">
        <f t="shared" si="5"/>
        <v>#DIV/0!</v>
      </c>
      <c r="M231" s="992" t="str">
        <f>IF(L231&lt;'PlayerGrades+'!$AE$21,"F-",IF(L231&lt;'PlayerGrades+'!$AE$20,"F",IF(L231&lt;'PlayerGrades+'!$AE$19,"F+",IF(L231&lt;'PlayerGrades+'!$AE$18,"E-",IF(L231&lt;'PlayerGrades+'!$AE$17,"E",IF(L231&lt;'PlayerGrades+'!$AE$16,"E+",IF(L231&lt;'PlayerGrades+'!$AE$15,"D-",IF(L231&lt;'PlayerGrades+'!$AE$14,"D",IF(L231&lt;'PlayerGrades+'!$AE$13,"D+",IF(L231&lt;'PlayerGrades+'!$AE$12,"C-",IF(L231&lt;'PlayerGrades+'!$AE$11,"C",IF(L231&lt;'PlayerGrades+'!$AE$10,"C+",IF(L231&lt;'PlayerGrades+'!$AE$9,"B-",IF(L231&lt;'PlayerGrades+'!$AE$8,"B",IF(L231&lt;'PlayerGrades+'!$AE$7,"B+",IF(L231&lt;'PlayerGrades+'!$AE$6,"A-",IF(L231&lt;'PlayerGrades+'!$AE$5,"A",IF(L231&lt;'PlayerGrades+'!$AE$4,"A+",IF(L231&lt;'PlayerGrades+'!$AE$3,"S-",IF(L231&lt;'PlayerGrades+'!$AE$2,"S","S+"))))))))))))))))))))</f>
        <v>#DIV/0!</v>
      </c>
      <c r="N231" s="961" t="str">
        <f t="shared" si="6"/>
        <v>#DIV/0!</v>
      </c>
      <c r="O231" s="961" t="str">
        <f>IF(N231&lt;'PlayerGrades+'!$AF$21,"F-",IF(N231&lt;'PlayerGrades+'!$AF$20,"F",IF(N231&lt;'PlayerGrades+'!$AF$19,"F+",IF(N231&lt;'PlayerGrades+'!$AF$18,"E-",IF(N231&lt;'PlayerGrades+'!$AF$17,"E",IF(N231&lt;'PlayerGrades+'!$AF$16,"E+",IF(N231&lt;'PlayerGrades+'!$AF$15,"D-",IF(N231&lt;'PlayerGrades+'!$AF$14,"D",IF(N231&lt;'PlayerGrades+'!$AF$13,"D+",IF(N231&lt;'PlayerGrades+'!$AF$12,"C-",IF(N231&lt;'PlayerGrades+'!$AF$11,"C",IF(N231&lt;'PlayerGrades+'!$AF$10,"C+",IF(N231&lt;'PlayerGrades+'!$AF$9,"B-",IF(N231&lt;'PlayerGrades+'!$AF$8,"B",IF(N231&lt;'PlayerGrades+'!$AF$7,"B+",IF(N231&lt;'PlayerGrades+'!$AF$6,"A-",IF(N231&lt;'PlayerGrades+'!$AF$5,"A",IF(N231&lt;'PlayerGrades+'!$AF$4,"A+",IF(N231&lt;'PlayerGrades+'!$AF$3,"S-",IF(N231&lt;'PlayerGrades+'!$AF$2,"S","S+"))))))))))))))))))))</f>
        <v>#DIV/0!</v>
      </c>
      <c r="P231" s="961" t="str">
        <f t="shared" si="7"/>
        <v>#DIV/0!</v>
      </c>
      <c r="Q231" s="961" t="str">
        <f>IF(P231&lt;'PlayerGrades+'!$AG$21,"F-",IF(P231&lt;'PlayerGrades+'!$AG$20,"F",IF(P231&lt;'PlayerGrades+'!$AG$19,"F+",IF(P231&lt;'PlayerGrades+'!$AG$18,"E-",IF(P231&lt;'PlayerGrades+'!$AG$17,"E",IF(P231&lt;'PlayerGrades+'!$AG$16,"E+",IF(P231&lt;'PlayerGrades+'!$AG$15,"D-",IF(P231&lt;'PlayerGrades+'!$AG$14,"D",IF(P231&lt;'PlayerGrades+'!$AG$13,"D+",IF(P231&lt;'PlayerGrades+'!$AG$12,"C-",IF(P231&lt;'PlayerGrades+'!$AG$11,"C",IF(P231&lt;'PlayerGrades+'!$AG$10,"C+",IF(P231&lt;'PlayerGrades+'!$AG$9,"B-",IF(P231&lt;'PlayerGrades+'!$AG$8,"B",IF(P231&lt;'PlayerGrades+'!$AG$7,"B+",IF(P231&lt;'PlayerGrades+'!$AG$6,"A-",IF(P231&lt;'PlayerGrades+'!$AG$5,"A",IF(P231&lt;'PlayerGrades+'!$AG$4,"A+",IF(P231&lt;'PlayerGrades+'!$AG$3,"S-",IF(P231&lt;'PlayerGrades+'!$AG$2,"S","S+"))))))))))))))))))))</f>
        <v>#DIV/0!</v>
      </c>
      <c r="R231" s="961" t="str">
        <f t="shared" si="8"/>
        <v>#DIV/0!</v>
      </c>
      <c r="S231" s="961" t="str">
        <f>IF(R231&lt;'PlayerGrades+'!$AH$21,"F-",IF(R231&lt;'PlayerGrades+'!$AH$20,"F",IF(R231&lt;'PlayerGrades+'!$AH$19,"F+",IF(R231&lt;'PlayerGrades+'!$AH$18,"E-",IF(R231&lt;'PlayerGrades+'!$AH$17,"E",IF(R231&lt;'PlayerGrades+'!$AH$16,"E+",IF(R231&lt;'PlayerGrades+'!$AH$15,"D-",IF(R231&lt;'PlayerGrades+'!$AH$14,"D",IF(R231&lt;'PlayerGrades+'!$AH$13,"D+",IF(R231&lt;'PlayerGrades+'!$AH$12,"C-",IF(R231&lt;'PlayerGrades+'!$AH$11,"C",IF(R231&lt;'PlayerGrades+'!$AH$10,"C+",IF(R231&lt;'PlayerGrades+'!$AH$9,"B-",IF(R231&lt;'PlayerGrades+'!$AH$8,"B",IF(R231&lt;'PlayerGrades+'!$AH$7,"B+",IF(R231&lt;'PlayerGrades+'!$AH$6,"A-",IF(R231&lt;'PlayerGrades+'!$AH$5,"A",IF(R231&lt;'PlayerGrades+'!$AH$4,"A+",IF(R231&lt;'PlayerGrades+'!$AH$3,"S-",IF(R231&lt;'PlayerGrades+'!$AH$2,"S","S+"))))))))))))))))))))</f>
        <v>#DIV/0!</v>
      </c>
      <c r="T231" s="961">
        <f t="shared" si="9"/>
        <v>0</v>
      </c>
      <c r="U231" s="961" t="str">
        <f>IF(T231&lt;'PlayerGrades+'!$AI$21,"F-",IF(T231&lt;'PlayerGrades+'!$AI$20,"F",IF(T231&lt;'PlayerGrades+'!$AI$19,"F+",IF(T231&lt;'PlayerGrades+'!$AI$18,"E-",IF(T231&lt;'PlayerGrades+'!$AI$17,"E",IF(T231&lt;'PlayerGrades+'!$AI$16,"E+",IF(T231&lt;'PlayerGrades+'!$AI$15,"D-",IF(T231&lt;'PlayerGrades+'!$AI$14,"D",IF(T231&lt;'PlayerGrades+'!$AI$13,"D+",IF(T231&lt;'PlayerGrades+'!$AI$12,"C-",IF(T231&lt;'PlayerGrades+'!$AI$11,"C",IF(T231&lt;'PlayerGrades+'!$AI$10,"C+",IF(T231&lt;'PlayerGrades+'!$AI$9,"B-",IF(T231&lt;'PlayerGrades+'!$AI$8,"B",IF(T231&lt;'PlayerGrades+'!$AI$7,"B+",IF(T231&lt;'PlayerGrades+'!$AI$6,"A-",IF(T231&lt;'PlayerGrades+'!$AI$5,"A",IF(T231&lt;'PlayerGrades+'!$AI$4,"A+",IF(T231&lt;'PlayerGrades+'!$AI$3,"S-",IF(T231&lt;'PlayerGrades+'!$AI$2,"S","S+"))))))))))))))))))))</f>
        <v>F-</v>
      </c>
      <c r="AC231" s="1392"/>
    </row>
    <row r="232">
      <c r="A232" s="1391"/>
      <c r="B232" s="611" t="str">
        <f>IF(C232&lt;'PlayerGrades+'!$Y$44,"F-",IF(C232&lt;'PlayerGrades+'!$Y$43,"F",IF(C232&lt;'PlayerGrades+'!$Y$42,"F+",IF(C232&lt;'PlayerGrades+'!$Y$41,"E-",IF(C232&lt;'PlayerGrades+'!$Y$40,"E",IF(C232&lt;'PlayerGrades+'!$Y$39,"E+",IF(C232&lt;'PlayerGrades+'!$Y$38,"D-",IF(C232&lt;'PlayerGrades+'!$Y$37,"D",IF(C232&lt;'PlayerGrades+'!$Y$36,"D+",IF(C232&lt;'PlayerGrades+'!$Y$35,"C-",IF(C232&lt;'PlayerGrades+'!$Y$34,"C",IF(C232&lt;'PlayerGrades+'!$Y$33,"C+",IF(C232&lt;'PlayerGrades+'!$Y$32,"B-",IF(C232&lt;'PlayerGrades+'!$Y$31,"B",IF(C232&lt;'PlayerGrades+'!$Y$30,"B+",IF(C232&lt;'PlayerGrades+'!$Y$29,"A-",IF(C232&lt;'PlayerGrades+'!$Y$28,"A",IF(C232&lt;'PlayerGrades+'!$Y$27,"A+",IF(C232&lt;'PlayerGrades+'!$Y$26,"S-",IF(C232&lt;'PlayerGrades+'!$Y$25,"S","S+"))))))))))))))))))))</f>
        <v>#DIV/0!</v>
      </c>
      <c r="C232" s="1378" t="str">
        <f>('PlayerGrades+'!$Y$47*(VLOOKUP(E232, 'PlayerGrades+'!$X$3:$Y$23, 2, FALSE)))+('PlayerGrades+'!$Y$48*(VLOOKUP(G232, 'PlayerGrades+'!$X$3:$Y$23, 2, FALSE)))+('PlayerGrades+'!$Y$49*(VLOOKUP(I232, 'PlayerGrades+'!$X$3:$Y$23, 2, FALSE)))+('PlayerGrades+'!$Y$50*(VLOOKUP(K232, 'PlayerGrades+'!$X$3:$Y$23, 2, FALSE)))+('PlayerGrades+'!$Y$51*(VLOOKUP(M232, 'PlayerGrades+'!$X$3:$Y$23, 2, FALSE)))+('PlayerGrades+'!$Y$52*(VLOOKUP(O232, 'PlayerGrades+'!$X$3:$Y$23, 2, FALSE)))+('PlayerGrades+'!$Y$53*(VLOOKUP(Q232, 'PlayerGrades+'!$X$3:$Y$23, 2, FALSE)))+('PlayerGrades+'!$Y$54*(VLOOKUP(S232, 'PlayerGrades+'!$X$3:$Y$23, 2, FALSE)))+('PlayerGrades+'!$Y$55*(VLOOKUP(U232, 'PlayerGrades+'!$X$3:$Y$23, 2, FALSE)))</f>
        <v>#DIV/0!</v>
      </c>
      <c r="D232" s="961" t="str">
        <f t="shared" si="1"/>
        <v>#DIV/0!</v>
      </c>
      <c r="E232" s="961" t="str">
        <f>IF(D232&lt;'PlayerGrades+'!$AA$21,"F-",IF(D232&lt;'PlayerGrades+'!$AA$20,"F",IF(D232&lt;'PlayerGrades+'!$AA$19,"F+",IF(D232&lt;'PlayerGrades+'!$AA$18,"E-",IF(D232&lt;'PlayerGrades+'!$AA$17,"E",IF(D232&lt;'PlayerGrades+'!$AA$16,"E+",IF(D232&lt;'PlayerGrades+'!$AA$15,"D-",IF(D232&lt;'PlayerGrades+'!$AA$14,"D",IF(D232&lt;'PlayerGrades+'!$AA$13,"D+",IF(D232&lt;'PlayerGrades+'!$AA$12,"C-",IF(D232&lt;'PlayerGrades+'!$AA$11,"C",IF(D232&lt;'PlayerGrades+'!$AA$10,"C+",IF(D232&lt;'PlayerGrades+'!$AA$9,"B-",IF(D232&lt;'PlayerGrades+'!$AA$8,"B",IF(D232&lt;'PlayerGrades+'!$AA$7,"B+",IF(D232&lt;'PlayerGrades+'!$AA$6,"A-",IF(D232&lt;'PlayerGrades+'!$AA$5,"A",IF(D232&lt;'PlayerGrades+'!$AA$4,"A+",IF(D232&lt;'PlayerGrades+'!$AA$3,"S-",IF(D232&lt;'PlayerGrades+'!$AA$2,"S","S+"))))))))))))))))))))</f>
        <v>#DIV/0!</v>
      </c>
      <c r="F232" s="961" t="str">
        <f t="shared" si="2"/>
        <v>#DIV/0!</v>
      </c>
      <c r="G232" s="961" t="str">
        <f>IF(F232&lt;'PlayerGrades+'!$AB$21,"F-",IF(F232&lt;'PlayerGrades+'!$AB$20,"F",IF(F232&lt;'PlayerGrades+'!$AB$19,"F+",IF(F232&lt;'PlayerGrades+'!$AB$18,"E-",IF(F232&lt;'PlayerGrades+'!$AB$17,"E",IF(F232&lt;'PlayerGrades+'!$AB$16,"E+",IF(F232&lt;'PlayerGrades+'!$AB$15,"D-",IF(F232&lt;'PlayerGrades+'!$AB$14,"D",IF(F232&lt;'PlayerGrades+'!$AB$13,"D+",IF(F232&lt;'PlayerGrades+'!$AB$12,"C-",IF(F232&lt;'PlayerGrades+'!$AB$11,"C",IF(F232&lt;'PlayerGrades+'!$AB$10,"C+",IF(F232&lt;'PlayerGrades+'!$AB$9,"B-",IF(F232&lt;'PlayerGrades+'!$AB$8,"B",IF(F232&lt;'PlayerGrades+'!$AB$7,"B+",IF(F232&lt;'PlayerGrades+'!$AB$6,"A-",IF(F232&lt;'PlayerGrades+'!$AB$5,"A",IF(F232&lt;'PlayerGrades+'!$AB$4,"A+",IF(F232&lt;'PlayerGrades+'!$AB$3,"S-",IF(F232&lt;'PlayerGrades+'!$AB$2,"S","S+"))))))))))))))))))))</f>
        <v>#DIV/0!</v>
      </c>
      <c r="H232" s="961" t="str">
        <f t="shared" si="3"/>
        <v>#DIV/0!</v>
      </c>
      <c r="I232" s="961" t="str">
        <f>IF(H232&lt;'PlayerGrades+'!$AC$21,"F-",IF(H232&lt;'PlayerGrades+'!$AC$20,"F",IF(H232&lt;'PlayerGrades+'!$AC$19,"F+",IF(H232&lt;'PlayerGrades+'!$AC$18,"E-",IF(H232&lt;'PlayerGrades+'!$AC$17,"E",IF(H232&lt;'PlayerGrades+'!$AC$16,"E+",IF(H232&lt;'PlayerGrades+'!$AC$15,"D-",IF(H232&lt;'PlayerGrades+'!$AC$14,"D",IF(H232&lt;'PlayerGrades+'!$AC$13,"D+",IF(H232&lt;'PlayerGrades+'!$AC$12,"C-",IF(H232&lt;'PlayerGrades+'!$AC$11,"C",IF(H232&lt;'PlayerGrades+'!$AC$10,"C+",IF(H232&lt;'PlayerGrades+'!$AC$9,"B-",IF(H232&lt;'PlayerGrades+'!$AC$8,"B",IF(H232&lt;'PlayerGrades+'!$AC$7,"B+",IF(H232&lt;'PlayerGrades+'!$AC$6,"A-",IF(H232&lt;'PlayerGrades+'!$AC$5,"A",IF(H232&lt;'PlayerGrades+'!$AC$4,"A+",IF(H232&lt;'PlayerGrades+'!$AC$3,"S-",IF(H232&lt;'PlayerGrades+'!$AC$2,"S","S+"))))))))))))))))))))</f>
        <v>#DIV/0!</v>
      </c>
      <c r="J232" s="961" t="str">
        <f t="shared" si="4"/>
        <v>#DIV/0!</v>
      </c>
      <c r="K232" s="961" t="str">
        <f>IF(J232&lt;'PlayerGrades+'!$AD$21,"F-",IF(J232&lt;'PlayerGrades+'!$AD$20,"F",IF(J232&lt;'PlayerGrades+'!$AD$19,"F+",IF(J232&lt;'PlayerGrades+'!$AD$18,"E-",IF(J232&lt;'PlayerGrades+'!$AD$17,"E",IF(J232&lt;'PlayerGrades+'!$AD$16,"E+",IF(J232&lt;'PlayerGrades+'!$AD$15,"D-",IF(J232&lt;'PlayerGrades+'!$AD$14,"D",IF(J232&lt;'PlayerGrades+'!$AD$13,"D+",IF(J232&lt;'PlayerGrades+'!$AD$12,"C-",IF(J232&lt;'PlayerGrades+'!$AD$11,"C",IF(J232&lt;'PlayerGrades+'!$AD$10,"C+",IF(J232&lt;'PlayerGrades+'!$AD$9,"B-",IF(J232&lt;'PlayerGrades+'!$AD$8,"B",IF(J232&lt;'PlayerGrades+'!$AD$7,"B+",IF(J232&lt;'PlayerGrades+'!$AD$6,"A-",IF(J232&lt;'PlayerGrades+'!$AD$5,"A",IF(J232&lt;'PlayerGrades+'!$AD$4,"A+",IF(J232&lt;'PlayerGrades+'!$AD$3,"S-",IF(J232&lt;'PlayerGrades+'!$AD$2,"S","S+"))))))))))))))))))))</f>
        <v>#DIV/0!</v>
      </c>
      <c r="L232" s="1176" t="str">
        <f t="shared" si="5"/>
        <v>#DIV/0!</v>
      </c>
      <c r="M232" s="992" t="str">
        <f>IF(L232&lt;'PlayerGrades+'!$AE$21,"F-",IF(L232&lt;'PlayerGrades+'!$AE$20,"F",IF(L232&lt;'PlayerGrades+'!$AE$19,"F+",IF(L232&lt;'PlayerGrades+'!$AE$18,"E-",IF(L232&lt;'PlayerGrades+'!$AE$17,"E",IF(L232&lt;'PlayerGrades+'!$AE$16,"E+",IF(L232&lt;'PlayerGrades+'!$AE$15,"D-",IF(L232&lt;'PlayerGrades+'!$AE$14,"D",IF(L232&lt;'PlayerGrades+'!$AE$13,"D+",IF(L232&lt;'PlayerGrades+'!$AE$12,"C-",IF(L232&lt;'PlayerGrades+'!$AE$11,"C",IF(L232&lt;'PlayerGrades+'!$AE$10,"C+",IF(L232&lt;'PlayerGrades+'!$AE$9,"B-",IF(L232&lt;'PlayerGrades+'!$AE$8,"B",IF(L232&lt;'PlayerGrades+'!$AE$7,"B+",IF(L232&lt;'PlayerGrades+'!$AE$6,"A-",IF(L232&lt;'PlayerGrades+'!$AE$5,"A",IF(L232&lt;'PlayerGrades+'!$AE$4,"A+",IF(L232&lt;'PlayerGrades+'!$AE$3,"S-",IF(L232&lt;'PlayerGrades+'!$AE$2,"S","S+"))))))))))))))))))))</f>
        <v>#DIV/0!</v>
      </c>
      <c r="N232" s="961" t="str">
        <f t="shared" si="6"/>
        <v>#DIV/0!</v>
      </c>
      <c r="O232" s="961" t="str">
        <f>IF(N232&lt;'PlayerGrades+'!$AF$21,"F-",IF(N232&lt;'PlayerGrades+'!$AF$20,"F",IF(N232&lt;'PlayerGrades+'!$AF$19,"F+",IF(N232&lt;'PlayerGrades+'!$AF$18,"E-",IF(N232&lt;'PlayerGrades+'!$AF$17,"E",IF(N232&lt;'PlayerGrades+'!$AF$16,"E+",IF(N232&lt;'PlayerGrades+'!$AF$15,"D-",IF(N232&lt;'PlayerGrades+'!$AF$14,"D",IF(N232&lt;'PlayerGrades+'!$AF$13,"D+",IF(N232&lt;'PlayerGrades+'!$AF$12,"C-",IF(N232&lt;'PlayerGrades+'!$AF$11,"C",IF(N232&lt;'PlayerGrades+'!$AF$10,"C+",IF(N232&lt;'PlayerGrades+'!$AF$9,"B-",IF(N232&lt;'PlayerGrades+'!$AF$8,"B",IF(N232&lt;'PlayerGrades+'!$AF$7,"B+",IF(N232&lt;'PlayerGrades+'!$AF$6,"A-",IF(N232&lt;'PlayerGrades+'!$AF$5,"A",IF(N232&lt;'PlayerGrades+'!$AF$4,"A+",IF(N232&lt;'PlayerGrades+'!$AF$3,"S-",IF(N232&lt;'PlayerGrades+'!$AF$2,"S","S+"))))))))))))))))))))</f>
        <v>#DIV/0!</v>
      </c>
      <c r="P232" s="961" t="str">
        <f t="shared" si="7"/>
        <v>#DIV/0!</v>
      </c>
      <c r="Q232" s="961" t="str">
        <f>IF(P232&lt;'PlayerGrades+'!$AG$21,"F-",IF(P232&lt;'PlayerGrades+'!$AG$20,"F",IF(P232&lt;'PlayerGrades+'!$AG$19,"F+",IF(P232&lt;'PlayerGrades+'!$AG$18,"E-",IF(P232&lt;'PlayerGrades+'!$AG$17,"E",IF(P232&lt;'PlayerGrades+'!$AG$16,"E+",IF(P232&lt;'PlayerGrades+'!$AG$15,"D-",IF(P232&lt;'PlayerGrades+'!$AG$14,"D",IF(P232&lt;'PlayerGrades+'!$AG$13,"D+",IF(P232&lt;'PlayerGrades+'!$AG$12,"C-",IF(P232&lt;'PlayerGrades+'!$AG$11,"C",IF(P232&lt;'PlayerGrades+'!$AG$10,"C+",IF(P232&lt;'PlayerGrades+'!$AG$9,"B-",IF(P232&lt;'PlayerGrades+'!$AG$8,"B",IF(P232&lt;'PlayerGrades+'!$AG$7,"B+",IF(P232&lt;'PlayerGrades+'!$AG$6,"A-",IF(P232&lt;'PlayerGrades+'!$AG$5,"A",IF(P232&lt;'PlayerGrades+'!$AG$4,"A+",IF(P232&lt;'PlayerGrades+'!$AG$3,"S-",IF(P232&lt;'PlayerGrades+'!$AG$2,"S","S+"))))))))))))))))))))</f>
        <v>#DIV/0!</v>
      </c>
      <c r="R232" s="961" t="str">
        <f t="shared" si="8"/>
        <v>#DIV/0!</v>
      </c>
      <c r="S232" s="961" t="str">
        <f>IF(R232&lt;'PlayerGrades+'!$AH$21,"F-",IF(R232&lt;'PlayerGrades+'!$AH$20,"F",IF(R232&lt;'PlayerGrades+'!$AH$19,"F+",IF(R232&lt;'PlayerGrades+'!$AH$18,"E-",IF(R232&lt;'PlayerGrades+'!$AH$17,"E",IF(R232&lt;'PlayerGrades+'!$AH$16,"E+",IF(R232&lt;'PlayerGrades+'!$AH$15,"D-",IF(R232&lt;'PlayerGrades+'!$AH$14,"D",IF(R232&lt;'PlayerGrades+'!$AH$13,"D+",IF(R232&lt;'PlayerGrades+'!$AH$12,"C-",IF(R232&lt;'PlayerGrades+'!$AH$11,"C",IF(R232&lt;'PlayerGrades+'!$AH$10,"C+",IF(R232&lt;'PlayerGrades+'!$AH$9,"B-",IF(R232&lt;'PlayerGrades+'!$AH$8,"B",IF(R232&lt;'PlayerGrades+'!$AH$7,"B+",IF(R232&lt;'PlayerGrades+'!$AH$6,"A-",IF(R232&lt;'PlayerGrades+'!$AH$5,"A",IF(R232&lt;'PlayerGrades+'!$AH$4,"A+",IF(R232&lt;'PlayerGrades+'!$AH$3,"S-",IF(R232&lt;'PlayerGrades+'!$AH$2,"S","S+"))))))))))))))))))))</f>
        <v>#DIV/0!</v>
      </c>
      <c r="T232" s="961">
        <f t="shared" si="9"/>
        <v>0</v>
      </c>
      <c r="U232" s="961" t="str">
        <f>IF(T232&lt;'PlayerGrades+'!$AI$21,"F-",IF(T232&lt;'PlayerGrades+'!$AI$20,"F",IF(T232&lt;'PlayerGrades+'!$AI$19,"F+",IF(T232&lt;'PlayerGrades+'!$AI$18,"E-",IF(T232&lt;'PlayerGrades+'!$AI$17,"E",IF(T232&lt;'PlayerGrades+'!$AI$16,"E+",IF(T232&lt;'PlayerGrades+'!$AI$15,"D-",IF(T232&lt;'PlayerGrades+'!$AI$14,"D",IF(T232&lt;'PlayerGrades+'!$AI$13,"D+",IF(T232&lt;'PlayerGrades+'!$AI$12,"C-",IF(T232&lt;'PlayerGrades+'!$AI$11,"C",IF(T232&lt;'PlayerGrades+'!$AI$10,"C+",IF(T232&lt;'PlayerGrades+'!$AI$9,"B-",IF(T232&lt;'PlayerGrades+'!$AI$8,"B",IF(T232&lt;'PlayerGrades+'!$AI$7,"B+",IF(T232&lt;'PlayerGrades+'!$AI$6,"A-",IF(T232&lt;'PlayerGrades+'!$AI$5,"A",IF(T232&lt;'PlayerGrades+'!$AI$4,"A+",IF(T232&lt;'PlayerGrades+'!$AI$3,"S-",IF(T232&lt;'PlayerGrades+'!$AI$2,"S","S+"))))))))))))))))))))</f>
        <v>F-</v>
      </c>
      <c r="AC232" s="1392"/>
    </row>
    <row r="233">
      <c r="A233" s="1393"/>
      <c r="B233" s="611" t="str">
        <f>IF(C233&lt;'PlayerGrades+'!$Y$44,"F-",IF(C233&lt;'PlayerGrades+'!$Y$43,"F",IF(C233&lt;'PlayerGrades+'!$Y$42,"F+",IF(C233&lt;'PlayerGrades+'!$Y$41,"E-",IF(C233&lt;'PlayerGrades+'!$Y$40,"E",IF(C233&lt;'PlayerGrades+'!$Y$39,"E+",IF(C233&lt;'PlayerGrades+'!$Y$38,"D-",IF(C233&lt;'PlayerGrades+'!$Y$37,"D",IF(C233&lt;'PlayerGrades+'!$Y$36,"D+",IF(C233&lt;'PlayerGrades+'!$Y$35,"C-",IF(C233&lt;'PlayerGrades+'!$Y$34,"C",IF(C233&lt;'PlayerGrades+'!$Y$33,"C+",IF(C233&lt;'PlayerGrades+'!$Y$32,"B-",IF(C233&lt;'PlayerGrades+'!$Y$31,"B",IF(C233&lt;'PlayerGrades+'!$Y$30,"B+",IF(C233&lt;'PlayerGrades+'!$Y$29,"A-",IF(C233&lt;'PlayerGrades+'!$Y$28,"A",IF(C233&lt;'PlayerGrades+'!$Y$27,"A+",IF(C233&lt;'PlayerGrades+'!$Y$26,"S-",IF(C233&lt;'PlayerGrades+'!$Y$25,"S","S+"))))))))))))))))))))</f>
        <v>#DIV/0!</v>
      </c>
      <c r="C233" s="1378" t="str">
        <f>('PlayerGrades+'!$Y$47*(VLOOKUP(E233, 'PlayerGrades+'!$X$3:$Y$23, 2, FALSE)))+('PlayerGrades+'!$Y$48*(VLOOKUP(G233, 'PlayerGrades+'!$X$3:$Y$23, 2, FALSE)))+('PlayerGrades+'!$Y$49*(VLOOKUP(I233, 'PlayerGrades+'!$X$3:$Y$23, 2, FALSE)))+('PlayerGrades+'!$Y$50*(VLOOKUP(K233, 'PlayerGrades+'!$X$3:$Y$23, 2, FALSE)))+('PlayerGrades+'!$Y$51*(VLOOKUP(M233, 'PlayerGrades+'!$X$3:$Y$23, 2, FALSE)))+('PlayerGrades+'!$Y$52*(VLOOKUP(O233, 'PlayerGrades+'!$X$3:$Y$23, 2, FALSE)))+('PlayerGrades+'!$Y$53*(VLOOKUP(Q233, 'PlayerGrades+'!$X$3:$Y$23, 2, FALSE)))+('PlayerGrades+'!$Y$54*(VLOOKUP(S233, 'PlayerGrades+'!$X$3:$Y$23, 2, FALSE)))+('PlayerGrades+'!$Y$55*(VLOOKUP(U233, 'PlayerGrades+'!$X$3:$Y$23, 2, FALSE)))</f>
        <v>#DIV/0!</v>
      </c>
      <c r="D233" s="961" t="str">
        <f t="shared" si="1"/>
        <v>#DIV/0!</v>
      </c>
      <c r="E233" s="961" t="str">
        <f>IF(D233&lt;'PlayerGrades+'!$AA$21,"F-",IF(D233&lt;'PlayerGrades+'!$AA$20,"F",IF(D233&lt;'PlayerGrades+'!$AA$19,"F+",IF(D233&lt;'PlayerGrades+'!$AA$18,"E-",IF(D233&lt;'PlayerGrades+'!$AA$17,"E",IF(D233&lt;'PlayerGrades+'!$AA$16,"E+",IF(D233&lt;'PlayerGrades+'!$AA$15,"D-",IF(D233&lt;'PlayerGrades+'!$AA$14,"D",IF(D233&lt;'PlayerGrades+'!$AA$13,"D+",IF(D233&lt;'PlayerGrades+'!$AA$12,"C-",IF(D233&lt;'PlayerGrades+'!$AA$11,"C",IF(D233&lt;'PlayerGrades+'!$AA$10,"C+",IF(D233&lt;'PlayerGrades+'!$AA$9,"B-",IF(D233&lt;'PlayerGrades+'!$AA$8,"B",IF(D233&lt;'PlayerGrades+'!$AA$7,"B+",IF(D233&lt;'PlayerGrades+'!$AA$6,"A-",IF(D233&lt;'PlayerGrades+'!$AA$5,"A",IF(D233&lt;'PlayerGrades+'!$AA$4,"A+",IF(D233&lt;'PlayerGrades+'!$AA$3,"S-",IF(D233&lt;'PlayerGrades+'!$AA$2,"S","S+"))))))))))))))))))))</f>
        <v>#DIV/0!</v>
      </c>
      <c r="F233" s="961" t="str">
        <f t="shared" si="2"/>
        <v>#DIV/0!</v>
      </c>
      <c r="G233" s="961" t="str">
        <f>IF(F233&lt;'PlayerGrades+'!$AB$21,"F-",IF(F233&lt;'PlayerGrades+'!$AB$20,"F",IF(F233&lt;'PlayerGrades+'!$AB$19,"F+",IF(F233&lt;'PlayerGrades+'!$AB$18,"E-",IF(F233&lt;'PlayerGrades+'!$AB$17,"E",IF(F233&lt;'PlayerGrades+'!$AB$16,"E+",IF(F233&lt;'PlayerGrades+'!$AB$15,"D-",IF(F233&lt;'PlayerGrades+'!$AB$14,"D",IF(F233&lt;'PlayerGrades+'!$AB$13,"D+",IF(F233&lt;'PlayerGrades+'!$AB$12,"C-",IF(F233&lt;'PlayerGrades+'!$AB$11,"C",IF(F233&lt;'PlayerGrades+'!$AB$10,"C+",IF(F233&lt;'PlayerGrades+'!$AB$9,"B-",IF(F233&lt;'PlayerGrades+'!$AB$8,"B",IF(F233&lt;'PlayerGrades+'!$AB$7,"B+",IF(F233&lt;'PlayerGrades+'!$AB$6,"A-",IF(F233&lt;'PlayerGrades+'!$AB$5,"A",IF(F233&lt;'PlayerGrades+'!$AB$4,"A+",IF(F233&lt;'PlayerGrades+'!$AB$3,"S-",IF(F233&lt;'PlayerGrades+'!$AB$2,"S","S+"))))))))))))))))))))</f>
        <v>#DIV/0!</v>
      </c>
      <c r="H233" s="961" t="str">
        <f t="shared" si="3"/>
        <v>#DIV/0!</v>
      </c>
      <c r="I233" s="961" t="str">
        <f>IF(H233&lt;'PlayerGrades+'!$AC$21,"F-",IF(H233&lt;'PlayerGrades+'!$AC$20,"F",IF(H233&lt;'PlayerGrades+'!$AC$19,"F+",IF(H233&lt;'PlayerGrades+'!$AC$18,"E-",IF(H233&lt;'PlayerGrades+'!$AC$17,"E",IF(H233&lt;'PlayerGrades+'!$AC$16,"E+",IF(H233&lt;'PlayerGrades+'!$AC$15,"D-",IF(H233&lt;'PlayerGrades+'!$AC$14,"D",IF(H233&lt;'PlayerGrades+'!$AC$13,"D+",IF(H233&lt;'PlayerGrades+'!$AC$12,"C-",IF(H233&lt;'PlayerGrades+'!$AC$11,"C",IF(H233&lt;'PlayerGrades+'!$AC$10,"C+",IF(H233&lt;'PlayerGrades+'!$AC$9,"B-",IF(H233&lt;'PlayerGrades+'!$AC$8,"B",IF(H233&lt;'PlayerGrades+'!$AC$7,"B+",IF(H233&lt;'PlayerGrades+'!$AC$6,"A-",IF(H233&lt;'PlayerGrades+'!$AC$5,"A",IF(H233&lt;'PlayerGrades+'!$AC$4,"A+",IF(H233&lt;'PlayerGrades+'!$AC$3,"S-",IF(H233&lt;'PlayerGrades+'!$AC$2,"S","S+"))))))))))))))))))))</f>
        <v>#DIV/0!</v>
      </c>
      <c r="J233" s="961" t="str">
        <f t="shared" si="4"/>
        <v>#DIV/0!</v>
      </c>
      <c r="K233" s="961" t="str">
        <f>IF(J233&lt;'PlayerGrades+'!$AD$21,"F-",IF(J233&lt;'PlayerGrades+'!$AD$20,"F",IF(J233&lt;'PlayerGrades+'!$AD$19,"F+",IF(J233&lt;'PlayerGrades+'!$AD$18,"E-",IF(J233&lt;'PlayerGrades+'!$AD$17,"E",IF(J233&lt;'PlayerGrades+'!$AD$16,"E+",IF(J233&lt;'PlayerGrades+'!$AD$15,"D-",IF(J233&lt;'PlayerGrades+'!$AD$14,"D",IF(J233&lt;'PlayerGrades+'!$AD$13,"D+",IF(J233&lt;'PlayerGrades+'!$AD$12,"C-",IF(J233&lt;'PlayerGrades+'!$AD$11,"C",IF(J233&lt;'PlayerGrades+'!$AD$10,"C+",IF(J233&lt;'PlayerGrades+'!$AD$9,"B-",IF(J233&lt;'PlayerGrades+'!$AD$8,"B",IF(J233&lt;'PlayerGrades+'!$AD$7,"B+",IF(J233&lt;'PlayerGrades+'!$AD$6,"A-",IF(J233&lt;'PlayerGrades+'!$AD$5,"A",IF(J233&lt;'PlayerGrades+'!$AD$4,"A+",IF(J233&lt;'PlayerGrades+'!$AD$3,"S-",IF(J233&lt;'PlayerGrades+'!$AD$2,"S","S+"))))))))))))))))))))</f>
        <v>#DIV/0!</v>
      </c>
      <c r="L233" s="1176" t="str">
        <f t="shared" si="5"/>
        <v>#DIV/0!</v>
      </c>
      <c r="M233" s="992" t="str">
        <f>IF(L233&lt;'PlayerGrades+'!$AE$21,"F-",IF(L233&lt;'PlayerGrades+'!$AE$20,"F",IF(L233&lt;'PlayerGrades+'!$AE$19,"F+",IF(L233&lt;'PlayerGrades+'!$AE$18,"E-",IF(L233&lt;'PlayerGrades+'!$AE$17,"E",IF(L233&lt;'PlayerGrades+'!$AE$16,"E+",IF(L233&lt;'PlayerGrades+'!$AE$15,"D-",IF(L233&lt;'PlayerGrades+'!$AE$14,"D",IF(L233&lt;'PlayerGrades+'!$AE$13,"D+",IF(L233&lt;'PlayerGrades+'!$AE$12,"C-",IF(L233&lt;'PlayerGrades+'!$AE$11,"C",IF(L233&lt;'PlayerGrades+'!$AE$10,"C+",IF(L233&lt;'PlayerGrades+'!$AE$9,"B-",IF(L233&lt;'PlayerGrades+'!$AE$8,"B",IF(L233&lt;'PlayerGrades+'!$AE$7,"B+",IF(L233&lt;'PlayerGrades+'!$AE$6,"A-",IF(L233&lt;'PlayerGrades+'!$AE$5,"A",IF(L233&lt;'PlayerGrades+'!$AE$4,"A+",IF(L233&lt;'PlayerGrades+'!$AE$3,"S-",IF(L233&lt;'PlayerGrades+'!$AE$2,"S","S+"))))))))))))))))))))</f>
        <v>#DIV/0!</v>
      </c>
      <c r="N233" s="961" t="str">
        <f t="shared" si="6"/>
        <v>#DIV/0!</v>
      </c>
      <c r="O233" s="961" t="str">
        <f>IF(N233&lt;'PlayerGrades+'!$AF$21,"F-",IF(N233&lt;'PlayerGrades+'!$AF$20,"F",IF(N233&lt;'PlayerGrades+'!$AF$19,"F+",IF(N233&lt;'PlayerGrades+'!$AF$18,"E-",IF(N233&lt;'PlayerGrades+'!$AF$17,"E",IF(N233&lt;'PlayerGrades+'!$AF$16,"E+",IF(N233&lt;'PlayerGrades+'!$AF$15,"D-",IF(N233&lt;'PlayerGrades+'!$AF$14,"D",IF(N233&lt;'PlayerGrades+'!$AF$13,"D+",IF(N233&lt;'PlayerGrades+'!$AF$12,"C-",IF(N233&lt;'PlayerGrades+'!$AF$11,"C",IF(N233&lt;'PlayerGrades+'!$AF$10,"C+",IF(N233&lt;'PlayerGrades+'!$AF$9,"B-",IF(N233&lt;'PlayerGrades+'!$AF$8,"B",IF(N233&lt;'PlayerGrades+'!$AF$7,"B+",IF(N233&lt;'PlayerGrades+'!$AF$6,"A-",IF(N233&lt;'PlayerGrades+'!$AF$5,"A",IF(N233&lt;'PlayerGrades+'!$AF$4,"A+",IF(N233&lt;'PlayerGrades+'!$AF$3,"S-",IF(N233&lt;'PlayerGrades+'!$AF$2,"S","S+"))))))))))))))))))))</f>
        <v>#DIV/0!</v>
      </c>
      <c r="P233" s="961" t="str">
        <f t="shared" si="7"/>
        <v>#DIV/0!</v>
      </c>
      <c r="Q233" s="961" t="str">
        <f>IF(P233&lt;'PlayerGrades+'!$AG$21,"F-",IF(P233&lt;'PlayerGrades+'!$AG$20,"F",IF(P233&lt;'PlayerGrades+'!$AG$19,"F+",IF(P233&lt;'PlayerGrades+'!$AG$18,"E-",IF(P233&lt;'PlayerGrades+'!$AG$17,"E",IF(P233&lt;'PlayerGrades+'!$AG$16,"E+",IF(P233&lt;'PlayerGrades+'!$AG$15,"D-",IF(P233&lt;'PlayerGrades+'!$AG$14,"D",IF(P233&lt;'PlayerGrades+'!$AG$13,"D+",IF(P233&lt;'PlayerGrades+'!$AG$12,"C-",IF(P233&lt;'PlayerGrades+'!$AG$11,"C",IF(P233&lt;'PlayerGrades+'!$AG$10,"C+",IF(P233&lt;'PlayerGrades+'!$AG$9,"B-",IF(P233&lt;'PlayerGrades+'!$AG$8,"B",IF(P233&lt;'PlayerGrades+'!$AG$7,"B+",IF(P233&lt;'PlayerGrades+'!$AG$6,"A-",IF(P233&lt;'PlayerGrades+'!$AG$5,"A",IF(P233&lt;'PlayerGrades+'!$AG$4,"A+",IF(P233&lt;'PlayerGrades+'!$AG$3,"S-",IF(P233&lt;'PlayerGrades+'!$AG$2,"S","S+"))))))))))))))))))))</f>
        <v>#DIV/0!</v>
      </c>
      <c r="R233" s="961" t="str">
        <f t="shared" si="8"/>
        <v>#DIV/0!</v>
      </c>
      <c r="S233" s="961" t="str">
        <f>IF(R233&lt;'PlayerGrades+'!$AH$21,"F-",IF(R233&lt;'PlayerGrades+'!$AH$20,"F",IF(R233&lt;'PlayerGrades+'!$AH$19,"F+",IF(R233&lt;'PlayerGrades+'!$AH$18,"E-",IF(R233&lt;'PlayerGrades+'!$AH$17,"E",IF(R233&lt;'PlayerGrades+'!$AH$16,"E+",IF(R233&lt;'PlayerGrades+'!$AH$15,"D-",IF(R233&lt;'PlayerGrades+'!$AH$14,"D",IF(R233&lt;'PlayerGrades+'!$AH$13,"D+",IF(R233&lt;'PlayerGrades+'!$AH$12,"C-",IF(R233&lt;'PlayerGrades+'!$AH$11,"C",IF(R233&lt;'PlayerGrades+'!$AH$10,"C+",IF(R233&lt;'PlayerGrades+'!$AH$9,"B-",IF(R233&lt;'PlayerGrades+'!$AH$8,"B",IF(R233&lt;'PlayerGrades+'!$AH$7,"B+",IF(R233&lt;'PlayerGrades+'!$AH$6,"A-",IF(R233&lt;'PlayerGrades+'!$AH$5,"A",IF(R233&lt;'PlayerGrades+'!$AH$4,"A+",IF(R233&lt;'PlayerGrades+'!$AH$3,"S-",IF(R233&lt;'PlayerGrades+'!$AH$2,"S","S+"))))))))))))))))))))</f>
        <v>#DIV/0!</v>
      </c>
      <c r="T233" s="961">
        <f t="shared" si="9"/>
        <v>0</v>
      </c>
      <c r="U233" s="961" t="str">
        <f>IF(T233&lt;'PlayerGrades+'!$AI$21,"F-",IF(T233&lt;'PlayerGrades+'!$AI$20,"F",IF(T233&lt;'PlayerGrades+'!$AI$19,"F+",IF(T233&lt;'PlayerGrades+'!$AI$18,"E-",IF(T233&lt;'PlayerGrades+'!$AI$17,"E",IF(T233&lt;'PlayerGrades+'!$AI$16,"E+",IF(T233&lt;'PlayerGrades+'!$AI$15,"D-",IF(T233&lt;'PlayerGrades+'!$AI$14,"D",IF(T233&lt;'PlayerGrades+'!$AI$13,"D+",IF(T233&lt;'PlayerGrades+'!$AI$12,"C-",IF(T233&lt;'PlayerGrades+'!$AI$11,"C",IF(T233&lt;'PlayerGrades+'!$AI$10,"C+",IF(T233&lt;'PlayerGrades+'!$AI$9,"B-",IF(T233&lt;'PlayerGrades+'!$AI$8,"B",IF(T233&lt;'PlayerGrades+'!$AI$7,"B+",IF(T233&lt;'PlayerGrades+'!$AI$6,"A-",IF(T233&lt;'PlayerGrades+'!$AI$5,"A",IF(T233&lt;'PlayerGrades+'!$AI$4,"A+",IF(T233&lt;'PlayerGrades+'!$AI$3,"S-",IF(T233&lt;'PlayerGrades+'!$AI$2,"S","S+"))))))))))))))))))))</f>
        <v>F-</v>
      </c>
      <c r="V233" s="1386"/>
      <c r="W233" s="1386"/>
      <c r="X233" s="1386"/>
      <c r="Y233" s="1386"/>
      <c r="Z233" s="1386"/>
      <c r="AA233" s="1386"/>
      <c r="AB233" s="1386"/>
      <c r="AC233" s="1397"/>
      <c r="AD233" s="1386"/>
      <c r="AE233" s="1386"/>
      <c r="AF233" s="1386"/>
      <c r="AG233" s="1386"/>
      <c r="AH233" s="1386"/>
      <c r="AI233" s="1386"/>
      <c r="AJ233" s="1386"/>
      <c r="AK233" s="1386"/>
      <c r="AL233" s="1386"/>
      <c r="AM233" s="1386"/>
      <c r="AN233" s="1386"/>
      <c r="AO233" s="1386"/>
      <c r="AP233" s="1386"/>
      <c r="AQ233" s="1386"/>
      <c r="AR233" s="1386"/>
      <c r="AS233" s="1386"/>
      <c r="AT233" s="1386"/>
      <c r="AU233" s="1386"/>
      <c r="AV233" s="1386"/>
      <c r="AW233" s="1386"/>
      <c r="AX233" s="1386"/>
      <c r="AY233" s="1386"/>
      <c r="AZ233" s="1386"/>
    </row>
    <row r="234">
      <c r="A234" s="1389"/>
      <c r="B234" s="611" t="str">
        <f>IF(C234&lt;'PlayerGrades+'!$Y$44,"F-",IF(C234&lt;'PlayerGrades+'!$Y$43,"F",IF(C234&lt;'PlayerGrades+'!$Y$42,"F+",IF(C234&lt;'PlayerGrades+'!$Y$41,"E-",IF(C234&lt;'PlayerGrades+'!$Y$40,"E",IF(C234&lt;'PlayerGrades+'!$Y$39,"E+",IF(C234&lt;'PlayerGrades+'!$Y$38,"D-",IF(C234&lt;'PlayerGrades+'!$Y$37,"D",IF(C234&lt;'PlayerGrades+'!$Y$36,"D+",IF(C234&lt;'PlayerGrades+'!$Y$35,"C-",IF(C234&lt;'PlayerGrades+'!$Y$34,"C",IF(C234&lt;'PlayerGrades+'!$Y$33,"C+",IF(C234&lt;'PlayerGrades+'!$Y$32,"B-",IF(C234&lt;'PlayerGrades+'!$Y$31,"B",IF(C234&lt;'PlayerGrades+'!$Y$30,"B+",IF(C234&lt;'PlayerGrades+'!$Y$29,"A-",IF(C234&lt;'PlayerGrades+'!$Y$28,"A",IF(C234&lt;'PlayerGrades+'!$Y$27,"A+",IF(C234&lt;'PlayerGrades+'!$Y$26,"S-",IF(C234&lt;'PlayerGrades+'!$Y$25,"S","S+"))))))))))))))))))))</f>
        <v>#DIV/0!</v>
      </c>
      <c r="C234" s="1378" t="str">
        <f>('PlayerGrades+'!$Y$47*(VLOOKUP(E234, 'PlayerGrades+'!$X$3:$Y$23, 2, FALSE)))+('PlayerGrades+'!$Y$48*(VLOOKUP(G234, 'PlayerGrades+'!$X$3:$Y$23, 2, FALSE)))+('PlayerGrades+'!$Y$49*(VLOOKUP(I234, 'PlayerGrades+'!$X$3:$Y$23, 2, FALSE)))+('PlayerGrades+'!$Y$50*(VLOOKUP(K234, 'PlayerGrades+'!$X$3:$Y$23, 2, FALSE)))+('PlayerGrades+'!$Y$51*(VLOOKUP(M234, 'PlayerGrades+'!$X$3:$Y$23, 2, FALSE)))+('PlayerGrades+'!$Y$52*(VLOOKUP(O234, 'PlayerGrades+'!$X$3:$Y$23, 2, FALSE)))+('PlayerGrades+'!$Y$53*(VLOOKUP(Q234, 'PlayerGrades+'!$X$3:$Y$23, 2, FALSE)))+('PlayerGrades+'!$Y$54*(VLOOKUP(S234, 'PlayerGrades+'!$X$3:$Y$23, 2, FALSE)))+('PlayerGrades+'!$Y$55*(VLOOKUP(U234, 'PlayerGrades+'!$X$3:$Y$23, 2, FALSE)))</f>
        <v>#DIV/0!</v>
      </c>
      <c r="D234" s="961" t="str">
        <f t="shared" si="1"/>
        <v>#DIV/0!</v>
      </c>
      <c r="E234" s="961" t="str">
        <f>IF(D234&lt;'PlayerGrades+'!$AA$21,"F-",IF(D234&lt;'PlayerGrades+'!$AA$20,"F",IF(D234&lt;'PlayerGrades+'!$AA$19,"F+",IF(D234&lt;'PlayerGrades+'!$AA$18,"E-",IF(D234&lt;'PlayerGrades+'!$AA$17,"E",IF(D234&lt;'PlayerGrades+'!$AA$16,"E+",IF(D234&lt;'PlayerGrades+'!$AA$15,"D-",IF(D234&lt;'PlayerGrades+'!$AA$14,"D",IF(D234&lt;'PlayerGrades+'!$AA$13,"D+",IF(D234&lt;'PlayerGrades+'!$AA$12,"C-",IF(D234&lt;'PlayerGrades+'!$AA$11,"C",IF(D234&lt;'PlayerGrades+'!$AA$10,"C+",IF(D234&lt;'PlayerGrades+'!$AA$9,"B-",IF(D234&lt;'PlayerGrades+'!$AA$8,"B",IF(D234&lt;'PlayerGrades+'!$AA$7,"B+",IF(D234&lt;'PlayerGrades+'!$AA$6,"A-",IF(D234&lt;'PlayerGrades+'!$AA$5,"A",IF(D234&lt;'PlayerGrades+'!$AA$4,"A+",IF(D234&lt;'PlayerGrades+'!$AA$3,"S-",IF(D234&lt;'PlayerGrades+'!$AA$2,"S","S+"))))))))))))))))))))</f>
        <v>#DIV/0!</v>
      </c>
      <c r="F234" s="961" t="str">
        <f t="shared" si="2"/>
        <v>#DIV/0!</v>
      </c>
      <c r="G234" s="961" t="str">
        <f>IF(F234&lt;'PlayerGrades+'!$AB$21,"F-",IF(F234&lt;'PlayerGrades+'!$AB$20,"F",IF(F234&lt;'PlayerGrades+'!$AB$19,"F+",IF(F234&lt;'PlayerGrades+'!$AB$18,"E-",IF(F234&lt;'PlayerGrades+'!$AB$17,"E",IF(F234&lt;'PlayerGrades+'!$AB$16,"E+",IF(F234&lt;'PlayerGrades+'!$AB$15,"D-",IF(F234&lt;'PlayerGrades+'!$AB$14,"D",IF(F234&lt;'PlayerGrades+'!$AB$13,"D+",IF(F234&lt;'PlayerGrades+'!$AB$12,"C-",IF(F234&lt;'PlayerGrades+'!$AB$11,"C",IF(F234&lt;'PlayerGrades+'!$AB$10,"C+",IF(F234&lt;'PlayerGrades+'!$AB$9,"B-",IF(F234&lt;'PlayerGrades+'!$AB$8,"B",IF(F234&lt;'PlayerGrades+'!$AB$7,"B+",IF(F234&lt;'PlayerGrades+'!$AB$6,"A-",IF(F234&lt;'PlayerGrades+'!$AB$5,"A",IF(F234&lt;'PlayerGrades+'!$AB$4,"A+",IF(F234&lt;'PlayerGrades+'!$AB$3,"S-",IF(F234&lt;'PlayerGrades+'!$AB$2,"S","S+"))))))))))))))))))))</f>
        <v>#DIV/0!</v>
      </c>
      <c r="H234" s="961" t="str">
        <f t="shared" si="3"/>
        <v>#DIV/0!</v>
      </c>
      <c r="I234" s="961" t="str">
        <f>IF(H234&lt;'PlayerGrades+'!$AC$21,"F-",IF(H234&lt;'PlayerGrades+'!$AC$20,"F",IF(H234&lt;'PlayerGrades+'!$AC$19,"F+",IF(H234&lt;'PlayerGrades+'!$AC$18,"E-",IF(H234&lt;'PlayerGrades+'!$AC$17,"E",IF(H234&lt;'PlayerGrades+'!$AC$16,"E+",IF(H234&lt;'PlayerGrades+'!$AC$15,"D-",IF(H234&lt;'PlayerGrades+'!$AC$14,"D",IF(H234&lt;'PlayerGrades+'!$AC$13,"D+",IF(H234&lt;'PlayerGrades+'!$AC$12,"C-",IF(H234&lt;'PlayerGrades+'!$AC$11,"C",IF(H234&lt;'PlayerGrades+'!$AC$10,"C+",IF(H234&lt;'PlayerGrades+'!$AC$9,"B-",IF(H234&lt;'PlayerGrades+'!$AC$8,"B",IF(H234&lt;'PlayerGrades+'!$AC$7,"B+",IF(H234&lt;'PlayerGrades+'!$AC$6,"A-",IF(H234&lt;'PlayerGrades+'!$AC$5,"A",IF(H234&lt;'PlayerGrades+'!$AC$4,"A+",IF(H234&lt;'PlayerGrades+'!$AC$3,"S-",IF(H234&lt;'PlayerGrades+'!$AC$2,"S","S+"))))))))))))))))))))</f>
        <v>#DIV/0!</v>
      </c>
      <c r="J234" s="961" t="str">
        <f t="shared" si="4"/>
        <v>#DIV/0!</v>
      </c>
      <c r="K234" s="961" t="str">
        <f>IF(J234&lt;'PlayerGrades+'!$AD$21,"F-",IF(J234&lt;'PlayerGrades+'!$AD$20,"F",IF(J234&lt;'PlayerGrades+'!$AD$19,"F+",IF(J234&lt;'PlayerGrades+'!$AD$18,"E-",IF(J234&lt;'PlayerGrades+'!$AD$17,"E",IF(J234&lt;'PlayerGrades+'!$AD$16,"E+",IF(J234&lt;'PlayerGrades+'!$AD$15,"D-",IF(J234&lt;'PlayerGrades+'!$AD$14,"D",IF(J234&lt;'PlayerGrades+'!$AD$13,"D+",IF(J234&lt;'PlayerGrades+'!$AD$12,"C-",IF(J234&lt;'PlayerGrades+'!$AD$11,"C",IF(J234&lt;'PlayerGrades+'!$AD$10,"C+",IF(J234&lt;'PlayerGrades+'!$AD$9,"B-",IF(J234&lt;'PlayerGrades+'!$AD$8,"B",IF(J234&lt;'PlayerGrades+'!$AD$7,"B+",IF(J234&lt;'PlayerGrades+'!$AD$6,"A-",IF(J234&lt;'PlayerGrades+'!$AD$5,"A",IF(J234&lt;'PlayerGrades+'!$AD$4,"A+",IF(J234&lt;'PlayerGrades+'!$AD$3,"S-",IF(J234&lt;'PlayerGrades+'!$AD$2,"S","S+"))))))))))))))))))))</f>
        <v>#DIV/0!</v>
      </c>
      <c r="L234" s="1176" t="str">
        <f t="shared" si="5"/>
        <v>#DIV/0!</v>
      </c>
      <c r="M234" s="992" t="str">
        <f>IF(L234&lt;'PlayerGrades+'!$AE$21,"F-",IF(L234&lt;'PlayerGrades+'!$AE$20,"F",IF(L234&lt;'PlayerGrades+'!$AE$19,"F+",IF(L234&lt;'PlayerGrades+'!$AE$18,"E-",IF(L234&lt;'PlayerGrades+'!$AE$17,"E",IF(L234&lt;'PlayerGrades+'!$AE$16,"E+",IF(L234&lt;'PlayerGrades+'!$AE$15,"D-",IF(L234&lt;'PlayerGrades+'!$AE$14,"D",IF(L234&lt;'PlayerGrades+'!$AE$13,"D+",IF(L234&lt;'PlayerGrades+'!$AE$12,"C-",IF(L234&lt;'PlayerGrades+'!$AE$11,"C",IF(L234&lt;'PlayerGrades+'!$AE$10,"C+",IF(L234&lt;'PlayerGrades+'!$AE$9,"B-",IF(L234&lt;'PlayerGrades+'!$AE$8,"B",IF(L234&lt;'PlayerGrades+'!$AE$7,"B+",IF(L234&lt;'PlayerGrades+'!$AE$6,"A-",IF(L234&lt;'PlayerGrades+'!$AE$5,"A",IF(L234&lt;'PlayerGrades+'!$AE$4,"A+",IF(L234&lt;'PlayerGrades+'!$AE$3,"S-",IF(L234&lt;'PlayerGrades+'!$AE$2,"S","S+"))))))))))))))))))))</f>
        <v>#DIV/0!</v>
      </c>
      <c r="N234" s="961" t="str">
        <f t="shared" si="6"/>
        <v>#DIV/0!</v>
      </c>
      <c r="O234" s="961" t="str">
        <f>IF(N234&lt;'PlayerGrades+'!$AF$21,"F-",IF(N234&lt;'PlayerGrades+'!$AF$20,"F",IF(N234&lt;'PlayerGrades+'!$AF$19,"F+",IF(N234&lt;'PlayerGrades+'!$AF$18,"E-",IF(N234&lt;'PlayerGrades+'!$AF$17,"E",IF(N234&lt;'PlayerGrades+'!$AF$16,"E+",IF(N234&lt;'PlayerGrades+'!$AF$15,"D-",IF(N234&lt;'PlayerGrades+'!$AF$14,"D",IF(N234&lt;'PlayerGrades+'!$AF$13,"D+",IF(N234&lt;'PlayerGrades+'!$AF$12,"C-",IF(N234&lt;'PlayerGrades+'!$AF$11,"C",IF(N234&lt;'PlayerGrades+'!$AF$10,"C+",IF(N234&lt;'PlayerGrades+'!$AF$9,"B-",IF(N234&lt;'PlayerGrades+'!$AF$8,"B",IF(N234&lt;'PlayerGrades+'!$AF$7,"B+",IF(N234&lt;'PlayerGrades+'!$AF$6,"A-",IF(N234&lt;'PlayerGrades+'!$AF$5,"A",IF(N234&lt;'PlayerGrades+'!$AF$4,"A+",IF(N234&lt;'PlayerGrades+'!$AF$3,"S-",IF(N234&lt;'PlayerGrades+'!$AF$2,"S","S+"))))))))))))))))))))</f>
        <v>#DIV/0!</v>
      </c>
      <c r="P234" s="961" t="str">
        <f t="shared" si="7"/>
        <v>#DIV/0!</v>
      </c>
      <c r="Q234" s="961" t="str">
        <f>IF(P234&lt;'PlayerGrades+'!$AG$21,"F-",IF(P234&lt;'PlayerGrades+'!$AG$20,"F",IF(P234&lt;'PlayerGrades+'!$AG$19,"F+",IF(P234&lt;'PlayerGrades+'!$AG$18,"E-",IF(P234&lt;'PlayerGrades+'!$AG$17,"E",IF(P234&lt;'PlayerGrades+'!$AG$16,"E+",IF(P234&lt;'PlayerGrades+'!$AG$15,"D-",IF(P234&lt;'PlayerGrades+'!$AG$14,"D",IF(P234&lt;'PlayerGrades+'!$AG$13,"D+",IF(P234&lt;'PlayerGrades+'!$AG$12,"C-",IF(P234&lt;'PlayerGrades+'!$AG$11,"C",IF(P234&lt;'PlayerGrades+'!$AG$10,"C+",IF(P234&lt;'PlayerGrades+'!$AG$9,"B-",IF(P234&lt;'PlayerGrades+'!$AG$8,"B",IF(P234&lt;'PlayerGrades+'!$AG$7,"B+",IF(P234&lt;'PlayerGrades+'!$AG$6,"A-",IF(P234&lt;'PlayerGrades+'!$AG$5,"A",IF(P234&lt;'PlayerGrades+'!$AG$4,"A+",IF(P234&lt;'PlayerGrades+'!$AG$3,"S-",IF(P234&lt;'PlayerGrades+'!$AG$2,"S","S+"))))))))))))))))))))</f>
        <v>#DIV/0!</v>
      </c>
      <c r="R234" s="961" t="str">
        <f t="shared" si="8"/>
        <v>#DIV/0!</v>
      </c>
      <c r="S234" s="961" t="str">
        <f>IF(R234&lt;'PlayerGrades+'!$AH$21,"F-",IF(R234&lt;'PlayerGrades+'!$AH$20,"F",IF(R234&lt;'PlayerGrades+'!$AH$19,"F+",IF(R234&lt;'PlayerGrades+'!$AH$18,"E-",IF(R234&lt;'PlayerGrades+'!$AH$17,"E",IF(R234&lt;'PlayerGrades+'!$AH$16,"E+",IF(R234&lt;'PlayerGrades+'!$AH$15,"D-",IF(R234&lt;'PlayerGrades+'!$AH$14,"D",IF(R234&lt;'PlayerGrades+'!$AH$13,"D+",IF(R234&lt;'PlayerGrades+'!$AH$12,"C-",IF(R234&lt;'PlayerGrades+'!$AH$11,"C",IF(R234&lt;'PlayerGrades+'!$AH$10,"C+",IF(R234&lt;'PlayerGrades+'!$AH$9,"B-",IF(R234&lt;'PlayerGrades+'!$AH$8,"B",IF(R234&lt;'PlayerGrades+'!$AH$7,"B+",IF(R234&lt;'PlayerGrades+'!$AH$6,"A-",IF(R234&lt;'PlayerGrades+'!$AH$5,"A",IF(R234&lt;'PlayerGrades+'!$AH$4,"A+",IF(R234&lt;'PlayerGrades+'!$AH$3,"S-",IF(R234&lt;'PlayerGrades+'!$AH$2,"S","S+"))))))))))))))))))))</f>
        <v>#DIV/0!</v>
      </c>
      <c r="T234" s="961">
        <f t="shared" si="9"/>
        <v>0</v>
      </c>
      <c r="U234" s="961" t="str">
        <f>IF(T234&lt;'PlayerGrades+'!$AI$21,"F-",IF(T234&lt;'PlayerGrades+'!$AI$20,"F",IF(T234&lt;'PlayerGrades+'!$AI$19,"F+",IF(T234&lt;'PlayerGrades+'!$AI$18,"E-",IF(T234&lt;'PlayerGrades+'!$AI$17,"E",IF(T234&lt;'PlayerGrades+'!$AI$16,"E+",IF(T234&lt;'PlayerGrades+'!$AI$15,"D-",IF(T234&lt;'PlayerGrades+'!$AI$14,"D",IF(T234&lt;'PlayerGrades+'!$AI$13,"D+",IF(T234&lt;'PlayerGrades+'!$AI$12,"C-",IF(T234&lt;'PlayerGrades+'!$AI$11,"C",IF(T234&lt;'PlayerGrades+'!$AI$10,"C+",IF(T234&lt;'PlayerGrades+'!$AI$9,"B-",IF(T234&lt;'PlayerGrades+'!$AI$8,"B",IF(T234&lt;'PlayerGrades+'!$AI$7,"B+",IF(T234&lt;'PlayerGrades+'!$AI$6,"A-",IF(T234&lt;'PlayerGrades+'!$AI$5,"A",IF(T234&lt;'PlayerGrades+'!$AI$4,"A+",IF(T234&lt;'PlayerGrades+'!$AI$3,"S-",IF(T234&lt;'PlayerGrades+'!$AI$2,"S","S+"))))))))))))))))))))</f>
        <v>F-</v>
      </c>
      <c r="V234" s="1379"/>
      <c r="W234" s="1379"/>
      <c r="X234" s="1379"/>
      <c r="Y234" s="1379"/>
      <c r="Z234" s="1379"/>
      <c r="AA234" s="1379"/>
      <c r="AB234" s="1379"/>
      <c r="AC234" s="1390"/>
      <c r="AD234" s="1379"/>
      <c r="AE234" s="1379"/>
      <c r="AF234" s="1379"/>
      <c r="AG234" s="1379"/>
      <c r="AH234" s="1379"/>
      <c r="AI234" s="1379"/>
      <c r="AJ234" s="1379"/>
      <c r="AK234" s="1379"/>
      <c r="AL234" s="1379"/>
      <c r="AM234" s="1379"/>
      <c r="AN234" s="1379"/>
      <c r="AO234" s="1379"/>
      <c r="AP234" s="1379"/>
      <c r="AQ234" s="1379"/>
      <c r="AR234" s="1379"/>
      <c r="AS234" s="1379"/>
      <c r="AT234" s="1379"/>
      <c r="AU234" s="1379"/>
      <c r="AV234" s="1379"/>
      <c r="AW234" s="1379"/>
      <c r="AX234" s="1379"/>
      <c r="AY234" s="1379"/>
      <c r="AZ234" s="1379"/>
    </row>
    <row r="235">
      <c r="A235" s="1391"/>
      <c r="B235" s="611" t="str">
        <f>IF(C235&lt;'PlayerGrades+'!$Y$44,"F-",IF(C235&lt;'PlayerGrades+'!$Y$43,"F",IF(C235&lt;'PlayerGrades+'!$Y$42,"F+",IF(C235&lt;'PlayerGrades+'!$Y$41,"E-",IF(C235&lt;'PlayerGrades+'!$Y$40,"E",IF(C235&lt;'PlayerGrades+'!$Y$39,"E+",IF(C235&lt;'PlayerGrades+'!$Y$38,"D-",IF(C235&lt;'PlayerGrades+'!$Y$37,"D",IF(C235&lt;'PlayerGrades+'!$Y$36,"D+",IF(C235&lt;'PlayerGrades+'!$Y$35,"C-",IF(C235&lt;'PlayerGrades+'!$Y$34,"C",IF(C235&lt;'PlayerGrades+'!$Y$33,"C+",IF(C235&lt;'PlayerGrades+'!$Y$32,"B-",IF(C235&lt;'PlayerGrades+'!$Y$31,"B",IF(C235&lt;'PlayerGrades+'!$Y$30,"B+",IF(C235&lt;'PlayerGrades+'!$Y$29,"A-",IF(C235&lt;'PlayerGrades+'!$Y$28,"A",IF(C235&lt;'PlayerGrades+'!$Y$27,"A+",IF(C235&lt;'PlayerGrades+'!$Y$26,"S-",IF(C235&lt;'PlayerGrades+'!$Y$25,"S","S+"))))))))))))))))))))</f>
        <v>#DIV/0!</v>
      </c>
      <c r="C235" s="1378" t="str">
        <f>('PlayerGrades+'!$Y$47*(VLOOKUP(E235, 'PlayerGrades+'!$X$3:$Y$23, 2, FALSE)))+('PlayerGrades+'!$Y$48*(VLOOKUP(G235, 'PlayerGrades+'!$X$3:$Y$23, 2, FALSE)))+('PlayerGrades+'!$Y$49*(VLOOKUP(I235, 'PlayerGrades+'!$X$3:$Y$23, 2, FALSE)))+('PlayerGrades+'!$Y$50*(VLOOKUP(K235, 'PlayerGrades+'!$X$3:$Y$23, 2, FALSE)))+('PlayerGrades+'!$Y$51*(VLOOKUP(M235, 'PlayerGrades+'!$X$3:$Y$23, 2, FALSE)))+('PlayerGrades+'!$Y$52*(VLOOKUP(O235, 'PlayerGrades+'!$X$3:$Y$23, 2, FALSE)))+('PlayerGrades+'!$Y$53*(VLOOKUP(Q235, 'PlayerGrades+'!$X$3:$Y$23, 2, FALSE)))+('PlayerGrades+'!$Y$54*(VLOOKUP(S235, 'PlayerGrades+'!$X$3:$Y$23, 2, FALSE)))+('PlayerGrades+'!$Y$55*(VLOOKUP(U235, 'PlayerGrades+'!$X$3:$Y$23, 2, FALSE)))</f>
        <v>#DIV/0!</v>
      </c>
      <c r="D235" s="961" t="str">
        <f t="shared" si="1"/>
        <v>#DIV/0!</v>
      </c>
      <c r="E235" s="961" t="str">
        <f>IF(D235&lt;'PlayerGrades+'!$AA$21,"F-",IF(D235&lt;'PlayerGrades+'!$AA$20,"F",IF(D235&lt;'PlayerGrades+'!$AA$19,"F+",IF(D235&lt;'PlayerGrades+'!$AA$18,"E-",IF(D235&lt;'PlayerGrades+'!$AA$17,"E",IF(D235&lt;'PlayerGrades+'!$AA$16,"E+",IF(D235&lt;'PlayerGrades+'!$AA$15,"D-",IF(D235&lt;'PlayerGrades+'!$AA$14,"D",IF(D235&lt;'PlayerGrades+'!$AA$13,"D+",IF(D235&lt;'PlayerGrades+'!$AA$12,"C-",IF(D235&lt;'PlayerGrades+'!$AA$11,"C",IF(D235&lt;'PlayerGrades+'!$AA$10,"C+",IF(D235&lt;'PlayerGrades+'!$AA$9,"B-",IF(D235&lt;'PlayerGrades+'!$AA$8,"B",IF(D235&lt;'PlayerGrades+'!$AA$7,"B+",IF(D235&lt;'PlayerGrades+'!$AA$6,"A-",IF(D235&lt;'PlayerGrades+'!$AA$5,"A",IF(D235&lt;'PlayerGrades+'!$AA$4,"A+",IF(D235&lt;'PlayerGrades+'!$AA$3,"S-",IF(D235&lt;'PlayerGrades+'!$AA$2,"S","S+"))))))))))))))))))))</f>
        <v>#DIV/0!</v>
      </c>
      <c r="F235" s="961" t="str">
        <f t="shared" si="2"/>
        <v>#DIV/0!</v>
      </c>
      <c r="G235" s="961" t="str">
        <f>IF(F235&lt;'PlayerGrades+'!$AB$21,"F-",IF(F235&lt;'PlayerGrades+'!$AB$20,"F",IF(F235&lt;'PlayerGrades+'!$AB$19,"F+",IF(F235&lt;'PlayerGrades+'!$AB$18,"E-",IF(F235&lt;'PlayerGrades+'!$AB$17,"E",IF(F235&lt;'PlayerGrades+'!$AB$16,"E+",IF(F235&lt;'PlayerGrades+'!$AB$15,"D-",IF(F235&lt;'PlayerGrades+'!$AB$14,"D",IF(F235&lt;'PlayerGrades+'!$AB$13,"D+",IF(F235&lt;'PlayerGrades+'!$AB$12,"C-",IF(F235&lt;'PlayerGrades+'!$AB$11,"C",IF(F235&lt;'PlayerGrades+'!$AB$10,"C+",IF(F235&lt;'PlayerGrades+'!$AB$9,"B-",IF(F235&lt;'PlayerGrades+'!$AB$8,"B",IF(F235&lt;'PlayerGrades+'!$AB$7,"B+",IF(F235&lt;'PlayerGrades+'!$AB$6,"A-",IF(F235&lt;'PlayerGrades+'!$AB$5,"A",IF(F235&lt;'PlayerGrades+'!$AB$4,"A+",IF(F235&lt;'PlayerGrades+'!$AB$3,"S-",IF(F235&lt;'PlayerGrades+'!$AB$2,"S","S+"))))))))))))))))))))</f>
        <v>#DIV/0!</v>
      </c>
      <c r="H235" s="961" t="str">
        <f t="shared" si="3"/>
        <v>#DIV/0!</v>
      </c>
      <c r="I235" s="961" t="str">
        <f>IF(H235&lt;'PlayerGrades+'!$AC$21,"F-",IF(H235&lt;'PlayerGrades+'!$AC$20,"F",IF(H235&lt;'PlayerGrades+'!$AC$19,"F+",IF(H235&lt;'PlayerGrades+'!$AC$18,"E-",IF(H235&lt;'PlayerGrades+'!$AC$17,"E",IF(H235&lt;'PlayerGrades+'!$AC$16,"E+",IF(H235&lt;'PlayerGrades+'!$AC$15,"D-",IF(H235&lt;'PlayerGrades+'!$AC$14,"D",IF(H235&lt;'PlayerGrades+'!$AC$13,"D+",IF(H235&lt;'PlayerGrades+'!$AC$12,"C-",IF(H235&lt;'PlayerGrades+'!$AC$11,"C",IF(H235&lt;'PlayerGrades+'!$AC$10,"C+",IF(H235&lt;'PlayerGrades+'!$AC$9,"B-",IF(H235&lt;'PlayerGrades+'!$AC$8,"B",IF(H235&lt;'PlayerGrades+'!$AC$7,"B+",IF(H235&lt;'PlayerGrades+'!$AC$6,"A-",IF(H235&lt;'PlayerGrades+'!$AC$5,"A",IF(H235&lt;'PlayerGrades+'!$AC$4,"A+",IF(H235&lt;'PlayerGrades+'!$AC$3,"S-",IF(H235&lt;'PlayerGrades+'!$AC$2,"S","S+"))))))))))))))))))))</f>
        <v>#DIV/0!</v>
      </c>
      <c r="J235" s="961" t="str">
        <f t="shared" si="4"/>
        <v>#DIV/0!</v>
      </c>
      <c r="K235" s="961" t="str">
        <f>IF(J235&lt;'PlayerGrades+'!$AD$21,"F-",IF(J235&lt;'PlayerGrades+'!$AD$20,"F",IF(J235&lt;'PlayerGrades+'!$AD$19,"F+",IF(J235&lt;'PlayerGrades+'!$AD$18,"E-",IF(J235&lt;'PlayerGrades+'!$AD$17,"E",IF(J235&lt;'PlayerGrades+'!$AD$16,"E+",IF(J235&lt;'PlayerGrades+'!$AD$15,"D-",IF(J235&lt;'PlayerGrades+'!$AD$14,"D",IF(J235&lt;'PlayerGrades+'!$AD$13,"D+",IF(J235&lt;'PlayerGrades+'!$AD$12,"C-",IF(J235&lt;'PlayerGrades+'!$AD$11,"C",IF(J235&lt;'PlayerGrades+'!$AD$10,"C+",IF(J235&lt;'PlayerGrades+'!$AD$9,"B-",IF(J235&lt;'PlayerGrades+'!$AD$8,"B",IF(J235&lt;'PlayerGrades+'!$AD$7,"B+",IF(J235&lt;'PlayerGrades+'!$AD$6,"A-",IF(J235&lt;'PlayerGrades+'!$AD$5,"A",IF(J235&lt;'PlayerGrades+'!$AD$4,"A+",IF(J235&lt;'PlayerGrades+'!$AD$3,"S-",IF(J235&lt;'PlayerGrades+'!$AD$2,"S","S+"))))))))))))))))))))</f>
        <v>#DIV/0!</v>
      </c>
      <c r="L235" s="1176" t="str">
        <f t="shared" si="5"/>
        <v>#DIV/0!</v>
      </c>
      <c r="M235" s="992" t="str">
        <f>IF(L235&lt;'PlayerGrades+'!$AE$21,"F-",IF(L235&lt;'PlayerGrades+'!$AE$20,"F",IF(L235&lt;'PlayerGrades+'!$AE$19,"F+",IF(L235&lt;'PlayerGrades+'!$AE$18,"E-",IF(L235&lt;'PlayerGrades+'!$AE$17,"E",IF(L235&lt;'PlayerGrades+'!$AE$16,"E+",IF(L235&lt;'PlayerGrades+'!$AE$15,"D-",IF(L235&lt;'PlayerGrades+'!$AE$14,"D",IF(L235&lt;'PlayerGrades+'!$AE$13,"D+",IF(L235&lt;'PlayerGrades+'!$AE$12,"C-",IF(L235&lt;'PlayerGrades+'!$AE$11,"C",IF(L235&lt;'PlayerGrades+'!$AE$10,"C+",IF(L235&lt;'PlayerGrades+'!$AE$9,"B-",IF(L235&lt;'PlayerGrades+'!$AE$8,"B",IF(L235&lt;'PlayerGrades+'!$AE$7,"B+",IF(L235&lt;'PlayerGrades+'!$AE$6,"A-",IF(L235&lt;'PlayerGrades+'!$AE$5,"A",IF(L235&lt;'PlayerGrades+'!$AE$4,"A+",IF(L235&lt;'PlayerGrades+'!$AE$3,"S-",IF(L235&lt;'PlayerGrades+'!$AE$2,"S","S+"))))))))))))))))))))</f>
        <v>#DIV/0!</v>
      </c>
      <c r="N235" s="961" t="str">
        <f t="shared" si="6"/>
        <v>#DIV/0!</v>
      </c>
      <c r="O235" s="961" t="str">
        <f>IF(N235&lt;'PlayerGrades+'!$AF$21,"F-",IF(N235&lt;'PlayerGrades+'!$AF$20,"F",IF(N235&lt;'PlayerGrades+'!$AF$19,"F+",IF(N235&lt;'PlayerGrades+'!$AF$18,"E-",IF(N235&lt;'PlayerGrades+'!$AF$17,"E",IF(N235&lt;'PlayerGrades+'!$AF$16,"E+",IF(N235&lt;'PlayerGrades+'!$AF$15,"D-",IF(N235&lt;'PlayerGrades+'!$AF$14,"D",IF(N235&lt;'PlayerGrades+'!$AF$13,"D+",IF(N235&lt;'PlayerGrades+'!$AF$12,"C-",IF(N235&lt;'PlayerGrades+'!$AF$11,"C",IF(N235&lt;'PlayerGrades+'!$AF$10,"C+",IF(N235&lt;'PlayerGrades+'!$AF$9,"B-",IF(N235&lt;'PlayerGrades+'!$AF$8,"B",IF(N235&lt;'PlayerGrades+'!$AF$7,"B+",IF(N235&lt;'PlayerGrades+'!$AF$6,"A-",IF(N235&lt;'PlayerGrades+'!$AF$5,"A",IF(N235&lt;'PlayerGrades+'!$AF$4,"A+",IF(N235&lt;'PlayerGrades+'!$AF$3,"S-",IF(N235&lt;'PlayerGrades+'!$AF$2,"S","S+"))))))))))))))))))))</f>
        <v>#DIV/0!</v>
      </c>
      <c r="P235" s="961" t="str">
        <f t="shared" si="7"/>
        <v>#DIV/0!</v>
      </c>
      <c r="Q235" s="961" t="str">
        <f>IF(P235&lt;'PlayerGrades+'!$AG$21,"F-",IF(P235&lt;'PlayerGrades+'!$AG$20,"F",IF(P235&lt;'PlayerGrades+'!$AG$19,"F+",IF(P235&lt;'PlayerGrades+'!$AG$18,"E-",IF(P235&lt;'PlayerGrades+'!$AG$17,"E",IF(P235&lt;'PlayerGrades+'!$AG$16,"E+",IF(P235&lt;'PlayerGrades+'!$AG$15,"D-",IF(P235&lt;'PlayerGrades+'!$AG$14,"D",IF(P235&lt;'PlayerGrades+'!$AG$13,"D+",IF(P235&lt;'PlayerGrades+'!$AG$12,"C-",IF(P235&lt;'PlayerGrades+'!$AG$11,"C",IF(P235&lt;'PlayerGrades+'!$AG$10,"C+",IF(P235&lt;'PlayerGrades+'!$AG$9,"B-",IF(P235&lt;'PlayerGrades+'!$AG$8,"B",IF(P235&lt;'PlayerGrades+'!$AG$7,"B+",IF(P235&lt;'PlayerGrades+'!$AG$6,"A-",IF(P235&lt;'PlayerGrades+'!$AG$5,"A",IF(P235&lt;'PlayerGrades+'!$AG$4,"A+",IF(P235&lt;'PlayerGrades+'!$AG$3,"S-",IF(P235&lt;'PlayerGrades+'!$AG$2,"S","S+"))))))))))))))))))))</f>
        <v>#DIV/0!</v>
      </c>
      <c r="R235" s="961" t="str">
        <f t="shared" si="8"/>
        <v>#DIV/0!</v>
      </c>
      <c r="S235" s="961" t="str">
        <f>IF(R235&lt;'PlayerGrades+'!$AH$21,"F-",IF(R235&lt;'PlayerGrades+'!$AH$20,"F",IF(R235&lt;'PlayerGrades+'!$AH$19,"F+",IF(R235&lt;'PlayerGrades+'!$AH$18,"E-",IF(R235&lt;'PlayerGrades+'!$AH$17,"E",IF(R235&lt;'PlayerGrades+'!$AH$16,"E+",IF(R235&lt;'PlayerGrades+'!$AH$15,"D-",IF(R235&lt;'PlayerGrades+'!$AH$14,"D",IF(R235&lt;'PlayerGrades+'!$AH$13,"D+",IF(R235&lt;'PlayerGrades+'!$AH$12,"C-",IF(R235&lt;'PlayerGrades+'!$AH$11,"C",IF(R235&lt;'PlayerGrades+'!$AH$10,"C+",IF(R235&lt;'PlayerGrades+'!$AH$9,"B-",IF(R235&lt;'PlayerGrades+'!$AH$8,"B",IF(R235&lt;'PlayerGrades+'!$AH$7,"B+",IF(R235&lt;'PlayerGrades+'!$AH$6,"A-",IF(R235&lt;'PlayerGrades+'!$AH$5,"A",IF(R235&lt;'PlayerGrades+'!$AH$4,"A+",IF(R235&lt;'PlayerGrades+'!$AH$3,"S-",IF(R235&lt;'PlayerGrades+'!$AH$2,"S","S+"))))))))))))))))))))</f>
        <v>#DIV/0!</v>
      </c>
      <c r="T235" s="961">
        <f t="shared" si="9"/>
        <v>0</v>
      </c>
      <c r="U235" s="961" t="str">
        <f>IF(T235&lt;'PlayerGrades+'!$AI$21,"F-",IF(T235&lt;'PlayerGrades+'!$AI$20,"F",IF(T235&lt;'PlayerGrades+'!$AI$19,"F+",IF(T235&lt;'PlayerGrades+'!$AI$18,"E-",IF(T235&lt;'PlayerGrades+'!$AI$17,"E",IF(T235&lt;'PlayerGrades+'!$AI$16,"E+",IF(T235&lt;'PlayerGrades+'!$AI$15,"D-",IF(T235&lt;'PlayerGrades+'!$AI$14,"D",IF(T235&lt;'PlayerGrades+'!$AI$13,"D+",IF(T235&lt;'PlayerGrades+'!$AI$12,"C-",IF(T235&lt;'PlayerGrades+'!$AI$11,"C",IF(T235&lt;'PlayerGrades+'!$AI$10,"C+",IF(T235&lt;'PlayerGrades+'!$AI$9,"B-",IF(T235&lt;'PlayerGrades+'!$AI$8,"B",IF(T235&lt;'PlayerGrades+'!$AI$7,"B+",IF(T235&lt;'PlayerGrades+'!$AI$6,"A-",IF(T235&lt;'PlayerGrades+'!$AI$5,"A",IF(T235&lt;'PlayerGrades+'!$AI$4,"A+",IF(T235&lt;'PlayerGrades+'!$AI$3,"S-",IF(T235&lt;'PlayerGrades+'!$AI$2,"S","S+"))))))))))))))))))))</f>
        <v>F-</v>
      </c>
      <c r="AC235" s="1392"/>
    </row>
    <row r="236">
      <c r="A236" s="1391"/>
      <c r="B236" s="611" t="str">
        <f>IF(C236&lt;'PlayerGrades+'!$Y$44,"F-",IF(C236&lt;'PlayerGrades+'!$Y$43,"F",IF(C236&lt;'PlayerGrades+'!$Y$42,"F+",IF(C236&lt;'PlayerGrades+'!$Y$41,"E-",IF(C236&lt;'PlayerGrades+'!$Y$40,"E",IF(C236&lt;'PlayerGrades+'!$Y$39,"E+",IF(C236&lt;'PlayerGrades+'!$Y$38,"D-",IF(C236&lt;'PlayerGrades+'!$Y$37,"D",IF(C236&lt;'PlayerGrades+'!$Y$36,"D+",IF(C236&lt;'PlayerGrades+'!$Y$35,"C-",IF(C236&lt;'PlayerGrades+'!$Y$34,"C",IF(C236&lt;'PlayerGrades+'!$Y$33,"C+",IF(C236&lt;'PlayerGrades+'!$Y$32,"B-",IF(C236&lt;'PlayerGrades+'!$Y$31,"B",IF(C236&lt;'PlayerGrades+'!$Y$30,"B+",IF(C236&lt;'PlayerGrades+'!$Y$29,"A-",IF(C236&lt;'PlayerGrades+'!$Y$28,"A",IF(C236&lt;'PlayerGrades+'!$Y$27,"A+",IF(C236&lt;'PlayerGrades+'!$Y$26,"S-",IF(C236&lt;'PlayerGrades+'!$Y$25,"S","S+"))))))))))))))))))))</f>
        <v>#DIV/0!</v>
      </c>
      <c r="C236" s="1378" t="str">
        <f>('PlayerGrades+'!$Y$47*(VLOOKUP(E236, 'PlayerGrades+'!$X$3:$Y$23, 2, FALSE)))+('PlayerGrades+'!$Y$48*(VLOOKUP(G236, 'PlayerGrades+'!$X$3:$Y$23, 2, FALSE)))+('PlayerGrades+'!$Y$49*(VLOOKUP(I236, 'PlayerGrades+'!$X$3:$Y$23, 2, FALSE)))+('PlayerGrades+'!$Y$50*(VLOOKUP(K236, 'PlayerGrades+'!$X$3:$Y$23, 2, FALSE)))+('PlayerGrades+'!$Y$51*(VLOOKUP(M236, 'PlayerGrades+'!$X$3:$Y$23, 2, FALSE)))+('PlayerGrades+'!$Y$52*(VLOOKUP(O236, 'PlayerGrades+'!$X$3:$Y$23, 2, FALSE)))+('PlayerGrades+'!$Y$53*(VLOOKUP(Q236, 'PlayerGrades+'!$X$3:$Y$23, 2, FALSE)))+('PlayerGrades+'!$Y$54*(VLOOKUP(S236, 'PlayerGrades+'!$X$3:$Y$23, 2, FALSE)))+('PlayerGrades+'!$Y$55*(VLOOKUP(U236, 'PlayerGrades+'!$X$3:$Y$23, 2, FALSE)))</f>
        <v>#DIV/0!</v>
      </c>
      <c r="D236" s="961" t="str">
        <f t="shared" si="1"/>
        <v>#DIV/0!</v>
      </c>
      <c r="E236" s="961" t="str">
        <f>IF(D236&lt;'PlayerGrades+'!$AA$21,"F-",IF(D236&lt;'PlayerGrades+'!$AA$20,"F",IF(D236&lt;'PlayerGrades+'!$AA$19,"F+",IF(D236&lt;'PlayerGrades+'!$AA$18,"E-",IF(D236&lt;'PlayerGrades+'!$AA$17,"E",IF(D236&lt;'PlayerGrades+'!$AA$16,"E+",IF(D236&lt;'PlayerGrades+'!$AA$15,"D-",IF(D236&lt;'PlayerGrades+'!$AA$14,"D",IF(D236&lt;'PlayerGrades+'!$AA$13,"D+",IF(D236&lt;'PlayerGrades+'!$AA$12,"C-",IF(D236&lt;'PlayerGrades+'!$AA$11,"C",IF(D236&lt;'PlayerGrades+'!$AA$10,"C+",IF(D236&lt;'PlayerGrades+'!$AA$9,"B-",IF(D236&lt;'PlayerGrades+'!$AA$8,"B",IF(D236&lt;'PlayerGrades+'!$AA$7,"B+",IF(D236&lt;'PlayerGrades+'!$AA$6,"A-",IF(D236&lt;'PlayerGrades+'!$AA$5,"A",IF(D236&lt;'PlayerGrades+'!$AA$4,"A+",IF(D236&lt;'PlayerGrades+'!$AA$3,"S-",IF(D236&lt;'PlayerGrades+'!$AA$2,"S","S+"))))))))))))))))))))</f>
        <v>#DIV/0!</v>
      </c>
      <c r="F236" s="961" t="str">
        <f t="shared" si="2"/>
        <v>#DIV/0!</v>
      </c>
      <c r="G236" s="961" t="str">
        <f>IF(F236&lt;'PlayerGrades+'!$AB$21,"F-",IF(F236&lt;'PlayerGrades+'!$AB$20,"F",IF(F236&lt;'PlayerGrades+'!$AB$19,"F+",IF(F236&lt;'PlayerGrades+'!$AB$18,"E-",IF(F236&lt;'PlayerGrades+'!$AB$17,"E",IF(F236&lt;'PlayerGrades+'!$AB$16,"E+",IF(F236&lt;'PlayerGrades+'!$AB$15,"D-",IF(F236&lt;'PlayerGrades+'!$AB$14,"D",IF(F236&lt;'PlayerGrades+'!$AB$13,"D+",IF(F236&lt;'PlayerGrades+'!$AB$12,"C-",IF(F236&lt;'PlayerGrades+'!$AB$11,"C",IF(F236&lt;'PlayerGrades+'!$AB$10,"C+",IF(F236&lt;'PlayerGrades+'!$AB$9,"B-",IF(F236&lt;'PlayerGrades+'!$AB$8,"B",IF(F236&lt;'PlayerGrades+'!$AB$7,"B+",IF(F236&lt;'PlayerGrades+'!$AB$6,"A-",IF(F236&lt;'PlayerGrades+'!$AB$5,"A",IF(F236&lt;'PlayerGrades+'!$AB$4,"A+",IF(F236&lt;'PlayerGrades+'!$AB$3,"S-",IF(F236&lt;'PlayerGrades+'!$AB$2,"S","S+"))))))))))))))))))))</f>
        <v>#DIV/0!</v>
      </c>
      <c r="H236" s="961" t="str">
        <f t="shared" si="3"/>
        <v>#DIV/0!</v>
      </c>
      <c r="I236" s="961" t="str">
        <f>IF(H236&lt;'PlayerGrades+'!$AC$21,"F-",IF(H236&lt;'PlayerGrades+'!$AC$20,"F",IF(H236&lt;'PlayerGrades+'!$AC$19,"F+",IF(H236&lt;'PlayerGrades+'!$AC$18,"E-",IF(H236&lt;'PlayerGrades+'!$AC$17,"E",IF(H236&lt;'PlayerGrades+'!$AC$16,"E+",IF(H236&lt;'PlayerGrades+'!$AC$15,"D-",IF(H236&lt;'PlayerGrades+'!$AC$14,"D",IF(H236&lt;'PlayerGrades+'!$AC$13,"D+",IF(H236&lt;'PlayerGrades+'!$AC$12,"C-",IF(H236&lt;'PlayerGrades+'!$AC$11,"C",IF(H236&lt;'PlayerGrades+'!$AC$10,"C+",IF(H236&lt;'PlayerGrades+'!$AC$9,"B-",IF(H236&lt;'PlayerGrades+'!$AC$8,"B",IF(H236&lt;'PlayerGrades+'!$AC$7,"B+",IF(H236&lt;'PlayerGrades+'!$AC$6,"A-",IF(H236&lt;'PlayerGrades+'!$AC$5,"A",IF(H236&lt;'PlayerGrades+'!$AC$4,"A+",IF(H236&lt;'PlayerGrades+'!$AC$3,"S-",IF(H236&lt;'PlayerGrades+'!$AC$2,"S","S+"))))))))))))))))))))</f>
        <v>#DIV/0!</v>
      </c>
      <c r="J236" s="961" t="str">
        <f t="shared" si="4"/>
        <v>#DIV/0!</v>
      </c>
      <c r="K236" s="961" t="str">
        <f>IF(J236&lt;'PlayerGrades+'!$AD$21,"F-",IF(J236&lt;'PlayerGrades+'!$AD$20,"F",IF(J236&lt;'PlayerGrades+'!$AD$19,"F+",IF(J236&lt;'PlayerGrades+'!$AD$18,"E-",IF(J236&lt;'PlayerGrades+'!$AD$17,"E",IF(J236&lt;'PlayerGrades+'!$AD$16,"E+",IF(J236&lt;'PlayerGrades+'!$AD$15,"D-",IF(J236&lt;'PlayerGrades+'!$AD$14,"D",IF(J236&lt;'PlayerGrades+'!$AD$13,"D+",IF(J236&lt;'PlayerGrades+'!$AD$12,"C-",IF(J236&lt;'PlayerGrades+'!$AD$11,"C",IF(J236&lt;'PlayerGrades+'!$AD$10,"C+",IF(J236&lt;'PlayerGrades+'!$AD$9,"B-",IF(J236&lt;'PlayerGrades+'!$AD$8,"B",IF(J236&lt;'PlayerGrades+'!$AD$7,"B+",IF(J236&lt;'PlayerGrades+'!$AD$6,"A-",IF(J236&lt;'PlayerGrades+'!$AD$5,"A",IF(J236&lt;'PlayerGrades+'!$AD$4,"A+",IF(J236&lt;'PlayerGrades+'!$AD$3,"S-",IF(J236&lt;'PlayerGrades+'!$AD$2,"S","S+"))))))))))))))))))))</f>
        <v>#DIV/0!</v>
      </c>
      <c r="L236" s="1176" t="str">
        <f t="shared" si="5"/>
        <v>#DIV/0!</v>
      </c>
      <c r="M236" s="992" t="str">
        <f>IF(L236&lt;'PlayerGrades+'!$AE$21,"F-",IF(L236&lt;'PlayerGrades+'!$AE$20,"F",IF(L236&lt;'PlayerGrades+'!$AE$19,"F+",IF(L236&lt;'PlayerGrades+'!$AE$18,"E-",IF(L236&lt;'PlayerGrades+'!$AE$17,"E",IF(L236&lt;'PlayerGrades+'!$AE$16,"E+",IF(L236&lt;'PlayerGrades+'!$AE$15,"D-",IF(L236&lt;'PlayerGrades+'!$AE$14,"D",IF(L236&lt;'PlayerGrades+'!$AE$13,"D+",IF(L236&lt;'PlayerGrades+'!$AE$12,"C-",IF(L236&lt;'PlayerGrades+'!$AE$11,"C",IF(L236&lt;'PlayerGrades+'!$AE$10,"C+",IF(L236&lt;'PlayerGrades+'!$AE$9,"B-",IF(L236&lt;'PlayerGrades+'!$AE$8,"B",IF(L236&lt;'PlayerGrades+'!$AE$7,"B+",IF(L236&lt;'PlayerGrades+'!$AE$6,"A-",IF(L236&lt;'PlayerGrades+'!$AE$5,"A",IF(L236&lt;'PlayerGrades+'!$AE$4,"A+",IF(L236&lt;'PlayerGrades+'!$AE$3,"S-",IF(L236&lt;'PlayerGrades+'!$AE$2,"S","S+"))))))))))))))))))))</f>
        <v>#DIV/0!</v>
      </c>
      <c r="N236" s="961" t="str">
        <f t="shared" si="6"/>
        <v>#DIV/0!</v>
      </c>
      <c r="O236" s="961" t="str">
        <f>IF(N236&lt;'PlayerGrades+'!$AF$21,"F-",IF(N236&lt;'PlayerGrades+'!$AF$20,"F",IF(N236&lt;'PlayerGrades+'!$AF$19,"F+",IF(N236&lt;'PlayerGrades+'!$AF$18,"E-",IF(N236&lt;'PlayerGrades+'!$AF$17,"E",IF(N236&lt;'PlayerGrades+'!$AF$16,"E+",IF(N236&lt;'PlayerGrades+'!$AF$15,"D-",IF(N236&lt;'PlayerGrades+'!$AF$14,"D",IF(N236&lt;'PlayerGrades+'!$AF$13,"D+",IF(N236&lt;'PlayerGrades+'!$AF$12,"C-",IF(N236&lt;'PlayerGrades+'!$AF$11,"C",IF(N236&lt;'PlayerGrades+'!$AF$10,"C+",IF(N236&lt;'PlayerGrades+'!$AF$9,"B-",IF(N236&lt;'PlayerGrades+'!$AF$8,"B",IF(N236&lt;'PlayerGrades+'!$AF$7,"B+",IF(N236&lt;'PlayerGrades+'!$AF$6,"A-",IF(N236&lt;'PlayerGrades+'!$AF$5,"A",IF(N236&lt;'PlayerGrades+'!$AF$4,"A+",IF(N236&lt;'PlayerGrades+'!$AF$3,"S-",IF(N236&lt;'PlayerGrades+'!$AF$2,"S","S+"))))))))))))))))))))</f>
        <v>#DIV/0!</v>
      </c>
      <c r="P236" s="961" t="str">
        <f t="shared" si="7"/>
        <v>#DIV/0!</v>
      </c>
      <c r="Q236" s="961" t="str">
        <f>IF(P236&lt;'PlayerGrades+'!$AG$21,"F-",IF(P236&lt;'PlayerGrades+'!$AG$20,"F",IF(P236&lt;'PlayerGrades+'!$AG$19,"F+",IF(P236&lt;'PlayerGrades+'!$AG$18,"E-",IF(P236&lt;'PlayerGrades+'!$AG$17,"E",IF(P236&lt;'PlayerGrades+'!$AG$16,"E+",IF(P236&lt;'PlayerGrades+'!$AG$15,"D-",IF(P236&lt;'PlayerGrades+'!$AG$14,"D",IF(P236&lt;'PlayerGrades+'!$AG$13,"D+",IF(P236&lt;'PlayerGrades+'!$AG$12,"C-",IF(P236&lt;'PlayerGrades+'!$AG$11,"C",IF(P236&lt;'PlayerGrades+'!$AG$10,"C+",IF(P236&lt;'PlayerGrades+'!$AG$9,"B-",IF(P236&lt;'PlayerGrades+'!$AG$8,"B",IF(P236&lt;'PlayerGrades+'!$AG$7,"B+",IF(P236&lt;'PlayerGrades+'!$AG$6,"A-",IF(P236&lt;'PlayerGrades+'!$AG$5,"A",IF(P236&lt;'PlayerGrades+'!$AG$4,"A+",IF(P236&lt;'PlayerGrades+'!$AG$3,"S-",IF(P236&lt;'PlayerGrades+'!$AG$2,"S","S+"))))))))))))))))))))</f>
        <v>#DIV/0!</v>
      </c>
      <c r="R236" s="961" t="str">
        <f t="shared" si="8"/>
        <v>#DIV/0!</v>
      </c>
      <c r="S236" s="961" t="str">
        <f>IF(R236&lt;'PlayerGrades+'!$AH$21,"F-",IF(R236&lt;'PlayerGrades+'!$AH$20,"F",IF(R236&lt;'PlayerGrades+'!$AH$19,"F+",IF(R236&lt;'PlayerGrades+'!$AH$18,"E-",IF(R236&lt;'PlayerGrades+'!$AH$17,"E",IF(R236&lt;'PlayerGrades+'!$AH$16,"E+",IF(R236&lt;'PlayerGrades+'!$AH$15,"D-",IF(R236&lt;'PlayerGrades+'!$AH$14,"D",IF(R236&lt;'PlayerGrades+'!$AH$13,"D+",IF(R236&lt;'PlayerGrades+'!$AH$12,"C-",IF(R236&lt;'PlayerGrades+'!$AH$11,"C",IF(R236&lt;'PlayerGrades+'!$AH$10,"C+",IF(R236&lt;'PlayerGrades+'!$AH$9,"B-",IF(R236&lt;'PlayerGrades+'!$AH$8,"B",IF(R236&lt;'PlayerGrades+'!$AH$7,"B+",IF(R236&lt;'PlayerGrades+'!$AH$6,"A-",IF(R236&lt;'PlayerGrades+'!$AH$5,"A",IF(R236&lt;'PlayerGrades+'!$AH$4,"A+",IF(R236&lt;'PlayerGrades+'!$AH$3,"S-",IF(R236&lt;'PlayerGrades+'!$AH$2,"S","S+"))))))))))))))))))))</f>
        <v>#DIV/0!</v>
      </c>
      <c r="T236" s="961">
        <f t="shared" si="9"/>
        <v>0</v>
      </c>
      <c r="U236" s="961" t="str">
        <f>IF(T236&lt;'PlayerGrades+'!$AI$21,"F-",IF(T236&lt;'PlayerGrades+'!$AI$20,"F",IF(T236&lt;'PlayerGrades+'!$AI$19,"F+",IF(T236&lt;'PlayerGrades+'!$AI$18,"E-",IF(T236&lt;'PlayerGrades+'!$AI$17,"E",IF(T236&lt;'PlayerGrades+'!$AI$16,"E+",IF(T236&lt;'PlayerGrades+'!$AI$15,"D-",IF(T236&lt;'PlayerGrades+'!$AI$14,"D",IF(T236&lt;'PlayerGrades+'!$AI$13,"D+",IF(T236&lt;'PlayerGrades+'!$AI$12,"C-",IF(T236&lt;'PlayerGrades+'!$AI$11,"C",IF(T236&lt;'PlayerGrades+'!$AI$10,"C+",IF(T236&lt;'PlayerGrades+'!$AI$9,"B-",IF(T236&lt;'PlayerGrades+'!$AI$8,"B",IF(T236&lt;'PlayerGrades+'!$AI$7,"B+",IF(T236&lt;'PlayerGrades+'!$AI$6,"A-",IF(T236&lt;'PlayerGrades+'!$AI$5,"A",IF(T236&lt;'PlayerGrades+'!$AI$4,"A+",IF(T236&lt;'PlayerGrades+'!$AI$3,"S-",IF(T236&lt;'PlayerGrades+'!$AI$2,"S","S+"))))))))))))))))))))</f>
        <v>F-</v>
      </c>
      <c r="AC236" s="1392"/>
    </row>
    <row r="237">
      <c r="A237" s="1391"/>
      <c r="B237" s="611" t="str">
        <f>IF(C237&lt;'PlayerGrades+'!$Y$44,"F-",IF(C237&lt;'PlayerGrades+'!$Y$43,"F",IF(C237&lt;'PlayerGrades+'!$Y$42,"F+",IF(C237&lt;'PlayerGrades+'!$Y$41,"E-",IF(C237&lt;'PlayerGrades+'!$Y$40,"E",IF(C237&lt;'PlayerGrades+'!$Y$39,"E+",IF(C237&lt;'PlayerGrades+'!$Y$38,"D-",IF(C237&lt;'PlayerGrades+'!$Y$37,"D",IF(C237&lt;'PlayerGrades+'!$Y$36,"D+",IF(C237&lt;'PlayerGrades+'!$Y$35,"C-",IF(C237&lt;'PlayerGrades+'!$Y$34,"C",IF(C237&lt;'PlayerGrades+'!$Y$33,"C+",IF(C237&lt;'PlayerGrades+'!$Y$32,"B-",IF(C237&lt;'PlayerGrades+'!$Y$31,"B",IF(C237&lt;'PlayerGrades+'!$Y$30,"B+",IF(C237&lt;'PlayerGrades+'!$Y$29,"A-",IF(C237&lt;'PlayerGrades+'!$Y$28,"A",IF(C237&lt;'PlayerGrades+'!$Y$27,"A+",IF(C237&lt;'PlayerGrades+'!$Y$26,"S-",IF(C237&lt;'PlayerGrades+'!$Y$25,"S","S+"))))))))))))))))))))</f>
        <v>#DIV/0!</v>
      </c>
      <c r="C237" s="1378" t="str">
        <f>('PlayerGrades+'!$Y$47*(VLOOKUP(E237, 'PlayerGrades+'!$X$3:$Y$23, 2, FALSE)))+('PlayerGrades+'!$Y$48*(VLOOKUP(G237, 'PlayerGrades+'!$X$3:$Y$23, 2, FALSE)))+('PlayerGrades+'!$Y$49*(VLOOKUP(I237, 'PlayerGrades+'!$X$3:$Y$23, 2, FALSE)))+('PlayerGrades+'!$Y$50*(VLOOKUP(K237, 'PlayerGrades+'!$X$3:$Y$23, 2, FALSE)))+('PlayerGrades+'!$Y$51*(VLOOKUP(M237, 'PlayerGrades+'!$X$3:$Y$23, 2, FALSE)))+('PlayerGrades+'!$Y$52*(VLOOKUP(O237, 'PlayerGrades+'!$X$3:$Y$23, 2, FALSE)))+('PlayerGrades+'!$Y$53*(VLOOKUP(Q237, 'PlayerGrades+'!$X$3:$Y$23, 2, FALSE)))+('PlayerGrades+'!$Y$54*(VLOOKUP(S237, 'PlayerGrades+'!$X$3:$Y$23, 2, FALSE)))+('PlayerGrades+'!$Y$55*(VLOOKUP(U237, 'PlayerGrades+'!$X$3:$Y$23, 2, FALSE)))</f>
        <v>#DIV/0!</v>
      </c>
      <c r="D237" s="961" t="str">
        <f t="shared" si="1"/>
        <v>#DIV/0!</v>
      </c>
      <c r="E237" s="961" t="str">
        <f>IF(D237&lt;'PlayerGrades+'!$AA$21,"F-",IF(D237&lt;'PlayerGrades+'!$AA$20,"F",IF(D237&lt;'PlayerGrades+'!$AA$19,"F+",IF(D237&lt;'PlayerGrades+'!$AA$18,"E-",IF(D237&lt;'PlayerGrades+'!$AA$17,"E",IF(D237&lt;'PlayerGrades+'!$AA$16,"E+",IF(D237&lt;'PlayerGrades+'!$AA$15,"D-",IF(D237&lt;'PlayerGrades+'!$AA$14,"D",IF(D237&lt;'PlayerGrades+'!$AA$13,"D+",IF(D237&lt;'PlayerGrades+'!$AA$12,"C-",IF(D237&lt;'PlayerGrades+'!$AA$11,"C",IF(D237&lt;'PlayerGrades+'!$AA$10,"C+",IF(D237&lt;'PlayerGrades+'!$AA$9,"B-",IF(D237&lt;'PlayerGrades+'!$AA$8,"B",IF(D237&lt;'PlayerGrades+'!$AA$7,"B+",IF(D237&lt;'PlayerGrades+'!$AA$6,"A-",IF(D237&lt;'PlayerGrades+'!$AA$5,"A",IF(D237&lt;'PlayerGrades+'!$AA$4,"A+",IF(D237&lt;'PlayerGrades+'!$AA$3,"S-",IF(D237&lt;'PlayerGrades+'!$AA$2,"S","S+"))))))))))))))))))))</f>
        <v>#DIV/0!</v>
      </c>
      <c r="F237" s="961" t="str">
        <f t="shared" si="2"/>
        <v>#DIV/0!</v>
      </c>
      <c r="G237" s="961" t="str">
        <f>IF(F237&lt;'PlayerGrades+'!$AB$21,"F-",IF(F237&lt;'PlayerGrades+'!$AB$20,"F",IF(F237&lt;'PlayerGrades+'!$AB$19,"F+",IF(F237&lt;'PlayerGrades+'!$AB$18,"E-",IF(F237&lt;'PlayerGrades+'!$AB$17,"E",IF(F237&lt;'PlayerGrades+'!$AB$16,"E+",IF(F237&lt;'PlayerGrades+'!$AB$15,"D-",IF(F237&lt;'PlayerGrades+'!$AB$14,"D",IF(F237&lt;'PlayerGrades+'!$AB$13,"D+",IF(F237&lt;'PlayerGrades+'!$AB$12,"C-",IF(F237&lt;'PlayerGrades+'!$AB$11,"C",IF(F237&lt;'PlayerGrades+'!$AB$10,"C+",IF(F237&lt;'PlayerGrades+'!$AB$9,"B-",IF(F237&lt;'PlayerGrades+'!$AB$8,"B",IF(F237&lt;'PlayerGrades+'!$AB$7,"B+",IF(F237&lt;'PlayerGrades+'!$AB$6,"A-",IF(F237&lt;'PlayerGrades+'!$AB$5,"A",IF(F237&lt;'PlayerGrades+'!$AB$4,"A+",IF(F237&lt;'PlayerGrades+'!$AB$3,"S-",IF(F237&lt;'PlayerGrades+'!$AB$2,"S","S+"))))))))))))))))))))</f>
        <v>#DIV/0!</v>
      </c>
      <c r="H237" s="961" t="str">
        <f t="shared" si="3"/>
        <v>#DIV/0!</v>
      </c>
      <c r="I237" s="961" t="str">
        <f>IF(H237&lt;'PlayerGrades+'!$AC$21,"F-",IF(H237&lt;'PlayerGrades+'!$AC$20,"F",IF(H237&lt;'PlayerGrades+'!$AC$19,"F+",IF(H237&lt;'PlayerGrades+'!$AC$18,"E-",IF(H237&lt;'PlayerGrades+'!$AC$17,"E",IF(H237&lt;'PlayerGrades+'!$AC$16,"E+",IF(H237&lt;'PlayerGrades+'!$AC$15,"D-",IF(H237&lt;'PlayerGrades+'!$AC$14,"D",IF(H237&lt;'PlayerGrades+'!$AC$13,"D+",IF(H237&lt;'PlayerGrades+'!$AC$12,"C-",IF(H237&lt;'PlayerGrades+'!$AC$11,"C",IF(H237&lt;'PlayerGrades+'!$AC$10,"C+",IF(H237&lt;'PlayerGrades+'!$AC$9,"B-",IF(H237&lt;'PlayerGrades+'!$AC$8,"B",IF(H237&lt;'PlayerGrades+'!$AC$7,"B+",IF(H237&lt;'PlayerGrades+'!$AC$6,"A-",IF(H237&lt;'PlayerGrades+'!$AC$5,"A",IF(H237&lt;'PlayerGrades+'!$AC$4,"A+",IF(H237&lt;'PlayerGrades+'!$AC$3,"S-",IF(H237&lt;'PlayerGrades+'!$AC$2,"S","S+"))))))))))))))))))))</f>
        <v>#DIV/0!</v>
      </c>
      <c r="J237" s="961" t="str">
        <f t="shared" si="4"/>
        <v>#DIV/0!</v>
      </c>
      <c r="K237" s="961" t="str">
        <f>IF(J237&lt;'PlayerGrades+'!$AD$21,"F-",IF(J237&lt;'PlayerGrades+'!$AD$20,"F",IF(J237&lt;'PlayerGrades+'!$AD$19,"F+",IF(J237&lt;'PlayerGrades+'!$AD$18,"E-",IF(J237&lt;'PlayerGrades+'!$AD$17,"E",IF(J237&lt;'PlayerGrades+'!$AD$16,"E+",IF(J237&lt;'PlayerGrades+'!$AD$15,"D-",IF(J237&lt;'PlayerGrades+'!$AD$14,"D",IF(J237&lt;'PlayerGrades+'!$AD$13,"D+",IF(J237&lt;'PlayerGrades+'!$AD$12,"C-",IF(J237&lt;'PlayerGrades+'!$AD$11,"C",IF(J237&lt;'PlayerGrades+'!$AD$10,"C+",IF(J237&lt;'PlayerGrades+'!$AD$9,"B-",IF(J237&lt;'PlayerGrades+'!$AD$8,"B",IF(J237&lt;'PlayerGrades+'!$AD$7,"B+",IF(J237&lt;'PlayerGrades+'!$AD$6,"A-",IF(J237&lt;'PlayerGrades+'!$AD$5,"A",IF(J237&lt;'PlayerGrades+'!$AD$4,"A+",IF(J237&lt;'PlayerGrades+'!$AD$3,"S-",IF(J237&lt;'PlayerGrades+'!$AD$2,"S","S+"))))))))))))))))))))</f>
        <v>#DIV/0!</v>
      </c>
      <c r="L237" s="1176" t="str">
        <f t="shared" si="5"/>
        <v>#DIV/0!</v>
      </c>
      <c r="M237" s="992" t="str">
        <f>IF(L237&lt;'PlayerGrades+'!$AE$21,"F-",IF(L237&lt;'PlayerGrades+'!$AE$20,"F",IF(L237&lt;'PlayerGrades+'!$AE$19,"F+",IF(L237&lt;'PlayerGrades+'!$AE$18,"E-",IF(L237&lt;'PlayerGrades+'!$AE$17,"E",IF(L237&lt;'PlayerGrades+'!$AE$16,"E+",IF(L237&lt;'PlayerGrades+'!$AE$15,"D-",IF(L237&lt;'PlayerGrades+'!$AE$14,"D",IF(L237&lt;'PlayerGrades+'!$AE$13,"D+",IF(L237&lt;'PlayerGrades+'!$AE$12,"C-",IF(L237&lt;'PlayerGrades+'!$AE$11,"C",IF(L237&lt;'PlayerGrades+'!$AE$10,"C+",IF(L237&lt;'PlayerGrades+'!$AE$9,"B-",IF(L237&lt;'PlayerGrades+'!$AE$8,"B",IF(L237&lt;'PlayerGrades+'!$AE$7,"B+",IF(L237&lt;'PlayerGrades+'!$AE$6,"A-",IF(L237&lt;'PlayerGrades+'!$AE$5,"A",IF(L237&lt;'PlayerGrades+'!$AE$4,"A+",IF(L237&lt;'PlayerGrades+'!$AE$3,"S-",IF(L237&lt;'PlayerGrades+'!$AE$2,"S","S+"))))))))))))))))))))</f>
        <v>#DIV/0!</v>
      </c>
      <c r="N237" s="961" t="str">
        <f t="shared" si="6"/>
        <v>#DIV/0!</v>
      </c>
      <c r="O237" s="961" t="str">
        <f>IF(N237&lt;'PlayerGrades+'!$AF$21,"F-",IF(N237&lt;'PlayerGrades+'!$AF$20,"F",IF(N237&lt;'PlayerGrades+'!$AF$19,"F+",IF(N237&lt;'PlayerGrades+'!$AF$18,"E-",IF(N237&lt;'PlayerGrades+'!$AF$17,"E",IF(N237&lt;'PlayerGrades+'!$AF$16,"E+",IF(N237&lt;'PlayerGrades+'!$AF$15,"D-",IF(N237&lt;'PlayerGrades+'!$AF$14,"D",IF(N237&lt;'PlayerGrades+'!$AF$13,"D+",IF(N237&lt;'PlayerGrades+'!$AF$12,"C-",IF(N237&lt;'PlayerGrades+'!$AF$11,"C",IF(N237&lt;'PlayerGrades+'!$AF$10,"C+",IF(N237&lt;'PlayerGrades+'!$AF$9,"B-",IF(N237&lt;'PlayerGrades+'!$AF$8,"B",IF(N237&lt;'PlayerGrades+'!$AF$7,"B+",IF(N237&lt;'PlayerGrades+'!$AF$6,"A-",IF(N237&lt;'PlayerGrades+'!$AF$5,"A",IF(N237&lt;'PlayerGrades+'!$AF$4,"A+",IF(N237&lt;'PlayerGrades+'!$AF$3,"S-",IF(N237&lt;'PlayerGrades+'!$AF$2,"S","S+"))))))))))))))))))))</f>
        <v>#DIV/0!</v>
      </c>
      <c r="P237" s="961" t="str">
        <f t="shared" si="7"/>
        <v>#DIV/0!</v>
      </c>
      <c r="Q237" s="961" t="str">
        <f>IF(P237&lt;'PlayerGrades+'!$AG$21,"F-",IF(P237&lt;'PlayerGrades+'!$AG$20,"F",IF(P237&lt;'PlayerGrades+'!$AG$19,"F+",IF(P237&lt;'PlayerGrades+'!$AG$18,"E-",IF(P237&lt;'PlayerGrades+'!$AG$17,"E",IF(P237&lt;'PlayerGrades+'!$AG$16,"E+",IF(P237&lt;'PlayerGrades+'!$AG$15,"D-",IF(P237&lt;'PlayerGrades+'!$AG$14,"D",IF(P237&lt;'PlayerGrades+'!$AG$13,"D+",IF(P237&lt;'PlayerGrades+'!$AG$12,"C-",IF(P237&lt;'PlayerGrades+'!$AG$11,"C",IF(P237&lt;'PlayerGrades+'!$AG$10,"C+",IF(P237&lt;'PlayerGrades+'!$AG$9,"B-",IF(P237&lt;'PlayerGrades+'!$AG$8,"B",IF(P237&lt;'PlayerGrades+'!$AG$7,"B+",IF(P237&lt;'PlayerGrades+'!$AG$6,"A-",IF(P237&lt;'PlayerGrades+'!$AG$5,"A",IF(P237&lt;'PlayerGrades+'!$AG$4,"A+",IF(P237&lt;'PlayerGrades+'!$AG$3,"S-",IF(P237&lt;'PlayerGrades+'!$AG$2,"S","S+"))))))))))))))))))))</f>
        <v>#DIV/0!</v>
      </c>
      <c r="R237" s="961" t="str">
        <f t="shared" si="8"/>
        <v>#DIV/0!</v>
      </c>
      <c r="S237" s="961" t="str">
        <f>IF(R237&lt;'PlayerGrades+'!$AH$21,"F-",IF(R237&lt;'PlayerGrades+'!$AH$20,"F",IF(R237&lt;'PlayerGrades+'!$AH$19,"F+",IF(R237&lt;'PlayerGrades+'!$AH$18,"E-",IF(R237&lt;'PlayerGrades+'!$AH$17,"E",IF(R237&lt;'PlayerGrades+'!$AH$16,"E+",IF(R237&lt;'PlayerGrades+'!$AH$15,"D-",IF(R237&lt;'PlayerGrades+'!$AH$14,"D",IF(R237&lt;'PlayerGrades+'!$AH$13,"D+",IF(R237&lt;'PlayerGrades+'!$AH$12,"C-",IF(R237&lt;'PlayerGrades+'!$AH$11,"C",IF(R237&lt;'PlayerGrades+'!$AH$10,"C+",IF(R237&lt;'PlayerGrades+'!$AH$9,"B-",IF(R237&lt;'PlayerGrades+'!$AH$8,"B",IF(R237&lt;'PlayerGrades+'!$AH$7,"B+",IF(R237&lt;'PlayerGrades+'!$AH$6,"A-",IF(R237&lt;'PlayerGrades+'!$AH$5,"A",IF(R237&lt;'PlayerGrades+'!$AH$4,"A+",IF(R237&lt;'PlayerGrades+'!$AH$3,"S-",IF(R237&lt;'PlayerGrades+'!$AH$2,"S","S+"))))))))))))))))))))</f>
        <v>#DIV/0!</v>
      </c>
      <c r="T237" s="961">
        <f t="shared" si="9"/>
        <v>0</v>
      </c>
      <c r="U237" s="961" t="str">
        <f>IF(T237&lt;'PlayerGrades+'!$AI$21,"F-",IF(T237&lt;'PlayerGrades+'!$AI$20,"F",IF(T237&lt;'PlayerGrades+'!$AI$19,"F+",IF(T237&lt;'PlayerGrades+'!$AI$18,"E-",IF(T237&lt;'PlayerGrades+'!$AI$17,"E",IF(T237&lt;'PlayerGrades+'!$AI$16,"E+",IF(T237&lt;'PlayerGrades+'!$AI$15,"D-",IF(T237&lt;'PlayerGrades+'!$AI$14,"D",IF(T237&lt;'PlayerGrades+'!$AI$13,"D+",IF(T237&lt;'PlayerGrades+'!$AI$12,"C-",IF(T237&lt;'PlayerGrades+'!$AI$11,"C",IF(T237&lt;'PlayerGrades+'!$AI$10,"C+",IF(T237&lt;'PlayerGrades+'!$AI$9,"B-",IF(T237&lt;'PlayerGrades+'!$AI$8,"B",IF(T237&lt;'PlayerGrades+'!$AI$7,"B+",IF(T237&lt;'PlayerGrades+'!$AI$6,"A-",IF(T237&lt;'PlayerGrades+'!$AI$5,"A",IF(T237&lt;'PlayerGrades+'!$AI$4,"A+",IF(T237&lt;'PlayerGrades+'!$AI$3,"S-",IF(T237&lt;'PlayerGrades+'!$AI$2,"S","S+"))))))))))))))))))))</f>
        <v>F-</v>
      </c>
      <c r="AC237" s="1392"/>
    </row>
    <row r="238">
      <c r="A238" s="1391"/>
      <c r="B238" s="611" t="str">
        <f>IF(C238&lt;'PlayerGrades+'!$Y$44,"F-",IF(C238&lt;'PlayerGrades+'!$Y$43,"F",IF(C238&lt;'PlayerGrades+'!$Y$42,"F+",IF(C238&lt;'PlayerGrades+'!$Y$41,"E-",IF(C238&lt;'PlayerGrades+'!$Y$40,"E",IF(C238&lt;'PlayerGrades+'!$Y$39,"E+",IF(C238&lt;'PlayerGrades+'!$Y$38,"D-",IF(C238&lt;'PlayerGrades+'!$Y$37,"D",IF(C238&lt;'PlayerGrades+'!$Y$36,"D+",IF(C238&lt;'PlayerGrades+'!$Y$35,"C-",IF(C238&lt;'PlayerGrades+'!$Y$34,"C",IF(C238&lt;'PlayerGrades+'!$Y$33,"C+",IF(C238&lt;'PlayerGrades+'!$Y$32,"B-",IF(C238&lt;'PlayerGrades+'!$Y$31,"B",IF(C238&lt;'PlayerGrades+'!$Y$30,"B+",IF(C238&lt;'PlayerGrades+'!$Y$29,"A-",IF(C238&lt;'PlayerGrades+'!$Y$28,"A",IF(C238&lt;'PlayerGrades+'!$Y$27,"A+",IF(C238&lt;'PlayerGrades+'!$Y$26,"S-",IF(C238&lt;'PlayerGrades+'!$Y$25,"S","S+"))))))))))))))))))))</f>
        <v>#DIV/0!</v>
      </c>
      <c r="C238" s="1378" t="str">
        <f>('PlayerGrades+'!$Y$47*(VLOOKUP(E238, 'PlayerGrades+'!$X$3:$Y$23, 2, FALSE)))+('PlayerGrades+'!$Y$48*(VLOOKUP(G238, 'PlayerGrades+'!$X$3:$Y$23, 2, FALSE)))+('PlayerGrades+'!$Y$49*(VLOOKUP(I238, 'PlayerGrades+'!$X$3:$Y$23, 2, FALSE)))+('PlayerGrades+'!$Y$50*(VLOOKUP(K238, 'PlayerGrades+'!$X$3:$Y$23, 2, FALSE)))+('PlayerGrades+'!$Y$51*(VLOOKUP(M238, 'PlayerGrades+'!$X$3:$Y$23, 2, FALSE)))+('PlayerGrades+'!$Y$52*(VLOOKUP(O238, 'PlayerGrades+'!$X$3:$Y$23, 2, FALSE)))+('PlayerGrades+'!$Y$53*(VLOOKUP(Q238, 'PlayerGrades+'!$X$3:$Y$23, 2, FALSE)))+('PlayerGrades+'!$Y$54*(VLOOKUP(S238, 'PlayerGrades+'!$X$3:$Y$23, 2, FALSE)))+('PlayerGrades+'!$Y$55*(VLOOKUP(U238, 'PlayerGrades+'!$X$3:$Y$23, 2, FALSE)))</f>
        <v>#DIV/0!</v>
      </c>
      <c r="D238" s="961" t="str">
        <f t="shared" si="1"/>
        <v>#DIV/0!</v>
      </c>
      <c r="E238" s="961" t="str">
        <f>IF(D238&lt;'PlayerGrades+'!$AA$21,"F-",IF(D238&lt;'PlayerGrades+'!$AA$20,"F",IF(D238&lt;'PlayerGrades+'!$AA$19,"F+",IF(D238&lt;'PlayerGrades+'!$AA$18,"E-",IF(D238&lt;'PlayerGrades+'!$AA$17,"E",IF(D238&lt;'PlayerGrades+'!$AA$16,"E+",IF(D238&lt;'PlayerGrades+'!$AA$15,"D-",IF(D238&lt;'PlayerGrades+'!$AA$14,"D",IF(D238&lt;'PlayerGrades+'!$AA$13,"D+",IF(D238&lt;'PlayerGrades+'!$AA$12,"C-",IF(D238&lt;'PlayerGrades+'!$AA$11,"C",IF(D238&lt;'PlayerGrades+'!$AA$10,"C+",IF(D238&lt;'PlayerGrades+'!$AA$9,"B-",IF(D238&lt;'PlayerGrades+'!$AA$8,"B",IF(D238&lt;'PlayerGrades+'!$AA$7,"B+",IF(D238&lt;'PlayerGrades+'!$AA$6,"A-",IF(D238&lt;'PlayerGrades+'!$AA$5,"A",IF(D238&lt;'PlayerGrades+'!$AA$4,"A+",IF(D238&lt;'PlayerGrades+'!$AA$3,"S-",IF(D238&lt;'PlayerGrades+'!$AA$2,"S","S+"))))))))))))))))))))</f>
        <v>#DIV/0!</v>
      </c>
      <c r="F238" s="961" t="str">
        <f t="shared" si="2"/>
        <v>#DIV/0!</v>
      </c>
      <c r="G238" s="961" t="str">
        <f>IF(F238&lt;'PlayerGrades+'!$AB$21,"F-",IF(F238&lt;'PlayerGrades+'!$AB$20,"F",IF(F238&lt;'PlayerGrades+'!$AB$19,"F+",IF(F238&lt;'PlayerGrades+'!$AB$18,"E-",IF(F238&lt;'PlayerGrades+'!$AB$17,"E",IF(F238&lt;'PlayerGrades+'!$AB$16,"E+",IF(F238&lt;'PlayerGrades+'!$AB$15,"D-",IF(F238&lt;'PlayerGrades+'!$AB$14,"D",IF(F238&lt;'PlayerGrades+'!$AB$13,"D+",IF(F238&lt;'PlayerGrades+'!$AB$12,"C-",IF(F238&lt;'PlayerGrades+'!$AB$11,"C",IF(F238&lt;'PlayerGrades+'!$AB$10,"C+",IF(F238&lt;'PlayerGrades+'!$AB$9,"B-",IF(F238&lt;'PlayerGrades+'!$AB$8,"B",IF(F238&lt;'PlayerGrades+'!$AB$7,"B+",IF(F238&lt;'PlayerGrades+'!$AB$6,"A-",IF(F238&lt;'PlayerGrades+'!$AB$5,"A",IF(F238&lt;'PlayerGrades+'!$AB$4,"A+",IF(F238&lt;'PlayerGrades+'!$AB$3,"S-",IF(F238&lt;'PlayerGrades+'!$AB$2,"S","S+"))))))))))))))))))))</f>
        <v>#DIV/0!</v>
      </c>
      <c r="H238" s="961" t="str">
        <f t="shared" si="3"/>
        <v>#DIV/0!</v>
      </c>
      <c r="I238" s="961" t="str">
        <f>IF(H238&lt;'PlayerGrades+'!$AC$21,"F-",IF(H238&lt;'PlayerGrades+'!$AC$20,"F",IF(H238&lt;'PlayerGrades+'!$AC$19,"F+",IF(H238&lt;'PlayerGrades+'!$AC$18,"E-",IF(H238&lt;'PlayerGrades+'!$AC$17,"E",IF(H238&lt;'PlayerGrades+'!$AC$16,"E+",IF(H238&lt;'PlayerGrades+'!$AC$15,"D-",IF(H238&lt;'PlayerGrades+'!$AC$14,"D",IF(H238&lt;'PlayerGrades+'!$AC$13,"D+",IF(H238&lt;'PlayerGrades+'!$AC$12,"C-",IF(H238&lt;'PlayerGrades+'!$AC$11,"C",IF(H238&lt;'PlayerGrades+'!$AC$10,"C+",IF(H238&lt;'PlayerGrades+'!$AC$9,"B-",IF(H238&lt;'PlayerGrades+'!$AC$8,"B",IF(H238&lt;'PlayerGrades+'!$AC$7,"B+",IF(H238&lt;'PlayerGrades+'!$AC$6,"A-",IF(H238&lt;'PlayerGrades+'!$AC$5,"A",IF(H238&lt;'PlayerGrades+'!$AC$4,"A+",IF(H238&lt;'PlayerGrades+'!$AC$3,"S-",IF(H238&lt;'PlayerGrades+'!$AC$2,"S","S+"))))))))))))))))))))</f>
        <v>#DIV/0!</v>
      </c>
      <c r="J238" s="961" t="str">
        <f t="shared" si="4"/>
        <v>#DIV/0!</v>
      </c>
      <c r="K238" s="961" t="str">
        <f>IF(J238&lt;'PlayerGrades+'!$AD$21,"F-",IF(J238&lt;'PlayerGrades+'!$AD$20,"F",IF(J238&lt;'PlayerGrades+'!$AD$19,"F+",IF(J238&lt;'PlayerGrades+'!$AD$18,"E-",IF(J238&lt;'PlayerGrades+'!$AD$17,"E",IF(J238&lt;'PlayerGrades+'!$AD$16,"E+",IF(J238&lt;'PlayerGrades+'!$AD$15,"D-",IF(J238&lt;'PlayerGrades+'!$AD$14,"D",IF(J238&lt;'PlayerGrades+'!$AD$13,"D+",IF(J238&lt;'PlayerGrades+'!$AD$12,"C-",IF(J238&lt;'PlayerGrades+'!$AD$11,"C",IF(J238&lt;'PlayerGrades+'!$AD$10,"C+",IF(J238&lt;'PlayerGrades+'!$AD$9,"B-",IF(J238&lt;'PlayerGrades+'!$AD$8,"B",IF(J238&lt;'PlayerGrades+'!$AD$7,"B+",IF(J238&lt;'PlayerGrades+'!$AD$6,"A-",IF(J238&lt;'PlayerGrades+'!$AD$5,"A",IF(J238&lt;'PlayerGrades+'!$AD$4,"A+",IF(J238&lt;'PlayerGrades+'!$AD$3,"S-",IF(J238&lt;'PlayerGrades+'!$AD$2,"S","S+"))))))))))))))))))))</f>
        <v>#DIV/0!</v>
      </c>
      <c r="L238" s="1176" t="str">
        <f t="shared" si="5"/>
        <v>#DIV/0!</v>
      </c>
      <c r="M238" s="992" t="str">
        <f>IF(L238&lt;'PlayerGrades+'!$AE$21,"F-",IF(L238&lt;'PlayerGrades+'!$AE$20,"F",IF(L238&lt;'PlayerGrades+'!$AE$19,"F+",IF(L238&lt;'PlayerGrades+'!$AE$18,"E-",IF(L238&lt;'PlayerGrades+'!$AE$17,"E",IF(L238&lt;'PlayerGrades+'!$AE$16,"E+",IF(L238&lt;'PlayerGrades+'!$AE$15,"D-",IF(L238&lt;'PlayerGrades+'!$AE$14,"D",IF(L238&lt;'PlayerGrades+'!$AE$13,"D+",IF(L238&lt;'PlayerGrades+'!$AE$12,"C-",IF(L238&lt;'PlayerGrades+'!$AE$11,"C",IF(L238&lt;'PlayerGrades+'!$AE$10,"C+",IF(L238&lt;'PlayerGrades+'!$AE$9,"B-",IF(L238&lt;'PlayerGrades+'!$AE$8,"B",IF(L238&lt;'PlayerGrades+'!$AE$7,"B+",IF(L238&lt;'PlayerGrades+'!$AE$6,"A-",IF(L238&lt;'PlayerGrades+'!$AE$5,"A",IF(L238&lt;'PlayerGrades+'!$AE$4,"A+",IF(L238&lt;'PlayerGrades+'!$AE$3,"S-",IF(L238&lt;'PlayerGrades+'!$AE$2,"S","S+"))))))))))))))))))))</f>
        <v>#DIV/0!</v>
      </c>
      <c r="N238" s="961" t="str">
        <f t="shared" si="6"/>
        <v>#DIV/0!</v>
      </c>
      <c r="O238" s="961" t="str">
        <f>IF(N238&lt;'PlayerGrades+'!$AF$21,"F-",IF(N238&lt;'PlayerGrades+'!$AF$20,"F",IF(N238&lt;'PlayerGrades+'!$AF$19,"F+",IF(N238&lt;'PlayerGrades+'!$AF$18,"E-",IF(N238&lt;'PlayerGrades+'!$AF$17,"E",IF(N238&lt;'PlayerGrades+'!$AF$16,"E+",IF(N238&lt;'PlayerGrades+'!$AF$15,"D-",IF(N238&lt;'PlayerGrades+'!$AF$14,"D",IF(N238&lt;'PlayerGrades+'!$AF$13,"D+",IF(N238&lt;'PlayerGrades+'!$AF$12,"C-",IF(N238&lt;'PlayerGrades+'!$AF$11,"C",IF(N238&lt;'PlayerGrades+'!$AF$10,"C+",IF(N238&lt;'PlayerGrades+'!$AF$9,"B-",IF(N238&lt;'PlayerGrades+'!$AF$8,"B",IF(N238&lt;'PlayerGrades+'!$AF$7,"B+",IF(N238&lt;'PlayerGrades+'!$AF$6,"A-",IF(N238&lt;'PlayerGrades+'!$AF$5,"A",IF(N238&lt;'PlayerGrades+'!$AF$4,"A+",IF(N238&lt;'PlayerGrades+'!$AF$3,"S-",IF(N238&lt;'PlayerGrades+'!$AF$2,"S","S+"))))))))))))))))))))</f>
        <v>#DIV/0!</v>
      </c>
      <c r="P238" s="961" t="str">
        <f t="shared" si="7"/>
        <v>#DIV/0!</v>
      </c>
      <c r="Q238" s="961" t="str">
        <f>IF(P238&lt;'PlayerGrades+'!$AG$21,"F-",IF(P238&lt;'PlayerGrades+'!$AG$20,"F",IF(P238&lt;'PlayerGrades+'!$AG$19,"F+",IF(P238&lt;'PlayerGrades+'!$AG$18,"E-",IF(P238&lt;'PlayerGrades+'!$AG$17,"E",IF(P238&lt;'PlayerGrades+'!$AG$16,"E+",IF(P238&lt;'PlayerGrades+'!$AG$15,"D-",IF(P238&lt;'PlayerGrades+'!$AG$14,"D",IF(P238&lt;'PlayerGrades+'!$AG$13,"D+",IF(P238&lt;'PlayerGrades+'!$AG$12,"C-",IF(P238&lt;'PlayerGrades+'!$AG$11,"C",IF(P238&lt;'PlayerGrades+'!$AG$10,"C+",IF(P238&lt;'PlayerGrades+'!$AG$9,"B-",IF(P238&lt;'PlayerGrades+'!$AG$8,"B",IF(P238&lt;'PlayerGrades+'!$AG$7,"B+",IF(P238&lt;'PlayerGrades+'!$AG$6,"A-",IF(P238&lt;'PlayerGrades+'!$AG$5,"A",IF(P238&lt;'PlayerGrades+'!$AG$4,"A+",IF(P238&lt;'PlayerGrades+'!$AG$3,"S-",IF(P238&lt;'PlayerGrades+'!$AG$2,"S","S+"))))))))))))))))))))</f>
        <v>#DIV/0!</v>
      </c>
      <c r="R238" s="961" t="str">
        <f t="shared" si="8"/>
        <v>#DIV/0!</v>
      </c>
      <c r="S238" s="961" t="str">
        <f>IF(R238&lt;'PlayerGrades+'!$AH$21,"F-",IF(R238&lt;'PlayerGrades+'!$AH$20,"F",IF(R238&lt;'PlayerGrades+'!$AH$19,"F+",IF(R238&lt;'PlayerGrades+'!$AH$18,"E-",IF(R238&lt;'PlayerGrades+'!$AH$17,"E",IF(R238&lt;'PlayerGrades+'!$AH$16,"E+",IF(R238&lt;'PlayerGrades+'!$AH$15,"D-",IF(R238&lt;'PlayerGrades+'!$AH$14,"D",IF(R238&lt;'PlayerGrades+'!$AH$13,"D+",IF(R238&lt;'PlayerGrades+'!$AH$12,"C-",IF(R238&lt;'PlayerGrades+'!$AH$11,"C",IF(R238&lt;'PlayerGrades+'!$AH$10,"C+",IF(R238&lt;'PlayerGrades+'!$AH$9,"B-",IF(R238&lt;'PlayerGrades+'!$AH$8,"B",IF(R238&lt;'PlayerGrades+'!$AH$7,"B+",IF(R238&lt;'PlayerGrades+'!$AH$6,"A-",IF(R238&lt;'PlayerGrades+'!$AH$5,"A",IF(R238&lt;'PlayerGrades+'!$AH$4,"A+",IF(R238&lt;'PlayerGrades+'!$AH$3,"S-",IF(R238&lt;'PlayerGrades+'!$AH$2,"S","S+"))))))))))))))))))))</f>
        <v>#DIV/0!</v>
      </c>
      <c r="T238" s="961">
        <f t="shared" si="9"/>
        <v>0</v>
      </c>
      <c r="U238" s="961" t="str">
        <f>IF(T238&lt;'PlayerGrades+'!$AI$21,"F-",IF(T238&lt;'PlayerGrades+'!$AI$20,"F",IF(T238&lt;'PlayerGrades+'!$AI$19,"F+",IF(T238&lt;'PlayerGrades+'!$AI$18,"E-",IF(T238&lt;'PlayerGrades+'!$AI$17,"E",IF(T238&lt;'PlayerGrades+'!$AI$16,"E+",IF(T238&lt;'PlayerGrades+'!$AI$15,"D-",IF(T238&lt;'PlayerGrades+'!$AI$14,"D",IF(T238&lt;'PlayerGrades+'!$AI$13,"D+",IF(T238&lt;'PlayerGrades+'!$AI$12,"C-",IF(T238&lt;'PlayerGrades+'!$AI$11,"C",IF(T238&lt;'PlayerGrades+'!$AI$10,"C+",IF(T238&lt;'PlayerGrades+'!$AI$9,"B-",IF(T238&lt;'PlayerGrades+'!$AI$8,"B",IF(T238&lt;'PlayerGrades+'!$AI$7,"B+",IF(T238&lt;'PlayerGrades+'!$AI$6,"A-",IF(T238&lt;'PlayerGrades+'!$AI$5,"A",IF(T238&lt;'PlayerGrades+'!$AI$4,"A+",IF(T238&lt;'PlayerGrades+'!$AI$3,"S-",IF(T238&lt;'PlayerGrades+'!$AI$2,"S","S+"))))))))))))))))))))</f>
        <v>F-</v>
      </c>
      <c r="AC238" s="1392"/>
    </row>
    <row r="239">
      <c r="A239" s="1391"/>
      <c r="B239" s="611" t="str">
        <f>IF(C239&lt;'PlayerGrades+'!$Y$44,"F-",IF(C239&lt;'PlayerGrades+'!$Y$43,"F",IF(C239&lt;'PlayerGrades+'!$Y$42,"F+",IF(C239&lt;'PlayerGrades+'!$Y$41,"E-",IF(C239&lt;'PlayerGrades+'!$Y$40,"E",IF(C239&lt;'PlayerGrades+'!$Y$39,"E+",IF(C239&lt;'PlayerGrades+'!$Y$38,"D-",IF(C239&lt;'PlayerGrades+'!$Y$37,"D",IF(C239&lt;'PlayerGrades+'!$Y$36,"D+",IF(C239&lt;'PlayerGrades+'!$Y$35,"C-",IF(C239&lt;'PlayerGrades+'!$Y$34,"C",IF(C239&lt;'PlayerGrades+'!$Y$33,"C+",IF(C239&lt;'PlayerGrades+'!$Y$32,"B-",IF(C239&lt;'PlayerGrades+'!$Y$31,"B",IF(C239&lt;'PlayerGrades+'!$Y$30,"B+",IF(C239&lt;'PlayerGrades+'!$Y$29,"A-",IF(C239&lt;'PlayerGrades+'!$Y$28,"A",IF(C239&lt;'PlayerGrades+'!$Y$27,"A+",IF(C239&lt;'PlayerGrades+'!$Y$26,"S-",IF(C239&lt;'PlayerGrades+'!$Y$25,"S","S+"))))))))))))))))))))</f>
        <v>#DIV/0!</v>
      </c>
      <c r="C239" s="1378" t="str">
        <f>('PlayerGrades+'!$Y$47*(VLOOKUP(E239, 'PlayerGrades+'!$X$3:$Y$23, 2, FALSE)))+('PlayerGrades+'!$Y$48*(VLOOKUP(G239, 'PlayerGrades+'!$X$3:$Y$23, 2, FALSE)))+('PlayerGrades+'!$Y$49*(VLOOKUP(I239, 'PlayerGrades+'!$X$3:$Y$23, 2, FALSE)))+('PlayerGrades+'!$Y$50*(VLOOKUP(K239, 'PlayerGrades+'!$X$3:$Y$23, 2, FALSE)))+('PlayerGrades+'!$Y$51*(VLOOKUP(M239, 'PlayerGrades+'!$X$3:$Y$23, 2, FALSE)))+('PlayerGrades+'!$Y$52*(VLOOKUP(O239, 'PlayerGrades+'!$X$3:$Y$23, 2, FALSE)))+('PlayerGrades+'!$Y$53*(VLOOKUP(Q239, 'PlayerGrades+'!$X$3:$Y$23, 2, FALSE)))+('PlayerGrades+'!$Y$54*(VLOOKUP(S239, 'PlayerGrades+'!$X$3:$Y$23, 2, FALSE)))+('PlayerGrades+'!$Y$55*(VLOOKUP(U239, 'PlayerGrades+'!$X$3:$Y$23, 2, FALSE)))</f>
        <v>#DIV/0!</v>
      </c>
      <c r="D239" s="961" t="str">
        <f t="shared" si="1"/>
        <v>#DIV/0!</v>
      </c>
      <c r="E239" s="961" t="str">
        <f>IF(D239&lt;'PlayerGrades+'!$AA$21,"F-",IF(D239&lt;'PlayerGrades+'!$AA$20,"F",IF(D239&lt;'PlayerGrades+'!$AA$19,"F+",IF(D239&lt;'PlayerGrades+'!$AA$18,"E-",IF(D239&lt;'PlayerGrades+'!$AA$17,"E",IF(D239&lt;'PlayerGrades+'!$AA$16,"E+",IF(D239&lt;'PlayerGrades+'!$AA$15,"D-",IF(D239&lt;'PlayerGrades+'!$AA$14,"D",IF(D239&lt;'PlayerGrades+'!$AA$13,"D+",IF(D239&lt;'PlayerGrades+'!$AA$12,"C-",IF(D239&lt;'PlayerGrades+'!$AA$11,"C",IF(D239&lt;'PlayerGrades+'!$AA$10,"C+",IF(D239&lt;'PlayerGrades+'!$AA$9,"B-",IF(D239&lt;'PlayerGrades+'!$AA$8,"B",IF(D239&lt;'PlayerGrades+'!$AA$7,"B+",IF(D239&lt;'PlayerGrades+'!$AA$6,"A-",IF(D239&lt;'PlayerGrades+'!$AA$5,"A",IF(D239&lt;'PlayerGrades+'!$AA$4,"A+",IF(D239&lt;'PlayerGrades+'!$AA$3,"S-",IF(D239&lt;'PlayerGrades+'!$AA$2,"S","S+"))))))))))))))))))))</f>
        <v>#DIV/0!</v>
      </c>
      <c r="F239" s="961" t="str">
        <f t="shared" si="2"/>
        <v>#DIV/0!</v>
      </c>
      <c r="G239" s="961" t="str">
        <f>IF(F239&lt;'PlayerGrades+'!$AB$21,"F-",IF(F239&lt;'PlayerGrades+'!$AB$20,"F",IF(F239&lt;'PlayerGrades+'!$AB$19,"F+",IF(F239&lt;'PlayerGrades+'!$AB$18,"E-",IF(F239&lt;'PlayerGrades+'!$AB$17,"E",IF(F239&lt;'PlayerGrades+'!$AB$16,"E+",IF(F239&lt;'PlayerGrades+'!$AB$15,"D-",IF(F239&lt;'PlayerGrades+'!$AB$14,"D",IF(F239&lt;'PlayerGrades+'!$AB$13,"D+",IF(F239&lt;'PlayerGrades+'!$AB$12,"C-",IF(F239&lt;'PlayerGrades+'!$AB$11,"C",IF(F239&lt;'PlayerGrades+'!$AB$10,"C+",IF(F239&lt;'PlayerGrades+'!$AB$9,"B-",IF(F239&lt;'PlayerGrades+'!$AB$8,"B",IF(F239&lt;'PlayerGrades+'!$AB$7,"B+",IF(F239&lt;'PlayerGrades+'!$AB$6,"A-",IF(F239&lt;'PlayerGrades+'!$AB$5,"A",IF(F239&lt;'PlayerGrades+'!$AB$4,"A+",IF(F239&lt;'PlayerGrades+'!$AB$3,"S-",IF(F239&lt;'PlayerGrades+'!$AB$2,"S","S+"))))))))))))))))))))</f>
        <v>#DIV/0!</v>
      </c>
      <c r="H239" s="961" t="str">
        <f t="shared" si="3"/>
        <v>#DIV/0!</v>
      </c>
      <c r="I239" s="961" t="str">
        <f>IF(H239&lt;'PlayerGrades+'!$AC$21,"F-",IF(H239&lt;'PlayerGrades+'!$AC$20,"F",IF(H239&lt;'PlayerGrades+'!$AC$19,"F+",IF(H239&lt;'PlayerGrades+'!$AC$18,"E-",IF(H239&lt;'PlayerGrades+'!$AC$17,"E",IF(H239&lt;'PlayerGrades+'!$AC$16,"E+",IF(H239&lt;'PlayerGrades+'!$AC$15,"D-",IF(H239&lt;'PlayerGrades+'!$AC$14,"D",IF(H239&lt;'PlayerGrades+'!$AC$13,"D+",IF(H239&lt;'PlayerGrades+'!$AC$12,"C-",IF(H239&lt;'PlayerGrades+'!$AC$11,"C",IF(H239&lt;'PlayerGrades+'!$AC$10,"C+",IF(H239&lt;'PlayerGrades+'!$AC$9,"B-",IF(H239&lt;'PlayerGrades+'!$AC$8,"B",IF(H239&lt;'PlayerGrades+'!$AC$7,"B+",IF(H239&lt;'PlayerGrades+'!$AC$6,"A-",IF(H239&lt;'PlayerGrades+'!$AC$5,"A",IF(H239&lt;'PlayerGrades+'!$AC$4,"A+",IF(H239&lt;'PlayerGrades+'!$AC$3,"S-",IF(H239&lt;'PlayerGrades+'!$AC$2,"S","S+"))))))))))))))))))))</f>
        <v>#DIV/0!</v>
      </c>
      <c r="J239" s="961" t="str">
        <f t="shared" si="4"/>
        <v>#DIV/0!</v>
      </c>
      <c r="K239" s="961" t="str">
        <f>IF(J239&lt;'PlayerGrades+'!$AD$21,"F-",IF(J239&lt;'PlayerGrades+'!$AD$20,"F",IF(J239&lt;'PlayerGrades+'!$AD$19,"F+",IF(J239&lt;'PlayerGrades+'!$AD$18,"E-",IF(J239&lt;'PlayerGrades+'!$AD$17,"E",IF(J239&lt;'PlayerGrades+'!$AD$16,"E+",IF(J239&lt;'PlayerGrades+'!$AD$15,"D-",IF(J239&lt;'PlayerGrades+'!$AD$14,"D",IF(J239&lt;'PlayerGrades+'!$AD$13,"D+",IF(J239&lt;'PlayerGrades+'!$AD$12,"C-",IF(J239&lt;'PlayerGrades+'!$AD$11,"C",IF(J239&lt;'PlayerGrades+'!$AD$10,"C+",IF(J239&lt;'PlayerGrades+'!$AD$9,"B-",IF(J239&lt;'PlayerGrades+'!$AD$8,"B",IF(J239&lt;'PlayerGrades+'!$AD$7,"B+",IF(J239&lt;'PlayerGrades+'!$AD$6,"A-",IF(J239&lt;'PlayerGrades+'!$AD$5,"A",IF(J239&lt;'PlayerGrades+'!$AD$4,"A+",IF(J239&lt;'PlayerGrades+'!$AD$3,"S-",IF(J239&lt;'PlayerGrades+'!$AD$2,"S","S+"))))))))))))))))))))</f>
        <v>#DIV/0!</v>
      </c>
      <c r="L239" s="1176" t="str">
        <f t="shared" si="5"/>
        <v>#DIV/0!</v>
      </c>
      <c r="M239" s="992" t="str">
        <f>IF(L239&lt;'PlayerGrades+'!$AE$21,"F-",IF(L239&lt;'PlayerGrades+'!$AE$20,"F",IF(L239&lt;'PlayerGrades+'!$AE$19,"F+",IF(L239&lt;'PlayerGrades+'!$AE$18,"E-",IF(L239&lt;'PlayerGrades+'!$AE$17,"E",IF(L239&lt;'PlayerGrades+'!$AE$16,"E+",IF(L239&lt;'PlayerGrades+'!$AE$15,"D-",IF(L239&lt;'PlayerGrades+'!$AE$14,"D",IF(L239&lt;'PlayerGrades+'!$AE$13,"D+",IF(L239&lt;'PlayerGrades+'!$AE$12,"C-",IF(L239&lt;'PlayerGrades+'!$AE$11,"C",IF(L239&lt;'PlayerGrades+'!$AE$10,"C+",IF(L239&lt;'PlayerGrades+'!$AE$9,"B-",IF(L239&lt;'PlayerGrades+'!$AE$8,"B",IF(L239&lt;'PlayerGrades+'!$AE$7,"B+",IF(L239&lt;'PlayerGrades+'!$AE$6,"A-",IF(L239&lt;'PlayerGrades+'!$AE$5,"A",IF(L239&lt;'PlayerGrades+'!$AE$4,"A+",IF(L239&lt;'PlayerGrades+'!$AE$3,"S-",IF(L239&lt;'PlayerGrades+'!$AE$2,"S","S+"))))))))))))))))))))</f>
        <v>#DIV/0!</v>
      </c>
      <c r="N239" s="961" t="str">
        <f t="shared" si="6"/>
        <v>#DIV/0!</v>
      </c>
      <c r="O239" s="961" t="str">
        <f>IF(N239&lt;'PlayerGrades+'!$AF$21,"F-",IF(N239&lt;'PlayerGrades+'!$AF$20,"F",IF(N239&lt;'PlayerGrades+'!$AF$19,"F+",IF(N239&lt;'PlayerGrades+'!$AF$18,"E-",IF(N239&lt;'PlayerGrades+'!$AF$17,"E",IF(N239&lt;'PlayerGrades+'!$AF$16,"E+",IF(N239&lt;'PlayerGrades+'!$AF$15,"D-",IF(N239&lt;'PlayerGrades+'!$AF$14,"D",IF(N239&lt;'PlayerGrades+'!$AF$13,"D+",IF(N239&lt;'PlayerGrades+'!$AF$12,"C-",IF(N239&lt;'PlayerGrades+'!$AF$11,"C",IF(N239&lt;'PlayerGrades+'!$AF$10,"C+",IF(N239&lt;'PlayerGrades+'!$AF$9,"B-",IF(N239&lt;'PlayerGrades+'!$AF$8,"B",IF(N239&lt;'PlayerGrades+'!$AF$7,"B+",IF(N239&lt;'PlayerGrades+'!$AF$6,"A-",IF(N239&lt;'PlayerGrades+'!$AF$5,"A",IF(N239&lt;'PlayerGrades+'!$AF$4,"A+",IF(N239&lt;'PlayerGrades+'!$AF$3,"S-",IF(N239&lt;'PlayerGrades+'!$AF$2,"S","S+"))))))))))))))))))))</f>
        <v>#DIV/0!</v>
      </c>
      <c r="P239" s="961" t="str">
        <f t="shared" si="7"/>
        <v>#DIV/0!</v>
      </c>
      <c r="Q239" s="961" t="str">
        <f>IF(P239&lt;'PlayerGrades+'!$AG$21,"F-",IF(P239&lt;'PlayerGrades+'!$AG$20,"F",IF(P239&lt;'PlayerGrades+'!$AG$19,"F+",IF(P239&lt;'PlayerGrades+'!$AG$18,"E-",IF(P239&lt;'PlayerGrades+'!$AG$17,"E",IF(P239&lt;'PlayerGrades+'!$AG$16,"E+",IF(P239&lt;'PlayerGrades+'!$AG$15,"D-",IF(P239&lt;'PlayerGrades+'!$AG$14,"D",IF(P239&lt;'PlayerGrades+'!$AG$13,"D+",IF(P239&lt;'PlayerGrades+'!$AG$12,"C-",IF(P239&lt;'PlayerGrades+'!$AG$11,"C",IF(P239&lt;'PlayerGrades+'!$AG$10,"C+",IF(P239&lt;'PlayerGrades+'!$AG$9,"B-",IF(P239&lt;'PlayerGrades+'!$AG$8,"B",IF(P239&lt;'PlayerGrades+'!$AG$7,"B+",IF(P239&lt;'PlayerGrades+'!$AG$6,"A-",IF(P239&lt;'PlayerGrades+'!$AG$5,"A",IF(P239&lt;'PlayerGrades+'!$AG$4,"A+",IF(P239&lt;'PlayerGrades+'!$AG$3,"S-",IF(P239&lt;'PlayerGrades+'!$AG$2,"S","S+"))))))))))))))))))))</f>
        <v>#DIV/0!</v>
      </c>
      <c r="R239" s="961" t="str">
        <f t="shared" si="8"/>
        <v>#DIV/0!</v>
      </c>
      <c r="S239" s="961" t="str">
        <f>IF(R239&lt;'PlayerGrades+'!$AH$21,"F-",IF(R239&lt;'PlayerGrades+'!$AH$20,"F",IF(R239&lt;'PlayerGrades+'!$AH$19,"F+",IF(R239&lt;'PlayerGrades+'!$AH$18,"E-",IF(R239&lt;'PlayerGrades+'!$AH$17,"E",IF(R239&lt;'PlayerGrades+'!$AH$16,"E+",IF(R239&lt;'PlayerGrades+'!$AH$15,"D-",IF(R239&lt;'PlayerGrades+'!$AH$14,"D",IF(R239&lt;'PlayerGrades+'!$AH$13,"D+",IF(R239&lt;'PlayerGrades+'!$AH$12,"C-",IF(R239&lt;'PlayerGrades+'!$AH$11,"C",IF(R239&lt;'PlayerGrades+'!$AH$10,"C+",IF(R239&lt;'PlayerGrades+'!$AH$9,"B-",IF(R239&lt;'PlayerGrades+'!$AH$8,"B",IF(R239&lt;'PlayerGrades+'!$AH$7,"B+",IF(R239&lt;'PlayerGrades+'!$AH$6,"A-",IF(R239&lt;'PlayerGrades+'!$AH$5,"A",IF(R239&lt;'PlayerGrades+'!$AH$4,"A+",IF(R239&lt;'PlayerGrades+'!$AH$3,"S-",IF(R239&lt;'PlayerGrades+'!$AH$2,"S","S+"))))))))))))))))))))</f>
        <v>#DIV/0!</v>
      </c>
      <c r="T239" s="961">
        <f t="shared" si="9"/>
        <v>0</v>
      </c>
      <c r="U239" s="961" t="str">
        <f>IF(T239&lt;'PlayerGrades+'!$AI$21,"F-",IF(T239&lt;'PlayerGrades+'!$AI$20,"F",IF(T239&lt;'PlayerGrades+'!$AI$19,"F+",IF(T239&lt;'PlayerGrades+'!$AI$18,"E-",IF(T239&lt;'PlayerGrades+'!$AI$17,"E",IF(T239&lt;'PlayerGrades+'!$AI$16,"E+",IF(T239&lt;'PlayerGrades+'!$AI$15,"D-",IF(T239&lt;'PlayerGrades+'!$AI$14,"D",IF(T239&lt;'PlayerGrades+'!$AI$13,"D+",IF(T239&lt;'PlayerGrades+'!$AI$12,"C-",IF(T239&lt;'PlayerGrades+'!$AI$11,"C",IF(T239&lt;'PlayerGrades+'!$AI$10,"C+",IF(T239&lt;'PlayerGrades+'!$AI$9,"B-",IF(T239&lt;'PlayerGrades+'!$AI$8,"B",IF(T239&lt;'PlayerGrades+'!$AI$7,"B+",IF(T239&lt;'PlayerGrades+'!$AI$6,"A-",IF(T239&lt;'PlayerGrades+'!$AI$5,"A",IF(T239&lt;'PlayerGrades+'!$AI$4,"A+",IF(T239&lt;'PlayerGrades+'!$AI$3,"S-",IF(T239&lt;'PlayerGrades+'!$AI$2,"S","S+"))))))))))))))))))))</f>
        <v>F-</v>
      </c>
      <c r="AC239" s="1392"/>
    </row>
    <row r="240">
      <c r="A240" s="1391"/>
      <c r="B240" s="611" t="str">
        <f>IF(C240&lt;'PlayerGrades+'!$Y$44,"F-",IF(C240&lt;'PlayerGrades+'!$Y$43,"F",IF(C240&lt;'PlayerGrades+'!$Y$42,"F+",IF(C240&lt;'PlayerGrades+'!$Y$41,"E-",IF(C240&lt;'PlayerGrades+'!$Y$40,"E",IF(C240&lt;'PlayerGrades+'!$Y$39,"E+",IF(C240&lt;'PlayerGrades+'!$Y$38,"D-",IF(C240&lt;'PlayerGrades+'!$Y$37,"D",IF(C240&lt;'PlayerGrades+'!$Y$36,"D+",IF(C240&lt;'PlayerGrades+'!$Y$35,"C-",IF(C240&lt;'PlayerGrades+'!$Y$34,"C",IF(C240&lt;'PlayerGrades+'!$Y$33,"C+",IF(C240&lt;'PlayerGrades+'!$Y$32,"B-",IF(C240&lt;'PlayerGrades+'!$Y$31,"B",IF(C240&lt;'PlayerGrades+'!$Y$30,"B+",IF(C240&lt;'PlayerGrades+'!$Y$29,"A-",IF(C240&lt;'PlayerGrades+'!$Y$28,"A",IF(C240&lt;'PlayerGrades+'!$Y$27,"A+",IF(C240&lt;'PlayerGrades+'!$Y$26,"S-",IF(C240&lt;'PlayerGrades+'!$Y$25,"S","S+"))))))))))))))))))))</f>
        <v>#DIV/0!</v>
      </c>
      <c r="C240" s="1378" t="str">
        <f>('PlayerGrades+'!$Y$47*(VLOOKUP(E240, 'PlayerGrades+'!$X$3:$Y$23, 2, FALSE)))+('PlayerGrades+'!$Y$48*(VLOOKUP(G240, 'PlayerGrades+'!$X$3:$Y$23, 2, FALSE)))+('PlayerGrades+'!$Y$49*(VLOOKUP(I240, 'PlayerGrades+'!$X$3:$Y$23, 2, FALSE)))+('PlayerGrades+'!$Y$50*(VLOOKUP(K240, 'PlayerGrades+'!$X$3:$Y$23, 2, FALSE)))+('PlayerGrades+'!$Y$51*(VLOOKUP(M240, 'PlayerGrades+'!$X$3:$Y$23, 2, FALSE)))+('PlayerGrades+'!$Y$52*(VLOOKUP(O240, 'PlayerGrades+'!$X$3:$Y$23, 2, FALSE)))+('PlayerGrades+'!$Y$53*(VLOOKUP(Q240, 'PlayerGrades+'!$X$3:$Y$23, 2, FALSE)))+('PlayerGrades+'!$Y$54*(VLOOKUP(S240, 'PlayerGrades+'!$X$3:$Y$23, 2, FALSE)))+('PlayerGrades+'!$Y$55*(VLOOKUP(U240, 'PlayerGrades+'!$X$3:$Y$23, 2, FALSE)))</f>
        <v>#DIV/0!</v>
      </c>
      <c r="D240" s="961" t="str">
        <f t="shared" si="1"/>
        <v>#DIV/0!</v>
      </c>
      <c r="E240" s="961" t="str">
        <f>IF(D240&lt;'PlayerGrades+'!$AA$21,"F-",IF(D240&lt;'PlayerGrades+'!$AA$20,"F",IF(D240&lt;'PlayerGrades+'!$AA$19,"F+",IF(D240&lt;'PlayerGrades+'!$AA$18,"E-",IF(D240&lt;'PlayerGrades+'!$AA$17,"E",IF(D240&lt;'PlayerGrades+'!$AA$16,"E+",IF(D240&lt;'PlayerGrades+'!$AA$15,"D-",IF(D240&lt;'PlayerGrades+'!$AA$14,"D",IF(D240&lt;'PlayerGrades+'!$AA$13,"D+",IF(D240&lt;'PlayerGrades+'!$AA$12,"C-",IF(D240&lt;'PlayerGrades+'!$AA$11,"C",IF(D240&lt;'PlayerGrades+'!$AA$10,"C+",IF(D240&lt;'PlayerGrades+'!$AA$9,"B-",IF(D240&lt;'PlayerGrades+'!$AA$8,"B",IF(D240&lt;'PlayerGrades+'!$AA$7,"B+",IF(D240&lt;'PlayerGrades+'!$AA$6,"A-",IF(D240&lt;'PlayerGrades+'!$AA$5,"A",IF(D240&lt;'PlayerGrades+'!$AA$4,"A+",IF(D240&lt;'PlayerGrades+'!$AA$3,"S-",IF(D240&lt;'PlayerGrades+'!$AA$2,"S","S+"))))))))))))))))))))</f>
        <v>#DIV/0!</v>
      </c>
      <c r="F240" s="961" t="str">
        <f t="shared" si="2"/>
        <v>#DIV/0!</v>
      </c>
      <c r="G240" s="961" t="str">
        <f>IF(F240&lt;'PlayerGrades+'!$AB$21,"F-",IF(F240&lt;'PlayerGrades+'!$AB$20,"F",IF(F240&lt;'PlayerGrades+'!$AB$19,"F+",IF(F240&lt;'PlayerGrades+'!$AB$18,"E-",IF(F240&lt;'PlayerGrades+'!$AB$17,"E",IF(F240&lt;'PlayerGrades+'!$AB$16,"E+",IF(F240&lt;'PlayerGrades+'!$AB$15,"D-",IF(F240&lt;'PlayerGrades+'!$AB$14,"D",IF(F240&lt;'PlayerGrades+'!$AB$13,"D+",IF(F240&lt;'PlayerGrades+'!$AB$12,"C-",IF(F240&lt;'PlayerGrades+'!$AB$11,"C",IF(F240&lt;'PlayerGrades+'!$AB$10,"C+",IF(F240&lt;'PlayerGrades+'!$AB$9,"B-",IF(F240&lt;'PlayerGrades+'!$AB$8,"B",IF(F240&lt;'PlayerGrades+'!$AB$7,"B+",IF(F240&lt;'PlayerGrades+'!$AB$6,"A-",IF(F240&lt;'PlayerGrades+'!$AB$5,"A",IF(F240&lt;'PlayerGrades+'!$AB$4,"A+",IF(F240&lt;'PlayerGrades+'!$AB$3,"S-",IF(F240&lt;'PlayerGrades+'!$AB$2,"S","S+"))))))))))))))))))))</f>
        <v>#DIV/0!</v>
      </c>
      <c r="H240" s="961" t="str">
        <f t="shared" si="3"/>
        <v>#DIV/0!</v>
      </c>
      <c r="I240" s="961" t="str">
        <f>IF(H240&lt;'PlayerGrades+'!$AC$21,"F-",IF(H240&lt;'PlayerGrades+'!$AC$20,"F",IF(H240&lt;'PlayerGrades+'!$AC$19,"F+",IF(H240&lt;'PlayerGrades+'!$AC$18,"E-",IF(H240&lt;'PlayerGrades+'!$AC$17,"E",IF(H240&lt;'PlayerGrades+'!$AC$16,"E+",IF(H240&lt;'PlayerGrades+'!$AC$15,"D-",IF(H240&lt;'PlayerGrades+'!$AC$14,"D",IF(H240&lt;'PlayerGrades+'!$AC$13,"D+",IF(H240&lt;'PlayerGrades+'!$AC$12,"C-",IF(H240&lt;'PlayerGrades+'!$AC$11,"C",IF(H240&lt;'PlayerGrades+'!$AC$10,"C+",IF(H240&lt;'PlayerGrades+'!$AC$9,"B-",IF(H240&lt;'PlayerGrades+'!$AC$8,"B",IF(H240&lt;'PlayerGrades+'!$AC$7,"B+",IF(H240&lt;'PlayerGrades+'!$AC$6,"A-",IF(H240&lt;'PlayerGrades+'!$AC$5,"A",IF(H240&lt;'PlayerGrades+'!$AC$4,"A+",IF(H240&lt;'PlayerGrades+'!$AC$3,"S-",IF(H240&lt;'PlayerGrades+'!$AC$2,"S","S+"))))))))))))))))))))</f>
        <v>#DIV/0!</v>
      </c>
      <c r="J240" s="961" t="str">
        <f t="shared" si="4"/>
        <v>#DIV/0!</v>
      </c>
      <c r="K240" s="961" t="str">
        <f>IF(J240&lt;'PlayerGrades+'!$AD$21,"F-",IF(J240&lt;'PlayerGrades+'!$AD$20,"F",IF(J240&lt;'PlayerGrades+'!$AD$19,"F+",IF(J240&lt;'PlayerGrades+'!$AD$18,"E-",IF(J240&lt;'PlayerGrades+'!$AD$17,"E",IF(J240&lt;'PlayerGrades+'!$AD$16,"E+",IF(J240&lt;'PlayerGrades+'!$AD$15,"D-",IF(J240&lt;'PlayerGrades+'!$AD$14,"D",IF(J240&lt;'PlayerGrades+'!$AD$13,"D+",IF(J240&lt;'PlayerGrades+'!$AD$12,"C-",IF(J240&lt;'PlayerGrades+'!$AD$11,"C",IF(J240&lt;'PlayerGrades+'!$AD$10,"C+",IF(J240&lt;'PlayerGrades+'!$AD$9,"B-",IF(J240&lt;'PlayerGrades+'!$AD$8,"B",IF(J240&lt;'PlayerGrades+'!$AD$7,"B+",IF(J240&lt;'PlayerGrades+'!$AD$6,"A-",IF(J240&lt;'PlayerGrades+'!$AD$5,"A",IF(J240&lt;'PlayerGrades+'!$AD$4,"A+",IF(J240&lt;'PlayerGrades+'!$AD$3,"S-",IF(J240&lt;'PlayerGrades+'!$AD$2,"S","S+"))))))))))))))))))))</f>
        <v>#DIV/0!</v>
      </c>
      <c r="L240" s="1176" t="str">
        <f t="shared" si="5"/>
        <v>#DIV/0!</v>
      </c>
      <c r="M240" s="992" t="str">
        <f>IF(L240&lt;'PlayerGrades+'!$AE$21,"F-",IF(L240&lt;'PlayerGrades+'!$AE$20,"F",IF(L240&lt;'PlayerGrades+'!$AE$19,"F+",IF(L240&lt;'PlayerGrades+'!$AE$18,"E-",IF(L240&lt;'PlayerGrades+'!$AE$17,"E",IF(L240&lt;'PlayerGrades+'!$AE$16,"E+",IF(L240&lt;'PlayerGrades+'!$AE$15,"D-",IF(L240&lt;'PlayerGrades+'!$AE$14,"D",IF(L240&lt;'PlayerGrades+'!$AE$13,"D+",IF(L240&lt;'PlayerGrades+'!$AE$12,"C-",IF(L240&lt;'PlayerGrades+'!$AE$11,"C",IF(L240&lt;'PlayerGrades+'!$AE$10,"C+",IF(L240&lt;'PlayerGrades+'!$AE$9,"B-",IF(L240&lt;'PlayerGrades+'!$AE$8,"B",IF(L240&lt;'PlayerGrades+'!$AE$7,"B+",IF(L240&lt;'PlayerGrades+'!$AE$6,"A-",IF(L240&lt;'PlayerGrades+'!$AE$5,"A",IF(L240&lt;'PlayerGrades+'!$AE$4,"A+",IF(L240&lt;'PlayerGrades+'!$AE$3,"S-",IF(L240&lt;'PlayerGrades+'!$AE$2,"S","S+"))))))))))))))))))))</f>
        <v>#DIV/0!</v>
      </c>
      <c r="N240" s="961" t="str">
        <f t="shared" si="6"/>
        <v>#DIV/0!</v>
      </c>
      <c r="O240" s="961" t="str">
        <f>IF(N240&lt;'PlayerGrades+'!$AF$21,"F-",IF(N240&lt;'PlayerGrades+'!$AF$20,"F",IF(N240&lt;'PlayerGrades+'!$AF$19,"F+",IF(N240&lt;'PlayerGrades+'!$AF$18,"E-",IF(N240&lt;'PlayerGrades+'!$AF$17,"E",IF(N240&lt;'PlayerGrades+'!$AF$16,"E+",IF(N240&lt;'PlayerGrades+'!$AF$15,"D-",IF(N240&lt;'PlayerGrades+'!$AF$14,"D",IF(N240&lt;'PlayerGrades+'!$AF$13,"D+",IF(N240&lt;'PlayerGrades+'!$AF$12,"C-",IF(N240&lt;'PlayerGrades+'!$AF$11,"C",IF(N240&lt;'PlayerGrades+'!$AF$10,"C+",IF(N240&lt;'PlayerGrades+'!$AF$9,"B-",IF(N240&lt;'PlayerGrades+'!$AF$8,"B",IF(N240&lt;'PlayerGrades+'!$AF$7,"B+",IF(N240&lt;'PlayerGrades+'!$AF$6,"A-",IF(N240&lt;'PlayerGrades+'!$AF$5,"A",IF(N240&lt;'PlayerGrades+'!$AF$4,"A+",IF(N240&lt;'PlayerGrades+'!$AF$3,"S-",IF(N240&lt;'PlayerGrades+'!$AF$2,"S","S+"))))))))))))))))))))</f>
        <v>#DIV/0!</v>
      </c>
      <c r="P240" s="961" t="str">
        <f t="shared" si="7"/>
        <v>#DIV/0!</v>
      </c>
      <c r="Q240" s="961" t="str">
        <f>IF(P240&lt;'PlayerGrades+'!$AG$21,"F-",IF(P240&lt;'PlayerGrades+'!$AG$20,"F",IF(P240&lt;'PlayerGrades+'!$AG$19,"F+",IF(P240&lt;'PlayerGrades+'!$AG$18,"E-",IF(P240&lt;'PlayerGrades+'!$AG$17,"E",IF(P240&lt;'PlayerGrades+'!$AG$16,"E+",IF(P240&lt;'PlayerGrades+'!$AG$15,"D-",IF(P240&lt;'PlayerGrades+'!$AG$14,"D",IF(P240&lt;'PlayerGrades+'!$AG$13,"D+",IF(P240&lt;'PlayerGrades+'!$AG$12,"C-",IF(P240&lt;'PlayerGrades+'!$AG$11,"C",IF(P240&lt;'PlayerGrades+'!$AG$10,"C+",IF(P240&lt;'PlayerGrades+'!$AG$9,"B-",IF(P240&lt;'PlayerGrades+'!$AG$8,"B",IF(P240&lt;'PlayerGrades+'!$AG$7,"B+",IF(P240&lt;'PlayerGrades+'!$AG$6,"A-",IF(P240&lt;'PlayerGrades+'!$AG$5,"A",IF(P240&lt;'PlayerGrades+'!$AG$4,"A+",IF(P240&lt;'PlayerGrades+'!$AG$3,"S-",IF(P240&lt;'PlayerGrades+'!$AG$2,"S","S+"))))))))))))))))))))</f>
        <v>#DIV/0!</v>
      </c>
      <c r="R240" s="961" t="str">
        <f t="shared" si="8"/>
        <v>#DIV/0!</v>
      </c>
      <c r="S240" s="961" t="str">
        <f>IF(R240&lt;'PlayerGrades+'!$AH$21,"F-",IF(R240&lt;'PlayerGrades+'!$AH$20,"F",IF(R240&lt;'PlayerGrades+'!$AH$19,"F+",IF(R240&lt;'PlayerGrades+'!$AH$18,"E-",IF(R240&lt;'PlayerGrades+'!$AH$17,"E",IF(R240&lt;'PlayerGrades+'!$AH$16,"E+",IF(R240&lt;'PlayerGrades+'!$AH$15,"D-",IF(R240&lt;'PlayerGrades+'!$AH$14,"D",IF(R240&lt;'PlayerGrades+'!$AH$13,"D+",IF(R240&lt;'PlayerGrades+'!$AH$12,"C-",IF(R240&lt;'PlayerGrades+'!$AH$11,"C",IF(R240&lt;'PlayerGrades+'!$AH$10,"C+",IF(R240&lt;'PlayerGrades+'!$AH$9,"B-",IF(R240&lt;'PlayerGrades+'!$AH$8,"B",IF(R240&lt;'PlayerGrades+'!$AH$7,"B+",IF(R240&lt;'PlayerGrades+'!$AH$6,"A-",IF(R240&lt;'PlayerGrades+'!$AH$5,"A",IF(R240&lt;'PlayerGrades+'!$AH$4,"A+",IF(R240&lt;'PlayerGrades+'!$AH$3,"S-",IF(R240&lt;'PlayerGrades+'!$AH$2,"S","S+"))))))))))))))))))))</f>
        <v>#DIV/0!</v>
      </c>
      <c r="T240" s="961">
        <f t="shared" si="9"/>
        <v>0</v>
      </c>
      <c r="U240" s="961" t="str">
        <f>IF(T240&lt;'PlayerGrades+'!$AI$21,"F-",IF(T240&lt;'PlayerGrades+'!$AI$20,"F",IF(T240&lt;'PlayerGrades+'!$AI$19,"F+",IF(T240&lt;'PlayerGrades+'!$AI$18,"E-",IF(T240&lt;'PlayerGrades+'!$AI$17,"E",IF(T240&lt;'PlayerGrades+'!$AI$16,"E+",IF(T240&lt;'PlayerGrades+'!$AI$15,"D-",IF(T240&lt;'PlayerGrades+'!$AI$14,"D",IF(T240&lt;'PlayerGrades+'!$AI$13,"D+",IF(T240&lt;'PlayerGrades+'!$AI$12,"C-",IF(T240&lt;'PlayerGrades+'!$AI$11,"C",IF(T240&lt;'PlayerGrades+'!$AI$10,"C+",IF(T240&lt;'PlayerGrades+'!$AI$9,"B-",IF(T240&lt;'PlayerGrades+'!$AI$8,"B",IF(T240&lt;'PlayerGrades+'!$AI$7,"B+",IF(T240&lt;'PlayerGrades+'!$AI$6,"A-",IF(T240&lt;'PlayerGrades+'!$AI$5,"A",IF(T240&lt;'PlayerGrades+'!$AI$4,"A+",IF(T240&lt;'PlayerGrades+'!$AI$3,"S-",IF(T240&lt;'PlayerGrades+'!$AI$2,"S","S+"))))))))))))))))))))</f>
        <v>F-</v>
      </c>
      <c r="AC240" s="1392"/>
    </row>
    <row r="241">
      <c r="A241" s="1393"/>
      <c r="B241" s="611" t="str">
        <f>IF(C241&lt;'PlayerGrades+'!$Y$44,"F-",IF(C241&lt;'PlayerGrades+'!$Y$43,"F",IF(C241&lt;'PlayerGrades+'!$Y$42,"F+",IF(C241&lt;'PlayerGrades+'!$Y$41,"E-",IF(C241&lt;'PlayerGrades+'!$Y$40,"E",IF(C241&lt;'PlayerGrades+'!$Y$39,"E+",IF(C241&lt;'PlayerGrades+'!$Y$38,"D-",IF(C241&lt;'PlayerGrades+'!$Y$37,"D",IF(C241&lt;'PlayerGrades+'!$Y$36,"D+",IF(C241&lt;'PlayerGrades+'!$Y$35,"C-",IF(C241&lt;'PlayerGrades+'!$Y$34,"C",IF(C241&lt;'PlayerGrades+'!$Y$33,"C+",IF(C241&lt;'PlayerGrades+'!$Y$32,"B-",IF(C241&lt;'PlayerGrades+'!$Y$31,"B",IF(C241&lt;'PlayerGrades+'!$Y$30,"B+",IF(C241&lt;'PlayerGrades+'!$Y$29,"A-",IF(C241&lt;'PlayerGrades+'!$Y$28,"A",IF(C241&lt;'PlayerGrades+'!$Y$27,"A+",IF(C241&lt;'PlayerGrades+'!$Y$26,"S-",IF(C241&lt;'PlayerGrades+'!$Y$25,"S","S+"))))))))))))))))))))</f>
        <v>#DIV/0!</v>
      </c>
      <c r="C241" s="1378" t="str">
        <f>('PlayerGrades+'!$Y$47*(VLOOKUP(E241, 'PlayerGrades+'!$X$3:$Y$23, 2, FALSE)))+('PlayerGrades+'!$Y$48*(VLOOKUP(G241, 'PlayerGrades+'!$X$3:$Y$23, 2, FALSE)))+('PlayerGrades+'!$Y$49*(VLOOKUP(I241, 'PlayerGrades+'!$X$3:$Y$23, 2, FALSE)))+('PlayerGrades+'!$Y$50*(VLOOKUP(K241, 'PlayerGrades+'!$X$3:$Y$23, 2, FALSE)))+('PlayerGrades+'!$Y$51*(VLOOKUP(M241, 'PlayerGrades+'!$X$3:$Y$23, 2, FALSE)))+('PlayerGrades+'!$Y$52*(VLOOKUP(O241, 'PlayerGrades+'!$X$3:$Y$23, 2, FALSE)))+('PlayerGrades+'!$Y$53*(VLOOKUP(Q241, 'PlayerGrades+'!$X$3:$Y$23, 2, FALSE)))+('PlayerGrades+'!$Y$54*(VLOOKUP(S241, 'PlayerGrades+'!$X$3:$Y$23, 2, FALSE)))+('PlayerGrades+'!$Y$55*(VLOOKUP(U241, 'PlayerGrades+'!$X$3:$Y$23, 2, FALSE)))</f>
        <v>#DIV/0!</v>
      </c>
      <c r="D241" s="961" t="str">
        <f t="shared" si="1"/>
        <v>#DIV/0!</v>
      </c>
      <c r="E241" s="961" t="str">
        <f>IF(D241&lt;'PlayerGrades+'!$AA$21,"F-",IF(D241&lt;'PlayerGrades+'!$AA$20,"F",IF(D241&lt;'PlayerGrades+'!$AA$19,"F+",IF(D241&lt;'PlayerGrades+'!$AA$18,"E-",IF(D241&lt;'PlayerGrades+'!$AA$17,"E",IF(D241&lt;'PlayerGrades+'!$AA$16,"E+",IF(D241&lt;'PlayerGrades+'!$AA$15,"D-",IF(D241&lt;'PlayerGrades+'!$AA$14,"D",IF(D241&lt;'PlayerGrades+'!$AA$13,"D+",IF(D241&lt;'PlayerGrades+'!$AA$12,"C-",IF(D241&lt;'PlayerGrades+'!$AA$11,"C",IF(D241&lt;'PlayerGrades+'!$AA$10,"C+",IF(D241&lt;'PlayerGrades+'!$AA$9,"B-",IF(D241&lt;'PlayerGrades+'!$AA$8,"B",IF(D241&lt;'PlayerGrades+'!$AA$7,"B+",IF(D241&lt;'PlayerGrades+'!$AA$6,"A-",IF(D241&lt;'PlayerGrades+'!$AA$5,"A",IF(D241&lt;'PlayerGrades+'!$AA$4,"A+",IF(D241&lt;'PlayerGrades+'!$AA$3,"S-",IF(D241&lt;'PlayerGrades+'!$AA$2,"S","S+"))))))))))))))))))))</f>
        <v>#DIV/0!</v>
      </c>
      <c r="F241" s="961" t="str">
        <f t="shared" si="2"/>
        <v>#DIV/0!</v>
      </c>
      <c r="G241" s="961" t="str">
        <f>IF(F241&lt;'PlayerGrades+'!$AB$21,"F-",IF(F241&lt;'PlayerGrades+'!$AB$20,"F",IF(F241&lt;'PlayerGrades+'!$AB$19,"F+",IF(F241&lt;'PlayerGrades+'!$AB$18,"E-",IF(F241&lt;'PlayerGrades+'!$AB$17,"E",IF(F241&lt;'PlayerGrades+'!$AB$16,"E+",IF(F241&lt;'PlayerGrades+'!$AB$15,"D-",IF(F241&lt;'PlayerGrades+'!$AB$14,"D",IF(F241&lt;'PlayerGrades+'!$AB$13,"D+",IF(F241&lt;'PlayerGrades+'!$AB$12,"C-",IF(F241&lt;'PlayerGrades+'!$AB$11,"C",IF(F241&lt;'PlayerGrades+'!$AB$10,"C+",IF(F241&lt;'PlayerGrades+'!$AB$9,"B-",IF(F241&lt;'PlayerGrades+'!$AB$8,"B",IF(F241&lt;'PlayerGrades+'!$AB$7,"B+",IF(F241&lt;'PlayerGrades+'!$AB$6,"A-",IF(F241&lt;'PlayerGrades+'!$AB$5,"A",IF(F241&lt;'PlayerGrades+'!$AB$4,"A+",IF(F241&lt;'PlayerGrades+'!$AB$3,"S-",IF(F241&lt;'PlayerGrades+'!$AB$2,"S","S+"))))))))))))))))))))</f>
        <v>#DIV/0!</v>
      </c>
      <c r="H241" s="961" t="str">
        <f t="shared" si="3"/>
        <v>#DIV/0!</v>
      </c>
      <c r="I241" s="961" t="str">
        <f>IF(H241&lt;'PlayerGrades+'!$AC$21,"F-",IF(H241&lt;'PlayerGrades+'!$AC$20,"F",IF(H241&lt;'PlayerGrades+'!$AC$19,"F+",IF(H241&lt;'PlayerGrades+'!$AC$18,"E-",IF(H241&lt;'PlayerGrades+'!$AC$17,"E",IF(H241&lt;'PlayerGrades+'!$AC$16,"E+",IF(H241&lt;'PlayerGrades+'!$AC$15,"D-",IF(H241&lt;'PlayerGrades+'!$AC$14,"D",IF(H241&lt;'PlayerGrades+'!$AC$13,"D+",IF(H241&lt;'PlayerGrades+'!$AC$12,"C-",IF(H241&lt;'PlayerGrades+'!$AC$11,"C",IF(H241&lt;'PlayerGrades+'!$AC$10,"C+",IF(H241&lt;'PlayerGrades+'!$AC$9,"B-",IF(H241&lt;'PlayerGrades+'!$AC$8,"B",IF(H241&lt;'PlayerGrades+'!$AC$7,"B+",IF(H241&lt;'PlayerGrades+'!$AC$6,"A-",IF(H241&lt;'PlayerGrades+'!$AC$5,"A",IF(H241&lt;'PlayerGrades+'!$AC$4,"A+",IF(H241&lt;'PlayerGrades+'!$AC$3,"S-",IF(H241&lt;'PlayerGrades+'!$AC$2,"S","S+"))))))))))))))))))))</f>
        <v>#DIV/0!</v>
      </c>
      <c r="J241" s="961" t="str">
        <f t="shared" si="4"/>
        <v>#DIV/0!</v>
      </c>
      <c r="K241" s="961" t="str">
        <f>IF(J241&lt;'PlayerGrades+'!$AD$21,"F-",IF(J241&lt;'PlayerGrades+'!$AD$20,"F",IF(J241&lt;'PlayerGrades+'!$AD$19,"F+",IF(J241&lt;'PlayerGrades+'!$AD$18,"E-",IF(J241&lt;'PlayerGrades+'!$AD$17,"E",IF(J241&lt;'PlayerGrades+'!$AD$16,"E+",IF(J241&lt;'PlayerGrades+'!$AD$15,"D-",IF(J241&lt;'PlayerGrades+'!$AD$14,"D",IF(J241&lt;'PlayerGrades+'!$AD$13,"D+",IF(J241&lt;'PlayerGrades+'!$AD$12,"C-",IF(J241&lt;'PlayerGrades+'!$AD$11,"C",IF(J241&lt;'PlayerGrades+'!$AD$10,"C+",IF(J241&lt;'PlayerGrades+'!$AD$9,"B-",IF(J241&lt;'PlayerGrades+'!$AD$8,"B",IF(J241&lt;'PlayerGrades+'!$AD$7,"B+",IF(J241&lt;'PlayerGrades+'!$AD$6,"A-",IF(J241&lt;'PlayerGrades+'!$AD$5,"A",IF(J241&lt;'PlayerGrades+'!$AD$4,"A+",IF(J241&lt;'PlayerGrades+'!$AD$3,"S-",IF(J241&lt;'PlayerGrades+'!$AD$2,"S","S+"))))))))))))))))))))</f>
        <v>#DIV/0!</v>
      </c>
      <c r="L241" s="1176" t="str">
        <f t="shared" si="5"/>
        <v>#DIV/0!</v>
      </c>
      <c r="M241" s="992" t="str">
        <f>IF(L241&lt;'PlayerGrades+'!$AE$21,"F-",IF(L241&lt;'PlayerGrades+'!$AE$20,"F",IF(L241&lt;'PlayerGrades+'!$AE$19,"F+",IF(L241&lt;'PlayerGrades+'!$AE$18,"E-",IF(L241&lt;'PlayerGrades+'!$AE$17,"E",IF(L241&lt;'PlayerGrades+'!$AE$16,"E+",IF(L241&lt;'PlayerGrades+'!$AE$15,"D-",IF(L241&lt;'PlayerGrades+'!$AE$14,"D",IF(L241&lt;'PlayerGrades+'!$AE$13,"D+",IF(L241&lt;'PlayerGrades+'!$AE$12,"C-",IF(L241&lt;'PlayerGrades+'!$AE$11,"C",IF(L241&lt;'PlayerGrades+'!$AE$10,"C+",IF(L241&lt;'PlayerGrades+'!$AE$9,"B-",IF(L241&lt;'PlayerGrades+'!$AE$8,"B",IF(L241&lt;'PlayerGrades+'!$AE$7,"B+",IF(L241&lt;'PlayerGrades+'!$AE$6,"A-",IF(L241&lt;'PlayerGrades+'!$AE$5,"A",IF(L241&lt;'PlayerGrades+'!$AE$4,"A+",IF(L241&lt;'PlayerGrades+'!$AE$3,"S-",IF(L241&lt;'PlayerGrades+'!$AE$2,"S","S+"))))))))))))))))))))</f>
        <v>#DIV/0!</v>
      </c>
      <c r="N241" s="961" t="str">
        <f t="shared" si="6"/>
        <v>#DIV/0!</v>
      </c>
      <c r="O241" s="961" t="str">
        <f>IF(N241&lt;'PlayerGrades+'!$AF$21,"F-",IF(N241&lt;'PlayerGrades+'!$AF$20,"F",IF(N241&lt;'PlayerGrades+'!$AF$19,"F+",IF(N241&lt;'PlayerGrades+'!$AF$18,"E-",IF(N241&lt;'PlayerGrades+'!$AF$17,"E",IF(N241&lt;'PlayerGrades+'!$AF$16,"E+",IF(N241&lt;'PlayerGrades+'!$AF$15,"D-",IF(N241&lt;'PlayerGrades+'!$AF$14,"D",IF(N241&lt;'PlayerGrades+'!$AF$13,"D+",IF(N241&lt;'PlayerGrades+'!$AF$12,"C-",IF(N241&lt;'PlayerGrades+'!$AF$11,"C",IF(N241&lt;'PlayerGrades+'!$AF$10,"C+",IF(N241&lt;'PlayerGrades+'!$AF$9,"B-",IF(N241&lt;'PlayerGrades+'!$AF$8,"B",IF(N241&lt;'PlayerGrades+'!$AF$7,"B+",IF(N241&lt;'PlayerGrades+'!$AF$6,"A-",IF(N241&lt;'PlayerGrades+'!$AF$5,"A",IF(N241&lt;'PlayerGrades+'!$AF$4,"A+",IF(N241&lt;'PlayerGrades+'!$AF$3,"S-",IF(N241&lt;'PlayerGrades+'!$AF$2,"S","S+"))))))))))))))))))))</f>
        <v>#DIV/0!</v>
      </c>
      <c r="P241" s="961" t="str">
        <f t="shared" si="7"/>
        <v>#DIV/0!</v>
      </c>
      <c r="Q241" s="961" t="str">
        <f>IF(P241&lt;'PlayerGrades+'!$AG$21,"F-",IF(P241&lt;'PlayerGrades+'!$AG$20,"F",IF(P241&lt;'PlayerGrades+'!$AG$19,"F+",IF(P241&lt;'PlayerGrades+'!$AG$18,"E-",IF(P241&lt;'PlayerGrades+'!$AG$17,"E",IF(P241&lt;'PlayerGrades+'!$AG$16,"E+",IF(P241&lt;'PlayerGrades+'!$AG$15,"D-",IF(P241&lt;'PlayerGrades+'!$AG$14,"D",IF(P241&lt;'PlayerGrades+'!$AG$13,"D+",IF(P241&lt;'PlayerGrades+'!$AG$12,"C-",IF(P241&lt;'PlayerGrades+'!$AG$11,"C",IF(P241&lt;'PlayerGrades+'!$AG$10,"C+",IF(P241&lt;'PlayerGrades+'!$AG$9,"B-",IF(P241&lt;'PlayerGrades+'!$AG$8,"B",IF(P241&lt;'PlayerGrades+'!$AG$7,"B+",IF(P241&lt;'PlayerGrades+'!$AG$6,"A-",IF(P241&lt;'PlayerGrades+'!$AG$5,"A",IF(P241&lt;'PlayerGrades+'!$AG$4,"A+",IF(P241&lt;'PlayerGrades+'!$AG$3,"S-",IF(P241&lt;'PlayerGrades+'!$AG$2,"S","S+"))))))))))))))))))))</f>
        <v>#DIV/0!</v>
      </c>
      <c r="R241" s="961" t="str">
        <f t="shared" si="8"/>
        <v>#DIV/0!</v>
      </c>
      <c r="S241" s="961" t="str">
        <f>IF(R241&lt;'PlayerGrades+'!$AH$21,"F-",IF(R241&lt;'PlayerGrades+'!$AH$20,"F",IF(R241&lt;'PlayerGrades+'!$AH$19,"F+",IF(R241&lt;'PlayerGrades+'!$AH$18,"E-",IF(R241&lt;'PlayerGrades+'!$AH$17,"E",IF(R241&lt;'PlayerGrades+'!$AH$16,"E+",IF(R241&lt;'PlayerGrades+'!$AH$15,"D-",IF(R241&lt;'PlayerGrades+'!$AH$14,"D",IF(R241&lt;'PlayerGrades+'!$AH$13,"D+",IF(R241&lt;'PlayerGrades+'!$AH$12,"C-",IF(R241&lt;'PlayerGrades+'!$AH$11,"C",IF(R241&lt;'PlayerGrades+'!$AH$10,"C+",IF(R241&lt;'PlayerGrades+'!$AH$9,"B-",IF(R241&lt;'PlayerGrades+'!$AH$8,"B",IF(R241&lt;'PlayerGrades+'!$AH$7,"B+",IF(R241&lt;'PlayerGrades+'!$AH$6,"A-",IF(R241&lt;'PlayerGrades+'!$AH$5,"A",IF(R241&lt;'PlayerGrades+'!$AH$4,"A+",IF(R241&lt;'PlayerGrades+'!$AH$3,"S-",IF(R241&lt;'PlayerGrades+'!$AH$2,"S","S+"))))))))))))))))))))</f>
        <v>#DIV/0!</v>
      </c>
      <c r="T241" s="961">
        <f t="shared" si="9"/>
        <v>0</v>
      </c>
      <c r="U241" s="961" t="str">
        <f>IF(T241&lt;'PlayerGrades+'!$AI$21,"F-",IF(T241&lt;'PlayerGrades+'!$AI$20,"F",IF(T241&lt;'PlayerGrades+'!$AI$19,"F+",IF(T241&lt;'PlayerGrades+'!$AI$18,"E-",IF(T241&lt;'PlayerGrades+'!$AI$17,"E",IF(T241&lt;'PlayerGrades+'!$AI$16,"E+",IF(T241&lt;'PlayerGrades+'!$AI$15,"D-",IF(T241&lt;'PlayerGrades+'!$AI$14,"D",IF(T241&lt;'PlayerGrades+'!$AI$13,"D+",IF(T241&lt;'PlayerGrades+'!$AI$12,"C-",IF(T241&lt;'PlayerGrades+'!$AI$11,"C",IF(T241&lt;'PlayerGrades+'!$AI$10,"C+",IF(T241&lt;'PlayerGrades+'!$AI$9,"B-",IF(T241&lt;'PlayerGrades+'!$AI$8,"B",IF(T241&lt;'PlayerGrades+'!$AI$7,"B+",IF(T241&lt;'PlayerGrades+'!$AI$6,"A-",IF(T241&lt;'PlayerGrades+'!$AI$5,"A",IF(T241&lt;'PlayerGrades+'!$AI$4,"A+",IF(T241&lt;'PlayerGrades+'!$AI$3,"S-",IF(T241&lt;'PlayerGrades+'!$AI$2,"S","S+"))))))))))))))))))))</f>
        <v>F-</v>
      </c>
      <c r="V241" s="1386"/>
      <c r="W241" s="1386"/>
      <c r="X241" s="1386"/>
      <c r="Y241" s="1386"/>
      <c r="Z241" s="1386"/>
      <c r="AA241" s="1386"/>
      <c r="AB241" s="1386"/>
      <c r="AC241" s="1397"/>
      <c r="AD241" s="1386"/>
      <c r="AE241" s="1386"/>
      <c r="AF241" s="1386"/>
      <c r="AG241" s="1386"/>
      <c r="AH241" s="1386"/>
      <c r="AI241" s="1386"/>
      <c r="AJ241" s="1386"/>
      <c r="AK241" s="1386"/>
      <c r="AL241" s="1386"/>
      <c r="AM241" s="1386"/>
      <c r="AN241" s="1386"/>
      <c r="AO241" s="1386"/>
      <c r="AP241" s="1386"/>
      <c r="AQ241" s="1386"/>
      <c r="AR241" s="1386"/>
      <c r="AS241" s="1386"/>
      <c r="AT241" s="1386"/>
      <c r="AU241" s="1386"/>
      <c r="AV241" s="1386"/>
      <c r="AW241" s="1386"/>
      <c r="AX241" s="1386"/>
      <c r="AY241" s="1386"/>
      <c r="AZ241" s="1386"/>
    </row>
    <row r="242">
      <c r="A242" s="1389"/>
      <c r="B242" s="611" t="str">
        <f>IF(C242&lt;'PlayerGrades+'!$Y$44,"F-",IF(C242&lt;'PlayerGrades+'!$Y$43,"F",IF(C242&lt;'PlayerGrades+'!$Y$42,"F+",IF(C242&lt;'PlayerGrades+'!$Y$41,"E-",IF(C242&lt;'PlayerGrades+'!$Y$40,"E",IF(C242&lt;'PlayerGrades+'!$Y$39,"E+",IF(C242&lt;'PlayerGrades+'!$Y$38,"D-",IF(C242&lt;'PlayerGrades+'!$Y$37,"D",IF(C242&lt;'PlayerGrades+'!$Y$36,"D+",IF(C242&lt;'PlayerGrades+'!$Y$35,"C-",IF(C242&lt;'PlayerGrades+'!$Y$34,"C",IF(C242&lt;'PlayerGrades+'!$Y$33,"C+",IF(C242&lt;'PlayerGrades+'!$Y$32,"B-",IF(C242&lt;'PlayerGrades+'!$Y$31,"B",IF(C242&lt;'PlayerGrades+'!$Y$30,"B+",IF(C242&lt;'PlayerGrades+'!$Y$29,"A-",IF(C242&lt;'PlayerGrades+'!$Y$28,"A",IF(C242&lt;'PlayerGrades+'!$Y$27,"A+",IF(C242&lt;'PlayerGrades+'!$Y$26,"S-",IF(C242&lt;'PlayerGrades+'!$Y$25,"S","S+"))))))))))))))))))))</f>
        <v>#DIV/0!</v>
      </c>
      <c r="C242" s="1378" t="str">
        <f>('PlayerGrades+'!$Y$47*(VLOOKUP(E242, 'PlayerGrades+'!$X$3:$Y$23, 2, FALSE)))+('PlayerGrades+'!$Y$48*(VLOOKUP(G242, 'PlayerGrades+'!$X$3:$Y$23, 2, FALSE)))+('PlayerGrades+'!$Y$49*(VLOOKUP(I242, 'PlayerGrades+'!$X$3:$Y$23, 2, FALSE)))+('PlayerGrades+'!$Y$50*(VLOOKUP(K242, 'PlayerGrades+'!$X$3:$Y$23, 2, FALSE)))+('PlayerGrades+'!$Y$51*(VLOOKUP(M242, 'PlayerGrades+'!$X$3:$Y$23, 2, FALSE)))+('PlayerGrades+'!$Y$52*(VLOOKUP(O242, 'PlayerGrades+'!$X$3:$Y$23, 2, FALSE)))+('PlayerGrades+'!$Y$53*(VLOOKUP(Q242, 'PlayerGrades+'!$X$3:$Y$23, 2, FALSE)))+('PlayerGrades+'!$Y$54*(VLOOKUP(S242, 'PlayerGrades+'!$X$3:$Y$23, 2, FALSE)))+('PlayerGrades+'!$Y$55*(VLOOKUP(U242, 'PlayerGrades+'!$X$3:$Y$23, 2, FALSE)))</f>
        <v>#DIV/0!</v>
      </c>
      <c r="D242" s="961" t="str">
        <f t="shared" si="1"/>
        <v>#DIV/0!</v>
      </c>
      <c r="E242" s="961" t="str">
        <f>IF(D242&lt;'PlayerGrades+'!$AA$21,"F-",IF(D242&lt;'PlayerGrades+'!$AA$20,"F",IF(D242&lt;'PlayerGrades+'!$AA$19,"F+",IF(D242&lt;'PlayerGrades+'!$AA$18,"E-",IF(D242&lt;'PlayerGrades+'!$AA$17,"E",IF(D242&lt;'PlayerGrades+'!$AA$16,"E+",IF(D242&lt;'PlayerGrades+'!$AA$15,"D-",IF(D242&lt;'PlayerGrades+'!$AA$14,"D",IF(D242&lt;'PlayerGrades+'!$AA$13,"D+",IF(D242&lt;'PlayerGrades+'!$AA$12,"C-",IF(D242&lt;'PlayerGrades+'!$AA$11,"C",IF(D242&lt;'PlayerGrades+'!$AA$10,"C+",IF(D242&lt;'PlayerGrades+'!$AA$9,"B-",IF(D242&lt;'PlayerGrades+'!$AA$8,"B",IF(D242&lt;'PlayerGrades+'!$AA$7,"B+",IF(D242&lt;'PlayerGrades+'!$AA$6,"A-",IF(D242&lt;'PlayerGrades+'!$AA$5,"A",IF(D242&lt;'PlayerGrades+'!$AA$4,"A+",IF(D242&lt;'PlayerGrades+'!$AA$3,"S-",IF(D242&lt;'PlayerGrades+'!$AA$2,"S","S+"))))))))))))))))))))</f>
        <v>#DIV/0!</v>
      </c>
      <c r="F242" s="961" t="str">
        <f t="shared" si="2"/>
        <v>#DIV/0!</v>
      </c>
      <c r="G242" s="961" t="str">
        <f>IF(F242&lt;'PlayerGrades+'!$AB$21,"F-",IF(F242&lt;'PlayerGrades+'!$AB$20,"F",IF(F242&lt;'PlayerGrades+'!$AB$19,"F+",IF(F242&lt;'PlayerGrades+'!$AB$18,"E-",IF(F242&lt;'PlayerGrades+'!$AB$17,"E",IF(F242&lt;'PlayerGrades+'!$AB$16,"E+",IF(F242&lt;'PlayerGrades+'!$AB$15,"D-",IF(F242&lt;'PlayerGrades+'!$AB$14,"D",IF(F242&lt;'PlayerGrades+'!$AB$13,"D+",IF(F242&lt;'PlayerGrades+'!$AB$12,"C-",IF(F242&lt;'PlayerGrades+'!$AB$11,"C",IF(F242&lt;'PlayerGrades+'!$AB$10,"C+",IF(F242&lt;'PlayerGrades+'!$AB$9,"B-",IF(F242&lt;'PlayerGrades+'!$AB$8,"B",IF(F242&lt;'PlayerGrades+'!$AB$7,"B+",IF(F242&lt;'PlayerGrades+'!$AB$6,"A-",IF(F242&lt;'PlayerGrades+'!$AB$5,"A",IF(F242&lt;'PlayerGrades+'!$AB$4,"A+",IF(F242&lt;'PlayerGrades+'!$AB$3,"S-",IF(F242&lt;'PlayerGrades+'!$AB$2,"S","S+"))))))))))))))))))))</f>
        <v>#DIV/0!</v>
      </c>
      <c r="H242" s="961" t="str">
        <f t="shared" si="3"/>
        <v>#DIV/0!</v>
      </c>
      <c r="I242" s="961" t="str">
        <f>IF(H242&lt;'PlayerGrades+'!$AC$21,"F-",IF(H242&lt;'PlayerGrades+'!$AC$20,"F",IF(H242&lt;'PlayerGrades+'!$AC$19,"F+",IF(H242&lt;'PlayerGrades+'!$AC$18,"E-",IF(H242&lt;'PlayerGrades+'!$AC$17,"E",IF(H242&lt;'PlayerGrades+'!$AC$16,"E+",IF(H242&lt;'PlayerGrades+'!$AC$15,"D-",IF(H242&lt;'PlayerGrades+'!$AC$14,"D",IF(H242&lt;'PlayerGrades+'!$AC$13,"D+",IF(H242&lt;'PlayerGrades+'!$AC$12,"C-",IF(H242&lt;'PlayerGrades+'!$AC$11,"C",IF(H242&lt;'PlayerGrades+'!$AC$10,"C+",IF(H242&lt;'PlayerGrades+'!$AC$9,"B-",IF(H242&lt;'PlayerGrades+'!$AC$8,"B",IF(H242&lt;'PlayerGrades+'!$AC$7,"B+",IF(H242&lt;'PlayerGrades+'!$AC$6,"A-",IF(H242&lt;'PlayerGrades+'!$AC$5,"A",IF(H242&lt;'PlayerGrades+'!$AC$4,"A+",IF(H242&lt;'PlayerGrades+'!$AC$3,"S-",IF(H242&lt;'PlayerGrades+'!$AC$2,"S","S+"))))))))))))))))))))</f>
        <v>#DIV/0!</v>
      </c>
      <c r="J242" s="961" t="str">
        <f t="shared" si="4"/>
        <v>#DIV/0!</v>
      </c>
      <c r="K242" s="961" t="str">
        <f>IF(J242&lt;'PlayerGrades+'!$AD$21,"F-",IF(J242&lt;'PlayerGrades+'!$AD$20,"F",IF(J242&lt;'PlayerGrades+'!$AD$19,"F+",IF(J242&lt;'PlayerGrades+'!$AD$18,"E-",IF(J242&lt;'PlayerGrades+'!$AD$17,"E",IF(J242&lt;'PlayerGrades+'!$AD$16,"E+",IF(J242&lt;'PlayerGrades+'!$AD$15,"D-",IF(J242&lt;'PlayerGrades+'!$AD$14,"D",IF(J242&lt;'PlayerGrades+'!$AD$13,"D+",IF(J242&lt;'PlayerGrades+'!$AD$12,"C-",IF(J242&lt;'PlayerGrades+'!$AD$11,"C",IF(J242&lt;'PlayerGrades+'!$AD$10,"C+",IF(J242&lt;'PlayerGrades+'!$AD$9,"B-",IF(J242&lt;'PlayerGrades+'!$AD$8,"B",IF(J242&lt;'PlayerGrades+'!$AD$7,"B+",IF(J242&lt;'PlayerGrades+'!$AD$6,"A-",IF(J242&lt;'PlayerGrades+'!$AD$5,"A",IF(J242&lt;'PlayerGrades+'!$AD$4,"A+",IF(J242&lt;'PlayerGrades+'!$AD$3,"S-",IF(J242&lt;'PlayerGrades+'!$AD$2,"S","S+"))))))))))))))))))))</f>
        <v>#DIV/0!</v>
      </c>
      <c r="L242" s="1176" t="str">
        <f t="shared" si="5"/>
        <v>#DIV/0!</v>
      </c>
      <c r="M242" s="992" t="str">
        <f>IF(L242&lt;'PlayerGrades+'!$AE$21,"F-",IF(L242&lt;'PlayerGrades+'!$AE$20,"F",IF(L242&lt;'PlayerGrades+'!$AE$19,"F+",IF(L242&lt;'PlayerGrades+'!$AE$18,"E-",IF(L242&lt;'PlayerGrades+'!$AE$17,"E",IF(L242&lt;'PlayerGrades+'!$AE$16,"E+",IF(L242&lt;'PlayerGrades+'!$AE$15,"D-",IF(L242&lt;'PlayerGrades+'!$AE$14,"D",IF(L242&lt;'PlayerGrades+'!$AE$13,"D+",IF(L242&lt;'PlayerGrades+'!$AE$12,"C-",IF(L242&lt;'PlayerGrades+'!$AE$11,"C",IF(L242&lt;'PlayerGrades+'!$AE$10,"C+",IF(L242&lt;'PlayerGrades+'!$AE$9,"B-",IF(L242&lt;'PlayerGrades+'!$AE$8,"B",IF(L242&lt;'PlayerGrades+'!$AE$7,"B+",IF(L242&lt;'PlayerGrades+'!$AE$6,"A-",IF(L242&lt;'PlayerGrades+'!$AE$5,"A",IF(L242&lt;'PlayerGrades+'!$AE$4,"A+",IF(L242&lt;'PlayerGrades+'!$AE$3,"S-",IF(L242&lt;'PlayerGrades+'!$AE$2,"S","S+"))))))))))))))))))))</f>
        <v>#DIV/0!</v>
      </c>
      <c r="N242" s="961" t="str">
        <f t="shared" si="6"/>
        <v>#DIV/0!</v>
      </c>
      <c r="O242" s="961" t="str">
        <f>IF(N242&lt;'PlayerGrades+'!$AF$21,"F-",IF(N242&lt;'PlayerGrades+'!$AF$20,"F",IF(N242&lt;'PlayerGrades+'!$AF$19,"F+",IF(N242&lt;'PlayerGrades+'!$AF$18,"E-",IF(N242&lt;'PlayerGrades+'!$AF$17,"E",IF(N242&lt;'PlayerGrades+'!$AF$16,"E+",IF(N242&lt;'PlayerGrades+'!$AF$15,"D-",IF(N242&lt;'PlayerGrades+'!$AF$14,"D",IF(N242&lt;'PlayerGrades+'!$AF$13,"D+",IF(N242&lt;'PlayerGrades+'!$AF$12,"C-",IF(N242&lt;'PlayerGrades+'!$AF$11,"C",IF(N242&lt;'PlayerGrades+'!$AF$10,"C+",IF(N242&lt;'PlayerGrades+'!$AF$9,"B-",IF(N242&lt;'PlayerGrades+'!$AF$8,"B",IF(N242&lt;'PlayerGrades+'!$AF$7,"B+",IF(N242&lt;'PlayerGrades+'!$AF$6,"A-",IF(N242&lt;'PlayerGrades+'!$AF$5,"A",IF(N242&lt;'PlayerGrades+'!$AF$4,"A+",IF(N242&lt;'PlayerGrades+'!$AF$3,"S-",IF(N242&lt;'PlayerGrades+'!$AF$2,"S","S+"))))))))))))))))))))</f>
        <v>#DIV/0!</v>
      </c>
      <c r="P242" s="961" t="str">
        <f t="shared" si="7"/>
        <v>#DIV/0!</v>
      </c>
      <c r="Q242" s="961" t="str">
        <f>IF(P242&lt;'PlayerGrades+'!$AG$21,"F-",IF(P242&lt;'PlayerGrades+'!$AG$20,"F",IF(P242&lt;'PlayerGrades+'!$AG$19,"F+",IF(P242&lt;'PlayerGrades+'!$AG$18,"E-",IF(P242&lt;'PlayerGrades+'!$AG$17,"E",IF(P242&lt;'PlayerGrades+'!$AG$16,"E+",IF(P242&lt;'PlayerGrades+'!$AG$15,"D-",IF(P242&lt;'PlayerGrades+'!$AG$14,"D",IF(P242&lt;'PlayerGrades+'!$AG$13,"D+",IF(P242&lt;'PlayerGrades+'!$AG$12,"C-",IF(P242&lt;'PlayerGrades+'!$AG$11,"C",IF(P242&lt;'PlayerGrades+'!$AG$10,"C+",IF(P242&lt;'PlayerGrades+'!$AG$9,"B-",IF(P242&lt;'PlayerGrades+'!$AG$8,"B",IF(P242&lt;'PlayerGrades+'!$AG$7,"B+",IF(P242&lt;'PlayerGrades+'!$AG$6,"A-",IF(P242&lt;'PlayerGrades+'!$AG$5,"A",IF(P242&lt;'PlayerGrades+'!$AG$4,"A+",IF(P242&lt;'PlayerGrades+'!$AG$3,"S-",IF(P242&lt;'PlayerGrades+'!$AG$2,"S","S+"))))))))))))))))))))</f>
        <v>#DIV/0!</v>
      </c>
      <c r="R242" s="961" t="str">
        <f t="shared" si="8"/>
        <v>#DIV/0!</v>
      </c>
      <c r="S242" s="961" t="str">
        <f>IF(R242&lt;'PlayerGrades+'!$AH$21,"F-",IF(R242&lt;'PlayerGrades+'!$AH$20,"F",IF(R242&lt;'PlayerGrades+'!$AH$19,"F+",IF(R242&lt;'PlayerGrades+'!$AH$18,"E-",IF(R242&lt;'PlayerGrades+'!$AH$17,"E",IF(R242&lt;'PlayerGrades+'!$AH$16,"E+",IF(R242&lt;'PlayerGrades+'!$AH$15,"D-",IF(R242&lt;'PlayerGrades+'!$AH$14,"D",IF(R242&lt;'PlayerGrades+'!$AH$13,"D+",IF(R242&lt;'PlayerGrades+'!$AH$12,"C-",IF(R242&lt;'PlayerGrades+'!$AH$11,"C",IF(R242&lt;'PlayerGrades+'!$AH$10,"C+",IF(R242&lt;'PlayerGrades+'!$AH$9,"B-",IF(R242&lt;'PlayerGrades+'!$AH$8,"B",IF(R242&lt;'PlayerGrades+'!$AH$7,"B+",IF(R242&lt;'PlayerGrades+'!$AH$6,"A-",IF(R242&lt;'PlayerGrades+'!$AH$5,"A",IF(R242&lt;'PlayerGrades+'!$AH$4,"A+",IF(R242&lt;'PlayerGrades+'!$AH$3,"S-",IF(R242&lt;'PlayerGrades+'!$AH$2,"S","S+"))))))))))))))))))))</f>
        <v>#DIV/0!</v>
      </c>
      <c r="T242" s="961">
        <f t="shared" si="9"/>
        <v>0</v>
      </c>
      <c r="U242" s="961" t="str">
        <f>IF(T242&lt;'PlayerGrades+'!$AI$21,"F-",IF(T242&lt;'PlayerGrades+'!$AI$20,"F",IF(T242&lt;'PlayerGrades+'!$AI$19,"F+",IF(T242&lt;'PlayerGrades+'!$AI$18,"E-",IF(T242&lt;'PlayerGrades+'!$AI$17,"E",IF(T242&lt;'PlayerGrades+'!$AI$16,"E+",IF(T242&lt;'PlayerGrades+'!$AI$15,"D-",IF(T242&lt;'PlayerGrades+'!$AI$14,"D",IF(T242&lt;'PlayerGrades+'!$AI$13,"D+",IF(T242&lt;'PlayerGrades+'!$AI$12,"C-",IF(T242&lt;'PlayerGrades+'!$AI$11,"C",IF(T242&lt;'PlayerGrades+'!$AI$10,"C+",IF(T242&lt;'PlayerGrades+'!$AI$9,"B-",IF(T242&lt;'PlayerGrades+'!$AI$8,"B",IF(T242&lt;'PlayerGrades+'!$AI$7,"B+",IF(T242&lt;'PlayerGrades+'!$AI$6,"A-",IF(T242&lt;'PlayerGrades+'!$AI$5,"A",IF(T242&lt;'PlayerGrades+'!$AI$4,"A+",IF(T242&lt;'PlayerGrades+'!$AI$3,"S-",IF(T242&lt;'PlayerGrades+'!$AI$2,"S","S+"))))))))))))))))))))</f>
        <v>F-</v>
      </c>
      <c r="V242" s="1379"/>
      <c r="W242" s="1379"/>
      <c r="X242" s="1379"/>
      <c r="Y242" s="1379"/>
      <c r="Z242" s="1379"/>
      <c r="AA242" s="1379"/>
      <c r="AB242" s="1379"/>
      <c r="AC242" s="1390"/>
      <c r="AD242" s="1379"/>
      <c r="AE242" s="1379"/>
      <c r="AF242" s="1379"/>
      <c r="AG242" s="1379"/>
      <c r="AH242" s="1379"/>
      <c r="AI242" s="1379"/>
      <c r="AJ242" s="1379"/>
      <c r="AK242" s="1379"/>
      <c r="AL242" s="1379"/>
      <c r="AM242" s="1379"/>
      <c r="AN242" s="1379"/>
      <c r="AO242" s="1379"/>
      <c r="AP242" s="1379"/>
      <c r="AQ242" s="1379"/>
      <c r="AR242" s="1379"/>
      <c r="AS242" s="1379"/>
      <c r="AT242" s="1379"/>
      <c r="AU242" s="1379"/>
      <c r="AV242" s="1379"/>
      <c r="AW242" s="1379"/>
      <c r="AX242" s="1379"/>
      <c r="AY242" s="1379"/>
      <c r="AZ242" s="1379"/>
    </row>
    <row r="243">
      <c r="A243" s="1391"/>
      <c r="B243" s="611" t="str">
        <f>IF(C243&lt;'PlayerGrades+'!$Y$44,"F-",IF(C243&lt;'PlayerGrades+'!$Y$43,"F",IF(C243&lt;'PlayerGrades+'!$Y$42,"F+",IF(C243&lt;'PlayerGrades+'!$Y$41,"E-",IF(C243&lt;'PlayerGrades+'!$Y$40,"E",IF(C243&lt;'PlayerGrades+'!$Y$39,"E+",IF(C243&lt;'PlayerGrades+'!$Y$38,"D-",IF(C243&lt;'PlayerGrades+'!$Y$37,"D",IF(C243&lt;'PlayerGrades+'!$Y$36,"D+",IF(C243&lt;'PlayerGrades+'!$Y$35,"C-",IF(C243&lt;'PlayerGrades+'!$Y$34,"C",IF(C243&lt;'PlayerGrades+'!$Y$33,"C+",IF(C243&lt;'PlayerGrades+'!$Y$32,"B-",IF(C243&lt;'PlayerGrades+'!$Y$31,"B",IF(C243&lt;'PlayerGrades+'!$Y$30,"B+",IF(C243&lt;'PlayerGrades+'!$Y$29,"A-",IF(C243&lt;'PlayerGrades+'!$Y$28,"A",IF(C243&lt;'PlayerGrades+'!$Y$27,"A+",IF(C243&lt;'PlayerGrades+'!$Y$26,"S-",IF(C243&lt;'PlayerGrades+'!$Y$25,"S","S+"))))))))))))))))))))</f>
        <v>#DIV/0!</v>
      </c>
      <c r="C243" s="1378" t="str">
        <f>('PlayerGrades+'!$Y$47*(VLOOKUP(E243, 'PlayerGrades+'!$X$3:$Y$23, 2, FALSE)))+('PlayerGrades+'!$Y$48*(VLOOKUP(G243, 'PlayerGrades+'!$X$3:$Y$23, 2, FALSE)))+('PlayerGrades+'!$Y$49*(VLOOKUP(I243, 'PlayerGrades+'!$X$3:$Y$23, 2, FALSE)))+('PlayerGrades+'!$Y$50*(VLOOKUP(K243, 'PlayerGrades+'!$X$3:$Y$23, 2, FALSE)))+('PlayerGrades+'!$Y$51*(VLOOKUP(M243, 'PlayerGrades+'!$X$3:$Y$23, 2, FALSE)))+('PlayerGrades+'!$Y$52*(VLOOKUP(O243, 'PlayerGrades+'!$X$3:$Y$23, 2, FALSE)))+('PlayerGrades+'!$Y$53*(VLOOKUP(Q243, 'PlayerGrades+'!$X$3:$Y$23, 2, FALSE)))+('PlayerGrades+'!$Y$54*(VLOOKUP(S243, 'PlayerGrades+'!$X$3:$Y$23, 2, FALSE)))+('PlayerGrades+'!$Y$55*(VLOOKUP(U243, 'PlayerGrades+'!$X$3:$Y$23, 2, FALSE)))</f>
        <v>#DIV/0!</v>
      </c>
      <c r="D243" s="961" t="str">
        <f t="shared" si="1"/>
        <v>#DIV/0!</v>
      </c>
      <c r="E243" s="961" t="str">
        <f>IF(D243&lt;'PlayerGrades+'!$AA$21,"F-",IF(D243&lt;'PlayerGrades+'!$AA$20,"F",IF(D243&lt;'PlayerGrades+'!$AA$19,"F+",IF(D243&lt;'PlayerGrades+'!$AA$18,"E-",IF(D243&lt;'PlayerGrades+'!$AA$17,"E",IF(D243&lt;'PlayerGrades+'!$AA$16,"E+",IF(D243&lt;'PlayerGrades+'!$AA$15,"D-",IF(D243&lt;'PlayerGrades+'!$AA$14,"D",IF(D243&lt;'PlayerGrades+'!$AA$13,"D+",IF(D243&lt;'PlayerGrades+'!$AA$12,"C-",IF(D243&lt;'PlayerGrades+'!$AA$11,"C",IF(D243&lt;'PlayerGrades+'!$AA$10,"C+",IF(D243&lt;'PlayerGrades+'!$AA$9,"B-",IF(D243&lt;'PlayerGrades+'!$AA$8,"B",IF(D243&lt;'PlayerGrades+'!$AA$7,"B+",IF(D243&lt;'PlayerGrades+'!$AA$6,"A-",IF(D243&lt;'PlayerGrades+'!$AA$5,"A",IF(D243&lt;'PlayerGrades+'!$AA$4,"A+",IF(D243&lt;'PlayerGrades+'!$AA$3,"S-",IF(D243&lt;'PlayerGrades+'!$AA$2,"S","S+"))))))))))))))))))))</f>
        <v>#DIV/0!</v>
      </c>
      <c r="F243" s="961" t="str">
        <f t="shared" si="2"/>
        <v>#DIV/0!</v>
      </c>
      <c r="G243" s="961" t="str">
        <f>IF(F243&lt;'PlayerGrades+'!$AB$21,"F-",IF(F243&lt;'PlayerGrades+'!$AB$20,"F",IF(F243&lt;'PlayerGrades+'!$AB$19,"F+",IF(F243&lt;'PlayerGrades+'!$AB$18,"E-",IF(F243&lt;'PlayerGrades+'!$AB$17,"E",IF(F243&lt;'PlayerGrades+'!$AB$16,"E+",IF(F243&lt;'PlayerGrades+'!$AB$15,"D-",IF(F243&lt;'PlayerGrades+'!$AB$14,"D",IF(F243&lt;'PlayerGrades+'!$AB$13,"D+",IF(F243&lt;'PlayerGrades+'!$AB$12,"C-",IF(F243&lt;'PlayerGrades+'!$AB$11,"C",IF(F243&lt;'PlayerGrades+'!$AB$10,"C+",IF(F243&lt;'PlayerGrades+'!$AB$9,"B-",IF(F243&lt;'PlayerGrades+'!$AB$8,"B",IF(F243&lt;'PlayerGrades+'!$AB$7,"B+",IF(F243&lt;'PlayerGrades+'!$AB$6,"A-",IF(F243&lt;'PlayerGrades+'!$AB$5,"A",IF(F243&lt;'PlayerGrades+'!$AB$4,"A+",IF(F243&lt;'PlayerGrades+'!$AB$3,"S-",IF(F243&lt;'PlayerGrades+'!$AB$2,"S","S+"))))))))))))))))))))</f>
        <v>#DIV/0!</v>
      </c>
      <c r="H243" s="961" t="str">
        <f t="shared" si="3"/>
        <v>#DIV/0!</v>
      </c>
      <c r="I243" s="961" t="str">
        <f>IF(H243&lt;'PlayerGrades+'!$AC$21,"F-",IF(H243&lt;'PlayerGrades+'!$AC$20,"F",IF(H243&lt;'PlayerGrades+'!$AC$19,"F+",IF(H243&lt;'PlayerGrades+'!$AC$18,"E-",IF(H243&lt;'PlayerGrades+'!$AC$17,"E",IF(H243&lt;'PlayerGrades+'!$AC$16,"E+",IF(H243&lt;'PlayerGrades+'!$AC$15,"D-",IF(H243&lt;'PlayerGrades+'!$AC$14,"D",IF(H243&lt;'PlayerGrades+'!$AC$13,"D+",IF(H243&lt;'PlayerGrades+'!$AC$12,"C-",IF(H243&lt;'PlayerGrades+'!$AC$11,"C",IF(H243&lt;'PlayerGrades+'!$AC$10,"C+",IF(H243&lt;'PlayerGrades+'!$AC$9,"B-",IF(H243&lt;'PlayerGrades+'!$AC$8,"B",IF(H243&lt;'PlayerGrades+'!$AC$7,"B+",IF(H243&lt;'PlayerGrades+'!$AC$6,"A-",IF(H243&lt;'PlayerGrades+'!$AC$5,"A",IF(H243&lt;'PlayerGrades+'!$AC$4,"A+",IF(H243&lt;'PlayerGrades+'!$AC$3,"S-",IF(H243&lt;'PlayerGrades+'!$AC$2,"S","S+"))))))))))))))))))))</f>
        <v>#DIV/0!</v>
      </c>
      <c r="J243" s="961" t="str">
        <f t="shared" si="4"/>
        <v>#DIV/0!</v>
      </c>
      <c r="K243" s="961" t="str">
        <f>IF(J243&lt;'PlayerGrades+'!$AD$21,"F-",IF(J243&lt;'PlayerGrades+'!$AD$20,"F",IF(J243&lt;'PlayerGrades+'!$AD$19,"F+",IF(J243&lt;'PlayerGrades+'!$AD$18,"E-",IF(J243&lt;'PlayerGrades+'!$AD$17,"E",IF(J243&lt;'PlayerGrades+'!$AD$16,"E+",IF(J243&lt;'PlayerGrades+'!$AD$15,"D-",IF(J243&lt;'PlayerGrades+'!$AD$14,"D",IF(J243&lt;'PlayerGrades+'!$AD$13,"D+",IF(J243&lt;'PlayerGrades+'!$AD$12,"C-",IF(J243&lt;'PlayerGrades+'!$AD$11,"C",IF(J243&lt;'PlayerGrades+'!$AD$10,"C+",IF(J243&lt;'PlayerGrades+'!$AD$9,"B-",IF(J243&lt;'PlayerGrades+'!$AD$8,"B",IF(J243&lt;'PlayerGrades+'!$AD$7,"B+",IF(J243&lt;'PlayerGrades+'!$AD$6,"A-",IF(J243&lt;'PlayerGrades+'!$AD$5,"A",IF(J243&lt;'PlayerGrades+'!$AD$4,"A+",IF(J243&lt;'PlayerGrades+'!$AD$3,"S-",IF(J243&lt;'PlayerGrades+'!$AD$2,"S","S+"))))))))))))))))))))</f>
        <v>#DIV/0!</v>
      </c>
      <c r="L243" s="1176" t="str">
        <f t="shared" si="5"/>
        <v>#DIV/0!</v>
      </c>
      <c r="M243" s="992" t="str">
        <f>IF(L243&lt;'PlayerGrades+'!$AE$21,"F-",IF(L243&lt;'PlayerGrades+'!$AE$20,"F",IF(L243&lt;'PlayerGrades+'!$AE$19,"F+",IF(L243&lt;'PlayerGrades+'!$AE$18,"E-",IF(L243&lt;'PlayerGrades+'!$AE$17,"E",IF(L243&lt;'PlayerGrades+'!$AE$16,"E+",IF(L243&lt;'PlayerGrades+'!$AE$15,"D-",IF(L243&lt;'PlayerGrades+'!$AE$14,"D",IF(L243&lt;'PlayerGrades+'!$AE$13,"D+",IF(L243&lt;'PlayerGrades+'!$AE$12,"C-",IF(L243&lt;'PlayerGrades+'!$AE$11,"C",IF(L243&lt;'PlayerGrades+'!$AE$10,"C+",IF(L243&lt;'PlayerGrades+'!$AE$9,"B-",IF(L243&lt;'PlayerGrades+'!$AE$8,"B",IF(L243&lt;'PlayerGrades+'!$AE$7,"B+",IF(L243&lt;'PlayerGrades+'!$AE$6,"A-",IF(L243&lt;'PlayerGrades+'!$AE$5,"A",IF(L243&lt;'PlayerGrades+'!$AE$4,"A+",IF(L243&lt;'PlayerGrades+'!$AE$3,"S-",IF(L243&lt;'PlayerGrades+'!$AE$2,"S","S+"))))))))))))))))))))</f>
        <v>#DIV/0!</v>
      </c>
      <c r="N243" s="961" t="str">
        <f t="shared" si="6"/>
        <v>#DIV/0!</v>
      </c>
      <c r="O243" s="961" t="str">
        <f>IF(N243&lt;'PlayerGrades+'!$AF$21,"F-",IF(N243&lt;'PlayerGrades+'!$AF$20,"F",IF(N243&lt;'PlayerGrades+'!$AF$19,"F+",IF(N243&lt;'PlayerGrades+'!$AF$18,"E-",IF(N243&lt;'PlayerGrades+'!$AF$17,"E",IF(N243&lt;'PlayerGrades+'!$AF$16,"E+",IF(N243&lt;'PlayerGrades+'!$AF$15,"D-",IF(N243&lt;'PlayerGrades+'!$AF$14,"D",IF(N243&lt;'PlayerGrades+'!$AF$13,"D+",IF(N243&lt;'PlayerGrades+'!$AF$12,"C-",IF(N243&lt;'PlayerGrades+'!$AF$11,"C",IF(N243&lt;'PlayerGrades+'!$AF$10,"C+",IF(N243&lt;'PlayerGrades+'!$AF$9,"B-",IF(N243&lt;'PlayerGrades+'!$AF$8,"B",IF(N243&lt;'PlayerGrades+'!$AF$7,"B+",IF(N243&lt;'PlayerGrades+'!$AF$6,"A-",IF(N243&lt;'PlayerGrades+'!$AF$5,"A",IF(N243&lt;'PlayerGrades+'!$AF$4,"A+",IF(N243&lt;'PlayerGrades+'!$AF$3,"S-",IF(N243&lt;'PlayerGrades+'!$AF$2,"S","S+"))))))))))))))))))))</f>
        <v>#DIV/0!</v>
      </c>
      <c r="P243" s="961" t="str">
        <f t="shared" si="7"/>
        <v>#DIV/0!</v>
      </c>
      <c r="Q243" s="961" t="str">
        <f>IF(P243&lt;'PlayerGrades+'!$AG$21,"F-",IF(P243&lt;'PlayerGrades+'!$AG$20,"F",IF(P243&lt;'PlayerGrades+'!$AG$19,"F+",IF(P243&lt;'PlayerGrades+'!$AG$18,"E-",IF(P243&lt;'PlayerGrades+'!$AG$17,"E",IF(P243&lt;'PlayerGrades+'!$AG$16,"E+",IF(P243&lt;'PlayerGrades+'!$AG$15,"D-",IF(P243&lt;'PlayerGrades+'!$AG$14,"D",IF(P243&lt;'PlayerGrades+'!$AG$13,"D+",IF(P243&lt;'PlayerGrades+'!$AG$12,"C-",IF(P243&lt;'PlayerGrades+'!$AG$11,"C",IF(P243&lt;'PlayerGrades+'!$AG$10,"C+",IF(P243&lt;'PlayerGrades+'!$AG$9,"B-",IF(P243&lt;'PlayerGrades+'!$AG$8,"B",IF(P243&lt;'PlayerGrades+'!$AG$7,"B+",IF(P243&lt;'PlayerGrades+'!$AG$6,"A-",IF(P243&lt;'PlayerGrades+'!$AG$5,"A",IF(P243&lt;'PlayerGrades+'!$AG$4,"A+",IF(P243&lt;'PlayerGrades+'!$AG$3,"S-",IF(P243&lt;'PlayerGrades+'!$AG$2,"S","S+"))))))))))))))))))))</f>
        <v>#DIV/0!</v>
      </c>
      <c r="R243" s="961" t="str">
        <f t="shared" si="8"/>
        <v>#DIV/0!</v>
      </c>
      <c r="S243" s="961" t="str">
        <f>IF(R243&lt;'PlayerGrades+'!$AH$21,"F-",IF(R243&lt;'PlayerGrades+'!$AH$20,"F",IF(R243&lt;'PlayerGrades+'!$AH$19,"F+",IF(R243&lt;'PlayerGrades+'!$AH$18,"E-",IF(R243&lt;'PlayerGrades+'!$AH$17,"E",IF(R243&lt;'PlayerGrades+'!$AH$16,"E+",IF(R243&lt;'PlayerGrades+'!$AH$15,"D-",IF(R243&lt;'PlayerGrades+'!$AH$14,"D",IF(R243&lt;'PlayerGrades+'!$AH$13,"D+",IF(R243&lt;'PlayerGrades+'!$AH$12,"C-",IF(R243&lt;'PlayerGrades+'!$AH$11,"C",IF(R243&lt;'PlayerGrades+'!$AH$10,"C+",IF(R243&lt;'PlayerGrades+'!$AH$9,"B-",IF(R243&lt;'PlayerGrades+'!$AH$8,"B",IF(R243&lt;'PlayerGrades+'!$AH$7,"B+",IF(R243&lt;'PlayerGrades+'!$AH$6,"A-",IF(R243&lt;'PlayerGrades+'!$AH$5,"A",IF(R243&lt;'PlayerGrades+'!$AH$4,"A+",IF(R243&lt;'PlayerGrades+'!$AH$3,"S-",IF(R243&lt;'PlayerGrades+'!$AH$2,"S","S+"))))))))))))))))))))</f>
        <v>#DIV/0!</v>
      </c>
      <c r="T243" s="961">
        <f t="shared" si="9"/>
        <v>0</v>
      </c>
      <c r="U243" s="961" t="str">
        <f>IF(T243&lt;'PlayerGrades+'!$AI$21,"F-",IF(T243&lt;'PlayerGrades+'!$AI$20,"F",IF(T243&lt;'PlayerGrades+'!$AI$19,"F+",IF(T243&lt;'PlayerGrades+'!$AI$18,"E-",IF(T243&lt;'PlayerGrades+'!$AI$17,"E",IF(T243&lt;'PlayerGrades+'!$AI$16,"E+",IF(T243&lt;'PlayerGrades+'!$AI$15,"D-",IF(T243&lt;'PlayerGrades+'!$AI$14,"D",IF(T243&lt;'PlayerGrades+'!$AI$13,"D+",IF(T243&lt;'PlayerGrades+'!$AI$12,"C-",IF(T243&lt;'PlayerGrades+'!$AI$11,"C",IF(T243&lt;'PlayerGrades+'!$AI$10,"C+",IF(T243&lt;'PlayerGrades+'!$AI$9,"B-",IF(T243&lt;'PlayerGrades+'!$AI$8,"B",IF(T243&lt;'PlayerGrades+'!$AI$7,"B+",IF(T243&lt;'PlayerGrades+'!$AI$6,"A-",IF(T243&lt;'PlayerGrades+'!$AI$5,"A",IF(T243&lt;'PlayerGrades+'!$AI$4,"A+",IF(T243&lt;'PlayerGrades+'!$AI$3,"S-",IF(T243&lt;'PlayerGrades+'!$AI$2,"S","S+"))))))))))))))))))))</f>
        <v>F-</v>
      </c>
      <c r="AC243" s="1392"/>
    </row>
    <row r="244">
      <c r="A244" s="1391"/>
      <c r="B244" s="611" t="str">
        <f>IF(C244&lt;'PlayerGrades+'!$Y$44,"F-",IF(C244&lt;'PlayerGrades+'!$Y$43,"F",IF(C244&lt;'PlayerGrades+'!$Y$42,"F+",IF(C244&lt;'PlayerGrades+'!$Y$41,"E-",IF(C244&lt;'PlayerGrades+'!$Y$40,"E",IF(C244&lt;'PlayerGrades+'!$Y$39,"E+",IF(C244&lt;'PlayerGrades+'!$Y$38,"D-",IF(C244&lt;'PlayerGrades+'!$Y$37,"D",IF(C244&lt;'PlayerGrades+'!$Y$36,"D+",IF(C244&lt;'PlayerGrades+'!$Y$35,"C-",IF(C244&lt;'PlayerGrades+'!$Y$34,"C",IF(C244&lt;'PlayerGrades+'!$Y$33,"C+",IF(C244&lt;'PlayerGrades+'!$Y$32,"B-",IF(C244&lt;'PlayerGrades+'!$Y$31,"B",IF(C244&lt;'PlayerGrades+'!$Y$30,"B+",IF(C244&lt;'PlayerGrades+'!$Y$29,"A-",IF(C244&lt;'PlayerGrades+'!$Y$28,"A",IF(C244&lt;'PlayerGrades+'!$Y$27,"A+",IF(C244&lt;'PlayerGrades+'!$Y$26,"S-",IF(C244&lt;'PlayerGrades+'!$Y$25,"S","S+"))))))))))))))))))))</f>
        <v>#DIV/0!</v>
      </c>
      <c r="C244" s="1378" t="str">
        <f>('PlayerGrades+'!$Y$47*(VLOOKUP(E244, 'PlayerGrades+'!$X$3:$Y$23, 2, FALSE)))+('PlayerGrades+'!$Y$48*(VLOOKUP(G244, 'PlayerGrades+'!$X$3:$Y$23, 2, FALSE)))+('PlayerGrades+'!$Y$49*(VLOOKUP(I244, 'PlayerGrades+'!$X$3:$Y$23, 2, FALSE)))+('PlayerGrades+'!$Y$50*(VLOOKUP(K244, 'PlayerGrades+'!$X$3:$Y$23, 2, FALSE)))+('PlayerGrades+'!$Y$51*(VLOOKUP(M244, 'PlayerGrades+'!$X$3:$Y$23, 2, FALSE)))+('PlayerGrades+'!$Y$52*(VLOOKUP(O244, 'PlayerGrades+'!$X$3:$Y$23, 2, FALSE)))+('PlayerGrades+'!$Y$53*(VLOOKUP(Q244, 'PlayerGrades+'!$X$3:$Y$23, 2, FALSE)))+('PlayerGrades+'!$Y$54*(VLOOKUP(S244, 'PlayerGrades+'!$X$3:$Y$23, 2, FALSE)))+('PlayerGrades+'!$Y$55*(VLOOKUP(U244, 'PlayerGrades+'!$X$3:$Y$23, 2, FALSE)))</f>
        <v>#DIV/0!</v>
      </c>
      <c r="D244" s="961" t="str">
        <f t="shared" si="1"/>
        <v>#DIV/0!</v>
      </c>
      <c r="E244" s="961" t="str">
        <f>IF(D244&lt;'PlayerGrades+'!$AA$21,"F-",IF(D244&lt;'PlayerGrades+'!$AA$20,"F",IF(D244&lt;'PlayerGrades+'!$AA$19,"F+",IF(D244&lt;'PlayerGrades+'!$AA$18,"E-",IF(D244&lt;'PlayerGrades+'!$AA$17,"E",IF(D244&lt;'PlayerGrades+'!$AA$16,"E+",IF(D244&lt;'PlayerGrades+'!$AA$15,"D-",IF(D244&lt;'PlayerGrades+'!$AA$14,"D",IF(D244&lt;'PlayerGrades+'!$AA$13,"D+",IF(D244&lt;'PlayerGrades+'!$AA$12,"C-",IF(D244&lt;'PlayerGrades+'!$AA$11,"C",IF(D244&lt;'PlayerGrades+'!$AA$10,"C+",IF(D244&lt;'PlayerGrades+'!$AA$9,"B-",IF(D244&lt;'PlayerGrades+'!$AA$8,"B",IF(D244&lt;'PlayerGrades+'!$AA$7,"B+",IF(D244&lt;'PlayerGrades+'!$AA$6,"A-",IF(D244&lt;'PlayerGrades+'!$AA$5,"A",IF(D244&lt;'PlayerGrades+'!$AA$4,"A+",IF(D244&lt;'PlayerGrades+'!$AA$3,"S-",IF(D244&lt;'PlayerGrades+'!$AA$2,"S","S+"))))))))))))))))))))</f>
        <v>#DIV/0!</v>
      </c>
      <c r="F244" s="961" t="str">
        <f t="shared" si="2"/>
        <v>#DIV/0!</v>
      </c>
      <c r="G244" s="961" t="str">
        <f>IF(F244&lt;'PlayerGrades+'!$AB$21,"F-",IF(F244&lt;'PlayerGrades+'!$AB$20,"F",IF(F244&lt;'PlayerGrades+'!$AB$19,"F+",IF(F244&lt;'PlayerGrades+'!$AB$18,"E-",IF(F244&lt;'PlayerGrades+'!$AB$17,"E",IF(F244&lt;'PlayerGrades+'!$AB$16,"E+",IF(F244&lt;'PlayerGrades+'!$AB$15,"D-",IF(F244&lt;'PlayerGrades+'!$AB$14,"D",IF(F244&lt;'PlayerGrades+'!$AB$13,"D+",IF(F244&lt;'PlayerGrades+'!$AB$12,"C-",IF(F244&lt;'PlayerGrades+'!$AB$11,"C",IF(F244&lt;'PlayerGrades+'!$AB$10,"C+",IF(F244&lt;'PlayerGrades+'!$AB$9,"B-",IF(F244&lt;'PlayerGrades+'!$AB$8,"B",IF(F244&lt;'PlayerGrades+'!$AB$7,"B+",IF(F244&lt;'PlayerGrades+'!$AB$6,"A-",IF(F244&lt;'PlayerGrades+'!$AB$5,"A",IF(F244&lt;'PlayerGrades+'!$AB$4,"A+",IF(F244&lt;'PlayerGrades+'!$AB$3,"S-",IF(F244&lt;'PlayerGrades+'!$AB$2,"S","S+"))))))))))))))))))))</f>
        <v>#DIV/0!</v>
      </c>
      <c r="H244" s="961" t="str">
        <f t="shared" si="3"/>
        <v>#DIV/0!</v>
      </c>
      <c r="I244" s="961" t="str">
        <f>IF(H244&lt;'PlayerGrades+'!$AC$21,"F-",IF(H244&lt;'PlayerGrades+'!$AC$20,"F",IF(H244&lt;'PlayerGrades+'!$AC$19,"F+",IF(H244&lt;'PlayerGrades+'!$AC$18,"E-",IF(H244&lt;'PlayerGrades+'!$AC$17,"E",IF(H244&lt;'PlayerGrades+'!$AC$16,"E+",IF(H244&lt;'PlayerGrades+'!$AC$15,"D-",IF(H244&lt;'PlayerGrades+'!$AC$14,"D",IF(H244&lt;'PlayerGrades+'!$AC$13,"D+",IF(H244&lt;'PlayerGrades+'!$AC$12,"C-",IF(H244&lt;'PlayerGrades+'!$AC$11,"C",IF(H244&lt;'PlayerGrades+'!$AC$10,"C+",IF(H244&lt;'PlayerGrades+'!$AC$9,"B-",IF(H244&lt;'PlayerGrades+'!$AC$8,"B",IF(H244&lt;'PlayerGrades+'!$AC$7,"B+",IF(H244&lt;'PlayerGrades+'!$AC$6,"A-",IF(H244&lt;'PlayerGrades+'!$AC$5,"A",IF(H244&lt;'PlayerGrades+'!$AC$4,"A+",IF(H244&lt;'PlayerGrades+'!$AC$3,"S-",IF(H244&lt;'PlayerGrades+'!$AC$2,"S","S+"))))))))))))))))))))</f>
        <v>#DIV/0!</v>
      </c>
      <c r="J244" s="961" t="str">
        <f t="shared" si="4"/>
        <v>#DIV/0!</v>
      </c>
      <c r="K244" s="961" t="str">
        <f>IF(J244&lt;'PlayerGrades+'!$AD$21,"F-",IF(J244&lt;'PlayerGrades+'!$AD$20,"F",IF(J244&lt;'PlayerGrades+'!$AD$19,"F+",IF(J244&lt;'PlayerGrades+'!$AD$18,"E-",IF(J244&lt;'PlayerGrades+'!$AD$17,"E",IF(J244&lt;'PlayerGrades+'!$AD$16,"E+",IF(J244&lt;'PlayerGrades+'!$AD$15,"D-",IF(J244&lt;'PlayerGrades+'!$AD$14,"D",IF(J244&lt;'PlayerGrades+'!$AD$13,"D+",IF(J244&lt;'PlayerGrades+'!$AD$12,"C-",IF(J244&lt;'PlayerGrades+'!$AD$11,"C",IF(J244&lt;'PlayerGrades+'!$AD$10,"C+",IF(J244&lt;'PlayerGrades+'!$AD$9,"B-",IF(J244&lt;'PlayerGrades+'!$AD$8,"B",IF(J244&lt;'PlayerGrades+'!$AD$7,"B+",IF(J244&lt;'PlayerGrades+'!$AD$6,"A-",IF(J244&lt;'PlayerGrades+'!$AD$5,"A",IF(J244&lt;'PlayerGrades+'!$AD$4,"A+",IF(J244&lt;'PlayerGrades+'!$AD$3,"S-",IF(J244&lt;'PlayerGrades+'!$AD$2,"S","S+"))))))))))))))))))))</f>
        <v>#DIV/0!</v>
      </c>
      <c r="L244" s="1176" t="str">
        <f t="shared" si="5"/>
        <v>#DIV/0!</v>
      </c>
      <c r="M244" s="992" t="str">
        <f>IF(L244&lt;'PlayerGrades+'!$AE$21,"F-",IF(L244&lt;'PlayerGrades+'!$AE$20,"F",IF(L244&lt;'PlayerGrades+'!$AE$19,"F+",IF(L244&lt;'PlayerGrades+'!$AE$18,"E-",IF(L244&lt;'PlayerGrades+'!$AE$17,"E",IF(L244&lt;'PlayerGrades+'!$AE$16,"E+",IF(L244&lt;'PlayerGrades+'!$AE$15,"D-",IF(L244&lt;'PlayerGrades+'!$AE$14,"D",IF(L244&lt;'PlayerGrades+'!$AE$13,"D+",IF(L244&lt;'PlayerGrades+'!$AE$12,"C-",IF(L244&lt;'PlayerGrades+'!$AE$11,"C",IF(L244&lt;'PlayerGrades+'!$AE$10,"C+",IF(L244&lt;'PlayerGrades+'!$AE$9,"B-",IF(L244&lt;'PlayerGrades+'!$AE$8,"B",IF(L244&lt;'PlayerGrades+'!$AE$7,"B+",IF(L244&lt;'PlayerGrades+'!$AE$6,"A-",IF(L244&lt;'PlayerGrades+'!$AE$5,"A",IF(L244&lt;'PlayerGrades+'!$AE$4,"A+",IF(L244&lt;'PlayerGrades+'!$AE$3,"S-",IF(L244&lt;'PlayerGrades+'!$AE$2,"S","S+"))))))))))))))))))))</f>
        <v>#DIV/0!</v>
      </c>
      <c r="N244" s="961" t="str">
        <f t="shared" si="6"/>
        <v>#DIV/0!</v>
      </c>
      <c r="O244" s="961" t="str">
        <f>IF(N244&lt;'PlayerGrades+'!$AF$21,"F-",IF(N244&lt;'PlayerGrades+'!$AF$20,"F",IF(N244&lt;'PlayerGrades+'!$AF$19,"F+",IF(N244&lt;'PlayerGrades+'!$AF$18,"E-",IF(N244&lt;'PlayerGrades+'!$AF$17,"E",IF(N244&lt;'PlayerGrades+'!$AF$16,"E+",IF(N244&lt;'PlayerGrades+'!$AF$15,"D-",IF(N244&lt;'PlayerGrades+'!$AF$14,"D",IF(N244&lt;'PlayerGrades+'!$AF$13,"D+",IF(N244&lt;'PlayerGrades+'!$AF$12,"C-",IF(N244&lt;'PlayerGrades+'!$AF$11,"C",IF(N244&lt;'PlayerGrades+'!$AF$10,"C+",IF(N244&lt;'PlayerGrades+'!$AF$9,"B-",IF(N244&lt;'PlayerGrades+'!$AF$8,"B",IF(N244&lt;'PlayerGrades+'!$AF$7,"B+",IF(N244&lt;'PlayerGrades+'!$AF$6,"A-",IF(N244&lt;'PlayerGrades+'!$AF$5,"A",IF(N244&lt;'PlayerGrades+'!$AF$4,"A+",IF(N244&lt;'PlayerGrades+'!$AF$3,"S-",IF(N244&lt;'PlayerGrades+'!$AF$2,"S","S+"))))))))))))))))))))</f>
        <v>#DIV/0!</v>
      </c>
      <c r="P244" s="961" t="str">
        <f t="shared" si="7"/>
        <v>#DIV/0!</v>
      </c>
      <c r="Q244" s="961" t="str">
        <f>IF(P244&lt;'PlayerGrades+'!$AG$21,"F-",IF(P244&lt;'PlayerGrades+'!$AG$20,"F",IF(P244&lt;'PlayerGrades+'!$AG$19,"F+",IF(P244&lt;'PlayerGrades+'!$AG$18,"E-",IF(P244&lt;'PlayerGrades+'!$AG$17,"E",IF(P244&lt;'PlayerGrades+'!$AG$16,"E+",IF(P244&lt;'PlayerGrades+'!$AG$15,"D-",IF(P244&lt;'PlayerGrades+'!$AG$14,"D",IF(P244&lt;'PlayerGrades+'!$AG$13,"D+",IF(P244&lt;'PlayerGrades+'!$AG$12,"C-",IF(P244&lt;'PlayerGrades+'!$AG$11,"C",IF(P244&lt;'PlayerGrades+'!$AG$10,"C+",IF(P244&lt;'PlayerGrades+'!$AG$9,"B-",IF(P244&lt;'PlayerGrades+'!$AG$8,"B",IF(P244&lt;'PlayerGrades+'!$AG$7,"B+",IF(P244&lt;'PlayerGrades+'!$AG$6,"A-",IF(P244&lt;'PlayerGrades+'!$AG$5,"A",IF(P244&lt;'PlayerGrades+'!$AG$4,"A+",IF(P244&lt;'PlayerGrades+'!$AG$3,"S-",IF(P244&lt;'PlayerGrades+'!$AG$2,"S","S+"))))))))))))))))))))</f>
        <v>#DIV/0!</v>
      </c>
      <c r="R244" s="961" t="str">
        <f t="shared" si="8"/>
        <v>#DIV/0!</v>
      </c>
      <c r="S244" s="961" t="str">
        <f>IF(R244&lt;'PlayerGrades+'!$AH$21,"F-",IF(R244&lt;'PlayerGrades+'!$AH$20,"F",IF(R244&lt;'PlayerGrades+'!$AH$19,"F+",IF(R244&lt;'PlayerGrades+'!$AH$18,"E-",IF(R244&lt;'PlayerGrades+'!$AH$17,"E",IF(R244&lt;'PlayerGrades+'!$AH$16,"E+",IF(R244&lt;'PlayerGrades+'!$AH$15,"D-",IF(R244&lt;'PlayerGrades+'!$AH$14,"D",IF(R244&lt;'PlayerGrades+'!$AH$13,"D+",IF(R244&lt;'PlayerGrades+'!$AH$12,"C-",IF(R244&lt;'PlayerGrades+'!$AH$11,"C",IF(R244&lt;'PlayerGrades+'!$AH$10,"C+",IF(R244&lt;'PlayerGrades+'!$AH$9,"B-",IF(R244&lt;'PlayerGrades+'!$AH$8,"B",IF(R244&lt;'PlayerGrades+'!$AH$7,"B+",IF(R244&lt;'PlayerGrades+'!$AH$6,"A-",IF(R244&lt;'PlayerGrades+'!$AH$5,"A",IF(R244&lt;'PlayerGrades+'!$AH$4,"A+",IF(R244&lt;'PlayerGrades+'!$AH$3,"S-",IF(R244&lt;'PlayerGrades+'!$AH$2,"S","S+"))))))))))))))))))))</f>
        <v>#DIV/0!</v>
      </c>
      <c r="T244" s="961">
        <f t="shared" si="9"/>
        <v>0</v>
      </c>
      <c r="U244" s="961" t="str">
        <f>IF(T244&lt;'PlayerGrades+'!$AI$21,"F-",IF(T244&lt;'PlayerGrades+'!$AI$20,"F",IF(T244&lt;'PlayerGrades+'!$AI$19,"F+",IF(T244&lt;'PlayerGrades+'!$AI$18,"E-",IF(T244&lt;'PlayerGrades+'!$AI$17,"E",IF(T244&lt;'PlayerGrades+'!$AI$16,"E+",IF(T244&lt;'PlayerGrades+'!$AI$15,"D-",IF(T244&lt;'PlayerGrades+'!$AI$14,"D",IF(T244&lt;'PlayerGrades+'!$AI$13,"D+",IF(T244&lt;'PlayerGrades+'!$AI$12,"C-",IF(T244&lt;'PlayerGrades+'!$AI$11,"C",IF(T244&lt;'PlayerGrades+'!$AI$10,"C+",IF(T244&lt;'PlayerGrades+'!$AI$9,"B-",IF(T244&lt;'PlayerGrades+'!$AI$8,"B",IF(T244&lt;'PlayerGrades+'!$AI$7,"B+",IF(T244&lt;'PlayerGrades+'!$AI$6,"A-",IF(T244&lt;'PlayerGrades+'!$AI$5,"A",IF(T244&lt;'PlayerGrades+'!$AI$4,"A+",IF(T244&lt;'PlayerGrades+'!$AI$3,"S-",IF(T244&lt;'PlayerGrades+'!$AI$2,"S","S+"))))))))))))))))))))</f>
        <v>F-</v>
      </c>
      <c r="AC244" s="1392"/>
    </row>
    <row r="245">
      <c r="A245" s="1391"/>
      <c r="B245" s="611" t="str">
        <f>IF(C245&lt;'PlayerGrades+'!$Y$44,"F-",IF(C245&lt;'PlayerGrades+'!$Y$43,"F",IF(C245&lt;'PlayerGrades+'!$Y$42,"F+",IF(C245&lt;'PlayerGrades+'!$Y$41,"E-",IF(C245&lt;'PlayerGrades+'!$Y$40,"E",IF(C245&lt;'PlayerGrades+'!$Y$39,"E+",IF(C245&lt;'PlayerGrades+'!$Y$38,"D-",IF(C245&lt;'PlayerGrades+'!$Y$37,"D",IF(C245&lt;'PlayerGrades+'!$Y$36,"D+",IF(C245&lt;'PlayerGrades+'!$Y$35,"C-",IF(C245&lt;'PlayerGrades+'!$Y$34,"C",IF(C245&lt;'PlayerGrades+'!$Y$33,"C+",IF(C245&lt;'PlayerGrades+'!$Y$32,"B-",IF(C245&lt;'PlayerGrades+'!$Y$31,"B",IF(C245&lt;'PlayerGrades+'!$Y$30,"B+",IF(C245&lt;'PlayerGrades+'!$Y$29,"A-",IF(C245&lt;'PlayerGrades+'!$Y$28,"A",IF(C245&lt;'PlayerGrades+'!$Y$27,"A+",IF(C245&lt;'PlayerGrades+'!$Y$26,"S-",IF(C245&lt;'PlayerGrades+'!$Y$25,"S","S+"))))))))))))))))))))</f>
        <v>#DIV/0!</v>
      </c>
      <c r="C245" s="1378" t="str">
        <f>('PlayerGrades+'!$Y$47*(VLOOKUP(E245, 'PlayerGrades+'!$X$3:$Y$23, 2, FALSE)))+('PlayerGrades+'!$Y$48*(VLOOKUP(G245, 'PlayerGrades+'!$X$3:$Y$23, 2, FALSE)))+('PlayerGrades+'!$Y$49*(VLOOKUP(I245, 'PlayerGrades+'!$X$3:$Y$23, 2, FALSE)))+('PlayerGrades+'!$Y$50*(VLOOKUP(K245, 'PlayerGrades+'!$X$3:$Y$23, 2, FALSE)))+('PlayerGrades+'!$Y$51*(VLOOKUP(M245, 'PlayerGrades+'!$X$3:$Y$23, 2, FALSE)))+('PlayerGrades+'!$Y$52*(VLOOKUP(O245, 'PlayerGrades+'!$X$3:$Y$23, 2, FALSE)))+('PlayerGrades+'!$Y$53*(VLOOKUP(Q245, 'PlayerGrades+'!$X$3:$Y$23, 2, FALSE)))+('PlayerGrades+'!$Y$54*(VLOOKUP(S245, 'PlayerGrades+'!$X$3:$Y$23, 2, FALSE)))+('PlayerGrades+'!$Y$55*(VLOOKUP(U245, 'PlayerGrades+'!$X$3:$Y$23, 2, FALSE)))</f>
        <v>#DIV/0!</v>
      </c>
      <c r="D245" s="961" t="str">
        <f t="shared" si="1"/>
        <v>#DIV/0!</v>
      </c>
      <c r="E245" s="961" t="str">
        <f>IF(D245&lt;'PlayerGrades+'!$AA$21,"F-",IF(D245&lt;'PlayerGrades+'!$AA$20,"F",IF(D245&lt;'PlayerGrades+'!$AA$19,"F+",IF(D245&lt;'PlayerGrades+'!$AA$18,"E-",IF(D245&lt;'PlayerGrades+'!$AA$17,"E",IF(D245&lt;'PlayerGrades+'!$AA$16,"E+",IF(D245&lt;'PlayerGrades+'!$AA$15,"D-",IF(D245&lt;'PlayerGrades+'!$AA$14,"D",IF(D245&lt;'PlayerGrades+'!$AA$13,"D+",IF(D245&lt;'PlayerGrades+'!$AA$12,"C-",IF(D245&lt;'PlayerGrades+'!$AA$11,"C",IF(D245&lt;'PlayerGrades+'!$AA$10,"C+",IF(D245&lt;'PlayerGrades+'!$AA$9,"B-",IF(D245&lt;'PlayerGrades+'!$AA$8,"B",IF(D245&lt;'PlayerGrades+'!$AA$7,"B+",IF(D245&lt;'PlayerGrades+'!$AA$6,"A-",IF(D245&lt;'PlayerGrades+'!$AA$5,"A",IF(D245&lt;'PlayerGrades+'!$AA$4,"A+",IF(D245&lt;'PlayerGrades+'!$AA$3,"S-",IF(D245&lt;'PlayerGrades+'!$AA$2,"S","S+"))))))))))))))))))))</f>
        <v>#DIV/0!</v>
      </c>
      <c r="F245" s="961" t="str">
        <f t="shared" si="2"/>
        <v>#DIV/0!</v>
      </c>
      <c r="G245" s="961" t="str">
        <f>IF(F245&lt;'PlayerGrades+'!$AB$21,"F-",IF(F245&lt;'PlayerGrades+'!$AB$20,"F",IF(F245&lt;'PlayerGrades+'!$AB$19,"F+",IF(F245&lt;'PlayerGrades+'!$AB$18,"E-",IF(F245&lt;'PlayerGrades+'!$AB$17,"E",IF(F245&lt;'PlayerGrades+'!$AB$16,"E+",IF(F245&lt;'PlayerGrades+'!$AB$15,"D-",IF(F245&lt;'PlayerGrades+'!$AB$14,"D",IF(F245&lt;'PlayerGrades+'!$AB$13,"D+",IF(F245&lt;'PlayerGrades+'!$AB$12,"C-",IF(F245&lt;'PlayerGrades+'!$AB$11,"C",IF(F245&lt;'PlayerGrades+'!$AB$10,"C+",IF(F245&lt;'PlayerGrades+'!$AB$9,"B-",IF(F245&lt;'PlayerGrades+'!$AB$8,"B",IF(F245&lt;'PlayerGrades+'!$AB$7,"B+",IF(F245&lt;'PlayerGrades+'!$AB$6,"A-",IF(F245&lt;'PlayerGrades+'!$AB$5,"A",IF(F245&lt;'PlayerGrades+'!$AB$4,"A+",IF(F245&lt;'PlayerGrades+'!$AB$3,"S-",IF(F245&lt;'PlayerGrades+'!$AB$2,"S","S+"))))))))))))))))))))</f>
        <v>#DIV/0!</v>
      </c>
      <c r="H245" s="961" t="str">
        <f t="shared" si="3"/>
        <v>#DIV/0!</v>
      </c>
      <c r="I245" s="961" t="str">
        <f>IF(H245&lt;'PlayerGrades+'!$AC$21,"F-",IF(H245&lt;'PlayerGrades+'!$AC$20,"F",IF(H245&lt;'PlayerGrades+'!$AC$19,"F+",IF(H245&lt;'PlayerGrades+'!$AC$18,"E-",IF(H245&lt;'PlayerGrades+'!$AC$17,"E",IF(H245&lt;'PlayerGrades+'!$AC$16,"E+",IF(H245&lt;'PlayerGrades+'!$AC$15,"D-",IF(H245&lt;'PlayerGrades+'!$AC$14,"D",IF(H245&lt;'PlayerGrades+'!$AC$13,"D+",IF(H245&lt;'PlayerGrades+'!$AC$12,"C-",IF(H245&lt;'PlayerGrades+'!$AC$11,"C",IF(H245&lt;'PlayerGrades+'!$AC$10,"C+",IF(H245&lt;'PlayerGrades+'!$AC$9,"B-",IF(H245&lt;'PlayerGrades+'!$AC$8,"B",IF(H245&lt;'PlayerGrades+'!$AC$7,"B+",IF(H245&lt;'PlayerGrades+'!$AC$6,"A-",IF(H245&lt;'PlayerGrades+'!$AC$5,"A",IF(H245&lt;'PlayerGrades+'!$AC$4,"A+",IF(H245&lt;'PlayerGrades+'!$AC$3,"S-",IF(H245&lt;'PlayerGrades+'!$AC$2,"S","S+"))))))))))))))))))))</f>
        <v>#DIV/0!</v>
      </c>
      <c r="J245" s="961" t="str">
        <f t="shared" si="4"/>
        <v>#DIV/0!</v>
      </c>
      <c r="K245" s="961" t="str">
        <f>IF(J245&lt;'PlayerGrades+'!$AD$21,"F-",IF(J245&lt;'PlayerGrades+'!$AD$20,"F",IF(J245&lt;'PlayerGrades+'!$AD$19,"F+",IF(J245&lt;'PlayerGrades+'!$AD$18,"E-",IF(J245&lt;'PlayerGrades+'!$AD$17,"E",IF(J245&lt;'PlayerGrades+'!$AD$16,"E+",IF(J245&lt;'PlayerGrades+'!$AD$15,"D-",IF(J245&lt;'PlayerGrades+'!$AD$14,"D",IF(J245&lt;'PlayerGrades+'!$AD$13,"D+",IF(J245&lt;'PlayerGrades+'!$AD$12,"C-",IF(J245&lt;'PlayerGrades+'!$AD$11,"C",IF(J245&lt;'PlayerGrades+'!$AD$10,"C+",IF(J245&lt;'PlayerGrades+'!$AD$9,"B-",IF(J245&lt;'PlayerGrades+'!$AD$8,"B",IF(J245&lt;'PlayerGrades+'!$AD$7,"B+",IF(J245&lt;'PlayerGrades+'!$AD$6,"A-",IF(J245&lt;'PlayerGrades+'!$AD$5,"A",IF(J245&lt;'PlayerGrades+'!$AD$4,"A+",IF(J245&lt;'PlayerGrades+'!$AD$3,"S-",IF(J245&lt;'PlayerGrades+'!$AD$2,"S","S+"))))))))))))))))))))</f>
        <v>#DIV/0!</v>
      </c>
      <c r="L245" s="1176" t="str">
        <f t="shared" si="5"/>
        <v>#DIV/0!</v>
      </c>
      <c r="M245" s="992" t="str">
        <f>IF(L245&lt;'PlayerGrades+'!$AE$21,"F-",IF(L245&lt;'PlayerGrades+'!$AE$20,"F",IF(L245&lt;'PlayerGrades+'!$AE$19,"F+",IF(L245&lt;'PlayerGrades+'!$AE$18,"E-",IF(L245&lt;'PlayerGrades+'!$AE$17,"E",IF(L245&lt;'PlayerGrades+'!$AE$16,"E+",IF(L245&lt;'PlayerGrades+'!$AE$15,"D-",IF(L245&lt;'PlayerGrades+'!$AE$14,"D",IF(L245&lt;'PlayerGrades+'!$AE$13,"D+",IF(L245&lt;'PlayerGrades+'!$AE$12,"C-",IF(L245&lt;'PlayerGrades+'!$AE$11,"C",IF(L245&lt;'PlayerGrades+'!$AE$10,"C+",IF(L245&lt;'PlayerGrades+'!$AE$9,"B-",IF(L245&lt;'PlayerGrades+'!$AE$8,"B",IF(L245&lt;'PlayerGrades+'!$AE$7,"B+",IF(L245&lt;'PlayerGrades+'!$AE$6,"A-",IF(L245&lt;'PlayerGrades+'!$AE$5,"A",IF(L245&lt;'PlayerGrades+'!$AE$4,"A+",IF(L245&lt;'PlayerGrades+'!$AE$3,"S-",IF(L245&lt;'PlayerGrades+'!$AE$2,"S","S+"))))))))))))))))))))</f>
        <v>#DIV/0!</v>
      </c>
      <c r="N245" s="961" t="str">
        <f t="shared" si="6"/>
        <v>#DIV/0!</v>
      </c>
      <c r="O245" s="961" t="str">
        <f>IF(N245&lt;'PlayerGrades+'!$AF$21,"F-",IF(N245&lt;'PlayerGrades+'!$AF$20,"F",IF(N245&lt;'PlayerGrades+'!$AF$19,"F+",IF(N245&lt;'PlayerGrades+'!$AF$18,"E-",IF(N245&lt;'PlayerGrades+'!$AF$17,"E",IF(N245&lt;'PlayerGrades+'!$AF$16,"E+",IF(N245&lt;'PlayerGrades+'!$AF$15,"D-",IF(N245&lt;'PlayerGrades+'!$AF$14,"D",IF(N245&lt;'PlayerGrades+'!$AF$13,"D+",IF(N245&lt;'PlayerGrades+'!$AF$12,"C-",IF(N245&lt;'PlayerGrades+'!$AF$11,"C",IF(N245&lt;'PlayerGrades+'!$AF$10,"C+",IF(N245&lt;'PlayerGrades+'!$AF$9,"B-",IF(N245&lt;'PlayerGrades+'!$AF$8,"B",IF(N245&lt;'PlayerGrades+'!$AF$7,"B+",IF(N245&lt;'PlayerGrades+'!$AF$6,"A-",IF(N245&lt;'PlayerGrades+'!$AF$5,"A",IF(N245&lt;'PlayerGrades+'!$AF$4,"A+",IF(N245&lt;'PlayerGrades+'!$AF$3,"S-",IF(N245&lt;'PlayerGrades+'!$AF$2,"S","S+"))))))))))))))))))))</f>
        <v>#DIV/0!</v>
      </c>
      <c r="P245" s="961" t="str">
        <f t="shared" si="7"/>
        <v>#DIV/0!</v>
      </c>
      <c r="Q245" s="961" t="str">
        <f>IF(P245&lt;'PlayerGrades+'!$AG$21,"F-",IF(P245&lt;'PlayerGrades+'!$AG$20,"F",IF(P245&lt;'PlayerGrades+'!$AG$19,"F+",IF(P245&lt;'PlayerGrades+'!$AG$18,"E-",IF(P245&lt;'PlayerGrades+'!$AG$17,"E",IF(P245&lt;'PlayerGrades+'!$AG$16,"E+",IF(P245&lt;'PlayerGrades+'!$AG$15,"D-",IF(P245&lt;'PlayerGrades+'!$AG$14,"D",IF(P245&lt;'PlayerGrades+'!$AG$13,"D+",IF(P245&lt;'PlayerGrades+'!$AG$12,"C-",IF(P245&lt;'PlayerGrades+'!$AG$11,"C",IF(P245&lt;'PlayerGrades+'!$AG$10,"C+",IF(P245&lt;'PlayerGrades+'!$AG$9,"B-",IF(P245&lt;'PlayerGrades+'!$AG$8,"B",IF(P245&lt;'PlayerGrades+'!$AG$7,"B+",IF(P245&lt;'PlayerGrades+'!$AG$6,"A-",IF(P245&lt;'PlayerGrades+'!$AG$5,"A",IF(P245&lt;'PlayerGrades+'!$AG$4,"A+",IF(P245&lt;'PlayerGrades+'!$AG$3,"S-",IF(P245&lt;'PlayerGrades+'!$AG$2,"S","S+"))))))))))))))))))))</f>
        <v>#DIV/0!</v>
      </c>
      <c r="R245" s="961" t="str">
        <f t="shared" si="8"/>
        <v>#DIV/0!</v>
      </c>
      <c r="S245" s="961" t="str">
        <f>IF(R245&lt;'PlayerGrades+'!$AH$21,"F-",IF(R245&lt;'PlayerGrades+'!$AH$20,"F",IF(R245&lt;'PlayerGrades+'!$AH$19,"F+",IF(R245&lt;'PlayerGrades+'!$AH$18,"E-",IF(R245&lt;'PlayerGrades+'!$AH$17,"E",IF(R245&lt;'PlayerGrades+'!$AH$16,"E+",IF(R245&lt;'PlayerGrades+'!$AH$15,"D-",IF(R245&lt;'PlayerGrades+'!$AH$14,"D",IF(R245&lt;'PlayerGrades+'!$AH$13,"D+",IF(R245&lt;'PlayerGrades+'!$AH$12,"C-",IF(R245&lt;'PlayerGrades+'!$AH$11,"C",IF(R245&lt;'PlayerGrades+'!$AH$10,"C+",IF(R245&lt;'PlayerGrades+'!$AH$9,"B-",IF(R245&lt;'PlayerGrades+'!$AH$8,"B",IF(R245&lt;'PlayerGrades+'!$AH$7,"B+",IF(R245&lt;'PlayerGrades+'!$AH$6,"A-",IF(R245&lt;'PlayerGrades+'!$AH$5,"A",IF(R245&lt;'PlayerGrades+'!$AH$4,"A+",IF(R245&lt;'PlayerGrades+'!$AH$3,"S-",IF(R245&lt;'PlayerGrades+'!$AH$2,"S","S+"))))))))))))))))))))</f>
        <v>#DIV/0!</v>
      </c>
      <c r="T245" s="961">
        <f t="shared" si="9"/>
        <v>0</v>
      </c>
      <c r="U245" s="961" t="str">
        <f>IF(T245&lt;'PlayerGrades+'!$AI$21,"F-",IF(T245&lt;'PlayerGrades+'!$AI$20,"F",IF(T245&lt;'PlayerGrades+'!$AI$19,"F+",IF(T245&lt;'PlayerGrades+'!$AI$18,"E-",IF(T245&lt;'PlayerGrades+'!$AI$17,"E",IF(T245&lt;'PlayerGrades+'!$AI$16,"E+",IF(T245&lt;'PlayerGrades+'!$AI$15,"D-",IF(T245&lt;'PlayerGrades+'!$AI$14,"D",IF(T245&lt;'PlayerGrades+'!$AI$13,"D+",IF(T245&lt;'PlayerGrades+'!$AI$12,"C-",IF(T245&lt;'PlayerGrades+'!$AI$11,"C",IF(T245&lt;'PlayerGrades+'!$AI$10,"C+",IF(T245&lt;'PlayerGrades+'!$AI$9,"B-",IF(T245&lt;'PlayerGrades+'!$AI$8,"B",IF(T245&lt;'PlayerGrades+'!$AI$7,"B+",IF(T245&lt;'PlayerGrades+'!$AI$6,"A-",IF(T245&lt;'PlayerGrades+'!$AI$5,"A",IF(T245&lt;'PlayerGrades+'!$AI$4,"A+",IF(T245&lt;'PlayerGrades+'!$AI$3,"S-",IF(T245&lt;'PlayerGrades+'!$AI$2,"S","S+"))))))))))))))))))))</f>
        <v>F-</v>
      </c>
      <c r="AC245" s="1392"/>
    </row>
    <row r="246">
      <c r="A246" s="1391"/>
      <c r="B246" s="611" t="str">
        <f>IF(C246&lt;'PlayerGrades+'!$Y$44,"F-",IF(C246&lt;'PlayerGrades+'!$Y$43,"F",IF(C246&lt;'PlayerGrades+'!$Y$42,"F+",IF(C246&lt;'PlayerGrades+'!$Y$41,"E-",IF(C246&lt;'PlayerGrades+'!$Y$40,"E",IF(C246&lt;'PlayerGrades+'!$Y$39,"E+",IF(C246&lt;'PlayerGrades+'!$Y$38,"D-",IF(C246&lt;'PlayerGrades+'!$Y$37,"D",IF(C246&lt;'PlayerGrades+'!$Y$36,"D+",IF(C246&lt;'PlayerGrades+'!$Y$35,"C-",IF(C246&lt;'PlayerGrades+'!$Y$34,"C",IF(C246&lt;'PlayerGrades+'!$Y$33,"C+",IF(C246&lt;'PlayerGrades+'!$Y$32,"B-",IF(C246&lt;'PlayerGrades+'!$Y$31,"B",IF(C246&lt;'PlayerGrades+'!$Y$30,"B+",IF(C246&lt;'PlayerGrades+'!$Y$29,"A-",IF(C246&lt;'PlayerGrades+'!$Y$28,"A",IF(C246&lt;'PlayerGrades+'!$Y$27,"A+",IF(C246&lt;'PlayerGrades+'!$Y$26,"S-",IF(C246&lt;'PlayerGrades+'!$Y$25,"S","S+"))))))))))))))))))))</f>
        <v>#DIV/0!</v>
      </c>
      <c r="C246" s="1378" t="str">
        <f>('PlayerGrades+'!$Y$47*(VLOOKUP(E246, 'PlayerGrades+'!$X$3:$Y$23, 2, FALSE)))+('PlayerGrades+'!$Y$48*(VLOOKUP(G246, 'PlayerGrades+'!$X$3:$Y$23, 2, FALSE)))+('PlayerGrades+'!$Y$49*(VLOOKUP(I246, 'PlayerGrades+'!$X$3:$Y$23, 2, FALSE)))+('PlayerGrades+'!$Y$50*(VLOOKUP(K246, 'PlayerGrades+'!$X$3:$Y$23, 2, FALSE)))+('PlayerGrades+'!$Y$51*(VLOOKUP(M246, 'PlayerGrades+'!$X$3:$Y$23, 2, FALSE)))+('PlayerGrades+'!$Y$52*(VLOOKUP(O246, 'PlayerGrades+'!$X$3:$Y$23, 2, FALSE)))+('PlayerGrades+'!$Y$53*(VLOOKUP(Q246, 'PlayerGrades+'!$X$3:$Y$23, 2, FALSE)))+('PlayerGrades+'!$Y$54*(VLOOKUP(S246, 'PlayerGrades+'!$X$3:$Y$23, 2, FALSE)))+('PlayerGrades+'!$Y$55*(VLOOKUP(U246, 'PlayerGrades+'!$X$3:$Y$23, 2, FALSE)))</f>
        <v>#DIV/0!</v>
      </c>
      <c r="D246" s="961" t="str">
        <f t="shared" si="1"/>
        <v>#DIV/0!</v>
      </c>
      <c r="E246" s="961" t="str">
        <f>IF(D246&lt;'PlayerGrades+'!$AA$21,"F-",IF(D246&lt;'PlayerGrades+'!$AA$20,"F",IF(D246&lt;'PlayerGrades+'!$AA$19,"F+",IF(D246&lt;'PlayerGrades+'!$AA$18,"E-",IF(D246&lt;'PlayerGrades+'!$AA$17,"E",IF(D246&lt;'PlayerGrades+'!$AA$16,"E+",IF(D246&lt;'PlayerGrades+'!$AA$15,"D-",IF(D246&lt;'PlayerGrades+'!$AA$14,"D",IF(D246&lt;'PlayerGrades+'!$AA$13,"D+",IF(D246&lt;'PlayerGrades+'!$AA$12,"C-",IF(D246&lt;'PlayerGrades+'!$AA$11,"C",IF(D246&lt;'PlayerGrades+'!$AA$10,"C+",IF(D246&lt;'PlayerGrades+'!$AA$9,"B-",IF(D246&lt;'PlayerGrades+'!$AA$8,"B",IF(D246&lt;'PlayerGrades+'!$AA$7,"B+",IF(D246&lt;'PlayerGrades+'!$AA$6,"A-",IF(D246&lt;'PlayerGrades+'!$AA$5,"A",IF(D246&lt;'PlayerGrades+'!$AA$4,"A+",IF(D246&lt;'PlayerGrades+'!$AA$3,"S-",IF(D246&lt;'PlayerGrades+'!$AA$2,"S","S+"))))))))))))))))))))</f>
        <v>#DIV/0!</v>
      </c>
      <c r="F246" s="961" t="str">
        <f t="shared" si="2"/>
        <v>#DIV/0!</v>
      </c>
      <c r="G246" s="961" t="str">
        <f>IF(F246&lt;'PlayerGrades+'!$AB$21,"F-",IF(F246&lt;'PlayerGrades+'!$AB$20,"F",IF(F246&lt;'PlayerGrades+'!$AB$19,"F+",IF(F246&lt;'PlayerGrades+'!$AB$18,"E-",IF(F246&lt;'PlayerGrades+'!$AB$17,"E",IF(F246&lt;'PlayerGrades+'!$AB$16,"E+",IF(F246&lt;'PlayerGrades+'!$AB$15,"D-",IF(F246&lt;'PlayerGrades+'!$AB$14,"D",IF(F246&lt;'PlayerGrades+'!$AB$13,"D+",IF(F246&lt;'PlayerGrades+'!$AB$12,"C-",IF(F246&lt;'PlayerGrades+'!$AB$11,"C",IF(F246&lt;'PlayerGrades+'!$AB$10,"C+",IF(F246&lt;'PlayerGrades+'!$AB$9,"B-",IF(F246&lt;'PlayerGrades+'!$AB$8,"B",IF(F246&lt;'PlayerGrades+'!$AB$7,"B+",IF(F246&lt;'PlayerGrades+'!$AB$6,"A-",IF(F246&lt;'PlayerGrades+'!$AB$5,"A",IF(F246&lt;'PlayerGrades+'!$AB$4,"A+",IF(F246&lt;'PlayerGrades+'!$AB$3,"S-",IF(F246&lt;'PlayerGrades+'!$AB$2,"S","S+"))))))))))))))))))))</f>
        <v>#DIV/0!</v>
      </c>
      <c r="H246" s="961" t="str">
        <f t="shared" si="3"/>
        <v>#DIV/0!</v>
      </c>
      <c r="I246" s="961" t="str">
        <f>IF(H246&lt;'PlayerGrades+'!$AC$21,"F-",IF(H246&lt;'PlayerGrades+'!$AC$20,"F",IF(H246&lt;'PlayerGrades+'!$AC$19,"F+",IF(H246&lt;'PlayerGrades+'!$AC$18,"E-",IF(H246&lt;'PlayerGrades+'!$AC$17,"E",IF(H246&lt;'PlayerGrades+'!$AC$16,"E+",IF(H246&lt;'PlayerGrades+'!$AC$15,"D-",IF(H246&lt;'PlayerGrades+'!$AC$14,"D",IF(H246&lt;'PlayerGrades+'!$AC$13,"D+",IF(H246&lt;'PlayerGrades+'!$AC$12,"C-",IF(H246&lt;'PlayerGrades+'!$AC$11,"C",IF(H246&lt;'PlayerGrades+'!$AC$10,"C+",IF(H246&lt;'PlayerGrades+'!$AC$9,"B-",IF(H246&lt;'PlayerGrades+'!$AC$8,"B",IF(H246&lt;'PlayerGrades+'!$AC$7,"B+",IF(H246&lt;'PlayerGrades+'!$AC$6,"A-",IF(H246&lt;'PlayerGrades+'!$AC$5,"A",IF(H246&lt;'PlayerGrades+'!$AC$4,"A+",IF(H246&lt;'PlayerGrades+'!$AC$3,"S-",IF(H246&lt;'PlayerGrades+'!$AC$2,"S","S+"))))))))))))))))))))</f>
        <v>#DIV/0!</v>
      </c>
      <c r="J246" s="961" t="str">
        <f t="shared" si="4"/>
        <v>#DIV/0!</v>
      </c>
      <c r="K246" s="961" t="str">
        <f>IF(J246&lt;'PlayerGrades+'!$AD$21,"F-",IF(J246&lt;'PlayerGrades+'!$AD$20,"F",IF(J246&lt;'PlayerGrades+'!$AD$19,"F+",IF(J246&lt;'PlayerGrades+'!$AD$18,"E-",IF(J246&lt;'PlayerGrades+'!$AD$17,"E",IF(J246&lt;'PlayerGrades+'!$AD$16,"E+",IF(J246&lt;'PlayerGrades+'!$AD$15,"D-",IF(J246&lt;'PlayerGrades+'!$AD$14,"D",IF(J246&lt;'PlayerGrades+'!$AD$13,"D+",IF(J246&lt;'PlayerGrades+'!$AD$12,"C-",IF(J246&lt;'PlayerGrades+'!$AD$11,"C",IF(J246&lt;'PlayerGrades+'!$AD$10,"C+",IF(J246&lt;'PlayerGrades+'!$AD$9,"B-",IF(J246&lt;'PlayerGrades+'!$AD$8,"B",IF(J246&lt;'PlayerGrades+'!$AD$7,"B+",IF(J246&lt;'PlayerGrades+'!$AD$6,"A-",IF(J246&lt;'PlayerGrades+'!$AD$5,"A",IF(J246&lt;'PlayerGrades+'!$AD$4,"A+",IF(J246&lt;'PlayerGrades+'!$AD$3,"S-",IF(J246&lt;'PlayerGrades+'!$AD$2,"S","S+"))))))))))))))))))))</f>
        <v>#DIV/0!</v>
      </c>
      <c r="L246" s="1176" t="str">
        <f t="shared" si="5"/>
        <v>#DIV/0!</v>
      </c>
      <c r="M246" s="992" t="str">
        <f>IF(L246&lt;'PlayerGrades+'!$AE$21,"F-",IF(L246&lt;'PlayerGrades+'!$AE$20,"F",IF(L246&lt;'PlayerGrades+'!$AE$19,"F+",IF(L246&lt;'PlayerGrades+'!$AE$18,"E-",IF(L246&lt;'PlayerGrades+'!$AE$17,"E",IF(L246&lt;'PlayerGrades+'!$AE$16,"E+",IF(L246&lt;'PlayerGrades+'!$AE$15,"D-",IF(L246&lt;'PlayerGrades+'!$AE$14,"D",IF(L246&lt;'PlayerGrades+'!$AE$13,"D+",IF(L246&lt;'PlayerGrades+'!$AE$12,"C-",IF(L246&lt;'PlayerGrades+'!$AE$11,"C",IF(L246&lt;'PlayerGrades+'!$AE$10,"C+",IF(L246&lt;'PlayerGrades+'!$AE$9,"B-",IF(L246&lt;'PlayerGrades+'!$AE$8,"B",IF(L246&lt;'PlayerGrades+'!$AE$7,"B+",IF(L246&lt;'PlayerGrades+'!$AE$6,"A-",IF(L246&lt;'PlayerGrades+'!$AE$5,"A",IF(L246&lt;'PlayerGrades+'!$AE$4,"A+",IF(L246&lt;'PlayerGrades+'!$AE$3,"S-",IF(L246&lt;'PlayerGrades+'!$AE$2,"S","S+"))))))))))))))))))))</f>
        <v>#DIV/0!</v>
      </c>
      <c r="N246" s="961" t="str">
        <f t="shared" si="6"/>
        <v>#DIV/0!</v>
      </c>
      <c r="O246" s="961" t="str">
        <f>IF(N246&lt;'PlayerGrades+'!$AF$21,"F-",IF(N246&lt;'PlayerGrades+'!$AF$20,"F",IF(N246&lt;'PlayerGrades+'!$AF$19,"F+",IF(N246&lt;'PlayerGrades+'!$AF$18,"E-",IF(N246&lt;'PlayerGrades+'!$AF$17,"E",IF(N246&lt;'PlayerGrades+'!$AF$16,"E+",IF(N246&lt;'PlayerGrades+'!$AF$15,"D-",IF(N246&lt;'PlayerGrades+'!$AF$14,"D",IF(N246&lt;'PlayerGrades+'!$AF$13,"D+",IF(N246&lt;'PlayerGrades+'!$AF$12,"C-",IF(N246&lt;'PlayerGrades+'!$AF$11,"C",IF(N246&lt;'PlayerGrades+'!$AF$10,"C+",IF(N246&lt;'PlayerGrades+'!$AF$9,"B-",IF(N246&lt;'PlayerGrades+'!$AF$8,"B",IF(N246&lt;'PlayerGrades+'!$AF$7,"B+",IF(N246&lt;'PlayerGrades+'!$AF$6,"A-",IF(N246&lt;'PlayerGrades+'!$AF$5,"A",IF(N246&lt;'PlayerGrades+'!$AF$4,"A+",IF(N246&lt;'PlayerGrades+'!$AF$3,"S-",IF(N246&lt;'PlayerGrades+'!$AF$2,"S","S+"))))))))))))))))))))</f>
        <v>#DIV/0!</v>
      </c>
      <c r="P246" s="961" t="str">
        <f t="shared" si="7"/>
        <v>#DIV/0!</v>
      </c>
      <c r="Q246" s="961" t="str">
        <f>IF(P246&lt;'PlayerGrades+'!$AG$21,"F-",IF(P246&lt;'PlayerGrades+'!$AG$20,"F",IF(P246&lt;'PlayerGrades+'!$AG$19,"F+",IF(P246&lt;'PlayerGrades+'!$AG$18,"E-",IF(P246&lt;'PlayerGrades+'!$AG$17,"E",IF(P246&lt;'PlayerGrades+'!$AG$16,"E+",IF(P246&lt;'PlayerGrades+'!$AG$15,"D-",IF(P246&lt;'PlayerGrades+'!$AG$14,"D",IF(P246&lt;'PlayerGrades+'!$AG$13,"D+",IF(P246&lt;'PlayerGrades+'!$AG$12,"C-",IF(P246&lt;'PlayerGrades+'!$AG$11,"C",IF(P246&lt;'PlayerGrades+'!$AG$10,"C+",IF(P246&lt;'PlayerGrades+'!$AG$9,"B-",IF(P246&lt;'PlayerGrades+'!$AG$8,"B",IF(P246&lt;'PlayerGrades+'!$AG$7,"B+",IF(P246&lt;'PlayerGrades+'!$AG$6,"A-",IF(P246&lt;'PlayerGrades+'!$AG$5,"A",IF(P246&lt;'PlayerGrades+'!$AG$4,"A+",IF(P246&lt;'PlayerGrades+'!$AG$3,"S-",IF(P246&lt;'PlayerGrades+'!$AG$2,"S","S+"))))))))))))))))))))</f>
        <v>#DIV/0!</v>
      </c>
      <c r="R246" s="961" t="str">
        <f t="shared" si="8"/>
        <v>#DIV/0!</v>
      </c>
      <c r="S246" s="961" t="str">
        <f>IF(R246&lt;'PlayerGrades+'!$AH$21,"F-",IF(R246&lt;'PlayerGrades+'!$AH$20,"F",IF(R246&lt;'PlayerGrades+'!$AH$19,"F+",IF(R246&lt;'PlayerGrades+'!$AH$18,"E-",IF(R246&lt;'PlayerGrades+'!$AH$17,"E",IF(R246&lt;'PlayerGrades+'!$AH$16,"E+",IF(R246&lt;'PlayerGrades+'!$AH$15,"D-",IF(R246&lt;'PlayerGrades+'!$AH$14,"D",IF(R246&lt;'PlayerGrades+'!$AH$13,"D+",IF(R246&lt;'PlayerGrades+'!$AH$12,"C-",IF(R246&lt;'PlayerGrades+'!$AH$11,"C",IF(R246&lt;'PlayerGrades+'!$AH$10,"C+",IF(R246&lt;'PlayerGrades+'!$AH$9,"B-",IF(R246&lt;'PlayerGrades+'!$AH$8,"B",IF(R246&lt;'PlayerGrades+'!$AH$7,"B+",IF(R246&lt;'PlayerGrades+'!$AH$6,"A-",IF(R246&lt;'PlayerGrades+'!$AH$5,"A",IF(R246&lt;'PlayerGrades+'!$AH$4,"A+",IF(R246&lt;'PlayerGrades+'!$AH$3,"S-",IF(R246&lt;'PlayerGrades+'!$AH$2,"S","S+"))))))))))))))))))))</f>
        <v>#DIV/0!</v>
      </c>
      <c r="T246" s="961">
        <f t="shared" si="9"/>
        <v>0</v>
      </c>
      <c r="U246" s="961" t="str">
        <f>IF(T246&lt;'PlayerGrades+'!$AI$21,"F-",IF(T246&lt;'PlayerGrades+'!$AI$20,"F",IF(T246&lt;'PlayerGrades+'!$AI$19,"F+",IF(T246&lt;'PlayerGrades+'!$AI$18,"E-",IF(T246&lt;'PlayerGrades+'!$AI$17,"E",IF(T246&lt;'PlayerGrades+'!$AI$16,"E+",IF(T246&lt;'PlayerGrades+'!$AI$15,"D-",IF(T246&lt;'PlayerGrades+'!$AI$14,"D",IF(T246&lt;'PlayerGrades+'!$AI$13,"D+",IF(T246&lt;'PlayerGrades+'!$AI$12,"C-",IF(T246&lt;'PlayerGrades+'!$AI$11,"C",IF(T246&lt;'PlayerGrades+'!$AI$10,"C+",IF(T246&lt;'PlayerGrades+'!$AI$9,"B-",IF(T246&lt;'PlayerGrades+'!$AI$8,"B",IF(T246&lt;'PlayerGrades+'!$AI$7,"B+",IF(T246&lt;'PlayerGrades+'!$AI$6,"A-",IF(T246&lt;'PlayerGrades+'!$AI$5,"A",IF(T246&lt;'PlayerGrades+'!$AI$4,"A+",IF(T246&lt;'PlayerGrades+'!$AI$3,"S-",IF(T246&lt;'PlayerGrades+'!$AI$2,"S","S+"))))))))))))))))))))</f>
        <v>F-</v>
      </c>
      <c r="AC246" s="1392"/>
    </row>
    <row r="247">
      <c r="A247" s="1391"/>
      <c r="B247" s="611" t="str">
        <f>IF(C247&lt;'PlayerGrades+'!$Y$44,"F-",IF(C247&lt;'PlayerGrades+'!$Y$43,"F",IF(C247&lt;'PlayerGrades+'!$Y$42,"F+",IF(C247&lt;'PlayerGrades+'!$Y$41,"E-",IF(C247&lt;'PlayerGrades+'!$Y$40,"E",IF(C247&lt;'PlayerGrades+'!$Y$39,"E+",IF(C247&lt;'PlayerGrades+'!$Y$38,"D-",IF(C247&lt;'PlayerGrades+'!$Y$37,"D",IF(C247&lt;'PlayerGrades+'!$Y$36,"D+",IF(C247&lt;'PlayerGrades+'!$Y$35,"C-",IF(C247&lt;'PlayerGrades+'!$Y$34,"C",IF(C247&lt;'PlayerGrades+'!$Y$33,"C+",IF(C247&lt;'PlayerGrades+'!$Y$32,"B-",IF(C247&lt;'PlayerGrades+'!$Y$31,"B",IF(C247&lt;'PlayerGrades+'!$Y$30,"B+",IF(C247&lt;'PlayerGrades+'!$Y$29,"A-",IF(C247&lt;'PlayerGrades+'!$Y$28,"A",IF(C247&lt;'PlayerGrades+'!$Y$27,"A+",IF(C247&lt;'PlayerGrades+'!$Y$26,"S-",IF(C247&lt;'PlayerGrades+'!$Y$25,"S","S+"))))))))))))))))))))</f>
        <v>#DIV/0!</v>
      </c>
      <c r="C247" s="1378" t="str">
        <f>('PlayerGrades+'!$Y$47*(VLOOKUP(E247, 'PlayerGrades+'!$X$3:$Y$23, 2, FALSE)))+('PlayerGrades+'!$Y$48*(VLOOKUP(G247, 'PlayerGrades+'!$X$3:$Y$23, 2, FALSE)))+('PlayerGrades+'!$Y$49*(VLOOKUP(I247, 'PlayerGrades+'!$X$3:$Y$23, 2, FALSE)))+('PlayerGrades+'!$Y$50*(VLOOKUP(K247, 'PlayerGrades+'!$X$3:$Y$23, 2, FALSE)))+('PlayerGrades+'!$Y$51*(VLOOKUP(M247, 'PlayerGrades+'!$X$3:$Y$23, 2, FALSE)))+('PlayerGrades+'!$Y$52*(VLOOKUP(O247, 'PlayerGrades+'!$X$3:$Y$23, 2, FALSE)))+('PlayerGrades+'!$Y$53*(VLOOKUP(Q247, 'PlayerGrades+'!$X$3:$Y$23, 2, FALSE)))+('PlayerGrades+'!$Y$54*(VLOOKUP(S247, 'PlayerGrades+'!$X$3:$Y$23, 2, FALSE)))+('PlayerGrades+'!$Y$55*(VLOOKUP(U247, 'PlayerGrades+'!$X$3:$Y$23, 2, FALSE)))</f>
        <v>#DIV/0!</v>
      </c>
      <c r="D247" s="961" t="str">
        <f t="shared" si="1"/>
        <v>#DIV/0!</v>
      </c>
      <c r="E247" s="961" t="str">
        <f>IF(D247&lt;'PlayerGrades+'!$AA$21,"F-",IF(D247&lt;'PlayerGrades+'!$AA$20,"F",IF(D247&lt;'PlayerGrades+'!$AA$19,"F+",IF(D247&lt;'PlayerGrades+'!$AA$18,"E-",IF(D247&lt;'PlayerGrades+'!$AA$17,"E",IF(D247&lt;'PlayerGrades+'!$AA$16,"E+",IF(D247&lt;'PlayerGrades+'!$AA$15,"D-",IF(D247&lt;'PlayerGrades+'!$AA$14,"D",IF(D247&lt;'PlayerGrades+'!$AA$13,"D+",IF(D247&lt;'PlayerGrades+'!$AA$12,"C-",IF(D247&lt;'PlayerGrades+'!$AA$11,"C",IF(D247&lt;'PlayerGrades+'!$AA$10,"C+",IF(D247&lt;'PlayerGrades+'!$AA$9,"B-",IF(D247&lt;'PlayerGrades+'!$AA$8,"B",IF(D247&lt;'PlayerGrades+'!$AA$7,"B+",IF(D247&lt;'PlayerGrades+'!$AA$6,"A-",IF(D247&lt;'PlayerGrades+'!$AA$5,"A",IF(D247&lt;'PlayerGrades+'!$AA$4,"A+",IF(D247&lt;'PlayerGrades+'!$AA$3,"S-",IF(D247&lt;'PlayerGrades+'!$AA$2,"S","S+"))))))))))))))))))))</f>
        <v>#DIV/0!</v>
      </c>
      <c r="F247" s="961" t="str">
        <f t="shared" si="2"/>
        <v>#DIV/0!</v>
      </c>
      <c r="G247" s="961" t="str">
        <f>IF(F247&lt;'PlayerGrades+'!$AB$21,"F-",IF(F247&lt;'PlayerGrades+'!$AB$20,"F",IF(F247&lt;'PlayerGrades+'!$AB$19,"F+",IF(F247&lt;'PlayerGrades+'!$AB$18,"E-",IF(F247&lt;'PlayerGrades+'!$AB$17,"E",IF(F247&lt;'PlayerGrades+'!$AB$16,"E+",IF(F247&lt;'PlayerGrades+'!$AB$15,"D-",IF(F247&lt;'PlayerGrades+'!$AB$14,"D",IF(F247&lt;'PlayerGrades+'!$AB$13,"D+",IF(F247&lt;'PlayerGrades+'!$AB$12,"C-",IF(F247&lt;'PlayerGrades+'!$AB$11,"C",IF(F247&lt;'PlayerGrades+'!$AB$10,"C+",IF(F247&lt;'PlayerGrades+'!$AB$9,"B-",IF(F247&lt;'PlayerGrades+'!$AB$8,"B",IF(F247&lt;'PlayerGrades+'!$AB$7,"B+",IF(F247&lt;'PlayerGrades+'!$AB$6,"A-",IF(F247&lt;'PlayerGrades+'!$AB$5,"A",IF(F247&lt;'PlayerGrades+'!$AB$4,"A+",IF(F247&lt;'PlayerGrades+'!$AB$3,"S-",IF(F247&lt;'PlayerGrades+'!$AB$2,"S","S+"))))))))))))))))))))</f>
        <v>#DIV/0!</v>
      </c>
      <c r="H247" s="961" t="str">
        <f t="shared" si="3"/>
        <v>#DIV/0!</v>
      </c>
      <c r="I247" s="961" t="str">
        <f>IF(H247&lt;'PlayerGrades+'!$AC$21,"F-",IF(H247&lt;'PlayerGrades+'!$AC$20,"F",IF(H247&lt;'PlayerGrades+'!$AC$19,"F+",IF(H247&lt;'PlayerGrades+'!$AC$18,"E-",IF(H247&lt;'PlayerGrades+'!$AC$17,"E",IF(H247&lt;'PlayerGrades+'!$AC$16,"E+",IF(H247&lt;'PlayerGrades+'!$AC$15,"D-",IF(H247&lt;'PlayerGrades+'!$AC$14,"D",IF(H247&lt;'PlayerGrades+'!$AC$13,"D+",IF(H247&lt;'PlayerGrades+'!$AC$12,"C-",IF(H247&lt;'PlayerGrades+'!$AC$11,"C",IF(H247&lt;'PlayerGrades+'!$AC$10,"C+",IF(H247&lt;'PlayerGrades+'!$AC$9,"B-",IF(H247&lt;'PlayerGrades+'!$AC$8,"B",IF(H247&lt;'PlayerGrades+'!$AC$7,"B+",IF(H247&lt;'PlayerGrades+'!$AC$6,"A-",IF(H247&lt;'PlayerGrades+'!$AC$5,"A",IF(H247&lt;'PlayerGrades+'!$AC$4,"A+",IF(H247&lt;'PlayerGrades+'!$AC$3,"S-",IF(H247&lt;'PlayerGrades+'!$AC$2,"S","S+"))))))))))))))))))))</f>
        <v>#DIV/0!</v>
      </c>
      <c r="J247" s="961" t="str">
        <f t="shared" si="4"/>
        <v>#DIV/0!</v>
      </c>
      <c r="K247" s="961" t="str">
        <f>IF(J247&lt;'PlayerGrades+'!$AD$21,"F-",IF(J247&lt;'PlayerGrades+'!$AD$20,"F",IF(J247&lt;'PlayerGrades+'!$AD$19,"F+",IF(J247&lt;'PlayerGrades+'!$AD$18,"E-",IF(J247&lt;'PlayerGrades+'!$AD$17,"E",IF(J247&lt;'PlayerGrades+'!$AD$16,"E+",IF(J247&lt;'PlayerGrades+'!$AD$15,"D-",IF(J247&lt;'PlayerGrades+'!$AD$14,"D",IF(J247&lt;'PlayerGrades+'!$AD$13,"D+",IF(J247&lt;'PlayerGrades+'!$AD$12,"C-",IF(J247&lt;'PlayerGrades+'!$AD$11,"C",IF(J247&lt;'PlayerGrades+'!$AD$10,"C+",IF(J247&lt;'PlayerGrades+'!$AD$9,"B-",IF(J247&lt;'PlayerGrades+'!$AD$8,"B",IF(J247&lt;'PlayerGrades+'!$AD$7,"B+",IF(J247&lt;'PlayerGrades+'!$AD$6,"A-",IF(J247&lt;'PlayerGrades+'!$AD$5,"A",IF(J247&lt;'PlayerGrades+'!$AD$4,"A+",IF(J247&lt;'PlayerGrades+'!$AD$3,"S-",IF(J247&lt;'PlayerGrades+'!$AD$2,"S","S+"))))))))))))))))))))</f>
        <v>#DIV/0!</v>
      </c>
      <c r="L247" s="1176" t="str">
        <f t="shared" si="5"/>
        <v>#DIV/0!</v>
      </c>
      <c r="M247" s="992" t="str">
        <f>IF(L247&lt;'PlayerGrades+'!$AE$21,"F-",IF(L247&lt;'PlayerGrades+'!$AE$20,"F",IF(L247&lt;'PlayerGrades+'!$AE$19,"F+",IF(L247&lt;'PlayerGrades+'!$AE$18,"E-",IF(L247&lt;'PlayerGrades+'!$AE$17,"E",IF(L247&lt;'PlayerGrades+'!$AE$16,"E+",IF(L247&lt;'PlayerGrades+'!$AE$15,"D-",IF(L247&lt;'PlayerGrades+'!$AE$14,"D",IF(L247&lt;'PlayerGrades+'!$AE$13,"D+",IF(L247&lt;'PlayerGrades+'!$AE$12,"C-",IF(L247&lt;'PlayerGrades+'!$AE$11,"C",IF(L247&lt;'PlayerGrades+'!$AE$10,"C+",IF(L247&lt;'PlayerGrades+'!$AE$9,"B-",IF(L247&lt;'PlayerGrades+'!$AE$8,"B",IF(L247&lt;'PlayerGrades+'!$AE$7,"B+",IF(L247&lt;'PlayerGrades+'!$AE$6,"A-",IF(L247&lt;'PlayerGrades+'!$AE$5,"A",IF(L247&lt;'PlayerGrades+'!$AE$4,"A+",IF(L247&lt;'PlayerGrades+'!$AE$3,"S-",IF(L247&lt;'PlayerGrades+'!$AE$2,"S","S+"))))))))))))))))))))</f>
        <v>#DIV/0!</v>
      </c>
      <c r="N247" s="961" t="str">
        <f t="shared" si="6"/>
        <v>#DIV/0!</v>
      </c>
      <c r="O247" s="961" t="str">
        <f>IF(N247&lt;'PlayerGrades+'!$AF$21,"F-",IF(N247&lt;'PlayerGrades+'!$AF$20,"F",IF(N247&lt;'PlayerGrades+'!$AF$19,"F+",IF(N247&lt;'PlayerGrades+'!$AF$18,"E-",IF(N247&lt;'PlayerGrades+'!$AF$17,"E",IF(N247&lt;'PlayerGrades+'!$AF$16,"E+",IF(N247&lt;'PlayerGrades+'!$AF$15,"D-",IF(N247&lt;'PlayerGrades+'!$AF$14,"D",IF(N247&lt;'PlayerGrades+'!$AF$13,"D+",IF(N247&lt;'PlayerGrades+'!$AF$12,"C-",IF(N247&lt;'PlayerGrades+'!$AF$11,"C",IF(N247&lt;'PlayerGrades+'!$AF$10,"C+",IF(N247&lt;'PlayerGrades+'!$AF$9,"B-",IF(N247&lt;'PlayerGrades+'!$AF$8,"B",IF(N247&lt;'PlayerGrades+'!$AF$7,"B+",IF(N247&lt;'PlayerGrades+'!$AF$6,"A-",IF(N247&lt;'PlayerGrades+'!$AF$5,"A",IF(N247&lt;'PlayerGrades+'!$AF$4,"A+",IF(N247&lt;'PlayerGrades+'!$AF$3,"S-",IF(N247&lt;'PlayerGrades+'!$AF$2,"S","S+"))))))))))))))))))))</f>
        <v>#DIV/0!</v>
      </c>
      <c r="P247" s="961" t="str">
        <f t="shared" si="7"/>
        <v>#DIV/0!</v>
      </c>
      <c r="Q247" s="961" t="str">
        <f>IF(P247&lt;'PlayerGrades+'!$AG$21,"F-",IF(P247&lt;'PlayerGrades+'!$AG$20,"F",IF(P247&lt;'PlayerGrades+'!$AG$19,"F+",IF(P247&lt;'PlayerGrades+'!$AG$18,"E-",IF(P247&lt;'PlayerGrades+'!$AG$17,"E",IF(P247&lt;'PlayerGrades+'!$AG$16,"E+",IF(P247&lt;'PlayerGrades+'!$AG$15,"D-",IF(P247&lt;'PlayerGrades+'!$AG$14,"D",IF(P247&lt;'PlayerGrades+'!$AG$13,"D+",IF(P247&lt;'PlayerGrades+'!$AG$12,"C-",IF(P247&lt;'PlayerGrades+'!$AG$11,"C",IF(P247&lt;'PlayerGrades+'!$AG$10,"C+",IF(P247&lt;'PlayerGrades+'!$AG$9,"B-",IF(P247&lt;'PlayerGrades+'!$AG$8,"B",IF(P247&lt;'PlayerGrades+'!$AG$7,"B+",IF(P247&lt;'PlayerGrades+'!$AG$6,"A-",IF(P247&lt;'PlayerGrades+'!$AG$5,"A",IF(P247&lt;'PlayerGrades+'!$AG$4,"A+",IF(P247&lt;'PlayerGrades+'!$AG$3,"S-",IF(P247&lt;'PlayerGrades+'!$AG$2,"S","S+"))))))))))))))))))))</f>
        <v>#DIV/0!</v>
      </c>
      <c r="R247" s="961" t="str">
        <f t="shared" si="8"/>
        <v>#DIV/0!</v>
      </c>
      <c r="S247" s="961" t="str">
        <f>IF(R247&lt;'PlayerGrades+'!$AH$21,"F-",IF(R247&lt;'PlayerGrades+'!$AH$20,"F",IF(R247&lt;'PlayerGrades+'!$AH$19,"F+",IF(R247&lt;'PlayerGrades+'!$AH$18,"E-",IF(R247&lt;'PlayerGrades+'!$AH$17,"E",IF(R247&lt;'PlayerGrades+'!$AH$16,"E+",IF(R247&lt;'PlayerGrades+'!$AH$15,"D-",IF(R247&lt;'PlayerGrades+'!$AH$14,"D",IF(R247&lt;'PlayerGrades+'!$AH$13,"D+",IF(R247&lt;'PlayerGrades+'!$AH$12,"C-",IF(R247&lt;'PlayerGrades+'!$AH$11,"C",IF(R247&lt;'PlayerGrades+'!$AH$10,"C+",IF(R247&lt;'PlayerGrades+'!$AH$9,"B-",IF(R247&lt;'PlayerGrades+'!$AH$8,"B",IF(R247&lt;'PlayerGrades+'!$AH$7,"B+",IF(R247&lt;'PlayerGrades+'!$AH$6,"A-",IF(R247&lt;'PlayerGrades+'!$AH$5,"A",IF(R247&lt;'PlayerGrades+'!$AH$4,"A+",IF(R247&lt;'PlayerGrades+'!$AH$3,"S-",IF(R247&lt;'PlayerGrades+'!$AH$2,"S","S+"))))))))))))))))))))</f>
        <v>#DIV/0!</v>
      </c>
      <c r="T247" s="961">
        <f t="shared" si="9"/>
        <v>0</v>
      </c>
      <c r="U247" s="961" t="str">
        <f>IF(T247&lt;'PlayerGrades+'!$AI$21,"F-",IF(T247&lt;'PlayerGrades+'!$AI$20,"F",IF(T247&lt;'PlayerGrades+'!$AI$19,"F+",IF(T247&lt;'PlayerGrades+'!$AI$18,"E-",IF(T247&lt;'PlayerGrades+'!$AI$17,"E",IF(T247&lt;'PlayerGrades+'!$AI$16,"E+",IF(T247&lt;'PlayerGrades+'!$AI$15,"D-",IF(T247&lt;'PlayerGrades+'!$AI$14,"D",IF(T247&lt;'PlayerGrades+'!$AI$13,"D+",IF(T247&lt;'PlayerGrades+'!$AI$12,"C-",IF(T247&lt;'PlayerGrades+'!$AI$11,"C",IF(T247&lt;'PlayerGrades+'!$AI$10,"C+",IF(T247&lt;'PlayerGrades+'!$AI$9,"B-",IF(T247&lt;'PlayerGrades+'!$AI$8,"B",IF(T247&lt;'PlayerGrades+'!$AI$7,"B+",IF(T247&lt;'PlayerGrades+'!$AI$6,"A-",IF(T247&lt;'PlayerGrades+'!$AI$5,"A",IF(T247&lt;'PlayerGrades+'!$AI$4,"A+",IF(T247&lt;'PlayerGrades+'!$AI$3,"S-",IF(T247&lt;'PlayerGrades+'!$AI$2,"S","S+"))))))))))))))))))))</f>
        <v>F-</v>
      </c>
      <c r="AC247" s="1392"/>
    </row>
    <row r="248">
      <c r="A248" s="1391"/>
      <c r="B248" s="611" t="str">
        <f>IF(C248&lt;'PlayerGrades+'!$Y$44,"F-",IF(C248&lt;'PlayerGrades+'!$Y$43,"F",IF(C248&lt;'PlayerGrades+'!$Y$42,"F+",IF(C248&lt;'PlayerGrades+'!$Y$41,"E-",IF(C248&lt;'PlayerGrades+'!$Y$40,"E",IF(C248&lt;'PlayerGrades+'!$Y$39,"E+",IF(C248&lt;'PlayerGrades+'!$Y$38,"D-",IF(C248&lt;'PlayerGrades+'!$Y$37,"D",IF(C248&lt;'PlayerGrades+'!$Y$36,"D+",IF(C248&lt;'PlayerGrades+'!$Y$35,"C-",IF(C248&lt;'PlayerGrades+'!$Y$34,"C",IF(C248&lt;'PlayerGrades+'!$Y$33,"C+",IF(C248&lt;'PlayerGrades+'!$Y$32,"B-",IF(C248&lt;'PlayerGrades+'!$Y$31,"B",IF(C248&lt;'PlayerGrades+'!$Y$30,"B+",IF(C248&lt;'PlayerGrades+'!$Y$29,"A-",IF(C248&lt;'PlayerGrades+'!$Y$28,"A",IF(C248&lt;'PlayerGrades+'!$Y$27,"A+",IF(C248&lt;'PlayerGrades+'!$Y$26,"S-",IF(C248&lt;'PlayerGrades+'!$Y$25,"S","S+"))))))))))))))))))))</f>
        <v>#DIV/0!</v>
      </c>
      <c r="C248" s="1378" t="str">
        <f>('PlayerGrades+'!$Y$47*(VLOOKUP(E248, 'PlayerGrades+'!$X$3:$Y$23, 2, FALSE)))+('PlayerGrades+'!$Y$48*(VLOOKUP(G248, 'PlayerGrades+'!$X$3:$Y$23, 2, FALSE)))+('PlayerGrades+'!$Y$49*(VLOOKUP(I248, 'PlayerGrades+'!$X$3:$Y$23, 2, FALSE)))+('PlayerGrades+'!$Y$50*(VLOOKUP(K248, 'PlayerGrades+'!$X$3:$Y$23, 2, FALSE)))+('PlayerGrades+'!$Y$51*(VLOOKUP(M248, 'PlayerGrades+'!$X$3:$Y$23, 2, FALSE)))+('PlayerGrades+'!$Y$52*(VLOOKUP(O248, 'PlayerGrades+'!$X$3:$Y$23, 2, FALSE)))+('PlayerGrades+'!$Y$53*(VLOOKUP(Q248, 'PlayerGrades+'!$X$3:$Y$23, 2, FALSE)))+('PlayerGrades+'!$Y$54*(VLOOKUP(S248, 'PlayerGrades+'!$X$3:$Y$23, 2, FALSE)))+('PlayerGrades+'!$Y$55*(VLOOKUP(U248, 'PlayerGrades+'!$X$3:$Y$23, 2, FALSE)))</f>
        <v>#DIV/0!</v>
      </c>
      <c r="D248" s="961" t="str">
        <f t="shared" si="1"/>
        <v>#DIV/0!</v>
      </c>
      <c r="E248" s="961" t="str">
        <f>IF(D248&lt;'PlayerGrades+'!$AA$21,"F-",IF(D248&lt;'PlayerGrades+'!$AA$20,"F",IF(D248&lt;'PlayerGrades+'!$AA$19,"F+",IF(D248&lt;'PlayerGrades+'!$AA$18,"E-",IF(D248&lt;'PlayerGrades+'!$AA$17,"E",IF(D248&lt;'PlayerGrades+'!$AA$16,"E+",IF(D248&lt;'PlayerGrades+'!$AA$15,"D-",IF(D248&lt;'PlayerGrades+'!$AA$14,"D",IF(D248&lt;'PlayerGrades+'!$AA$13,"D+",IF(D248&lt;'PlayerGrades+'!$AA$12,"C-",IF(D248&lt;'PlayerGrades+'!$AA$11,"C",IF(D248&lt;'PlayerGrades+'!$AA$10,"C+",IF(D248&lt;'PlayerGrades+'!$AA$9,"B-",IF(D248&lt;'PlayerGrades+'!$AA$8,"B",IF(D248&lt;'PlayerGrades+'!$AA$7,"B+",IF(D248&lt;'PlayerGrades+'!$AA$6,"A-",IF(D248&lt;'PlayerGrades+'!$AA$5,"A",IF(D248&lt;'PlayerGrades+'!$AA$4,"A+",IF(D248&lt;'PlayerGrades+'!$AA$3,"S-",IF(D248&lt;'PlayerGrades+'!$AA$2,"S","S+"))))))))))))))))))))</f>
        <v>#DIV/0!</v>
      </c>
      <c r="F248" s="961" t="str">
        <f t="shared" si="2"/>
        <v>#DIV/0!</v>
      </c>
      <c r="G248" s="961" t="str">
        <f>IF(F248&lt;'PlayerGrades+'!$AB$21,"F-",IF(F248&lt;'PlayerGrades+'!$AB$20,"F",IF(F248&lt;'PlayerGrades+'!$AB$19,"F+",IF(F248&lt;'PlayerGrades+'!$AB$18,"E-",IF(F248&lt;'PlayerGrades+'!$AB$17,"E",IF(F248&lt;'PlayerGrades+'!$AB$16,"E+",IF(F248&lt;'PlayerGrades+'!$AB$15,"D-",IF(F248&lt;'PlayerGrades+'!$AB$14,"D",IF(F248&lt;'PlayerGrades+'!$AB$13,"D+",IF(F248&lt;'PlayerGrades+'!$AB$12,"C-",IF(F248&lt;'PlayerGrades+'!$AB$11,"C",IF(F248&lt;'PlayerGrades+'!$AB$10,"C+",IF(F248&lt;'PlayerGrades+'!$AB$9,"B-",IF(F248&lt;'PlayerGrades+'!$AB$8,"B",IF(F248&lt;'PlayerGrades+'!$AB$7,"B+",IF(F248&lt;'PlayerGrades+'!$AB$6,"A-",IF(F248&lt;'PlayerGrades+'!$AB$5,"A",IF(F248&lt;'PlayerGrades+'!$AB$4,"A+",IF(F248&lt;'PlayerGrades+'!$AB$3,"S-",IF(F248&lt;'PlayerGrades+'!$AB$2,"S","S+"))))))))))))))))))))</f>
        <v>#DIV/0!</v>
      </c>
      <c r="H248" s="961" t="str">
        <f t="shared" si="3"/>
        <v>#DIV/0!</v>
      </c>
      <c r="I248" s="961" t="str">
        <f>IF(H248&lt;'PlayerGrades+'!$AC$21,"F-",IF(H248&lt;'PlayerGrades+'!$AC$20,"F",IF(H248&lt;'PlayerGrades+'!$AC$19,"F+",IF(H248&lt;'PlayerGrades+'!$AC$18,"E-",IF(H248&lt;'PlayerGrades+'!$AC$17,"E",IF(H248&lt;'PlayerGrades+'!$AC$16,"E+",IF(H248&lt;'PlayerGrades+'!$AC$15,"D-",IF(H248&lt;'PlayerGrades+'!$AC$14,"D",IF(H248&lt;'PlayerGrades+'!$AC$13,"D+",IF(H248&lt;'PlayerGrades+'!$AC$12,"C-",IF(H248&lt;'PlayerGrades+'!$AC$11,"C",IF(H248&lt;'PlayerGrades+'!$AC$10,"C+",IF(H248&lt;'PlayerGrades+'!$AC$9,"B-",IF(H248&lt;'PlayerGrades+'!$AC$8,"B",IF(H248&lt;'PlayerGrades+'!$AC$7,"B+",IF(H248&lt;'PlayerGrades+'!$AC$6,"A-",IF(H248&lt;'PlayerGrades+'!$AC$5,"A",IF(H248&lt;'PlayerGrades+'!$AC$4,"A+",IF(H248&lt;'PlayerGrades+'!$AC$3,"S-",IF(H248&lt;'PlayerGrades+'!$AC$2,"S","S+"))))))))))))))))))))</f>
        <v>#DIV/0!</v>
      </c>
      <c r="J248" s="961" t="str">
        <f t="shared" si="4"/>
        <v>#DIV/0!</v>
      </c>
      <c r="K248" s="961" t="str">
        <f>IF(J248&lt;'PlayerGrades+'!$AD$21,"F-",IF(J248&lt;'PlayerGrades+'!$AD$20,"F",IF(J248&lt;'PlayerGrades+'!$AD$19,"F+",IF(J248&lt;'PlayerGrades+'!$AD$18,"E-",IF(J248&lt;'PlayerGrades+'!$AD$17,"E",IF(J248&lt;'PlayerGrades+'!$AD$16,"E+",IF(J248&lt;'PlayerGrades+'!$AD$15,"D-",IF(J248&lt;'PlayerGrades+'!$AD$14,"D",IF(J248&lt;'PlayerGrades+'!$AD$13,"D+",IF(J248&lt;'PlayerGrades+'!$AD$12,"C-",IF(J248&lt;'PlayerGrades+'!$AD$11,"C",IF(J248&lt;'PlayerGrades+'!$AD$10,"C+",IF(J248&lt;'PlayerGrades+'!$AD$9,"B-",IF(J248&lt;'PlayerGrades+'!$AD$8,"B",IF(J248&lt;'PlayerGrades+'!$AD$7,"B+",IF(J248&lt;'PlayerGrades+'!$AD$6,"A-",IF(J248&lt;'PlayerGrades+'!$AD$5,"A",IF(J248&lt;'PlayerGrades+'!$AD$4,"A+",IF(J248&lt;'PlayerGrades+'!$AD$3,"S-",IF(J248&lt;'PlayerGrades+'!$AD$2,"S","S+"))))))))))))))))))))</f>
        <v>#DIV/0!</v>
      </c>
      <c r="L248" s="1176" t="str">
        <f t="shared" si="5"/>
        <v>#DIV/0!</v>
      </c>
      <c r="M248" s="992" t="str">
        <f>IF(L248&lt;'PlayerGrades+'!$AE$21,"F-",IF(L248&lt;'PlayerGrades+'!$AE$20,"F",IF(L248&lt;'PlayerGrades+'!$AE$19,"F+",IF(L248&lt;'PlayerGrades+'!$AE$18,"E-",IF(L248&lt;'PlayerGrades+'!$AE$17,"E",IF(L248&lt;'PlayerGrades+'!$AE$16,"E+",IF(L248&lt;'PlayerGrades+'!$AE$15,"D-",IF(L248&lt;'PlayerGrades+'!$AE$14,"D",IF(L248&lt;'PlayerGrades+'!$AE$13,"D+",IF(L248&lt;'PlayerGrades+'!$AE$12,"C-",IF(L248&lt;'PlayerGrades+'!$AE$11,"C",IF(L248&lt;'PlayerGrades+'!$AE$10,"C+",IF(L248&lt;'PlayerGrades+'!$AE$9,"B-",IF(L248&lt;'PlayerGrades+'!$AE$8,"B",IF(L248&lt;'PlayerGrades+'!$AE$7,"B+",IF(L248&lt;'PlayerGrades+'!$AE$6,"A-",IF(L248&lt;'PlayerGrades+'!$AE$5,"A",IF(L248&lt;'PlayerGrades+'!$AE$4,"A+",IF(L248&lt;'PlayerGrades+'!$AE$3,"S-",IF(L248&lt;'PlayerGrades+'!$AE$2,"S","S+"))))))))))))))))))))</f>
        <v>#DIV/0!</v>
      </c>
      <c r="N248" s="961" t="str">
        <f t="shared" si="6"/>
        <v>#DIV/0!</v>
      </c>
      <c r="O248" s="961" t="str">
        <f>IF(N248&lt;'PlayerGrades+'!$AF$21,"F-",IF(N248&lt;'PlayerGrades+'!$AF$20,"F",IF(N248&lt;'PlayerGrades+'!$AF$19,"F+",IF(N248&lt;'PlayerGrades+'!$AF$18,"E-",IF(N248&lt;'PlayerGrades+'!$AF$17,"E",IF(N248&lt;'PlayerGrades+'!$AF$16,"E+",IF(N248&lt;'PlayerGrades+'!$AF$15,"D-",IF(N248&lt;'PlayerGrades+'!$AF$14,"D",IF(N248&lt;'PlayerGrades+'!$AF$13,"D+",IF(N248&lt;'PlayerGrades+'!$AF$12,"C-",IF(N248&lt;'PlayerGrades+'!$AF$11,"C",IF(N248&lt;'PlayerGrades+'!$AF$10,"C+",IF(N248&lt;'PlayerGrades+'!$AF$9,"B-",IF(N248&lt;'PlayerGrades+'!$AF$8,"B",IF(N248&lt;'PlayerGrades+'!$AF$7,"B+",IF(N248&lt;'PlayerGrades+'!$AF$6,"A-",IF(N248&lt;'PlayerGrades+'!$AF$5,"A",IF(N248&lt;'PlayerGrades+'!$AF$4,"A+",IF(N248&lt;'PlayerGrades+'!$AF$3,"S-",IF(N248&lt;'PlayerGrades+'!$AF$2,"S","S+"))))))))))))))))))))</f>
        <v>#DIV/0!</v>
      </c>
      <c r="P248" s="961" t="str">
        <f t="shared" si="7"/>
        <v>#DIV/0!</v>
      </c>
      <c r="Q248" s="961" t="str">
        <f>IF(P248&lt;'PlayerGrades+'!$AG$21,"F-",IF(P248&lt;'PlayerGrades+'!$AG$20,"F",IF(P248&lt;'PlayerGrades+'!$AG$19,"F+",IF(P248&lt;'PlayerGrades+'!$AG$18,"E-",IF(P248&lt;'PlayerGrades+'!$AG$17,"E",IF(P248&lt;'PlayerGrades+'!$AG$16,"E+",IF(P248&lt;'PlayerGrades+'!$AG$15,"D-",IF(P248&lt;'PlayerGrades+'!$AG$14,"D",IF(P248&lt;'PlayerGrades+'!$AG$13,"D+",IF(P248&lt;'PlayerGrades+'!$AG$12,"C-",IF(P248&lt;'PlayerGrades+'!$AG$11,"C",IF(P248&lt;'PlayerGrades+'!$AG$10,"C+",IF(P248&lt;'PlayerGrades+'!$AG$9,"B-",IF(P248&lt;'PlayerGrades+'!$AG$8,"B",IF(P248&lt;'PlayerGrades+'!$AG$7,"B+",IF(P248&lt;'PlayerGrades+'!$AG$6,"A-",IF(P248&lt;'PlayerGrades+'!$AG$5,"A",IF(P248&lt;'PlayerGrades+'!$AG$4,"A+",IF(P248&lt;'PlayerGrades+'!$AG$3,"S-",IF(P248&lt;'PlayerGrades+'!$AG$2,"S","S+"))))))))))))))))))))</f>
        <v>#DIV/0!</v>
      </c>
      <c r="R248" s="961" t="str">
        <f t="shared" si="8"/>
        <v>#DIV/0!</v>
      </c>
      <c r="S248" s="961" t="str">
        <f>IF(R248&lt;'PlayerGrades+'!$AH$21,"F-",IF(R248&lt;'PlayerGrades+'!$AH$20,"F",IF(R248&lt;'PlayerGrades+'!$AH$19,"F+",IF(R248&lt;'PlayerGrades+'!$AH$18,"E-",IF(R248&lt;'PlayerGrades+'!$AH$17,"E",IF(R248&lt;'PlayerGrades+'!$AH$16,"E+",IF(R248&lt;'PlayerGrades+'!$AH$15,"D-",IF(R248&lt;'PlayerGrades+'!$AH$14,"D",IF(R248&lt;'PlayerGrades+'!$AH$13,"D+",IF(R248&lt;'PlayerGrades+'!$AH$12,"C-",IF(R248&lt;'PlayerGrades+'!$AH$11,"C",IF(R248&lt;'PlayerGrades+'!$AH$10,"C+",IF(R248&lt;'PlayerGrades+'!$AH$9,"B-",IF(R248&lt;'PlayerGrades+'!$AH$8,"B",IF(R248&lt;'PlayerGrades+'!$AH$7,"B+",IF(R248&lt;'PlayerGrades+'!$AH$6,"A-",IF(R248&lt;'PlayerGrades+'!$AH$5,"A",IF(R248&lt;'PlayerGrades+'!$AH$4,"A+",IF(R248&lt;'PlayerGrades+'!$AH$3,"S-",IF(R248&lt;'PlayerGrades+'!$AH$2,"S","S+"))))))))))))))))))))</f>
        <v>#DIV/0!</v>
      </c>
      <c r="T248" s="961">
        <f t="shared" si="9"/>
        <v>0</v>
      </c>
      <c r="U248" s="961" t="str">
        <f>IF(T248&lt;'PlayerGrades+'!$AI$21,"F-",IF(T248&lt;'PlayerGrades+'!$AI$20,"F",IF(T248&lt;'PlayerGrades+'!$AI$19,"F+",IF(T248&lt;'PlayerGrades+'!$AI$18,"E-",IF(T248&lt;'PlayerGrades+'!$AI$17,"E",IF(T248&lt;'PlayerGrades+'!$AI$16,"E+",IF(T248&lt;'PlayerGrades+'!$AI$15,"D-",IF(T248&lt;'PlayerGrades+'!$AI$14,"D",IF(T248&lt;'PlayerGrades+'!$AI$13,"D+",IF(T248&lt;'PlayerGrades+'!$AI$12,"C-",IF(T248&lt;'PlayerGrades+'!$AI$11,"C",IF(T248&lt;'PlayerGrades+'!$AI$10,"C+",IF(T248&lt;'PlayerGrades+'!$AI$9,"B-",IF(T248&lt;'PlayerGrades+'!$AI$8,"B",IF(T248&lt;'PlayerGrades+'!$AI$7,"B+",IF(T248&lt;'PlayerGrades+'!$AI$6,"A-",IF(T248&lt;'PlayerGrades+'!$AI$5,"A",IF(T248&lt;'PlayerGrades+'!$AI$4,"A+",IF(T248&lt;'PlayerGrades+'!$AI$3,"S-",IF(T248&lt;'PlayerGrades+'!$AI$2,"S","S+"))))))))))))))))))))</f>
        <v>F-</v>
      </c>
      <c r="AC248" s="1392"/>
    </row>
    <row r="249">
      <c r="A249" s="1393"/>
      <c r="B249" s="611" t="str">
        <f>IF(C249&lt;'PlayerGrades+'!$Y$44,"F-",IF(C249&lt;'PlayerGrades+'!$Y$43,"F",IF(C249&lt;'PlayerGrades+'!$Y$42,"F+",IF(C249&lt;'PlayerGrades+'!$Y$41,"E-",IF(C249&lt;'PlayerGrades+'!$Y$40,"E",IF(C249&lt;'PlayerGrades+'!$Y$39,"E+",IF(C249&lt;'PlayerGrades+'!$Y$38,"D-",IF(C249&lt;'PlayerGrades+'!$Y$37,"D",IF(C249&lt;'PlayerGrades+'!$Y$36,"D+",IF(C249&lt;'PlayerGrades+'!$Y$35,"C-",IF(C249&lt;'PlayerGrades+'!$Y$34,"C",IF(C249&lt;'PlayerGrades+'!$Y$33,"C+",IF(C249&lt;'PlayerGrades+'!$Y$32,"B-",IF(C249&lt;'PlayerGrades+'!$Y$31,"B",IF(C249&lt;'PlayerGrades+'!$Y$30,"B+",IF(C249&lt;'PlayerGrades+'!$Y$29,"A-",IF(C249&lt;'PlayerGrades+'!$Y$28,"A",IF(C249&lt;'PlayerGrades+'!$Y$27,"A+",IF(C249&lt;'PlayerGrades+'!$Y$26,"S-",IF(C249&lt;'PlayerGrades+'!$Y$25,"S","S+"))))))))))))))))))))</f>
        <v>#DIV/0!</v>
      </c>
      <c r="C249" s="1378" t="str">
        <f>('PlayerGrades+'!$Y$47*(VLOOKUP(E249, 'PlayerGrades+'!$X$3:$Y$23, 2, FALSE)))+('PlayerGrades+'!$Y$48*(VLOOKUP(G249, 'PlayerGrades+'!$X$3:$Y$23, 2, FALSE)))+('PlayerGrades+'!$Y$49*(VLOOKUP(I249, 'PlayerGrades+'!$X$3:$Y$23, 2, FALSE)))+('PlayerGrades+'!$Y$50*(VLOOKUP(K249, 'PlayerGrades+'!$X$3:$Y$23, 2, FALSE)))+('PlayerGrades+'!$Y$51*(VLOOKUP(M249, 'PlayerGrades+'!$X$3:$Y$23, 2, FALSE)))+('PlayerGrades+'!$Y$52*(VLOOKUP(O249, 'PlayerGrades+'!$X$3:$Y$23, 2, FALSE)))+('PlayerGrades+'!$Y$53*(VLOOKUP(Q249, 'PlayerGrades+'!$X$3:$Y$23, 2, FALSE)))+('PlayerGrades+'!$Y$54*(VLOOKUP(S249, 'PlayerGrades+'!$X$3:$Y$23, 2, FALSE)))+('PlayerGrades+'!$Y$55*(VLOOKUP(U249, 'PlayerGrades+'!$X$3:$Y$23, 2, FALSE)))</f>
        <v>#DIV/0!</v>
      </c>
      <c r="D249" s="961" t="str">
        <f t="shared" si="1"/>
        <v>#DIV/0!</v>
      </c>
      <c r="E249" s="961" t="str">
        <f>IF(D249&lt;'PlayerGrades+'!$AA$21,"F-",IF(D249&lt;'PlayerGrades+'!$AA$20,"F",IF(D249&lt;'PlayerGrades+'!$AA$19,"F+",IF(D249&lt;'PlayerGrades+'!$AA$18,"E-",IF(D249&lt;'PlayerGrades+'!$AA$17,"E",IF(D249&lt;'PlayerGrades+'!$AA$16,"E+",IF(D249&lt;'PlayerGrades+'!$AA$15,"D-",IF(D249&lt;'PlayerGrades+'!$AA$14,"D",IF(D249&lt;'PlayerGrades+'!$AA$13,"D+",IF(D249&lt;'PlayerGrades+'!$AA$12,"C-",IF(D249&lt;'PlayerGrades+'!$AA$11,"C",IF(D249&lt;'PlayerGrades+'!$AA$10,"C+",IF(D249&lt;'PlayerGrades+'!$AA$9,"B-",IF(D249&lt;'PlayerGrades+'!$AA$8,"B",IF(D249&lt;'PlayerGrades+'!$AA$7,"B+",IF(D249&lt;'PlayerGrades+'!$AA$6,"A-",IF(D249&lt;'PlayerGrades+'!$AA$5,"A",IF(D249&lt;'PlayerGrades+'!$AA$4,"A+",IF(D249&lt;'PlayerGrades+'!$AA$3,"S-",IF(D249&lt;'PlayerGrades+'!$AA$2,"S","S+"))))))))))))))))))))</f>
        <v>#DIV/0!</v>
      </c>
      <c r="F249" s="961" t="str">
        <f t="shared" si="2"/>
        <v>#DIV/0!</v>
      </c>
      <c r="G249" s="961" t="str">
        <f>IF(F249&lt;'PlayerGrades+'!$AB$21,"F-",IF(F249&lt;'PlayerGrades+'!$AB$20,"F",IF(F249&lt;'PlayerGrades+'!$AB$19,"F+",IF(F249&lt;'PlayerGrades+'!$AB$18,"E-",IF(F249&lt;'PlayerGrades+'!$AB$17,"E",IF(F249&lt;'PlayerGrades+'!$AB$16,"E+",IF(F249&lt;'PlayerGrades+'!$AB$15,"D-",IF(F249&lt;'PlayerGrades+'!$AB$14,"D",IF(F249&lt;'PlayerGrades+'!$AB$13,"D+",IF(F249&lt;'PlayerGrades+'!$AB$12,"C-",IF(F249&lt;'PlayerGrades+'!$AB$11,"C",IF(F249&lt;'PlayerGrades+'!$AB$10,"C+",IF(F249&lt;'PlayerGrades+'!$AB$9,"B-",IF(F249&lt;'PlayerGrades+'!$AB$8,"B",IF(F249&lt;'PlayerGrades+'!$AB$7,"B+",IF(F249&lt;'PlayerGrades+'!$AB$6,"A-",IF(F249&lt;'PlayerGrades+'!$AB$5,"A",IF(F249&lt;'PlayerGrades+'!$AB$4,"A+",IF(F249&lt;'PlayerGrades+'!$AB$3,"S-",IF(F249&lt;'PlayerGrades+'!$AB$2,"S","S+"))))))))))))))))))))</f>
        <v>#DIV/0!</v>
      </c>
      <c r="H249" s="961" t="str">
        <f t="shared" si="3"/>
        <v>#DIV/0!</v>
      </c>
      <c r="I249" s="961" t="str">
        <f>IF(H249&lt;'PlayerGrades+'!$AC$21,"F-",IF(H249&lt;'PlayerGrades+'!$AC$20,"F",IF(H249&lt;'PlayerGrades+'!$AC$19,"F+",IF(H249&lt;'PlayerGrades+'!$AC$18,"E-",IF(H249&lt;'PlayerGrades+'!$AC$17,"E",IF(H249&lt;'PlayerGrades+'!$AC$16,"E+",IF(H249&lt;'PlayerGrades+'!$AC$15,"D-",IF(H249&lt;'PlayerGrades+'!$AC$14,"D",IF(H249&lt;'PlayerGrades+'!$AC$13,"D+",IF(H249&lt;'PlayerGrades+'!$AC$12,"C-",IF(H249&lt;'PlayerGrades+'!$AC$11,"C",IF(H249&lt;'PlayerGrades+'!$AC$10,"C+",IF(H249&lt;'PlayerGrades+'!$AC$9,"B-",IF(H249&lt;'PlayerGrades+'!$AC$8,"B",IF(H249&lt;'PlayerGrades+'!$AC$7,"B+",IF(H249&lt;'PlayerGrades+'!$AC$6,"A-",IF(H249&lt;'PlayerGrades+'!$AC$5,"A",IF(H249&lt;'PlayerGrades+'!$AC$4,"A+",IF(H249&lt;'PlayerGrades+'!$AC$3,"S-",IF(H249&lt;'PlayerGrades+'!$AC$2,"S","S+"))))))))))))))))))))</f>
        <v>#DIV/0!</v>
      </c>
      <c r="J249" s="961" t="str">
        <f t="shared" si="4"/>
        <v>#DIV/0!</v>
      </c>
      <c r="K249" s="961" t="str">
        <f>IF(J249&lt;'PlayerGrades+'!$AD$21,"F-",IF(J249&lt;'PlayerGrades+'!$AD$20,"F",IF(J249&lt;'PlayerGrades+'!$AD$19,"F+",IF(J249&lt;'PlayerGrades+'!$AD$18,"E-",IF(J249&lt;'PlayerGrades+'!$AD$17,"E",IF(J249&lt;'PlayerGrades+'!$AD$16,"E+",IF(J249&lt;'PlayerGrades+'!$AD$15,"D-",IF(J249&lt;'PlayerGrades+'!$AD$14,"D",IF(J249&lt;'PlayerGrades+'!$AD$13,"D+",IF(J249&lt;'PlayerGrades+'!$AD$12,"C-",IF(J249&lt;'PlayerGrades+'!$AD$11,"C",IF(J249&lt;'PlayerGrades+'!$AD$10,"C+",IF(J249&lt;'PlayerGrades+'!$AD$9,"B-",IF(J249&lt;'PlayerGrades+'!$AD$8,"B",IF(J249&lt;'PlayerGrades+'!$AD$7,"B+",IF(J249&lt;'PlayerGrades+'!$AD$6,"A-",IF(J249&lt;'PlayerGrades+'!$AD$5,"A",IF(J249&lt;'PlayerGrades+'!$AD$4,"A+",IF(J249&lt;'PlayerGrades+'!$AD$3,"S-",IF(J249&lt;'PlayerGrades+'!$AD$2,"S","S+"))))))))))))))))))))</f>
        <v>#DIV/0!</v>
      </c>
      <c r="L249" s="1176" t="str">
        <f t="shared" si="5"/>
        <v>#DIV/0!</v>
      </c>
      <c r="M249" s="992" t="str">
        <f>IF(L249&lt;'PlayerGrades+'!$AE$21,"F-",IF(L249&lt;'PlayerGrades+'!$AE$20,"F",IF(L249&lt;'PlayerGrades+'!$AE$19,"F+",IF(L249&lt;'PlayerGrades+'!$AE$18,"E-",IF(L249&lt;'PlayerGrades+'!$AE$17,"E",IF(L249&lt;'PlayerGrades+'!$AE$16,"E+",IF(L249&lt;'PlayerGrades+'!$AE$15,"D-",IF(L249&lt;'PlayerGrades+'!$AE$14,"D",IF(L249&lt;'PlayerGrades+'!$AE$13,"D+",IF(L249&lt;'PlayerGrades+'!$AE$12,"C-",IF(L249&lt;'PlayerGrades+'!$AE$11,"C",IF(L249&lt;'PlayerGrades+'!$AE$10,"C+",IF(L249&lt;'PlayerGrades+'!$AE$9,"B-",IF(L249&lt;'PlayerGrades+'!$AE$8,"B",IF(L249&lt;'PlayerGrades+'!$AE$7,"B+",IF(L249&lt;'PlayerGrades+'!$AE$6,"A-",IF(L249&lt;'PlayerGrades+'!$AE$5,"A",IF(L249&lt;'PlayerGrades+'!$AE$4,"A+",IF(L249&lt;'PlayerGrades+'!$AE$3,"S-",IF(L249&lt;'PlayerGrades+'!$AE$2,"S","S+"))))))))))))))))))))</f>
        <v>#DIV/0!</v>
      </c>
      <c r="N249" s="961" t="str">
        <f t="shared" si="6"/>
        <v>#DIV/0!</v>
      </c>
      <c r="O249" s="961" t="str">
        <f>IF(N249&lt;'PlayerGrades+'!$AF$21,"F-",IF(N249&lt;'PlayerGrades+'!$AF$20,"F",IF(N249&lt;'PlayerGrades+'!$AF$19,"F+",IF(N249&lt;'PlayerGrades+'!$AF$18,"E-",IF(N249&lt;'PlayerGrades+'!$AF$17,"E",IF(N249&lt;'PlayerGrades+'!$AF$16,"E+",IF(N249&lt;'PlayerGrades+'!$AF$15,"D-",IF(N249&lt;'PlayerGrades+'!$AF$14,"D",IF(N249&lt;'PlayerGrades+'!$AF$13,"D+",IF(N249&lt;'PlayerGrades+'!$AF$12,"C-",IF(N249&lt;'PlayerGrades+'!$AF$11,"C",IF(N249&lt;'PlayerGrades+'!$AF$10,"C+",IF(N249&lt;'PlayerGrades+'!$AF$9,"B-",IF(N249&lt;'PlayerGrades+'!$AF$8,"B",IF(N249&lt;'PlayerGrades+'!$AF$7,"B+",IF(N249&lt;'PlayerGrades+'!$AF$6,"A-",IF(N249&lt;'PlayerGrades+'!$AF$5,"A",IF(N249&lt;'PlayerGrades+'!$AF$4,"A+",IF(N249&lt;'PlayerGrades+'!$AF$3,"S-",IF(N249&lt;'PlayerGrades+'!$AF$2,"S","S+"))))))))))))))))))))</f>
        <v>#DIV/0!</v>
      </c>
      <c r="P249" s="961" t="str">
        <f t="shared" si="7"/>
        <v>#DIV/0!</v>
      </c>
      <c r="Q249" s="961" t="str">
        <f>IF(P249&lt;'PlayerGrades+'!$AG$21,"F-",IF(P249&lt;'PlayerGrades+'!$AG$20,"F",IF(P249&lt;'PlayerGrades+'!$AG$19,"F+",IF(P249&lt;'PlayerGrades+'!$AG$18,"E-",IF(P249&lt;'PlayerGrades+'!$AG$17,"E",IF(P249&lt;'PlayerGrades+'!$AG$16,"E+",IF(P249&lt;'PlayerGrades+'!$AG$15,"D-",IF(P249&lt;'PlayerGrades+'!$AG$14,"D",IF(P249&lt;'PlayerGrades+'!$AG$13,"D+",IF(P249&lt;'PlayerGrades+'!$AG$12,"C-",IF(P249&lt;'PlayerGrades+'!$AG$11,"C",IF(P249&lt;'PlayerGrades+'!$AG$10,"C+",IF(P249&lt;'PlayerGrades+'!$AG$9,"B-",IF(P249&lt;'PlayerGrades+'!$AG$8,"B",IF(P249&lt;'PlayerGrades+'!$AG$7,"B+",IF(P249&lt;'PlayerGrades+'!$AG$6,"A-",IF(P249&lt;'PlayerGrades+'!$AG$5,"A",IF(P249&lt;'PlayerGrades+'!$AG$4,"A+",IF(P249&lt;'PlayerGrades+'!$AG$3,"S-",IF(P249&lt;'PlayerGrades+'!$AG$2,"S","S+"))))))))))))))))))))</f>
        <v>#DIV/0!</v>
      </c>
      <c r="R249" s="961" t="str">
        <f t="shared" si="8"/>
        <v>#DIV/0!</v>
      </c>
      <c r="S249" s="961" t="str">
        <f>IF(R249&lt;'PlayerGrades+'!$AH$21,"F-",IF(R249&lt;'PlayerGrades+'!$AH$20,"F",IF(R249&lt;'PlayerGrades+'!$AH$19,"F+",IF(R249&lt;'PlayerGrades+'!$AH$18,"E-",IF(R249&lt;'PlayerGrades+'!$AH$17,"E",IF(R249&lt;'PlayerGrades+'!$AH$16,"E+",IF(R249&lt;'PlayerGrades+'!$AH$15,"D-",IF(R249&lt;'PlayerGrades+'!$AH$14,"D",IF(R249&lt;'PlayerGrades+'!$AH$13,"D+",IF(R249&lt;'PlayerGrades+'!$AH$12,"C-",IF(R249&lt;'PlayerGrades+'!$AH$11,"C",IF(R249&lt;'PlayerGrades+'!$AH$10,"C+",IF(R249&lt;'PlayerGrades+'!$AH$9,"B-",IF(R249&lt;'PlayerGrades+'!$AH$8,"B",IF(R249&lt;'PlayerGrades+'!$AH$7,"B+",IF(R249&lt;'PlayerGrades+'!$AH$6,"A-",IF(R249&lt;'PlayerGrades+'!$AH$5,"A",IF(R249&lt;'PlayerGrades+'!$AH$4,"A+",IF(R249&lt;'PlayerGrades+'!$AH$3,"S-",IF(R249&lt;'PlayerGrades+'!$AH$2,"S","S+"))))))))))))))))))))</f>
        <v>#DIV/0!</v>
      </c>
      <c r="T249" s="961">
        <f t="shared" si="9"/>
        <v>0</v>
      </c>
      <c r="U249" s="961" t="str">
        <f>IF(T249&lt;'PlayerGrades+'!$AI$21,"F-",IF(T249&lt;'PlayerGrades+'!$AI$20,"F",IF(T249&lt;'PlayerGrades+'!$AI$19,"F+",IF(T249&lt;'PlayerGrades+'!$AI$18,"E-",IF(T249&lt;'PlayerGrades+'!$AI$17,"E",IF(T249&lt;'PlayerGrades+'!$AI$16,"E+",IF(T249&lt;'PlayerGrades+'!$AI$15,"D-",IF(T249&lt;'PlayerGrades+'!$AI$14,"D",IF(T249&lt;'PlayerGrades+'!$AI$13,"D+",IF(T249&lt;'PlayerGrades+'!$AI$12,"C-",IF(T249&lt;'PlayerGrades+'!$AI$11,"C",IF(T249&lt;'PlayerGrades+'!$AI$10,"C+",IF(T249&lt;'PlayerGrades+'!$AI$9,"B-",IF(T249&lt;'PlayerGrades+'!$AI$8,"B",IF(T249&lt;'PlayerGrades+'!$AI$7,"B+",IF(T249&lt;'PlayerGrades+'!$AI$6,"A-",IF(T249&lt;'PlayerGrades+'!$AI$5,"A",IF(T249&lt;'PlayerGrades+'!$AI$4,"A+",IF(T249&lt;'PlayerGrades+'!$AI$3,"S-",IF(T249&lt;'PlayerGrades+'!$AI$2,"S","S+"))))))))))))))))))))</f>
        <v>F-</v>
      </c>
      <c r="V249" s="1386"/>
      <c r="W249" s="1386"/>
      <c r="X249" s="1386"/>
      <c r="Y249" s="1386"/>
      <c r="Z249" s="1386"/>
      <c r="AA249" s="1386"/>
      <c r="AB249" s="1386"/>
      <c r="AC249" s="1397"/>
      <c r="AD249" s="1386"/>
      <c r="AE249" s="1386"/>
      <c r="AF249" s="1386"/>
      <c r="AG249" s="1386"/>
      <c r="AH249" s="1386"/>
      <c r="AI249" s="1386"/>
      <c r="AJ249" s="1386"/>
      <c r="AK249" s="1386"/>
      <c r="AL249" s="1386"/>
      <c r="AM249" s="1386"/>
      <c r="AN249" s="1386"/>
      <c r="AO249" s="1386"/>
      <c r="AP249" s="1386"/>
      <c r="AQ249" s="1386"/>
      <c r="AR249" s="1386"/>
      <c r="AS249" s="1386"/>
      <c r="AT249" s="1386"/>
      <c r="AU249" s="1386"/>
      <c r="AV249" s="1386"/>
      <c r="AW249" s="1386"/>
      <c r="AX249" s="1386"/>
      <c r="AY249" s="1386"/>
      <c r="AZ249" s="1386"/>
    </row>
    <row r="250">
      <c r="A250" s="1389"/>
      <c r="B250" s="611" t="str">
        <f>IF(C250&lt;'PlayerGrades+'!$Y$44,"F-",IF(C250&lt;'PlayerGrades+'!$Y$43,"F",IF(C250&lt;'PlayerGrades+'!$Y$42,"F+",IF(C250&lt;'PlayerGrades+'!$Y$41,"E-",IF(C250&lt;'PlayerGrades+'!$Y$40,"E",IF(C250&lt;'PlayerGrades+'!$Y$39,"E+",IF(C250&lt;'PlayerGrades+'!$Y$38,"D-",IF(C250&lt;'PlayerGrades+'!$Y$37,"D",IF(C250&lt;'PlayerGrades+'!$Y$36,"D+",IF(C250&lt;'PlayerGrades+'!$Y$35,"C-",IF(C250&lt;'PlayerGrades+'!$Y$34,"C",IF(C250&lt;'PlayerGrades+'!$Y$33,"C+",IF(C250&lt;'PlayerGrades+'!$Y$32,"B-",IF(C250&lt;'PlayerGrades+'!$Y$31,"B",IF(C250&lt;'PlayerGrades+'!$Y$30,"B+",IF(C250&lt;'PlayerGrades+'!$Y$29,"A-",IF(C250&lt;'PlayerGrades+'!$Y$28,"A",IF(C250&lt;'PlayerGrades+'!$Y$27,"A+",IF(C250&lt;'PlayerGrades+'!$Y$26,"S-",IF(C250&lt;'PlayerGrades+'!$Y$25,"S","S+"))))))))))))))))))))</f>
        <v>#DIV/0!</v>
      </c>
      <c r="C250" s="1378" t="str">
        <f>('PlayerGrades+'!$Y$47*(VLOOKUP(E250, 'PlayerGrades+'!$X$3:$Y$23, 2, FALSE)))+('PlayerGrades+'!$Y$48*(VLOOKUP(G250, 'PlayerGrades+'!$X$3:$Y$23, 2, FALSE)))+('PlayerGrades+'!$Y$49*(VLOOKUP(I250, 'PlayerGrades+'!$X$3:$Y$23, 2, FALSE)))+('PlayerGrades+'!$Y$50*(VLOOKUP(K250, 'PlayerGrades+'!$X$3:$Y$23, 2, FALSE)))+('PlayerGrades+'!$Y$51*(VLOOKUP(M250, 'PlayerGrades+'!$X$3:$Y$23, 2, FALSE)))+('PlayerGrades+'!$Y$52*(VLOOKUP(O250, 'PlayerGrades+'!$X$3:$Y$23, 2, FALSE)))+('PlayerGrades+'!$Y$53*(VLOOKUP(Q250, 'PlayerGrades+'!$X$3:$Y$23, 2, FALSE)))+('PlayerGrades+'!$Y$54*(VLOOKUP(S250, 'PlayerGrades+'!$X$3:$Y$23, 2, FALSE)))+('PlayerGrades+'!$Y$55*(VLOOKUP(U250, 'PlayerGrades+'!$X$3:$Y$23, 2, FALSE)))</f>
        <v>#DIV/0!</v>
      </c>
      <c r="D250" s="961" t="str">
        <f t="shared" si="1"/>
        <v>#DIV/0!</v>
      </c>
      <c r="E250" s="961" t="str">
        <f>IF(D250&lt;'PlayerGrades+'!$AA$21,"F-",IF(D250&lt;'PlayerGrades+'!$AA$20,"F",IF(D250&lt;'PlayerGrades+'!$AA$19,"F+",IF(D250&lt;'PlayerGrades+'!$AA$18,"E-",IF(D250&lt;'PlayerGrades+'!$AA$17,"E",IF(D250&lt;'PlayerGrades+'!$AA$16,"E+",IF(D250&lt;'PlayerGrades+'!$AA$15,"D-",IF(D250&lt;'PlayerGrades+'!$AA$14,"D",IF(D250&lt;'PlayerGrades+'!$AA$13,"D+",IF(D250&lt;'PlayerGrades+'!$AA$12,"C-",IF(D250&lt;'PlayerGrades+'!$AA$11,"C",IF(D250&lt;'PlayerGrades+'!$AA$10,"C+",IF(D250&lt;'PlayerGrades+'!$AA$9,"B-",IF(D250&lt;'PlayerGrades+'!$AA$8,"B",IF(D250&lt;'PlayerGrades+'!$AA$7,"B+",IF(D250&lt;'PlayerGrades+'!$AA$6,"A-",IF(D250&lt;'PlayerGrades+'!$AA$5,"A",IF(D250&lt;'PlayerGrades+'!$AA$4,"A+",IF(D250&lt;'PlayerGrades+'!$AA$3,"S-",IF(D250&lt;'PlayerGrades+'!$AA$2,"S","S+"))))))))))))))))))))</f>
        <v>#DIV/0!</v>
      </c>
      <c r="F250" s="961" t="str">
        <f t="shared" si="2"/>
        <v>#DIV/0!</v>
      </c>
      <c r="G250" s="961" t="str">
        <f>IF(F250&lt;'PlayerGrades+'!$AB$21,"F-",IF(F250&lt;'PlayerGrades+'!$AB$20,"F",IF(F250&lt;'PlayerGrades+'!$AB$19,"F+",IF(F250&lt;'PlayerGrades+'!$AB$18,"E-",IF(F250&lt;'PlayerGrades+'!$AB$17,"E",IF(F250&lt;'PlayerGrades+'!$AB$16,"E+",IF(F250&lt;'PlayerGrades+'!$AB$15,"D-",IF(F250&lt;'PlayerGrades+'!$AB$14,"D",IF(F250&lt;'PlayerGrades+'!$AB$13,"D+",IF(F250&lt;'PlayerGrades+'!$AB$12,"C-",IF(F250&lt;'PlayerGrades+'!$AB$11,"C",IF(F250&lt;'PlayerGrades+'!$AB$10,"C+",IF(F250&lt;'PlayerGrades+'!$AB$9,"B-",IF(F250&lt;'PlayerGrades+'!$AB$8,"B",IF(F250&lt;'PlayerGrades+'!$AB$7,"B+",IF(F250&lt;'PlayerGrades+'!$AB$6,"A-",IF(F250&lt;'PlayerGrades+'!$AB$5,"A",IF(F250&lt;'PlayerGrades+'!$AB$4,"A+",IF(F250&lt;'PlayerGrades+'!$AB$3,"S-",IF(F250&lt;'PlayerGrades+'!$AB$2,"S","S+"))))))))))))))))))))</f>
        <v>#DIV/0!</v>
      </c>
      <c r="H250" s="961" t="str">
        <f t="shared" si="3"/>
        <v>#DIV/0!</v>
      </c>
      <c r="I250" s="961" t="str">
        <f>IF(H250&lt;'PlayerGrades+'!$AC$21,"F-",IF(H250&lt;'PlayerGrades+'!$AC$20,"F",IF(H250&lt;'PlayerGrades+'!$AC$19,"F+",IF(H250&lt;'PlayerGrades+'!$AC$18,"E-",IF(H250&lt;'PlayerGrades+'!$AC$17,"E",IF(H250&lt;'PlayerGrades+'!$AC$16,"E+",IF(H250&lt;'PlayerGrades+'!$AC$15,"D-",IF(H250&lt;'PlayerGrades+'!$AC$14,"D",IF(H250&lt;'PlayerGrades+'!$AC$13,"D+",IF(H250&lt;'PlayerGrades+'!$AC$12,"C-",IF(H250&lt;'PlayerGrades+'!$AC$11,"C",IF(H250&lt;'PlayerGrades+'!$AC$10,"C+",IF(H250&lt;'PlayerGrades+'!$AC$9,"B-",IF(H250&lt;'PlayerGrades+'!$AC$8,"B",IF(H250&lt;'PlayerGrades+'!$AC$7,"B+",IF(H250&lt;'PlayerGrades+'!$AC$6,"A-",IF(H250&lt;'PlayerGrades+'!$AC$5,"A",IF(H250&lt;'PlayerGrades+'!$AC$4,"A+",IF(H250&lt;'PlayerGrades+'!$AC$3,"S-",IF(H250&lt;'PlayerGrades+'!$AC$2,"S","S+"))))))))))))))))))))</f>
        <v>#DIV/0!</v>
      </c>
      <c r="J250" s="961" t="str">
        <f t="shared" si="4"/>
        <v>#DIV/0!</v>
      </c>
      <c r="K250" s="961" t="str">
        <f>IF(J250&lt;'PlayerGrades+'!$AD$21,"F-",IF(J250&lt;'PlayerGrades+'!$AD$20,"F",IF(J250&lt;'PlayerGrades+'!$AD$19,"F+",IF(J250&lt;'PlayerGrades+'!$AD$18,"E-",IF(J250&lt;'PlayerGrades+'!$AD$17,"E",IF(J250&lt;'PlayerGrades+'!$AD$16,"E+",IF(J250&lt;'PlayerGrades+'!$AD$15,"D-",IF(J250&lt;'PlayerGrades+'!$AD$14,"D",IF(J250&lt;'PlayerGrades+'!$AD$13,"D+",IF(J250&lt;'PlayerGrades+'!$AD$12,"C-",IF(J250&lt;'PlayerGrades+'!$AD$11,"C",IF(J250&lt;'PlayerGrades+'!$AD$10,"C+",IF(J250&lt;'PlayerGrades+'!$AD$9,"B-",IF(J250&lt;'PlayerGrades+'!$AD$8,"B",IF(J250&lt;'PlayerGrades+'!$AD$7,"B+",IF(J250&lt;'PlayerGrades+'!$AD$6,"A-",IF(J250&lt;'PlayerGrades+'!$AD$5,"A",IF(J250&lt;'PlayerGrades+'!$AD$4,"A+",IF(J250&lt;'PlayerGrades+'!$AD$3,"S-",IF(J250&lt;'PlayerGrades+'!$AD$2,"S","S+"))))))))))))))))))))</f>
        <v>#DIV/0!</v>
      </c>
      <c r="L250" s="1176" t="str">
        <f t="shared" si="5"/>
        <v>#DIV/0!</v>
      </c>
      <c r="M250" s="992" t="str">
        <f>IF(L250&lt;'PlayerGrades+'!$AE$21,"F-",IF(L250&lt;'PlayerGrades+'!$AE$20,"F",IF(L250&lt;'PlayerGrades+'!$AE$19,"F+",IF(L250&lt;'PlayerGrades+'!$AE$18,"E-",IF(L250&lt;'PlayerGrades+'!$AE$17,"E",IF(L250&lt;'PlayerGrades+'!$AE$16,"E+",IF(L250&lt;'PlayerGrades+'!$AE$15,"D-",IF(L250&lt;'PlayerGrades+'!$AE$14,"D",IF(L250&lt;'PlayerGrades+'!$AE$13,"D+",IF(L250&lt;'PlayerGrades+'!$AE$12,"C-",IF(L250&lt;'PlayerGrades+'!$AE$11,"C",IF(L250&lt;'PlayerGrades+'!$AE$10,"C+",IF(L250&lt;'PlayerGrades+'!$AE$9,"B-",IF(L250&lt;'PlayerGrades+'!$AE$8,"B",IF(L250&lt;'PlayerGrades+'!$AE$7,"B+",IF(L250&lt;'PlayerGrades+'!$AE$6,"A-",IF(L250&lt;'PlayerGrades+'!$AE$5,"A",IF(L250&lt;'PlayerGrades+'!$AE$4,"A+",IF(L250&lt;'PlayerGrades+'!$AE$3,"S-",IF(L250&lt;'PlayerGrades+'!$AE$2,"S","S+"))))))))))))))))))))</f>
        <v>#DIV/0!</v>
      </c>
      <c r="N250" s="961" t="str">
        <f t="shared" si="6"/>
        <v>#DIV/0!</v>
      </c>
      <c r="O250" s="961" t="str">
        <f>IF(N250&lt;'PlayerGrades+'!$AF$21,"F-",IF(N250&lt;'PlayerGrades+'!$AF$20,"F",IF(N250&lt;'PlayerGrades+'!$AF$19,"F+",IF(N250&lt;'PlayerGrades+'!$AF$18,"E-",IF(N250&lt;'PlayerGrades+'!$AF$17,"E",IF(N250&lt;'PlayerGrades+'!$AF$16,"E+",IF(N250&lt;'PlayerGrades+'!$AF$15,"D-",IF(N250&lt;'PlayerGrades+'!$AF$14,"D",IF(N250&lt;'PlayerGrades+'!$AF$13,"D+",IF(N250&lt;'PlayerGrades+'!$AF$12,"C-",IF(N250&lt;'PlayerGrades+'!$AF$11,"C",IF(N250&lt;'PlayerGrades+'!$AF$10,"C+",IF(N250&lt;'PlayerGrades+'!$AF$9,"B-",IF(N250&lt;'PlayerGrades+'!$AF$8,"B",IF(N250&lt;'PlayerGrades+'!$AF$7,"B+",IF(N250&lt;'PlayerGrades+'!$AF$6,"A-",IF(N250&lt;'PlayerGrades+'!$AF$5,"A",IF(N250&lt;'PlayerGrades+'!$AF$4,"A+",IF(N250&lt;'PlayerGrades+'!$AF$3,"S-",IF(N250&lt;'PlayerGrades+'!$AF$2,"S","S+"))))))))))))))))))))</f>
        <v>#DIV/0!</v>
      </c>
      <c r="P250" s="961" t="str">
        <f t="shared" si="7"/>
        <v>#DIV/0!</v>
      </c>
      <c r="Q250" s="961" t="str">
        <f>IF(P250&lt;'PlayerGrades+'!$AG$21,"F-",IF(P250&lt;'PlayerGrades+'!$AG$20,"F",IF(P250&lt;'PlayerGrades+'!$AG$19,"F+",IF(P250&lt;'PlayerGrades+'!$AG$18,"E-",IF(P250&lt;'PlayerGrades+'!$AG$17,"E",IF(P250&lt;'PlayerGrades+'!$AG$16,"E+",IF(P250&lt;'PlayerGrades+'!$AG$15,"D-",IF(P250&lt;'PlayerGrades+'!$AG$14,"D",IF(P250&lt;'PlayerGrades+'!$AG$13,"D+",IF(P250&lt;'PlayerGrades+'!$AG$12,"C-",IF(P250&lt;'PlayerGrades+'!$AG$11,"C",IF(P250&lt;'PlayerGrades+'!$AG$10,"C+",IF(P250&lt;'PlayerGrades+'!$AG$9,"B-",IF(P250&lt;'PlayerGrades+'!$AG$8,"B",IF(P250&lt;'PlayerGrades+'!$AG$7,"B+",IF(P250&lt;'PlayerGrades+'!$AG$6,"A-",IF(P250&lt;'PlayerGrades+'!$AG$5,"A",IF(P250&lt;'PlayerGrades+'!$AG$4,"A+",IF(P250&lt;'PlayerGrades+'!$AG$3,"S-",IF(P250&lt;'PlayerGrades+'!$AG$2,"S","S+"))))))))))))))))))))</f>
        <v>#DIV/0!</v>
      </c>
      <c r="R250" s="961" t="str">
        <f t="shared" si="8"/>
        <v>#DIV/0!</v>
      </c>
      <c r="S250" s="961" t="str">
        <f>IF(R250&lt;'PlayerGrades+'!$AH$21,"F-",IF(R250&lt;'PlayerGrades+'!$AH$20,"F",IF(R250&lt;'PlayerGrades+'!$AH$19,"F+",IF(R250&lt;'PlayerGrades+'!$AH$18,"E-",IF(R250&lt;'PlayerGrades+'!$AH$17,"E",IF(R250&lt;'PlayerGrades+'!$AH$16,"E+",IF(R250&lt;'PlayerGrades+'!$AH$15,"D-",IF(R250&lt;'PlayerGrades+'!$AH$14,"D",IF(R250&lt;'PlayerGrades+'!$AH$13,"D+",IF(R250&lt;'PlayerGrades+'!$AH$12,"C-",IF(R250&lt;'PlayerGrades+'!$AH$11,"C",IF(R250&lt;'PlayerGrades+'!$AH$10,"C+",IF(R250&lt;'PlayerGrades+'!$AH$9,"B-",IF(R250&lt;'PlayerGrades+'!$AH$8,"B",IF(R250&lt;'PlayerGrades+'!$AH$7,"B+",IF(R250&lt;'PlayerGrades+'!$AH$6,"A-",IF(R250&lt;'PlayerGrades+'!$AH$5,"A",IF(R250&lt;'PlayerGrades+'!$AH$4,"A+",IF(R250&lt;'PlayerGrades+'!$AH$3,"S-",IF(R250&lt;'PlayerGrades+'!$AH$2,"S","S+"))))))))))))))))))))</f>
        <v>#DIV/0!</v>
      </c>
      <c r="T250" s="961">
        <f t="shared" si="9"/>
        <v>0</v>
      </c>
      <c r="U250" s="961" t="str">
        <f>IF(T250&lt;'PlayerGrades+'!$AI$21,"F-",IF(T250&lt;'PlayerGrades+'!$AI$20,"F",IF(T250&lt;'PlayerGrades+'!$AI$19,"F+",IF(T250&lt;'PlayerGrades+'!$AI$18,"E-",IF(T250&lt;'PlayerGrades+'!$AI$17,"E",IF(T250&lt;'PlayerGrades+'!$AI$16,"E+",IF(T250&lt;'PlayerGrades+'!$AI$15,"D-",IF(T250&lt;'PlayerGrades+'!$AI$14,"D",IF(T250&lt;'PlayerGrades+'!$AI$13,"D+",IF(T250&lt;'PlayerGrades+'!$AI$12,"C-",IF(T250&lt;'PlayerGrades+'!$AI$11,"C",IF(T250&lt;'PlayerGrades+'!$AI$10,"C+",IF(T250&lt;'PlayerGrades+'!$AI$9,"B-",IF(T250&lt;'PlayerGrades+'!$AI$8,"B",IF(T250&lt;'PlayerGrades+'!$AI$7,"B+",IF(T250&lt;'PlayerGrades+'!$AI$6,"A-",IF(T250&lt;'PlayerGrades+'!$AI$5,"A",IF(T250&lt;'PlayerGrades+'!$AI$4,"A+",IF(T250&lt;'PlayerGrades+'!$AI$3,"S-",IF(T250&lt;'PlayerGrades+'!$AI$2,"S","S+"))))))))))))))))))))</f>
        <v>F-</v>
      </c>
      <c r="V250" s="1379"/>
      <c r="W250" s="1379"/>
      <c r="X250" s="1379"/>
      <c r="Y250" s="1379"/>
      <c r="Z250" s="1379"/>
      <c r="AA250" s="1379"/>
      <c r="AB250" s="1379"/>
      <c r="AC250" s="1390"/>
      <c r="AD250" s="1379"/>
      <c r="AE250" s="1379"/>
      <c r="AF250" s="1379"/>
      <c r="AG250" s="1379"/>
      <c r="AH250" s="1379"/>
      <c r="AI250" s="1379"/>
      <c r="AJ250" s="1379"/>
      <c r="AK250" s="1379"/>
      <c r="AL250" s="1379"/>
      <c r="AM250" s="1379"/>
      <c r="AN250" s="1379"/>
      <c r="AO250" s="1379"/>
      <c r="AP250" s="1379"/>
      <c r="AQ250" s="1379"/>
      <c r="AR250" s="1379"/>
      <c r="AS250" s="1379"/>
      <c r="AT250" s="1379"/>
      <c r="AU250" s="1379"/>
      <c r="AV250" s="1379"/>
      <c r="AW250" s="1379"/>
      <c r="AX250" s="1379"/>
      <c r="AY250" s="1379"/>
      <c r="AZ250" s="1379"/>
    </row>
    <row r="251">
      <c r="A251" s="1391"/>
      <c r="B251" s="611" t="str">
        <f>IF(C251&lt;'PlayerGrades+'!$Y$44,"F-",IF(C251&lt;'PlayerGrades+'!$Y$43,"F",IF(C251&lt;'PlayerGrades+'!$Y$42,"F+",IF(C251&lt;'PlayerGrades+'!$Y$41,"E-",IF(C251&lt;'PlayerGrades+'!$Y$40,"E",IF(C251&lt;'PlayerGrades+'!$Y$39,"E+",IF(C251&lt;'PlayerGrades+'!$Y$38,"D-",IF(C251&lt;'PlayerGrades+'!$Y$37,"D",IF(C251&lt;'PlayerGrades+'!$Y$36,"D+",IF(C251&lt;'PlayerGrades+'!$Y$35,"C-",IF(C251&lt;'PlayerGrades+'!$Y$34,"C",IF(C251&lt;'PlayerGrades+'!$Y$33,"C+",IF(C251&lt;'PlayerGrades+'!$Y$32,"B-",IF(C251&lt;'PlayerGrades+'!$Y$31,"B",IF(C251&lt;'PlayerGrades+'!$Y$30,"B+",IF(C251&lt;'PlayerGrades+'!$Y$29,"A-",IF(C251&lt;'PlayerGrades+'!$Y$28,"A",IF(C251&lt;'PlayerGrades+'!$Y$27,"A+",IF(C251&lt;'PlayerGrades+'!$Y$26,"S-",IF(C251&lt;'PlayerGrades+'!$Y$25,"S","S+"))))))))))))))))))))</f>
        <v>#DIV/0!</v>
      </c>
      <c r="C251" s="1378" t="str">
        <f>('PlayerGrades+'!$Y$47*(VLOOKUP(E251, 'PlayerGrades+'!$X$3:$Y$23, 2, FALSE)))+('PlayerGrades+'!$Y$48*(VLOOKUP(G251, 'PlayerGrades+'!$X$3:$Y$23, 2, FALSE)))+('PlayerGrades+'!$Y$49*(VLOOKUP(I251, 'PlayerGrades+'!$X$3:$Y$23, 2, FALSE)))+('PlayerGrades+'!$Y$50*(VLOOKUP(K251, 'PlayerGrades+'!$X$3:$Y$23, 2, FALSE)))+('PlayerGrades+'!$Y$51*(VLOOKUP(M251, 'PlayerGrades+'!$X$3:$Y$23, 2, FALSE)))+('PlayerGrades+'!$Y$52*(VLOOKUP(O251, 'PlayerGrades+'!$X$3:$Y$23, 2, FALSE)))+('PlayerGrades+'!$Y$53*(VLOOKUP(Q251, 'PlayerGrades+'!$X$3:$Y$23, 2, FALSE)))+('PlayerGrades+'!$Y$54*(VLOOKUP(S251, 'PlayerGrades+'!$X$3:$Y$23, 2, FALSE)))+('PlayerGrades+'!$Y$55*(VLOOKUP(U251, 'PlayerGrades+'!$X$3:$Y$23, 2, FALSE)))</f>
        <v>#DIV/0!</v>
      </c>
      <c r="D251" s="961" t="str">
        <f t="shared" si="1"/>
        <v>#DIV/0!</v>
      </c>
      <c r="E251" s="961" t="str">
        <f>IF(D251&lt;'PlayerGrades+'!$AA$21,"F-",IF(D251&lt;'PlayerGrades+'!$AA$20,"F",IF(D251&lt;'PlayerGrades+'!$AA$19,"F+",IF(D251&lt;'PlayerGrades+'!$AA$18,"E-",IF(D251&lt;'PlayerGrades+'!$AA$17,"E",IF(D251&lt;'PlayerGrades+'!$AA$16,"E+",IF(D251&lt;'PlayerGrades+'!$AA$15,"D-",IF(D251&lt;'PlayerGrades+'!$AA$14,"D",IF(D251&lt;'PlayerGrades+'!$AA$13,"D+",IF(D251&lt;'PlayerGrades+'!$AA$12,"C-",IF(D251&lt;'PlayerGrades+'!$AA$11,"C",IF(D251&lt;'PlayerGrades+'!$AA$10,"C+",IF(D251&lt;'PlayerGrades+'!$AA$9,"B-",IF(D251&lt;'PlayerGrades+'!$AA$8,"B",IF(D251&lt;'PlayerGrades+'!$AA$7,"B+",IF(D251&lt;'PlayerGrades+'!$AA$6,"A-",IF(D251&lt;'PlayerGrades+'!$AA$5,"A",IF(D251&lt;'PlayerGrades+'!$AA$4,"A+",IF(D251&lt;'PlayerGrades+'!$AA$3,"S-",IF(D251&lt;'PlayerGrades+'!$AA$2,"S","S+"))))))))))))))))))))</f>
        <v>#DIV/0!</v>
      </c>
      <c r="F251" s="961" t="str">
        <f t="shared" si="2"/>
        <v>#DIV/0!</v>
      </c>
      <c r="G251" s="961" t="str">
        <f>IF(F251&lt;'PlayerGrades+'!$AB$21,"F-",IF(F251&lt;'PlayerGrades+'!$AB$20,"F",IF(F251&lt;'PlayerGrades+'!$AB$19,"F+",IF(F251&lt;'PlayerGrades+'!$AB$18,"E-",IF(F251&lt;'PlayerGrades+'!$AB$17,"E",IF(F251&lt;'PlayerGrades+'!$AB$16,"E+",IF(F251&lt;'PlayerGrades+'!$AB$15,"D-",IF(F251&lt;'PlayerGrades+'!$AB$14,"D",IF(F251&lt;'PlayerGrades+'!$AB$13,"D+",IF(F251&lt;'PlayerGrades+'!$AB$12,"C-",IF(F251&lt;'PlayerGrades+'!$AB$11,"C",IF(F251&lt;'PlayerGrades+'!$AB$10,"C+",IF(F251&lt;'PlayerGrades+'!$AB$9,"B-",IF(F251&lt;'PlayerGrades+'!$AB$8,"B",IF(F251&lt;'PlayerGrades+'!$AB$7,"B+",IF(F251&lt;'PlayerGrades+'!$AB$6,"A-",IF(F251&lt;'PlayerGrades+'!$AB$5,"A",IF(F251&lt;'PlayerGrades+'!$AB$4,"A+",IF(F251&lt;'PlayerGrades+'!$AB$3,"S-",IF(F251&lt;'PlayerGrades+'!$AB$2,"S","S+"))))))))))))))))))))</f>
        <v>#DIV/0!</v>
      </c>
      <c r="H251" s="961" t="str">
        <f t="shared" si="3"/>
        <v>#DIV/0!</v>
      </c>
      <c r="I251" s="961" t="str">
        <f>IF(H251&lt;'PlayerGrades+'!$AC$21,"F-",IF(H251&lt;'PlayerGrades+'!$AC$20,"F",IF(H251&lt;'PlayerGrades+'!$AC$19,"F+",IF(H251&lt;'PlayerGrades+'!$AC$18,"E-",IF(H251&lt;'PlayerGrades+'!$AC$17,"E",IF(H251&lt;'PlayerGrades+'!$AC$16,"E+",IF(H251&lt;'PlayerGrades+'!$AC$15,"D-",IF(H251&lt;'PlayerGrades+'!$AC$14,"D",IF(H251&lt;'PlayerGrades+'!$AC$13,"D+",IF(H251&lt;'PlayerGrades+'!$AC$12,"C-",IF(H251&lt;'PlayerGrades+'!$AC$11,"C",IF(H251&lt;'PlayerGrades+'!$AC$10,"C+",IF(H251&lt;'PlayerGrades+'!$AC$9,"B-",IF(H251&lt;'PlayerGrades+'!$AC$8,"B",IF(H251&lt;'PlayerGrades+'!$AC$7,"B+",IF(H251&lt;'PlayerGrades+'!$AC$6,"A-",IF(H251&lt;'PlayerGrades+'!$AC$5,"A",IF(H251&lt;'PlayerGrades+'!$AC$4,"A+",IF(H251&lt;'PlayerGrades+'!$AC$3,"S-",IF(H251&lt;'PlayerGrades+'!$AC$2,"S","S+"))))))))))))))))))))</f>
        <v>#DIV/0!</v>
      </c>
      <c r="J251" s="961" t="str">
        <f t="shared" si="4"/>
        <v>#DIV/0!</v>
      </c>
      <c r="K251" s="961" t="str">
        <f>IF(J251&lt;'PlayerGrades+'!$AD$21,"F-",IF(J251&lt;'PlayerGrades+'!$AD$20,"F",IF(J251&lt;'PlayerGrades+'!$AD$19,"F+",IF(J251&lt;'PlayerGrades+'!$AD$18,"E-",IF(J251&lt;'PlayerGrades+'!$AD$17,"E",IF(J251&lt;'PlayerGrades+'!$AD$16,"E+",IF(J251&lt;'PlayerGrades+'!$AD$15,"D-",IF(J251&lt;'PlayerGrades+'!$AD$14,"D",IF(J251&lt;'PlayerGrades+'!$AD$13,"D+",IF(J251&lt;'PlayerGrades+'!$AD$12,"C-",IF(J251&lt;'PlayerGrades+'!$AD$11,"C",IF(J251&lt;'PlayerGrades+'!$AD$10,"C+",IF(J251&lt;'PlayerGrades+'!$AD$9,"B-",IF(J251&lt;'PlayerGrades+'!$AD$8,"B",IF(J251&lt;'PlayerGrades+'!$AD$7,"B+",IF(J251&lt;'PlayerGrades+'!$AD$6,"A-",IF(J251&lt;'PlayerGrades+'!$AD$5,"A",IF(J251&lt;'PlayerGrades+'!$AD$4,"A+",IF(J251&lt;'PlayerGrades+'!$AD$3,"S-",IF(J251&lt;'PlayerGrades+'!$AD$2,"S","S+"))))))))))))))))))))</f>
        <v>#DIV/0!</v>
      </c>
      <c r="L251" s="1176" t="str">
        <f t="shared" si="5"/>
        <v>#DIV/0!</v>
      </c>
      <c r="M251" s="992" t="str">
        <f>IF(L251&lt;'PlayerGrades+'!$AE$21,"F-",IF(L251&lt;'PlayerGrades+'!$AE$20,"F",IF(L251&lt;'PlayerGrades+'!$AE$19,"F+",IF(L251&lt;'PlayerGrades+'!$AE$18,"E-",IF(L251&lt;'PlayerGrades+'!$AE$17,"E",IF(L251&lt;'PlayerGrades+'!$AE$16,"E+",IF(L251&lt;'PlayerGrades+'!$AE$15,"D-",IF(L251&lt;'PlayerGrades+'!$AE$14,"D",IF(L251&lt;'PlayerGrades+'!$AE$13,"D+",IF(L251&lt;'PlayerGrades+'!$AE$12,"C-",IF(L251&lt;'PlayerGrades+'!$AE$11,"C",IF(L251&lt;'PlayerGrades+'!$AE$10,"C+",IF(L251&lt;'PlayerGrades+'!$AE$9,"B-",IF(L251&lt;'PlayerGrades+'!$AE$8,"B",IF(L251&lt;'PlayerGrades+'!$AE$7,"B+",IF(L251&lt;'PlayerGrades+'!$AE$6,"A-",IF(L251&lt;'PlayerGrades+'!$AE$5,"A",IF(L251&lt;'PlayerGrades+'!$AE$4,"A+",IF(L251&lt;'PlayerGrades+'!$AE$3,"S-",IF(L251&lt;'PlayerGrades+'!$AE$2,"S","S+"))))))))))))))))))))</f>
        <v>#DIV/0!</v>
      </c>
      <c r="N251" s="961" t="str">
        <f t="shared" si="6"/>
        <v>#DIV/0!</v>
      </c>
      <c r="O251" s="961" t="str">
        <f>IF(N251&lt;'PlayerGrades+'!$AF$21,"F-",IF(N251&lt;'PlayerGrades+'!$AF$20,"F",IF(N251&lt;'PlayerGrades+'!$AF$19,"F+",IF(N251&lt;'PlayerGrades+'!$AF$18,"E-",IF(N251&lt;'PlayerGrades+'!$AF$17,"E",IF(N251&lt;'PlayerGrades+'!$AF$16,"E+",IF(N251&lt;'PlayerGrades+'!$AF$15,"D-",IF(N251&lt;'PlayerGrades+'!$AF$14,"D",IF(N251&lt;'PlayerGrades+'!$AF$13,"D+",IF(N251&lt;'PlayerGrades+'!$AF$12,"C-",IF(N251&lt;'PlayerGrades+'!$AF$11,"C",IF(N251&lt;'PlayerGrades+'!$AF$10,"C+",IF(N251&lt;'PlayerGrades+'!$AF$9,"B-",IF(N251&lt;'PlayerGrades+'!$AF$8,"B",IF(N251&lt;'PlayerGrades+'!$AF$7,"B+",IF(N251&lt;'PlayerGrades+'!$AF$6,"A-",IF(N251&lt;'PlayerGrades+'!$AF$5,"A",IF(N251&lt;'PlayerGrades+'!$AF$4,"A+",IF(N251&lt;'PlayerGrades+'!$AF$3,"S-",IF(N251&lt;'PlayerGrades+'!$AF$2,"S","S+"))))))))))))))))))))</f>
        <v>#DIV/0!</v>
      </c>
      <c r="P251" s="961" t="str">
        <f t="shared" si="7"/>
        <v>#DIV/0!</v>
      </c>
      <c r="Q251" s="961" t="str">
        <f>IF(P251&lt;'PlayerGrades+'!$AG$21,"F-",IF(P251&lt;'PlayerGrades+'!$AG$20,"F",IF(P251&lt;'PlayerGrades+'!$AG$19,"F+",IF(P251&lt;'PlayerGrades+'!$AG$18,"E-",IF(P251&lt;'PlayerGrades+'!$AG$17,"E",IF(P251&lt;'PlayerGrades+'!$AG$16,"E+",IF(P251&lt;'PlayerGrades+'!$AG$15,"D-",IF(P251&lt;'PlayerGrades+'!$AG$14,"D",IF(P251&lt;'PlayerGrades+'!$AG$13,"D+",IF(P251&lt;'PlayerGrades+'!$AG$12,"C-",IF(P251&lt;'PlayerGrades+'!$AG$11,"C",IF(P251&lt;'PlayerGrades+'!$AG$10,"C+",IF(P251&lt;'PlayerGrades+'!$AG$9,"B-",IF(P251&lt;'PlayerGrades+'!$AG$8,"B",IF(P251&lt;'PlayerGrades+'!$AG$7,"B+",IF(P251&lt;'PlayerGrades+'!$AG$6,"A-",IF(P251&lt;'PlayerGrades+'!$AG$5,"A",IF(P251&lt;'PlayerGrades+'!$AG$4,"A+",IF(P251&lt;'PlayerGrades+'!$AG$3,"S-",IF(P251&lt;'PlayerGrades+'!$AG$2,"S","S+"))))))))))))))))))))</f>
        <v>#DIV/0!</v>
      </c>
      <c r="R251" s="961" t="str">
        <f t="shared" si="8"/>
        <v>#DIV/0!</v>
      </c>
      <c r="S251" s="961" t="str">
        <f>IF(R251&lt;'PlayerGrades+'!$AH$21,"F-",IF(R251&lt;'PlayerGrades+'!$AH$20,"F",IF(R251&lt;'PlayerGrades+'!$AH$19,"F+",IF(R251&lt;'PlayerGrades+'!$AH$18,"E-",IF(R251&lt;'PlayerGrades+'!$AH$17,"E",IF(R251&lt;'PlayerGrades+'!$AH$16,"E+",IF(R251&lt;'PlayerGrades+'!$AH$15,"D-",IF(R251&lt;'PlayerGrades+'!$AH$14,"D",IF(R251&lt;'PlayerGrades+'!$AH$13,"D+",IF(R251&lt;'PlayerGrades+'!$AH$12,"C-",IF(R251&lt;'PlayerGrades+'!$AH$11,"C",IF(R251&lt;'PlayerGrades+'!$AH$10,"C+",IF(R251&lt;'PlayerGrades+'!$AH$9,"B-",IF(R251&lt;'PlayerGrades+'!$AH$8,"B",IF(R251&lt;'PlayerGrades+'!$AH$7,"B+",IF(R251&lt;'PlayerGrades+'!$AH$6,"A-",IF(R251&lt;'PlayerGrades+'!$AH$5,"A",IF(R251&lt;'PlayerGrades+'!$AH$4,"A+",IF(R251&lt;'PlayerGrades+'!$AH$3,"S-",IF(R251&lt;'PlayerGrades+'!$AH$2,"S","S+"))))))))))))))))))))</f>
        <v>#DIV/0!</v>
      </c>
      <c r="T251" s="961">
        <f t="shared" si="9"/>
        <v>0</v>
      </c>
      <c r="U251" s="961" t="str">
        <f>IF(T251&lt;'PlayerGrades+'!$AI$21,"F-",IF(T251&lt;'PlayerGrades+'!$AI$20,"F",IF(T251&lt;'PlayerGrades+'!$AI$19,"F+",IF(T251&lt;'PlayerGrades+'!$AI$18,"E-",IF(T251&lt;'PlayerGrades+'!$AI$17,"E",IF(T251&lt;'PlayerGrades+'!$AI$16,"E+",IF(T251&lt;'PlayerGrades+'!$AI$15,"D-",IF(T251&lt;'PlayerGrades+'!$AI$14,"D",IF(T251&lt;'PlayerGrades+'!$AI$13,"D+",IF(T251&lt;'PlayerGrades+'!$AI$12,"C-",IF(T251&lt;'PlayerGrades+'!$AI$11,"C",IF(T251&lt;'PlayerGrades+'!$AI$10,"C+",IF(T251&lt;'PlayerGrades+'!$AI$9,"B-",IF(T251&lt;'PlayerGrades+'!$AI$8,"B",IF(T251&lt;'PlayerGrades+'!$AI$7,"B+",IF(T251&lt;'PlayerGrades+'!$AI$6,"A-",IF(T251&lt;'PlayerGrades+'!$AI$5,"A",IF(T251&lt;'PlayerGrades+'!$AI$4,"A+",IF(T251&lt;'PlayerGrades+'!$AI$3,"S-",IF(T251&lt;'PlayerGrades+'!$AI$2,"S","S+"))))))))))))))))))))</f>
        <v>F-</v>
      </c>
      <c r="AC251" s="1392"/>
    </row>
    <row r="252">
      <c r="A252" s="1391"/>
      <c r="B252" s="611" t="str">
        <f>IF(C252&lt;'PlayerGrades+'!$Y$44,"F-",IF(C252&lt;'PlayerGrades+'!$Y$43,"F",IF(C252&lt;'PlayerGrades+'!$Y$42,"F+",IF(C252&lt;'PlayerGrades+'!$Y$41,"E-",IF(C252&lt;'PlayerGrades+'!$Y$40,"E",IF(C252&lt;'PlayerGrades+'!$Y$39,"E+",IF(C252&lt;'PlayerGrades+'!$Y$38,"D-",IF(C252&lt;'PlayerGrades+'!$Y$37,"D",IF(C252&lt;'PlayerGrades+'!$Y$36,"D+",IF(C252&lt;'PlayerGrades+'!$Y$35,"C-",IF(C252&lt;'PlayerGrades+'!$Y$34,"C",IF(C252&lt;'PlayerGrades+'!$Y$33,"C+",IF(C252&lt;'PlayerGrades+'!$Y$32,"B-",IF(C252&lt;'PlayerGrades+'!$Y$31,"B",IF(C252&lt;'PlayerGrades+'!$Y$30,"B+",IF(C252&lt;'PlayerGrades+'!$Y$29,"A-",IF(C252&lt;'PlayerGrades+'!$Y$28,"A",IF(C252&lt;'PlayerGrades+'!$Y$27,"A+",IF(C252&lt;'PlayerGrades+'!$Y$26,"S-",IF(C252&lt;'PlayerGrades+'!$Y$25,"S","S+"))))))))))))))))))))</f>
        <v>#DIV/0!</v>
      </c>
      <c r="C252" s="1378" t="str">
        <f>('PlayerGrades+'!$Y$47*(VLOOKUP(E252, 'PlayerGrades+'!$X$3:$Y$23, 2, FALSE)))+('PlayerGrades+'!$Y$48*(VLOOKUP(G252, 'PlayerGrades+'!$X$3:$Y$23, 2, FALSE)))+('PlayerGrades+'!$Y$49*(VLOOKUP(I252, 'PlayerGrades+'!$X$3:$Y$23, 2, FALSE)))+('PlayerGrades+'!$Y$50*(VLOOKUP(K252, 'PlayerGrades+'!$X$3:$Y$23, 2, FALSE)))+('PlayerGrades+'!$Y$51*(VLOOKUP(M252, 'PlayerGrades+'!$X$3:$Y$23, 2, FALSE)))+('PlayerGrades+'!$Y$52*(VLOOKUP(O252, 'PlayerGrades+'!$X$3:$Y$23, 2, FALSE)))+('PlayerGrades+'!$Y$53*(VLOOKUP(Q252, 'PlayerGrades+'!$X$3:$Y$23, 2, FALSE)))+('PlayerGrades+'!$Y$54*(VLOOKUP(S252, 'PlayerGrades+'!$X$3:$Y$23, 2, FALSE)))+('PlayerGrades+'!$Y$55*(VLOOKUP(U252, 'PlayerGrades+'!$X$3:$Y$23, 2, FALSE)))</f>
        <v>#DIV/0!</v>
      </c>
      <c r="D252" s="961" t="str">
        <f t="shared" si="1"/>
        <v>#DIV/0!</v>
      </c>
      <c r="E252" s="961" t="str">
        <f>IF(D252&lt;'PlayerGrades+'!$AA$21,"F-",IF(D252&lt;'PlayerGrades+'!$AA$20,"F",IF(D252&lt;'PlayerGrades+'!$AA$19,"F+",IF(D252&lt;'PlayerGrades+'!$AA$18,"E-",IF(D252&lt;'PlayerGrades+'!$AA$17,"E",IF(D252&lt;'PlayerGrades+'!$AA$16,"E+",IF(D252&lt;'PlayerGrades+'!$AA$15,"D-",IF(D252&lt;'PlayerGrades+'!$AA$14,"D",IF(D252&lt;'PlayerGrades+'!$AA$13,"D+",IF(D252&lt;'PlayerGrades+'!$AA$12,"C-",IF(D252&lt;'PlayerGrades+'!$AA$11,"C",IF(D252&lt;'PlayerGrades+'!$AA$10,"C+",IF(D252&lt;'PlayerGrades+'!$AA$9,"B-",IF(D252&lt;'PlayerGrades+'!$AA$8,"B",IF(D252&lt;'PlayerGrades+'!$AA$7,"B+",IF(D252&lt;'PlayerGrades+'!$AA$6,"A-",IF(D252&lt;'PlayerGrades+'!$AA$5,"A",IF(D252&lt;'PlayerGrades+'!$AA$4,"A+",IF(D252&lt;'PlayerGrades+'!$AA$3,"S-",IF(D252&lt;'PlayerGrades+'!$AA$2,"S","S+"))))))))))))))))))))</f>
        <v>#DIV/0!</v>
      </c>
      <c r="F252" s="961" t="str">
        <f t="shared" si="2"/>
        <v>#DIV/0!</v>
      </c>
      <c r="G252" s="961" t="str">
        <f>IF(F252&lt;'PlayerGrades+'!$AB$21,"F-",IF(F252&lt;'PlayerGrades+'!$AB$20,"F",IF(F252&lt;'PlayerGrades+'!$AB$19,"F+",IF(F252&lt;'PlayerGrades+'!$AB$18,"E-",IF(F252&lt;'PlayerGrades+'!$AB$17,"E",IF(F252&lt;'PlayerGrades+'!$AB$16,"E+",IF(F252&lt;'PlayerGrades+'!$AB$15,"D-",IF(F252&lt;'PlayerGrades+'!$AB$14,"D",IF(F252&lt;'PlayerGrades+'!$AB$13,"D+",IF(F252&lt;'PlayerGrades+'!$AB$12,"C-",IF(F252&lt;'PlayerGrades+'!$AB$11,"C",IF(F252&lt;'PlayerGrades+'!$AB$10,"C+",IF(F252&lt;'PlayerGrades+'!$AB$9,"B-",IF(F252&lt;'PlayerGrades+'!$AB$8,"B",IF(F252&lt;'PlayerGrades+'!$AB$7,"B+",IF(F252&lt;'PlayerGrades+'!$AB$6,"A-",IF(F252&lt;'PlayerGrades+'!$AB$5,"A",IF(F252&lt;'PlayerGrades+'!$AB$4,"A+",IF(F252&lt;'PlayerGrades+'!$AB$3,"S-",IF(F252&lt;'PlayerGrades+'!$AB$2,"S","S+"))))))))))))))))))))</f>
        <v>#DIV/0!</v>
      </c>
      <c r="H252" s="961" t="str">
        <f t="shared" si="3"/>
        <v>#DIV/0!</v>
      </c>
      <c r="I252" s="961" t="str">
        <f>IF(H252&lt;'PlayerGrades+'!$AC$21,"F-",IF(H252&lt;'PlayerGrades+'!$AC$20,"F",IF(H252&lt;'PlayerGrades+'!$AC$19,"F+",IF(H252&lt;'PlayerGrades+'!$AC$18,"E-",IF(H252&lt;'PlayerGrades+'!$AC$17,"E",IF(H252&lt;'PlayerGrades+'!$AC$16,"E+",IF(H252&lt;'PlayerGrades+'!$AC$15,"D-",IF(H252&lt;'PlayerGrades+'!$AC$14,"D",IF(H252&lt;'PlayerGrades+'!$AC$13,"D+",IF(H252&lt;'PlayerGrades+'!$AC$12,"C-",IF(H252&lt;'PlayerGrades+'!$AC$11,"C",IF(H252&lt;'PlayerGrades+'!$AC$10,"C+",IF(H252&lt;'PlayerGrades+'!$AC$9,"B-",IF(H252&lt;'PlayerGrades+'!$AC$8,"B",IF(H252&lt;'PlayerGrades+'!$AC$7,"B+",IF(H252&lt;'PlayerGrades+'!$AC$6,"A-",IF(H252&lt;'PlayerGrades+'!$AC$5,"A",IF(H252&lt;'PlayerGrades+'!$AC$4,"A+",IF(H252&lt;'PlayerGrades+'!$AC$3,"S-",IF(H252&lt;'PlayerGrades+'!$AC$2,"S","S+"))))))))))))))))))))</f>
        <v>#DIV/0!</v>
      </c>
      <c r="J252" s="961" t="str">
        <f t="shared" si="4"/>
        <v>#DIV/0!</v>
      </c>
      <c r="K252" s="961" t="str">
        <f>IF(J252&lt;'PlayerGrades+'!$AD$21,"F-",IF(J252&lt;'PlayerGrades+'!$AD$20,"F",IF(J252&lt;'PlayerGrades+'!$AD$19,"F+",IF(J252&lt;'PlayerGrades+'!$AD$18,"E-",IF(J252&lt;'PlayerGrades+'!$AD$17,"E",IF(J252&lt;'PlayerGrades+'!$AD$16,"E+",IF(J252&lt;'PlayerGrades+'!$AD$15,"D-",IF(J252&lt;'PlayerGrades+'!$AD$14,"D",IF(J252&lt;'PlayerGrades+'!$AD$13,"D+",IF(J252&lt;'PlayerGrades+'!$AD$12,"C-",IF(J252&lt;'PlayerGrades+'!$AD$11,"C",IF(J252&lt;'PlayerGrades+'!$AD$10,"C+",IF(J252&lt;'PlayerGrades+'!$AD$9,"B-",IF(J252&lt;'PlayerGrades+'!$AD$8,"B",IF(J252&lt;'PlayerGrades+'!$AD$7,"B+",IF(J252&lt;'PlayerGrades+'!$AD$6,"A-",IF(J252&lt;'PlayerGrades+'!$AD$5,"A",IF(J252&lt;'PlayerGrades+'!$AD$4,"A+",IF(J252&lt;'PlayerGrades+'!$AD$3,"S-",IF(J252&lt;'PlayerGrades+'!$AD$2,"S","S+"))))))))))))))))))))</f>
        <v>#DIV/0!</v>
      </c>
      <c r="L252" s="1176" t="str">
        <f t="shared" si="5"/>
        <v>#DIV/0!</v>
      </c>
      <c r="M252" s="992" t="str">
        <f>IF(L252&lt;'PlayerGrades+'!$AE$21,"F-",IF(L252&lt;'PlayerGrades+'!$AE$20,"F",IF(L252&lt;'PlayerGrades+'!$AE$19,"F+",IF(L252&lt;'PlayerGrades+'!$AE$18,"E-",IF(L252&lt;'PlayerGrades+'!$AE$17,"E",IF(L252&lt;'PlayerGrades+'!$AE$16,"E+",IF(L252&lt;'PlayerGrades+'!$AE$15,"D-",IF(L252&lt;'PlayerGrades+'!$AE$14,"D",IF(L252&lt;'PlayerGrades+'!$AE$13,"D+",IF(L252&lt;'PlayerGrades+'!$AE$12,"C-",IF(L252&lt;'PlayerGrades+'!$AE$11,"C",IF(L252&lt;'PlayerGrades+'!$AE$10,"C+",IF(L252&lt;'PlayerGrades+'!$AE$9,"B-",IF(L252&lt;'PlayerGrades+'!$AE$8,"B",IF(L252&lt;'PlayerGrades+'!$AE$7,"B+",IF(L252&lt;'PlayerGrades+'!$AE$6,"A-",IF(L252&lt;'PlayerGrades+'!$AE$5,"A",IF(L252&lt;'PlayerGrades+'!$AE$4,"A+",IF(L252&lt;'PlayerGrades+'!$AE$3,"S-",IF(L252&lt;'PlayerGrades+'!$AE$2,"S","S+"))))))))))))))))))))</f>
        <v>#DIV/0!</v>
      </c>
      <c r="N252" s="961" t="str">
        <f t="shared" si="6"/>
        <v>#DIV/0!</v>
      </c>
      <c r="O252" s="961" t="str">
        <f>IF(N252&lt;'PlayerGrades+'!$AF$21,"F-",IF(N252&lt;'PlayerGrades+'!$AF$20,"F",IF(N252&lt;'PlayerGrades+'!$AF$19,"F+",IF(N252&lt;'PlayerGrades+'!$AF$18,"E-",IF(N252&lt;'PlayerGrades+'!$AF$17,"E",IF(N252&lt;'PlayerGrades+'!$AF$16,"E+",IF(N252&lt;'PlayerGrades+'!$AF$15,"D-",IF(N252&lt;'PlayerGrades+'!$AF$14,"D",IF(N252&lt;'PlayerGrades+'!$AF$13,"D+",IF(N252&lt;'PlayerGrades+'!$AF$12,"C-",IF(N252&lt;'PlayerGrades+'!$AF$11,"C",IF(N252&lt;'PlayerGrades+'!$AF$10,"C+",IF(N252&lt;'PlayerGrades+'!$AF$9,"B-",IF(N252&lt;'PlayerGrades+'!$AF$8,"B",IF(N252&lt;'PlayerGrades+'!$AF$7,"B+",IF(N252&lt;'PlayerGrades+'!$AF$6,"A-",IF(N252&lt;'PlayerGrades+'!$AF$5,"A",IF(N252&lt;'PlayerGrades+'!$AF$4,"A+",IF(N252&lt;'PlayerGrades+'!$AF$3,"S-",IF(N252&lt;'PlayerGrades+'!$AF$2,"S","S+"))))))))))))))))))))</f>
        <v>#DIV/0!</v>
      </c>
      <c r="P252" s="961" t="str">
        <f t="shared" si="7"/>
        <v>#DIV/0!</v>
      </c>
      <c r="Q252" s="961" t="str">
        <f>IF(P252&lt;'PlayerGrades+'!$AG$21,"F-",IF(P252&lt;'PlayerGrades+'!$AG$20,"F",IF(P252&lt;'PlayerGrades+'!$AG$19,"F+",IF(P252&lt;'PlayerGrades+'!$AG$18,"E-",IF(P252&lt;'PlayerGrades+'!$AG$17,"E",IF(P252&lt;'PlayerGrades+'!$AG$16,"E+",IF(P252&lt;'PlayerGrades+'!$AG$15,"D-",IF(P252&lt;'PlayerGrades+'!$AG$14,"D",IF(P252&lt;'PlayerGrades+'!$AG$13,"D+",IF(P252&lt;'PlayerGrades+'!$AG$12,"C-",IF(P252&lt;'PlayerGrades+'!$AG$11,"C",IF(P252&lt;'PlayerGrades+'!$AG$10,"C+",IF(P252&lt;'PlayerGrades+'!$AG$9,"B-",IF(P252&lt;'PlayerGrades+'!$AG$8,"B",IF(P252&lt;'PlayerGrades+'!$AG$7,"B+",IF(P252&lt;'PlayerGrades+'!$AG$6,"A-",IF(P252&lt;'PlayerGrades+'!$AG$5,"A",IF(P252&lt;'PlayerGrades+'!$AG$4,"A+",IF(P252&lt;'PlayerGrades+'!$AG$3,"S-",IF(P252&lt;'PlayerGrades+'!$AG$2,"S","S+"))))))))))))))))))))</f>
        <v>#DIV/0!</v>
      </c>
      <c r="R252" s="961" t="str">
        <f t="shared" si="8"/>
        <v>#DIV/0!</v>
      </c>
      <c r="S252" s="961" t="str">
        <f>IF(R252&lt;'PlayerGrades+'!$AH$21,"F-",IF(R252&lt;'PlayerGrades+'!$AH$20,"F",IF(R252&lt;'PlayerGrades+'!$AH$19,"F+",IF(R252&lt;'PlayerGrades+'!$AH$18,"E-",IF(R252&lt;'PlayerGrades+'!$AH$17,"E",IF(R252&lt;'PlayerGrades+'!$AH$16,"E+",IF(R252&lt;'PlayerGrades+'!$AH$15,"D-",IF(R252&lt;'PlayerGrades+'!$AH$14,"D",IF(R252&lt;'PlayerGrades+'!$AH$13,"D+",IF(R252&lt;'PlayerGrades+'!$AH$12,"C-",IF(R252&lt;'PlayerGrades+'!$AH$11,"C",IF(R252&lt;'PlayerGrades+'!$AH$10,"C+",IF(R252&lt;'PlayerGrades+'!$AH$9,"B-",IF(R252&lt;'PlayerGrades+'!$AH$8,"B",IF(R252&lt;'PlayerGrades+'!$AH$7,"B+",IF(R252&lt;'PlayerGrades+'!$AH$6,"A-",IF(R252&lt;'PlayerGrades+'!$AH$5,"A",IF(R252&lt;'PlayerGrades+'!$AH$4,"A+",IF(R252&lt;'PlayerGrades+'!$AH$3,"S-",IF(R252&lt;'PlayerGrades+'!$AH$2,"S","S+"))))))))))))))))))))</f>
        <v>#DIV/0!</v>
      </c>
      <c r="T252" s="961">
        <f t="shared" si="9"/>
        <v>0</v>
      </c>
      <c r="U252" s="961" t="str">
        <f>IF(T252&lt;'PlayerGrades+'!$AI$21,"F-",IF(T252&lt;'PlayerGrades+'!$AI$20,"F",IF(T252&lt;'PlayerGrades+'!$AI$19,"F+",IF(T252&lt;'PlayerGrades+'!$AI$18,"E-",IF(T252&lt;'PlayerGrades+'!$AI$17,"E",IF(T252&lt;'PlayerGrades+'!$AI$16,"E+",IF(T252&lt;'PlayerGrades+'!$AI$15,"D-",IF(T252&lt;'PlayerGrades+'!$AI$14,"D",IF(T252&lt;'PlayerGrades+'!$AI$13,"D+",IF(T252&lt;'PlayerGrades+'!$AI$12,"C-",IF(T252&lt;'PlayerGrades+'!$AI$11,"C",IF(T252&lt;'PlayerGrades+'!$AI$10,"C+",IF(T252&lt;'PlayerGrades+'!$AI$9,"B-",IF(T252&lt;'PlayerGrades+'!$AI$8,"B",IF(T252&lt;'PlayerGrades+'!$AI$7,"B+",IF(T252&lt;'PlayerGrades+'!$AI$6,"A-",IF(T252&lt;'PlayerGrades+'!$AI$5,"A",IF(T252&lt;'PlayerGrades+'!$AI$4,"A+",IF(T252&lt;'PlayerGrades+'!$AI$3,"S-",IF(T252&lt;'PlayerGrades+'!$AI$2,"S","S+"))))))))))))))))))))</f>
        <v>F-</v>
      </c>
      <c r="AC252" s="1392"/>
    </row>
    <row r="253">
      <c r="A253" s="1391"/>
      <c r="B253" s="611" t="str">
        <f>IF(C253&lt;'PlayerGrades+'!$Y$44,"F-",IF(C253&lt;'PlayerGrades+'!$Y$43,"F",IF(C253&lt;'PlayerGrades+'!$Y$42,"F+",IF(C253&lt;'PlayerGrades+'!$Y$41,"E-",IF(C253&lt;'PlayerGrades+'!$Y$40,"E",IF(C253&lt;'PlayerGrades+'!$Y$39,"E+",IF(C253&lt;'PlayerGrades+'!$Y$38,"D-",IF(C253&lt;'PlayerGrades+'!$Y$37,"D",IF(C253&lt;'PlayerGrades+'!$Y$36,"D+",IF(C253&lt;'PlayerGrades+'!$Y$35,"C-",IF(C253&lt;'PlayerGrades+'!$Y$34,"C",IF(C253&lt;'PlayerGrades+'!$Y$33,"C+",IF(C253&lt;'PlayerGrades+'!$Y$32,"B-",IF(C253&lt;'PlayerGrades+'!$Y$31,"B",IF(C253&lt;'PlayerGrades+'!$Y$30,"B+",IF(C253&lt;'PlayerGrades+'!$Y$29,"A-",IF(C253&lt;'PlayerGrades+'!$Y$28,"A",IF(C253&lt;'PlayerGrades+'!$Y$27,"A+",IF(C253&lt;'PlayerGrades+'!$Y$26,"S-",IF(C253&lt;'PlayerGrades+'!$Y$25,"S","S+"))))))))))))))))))))</f>
        <v>#DIV/0!</v>
      </c>
      <c r="C253" s="1378" t="str">
        <f>('PlayerGrades+'!$Y$47*(VLOOKUP(E253, 'PlayerGrades+'!$X$3:$Y$23, 2, FALSE)))+('PlayerGrades+'!$Y$48*(VLOOKUP(G253, 'PlayerGrades+'!$X$3:$Y$23, 2, FALSE)))+('PlayerGrades+'!$Y$49*(VLOOKUP(I253, 'PlayerGrades+'!$X$3:$Y$23, 2, FALSE)))+('PlayerGrades+'!$Y$50*(VLOOKUP(K253, 'PlayerGrades+'!$X$3:$Y$23, 2, FALSE)))+('PlayerGrades+'!$Y$51*(VLOOKUP(M253, 'PlayerGrades+'!$X$3:$Y$23, 2, FALSE)))+('PlayerGrades+'!$Y$52*(VLOOKUP(O253, 'PlayerGrades+'!$X$3:$Y$23, 2, FALSE)))+('PlayerGrades+'!$Y$53*(VLOOKUP(Q253, 'PlayerGrades+'!$X$3:$Y$23, 2, FALSE)))+('PlayerGrades+'!$Y$54*(VLOOKUP(S253, 'PlayerGrades+'!$X$3:$Y$23, 2, FALSE)))+('PlayerGrades+'!$Y$55*(VLOOKUP(U253, 'PlayerGrades+'!$X$3:$Y$23, 2, FALSE)))</f>
        <v>#DIV/0!</v>
      </c>
      <c r="D253" s="961" t="str">
        <f t="shared" si="1"/>
        <v>#DIV/0!</v>
      </c>
      <c r="E253" s="961" t="str">
        <f>IF(D253&lt;'PlayerGrades+'!$AA$21,"F-",IF(D253&lt;'PlayerGrades+'!$AA$20,"F",IF(D253&lt;'PlayerGrades+'!$AA$19,"F+",IF(D253&lt;'PlayerGrades+'!$AA$18,"E-",IF(D253&lt;'PlayerGrades+'!$AA$17,"E",IF(D253&lt;'PlayerGrades+'!$AA$16,"E+",IF(D253&lt;'PlayerGrades+'!$AA$15,"D-",IF(D253&lt;'PlayerGrades+'!$AA$14,"D",IF(D253&lt;'PlayerGrades+'!$AA$13,"D+",IF(D253&lt;'PlayerGrades+'!$AA$12,"C-",IF(D253&lt;'PlayerGrades+'!$AA$11,"C",IF(D253&lt;'PlayerGrades+'!$AA$10,"C+",IF(D253&lt;'PlayerGrades+'!$AA$9,"B-",IF(D253&lt;'PlayerGrades+'!$AA$8,"B",IF(D253&lt;'PlayerGrades+'!$AA$7,"B+",IF(D253&lt;'PlayerGrades+'!$AA$6,"A-",IF(D253&lt;'PlayerGrades+'!$AA$5,"A",IF(D253&lt;'PlayerGrades+'!$AA$4,"A+",IF(D253&lt;'PlayerGrades+'!$AA$3,"S-",IF(D253&lt;'PlayerGrades+'!$AA$2,"S","S+"))))))))))))))))))))</f>
        <v>#DIV/0!</v>
      </c>
      <c r="F253" s="961" t="str">
        <f t="shared" si="2"/>
        <v>#DIV/0!</v>
      </c>
      <c r="G253" s="961" t="str">
        <f>IF(F253&lt;'PlayerGrades+'!$AB$21,"F-",IF(F253&lt;'PlayerGrades+'!$AB$20,"F",IF(F253&lt;'PlayerGrades+'!$AB$19,"F+",IF(F253&lt;'PlayerGrades+'!$AB$18,"E-",IF(F253&lt;'PlayerGrades+'!$AB$17,"E",IF(F253&lt;'PlayerGrades+'!$AB$16,"E+",IF(F253&lt;'PlayerGrades+'!$AB$15,"D-",IF(F253&lt;'PlayerGrades+'!$AB$14,"D",IF(F253&lt;'PlayerGrades+'!$AB$13,"D+",IF(F253&lt;'PlayerGrades+'!$AB$12,"C-",IF(F253&lt;'PlayerGrades+'!$AB$11,"C",IF(F253&lt;'PlayerGrades+'!$AB$10,"C+",IF(F253&lt;'PlayerGrades+'!$AB$9,"B-",IF(F253&lt;'PlayerGrades+'!$AB$8,"B",IF(F253&lt;'PlayerGrades+'!$AB$7,"B+",IF(F253&lt;'PlayerGrades+'!$AB$6,"A-",IF(F253&lt;'PlayerGrades+'!$AB$5,"A",IF(F253&lt;'PlayerGrades+'!$AB$4,"A+",IF(F253&lt;'PlayerGrades+'!$AB$3,"S-",IF(F253&lt;'PlayerGrades+'!$AB$2,"S","S+"))))))))))))))))))))</f>
        <v>#DIV/0!</v>
      </c>
      <c r="H253" s="961" t="str">
        <f t="shared" si="3"/>
        <v>#DIV/0!</v>
      </c>
      <c r="I253" s="961" t="str">
        <f>IF(H253&lt;'PlayerGrades+'!$AC$21,"F-",IF(H253&lt;'PlayerGrades+'!$AC$20,"F",IF(H253&lt;'PlayerGrades+'!$AC$19,"F+",IF(H253&lt;'PlayerGrades+'!$AC$18,"E-",IF(H253&lt;'PlayerGrades+'!$AC$17,"E",IF(H253&lt;'PlayerGrades+'!$AC$16,"E+",IF(H253&lt;'PlayerGrades+'!$AC$15,"D-",IF(H253&lt;'PlayerGrades+'!$AC$14,"D",IF(H253&lt;'PlayerGrades+'!$AC$13,"D+",IF(H253&lt;'PlayerGrades+'!$AC$12,"C-",IF(H253&lt;'PlayerGrades+'!$AC$11,"C",IF(H253&lt;'PlayerGrades+'!$AC$10,"C+",IF(H253&lt;'PlayerGrades+'!$AC$9,"B-",IF(H253&lt;'PlayerGrades+'!$AC$8,"B",IF(H253&lt;'PlayerGrades+'!$AC$7,"B+",IF(H253&lt;'PlayerGrades+'!$AC$6,"A-",IF(H253&lt;'PlayerGrades+'!$AC$5,"A",IF(H253&lt;'PlayerGrades+'!$AC$4,"A+",IF(H253&lt;'PlayerGrades+'!$AC$3,"S-",IF(H253&lt;'PlayerGrades+'!$AC$2,"S","S+"))))))))))))))))))))</f>
        <v>#DIV/0!</v>
      </c>
      <c r="J253" s="961" t="str">
        <f t="shared" si="4"/>
        <v>#DIV/0!</v>
      </c>
      <c r="K253" s="961" t="str">
        <f>IF(J253&lt;'PlayerGrades+'!$AD$21,"F-",IF(J253&lt;'PlayerGrades+'!$AD$20,"F",IF(J253&lt;'PlayerGrades+'!$AD$19,"F+",IF(J253&lt;'PlayerGrades+'!$AD$18,"E-",IF(J253&lt;'PlayerGrades+'!$AD$17,"E",IF(J253&lt;'PlayerGrades+'!$AD$16,"E+",IF(J253&lt;'PlayerGrades+'!$AD$15,"D-",IF(J253&lt;'PlayerGrades+'!$AD$14,"D",IF(J253&lt;'PlayerGrades+'!$AD$13,"D+",IF(J253&lt;'PlayerGrades+'!$AD$12,"C-",IF(J253&lt;'PlayerGrades+'!$AD$11,"C",IF(J253&lt;'PlayerGrades+'!$AD$10,"C+",IF(J253&lt;'PlayerGrades+'!$AD$9,"B-",IF(J253&lt;'PlayerGrades+'!$AD$8,"B",IF(J253&lt;'PlayerGrades+'!$AD$7,"B+",IF(J253&lt;'PlayerGrades+'!$AD$6,"A-",IF(J253&lt;'PlayerGrades+'!$AD$5,"A",IF(J253&lt;'PlayerGrades+'!$AD$4,"A+",IF(J253&lt;'PlayerGrades+'!$AD$3,"S-",IF(J253&lt;'PlayerGrades+'!$AD$2,"S","S+"))))))))))))))))))))</f>
        <v>#DIV/0!</v>
      </c>
      <c r="L253" s="1176" t="str">
        <f t="shared" si="5"/>
        <v>#DIV/0!</v>
      </c>
      <c r="M253" s="992" t="str">
        <f>IF(L253&lt;'PlayerGrades+'!$AE$21,"F-",IF(L253&lt;'PlayerGrades+'!$AE$20,"F",IF(L253&lt;'PlayerGrades+'!$AE$19,"F+",IF(L253&lt;'PlayerGrades+'!$AE$18,"E-",IF(L253&lt;'PlayerGrades+'!$AE$17,"E",IF(L253&lt;'PlayerGrades+'!$AE$16,"E+",IF(L253&lt;'PlayerGrades+'!$AE$15,"D-",IF(L253&lt;'PlayerGrades+'!$AE$14,"D",IF(L253&lt;'PlayerGrades+'!$AE$13,"D+",IF(L253&lt;'PlayerGrades+'!$AE$12,"C-",IF(L253&lt;'PlayerGrades+'!$AE$11,"C",IF(L253&lt;'PlayerGrades+'!$AE$10,"C+",IF(L253&lt;'PlayerGrades+'!$AE$9,"B-",IF(L253&lt;'PlayerGrades+'!$AE$8,"B",IF(L253&lt;'PlayerGrades+'!$AE$7,"B+",IF(L253&lt;'PlayerGrades+'!$AE$6,"A-",IF(L253&lt;'PlayerGrades+'!$AE$5,"A",IF(L253&lt;'PlayerGrades+'!$AE$4,"A+",IF(L253&lt;'PlayerGrades+'!$AE$3,"S-",IF(L253&lt;'PlayerGrades+'!$AE$2,"S","S+"))))))))))))))))))))</f>
        <v>#DIV/0!</v>
      </c>
      <c r="N253" s="961" t="str">
        <f t="shared" si="6"/>
        <v>#DIV/0!</v>
      </c>
      <c r="O253" s="961" t="str">
        <f>IF(N253&lt;'PlayerGrades+'!$AF$21,"F-",IF(N253&lt;'PlayerGrades+'!$AF$20,"F",IF(N253&lt;'PlayerGrades+'!$AF$19,"F+",IF(N253&lt;'PlayerGrades+'!$AF$18,"E-",IF(N253&lt;'PlayerGrades+'!$AF$17,"E",IF(N253&lt;'PlayerGrades+'!$AF$16,"E+",IF(N253&lt;'PlayerGrades+'!$AF$15,"D-",IF(N253&lt;'PlayerGrades+'!$AF$14,"D",IF(N253&lt;'PlayerGrades+'!$AF$13,"D+",IF(N253&lt;'PlayerGrades+'!$AF$12,"C-",IF(N253&lt;'PlayerGrades+'!$AF$11,"C",IF(N253&lt;'PlayerGrades+'!$AF$10,"C+",IF(N253&lt;'PlayerGrades+'!$AF$9,"B-",IF(N253&lt;'PlayerGrades+'!$AF$8,"B",IF(N253&lt;'PlayerGrades+'!$AF$7,"B+",IF(N253&lt;'PlayerGrades+'!$AF$6,"A-",IF(N253&lt;'PlayerGrades+'!$AF$5,"A",IF(N253&lt;'PlayerGrades+'!$AF$4,"A+",IF(N253&lt;'PlayerGrades+'!$AF$3,"S-",IF(N253&lt;'PlayerGrades+'!$AF$2,"S","S+"))))))))))))))))))))</f>
        <v>#DIV/0!</v>
      </c>
      <c r="P253" s="961" t="str">
        <f t="shared" si="7"/>
        <v>#DIV/0!</v>
      </c>
      <c r="Q253" s="961" t="str">
        <f>IF(P253&lt;'PlayerGrades+'!$AG$21,"F-",IF(P253&lt;'PlayerGrades+'!$AG$20,"F",IF(P253&lt;'PlayerGrades+'!$AG$19,"F+",IF(P253&lt;'PlayerGrades+'!$AG$18,"E-",IF(P253&lt;'PlayerGrades+'!$AG$17,"E",IF(P253&lt;'PlayerGrades+'!$AG$16,"E+",IF(P253&lt;'PlayerGrades+'!$AG$15,"D-",IF(P253&lt;'PlayerGrades+'!$AG$14,"D",IF(P253&lt;'PlayerGrades+'!$AG$13,"D+",IF(P253&lt;'PlayerGrades+'!$AG$12,"C-",IF(P253&lt;'PlayerGrades+'!$AG$11,"C",IF(P253&lt;'PlayerGrades+'!$AG$10,"C+",IF(P253&lt;'PlayerGrades+'!$AG$9,"B-",IF(P253&lt;'PlayerGrades+'!$AG$8,"B",IF(P253&lt;'PlayerGrades+'!$AG$7,"B+",IF(P253&lt;'PlayerGrades+'!$AG$6,"A-",IF(P253&lt;'PlayerGrades+'!$AG$5,"A",IF(P253&lt;'PlayerGrades+'!$AG$4,"A+",IF(P253&lt;'PlayerGrades+'!$AG$3,"S-",IF(P253&lt;'PlayerGrades+'!$AG$2,"S","S+"))))))))))))))))))))</f>
        <v>#DIV/0!</v>
      </c>
      <c r="R253" s="961" t="str">
        <f t="shared" si="8"/>
        <v>#DIV/0!</v>
      </c>
      <c r="S253" s="961" t="str">
        <f>IF(R253&lt;'PlayerGrades+'!$AH$21,"F-",IF(R253&lt;'PlayerGrades+'!$AH$20,"F",IF(R253&lt;'PlayerGrades+'!$AH$19,"F+",IF(R253&lt;'PlayerGrades+'!$AH$18,"E-",IF(R253&lt;'PlayerGrades+'!$AH$17,"E",IF(R253&lt;'PlayerGrades+'!$AH$16,"E+",IF(R253&lt;'PlayerGrades+'!$AH$15,"D-",IF(R253&lt;'PlayerGrades+'!$AH$14,"D",IF(R253&lt;'PlayerGrades+'!$AH$13,"D+",IF(R253&lt;'PlayerGrades+'!$AH$12,"C-",IF(R253&lt;'PlayerGrades+'!$AH$11,"C",IF(R253&lt;'PlayerGrades+'!$AH$10,"C+",IF(R253&lt;'PlayerGrades+'!$AH$9,"B-",IF(R253&lt;'PlayerGrades+'!$AH$8,"B",IF(R253&lt;'PlayerGrades+'!$AH$7,"B+",IF(R253&lt;'PlayerGrades+'!$AH$6,"A-",IF(R253&lt;'PlayerGrades+'!$AH$5,"A",IF(R253&lt;'PlayerGrades+'!$AH$4,"A+",IF(R253&lt;'PlayerGrades+'!$AH$3,"S-",IF(R253&lt;'PlayerGrades+'!$AH$2,"S","S+"))))))))))))))))))))</f>
        <v>#DIV/0!</v>
      </c>
      <c r="T253" s="961">
        <f t="shared" si="9"/>
        <v>0</v>
      </c>
      <c r="U253" s="961" t="str">
        <f>IF(T253&lt;'PlayerGrades+'!$AI$21,"F-",IF(T253&lt;'PlayerGrades+'!$AI$20,"F",IF(T253&lt;'PlayerGrades+'!$AI$19,"F+",IF(T253&lt;'PlayerGrades+'!$AI$18,"E-",IF(T253&lt;'PlayerGrades+'!$AI$17,"E",IF(T253&lt;'PlayerGrades+'!$AI$16,"E+",IF(T253&lt;'PlayerGrades+'!$AI$15,"D-",IF(T253&lt;'PlayerGrades+'!$AI$14,"D",IF(T253&lt;'PlayerGrades+'!$AI$13,"D+",IF(T253&lt;'PlayerGrades+'!$AI$12,"C-",IF(T253&lt;'PlayerGrades+'!$AI$11,"C",IF(T253&lt;'PlayerGrades+'!$AI$10,"C+",IF(T253&lt;'PlayerGrades+'!$AI$9,"B-",IF(T253&lt;'PlayerGrades+'!$AI$8,"B",IF(T253&lt;'PlayerGrades+'!$AI$7,"B+",IF(T253&lt;'PlayerGrades+'!$AI$6,"A-",IF(T253&lt;'PlayerGrades+'!$AI$5,"A",IF(T253&lt;'PlayerGrades+'!$AI$4,"A+",IF(T253&lt;'PlayerGrades+'!$AI$3,"S-",IF(T253&lt;'PlayerGrades+'!$AI$2,"S","S+"))))))))))))))))))))</f>
        <v>F-</v>
      </c>
      <c r="AC253" s="1392"/>
    </row>
    <row r="254">
      <c r="A254" s="1391"/>
      <c r="B254" s="611" t="str">
        <f>IF(C254&lt;'PlayerGrades+'!$Y$44,"F-",IF(C254&lt;'PlayerGrades+'!$Y$43,"F",IF(C254&lt;'PlayerGrades+'!$Y$42,"F+",IF(C254&lt;'PlayerGrades+'!$Y$41,"E-",IF(C254&lt;'PlayerGrades+'!$Y$40,"E",IF(C254&lt;'PlayerGrades+'!$Y$39,"E+",IF(C254&lt;'PlayerGrades+'!$Y$38,"D-",IF(C254&lt;'PlayerGrades+'!$Y$37,"D",IF(C254&lt;'PlayerGrades+'!$Y$36,"D+",IF(C254&lt;'PlayerGrades+'!$Y$35,"C-",IF(C254&lt;'PlayerGrades+'!$Y$34,"C",IF(C254&lt;'PlayerGrades+'!$Y$33,"C+",IF(C254&lt;'PlayerGrades+'!$Y$32,"B-",IF(C254&lt;'PlayerGrades+'!$Y$31,"B",IF(C254&lt;'PlayerGrades+'!$Y$30,"B+",IF(C254&lt;'PlayerGrades+'!$Y$29,"A-",IF(C254&lt;'PlayerGrades+'!$Y$28,"A",IF(C254&lt;'PlayerGrades+'!$Y$27,"A+",IF(C254&lt;'PlayerGrades+'!$Y$26,"S-",IF(C254&lt;'PlayerGrades+'!$Y$25,"S","S+"))))))))))))))))))))</f>
        <v>#DIV/0!</v>
      </c>
      <c r="C254" s="1378" t="str">
        <f>('PlayerGrades+'!$Y$47*(VLOOKUP(E254, 'PlayerGrades+'!$X$3:$Y$23, 2, FALSE)))+('PlayerGrades+'!$Y$48*(VLOOKUP(G254, 'PlayerGrades+'!$X$3:$Y$23, 2, FALSE)))+('PlayerGrades+'!$Y$49*(VLOOKUP(I254, 'PlayerGrades+'!$X$3:$Y$23, 2, FALSE)))+('PlayerGrades+'!$Y$50*(VLOOKUP(K254, 'PlayerGrades+'!$X$3:$Y$23, 2, FALSE)))+('PlayerGrades+'!$Y$51*(VLOOKUP(M254, 'PlayerGrades+'!$X$3:$Y$23, 2, FALSE)))+('PlayerGrades+'!$Y$52*(VLOOKUP(O254, 'PlayerGrades+'!$X$3:$Y$23, 2, FALSE)))+('PlayerGrades+'!$Y$53*(VLOOKUP(Q254, 'PlayerGrades+'!$X$3:$Y$23, 2, FALSE)))+('PlayerGrades+'!$Y$54*(VLOOKUP(S254, 'PlayerGrades+'!$X$3:$Y$23, 2, FALSE)))+('PlayerGrades+'!$Y$55*(VLOOKUP(U254, 'PlayerGrades+'!$X$3:$Y$23, 2, FALSE)))</f>
        <v>#DIV/0!</v>
      </c>
      <c r="D254" s="961" t="str">
        <f t="shared" si="1"/>
        <v>#DIV/0!</v>
      </c>
      <c r="E254" s="961" t="str">
        <f>IF(D254&lt;'PlayerGrades+'!$AA$21,"F-",IF(D254&lt;'PlayerGrades+'!$AA$20,"F",IF(D254&lt;'PlayerGrades+'!$AA$19,"F+",IF(D254&lt;'PlayerGrades+'!$AA$18,"E-",IF(D254&lt;'PlayerGrades+'!$AA$17,"E",IF(D254&lt;'PlayerGrades+'!$AA$16,"E+",IF(D254&lt;'PlayerGrades+'!$AA$15,"D-",IF(D254&lt;'PlayerGrades+'!$AA$14,"D",IF(D254&lt;'PlayerGrades+'!$AA$13,"D+",IF(D254&lt;'PlayerGrades+'!$AA$12,"C-",IF(D254&lt;'PlayerGrades+'!$AA$11,"C",IF(D254&lt;'PlayerGrades+'!$AA$10,"C+",IF(D254&lt;'PlayerGrades+'!$AA$9,"B-",IF(D254&lt;'PlayerGrades+'!$AA$8,"B",IF(D254&lt;'PlayerGrades+'!$AA$7,"B+",IF(D254&lt;'PlayerGrades+'!$AA$6,"A-",IF(D254&lt;'PlayerGrades+'!$AA$5,"A",IF(D254&lt;'PlayerGrades+'!$AA$4,"A+",IF(D254&lt;'PlayerGrades+'!$AA$3,"S-",IF(D254&lt;'PlayerGrades+'!$AA$2,"S","S+"))))))))))))))))))))</f>
        <v>#DIV/0!</v>
      </c>
      <c r="F254" s="961" t="str">
        <f t="shared" si="2"/>
        <v>#DIV/0!</v>
      </c>
      <c r="G254" s="961" t="str">
        <f>IF(F254&lt;'PlayerGrades+'!$AB$21,"F-",IF(F254&lt;'PlayerGrades+'!$AB$20,"F",IF(F254&lt;'PlayerGrades+'!$AB$19,"F+",IF(F254&lt;'PlayerGrades+'!$AB$18,"E-",IF(F254&lt;'PlayerGrades+'!$AB$17,"E",IF(F254&lt;'PlayerGrades+'!$AB$16,"E+",IF(F254&lt;'PlayerGrades+'!$AB$15,"D-",IF(F254&lt;'PlayerGrades+'!$AB$14,"D",IF(F254&lt;'PlayerGrades+'!$AB$13,"D+",IF(F254&lt;'PlayerGrades+'!$AB$12,"C-",IF(F254&lt;'PlayerGrades+'!$AB$11,"C",IF(F254&lt;'PlayerGrades+'!$AB$10,"C+",IF(F254&lt;'PlayerGrades+'!$AB$9,"B-",IF(F254&lt;'PlayerGrades+'!$AB$8,"B",IF(F254&lt;'PlayerGrades+'!$AB$7,"B+",IF(F254&lt;'PlayerGrades+'!$AB$6,"A-",IF(F254&lt;'PlayerGrades+'!$AB$5,"A",IF(F254&lt;'PlayerGrades+'!$AB$4,"A+",IF(F254&lt;'PlayerGrades+'!$AB$3,"S-",IF(F254&lt;'PlayerGrades+'!$AB$2,"S","S+"))))))))))))))))))))</f>
        <v>#DIV/0!</v>
      </c>
      <c r="H254" s="961" t="str">
        <f t="shared" si="3"/>
        <v>#DIV/0!</v>
      </c>
      <c r="I254" s="961" t="str">
        <f>IF(H254&lt;'PlayerGrades+'!$AC$21,"F-",IF(H254&lt;'PlayerGrades+'!$AC$20,"F",IF(H254&lt;'PlayerGrades+'!$AC$19,"F+",IF(H254&lt;'PlayerGrades+'!$AC$18,"E-",IF(H254&lt;'PlayerGrades+'!$AC$17,"E",IF(H254&lt;'PlayerGrades+'!$AC$16,"E+",IF(H254&lt;'PlayerGrades+'!$AC$15,"D-",IF(H254&lt;'PlayerGrades+'!$AC$14,"D",IF(H254&lt;'PlayerGrades+'!$AC$13,"D+",IF(H254&lt;'PlayerGrades+'!$AC$12,"C-",IF(H254&lt;'PlayerGrades+'!$AC$11,"C",IF(H254&lt;'PlayerGrades+'!$AC$10,"C+",IF(H254&lt;'PlayerGrades+'!$AC$9,"B-",IF(H254&lt;'PlayerGrades+'!$AC$8,"B",IF(H254&lt;'PlayerGrades+'!$AC$7,"B+",IF(H254&lt;'PlayerGrades+'!$AC$6,"A-",IF(H254&lt;'PlayerGrades+'!$AC$5,"A",IF(H254&lt;'PlayerGrades+'!$AC$4,"A+",IF(H254&lt;'PlayerGrades+'!$AC$3,"S-",IF(H254&lt;'PlayerGrades+'!$AC$2,"S","S+"))))))))))))))))))))</f>
        <v>#DIV/0!</v>
      </c>
      <c r="J254" s="961" t="str">
        <f t="shared" si="4"/>
        <v>#DIV/0!</v>
      </c>
      <c r="K254" s="961" t="str">
        <f>IF(J254&lt;'PlayerGrades+'!$AD$21,"F-",IF(J254&lt;'PlayerGrades+'!$AD$20,"F",IF(J254&lt;'PlayerGrades+'!$AD$19,"F+",IF(J254&lt;'PlayerGrades+'!$AD$18,"E-",IF(J254&lt;'PlayerGrades+'!$AD$17,"E",IF(J254&lt;'PlayerGrades+'!$AD$16,"E+",IF(J254&lt;'PlayerGrades+'!$AD$15,"D-",IF(J254&lt;'PlayerGrades+'!$AD$14,"D",IF(J254&lt;'PlayerGrades+'!$AD$13,"D+",IF(J254&lt;'PlayerGrades+'!$AD$12,"C-",IF(J254&lt;'PlayerGrades+'!$AD$11,"C",IF(J254&lt;'PlayerGrades+'!$AD$10,"C+",IF(J254&lt;'PlayerGrades+'!$AD$9,"B-",IF(J254&lt;'PlayerGrades+'!$AD$8,"B",IF(J254&lt;'PlayerGrades+'!$AD$7,"B+",IF(J254&lt;'PlayerGrades+'!$AD$6,"A-",IF(J254&lt;'PlayerGrades+'!$AD$5,"A",IF(J254&lt;'PlayerGrades+'!$AD$4,"A+",IF(J254&lt;'PlayerGrades+'!$AD$3,"S-",IF(J254&lt;'PlayerGrades+'!$AD$2,"S","S+"))))))))))))))))))))</f>
        <v>#DIV/0!</v>
      </c>
      <c r="L254" s="1176" t="str">
        <f t="shared" si="5"/>
        <v>#DIV/0!</v>
      </c>
      <c r="M254" s="992" t="str">
        <f>IF(L254&lt;'PlayerGrades+'!$AE$21,"F-",IF(L254&lt;'PlayerGrades+'!$AE$20,"F",IF(L254&lt;'PlayerGrades+'!$AE$19,"F+",IF(L254&lt;'PlayerGrades+'!$AE$18,"E-",IF(L254&lt;'PlayerGrades+'!$AE$17,"E",IF(L254&lt;'PlayerGrades+'!$AE$16,"E+",IF(L254&lt;'PlayerGrades+'!$AE$15,"D-",IF(L254&lt;'PlayerGrades+'!$AE$14,"D",IF(L254&lt;'PlayerGrades+'!$AE$13,"D+",IF(L254&lt;'PlayerGrades+'!$AE$12,"C-",IF(L254&lt;'PlayerGrades+'!$AE$11,"C",IF(L254&lt;'PlayerGrades+'!$AE$10,"C+",IF(L254&lt;'PlayerGrades+'!$AE$9,"B-",IF(L254&lt;'PlayerGrades+'!$AE$8,"B",IF(L254&lt;'PlayerGrades+'!$AE$7,"B+",IF(L254&lt;'PlayerGrades+'!$AE$6,"A-",IF(L254&lt;'PlayerGrades+'!$AE$5,"A",IF(L254&lt;'PlayerGrades+'!$AE$4,"A+",IF(L254&lt;'PlayerGrades+'!$AE$3,"S-",IF(L254&lt;'PlayerGrades+'!$AE$2,"S","S+"))))))))))))))))))))</f>
        <v>#DIV/0!</v>
      </c>
      <c r="N254" s="961" t="str">
        <f t="shared" si="6"/>
        <v>#DIV/0!</v>
      </c>
      <c r="O254" s="961" t="str">
        <f>IF(N254&lt;'PlayerGrades+'!$AF$21,"F-",IF(N254&lt;'PlayerGrades+'!$AF$20,"F",IF(N254&lt;'PlayerGrades+'!$AF$19,"F+",IF(N254&lt;'PlayerGrades+'!$AF$18,"E-",IF(N254&lt;'PlayerGrades+'!$AF$17,"E",IF(N254&lt;'PlayerGrades+'!$AF$16,"E+",IF(N254&lt;'PlayerGrades+'!$AF$15,"D-",IF(N254&lt;'PlayerGrades+'!$AF$14,"D",IF(N254&lt;'PlayerGrades+'!$AF$13,"D+",IF(N254&lt;'PlayerGrades+'!$AF$12,"C-",IF(N254&lt;'PlayerGrades+'!$AF$11,"C",IF(N254&lt;'PlayerGrades+'!$AF$10,"C+",IF(N254&lt;'PlayerGrades+'!$AF$9,"B-",IF(N254&lt;'PlayerGrades+'!$AF$8,"B",IF(N254&lt;'PlayerGrades+'!$AF$7,"B+",IF(N254&lt;'PlayerGrades+'!$AF$6,"A-",IF(N254&lt;'PlayerGrades+'!$AF$5,"A",IF(N254&lt;'PlayerGrades+'!$AF$4,"A+",IF(N254&lt;'PlayerGrades+'!$AF$3,"S-",IF(N254&lt;'PlayerGrades+'!$AF$2,"S","S+"))))))))))))))))))))</f>
        <v>#DIV/0!</v>
      </c>
      <c r="P254" s="961" t="str">
        <f t="shared" si="7"/>
        <v>#DIV/0!</v>
      </c>
      <c r="Q254" s="961" t="str">
        <f>IF(P254&lt;'PlayerGrades+'!$AG$21,"F-",IF(P254&lt;'PlayerGrades+'!$AG$20,"F",IF(P254&lt;'PlayerGrades+'!$AG$19,"F+",IF(P254&lt;'PlayerGrades+'!$AG$18,"E-",IF(P254&lt;'PlayerGrades+'!$AG$17,"E",IF(P254&lt;'PlayerGrades+'!$AG$16,"E+",IF(P254&lt;'PlayerGrades+'!$AG$15,"D-",IF(P254&lt;'PlayerGrades+'!$AG$14,"D",IF(P254&lt;'PlayerGrades+'!$AG$13,"D+",IF(P254&lt;'PlayerGrades+'!$AG$12,"C-",IF(P254&lt;'PlayerGrades+'!$AG$11,"C",IF(P254&lt;'PlayerGrades+'!$AG$10,"C+",IF(P254&lt;'PlayerGrades+'!$AG$9,"B-",IF(P254&lt;'PlayerGrades+'!$AG$8,"B",IF(P254&lt;'PlayerGrades+'!$AG$7,"B+",IF(P254&lt;'PlayerGrades+'!$AG$6,"A-",IF(P254&lt;'PlayerGrades+'!$AG$5,"A",IF(P254&lt;'PlayerGrades+'!$AG$4,"A+",IF(P254&lt;'PlayerGrades+'!$AG$3,"S-",IF(P254&lt;'PlayerGrades+'!$AG$2,"S","S+"))))))))))))))))))))</f>
        <v>#DIV/0!</v>
      </c>
      <c r="R254" s="961" t="str">
        <f t="shared" si="8"/>
        <v>#DIV/0!</v>
      </c>
      <c r="S254" s="961" t="str">
        <f>IF(R254&lt;'PlayerGrades+'!$AH$21,"F-",IF(R254&lt;'PlayerGrades+'!$AH$20,"F",IF(R254&lt;'PlayerGrades+'!$AH$19,"F+",IF(R254&lt;'PlayerGrades+'!$AH$18,"E-",IF(R254&lt;'PlayerGrades+'!$AH$17,"E",IF(R254&lt;'PlayerGrades+'!$AH$16,"E+",IF(R254&lt;'PlayerGrades+'!$AH$15,"D-",IF(R254&lt;'PlayerGrades+'!$AH$14,"D",IF(R254&lt;'PlayerGrades+'!$AH$13,"D+",IF(R254&lt;'PlayerGrades+'!$AH$12,"C-",IF(R254&lt;'PlayerGrades+'!$AH$11,"C",IF(R254&lt;'PlayerGrades+'!$AH$10,"C+",IF(R254&lt;'PlayerGrades+'!$AH$9,"B-",IF(R254&lt;'PlayerGrades+'!$AH$8,"B",IF(R254&lt;'PlayerGrades+'!$AH$7,"B+",IF(R254&lt;'PlayerGrades+'!$AH$6,"A-",IF(R254&lt;'PlayerGrades+'!$AH$5,"A",IF(R254&lt;'PlayerGrades+'!$AH$4,"A+",IF(R254&lt;'PlayerGrades+'!$AH$3,"S-",IF(R254&lt;'PlayerGrades+'!$AH$2,"S","S+"))))))))))))))))))))</f>
        <v>#DIV/0!</v>
      </c>
      <c r="T254" s="961">
        <f t="shared" si="9"/>
        <v>0</v>
      </c>
      <c r="U254" s="961" t="str">
        <f>IF(T254&lt;'PlayerGrades+'!$AI$21,"F-",IF(T254&lt;'PlayerGrades+'!$AI$20,"F",IF(T254&lt;'PlayerGrades+'!$AI$19,"F+",IF(T254&lt;'PlayerGrades+'!$AI$18,"E-",IF(T254&lt;'PlayerGrades+'!$AI$17,"E",IF(T254&lt;'PlayerGrades+'!$AI$16,"E+",IF(T254&lt;'PlayerGrades+'!$AI$15,"D-",IF(T254&lt;'PlayerGrades+'!$AI$14,"D",IF(T254&lt;'PlayerGrades+'!$AI$13,"D+",IF(T254&lt;'PlayerGrades+'!$AI$12,"C-",IF(T254&lt;'PlayerGrades+'!$AI$11,"C",IF(T254&lt;'PlayerGrades+'!$AI$10,"C+",IF(T254&lt;'PlayerGrades+'!$AI$9,"B-",IF(T254&lt;'PlayerGrades+'!$AI$8,"B",IF(T254&lt;'PlayerGrades+'!$AI$7,"B+",IF(T254&lt;'PlayerGrades+'!$AI$6,"A-",IF(T254&lt;'PlayerGrades+'!$AI$5,"A",IF(T254&lt;'PlayerGrades+'!$AI$4,"A+",IF(T254&lt;'PlayerGrades+'!$AI$3,"S-",IF(T254&lt;'PlayerGrades+'!$AI$2,"S","S+"))))))))))))))))))))</f>
        <v>F-</v>
      </c>
      <c r="AC254" s="1392"/>
    </row>
    <row r="255">
      <c r="A255" s="1391"/>
      <c r="B255" s="611" t="str">
        <f>IF(C255&lt;'PlayerGrades+'!$Y$44,"F-",IF(C255&lt;'PlayerGrades+'!$Y$43,"F",IF(C255&lt;'PlayerGrades+'!$Y$42,"F+",IF(C255&lt;'PlayerGrades+'!$Y$41,"E-",IF(C255&lt;'PlayerGrades+'!$Y$40,"E",IF(C255&lt;'PlayerGrades+'!$Y$39,"E+",IF(C255&lt;'PlayerGrades+'!$Y$38,"D-",IF(C255&lt;'PlayerGrades+'!$Y$37,"D",IF(C255&lt;'PlayerGrades+'!$Y$36,"D+",IF(C255&lt;'PlayerGrades+'!$Y$35,"C-",IF(C255&lt;'PlayerGrades+'!$Y$34,"C",IF(C255&lt;'PlayerGrades+'!$Y$33,"C+",IF(C255&lt;'PlayerGrades+'!$Y$32,"B-",IF(C255&lt;'PlayerGrades+'!$Y$31,"B",IF(C255&lt;'PlayerGrades+'!$Y$30,"B+",IF(C255&lt;'PlayerGrades+'!$Y$29,"A-",IF(C255&lt;'PlayerGrades+'!$Y$28,"A",IF(C255&lt;'PlayerGrades+'!$Y$27,"A+",IF(C255&lt;'PlayerGrades+'!$Y$26,"S-",IF(C255&lt;'PlayerGrades+'!$Y$25,"S","S+"))))))))))))))))))))</f>
        <v>#DIV/0!</v>
      </c>
      <c r="C255" s="1378" t="str">
        <f>('PlayerGrades+'!$Y$47*(VLOOKUP(E255, 'PlayerGrades+'!$X$3:$Y$23, 2, FALSE)))+('PlayerGrades+'!$Y$48*(VLOOKUP(G255, 'PlayerGrades+'!$X$3:$Y$23, 2, FALSE)))+('PlayerGrades+'!$Y$49*(VLOOKUP(I255, 'PlayerGrades+'!$X$3:$Y$23, 2, FALSE)))+('PlayerGrades+'!$Y$50*(VLOOKUP(K255, 'PlayerGrades+'!$X$3:$Y$23, 2, FALSE)))+('PlayerGrades+'!$Y$51*(VLOOKUP(M255, 'PlayerGrades+'!$X$3:$Y$23, 2, FALSE)))+('PlayerGrades+'!$Y$52*(VLOOKUP(O255, 'PlayerGrades+'!$X$3:$Y$23, 2, FALSE)))+('PlayerGrades+'!$Y$53*(VLOOKUP(Q255, 'PlayerGrades+'!$X$3:$Y$23, 2, FALSE)))+('PlayerGrades+'!$Y$54*(VLOOKUP(S255, 'PlayerGrades+'!$X$3:$Y$23, 2, FALSE)))+('PlayerGrades+'!$Y$55*(VLOOKUP(U255, 'PlayerGrades+'!$X$3:$Y$23, 2, FALSE)))</f>
        <v>#DIV/0!</v>
      </c>
      <c r="D255" s="961" t="str">
        <f t="shared" si="1"/>
        <v>#DIV/0!</v>
      </c>
      <c r="E255" s="961" t="str">
        <f>IF(D255&lt;'PlayerGrades+'!$AA$21,"F-",IF(D255&lt;'PlayerGrades+'!$AA$20,"F",IF(D255&lt;'PlayerGrades+'!$AA$19,"F+",IF(D255&lt;'PlayerGrades+'!$AA$18,"E-",IF(D255&lt;'PlayerGrades+'!$AA$17,"E",IF(D255&lt;'PlayerGrades+'!$AA$16,"E+",IF(D255&lt;'PlayerGrades+'!$AA$15,"D-",IF(D255&lt;'PlayerGrades+'!$AA$14,"D",IF(D255&lt;'PlayerGrades+'!$AA$13,"D+",IF(D255&lt;'PlayerGrades+'!$AA$12,"C-",IF(D255&lt;'PlayerGrades+'!$AA$11,"C",IF(D255&lt;'PlayerGrades+'!$AA$10,"C+",IF(D255&lt;'PlayerGrades+'!$AA$9,"B-",IF(D255&lt;'PlayerGrades+'!$AA$8,"B",IF(D255&lt;'PlayerGrades+'!$AA$7,"B+",IF(D255&lt;'PlayerGrades+'!$AA$6,"A-",IF(D255&lt;'PlayerGrades+'!$AA$5,"A",IF(D255&lt;'PlayerGrades+'!$AA$4,"A+",IF(D255&lt;'PlayerGrades+'!$AA$3,"S-",IF(D255&lt;'PlayerGrades+'!$AA$2,"S","S+"))))))))))))))))))))</f>
        <v>#DIV/0!</v>
      </c>
      <c r="F255" s="961" t="str">
        <f t="shared" si="2"/>
        <v>#DIV/0!</v>
      </c>
      <c r="G255" s="961" t="str">
        <f>IF(F255&lt;'PlayerGrades+'!$AB$21,"F-",IF(F255&lt;'PlayerGrades+'!$AB$20,"F",IF(F255&lt;'PlayerGrades+'!$AB$19,"F+",IF(F255&lt;'PlayerGrades+'!$AB$18,"E-",IF(F255&lt;'PlayerGrades+'!$AB$17,"E",IF(F255&lt;'PlayerGrades+'!$AB$16,"E+",IF(F255&lt;'PlayerGrades+'!$AB$15,"D-",IF(F255&lt;'PlayerGrades+'!$AB$14,"D",IF(F255&lt;'PlayerGrades+'!$AB$13,"D+",IF(F255&lt;'PlayerGrades+'!$AB$12,"C-",IF(F255&lt;'PlayerGrades+'!$AB$11,"C",IF(F255&lt;'PlayerGrades+'!$AB$10,"C+",IF(F255&lt;'PlayerGrades+'!$AB$9,"B-",IF(F255&lt;'PlayerGrades+'!$AB$8,"B",IF(F255&lt;'PlayerGrades+'!$AB$7,"B+",IF(F255&lt;'PlayerGrades+'!$AB$6,"A-",IF(F255&lt;'PlayerGrades+'!$AB$5,"A",IF(F255&lt;'PlayerGrades+'!$AB$4,"A+",IF(F255&lt;'PlayerGrades+'!$AB$3,"S-",IF(F255&lt;'PlayerGrades+'!$AB$2,"S","S+"))))))))))))))))))))</f>
        <v>#DIV/0!</v>
      </c>
      <c r="H255" s="961" t="str">
        <f t="shared" si="3"/>
        <v>#DIV/0!</v>
      </c>
      <c r="I255" s="961" t="str">
        <f>IF(H255&lt;'PlayerGrades+'!$AC$21,"F-",IF(H255&lt;'PlayerGrades+'!$AC$20,"F",IF(H255&lt;'PlayerGrades+'!$AC$19,"F+",IF(H255&lt;'PlayerGrades+'!$AC$18,"E-",IF(H255&lt;'PlayerGrades+'!$AC$17,"E",IF(H255&lt;'PlayerGrades+'!$AC$16,"E+",IF(H255&lt;'PlayerGrades+'!$AC$15,"D-",IF(H255&lt;'PlayerGrades+'!$AC$14,"D",IF(H255&lt;'PlayerGrades+'!$AC$13,"D+",IF(H255&lt;'PlayerGrades+'!$AC$12,"C-",IF(H255&lt;'PlayerGrades+'!$AC$11,"C",IF(H255&lt;'PlayerGrades+'!$AC$10,"C+",IF(H255&lt;'PlayerGrades+'!$AC$9,"B-",IF(H255&lt;'PlayerGrades+'!$AC$8,"B",IF(H255&lt;'PlayerGrades+'!$AC$7,"B+",IF(H255&lt;'PlayerGrades+'!$AC$6,"A-",IF(H255&lt;'PlayerGrades+'!$AC$5,"A",IF(H255&lt;'PlayerGrades+'!$AC$4,"A+",IF(H255&lt;'PlayerGrades+'!$AC$3,"S-",IF(H255&lt;'PlayerGrades+'!$AC$2,"S","S+"))))))))))))))))))))</f>
        <v>#DIV/0!</v>
      </c>
      <c r="J255" s="961" t="str">
        <f t="shared" si="4"/>
        <v>#DIV/0!</v>
      </c>
      <c r="K255" s="961" t="str">
        <f>IF(J255&lt;'PlayerGrades+'!$AD$21,"F-",IF(J255&lt;'PlayerGrades+'!$AD$20,"F",IF(J255&lt;'PlayerGrades+'!$AD$19,"F+",IF(J255&lt;'PlayerGrades+'!$AD$18,"E-",IF(J255&lt;'PlayerGrades+'!$AD$17,"E",IF(J255&lt;'PlayerGrades+'!$AD$16,"E+",IF(J255&lt;'PlayerGrades+'!$AD$15,"D-",IF(J255&lt;'PlayerGrades+'!$AD$14,"D",IF(J255&lt;'PlayerGrades+'!$AD$13,"D+",IF(J255&lt;'PlayerGrades+'!$AD$12,"C-",IF(J255&lt;'PlayerGrades+'!$AD$11,"C",IF(J255&lt;'PlayerGrades+'!$AD$10,"C+",IF(J255&lt;'PlayerGrades+'!$AD$9,"B-",IF(J255&lt;'PlayerGrades+'!$AD$8,"B",IF(J255&lt;'PlayerGrades+'!$AD$7,"B+",IF(J255&lt;'PlayerGrades+'!$AD$6,"A-",IF(J255&lt;'PlayerGrades+'!$AD$5,"A",IF(J255&lt;'PlayerGrades+'!$AD$4,"A+",IF(J255&lt;'PlayerGrades+'!$AD$3,"S-",IF(J255&lt;'PlayerGrades+'!$AD$2,"S","S+"))))))))))))))))))))</f>
        <v>#DIV/0!</v>
      </c>
      <c r="L255" s="1176" t="str">
        <f t="shared" si="5"/>
        <v>#DIV/0!</v>
      </c>
      <c r="M255" s="992" t="str">
        <f>IF(L255&lt;'PlayerGrades+'!$AE$21,"F-",IF(L255&lt;'PlayerGrades+'!$AE$20,"F",IF(L255&lt;'PlayerGrades+'!$AE$19,"F+",IF(L255&lt;'PlayerGrades+'!$AE$18,"E-",IF(L255&lt;'PlayerGrades+'!$AE$17,"E",IF(L255&lt;'PlayerGrades+'!$AE$16,"E+",IF(L255&lt;'PlayerGrades+'!$AE$15,"D-",IF(L255&lt;'PlayerGrades+'!$AE$14,"D",IF(L255&lt;'PlayerGrades+'!$AE$13,"D+",IF(L255&lt;'PlayerGrades+'!$AE$12,"C-",IF(L255&lt;'PlayerGrades+'!$AE$11,"C",IF(L255&lt;'PlayerGrades+'!$AE$10,"C+",IF(L255&lt;'PlayerGrades+'!$AE$9,"B-",IF(L255&lt;'PlayerGrades+'!$AE$8,"B",IF(L255&lt;'PlayerGrades+'!$AE$7,"B+",IF(L255&lt;'PlayerGrades+'!$AE$6,"A-",IF(L255&lt;'PlayerGrades+'!$AE$5,"A",IF(L255&lt;'PlayerGrades+'!$AE$4,"A+",IF(L255&lt;'PlayerGrades+'!$AE$3,"S-",IF(L255&lt;'PlayerGrades+'!$AE$2,"S","S+"))))))))))))))))))))</f>
        <v>#DIV/0!</v>
      </c>
      <c r="N255" s="961" t="str">
        <f t="shared" si="6"/>
        <v>#DIV/0!</v>
      </c>
      <c r="O255" s="961" t="str">
        <f>IF(N255&lt;'PlayerGrades+'!$AF$21,"F-",IF(N255&lt;'PlayerGrades+'!$AF$20,"F",IF(N255&lt;'PlayerGrades+'!$AF$19,"F+",IF(N255&lt;'PlayerGrades+'!$AF$18,"E-",IF(N255&lt;'PlayerGrades+'!$AF$17,"E",IF(N255&lt;'PlayerGrades+'!$AF$16,"E+",IF(N255&lt;'PlayerGrades+'!$AF$15,"D-",IF(N255&lt;'PlayerGrades+'!$AF$14,"D",IF(N255&lt;'PlayerGrades+'!$AF$13,"D+",IF(N255&lt;'PlayerGrades+'!$AF$12,"C-",IF(N255&lt;'PlayerGrades+'!$AF$11,"C",IF(N255&lt;'PlayerGrades+'!$AF$10,"C+",IF(N255&lt;'PlayerGrades+'!$AF$9,"B-",IF(N255&lt;'PlayerGrades+'!$AF$8,"B",IF(N255&lt;'PlayerGrades+'!$AF$7,"B+",IF(N255&lt;'PlayerGrades+'!$AF$6,"A-",IF(N255&lt;'PlayerGrades+'!$AF$5,"A",IF(N255&lt;'PlayerGrades+'!$AF$4,"A+",IF(N255&lt;'PlayerGrades+'!$AF$3,"S-",IF(N255&lt;'PlayerGrades+'!$AF$2,"S","S+"))))))))))))))))))))</f>
        <v>#DIV/0!</v>
      </c>
      <c r="P255" s="961" t="str">
        <f t="shared" si="7"/>
        <v>#DIV/0!</v>
      </c>
      <c r="Q255" s="961" t="str">
        <f>IF(P255&lt;'PlayerGrades+'!$AG$21,"F-",IF(P255&lt;'PlayerGrades+'!$AG$20,"F",IF(P255&lt;'PlayerGrades+'!$AG$19,"F+",IF(P255&lt;'PlayerGrades+'!$AG$18,"E-",IF(P255&lt;'PlayerGrades+'!$AG$17,"E",IF(P255&lt;'PlayerGrades+'!$AG$16,"E+",IF(P255&lt;'PlayerGrades+'!$AG$15,"D-",IF(P255&lt;'PlayerGrades+'!$AG$14,"D",IF(P255&lt;'PlayerGrades+'!$AG$13,"D+",IF(P255&lt;'PlayerGrades+'!$AG$12,"C-",IF(P255&lt;'PlayerGrades+'!$AG$11,"C",IF(P255&lt;'PlayerGrades+'!$AG$10,"C+",IF(P255&lt;'PlayerGrades+'!$AG$9,"B-",IF(P255&lt;'PlayerGrades+'!$AG$8,"B",IF(P255&lt;'PlayerGrades+'!$AG$7,"B+",IF(P255&lt;'PlayerGrades+'!$AG$6,"A-",IF(P255&lt;'PlayerGrades+'!$AG$5,"A",IF(P255&lt;'PlayerGrades+'!$AG$4,"A+",IF(P255&lt;'PlayerGrades+'!$AG$3,"S-",IF(P255&lt;'PlayerGrades+'!$AG$2,"S","S+"))))))))))))))))))))</f>
        <v>#DIV/0!</v>
      </c>
      <c r="R255" s="961" t="str">
        <f t="shared" si="8"/>
        <v>#DIV/0!</v>
      </c>
      <c r="S255" s="961" t="str">
        <f>IF(R255&lt;'PlayerGrades+'!$AH$21,"F-",IF(R255&lt;'PlayerGrades+'!$AH$20,"F",IF(R255&lt;'PlayerGrades+'!$AH$19,"F+",IF(R255&lt;'PlayerGrades+'!$AH$18,"E-",IF(R255&lt;'PlayerGrades+'!$AH$17,"E",IF(R255&lt;'PlayerGrades+'!$AH$16,"E+",IF(R255&lt;'PlayerGrades+'!$AH$15,"D-",IF(R255&lt;'PlayerGrades+'!$AH$14,"D",IF(R255&lt;'PlayerGrades+'!$AH$13,"D+",IF(R255&lt;'PlayerGrades+'!$AH$12,"C-",IF(R255&lt;'PlayerGrades+'!$AH$11,"C",IF(R255&lt;'PlayerGrades+'!$AH$10,"C+",IF(R255&lt;'PlayerGrades+'!$AH$9,"B-",IF(R255&lt;'PlayerGrades+'!$AH$8,"B",IF(R255&lt;'PlayerGrades+'!$AH$7,"B+",IF(R255&lt;'PlayerGrades+'!$AH$6,"A-",IF(R255&lt;'PlayerGrades+'!$AH$5,"A",IF(R255&lt;'PlayerGrades+'!$AH$4,"A+",IF(R255&lt;'PlayerGrades+'!$AH$3,"S-",IF(R255&lt;'PlayerGrades+'!$AH$2,"S","S+"))))))))))))))))))))</f>
        <v>#DIV/0!</v>
      </c>
      <c r="T255" s="961">
        <f t="shared" si="9"/>
        <v>0</v>
      </c>
      <c r="U255" s="961" t="str">
        <f>IF(T255&lt;'PlayerGrades+'!$AI$21,"F-",IF(T255&lt;'PlayerGrades+'!$AI$20,"F",IF(T255&lt;'PlayerGrades+'!$AI$19,"F+",IF(T255&lt;'PlayerGrades+'!$AI$18,"E-",IF(T255&lt;'PlayerGrades+'!$AI$17,"E",IF(T255&lt;'PlayerGrades+'!$AI$16,"E+",IF(T255&lt;'PlayerGrades+'!$AI$15,"D-",IF(T255&lt;'PlayerGrades+'!$AI$14,"D",IF(T255&lt;'PlayerGrades+'!$AI$13,"D+",IF(T255&lt;'PlayerGrades+'!$AI$12,"C-",IF(T255&lt;'PlayerGrades+'!$AI$11,"C",IF(T255&lt;'PlayerGrades+'!$AI$10,"C+",IF(T255&lt;'PlayerGrades+'!$AI$9,"B-",IF(T255&lt;'PlayerGrades+'!$AI$8,"B",IF(T255&lt;'PlayerGrades+'!$AI$7,"B+",IF(T255&lt;'PlayerGrades+'!$AI$6,"A-",IF(T255&lt;'PlayerGrades+'!$AI$5,"A",IF(T255&lt;'PlayerGrades+'!$AI$4,"A+",IF(T255&lt;'PlayerGrades+'!$AI$3,"S-",IF(T255&lt;'PlayerGrades+'!$AI$2,"S","S+"))))))))))))))))))))</f>
        <v>F-</v>
      </c>
      <c r="AC255" s="1392"/>
    </row>
    <row r="256">
      <c r="A256" s="1391"/>
      <c r="B256" s="611" t="str">
        <f>IF(C256&lt;'PlayerGrades+'!$Y$44,"F-",IF(C256&lt;'PlayerGrades+'!$Y$43,"F",IF(C256&lt;'PlayerGrades+'!$Y$42,"F+",IF(C256&lt;'PlayerGrades+'!$Y$41,"E-",IF(C256&lt;'PlayerGrades+'!$Y$40,"E",IF(C256&lt;'PlayerGrades+'!$Y$39,"E+",IF(C256&lt;'PlayerGrades+'!$Y$38,"D-",IF(C256&lt;'PlayerGrades+'!$Y$37,"D",IF(C256&lt;'PlayerGrades+'!$Y$36,"D+",IF(C256&lt;'PlayerGrades+'!$Y$35,"C-",IF(C256&lt;'PlayerGrades+'!$Y$34,"C",IF(C256&lt;'PlayerGrades+'!$Y$33,"C+",IF(C256&lt;'PlayerGrades+'!$Y$32,"B-",IF(C256&lt;'PlayerGrades+'!$Y$31,"B",IF(C256&lt;'PlayerGrades+'!$Y$30,"B+",IF(C256&lt;'PlayerGrades+'!$Y$29,"A-",IF(C256&lt;'PlayerGrades+'!$Y$28,"A",IF(C256&lt;'PlayerGrades+'!$Y$27,"A+",IF(C256&lt;'PlayerGrades+'!$Y$26,"S-",IF(C256&lt;'PlayerGrades+'!$Y$25,"S","S+"))))))))))))))))))))</f>
        <v>#DIV/0!</v>
      </c>
      <c r="C256" s="1378" t="str">
        <f>('PlayerGrades+'!$Y$47*(VLOOKUP(E256, 'PlayerGrades+'!$X$3:$Y$23, 2, FALSE)))+('PlayerGrades+'!$Y$48*(VLOOKUP(G256, 'PlayerGrades+'!$X$3:$Y$23, 2, FALSE)))+('PlayerGrades+'!$Y$49*(VLOOKUP(I256, 'PlayerGrades+'!$X$3:$Y$23, 2, FALSE)))+('PlayerGrades+'!$Y$50*(VLOOKUP(K256, 'PlayerGrades+'!$X$3:$Y$23, 2, FALSE)))+('PlayerGrades+'!$Y$51*(VLOOKUP(M256, 'PlayerGrades+'!$X$3:$Y$23, 2, FALSE)))+('PlayerGrades+'!$Y$52*(VLOOKUP(O256, 'PlayerGrades+'!$X$3:$Y$23, 2, FALSE)))+('PlayerGrades+'!$Y$53*(VLOOKUP(Q256, 'PlayerGrades+'!$X$3:$Y$23, 2, FALSE)))+('PlayerGrades+'!$Y$54*(VLOOKUP(S256, 'PlayerGrades+'!$X$3:$Y$23, 2, FALSE)))+('PlayerGrades+'!$Y$55*(VLOOKUP(U256, 'PlayerGrades+'!$X$3:$Y$23, 2, FALSE)))</f>
        <v>#DIV/0!</v>
      </c>
      <c r="D256" s="961" t="str">
        <f t="shared" si="1"/>
        <v>#DIV/0!</v>
      </c>
      <c r="E256" s="961" t="str">
        <f>IF(D256&lt;'PlayerGrades+'!$AA$21,"F-",IF(D256&lt;'PlayerGrades+'!$AA$20,"F",IF(D256&lt;'PlayerGrades+'!$AA$19,"F+",IF(D256&lt;'PlayerGrades+'!$AA$18,"E-",IF(D256&lt;'PlayerGrades+'!$AA$17,"E",IF(D256&lt;'PlayerGrades+'!$AA$16,"E+",IF(D256&lt;'PlayerGrades+'!$AA$15,"D-",IF(D256&lt;'PlayerGrades+'!$AA$14,"D",IF(D256&lt;'PlayerGrades+'!$AA$13,"D+",IF(D256&lt;'PlayerGrades+'!$AA$12,"C-",IF(D256&lt;'PlayerGrades+'!$AA$11,"C",IF(D256&lt;'PlayerGrades+'!$AA$10,"C+",IF(D256&lt;'PlayerGrades+'!$AA$9,"B-",IF(D256&lt;'PlayerGrades+'!$AA$8,"B",IF(D256&lt;'PlayerGrades+'!$AA$7,"B+",IF(D256&lt;'PlayerGrades+'!$AA$6,"A-",IF(D256&lt;'PlayerGrades+'!$AA$5,"A",IF(D256&lt;'PlayerGrades+'!$AA$4,"A+",IF(D256&lt;'PlayerGrades+'!$AA$3,"S-",IF(D256&lt;'PlayerGrades+'!$AA$2,"S","S+"))))))))))))))))))))</f>
        <v>#DIV/0!</v>
      </c>
      <c r="F256" s="961" t="str">
        <f t="shared" si="2"/>
        <v>#DIV/0!</v>
      </c>
      <c r="G256" s="961" t="str">
        <f>IF(F256&lt;'PlayerGrades+'!$AB$21,"F-",IF(F256&lt;'PlayerGrades+'!$AB$20,"F",IF(F256&lt;'PlayerGrades+'!$AB$19,"F+",IF(F256&lt;'PlayerGrades+'!$AB$18,"E-",IF(F256&lt;'PlayerGrades+'!$AB$17,"E",IF(F256&lt;'PlayerGrades+'!$AB$16,"E+",IF(F256&lt;'PlayerGrades+'!$AB$15,"D-",IF(F256&lt;'PlayerGrades+'!$AB$14,"D",IF(F256&lt;'PlayerGrades+'!$AB$13,"D+",IF(F256&lt;'PlayerGrades+'!$AB$12,"C-",IF(F256&lt;'PlayerGrades+'!$AB$11,"C",IF(F256&lt;'PlayerGrades+'!$AB$10,"C+",IF(F256&lt;'PlayerGrades+'!$AB$9,"B-",IF(F256&lt;'PlayerGrades+'!$AB$8,"B",IF(F256&lt;'PlayerGrades+'!$AB$7,"B+",IF(F256&lt;'PlayerGrades+'!$AB$6,"A-",IF(F256&lt;'PlayerGrades+'!$AB$5,"A",IF(F256&lt;'PlayerGrades+'!$AB$4,"A+",IF(F256&lt;'PlayerGrades+'!$AB$3,"S-",IF(F256&lt;'PlayerGrades+'!$AB$2,"S","S+"))))))))))))))))))))</f>
        <v>#DIV/0!</v>
      </c>
      <c r="H256" s="961" t="str">
        <f t="shared" si="3"/>
        <v>#DIV/0!</v>
      </c>
      <c r="I256" s="961" t="str">
        <f>IF(H256&lt;'PlayerGrades+'!$AC$21,"F-",IF(H256&lt;'PlayerGrades+'!$AC$20,"F",IF(H256&lt;'PlayerGrades+'!$AC$19,"F+",IF(H256&lt;'PlayerGrades+'!$AC$18,"E-",IF(H256&lt;'PlayerGrades+'!$AC$17,"E",IF(H256&lt;'PlayerGrades+'!$AC$16,"E+",IF(H256&lt;'PlayerGrades+'!$AC$15,"D-",IF(H256&lt;'PlayerGrades+'!$AC$14,"D",IF(H256&lt;'PlayerGrades+'!$AC$13,"D+",IF(H256&lt;'PlayerGrades+'!$AC$12,"C-",IF(H256&lt;'PlayerGrades+'!$AC$11,"C",IF(H256&lt;'PlayerGrades+'!$AC$10,"C+",IF(H256&lt;'PlayerGrades+'!$AC$9,"B-",IF(H256&lt;'PlayerGrades+'!$AC$8,"B",IF(H256&lt;'PlayerGrades+'!$AC$7,"B+",IF(H256&lt;'PlayerGrades+'!$AC$6,"A-",IF(H256&lt;'PlayerGrades+'!$AC$5,"A",IF(H256&lt;'PlayerGrades+'!$AC$4,"A+",IF(H256&lt;'PlayerGrades+'!$AC$3,"S-",IF(H256&lt;'PlayerGrades+'!$AC$2,"S","S+"))))))))))))))))))))</f>
        <v>#DIV/0!</v>
      </c>
      <c r="J256" s="961" t="str">
        <f t="shared" si="4"/>
        <v>#DIV/0!</v>
      </c>
      <c r="K256" s="961" t="str">
        <f>IF(J256&lt;'PlayerGrades+'!$AD$21,"F-",IF(J256&lt;'PlayerGrades+'!$AD$20,"F",IF(J256&lt;'PlayerGrades+'!$AD$19,"F+",IF(J256&lt;'PlayerGrades+'!$AD$18,"E-",IF(J256&lt;'PlayerGrades+'!$AD$17,"E",IF(J256&lt;'PlayerGrades+'!$AD$16,"E+",IF(J256&lt;'PlayerGrades+'!$AD$15,"D-",IF(J256&lt;'PlayerGrades+'!$AD$14,"D",IF(J256&lt;'PlayerGrades+'!$AD$13,"D+",IF(J256&lt;'PlayerGrades+'!$AD$12,"C-",IF(J256&lt;'PlayerGrades+'!$AD$11,"C",IF(J256&lt;'PlayerGrades+'!$AD$10,"C+",IF(J256&lt;'PlayerGrades+'!$AD$9,"B-",IF(J256&lt;'PlayerGrades+'!$AD$8,"B",IF(J256&lt;'PlayerGrades+'!$AD$7,"B+",IF(J256&lt;'PlayerGrades+'!$AD$6,"A-",IF(J256&lt;'PlayerGrades+'!$AD$5,"A",IF(J256&lt;'PlayerGrades+'!$AD$4,"A+",IF(J256&lt;'PlayerGrades+'!$AD$3,"S-",IF(J256&lt;'PlayerGrades+'!$AD$2,"S","S+"))))))))))))))))))))</f>
        <v>#DIV/0!</v>
      </c>
      <c r="L256" s="1176" t="str">
        <f t="shared" si="5"/>
        <v>#DIV/0!</v>
      </c>
      <c r="M256" s="992" t="str">
        <f>IF(L256&lt;'PlayerGrades+'!$AE$21,"F-",IF(L256&lt;'PlayerGrades+'!$AE$20,"F",IF(L256&lt;'PlayerGrades+'!$AE$19,"F+",IF(L256&lt;'PlayerGrades+'!$AE$18,"E-",IF(L256&lt;'PlayerGrades+'!$AE$17,"E",IF(L256&lt;'PlayerGrades+'!$AE$16,"E+",IF(L256&lt;'PlayerGrades+'!$AE$15,"D-",IF(L256&lt;'PlayerGrades+'!$AE$14,"D",IF(L256&lt;'PlayerGrades+'!$AE$13,"D+",IF(L256&lt;'PlayerGrades+'!$AE$12,"C-",IF(L256&lt;'PlayerGrades+'!$AE$11,"C",IF(L256&lt;'PlayerGrades+'!$AE$10,"C+",IF(L256&lt;'PlayerGrades+'!$AE$9,"B-",IF(L256&lt;'PlayerGrades+'!$AE$8,"B",IF(L256&lt;'PlayerGrades+'!$AE$7,"B+",IF(L256&lt;'PlayerGrades+'!$AE$6,"A-",IF(L256&lt;'PlayerGrades+'!$AE$5,"A",IF(L256&lt;'PlayerGrades+'!$AE$4,"A+",IF(L256&lt;'PlayerGrades+'!$AE$3,"S-",IF(L256&lt;'PlayerGrades+'!$AE$2,"S","S+"))))))))))))))))))))</f>
        <v>#DIV/0!</v>
      </c>
      <c r="N256" s="961" t="str">
        <f t="shared" si="6"/>
        <v>#DIV/0!</v>
      </c>
      <c r="O256" s="961" t="str">
        <f>IF(N256&lt;'PlayerGrades+'!$AF$21,"F-",IF(N256&lt;'PlayerGrades+'!$AF$20,"F",IF(N256&lt;'PlayerGrades+'!$AF$19,"F+",IF(N256&lt;'PlayerGrades+'!$AF$18,"E-",IF(N256&lt;'PlayerGrades+'!$AF$17,"E",IF(N256&lt;'PlayerGrades+'!$AF$16,"E+",IF(N256&lt;'PlayerGrades+'!$AF$15,"D-",IF(N256&lt;'PlayerGrades+'!$AF$14,"D",IF(N256&lt;'PlayerGrades+'!$AF$13,"D+",IF(N256&lt;'PlayerGrades+'!$AF$12,"C-",IF(N256&lt;'PlayerGrades+'!$AF$11,"C",IF(N256&lt;'PlayerGrades+'!$AF$10,"C+",IF(N256&lt;'PlayerGrades+'!$AF$9,"B-",IF(N256&lt;'PlayerGrades+'!$AF$8,"B",IF(N256&lt;'PlayerGrades+'!$AF$7,"B+",IF(N256&lt;'PlayerGrades+'!$AF$6,"A-",IF(N256&lt;'PlayerGrades+'!$AF$5,"A",IF(N256&lt;'PlayerGrades+'!$AF$4,"A+",IF(N256&lt;'PlayerGrades+'!$AF$3,"S-",IF(N256&lt;'PlayerGrades+'!$AF$2,"S","S+"))))))))))))))))))))</f>
        <v>#DIV/0!</v>
      </c>
      <c r="P256" s="961" t="str">
        <f t="shared" si="7"/>
        <v>#DIV/0!</v>
      </c>
      <c r="Q256" s="961" t="str">
        <f>IF(P256&lt;'PlayerGrades+'!$AG$21,"F-",IF(P256&lt;'PlayerGrades+'!$AG$20,"F",IF(P256&lt;'PlayerGrades+'!$AG$19,"F+",IF(P256&lt;'PlayerGrades+'!$AG$18,"E-",IF(P256&lt;'PlayerGrades+'!$AG$17,"E",IF(P256&lt;'PlayerGrades+'!$AG$16,"E+",IF(P256&lt;'PlayerGrades+'!$AG$15,"D-",IF(P256&lt;'PlayerGrades+'!$AG$14,"D",IF(P256&lt;'PlayerGrades+'!$AG$13,"D+",IF(P256&lt;'PlayerGrades+'!$AG$12,"C-",IF(P256&lt;'PlayerGrades+'!$AG$11,"C",IF(P256&lt;'PlayerGrades+'!$AG$10,"C+",IF(P256&lt;'PlayerGrades+'!$AG$9,"B-",IF(P256&lt;'PlayerGrades+'!$AG$8,"B",IF(P256&lt;'PlayerGrades+'!$AG$7,"B+",IF(P256&lt;'PlayerGrades+'!$AG$6,"A-",IF(P256&lt;'PlayerGrades+'!$AG$5,"A",IF(P256&lt;'PlayerGrades+'!$AG$4,"A+",IF(P256&lt;'PlayerGrades+'!$AG$3,"S-",IF(P256&lt;'PlayerGrades+'!$AG$2,"S","S+"))))))))))))))))))))</f>
        <v>#DIV/0!</v>
      </c>
      <c r="R256" s="961" t="str">
        <f t="shared" si="8"/>
        <v>#DIV/0!</v>
      </c>
      <c r="S256" s="961" t="str">
        <f>IF(R256&lt;'PlayerGrades+'!$AH$21,"F-",IF(R256&lt;'PlayerGrades+'!$AH$20,"F",IF(R256&lt;'PlayerGrades+'!$AH$19,"F+",IF(R256&lt;'PlayerGrades+'!$AH$18,"E-",IF(R256&lt;'PlayerGrades+'!$AH$17,"E",IF(R256&lt;'PlayerGrades+'!$AH$16,"E+",IF(R256&lt;'PlayerGrades+'!$AH$15,"D-",IF(R256&lt;'PlayerGrades+'!$AH$14,"D",IF(R256&lt;'PlayerGrades+'!$AH$13,"D+",IF(R256&lt;'PlayerGrades+'!$AH$12,"C-",IF(R256&lt;'PlayerGrades+'!$AH$11,"C",IF(R256&lt;'PlayerGrades+'!$AH$10,"C+",IF(R256&lt;'PlayerGrades+'!$AH$9,"B-",IF(R256&lt;'PlayerGrades+'!$AH$8,"B",IF(R256&lt;'PlayerGrades+'!$AH$7,"B+",IF(R256&lt;'PlayerGrades+'!$AH$6,"A-",IF(R256&lt;'PlayerGrades+'!$AH$5,"A",IF(R256&lt;'PlayerGrades+'!$AH$4,"A+",IF(R256&lt;'PlayerGrades+'!$AH$3,"S-",IF(R256&lt;'PlayerGrades+'!$AH$2,"S","S+"))))))))))))))))))))</f>
        <v>#DIV/0!</v>
      </c>
      <c r="T256" s="961">
        <f t="shared" si="9"/>
        <v>0</v>
      </c>
      <c r="U256" s="961" t="str">
        <f>IF(T256&lt;'PlayerGrades+'!$AI$21,"F-",IF(T256&lt;'PlayerGrades+'!$AI$20,"F",IF(T256&lt;'PlayerGrades+'!$AI$19,"F+",IF(T256&lt;'PlayerGrades+'!$AI$18,"E-",IF(T256&lt;'PlayerGrades+'!$AI$17,"E",IF(T256&lt;'PlayerGrades+'!$AI$16,"E+",IF(T256&lt;'PlayerGrades+'!$AI$15,"D-",IF(T256&lt;'PlayerGrades+'!$AI$14,"D",IF(T256&lt;'PlayerGrades+'!$AI$13,"D+",IF(T256&lt;'PlayerGrades+'!$AI$12,"C-",IF(T256&lt;'PlayerGrades+'!$AI$11,"C",IF(T256&lt;'PlayerGrades+'!$AI$10,"C+",IF(T256&lt;'PlayerGrades+'!$AI$9,"B-",IF(T256&lt;'PlayerGrades+'!$AI$8,"B",IF(T256&lt;'PlayerGrades+'!$AI$7,"B+",IF(T256&lt;'PlayerGrades+'!$AI$6,"A-",IF(T256&lt;'PlayerGrades+'!$AI$5,"A",IF(T256&lt;'PlayerGrades+'!$AI$4,"A+",IF(T256&lt;'PlayerGrades+'!$AI$3,"S-",IF(T256&lt;'PlayerGrades+'!$AI$2,"S","S+"))))))))))))))))))))</f>
        <v>F-</v>
      </c>
      <c r="AC256" s="1392"/>
    </row>
    <row r="257">
      <c r="A257" s="1393"/>
      <c r="B257" s="611" t="str">
        <f>IF(C257&lt;'PlayerGrades+'!$Y$44,"F-",IF(C257&lt;'PlayerGrades+'!$Y$43,"F",IF(C257&lt;'PlayerGrades+'!$Y$42,"F+",IF(C257&lt;'PlayerGrades+'!$Y$41,"E-",IF(C257&lt;'PlayerGrades+'!$Y$40,"E",IF(C257&lt;'PlayerGrades+'!$Y$39,"E+",IF(C257&lt;'PlayerGrades+'!$Y$38,"D-",IF(C257&lt;'PlayerGrades+'!$Y$37,"D",IF(C257&lt;'PlayerGrades+'!$Y$36,"D+",IF(C257&lt;'PlayerGrades+'!$Y$35,"C-",IF(C257&lt;'PlayerGrades+'!$Y$34,"C",IF(C257&lt;'PlayerGrades+'!$Y$33,"C+",IF(C257&lt;'PlayerGrades+'!$Y$32,"B-",IF(C257&lt;'PlayerGrades+'!$Y$31,"B",IF(C257&lt;'PlayerGrades+'!$Y$30,"B+",IF(C257&lt;'PlayerGrades+'!$Y$29,"A-",IF(C257&lt;'PlayerGrades+'!$Y$28,"A",IF(C257&lt;'PlayerGrades+'!$Y$27,"A+",IF(C257&lt;'PlayerGrades+'!$Y$26,"S-",IF(C257&lt;'PlayerGrades+'!$Y$25,"S","S+"))))))))))))))))))))</f>
        <v>#DIV/0!</v>
      </c>
      <c r="C257" s="1378" t="str">
        <f>('PlayerGrades+'!$Y$47*(VLOOKUP(E257, 'PlayerGrades+'!$X$3:$Y$23, 2, FALSE)))+('PlayerGrades+'!$Y$48*(VLOOKUP(G257, 'PlayerGrades+'!$X$3:$Y$23, 2, FALSE)))+('PlayerGrades+'!$Y$49*(VLOOKUP(I257, 'PlayerGrades+'!$X$3:$Y$23, 2, FALSE)))+('PlayerGrades+'!$Y$50*(VLOOKUP(K257, 'PlayerGrades+'!$X$3:$Y$23, 2, FALSE)))+('PlayerGrades+'!$Y$51*(VLOOKUP(M257, 'PlayerGrades+'!$X$3:$Y$23, 2, FALSE)))+('PlayerGrades+'!$Y$52*(VLOOKUP(O257, 'PlayerGrades+'!$X$3:$Y$23, 2, FALSE)))+('PlayerGrades+'!$Y$53*(VLOOKUP(Q257, 'PlayerGrades+'!$X$3:$Y$23, 2, FALSE)))+('PlayerGrades+'!$Y$54*(VLOOKUP(S257, 'PlayerGrades+'!$X$3:$Y$23, 2, FALSE)))+('PlayerGrades+'!$Y$55*(VLOOKUP(U257, 'PlayerGrades+'!$X$3:$Y$23, 2, FALSE)))</f>
        <v>#DIV/0!</v>
      </c>
      <c r="D257" s="961" t="str">
        <f t="shared" si="1"/>
        <v>#DIV/0!</v>
      </c>
      <c r="E257" s="961" t="str">
        <f>IF(D257&lt;'PlayerGrades+'!$AA$21,"F-",IF(D257&lt;'PlayerGrades+'!$AA$20,"F",IF(D257&lt;'PlayerGrades+'!$AA$19,"F+",IF(D257&lt;'PlayerGrades+'!$AA$18,"E-",IF(D257&lt;'PlayerGrades+'!$AA$17,"E",IF(D257&lt;'PlayerGrades+'!$AA$16,"E+",IF(D257&lt;'PlayerGrades+'!$AA$15,"D-",IF(D257&lt;'PlayerGrades+'!$AA$14,"D",IF(D257&lt;'PlayerGrades+'!$AA$13,"D+",IF(D257&lt;'PlayerGrades+'!$AA$12,"C-",IF(D257&lt;'PlayerGrades+'!$AA$11,"C",IF(D257&lt;'PlayerGrades+'!$AA$10,"C+",IF(D257&lt;'PlayerGrades+'!$AA$9,"B-",IF(D257&lt;'PlayerGrades+'!$AA$8,"B",IF(D257&lt;'PlayerGrades+'!$AA$7,"B+",IF(D257&lt;'PlayerGrades+'!$AA$6,"A-",IF(D257&lt;'PlayerGrades+'!$AA$5,"A",IF(D257&lt;'PlayerGrades+'!$AA$4,"A+",IF(D257&lt;'PlayerGrades+'!$AA$3,"S-",IF(D257&lt;'PlayerGrades+'!$AA$2,"S","S+"))))))))))))))))))))</f>
        <v>#DIV/0!</v>
      </c>
      <c r="F257" s="961" t="str">
        <f t="shared" si="2"/>
        <v>#DIV/0!</v>
      </c>
      <c r="G257" s="961" t="str">
        <f>IF(F257&lt;'PlayerGrades+'!$AB$21,"F-",IF(F257&lt;'PlayerGrades+'!$AB$20,"F",IF(F257&lt;'PlayerGrades+'!$AB$19,"F+",IF(F257&lt;'PlayerGrades+'!$AB$18,"E-",IF(F257&lt;'PlayerGrades+'!$AB$17,"E",IF(F257&lt;'PlayerGrades+'!$AB$16,"E+",IF(F257&lt;'PlayerGrades+'!$AB$15,"D-",IF(F257&lt;'PlayerGrades+'!$AB$14,"D",IF(F257&lt;'PlayerGrades+'!$AB$13,"D+",IF(F257&lt;'PlayerGrades+'!$AB$12,"C-",IF(F257&lt;'PlayerGrades+'!$AB$11,"C",IF(F257&lt;'PlayerGrades+'!$AB$10,"C+",IF(F257&lt;'PlayerGrades+'!$AB$9,"B-",IF(F257&lt;'PlayerGrades+'!$AB$8,"B",IF(F257&lt;'PlayerGrades+'!$AB$7,"B+",IF(F257&lt;'PlayerGrades+'!$AB$6,"A-",IF(F257&lt;'PlayerGrades+'!$AB$5,"A",IF(F257&lt;'PlayerGrades+'!$AB$4,"A+",IF(F257&lt;'PlayerGrades+'!$AB$3,"S-",IF(F257&lt;'PlayerGrades+'!$AB$2,"S","S+"))))))))))))))))))))</f>
        <v>#DIV/0!</v>
      </c>
      <c r="H257" s="961" t="str">
        <f t="shared" si="3"/>
        <v>#DIV/0!</v>
      </c>
      <c r="I257" s="961" t="str">
        <f>IF(H257&lt;'PlayerGrades+'!$AC$21,"F-",IF(H257&lt;'PlayerGrades+'!$AC$20,"F",IF(H257&lt;'PlayerGrades+'!$AC$19,"F+",IF(H257&lt;'PlayerGrades+'!$AC$18,"E-",IF(H257&lt;'PlayerGrades+'!$AC$17,"E",IF(H257&lt;'PlayerGrades+'!$AC$16,"E+",IF(H257&lt;'PlayerGrades+'!$AC$15,"D-",IF(H257&lt;'PlayerGrades+'!$AC$14,"D",IF(H257&lt;'PlayerGrades+'!$AC$13,"D+",IF(H257&lt;'PlayerGrades+'!$AC$12,"C-",IF(H257&lt;'PlayerGrades+'!$AC$11,"C",IF(H257&lt;'PlayerGrades+'!$AC$10,"C+",IF(H257&lt;'PlayerGrades+'!$AC$9,"B-",IF(H257&lt;'PlayerGrades+'!$AC$8,"B",IF(H257&lt;'PlayerGrades+'!$AC$7,"B+",IF(H257&lt;'PlayerGrades+'!$AC$6,"A-",IF(H257&lt;'PlayerGrades+'!$AC$5,"A",IF(H257&lt;'PlayerGrades+'!$AC$4,"A+",IF(H257&lt;'PlayerGrades+'!$AC$3,"S-",IF(H257&lt;'PlayerGrades+'!$AC$2,"S","S+"))))))))))))))))))))</f>
        <v>#DIV/0!</v>
      </c>
      <c r="J257" s="961" t="str">
        <f t="shared" si="4"/>
        <v>#DIV/0!</v>
      </c>
      <c r="K257" s="961" t="str">
        <f>IF(J257&lt;'PlayerGrades+'!$AD$21,"F-",IF(J257&lt;'PlayerGrades+'!$AD$20,"F",IF(J257&lt;'PlayerGrades+'!$AD$19,"F+",IF(J257&lt;'PlayerGrades+'!$AD$18,"E-",IF(J257&lt;'PlayerGrades+'!$AD$17,"E",IF(J257&lt;'PlayerGrades+'!$AD$16,"E+",IF(J257&lt;'PlayerGrades+'!$AD$15,"D-",IF(J257&lt;'PlayerGrades+'!$AD$14,"D",IF(J257&lt;'PlayerGrades+'!$AD$13,"D+",IF(J257&lt;'PlayerGrades+'!$AD$12,"C-",IF(J257&lt;'PlayerGrades+'!$AD$11,"C",IF(J257&lt;'PlayerGrades+'!$AD$10,"C+",IF(J257&lt;'PlayerGrades+'!$AD$9,"B-",IF(J257&lt;'PlayerGrades+'!$AD$8,"B",IF(J257&lt;'PlayerGrades+'!$AD$7,"B+",IF(J257&lt;'PlayerGrades+'!$AD$6,"A-",IF(J257&lt;'PlayerGrades+'!$AD$5,"A",IF(J257&lt;'PlayerGrades+'!$AD$4,"A+",IF(J257&lt;'PlayerGrades+'!$AD$3,"S-",IF(J257&lt;'PlayerGrades+'!$AD$2,"S","S+"))))))))))))))))))))</f>
        <v>#DIV/0!</v>
      </c>
      <c r="L257" s="1176" t="str">
        <f t="shared" si="5"/>
        <v>#DIV/0!</v>
      </c>
      <c r="M257" s="992" t="str">
        <f>IF(L257&lt;'PlayerGrades+'!$AE$21,"F-",IF(L257&lt;'PlayerGrades+'!$AE$20,"F",IF(L257&lt;'PlayerGrades+'!$AE$19,"F+",IF(L257&lt;'PlayerGrades+'!$AE$18,"E-",IF(L257&lt;'PlayerGrades+'!$AE$17,"E",IF(L257&lt;'PlayerGrades+'!$AE$16,"E+",IF(L257&lt;'PlayerGrades+'!$AE$15,"D-",IF(L257&lt;'PlayerGrades+'!$AE$14,"D",IF(L257&lt;'PlayerGrades+'!$AE$13,"D+",IF(L257&lt;'PlayerGrades+'!$AE$12,"C-",IF(L257&lt;'PlayerGrades+'!$AE$11,"C",IF(L257&lt;'PlayerGrades+'!$AE$10,"C+",IF(L257&lt;'PlayerGrades+'!$AE$9,"B-",IF(L257&lt;'PlayerGrades+'!$AE$8,"B",IF(L257&lt;'PlayerGrades+'!$AE$7,"B+",IF(L257&lt;'PlayerGrades+'!$AE$6,"A-",IF(L257&lt;'PlayerGrades+'!$AE$5,"A",IF(L257&lt;'PlayerGrades+'!$AE$4,"A+",IF(L257&lt;'PlayerGrades+'!$AE$3,"S-",IF(L257&lt;'PlayerGrades+'!$AE$2,"S","S+"))))))))))))))))))))</f>
        <v>#DIV/0!</v>
      </c>
      <c r="N257" s="961" t="str">
        <f t="shared" si="6"/>
        <v>#DIV/0!</v>
      </c>
      <c r="O257" s="961" t="str">
        <f>IF(N257&lt;'PlayerGrades+'!$AF$21,"F-",IF(N257&lt;'PlayerGrades+'!$AF$20,"F",IF(N257&lt;'PlayerGrades+'!$AF$19,"F+",IF(N257&lt;'PlayerGrades+'!$AF$18,"E-",IF(N257&lt;'PlayerGrades+'!$AF$17,"E",IF(N257&lt;'PlayerGrades+'!$AF$16,"E+",IF(N257&lt;'PlayerGrades+'!$AF$15,"D-",IF(N257&lt;'PlayerGrades+'!$AF$14,"D",IF(N257&lt;'PlayerGrades+'!$AF$13,"D+",IF(N257&lt;'PlayerGrades+'!$AF$12,"C-",IF(N257&lt;'PlayerGrades+'!$AF$11,"C",IF(N257&lt;'PlayerGrades+'!$AF$10,"C+",IF(N257&lt;'PlayerGrades+'!$AF$9,"B-",IF(N257&lt;'PlayerGrades+'!$AF$8,"B",IF(N257&lt;'PlayerGrades+'!$AF$7,"B+",IF(N257&lt;'PlayerGrades+'!$AF$6,"A-",IF(N257&lt;'PlayerGrades+'!$AF$5,"A",IF(N257&lt;'PlayerGrades+'!$AF$4,"A+",IF(N257&lt;'PlayerGrades+'!$AF$3,"S-",IF(N257&lt;'PlayerGrades+'!$AF$2,"S","S+"))))))))))))))))))))</f>
        <v>#DIV/0!</v>
      </c>
      <c r="P257" s="961" t="str">
        <f t="shared" si="7"/>
        <v>#DIV/0!</v>
      </c>
      <c r="Q257" s="961" t="str">
        <f>IF(P257&lt;'PlayerGrades+'!$AG$21,"F-",IF(P257&lt;'PlayerGrades+'!$AG$20,"F",IF(P257&lt;'PlayerGrades+'!$AG$19,"F+",IF(P257&lt;'PlayerGrades+'!$AG$18,"E-",IF(P257&lt;'PlayerGrades+'!$AG$17,"E",IF(P257&lt;'PlayerGrades+'!$AG$16,"E+",IF(P257&lt;'PlayerGrades+'!$AG$15,"D-",IF(P257&lt;'PlayerGrades+'!$AG$14,"D",IF(P257&lt;'PlayerGrades+'!$AG$13,"D+",IF(P257&lt;'PlayerGrades+'!$AG$12,"C-",IF(P257&lt;'PlayerGrades+'!$AG$11,"C",IF(P257&lt;'PlayerGrades+'!$AG$10,"C+",IF(P257&lt;'PlayerGrades+'!$AG$9,"B-",IF(P257&lt;'PlayerGrades+'!$AG$8,"B",IF(P257&lt;'PlayerGrades+'!$AG$7,"B+",IF(P257&lt;'PlayerGrades+'!$AG$6,"A-",IF(P257&lt;'PlayerGrades+'!$AG$5,"A",IF(P257&lt;'PlayerGrades+'!$AG$4,"A+",IF(P257&lt;'PlayerGrades+'!$AG$3,"S-",IF(P257&lt;'PlayerGrades+'!$AG$2,"S","S+"))))))))))))))))))))</f>
        <v>#DIV/0!</v>
      </c>
      <c r="R257" s="961" t="str">
        <f t="shared" si="8"/>
        <v>#DIV/0!</v>
      </c>
      <c r="S257" s="961" t="str">
        <f>IF(R257&lt;'PlayerGrades+'!$AH$21,"F-",IF(R257&lt;'PlayerGrades+'!$AH$20,"F",IF(R257&lt;'PlayerGrades+'!$AH$19,"F+",IF(R257&lt;'PlayerGrades+'!$AH$18,"E-",IF(R257&lt;'PlayerGrades+'!$AH$17,"E",IF(R257&lt;'PlayerGrades+'!$AH$16,"E+",IF(R257&lt;'PlayerGrades+'!$AH$15,"D-",IF(R257&lt;'PlayerGrades+'!$AH$14,"D",IF(R257&lt;'PlayerGrades+'!$AH$13,"D+",IF(R257&lt;'PlayerGrades+'!$AH$12,"C-",IF(R257&lt;'PlayerGrades+'!$AH$11,"C",IF(R257&lt;'PlayerGrades+'!$AH$10,"C+",IF(R257&lt;'PlayerGrades+'!$AH$9,"B-",IF(R257&lt;'PlayerGrades+'!$AH$8,"B",IF(R257&lt;'PlayerGrades+'!$AH$7,"B+",IF(R257&lt;'PlayerGrades+'!$AH$6,"A-",IF(R257&lt;'PlayerGrades+'!$AH$5,"A",IF(R257&lt;'PlayerGrades+'!$AH$4,"A+",IF(R257&lt;'PlayerGrades+'!$AH$3,"S-",IF(R257&lt;'PlayerGrades+'!$AH$2,"S","S+"))))))))))))))))))))</f>
        <v>#DIV/0!</v>
      </c>
      <c r="T257" s="961">
        <f t="shared" si="9"/>
        <v>0</v>
      </c>
      <c r="U257" s="961" t="str">
        <f>IF(T257&lt;'PlayerGrades+'!$AI$21,"F-",IF(T257&lt;'PlayerGrades+'!$AI$20,"F",IF(T257&lt;'PlayerGrades+'!$AI$19,"F+",IF(T257&lt;'PlayerGrades+'!$AI$18,"E-",IF(T257&lt;'PlayerGrades+'!$AI$17,"E",IF(T257&lt;'PlayerGrades+'!$AI$16,"E+",IF(T257&lt;'PlayerGrades+'!$AI$15,"D-",IF(T257&lt;'PlayerGrades+'!$AI$14,"D",IF(T257&lt;'PlayerGrades+'!$AI$13,"D+",IF(T257&lt;'PlayerGrades+'!$AI$12,"C-",IF(T257&lt;'PlayerGrades+'!$AI$11,"C",IF(T257&lt;'PlayerGrades+'!$AI$10,"C+",IF(T257&lt;'PlayerGrades+'!$AI$9,"B-",IF(T257&lt;'PlayerGrades+'!$AI$8,"B",IF(T257&lt;'PlayerGrades+'!$AI$7,"B+",IF(T257&lt;'PlayerGrades+'!$AI$6,"A-",IF(T257&lt;'PlayerGrades+'!$AI$5,"A",IF(T257&lt;'PlayerGrades+'!$AI$4,"A+",IF(T257&lt;'PlayerGrades+'!$AI$3,"S-",IF(T257&lt;'PlayerGrades+'!$AI$2,"S","S+"))))))))))))))))))))</f>
        <v>F-</v>
      </c>
      <c r="V257" s="1386"/>
      <c r="W257" s="1386"/>
      <c r="X257" s="1386"/>
      <c r="Y257" s="1386"/>
      <c r="Z257" s="1386"/>
      <c r="AA257" s="1386"/>
      <c r="AB257" s="1386"/>
      <c r="AC257" s="1397"/>
      <c r="AD257" s="1386"/>
      <c r="AE257" s="1386"/>
      <c r="AF257" s="1386"/>
      <c r="AG257" s="1386"/>
      <c r="AH257" s="1386"/>
      <c r="AI257" s="1386"/>
      <c r="AJ257" s="1386"/>
      <c r="AK257" s="1386"/>
      <c r="AL257" s="1386"/>
      <c r="AM257" s="1386"/>
      <c r="AN257" s="1386"/>
      <c r="AO257" s="1386"/>
      <c r="AP257" s="1386"/>
      <c r="AQ257" s="1386"/>
      <c r="AR257" s="1386"/>
      <c r="AS257" s="1386"/>
      <c r="AT257" s="1386"/>
      <c r="AU257" s="1386"/>
      <c r="AV257" s="1386"/>
      <c r="AW257" s="1386"/>
      <c r="AX257" s="1386"/>
      <c r="AY257" s="1386"/>
      <c r="AZ257" s="1386"/>
    </row>
    <row r="258">
      <c r="A258" s="1389"/>
      <c r="B258" s="611" t="str">
        <f>IF(C258&lt;'PlayerGrades+'!$Y$44,"F-",IF(C258&lt;'PlayerGrades+'!$Y$43,"F",IF(C258&lt;'PlayerGrades+'!$Y$42,"F+",IF(C258&lt;'PlayerGrades+'!$Y$41,"E-",IF(C258&lt;'PlayerGrades+'!$Y$40,"E",IF(C258&lt;'PlayerGrades+'!$Y$39,"E+",IF(C258&lt;'PlayerGrades+'!$Y$38,"D-",IF(C258&lt;'PlayerGrades+'!$Y$37,"D",IF(C258&lt;'PlayerGrades+'!$Y$36,"D+",IF(C258&lt;'PlayerGrades+'!$Y$35,"C-",IF(C258&lt;'PlayerGrades+'!$Y$34,"C",IF(C258&lt;'PlayerGrades+'!$Y$33,"C+",IF(C258&lt;'PlayerGrades+'!$Y$32,"B-",IF(C258&lt;'PlayerGrades+'!$Y$31,"B",IF(C258&lt;'PlayerGrades+'!$Y$30,"B+",IF(C258&lt;'PlayerGrades+'!$Y$29,"A-",IF(C258&lt;'PlayerGrades+'!$Y$28,"A",IF(C258&lt;'PlayerGrades+'!$Y$27,"A+",IF(C258&lt;'PlayerGrades+'!$Y$26,"S-",IF(C258&lt;'PlayerGrades+'!$Y$25,"S","S+"))))))))))))))))))))</f>
        <v>#DIV/0!</v>
      </c>
      <c r="C258" s="1378" t="str">
        <f>('PlayerGrades+'!$Y$47*(VLOOKUP(E258, 'PlayerGrades+'!$X$3:$Y$23, 2, FALSE)))+('PlayerGrades+'!$Y$48*(VLOOKUP(G258, 'PlayerGrades+'!$X$3:$Y$23, 2, FALSE)))+('PlayerGrades+'!$Y$49*(VLOOKUP(I258, 'PlayerGrades+'!$X$3:$Y$23, 2, FALSE)))+('PlayerGrades+'!$Y$50*(VLOOKUP(K258, 'PlayerGrades+'!$X$3:$Y$23, 2, FALSE)))+('PlayerGrades+'!$Y$51*(VLOOKUP(M258, 'PlayerGrades+'!$X$3:$Y$23, 2, FALSE)))+('PlayerGrades+'!$Y$52*(VLOOKUP(O258, 'PlayerGrades+'!$X$3:$Y$23, 2, FALSE)))+('PlayerGrades+'!$Y$53*(VLOOKUP(Q258, 'PlayerGrades+'!$X$3:$Y$23, 2, FALSE)))+('PlayerGrades+'!$Y$54*(VLOOKUP(S258, 'PlayerGrades+'!$X$3:$Y$23, 2, FALSE)))+('PlayerGrades+'!$Y$55*(VLOOKUP(U258, 'PlayerGrades+'!$X$3:$Y$23, 2, FALSE)))</f>
        <v>#DIV/0!</v>
      </c>
      <c r="D258" s="961" t="str">
        <f t="shared" si="1"/>
        <v>#DIV/0!</v>
      </c>
      <c r="E258" s="961" t="str">
        <f>IF(D258&lt;'PlayerGrades+'!$AA$21,"F-",IF(D258&lt;'PlayerGrades+'!$AA$20,"F",IF(D258&lt;'PlayerGrades+'!$AA$19,"F+",IF(D258&lt;'PlayerGrades+'!$AA$18,"E-",IF(D258&lt;'PlayerGrades+'!$AA$17,"E",IF(D258&lt;'PlayerGrades+'!$AA$16,"E+",IF(D258&lt;'PlayerGrades+'!$AA$15,"D-",IF(D258&lt;'PlayerGrades+'!$AA$14,"D",IF(D258&lt;'PlayerGrades+'!$AA$13,"D+",IF(D258&lt;'PlayerGrades+'!$AA$12,"C-",IF(D258&lt;'PlayerGrades+'!$AA$11,"C",IF(D258&lt;'PlayerGrades+'!$AA$10,"C+",IF(D258&lt;'PlayerGrades+'!$AA$9,"B-",IF(D258&lt;'PlayerGrades+'!$AA$8,"B",IF(D258&lt;'PlayerGrades+'!$AA$7,"B+",IF(D258&lt;'PlayerGrades+'!$AA$6,"A-",IF(D258&lt;'PlayerGrades+'!$AA$5,"A",IF(D258&lt;'PlayerGrades+'!$AA$4,"A+",IF(D258&lt;'PlayerGrades+'!$AA$3,"S-",IF(D258&lt;'PlayerGrades+'!$AA$2,"S","S+"))))))))))))))))))))</f>
        <v>#DIV/0!</v>
      </c>
      <c r="F258" s="961" t="str">
        <f t="shared" si="2"/>
        <v>#DIV/0!</v>
      </c>
      <c r="G258" s="961" t="str">
        <f>IF(F258&lt;'PlayerGrades+'!$AB$21,"F-",IF(F258&lt;'PlayerGrades+'!$AB$20,"F",IF(F258&lt;'PlayerGrades+'!$AB$19,"F+",IF(F258&lt;'PlayerGrades+'!$AB$18,"E-",IF(F258&lt;'PlayerGrades+'!$AB$17,"E",IF(F258&lt;'PlayerGrades+'!$AB$16,"E+",IF(F258&lt;'PlayerGrades+'!$AB$15,"D-",IF(F258&lt;'PlayerGrades+'!$AB$14,"D",IF(F258&lt;'PlayerGrades+'!$AB$13,"D+",IF(F258&lt;'PlayerGrades+'!$AB$12,"C-",IF(F258&lt;'PlayerGrades+'!$AB$11,"C",IF(F258&lt;'PlayerGrades+'!$AB$10,"C+",IF(F258&lt;'PlayerGrades+'!$AB$9,"B-",IF(F258&lt;'PlayerGrades+'!$AB$8,"B",IF(F258&lt;'PlayerGrades+'!$AB$7,"B+",IF(F258&lt;'PlayerGrades+'!$AB$6,"A-",IF(F258&lt;'PlayerGrades+'!$AB$5,"A",IF(F258&lt;'PlayerGrades+'!$AB$4,"A+",IF(F258&lt;'PlayerGrades+'!$AB$3,"S-",IF(F258&lt;'PlayerGrades+'!$AB$2,"S","S+"))))))))))))))))))))</f>
        <v>#DIV/0!</v>
      </c>
      <c r="H258" s="961" t="str">
        <f t="shared" si="3"/>
        <v>#DIV/0!</v>
      </c>
      <c r="I258" s="961" t="str">
        <f>IF(H258&lt;'PlayerGrades+'!$AC$21,"F-",IF(H258&lt;'PlayerGrades+'!$AC$20,"F",IF(H258&lt;'PlayerGrades+'!$AC$19,"F+",IF(H258&lt;'PlayerGrades+'!$AC$18,"E-",IF(H258&lt;'PlayerGrades+'!$AC$17,"E",IF(H258&lt;'PlayerGrades+'!$AC$16,"E+",IF(H258&lt;'PlayerGrades+'!$AC$15,"D-",IF(H258&lt;'PlayerGrades+'!$AC$14,"D",IF(H258&lt;'PlayerGrades+'!$AC$13,"D+",IF(H258&lt;'PlayerGrades+'!$AC$12,"C-",IF(H258&lt;'PlayerGrades+'!$AC$11,"C",IF(H258&lt;'PlayerGrades+'!$AC$10,"C+",IF(H258&lt;'PlayerGrades+'!$AC$9,"B-",IF(H258&lt;'PlayerGrades+'!$AC$8,"B",IF(H258&lt;'PlayerGrades+'!$AC$7,"B+",IF(H258&lt;'PlayerGrades+'!$AC$6,"A-",IF(H258&lt;'PlayerGrades+'!$AC$5,"A",IF(H258&lt;'PlayerGrades+'!$AC$4,"A+",IF(H258&lt;'PlayerGrades+'!$AC$3,"S-",IF(H258&lt;'PlayerGrades+'!$AC$2,"S","S+"))))))))))))))))))))</f>
        <v>#DIV/0!</v>
      </c>
      <c r="J258" s="961" t="str">
        <f t="shared" si="4"/>
        <v>#DIV/0!</v>
      </c>
      <c r="K258" s="961" t="str">
        <f>IF(J258&lt;'PlayerGrades+'!$AD$21,"F-",IF(J258&lt;'PlayerGrades+'!$AD$20,"F",IF(J258&lt;'PlayerGrades+'!$AD$19,"F+",IF(J258&lt;'PlayerGrades+'!$AD$18,"E-",IF(J258&lt;'PlayerGrades+'!$AD$17,"E",IF(J258&lt;'PlayerGrades+'!$AD$16,"E+",IF(J258&lt;'PlayerGrades+'!$AD$15,"D-",IF(J258&lt;'PlayerGrades+'!$AD$14,"D",IF(J258&lt;'PlayerGrades+'!$AD$13,"D+",IF(J258&lt;'PlayerGrades+'!$AD$12,"C-",IF(J258&lt;'PlayerGrades+'!$AD$11,"C",IF(J258&lt;'PlayerGrades+'!$AD$10,"C+",IF(J258&lt;'PlayerGrades+'!$AD$9,"B-",IF(J258&lt;'PlayerGrades+'!$AD$8,"B",IF(J258&lt;'PlayerGrades+'!$AD$7,"B+",IF(J258&lt;'PlayerGrades+'!$AD$6,"A-",IF(J258&lt;'PlayerGrades+'!$AD$5,"A",IF(J258&lt;'PlayerGrades+'!$AD$4,"A+",IF(J258&lt;'PlayerGrades+'!$AD$3,"S-",IF(J258&lt;'PlayerGrades+'!$AD$2,"S","S+"))))))))))))))))))))</f>
        <v>#DIV/0!</v>
      </c>
      <c r="L258" s="1176" t="str">
        <f t="shared" si="5"/>
        <v>#DIV/0!</v>
      </c>
      <c r="M258" s="992" t="str">
        <f>IF(L258&lt;'PlayerGrades+'!$AE$21,"F-",IF(L258&lt;'PlayerGrades+'!$AE$20,"F",IF(L258&lt;'PlayerGrades+'!$AE$19,"F+",IF(L258&lt;'PlayerGrades+'!$AE$18,"E-",IF(L258&lt;'PlayerGrades+'!$AE$17,"E",IF(L258&lt;'PlayerGrades+'!$AE$16,"E+",IF(L258&lt;'PlayerGrades+'!$AE$15,"D-",IF(L258&lt;'PlayerGrades+'!$AE$14,"D",IF(L258&lt;'PlayerGrades+'!$AE$13,"D+",IF(L258&lt;'PlayerGrades+'!$AE$12,"C-",IF(L258&lt;'PlayerGrades+'!$AE$11,"C",IF(L258&lt;'PlayerGrades+'!$AE$10,"C+",IF(L258&lt;'PlayerGrades+'!$AE$9,"B-",IF(L258&lt;'PlayerGrades+'!$AE$8,"B",IF(L258&lt;'PlayerGrades+'!$AE$7,"B+",IF(L258&lt;'PlayerGrades+'!$AE$6,"A-",IF(L258&lt;'PlayerGrades+'!$AE$5,"A",IF(L258&lt;'PlayerGrades+'!$AE$4,"A+",IF(L258&lt;'PlayerGrades+'!$AE$3,"S-",IF(L258&lt;'PlayerGrades+'!$AE$2,"S","S+"))))))))))))))))))))</f>
        <v>#DIV/0!</v>
      </c>
      <c r="N258" s="961" t="str">
        <f t="shared" si="6"/>
        <v>#DIV/0!</v>
      </c>
      <c r="O258" s="961" t="str">
        <f>IF(N258&lt;'PlayerGrades+'!$AF$21,"F-",IF(N258&lt;'PlayerGrades+'!$AF$20,"F",IF(N258&lt;'PlayerGrades+'!$AF$19,"F+",IF(N258&lt;'PlayerGrades+'!$AF$18,"E-",IF(N258&lt;'PlayerGrades+'!$AF$17,"E",IF(N258&lt;'PlayerGrades+'!$AF$16,"E+",IF(N258&lt;'PlayerGrades+'!$AF$15,"D-",IF(N258&lt;'PlayerGrades+'!$AF$14,"D",IF(N258&lt;'PlayerGrades+'!$AF$13,"D+",IF(N258&lt;'PlayerGrades+'!$AF$12,"C-",IF(N258&lt;'PlayerGrades+'!$AF$11,"C",IF(N258&lt;'PlayerGrades+'!$AF$10,"C+",IF(N258&lt;'PlayerGrades+'!$AF$9,"B-",IF(N258&lt;'PlayerGrades+'!$AF$8,"B",IF(N258&lt;'PlayerGrades+'!$AF$7,"B+",IF(N258&lt;'PlayerGrades+'!$AF$6,"A-",IF(N258&lt;'PlayerGrades+'!$AF$5,"A",IF(N258&lt;'PlayerGrades+'!$AF$4,"A+",IF(N258&lt;'PlayerGrades+'!$AF$3,"S-",IF(N258&lt;'PlayerGrades+'!$AF$2,"S","S+"))))))))))))))))))))</f>
        <v>#DIV/0!</v>
      </c>
      <c r="P258" s="961" t="str">
        <f t="shared" si="7"/>
        <v>#DIV/0!</v>
      </c>
      <c r="Q258" s="961" t="str">
        <f>IF(P258&lt;'PlayerGrades+'!$AG$21,"F-",IF(P258&lt;'PlayerGrades+'!$AG$20,"F",IF(P258&lt;'PlayerGrades+'!$AG$19,"F+",IF(P258&lt;'PlayerGrades+'!$AG$18,"E-",IF(P258&lt;'PlayerGrades+'!$AG$17,"E",IF(P258&lt;'PlayerGrades+'!$AG$16,"E+",IF(P258&lt;'PlayerGrades+'!$AG$15,"D-",IF(P258&lt;'PlayerGrades+'!$AG$14,"D",IF(P258&lt;'PlayerGrades+'!$AG$13,"D+",IF(P258&lt;'PlayerGrades+'!$AG$12,"C-",IF(P258&lt;'PlayerGrades+'!$AG$11,"C",IF(P258&lt;'PlayerGrades+'!$AG$10,"C+",IF(P258&lt;'PlayerGrades+'!$AG$9,"B-",IF(P258&lt;'PlayerGrades+'!$AG$8,"B",IF(P258&lt;'PlayerGrades+'!$AG$7,"B+",IF(P258&lt;'PlayerGrades+'!$AG$6,"A-",IF(P258&lt;'PlayerGrades+'!$AG$5,"A",IF(P258&lt;'PlayerGrades+'!$AG$4,"A+",IF(P258&lt;'PlayerGrades+'!$AG$3,"S-",IF(P258&lt;'PlayerGrades+'!$AG$2,"S","S+"))))))))))))))))))))</f>
        <v>#DIV/0!</v>
      </c>
      <c r="R258" s="961" t="str">
        <f t="shared" si="8"/>
        <v>#DIV/0!</v>
      </c>
      <c r="S258" s="961" t="str">
        <f>IF(R258&lt;'PlayerGrades+'!$AH$21,"F-",IF(R258&lt;'PlayerGrades+'!$AH$20,"F",IF(R258&lt;'PlayerGrades+'!$AH$19,"F+",IF(R258&lt;'PlayerGrades+'!$AH$18,"E-",IF(R258&lt;'PlayerGrades+'!$AH$17,"E",IF(R258&lt;'PlayerGrades+'!$AH$16,"E+",IF(R258&lt;'PlayerGrades+'!$AH$15,"D-",IF(R258&lt;'PlayerGrades+'!$AH$14,"D",IF(R258&lt;'PlayerGrades+'!$AH$13,"D+",IF(R258&lt;'PlayerGrades+'!$AH$12,"C-",IF(R258&lt;'PlayerGrades+'!$AH$11,"C",IF(R258&lt;'PlayerGrades+'!$AH$10,"C+",IF(R258&lt;'PlayerGrades+'!$AH$9,"B-",IF(R258&lt;'PlayerGrades+'!$AH$8,"B",IF(R258&lt;'PlayerGrades+'!$AH$7,"B+",IF(R258&lt;'PlayerGrades+'!$AH$6,"A-",IF(R258&lt;'PlayerGrades+'!$AH$5,"A",IF(R258&lt;'PlayerGrades+'!$AH$4,"A+",IF(R258&lt;'PlayerGrades+'!$AH$3,"S-",IF(R258&lt;'PlayerGrades+'!$AH$2,"S","S+"))))))))))))))))))))</f>
        <v>#DIV/0!</v>
      </c>
      <c r="T258" s="961">
        <f t="shared" si="9"/>
        <v>0</v>
      </c>
      <c r="U258" s="961" t="str">
        <f>IF(T258&lt;'PlayerGrades+'!$AI$21,"F-",IF(T258&lt;'PlayerGrades+'!$AI$20,"F",IF(T258&lt;'PlayerGrades+'!$AI$19,"F+",IF(T258&lt;'PlayerGrades+'!$AI$18,"E-",IF(T258&lt;'PlayerGrades+'!$AI$17,"E",IF(T258&lt;'PlayerGrades+'!$AI$16,"E+",IF(T258&lt;'PlayerGrades+'!$AI$15,"D-",IF(T258&lt;'PlayerGrades+'!$AI$14,"D",IF(T258&lt;'PlayerGrades+'!$AI$13,"D+",IF(T258&lt;'PlayerGrades+'!$AI$12,"C-",IF(T258&lt;'PlayerGrades+'!$AI$11,"C",IF(T258&lt;'PlayerGrades+'!$AI$10,"C+",IF(T258&lt;'PlayerGrades+'!$AI$9,"B-",IF(T258&lt;'PlayerGrades+'!$AI$8,"B",IF(T258&lt;'PlayerGrades+'!$AI$7,"B+",IF(T258&lt;'PlayerGrades+'!$AI$6,"A-",IF(T258&lt;'PlayerGrades+'!$AI$5,"A",IF(T258&lt;'PlayerGrades+'!$AI$4,"A+",IF(T258&lt;'PlayerGrades+'!$AI$3,"S-",IF(T258&lt;'PlayerGrades+'!$AI$2,"S","S+"))))))))))))))))))))</f>
        <v>F-</v>
      </c>
      <c r="V258" s="1379"/>
      <c r="W258" s="1379"/>
      <c r="X258" s="1379"/>
      <c r="Y258" s="1379"/>
      <c r="Z258" s="1379"/>
      <c r="AA258" s="1379"/>
      <c r="AB258" s="1379"/>
      <c r="AC258" s="1390"/>
      <c r="AD258" s="1379"/>
      <c r="AE258" s="1379"/>
      <c r="AF258" s="1379"/>
      <c r="AG258" s="1379"/>
      <c r="AH258" s="1379"/>
      <c r="AI258" s="1379"/>
      <c r="AJ258" s="1379"/>
      <c r="AK258" s="1379"/>
      <c r="AL258" s="1379"/>
      <c r="AM258" s="1379"/>
      <c r="AN258" s="1379"/>
      <c r="AO258" s="1379"/>
      <c r="AP258" s="1379"/>
      <c r="AQ258" s="1379"/>
      <c r="AR258" s="1379"/>
      <c r="AS258" s="1379"/>
      <c r="AT258" s="1379"/>
      <c r="AU258" s="1379"/>
      <c r="AV258" s="1379"/>
      <c r="AW258" s="1379"/>
      <c r="AX258" s="1379"/>
      <c r="AY258" s="1379"/>
      <c r="AZ258" s="1379"/>
    </row>
    <row r="259">
      <c r="A259" s="1391"/>
      <c r="B259" s="611" t="str">
        <f>IF(C259&lt;'PlayerGrades+'!$Y$44,"F-",IF(C259&lt;'PlayerGrades+'!$Y$43,"F",IF(C259&lt;'PlayerGrades+'!$Y$42,"F+",IF(C259&lt;'PlayerGrades+'!$Y$41,"E-",IF(C259&lt;'PlayerGrades+'!$Y$40,"E",IF(C259&lt;'PlayerGrades+'!$Y$39,"E+",IF(C259&lt;'PlayerGrades+'!$Y$38,"D-",IF(C259&lt;'PlayerGrades+'!$Y$37,"D",IF(C259&lt;'PlayerGrades+'!$Y$36,"D+",IF(C259&lt;'PlayerGrades+'!$Y$35,"C-",IF(C259&lt;'PlayerGrades+'!$Y$34,"C",IF(C259&lt;'PlayerGrades+'!$Y$33,"C+",IF(C259&lt;'PlayerGrades+'!$Y$32,"B-",IF(C259&lt;'PlayerGrades+'!$Y$31,"B",IF(C259&lt;'PlayerGrades+'!$Y$30,"B+",IF(C259&lt;'PlayerGrades+'!$Y$29,"A-",IF(C259&lt;'PlayerGrades+'!$Y$28,"A",IF(C259&lt;'PlayerGrades+'!$Y$27,"A+",IF(C259&lt;'PlayerGrades+'!$Y$26,"S-",IF(C259&lt;'PlayerGrades+'!$Y$25,"S","S+"))))))))))))))))))))</f>
        <v>#DIV/0!</v>
      </c>
      <c r="C259" s="1378" t="str">
        <f>('PlayerGrades+'!$Y$47*(VLOOKUP(E259, 'PlayerGrades+'!$X$3:$Y$23, 2, FALSE)))+('PlayerGrades+'!$Y$48*(VLOOKUP(G259, 'PlayerGrades+'!$X$3:$Y$23, 2, FALSE)))+('PlayerGrades+'!$Y$49*(VLOOKUP(I259, 'PlayerGrades+'!$X$3:$Y$23, 2, FALSE)))+('PlayerGrades+'!$Y$50*(VLOOKUP(K259, 'PlayerGrades+'!$X$3:$Y$23, 2, FALSE)))+('PlayerGrades+'!$Y$51*(VLOOKUP(M259, 'PlayerGrades+'!$X$3:$Y$23, 2, FALSE)))+('PlayerGrades+'!$Y$52*(VLOOKUP(O259, 'PlayerGrades+'!$X$3:$Y$23, 2, FALSE)))+('PlayerGrades+'!$Y$53*(VLOOKUP(Q259, 'PlayerGrades+'!$X$3:$Y$23, 2, FALSE)))+('PlayerGrades+'!$Y$54*(VLOOKUP(S259, 'PlayerGrades+'!$X$3:$Y$23, 2, FALSE)))+('PlayerGrades+'!$Y$55*(VLOOKUP(U259, 'PlayerGrades+'!$X$3:$Y$23, 2, FALSE)))</f>
        <v>#DIV/0!</v>
      </c>
      <c r="D259" s="961" t="str">
        <f t="shared" si="1"/>
        <v>#DIV/0!</v>
      </c>
      <c r="E259" s="961" t="str">
        <f>IF(D259&lt;'PlayerGrades+'!$AA$21,"F-",IF(D259&lt;'PlayerGrades+'!$AA$20,"F",IF(D259&lt;'PlayerGrades+'!$AA$19,"F+",IF(D259&lt;'PlayerGrades+'!$AA$18,"E-",IF(D259&lt;'PlayerGrades+'!$AA$17,"E",IF(D259&lt;'PlayerGrades+'!$AA$16,"E+",IF(D259&lt;'PlayerGrades+'!$AA$15,"D-",IF(D259&lt;'PlayerGrades+'!$AA$14,"D",IF(D259&lt;'PlayerGrades+'!$AA$13,"D+",IF(D259&lt;'PlayerGrades+'!$AA$12,"C-",IF(D259&lt;'PlayerGrades+'!$AA$11,"C",IF(D259&lt;'PlayerGrades+'!$AA$10,"C+",IF(D259&lt;'PlayerGrades+'!$AA$9,"B-",IF(D259&lt;'PlayerGrades+'!$AA$8,"B",IF(D259&lt;'PlayerGrades+'!$AA$7,"B+",IF(D259&lt;'PlayerGrades+'!$AA$6,"A-",IF(D259&lt;'PlayerGrades+'!$AA$5,"A",IF(D259&lt;'PlayerGrades+'!$AA$4,"A+",IF(D259&lt;'PlayerGrades+'!$AA$3,"S-",IF(D259&lt;'PlayerGrades+'!$AA$2,"S","S+"))))))))))))))))))))</f>
        <v>#DIV/0!</v>
      </c>
      <c r="F259" s="961" t="str">
        <f t="shared" si="2"/>
        <v>#DIV/0!</v>
      </c>
      <c r="G259" s="961" t="str">
        <f>IF(F259&lt;'PlayerGrades+'!$AB$21,"F-",IF(F259&lt;'PlayerGrades+'!$AB$20,"F",IF(F259&lt;'PlayerGrades+'!$AB$19,"F+",IF(F259&lt;'PlayerGrades+'!$AB$18,"E-",IF(F259&lt;'PlayerGrades+'!$AB$17,"E",IF(F259&lt;'PlayerGrades+'!$AB$16,"E+",IF(F259&lt;'PlayerGrades+'!$AB$15,"D-",IF(F259&lt;'PlayerGrades+'!$AB$14,"D",IF(F259&lt;'PlayerGrades+'!$AB$13,"D+",IF(F259&lt;'PlayerGrades+'!$AB$12,"C-",IF(F259&lt;'PlayerGrades+'!$AB$11,"C",IF(F259&lt;'PlayerGrades+'!$AB$10,"C+",IF(F259&lt;'PlayerGrades+'!$AB$9,"B-",IF(F259&lt;'PlayerGrades+'!$AB$8,"B",IF(F259&lt;'PlayerGrades+'!$AB$7,"B+",IF(F259&lt;'PlayerGrades+'!$AB$6,"A-",IF(F259&lt;'PlayerGrades+'!$AB$5,"A",IF(F259&lt;'PlayerGrades+'!$AB$4,"A+",IF(F259&lt;'PlayerGrades+'!$AB$3,"S-",IF(F259&lt;'PlayerGrades+'!$AB$2,"S","S+"))))))))))))))))))))</f>
        <v>#DIV/0!</v>
      </c>
      <c r="H259" s="961" t="str">
        <f t="shared" si="3"/>
        <v>#DIV/0!</v>
      </c>
      <c r="I259" s="961" t="str">
        <f>IF(H259&lt;'PlayerGrades+'!$AC$21,"F-",IF(H259&lt;'PlayerGrades+'!$AC$20,"F",IF(H259&lt;'PlayerGrades+'!$AC$19,"F+",IF(H259&lt;'PlayerGrades+'!$AC$18,"E-",IF(H259&lt;'PlayerGrades+'!$AC$17,"E",IF(H259&lt;'PlayerGrades+'!$AC$16,"E+",IF(H259&lt;'PlayerGrades+'!$AC$15,"D-",IF(H259&lt;'PlayerGrades+'!$AC$14,"D",IF(H259&lt;'PlayerGrades+'!$AC$13,"D+",IF(H259&lt;'PlayerGrades+'!$AC$12,"C-",IF(H259&lt;'PlayerGrades+'!$AC$11,"C",IF(H259&lt;'PlayerGrades+'!$AC$10,"C+",IF(H259&lt;'PlayerGrades+'!$AC$9,"B-",IF(H259&lt;'PlayerGrades+'!$AC$8,"B",IF(H259&lt;'PlayerGrades+'!$AC$7,"B+",IF(H259&lt;'PlayerGrades+'!$AC$6,"A-",IF(H259&lt;'PlayerGrades+'!$AC$5,"A",IF(H259&lt;'PlayerGrades+'!$AC$4,"A+",IF(H259&lt;'PlayerGrades+'!$AC$3,"S-",IF(H259&lt;'PlayerGrades+'!$AC$2,"S","S+"))))))))))))))))))))</f>
        <v>#DIV/0!</v>
      </c>
      <c r="J259" s="961" t="str">
        <f t="shared" si="4"/>
        <v>#DIV/0!</v>
      </c>
      <c r="K259" s="961" t="str">
        <f>IF(J259&lt;'PlayerGrades+'!$AD$21,"F-",IF(J259&lt;'PlayerGrades+'!$AD$20,"F",IF(J259&lt;'PlayerGrades+'!$AD$19,"F+",IF(J259&lt;'PlayerGrades+'!$AD$18,"E-",IF(J259&lt;'PlayerGrades+'!$AD$17,"E",IF(J259&lt;'PlayerGrades+'!$AD$16,"E+",IF(J259&lt;'PlayerGrades+'!$AD$15,"D-",IF(J259&lt;'PlayerGrades+'!$AD$14,"D",IF(J259&lt;'PlayerGrades+'!$AD$13,"D+",IF(J259&lt;'PlayerGrades+'!$AD$12,"C-",IF(J259&lt;'PlayerGrades+'!$AD$11,"C",IF(J259&lt;'PlayerGrades+'!$AD$10,"C+",IF(J259&lt;'PlayerGrades+'!$AD$9,"B-",IF(J259&lt;'PlayerGrades+'!$AD$8,"B",IF(J259&lt;'PlayerGrades+'!$AD$7,"B+",IF(J259&lt;'PlayerGrades+'!$AD$6,"A-",IF(J259&lt;'PlayerGrades+'!$AD$5,"A",IF(J259&lt;'PlayerGrades+'!$AD$4,"A+",IF(J259&lt;'PlayerGrades+'!$AD$3,"S-",IF(J259&lt;'PlayerGrades+'!$AD$2,"S","S+"))))))))))))))))))))</f>
        <v>#DIV/0!</v>
      </c>
      <c r="L259" s="1176" t="str">
        <f t="shared" si="5"/>
        <v>#DIV/0!</v>
      </c>
      <c r="M259" s="992" t="str">
        <f>IF(L259&lt;'PlayerGrades+'!$AE$21,"F-",IF(L259&lt;'PlayerGrades+'!$AE$20,"F",IF(L259&lt;'PlayerGrades+'!$AE$19,"F+",IF(L259&lt;'PlayerGrades+'!$AE$18,"E-",IF(L259&lt;'PlayerGrades+'!$AE$17,"E",IF(L259&lt;'PlayerGrades+'!$AE$16,"E+",IF(L259&lt;'PlayerGrades+'!$AE$15,"D-",IF(L259&lt;'PlayerGrades+'!$AE$14,"D",IF(L259&lt;'PlayerGrades+'!$AE$13,"D+",IF(L259&lt;'PlayerGrades+'!$AE$12,"C-",IF(L259&lt;'PlayerGrades+'!$AE$11,"C",IF(L259&lt;'PlayerGrades+'!$AE$10,"C+",IF(L259&lt;'PlayerGrades+'!$AE$9,"B-",IF(L259&lt;'PlayerGrades+'!$AE$8,"B",IF(L259&lt;'PlayerGrades+'!$AE$7,"B+",IF(L259&lt;'PlayerGrades+'!$AE$6,"A-",IF(L259&lt;'PlayerGrades+'!$AE$5,"A",IF(L259&lt;'PlayerGrades+'!$AE$4,"A+",IF(L259&lt;'PlayerGrades+'!$AE$3,"S-",IF(L259&lt;'PlayerGrades+'!$AE$2,"S","S+"))))))))))))))))))))</f>
        <v>#DIV/0!</v>
      </c>
      <c r="N259" s="961" t="str">
        <f t="shared" si="6"/>
        <v>#DIV/0!</v>
      </c>
      <c r="O259" s="961" t="str">
        <f>IF(N259&lt;'PlayerGrades+'!$AF$21,"F-",IF(N259&lt;'PlayerGrades+'!$AF$20,"F",IF(N259&lt;'PlayerGrades+'!$AF$19,"F+",IF(N259&lt;'PlayerGrades+'!$AF$18,"E-",IF(N259&lt;'PlayerGrades+'!$AF$17,"E",IF(N259&lt;'PlayerGrades+'!$AF$16,"E+",IF(N259&lt;'PlayerGrades+'!$AF$15,"D-",IF(N259&lt;'PlayerGrades+'!$AF$14,"D",IF(N259&lt;'PlayerGrades+'!$AF$13,"D+",IF(N259&lt;'PlayerGrades+'!$AF$12,"C-",IF(N259&lt;'PlayerGrades+'!$AF$11,"C",IF(N259&lt;'PlayerGrades+'!$AF$10,"C+",IF(N259&lt;'PlayerGrades+'!$AF$9,"B-",IF(N259&lt;'PlayerGrades+'!$AF$8,"B",IF(N259&lt;'PlayerGrades+'!$AF$7,"B+",IF(N259&lt;'PlayerGrades+'!$AF$6,"A-",IF(N259&lt;'PlayerGrades+'!$AF$5,"A",IF(N259&lt;'PlayerGrades+'!$AF$4,"A+",IF(N259&lt;'PlayerGrades+'!$AF$3,"S-",IF(N259&lt;'PlayerGrades+'!$AF$2,"S","S+"))))))))))))))))))))</f>
        <v>#DIV/0!</v>
      </c>
      <c r="P259" s="961" t="str">
        <f t="shared" si="7"/>
        <v>#DIV/0!</v>
      </c>
      <c r="Q259" s="961" t="str">
        <f>IF(P259&lt;'PlayerGrades+'!$AG$21,"F-",IF(P259&lt;'PlayerGrades+'!$AG$20,"F",IF(P259&lt;'PlayerGrades+'!$AG$19,"F+",IF(P259&lt;'PlayerGrades+'!$AG$18,"E-",IF(P259&lt;'PlayerGrades+'!$AG$17,"E",IF(P259&lt;'PlayerGrades+'!$AG$16,"E+",IF(P259&lt;'PlayerGrades+'!$AG$15,"D-",IF(P259&lt;'PlayerGrades+'!$AG$14,"D",IF(P259&lt;'PlayerGrades+'!$AG$13,"D+",IF(P259&lt;'PlayerGrades+'!$AG$12,"C-",IF(P259&lt;'PlayerGrades+'!$AG$11,"C",IF(P259&lt;'PlayerGrades+'!$AG$10,"C+",IF(P259&lt;'PlayerGrades+'!$AG$9,"B-",IF(P259&lt;'PlayerGrades+'!$AG$8,"B",IF(P259&lt;'PlayerGrades+'!$AG$7,"B+",IF(P259&lt;'PlayerGrades+'!$AG$6,"A-",IF(P259&lt;'PlayerGrades+'!$AG$5,"A",IF(P259&lt;'PlayerGrades+'!$AG$4,"A+",IF(P259&lt;'PlayerGrades+'!$AG$3,"S-",IF(P259&lt;'PlayerGrades+'!$AG$2,"S","S+"))))))))))))))))))))</f>
        <v>#DIV/0!</v>
      </c>
      <c r="R259" s="961" t="str">
        <f t="shared" si="8"/>
        <v>#DIV/0!</v>
      </c>
      <c r="S259" s="961" t="str">
        <f>IF(R259&lt;'PlayerGrades+'!$AH$21,"F-",IF(R259&lt;'PlayerGrades+'!$AH$20,"F",IF(R259&lt;'PlayerGrades+'!$AH$19,"F+",IF(R259&lt;'PlayerGrades+'!$AH$18,"E-",IF(R259&lt;'PlayerGrades+'!$AH$17,"E",IF(R259&lt;'PlayerGrades+'!$AH$16,"E+",IF(R259&lt;'PlayerGrades+'!$AH$15,"D-",IF(R259&lt;'PlayerGrades+'!$AH$14,"D",IF(R259&lt;'PlayerGrades+'!$AH$13,"D+",IF(R259&lt;'PlayerGrades+'!$AH$12,"C-",IF(R259&lt;'PlayerGrades+'!$AH$11,"C",IF(R259&lt;'PlayerGrades+'!$AH$10,"C+",IF(R259&lt;'PlayerGrades+'!$AH$9,"B-",IF(R259&lt;'PlayerGrades+'!$AH$8,"B",IF(R259&lt;'PlayerGrades+'!$AH$7,"B+",IF(R259&lt;'PlayerGrades+'!$AH$6,"A-",IF(R259&lt;'PlayerGrades+'!$AH$5,"A",IF(R259&lt;'PlayerGrades+'!$AH$4,"A+",IF(R259&lt;'PlayerGrades+'!$AH$3,"S-",IF(R259&lt;'PlayerGrades+'!$AH$2,"S","S+"))))))))))))))))))))</f>
        <v>#DIV/0!</v>
      </c>
      <c r="T259" s="961">
        <f t="shared" si="9"/>
        <v>0</v>
      </c>
      <c r="U259" s="961" t="str">
        <f>IF(T259&lt;'PlayerGrades+'!$AI$21,"F-",IF(T259&lt;'PlayerGrades+'!$AI$20,"F",IF(T259&lt;'PlayerGrades+'!$AI$19,"F+",IF(T259&lt;'PlayerGrades+'!$AI$18,"E-",IF(T259&lt;'PlayerGrades+'!$AI$17,"E",IF(T259&lt;'PlayerGrades+'!$AI$16,"E+",IF(T259&lt;'PlayerGrades+'!$AI$15,"D-",IF(T259&lt;'PlayerGrades+'!$AI$14,"D",IF(T259&lt;'PlayerGrades+'!$AI$13,"D+",IF(T259&lt;'PlayerGrades+'!$AI$12,"C-",IF(T259&lt;'PlayerGrades+'!$AI$11,"C",IF(T259&lt;'PlayerGrades+'!$AI$10,"C+",IF(T259&lt;'PlayerGrades+'!$AI$9,"B-",IF(T259&lt;'PlayerGrades+'!$AI$8,"B",IF(T259&lt;'PlayerGrades+'!$AI$7,"B+",IF(T259&lt;'PlayerGrades+'!$AI$6,"A-",IF(T259&lt;'PlayerGrades+'!$AI$5,"A",IF(T259&lt;'PlayerGrades+'!$AI$4,"A+",IF(T259&lt;'PlayerGrades+'!$AI$3,"S-",IF(T259&lt;'PlayerGrades+'!$AI$2,"S","S+"))))))))))))))))))))</f>
        <v>F-</v>
      </c>
      <c r="AC259" s="1392"/>
    </row>
    <row r="260">
      <c r="A260" s="1391"/>
      <c r="B260" s="611" t="str">
        <f>IF(C260&lt;'PlayerGrades+'!$Y$44,"F-",IF(C260&lt;'PlayerGrades+'!$Y$43,"F",IF(C260&lt;'PlayerGrades+'!$Y$42,"F+",IF(C260&lt;'PlayerGrades+'!$Y$41,"E-",IF(C260&lt;'PlayerGrades+'!$Y$40,"E",IF(C260&lt;'PlayerGrades+'!$Y$39,"E+",IF(C260&lt;'PlayerGrades+'!$Y$38,"D-",IF(C260&lt;'PlayerGrades+'!$Y$37,"D",IF(C260&lt;'PlayerGrades+'!$Y$36,"D+",IF(C260&lt;'PlayerGrades+'!$Y$35,"C-",IF(C260&lt;'PlayerGrades+'!$Y$34,"C",IF(C260&lt;'PlayerGrades+'!$Y$33,"C+",IF(C260&lt;'PlayerGrades+'!$Y$32,"B-",IF(C260&lt;'PlayerGrades+'!$Y$31,"B",IF(C260&lt;'PlayerGrades+'!$Y$30,"B+",IF(C260&lt;'PlayerGrades+'!$Y$29,"A-",IF(C260&lt;'PlayerGrades+'!$Y$28,"A",IF(C260&lt;'PlayerGrades+'!$Y$27,"A+",IF(C260&lt;'PlayerGrades+'!$Y$26,"S-",IF(C260&lt;'PlayerGrades+'!$Y$25,"S","S+"))))))))))))))))))))</f>
        <v>#DIV/0!</v>
      </c>
      <c r="C260" s="1378" t="str">
        <f>('PlayerGrades+'!$Y$47*(VLOOKUP(E260, 'PlayerGrades+'!$X$3:$Y$23, 2, FALSE)))+('PlayerGrades+'!$Y$48*(VLOOKUP(G260, 'PlayerGrades+'!$X$3:$Y$23, 2, FALSE)))+('PlayerGrades+'!$Y$49*(VLOOKUP(I260, 'PlayerGrades+'!$X$3:$Y$23, 2, FALSE)))+('PlayerGrades+'!$Y$50*(VLOOKUP(K260, 'PlayerGrades+'!$X$3:$Y$23, 2, FALSE)))+('PlayerGrades+'!$Y$51*(VLOOKUP(M260, 'PlayerGrades+'!$X$3:$Y$23, 2, FALSE)))+('PlayerGrades+'!$Y$52*(VLOOKUP(O260, 'PlayerGrades+'!$X$3:$Y$23, 2, FALSE)))+('PlayerGrades+'!$Y$53*(VLOOKUP(Q260, 'PlayerGrades+'!$X$3:$Y$23, 2, FALSE)))+('PlayerGrades+'!$Y$54*(VLOOKUP(S260, 'PlayerGrades+'!$X$3:$Y$23, 2, FALSE)))+('PlayerGrades+'!$Y$55*(VLOOKUP(U260, 'PlayerGrades+'!$X$3:$Y$23, 2, FALSE)))</f>
        <v>#DIV/0!</v>
      </c>
      <c r="D260" s="961" t="str">
        <f t="shared" si="1"/>
        <v>#DIV/0!</v>
      </c>
      <c r="E260" s="961" t="str">
        <f>IF(D260&lt;'PlayerGrades+'!$AA$21,"F-",IF(D260&lt;'PlayerGrades+'!$AA$20,"F",IF(D260&lt;'PlayerGrades+'!$AA$19,"F+",IF(D260&lt;'PlayerGrades+'!$AA$18,"E-",IF(D260&lt;'PlayerGrades+'!$AA$17,"E",IF(D260&lt;'PlayerGrades+'!$AA$16,"E+",IF(D260&lt;'PlayerGrades+'!$AA$15,"D-",IF(D260&lt;'PlayerGrades+'!$AA$14,"D",IF(D260&lt;'PlayerGrades+'!$AA$13,"D+",IF(D260&lt;'PlayerGrades+'!$AA$12,"C-",IF(D260&lt;'PlayerGrades+'!$AA$11,"C",IF(D260&lt;'PlayerGrades+'!$AA$10,"C+",IF(D260&lt;'PlayerGrades+'!$AA$9,"B-",IF(D260&lt;'PlayerGrades+'!$AA$8,"B",IF(D260&lt;'PlayerGrades+'!$AA$7,"B+",IF(D260&lt;'PlayerGrades+'!$AA$6,"A-",IF(D260&lt;'PlayerGrades+'!$AA$5,"A",IF(D260&lt;'PlayerGrades+'!$AA$4,"A+",IF(D260&lt;'PlayerGrades+'!$AA$3,"S-",IF(D260&lt;'PlayerGrades+'!$AA$2,"S","S+"))))))))))))))))))))</f>
        <v>#DIV/0!</v>
      </c>
      <c r="F260" s="961" t="str">
        <f t="shared" si="2"/>
        <v>#DIV/0!</v>
      </c>
      <c r="G260" s="961" t="str">
        <f>IF(F260&lt;'PlayerGrades+'!$AB$21,"F-",IF(F260&lt;'PlayerGrades+'!$AB$20,"F",IF(F260&lt;'PlayerGrades+'!$AB$19,"F+",IF(F260&lt;'PlayerGrades+'!$AB$18,"E-",IF(F260&lt;'PlayerGrades+'!$AB$17,"E",IF(F260&lt;'PlayerGrades+'!$AB$16,"E+",IF(F260&lt;'PlayerGrades+'!$AB$15,"D-",IF(F260&lt;'PlayerGrades+'!$AB$14,"D",IF(F260&lt;'PlayerGrades+'!$AB$13,"D+",IF(F260&lt;'PlayerGrades+'!$AB$12,"C-",IF(F260&lt;'PlayerGrades+'!$AB$11,"C",IF(F260&lt;'PlayerGrades+'!$AB$10,"C+",IF(F260&lt;'PlayerGrades+'!$AB$9,"B-",IF(F260&lt;'PlayerGrades+'!$AB$8,"B",IF(F260&lt;'PlayerGrades+'!$AB$7,"B+",IF(F260&lt;'PlayerGrades+'!$AB$6,"A-",IF(F260&lt;'PlayerGrades+'!$AB$5,"A",IF(F260&lt;'PlayerGrades+'!$AB$4,"A+",IF(F260&lt;'PlayerGrades+'!$AB$3,"S-",IF(F260&lt;'PlayerGrades+'!$AB$2,"S","S+"))))))))))))))))))))</f>
        <v>#DIV/0!</v>
      </c>
      <c r="H260" s="961" t="str">
        <f t="shared" si="3"/>
        <v>#DIV/0!</v>
      </c>
      <c r="I260" s="961" t="str">
        <f>IF(H260&lt;'PlayerGrades+'!$AC$21,"F-",IF(H260&lt;'PlayerGrades+'!$AC$20,"F",IF(H260&lt;'PlayerGrades+'!$AC$19,"F+",IF(H260&lt;'PlayerGrades+'!$AC$18,"E-",IF(H260&lt;'PlayerGrades+'!$AC$17,"E",IF(H260&lt;'PlayerGrades+'!$AC$16,"E+",IF(H260&lt;'PlayerGrades+'!$AC$15,"D-",IF(H260&lt;'PlayerGrades+'!$AC$14,"D",IF(H260&lt;'PlayerGrades+'!$AC$13,"D+",IF(H260&lt;'PlayerGrades+'!$AC$12,"C-",IF(H260&lt;'PlayerGrades+'!$AC$11,"C",IF(H260&lt;'PlayerGrades+'!$AC$10,"C+",IF(H260&lt;'PlayerGrades+'!$AC$9,"B-",IF(H260&lt;'PlayerGrades+'!$AC$8,"B",IF(H260&lt;'PlayerGrades+'!$AC$7,"B+",IF(H260&lt;'PlayerGrades+'!$AC$6,"A-",IF(H260&lt;'PlayerGrades+'!$AC$5,"A",IF(H260&lt;'PlayerGrades+'!$AC$4,"A+",IF(H260&lt;'PlayerGrades+'!$AC$3,"S-",IF(H260&lt;'PlayerGrades+'!$AC$2,"S","S+"))))))))))))))))))))</f>
        <v>#DIV/0!</v>
      </c>
      <c r="J260" s="961" t="str">
        <f t="shared" si="4"/>
        <v>#DIV/0!</v>
      </c>
      <c r="K260" s="961" t="str">
        <f>IF(J260&lt;'PlayerGrades+'!$AD$21,"F-",IF(J260&lt;'PlayerGrades+'!$AD$20,"F",IF(J260&lt;'PlayerGrades+'!$AD$19,"F+",IF(J260&lt;'PlayerGrades+'!$AD$18,"E-",IF(J260&lt;'PlayerGrades+'!$AD$17,"E",IF(J260&lt;'PlayerGrades+'!$AD$16,"E+",IF(J260&lt;'PlayerGrades+'!$AD$15,"D-",IF(J260&lt;'PlayerGrades+'!$AD$14,"D",IF(J260&lt;'PlayerGrades+'!$AD$13,"D+",IF(J260&lt;'PlayerGrades+'!$AD$12,"C-",IF(J260&lt;'PlayerGrades+'!$AD$11,"C",IF(J260&lt;'PlayerGrades+'!$AD$10,"C+",IF(J260&lt;'PlayerGrades+'!$AD$9,"B-",IF(J260&lt;'PlayerGrades+'!$AD$8,"B",IF(J260&lt;'PlayerGrades+'!$AD$7,"B+",IF(J260&lt;'PlayerGrades+'!$AD$6,"A-",IF(J260&lt;'PlayerGrades+'!$AD$5,"A",IF(J260&lt;'PlayerGrades+'!$AD$4,"A+",IF(J260&lt;'PlayerGrades+'!$AD$3,"S-",IF(J260&lt;'PlayerGrades+'!$AD$2,"S","S+"))))))))))))))))))))</f>
        <v>#DIV/0!</v>
      </c>
      <c r="L260" s="1176" t="str">
        <f t="shared" si="5"/>
        <v>#DIV/0!</v>
      </c>
      <c r="M260" s="992" t="str">
        <f>IF(L260&lt;'PlayerGrades+'!$AE$21,"F-",IF(L260&lt;'PlayerGrades+'!$AE$20,"F",IF(L260&lt;'PlayerGrades+'!$AE$19,"F+",IF(L260&lt;'PlayerGrades+'!$AE$18,"E-",IF(L260&lt;'PlayerGrades+'!$AE$17,"E",IF(L260&lt;'PlayerGrades+'!$AE$16,"E+",IF(L260&lt;'PlayerGrades+'!$AE$15,"D-",IF(L260&lt;'PlayerGrades+'!$AE$14,"D",IF(L260&lt;'PlayerGrades+'!$AE$13,"D+",IF(L260&lt;'PlayerGrades+'!$AE$12,"C-",IF(L260&lt;'PlayerGrades+'!$AE$11,"C",IF(L260&lt;'PlayerGrades+'!$AE$10,"C+",IF(L260&lt;'PlayerGrades+'!$AE$9,"B-",IF(L260&lt;'PlayerGrades+'!$AE$8,"B",IF(L260&lt;'PlayerGrades+'!$AE$7,"B+",IF(L260&lt;'PlayerGrades+'!$AE$6,"A-",IF(L260&lt;'PlayerGrades+'!$AE$5,"A",IF(L260&lt;'PlayerGrades+'!$AE$4,"A+",IF(L260&lt;'PlayerGrades+'!$AE$3,"S-",IF(L260&lt;'PlayerGrades+'!$AE$2,"S","S+"))))))))))))))))))))</f>
        <v>#DIV/0!</v>
      </c>
      <c r="N260" s="961" t="str">
        <f t="shared" si="6"/>
        <v>#DIV/0!</v>
      </c>
      <c r="O260" s="961" t="str">
        <f>IF(N260&lt;'PlayerGrades+'!$AF$21,"F-",IF(N260&lt;'PlayerGrades+'!$AF$20,"F",IF(N260&lt;'PlayerGrades+'!$AF$19,"F+",IF(N260&lt;'PlayerGrades+'!$AF$18,"E-",IF(N260&lt;'PlayerGrades+'!$AF$17,"E",IF(N260&lt;'PlayerGrades+'!$AF$16,"E+",IF(N260&lt;'PlayerGrades+'!$AF$15,"D-",IF(N260&lt;'PlayerGrades+'!$AF$14,"D",IF(N260&lt;'PlayerGrades+'!$AF$13,"D+",IF(N260&lt;'PlayerGrades+'!$AF$12,"C-",IF(N260&lt;'PlayerGrades+'!$AF$11,"C",IF(N260&lt;'PlayerGrades+'!$AF$10,"C+",IF(N260&lt;'PlayerGrades+'!$AF$9,"B-",IF(N260&lt;'PlayerGrades+'!$AF$8,"B",IF(N260&lt;'PlayerGrades+'!$AF$7,"B+",IF(N260&lt;'PlayerGrades+'!$AF$6,"A-",IF(N260&lt;'PlayerGrades+'!$AF$5,"A",IF(N260&lt;'PlayerGrades+'!$AF$4,"A+",IF(N260&lt;'PlayerGrades+'!$AF$3,"S-",IF(N260&lt;'PlayerGrades+'!$AF$2,"S","S+"))))))))))))))))))))</f>
        <v>#DIV/0!</v>
      </c>
      <c r="P260" s="961" t="str">
        <f t="shared" si="7"/>
        <v>#DIV/0!</v>
      </c>
      <c r="Q260" s="961" t="str">
        <f>IF(P260&lt;'PlayerGrades+'!$AG$21,"F-",IF(P260&lt;'PlayerGrades+'!$AG$20,"F",IF(P260&lt;'PlayerGrades+'!$AG$19,"F+",IF(P260&lt;'PlayerGrades+'!$AG$18,"E-",IF(P260&lt;'PlayerGrades+'!$AG$17,"E",IF(P260&lt;'PlayerGrades+'!$AG$16,"E+",IF(P260&lt;'PlayerGrades+'!$AG$15,"D-",IF(P260&lt;'PlayerGrades+'!$AG$14,"D",IF(P260&lt;'PlayerGrades+'!$AG$13,"D+",IF(P260&lt;'PlayerGrades+'!$AG$12,"C-",IF(P260&lt;'PlayerGrades+'!$AG$11,"C",IF(P260&lt;'PlayerGrades+'!$AG$10,"C+",IF(P260&lt;'PlayerGrades+'!$AG$9,"B-",IF(P260&lt;'PlayerGrades+'!$AG$8,"B",IF(P260&lt;'PlayerGrades+'!$AG$7,"B+",IF(P260&lt;'PlayerGrades+'!$AG$6,"A-",IF(P260&lt;'PlayerGrades+'!$AG$5,"A",IF(P260&lt;'PlayerGrades+'!$AG$4,"A+",IF(P260&lt;'PlayerGrades+'!$AG$3,"S-",IF(P260&lt;'PlayerGrades+'!$AG$2,"S","S+"))))))))))))))))))))</f>
        <v>#DIV/0!</v>
      </c>
      <c r="R260" s="961" t="str">
        <f t="shared" si="8"/>
        <v>#DIV/0!</v>
      </c>
      <c r="S260" s="961" t="str">
        <f>IF(R260&lt;'PlayerGrades+'!$AH$21,"F-",IF(R260&lt;'PlayerGrades+'!$AH$20,"F",IF(R260&lt;'PlayerGrades+'!$AH$19,"F+",IF(R260&lt;'PlayerGrades+'!$AH$18,"E-",IF(R260&lt;'PlayerGrades+'!$AH$17,"E",IF(R260&lt;'PlayerGrades+'!$AH$16,"E+",IF(R260&lt;'PlayerGrades+'!$AH$15,"D-",IF(R260&lt;'PlayerGrades+'!$AH$14,"D",IF(R260&lt;'PlayerGrades+'!$AH$13,"D+",IF(R260&lt;'PlayerGrades+'!$AH$12,"C-",IF(R260&lt;'PlayerGrades+'!$AH$11,"C",IF(R260&lt;'PlayerGrades+'!$AH$10,"C+",IF(R260&lt;'PlayerGrades+'!$AH$9,"B-",IF(R260&lt;'PlayerGrades+'!$AH$8,"B",IF(R260&lt;'PlayerGrades+'!$AH$7,"B+",IF(R260&lt;'PlayerGrades+'!$AH$6,"A-",IF(R260&lt;'PlayerGrades+'!$AH$5,"A",IF(R260&lt;'PlayerGrades+'!$AH$4,"A+",IF(R260&lt;'PlayerGrades+'!$AH$3,"S-",IF(R260&lt;'PlayerGrades+'!$AH$2,"S","S+"))))))))))))))))))))</f>
        <v>#DIV/0!</v>
      </c>
      <c r="T260" s="961">
        <f t="shared" si="9"/>
        <v>0</v>
      </c>
      <c r="U260" s="961" t="str">
        <f>IF(T260&lt;'PlayerGrades+'!$AI$21,"F-",IF(T260&lt;'PlayerGrades+'!$AI$20,"F",IF(T260&lt;'PlayerGrades+'!$AI$19,"F+",IF(T260&lt;'PlayerGrades+'!$AI$18,"E-",IF(T260&lt;'PlayerGrades+'!$AI$17,"E",IF(T260&lt;'PlayerGrades+'!$AI$16,"E+",IF(T260&lt;'PlayerGrades+'!$AI$15,"D-",IF(T260&lt;'PlayerGrades+'!$AI$14,"D",IF(T260&lt;'PlayerGrades+'!$AI$13,"D+",IF(T260&lt;'PlayerGrades+'!$AI$12,"C-",IF(T260&lt;'PlayerGrades+'!$AI$11,"C",IF(T260&lt;'PlayerGrades+'!$AI$10,"C+",IF(T260&lt;'PlayerGrades+'!$AI$9,"B-",IF(T260&lt;'PlayerGrades+'!$AI$8,"B",IF(T260&lt;'PlayerGrades+'!$AI$7,"B+",IF(T260&lt;'PlayerGrades+'!$AI$6,"A-",IF(T260&lt;'PlayerGrades+'!$AI$5,"A",IF(T260&lt;'PlayerGrades+'!$AI$4,"A+",IF(T260&lt;'PlayerGrades+'!$AI$3,"S-",IF(T260&lt;'PlayerGrades+'!$AI$2,"S","S+"))))))))))))))))))))</f>
        <v>F-</v>
      </c>
      <c r="AC260" s="1392"/>
    </row>
    <row r="261">
      <c r="A261" s="1391"/>
      <c r="B261" s="611" t="str">
        <f>IF(C261&lt;'PlayerGrades+'!$Y$44,"F-",IF(C261&lt;'PlayerGrades+'!$Y$43,"F",IF(C261&lt;'PlayerGrades+'!$Y$42,"F+",IF(C261&lt;'PlayerGrades+'!$Y$41,"E-",IF(C261&lt;'PlayerGrades+'!$Y$40,"E",IF(C261&lt;'PlayerGrades+'!$Y$39,"E+",IF(C261&lt;'PlayerGrades+'!$Y$38,"D-",IF(C261&lt;'PlayerGrades+'!$Y$37,"D",IF(C261&lt;'PlayerGrades+'!$Y$36,"D+",IF(C261&lt;'PlayerGrades+'!$Y$35,"C-",IF(C261&lt;'PlayerGrades+'!$Y$34,"C",IF(C261&lt;'PlayerGrades+'!$Y$33,"C+",IF(C261&lt;'PlayerGrades+'!$Y$32,"B-",IF(C261&lt;'PlayerGrades+'!$Y$31,"B",IF(C261&lt;'PlayerGrades+'!$Y$30,"B+",IF(C261&lt;'PlayerGrades+'!$Y$29,"A-",IF(C261&lt;'PlayerGrades+'!$Y$28,"A",IF(C261&lt;'PlayerGrades+'!$Y$27,"A+",IF(C261&lt;'PlayerGrades+'!$Y$26,"S-",IF(C261&lt;'PlayerGrades+'!$Y$25,"S","S+"))))))))))))))))))))</f>
        <v>#DIV/0!</v>
      </c>
      <c r="C261" s="1378" t="str">
        <f>('PlayerGrades+'!$Y$47*(VLOOKUP(E261, 'PlayerGrades+'!$X$3:$Y$23, 2, FALSE)))+('PlayerGrades+'!$Y$48*(VLOOKUP(G261, 'PlayerGrades+'!$X$3:$Y$23, 2, FALSE)))+('PlayerGrades+'!$Y$49*(VLOOKUP(I261, 'PlayerGrades+'!$X$3:$Y$23, 2, FALSE)))+('PlayerGrades+'!$Y$50*(VLOOKUP(K261, 'PlayerGrades+'!$X$3:$Y$23, 2, FALSE)))+('PlayerGrades+'!$Y$51*(VLOOKUP(M261, 'PlayerGrades+'!$X$3:$Y$23, 2, FALSE)))+('PlayerGrades+'!$Y$52*(VLOOKUP(O261, 'PlayerGrades+'!$X$3:$Y$23, 2, FALSE)))+('PlayerGrades+'!$Y$53*(VLOOKUP(Q261, 'PlayerGrades+'!$X$3:$Y$23, 2, FALSE)))+('PlayerGrades+'!$Y$54*(VLOOKUP(S261, 'PlayerGrades+'!$X$3:$Y$23, 2, FALSE)))+('PlayerGrades+'!$Y$55*(VLOOKUP(U261, 'PlayerGrades+'!$X$3:$Y$23, 2, FALSE)))</f>
        <v>#DIV/0!</v>
      </c>
      <c r="D261" s="961" t="str">
        <f t="shared" si="1"/>
        <v>#DIV/0!</v>
      </c>
      <c r="E261" s="961" t="str">
        <f>IF(D261&lt;'PlayerGrades+'!$AA$21,"F-",IF(D261&lt;'PlayerGrades+'!$AA$20,"F",IF(D261&lt;'PlayerGrades+'!$AA$19,"F+",IF(D261&lt;'PlayerGrades+'!$AA$18,"E-",IF(D261&lt;'PlayerGrades+'!$AA$17,"E",IF(D261&lt;'PlayerGrades+'!$AA$16,"E+",IF(D261&lt;'PlayerGrades+'!$AA$15,"D-",IF(D261&lt;'PlayerGrades+'!$AA$14,"D",IF(D261&lt;'PlayerGrades+'!$AA$13,"D+",IF(D261&lt;'PlayerGrades+'!$AA$12,"C-",IF(D261&lt;'PlayerGrades+'!$AA$11,"C",IF(D261&lt;'PlayerGrades+'!$AA$10,"C+",IF(D261&lt;'PlayerGrades+'!$AA$9,"B-",IF(D261&lt;'PlayerGrades+'!$AA$8,"B",IF(D261&lt;'PlayerGrades+'!$AA$7,"B+",IF(D261&lt;'PlayerGrades+'!$AA$6,"A-",IF(D261&lt;'PlayerGrades+'!$AA$5,"A",IF(D261&lt;'PlayerGrades+'!$AA$4,"A+",IF(D261&lt;'PlayerGrades+'!$AA$3,"S-",IF(D261&lt;'PlayerGrades+'!$AA$2,"S","S+"))))))))))))))))))))</f>
        <v>#DIV/0!</v>
      </c>
      <c r="F261" s="961" t="str">
        <f t="shared" si="2"/>
        <v>#DIV/0!</v>
      </c>
      <c r="G261" s="961" t="str">
        <f>IF(F261&lt;'PlayerGrades+'!$AB$21,"F-",IF(F261&lt;'PlayerGrades+'!$AB$20,"F",IF(F261&lt;'PlayerGrades+'!$AB$19,"F+",IF(F261&lt;'PlayerGrades+'!$AB$18,"E-",IF(F261&lt;'PlayerGrades+'!$AB$17,"E",IF(F261&lt;'PlayerGrades+'!$AB$16,"E+",IF(F261&lt;'PlayerGrades+'!$AB$15,"D-",IF(F261&lt;'PlayerGrades+'!$AB$14,"D",IF(F261&lt;'PlayerGrades+'!$AB$13,"D+",IF(F261&lt;'PlayerGrades+'!$AB$12,"C-",IF(F261&lt;'PlayerGrades+'!$AB$11,"C",IF(F261&lt;'PlayerGrades+'!$AB$10,"C+",IF(F261&lt;'PlayerGrades+'!$AB$9,"B-",IF(F261&lt;'PlayerGrades+'!$AB$8,"B",IF(F261&lt;'PlayerGrades+'!$AB$7,"B+",IF(F261&lt;'PlayerGrades+'!$AB$6,"A-",IF(F261&lt;'PlayerGrades+'!$AB$5,"A",IF(F261&lt;'PlayerGrades+'!$AB$4,"A+",IF(F261&lt;'PlayerGrades+'!$AB$3,"S-",IF(F261&lt;'PlayerGrades+'!$AB$2,"S","S+"))))))))))))))))))))</f>
        <v>#DIV/0!</v>
      </c>
      <c r="H261" s="961" t="str">
        <f t="shared" si="3"/>
        <v>#DIV/0!</v>
      </c>
      <c r="I261" s="961" t="str">
        <f>IF(H261&lt;'PlayerGrades+'!$AC$21,"F-",IF(H261&lt;'PlayerGrades+'!$AC$20,"F",IF(H261&lt;'PlayerGrades+'!$AC$19,"F+",IF(H261&lt;'PlayerGrades+'!$AC$18,"E-",IF(H261&lt;'PlayerGrades+'!$AC$17,"E",IF(H261&lt;'PlayerGrades+'!$AC$16,"E+",IF(H261&lt;'PlayerGrades+'!$AC$15,"D-",IF(H261&lt;'PlayerGrades+'!$AC$14,"D",IF(H261&lt;'PlayerGrades+'!$AC$13,"D+",IF(H261&lt;'PlayerGrades+'!$AC$12,"C-",IF(H261&lt;'PlayerGrades+'!$AC$11,"C",IF(H261&lt;'PlayerGrades+'!$AC$10,"C+",IF(H261&lt;'PlayerGrades+'!$AC$9,"B-",IF(H261&lt;'PlayerGrades+'!$AC$8,"B",IF(H261&lt;'PlayerGrades+'!$AC$7,"B+",IF(H261&lt;'PlayerGrades+'!$AC$6,"A-",IF(H261&lt;'PlayerGrades+'!$AC$5,"A",IF(H261&lt;'PlayerGrades+'!$AC$4,"A+",IF(H261&lt;'PlayerGrades+'!$AC$3,"S-",IF(H261&lt;'PlayerGrades+'!$AC$2,"S","S+"))))))))))))))))))))</f>
        <v>#DIV/0!</v>
      </c>
      <c r="J261" s="961" t="str">
        <f t="shared" si="4"/>
        <v>#DIV/0!</v>
      </c>
      <c r="K261" s="961" t="str">
        <f>IF(J261&lt;'PlayerGrades+'!$AD$21,"F-",IF(J261&lt;'PlayerGrades+'!$AD$20,"F",IF(J261&lt;'PlayerGrades+'!$AD$19,"F+",IF(J261&lt;'PlayerGrades+'!$AD$18,"E-",IF(J261&lt;'PlayerGrades+'!$AD$17,"E",IF(J261&lt;'PlayerGrades+'!$AD$16,"E+",IF(J261&lt;'PlayerGrades+'!$AD$15,"D-",IF(J261&lt;'PlayerGrades+'!$AD$14,"D",IF(J261&lt;'PlayerGrades+'!$AD$13,"D+",IF(J261&lt;'PlayerGrades+'!$AD$12,"C-",IF(J261&lt;'PlayerGrades+'!$AD$11,"C",IF(J261&lt;'PlayerGrades+'!$AD$10,"C+",IF(J261&lt;'PlayerGrades+'!$AD$9,"B-",IF(J261&lt;'PlayerGrades+'!$AD$8,"B",IF(J261&lt;'PlayerGrades+'!$AD$7,"B+",IF(J261&lt;'PlayerGrades+'!$AD$6,"A-",IF(J261&lt;'PlayerGrades+'!$AD$5,"A",IF(J261&lt;'PlayerGrades+'!$AD$4,"A+",IF(J261&lt;'PlayerGrades+'!$AD$3,"S-",IF(J261&lt;'PlayerGrades+'!$AD$2,"S","S+"))))))))))))))))))))</f>
        <v>#DIV/0!</v>
      </c>
      <c r="L261" s="1176" t="str">
        <f t="shared" si="5"/>
        <v>#DIV/0!</v>
      </c>
      <c r="M261" s="992" t="str">
        <f>IF(L261&lt;'PlayerGrades+'!$AE$21,"F-",IF(L261&lt;'PlayerGrades+'!$AE$20,"F",IF(L261&lt;'PlayerGrades+'!$AE$19,"F+",IF(L261&lt;'PlayerGrades+'!$AE$18,"E-",IF(L261&lt;'PlayerGrades+'!$AE$17,"E",IF(L261&lt;'PlayerGrades+'!$AE$16,"E+",IF(L261&lt;'PlayerGrades+'!$AE$15,"D-",IF(L261&lt;'PlayerGrades+'!$AE$14,"D",IF(L261&lt;'PlayerGrades+'!$AE$13,"D+",IF(L261&lt;'PlayerGrades+'!$AE$12,"C-",IF(L261&lt;'PlayerGrades+'!$AE$11,"C",IF(L261&lt;'PlayerGrades+'!$AE$10,"C+",IF(L261&lt;'PlayerGrades+'!$AE$9,"B-",IF(L261&lt;'PlayerGrades+'!$AE$8,"B",IF(L261&lt;'PlayerGrades+'!$AE$7,"B+",IF(L261&lt;'PlayerGrades+'!$AE$6,"A-",IF(L261&lt;'PlayerGrades+'!$AE$5,"A",IF(L261&lt;'PlayerGrades+'!$AE$4,"A+",IF(L261&lt;'PlayerGrades+'!$AE$3,"S-",IF(L261&lt;'PlayerGrades+'!$AE$2,"S","S+"))))))))))))))))))))</f>
        <v>#DIV/0!</v>
      </c>
      <c r="N261" s="961" t="str">
        <f t="shared" si="6"/>
        <v>#DIV/0!</v>
      </c>
      <c r="O261" s="961" t="str">
        <f>IF(N261&lt;'PlayerGrades+'!$AF$21,"F-",IF(N261&lt;'PlayerGrades+'!$AF$20,"F",IF(N261&lt;'PlayerGrades+'!$AF$19,"F+",IF(N261&lt;'PlayerGrades+'!$AF$18,"E-",IF(N261&lt;'PlayerGrades+'!$AF$17,"E",IF(N261&lt;'PlayerGrades+'!$AF$16,"E+",IF(N261&lt;'PlayerGrades+'!$AF$15,"D-",IF(N261&lt;'PlayerGrades+'!$AF$14,"D",IF(N261&lt;'PlayerGrades+'!$AF$13,"D+",IF(N261&lt;'PlayerGrades+'!$AF$12,"C-",IF(N261&lt;'PlayerGrades+'!$AF$11,"C",IF(N261&lt;'PlayerGrades+'!$AF$10,"C+",IF(N261&lt;'PlayerGrades+'!$AF$9,"B-",IF(N261&lt;'PlayerGrades+'!$AF$8,"B",IF(N261&lt;'PlayerGrades+'!$AF$7,"B+",IF(N261&lt;'PlayerGrades+'!$AF$6,"A-",IF(N261&lt;'PlayerGrades+'!$AF$5,"A",IF(N261&lt;'PlayerGrades+'!$AF$4,"A+",IF(N261&lt;'PlayerGrades+'!$AF$3,"S-",IF(N261&lt;'PlayerGrades+'!$AF$2,"S","S+"))))))))))))))))))))</f>
        <v>#DIV/0!</v>
      </c>
      <c r="P261" s="961" t="str">
        <f t="shared" si="7"/>
        <v>#DIV/0!</v>
      </c>
      <c r="Q261" s="961" t="str">
        <f>IF(P261&lt;'PlayerGrades+'!$AG$21,"F-",IF(P261&lt;'PlayerGrades+'!$AG$20,"F",IF(P261&lt;'PlayerGrades+'!$AG$19,"F+",IF(P261&lt;'PlayerGrades+'!$AG$18,"E-",IF(P261&lt;'PlayerGrades+'!$AG$17,"E",IF(P261&lt;'PlayerGrades+'!$AG$16,"E+",IF(P261&lt;'PlayerGrades+'!$AG$15,"D-",IF(P261&lt;'PlayerGrades+'!$AG$14,"D",IF(P261&lt;'PlayerGrades+'!$AG$13,"D+",IF(P261&lt;'PlayerGrades+'!$AG$12,"C-",IF(P261&lt;'PlayerGrades+'!$AG$11,"C",IF(P261&lt;'PlayerGrades+'!$AG$10,"C+",IF(P261&lt;'PlayerGrades+'!$AG$9,"B-",IF(P261&lt;'PlayerGrades+'!$AG$8,"B",IF(P261&lt;'PlayerGrades+'!$AG$7,"B+",IF(P261&lt;'PlayerGrades+'!$AG$6,"A-",IF(P261&lt;'PlayerGrades+'!$AG$5,"A",IF(P261&lt;'PlayerGrades+'!$AG$4,"A+",IF(P261&lt;'PlayerGrades+'!$AG$3,"S-",IF(P261&lt;'PlayerGrades+'!$AG$2,"S","S+"))))))))))))))))))))</f>
        <v>#DIV/0!</v>
      </c>
      <c r="R261" s="961" t="str">
        <f t="shared" si="8"/>
        <v>#DIV/0!</v>
      </c>
      <c r="S261" s="961" t="str">
        <f>IF(R261&lt;'PlayerGrades+'!$AH$21,"F-",IF(R261&lt;'PlayerGrades+'!$AH$20,"F",IF(R261&lt;'PlayerGrades+'!$AH$19,"F+",IF(R261&lt;'PlayerGrades+'!$AH$18,"E-",IF(R261&lt;'PlayerGrades+'!$AH$17,"E",IF(R261&lt;'PlayerGrades+'!$AH$16,"E+",IF(R261&lt;'PlayerGrades+'!$AH$15,"D-",IF(R261&lt;'PlayerGrades+'!$AH$14,"D",IF(R261&lt;'PlayerGrades+'!$AH$13,"D+",IF(R261&lt;'PlayerGrades+'!$AH$12,"C-",IF(R261&lt;'PlayerGrades+'!$AH$11,"C",IF(R261&lt;'PlayerGrades+'!$AH$10,"C+",IF(R261&lt;'PlayerGrades+'!$AH$9,"B-",IF(R261&lt;'PlayerGrades+'!$AH$8,"B",IF(R261&lt;'PlayerGrades+'!$AH$7,"B+",IF(R261&lt;'PlayerGrades+'!$AH$6,"A-",IF(R261&lt;'PlayerGrades+'!$AH$5,"A",IF(R261&lt;'PlayerGrades+'!$AH$4,"A+",IF(R261&lt;'PlayerGrades+'!$AH$3,"S-",IF(R261&lt;'PlayerGrades+'!$AH$2,"S","S+"))))))))))))))))))))</f>
        <v>#DIV/0!</v>
      </c>
      <c r="T261" s="961">
        <f t="shared" si="9"/>
        <v>0</v>
      </c>
      <c r="U261" s="961" t="str">
        <f>IF(T261&lt;'PlayerGrades+'!$AI$21,"F-",IF(T261&lt;'PlayerGrades+'!$AI$20,"F",IF(T261&lt;'PlayerGrades+'!$AI$19,"F+",IF(T261&lt;'PlayerGrades+'!$AI$18,"E-",IF(T261&lt;'PlayerGrades+'!$AI$17,"E",IF(T261&lt;'PlayerGrades+'!$AI$16,"E+",IF(T261&lt;'PlayerGrades+'!$AI$15,"D-",IF(T261&lt;'PlayerGrades+'!$AI$14,"D",IF(T261&lt;'PlayerGrades+'!$AI$13,"D+",IF(T261&lt;'PlayerGrades+'!$AI$12,"C-",IF(T261&lt;'PlayerGrades+'!$AI$11,"C",IF(T261&lt;'PlayerGrades+'!$AI$10,"C+",IF(T261&lt;'PlayerGrades+'!$AI$9,"B-",IF(T261&lt;'PlayerGrades+'!$AI$8,"B",IF(T261&lt;'PlayerGrades+'!$AI$7,"B+",IF(T261&lt;'PlayerGrades+'!$AI$6,"A-",IF(T261&lt;'PlayerGrades+'!$AI$5,"A",IF(T261&lt;'PlayerGrades+'!$AI$4,"A+",IF(T261&lt;'PlayerGrades+'!$AI$3,"S-",IF(T261&lt;'PlayerGrades+'!$AI$2,"S","S+"))))))))))))))))))))</f>
        <v>F-</v>
      </c>
      <c r="AC261" s="1392"/>
    </row>
    <row r="262">
      <c r="A262" s="1391"/>
      <c r="B262" s="611" t="str">
        <f>IF(C262&lt;'PlayerGrades+'!$Y$44,"F-",IF(C262&lt;'PlayerGrades+'!$Y$43,"F",IF(C262&lt;'PlayerGrades+'!$Y$42,"F+",IF(C262&lt;'PlayerGrades+'!$Y$41,"E-",IF(C262&lt;'PlayerGrades+'!$Y$40,"E",IF(C262&lt;'PlayerGrades+'!$Y$39,"E+",IF(C262&lt;'PlayerGrades+'!$Y$38,"D-",IF(C262&lt;'PlayerGrades+'!$Y$37,"D",IF(C262&lt;'PlayerGrades+'!$Y$36,"D+",IF(C262&lt;'PlayerGrades+'!$Y$35,"C-",IF(C262&lt;'PlayerGrades+'!$Y$34,"C",IF(C262&lt;'PlayerGrades+'!$Y$33,"C+",IF(C262&lt;'PlayerGrades+'!$Y$32,"B-",IF(C262&lt;'PlayerGrades+'!$Y$31,"B",IF(C262&lt;'PlayerGrades+'!$Y$30,"B+",IF(C262&lt;'PlayerGrades+'!$Y$29,"A-",IF(C262&lt;'PlayerGrades+'!$Y$28,"A",IF(C262&lt;'PlayerGrades+'!$Y$27,"A+",IF(C262&lt;'PlayerGrades+'!$Y$26,"S-",IF(C262&lt;'PlayerGrades+'!$Y$25,"S","S+"))))))))))))))))))))</f>
        <v>#DIV/0!</v>
      </c>
      <c r="C262" s="1378" t="str">
        <f>('PlayerGrades+'!$Y$47*(VLOOKUP(E262, 'PlayerGrades+'!$X$3:$Y$23, 2, FALSE)))+('PlayerGrades+'!$Y$48*(VLOOKUP(G262, 'PlayerGrades+'!$X$3:$Y$23, 2, FALSE)))+('PlayerGrades+'!$Y$49*(VLOOKUP(I262, 'PlayerGrades+'!$X$3:$Y$23, 2, FALSE)))+('PlayerGrades+'!$Y$50*(VLOOKUP(K262, 'PlayerGrades+'!$X$3:$Y$23, 2, FALSE)))+('PlayerGrades+'!$Y$51*(VLOOKUP(M262, 'PlayerGrades+'!$X$3:$Y$23, 2, FALSE)))+('PlayerGrades+'!$Y$52*(VLOOKUP(O262, 'PlayerGrades+'!$X$3:$Y$23, 2, FALSE)))+('PlayerGrades+'!$Y$53*(VLOOKUP(Q262, 'PlayerGrades+'!$X$3:$Y$23, 2, FALSE)))+('PlayerGrades+'!$Y$54*(VLOOKUP(S262, 'PlayerGrades+'!$X$3:$Y$23, 2, FALSE)))+('PlayerGrades+'!$Y$55*(VLOOKUP(U262, 'PlayerGrades+'!$X$3:$Y$23, 2, FALSE)))</f>
        <v>#DIV/0!</v>
      </c>
      <c r="D262" s="961" t="str">
        <f t="shared" si="1"/>
        <v>#DIV/0!</v>
      </c>
      <c r="E262" s="961" t="str">
        <f>IF(D262&lt;'PlayerGrades+'!$AA$21,"F-",IF(D262&lt;'PlayerGrades+'!$AA$20,"F",IF(D262&lt;'PlayerGrades+'!$AA$19,"F+",IF(D262&lt;'PlayerGrades+'!$AA$18,"E-",IF(D262&lt;'PlayerGrades+'!$AA$17,"E",IF(D262&lt;'PlayerGrades+'!$AA$16,"E+",IF(D262&lt;'PlayerGrades+'!$AA$15,"D-",IF(D262&lt;'PlayerGrades+'!$AA$14,"D",IF(D262&lt;'PlayerGrades+'!$AA$13,"D+",IF(D262&lt;'PlayerGrades+'!$AA$12,"C-",IF(D262&lt;'PlayerGrades+'!$AA$11,"C",IF(D262&lt;'PlayerGrades+'!$AA$10,"C+",IF(D262&lt;'PlayerGrades+'!$AA$9,"B-",IF(D262&lt;'PlayerGrades+'!$AA$8,"B",IF(D262&lt;'PlayerGrades+'!$AA$7,"B+",IF(D262&lt;'PlayerGrades+'!$AA$6,"A-",IF(D262&lt;'PlayerGrades+'!$AA$5,"A",IF(D262&lt;'PlayerGrades+'!$AA$4,"A+",IF(D262&lt;'PlayerGrades+'!$AA$3,"S-",IF(D262&lt;'PlayerGrades+'!$AA$2,"S","S+"))))))))))))))))))))</f>
        <v>#DIV/0!</v>
      </c>
      <c r="F262" s="961" t="str">
        <f t="shared" si="2"/>
        <v>#DIV/0!</v>
      </c>
      <c r="G262" s="961" t="str">
        <f>IF(F262&lt;'PlayerGrades+'!$AB$21,"F-",IF(F262&lt;'PlayerGrades+'!$AB$20,"F",IF(F262&lt;'PlayerGrades+'!$AB$19,"F+",IF(F262&lt;'PlayerGrades+'!$AB$18,"E-",IF(F262&lt;'PlayerGrades+'!$AB$17,"E",IF(F262&lt;'PlayerGrades+'!$AB$16,"E+",IF(F262&lt;'PlayerGrades+'!$AB$15,"D-",IF(F262&lt;'PlayerGrades+'!$AB$14,"D",IF(F262&lt;'PlayerGrades+'!$AB$13,"D+",IF(F262&lt;'PlayerGrades+'!$AB$12,"C-",IF(F262&lt;'PlayerGrades+'!$AB$11,"C",IF(F262&lt;'PlayerGrades+'!$AB$10,"C+",IF(F262&lt;'PlayerGrades+'!$AB$9,"B-",IF(F262&lt;'PlayerGrades+'!$AB$8,"B",IF(F262&lt;'PlayerGrades+'!$AB$7,"B+",IF(F262&lt;'PlayerGrades+'!$AB$6,"A-",IF(F262&lt;'PlayerGrades+'!$AB$5,"A",IF(F262&lt;'PlayerGrades+'!$AB$4,"A+",IF(F262&lt;'PlayerGrades+'!$AB$3,"S-",IF(F262&lt;'PlayerGrades+'!$AB$2,"S","S+"))))))))))))))))))))</f>
        <v>#DIV/0!</v>
      </c>
      <c r="H262" s="961" t="str">
        <f t="shared" si="3"/>
        <v>#DIV/0!</v>
      </c>
      <c r="I262" s="961" t="str">
        <f>IF(H262&lt;'PlayerGrades+'!$AC$21,"F-",IF(H262&lt;'PlayerGrades+'!$AC$20,"F",IF(H262&lt;'PlayerGrades+'!$AC$19,"F+",IF(H262&lt;'PlayerGrades+'!$AC$18,"E-",IF(H262&lt;'PlayerGrades+'!$AC$17,"E",IF(H262&lt;'PlayerGrades+'!$AC$16,"E+",IF(H262&lt;'PlayerGrades+'!$AC$15,"D-",IF(H262&lt;'PlayerGrades+'!$AC$14,"D",IF(H262&lt;'PlayerGrades+'!$AC$13,"D+",IF(H262&lt;'PlayerGrades+'!$AC$12,"C-",IF(H262&lt;'PlayerGrades+'!$AC$11,"C",IF(H262&lt;'PlayerGrades+'!$AC$10,"C+",IF(H262&lt;'PlayerGrades+'!$AC$9,"B-",IF(H262&lt;'PlayerGrades+'!$AC$8,"B",IF(H262&lt;'PlayerGrades+'!$AC$7,"B+",IF(H262&lt;'PlayerGrades+'!$AC$6,"A-",IF(H262&lt;'PlayerGrades+'!$AC$5,"A",IF(H262&lt;'PlayerGrades+'!$AC$4,"A+",IF(H262&lt;'PlayerGrades+'!$AC$3,"S-",IF(H262&lt;'PlayerGrades+'!$AC$2,"S","S+"))))))))))))))))))))</f>
        <v>#DIV/0!</v>
      </c>
      <c r="J262" s="961" t="str">
        <f t="shared" si="4"/>
        <v>#DIV/0!</v>
      </c>
      <c r="K262" s="961" t="str">
        <f>IF(J262&lt;'PlayerGrades+'!$AD$21,"F-",IF(J262&lt;'PlayerGrades+'!$AD$20,"F",IF(J262&lt;'PlayerGrades+'!$AD$19,"F+",IF(J262&lt;'PlayerGrades+'!$AD$18,"E-",IF(J262&lt;'PlayerGrades+'!$AD$17,"E",IF(J262&lt;'PlayerGrades+'!$AD$16,"E+",IF(J262&lt;'PlayerGrades+'!$AD$15,"D-",IF(J262&lt;'PlayerGrades+'!$AD$14,"D",IF(J262&lt;'PlayerGrades+'!$AD$13,"D+",IF(J262&lt;'PlayerGrades+'!$AD$12,"C-",IF(J262&lt;'PlayerGrades+'!$AD$11,"C",IF(J262&lt;'PlayerGrades+'!$AD$10,"C+",IF(J262&lt;'PlayerGrades+'!$AD$9,"B-",IF(J262&lt;'PlayerGrades+'!$AD$8,"B",IF(J262&lt;'PlayerGrades+'!$AD$7,"B+",IF(J262&lt;'PlayerGrades+'!$AD$6,"A-",IF(J262&lt;'PlayerGrades+'!$AD$5,"A",IF(J262&lt;'PlayerGrades+'!$AD$4,"A+",IF(J262&lt;'PlayerGrades+'!$AD$3,"S-",IF(J262&lt;'PlayerGrades+'!$AD$2,"S","S+"))))))))))))))))))))</f>
        <v>#DIV/0!</v>
      </c>
      <c r="L262" s="1176" t="str">
        <f t="shared" si="5"/>
        <v>#DIV/0!</v>
      </c>
      <c r="M262" s="992" t="str">
        <f>IF(L262&lt;'PlayerGrades+'!$AE$21,"F-",IF(L262&lt;'PlayerGrades+'!$AE$20,"F",IF(L262&lt;'PlayerGrades+'!$AE$19,"F+",IF(L262&lt;'PlayerGrades+'!$AE$18,"E-",IF(L262&lt;'PlayerGrades+'!$AE$17,"E",IF(L262&lt;'PlayerGrades+'!$AE$16,"E+",IF(L262&lt;'PlayerGrades+'!$AE$15,"D-",IF(L262&lt;'PlayerGrades+'!$AE$14,"D",IF(L262&lt;'PlayerGrades+'!$AE$13,"D+",IF(L262&lt;'PlayerGrades+'!$AE$12,"C-",IF(L262&lt;'PlayerGrades+'!$AE$11,"C",IF(L262&lt;'PlayerGrades+'!$AE$10,"C+",IF(L262&lt;'PlayerGrades+'!$AE$9,"B-",IF(L262&lt;'PlayerGrades+'!$AE$8,"B",IF(L262&lt;'PlayerGrades+'!$AE$7,"B+",IF(L262&lt;'PlayerGrades+'!$AE$6,"A-",IF(L262&lt;'PlayerGrades+'!$AE$5,"A",IF(L262&lt;'PlayerGrades+'!$AE$4,"A+",IF(L262&lt;'PlayerGrades+'!$AE$3,"S-",IF(L262&lt;'PlayerGrades+'!$AE$2,"S","S+"))))))))))))))))))))</f>
        <v>#DIV/0!</v>
      </c>
      <c r="N262" s="961" t="str">
        <f t="shared" si="6"/>
        <v>#DIV/0!</v>
      </c>
      <c r="O262" s="961" t="str">
        <f>IF(N262&lt;'PlayerGrades+'!$AF$21,"F-",IF(N262&lt;'PlayerGrades+'!$AF$20,"F",IF(N262&lt;'PlayerGrades+'!$AF$19,"F+",IF(N262&lt;'PlayerGrades+'!$AF$18,"E-",IF(N262&lt;'PlayerGrades+'!$AF$17,"E",IF(N262&lt;'PlayerGrades+'!$AF$16,"E+",IF(N262&lt;'PlayerGrades+'!$AF$15,"D-",IF(N262&lt;'PlayerGrades+'!$AF$14,"D",IF(N262&lt;'PlayerGrades+'!$AF$13,"D+",IF(N262&lt;'PlayerGrades+'!$AF$12,"C-",IF(N262&lt;'PlayerGrades+'!$AF$11,"C",IF(N262&lt;'PlayerGrades+'!$AF$10,"C+",IF(N262&lt;'PlayerGrades+'!$AF$9,"B-",IF(N262&lt;'PlayerGrades+'!$AF$8,"B",IF(N262&lt;'PlayerGrades+'!$AF$7,"B+",IF(N262&lt;'PlayerGrades+'!$AF$6,"A-",IF(N262&lt;'PlayerGrades+'!$AF$5,"A",IF(N262&lt;'PlayerGrades+'!$AF$4,"A+",IF(N262&lt;'PlayerGrades+'!$AF$3,"S-",IF(N262&lt;'PlayerGrades+'!$AF$2,"S","S+"))))))))))))))))))))</f>
        <v>#DIV/0!</v>
      </c>
      <c r="P262" s="961" t="str">
        <f t="shared" si="7"/>
        <v>#DIV/0!</v>
      </c>
      <c r="Q262" s="961" t="str">
        <f>IF(P262&lt;'PlayerGrades+'!$AG$21,"F-",IF(P262&lt;'PlayerGrades+'!$AG$20,"F",IF(P262&lt;'PlayerGrades+'!$AG$19,"F+",IF(P262&lt;'PlayerGrades+'!$AG$18,"E-",IF(P262&lt;'PlayerGrades+'!$AG$17,"E",IF(P262&lt;'PlayerGrades+'!$AG$16,"E+",IF(P262&lt;'PlayerGrades+'!$AG$15,"D-",IF(P262&lt;'PlayerGrades+'!$AG$14,"D",IF(P262&lt;'PlayerGrades+'!$AG$13,"D+",IF(P262&lt;'PlayerGrades+'!$AG$12,"C-",IF(P262&lt;'PlayerGrades+'!$AG$11,"C",IF(P262&lt;'PlayerGrades+'!$AG$10,"C+",IF(P262&lt;'PlayerGrades+'!$AG$9,"B-",IF(P262&lt;'PlayerGrades+'!$AG$8,"B",IF(P262&lt;'PlayerGrades+'!$AG$7,"B+",IF(P262&lt;'PlayerGrades+'!$AG$6,"A-",IF(P262&lt;'PlayerGrades+'!$AG$5,"A",IF(P262&lt;'PlayerGrades+'!$AG$4,"A+",IF(P262&lt;'PlayerGrades+'!$AG$3,"S-",IF(P262&lt;'PlayerGrades+'!$AG$2,"S","S+"))))))))))))))))))))</f>
        <v>#DIV/0!</v>
      </c>
      <c r="R262" s="961" t="str">
        <f t="shared" si="8"/>
        <v>#DIV/0!</v>
      </c>
      <c r="S262" s="961" t="str">
        <f>IF(R262&lt;'PlayerGrades+'!$AH$21,"F-",IF(R262&lt;'PlayerGrades+'!$AH$20,"F",IF(R262&lt;'PlayerGrades+'!$AH$19,"F+",IF(R262&lt;'PlayerGrades+'!$AH$18,"E-",IF(R262&lt;'PlayerGrades+'!$AH$17,"E",IF(R262&lt;'PlayerGrades+'!$AH$16,"E+",IF(R262&lt;'PlayerGrades+'!$AH$15,"D-",IF(R262&lt;'PlayerGrades+'!$AH$14,"D",IF(R262&lt;'PlayerGrades+'!$AH$13,"D+",IF(R262&lt;'PlayerGrades+'!$AH$12,"C-",IF(R262&lt;'PlayerGrades+'!$AH$11,"C",IF(R262&lt;'PlayerGrades+'!$AH$10,"C+",IF(R262&lt;'PlayerGrades+'!$AH$9,"B-",IF(R262&lt;'PlayerGrades+'!$AH$8,"B",IF(R262&lt;'PlayerGrades+'!$AH$7,"B+",IF(R262&lt;'PlayerGrades+'!$AH$6,"A-",IF(R262&lt;'PlayerGrades+'!$AH$5,"A",IF(R262&lt;'PlayerGrades+'!$AH$4,"A+",IF(R262&lt;'PlayerGrades+'!$AH$3,"S-",IF(R262&lt;'PlayerGrades+'!$AH$2,"S","S+"))))))))))))))))))))</f>
        <v>#DIV/0!</v>
      </c>
      <c r="T262" s="961">
        <f t="shared" si="9"/>
        <v>0</v>
      </c>
      <c r="U262" s="961" t="str">
        <f>IF(T262&lt;'PlayerGrades+'!$AI$21,"F-",IF(T262&lt;'PlayerGrades+'!$AI$20,"F",IF(T262&lt;'PlayerGrades+'!$AI$19,"F+",IF(T262&lt;'PlayerGrades+'!$AI$18,"E-",IF(T262&lt;'PlayerGrades+'!$AI$17,"E",IF(T262&lt;'PlayerGrades+'!$AI$16,"E+",IF(T262&lt;'PlayerGrades+'!$AI$15,"D-",IF(T262&lt;'PlayerGrades+'!$AI$14,"D",IF(T262&lt;'PlayerGrades+'!$AI$13,"D+",IF(T262&lt;'PlayerGrades+'!$AI$12,"C-",IF(T262&lt;'PlayerGrades+'!$AI$11,"C",IF(T262&lt;'PlayerGrades+'!$AI$10,"C+",IF(T262&lt;'PlayerGrades+'!$AI$9,"B-",IF(T262&lt;'PlayerGrades+'!$AI$8,"B",IF(T262&lt;'PlayerGrades+'!$AI$7,"B+",IF(T262&lt;'PlayerGrades+'!$AI$6,"A-",IF(T262&lt;'PlayerGrades+'!$AI$5,"A",IF(T262&lt;'PlayerGrades+'!$AI$4,"A+",IF(T262&lt;'PlayerGrades+'!$AI$3,"S-",IF(T262&lt;'PlayerGrades+'!$AI$2,"S","S+"))))))))))))))))))))</f>
        <v>F-</v>
      </c>
      <c r="AC262" s="1392"/>
    </row>
    <row r="263">
      <c r="A263" s="1391"/>
      <c r="B263" s="611" t="str">
        <f>IF(C263&lt;'PlayerGrades+'!$Y$44,"F-",IF(C263&lt;'PlayerGrades+'!$Y$43,"F",IF(C263&lt;'PlayerGrades+'!$Y$42,"F+",IF(C263&lt;'PlayerGrades+'!$Y$41,"E-",IF(C263&lt;'PlayerGrades+'!$Y$40,"E",IF(C263&lt;'PlayerGrades+'!$Y$39,"E+",IF(C263&lt;'PlayerGrades+'!$Y$38,"D-",IF(C263&lt;'PlayerGrades+'!$Y$37,"D",IF(C263&lt;'PlayerGrades+'!$Y$36,"D+",IF(C263&lt;'PlayerGrades+'!$Y$35,"C-",IF(C263&lt;'PlayerGrades+'!$Y$34,"C",IF(C263&lt;'PlayerGrades+'!$Y$33,"C+",IF(C263&lt;'PlayerGrades+'!$Y$32,"B-",IF(C263&lt;'PlayerGrades+'!$Y$31,"B",IF(C263&lt;'PlayerGrades+'!$Y$30,"B+",IF(C263&lt;'PlayerGrades+'!$Y$29,"A-",IF(C263&lt;'PlayerGrades+'!$Y$28,"A",IF(C263&lt;'PlayerGrades+'!$Y$27,"A+",IF(C263&lt;'PlayerGrades+'!$Y$26,"S-",IF(C263&lt;'PlayerGrades+'!$Y$25,"S","S+"))))))))))))))))))))</f>
        <v>#DIV/0!</v>
      </c>
      <c r="C263" s="1378" t="str">
        <f>('PlayerGrades+'!$Y$47*(VLOOKUP(E263, 'PlayerGrades+'!$X$3:$Y$23, 2, FALSE)))+('PlayerGrades+'!$Y$48*(VLOOKUP(G263, 'PlayerGrades+'!$X$3:$Y$23, 2, FALSE)))+('PlayerGrades+'!$Y$49*(VLOOKUP(I263, 'PlayerGrades+'!$X$3:$Y$23, 2, FALSE)))+('PlayerGrades+'!$Y$50*(VLOOKUP(K263, 'PlayerGrades+'!$X$3:$Y$23, 2, FALSE)))+('PlayerGrades+'!$Y$51*(VLOOKUP(M263, 'PlayerGrades+'!$X$3:$Y$23, 2, FALSE)))+('PlayerGrades+'!$Y$52*(VLOOKUP(O263, 'PlayerGrades+'!$X$3:$Y$23, 2, FALSE)))+('PlayerGrades+'!$Y$53*(VLOOKUP(Q263, 'PlayerGrades+'!$X$3:$Y$23, 2, FALSE)))+('PlayerGrades+'!$Y$54*(VLOOKUP(S263, 'PlayerGrades+'!$X$3:$Y$23, 2, FALSE)))+('PlayerGrades+'!$Y$55*(VLOOKUP(U263, 'PlayerGrades+'!$X$3:$Y$23, 2, FALSE)))</f>
        <v>#DIV/0!</v>
      </c>
      <c r="D263" s="961" t="str">
        <f t="shared" si="1"/>
        <v>#DIV/0!</v>
      </c>
      <c r="E263" s="961" t="str">
        <f>IF(D263&lt;'PlayerGrades+'!$AA$21,"F-",IF(D263&lt;'PlayerGrades+'!$AA$20,"F",IF(D263&lt;'PlayerGrades+'!$AA$19,"F+",IF(D263&lt;'PlayerGrades+'!$AA$18,"E-",IF(D263&lt;'PlayerGrades+'!$AA$17,"E",IF(D263&lt;'PlayerGrades+'!$AA$16,"E+",IF(D263&lt;'PlayerGrades+'!$AA$15,"D-",IF(D263&lt;'PlayerGrades+'!$AA$14,"D",IF(D263&lt;'PlayerGrades+'!$AA$13,"D+",IF(D263&lt;'PlayerGrades+'!$AA$12,"C-",IF(D263&lt;'PlayerGrades+'!$AA$11,"C",IF(D263&lt;'PlayerGrades+'!$AA$10,"C+",IF(D263&lt;'PlayerGrades+'!$AA$9,"B-",IF(D263&lt;'PlayerGrades+'!$AA$8,"B",IF(D263&lt;'PlayerGrades+'!$AA$7,"B+",IF(D263&lt;'PlayerGrades+'!$AA$6,"A-",IF(D263&lt;'PlayerGrades+'!$AA$5,"A",IF(D263&lt;'PlayerGrades+'!$AA$4,"A+",IF(D263&lt;'PlayerGrades+'!$AA$3,"S-",IF(D263&lt;'PlayerGrades+'!$AA$2,"S","S+"))))))))))))))))))))</f>
        <v>#DIV/0!</v>
      </c>
      <c r="F263" s="961" t="str">
        <f t="shared" si="2"/>
        <v>#DIV/0!</v>
      </c>
      <c r="G263" s="961" t="str">
        <f>IF(F263&lt;'PlayerGrades+'!$AB$21,"F-",IF(F263&lt;'PlayerGrades+'!$AB$20,"F",IF(F263&lt;'PlayerGrades+'!$AB$19,"F+",IF(F263&lt;'PlayerGrades+'!$AB$18,"E-",IF(F263&lt;'PlayerGrades+'!$AB$17,"E",IF(F263&lt;'PlayerGrades+'!$AB$16,"E+",IF(F263&lt;'PlayerGrades+'!$AB$15,"D-",IF(F263&lt;'PlayerGrades+'!$AB$14,"D",IF(F263&lt;'PlayerGrades+'!$AB$13,"D+",IF(F263&lt;'PlayerGrades+'!$AB$12,"C-",IF(F263&lt;'PlayerGrades+'!$AB$11,"C",IF(F263&lt;'PlayerGrades+'!$AB$10,"C+",IF(F263&lt;'PlayerGrades+'!$AB$9,"B-",IF(F263&lt;'PlayerGrades+'!$AB$8,"B",IF(F263&lt;'PlayerGrades+'!$AB$7,"B+",IF(F263&lt;'PlayerGrades+'!$AB$6,"A-",IF(F263&lt;'PlayerGrades+'!$AB$5,"A",IF(F263&lt;'PlayerGrades+'!$AB$4,"A+",IF(F263&lt;'PlayerGrades+'!$AB$3,"S-",IF(F263&lt;'PlayerGrades+'!$AB$2,"S","S+"))))))))))))))))))))</f>
        <v>#DIV/0!</v>
      </c>
      <c r="H263" s="961" t="str">
        <f t="shared" si="3"/>
        <v>#DIV/0!</v>
      </c>
      <c r="I263" s="961" t="str">
        <f>IF(H263&lt;'PlayerGrades+'!$AC$21,"F-",IF(H263&lt;'PlayerGrades+'!$AC$20,"F",IF(H263&lt;'PlayerGrades+'!$AC$19,"F+",IF(H263&lt;'PlayerGrades+'!$AC$18,"E-",IF(H263&lt;'PlayerGrades+'!$AC$17,"E",IF(H263&lt;'PlayerGrades+'!$AC$16,"E+",IF(H263&lt;'PlayerGrades+'!$AC$15,"D-",IF(H263&lt;'PlayerGrades+'!$AC$14,"D",IF(H263&lt;'PlayerGrades+'!$AC$13,"D+",IF(H263&lt;'PlayerGrades+'!$AC$12,"C-",IF(H263&lt;'PlayerGrades+'!$AC$11,"C",IF(H263&lt;'PlayerGrades+'!$AC$10,"C+",IF(H263&lt;'PlayerGrades+'!$AC$9,"B-",IF(H263&lt;'PlayerGrades+'!$AC$8,"B",IF(H263&lt;'PlayerGrades+'!$AC$7,"B+",IF(H263&lt;'PlayerGrades+'!$AC$6,"A-",IF(H263&lt;'PlayerGrades+'!$AC$5,"A",IF(H263&lt;'PlayerGrades+'!$AC$4,"A+",IF(H263&lt;'PlayerGrades+'!$AC$3,"S-",IF(H263&lt;'PlayerGrades+'!$AC$2,"S","S+"))))))))))))))))))))</f>
        <v>#DIV/0!</v>
      </c>
      <c r="J263" s="961" t="str">
        <f t="shared" si="4"/>
        <v>#DIV/0!</v>
      </c>
      <c r="K263" s="961" t="str">
        <f>IF(J263&lt;'PlayerGrades+'!$AD$21,"F-",IF(J263&lt;'PlayerGrades+'!$AD$20,"F",IF(J263&lt;'PlayerGrades+'!$AD$19,"F+",IF(J263&lt;'PlayerGrades+'!$AD$18,"E-",IF(J263&lt;'PlayerGrades+'!$AD$17,"E",IF(J263&lt;'PlayerGrades+'!$AD$16,"E+",IF(J263&lt;'PlayerGrades+'!$AD$15,"D-",IF(J263&lt;'PlayerGrades+'!$AD$14,"D",IF(J263&lt;'PlayerGrades+'!$AD$13,"D+",IF(J263&lt;'PlayerGrades+'!$AD$12,"C-",IF(J263&lt;'PlayerGrades+'!$AD$11,"C",IF(J263&lt;'PlayerGrades+'!$AD$10,"C+",IF(J263&lt;'PlayerGrades+'!$AD$9,"B-",IF(J263&lt;'PlayerGrades+'!$AD$8,"B",IF(J263&lt;'PlayerGrades+'!$AD$7,"B+",IF(J263&lt;'PlayerGrades+'!$AD$6,"A-",IF(J263&lt;'PlayerGrades+'!$AD$5,"A",IF(J263&lt;'PlayerGrades+'!$AD$4,"A+",IF(J263&lt;'PlayerGrades+'!$AD$3,"S-",IF(J263&lt;'PlayerGrades+'!$AD$2,"S","S+"))))))))))))))))))))</f>
        <v>#DIV/0!</v>
      </c>
      <c r="L263" s="1176" t="str">
        <f t="shared" si="5"/>
        <v>#DIV/0!</v>
      </c>
      <c r="M263" s="992" t="str">
        <f>IF(L263&lt;'PlayerGrades+'!$AE$21,"F-",IF(L263&lt;'PlayerGrades+'!$AE$20,"F",IF(L263&lt;'PlayerGrades+'!$AE$19,"F+",IF(L263&lt;'PlayerGrades+'!$AE$18,"E-",IF(L263&lt;'PlayerGrades+'!$AE$17,"E",IF(L263&lt;'PlayerGrades+'!$AE$16,"E+",IF(L263&lt;'PlayerGrades+'!$AE$15,"D-",IF(L263&lt;'PlayerGrades+'!$AE$14,"D",IF(L263&lt;'PlayerGrades+'!$AE$13,"D+",IF(L263&lt;'PlayerGrades+'!$AE$12,"C-",IF(L263&lt;'PlayerGrades+'!$AE$11,"C",IF(L263&lt;'PlayerGrades+'!$AE$10,"C+",IF(L263&lt;'PlayerGrades+'!$AE$9,"B-",IF(L263&lt;'PlayerGrades+'!$AE$8,"B",IF(L263&lt;'PlayerGrades+'!$AE$7,"B+",IF(L263&lt;'PlayerGrades+'!$AE$6,"A-",IF(L263&lt;'PlayerGrades+'!$AE$5,"A",IF(L263&lt;'PlayerGrades+'!$AE$4,"A+",IF(L263&lt;'PlayerGrades+'!$AE$3,"S-",IF(L263&lt;'PlayerGrades+'!$AE$2,"S","S+"))))))))))))))))))))</f>
        <v>#DIV/0!</v>
      </c>
      <c r="N263" s="961" t="str">
        <f t="shared" si="6"/>
        <v>#DIV/0!</v>
      </c>
      <c r="O263" s="961" t="str">
        <f>IF(N263&lt;'PlayerGrades+'!$AF$21,"F-",IF(N263&lt;'PlayerGrades+'!$AF$20,"F",IF(N263&lt;'PlayerGrades+'!$AF$19,"F+",IF(N263&lt;'PlayerGrades+'!$AF$18,"E-",IF(N263&lt;'PlayerGrades+'!$AF$17,"E",IF(N263&lt;'PlayerGrades+'!$AF$16,"E+",IF(N263&lt;'PlayerGrades+'!$AF$15,"D-",IF(N263&lt;'PlayerGrades+'!$AF$14,"D",IF(N263&lt;'PlayerGrades+'!$AF$13,"D+",IF(N263&lt;'PlayerGrades+'!$AF$12,"C-",IF(N263&lt;'PlayerGrades+'!$AF$11,"C",IF(N263&lt;'PlayerGrades+'!$AF$10,"C+",IF(N263&lt;'PlayerGrades+'!$AF$9,"B-",IF(N263&lt;'PlayerGrades+'!$AF$8,"B",IF(N263&lt;'PlayerGrades+'!$AF$7,"B+",IF(N263&lt;'PlayerGrades+'!$AF$6,"A-",IF(N263&lt;'PlayerGrades+'!$AF$5,"A",IF(N263&lt;'PlayerGrades+'!$AF$4,"A+",IF(N263&lt;'PlayerGrades+'!$AF$3,"S-",IF(N263&lt;'PlayerGrades+'!$AF$2,"S","S+"))))))))))))))))))))</f>
        <v>#DIV/0!</v>
      </c>
      <c r="P263" s="961" t="str">
        <f t="shared" si="7"/>
        <v>#DIV/0!</v>
      </c>
      <c r="Q263" s="961" t="str">
        <f>IF(P263&lt;'PlayerGrades+'!$AG$21,"F-",IF(P263&lt;'PlayerGrades+'!$AG$20,"F",IF(P263&lt;'PlayerGrades+'!$AG$19,"F+",IF(P263&lt;'PlayerGrades+'!$AG$18,"E-",IF(P263&lt;'PlayerGrades+'!$AG$17,"E",IF(P263&lt;'PlayerGrades+'!$AG$16,"E+",IF(P263&lt;'PlayerGrades+'!$AG$15,"D-",IF(P263&lt;'PlayerGrades+'!$AG$14,"D",IF(P263&lt;'PlayerGrades+'!$AG$13,"D+",IF(P263&lt;'PlayerGrades+'!$AG$12,"C-",IF(P263&lt;'PlayerGrades+'!$AG$11,"C",IF(P263&lt;'PlayerGrades+'!$AG$10,"C+",IF(P263&lt;'PlayerGrades+'!$AG$9,"B-",IF(P263&lt;'PlayerGrades+'!$AG$8,"B",IF(P263&lt;'PlayerGrades+'!$AG$7,"B+",IF(P263&lt;'PlayerGrades+'!$AG$6,"A-",IF(P263&lt;'PlayerGrades+'!$AG$5,"A",IF(P263&lt;'PlayerGrades+'!$AG$4,"A+",IF(P263&lt;'PlayerGrades+'!$AG$3,"S-",IF(P263&lt;'PlayerGrades+'!$AG$2,"S","S+"))))))))))))))))))))</f>
        <v>#DIV/0!</v>
      </c>
      <c r="R263" s="961" t="str">
        <f t="shared" si="8"/>
        <v>#DIV/0!</v>
      </c>
      <c r="S263" s="961" t="str">
        <f>IF(R263&lt;'PlayerGrades+'!$AH$21,"F-",IF(R263&lt;'PlayerGrades+'!$AH$20,"F",IF(R263&lt;'PlayerGrades+'!$AH$19,"F+",IF(R263&lt;'PlayerGrades+'!$AH$18,"E-",IF(R263&lt;'PlayerGrades+'!$AH$17,"E",IF(R263&lt;'PlayerGrades+'!$AH$16,"E+",IF(R263&lt;'PlayerGrades+'!$AH$15,"D-",IF(R263&lt;'PlayerGrades+'!$AH$14,"D",IF(R263&lt;'PlayerGrades+'!$AH$13,"D+",IF(R263&lt;'PlayerGrades+'!$AH$12,"C-",IF(R263&lt;'PlayerGrades+'!$AH$11,"C",IF(R263&lt;'PlayerGrades+'!$AH$10,"C+",IF(R263&lt;'PlayerGrades+'!$AH$9,"B-",IF(R263&lt;'PlayerGrades+'!$AH$8,"B",IF(R263&lt;'PlayerGrades+'!$AH$7,"B+",IF(R263&lt;'PlayerGrades+'!$AH$6,"A-",IF(R263&lt;'PlayerGrades+'!$AH$5,"A",IF(R263&lt;'PlayerGrades+'!$AH$4,"A+",IF(R263&lt;'PlayerGrades+'!$AH$3,"S-",IF(R263&lt;'PlayerGrades+'!$AH$2,"S","S+"))))))))))))))))))))</f>
        <v>#DIV/0!</v>
      </c>
      <c r="T263" s="961">
        <f t="shared" si="9"/>
        <v>0</v>
      </c>
      <c r="U263" s="961" t="str">
        <f>IF(T263&lt;'PlayerGrades+'!$AI$21,"F-",IF(T263&lt;'PlayerGrades+'!$AI$20,"F",IF(T263&lt;'PlayerGrades+'!$AI$19,"F+",IF(T263&lt;'PlayerGrades+'!$AI$18,"E-",IF(T263&lt;'PlayerGrades+'!$AI$17,"E",IF(T263&lt;'PlayerGrades+'!$AI$16,"E+",IF(T263&lt;'PlayerGrades+'!$AI$15,"D-",IF(T263&lt;'PlayerGrades+'!$AI$14,"D",IF(T263&lt;'PlayerGrades+'!$AI$13,"D+",IF(T263&lt;'PlayerGrades+'!$AI$12,"C-",IF(T263&lt;'PlayerGrades+'!$AI$11,"C",IF(T263&lt;'PlayerGrades+'!$AI$10,"C+",IF(T263&lt;'PlayerGrades+'!$AI$9,"B-",IF(T263&lt;'PlayerGrades+'!$AI$8,"B",IF(T263&lt;'PlayerGrades+'!$AI$7,"B+",IF(T263&lt;'PlayerGrades+'!$AI$6,"A-",IF(T263&lt;'PlayerGrades+'!$AI$5,"A",IF(T263&lt;'PlayerGrades+'!$AI$4,"A+",IF(T263&lt;'PlayerGrades+'!$AI$3,"S-",IF(T263&lt;'PlayerGrades+'!$AI$2,"S","S+"))))))))))))))))))))</f>
        <v>F-</v>
      </c>
      <c r="AC263" s="1392"/>
    </row>
    <row r="264">
      <c r="A264" s="1391"/>
      <c r="B264" s="611" t="str">
        <f>IF(C264&lt;'PlayerGrades+'!$Y$44,"F-",IF(C264&lt;'PlayerGrades+'!$Y$43,"F",IF(C264&lt;'PlayerGrades+'!$Y$42,"F+",IF(C264&lt;'PlayerGrades+'!$Y$41,"E-",IF(C264&lt;'PlayerGrades+'!$Y$40,"E",IF(C264&lt;'PlayerGrades+'!$Y$39,"E+",IF(C264&lt;'PlayerGrades+'!$Y$38,"D-",IF(C264&lt;'PlayerGrades+'!$Y$37,"D",IF(C264&lt;'PlayerGrades+'!$Y$36,"D+",IF(C264&lt;'PlayerGrades+'!$Y$35,"C-",IF(C264&lt;'PlayerGrades+'!$Y$34,"C",IF(C264&lt;'PlayerGrades+'!$Y$33,"C+",IF(C264&lt;'PlayerGrades+'!$Y$32,"B-",IF(C264&lt;'PlayerGrades+'!$Y$31,"B",IF(C264&lt;'PlayerGrades+'!$Y$30,"B+",IF(C264&lt;'PlayerGrades+'!$Y$29,"A-",IF(C264&lt;'PlayerGrades+'!$Y$28,"A",IF(C264&lt;'PlayerGrades+'!$Y$27,"A+",IF(C264&lt;'PlayerGrades+'!$Y$26,"S-",IF(C264&lt;'PlayerGrades+'!$Y$25,"S","S+"))))))))))))))))))))</f>
        <v>#DIV/0!</v>
      </c>
      <c r="C264" s="1378" t="str">
        <f>('PlayerGrades+'!$Y$47*(VLOOKUP(E264, 'PlayerGrades+'!$X$3:$Y$23, 2, FALSE)))+('PlayerGrades+'!$Y$48*(VLOOKUP(G264, 'PlayerGrades+'!$X$3:$Y$23, 2, FALSE)))+('PlayerGrades+'!$Y$49*(VLOOKUP(I264, 'PlayerGrades+'!$X$3:$Y$23, 2, FALSE)))+('PlayerGrades+'!$Y$50*(VLOOKUP(K264, 'PlayerGrades+'!$X$3:$Y$23, 2, FALSE)))+('PlayerGrades+'!$Y$51*(VLOOKUP(M264, 'PlayerGrades+'!$X$3:$Y$23, 2, FALSE)))+('PlayerGrades+'!$Y$52*(VLOOKUP(O264, 'PlayerGrades+'!$X$3:$Y$23, 2, FALSE)))+('PlayerGrades+'!$Y$53*(VLOOKUP(Q264, 'PlayerGrades+'!$X$3:$Y$23, 2, FALSE)))+('PlayerGrades+'!$Y$54*(VLOOKUP(S264, 'PlayerGrades+'!$X$3:$Y$23, 2, FALSE)))+('PlayerGrades+'!$Y$55*(VLOOKUP(U264, 'PlayerGrades+'!$X$3:$Y$23, 2, FALSE)))</f>
        <v>#DIV/0!</v>
      </c>
      <c r="D264" s="961" t="str">
        <f t="shared" si="1"/>
        <v>#DIV/0!</v>
      </c>
      <c r="E264" s="961" t="str">
        <f>IF(D264&lt;'PlayerGrades+'!$AA$21,"F-",IF(D264&lt;'PlayerGrades+'!$AA$20,"F",IF(D264&lt;'PlayerGrades+'!$AA$19,"F+",IF(D264&lt;'PlayerGrades+'!$AA$18,"E-",IF(D264&lt;'PlayerGrades+'!$AA$17,"E",IF(D264&lt;'PlayerGrades+'!$AA$16,"E+",IF(D264&lt;'PlayerGrades+'!$AA$15,"D-",IF(D264&lt;'PlayerGrades+'!$AA$14,"D",IF(D264&lt;'PlayerGrades+'!$AA$13,"D+",IF(D264&lt;'PlayerGrades+'!$AA$12,"C-",IF(D264&lt;'PlayerGrades+'!$AA$11,"C",IF(D264&lt;'PlayerGrades+'!$AA$10,"C+",IF(D264&lt;'PlayerGrades+'!$AA$9,"B-",IF(D264&lt;'PlayerGrades+'!$AA$8,"B",IF(D264&lt;'PlayerGrades+'!$AA$7,"B+",IF(D264&lt;'PlayerGrades+'!$AA$6,"A-",IF(D264&lt;'PlayerGrades+'!$AA$5,"A",IF(D264&lt;'PlayerGrades+'!$AA$4,"A+",IF(D264&lt;'PlayerGrades+'!$AA$3,"S-",IF(D264&lt;'PlayerGrades+'!$AA$2,"S","S+"))))))))))))))))))))</f>
        <v>#DIV/0!</v>
      </c>
      <c r="F264" s="961" t="str">
        <f t="shared" si="2"/>
        <v>#DIV/0!</v>
      </c>
      <c r="G264" s="961" t="str">
        <f>IF(F264&lt;'PlayerGrades+'!$AB$21,"F-",IF(F264&lt;'PlayerGrades+'!$AB$20,"F",IF(F264&lt;'PlayerGrades+'!$AB$19,"F+",IF(F264&lt;'PlayerGrades+'!$AB$18,"E-",IF(F264&lt;'PlayerGrades+'!$AB$17,"E",IF(F264&lt;'PlayerGrades+'!$AB$16,"E+",IF(F264&lt;'PlayerGrades+'!$AB$15,"D-",IF(F264&lt;'PlayerGrades+'!$AB$14,"D",IF(F264&lt;'PlayerGrades+'!$AB$13,"D+",IF(F264&lt;'PlayerGrades+'!$AB$12,"C-",IF(F264&lt;'PlayerGrades+'!$AB$11,"C",IF(F264&lt;'PlayerGrades+'!$AB$10,"C+",IF(F264&lt;'PlayerGrades+'!$AB$9,"B-",IF(F264&lt;'PlayerGrades+'!$AB$8,"B",IF(F264&lt;'PlayerGrades+'!$AB$7,"B+",IF(F264&lt;'PlayerGrades+'!$AB$6,"A-",IF(F264&lt;'PlayerGrades+'!$AB$5,"A",IF(F264&lt;'PlayerGrades+'!$AB$4,"A+",IF(F264&lt;'PlayerGrades+'!$AB$3,"S-",IF(F264&lt;'PlayerGrades+'!$AB$2,"S","S+"))))))))))))))))))))</f>
        <v>#DIV/0!</v>
      </c>
      <c r="H264" s="961" t="str">
        <f t="shared" si="3"/>
        <v>#DIV/0!</v>
      </c>
      <c r="I264" s="961" t="str">
        <f>IF(H264&lt;'PlayerGrades+'!$AC$21,"F-",IF(H264&lt;'PlayerGrades+'!$AC$20,"F",IF(H264&lt;'PlayerGrades+'!$AC$19,"F+",IF(H264&lt;'PlayerGrades+'!$AC$18,"E-",IF(H264&lt;'PlayerGrades+'!$AC$17,"E",IF(H264&lt;'PlayerGrades+'!$AC$16,"E+",IF(H264&lt;'PlayerGrades+'!$AC$15,"D-",IF(H264&lt;'PlayerGrades+'!$AC$14,"D",IF(H264&lt;'PlayerGrades+'!$AC$13,"D+",IF(H264&lt;'PlayerGrades+'!$AC$12,"C-",IF(H264&lt;'PlayerGrades+'!$AC$11,"C",IF(H264&lt;'PlayerGrades+'!$AC$10,"C+",IF(H264&lt;'PlayerGrades+'!$AC$9,"B-",IF(H264&lt;'PlayerGrades+'!$AC$8,"B",IF(H264&lt;'PlayerGrades+'!$AC$7,"B+",IF(H264&lt;'PlayerGrades+'!$AC$6,"A-",IF(H264&lt;'PlayerGrades+'!$AC$5,"A",IF(H264&lt;'PlayerGrades+'!$AC$4,"A+",IF(H264&lt;'PlayerGrades+'!$AC$3,"S-",IF(H264&lt;'PlayerGrades+'!$AC$2,"S","S+"))))))))))))))))))))</f>
        <v>#DIV/0!</v>
      </c>
      <c r="J264" s="961" t="str">
        <f t="shared" si="4"/>
        <v>#DIV/0!</v>
      </c>
      <c r="K264" s="961" t="str">
        <f>IF(J264&lt;'PlayerGrades+'!$AD$21,"F-",IF(J264&lt;'PlayerGrades+'!$AD$20,"F",IF(J264&lt;'PlayerGrades+'!$AD$19,"F+",IF(J264&lt;'PlayerGrades+'!$AD$18,"E-",IF(J264&lt;'PlayerGrades+'!$AD$17,"E",IF(J264&lt;'PlayerGrades+'!$AD$16,"E+",IF(J264&lt;'PlayerGrades+'!$AD$15,"D-",IF(J264&lt;'PlayerGrades+'!$AD$14,"D",IF(J264&lt;'PlayerGrades+'!$AD$13,"D+",IF(J264&lt;'PlayerGrades+'!$AD$12,"C-",IF(J264&lt;'PlayerGrades+'!$AD$11,"C",IF(J264&lt;'PlayerGrades+'!$AD$10,"C+",IF(J264&lt;'PlayerGrades+'!$AD$9,"B-",IF(J264&lt;'PlayerGrades+'!$AD$8,"B",IF(J264&lt;'PlayerGrades+'!$AD$7,"B+",IF(J264&lt;'PlayerGrades+'!$AD$6,"A-",IF(J264&lt;'PlayerGrades+'!$AD$5,"A",IF(J264&lt;'PlayerGrades+'!$AD$4,"A+",IF(J264&lt;'PlayerGrades+'!$AD$3,"S-",IF(J264&lt;'PlayerGrades+'!$AD$2,"S","S+"))))))))))))))))))))</f>
        <v>#DIV/0!</v>
      </c>
      <c r="L264" s="1176" t="str">
        <f t="shared" si="5"/>
        <v>#DIV/0!</v>
      </c>
      <c r="M264" s="992" t="str">
        <f>IF(L264&lt;'PlayerGrades+'!$AE$21,"F-",IF(L264&lt;'PlayerGrades+'!$AE$20,"F",IF(L264&lt;'PlayerGrades+'!$AE$19,"F+",IF(L264&lt;'PlayerGrades+'!$AE$18,"E-",IF(L264&lt;'PlayerGrades+'!$AE$17,"E",IF(L264&lt;'PlayerGrades+'!$AE$16,"E+",IF(L264&lt;'PlayerGrades+'!$AE$15,"D-",IF(L264&lt;'PlayerGrades+'!$AE$14,"D",IF(L264&lt;'PlayerGrades+'!$AE$13,"D+",IF(L264&lt;'PlayerGrades+'!$AE$12,"C-",IF(L264&lt;'PlayerGrades+'!$AE$11,"C",IF(L264&lt;'PlayerGrades+'!$AE$10,"C+",IF(L264&lt;'PlayerGrades+'!$AE$9,"B-",IF(L264&lt;'PlayerGrades+'!$AE$8,"B",IF(L264&lt;'PlayerGrades+'!$AE$7,"B+",IF(L264&lt;'PlayerGrades+'!$AE$6,"A-",IF(L264&lt;'PlayerGrades+'!$AE$5,"A",IF(L264&lt;'PlayerGrades+'!$AE$4,"A+",IF(L264&lt;'PlayerGrades+'!$AE$3,"S-",IF(L264&lt;'PlayerGrades+'!$AE$2,"S","S+"))))))))))))))))))))</f>
        <v>#DIV/0!</v>
      </c>
      <c r="N264" s="961" t="str">
        <f t="shared" si="6"/>
        <v>#DIV/0!</v>
      </c>
      <c r="O264" s="961" t="str">
        <f>IF(N264&lt;'PlayerGrades+'!$AF$21,"F-",IF(N264&lt;'PlayerGrades+'!$AF$20,"F",IF(N264&lt;'PlayerGrades+'!$AF$19,"F+",IF(N264&lt;'PlayerGrades+'!$AF$18,"E-",IF(N264&lt;'PlayerGrades+'!$AF$17,"E",IF(N264&lt;'PlayerGrades+'!$AF$16,"E+",IF(N264&lt;'PlayerGrades+'!$AF$15,"D-",IF(N264&lt;'PlayerGrades+'!$AF$14,"D",IF(N264&lt;'PlayerGrades+'!$AF$13,"D+",IF(N264&lt;'PlayerGrades+'!$AF$12,"C-",IF(N264&lt;'PlayerGrades+'!$AF$11,"C",IF(N264&lt;'PlayerGrades+'!$AF$10,"C+",IF(N264&lt;'PlayerGrades+'!$AF$9,"B-",IF(N264&lt;'PlayerGrades+'!$AF$8,"B",IF(N264&lt;'PlayerGrades+'!$AF$7,"B+",IF(N264&lt;'PlayerGrades+'!$AF$6,"A-",IF(N264&lt;'PlayerGrades+'!$AF$5,"A",IF(N264&lt;'PlayerGrades+'!$AF$4,"A+",IF(N264&lt;'PlayerGrades+'!$AF$3,"S-",IF(N264&lt;'PlayerGrades+'!$AF$2,"S","S+"))))))))))))))))))))</f>
        <v>#DIV/0!</v>
      </c>
      <c r="P264" s="961" t="str">
        <f t="shared" si="7"/>
        <v>#DIV/0!</v>
      </c>
      <c r="Q264" s="961" t="str">
        <f>IF(P264&lt;'PlayerGrades+'!$AG$21,"F-",IF(P264&lt;'PlayerGrades+'!$AG$20,"F",IF(P264&lt;'PlayerGrades+'!$AG$19,"F+",IF(P264&lt;'PlayerGrades+'!$AG$18,"E-",IF(P264&lt;'PlayerGrades+'!$AG$17,"E",IF(P264&lt;'PlayerGrades+'!$AG$16,"E+",IF(P264&lt;'PlayerGrades+'!$AG$15,"D-",IF(P264&lt;'PlayerGrades+'!$AG$14,"D",IF(P264&lt;'PlayerGrades+'!$AG$13,"D+",IF(P264&lt;'PlayerGrades+'!$AG$12,"C-",IF(P264&lt;'PlayerGrades+'!$AG$11,"C",IF(P264&lt;'PlayerGrades+'!$AG$10,"C+",IF(P264&lt;'PlayerGrades+'!$AG$9,"B-",IF(P264&lt;'PlayerGrades+'!$AG$8,"B",IF(P264&lt;'PlayerGrades+'!$AG$7,"B+",IF(P264&lt;'PlayerGrades+'!$AG$6,"A-",IF(P264&lt;'PlayerGrades+'!$AG$5,"A",IF(P264&lt;'PlayerGrades+'!$AG$4,"A+",IF(P264&lt;'PlayerGrades+'!$AG$3,"S-",IF(P264&lt;'PlayerGrades+'!$AG$2,"S","S+"))))))))))))))))))))</f>
        <v>#DIV/0!</v>
      </c>
      <c r="R264" s="961" t="str">
        <f t="shared" si="8"/>
        <v>#DIV/0!</v>
      </c>
      <c r="S264" s="961" t="str">
        <f>IF(R264&lt;'PlayerGrades+'!$AH$21,"F-",IF(R264&lt;'PlayerGrades+'!$AH$20,"F",IF(R264&lt;'PlayerGrades+'!$AH$19,"F+",IF(R264&lt;'PlayerGrades+'!$AH$18,"E-",IF(R264&lt;'PlayerGrades+'!$AH$17,"E",IF(R264&lt;'PlayerGrades+'!$AH$16,"E+",IF(R264&lt;'PlayerGrades+'!$AH$15,"D-",IF(R264&lt;'PlayerGrades+'!$AH$14,"D",IF(R264&lt;'PlayerGrades+'!$AH$13,"D+",IF(R264&lt;'PlayerGrades+'!$AH$12,"C-",IF(R264&lt;'PlayerGrades+'!$AH$11,"C",IF(R264&lt;'PlayerGrades+'!$AH$10,"C+",IF(R264&lt;'PlayerGrades+'!$AH$9,"B-",IF(R264&lt;'PlayerGrades+'!$AH$8,"B",IF(R264&lt;'PlayerGrades+'!$AH$7,"B+",IF(R264&lt;'PlayerGrades+'!$AH$6,"A-",IF(R264&lt;'PlayerGrades+'!$AH$5,"A",IF(R264&lt;'PlayerGrades+'!$AH$4,"A+",IF(R264&lt;'PlayerGrades+'!$AH$3,"S-",IF(R264&lt;'PlayerGrades+'!$AH$2,"S","S+"))))))))))))))))))))</f>
        <v>#DIV/0!</v>
      </c>
      <c r="T264" s="961">
        <f t="shared" si="9"/>
        <v>0</v>
      </c>
      <c r="U264" s="961" t="str">
        <f>IF(T264&lt;'PlayerGrades+'!$AI$21,"F-",IF(T264&lt;'PlayerGrades+'!$AI$20,"F",IF(T264&lt;'PlayerGrades+'!$AI$19,"F+",IF(T264&lt;'PlayerGrades+'!$AI$18,"E-",IF(T264&lt;'PlayerGrades+'!$AI$17,"E",IF(T264&lt;'PlayerGrades+'!$AI$16,"E+",IF(T264&lt;'PlayerGrades+'!$AI$15,"D-",IF(T264&lt;'PlayerGrades+'!$AI$14,"D",IF(T264&lt;'PlayerGrades+'!$AI$13,"D+",IF(T264&lt;'PlayerGrades+'!$AI$12,"C-",IF(T264&lt;'PlayerGrades+'!$AI$11,"C",IF(T264&lt;'PlayerGrades+'!$AI$10,"C+",IF(T264&lt;'PlayerGrades+'!$AI$9,"B-",IF(T264&lt;'PlayerGrades+'!$AI$8,"B",IF(T264&lt;'PlayerGrades+'!$AI$7,"B+",IF(T264&lt;'PlayerGrades+'!$AI$6,"A-",IF(T264&lt;'PlayerGrades+'!$AI$5,"A",IF(T264&lt;'PlayerGrades+'!$AI$4,"A+",IF(T264&lt;'PlayerGrades+'!$AI$3,"S-",IF(T264&lt;'PlayerGrades+'!$AI$2,"S","S+"))))))))))))))))))))</f>
        <v>F-</v>
      </c>
      <c r="AC264" s="1392"/>
    </row>
    <row r="265">
      <c r="A265" s="1393"/>
      <c r="B265" s="611" t="str">
        <f>IF(C265&lt;'PlayerGrades+'!$Y$44,"F-",IF(C265&lt;'PlayerGrades+'!$Y$43,"F",IF(C265&lt;'PlayerGrades+'!$Y$42,"F+",IF(C265&lt;'PlayerGrades+'!$Y$41,"E-",IF(C265&lt;'PlayerGrades+'!$Y$40,"E",IF(C265&lt;'PlayerGrades+'!$Y$39,"E+",IF(C265&lt;'PlayerGrades+'!$Y$38,"D-",IF(C265&lt;'PlayerGrades+'!$Y$37,"D",IF(C265&lt;'PlayerGrades+'!$Y$36,"D+",IF(C265&lt;'PlayerGrades+'!$Y$35,"C-",IF(C265&lt;'PlayerGrades+'!$Y$34,"C",IF(C265&lt;'PlayerGrades+'!$Y$33,"C+",IF(C265&lt;'PlayerGrades+'!$Y$32,"B-",IF(C265&lt;'PlayerGrades+'!$Y$31,"B",IF(C265&lt;'PlayerGrades+'!$Y$30,"B+",IF(C265&lt;'PlayerGrades+'!$Y$29,"A-",IF(C265&lt;'PlayerGrades+'!$Y$28,"A",IF(C265&lt;'PlayerGrades+'!$Y$27,"A+",IF(C265&lt;'PlayerGrades+'!$Y$26,"S-",IF(C265&lt;'PlayerGrades+'!$Y$25,"S","S+"))))))))))))))))))))</f>
        <v>#DIV/0!</v>
      </c>
      <c r="C265" s="1378" t="str">
        <f>('PlayerGrades+'!$Y$47*(VLOOKUP(E265, 'PlayerGrades+'!$X$3:$Y$23, 2, FALSE)))+('PlayerGrades+'!$Y$48*(VLOOKUP(G265, 'PlayerGrades+'!$X$3:$Y$23, 2, FALSE)))+('PlayerGrades+'!$Y$49*(VLOOKUP(I265, 'PlayerGrades+'!$X$3:$Y$23, 2, FALSE)))+('PlayerGrades+'!$Y$50*(VLOOKUP(K265, 'PlayerGrades+'!$X$3:$Y$23, 2, FALSE)))+('PlayerGrades+'!$Y$51*(VLOOKUP(M265, 'PlayerGrades+'!$X$3:$Y$23, 2, FALSE)))+('PlayerGrades+'!$Y$52*(VLOOKUP(O265, 'PlayerGrades+'!$X$3:$Y$23, 2, FALSE)))+('PlayerGrades+'!$Y$53*(VLOOKUP(Q265, 'PlayerGrades+'!$X$3:$Y$23, 2, FALSE)))+('PlayerGrades+'!$Y$54*(VLOOKUP(S265, 'PlayerGrades+'!$X$3:$Y$23, 2, FALSE)))+('PlayerGrades+'!$Y$55*(VLOOKUP(U265, 'PlayerGrades+'!$X$3:$Y$23, 2, FALSE)))</f>
        <v>#DIV/0!</v>
      </c>
      <c r="D265" s="961" t="str">
        <f t="shared" si="1"/>
        <v>#DIV/0!</v>
      </c>
      <c r="E265" s="961" t="str">
        <f>IF(D265&lt;'PlayerGrades+'!$AA$21,"F-",IF(D265&lt;'PlayerGrades+'!$AA$20,"F",IF(D265&lt;'PlayerGrades+'!$AA$19,"F+",IF(D265&lt;'PlayerGrades+'!$AA$18,"E-",IF(D265&lt;'PlayerGrades+'!$AA$17,"E",IF(D265&lt;'PlayerGrades+'!$AA$16,"E+",IF(D265&lt;'PlayerGrades+'!$AA$15,"D-",IF(D265&lt;'PlayerGrades+'!$AA$14,"D",IF(D265&lt;'PlayerGrades+'!$AA$13,"D+",IF(D265&lt;'PlayerGrades+'!$AA$12,"C-",IF(D265&lt;'PlayerGrades+'!$AA$11,"C",IF(D265&lt;'PlayerGrades+'!$AA$10,"C+",IF(D265&lt;'PlayerGrades+'!$AA$9,"B-",IF(D265&lt;'PlayerGrades+'!$AA$8,"B",IF(D265&lt;'PlayerGrades+'!$AA$7,"B+",IF(D265&lt;'PlayerGrades+'!$AA$6,"A-",IF(D265&lt;'PlayerGrades+'!$AA$5,"A",IF(D265&lt;'PlayerGrades+'!$AA$4,"A+",IF(D265&lt;'PlayerGrades+'!$AA$3,"S-",IF(D265&lt;'PlayerGrades+'!$AA$2,"S","S+"))))))))))))))))))))</f>
        <v>#DIV/0!</v>
      </c>
      <c r="F265" s="961" t="str">
        <f t="shared" si="2"/>
        <v>#DIV/0!</v>
      </c>
      <c r="G265" s="961" t="str">
        <f>IF(F265&lt;'PlayerGrades+'!$AB$21,"F-",IF(F265&lt;'PlayerGrades+'!$AB$20,"F",IF(F265&lt;'PlayerGrades+'!$AB$19,"F+",IF(F265&lt;'PlayerGrades+'!$AB$18,"E-",IF(F265&lt;'PlayerGrades+'!$AB$17,"E",IF(F265&lt;'PlayerGrades+'!$AB$16,"E+",IF(F265&lt;'PlayerGrades+'!$AB$15,"D-",IF(F265&lt;'PlayerGrades+'!$AB$14,"D",IF(F265&lt;'PlayerGrades+'!$AB$13,"D+",IF(F265&lt;'PlayerGrades+'!$AB$12,"C-",IF(F265&lt;'PlayerGrades+'!$AB$11,"C",IF(F265&lt;'PlayerGrades+'!$AB$10,"C+",IF(F265&lt;'PlayerGrades+'!$AB$9,"B-",IF(F265&lt;'PlayerGrades+'!$AB$8,"B",IF(F265&lt;'PlayerGrades+'!$AB$7,"B+",IF(F265&lt;'PlayerGrades+'!$AB$6,"A-",IF(F265&lt;'PlayerGrades+'!$AB$5,"A",IF(F265&lt;'PlayerGrades+'!$AB$4,"A+",IF(F265&lt;'PlayerGrades+'!$AB$3,"S-",IF(F265&lt;'PlayerGrades+'!$AB$2,"S","S+"))))))))))))))))))))</f>
        <v>#DIV/0!</v>
      </c>
      <c r="H265" s="961" t="str">
        <f t="shared" si="3"/>
        <v>#DIV/0!</v>
      </c>
      <c r="I265" s="961" t="str">
        <f>IF(H265&lt;'PlayerGrades+'!$AC$21,"F-",IF(H265&lt;'PlayerGrades+'!$AC$20,"F",IF(H265&lt;'PlayerGrades+'!$AC$19,"F+",IF(H265&lt;'PlayerGrades+'!$AC$18,"E-",IF(H265&lt;'PlayerGrades+'!$AC$17,"E",IF(H265&lt;'PlayerGrades+'!$AC$16,"E+",IF(H265&lt;'PlayerGrades+'!$AC$15,"D-",IF(H265&lt;'PlayerGrades+'!$AC$14,"D",IF(H265&lt;'PlayerGrades+'!$AC$13,"D+",IF(H265&lt;'PlayerGrades+'!$AC$12,"C-",IF(H265&lt;'PlayerGrades+'!$AC$11,"C",IF(H265&lt;'PlayerGrades+'!$AC$10,"C+",IF(H265&lt;'PlayerGrades+'!$AC$9,"B-",IF(H265&lt;'PlayerGrades+'!$AC$8,"B",IF(H265&lt;'PlayerGrades+'!$AC$7,"B+",IF(H265&lt;'PlayerGrades+'!$AC$6,"A-",IF(H265&lt;'PlayerGrades+'!$AC$5,"A",IF(H265&lt;'PlayerGrades+'!$AC$4,"A+",IF(H265&lt;'PlayerGrades+'!$AC$3,"S-",IF(H265&lt;'PlayerGrades+'!$AC$2,"S","S+"))))))))))))))))))))</f>
        <v>#DIV/0!</v>
      </c>
      <c r="J265" s="961" t="str">
        <f t="shared" si="4"/>
        <v>#DIV/0!</v>
      </c>
      <c r="K265" s="961" t="str">
        <f>IF(J265&lt;'PlayerGrades+'!$AD$21,"F-",IF(J265&lt;'PlayerGrades+'!$AD$20,"F",IF(J265&lt;'PlayerGrades+'!$AD$19,"F+",IF(J265&lt;'PlayerGrades+'!$AD$18,"E-",IF(J265&lt;'PlayerGrades+'!$AD$17,"E",IF(J265&lt;'PlayerGrades+'!$AD$16,"E+",IF(J265&lt;'PlayerGrades+'!$AD$15,"D-",IF(J265&lt;'PlayerGrades+'!$AD$14,"D",IF(J265&lt;'PlayerGrades+'!$AD$13,"D+",IF(J265&lt;'PlayerGrades+'!$AD$12,"C-",IF(J265&lt;'PlayerGrades+'!$AD$11,"C",IF(J265&lt;'PlayerGrades+'!$AD$10,"C+",IF(J265&lt;'PlayerGrades+'!$AD$9,"B-",IF(J265&lt;'PlayerGrades+'!$AD$8,"B",IF(J265&lt;'PlayerGrades+'!$AD$7,"B+",IF(J265&lt;'PlayerGrades+'!$AD$6,"A-",IF(J265&lt;'PlayerGrades+'!$AD$5,"A",IF(J265&lt;'PlayerGrades+'!$AD$4,"A+",IF(J265&lt;'PlayerGrades+'!$AD$3,"S-",IF(J265&lt;'PlayerGrades+'!$AD$2,"S","S+"))))))))))))))))))))</f>
        <v>#DIV/0!</v>
      </c>
      <c r="L265" s="1176" t="str">
        <f t="shared" si="5"/>
        <v>#DIV/0!</v>
      </c>
      <c r="M265" s="992" t="str">
        <f>IF(L265&lt;'PlayerGrades+'!$AE$21,"F-",IF(L265&lt;'PlayerGrades+'!$AE$20,"F",IF(L265&lt;'PlayerGrades+'!$AE$19,"F+",IF(L265&lt;'PlayerGrades+'!$AE$18,"E-",IF(L265&lt;'PlayerGrades+'!$AE$17,"E",IF(L265&lt;'PlayerGrades+'!$AE$16,"E+",IF(L265&lt;'PlayerGrades+'!$AE$15,"D-",IF(L265&lt;'PlayerGrades+'!$AE$14,"D",IF(L265&lt;'PlayerGrades+'!$AE$13,"D+",IF(L265&lt;'PlayerGrades+'!$AE$12,"C-",IF(L265&lt;'PlayerGrades+'!$AE$11,"C",IF(L265&lt;'PlayerGrades+'!$AE$10,"C+",IF(L265&lt;'PlayerGrades+'!$AE$9,"B-",IF(L265&lt;'PlayerGrades+'!$AE$8,"B",IF(L265&lt;'PlayerGrades+'!$AE$7,"B+",IF(L265&lt;'PlayerGrades+'!$AE$6,"A-",IF(L265&lt;'PlayerGrades+'!$AE$5,"A",IF(L265&lt;'PlayerGrades+'!$AE$4,"A+",IF(L265&lt;'PlayerGrades+'!$AE$3,"S-",IF(L265&lt;'PlayerGrades+'!$AE$2,"S","S+"))))))))))))))))))))</f>
        <v>#DIV/0!</v>
      </c>
      <c r="N265" s="961" t="str">
        <f t="shared" si="6"/>
        <v>#DIV/0!</v>
      </c>
      <c r="O265" s="961" t="str">
        <f>IF(N265&lt;'PlayerGrades+'!$AF$21,"F-",IF(N265&lt;'PlayerGrades+'!$AF$20,"F",IF(N265&lt;'PlayerGrades+'!$AF$19,"F+",IF(N265&lt;'PlayerGrades+'!$AF$18,"E-",IF(N265&lt;'PlayerGrades+'!$AF$17,"E",IF(N265&lt;'PlayerGrades+'!$AF$16,"E+",IF(N265&lt;'PlayerGrades+'!$AF$15,"D-",IF(N265&lt;'PlayerGrades+'!$AF$14,"D",IF(N265&lt;'PlayerGrades+'!$AF$13,"D+",IF(N265&lt;'PlayerGrades+'!$AF$12,"C-",IF(N265&lt;'PlayerGrades+'!$AF$11,"C",IF(N265&lt;'PlayerGrades+'!$AF$10,"C+",IF(N265&lt;'PlayerGrades+'!$AF$9,"B-",IF(N265&lt;'PlayerGrades+'!$AF$8,"B",IF(N265&lt;'PlayerGrades+'!$AF$7,"B+",IF(N265&lt;'PlayerGrades+'!$AF$6,"A-",IF(N265&lt;'PlayerGrades+'!$AF$5,"A",IF(N265&lt;'PlayerGrades+'!$AF$4,"A+",IF(N265&lt;'PlayerGrades+'!$AF$3,"S-",IF(N265&lt;'PlayerGrades+'!$AF$2,"S","S+"))))))))))))))))))))</f>
        <v>#DIV/0!</v>
      </c>
      <c r="P265" s="961" t="str">
        <f t="shared" si="7"/>
        <v>#DIV/0!</v>
      </c>
      <c r="Q265" s="961" t="str">
        <f>IF(P265&lt;'PlayerGrades+'!$AG$21,"F-",IF(P265&lt;'PlayerGrades+'!$AG$20,"F",IF(P265&lt;'PlayerGrades+'!$AG$19,"F+",IF(P265&lt;'PlayerGrades+'!$AG$18,"E-",IF(P265&lt;'PlayerGrades+'!$AG$17,"E",IF(P265&lt;'PlayerGrades+'!$AG$16,"E+",IF(P265&lt;'PlayerGrades+'!$AG$15,"D-",IF(P265&lt;'PlayerGrades+'!$AG$14,"D",IF(P265&lt;'PlayerGrades+'!$AG$13,"D+",IF(P265&lt;'PlayerGrades+'!$AG$12,"C-",IF(P265&lt;'PlayerGrades+'!$AG$11,"C",IF(P265&lt;'PlayerGrades+'!$AG$10,"C+",IF(P265&lt;'PlayerGrades+'!$AG$9,"B-",IF(P265&lt;'PlayerGrades+'!$AG$8,"B",IF(P265&lt;'PlayerGrades+'!$AG$7,"B+",IF(P265&lt;'PlayerGrades+'!$AG$6,"A-",IF(P265&lt;'PlayerGrades+'!$AG$5,"A",IF(P265&lt;'PlayerGrades+'!$AG$4,"A+",IF(P265&lt;'PlayerGrades+'!$AG$3,"S-",IF(P265&lt;'PlayerGrades+'!$AG$2,"S","S+"))))))))))))))))))))</f>
        <v>#DIV/0!</v>
      </c>
      <c r="R265" s="961" t="str">
        <f t="shared" si="8"/>
        <v>#DIV/0!</v>
      </c>
      <c r="S265" s="961" t="str">
        <f>IF(R265&lt;'PlayerGrades+'!$AH$21,"F-",IF(R265&lt;'PlayerGrades+'!$AH$20,"F",IF(R265&lt;'PlayerGrades+'!$AH$19,"F+",IF(R265&lt;'PlayerGrades+'!$AH$18,"E-",IF(R265&lt;'PlayerGrades+'!$AH$17,"E",IF(R265&lt;'PlayerGrades+'!$AH$16,"E+",IF(R265&lt;'PlayerGrades+'!$AH$15,"D-",IF(R265&lt;'PlayerGrades+'!$AH$14,"D",IF(R265&lt;'PlayerGrades+'!$AH$13,"D+",IF(R265&lt;'PlayerGrades+'!$AH$12,"C-",IF(R265&lt;'PlayerGrades+'!$AH$11,"C",IF(R265&lt;'PlayerGrades+'!$AH$10,"C+",IF(R265&lt;'PlayerGrades+'!$AH$9,"B-",IF(R265&lt;'PlayerGrades+'!$AH$8,"B",IF(R265&lt;'PlayerGrades+'!$AH$7,"B+",IF(R265&lt;'PlayerGrades+'!$AH$6,"A-",IF(R265&lt;'PlayerGrades+'!$AH$5,"A",IF(R265&lt;'PlayerGrades+'!$AH$4,"A+",IF(R265&lt;'PlayerGrades+'!$AH$3,"S-",IF(R265&lt;'PlayerGrades+'!$AH$2,"S","S+"))))))))))))))))))))</f>
        <v>#DIV/0!</v>
      </c>
      <c r="T265" s="961">
        <f t="shared" si="9"/>
        <v>0</v>
      </c>
      <c r="U265" s="961" t="str">
        <f>IF(T265&lt;'PlayerGrades+'!$AI$21,"F-",IF(T265&lt;'PlayerGrades+'!$AI$20,"F",IF(T265&lt;'PlayerGrades+'!$AI$19,"F+",IF(T265&lt;'PlayerGrades+'!$AI$18,"E-",IF(T265&lt;'PlayerGrades+'!$AI$17,"E",IF(T265&lt;'PlayerGrades+'!$AI$16,"E+",IF(T265&lt;'PlayerGrades+'!$AI$15,"D-",IF(T265&lt;'PlayerGrades+'!$AI$14,"D",IF(T265&lt;'PlayerGrades+'!$AI$13,"D+",IF(T265&lt;'PlayerGrades+'!$AI$12,"C-",IF(T265&lt;'PlayerGrades+'!$AI$11,"C",IF(T265&lt;'PlayerGrades+'!$AI$10,"C+",IF(T265&lt;'PlayerGrades+'!$AI$9,"B-",IF(T265&lt;'PlayerGrades+'!$AI$8,"B",IF(T265&lt;'PlayerGrades+'!$AI$7,"B+",IF(T265&lt;'PlayerGrades+'!$AI$6,"A-",IF(T265&lt;'PlayerGrades+'!$AI$5,"A",IF(T265&lt;'PlayerGrades+'!$AI$4,"A+",IF(T265&lt;'PlayerGrades+'!$AI$3,"S-",IF(T265&lt;'PlayerGrades+'!$AI$2,"S","S+"))))))))))))))))))))</f>
        <v>F-</v>
      </c>
      <c r="V265" s="1386"/>
      <c r="W265" s="1386"/>
      <c r="X265" s="1386"/>
      <c r="Y265" s="1386"/>
      <c r="Z265" s="1386"/>
      <c r="AA265" s="1386"/>
      <c r="AB265" s="1386"/>
      <c r="AC265" s="1397"/>
      <c r="AD265" s="1386"/>
      <c r="AE265" s="1386"/>
      <c r="AF265" s="1386"/>
      <c r="AG265" s="1386"/>
      <c r="AH265" s="1386"/>
      <c r="AI265" s="1386"/>
      <c r="AJ265" s="1386"/>
      <c r="AK265" s="1386"/>
      <c r="AL265" s="1386"/>
      <c r="AM265" s="1386"/>
      <c r="AN265" s="1386"/>
      <c r="AO265" s="1386"/>
      <c r="AP265" s="1386"/>
      <c r="AQ265" s="1386"/>
      <c r="AR265" s="1386"/>
      <c r="AS265" s="1386"/>
      <c r="AT265" s="1386"/>
      <c r="AU265" s="1386"/>
      <c r="AV265" s="1386"/>
      <c r="AW265" s="1386"/>
      <c r="AX265" s="1386"/>
      <c r="AY265" s="1386"/>
      <c r="AZ265" s="1386"/>
    </row>
    <row r="266">
      <c r="A266" s="1389"/>
      <c r="B266" s="611" t="str">
        <f>IF(C266&lt;'PlayerGrades+'!$Y$44,"F-",IF(C266&lt;'PlayerGrades+'!$Y$43,"F",IF(C266&lt;'PlayerGrades+'!$Y$42,"F+",IF(C266&lt;'PlayerGrades+'!$Y$41,"E-",IF(C266&lt;'PlayerGrades+'!$Y$40,"E",IF(C266&lt;'PlayerGrades+'!$Y$39,"E+",IF(C266&lt;'PlayerGrades+'!$Y$38,"D-",IF(C266&lt;'PlayerGrades+'!$Y$37,"D",IF(C266&lt;'PlayerGrades+'!$Y$36,"D+",IF(C266&lt;'PlayerGrades+'!$Y$35,"C-",IF(C266&lt;'PlayerGrades+'!$Y$34,"C",IF(C266&lt;'PlayerGrades+'!$Y$33,"C+",IF(C266&lt;'PlayerGrades+'!$Y$32,"B-",IF(C266&lt;'PlayerGrades+'!$Y$31,"B",IF(C266&lt;'PlayerGrades+'!$Y$30,"B+",IF(C266&lt;'PlayerGrades+'!$Y$29,"A-",IF(C266&lt;'PlayerGrades+'!$Y$28,"A",IF(C266&lt;'PlayerGrades+'!$Y$27,"A+",IF(C266&lt;'PlayerGrades+'!$Y$26,"S-",IF(C266&lt;'PlayerGrades+'!$Y$25,"S","S+"))))))))))))))))))))</f>
        <v>#DIV/0!</v>
      </c>
      <c r="C266" s="1378" t="str">
        <f>('PlayerGrades+'!$Y$47*(VLOOKUP(E266, 'PlayerGrades+'!$X$3:$Y$23, 2, FALSE)))+('PlayerGrades+'!$Y$48*(VLOOKUP(G266, 'PlayerGrades+'!$X$3:$Y$23, 2, FALSE)))+('PlayerGrades+'!$Y$49*(VLOOKUP(I266, 'PlayerGrades+'!$X$3:$Y$23, 2, FALSE)))+('PlayerGrades+'!$Y$50*(VLOOKUP(K266, 'PlayerGrades+'!$X$3:$Y$23, 2, FALSE)))+('PlayerGrades+'!$Y$51*(VLOOKUP(M266, 'PlayerGrades+'!$X$3:$Y$23, 2, FALSE)))+('PlayerGrades+'!$Y$52*(VLOOKUP(O266, 'PlayerGrades+'!$X$3:$Y$23, 2, FALSE)))+('PlayerGrades+'!$Y$53*(VLOOKUP(Q266, 'PlayerGrades+'!$X$3:$Y$23, 2, FALSE)))+('PlayerGrades+'!$Y$54*(VLOOKUP(S266, 'PlayerGrades+'!$X$3:$Y$23, 2, FALSE)))+('PlayerGrades+'!$Y$55*(VLOOKUP(U266, 'PlayerGrades+'!$X$3:$Y$23, 2, FALSE)))</f>
        <v>#DIV/0!</v>
      </c>
      <c r="D266" s="961" t="str">
        <f t="shared" si="1"/>
        <v>#DIV/0!</v>
      </c>
      <c r="E266" s="961" t="str">
        <f>IF(D266&lt;'PlayerGrades+'!$AA$21,"F-",IF(D266&lt;'PlayerGrades+'!$AA$20,"F",IF(D266&lt;'PlayerGrades+'!$AA$19,"F+",IF(D266&lt;'PlayerGrades+'!$AA$18,"E-",IF(D266&lt;'PlayerGrades+'!$AA$17,"E",IF(D266&lt;'PlayerGrades+'!$AA$16,"E+",IF(D266&lt;'PlayerGrades+'!$AA$15,"D-",IF(D266&lt;'PlayerGrades+'!$AA$14,"D",IF(D266&lt;'PlayerGrades+'!$AA$13,"D+",IF(D266&lt;'PlayerGrades+'!$AA$12,"C-",IF(D266&lt;'PlayerGrades+'!$AA$11,"C",IF(D266&lt;'PlayerGrades+'!$AA$10,"C+",IF(D266&lt;'PlayerGrades+'!$AA$9,"B-",IF(D266&lt;'PlayerGrades+'!$AA$8,"B",IF(D266&lt;'PlayerGrades+'!$AA$7,"B+",IF(D266&lt;'PlayerGrades+'!$AA$6,"A-",IF(D266&lt;'PlayerGrades+'!$AA$5,"A",IF(D266&lt;'PlayerGrades+'!$AA$4,"A+",IF(D266&lt;'PlayerGrades+'!$AA$3,"S-",IF(D266&lt;'PlayerGrades+'!$AA$2,"S","S+"))))))))))))))))))))</f>
        <v>#DIV/0!</v>
      </c>
      <c r="F266" s="961" t="str">
        <f t="shared" si="2"/>
        <v>#DIV/0!</v>
      </c>
      <c r="G266" s="961" t="str">
        <f>IF(F266&lt;'PlayerGrades+'!$AB$21,"F-",IF(F266&lt;'PlayerGrades+'!$AB$20,"F",IF(F266&lt;'PlayerGrades+'!$AB$19,"F+",IF(F266&lt;'PlayerGrades+'!$AB$18,"E-",IF(F266&lt;'PlayerGrades+'!$AB$17,"E",IF(F266&lt;'PlayerGrades+'!$AB$16,"E+",IF(F266&lt;'PlayerGrades+'!$AB$15,"D-",IF(F266&lt;'PlayerGrades+'!$AB$14,"D",IF(F266&lt;'PlayerGrades+'!$AB$13,"D+",IF(F266&lt;'PlayerGrades+'!$AB$12,"C-",IF(F266&lt;'PlayerGrades+'!$AB$11,"C",IF(F266&lt;'PlayerGrades+'!$AB$10,"C+",IF(F266&lt;'PlayerGrades+'!$AB$9,"B-",IF(F266&lt;'PlayerGrades+'!$AB$8,"B",IF(F266&lt;'PlayerGrades+'!$AB$7,"B+",IF(F266&lt;'PlayerGrades+'!$AB$6,"A-",IF(F266&lt;'PlayerGrades+'!$AB$5,"A",IF(F266&lt;'PlayerGrades+'!$AB$4,"A+",IF(F266&lt;'PlayerGrades+'!$AB$3,"S-",IF(F266&lt;'PlayerGrades+'!$AB$2,"S","S+"))))))))))))))))))))</f>
        <v>#DIV/0!</v>
      </c>
      <c r="H266" s="961" t="str">
        <f t="shared" si="3"/>
        <v>#DIV/0!</v>
      </c>
      <c r="I266" s="961" t="str">
        <f>IF(H266&lt;'PlayerGrades+'!$AC$21,"F-",IF(H266&lt;'PlayerGrades+'!$AC$20,"F",IF(H266&lt;'PlayerGrades+'!$AC$19,"F+",IF(H266&lt;'PlayerGrades+'!$AC$18,"E-",IF(H266&lt;'PlayerGrades+'!$AC$17,"E",IF(H266&lt;'PlayerGrades+'!$AC$16,"E+",IF(H266&lt;'PlayerGrades+'!$AC$15,"D-",IF(H266&lt;'PlayerGrades+'!$AC$14,"D",IF(H266&lt;'PlayerGrades+'!$AC$13,"D+",IF(H266&lt;'PlayerGrades+'!$AC$12,"C-",IF(H266&lt;'PlayerGrades+'!$AC$11,"C",IF(H266&lt;'PlayerGrades+'!$AC$10,"C+",IF(H266&lt;'PlayerGrades+'!$AC$9,"B-",IF(H266&lt;'PlayerGrades+'!$AC$8,"B",IF(H266&lt;'PlayerGrades+'!$AC$7,"B+",IF(H266&lt;'PlayerGrades+'!$AC$6,"A-",IF(H266&lt;'PlayerGrades+'!$AC$5,"A",IF(H266&lt;'PlayerGrades+'!$AC$4,"A+",IF(H266&lt;'PlayerGrades+'!$AC$3,"S-",IF(H266&lt;'PlayerGrades+'!$AC$2,"S","S+"))))))))))))))))))))</f>
        <v>#DIV/0!</v>
      </c>
      <c r="J266" s="961" t="str">
        <f t="shared" si="4"/>
        <v>#DIV/0!</v>
      </c>
      <c r="K266" s="961" t="str">
        <f>IF(J266&lt;'PlayerGrades+'!$AD$21,"F-",IF(J266&lt;'PlayerGrades+'!$AD$20,"F",IF(J266&lt;'PlayerGrades+'!$AD$19,"F+",IF(J266&lt;'PlayerGrades+'!$AD$18,"E-",IF(J266&lt;'PlayerGrades+'!$AD$17,"E",IF(J266&lt;'PlayerGrades+'!$AD$16,"E+",IF(J266&lt;'PlayerGrades+'!$AD$15,"D-",IF(J266&lt;'PlayerGrades+'!$AD$14,"D",IF(J266&lt;'PlayerGrades+'!$AD$13,"D+",IF(J266&lt;'PlayerGrades+'!$AD$12,"C-",IF(J266&lt;'PlayerGrades+'!$AD$11,"C",IF(J266&lt;'PlayerGrades+'!$AD$10,"C+",IF(J266&lt;'PlayerGrades+'!$AD$9,"B-",IF(J266&lt;'PlayerGrades+'!$AD$8,"B",IF(J266&lt;'PlayerGrades+'!$AD$7,"B+",IF(J266&lt;'PlayerGrades+'!$AD$6,"A-",IF(J266&lt;'PlayerGrades+'!$AD$5,"A",IF(J266&lt;'PlayerGrades+'!$AD$4,"A+",IF(J266&lt;'PlayerGrades+'!$AD$3,"S-",IF(J266&lt;'PlayerGrades+'!$AD$2,"S","S+"))))))))))))))))))))</f>
        <v>#DIV/0!</v>
      </c>
      <c r="L266" s="1176" t="str">
        <f t="shared" si="5"/>
        <v>#DIV/0!</v>
      </c>
      <c r="M266" s="992" t="str">
        <f>IF(L266&lt;'PlayerGrades+'!$AE$21,"F-",IF(L266&lt;'PlayerGrades+'!$AE$20,"F",IF(L266&lt;'PlayerGrades+'!$AE$19,"F+",IF(L266&lt;'PlayerGrades+'!$AE$18,"E-",IF(L266&lt;'PlayerGrades+'!$AE$17,"E",IF(L266&lt;'PlayerGrades+'!$AE$16,"E+",IF(L266&lt;'PlayerGrades+'!$AE$15,"D-",IF(L266&lt;'PlayerGrades+'!$AE$14,"D",IF(L266&lt;'PlayerGrades+'!$AE$13,"D+",IF(L266&lt;'PlayerGrades+'!$AE$12,"C-",IF(L266&lt;'PlayerGrades+'!$AE$11,"C",IF(L266&lt;'PlayerGrades+'!$AE$10,"C+",IF(L266&lt;'PlayerGrades+'!$AE$9,"B-",IF(L266&lt;'PlayerGrades+'!$AE$8,"B",IF(L266&lt;'PlayerGrades+'!$AE$7,"B+",IF(L266&lt;'PlayerGrades+'!$AE$6,"A-",IF(L266&lt;'PlayerGrades+'!$AE$5,"A",IF(L266&lt;'PlayerGrades+'!$AE$4,"A+",IF(L266&lt;'PlayerGrades+'!$AE$3,"S-",IF(L266&lt;'PlayerGrades+'!$AE$2,"S","S+"))))))))))))))))))))</f>
        <v>#DIV/0!</v>
      </c>
      <c r="N266" s="961" t="str">
        <f t="shared" si="6"/>
        <v>#DIV/0!</v>
      </c>
      <c r="O266" s="961" t="str">
        <f>IF(N266&lt;'PlayerGrades+'!$AF$21,"F-",IF(N266&lt;'PlayerGrades+'!$AF$20,"F",IF(N266&lt;'PlayerGrades+'!$AF$19,"F+",IF(N266&lt;'PlayerGrades+'!$AF$18,"E-",IF(N266&lt;'PlayerGrades+'!$AF$17,"E",IF(N266&lt;'PlayerGrades+'!$AF$16,"E+",IF(N266&lt;'PlayerGrades+'!$AF$15,"D-",IF(N266&lt;'PlayerGrades+'!$AF$14,"D",IF(N266&lt;'PlayerGrades+'!$AF$13,"D+",IF(N266&lt;'PlayerGrades+'!$AF$12,"C-",IF(N266&lt;'PlayerGrades+'!$AF$11,"C",IF(N266&lt;'PlayerGrades+'!$AF$10,"C+",IF(N266&lt;'PlayerGrades+'!$AF$9,"B-",IF(N266&lt;'PlayerGrades+'!$AF$8,"B",IF(N266&lt;'PlayerGrades+'!$AF$7,"B+",IF(N266&lt;'PlayerGrades+'!$AF$6,"A-",IF(N266&lt;'PlayerGrades+'!$AF$5,"A",IF(N266&lt;'PlayerGrades+'!$AF$4,"A+",IF(N266&lt;'PlayerGrades+'!$AF$3,"S-",IF(N266&lt;'PlayerGrades+'!$AF$2,"S","S+"))))))))))))))))))))</f>
        <v>#DIV/0!</v>
      </c>
      <c r="P266" s="961" t="str">
        <f t="shared" si="7"/>
        <v>#DIV/0!</v>
      </c>
      <c r="Q266" s="961" t="str">
        <f>IF(P266&lt;'PlayerGrades+'!$AG$21,"F-",IF(P266&lt;'PlayerGrades+'!$AG$20,"F",IF(P266&lt;'PlayerGrades+'!$AG$19,"F+",IF(P266&lt;'PlayerGrades+'!$AG$18,"E-",IF(P266&lt;'PlayerGrades+'!$AG$17,"E",IF(P266&lt;'PlayerGrades+'!$AG$16,"E+",IF(P266&lt;'PlayerGrades+'!$AG$15,"D-",IF(P266&lt;'PlayerGrades+'!$AG$14,"D",IF(P266&lt;'PlayerGrades+'!$AG$13,"D+",IF(P266&lt;'PlayerGrades+'!$AG$12,"C-",IF(P266&lt;'PlayerGrades+'!$AG$11,"C",IF(P266&lt;'PlayerGrades+'!$AG$10,"C+",IF(P266&lt;'PlayerGrades+'!$AG$9,"B-",IF(P266&lt;'PlayerGrades+'!$AG$8,"B",IF(P266&lt;'PlayerGrades+'!$AG$7,"B+",IF(P266&lt;'PlayerGrades+'!$AG$6,"A-",IF(P266&lt;'PlayerGrades+'!$AG$5,"A",IF(P266&lt;'PlayerGrades+'!$AG$4,"A+",IF(P266&lt;'PlayerGrades+'!$AG$3,"S-",IF(P266&lt;'PlayerGrades+'!$AG$2,"S","S+"))))))))))))))))))))</f>
        <v>#DIV/0!</v>
      </c>
      <c r="R266" s="961" t="str">
        <f t="shared" si="8"/>
        <v>#DIV/0!</v>
      </c>
      <c r="S266" s="961" t="str">
        <f>IF(R266&lt;'PlayerGrades+'!$AH$21,"F-",IF(R266&lt;'PlayerGrades+'!$AH$20,"F",IF(R266&lt;'PlayerGrades+'!$AH$19,"F+",IF(R266&lt;'PlayerGrades+'!$AH$18,"E-",IF(R266&lt;'PlayerGrades+'!$AH$17,"E",IF(R266&lt;'PlayerGrades+'!$AH$16,"E+",IF(R266&lt;'PlayerGrades+'!$AH$15,"D-",IF(R266&lt;'PlayerGrades+'!$AH$14,"D",IF(R266&lt;'PlayerGrades+'!$AH$13,"D+",IF(R266&lt;'PlayerGrades+'!$AH$12,"C-",IF(R266&lt;'PlayerGrades+'!$AH$11,"C",IF(R266&lt;'PlayerGrades+'!$AH$10,"C+",IF(R266&lt;'PlayerGrades+'!$AH$9,"B-",IF(R266&lt;'PlayerGrades+'!$AH$8,"B",IF(R266&lt;'PlayerGrades+'!$AH$7,"B+",IF(R266&lt;'PlayerGrades+'!$AH$6,"A-",IF(R266&lt;'PlayerGrades+'!$AH$5,"A",IF(R266&lt;'PlayerGrades+'!$AH$4,"A+",IF(R266&lt;'PlayerGrades+'!$AH$3,"S-",IF(R266&lt;'PlayerGrades+'!$AH$2,"S","S+"))))))))))))))))))))</f>
        <v>#DIV/0!</v>
      </c>
      <c r="T266" s="961">
        <f t="shared" si="9"/>
        <v>0</v>
      </c>
      <c r="U266" s="961" t="str">
        <f>IF(T266&lt;'PlayerGrades+'!$AI$21,"F-",IF(T266&lt;'PlayerGrades+'!$AI$20,"F",IF(T266&lt;'PlayerGrades+'!$AI$19,"F+",IF(T266&lt;'PlayerGrades+'!$AI$18,"E-",IF(T266&lt;'PlayerGrades+'!$AI$17,"E",IF(T266&lt;'PlayerGrades+'!$AI$16,"E+",IF(T266&lt;'PlayerGrades+'!$AI$15,"D-",IF(T266&lt;'PlayerGrades+'!$AI$14,"D",IF(T266&lt;'PlayerGrades+'!$AI$13,"D+",IF(T266&lt;'PlayerGrades+'!$AI$12,"C-",IF(T266&lt;'PlayerGrades+'!$AI$11,"C",IF(T266&lt;'PlayerGrades+'!$AI$10,"C+",IF(T266&lt;'PlayerGrades+'!$AI$9,"B-",IF(T266&lt;'PlayerGrades+'!$AI$8,"B",IF(T266&lt;'PlayerGrades+'!$AI$7,"B+",IF(T266&lt;'PlayerGrades+'!$AI$6,"A-",IF(T266&lt;'PlayerGrades+'!$AI$5,"A",IF(T266&lt;'PlayerGrades+'!$AI$4,"A+",IF(T266&lt;'PlayerGrades+'!$AI$3,"S-",IF(T266&lt;'PlayerGrades+'!$AI$2,"S","S+"))))))))))))))))))))</f>
        <v>F-</v>
      </c>
      <c r="V266" s="1379"/>
      <c r="W266" s="1379"/>
      <c r="X266" s="1379"/>
      <c r="Y266" s="1379"/>
      <c r="Z266" s="1379"/>
      <c r="AA266" s="1379"/>
      <c r="AB266" s="1379"/>
      <c r="AC266" s="1390"/>
      <c r="AD266" s="1379"/>
      <c r="AE266" s="1379"/>
      <c r="AF266" s="1379"/>
      <c r="AG266" s="1379"/>
      <c r="AH266" s="1379"/>
      <c r="AI266" s="1379"/>
      <c r="AJ266" s="1379"/>
      <c r="AK266" s="1379"/>
      <c r="AL266" s="1379"/>
      <c r="AM266" s="1379"/>
      <c r="AN266" s="1379"/>
      <c r="AO266" s="1379"/>
      <c r="AP266" s="1379"/>
      <c r="AQ266" s="1379"/>
      <c r="AR266" s="1379"/>
      <c r="AS266" s="1379"/>
      <c r="AT266" s="1379"/>
      <c r="AU266" s="1379"/>
      <c r="AV266" s="1379"/>
      <c r="AW266" s="1379"/>
      <c r="AX266" s="1379"/>
      <c r="AY266" s="1379"/>
      <c r="AZ266" s="1379"/>
    </row>
    <row r="267">
      <c r="A267" s="1391"/>
      <c r="B267" s="611" t="str">
        <f>IF(C267&lt;'PlayerGrades+'!$Y$44,"F-",IF(C267&lt;'PlayerGrades+'!$Y$43,"F",IF(C267&lt;'PlayerGrades+'!$Y$42,"F+",IF(C267&lt;'PlayerGrades+'!$Y$41,"E-",IF(C267&lt;'PlayerGrades+'!$Y$40,"E",IF(C267&lt;'PlayerGrades+'!$Y$39,"E+",IF(C267&lt;'PlayerGrades+'!$Y$38,"D-",IF(C267&lt;'PlayerGrades+'!$Y$37,"D",IF(C267&lt;'PlayerGrades+'!$Y$36,"D+",IF(C267&lt;'PlayerGrades+'!$Y$35,"C-",IF(C267&lt;'PlayerGrades+'!$Y$34,"C",IF(C267&lt;'PlayerGrades+'!$Y$33,"C+",IF(C267&lt;'PlayerGrades+'!$Y$32,"B-",IF(C267&lt;'PlayerGrades+'!$Y$31,"B",IF(C267&lt;'PlayerGrades+'!$Y$30,"B+",IF(C267&lt;'PlayerGrades+'!$Y$29,"A-",IF(C267&lt;'PlayerGrades+'!$Y$28,"A",IF(C267&lt;'PlayerGrades+'!$Y$27,"A+",IF(C267&lt;'PlayerGrades+'!$Y$26,"S-",IF(C267&lt;'PlayerGrades+'!$Y$25,"S","S+"))))))))))))))))))))</f>
        <v>#DIV/0!</v>
      </c>
      <c r="C267" s="1378" t="str">
        <f>('PlayerGrades+'!$Y$47*(VLOOKUP(E267, 'PlayerGrades+'!$X$3:$Y$23, 2, FALSE)))+('PlayerGrades+'!$Y$48*(VLOOKUP(G267, 'PlayerGrades+'!$X$3:$Y$23, 2, FALSE)))+('PlayerGrades+'!$Y$49*(VLOOKUP(I267, 'PlayerGrades+'!$X$3:$Y$23, 2, FALSE)))+('PlayerGrades+'!$Y$50*(VLOOKUP(K267, 'PlayerGrades+'!$X$3:$Y$23, 2, FALSE)))+('PlayerGrades+'!$Y$51*(VLOOKUP(M267, 'PlayerGrades+'!$X$3:$Y$23, 2, FALSE)))+('PlayerGrades+'!$Y$52*(VLOOKUP(O267, 'PlayerGrades+'!$X$3:$Y$23, 2, FALSE)))+('PlayerGrades+'!$Y$53*(VLOOKUP(Q267, 'PlayerGrades+'!$X$3:$Y$23, 2, FALSE)))+('PlayerGrades+'!$Y$54*(VLOOKUP(S267, 'PlayerGrades+'!$X$3:$Y$23, 2, FALSE)))+('PlayerGrades+'!$Y$55*(VLOOKUP(U267, 'PlayerGrades+'!$X$3:$Y$23, 2, FALSE)))</f>
        <v>#DIV/0!</v>
      </c>
      <c r="D267" s="961" t="str">
        <f t="shared" si="1"/>
        <v>#DIV/0!</v>
      </c>
      <c r="E267" s="961" t="str">
        <f>IF(D267&lt;'PlayerGrades+'!$AA$21,"F-",IF(D267&lt;'PlayerGrades+'!$AA$20,"F",IF(D267&lt;'PlayerGrades+'!$AA$19,"F+",IF(D267&lt;'PlayerGrades+'!$AA$18,"E-",IF(D267&lt;'PlayerGrades+'!$AA$17,"E",IF(D267&lt;'PlayerGrades+'!$AA$16,"E+",IF(D267&lt;'PlayerGrades+'!$AA$15,"D-",IF(D267&lt;'PlayerGrades+'!$AA$14,"D",IF(D267&lt;'PlayerGrades+'!$AA$13,"D+",IF(D267&lt;'PlayerGrades+'!$AA$12,"C-",IF(D267&lt;'PlayerGrades+'!$AA$11,"C",IF(D267&lt;'PlayerGrades+'!$AA$10,"C+",IF(D267&lt;'PlayerGrades+'!$AA$9,"B-",IF(D267&lt;'PlayerGrades+'!$AA$8,"B",IF(D267&lt;'PlayerGrades+'!$AA$7,"B+",IF(D267&lt;'PlayerGrades+'!$AA$6,"A-",IF(D267&lt;'PlayerGrades+'!$AA$5,"A",IF(D267&lt;'PlayerGrades+'!$AA$4,"A+",IF(D267&lt;'PlayerGrades+'!$AA$3,"S-",IF(D267&lt;'PlayerGrades+'!$AA$2,"S","S+"))))))))))))))))))))</f>
        <v>#DIV/0!</v>
      </c>
      <c r="F267" s="961" t="str">
        <f t="shared" si="2"/>
        <v>#DIV/0!</v>
      </c>
      <c r="G267" s="961" t="str">
        <f>IF(F267&lt;'PlayerGrades+'!$AB$21,"F-",IF(F267&lt;'PlayerGrades+'!$AB$20,"F",IF(F267&lt;'PlayerGrades+'!$AB$19,"F+",IF(F267&lt;'PlayerGrades+'!$AB$18,"E-",IF(F267&lt;'PlayerGrades+'!$AB$17,"E",IF(F267&lt;'PlayerGrades+'!$AB$16,"E+",IF(F267&lt;'PlayerGrades+'!$AB$15,"D-",IF(F267&lt;'PlayerGrades+'!$AB$14,"D",IF(F267&lt;'PlayerGrades+'!$AB$13,"D+",IF(F267&lt;'PlayerGrades+'!$AB$12,"C-",IF(F267&lt;'PlayerGrades+'!$AB$11,"C",IF(F267&lt;'PlayerGrades+'!$AB$10,"C+",IF(F267&lt;'PlayerGrades+'!$AB$9,"B-",IF(F267&lt;'PlayerGrades+'!$AB$8,"B",IF(F267&lt;'PlayerGrades+'!$AB$7,"B+",IF(F267&lt;'PlayerGrades+'!$AB$6,"A-",IF(F267&lt;'PlayerGrades+'!$AB$5,"A",IF(F267&lt;'PlayerGrades+'!$AB$4,"A+",IF(F267&lt;'PlayerGrades+'!$AB$3,"S-",IF(F267&lt;'PlayerGrades+'!$AB$2,"S","S+"))))))))))))))))))))</f>
        <v>#DIV/0!</v>
      </c>
      <c r="H267" s="961" t="str">
        <f t="shared" si="3"/>
        <v>#DIV/0!</v>
      </c>
      <c r="I267" s="961" t="str">
        <f>IF(H267&lt;'PlayerGrades+'!$AC$21,"F-",IF(H267&lt;'PlayerGrades+'!$AC$20,"F",IF(H267&lt;'PlayerGrades+'!$AC$19,"F+",IF(H267&lt;'PlayerGrades+'!$AC$18,"E-",IF(H267&lt;'PlayerGrades+'!$AC$17,"E",IF(H267&lt;'PlayerGrades+'!$AC$16,"E+",IF(H267&lt;'PlayerGrades+'!$AC$15,"D-",IF(H267&lt;'PlayerGrades+'!$AC$14,"D",IF(H267&lt;'PlayerGrades+'!$AC$13,"D+",IF(H267&lt;'PlayerGrades+'!$AC$12,"C-",IF(H267&lt;'PlayerGrades+'!$AC$11,"C",IF(H267&lt;'PlayerGrades+'!$AC$10,"C+",IF(H267&lt;'PlayerGrades+'!$AC$9,"B-",IF(H267&lt;'PlayerGrades+'!$AC$8,"B",IF(H267&lt;'PlayerGrades+'!$AC$7,"B+",IF(H267&lt;'PlayerGrades+'!$AC$6,"A-",IF(H267&lt;'PlayerGrades+'!$AC$5,"A",IF(H267&lt;'PlayerGrades+'!$AC$4,"A+",IF(H267&lt;'PlayerGrades+'!$AC$3,"S-",IF(H267&lt;'PlayerGrades+'!$AC$2,"S","S+"))))))))))))))))))))</f>
        <v>#DIV/0!</v>
      </c>
      <c r="J267" s="961" t="str">
        <f t="shared" si="4"/>
        <v>#DIV/0!</v>
      </c>
      <c r="K267" s="961" t="str">
        <f>IF(J267&lt;'PlayerGrades+'!$AD$21,"F-",IF(J267&lt;'PlayerGrades+'!$AD$20,"F",IF(J267&lt;'PlayerGrades+'!$AD$19,"F+",IF(J267&lt;'PlayerGrades+'!$AD$18,"E-",IF(J267&lt;'PlayerGrades+'!$AD$17,"E",IF(J267&lt;'PlayerGrades+'!$AD$16,"E+",IF(J267&lt;'PlayerGrades+'!$AD$15,"D-",IF(J267&lt;'PlayerGrades+'!$AD$14,"D",IF(J267&lt;'PlayerGrades+'!$AD$13,"D+",IF(J267&lt;'PlayerGrades+'!$AD$12,"C-",IF(J267&lt;'PlayerGrades+'!$AD$11,"C",IF(J267&lt;'PlayerGrades+'!$AD$10,"C+",IF(J267&lt;'PlayerGrades+'!$AD$9,"B-",IF(J267&lt;'PlayerGrades+'!$AD$8,"B",IF(J267&lt;'PlayerGrades+'!$AD$7,"B+",IF(J267&lt;'PlayerGrades+'!$AD$6,"A-",IF(J267&lt;'PlayerGrades+'!$AD$5,"A",IF(J267&lt;'PlayerGrades+'!$AD$4,"A+",IF(J267&lt;'PlayerGrades+'!$AD$3,"S-",IF(J267&lt;'PlayerGrades+'!$AD$2,"S","S+"))))))))))))))))))))</f>
        <v>#DIV/0!</v>
      </c>
      <c r="L267" s="1176" t="str">
        <f t="shared" si="5"/>
        <v>#DIV/0!</v>
      </c>
      <c r="M267" s="992" t="str">
        <f>IF(L267&lt;'PlayerGrades+'!$AE$21,"F-",IF(L267&lt;'PlayerGrades+'!$AE$20,"F",IF(L267&lt;'PlayerGrades+'!$AE$19,"F+",IF(L267&lt;'PlayerGrades+'!$AE$18,"E-",IF(L267&lt;'PlayerGrades+'!$AE$17,"E",IF(L267&lt;'PlayerGrades+'!$AE$16,"E+",IF(L267&lt;'PlayerGrades+'!$AE$15,"D-",IF(L267&lt;'PlayerGrades+'!$AE$14,"D",IF(L267&lt;'PlayerGrades+'!$AE$13,"D+",IF(L267&lt;'PlayerGrades+'!$AE$12,"C-",IF(L267&lt;'PlayerGrades+'!$AE$11,"C",IF(L267&lt;'PlayerGrades+'!$AE$10,"C+",IF(L267&lt;'PlayerGrades+'!$AE$9,"B-",IF(L267&lt;'PlayerGrades+'!$AE$8,"B",IF(L267&lt;'PlayerGrades+'!$AE$7,"B+",IF(L267&lt;'PlayerGrades+'!$AE$6,"A-",IF(L267&lt;'PlayerGrades+'!$AE$5,"A",IF(L267&lt;'PlayerGrades+'!$AE$4,"A+",IF(L267&lt;'PlayerGrades+'!$AE$3,"S-",IF(L267&lt;'PlayerGrades+'!$AE$2,"S","S+"))))))))))))))))))))</f>
        <v>#DIV/0!</v>
      </c>
      <c r="N267" s="961" t="str">
        <f t="shared" si="6"/>
        <v>#DIV/0!</v>
      </c>
      <c r="O267" s="961" t="str">
        <f>IF(N267&lt;'PlayerGrades+'!$AF$21,"F-",IF(N267&lt;'PlayerGrades+'!$AF$20,"F",IF(N267&lt;'PlayerGrades+'!$AF$19,"F+",IF(N267&lt;'PlayerGrades+'!$AF$18,"E-",IF(N267&lt;'PlayerGrades+'!$AF$17,"E",IF(N267&lt;'PlayerGrades+'!$AF$16,"E+",IF(N267&lt;'PlayerGrades+'!$AF$15,"D-",IF(N267&lt;'PlayerGrades+'!$AF$14,"D",IF(N267&lt;'PlayerGrades+'!$AF$13,"D+",IF(N267&lt;'PlayerGrades+'!$AF$12,"C-",IF(N267&lt;'PlayerGrades+'!$AF$11,"C",IF(N267&lt;'PlayerGrades+'!$AF$10,"C+",IF(N267&lt;'PlayerGrades+'!$AF$9,"B-",IF(N267&lt;'PlayerGrades+'!$AF$8,"B",IF(N267&lt;'PlayerGrades+'!$AF$7,"B+",IF(N267&lt;'PlayerGrades+'!$AF$6,"A-",IF(N267&lt;'PlayerGrades+'!$AF$5,"A",IF(N267&lt;'PlayerGrades+'!$AF$4,"A+",IF(N267&lt;'PlayerGrades+'!$AF$3,"S-",IF(N267&lt;'PlayerGrades+'!$AF$2,"S","S+"))))))))))))))))))))</f>
        <v>#DIV/0!</v>
      </c>
      <c r="P267" s="961" t="str">
        <f t="shared" si="7"/>
        <v>#DIV/0!</v>
      </c>
      <c r="Q267" s="961" t="str">
        <f>IF(P267&lt;'PlayerGrades+'!$AG$21,"F-",IF(P267&lt;'PlayerGrades+'!$AG$20,"F",IF(P267&lt;'PlayerGrades+'!$AG$19,"F+",IF(P267&lt;'PlayerGrades+'!$AG$18,"E-",IF(P267&lt;'PlayerGrades+'!$AG$17,"E",IF(P267&lt;'PlayerGrades+'!$AG$16,"E+",IF(P267&lt;'PlayerGrades+'!$AG$15,"D-",IF(P267&lt;'PlayerGrades+'!$AG$14,"D",IF(P267&lt;'PlayerGrades+'!$AG$13,"D+",IF(P267&lt;'PlayerGrades+'!$AG$12,"C-",IF(P267&lt;'PlayerGrades+'!$AG$11,"C",IF(P267&lt;'PlayerGrades+'!$AG$10,"C+",IF(P267&lt;'PlayerGrades+'!$AG$9,"B-",IF(P267&lt;'PlayerGrades+'!$AG$8,"B",IF(P267&lt;'PlayerGrades+'!$AG$7,"B+",IF(P267&lt;'PlayerGrades+'!$AG$6,"A-",IF(P267&lt;'PlayerGrades+'!$AG$5,"A",IF(P267&lt;'PlayerGrades+'!$AG$4,"A+",IF(P267&lt;'PlayerGrades+'!$AG$3,"S-",IF(P267&lt;'PlayerGrades+'!$AG$2,"S","S+"))))))))))))))))))))</f>
        <v>#DIV/0!</v>
      </c>
      <c r="R267" s="961" t="str">
        <f t="shared" si="8"/>
        <v>#DIV/0!</v>
      </c>
      <c r="S267" s="961" t="str">
        <f>IF(R267&lt;'PlayerGrades+'!$AH$21,"F-",IF(R267&lt;'PlayerGrades+'!$AH$20,"F",IF(R267&lt;'PlayerGrades+'!$AH$19,"F+",IF(R267&lt;'PlayerGrades+'!$AH$18,"E-",IF(R267&lt;'PlayerGrades+'!$AH$17,"E",IF(R267&lt;'PlayerGrades+'!$AH$16,"E+",IF(R267&lt;'PlayerGrades+'!$AH$15,"D-",IF(R267&lt;'PlayerGrades+'!$AH$14,"D",IF(R267&lt;'PlayerGrades+'!$AH$13,"D+",IF(R267&lt;'PlayerGrades+'!$AH$12,"C-",IF(R267&lt;'PlayerGrades+'!$AH$11,"C",IF(R267&lt;'PlayerGrades+'!$AH$10,"C+",IF(R267&lt;'PlayerGrades+'!$AH$9,"B-",IF(R267&lt;'PlayerGrades+'!$AH$8,"B",IF(R267&lt;'PlayerGrades+'!$AH$7,"B+",IF(R267&lt;'PlayerGrades+'!$AH$6,"A-",IF(R267&lt;'PlayerGrades+'!$AH$5,"A",IF(R267&lt;'PlayerGrades+'!$AH$4,"A+",IF(R267&lt;'PlayerGrades+'!$AH$3,"S-",IF(R267&lt;'PlayerGrades+'!$AH$2,"S","S+"))))))))))))))))))))</f>
        <v>#DIV/0!</v>
      </c>
      <c r="T267" s="961">
        <f t="shared" si="9"/>
        <v>0</v>
      </c>
      <c r="U267" s="961" t="str">
        <f>IF(T267&lt;'PlayerGrades+'!$AI$21,"F-",IF(T267&lt;'PlayerGrades+'!$AI$20,"F",IF(T267&lt;'PlayerGrades+'!$AI$19,"F+",IF(T267&lt;'PlayerGrades+'!$AI$18,"E-",IF(T267&lt;'PlayerGrades+'!$AI$17,"E",IF(T267&lt;'PlayerGrades+'!$AI$16,"E+",IF(T267&lt;'PlayerGrades+'!$AI$15,"D-",IF(T267&lt;'PlayerGrades+'!$AI$14,"D",IF(T267&lt;'PlayerGrades+'!$AI$13,"D+",IF(T267&lt;'PlayerGrades+'!$AI$12,"C-",IF(T267&lt;'PlayerGrades+'!$AI$11,"C",IF(T267&lt;'PlayerGrades+'!$AI$10,"C+",IF(T267&lt;'PlayerGrades+'!$AI$9,"B-",IF(T267&lt;'PlayerGrades+'!$AI$8,"B",IF(T267&lt;'PlayerGrades+'!$AI$7,"B+",IF(T267&lt;'PlayerGrades+'!$AI$6,"A-",IF(T267&lt;'PlayerGrades+'!$AI$5,"A",IF(T267&lt;'PlayerGrades+'!$AI$4,"A+",IF(T267&lt;'PlayerGrades+'!$AI$3,"S-",IF(T267&lt;'PlayerGrades+'!$AI$2,"S","S+"))))))))))))))))))))</f>
        <v>F-</v>
      </c>
      <c r="AC267" s="1392"/>
    </row>
    <row r="268">
      <c r="A268" s="1391"/>
      <c r="B268" s="611" t="str">
        <f>IF(C268&lt;'PlayerGrades+'!$Y$44,"F-",IF(C268&lt;'PlayerGrades+'!$Y$43,"F",IF(C268&lt;'PlayerGrades+'!$Y$42,"F+",IF(C268&lt;'PlayerGrades+'!$Y$41,"E-",IF(C268&lt;'PlayerGrades+'!$Y$40,"E",IF(C268&lt;'PlayerGrades+'!$Y$39,"E+",IF(C268&lt;'PlayerGrades+'!$Y$38,"D-",IF(C268&lt;'PlayerGrades+'!$Y$37,"D",IF(C268&lt;'PlayerGrades+'!$Y$36,"D+",IF(C268&lt;'PlayerGrades+'!$Y$35,"C-",IF(C268&lt;'PlayerGrades+'!$Y$34,"C",IF(C268&lt;'PlayerGrades+'!$Y$33,"C+",IF(C268&lt;'PlayerGrades+'!$Y$32,"B-",IF(C268&lt;'PlayerGrades+'!$Y$31,"B",IF(C268&lt;'PlayerGrades+'!$Y$30,"B+",IF(C268&lt;'PlayerGrades+'!$Y$29,"A-",IF(C268&lt;'PlayerGrades+'!$Y$28,"A",IF(C268&lt;'PlayerGrades+'!$Y$27,"A+",IF(C268&lt;'PlayerGrades+'!$Y$26,"S-",IF(C268&lt;'PlayerGrades+'!$Y$25,"S","S+"))))))))))))))))))))</f>
        <v>#DIV/0!</v>
      </c>
      <c r="C268" s="1378" t="str">
        <f>('PlayerGrades+'!$Y$47*(VLOOKUP(E268, 'PlayerGrades+'!$X$3:$Y$23, 2, FALSE)))+('PlayerGrades+'!$Y$48*(VLOOKUP(G268, 'PlayerGrades+'!$X$3:$Y$23, 2, FALSE)))+('PlayerGrades+'!$Y$49*(VLOOKUP(I268, 'PlayerGrades+'!$X$3:$Y$23, 2, FALSE)))+('PlayerGrades+'!$Y$50*(VLOOKUP(K268, 'PlayerGrades+'!$X$3:$Y$23, 2, FALSE)))+('PlayerGrades+'!$Y$51*(VLOOKUP(M268, 'PlayerGrades+'!$X$3:$Y$23, 2, FALSE)))+('PlayerGrades+'!$Y$52*(VLOOKUP(O268, 'PlayerGrades+'!$X$3:$Y$23, 2, FALSE)))+('PlayerGrades+'!$Y$53*(VLOOKUP(Q268, 'PlayerGrades+'!$X$3:$Y$23, 2, FALSE)))+('PlayerGrades+'!$Y$54*(VLOOKUP(S268, 'PlayerGrades+'!$X$3:$Y$23, 2, FALSE)))+('PlayerGrades+'!$Y$55*(VLOOKUP(U268, 'PlayerGrades+'!$X$3:$Y$23, 2, FALSE)))</f>
        <v>#DIV/0!</v>
      </c>
      <c r="D268" s="961" t="str">
        <f t="shared" si="1"/>
        <v>#DIV/0!</v>
      </c>
      <c r="E268" s="961" t="str">
        <f>IF(D268&lt;'PlayerGrades+'!$AA$21,"F-",IF(D268&lt;'PlayerGrades+'!$AA$20,"F",IF(D268&lt;'PlayerGrades+'!$AA$19,"F+",IF(D268&lt;'PlayerGrades+'!$AA$18,"E-",IF(D268&lt;'PlayerGrades+'!$AA$17,"E",IF(D268&lt;'PlayerGrades+'!$AA$16,"E+",IF(D268&lt;'PlayerGrades+'!$AA$15,"D-",IF(D268&lt;'PlayerGrades+'!$AA$14,"D",IF(D268&lt;'PlayerGrades+'!$AA$13,"D+",IF(D268&lt;'PlayerGrades+'!$AA$12,"C-",IF(D268&lt;'PlayerGrades+'!$AA$11,"C",IF(D268&lt;'PlayerGrades+'!$AA$10,"C+",IF(D268&lt;'PlayerGrades+'!$AA$9,"B-",IF(D268&lt;'PlayerGrades+'!$AA$8,"B",IF(D268&lt;'PlayerGrades+'!$AA$7,"B+",IF(D268&lt;'PlayerGrades+'!$AA$6,"A-",IF(D268&lt;'PlayerGrades+'!$AA$5,"A",IF(D268&lt;'PlayerGrades+'!$AA$4,"A+",IF(D268&lt;'PlayerGrades+'!$AA$3,"S-",IF(D268&lt;'PlayerGrades+'!$AA$2,"S","S+"))))))))))))))))))))</f>
        <v>#DIV/0!</v>
      </c>
      <c r="F268" s="961" t="str">
        <f t="shared" si="2"/>
        <v>#DIV/0!</v>
      </c>
      <c r="G268" s="961" t="str">
        <f>IF(F268&lt;'PlayerGrades+'!$AB$21,"F-",IF(F268&lt;'PlayerGrades+'!$AB$20,"F",IF(F268&lt;'PlayerGrades+'!$AB$19,"F+",IF(F268&lt;'PlayerGrades+'!$AB$18,"E-",IF(F268&lt;'PlayerGrades+'!$AB$17,"E",IF(F268&lt;'PlayerGrades+'!$AB$16,"E+",IF(F268&lt;'PlayerGrades+'!$AB$15,"D-",IF(F268&lt;'PlayerGrades+'!$AB$14,"D",IF(F268&lt;'PlayerGrades+'!$AB$13,"D+",IF(F268&lt;'PlayerGrades+'!$AB$12,"C-",IF(F268&lt;'PlayerGrades+'!$AB$11,"C",IF(F268&lt;'PlayerGrades+'!$AB$10,"C+",IF(F268&lt;'PlayerGrades+'!$AB$9,"B-",IF(F268&lt;'PlayerGrades+'!$AB$8,"B",IF(F268&lt;'PlayerGrades+'!$AB$7,"B+",IF(F268&lt;'PlayerGrades+'!$AB$6,"A-",IF(F268&lt;'PlayerGrades+'!$AB$5,"A",IF(F268&lt;'PlayerGrades+'!$AB$4,"A+",IF(F268&lt;'PlayerGrades+'!$AB$3,"S-",IF(F268&lt;'PlayerGrades+'!$AB$2,"S","S+"))))))))))))))))))))</f>
        <v>#DIV/0!</v>
      </c>
      <c r="H268" s="961" t="str">
        <f t="shared" si="3"/>
        <v>#DIV/0!</v>
      </c>
      <c r="I268" s="961" t="str">
        <f>IF(H268&lt;'PlayerGrades+'!$AC$21,"F-",IF(H268&lt;'PlayerGrades+'!$AC$20,"F",IF(H268&lt;'PlayerGrades+'!$AC$19,"F+",IF(H268&lt;'PlayerGrades+'!$AC$18,"E-",IF(H268&lt;'PlayerGrades+'!$AC$17,"E",IF(H268&lt;'PlayerGrades+'!$AC$16,"E+",IF(H268&lt;'PlayerGrades+'!$AC$15,"D-",IF(H268&lt;'PlayerGrades+'!$AC$14,"D",IF(H268&lt;'PlayerGrades+'!$AC$13,"D+",IF(H268&lt;'PlayerGrades+'!$AC$12,"C-",IF(H268&lt;'PlayerGrades+'!$AC$11,"C",IF(H268&lt;'PlayerGrades+'!$AC$10,"C+",IF(H268&lt;'PlayerGrades+'!$AC$9,"B-",IF(H268&lt;'PlayerGrades+'!$AC$8,"B",IF(H268&lt;'PlayerGrades+'!$AC$7,"B+",IF(H268&lt;'PlayerGrades+'!$AC$6,"A-",IF(H268&lt;'PlayerGrades+'!$AC$5,"A",IF(H268&lt;'PlayerGrades+'!$AC$4,"A+",IF(H268&lt;'PlayerGrades+'!$AC$3,"S-",IF(H268&lt;'PlayerGrades+'!$AC$2,"S","S+"))))))))))))))))))))</f>
        <v>#DIV/0!</v>
      </c>
      <c r="J268" s="961" t="str">
        <f t="shared" si="4"/>
        <v>#DIV/0!</v>
      </c>
      <c r="K268" s="961" t="str">
        <f>IF(J268&lt;'PlayerGrades+'!$AD$21,"F-",IF(J268&lt;'PlayerGrades+'!$AD$20,"F",IF(J268&lt;'PlayerGrades+'!$AD$19,"F+",IF(J268&lt;'PlayerGrades+'!$AD$18,"E-",IF(J268&lt;'PlayerGrades+'!$AD$17,"E",IF(J268&lt;'PlayerGrades+'!$AD$16,"E+",IF(J268&lt;'PlayerGrades+'!$AD$15,"D-",IF(J268&lt;'PlayerGrades+'!$AD$14,"D",IF(J268&lt;'PlayerGrades+'!$AD$13,"D+",IF(J268&lt;'PlayerGrades+'!$AD$12,"C-",IF(J268&lt;'PlayerGrades+'!$AD$11,"C",IF(J268&lt;'PlayerGrades+'!$AD$10,"C+",IF(J268&lt;'PlayerGrades+'!$AD$9,"B-",IF(J268&lt;'PlayerGrades+'!$AD$8,"B",IF(J268&lt;'PlayerGrades+'!$AD$7,"B+",IF(J268&lt;'PlayerGrades+'!$AD$6,"A-",IF(J268&lt;'PlayerGrades+'!$AD$5,"A",IF(J268&lt;'PlayerGrades+'!$AD$4,"A+",IF(J268&lt;'PlayerGrades+'!$AD$3,"S-",IF(J268&lt;'PlayerGrades+'!$AD$2,"S","S+"))))))))))))))))))))</f>
        <v>#DIV/0!</v>
      </c>
      <c r="L268" s="1176" t="str">
        <f t="shared" si="5"/>
        <v>#DIV/0!</v>
      </c>
      <c r="M268" s="992" t="str">
        <f>IF(L268&lt;'PlayerGrades+'!$AE$21,"F-",IF(L268&lt;'PlayerGrades+'!$AE$20,"F",IF(L268&lt;'PlayerGrades+'!$AE$19,"F+",IF(L268&lt;'PlayerGrades+'!$AE$18,"E-",IF(L268&lt;'PlayerGrades+'!$AE$17,"E",IF(L268&lt;'PlayerGrades+'!$AE$16,"E+",IF(L268&lt;'PlayerGrades+'!$AE$15,"D-",IF(L268&lt;'PlayerGrades+'!$AE$14,"D",IF(L268&lt;'PlayerGrades+'!$AE$13,"D+",IF(L268&lt;'PlayerGrades+'!$AE$12,"C-",IF(L268&lt;'PlayerGrades+'!$AE$11,"C",IF(L268&lt;'PlayerGrades+'!$AE$10,"C+",IF(L268&lt;'PlayerGrades+'!$AE$9,"B-",IF(L268&lt;'PlayerGrades+'!$AE$8,"B",IF(L268&lt;'PlayerGrades+'!$AE$7,"B+",IF(L268&lt;'PlayerGrades+'!$AE$6,"A-",IF(L268&lt;'PlayerGrades+'!$AE$5,"A",IF(L268&lt;'PlayerGrades+'!$AE$4,"A+",IF(L268&lt;'PlayerGrades+'!$AE$3,"S-",IF(L268&lt;'PlayerGrades+'!$AE$2,"S","S+"))))))))))))))))))))</f>
        <v>#DIV/0!</v>
      </c>
      <c r="N268" s="961" t="str">
        <f t="shared" si="6"/>
        <v>#DIV/0!</v>
      </c>
      <c r="O268" s="961" t="str">
        <f>IF(N268&lt;'PlayerGrades+'!$AF$21,"F-",IF(N268&lt;'PlayerGrades+'!$AF$20,"F",IF(N268&lt;'PlayerGrades+'!$AF$19,"F+",IF(N268&lt;'PlayerGrades+'!$AF$18,"E-",IF(N268&lt;'PlayerGrades+'!$AF$17,"E",IF(N268&lt;'PlayerGrades+'!$AF$16,"E+",IF(N268&lt;'PlayerGrades+'!$AF$15,"D-",IF(N268&lt;'PlayerGrades+'!$AF$14,"D",IF(N268&lt;'PlayerGrades+'!$AF$13,"D+",IF(N268&lt;'PlayerGrades+'!$AF$12,"C-",IF(N268&lt;'PlayerGrades+'!$AF$11,"C",IF(N268&lt;'PlayerGrades+'!$AF$10,"C+",IF(N268&lt;'PlayerGrades+'!$AF$9,"B-",IF(N268&lt;'PlayerGrades+'!$AF$8,"B",IF(N268&lt;'PlayerGrades+'!$AF$7,"B+",IF(N268&lt;'PlayerGrades+'!$AF$6,"A-",IF(N268&lt;'PlayerGrades+'!$AF$5,"A",IF(N268&lt;'PlayerGrades+'!$AF$4,"A+",IF(N268&lt;'PlayerGrades+'!$AF$3,"S-",IF(N268&lt;'PlayerGrades+'!$AF$2,"S","S+"))))))))))))))))))))</f>
        <v>#DIV/0!</v>
      </c>
      <c r="P268" s="961" t="str">
        <f t="shared" si="7"/>
        <v>#DIV/0!</v>
      </c>
      <c r="Q268" s="961" t="str">
        <f>IF(P268&lt;'PlayerGrades+'!$AG$21,"F-",IF(P268&lt;'PlayerGrades+'!$AG$20,"F",IF(P268&lt;'PlayerGrades+'!$AG$19,"F+",IF(P268&lt;'PlayerGrades+'!$AG$18,"E-",IF(P268&lt;'PlayerGrades+'!$AG$17,"E",IF(P268&lt;'PlayerGrades+'!$AG$16,"E+",IF(P268&lt;'PlayerGrades+'!$AG$15,"D-",IF(P268&lt;'PlayerGrades+'!$AG$14,"D",IF(P268&lt;'PlayerGrades+'!$AG$13,"D+",IF(P268&lt;'PlayerGrades+'!$AG$12,"C-",IF(P268&lt;'PlayerGrades+'!$AG$11,"C",IF(P268&lt;'PlayerGrades+'!$AG$10,"C+",IF(P268&lt;'PlayerGrades+'!$AG$9,"B-",IF(P268&lt;'PlayerGrades+'!$AG$8,"B",IF(P268&lt;'PlayerGrades+'!$AG$7,"B+",IF(P268&lt;'PlayerGrades+'!$AG$6,"A-",IF(P268&lt;'PlayerGrades+'!$AG$5,"A",IF(P268&lt;'PlayerGrades+'!$AG$4,"A+",IF(P268&lt;'PlayerGrades+'!$AG$3,"S-",IF(P268&lt;'PlayerGrades+'!$AG$2,"S","S+"))))))))))))))))))))</f>
        <v>#DIV/0!</v>
      </c>
      <c r="R268" s="961" t="str">
        <f t="shared" si="8"/>
        <v>#DIV/0!</v>
      </c>
      <c r="S268" s="961" t="str">
        <f>IF(R268&lt;'PlayerGrades+'!$AH$21,"F-",IF(R268&lt;'PlayerGrades+'!$AH$20,"F",IF(R268&lt;'PlayerGrades+'!$AH$19,"F+",IF(R268&lt;'PlayerGrades+'!$AH$18,"E-",IF(R268&lt;'PlayerGrades+'!$AH$17,"E",IF(R268&lt;'PlayerGrades+'!$AH$16,"E+",IF(R268&lt;'PlayerGrades+'!$AH$15,"D-",IF(R268&lt;'PlayerGrades+'!$AH$14,"D",IF(R268&lt;'PlayerGrades+'!$AH$13,"D+",IF(R268&lt;'PlayerGrades+'!$AH$12,"C-",IF(R268&lt;'PlayerGrades+'!$AH$11,"C",IF(R268&lt;'PlayerGrades+'!$AH$10,"C+",IF(R268&lt;'PlayerGrades+'!$AH$9,"B-",IF(R268&lt;'PlayerGrades+'!$AH$8,"B",IF(R268&lt;'PlayerGrades+'!$AH$7,"B+",IF(R268&lt;'PlayerGrades+'!$AH$6,"A-",IF(R268&lt;'PlayerGrades+'!$AH$5,"A",IF(R268&lt;'PlayerGrades+'!$AH$4,"A+",IF(R268&lt;'PlayerGrades+'!$AH$3,"S-",IF(R268&lt;'PlayerGrades+'!$AH$2,"S","S+"))))))))))))))))))))</f>
        <v>#DIV/0!</v>
      </c>
      <c r="T268" s="961">
        <f t="shared" si="9"/>
        <v>0</v>
      </c>
      <c r="U268" s="961" t="str">
        <f>IF(T268&lt;'PlayerGrades+'!$AI$21,"F-",IF(T268&lt;'PlayerGrades+'!$AI$20,"F",IF(T268&lt;'PlayerGrades+'!$AI$19,"F+",IF(T268&lt;'PlayerGrades+'!$AI$18,"E-",IF(T268&lt;'PlayerGrades+'!$AI$17,"E",IF(T268&lt;'PlayerGrades+'!$AI$16,"E+",IF(T268&lt;'PlayerGrades+'!$AI$15,"D-",IF(T268&lt;'PlayerGrades+'!$AI$14,"D",IF(T268&lt;'PlayerGrades+'!$AI$13,"D+",IF(T268&lt;'PlayerGrades+'!$AI$12,"C-",IF(T268&lt;'PlayerGrades+'!$AI$11,"C",IF(T268&lt;'PlayerGrades+'!$AI$10,"C+",IF(T268&lt;'PlayerGrades+'!$AI$9,"B-",IF(T268&lt;'PlayerGrades+'!$AI$8,"B",IF(T268&lt;'PlayerGrades+'!$AI$7,"B+",IF(T268&lt;'PlayerGrades+'!$AI$6,"A-",IF(T268&lt;'PlayerGrades+'!$AI$5,"A",IF(T268&lt;'PlayerGrades+'!$AI$4,"A+",IF(T268&lt;'PlayerGrades+'!$AI$3,"S-",IF(T268&lt;'PlayerGrades+'!$AI$2,"S","S+"))))))))))))))))))))</f>
        <v>F-</v>
      </c>
      <c r="AC268" s="1392"/>
    </row>
    <row r="269">
      <c r="A269" s="1391"/>
      <c r="B269" s="611" t="str">
        <f>IF(C269&lt;'PlayerGrades+'!$Y$44,"F-",IF(C269&lt;'PlayerGrades+'!$Y$43,"F",IF(C269&lt;'PlayerGrades+'!$Y$42,"F+",IF(C269&lt;'PlayerGrades+'!$Y$41,"E-",IF(C269&lt;'PlayerGrades+'!$Y$40,"E",IF(C269&lt;'PlayerGrades+'!$Y$39,"E+",IF(C269&lt;'PlayerGrades+'!$Y$38,"D-",IF(C269&lt;'PlayerGrades+'!$Y$37,"D",IF(C269&lt;'PlayerGrades+'!$Y$36,"D+",IF(C269&lt;'PlayerGrades+'!$Y$35,"C-",IF(C269&lt;'PlayerGrades+'!$Y$34,"C",IF(C269&lt;'PlayerGrades+'!$Y$33,"C+",IF(C269&lt;'PlayerGrades+'!$Y$32,"B-",IF(C269&lt;'PlayerGrades+'!$Y$31,"B",IF(C269&lt;'PlayerGrades+'!$Y$30,"B+",IF(C269&lt;'PlayerGrades+'!$Y$29,"A-",IF(C269&lt;'PlayerGrades+'!$Y$28,"A",IF(C269&lt;'PlayerGrades+'!$Y$27,"A+",IF(C269&lt;'PlayerGrades+'!$Y$26,"S-",IF(C269&lt;'PlayerGrades+'!$Y$25,"S","S+"))))))))))))))))))))</f>
        <v>#DIV/0!</v>
      </c>
      <c r="C269" s="1378" t="str">
        <f>('PlayerGrades+'!$Y$47*(VLOOKUP(E269, 'PlayerGrades+'!$X$3:$Y$23, 2, FALSE)))+('PlayerGrades+'!$Y$48*(VLOOKUP(G269, 'PlayerGrades+'!$X$3:$Y$23, 2, FALSE)))+('PlayerGrades+'!$Y$49*(VLOOKUP(I269, 'PlayerGrades+'!$X$3:$Y$23, 2, FALSE)))+('PlayerGrades+'!$Y$50*(VLOOKUP(K269, 'PlayerGrades+'!$X$3:$Y$23, 2, FALSE)))+('PlayerGrades+'!$Y$51*(VLOOKUP(M269, 'PlayerGrades+'!$X$3:$Y$23, 2, FALSE)))+('PlayerGrades+'!$Y$52*(VLOOKUP(O269, 'PlayerGrades+'!$X$3:$Y$23, 2, FALSE)))+('PlayerGrades+'!$Y$53*(VLOOKUP(Q269, 'PlayerGrades+'!$X$3:$Y$23, 2, FALSE)))+('PlayerGrades+'!$Y$54*(VLOOKUP(S269, 'PlayerGrades+'!$X$3:$Y$23, 2, FALSE)))+('PlayerGrades+'!$Y$55*(VLOOKUP(U269, 'PlayerGrades+'!$X$3:$Y$23, 2, FALSE)))</f>
        <v>#DIV/0!</v>
      </c>
      <c r="D269" s="961" t="str">
        <f t="shared" si="1"/>
        <v>#DIV/0!</v>
      </c>
      <c r="E269" s="961" t="str">
        <f>IF(D269&lt;'PlayerGrades+'!$AA$21,"F-",IF(D269&lt;'PlayerGrades+'!$AA$20,"F",IF(D269&lt;'PlayerGrades+'!$AA$19,"F+",IF(D269&lt;'PlayerGrades+'!$AA$18,"E-",IF(D269&lt;'PlayerGrades+'!$AA$17,"E",IF(D269&lt;'PlayerGrades+'!$AA$16,"E+",IF(D269&lt;'PlayerGrades+'!$AA$15,"D-",IF(D269&lt;'PlayerGrades+'!$AA$14,"D",IF(D269&lt;'PlayerGrades+'!$AA$13,"D+",IF(D269&lt;'PlayerGrades+'!$AA$12,"C-",IF(D269&lt;'PlayerGrades+'!$AA$11,"C",IF(D269&lt;'PlayerGrades+'!$AA$10,"C+",IF(D269&lt;'PlayerGrades+'!$AA$9,"B-",IF(D269&lt;'PlayerGrades+'!$AA$8,"B",IF(D269&lt;'PlayerGrades+'!$AA$7,"B+",IF(D269&lt;'PlayerGrades+'!$AA$6,"A-",IF(D269&lt;'PlayerGrades+'!$AA$5,"A",IF(D269&lt;'PlayerGrades+'!$AA$4,"A+",IF(D269&lt;'PlayerGrades+'!$AA$3,"S-",IF(D269&lt;'PlayerGrades+'!$AA$2,"S","S+"))))))))))))))))))))</f>
        <v>#DIV/0!</v>
      </c>
      <c r="F269" s="961" t="str">
        <f t="shared" si="2"/>
        <v>#DIV/0!</v>
      </c>
      <c r="G269" s="961" t="str">
        <f>IF(F269&lt;'PlayerGrades+'!$AB$21,"F-",IF(F269&lt;'PlayerGrades+'!$AB$20,"F",IF(F269&lt;'PlayerGrades+'!$AB$19,"F+",IF(F269&lt;'PlayerGrades+'!$AB$18,"E-",IF(F269&lt;'PlayerGrades+'!$AB$17,"E",IF(F269&lt;'PlayerGrades+'!$AB$16,"E+",IF(F269&lt;'PlayerGrades+'!$AB$15,"D-",IF(F269&lt;'PlayerGrades+'!$AB$14,"D",IF(F269&lt;'PlayerGrades+'!$AB$13,"D+",IF(F269&lt;'PlayerGrades+'!$AB$12,"C-",IF(F269&lt;'PlayerGrades+'!$AB$11,"C",IF(F269&lt;'PlayerGrades+'!$AB$10,"C+",IF(F269&lt;'PlayerGrades+'!$AB$9,"B-",IF(F269&lt;'PlayerGrades+'!$AB$8,"B",IF(F269&lt;'PlayerGrades+'!$AB$7,"B+",IF(F269&lt;'PlayerGrades+'!$AB$6,"A-",IF(F269&lt;'PlayerGrades+'!$AB$5,"A",IF(F269&lt;'PlayerGrades+'!$AB$4,"A+",IF(F269&lt;'PlayerGrades+'!$AB$3,"S-",IF(F269&lt;'PlayerGrades+'!$AB$2,"S","S+"))))))))))))))))))))</f>
        <v>#DIV/0!</v>
      </c>
      <c r="H269" s="961" t="str">
        <f t="shared" si="3"/>
        <v>#DIV/0!</v>
      </c>
      <c r="I269" s="961" t="str">
        <f>IF(H269&lt;'PlayerGrades+'!$AC$21,"F-",IF(H269&lt;'PlayerGrades+'!$AC$20,"F",IF(H269&lt;'PlayerGrades+'!$AC$19,"F+",IF(H269&lt;'PlayerGrades+'!$AC$18,"E-",IF(H269&lt;'PlayerGrades+'!$AC$17,"E",IF(H269&lt;'PlayerGrades+'!$AC$16,"E+",IF(H269&lt;'PlayerGrades+'!$AC$15,"D-",IF(H269&lt;'PlayerGrades+'!$AC$14,"D",IF(H269&lt;'PlayerGrades+'!$AC$13,"D+",IF(H269&lt;'PlayerGrades+'!$AC$12,"C-",IF(H269&lt;'PlayerGrades+'!$AC$11,"C",IF(H269&lt;'PlayerGrades+'!$AC$10,"C+",IF(H269&lt;'PlayerGrades+'!$AC$9,"B-",IF(H269&lt;'PlayerGrades+'!$AC$8,"B",IF(H269&lt;'PlayerGrades+'!$AC$7,"B+",IF(H269&lt;'PlayerGrades+'!$AC$6,"A-",IF(H269&lt;'PlayerGrades+'!$AC$5,"A",IF(H269&lt;'PlayerGrades+'!$AC$4,"A+",IF(H269&lt;'PlayerGrades+'!$AC$3,"S-",IF(H269&lt;'PlayerGrades+'!$AC$2,"S","S+"))))))))))))))))))))</f>
        <v>#DIV/0!</v>
      </c>
      <c r="J269" s="961" t="str">
        <f t="shared" si="4"/>
        <v>#DIV/0!</v>
      </c>
      <c r="K269" s="961" t="str">
        <f>IF(J269&lt;'PlayerGrades+'!$AD$21,"F-",IF(J269&lt;'PlayerGrades+'!$AD$20,"F",IF(J269&lt;'PlayerGrades+'!$AD$19,"F+",IF(J269&lt;'PlayerGrades+'!$AD$18,"E-",IF(J269&lt;'PlayerGrades+'!$AD$17,"E",IF(J269&lt;'PlayerGrades+'!$AD$16,"E+",IF(J269&lt;'PlayerGrades+'!$AD$15,"D-",IF(J269&lt;'PlayerGrades+'!$AD$14,"D",IF(J269&lt;'PlayerGrades+'!$AD$13,"D+",IF(J269&lt;'PlayerGrades+'!$AD$12,"C-",IF(J269&lt;'PlayerGrades+'!$AD$11,"C",IF(J269&lt;'PlayerGrades+'!$AD$10,"C+",IF(J269&lt;'PlayerGrades+'!$AD$9,"B-",IF(J269&lt;'PlayerGrades+'!$AD$8,"B",IF(J269&lt;'PlayerGrades+'!$AD$7,"B+",IF(J269&lt;'PlayerGrades+'!$AD$6,"A-",IF(J269&lt;'PlayerGrades+'!$AD$5,"A",IF(J269&lt;'PlayerGrades+'!$AD$4,"A+",IF(J269&lt;'PlayerGrades+'!$AD$3,"S-",IF(J269&lt;'PlayerGrades+'!$AD$2,"S","S+"))))))))))))))))))))</f>
        <v>#DIV/0!</v>
      </c>
      <c r="L269" s="1176" t="str">
        <f t="shared" si="5"/>
        <v>#DIV/0!</v>
      </c>
      <c r="M269" s="992" t="str">
        <f>IF(L269&lt;'PlayerGrades+'!$AE$21,"F-",IF(L269&lt;'PlayerGrades+'!$AE$20,"F",IF(L269&lt;'PlayerGrades+'!$AE$19,"F+",IF(L269&lt;'PlayerGrades+'!$AE$18,"E-",IF(L269&lt;'PlayerGrades+'!$AE$17,"E",IF(L269&lt;'PlayerGrades+'!$AE$16,"E+",IF(L269&lt;'PlayerGrades+'!$AE$15,"D-",IF(L269&lt;'PlayerGrades+'!$AE$14,"D",IF(L269&lt;'PlayerGrades+'!$AE$13,"D+",IF(L269&lt;'PlayerGrades+'!$AE$12,"C-",IF(L269&lt;'PlayerGrades+'!$AE$11,"C",IF(L269&lt;'PlayerGrades+'!$AE$10,"C+",IF(L269&lt;'PlayerGrades+'!$AE$9,"B-",IF(L269&lt;'PlayerGrades+'!$AE$8,"B",IF(L269&lt;'PlayerGrades+'!$AE$7,"B+",IF(L269&lt;'PlayerGrades+'!$AE$6,"A-",IF(L269&lt;'PlayerGrades+'!$AE$5,"A",IF(L269&lt;'PlayerGrades+'!$AE$4,"A+",IF(L269&lt;'PlayerGrades+'!$AE$3,"S-",IF(L269&lt;'PlayerGrades+'!$AE$2,"S","S+"))))))))))))))))))))</f>
        <v>#DIV/0!</v>
      </c>
      <c r="N269" s="961" t="str">
        <f t="shared" si="6"/>
        <v>#DIV/0!</v>
      </c>
      <c r="O269" s="961" t="str">
        <f>IF(N269&lt;'PlayerGrades+'!$AF$21,"F-",IF(N269&lt;'PlayerGrades+'!$AF$20,"F",IF(N269&lt;'PlayerGrades+'!$AF$19,"F+",IF(N269&lt;'PlayerGrades+'!$AF$18,"E-",IF(N269&lt;'PlayerGrades+'!$AF$17,"E",IF(N269&lt;'PlayerGrades+'!$AF$16,"E+",IF(N269&lt;'PlayerGrades+'!$AF$15,"D-",IF(N269&lt;'PlayerGrades+'!$AF$14,"D",IF(N269&lt;'PlayerGrades+'!$AF$13,"D+",IF(N269&lt;'PlayerGrades+'!$AF$12,"C-",IF(N269&lt;'PlayerGrades+'!$AF$11,"C",IF(N269&lt;'PlayerGrades+'!$AF$10,"C+",IF(N269&lt;'PlayerGrades+'!$AF$9,"B-",IF(N269&lt;'PlayerGrades+'!$AF$8,"B",IF(N269&lt;'PlayerGrades+'!$AF$7,"B+",IF(N269&lt;'PlayerGrades+'!$AF$6,"A-",IF(N269&lt;'PlayerGrades+'!$AF$5,"A",IF(N269&lt;'PlayerGrades+'!$AF$4,"A+",IF(N269&lt;'PlayerGrades+'!$AF$3,"S-",IF(N269&lt;'PlayerGrades+'!$AF$2,"S","S+"))))))))))))))))))))</f>
        <v>#DIV/0!</v>
      </c>
      <c r="P269" s="961" t="str">
        <f t="shared" si="7"/>
        <v>#DIV/0!</v>
      </c>
      <c r="Q269" s="961" t="str">
        <f>IF(P269&lt;'PlayerGrades+'!$AG$21,"F-",IF(P269&lt;'PlayerGrades+'!$AG$20,"F",IF(P269&lt;'PlayerGrades+'!$AG$19,"F+",IF(P269&lt;'PlayerGrades+'!$AG$18,"E-",IF(P269&lt;'PlayerGrades+'!$AG$17,"E",IF(P269&lt;'PlayerGrades+'!$AG$16,"E+",IF(P269&lt;'PlayerGrades+'!$AG$15,"D-",IF(P269&lt;'PlayerGrades+'!$AG$14,"D",IF(P269&lt;'PlayerGrades+'!$AG$13,"D+",IF(P269&lt;'PlayerGrades+'!$AG$12,"C-",IF(P269&lt;'PlayerGrades+'!$AG$11,"C",IF(P269&lt;'PlayerGrades+'!$AG$10,"C+",IF(P269&lt;'PlayerGrades+'!$AG$9,"B-",IF(P269&lt;'PlayerGrades+'!$AG$8,"B",IF(P269&lt;'PlayerGrades+'!$AG$7,"B+",IF(P269&lt;'PlayerGrades+'!$AG$6,"A-",IF(P269&lt;'PlayerGrades+'!$AG$5,"A",IF(P269&lt;'PlayerGrades+'!$AG$4,"A+",IF(P269&lt;'PlayerGrades+'!$AG$3,"S-",IF(P269&lt;'PlayerGrades+'!$AG$2,"S","S+"))))))))))))))))))))</f>
        <v>#DIV/0!</v>
      </c>
      <c r="R269" s="961" t="str">
        <f t="shared" si="8"/>
        <v>#DIV/0!</v>
      </c>
      <c r="S269" s="961" t="str">
        <f>IF(R269&lt;'PlayerGrades+'!$AH$21,"F-",IF(R269&lt;'PlayerGrades+'!$AH$20,"F",IF(R269&lt;'PlayerGrades+'!$AH$19,"F+",IF(R269&lt;'PlayerGrades+'!$AH$18,"E-",IF(R269&lt;'PlayerGrades+'!$AH$17,"E",IF(R269&lt;'PlayerGrades+'!$AH$16,"E+",IF(R269&lt;'PlayerGrades+'!$AH$15,"D-",IF(R269&lt;'PlayerGrades+'!$AH$14,"D",IF(R269&lt;'PlayerGrades+'!$AH$13,"D+",IF(R269&lt;'PlayerGrades+'!$AH$12,"C-",IF(R269&lt;'PlayerGrades+'!$AH$11,"C",IF(R269&lt;'PlayerGrades+'!$AH$10,"C+",IF(R269&lt;'PlayerGrades+'!$AH$9,"B-",IF(R269&lt;'PlayerGrades+'!$AH$8,"B",IF(R269&lt;'PlayerGrades+'!$AH$7,"B+",IF(R269&lt;'PlayerGrades+'!$AH$6,"A-",IF(R269&lt;'PlayerGrades+'!$AH$5,"A",IF(R269&lt;'PlayerGrades+'!$AH$4,"A+",IF(R269&lt;'PlayerGrades+'!$AH$3,"S-",IF(R269&lt;'PlayerGrades+'!$AH$2,"S","S+"))))))))))))))))))))</f>
        <v>#DIV/0!</v>
      </c>
      <c r="T269" s="961">
        <f t="shared" si="9"/>
        <v>0</v>
      </c>
      <c r="U269" s="961" t="str">
        <f>IF(T269&lt;'PlayerGrades+'!$AI$21,"F-",IF(T269&lt;'PlayerGrades+'!$AI$20,"F",IF(T269&lt;'PlayerGrades+'!$AI$19,"F+",IF(T269&lt;'PlayerGrades+'!$AI$18,"E-",IF(T269&lt;'PlayerGrades+'!$AI$17,"E",IF(T269&lt;'PlayerGrades+'!$AI$16,"E+",IF(T269&lt;'PlayerGrades+'!$AI$15,"D-",IF(T269&lt;'PlayerGrades+'!$AI$14,"D",IF(T269&lt;'PlayerGrades+'!$AI$13,"D+",IF(T269&lt;'PlayerGrades+'!$AI$12,"C-",IF(T269&lt;'PlayerGrades+'!$AI$11,"C",IF(T269&lt;'PlayerGrades+'!$AI$10,"C+",IF(T269&lt;'PlayerGrades+'!$AI$9,"B-",IF(T269&lt;'PlayerGrades+'!$AI$8,"B",IF(T269&lt;'PlayerGrades+'!$AI$7,"B+",IF(T269&lt;'PlayerGrades+'!$AI$6,"A-",IF(T269&lt;'PlayerGrades+'!$AI$5,"A",IF(T269&lt;'PlayerGrades+'!$AI$4,"A+",IF(T269&lt;'PlayerGrades+'!$AI$3,"S-",IF(T269&lt;'PlayerGrades+'!$AI$2,"S","S+"))))))))))))))))))))</f>
        <v>F-</v>
      </c>
      <c r="AC269" s="1392"/>
    </row>
    <row r="270">
      <c r="A270" s="1391"/>
      <c r="B270" s="611" t="str">
        <f>IF(C270&lt;'PlayerGrades+'!$Y$44,"F-",IF(C270&lt;'PlayerGrades+'!$Y$43,"F",IF(C270&lt;'PlayerGrades+'!$Y$42,"F+",IF(C270&lt;'PlayerGrades+'!$Y$41,"E-",IF(C270&lt;'PlayerGrades+'!$Y$40,"E",IF(C270&lt;'PlayerGrades+'!$Y$39,"E+",IF(C270&lt;'PlayerGrades+'!$Y$38,"D-",IF(C270&lt;'PlayerGrades+'!$Y$37,"D",IF(C270&lt;'PlayerGrades+'!$Y$36,"D+",IF(C270&lt;'PlayerGrades+'!$Y$35,"C-",IF(C270&lt;'PlayerGrades+'!$Y$34,"C",IF(C270&lt;'PlayerGrades+'!$Y$33,"C+",IF(C270&lt;'PlayerGrades+'!$Y$32,"B-",IF(C270&lt;'PlayerGrades+'!$Y$31,"B",IF(C270&lt;'PlayerGrades+'!$Y$30,"B+",IF(C270&lt;'PlayerGrades+'!$Y$29,"A-",IF(C270&lt;'PlayerGrades+'!$Y$28,"A",IF(C270&lt;'PlayerGrades+'!$Y$27,"A+",IF(C270&lt;'PlayerGrades+'!$Y$26,"S-",IF(C270&lt;'PlayerGrades+'!$Y$25,"S","S+"))))))))))))))))))))</f>
        <v>#DIV/0!</v>
      </c>
      <c r="C270" s="1378" t="str">
        <f>('PlayerGrades+'!$Y$47*(VLOOKUP(E270, 'PlayerGrades+'!$X$3:$Y$23, 2, FALSE)))+('PlayerGrades+'!$Y$48*(VLOOKUP(G270, 'PlayerGrades+'!$X$3:$Y$23, 2, FALSE)))+('PlayerGrades+'!$Y$49*(VLOOKUP(I270, 'PlayerGrades+'!$X$3:$Y$23, 2, FALSE)))+('PlayerGrades+'!$Y$50*(VLOOKUP(K270, 'PlayerGrades+'!$X$3:$Y$23, 2, FALSE)))+('PlayerGrades+'!$Y$51*(VLOOKUP(M270, 'PlayerGrades+'!$X$3:$Y$23, 2, FALSE)))+('PlayerGrades+'!$Y$52*(VLOOKUP(O270, 'PlayerGrades+'!$X$3:$Y$23, 2, FALSE)))+('PlayerGrades+'!$Y$53*(VLOOKUP(Q270, 'PlayerGrades+'!$X$3:$Y$23, 2, FALSE)))+('PlayerGrades+'!$Y$54*(VLOOKUP(S270, 'PlayerGrades+'!$X$3:$Y$23, 2, FALSE)))+('PlayerGrades+'!$Y$55*(VLOOKUP(U270, 'PlayerGrades+'!$X$3:$Y$23, 2, FALSE)))</f>
        <v>#DIV/0!</v>
      </c>
      <c r="D270" s="961" t="str">
        <f t="shared" si="1"/>
        <v>#DIV/0!</v>
      </c>
      <c r="E270" s="961" t="str">
        <f>IF(D270&lt;'PlayerGrades+'!$AA$21,"F-",IF(D270&lt;'PlayerGrades+'!$AA$20,"F",IF(D270&lt;'PlayerGrades+'!$AA$19,"F+",IF(D270&lt;'PlayerGrades+'!$AA$18,"E-",IF(D270&lt;'PlayerGrades+'!$AA$17,"E",IF(D270&lt;'PlayerGrades+'!$AA$16,"E+",IF(D270&lt;'PlayerGrades+'!$AA$15,"D-",IF(D270&lt;'PlayerGrades+'!$AA$14,"D",IF(D270&lt;'PlayerGrades+'!$AA$13,"D+",IF(D270&lt;'PlayerGrades+'!$AA$12,"C-",IF(D270&lt;'PlayerGrades+'!$AA$11,"C",IF(D270&lt;'PlayerGrades+'!$AA$10,"C+",IF(D270&lt;'PlayerGrades+'!$AA$9,"B-",IF(D270&lt;'PlayerGrades+'!$AA$8,"B",IF(D270&lt;'PlayerGrades+'!$AA$7,"B+",IF(D270&lt;'PlayerGrades+'!$AA$6,"A-",IF(D270&lt;'PlayerGrades+'!$AA$5,"A",IF(D270&lt;'PlayerGrades+'!$AA$4,"A+",IF(D270&lt;'PlayerGrades+'!$AA$3,"S-",IF(D270&lt;'PlayerGrades+'!$AA$2,"S","S+"))))))))))))))))))))</f>
        <v>#DIV/0!</v>
      </c>
      <c r="F270" s="961" t="str">
        <f t="shared" si="2"/>
        <v>#DIV/0!</v>
      </c>
      <c r="G270" s="961" t="str">
        <f>IF(F270&lt;'PlayerGrades+'!$AB$21,"F-",IF(F270&lt;'PlayerGrades+'!$AB$20,"F",IF(F270&lt;'PlayerGrades+'!$AB$19,"F+",IF(F270&lt;'PlayerGrades+'!$AB$18,"E-",IF(F270&lt;'PlayerGrades+'!$AB$17,"E",IF(F270&lt;'PlayerGrades+'!$AB$16,"E+",IF(F270&lt;'PlayerGrades+'!$AB$15,"D-",IF(F270&lt;'PlayerGrades+'!$AB$14,"D",IF(F270&lt;'PlayerGrades+'!$AB$13,"D+",IF(F270&lt;'PlayerGrades+'!$AB$12,"C-",IF(F270&lt;'PlayerGrades+'!$AB$11,"C",IF(F270&lt;'PlayerGrades+'!$AB$10,"C+",IF(F270&lt;'PlayerGrades+'!$AB$9,"B-",IF(F270&lt;'PlayerGrades+'!$AB$8,"B",IF(F270&lt;'PlayerGrades+'!$AB$7,"B+",IF(F270&lt;'PlayerGrades+'!$AB$6,"A-",IF(F270&lt;'PlayerGrades+'!$AB$5,"A",IF(F270&lt;'PlayerGrades+'!$AB$4,"A+",IF(F270&lt;'PlayerGrades+'!$AB$3,"S-",IF(F270&lt;'PlayerGrades+'!$AB$2,"S","S+"))))))))))))))))))))</f>
        <v>#DIV/0!</v>
      </c>
      <c r="H270" s="961" t="str">
        <f t="shared" si="3"/>
        <v>#DIV/0!</v>
      </c>
      <c r="I270" s="961" t="str">
        <f>IF(H270&lt;'PlayerGrades+'!$AC$21,"F-",IF(H270&lt;'PlayerGrades+'!$AC$20,"F",IF(H270&lt;'PlayerGrades+'!$AC$19,"F+",IF(H270&lt;'PlayerGrades+'!$AC$18,"E-",IF(H270&lt;'PlayerGrades+'!$AC$17,"E",IF(H270&lt;'PlayerGrades+'!$AC$16,"E+",IF(H270&lt;'PlayerGrades+'!$AC$15,"D-",IF(H270&lt;'PlayerGrades+'!$AC$14,"D",IF(H270&lt;'PlayerGrades+'!$AC$13,"D+",IF(H270&lt;'PlayerGrades+'!$AC$12,"C-",IF(H270&lt;'PlayerGrades+'!$AC$11,"C",IF(H270&lt;'PlayerGrades+'!$AC$10,"C+",IF(H270&lt;'PlayerGrades+'!$AC$9,"B-",IF(H270&lt;'PlayerGrades+'!$AC$8,"B",IF(H270&lt;'PlayerGrades+'!$AC$7,"B+",IF(H270&lt;'PlayerGrades+'!$AC$6,"A-",IF(H270&lt;'PlayerGrades+'!$AC$5,"A",IF(H270&lt;'PlayerGrades+'!$AC$4,"A+",IF(H270&lt;'PlayerGrades+'!$AC$3,"S-",IF(H270&lt;'PlayerGrades+'!$AC$2,"S","S+"))))))))))))))))))))</f>
        <v>#DIV/0!</v>
      </c>
      <c r="J270" s="961" t="str">
        <f t="shared" si="4"/>
        <v>#DIV/0!</v>
      </c>
      <c r="K270" s="961" t="str">
        <f>IF(J270&lt;'PlayerGrades+'!$AD$21,"F-",IF(J270&lt;'PlayerGrades+'!$AD$20,"F",IF(J270&lt;'PlayerGrades+'!$AD$19,"F+",IF(J270&lt;'PlayerGrades+'!$AD$18,"E-",IF(J270&lt;'PlayerGrades+'!$AD$17,"E",IF(J270&lt;'PlayerGrades+'!$AD$16,"E+",IF(J270&lt;'PlayerGrades+'!$AD$15,"D-",IF(J270&lt;'PlayerGrades+'!$AD$14,"D",IF(J270&lt;'PlayerGrades+'!$AD$13,"D+",IF(J270&lt;'PlayerGrades+'!$AD$12,"C-",IF(J270&lt;'PlayerGrades+'!$AD$11,"C",IF(J270&lt;'PlayerGrades+'!$AD$10,"C+",IF(J270&lt;'PlayerGrades+'!$AD$9,"B-",IF(J270&lt;'PlayerGrades+'!$AD$8,"B",IF(J270&lt;'PlayerGrades+'!$AD$7,"B+",IF(J270&lt;'PlayerGrades+'!$AD$6,"A-",IF(J270&lt;'PlayerGrades+'!$AD$5,"A",IF(J270&lt;'PlayerGrades+'!$AD$4,"A+",IF(J270&lt;'PlayerGrades+'!$AD$3,"S-",IF(J270&lt;'PlayerGrades+'!$AD$2,"S","S+"))))))))))))))))))))</f>
        <v>#DIV/0!</v>
      </c>
      <c r="L270" s="1176" t="str">
        <f t="shared" si="5"/>
        <v>#DIV/0!</v>
      </c>
      <c r="M270" s="992" t="str">
        <f>IF(L270&lt;'PlayerGrades+'!$AE$21,"F-",IF(L270&lt;'PlayerGrades+'!$AE$20,"F",IF(L270&lt;'PlayerGrades+'!$AE$19,"F+",IF(L270&lt;'PlayerGrades+'!$AE$18,"E-",IF(L270&lt;'PlayerGrades+'!$AE$17,"E",IF(L270&lt;'PlayerGrades+'!$AE$16,"E+",IF(L270&lt;'PlayerGrades+'!$AE$15,"D-",IF(L270&lt;'PlayerGrades+'!$AE$14,"D",IF(L270&lt;'PlayerGrades+'!$AE$13,"D+",IF(L270&lt;'PlayerGrades+'!$AE$12,"C-",IF(L270&lt;'PlayerGrades+'!$AE$11,"C",IF(L270&lt;'PlayerGrades+'!$AE$10,"C+",IF(L270&lt;'PlayerGrades+'!$AE$9,"B-",IF(L270&lt;'PlayerGrades+'!$AE$8,"B",IF(L270&lt;'PlayerGrades+'!$AE$7,"B+",IF(L270&lt;'PlayerGrades+'!$AE$6,"A-",IF(L270&lt;'PlayerGrades+'!$AE$5,"A",IF(L270&lt;'PlayerGrades+'!$AE$4,"A+",IF(L270&lt;'PlayerGrades+'!$AE$3,"S-",IF(L270&lt;'PlayerGrades+'!$AE$2,"S","S+"))))))))))))))))))))</f>
        <v>#DIV/0!</v>
      </c>
      <c r="N270" s="961" t="str">
        <f t="shared" si="6"/>
        <v>#DIV/0!</v>
      </c>
      <c r="O270" s="961" t="str">
        <f>IF(N270&lt;'PlayerGrades+'!$AF$21,"F-",IF(N270&lt;'PlayerGrades+'!$AF$20,"F",IF(N270&lt;'PlayerGrades+'!$AF$19,"F+",IF(N270&lt;'PlayerGrades+'!$AF$18,"E-",IF(N270&lt;'PlayerGrades+'!$AF$17,"E",IF(N270&lt;'PlayerGrades+'!$AF$16,"E+",IF(N270&lt;'PlayerGrades+'!$AF$15,"D-",IF(N270&lt;'PlayerGrades+'!$AF$14,"D",IF(N270&lt;'PlayerGrades+'!$AF$13,"D+",IF(N270&lt;'PlayerGrades+'!$AF$12,"C-",IF(N270&lt;'PlayerGrades+'!$AF$11,"C",IF(N270&lt;'PlayerGrades+'!$AF$10,"C+",IF(N270&lt;'PlayerGrades+'!$AF$9,"B-",IF(N270&lt;'PlayerGrades+'!$AF$8,"B",IF(N270&lt;'PlayerGrades+'!$AF$7,"B+",IF(N270&lt;'PlayerGrades+'!$AF$6,"A-",IF(N270&lt;'PlayerGrades+'!$AF$5,"A",IF(N270&lt;'PlayerGrades+'!$AF$4,"A+",IF(N270&lt;'PlayerGrades+'!$AF$3,"S-",IF(N270&lt;'PlayerGrades+'!$AF$2,"S","S+"))))))))))))))))))))</f>
        <v>#DIV/0!</v>
      </c>
      <c r="P270" s="961" t="str">
        <f t="shared" si="7"/>
        <v>#DIV/0!</v>
      </c>
      <c r="Q270" s="961" t="str">
        <f>IF(P270&lt;'PlayerGrades+'!$AG$21,"F-",IF(P270&lt;'PlayerGrades+'!$AG$20,"F",IF(P270&lt;'PlayerGrades+'!$AG$19,"F+",IF(P270&lt;'PlayerGrades+'!$AG$18,"E-",IF(P270&lt;'PlayerGrades+'!$AG$17,"E",IF(P270&lt;'PlayerGrades+'!$AG$16,"E+",IF(P270&lt;'PlayerGrades+'!$AG$15,"D-",IF(P270&lt;'PlayerGrades+'!$AG$14,"D",IF(P270&lt;'PlayerGrades+'!$AG$13,"D+",IF(P270&lt;'PlayerGrades+'!$AG$12,"C-",IF(P270&lt;'PlayerGrades+'!$AG$11,"C",IF(P270&lt;'PlayerGrades+'!$AG$10,"C+",IF(P270&lt;'PlayerGrades+'!$AG$9,"B-",IF(P270&lt;'PlayerGrades+'!$AG$8,"B",IF(P270&lt;'PlayerGrades+'!$AG$7,"B+",IF(P270&lt;'PlayerGrades+'!$AG$6,"A-",IF(P270&lt;'PlayerGrades+'!$AG$5,"A",IF(P270&lt;'PlayerGrades+'!$AG$4,"A+",IF(P270&lt;'PlayerGrades+'!$AG$3,"S-",IF(P270&lt;'PlayerGrades+'!$AG$2,"S","S+"))))))))))))))))))))</f>
        <v>#DIV/0!</v>
      </c>
      <c r="R270" s="961" t="str">
        <f t="shared" si="8"/>
        <v>#DIV/0!</v>
      </c>
      <c r="S270" s="961" t="str">
        <f>IF(R270&lt;'PlayerGrades+'!$AH$21,"F-",IF(R270&lt;'PlayerGrades+'!$AH$20,"F",IF(R270&lt;'PlayerGrades+'!$AH$19,"F+",IF(R270&lt;'PlayerGrades+'!$AH$18,"E-",IF(R270&lt;'PlayerGrades+'!$AH$17,"E",IF(R270&lt;'PlayerGrades+'!$AH$16,"E+",IF(R270&lt;'PlayerGrades+'!$AH$15,"D-",IF(R270&lt;'PlayerGrades+'!$AH$14,"D",IF(R270&lt;'PlayerGrades+'!$AH$13,"D+",IF(R270&lt;'PlayerGrades+'!$AH$12,"C-",IF(R270&lt;'PlayerGrades+'!$AH$11,"C",IF(R270&lt;'PlayerGrades+'!$AH$10,"C+",IF(R270&lt;'PlayerGrades+'!$AH$9,"B-",IF(R270&lt;'PlayerGrades+'!$AH$8,"B",IF(R270&lt;'PlayerGrades+'!$AH$7,"B+",IF(R270&lt;'PlayerGrades+'!$AH$6,"A-",IF(R270&lt;'PlayerGrades+'!$AH$5,"A",IF(R270&lt;'PlayerGrades+'!$AH$4,"A+",IF(R270&lt;'PlayerGrades+'!$AH$3,"S-",IF(R270&lt;'PlayerGrades+'!$AH$2,"S","S+"))))))))))))))))))))</f>
        <v>#DIV/0!</v>
      </c>
      <c r="T270" s="961">
        <f t="shared" si="9"/>
        <v>0</v>
      </c>
      <c r="U270" s="961" t="str">
        <f>IF(T270&lt;'PlayerGrades+'!$AI$21,"F-",IF(T270&lt;'PlayerGrades+'!$AI$20,"F",IF(T270&lt;'PlayerGrades+'!$AI$19,"F+",IF(T270&lt;'PlayerGrades+'!$AI$18,"E-",IF(T270&lt;'PlayerGrades+'!$AI$17,"E",IF(T270&lt;'PlayerGrades+'!$AI$16,"E+",IF(T270&lt;'PlayerGrades+'!$AI$15,"D-",IF(T270&lt;'PlayerGrades+'!$AI$14,"D",IF(T270&lt;'PlayerGrades+'!$AI$13,"D+",IF(T270&lt;'PlayerGrades+'!$AI$12,"C-",IF(T270&lt;'PlayerGrades+'!$AI$11,"C",IF(T270&lt;'PlayerGrades+'!$AI$10,"C+",IF(T270&lt;'PlayerGrades+'!$AI$9,"B-",IF(T270&lt;'PlayerGrades+'!$AI$8,"B",IF(T270&lt;'PlayerGrades+'!$AI$7,"B+",IF(T270&lt;'PlayerGrades+'!$AI$6,"A-",IF(T270&lt;'PlayerGrades+'!$AI$5,"A",IF(T270&lt;'PlayerGrades+'!$AI$4,"A+",IF(T270&lt;'PlayerGrades+'!$AI$3,"S-",IF(T270&lt;'PlayerGrades+'!$AI$2,"S","S+"))))))))))))))))))))</f>
        <v>F-</v>
      </c>
      <c r="AC270" s="1392"/>
    </row>
    <row r="271">
      <c r="A271" s="1391"/>
      <c r="B271" s="611" t="str">
        <f>IF(C271&lt;'PlayerGrades+'!$Y$44,"F-",IF(C271&lt;'PlayerGrades+'!$Y$43,"F",IF(C271&lt;'PlayerGrades+'!$Y$42,"F+",IF(C271&lt;'PlayerGrades+'!$Y$41,"E-",IF(C271&lt;'PlayerGrades+'!$Y$40,"E",IF(C271&lt;'PlayerGrades+'!$Y$39,"E+",IF(C271&lt;'PlayerGrades+'!$Y$38,"D-",IF(C271&lt;'PlayerGrades+'!$Y$37,"D",IF(C271&lt;'PlayerGrades+'!$Y$36,"D+",IF(C271&lt;'PlayerGrades+'!$Y$35,"C-",IF(C271&lt;'PlayerGrades+'!$Y$34,"C",IF(C271&lt;'PlayerGrades+'!$Y$33,"C+",IF(C271&lt;'PlayerGrades+'!$Y$32,"B-",IF(C271&lt;'PlayerGrades+'!$Y$31,"B",IF(C271&lt;'PlayerGrades+'!$Y$30,"B+",IF(C271&lt;'PlayerGrades+'!$Y$29,"A-",IF(C271&lt;'PlayerGrades+'!$Y$28,"A",IF(C271&lt;'PlayerGrades+'!$Y$27,"A+",IF(C271&lt;'PlayerGrades+'!$Y$26,"S-",IF(C271&lt;'PlayerGrades+'!$Y$25,"S","S+"))))))))))))))))))))</f>
        <v>#DIV/0!</v>
      </c>
      <c r="C271" s="1378" t="str">
        <f>('PlayerGrades+'!$Y$47*(VLOOKUP(E271, 'PlayerGrades+'!$X$3:$Y$23, 2, FALSE)))+('PlayerGrades+'!$Y$48*(VLOOKUP(G271, 'PlayerGrades+'!$X$3:$Y$23, 2, FALSE)))+('PlayerGrades+'!$Y$49*(VLOOKUP(I271, 'PlayerGrades+'!$X$3:$Y$23, 2, FALSE)))+('PlayerGrades+'!$Y$50*(VLOOKUP(K271, 'PlayerGrades+'!$X$3:$Y$23, 2, FALSE)))+('PlayerGrades+'!$Y$51*(VLOOKUP(M271, 'PlayerGrades+'!$X$3:$Y$23, 2, FALSE)))+('PlayerGrades+'!$Y$52*(VLOOKUP(O271, 'PlayerGrades+'!$X$3:$Y$23, 2, FALSE)))+('PlayerGrades+'!$Y$53*(VLOOKUP(Q271, 'PlayerGrades+'!$X$3:$Y$23, 2, FALSE)))+('PlayerGrades+'!$Y$54*(VLOOKUP(S271, 'PlayerGrades+'!$X$3:$Y$23, 2, FALSE)))+('PlayerGrades+'!$Y$55*(VLOOKUP(U271, 'PlayerGrades+'!$X$3:$Y$23, 2, FALSE)))</f>
        <v>#DIV/0!</v>
      </c>
      <c r="D271" s="961" t="str">
        <f t="shared" si="1"/>
        <v>#DIV/0!</v>
      </c>
      <c r="E271" s="961" t="str">
        <f>IF(D271&lt;'PlayerGrades+'!$AA$21,"F-",IF(D271&lt;'PlayerGrades+'!$AA$20,"F",IF(D271&lt;'PlayerGrades+'!$AA$19,"F+",IF(D271&lt;'PlayerGrades+'!$AA$18,"E-",IF(D271&lt;'PlayerGrades+'!$AA$17,"E",IF(D271&lt;'PlayerGrades+'!$AA$16,"E+",IF(D271&lt;'PlayerGrades+'!$AA$15,"D-",IF(D271&lt;'PlayerGrades+'!$AA$14,"D",IF(D271&lt;'PlayerGrades+'!$AA$13,"D+",IF(D271&lt;'PlayerGrades+'!$AA$12,"C-",IF(D271&lt;'PlayerGrades+'!$AA$11,"C",IF(D271&lt;'PlayerGrades+'!$AA$10,"C+",IF(D271&lt;'PlayerGrades+'!$AA$9,"B-",IF(D271&lt;'PlayerGrades+'!$AA$8,"B",IF(D271&lt;'PlayerGrades+'!$AA$7,"B+",IF(D271&lt;'PlayerGrades+'!$AA$6,"A-",IF(D271&lt;'PlayerGrades+'!$AA$5,"A",IF(D271&lt;'PlayerGrades+'!$AA$4,"A+",IF(D271&lt;'PlayerGrades+'!$AA$3,"S-",IF(D271&lt;'PlayerGrades+'!$AA$2,"S","S+"))))))))))))))))))))</f>
        <v>#DIV/0!</v>
      </c>
      <c r="F271" s="961" t="str">
        <f t="shared" si="2"/>
        <v>#DIV/0!</v>
      </c>
      <c r="G271" s="961" t="str">
        <f>IF(F271&lt;'PlayerGrades+'!$AB$21,"F-",IF(F271&lt;'PlayerGrades+'!$AB$20,"F",IF(F271&lt;'PlayerGrades+'!$AB$19,"F+",IF(F271&lt;'PlayerGrades+'!$AB$18,"E-",IF(F271&lt;'PlayerGrades+'!$AB$17,"E",IF(F271&lt;'PlayerGrades+'!$AB$16,"E+",IF(F271&lt;'PlayerGrades+'!$AB$15,"D-",IF(F271&lt;'PlayerGrades+'!$AB$14,"D",IF(F271&lt;'PlayerGrades+'!$AB$13,"D+",IF(F271&lt;'PlayerGrades+'!$AB$12,"C-",IF(F271&lt;'PlayerGrades+'!$AB$11,"C",IF(F271&lt;'PlayerGrades+'!$AB$10,"C+",IF(F271&lt;'PlayerGrades+'!$AB$9,"B-",IF(F271&lt;'PlayerGrades+'!$AB$8,"B",IF(F271&lt;'PlayerGrades+'!$AB$7,"B+",IF(F271&lt;'PlayerGrades+'!$AB$6,"A-",IF(F271&lt;'PlayerGrades+'!$AB$5,"A",IF(F271&lt;'PlayerGrades+'!$AB$4,"A+",IF(F271&lt;'PlayerGrades+'!$AB$3,"S-",IF(F271&lt;'PlayerGrades+'!$AB$2,"S","S+"))))))))))))))))))))</f>
        <v>#DIV/0!</v>
      </c>
      <c r="H271" s="961" t="str">
        <f t="shared" si="3"/>
        <v>#DIV/0!</v>
      </c>
      <c r="I271" s="961" t="str">
        <f>IF(H271&lt;'PlayerGrades+'!$AC$21,"F-",IF(H271&lt;'PlayerGrades+'!$AC$20,"F",IF(H271&lt;'PlayerGrades+'!$AC$19,"F+",IF(H271&lt;'PlayerGrades+'!$AC$18,"E-",IF(H271&lt;'PlayerGrades+'!$AC$17,"E",IF(H271&lt;'PlayerGrades+'!$AC$16,"E+",IF(H271&lt;'PlayerGrades+'!$AC$15,"D-",IF(H271&lt;'PlayerGrades+'!$AC$14,"D",IF(H271&lt;'PlayerGrades+'!$AC$13,"D+",IF(H271&lt;'PlayerGrades+'!$AC$12,"C-",IF(H271&lt;'PlayerGrades+'!$AC$11,"C",IF(H271&lt;'PlayerGrades+'!$AC$10,"C+",IF(H271&lt;'PlayerGrades+'!$AC$9,"B-",IF(H271&lt;'PlayerGrades+'!$AC$8,"B",IF(H271&lt;'PlayerGrades+'!$AC$7,"B+",IF(H271&lt;'PlayerGrades+'!$AC$6,"A-",IF(H271&lt;'PlayerGrades+'!$AC$5,"A",IF(H271&lt;'PlayerGrades+'!$AC$4,"A+",IF(H271&lt;'PlayerGrades+'!$AC$3,"S-",IF(H271&lt;'PlayerGrades+'!$AC$2,"S","S+"))))))))))))))))))))</f>
        <v>#DIV/0!</v>
      </c>
      <c r="J271" s="961" t="str">
        <f t="shared" si="4"/>
        <v>#DIV/0!</v>
      </c>
      <c r="K271" s="961" t="str">
        <f>IF(J271&lt;'PlayerGrades+'!$AD$21,"F-",IF(J271&lt;'PlayerGrades+'!$AD$20,"F",IF(J271&lt;'PlayerGrades+'!$AD$19,"F+",IF(J271&lt;'PlayerGrades+'!$AD$18,"E-",IF(J271&lt;'PlayerGrades+'!$AD$17,"E",IF(J271&lt;'PlayerGrades+'!$AD$16,"E+",IF(J271&lt;'PlayerGrades+'!$AD$15,"D-",IF(J271&lt;'PlayerGrades+'!$AD$14,"D",IF(J271&lt;'PlayerGrades+'!$AD$13,"D+",IF(J271&lt;'PlayerGrades+'!$AD$12,"C-",IF(J271&lt;'PlayerGrades+'!$AD$11,"C",IF(J271&lt;'PlayerGrades+'!$AD$10,"C+",IF(J271&lt;'PlayerGrades+'!$AD$9,"B-",IF(J271&lt;'PlayerGrades+'!$AD$8,"B",IF(J271&lt;'PlayerGrades+'!$AD$7,"B+",IF(J271&lt;'PlayerGrades+'!$AD$6,"A-",IF(J271&lt;'PlayerGrades+'!$AD$5,"A",IF(J271&lt;'PlayerGrades+'!$AD$4,"A+",IF(J271&lt;'PlayerGrades+'!$AD$3,"S-",IF(J271&lt;'PlayerGrades+'!$AD$2,"S","S+"))))))))))))))))))))</f>
        <v>#DIV/0!</v>
      </c>
      <c r="L271" s="1176" t="str">
        <f t="shared" si="5"/>
        <v>#DIV/0!</v>
      </c>
      <c r="M271" s="992" t="str">
        <f>IF(L271&lt;'PlayerGrades+'!$AE$21,"F-",IF(L271&lt;'PlayerGrades+'!$AE$20,"F",IF(L271&lt;'PlayerGrades+'!$AE$19,"F+",IF(L271&lt;'PlayerGrades+'!$AE$18,"E-",IF(L271&lt;'PlayerGrades+'!$AE$17,"E",IF(L271&lt;'PlayerGrades+'!$AE$16,"E+",IF(L271&lt;'PlayerGrades+'!$AE$15,"D-",IF(L271&lt;'PlayerGrades+'!$AE$14,"D",IF(L271&lt;'PlayerGrades+'!$AE$13,"D+",IF(L271&lt;'PlayerGrades+'!$AE$12,"C-",IF(L271&lt;'PlayerGrades+'!$AE$11,"C",IF(L271&lt;'PlayerGrades+'!$AE$10,"C+",IF(L271&lt;'PlayerGrades+'!$AE$9,"B-",IF(L271&lt;'PlayerGrades+'!$AE$8,"B",IF(L271&lt;'PlayerGrades+'!$AE$7,"B+",IF(L271&lt;'PlayerGrades+'!$AE$6,"A-",IF(L271&lt;'PlayerGrades+'!$AE$5,"A",IF(L271&lt;'PlayerGrades+'!$AE$4,"A+",IF(L271&lt;'PlayerGrades+'!$AE$3,"S-",IF(L271&lt;'PlayerGrades+'!$AE$2,"S","S+"))))))))))))))))))))</f>
        <v>#DIV/0!</v>
      </c>
      <c r="N271" s="961" t="str">
        <f t="shared" si="6"/>
        <v>#DIV/0!</v>
      </c>
      <c r="O271" s="961" t="str">
        <f>IF(N271&lt;'PlayerGrades+'!$AF$21,"F-",IF(N271&lt;'PlayerGrades+'!$AF$20,"F",IF(N271&lt;'PlayerGrades+'!$AF$19,"F+",IF(N271&lt;'PlayerGrades+'!$AF$18,"E-",IF(N271&lt;'PlayerGrades+'!$AF$17,"E",IF(N271&lt;'PlayerGrades+'!$AF$16,"E+",IF(N271&lt;'PlayerGrades+'!$AF$15,"D-",IF(N271&lt;'PlayerGrades+'!$AF$14,"D",IF(N271&lt;'PlayerGrades+'!$AF$13,"D+",IF(N271&lt;'PlayerGrades+'!$AF$12,"C-",IF(N271&lt;'PlayerGrades+'!$AF$11,"C",IF(N271&lt;'PlayerGrades+'!$AF$10,"C+",IF(N271&lt;'PlayerGrades+'!$AF$9,"B-",IF(N271&lt;'PlayerGrades+'!$AF$8,"B",IF(N271&lt;'PlayerGrades+'!$AF$7,"B+",IF(N271&lt;'PlayerGrades+'!$AF$6,"A-",IF(N271&lt;'PlayerGrades+'!$AF$5,"A",IF(N271&lt;'PlayerGrades+'!$AF$4,"A+",IF(N271&lt;'PlayerGrades+'!$AF$3,"S-",IF(N271&lt;'PlayerGrades+'!$AF$2,"S","S+"))))))))))))))))))))</f>
        <v>#DIV/0!</v>
      </c>
      <c r="P271" s="961" t="str">
        <f t="shared" si="7"/>
        <v>#DIV/0!</v>
      </c>
      <c r="Q271" s="961" t="str">
        <f>IF(P271&lt;'PlayerGrades+'!$AG$21,"F-",IF(P271&lt;'PlayerGrades+'!$AG$20,"F",IF(P271&lt;'PlayerGrades+'!$AG$19,"F+",IF(P271&lt;'PlayerGrades+'!$AG$18,"E-",IF(P271&lt;'PlayerGrades+'!$AG$17,"E",IF(P271&lt;'PlayerGrades+'!$AG$16,"E+",IF(P271&lt;'PlayerGrades+'!$AG$15,"D-",IF(P271&lt;'PlayerGrades+'!$AG$14,"D",IF(P271&lt;'PlayerGrades+'!$AG$13,"D+",IF(P271&lt;'PlayerGrades+'!$AG$12,"C-",IF(P271&lt;'PlayerGrades+'!$AG$11,"C",IF(P271&lt;'PlayerGrades+'!$AG$10,"C+",IF(P271&lt;'PlayerGrades+'!$AG$9,"B-",IF(P271&lt;'PlayerGrades+'!$AG$8,"B",IF(P271&lt;'PlayerGrades+'!$AG$7,"B+",IF(P271&lt;'PlayerGrades+'!$AG$6,"A-",IF(P271&lt;'PlayerGrades+'!$AG$5,"A",IF(P271&lt;'PlayerGrades+'!$AG$4,"A+",IF(P271&lt;'PlayerGrades+'!$AG$3,"S-",IF(P271&lt;'PlayerGrades+'!$AG$2,"S","S+"))))))))))))))))))))</f>
        <v>#DIV/0!</v>
      </c>
      <c r="R271" s="961" t="str">
        <f t="shared" si="8"/>
        <v>#DIV/0!</v>
      </c>
      <c r="S271" s="961" t="str">
        <f>IF(R271&lt;'PlayerGrades+'!$AH$21,"F-",IF(R271&lt;'PlayerGrades+'!$AH$20,"F",IF(R271&lt;'PlayerGrades+'!$AH$19,"F+",IF(R271&lt;'PlayerGrades+'!$AH$18,"E-",IF(R271&lt;'PlayerGrades+'!$AH$17,"E",IF(R271&lt;'PlayerGrades+'!$AH$16,"E+",IF(R271&lt;'PlayerGrades+'!$AH$15,"D-",IF(R271&lt;'PlayerGrades+'!$AH$14,"D",IF(R271&lt;'PlayerGrades+'!$AH$13,"D+",IF(R271&lt;'PlayerGrades+'!$AH$12,"C-",IF(R271&lt;'PlayerGrades+'!$AH$11,"C",IF(R271&lt;'PlayerGrades+'!$AH$10,"C+",IF(R271&lt;'PlayerGrades+'!$AH$9,"B-",IF(R271&lt;'PlayerGrades+'!$AH$8,"B",IF(R271&lt;'PlayerGrades+'!$AH$7,"B+",IF(R271&lt;'PlayerGrades+'!$AH$6,"A-",IF(R271&lt;'PlayerGrades+'!$AH$5,"A",IF(R271&lt;'PlayerGrades+'!$AH$4,"A+",IF(R271&lt;'PlayerGrades+'!$AH$3,"S-",IF(R271&lt;'PlayerGrades+'!$AH$2,"S","S+"))))))))))))))))))))</f>
        <v>#DIV/0!</v>
      </c>
      <c r="T271" s="961">
        <f t="shared" si="9"/>
        <v>0</v>
      </c>
      <c r="U271" s="961" t="str">
        <f>IF(T271&lt;'PlayerGrades+'!$AI$21,"F-",IF(T271&lt;'PlayerGrades+'!$AI$20,"F",IF(T271&lt;'PlayerGrades+'!$AI$19,"F+",IF(T271&lt;'PlayerGrades+'!$AI$18,"E-",IF(T271&lt;'PlayerGrades+'!$AI$17,"E",IF(T271&lt;'PlayerGrades+'!$AI$16,"E+",IF(T271&lt;'PlayerGrades+'!$AI$15,"D-",IF(T271&lt;'PlayerGrades+'!$AI$14,"D",IF(T271&lt;'PlayerGrades+'!$AI$13,"D+",IF(T271&lt;'PlayerGrades+'!$AI$12,"C-",IF(T271&lt;'PlayerGrades+'!$AI$11,"C",IF(T271&lt;'PlayerGrades+'!$AI$10,"C+",IF(T271&lt;'PlayerGrades+'!$AI$9,"B-",IF(T271&lt;'PlayerGrades+'!$AI$8,"B",IF(T271&lt;'PlayerGrades+'!$AI$7,"B+",IF(T271&lt;'PlayerGrades+'!$AI$6,"A-",IF(T271&lt;'PlayerGrades+'!$AI$5,"A",IF(T271&lt;'PlayerGrades+'!$AI$4,"A+",IF(T271&lt;'PlayerGrades+'!$AI$3,"S-",IF(T271&lt;'PlayerGrades+'!$AI$2,"S","S+"))))))))))))))))))))</f>
        <v>F-</v>
      </c>
      <c r="AC271" s="1392"/>
    </row>
    <row r="272">
      <c r="A272" s="1391"/>
      <c r="B272" s="611" t="str">
        <f>IF(C272&lt;'PlayerGrades+'!$Y$44,"F-",IF(C272&lt;'PlayerGrades+'!$Y$43,"F",IF(C272&lt;'PlayerGrades+'!$Y$42,"F+",IF(C272&lt;'PlayerGrades+'!$Y$41,"E-",IF(C272&lt;'PlayerGrades+'!$Y$40,"E",IF(C272&lt;'PlayerGrades+'!$Y$39,"E+",IF(C272&lt;'PlayerGrades+'!$Y$38,"D-",IF(C272&lt;'PlayerGrades+'!$Y$37,"D",IF(C272&lt;'PlayerGrades+'!$Y$36,"D+",IF(C272&lt;'PlayerGrades+'!$Y$35,"C-",IF(C272&lt;'PlayerGrades+'!$Y$34,"C",IF(C272&lt;'PlayerGrades+'!$Y$33,"C+",IF(C272&lt;'PlayerGrades+'!$Y$32,"B-",IF(C272&lt;'PlayerGrades+'!$Y$31,"B",IF(C272&lt;'PlayerGrades+'!$Y$30,"B+",IF(C272&lt;'PlayerGrades+'!$Y$29,"A-",IF(C272&lt;'PlayerGrades+'!$Y$28,"A",IF(C272&lt;'PlayerGrades+'!$Y$27,"A+",IF(C272&lt;'PlayerGrades+'!$Y$26,"S-",IF(C272&lt;'PlayerGrades+'!$Y$25,"S","S+"))))))))))))))))))))</f>
        <v>#DIV/0!</v>
      </c>
      <c r="C272" s="1378" t="str">
        <f>('PlayerGrades+'!$Y$47*(VLOOKUP(E272, 'PlayerGrades+'!$X$3:$Y$23, 2, FALSE)))+('PlayerGrades+'!$Y$48*(VLOOKUP(G272, 'PlayerGrades+'!$X$3:$Y$23, 2, FALSE)))+('PlayerGrades+'!$Y$49*(VLOOKUP(I272, 'PlayerGrades+'!$X$3:$Y$23, 2, FALSE)))+('PlayerGrades+'!$Y$50*(VLOOKUP(K272, 'PlayerGrades+'!$X$3:$Y$23, 2, FALSE)))+('PlayerGrades+'!$Y$51*(VLOOKUP(M272, 'PlayerGrades+'!$X$3:$Y$23, 2, FALSE)))+('PlayerGrades+'!$Y$52*(VLOOKUP(O272, 'PlayerGrades+'!$X$3:$Y$23, 2, FALSE)))+('PlayerGrades+'!$Y$53*(VLOOKUP(Q272, 'PlayerGrades+'!$X$3:$Y$23, 2, FALSE)))+('PlayerGrades+'!$Y$54*(VLOOKUP(S272, 'PlayerGrades+'!$X$3:$Y$23, 2, FALSE)))+('PlayerGrades+'!$Y$55*(VLOOKUP(U272, 'PlayerGrades+'!$X$3:$Y$23, 2, FALSE)))</f>
        <v>#DIV/0!</v>
      </c>
      <c r="D272" s="961" t="str">
        <f t="shared" si="1"/>
        <v>#DIV/0!</v>
      </c>
      <c r="E272" s="961" t="str">
        <f>IF(D272&lt;'PlayerGrades+'!$AA$21,"F-",IF(D272&lt;'PlayerGrades+'!$AA$20,"F",IF(D272&lt;'PlayerGrades+'!$AA$19,"F+",IF(D272&lt;'PlayerGrades+'!$AA$18,"E-",IF(D272&lt;'PlayerGrades+'!$AA$17,"E",IF(D272&lt;'PlayerGrades+'!$AA$16,"E+",IF(D272&lt;'PlayerGrades+'!$AA$15,"D-",IF(D272&lt;'PlayerGrades+'!$AA$14,"D",IF(D272&lt;'PlayerGrades+'!$AA$13,"D+",IF(D272&lt;'PlayerGrades+'!$AA$12,"C-",IF(D272&lt;'PlayerGrades+'!$AA$11,"C",IF(D272&lt;'PlayerGrades+'!$AA$10,"C+",IF(D272&lt;'PlayerGrades+'!$AA$9,"B-",IF(D272&lt;'PlayerGrades+'!$AA$8,"B",IF(D272&lt;'PlayerGrades+'!$AA$7,"B+",IF(D272&lt;'PlayerGrades+'!$AA$6,"A-",IF(D272&lt;'PlayerGrades+'!$AA$5,"A",IF(D272&lt;'PlayerGrades+'!$AA$4,"A+",IF(D272&lt;'PlayerGrades+'!$AA$3,"S-",IF(D272&lt;'PlayerGrades+'!$AA$2,"S","S+"))))))))))))))))))))</f>
        <v>#DIV/0!</v>
      </c>
      <c r="F272" s="961" t="str">
        <f t="shared" si="2"/>
        <v>#DIV/0!</v>
      </c>
      <c r="G272" s="961" t="str">
        <f>IF(F272&lt;'PlayerGrades+'!$AB$21,"F-",IF(F272&lt;'PlayerGrades+'!$AB$20,"F",IF(F272&lt;'PlayerGrades+'!$AB$19,"F+",IF(F272&lt;'PlayerGrades+'!$AB$18,"E-",IF(F272&lt;'PlayerGrades+'!$AB$17,"E",IF(F272&lt;'PlayerGrades+'!$AB$16,"E+",IF(F272&lt;'PlayerGrades+'!$AB$15,"D-",IF(F272&lt;'PlayerGrades+'!$AB$14,"D",IF(F272&lt;'PlayerGrades+'!$AB$13,"D+",IF(F272&lt;'PlayerGrades+'!$AB$12,"C-",IF(F272&lt;'PlayerGrades+'!$AB$11,"C",IF(F272&lt;'PlayerGrades+'!$AB$10,"C+",IF(F272&lt;'PlayerGrades+'!$AB$9,"B-",IF(F272&lt;'PlayerGrades+'!$AB$8,"B",IF(F272&lt;'PlayerGrades+'!$AB$7,"B+",IF(F272&lt;'PlayerGrades+'!$AB$6,"A-",IF(F272&lt;'PlayerGrades+'!$AB$5,"A",IF(F272&lt;'PlayerGrades+'!$AB$4,"A+",IF(F272&lt;'PlayerGrades+'!$AB$3,"S-",IF(F272&lt;'PlayerGrades+'!$AB$2,"S","S+"))))))))))))))))))))</f>
        <v>#DIV/0!</v>
      </c>
      <c r="H272" s="961" t="str">
        <f t="shared" si="3"/>
        <v>#DIV/0!</v>
      </c>
      <c r="I272" s="961" t="str">
        <f>IF(H272&lt;'PlayerGrades+'!$AC$21,"F-",IF(H272&lt;'PlayerGrades+'!$AC$20,"F",IF(H272&lt;'PlayerGrades+'!$AC$19,"F+",IF(H272&lt;'PlayerGrades+'!$AC$18,"E-",IF(H272&lt;'PlayerGrades+'!$AC$17,"E",IF(H272&lt;'PlayerGrades+'!$AC$16,"E+",IF(H272&lt;'PlayerGrades+'!$AC$15,"D-",IF(H272&lt;'PlayerGrades+'!$AC$14,"D",IF(H272&lt;'PlayerGrades+'!$AC$13,"D+",IF(H272&lt;'PlayerGrades+'!$AC$12,"C-",IF(H272&lt;'PlayerGrades+'!$AC$11,"C",IF(H272&lt;'PlayerGrades+'!$AC$10,"C+",IF(H272&lt;'PlayerGrades+'!$AC$9,"B-",IF(H272&lt;'PlayerGrades+'!$AC$8,"B",IF(H272&lt;'PlayerGrades+'!$AC$7,"B+",IF(H272&lt;'PlayerGrades+'!$AC$6,"A-",IF(H272&lt;'PlayerGrades+'!$AC$5,"A",IF(H272&lt;'PlayerGrades+'!$AC$4,"A+",IF(H272&lt;'PlayerGrades+'!$AC$3,"S-",IF(H272&lt;'PlayerGrades+'!$AC$2,"S","S+"))))))))))))))))))))</f>
        <v>#DIV/0!</v>
      </c>
      <c r="J272" s="961" t="str">
        <f t="shared" si="4"/>
        <v>#DIV/0!</v>
      </c>
      <c r="K272" s="961" t="str">
        <f>IF(J272&lt;'PlayerGrades+'!$AD$21,"F-",IF(J272&lt;'PlayerGrades+'!$AD$20,"F",IF(J272&lt;'PlayerGrades+'!$AD$19,"F+",IF(J272&lt;'PlayerGrades+'!$AD$18,"E-",IF(J272&lt;'PlayerGrades+'!$AD$17,"E",IF(J272&lt;'PlayerGrades+'!$AD$16,"E+",IF(J272&lt;'PlayerGrades+'!$AD$15,"D-",IF(J272&lt;'PlayerGrades+'!$AD$14,"D",IF(J272&lt;'PlayerGrades+'!$AD$13,"D+",IF(J272&lt;'PlayerGrades+'!$AD$12,"C-",IF(J272&lt;'PlayerGrades+'!$AD$11,"C",IF(J272&lt;'PlayerGrades+'!$AD$10,"C+",IF(J272&lt;'PlayerGrades+'!$AD$9,"B-",IF(J272&lt;'PlayerGrades+'!$AD$8,"B",IF(J272&lt;'PlayerGrades+'!$AD$7,"B+",IF(J272&lt;'PlayerGrades+'!$AD$6,"A-",IF(J272&lt;'PlayerGrades+'!$AD$5,"A",IF(J272&lt;'PlayerGrades+'!$AD$4,"A+",IF(J272&lt;'PlayerGrades+'!$AD$3,"S-",IF(J272&lt;'PlayerGrades+'!$AD$2,"S","S+"))))))))))))))))))))</f>
        <v>#DIV/0!</v>
      </c>
      <c r="L272" s="1176" t="str">
        <f t="shared" si="5"/>
        <v>#DIV/0!</v>
      </c>
      <c r="M272" s="992" t="str">
        <f>IF(L272&lt;'PlayerGrades+'!$AE$21,"F-",IF(L272&lt;'PlayerGrades+'!$AE$20,"F",IF(L272&lt;'PlayerGrades+'!$AE$19,"F+",IF(L272&lt;'PlayerGrades+'!$AE$18,"E-",IF(L272&lt;'PlayerGrades+'!$AE$17,"E",IF(L272&lt;'PlayerGrades+'!$AE$16,"E+",IF(L272&lt;'PlayerGrades+'!$AE$15,"D-",IF(L272&lt;'PlayerGrades+'!$AE$14,"D",IF(L272&lt;'PlayerGrades+'!$AE$13,"D+",IF(L272&lt;'PlayerGrades+'!$AE$12,"C-",IF(L272&lt;'PlayerGrades+'!$AE$11,"C",IF(L272&lt;'PlayerGrades+'!$AE$10,"C+",IF(L272&lt;'PlayerGrades+'!$AE$9,"B-",IF(L272&lt;'PlayerGrades+'!$AE$8,"B",IF(L272&lt;'PlayerGrades+'!$AE$7,"B+",IF(L272&lt;'PlayerGrades+'!$AE$6,"A-",IF(L272&lt;'PlayerGrades+'!$AE$5,"A",IF(L272&lt;'PlayerGrades+'!$AE$4,"A+",IF(L272&lt;'PlayerGrades+'!$AE$3,"S-",IF(L272&lt;'PlayerGrades+'!$AE$2,"S","S+"))))))))))))))))))))</f>
        <v>#DIV/0!</v>
      </c>
      <c r="N272" s="961" t="str">
        <f t="shared" si="6"/>
        <v>#DIV/0!</v>
      </c>
      <c r="O272" s="961" t="str">
        <f>IF(N272&lt;'PlayerGrades+'!$AF$21,"F-",IF(N272&lt;'PlayerGrades+'!$AF$20,"F",IF(N272&lt;'PlayerGrades+'!$AF$19,"F+",IF(N272&lt;'PlayerGrades+'!$AF$18,"E-",IF(N272&lt;'PlayerGrades+'!$AF$17,"E",IF(N272&lt;'PlayerGrades+'!$AF$16,"E+",IF(N272&lt;'PlayerGrades+'!$AF$15,"D-",IF(N272&lt;'PlayerGrades+'!$AF$14,"D",IF(N272&lt;'PlayerGrades+'!$AF$13,"D+",IF(N272&lt;'PlayerGrades+'!$AF$12,"C-",IF(N272&lt;'PlayerGrades+'!$AF$11,"C",IF(N272&lt;'PlayerGrades+'!$AF$10,"C+",IF(N272&lt;'PlayerGrades+'!$AF$9,"B-",IF(N272&lt;'PlayerGrades+'!$AF$8,"B",IF(N272&lt;'PlayerGrades+'!$AF$7,"B+",IF(N272&lt;'PlayerGrades+'!$AF$6,"A-",IF(N272&lt;'PlayerGrades+'!$AF$5,"A",IF(N272&lt;'PlayerGrades+'!$AF$4,"A+",IF(N272&lt;'PlayerGrades+'!$AF$3,"S-",IF(N272&lt;'PlayerGrades+'!$AF$2,"S","S+"))))))))))))))))))))</f>
        <v>#DIV/0!</v>
      </c>
      <c r="P272" s="961" t="str">
        <f t="shared" si="7"/>
        <v>#DIV/0!</v>
      </c>
      <c r="Q272" s="961" t="str">
        <f>IF(P272&lt;'PlayerGrades+'!$AG$21,"F-",IF(P272&lt;'PlayerGrades+'!$AG$20,"F",IF(P272&lt;'PlayerGrades+'!$AG$19,"F+",IF(P272&lt;'PlayerGrades+'!$AG$18,"E-",IF(P272&lt;'PlayerGrades+'!$AG$17,"E",IF(P272&lt;'PlayerGrades+'!$AG$16,"E+",IF(P272&lt;'PlayerGrades+'!$AG$15,"D-",IF(P272&lt;'PlayerGrades+'!$AG$14,"D",IF(P272&lt;'PlayerGrades+'!$AG$13,"D+",IF(P272&lt;'PlayerGrades+'!$AG$12,"C-",IF(P272&lt;'PlayerGrades+'!$AG$11,"C",IF(P272&lt;'PlayerGrades+'!$AG$10,"C+",IF(P272&lt;'PlayerGrades+'!$AG$9,"B-",IF(P272&lt;'PlayerGrades+'!$AG$8,"B",IF(P272&lt;'PlayerGrades+'!$AG$7,"B+",IF(P272&lt;'PlayerGrades+'!$AG$6,"A-",IF(P272&lt;'PlayerGrades+'!$AG$5,"A",IF(P272&lt;'PlayerGrades+'!$AG$4,"A+",IF(P272&lt;'PlayerGrades+'!$AG$3,"S-",IF(P272&lt;'PlayerGrades+'!$AG$2,"S","S+"))))))))))))))))))))</f>
        <v>#DIV/0!</v>
      </c>
      <c r="R272" s="961" t="str">
        <f t="shared" si="8"/>
        <v>#DIV/0!</v>
      </c>
      <c r="S272" s="961" t="str">
        <f>IF(R272&lt;'PlayerGrades+'!$AH$21,"F-",IF(R272&lt;'PlayerGrades+'!$AH$20,"F",IF(R272&lt;'PlayerGrades+'!$AH$19,"F+",IF(R272&lt;'PlayerGrades+'!$AH$18,"E-",IF(R272&lt;'PlayerGrades+'!$AH$17,"E",IF(R272&lt;'PlayerGrades+'!$AH$16,"E+",IF(R272&lt;'PlayerGrades+'!$AH$15,"D-",IF(R272&lt;'PlayerGrades+'!$AH$14,"D",IF(R272&lt;'PlayerGrades+'!$AH$13,"D+",IF(R272&lt;'PlayerGrades+'!$AH$12,"C-",IF(R272&lt;'PlayerGrades+'!$AH$11,"C",IF(R272&lt;'PlayerGrades+'!$AH$10,"C+",IF(R272&lt;'PlayerGrades+'!$AH$9,"B-",IF(R272&lt;'PlayerGrades+'!$AH$8,"B",IF(R272&lt;'PlayerGrades+'!$AH$7,"B+",IF(R272&lt;'PlayerGrades+'!$AH$6,"A-",IF(R272&lt;'PlayerGrades+'!$AH$5,"A",IF(R272&lt;'PlayerGrades+'!$AH$4,"A+",IF(R272&lt;'PlayerGrades+'!$AH$3,"S-",IF(R272&lt;'PlayerGrades+'!$AH$2,"S","S+"))))))))))))))))))))</f>
        <v>#DIV/0!</v>
      </c>
      <c r="T272" s="961">
        <f t="shared" si="9"/>
        <v>0</v>
      </c>
      <c r="U272" s="961" t="str">
        <f>IF(T272&lt;'PlayerGrades+'!$AI$21,"F-",IF(T272&lt;'PlayerGrades+'!$AI$20,"F",IF(T272&lt;'PlayerGrades+'!$AI$19,"F+",IF(T272&lt;'PlayerGrades+'!$AI$18,"E-",IF(T272&lt;'PlayerGrades+'!$AI$17,"E",IF(T272&lt;'PlayerGrades+'!$AI$16,"E+",IF(T272&lt;'PlayerGrades+'!$AI$15,"D-",IF(T272&lt;'PlayerGrades+'!$AI$14,"D",IF(T272&lt;'PlayerGrades+'!$AI$13,"D+",IF(T272&lt;'PlayerGrades+'!$AI$12,"C-",IF(T272&lt;'PlayerGrades+'!$AI$11,"C",IF(T272&lt;'PlayerGrades+'!$AI$10,"C+",IF(T272&lt;'PlayerGrades+'!$AI$9,"B-",IF(T272&lt;'PlayerGrades+'!$AI$8,"B",IF(T272&lt;'PlayerGrades+'!$AI$7,"B+",IF(T272&lt;'PlayerGrades+'!$AI$6,"A-",IF(T272&lt;'PlayerGrades+'!$AI$5,"A",IF(T272&lt;'PlayerGrades+'!$AI$4,"A+",IF(T272&lt;'PlayerGrades+'!$AI$3,"S-",IF(T272&lt;'PlayerGrades+'!$AI$2,"S","S+"))))))))))))))))))))</f>
        <v>F-</v>
      </c>
      <c r="AC272" s="1392"/>
    </row>
    <row r="273">
      <c r="A273" s="1393"/>
      <c r="B273" s="611" t="str">
        <f>IF(C273&lt;'PlayerGrades+'!$Y$44,"F-",IF(C273&lt;'PlayerGrades+'!$Y$43,"F",IF(C273&lt;'PlayerGrades+'!$Y$42,"F+",IF(C273&lt;'PlayerGrades+'!$Y$41,"E-",IF(C273&lt;'PlayerGrades+'!$Y$40,"E",IF(C273&lt;'PlayerGrades+'!$Y$39,"E+",IF(C273&lt;'PlayerGrades+'!$Y$38,"D-",IF(C273&lt;'PlayerGrades+'!$Y$37,"D",IF(C273&lt;'PlayerGrades+'!$Y$36,"D+",IF(C273&lt;'PlayerGrades+'!$Y$35,"C-",IF(C273&lt;'PlayerGrades+'!$Y$34,"C",IF(C273&lt;'PlayerGrades+'!$Y$33,"C+",IF(C273&lt;'PlayerGrades+'!$Y$32,"B-",IF(C273&lt;'PlayerGrades+'!$Y$31,"B",IF(C273&lt;'PlayerGrades+'!$Y$30,"B+",IF(C273&lt;'PlayerGrades+'!$Y$29,"A-",IF(C273&lt;'PlayerGrades+'!$Y$28,"A",IF(C273&lt;'PlayerGrades+'!$Y$27,"A+",IF(C273&lt;'PlayerGrades+'!$Y$26,"S-",IF(C273&lt;'PlayerGrades+'!$Y$25,"S","S+"))))))))))))))))))))</f>
        <v>#DIV/0!</v>
      </c>
      <c r="C273" s="1378" t="str">
        <f>('PlayerGrades+'!$Y$47*(VLOOKUP(E273, 'PlayerGrades+'!$X$3:$Y$23, 2, FALSE)))+('PlayerGrades+'!$Y$48*(VLOOKUP(G273, 'PlayerGrades+'!$X$3:$Y$23, 2, FALSE)))+('PlayerGrades+'!$Y$49*(VLOOKUP(I273, 'PlayerGrades+'!$X$3:$Y$23, 2, FALSE)))+('PlayerGrades+'!$Y$50*(VLOOKUP(K273, 'PlayerGrades+'!$X$3:$Y$23, 2, FALSE)))+('PlayerGrades+'!$Y$51*(VLOOKUP(M273, 'PlayerGrades+'!$X$3:$Y$23, 2, FALSE)))+('PlayerGrades+'!$Y$52*(VLOOKUP(O273, 'PlayerGrades+'!$X$3:$Y$23, 2, FALSE)))+('PlayerGrades+'!$Y$53*(VLOOKUP(Q273, 'PlayerGrades+'!$X$3:$Y$23, 2, FALSE)))+('PlayerGrades+'!$Y$54*(VLOOKUP(S273, 'PlayerGrades+'!$X$3:$Y$23, 2, FALSE)))+('PlayerGrades+'!$Y$55*(VLOOKUP(U273, 'PlayerGrades+'!$X$3:$Y$23, 2, FALSE)))</f>
        <v>#DIV/0!</v>
      </c>
      <c r="D273" s="961" t="str">
        <f t="shared" si="1"/>
        <v>#DIV/0!</v>
      </c>
      <c r="E273" s="961" t="str">
        <f>IF(D273&lt;'PlayerGrades+'!$AA$21,"F-",IF(D273&lt;'PlayerGrades+'!$AA$20,"F",IF(D273&lt;'PlayerGrades+'!$AA$19,"F+",IF(D273&lt;'PlayerGrades+'!$AA$18,"E-",IF(D273&lt;'PlayerGrades+'!$AA$17,"E",IF(D273&lt;'PlayerGrades+'!$AA$16,"E+",IF(D273&lt;'PlayerGrades+'!$AA$15,"D-",IF(D273&lt;'PlayerGrades+'!$AA$14,"D",IF(D273&lt;'PlayerGrades+'!$AA$13,"D+",IF(D273&lt;'PlayerGrades+'!$AA$12,"C-",IF(D273&lt;'PlayerGrades+'!$AA$11,"C",IF(D273&lt;'PlayerGrades+'!$AA$10,"C+",IF(D273&lt;'PlayerGrades+'!$AA$9,"B-",IF(D273&lt;'PlayerGrades+'!$AA$8,"B",IF(D273&lt;'PlayerGrades+'!$AA$7,"B+",IF(D273&lt;'PlayerGrades+'!$AA$6,"A-",IF(D273&lt;'PlayerGrades+'!$AA$5,"A",IF(D273&lt;'PlayerGrades+'!$AA$4,"A+",IF(D273&lt;'PlayerGrades+'!$AA$3,"S-",IF(D273&lt;'PlayerGrades+'!$AA$2,"S","S+"))))))))))))))))))))</f>
        <v>#DIV/0!</v>
      </c>
      <c r="F273" s="961" t="str">
        <f t="shared" si="2"/>
        <v>#DIV/0!</v>
      </c>
      <c r="G273" s="961" t="str">
        <f>IF(F273&lt;'PlayerGrades+'!$AB$21,"F-",IF(F273&lt;'PlayerGrades+'!$AB$20,"F",IF(F273&lt;'PlayerGrades+'!$AB$19,"F+",IF(F273&lt;'PlayerGrades+'!$AB$18,"E-",IF(F273&lt;'PlayerGrades+'!$AB$17,"E",IF(F273&lt;'PlayerGrades+'!$AB$16,"E+",IF(F273&lt;'PlayerGrades+'!$AB$15,"D-",IF(F273&lt;'PlayerGrades+'!$AB$14,"D",IF(F273&lt;'PlayerGrades+'!$AB$13,"D+",IF(F273&lt;'PlayerGrades+'!$AB$12,"C-",IF(F273&lt;'PlayerGrades+'!$AB$11,"C",IF(F273&lt;'PlayerGrades+'!$AB$10,"C+",IF(F273&lt;'PlayerGrades+'!$AB$9,"B-",IF(F273&lt;'PlayerGrades+'!$AB$8,"B",IF(F273&lt;'PlayerGrades+'!$AB$7,"B+",IF(F273&lt;'PlayerGrades+'!$AB$6,"A-",IF(F273&lt;'PlayerGrades+'!$AB$5,"A",IF(F273&lt;'PlayerGrades+'!$AB$4,"A+",IF(F273&lt;'PlayerGrades+'!$AB$3,"S-",IF(F273&lt;'PlayerGrades+'!$AB$2,"S","S+"))))))))))))))))))))</f>
        <v>#DIV/0!</v>
      </c>
      <c r="H273" s="961" t="str">
        <f t="shared" si="3"/>
        <v>#DIV/0!</v>
      </c>
      <c r="I273" s="961" t="str">
        <f>IF(H273&lt;'PlayerGrades+'!$AC$21,"F-",IF(H273&lt;'PlayerGrades+'!$AC$20,"F",IF(H273&lt;'PlayerGrades+'!$AC$19,"F+",IF(H273&lt;'PlayerGrades+'!$AC$18,"E-",IF(H273&lt;'PlayerGrades+'!$AC$17,"E",IF(H273&lt;'PlayerGrades+'!$AC$16,"E+",IF(H273&lt;'PlayerGrades+'!$AC$15,"D-",IF(H273&lt;'PlayerGrades+'!$AC$14,"D",IF(H273&lt;'PlayerGrades+'!$AC$13,"D+",IF(H273&lt;'PlayerGrades+'!$AC$12,"C-",IF(H273&lt;'PlayerGrades+'!$AC$11,"C",IF(H273&lt;'PlayerGrades+'!$AC$10,"C+",IF(H273&lt;'PlayerGrades+'!$AC$9,"B-",IF(H273&lt;'PlayerGrades+'!$AC$8,"B",IF(H273&lt;'PlayerGrades+'!$AC$7,"B+",IF(H273&lt;'PlayerGrades+'!$AC$6,"A-",IF(H273&lt;'PlayerGrades+'!$AC$5,"A",IF(H273&lt;'PlayerGrades+'!$AC$4,"A+",IF(H273&lt;'PlayerGrades+'!$AC$3,"S-",IF(H273&lt;'PlayerGrades+'!$AC$2,"S","S+"))))))))))))))))))))</f>
        <v>#DIV/0!</v>
      </c>
      <c r="J273" s="961" t="str">
        <f t="shared" si="4"/>
        <v>#DIV/0!</v>
      </c>
      <c r="K273" s="961" t="str">
        <f>IF(J273&lt;'PlayerGrades+'!$AD$21,"F-",IF(J273&lt;'PlayerGrades+'!$AD$20,"F",IF(J273&lt;'PlayerGrades+'!$AD$19,"F+",IF(J273&lt;'PlayerGrades+'!$AD$18,"E-",IF(J273&lt;'PlayerGrades+'!$AD$17,"E",IF(J273&lt;'PlayerGrades+'!$AD$16,"E+",IF(J273&lt;'PlayerGrades+'!$AD$15,"D-",IF(J273&lt;'PlayerGrades+'!$AD$14,"D",IF(J273&lt;'PlayerGrades+'!$AD$13,"D+",IF(J273&lt;'PlayerGrades+'!$AD$12,"C-",IF(J273&lt;'PlayerGrades+'!$AD$11,"C",IF(J273&lt;'PlayerGrades+'!$AD$10,"C+",IF(J273&lt;'PlayerGrades+'!$AD$9,"B-",IF(J273&lt;'PlayerGrades+'!$AD$8,"B",IF(J273&lt;'PlayerGrades+'!$AD$7,"B+",IF(J273&lt;'PlayerGrades+'!$AD$6,"A-",IF(J273&lt;'PlayerGrades+'!$AD$5,"A",IF(J273&lt;'PlayerGrades+'!$AD$4,"A+",IF(J273&lt;'PlayerGrades+'!$AD$3,"S-",IF(J273&lt;'PlayerGrades+'!$AD$2,"S","S+"))))))))))))))))))))</f>
        <v>#DIV/0!</v>
      </c>
      <c r="L273" s="1176" t="str">
        <f t="shared" si="5"/>
        <v>#DIV/0!</v>
      </c>
      <c r="M273" s="992" t="str">
        <f>IF(L273&lt;'PlayerGrades+'!$AE$21,"F-",IF(L273&lt;'PlayerGrades+'!$AE$20,"F",IF(L273&lt;'PlayerGrades+'!$AE$19,"F+",IF(L273&lt;'PlayerGrades+'!$AE$18,"E-",IF(L273&lt;'PlayerGrades+'!$AE$17,"E",IF(L273&lt;'PlayerGrades+'!$AE$16,"E+",IF(L273&lt;'PlayerGrades+'!$AE$15,"D-",IF(L273&lt;'PlayerGrades+'!$AE$14,"D",IF(L273&lt;'PlayerGrades+'!$AE$13,"D+",IF(L273&lt;'PlayerGrades+'!$AE$12,"C-",IF(L273&lt;'PlayerGrades+'!$AE$11,"C",IF(L273&lt;'PlayerGrades+'!$AE$10,"C+",IF(L273&lt;'PlayerGrades+'!$AE$9,"B-",IF(L273&lt;'PlayerGrades+'!$AE$8,"B",IF(L273&lt;'PlayerGrades+'!$AE$7,"B+",IF(L273&lt;'PlayerGrades+'!$AE$6,"A-",IF(L273&lt;'PlayerGrades+'!$AE$5,"A",IF(L273&lt;'PlayerGrades+'!$AE$4,"A+",IF(L273&lt;'PlayerGrades+'!$AE$3,"S-",IF(L273&lt;'PlayerGrades+'!$AE$2,"S","S+"))))))))))))))))))))</f>
        <v>#DIV/0!</v>
      </c>
      <c r="N273" s="961" t="str">
        <f t="shared" si="6"/>
        <v>#DIV/0!</v>
      </c>
      <c r="O273" s="961" t="str">
        <f>IF(N273&lt;'PlayerGrades+'!$AF$21,"F-",IF(N273&lt;'PlayerGrades+'!$AF$20,"F",IF(N273&lt;'PlayerGrades+'!$AF$19,"F+",IF(N273&lt;'PlayerGrades+'!$AF$18,"E-",IF(N273&lt;'PlayerGrades+'!$AF$17,"E",IF(N273&lt;'PlayerGrades+'!$AF$16,"E+",IF(N273&lt;'PlayerGrades+'!$AF$15,"D-",IF(N273&lt;'PlayerGrades+'!$AF$14,"D",IF(N273&lt;'PlayerGrades+'!$AF$13,"D+",IF(N273&lt;'PlayerGrades+'!$AF$12,"C-",IF(N273&lt;'PlayerGrades+'!$AF$11,"C",IF(N273&lt;'PlayerGrades+'!$AF$10,"C+",IF(N273&lt;'PlayerGrades+'!$AF$9,"B-",IF(N273&lt;'PlayerGrades+'!$AF$8,"B",IF(N273&lt;'PlayerGrades+'!$AF$7,"B+",IF(N273&lt;'PlayerGrades+'!$AF$6,"A-",IF(N273&lt;'PlayerGrades+'!$AF$5,"A",IF(N273&lt;'PlayerGrades+'!$AF$4,"A+",IF(N273&lt;'PlayerGrades+'!$AF$3,"S-",IF(N273&lt;'PlayerGrades+'!$AF$2,"S","S+"))))))))))))))))))))</f>
        <v>#DIV/0!</v>
      </c>
      <c r="P273" s="961" t="str">
        <f t="shared" si="7"/>
        <v>#DIV/0!</v>
      </c>
      <c r="Q273" s="961" t="str">
        <f>IF(P273&lt;'PlayerGrades+'!$AG$21,"F-",IF(P273&lt;'PlayerGrades+'!$AG$20,"F",IF(P273&lt;'PlayerGrades+'!$AG$19,"F+",IF(P273&lt;'PlayerGrades+'!$AG$18,"E-",IF(P273&lt;'PlayerGrades+'!$AG$17,"E",IF(P273&lt;'PlayerGrades+'!$AG$16,"E+",IF(P273&lt;'PlayerGrades+'!$AG$15,"D-",IF(P273&lt;'PlayerGrades+'!$AG$14,"D",IF(P273&lt;'PlayerGrades+'!$AG$13,"D+",IF(P273&lt;'PlayerGrades+'!$AG$12,"C-",IF(P273&lt;'PlayerGrades+'!$AG$11,"C",IF(P273&lt;'PlayerGrades+'!$AG$10,"C+",IF(P273&lt;'PlayerGrades+'!$AG$9,"B-",IF(P273&lt;'PlayerGrades+'!$AG$8,"B",IF(P273&lt;'PlayerGrades+'!$AG$7,"B+",IF(P273&lt;'PlayerGrades+'!$AG$6,"A-",IF(P273&lt;'PlayerGrades+'!$AG$5,"A",IF(P273&lt;'PlayerGrades+'!$AG$4,"A+",IF(P273&lt;'PlayerGrades+'!$AG$3,"S-",IF(P273&lt;'PlayerGrades+'!$AG$2,"S","S+"))))))))))))))))))))</f>
        <v>#DIV/0!</v>
      </c>
      <c r="R273" s="961" t="str">
        <f t="shared" si="8"/>
        <v>#DIV/0!</v>
      </c>
      <c r="S273" s="961" t="str">
        <f>IF(R273&lt;'PlayerGrades+'!$AH$21,"F-",IF(R273&lt;'PlayerGrades+'!$AH$20,"F",IF(R273&lt;'PlayerGrades+'!$AH$19,"F+",IF(R273&lt;'PlayerGrades+'!$AH$18,"E-",IF(R273&lt;'PlayerGrades+'!$AH$17,"E",IF(R273&lt;'PlayerGrades+'!$AH$16,"E+",IF(R273&lt;'PlayerGrades+'!$AH$15,"D-",IF(R273&lt;'PlayerGrades+'!$AH$14,"D",IF(R273&lt;'PlayerGrades+'!$AH$13,"D+",IF(R273&lt;'PlayerGrades+'!$AH$12,"C-",IF(R273&lt;'PlayerGrades+'!$AH$11,"C",IF(R273&lt;'PlayerGrades+'!$AH$10,"C+",IF(R273&lt;'PlayerGrades+'!$AH$9,"B-",IF(R273&lt;'PlayerGrades+'!$AH$8,"B",IF(R273&lt;'PlayerGrades+'!$AH$7,"B+",IF(R273&lt;'PlayerGrades+'!$AH$6,"A-",IF(R273&lt;'PlayerGrades+'!$AH$5,"A",IF(R273&lt;'PlayerGrades+'!$AH$4,"A+",IF(R273&lt;'PlayerGrades+'!$AH$3,"S-",IF(R273&lt;'PlayerGrades+'!$AH$2,"S","S+"))))))))))))))))))))</f>
        <v>#DIV/0!</v>
      </c>
      <c r="T273" s="961">
        <f t="shared" si="9"/>
        <v>0</v>
      </c>
      <c r="U273" s="961" t="str">
        <f>IF(T273&lt;'PlayerGrades+'!$AI$21,"F-",IF(T273&lt;'PlayerGrades+'!$AI$20,"F",IF(T273&lt;'PlayerGrades+'!$AI$19,"F+",IF(T273&lt;'PlayerGrades+'!$AI$18,"E-",IF(T273&lt;'PlayerGrades+'!$AI$17,"E",IF(T273&lt;'PlayerGrades+'!$AI$16,"E+",IF(T273&lt;'PlayerGrades+'!$AI$15,"D-",IF(T273&lt;'PlayerGrades+'!$AI$14,"D",IF(T273&lt;'PlayerGrades+'!$AI$13,"D+",IF(T273&lt;'PlayerGrades+'!$AI$12,"C-",IF(T273&lt;'PlayerGrades+'!$AI$11,"C",IF(T273&lt;'PlayerGrades+'!$AI$10,"C+",IF(T273&lt;'PlayerGrades+'!$AI$9,"B-",IF(T273&lt;'PlayerGrades+'!$AI$8,"B",IF(T273&lt;'PlayerGrades+'!$AI$7,"B+",IF(T273&lt;'PlayerGrades+'!$AI$6,"A-",IF(T273&lt;'PlayerGrades+'!$AI$5,"A",IF(T273&lt;'PlayerGrades+'!$AI$4,"A+",IF(T273&lt;'PlayerGrades+'!$AI$3,"S-",IF(T273&lt;'PlayerGrades+'!$AI$2,"S","S+"))))))))))))))))))))</f>
        <v>F-</v>
      </c>
      <c r="V273" s="1386"/>
      <c r="W273" s="1386"/>
      <c r="X273" s="1386"/>
      <c r="Y273" s="1386"/>
      <c r="Z273" s="1386"/>
      <c r="AA273" s="1386"/>
      <c r="AB273" s="1386"/>
      <c r="AC273" s="1397"/>
      <c r="AD273" s="1386"/>
      <c r="AE273" s="1386"/>
      <c r="AF273" s="1386"/>
      <c r="AG273" s="1386"/>
      <c r="AH273" s="1386"/>
      <c r="AI273" s="1386"/>
      <c r="AJ273" s="1386"/>
      <c r="AK273" s="1386"/>
      <c r="AL273" s="1386"/>
      <c r="AM273" s="1386"/>
      <c r="AN273" s="1386"/>
      <c r="AO273" s="1386"/>
      <c r="AP273" s="1386"/>
      <c r="AQ273" s="1386"/>
      <c r="AR273" s="1386"/>
      <c r="AS273" s="1386"/>
      <c r="AT273" s="1386"/>
      <c r="AU273" s="1386"/>
      <c r="AV273" s="1386"/>
      <c r="AW273" s="1386"/>
      <c r="AX273" s="1386"/>
      <c r="AY273" s="1386"/>
      <c r="AZ273" s="1386"/>
    </row>
    <row r="274">
      <c r="A274" s="1389"/>
      <c r="B274" s="611" t="str">
        <f>IF(C274&lt;'PlayerGrades+'!$Y$44,"F-",IF(C274&lt;'PlayerGrades+'!$Y$43,"F",IF(C274&lt;'PlayerGrades+'!$Y$42,"F+",IF(C274&lt;'PlayerGrades+'!$Y$41,"E-",IF(C274&lt;'PlayerGrades+'!$Y$40,"E",IF(C274&lt;'PlayerGrades+'!$Y$39,"E+",IF(C274&lt;'PlayerGrades+'!$Y$38,"D-",IF(C274&lt;'PlayerGrades+'!$Y$37,"D",IF(C274&lt;'PlayerGrades+'!$Y$36,"D+",IF(C274&lt;'PlayerGrades+'!$Y$35,"C-",IF(C274&lt;'PlayerGrades+'!$Y$34,"C",IF(C274&lt;'PlayerGrades+'!$Y$33,"C+",IF(C274&lt;'PlayerGrades+'!$Y$32,"B-",IF(C274&lt;'PlayerGrades+'!$Y$31,"B",IF(C274&lt;'PlayerGrades+'!$Y$30,"B+",IF(C274&lt;'PlayerGrades+'!$Y$29,"A-",IF(C274&lt;'PlayerGrades+'!$Y$28,"A",IF(C274&lt;'PlayerGrades+'!$Y$27,"A+",IF(C274&lt;'PlayerGrades+'!$Y$26,"S-",IF(C274&lt;'PlayerGrades+'!$Y$25,"S","S+"))))))))))))))))))))</f>
        <v>#DIV/0!</v>
      </c>
      <c r="C274" s="1378" t="str">
        <f>('PlayerGrades+'!$Y$47*(VLOOKUP(E274, 'PlayerGrades+'!$X$3:$Y$23, 2, FALSE)))+('PlayerGrades+'!$Y$48*(VLOOKUP(G274, 'PlayerGrades+'!$X$3:$Y$23, 2, FALSE)))+('PlayerGrades+'!$Y$49*(VLOOKUP(I274, 'PlayerGrades+'!$X$3:$Y$23, 2, FALSE)))+('PlayerGrades+'!$Y$50*(VLOOKUP(K274, 'PlayerGrades+'!$X$3:$Y$23, 2, FALSE)))+('PlayerGrades+'!$Y$51*(VLOOKUP(M274, 'PlayerGrades+'!$X$3:$Y$23, 2, FALSE)))+('PlayerGrades+'!$Y$52*(VLOOKUP(O274, 'PlayerGrades+'!$X$3:$Y$23, 2, FALSE)))+('PlayerGrades+'!$Y$53*(VLOOKUP(Q274, 'PlayerGrades+'!$X$3:$Y$23, 2, FALSE)))+('PlayerGrades+'!$Y$54*(VLOOKUP(S274, 'PlayerGrades+'!$X$3:$Y$23, 2, FALSE)))+('PlayerGrades+'!$Y$55*(VLOOKUP(U274, 'PlayerGrades+'!$X$3:$Y$23, 2, FALSE)))</f>
        <v>#DIV/0!</v>
      </c>
      <c r="D274" s="961" t="str">
        <f t="shared" si="1"/>
        <v>#DIV/0!</v>
      </c>
      <c r="E274" s="961" t="str">
        <f>IF(D274&lt;'PlayerGrades+'!$AA$21,"F-",IF(D274&lt;'PlayerGrades+'!$AA$20,"F",IF(D274&lt;'PlayerGrades+'!$AA$19,"F+",IF(D274&lt;'PlayerGrades+'!$AA$18,"E-",IF(D274&lt;'PlayerGrades+'!$AA$17,"E",IF(D274&lt;'PlayerGrades+'!$AA$16,"E+",IF(D274&lt;'PlayerGrades+'!$AA$15,"D-",IF(D274&lt;'PlayerGrades+'!$AA$14,"D",IF(D274&lt;'PlayerGrades+'!$AA$13,"D+",IF(D274&lt;'PlayerGrades+'!$AA$12,"C-",IF(D274&lt;'PlayerGrades+'!$AA$11,"C",IF(D274&lt;'PlayerGrades+'!$AA$10,"C+",IF(D274&lt;'PlayerGrades+'!$AA$9,"B-",IF(D274&lt;'PlayerGrades+'!$AA$8,"B",IF(D274&lt;'PlayerGrades+'!$AA$7,"B+",IF(D274&lt;'PlayerGrades+'!$AA$6,"A-",IF(D274&lt;'PlayerGrades+'!$AA$5,"A",IF(D274&lt;'PlayerGrades+'!$AA$4,"A+",IF(D274&lt;'PlayerGrades+'!$AA$3,"S-",IF(D274&lt;'PlayerGrades+'!$AA$2,"S","S+"))))))))))))))))))))</f>
        <v>#DIV/0!</v>
      </c>
      <c r="F274" s="961" t="str">
        <f t="shared" si="2"/>
        <v>#DIV/0!</v>
      </c>
      <c r="G274" s="961" t="str">
        <f>IF(F274&lt;'PlayerGrades+'!$AB$21,"F-",IF(F274&lt;'PlayerGrades+'!$AB$20,"F",IF(F274&lt;'PlayerGrades+'!$AB$19,"F+",IF(F274&lt;'PlayerGrades+'!$AB$18,"E-",IF(F274&lt;'PlayerGrades+'!$AB$17,"E",IF(F274&lt;'PlayerGrades+'!$AB$16,"E+",IF(F274&lt;'PlayerGrades+'!$AB$15,"D-",IF(F274&lt;'PlayerGrades+'!$AB$14,"D",IF(F274&lt;'PlayerGrades+'!$AB$13,"D+",IF(F274&lt;'PlayerGrades+'!$AB$12,"C-",IF(F274&lt;'PlayerGrades+'!$AB$11,"C",IF(F274&lt;'PlayerGrades+'!$AB$10,"C+",IF(F274&lt;'PlayerGrades+'!$AB$9,"B-",IF(F274&lt;'PlayerGrades+'!$AB$8,"B",IF(F274&lt;'PlayerGrades+'!$AB$7,"B+",IF(F274&lt;'PlayerGrades+'!$AB$6,"A-",IF(F274&lt;'PlayerGrades+'!$AB$5,"A",IF(F274&lt;'PlayerGrades+'!$AB$4,"A+",IF(F274&lt;'PlayerGrades+'!$AB$3,"S-",IF(F274&lt;'PlayerGrades+'!$AB$2,"S","S+"))))))))))))))))))))</f>
        <v>#DIV/0!</v>
      </c>
      <c r="H274" s="961" t="str">
        <f t="shared" si="3"/>
        <v>#DIV/0!</v>
      </c>
      <c r="I274" s="961" t="str">
        <f>IF(H274&lt;'PlayerGrades+'!$AC$21,"F-",IF(H274&lt;'PlayerGrades+'!$AC$20,"F",IF(H274&lt;'PlayerGrades+'!$AC$19,"F+",IF(H274&lt;'PlayerGrades+'!$AC$18,"E-",IF(H274&lt;'PlayerGrades+'!$AC$17,"E",IF(H274&lt;'PlayerGrades+'!$AC$16,"E+",IF(H274&lt;'PlayerGrades+'!$AC$15,"D-",IF(H274&lt;'PlayerGrades+'!$AC$14,"D",IF(H274&lt;'PlayerGrades+'!$AC$13,"D+",IF(H274&lt;'PlayerGrades+'!$AC$12,"C-",IF(H274&lt;'PlayerGrades+'!$AC$11,"C",IF(H274&lt;'PlayerGrades+'!$AC$10,"C+",IF(H274&lt;'PlayerGrades+'!$AC$9,"B-",IF(H274&lt;'PlayerGrades+'!$AC$8,"B",IF(H274&lt;'PlayerGrades+'!$AC$7,"B+",IF(H274&lt;'PlayerGrades+'!$AC$6,"A-",IF(H274&lt;'PlayerGrades+'!$AC$5,"A",IF(H274&lt;'PlayerGrades+'!$AC$4,"A+",IF(H274&lt;'PlayerGrades+'!$AC$3,"S-",IF(H274&lt;'PlayerGrades+'!$AC$2,"S","S+"))))))))))))))))))))</f>
        <v>#DIV/0!</v>
      </c>
      <c r="J274" s="961" t="str">
        <f t="shared" si="4"/>
        <v>#DIV/0!</v>
      </c>
      <c r="K274" s="961" t="str">
        <f>IF(J274&lt;'PlayerGrades+'!$AD$21,"F-",IF(J274&lt;'PlayerGrades+'!$AD$20,"F",IF(J274&lt;'PlayerGrades+'!$AD$19,"F+",IF(J274&lt;'PlayerGrades+'!$AD$18,"E-",IF(J274&lt;'PlayerGrades+'!$AD$17,"E",IF(J274&lt;'PlayerGrades+'!$AD$16,"E+",IF(J274&lt;'PlayerGrades+'!$AD$15,"D-",IF(J274&lt;'PlayerGrades+'!$AD$14,"D",IF(J274&lt;'PlayerGrades+'!$AD$13,"D+",IF(J274&lt;'PlayerGrades+'!$AD$12,"C-",IF(J274&lt;'PlayerGrades+'!$AD$11,"C",IF(J274&lt;'PlayerGrades+'!$AD$10,"C+",IF(J274&lt;'PlayerGrades+'!$AD$9,"B-",IF(J274&lt;'PlayerGrades+'!$AD$8,"B",IF(J274&lt;'PlayerGrades+'!$AD$7,"B+",IF(J274&lt;'PlayerGrades+'!$AD$6,"A-",IF(J274&lt;'PlayerGrades+'!$AD$5,"A",IF(J274&lt;'PlayerGrades+'!$AD$4,"A+",IF(J274&lt;'PlayerGrades+'!$AD$3,"S-",IF(J274&lt;'PlayerGrades+'!$AD$2,"S","S+"))))))))))))))))))))</f>
        <v>#DIV/0!</v>
      </c>
      <c r="L274" s="1176" t="str">
        <f t="shared" si="5"/>
        <v>#DIV/0!</v>
      </c>
      <c r="M274" s="992" t="str">
        <f>IF(L274&lt;'PlayerGrades+'!$AE$21,"F-",IF(L274&lt;'PlayerGrades+'!$AE$20,"F",IF(L274&lt;'PlayerGrades+'!$AE$19,"F+",IF(L274&lt;'PlayerGrades+'!$AE$18,"E-",IF(L274&lt;'PlayerGrades+'!$AE$17,"E",IF(L274&lt;'PlayerGrades+'!$AE$16,"E+",IF(L274&lt;'PlayerGrades+'!$AE$15,"D-",IF(L274&lt;'PlayerGrades+'!$AE$14,"D",IF(L274&lt;'PlayerGrades+'!$AE$13,"D+",IF(L274&lt;'PlayerGrades+'!$AE$12,"C-",IF(L274&lt;'PlayerGrades+'!$AE$11,"C",IF(L274&lt;'PlayerGrades+'!$AE$10,"C+",IF(L274&lt;'PlayerGrades+'!$AE$9,"B-",IF(L274&lt;'PlayerGrades+'!$AE$8,"B",IF(L274&lt;'PlayerGrades+'!$AE$7,"B+",IF(L274&lt;'PlayerGrades+'!$AE$6,"A-",IF(L274&lt;'PlayerGrades+'!$AE$5,"A",IF(L274&lt;'PlayerGrades+'!$AE$4,"A+",IF(L274&lt;'PlayerGrades+'!$AE$3,"S-",IF(L274&lt;'PlayerGrades+'!$AE$2,"S","S+"))))))))))))))))))))</f>
        <v>#DIV/0!</v>
      </c>
      <c r="N274" s="961" t="str">
        <f t="shared" si="6"/>
        <v>#DIV/0!</v>
      </c>
      <c r="O274" s="961" t="str">
        <f>IF(N274&lt;'PlayerGrades+'!$AF$21,"F-",IF(N274&lt;'PlayerGrades+'!$AF$20,"F",IF(N274&lt;'PlayerGrades+'!$AF$19,"F+",IF(N274&lt;'PlayerGrades+'!$AF$18,"E-",IF(N274&lt;'PlayerGrades+'!$AF$17,"E",IF(N274&lt;'PlayerGrades+'!$AF$16,"E+",IF(N274&lt;'PlayerGrades+'!$AF$15,"D-",IF(N274&lt;'PlayerGrades+'!$AF$14,"D",IF(N274&lt;'PlayerGrades+'!$AF$13,"D+",IF(N274&lt;'PlayerGrades+'!$AF$12,"C-",IF(N274&lt;'PlayerGrades+'!$AF$11,"C",IF(N274&lt;'PlayerGrades+'!$AF$10,"C+",IF(N274&lt;'PlayerGrades+'!$AF$9,"B-",IF(N274&lt;'PlayerGrades+'!$AF$8,"B",IF(N274&lt;'PlayerGrades+'!$AF$7,"B+",IF(N274&lt;'PlayerGrades+'!$AF$6,"A-",IF(N274&lt;'PlayerGrades+'!$AF$5,"A",IF(N274&lt;'PlayerGrades+'!$AF$4,"A+",IF(N274&lt;'PlayerGrades+'!$AF$3,"S-",IF(N274&lt;'PlayerGrades+'!$AF$2,"S","S+"))))))))))))))))))))</f>
        <v>#DIV/0!</v>
      </c>
      <c r="P274" s="961" t="str">
        <f t="shared" si="7"/>
        <v>#DIV/0!</v>
      </c>
      <c r="Q274" s="961" t="str">
        <f>IF(P274&lt;'PlayerGrades+'!$AG$21,"F-",IF(P274&lt;'PlayerGrades+'!$AG$20,"F",IF(P274&lt;'PlayerGrades+'!$AG$19,"F+",IF(P274&lt;'PlayerGrades+'!$AG$18,"E-",IF(P274&lt;'PlayerGrades+'!$AG$17,"E",IF(P274&lt;'PlayerGrades+'!$AG$16,"E+",IF(P274&lt;'PlayerGrades+'!$AG$15,"D-",IF(P274&lt;'PlayerGrades+'!$AG$14,"D",IF(P274&lt;'PlayerGrades+'!$AG$13,"D+",IF(P274&lt;'PlayerGrades+'!$AG$12,"C-",IF(P274&lt;'PlayerGrades+'!$AG$11,"C",IF(P274&lt;'PlayerGrades+'!$AG$10,"C+",IF(P274&lt;'PlayerGrades+'!$AG$9,"B-",IF(P274&lt;'PlayerGrades+'!$AG$8,"B",IF(P274&lt;'PlayerGrades+'!$AG$7,"B+",IF(P274&lt;'PlayerGrades+'!$AG$6,"A-",IF(P274&lt;'PlayerGrades+'!$AG$5,"A",IF(P274&lt;'PlayerGrades+'!$AG$4,"A+",IF(P274&lt;'PlayerGrades+'!$AG$3,"S-",IF(P274&lt;'PlayerGrades+'!$AG$2,"S","S+"))))))))))))))))))))</f>
        <v>#DIV/0!</v>
      </c>
      <c r="R274" s="961" t="str">
        <f t="shared" si="8"/>
        <v>#DIV/0!</v>
      </c>
      <c r="S274" s="961" t="str">
        <f>IF(R274&lt;'PlayerGrades+'!$AH$21,"F-",IF(R274&lt;'PlayerGrades+'!$AH$20,"F",IF(R274&lt;'PlayerGrades+'!$AH$19,"F+",IF(R274&lt;'PlayerGrades+'!$AH$18,"E-",IF(R274&lt;'PlayerGrades+'!$AH$17,"E",IF(R274&lt;'PlayerGrades+'!$AH$16,"E+",IF(R274&lt;'PlayerGrades+'!$AH$15,"D-",IF(R274&lt;'PlayerGrades+'!$AH$14,"D",IF(R274&lt;'PlayerGrades+'!$AH$13,"D+",IF(R274&lt;'PlayerGrades+'!$AH$12,"C-",IF(R274&lt;'PlayerGrades+'!$AH$11,"C",IF(R274&lt;'PlayerGrades+'!$AH$10,"C+",IF(R274&lt;'PlayerGrades+'!$AH$9,"B-",IF(R274&lt;'PlayerGrades+'!$AH$8,"B",IF(R274&lt;'PlayerGrades+'!$AH$7,"B+",IF(R274&lt;'PlayerGrades+'!$AH$6,"A-",IF(R274&lt;'PlayerGrades+'!$AH$5,"A",IF(R274&lt;'PlayerGrades+'!$AH$4,"A+",IF(R274&lt;'PlayerGrades+'!$AH$3,"S-",IF(R274&lt;'PlayerGrades+'!$AH$2,"S","S+"))))))))))))))))))))</f>
        <v>#DIV/0!</v>
      </c>
      <c r="T274" s="961">
        <f t="shared" si="9"/>
        <v>0</v>
      </c>
      <c r="U274" s="961" t="str">
        <f>IF(T274&lt;'PlayerGrades+'!$AI$21,"F-",IF(T274&lt;'PlayerGrades+'!$AI$20,"F",IF(T274&lt;'PlayerGrades+'!$AI$19,"F+",IF(T274&lt;'PlayerGrades+'!$AI$18,"E-",IF(T274&lt;'PlayerGrades+'!$AI$17,"E",IF(T274&lt;'PlayerGrades+'!$AI$16,"E+",IF(T274&lt;'PlayerGrades+'!$AI$15,"D-",IF(T274&lt;'PlayerGrades+'!$AI$14,"D",IF(T274&lt;'PlayerGrades+'!$AI$13,"D+",IF(T274&lt;'PlayerGrades+'!$AI$12,"C-",IF(T274&lt;'PlayerGrades+'!$AI$11,"C",IF(T274&lt;'PlayerGrades+'!$AI$10,"C+",IF(T274&lt;'PlayerGrades+'!$AI$9,"B-",IF(T274&lt;'PlayerGrades+'!$AI$8,"B",IF(T274&lt;'PlayerGrades+'!$AI$7,"B+",IF(T274&lt;'PlayerGrades+'!$AI$6,"A-",IF(T274&lt;'PlayerGrades+'!$AI$5,"A",IF(T274&lt;'PlayerGrades+'!$AI$4,"A+",IF(T274&lt;'PlayerGrades+'!$AI$3,"S-",IF(T274&lt;'PlayerGrades+'!$AI$2,"S","S+"))))))))))))))))))))</f>
        <v>F-</v>
      </c>
      <c r="V274" s="1379"/>
      <c r="W274" s="1379"/>
      <c r="X274" s="1379"/>
      <c r="Y274" s="1379"/>
      <c r="Z274" s="1379"/>
      <c r="AA274" s="1379"/>
      <c r="AB274" s="1379"/>
      <c r="AC274" s="1390"/>
      <c r="AD274" s="1379"/>
      <c r="AE274" s="1379"/>
      <c r="AF274" s="1379"/>
      <c r="AG274" s="1379"/>
      <c r="AH274" s="1379"/>
      <c r="AI274" s="1379"/>
      <c r="AJ274" s="1379"/>
      <c r="AK274" s="1379"/>
      <c r="AL274" s="1379"/>
      <c r="AM274" s="1379"/>
      <c r="AN274" s="1379"/>
      <c r="AO274" s="1379"/>
      <c r="AP274" s="1379"/>
      <c r="AQ274" s="1379"/>
      <c r="AR274" s="1379"/>
      <c r="AS274" s="1379"/>
      <c r="AT274" s="1379"/>
      <c r="AU274" s="1379"/>
      <c r="AV274" s="1379"/>
      <c r="AW274" s="1379"/>
      <c r="AX274" s="1379"/>
      <c r="AY274" s="1379"/>
      <c r="AZ274" s="1379"/>
    </row>
    <row r="275">
      <c r="A275" s="1391"/>
      <c r="B275" s="611" t="str">
        <f>IF(C275&lt;'PlayerGrades+'!$Y$44,"F-",IF(C275&lt;'PlayerGrades+'!$Y$43,"F",IF(C275&lt;'PlayerGrades+'!$Y$42,"F+",IF(C275&lt;'PlayerGrades+'!$Y$41,"E-",IF(C275&lt;'PlayerGrades+'!$Y$40,"E",IF(C275&lt;'PlayerGrades+'!$Y$39,"E+",IF(C275&lt;'PlayerGrades+'!$Y$38,"D-",IF(C275&lt;'PlayerGrades+'!$Y$37,"D",IF(C275&lt;'PlayerGrades+'!$Y$36,"D+",IF(C275&lt;'PlayerGrades+'!$Y$35,"C-",IF(C275&lt;'PlayerGrades+'!$Y$34,"C",IF(C275&lt;'PlayerGrades+'!$Y$33,"C+",IF(C275&lt;'PlayerGrades+'!$Y$32,"B-",IF(C275&lt;'PlayerGrades+'!$Y$31,"B",IF(C275&lt;'PlayerGrades+'!$Y$30,"B+",IF(C275&lt;'PlayerGrades+'!$Y$29,"A-",IF(C275&lt;'PlayerGrades+'!$Y$28,"A",IF(C275&lt;'PlayerGrades+'!$Y$27,"A+",IF(C275&lt;'PlayerGrades+'!$Y$26,"S-",IF(C275&lt;'PlayerGrades+'!$Y$25,"S","S+"))))))))))))))))))))</f>
        <v>#DIV/0!</v>
      </c>
      <c r="C275" s="1378" t="str">
        <f>('PlayerGrades+'!$Y$47*(VLOOKUP(E275, 'PlayerGrades+'!$X$3:$Y$23, 2, FALSE)))+('PlayerGrades+'!$Y$48*(VLOOKUP(G275, 'PlayerGrades+'!$X$3:$Y$23, 2, FALSE)))+('PlayerGrades+'!$Y$49*(VLOOKUP(I275, 'PlayerGrades+'!$X$3:$Y$23, 2, FALSE)))+('PlayerGrades+'!$Y$50*(VLOOKUP(K275, 'PlayerGrades+'!$X$3:$Y$23, 2, FALSE)))+('PlayerGrades+'!$Y$51*(VLOOKUP(M275, 'PlayerGrades+'!$X$3:$Y$23, 2, FALSE)))+('PlayerGrades+'!$Y$52*(VLOOKUP(O275, 'PlayerGrades+'!$X$3:$Y$23, 2, FALSE)))+('PlayerGrades+'!$Y$53*(VLOOKUP(Q275, 'PlayerGrades+'!$X$3:$Y$23, 2, FALSE)))+('PlayerGrades+'!$Y$54*(VLOOKUP(S275, 'PlayerGrades+'!$X$3:$Y$23, 2, FALSE)))+('PlayerGrades+'!$Y$55*(VLOOKUP(U275, 'PlayerGrades+'!$X$3:$Y$23, 2, FALSE)))</f>
        <v>#DIV/0!</v>
      </c>
      <c r="D275" s="961" t="str">
        <f t="shared" si="1"/>
        <v>#DIV/0!</v>
      </c>
      <c r="E275" s="961" t="str">
        <f>IF(D275&lt;'PlayerGrades+'!$AA$21,"F-",IF(D275&lt;'PlayerGrades+'!$AA$20,"F",IF(D275&lt;'PlayerGrades+'!$AA$19,"F+",IF(D275&lt;'PlayerGrades+'!$AA$18,"E-",IF(D275&lt;'PlayerGrades+'!$AA$17,"E",IF(D275&lt;'PlayerGrades+'!$AA$16,"E+",IF(D275&lt;'PlayerGrades+'!$AA$15,"D-",IF(D275&lt;'PlayerGrades+'!$AA$14,"D",IF(D275&lt;'PlayerGrades+'!$AA$13,"D+",IF(D275&lt;'PlayerGrades+'!$AA$12,"C-",IF(D275&lt;'PlayerGrades+'!$AA$11,"C",IF(D275&lt;'PlayerGrades+'!$AA$10,"C+",IF(D275&lt;'PlayerGrades+'!$AA$9,"B-",IF(D275&lt;'PlayerGrades+'!$AA$8,"B",IF(D275&lt;'PlayerGrades+'!$AA$7,"B+",IF(D275&lt;'PlayerGrades+'!$AA$6,"A-",IF(D275&lt;'PlayerGrades+'!$AA$5,"A",IF(D275&lt;'PlayerGrades+'!$AA$4,"A+",IF(D275&lt;'PlayerGrades+'!$AA$3,"S-",IF(D275&lt;'PlayerGrades+'!$AA$2,"S","S+"))))))))))))))))))))</f>
        <v>#DIV/0!</v>
      </c>
      <c r="F275" s="961" t="str">
        <f t="shared" si="2"/>
        <v>#DIV/0!</v>
      </c>
      <c r="G275" s="961" t="str">
        <f>IF(F275&lt;'PlayerGrades+'!$AB$21,"F-",IF(F275&lt;'PlayerGrades+'!$AB$20,"F",IF(F275&lt;'PlayerGrades+'!$AB$19,"F+",IF(F275&lt;'PlayerGrades+'!$AB$18,"E-",IF(F275&lt;'PlayerGrades+'!$AB$17,"E",IF(F275&lt;'PlayerGrades+'!$AB$16,"E+",IF(F275&lt;'PlayerGrades+'!$AB$15,"D-",IF(F275&lt;'PlayerGrades+'!$AB$14,"D",IF(F275&lt;'PlayerGrades+'!$AB$13,"D+",IF(F275&lt;'PlayerGrades+'!$AB$12,"C-",IF(F275&lt;'PlayerGrades+'!$AB$11,"C",IF(F275&lt;'PlayerGrades+'!$AB$10,"C+",IF(F275&lt;'PlayerGrades+'!$AB$9,"B-",IF(F275&lt;'PlayerGrades+'!$AB$8,"B",IF(F275&lt;'PlayerGrades+'!$AB$7,"B+",IF(F275&lt;'PlayerGrades+'!$AB$6,"A-",IF(F275&lt;'PlayerGrades+'!$AB$5,"A",IF(F275&lt;'PlayerGrades+'!$AB$4,"A+",IF(F275&lt;'PlayerGrades+'!$AB$3,"S-",IF(F275&lt;'PlayerGrades+'!$AB$2,"S","S+"))))))))))))))))))))</f>
        <v>#DIV/0!</v>
      </c>
      <c r="H275" s="961" t="str">
        <f t="shared" si="3"/>
        <v>#DIV/0!</v>
      </c>
      <c r="I275" s="961" t="str">
        <f>IF(H275&lt;'PlayerGrades+'!$AC$21,"F-",IF(H275&lt;'PlayerGrades+'!$AC$20,"F",IF(H275&lt;'PlayerGrades+'!$AC$19,"F+",IF(H275&lt;'PlayerGrades+'!$AC$18,"E-",IF(H275&lt;'PlayerGrades+'!$AC$17,"E",IF(H275&lt;'PlayerGrades+'!$AC$16,"E+",IF(H275&lt;'PlayerGrades+'!$AC$15,"D-",IF(H275&lt;'PlayerGrades+'!$AC$14,"D",IF(H275&lt;'PlayerGrades+'!$AC$13,"D+",IF(H275&lt;'PlayerGrades+'!$AC$12,"C-",IF(H275&lt;'PlayerGrades+'!$AC$11,"C",IF(H275&lt;'PlayerGrades+'!$AC$10,"C+",IF(H275&lt;'PlayerGrades+'!$AC$9,"B-",IF(H275&lt;'PlayerGrades+'!$AC$8,"B",IF(H275&lt;'PlayerGrades+'!$AC$7,"B+",IF(H275&lt;'PlayerGrades+'!$AC$6,"A-",IF(H275&lt;'PlayerGrades+'!$AC$5,"A",IF(H275&lt;'PlayerGrades+'!$AC$4,"A+",IF(H275&lt;'PlayerGrades+'!$AC$3,"S-",IF(H275&lt;'PlayerGrades+'!$AC$2,"S","S+"))))))))))))))))))))</f>
        <v>#DIV/0!</v>
      </c>
      <c r="J275" s="961" t="str">
        <f t="shared" si="4"/>
        <v>#DIV/0!</v>
      </c>
      <c r="K275" s="961" t="str">
        <f>IF(J275&lt;'PlayerGrades+'!$AD$21,"F-",IF(J275&lt;'PlayerGrades+'!$AD$20,"F",IF(J275&lt;'PlayerGrades+'!$AD$19,"F+",IF(J275&lt;'PlayerGrades+'!$AD$18,"E-",IF(J275&lt;'PlayerGrades+'!$AD$17,"E",IF(J275&lt;'PlayerGrades+'!$AD$16,"E+",IF(J275&lt;'PlayerGrades+'!$AD$15,"D-",IF(J275&lt;'PlayerGrades+'!$AD$14,"D",IF(J275&lt;'PlayerGrades+'!$AD$13,"D+",IF(J275&lt;'PlayerGrades+'!$AD$12,"C-",IF(J275&lt;'PlayerGrades+'!$AD$11,"C",IF(J275&lt;'PlayerGrades+'!$AD$10,"C+",IF(J275&lt;'PlayerGrades+'!$AD$9,"B-",IF(J275&lt;'PlayerGrades+'!$AD$8,"B",IF(J275&lt;'PlayerGrades+'!$AD$7,"B+",IF(J275&lt;'PlayerGrades+'!$AD$6,"A-",IF(J275&lt;'PlayerGrades+'!$AD$5,"A",IF(J275&lt;'PlayerGrades+'!$AD$4,"A+",IF(J275&lt;'PlayerGrades+'!$AD$3,"S-",IF(J275&lt;'PlayerGrades+'!$AD$2,"S","S+"))))))))))))))))))))</f>
        <v>#DIV/0!</v>
      </c>
      <c r="L275" s="1176" t="str">
        <f t="shared" si="5"/>
        <v>#DIV/0!</v>
      </c>
      <c r="M275" s="992" t="str">
        <f>IF(L275&lt;'PlayerGrades+'!$AE$21,"F-",IF(L275&lt;'PlayerGrades+'!$AE$20,"F",IF(L275&lt;'PlayerGrades+'!$AE$19,"F+",IF(L275&lt;'PlayerGrades+'!$AE$18,"E-",IF(L275&lt;'PlayerGrades+'!$AE$17,"E",IF(L275&lt;'PlayerGrades+'!$AE$16,"E+",IF(L275&lt;'PlayerGrades+'!$AE$15,"D-",IF(L275&lt;'PlayerGrades+'!$AE$14,"D",IF(L275&lt;'PlayerGrades+'!$AE$13,"D+",IF(L275&lt;'PlayerGrades+'!$AE$12,"C-",IF(L275&lt;'PlayerGrades+'!$AE$11,"C",IF(L275&lt;'PlayerGrades+'!$AE$10,"C+",IF(L275&lt;'PlayerGrades+'!$AE$9,"B-",IF(L275&lt;'PlayerGrades+'!$AE$8,"B",IF(L275&lt;'PlayerGrades+'!$AE$7,"B+",IF(L275&lt;'PlayerGrades+'!$AE$6,"A-",IF(L275&lt;'PlayerGrades+'!$AE$5,"A",IF(L275&lt;'PlayerGrades+'!$AE$4,"A+",IF(L275&lt;'PlayerGrades+'!$AE$3,"S-",IF(L275&lt;'PlayerGrades+'!$AE$2,"S","S+"))))))))))))))))))))</f>
        <v>#DIV/0!</v>
      </c>
      <c r="N275" s="961" t="str">
        <f t="shared" si="6"/>
        <v>#DIV/0!</v>
      </c>
      <c r="O275" s="961" t="str">
        <f>IF(N275&lt;'PlayerGrades+'!$AF$21,"F-",IF(N275&lt;'PlayerGrades+'!$AF$20,"F",IF(N275&lt;'PlayerGrades+'!$AF$19,"F+",IF(N275&lt;'PlayerGrades+'!$AF$18,"E-",IF(N275&lt;'PlayerGrades+'!$AF$17,"E",IF(N275&lt;'PlayerGrades+'!$AF$16,"E+",IF(N275&lt;'PlayerGrades+'!$AF$15,"D-",IF(N275&lt;'PlayerGrades+'!$AF$14,"D",IF(N275&lt;'PlayerGrades+'!$AF$13,"D+",IF(N275&lt;'PlayerGrades+'!$AF$12,"C-",IF(N275&lt;'PlayerGrades+'!$AF$11,"C",IF(N275&lt;'PlayerGrades+'!$AF$10,"C+",IF(N275&lt;'PlayerGrades+'!$AF$9,"B-",IF(N275&lt;'PlayerGrades+'!$AF$8,"B",IF(N275&lt;'PlayerGrades+'!$AF$7,"B+",IF(N275&lt;'PlayerGrades+'!$AF$6,"A-",IF(N275&lt;'PlayerGrades+'!$AF$5,"A",IF(N275&lt;'PlayerGrades+'!$AF$4,"A+",IF(N275&lt;'PlayerGrades+'!$AF$3,"S-",IF(N275&lt;'PlayerGrades+'!$AF$2,"S","S+"))))))))))))))))))))</f>
        <v>#DIV/0!</v>
      </c>
      <c r="P275" s="961" t="str">
        <f t="shared" si="7"/>
        <v>#DIV/0!</v>
      </c>
      <c r="Q275" s="961" t="str">
        <f>IF(P275&lt;'PlayerGrades+'!$AG$21,"F-",IF(P275&lt;'PlayerGrades+'!$AG$20,"F",IF(P275&lt;'PlayerGrades+'!$AG$19,"F+",IF(P275&lt;'PlayerGrades+'!$AG$18,"E-",IF(P275&lt;'PlayerGrades+'!$AG$17,"E",IF(P275&lt;'PlayerGrades+'!$AG$16,"E+",IF(P275&lt;'PlayerGrades+'!$AG$15,"D-",IF(P275&lt;'PlayerGrades+'!$AG$14,"D",IF(P275&lt;'PlayerGrades+'!$AG$13,"D+",IF(P275&lt;'PlayerGrades+'!$AG$12,"C-",IF(P275&lt;'PlayerGrades+'!$AG$11,"C",IF(P275&lt;'PlayerGrades+'!$AG$10,"C+",IF(P275&lt;'PlayerGrades+'!$AG$9,"B-",IF(P275&lt;'PlayerGrades+'!$AG$8,"B",IF(P275&lt;'PlayerGrades+'!$AG$7,"B+",IF(P275&lt;'PlayerGrades+'!$AG$6,"A-",IF(P275&lt;'PlayerGrades+'!$AG$5,"A",IF(P275&lt;'PlayerGrades+'!$AG$4,"A+",IF(P275&lt;'PlayerGrades+'!$AG$3,"S-",IF(P275&lt;'PlayerGrades+'!$AG$2,"S","S+"))))))))))))))))))))</f>
        <v>#DIV/0!</v>
      </c>
      <c r="R275" s="961" t="str">
        <f t="shared" si="8"/>
        <v>#DIV/0!</v>
      </c>
      <c r="S275" s="961" t="str">
        <f>IF(R275&lt;'PlayerGrades+'!$AH$21,"F-",IF(R275&lt;'PlayerGrades+'!$AH$20,"F",IF(R275&lt;'PlayerGrades+'!$AH$19,"F+",IF(R275&lt;'PlayerGrades+'!$AH$18,"E-",IF(R275&lt;'PlayerGrades+'!$AH$17,"E",IF(R275&lt;'PlayerGrades+'!$AH$16,"E+",IF(R275&lt;'PlayerGrades+'!$AH$15,"D-",IF(R275&lt;'PlayerGrades+'!$AH$14,"D",IF(R275&lt;'PlayerGrades+'!$AH$13,"D+",IF(R275&lt;'PlayerGrades+'!$AH$12,"C-",IF(R275&lt;'PlayerGrades+'!$AH$11,"C",IF(R275&lt;'PlayerGrades+'!$AH$10,"C+",IF(R275&lt;'PlayerGrades+'!$AH$9,"B-",IF(R275&lt;'PlayerGrades+'!$AH$8,"B",IF(R275&lt;'PlayerGrades+'!$AH$7,"B+",IF(R275&lt;'PlayerGrades+'!$AH$6,"A-",IF(R275&lt;'PlayerGrades+'!$AH$5,"A",IF(R275&lt;'PlayerGrades+'!$AH$4,"A+",IF(R275&lt;'PlayerGrades+'!$AH$3,"S-",IF(R275&lt;'PlayerGrades+'!$AH$2,"S","S+"))))))))))))))))))))</f>
        <v>#DIV/0!</v>
      </c>
      <c r="T275" s="961">
        <f t="shared" si="9"/>
        <v>0</v>
      </c>
      <c r="U275" s="961" t="str">
        <f>IF(T275&lt;'PlayerGrades+'!$AI$21,"F-",IF(T275&lt;'PlayerGrades+'!$AI$20,"F",IF(T275&lt;'PlayerGrades+'!$AI$19,"F+",IF(T275&lt;'PlayerGrades+'!$AI$18,"E-",IF(T275&lt;'PlayerGrades+'!$AI$17,"E",IF(T275&lt;'PlayerGrades+'!$AI$16,"E+",IF(T275&lt;'PlayerGrades+'!$AI$15,"D-",IF(T275&lt;'PlayerGrades+'!$AI$14,"D",IF(T275&lt;'PlayerGrades+'!$AI$13,"D+",IF(T275&lt;'PlayerGrades+'!$AI$12,"C-",IF(T275&lt;'PlayerGrades+'!$AI$11,"C",IF(T275&lt;'PlayerGrades+'!$AI$10,"C+",IF(T275&lt;'PlayerGrades+'!$AI$9,"B-",IF(T275&lt;'PlayerGrades+'!$AI$8,"B",IF(T275&lt;'PlayerGrades+'!$AI$7,"B+",IF(T275&lt;'PlayerGrades+'!$AI$6,"A-",IF(T275&lt;'PlayerGrades+'!$AI$5,"A",IF(T275&lt;'PlayerGrades+'!$AI$4,"A+",IF(T275&lt;'PlayerGrades+'!$AI$3,"S-",IF(T275&lt;'PlayerGrades+'!$AI$2,"S","S+"))))))))))))))))))))</f>
        <v>F-</v>
      </c>
      <c r="AC275" s="1392"/>
    </row>
    <row r="276">
      <c r="A276" s="1391"/>
      <c r="B276" s="611" t="str">
        <f>IF(C276&lt;'PlayerGrades+'!$Y$44,"F-",IF(C276&lt;'PlayerGrades+'!$Y$43,"F",IF(C276&lt;'PlayerGrades+'!$Y$42,"F+",IF(C276&lt;'PlayerGrades+'!$Y$41,"E-",IF(C276&lt;'PlayerGrades+'!$Y$40,"E",IF(C276&lt;'PlayerGrades+'!$Y$39,"E+",IF(C276&lt;'PlayerGrades+'!$Y$38,"D-",IF(C276&lt;'PlayerGrades+'!$Y$37,"D",IF(C276&lt;'PlayerGrades+'!$Y$36,"D+",IF(C276&lt;'PlayerGrades+'!$Y$35,"C-",IF(C276&lt;'PlayerGrades+'!$Y$34,"C",IF(C276&lt;'PlayerGrades+'!$Y$33,"C+",IF(C276&lt;'PlayerGrades+'!$Y$32,"B-",IF(C276&lt;'PlayerGrades+'!$Y$31,"B",IF(C276&lt;'PlayerGrades+'!$Y$30,"B+",IF(C276&lt;'PlayerGrades+'!$Y$29,"A-",IF(C276&lt;'PlayerGrades+'!$Y$28,"A",IF(C276&lt;'PlayerGrades+'!$Y$27,"A+",IF(C276&lt;'PlayerGrades+'!$Y$26,"S-",IF(C276&lt;'PlayerGrades+'!$Y$25,"S","S+"))))))))))))))))))))</f>
        <v>#DIV/0!</v>
      </c>
      <c r="C276" s="1378" t="str">
        <f>('PlayerGrades+'!$Y$47*(VLOOKUP(E276, 'PlayerGrades+'!$X$3:$Y$23, 2, FALSE)))+('PlayerGrades+'!$Y$48*(VLOOKUP(G276, 'PlayerGrades+'!$X$3:$Y$23, 2, FALSE)))+('PlayerGrades+'!$Y$49*(VLOOKUP(I276, 'PlayerGrades+'!$X$3:$Y$23, 2, FALSE)))+('PlayerGrades+'!$Y$50*(VLOOKUP(K276, 'PlayerGrades+'!$X$3:$Y$23, 2, FALSE)))+('PlayerGrades+'!$Y$51*(VLOOKUP(M276, 'PlayerGrades+'!$X$3:$Y$23, 2, FALSE)))+('PlayerGrades+'!$Y$52*(VLOOKUP(O276, 'PlayerGrades+'!$X$3:$Y$23, 2, FALSE)))+('PlayerGrades+'!$Y$53*(VLOOKUP(Q276, 'PlayerGrades+'!$X$3:$Y$23, 2, FALSE)))+('PlayerGrades+'!$Y$54*(VLOOKUP(S276, 'PlayerGrades+'!$X$3:$Y$23, 2, FALSE)))+('PlayerGrades+'!$Y$55*(VLOOKUP(U276, 'PlayerGrades+'!$X$3:$Y$23, 2, FALSE)))</f>
        <v>#DIV/0!</v>
      </c>
      <c r="D276" s="961" t="str">
        <f t="shared" si="1"/>
        <v>#DIV/0!</v>
      </c>
      <c r="E276" s="961" t="str">
        <f>IF(D276&lt;'PlayerGrades+'!$AA$21,"F-",IF(D276&lt;'PlayerGrades+'!$AA$20,"F",IF(D276&lt;'PlayerGrades+'!$AA$19,"F+",IF(D276&lt;'PlayerGrades+'!$AA$18,"E-",IF(D276&lt;'PlayerGrades+'!$AA$17,"E",IF(D276&lt;'PlayerGrades+'!$AA$16,"E+",IF(D276&lt;'PlayerGrades+'!$AA$15,"D-",IF(D276&lt;'PlayerGrades+'!$AA$14,"D",IF(D276&lt;'PlayerGrades+'!$AA$13,"D+",IF(D276&lt;'PlayerGrades+'!$AA$12,"C-",IF(D276&lt;'PlayerGrades+'!$AA$11,"C",IF(D276&lt;'PlayerGrades+'!$AA$10,"C+",IF(D276&lt;'PlayerGrades+'!$AA$9,"B-",IF(D276&lt;'PlayerGrades+'!$AA$8,"B",IF(D276&lt;'PlayerGrades+'!$AA$7,"B+",IF(D276&lt;'PlayerGrades+'!$AA$6,"A-",IF(D276&lt;'PlayerGrades+'!$AA$5,"A",IF(D276&lt;'PlayerGrades+'!$AA$4,"A+",IF(D276&lt;'PlayerGrades+'!$AA$3,"S-",IF(D276&lt;'PlayerGrades+'!$AA$2,"S","S+"))))))))))))))))))))</f>
        <v>#DIV/0!</v>
      </c>
      <c r="F276" s="961" t="str">
        <f t="shared" si="2"/>
        <v>#DIV/0!</v>
      </c>
      <c r="G276" s="961" t="str">
        <f>IF(F276&lt;'PlayerGrades+'!$AB$21,"F-",IF(F276&lt;'PlayerGrades+'!$AB$20,"F",IF(F276&lt;'PlayerGrades+'!$AB$19,"F+",IF(F276&lt;'PlayerGrades+'!$AB$18,"E-",IF(F276&lt;'PlayerGrades+'!$AB$17,"E",IF(F276&lt;'PlayerGrades+'!$AB$16,"E+",IF(F276&lt;'PlayerGrades+'!$AB$15,"D-",IF(F276&lt;'PlayerGrades+'!$AB$14,"D",IF(F276&lt;'PlayerGrades+'!$AB$13,"D+",IF(F276&lt;'PlayerGrades+'!$AB$12,"C-",IF(F276&lt;'PlayerGrades+'!$AB$11,"C",IF(F276&lt;'PlayerGrades+'!$AB$10,"C+",IF(F276&lt;'PlayerGrades+'!$AB$9,"B-",IF(F276&lt;'PlayerGrades+'!$AB$8,"B",IF(F276&lt;'PlayerGrades+'!$AB$7,"B+",IF(F276&lt;'PlayerGrades+'!$AB$6,"A-",IF(F276&lt;'PlayerGrades+'!$AB$5,"A",IF(F276&lt;'PlayerGrades+'!$AB$4,"A+",IF(F276&lt;'PlayerGrades+'!$AB$3,"S-",IF(F276&lt;'PlayerGrades+'!$AB$2,"S","S+"))))))))))))))))))))</f>
        <v>#DIV/0!</v>
      </c>
      <c r="H276" s="961" t="str">
        <f t="shared" si="3"/>
        <v>#DIV/0!</v>
      </c>
      <c r="I276" s="961" t="str">
        <f>IF(H276&lt;'PlayerGrades+'!$AC$21,"F-",IF(H276&lt;'PlayerGrades+'!$AC$20,"F",IF(H276&lt;'PlayerGrades+'!$AC$19,"F+",IF(H276&lt;'PlayerGrades+'!$AC$18,"E-",IF(H276&lt;'PlayerGrades+'!$AC$17,"E",IF(H276&lt;'PlayerGrades+'!$AC$16,"E+",IF(H276&lt;'PlayerGrades+'!$AC$15,"D-",IF(H276&lt;'PlayerGrades+'!$AC$14,"D",IF(H276&lt;'PlayerGrades+'!$AC$13,"D+",IF(H276&lt;'PlayerGrades+'!$AC$12,"C-",IF(H276&lt;'PlayerGrades+'!$AC$11,"C",IF(H276&lt;'PlayerGrades+'!$AC$10,"C+",IF(H276&lt;'PlayerGrades+'!$AC$9,"B-",IF(H276&lt;'PlayerGrades+'!$AC$8,"B",IF(H276&lt;'PlayerGrades+'!$AC$7,"B+",IF(H276&lt;'PlayerGrades+'!$AC$6,"A-",IF(H276&lt;'PlayerGrades+'!$AC$5,"A",IF(H276&lt;'PlayerGrades+'!$AC$4,"A+",IF(H276&lt;'PlayerGrades+'!$AC$3,"S-",IF(H276&lt;'PlayerGrades+'!$AC$2,"S","S+"))))))))))))))))))))</f>
        <v>#DIV/0!</v>
      </c>
      <c r="J276" s="961" t="str">
        <f t="shared" si="4"/>
        <v>#DIV/0!</v>
      </c>
      <c r="K276" s="961" t="str">
        <f>IF(J276&lt;'PlayerGrades+'!$AD$21,"F-",IF(J276&lt;'PlayerGrades+'!$AD$20,"F",IF(J276&lt;'PlayerGrades+'!$AD$19,"F+",IF(J276&lt;'PlayerGrades+'!$AD$18,"E-",IF(J276&lt;'PlayerGrades+'!$AD$17,"E",IF(J276&lt;'PlayerGrades+'!$AD$16,"E+",IF(J276&lt;'PlayerGrades+'!$AD$15,"D-",IF(J276&lt;'PlayerGrades+'!$AD$14,"D",IF(J276&lt;'PlayerGrades+'!$AD$13,"D+",IF(J276&lt;'PlayerGrades+'!$AD$12,"C-",IF(J276&lt;'PlayerGrades+'!$AD$11,"C",IF(J276&lt;'PlayerGrades+'!$AD$10,"C+",IF(J276&lt;'PlayerGrades+'!$AD$9,"B-",IF(J276&lt;'PlayerGrades+'!$AD$8,"B",IF(J276&lt;'PlayerGrades+'!$AD$7,"B+",IF(J276&lt;'PlayerGrades+'!$AD$6,"A-",IF(J276&lt;'PlayerGrades+'!$AD$5,"A",IF(J276&lt;'PlayerGrades+'!$AD$4,"A+",IF(J276&lt;'PlayerGrades+'!$AD$3,"S-",IF(J276&lt;'PlayerGrades+'!$AD$2,"S","S+"))))))))))))))))))))</f>
        <v>#DIV/0!</v>
      </c>
      <c r="L276" s="1176" t="str">
        <f t="shared" si="5"/>
        <v>#DIV/0!</v>
      </c>
      <c r="M276" s="992" t="str">
        <f>IF(L276&lt;'PlayerGrades+'!$AE$21,"F-",IF(L276&lt;'PlayerGrades+'!$AE$20,"F",IF(L276&lt;'PlayerGrades+'!$AE$19,"F+",IF(L276&lt;'PlayerGrades+'!$AE$18,"E-",IF(L276&lt;'PlayerGrades+'!$AE$17,"E",IF(L276&lt;'PlayerGrades+'!$AE$16,"E+",IF(L276&lt;'PlayerGrades+'!$AE$15,"D-",IF(L276&lt;'PlayerGrades+'!$AE$14,"D",IF(L276&lt;'PlayerGrades+'!$AE$13,"D+",IF(L276&lt;'PlayerGrades+'!$AE$12,"C-",IF(L276&lt;'PlayerGrades+'!$AE$11,"C",IF(L276&lt;'PlayerGrades+'!$AE$10,"C+",IF(L276&lt;'PlayerGrades+'!$AE$9,"B-",IF(L276&lt;'PlayerGrades+'!$AE$8,"B",IF(L276&lt;'PlayerGrades+'!$AE$7,"B+",IF(L276&lt;'PlayerGrades+'!$AE$6,"A-",IF(L276&lt;'PlayerGrades+'!$AE$5,"A",IF(L276&lt;'PlayerGrades+'!$AE$4,"A+",IF(L276&lt;'PlayerGrades+'!$AE$3,"S-",IF(L276&lt;'PlayerGrades+'!$AE$2,"S","S+"))))))))))))))))))))</f>
        <v>#DIV/0!</v>
      </c>
      <c r="N276" s="961" t="str">
        <f t="shared" si="6"/>
        <v>#DIV/0!</v>
      </c>
      <c r="O276" s="961" t="str">
        <f>IF(N276&lt;'PlayerGrades+'!$AF$21,"F-",IF(N276&lt;'PlayerGrades+'!$AF$20,"F",IF(N276&lt;'PlayerGrades+'!$AF$19,"F+",IF(N276&lt;'PlayerGrades+'!$AF$18,"E-",IF(N276&lt;'PlayerGrades+'!$AF$17,"E",IF(N276&lt;'PlayerGrades+'!$AF$16,"E+",IF(N276&lt;'PlayerGrades+'!$AF$15,"D-",IF(N276&lt;'PlayerGrades+'!$AF$14,"D",IF(N276&lt;'PlayerGrades+'!$AF$13,"D+",IF(N276&lt;'PlayerGrades+'!$AF$12,"C-",IF(N276&lt;'PlayerGrades+'!$AF$11,"C",IF(N276&lt;'PlayerGrades+'!$AF$10,"C+",IF(N276&lt;'PlayerGrades+'!$AF$9,"B-",IF(N276&lt;'PlayerGrades+'!$AF$8,"B",IF(N276&lt;'PlayerGrades+'!$AF$7,"B+",IF(N276&lt;'PlayerGrades+'!$AF$6,"A-",IF(N276&lt;'PlayerGrades+'!$AF$5,"A",IF(N276&lt;'PlayerGrades+'!$AF$4,"A+",IF(N276&lt;'PlayerGrades+'!$AF$3,"S-",IF(N276&lt;'PlayerGrades+'!$AF$2,"S","S+"))))))))))))))))))))</f>
        <v>#DIV/0!</v>
      </c>
      <c r="P276" s="961" t="str">
        <f t="shared" si="7"/>
        <v>#DIV/0!</v>
      </c>
      <c r="Q276" s="961" t="str">
        <f>IF(P276&lt;'PlayerGrades+'!$AG$21,"F-",IF(P276&lt;'PlayerGrades+'!$AG$20,"F",IF(P276&lt;'PlayerGrades+'!$AG$19,"F+",IF(P276&lt;'PlayerGrades+'!$AG$18,"E-",IF(P276&lt;'PlayerGrades+'!$AG$17,"E",IF(P276&lt;'PlayerGrades+'!$AG$16,"E+",IF(P276&lt;'PlayerGrades+'!$AG$15,"D-",IF(P276&lt;'PlayerGrades+'!$AG$14,"D",IF(P276&lt;'PlayerGrades+'!$AG$13,"D+",IF(P276&lt;'PlayerGrades+'!$AG$12,"C-",IF(P276&lt;'PlayerGrades+'!$AG$11,"C",IF(P276&lt;'PlayerGrades+'!$AG$10,"C+",IF(P276&lt;'PlayerGrades+'!$AG$9,"B-",IF(P276&lt;'PlayerGrades+'!$AG$8,"B",IF(P276&lt;'PlayerGrades+'!$AG$7,"B+",IF(P276&lt;'PlayerGrades+'!$AG$6,"A-",IF(P276&lt;'PlayerGrades+'!$AG$5,"A",IF(P276&lt;'PlayerGrades+'!$AG$4,"A+",IF(P276&lt;'PlayerGrades+'!$AG$3,"S-",IF(P276&lt;'PlayerGrades+'!$AG$2,"S","S+"))))))))))))))))))))</f>
        <v>#DIV/0!</v>
      </c>
      <c r="R276" s="961" t="str">
        <f t="shared" si="8"/>
        <v>#DIV/0!</v>
      </c>
      <c r="S276" s="961" t="str">
        <f>IF(R276&lt;'PlayerGrades+'!$AH$21,"F-",IF(R276&lt;'PlayerGrades+'!$AH$20,"F",IF(R276&lt;'PlayerGrades+'!$AH$19,"F+",IF(R276&lt;'PlayerGrades+'!$AH$18,"E-",IF(R276&lt;'PlayerGrades+'!$AH$17,"E",IF(R276&lt;'PlayerGrades+'!$AH$16,"E+",IF(R276&lt;'PlayerGrades+'!$AH$15,"D-",IF(R276&lt;'PlayerGrades+'!$AH$14,"D",IF(R276&lt;'PlayerGrades+'!$AH$13,"D+",IF(R276&lt;'PlayerGrades+'!$AH$12,"C-",IF(R276&lt;'PlayerGrades+'!$AH$11,"C",IF(R276&lt;'PlayerGrades+'!$AH$10,"C+",IF(R276&lt;'PlayerGrades+'!$AH$9,"B-",IF(R276&lt;'PlayerGrades+'!$AH$8,"B",IF(R276&lt;'PlayerGrades+'!$AH$7,"B+",IF(R276&lt;'PlayerGrades+'!$AH$6,"A-",IF(R276&lt;'PlayerGrades+'!$AH$5,"A",IF(R276&lt;'PlayerGrades+'!$AH$4,"A+",IF(R276&lt;'PlayerGrades+'!$AH$3,"S-",IF(R276&lt;'PlayerGrades+'!$AH$2,"S","S+"))))))))))))))))))))</f>
        <v>#DIV/0!</v>
      </c>
      <c r="T276" s="961">
        <f t="shared" si="9"/>
        <v>0</v>
      </c>
      <c r="U276" s="961" t="str">
        <f>IF(T276&lt;'PlayerGrades+'!$AI$21,"F-",IF(T276&lt;'PlayerGrades+'!$AI$20,"F",IF(T276&lt;'PlayerGrades+'!$AI$19,"F+",IF(T276&lt;'PlayerGrades+'!$AI$18,"E-",IF(T276&lt;'PlayerGrades+'!$AI$17,"E",IF(T276&lt;'PlayerGrades+'!$AI$16,"E+",IF(T276&lt;'PlayerGrades+'!$AI$15,"D-",IF(T276&lt;'PlayerGrades+'!$AI$14,"D",IF(T276&lt;'PlayerGrades+'!$AI$13,"D+",IF(T276&lt;'PlayerGrades+'!$AI$12,"C-",IF(T276&lt;'PlayerGrades+'!$AI$11,"C",IF(T276&lt;'PlayerGrades+'!$AI$10,"C+",IF(T276&lt;'PlayerGrades+'!$AI$9,"B-",IF(T276&lt;'PlayerGrades+'!$AI$8,"B",IF(T276&lt;'PlayerGrades+'!$AI$7,"B+",IF(T276&lt;'PlayerGrades+'!$AI$6,"A-",IF(T276&lt;'PlayerGrades+'!$AI$5,"A",IF(T276&lt;'PlayerGrades+'!$AI$4,"A+",IF(T276&lt;'PlayerGrades+'!$AI$3,"S-",IF(T276&lt;'PlayerGrades+'!$AI$2,"S","S+"))))))))))))))))))))</f>
        <v>F-</v>
      </c>
      <c r="AC276" s="1392"/>
    </row>
    <row r="277">
      <c r="A277" s="1391"/>
      <c r="B277" s="611" t="str">
        <f>IF(C277&lt;'PlayerGrades+'!$Y$44,"F-",IF(C277&lt;'PlayerGrades+'!$Y$43,"F",IF(C277&lt;'PlayerGrades+'!$Y$42,"F+",IF(C277&lt;'PlayerGrades+'!$Y$41,"E-",IF(C277&lt;'PlayerGrades+'!$Y$40,"E",IF(C277&lt;'PlayerGrades+'!$Y$39,"E+",IF(C277&lt;'PlayerGrades+'!$Y$38,"D-",IF(C277&lt;'PlayerGrades+'!$Y$37,"D",IF(C277&lt;'PlayerGrades+'!$Y$36,"D+",IF(C277&lt;'PlayerGrades+'!$Y$35,"C-",IF(C277&lt;'PlayerGrades+'!$Y$34,"C",IF(C277&lt;'PlayerGrades+'!$Y$33,"C+",IF(C277&lt;'PlayerGrades+'!$Y$32,"B-",IF(C277&lt;'PlayerGrades+'!$Y$31,"B",IF(C277&lt;'PlayerGrades+'!$Y$30,"B+",IF(C277&lt;'PlayerGrades+'!$Y$29,"A-",IF(C277&lt;'PlayerGrades+'!$Y$28,"A",IF(C277&lt;'PlayerGrades+'!$Y$27,"A+",IF(C277&lt;'PlayerGrades+'!$Y$26,"S-",IF(C277&lt;'PlayerGrades+'!$Y$25,"S","S+"))))))))))))))))))))</f>
        <v>#DIV/0!</v>
      </c>
      <c r="C277" s="1378" t="str">
        <f>('PlayerGrades+'!$Y$47*(VLOOKUP(E277, 'PlayerGrades+'!$X$3:$Y$23, 2, FALSE)))+('PlayerGrades+'!$Y$48*(VLOOKUP(G277, 'PlayerGrades+'!$X$3:$Y$23, 2, FALSE)))+('PlayerGrades+'!$Y$49*(VLOOKUP(I277, 'PlayerGrades+'!$X$3:$Y$23, 2, FALSE)))+('PlayerGrades+'!$Y$50*(VLOOKUP(K277, 'PlayerGrades+'!$X$3:$Y$23, 2, FALSE)))+('PlayerGrades+'!$Y$51*(VLOOKUP(M277, 'PlayerGrades+'!$X$3:$Y$23, 2, FALSE)))+('PlayerGrades+'!$Y$52*(VLOOKUP(O277, 'PlayerGrades+'!$X$3:$Y$23, 2, FALSE)))+('PlayerGrades+'!$Y$53*(VLOOKUP(Q277, 'PlayerGrades+'!$X$3:$Y$23, 2, FALSE)))+('PlayerGrades+'!$Y$54*(VLOOKUP(S277, 'PlayerGrades+'!$X$3:$Y$23, 2, FALSE)))+('PlayerGrades+'!$Y$55*(VLOOKUP(U277, 'PlayerGrades+'!$X$3:$Y$23, 2, FALSE)))</f>
        <v>#DIV/0!</v>
      </c>
      <c r="D277" s="961" t="str">
        <f t="shared" si="1"/>
        <v>#DIV/0!</v>
      </c>
      <c r="E277" s="961" t="str">
        <f>IF(D277&lt;'PlayerGrades+'!$AA$21,"F-",IF(D277&lt;'PlayerGrades+'!$AA$20,"F",IF(D277&lt;'PlayerGrades+'!$AA$19,"F+",IF(D277&lt;'PlayerGrades+'!$AA$18,"E-",IF(D277&lt;'PlayerGrades+'!$AA$17,"E",IF(D277&lt;'PlayerGrades+'!$AA$16,"E+",IF(D277&lt;'PlayerGrades+'!$AA$15,"D-",IF(D277&lt;'PlayerGrades+'!$AA$14,"D",IF(D277&lt;'PlayerGrades+'!$AA$13,"D+",IF(D277&lt;'PlayerGrades+'!$AA$12,"C-",IF(D277&lt;'PlayerGrades+'!$AA$11,"C",IF(D277&lt;'PlayerGrades+'!$AA$10,"C+",IF(D277&lt;'PlayerGrades+'!$AA$9,"B-",IF(D277&lt;'PlayerGrades+'!$AA$8,"B",IF(D277&lt;'PlayerGrades+'!$AA$7,"B+",IF(D277&lt;'PlayerGrades+'!$AA$6,"A-",IF(D277&lt;'PlayerGrades+'!$AA$5,"A",IF(D277&lt;'PlayerGrades+'!$AA$4,"A+",IF(D277&lt;'PlayerGrades+'!$AA$3,"S-",IF(D277&lt;'PlayerGrades+'!$AA$2,"S","S+"))))))))))))))))))))</f>
        <v>#DIV/0!</v>
      </c>
      <c r="F277" s="961" t="str">
        <f t="shared" si="2"/>
        <v>#DIV/0!</v>
      </c>
      <c r="G277" s="961" t="str">
        <f>IF(F277&lt;'PlayerGrades+'!$AB$21,"F-",IF(F277&lt;'PlayerGrades+'!$AB$20,"F",IF(F277&lt;'PlayerGrades+'!$AB$19,"F+",IF(F277&lt;'PlayerGrades+'!$AB$18,"E-",IF(F277&lt;'PlayerGrades+'!$AB$17,"E",IF(F277&lt;'PlayerGrades+'!$AB$16,"E+",IF(F277&lt;'PlayerGrades+'!$AB$15,"D-",IF(F277&lt;'PlayerGrades+'!$AB$14,"D",IF(F277&lt;'PlayerGrades+'!$AB$13,"D+",IF(F277&lt;'PlayerGrades+'!$AB$12,"C-",IF(F277&lt;'PlayerGrades+'!$AB$11,"C",IF(F277&lt;'PlayerGrades+'!$AB$10,"C+",IF(F277&lt;'PlayerGrades+'!$AB$9,"B-",IF(F277&lt;'PlayerGrades+'!$AB$8,"B",IF(F277&lt;'PlayerGrades+'!$AB$7,"B+",IF(F277&lt;'PlayerGrades+'!$AB$6,"A-",IF(F277&lt;'PlayerGrades+'!$AB$5,"A",IF(F277&lt;'PlayerGrades+'!$AB$4,"A+",IF(F277&lt;'PlayerGrades+'!$AB$3,"S-",IF(F277&lt;'PlayerGrades+'!$AB$2,"S","S+"))))))))))))))))))))</f>
        <v>#DIV/0!</v>
      </c>
      <c r="H277" s="961" t="str">
        <f t="shared" si="3"/>
        <v>#DIV/0!</v>
      </c>
      <c r="I277" s="961" t="str">
        <f>IF(H277&lt;'PlayerGrades+'!$AC$21,"F-",IF(H277&lt;'PlayerGrades+'!$AC$20,"F",IF(H277&lt;'PlayerGrades+'!$AC$19,"F+",IF(H277&lt;'PlayerGrades+'!$AC$18,"E-",IF(H277&lt;'PlayerGrades+'!$AC$17,"E",IF(H277&lt;'PlayerGrades+'!$AC$16,"E+",IF(H277&lt;'PlayerGrades+'!$AC$15,"D-",IF(H277&lt;'PlayerGrades+'!$AC$14,"D",IF(H277&lt;'PlayerGrades+'!$AC$13,"D+",IF(H277&lt;'PlayerGrades+'!$AC$12,"C-",IF(H277&lt;'PlayerGrades+'!$AC$11,"C",IF(H277&lt;'PlayerGrades+'!$AC$10,"C+",IF(H277&lt;'PlayerGrades+'!$AC$9,"B-",IF(H277&lt;'PlayerGrades+'!$AC$8,"B",IF(H277&lt;'PlayerGrades+'!$AC$7,"B+",IF(H277&lt;'PlayerGrades+'!$AC$6,"A-",IF(H277&lt;'PlayerGrades+'!$AC$5,"A",IF(H277&lt;'PlayerGrades+'!$AC$4,"A+",IF(H277&lt;'PlayerGrades+'!$AC$3,"S-",IF(H277&lt;'PlayerGrades+'!$AC$2,"S","S+"))))))))))))))))))))</f>
        <v>#DIV/0!</v>
      </c>
      <c r="J277" s="961" t="str">
        <f t="shared" si="4"/>
        <v>#DIV/0!</v>
      </c>
      <c r="K277" s="961" t="str">
        <f>IF(J277&lt;'PlayerGrades+'!$AD$21,"F-",IF(J277&lt;'PlayerGrades+'!$AD$20,"F",IF(J277&lt;'PlayerGrades+'!$AD$19,"F+",IF(J277&lt;'PlayerGrades+'!$AD$18,"E-",IF(J277&lt;'PlayerGrades+'!$AD$17,"E",IF(J277&lt;'PlayerGrades+'!$AD$16,"E+",IF(J277&lt;'PlayerGrades+'!$AD$15,"D-",IF(J277&lt;'PlayerGrades+'!$AD$14,"D",IF(J277&lt;'PlayerGrades+'!$AD$13,"D+",IF(J277&lt;'PlayerGrades+'!$AD$12,"C-",IF(J277&lt;'PlayerGrades+'!$AD$11,"C",IF(J277&lt;'PlayerGrades+'!$AD$10,"C+",IF(J277&lt;'PlayerGrades+'!$AD$9,"B-",IF(J277&lt;'PlayerGrades+'!$AD$8,"B",IF(J277&lt;'PlayerGrades+'!$AD$7,"B+",IF(J277&lt;'PlayerGrades+'!$AD$6,"A-",IF(J277&lt;'PlayerGrades+'!$AD$5,"A",IF(J277&lt;'PlayerGrades+'!$AD$4,"A+",IF(J277&lt;'PlayerGrades+'!$AD$3,"S-",IF(J277&lt;'PlayerGrades+'!$AD$2,"S","S+"))))))))))))))))))))</f>
        <v>#DIV/0!</v>
      </c>
      <c r="L277" s="1176" t="str">
        <f t="shared" si="5"/>
        <v>#DIV/0!</v>
      </c>
      <c r="M277" s="992" t="str">
        <f>IF(L277&lt;'PlayerGrades+'!$AE$21,"F-",IF(L277&lt;'PlayerGrades+'!$AE$20,"F",IF(L277&lt;'PlayerGrades+'!$AE$19,"F+",IF(L277&lt;'PlayerGrades+'!$AE$18,"E-",IF(L277&lt;'PlayerGrades+'!$AE$17,"E",IF(L277&lt;'PlayerGrades+'!$AE$16,"E+",IF(L277&lt;'PlayerGrades+'!$AE$15,"D-",IF(L277&lt;'PlayerGrades+'!$AE$14,"D",IF(L277&lt;'PlayerGrades+'!$AE$13,"D+",IF(L277&lt;'PlayerGrades+'!$AE$12,"C-",IF(L277&lt;'PlayerGrades+'!$AE$11,"C",IF(L277&lt;'PlayerGrades+'!$AE$10,"C+",IF(L277&lt;'PlayerGrades+'!$AE$9,"B-",IF(L277&lt;'PlayerGrades+'!$AE$8,"B",IF(L277&lt;'PlayerGrades+'!$AE$7,"B+",IF(L277&lt;'PlayerGrades+'!$AE$6,"A-",IF(L277&lt;'PlayerGrades+'!$AE$5,"A",IF(L277&lt;'PlayerGrades+'!$AE$4,"A+",IF(L277&lt;'PlayerGrades+'!$AE$3,"S-",IF(L277&lt;'PlayerGrades+'!$AE$2,"S","S+"))))))))))))))))))))</f>
        <v>#DIV/0!</v>
      </c>
      <c r="N277" s="961" t="str">
        <f t="shared" si="6"/>
        <v>#DIV/0!</v>
      </c>
      <c r="O277" s="961" t="str">
        <f>IF(N277&lt;'PlayerGrades+'!$AF$21,"F-",IF(N277&lt;'PlayerGrades+'!$AF$20,"F",IF(N277&lt;'PlayerGrades+'!$AF$19,"F+",IF(N277&lt;'PlayerGrades+'!$AF$18,"E-",IF(N277&lt;'PlayerGrades+'!$AF$17,"E",IF(N277&lt;'PlayerGrades+'!$AF$16,"E+",IF(N277&lt;'PlayerGrades+'!$AF$15,"D-",IF(N277&lt;'PlayerGrades+'!$AF$14,"D",IF(N277&lt;'PlayerGrades+'!$AF$13,"D+",IF(N277&lt;'PlayerGrades+'!$AF$12,"C-",IF(N277&lt;'PlayerGrades+'!$AF$11,"C",IF(N277&lt;'PlayerGrades+'!$AF$10,"C+",IF(N277&lt;'PlayerGrades+'!$AF$9,"B-",IF(N277&lt;'PlayerGrades+'!$AF$8,"B",IF(N277&lt;'PlayerGrades+'!$AF$7,"B+",IF(N277&lt;'PlayerGrades+'!$AF$6,"A-",IF(N277&lt;'PlayerGrades+'!$AF$5,"A",IF(N277&lt;'PlayerGrades+'!$AF$4,"A+",IF(N277&lt;'PlayerGrades+'!$AF$3,"S-",IF(N277&lt;'PlayerGrades+'!$AF$2,"S","S+"))))))))))))))))))))</f>
        <v>#DIV/0!</v>
      </c>
      <c r="P277" s="961" t="str">
        <f t="shared" si="7"/>
        <v>#DIV/0!</v>
      </c>
      <c r="Q277" s="961" t="str">
        <f>IF(P277&lt;'PlayerGrades+'!$AG$21,"F-",IF(P277&lt;'PlayerGrades+'!$AG$20,"F",IF(P277&lt;'PlayerGrades+'!$AG$19,"F+",IF(P277&lt;'PlayerGrades+'!$AG$18,"E-",IF(P277&lt;'PlayerGrades+'!$AG$17,"E",IF(P277&lt;'PlayerGrades+'!$AG$16,"E+",IF(P277&lt;'PlayerGrades+'!$AG$15,"D-",IF(P277&lt;'PlayerGrades+'!$AG$14,"D",IF(P277&lt;'PlayerGrades+'!$AG$13,"D+",IF(P277&lt;'PlayerGrades+'!$AG$12,"C-",IF(P277&lt;'PlayerGrades+'!$AG$11,"C",IF(P277&lt;'PlayerGrades+'!$AG$10,"C+",IF(P277&lt;'PlayerGrades+'!$AG$9,"B-",IF(P277&lt;'PlayerGrades+'!$AG$8,"B",IF(P277&lt;'PlayerGrades+'!$AG$7,"B+",IF(P277&lt;'PlayerGrades+'!$AG$6,"A-",IF(P277&lt;'PlayerGrades+'!$AG$5,"A",IF(P277&lt;'PlayerGrades+'!$AG$4,"A+",IF(P277&lt;'PlayerGrades+'!$AG$3,"S-",IF(P277&lt;'PlayerGrades+'!$AG$2,"S","S+"))))))))))))))))))))</f>
        <v>#DIV/0!</v>
      </c>
      <c r="R277" s="961" t="str">
        <f t="shared" si="8"/>
        <v>#DIV/0!</v>
      </c>
      <c r="S277" s="961" t="str">
        <f>IF(R277&lt;'PlayerGrades+'!$AH$21,"F-",IF(R277&lt;'PlayerGrades+'!$AH$20,"F",IF(R277&lt;'PlayerGrades+'!$AH$19,"F+",IF(R277&lt;'PlayerGrades+'!$AH$18,"E-",IF(R277&lt;'PlayerGrades+'!$AH$17,"E",IF(R277&lt;'PlayerGrades+'!$AH$16,"E+",IF(R277&lt;'PlayerGrades+'!$AH$15,"D-",IF(R277&lt;'PlayerGrades+'!$AH$14,"D",IF(R277&lt;'PlayerGrades+'!$AH$13,"D+",IF(R277&lt;'PlayerGrades+'!$AH$12,"C-",IF(R277&lt;'PlayerGrades+'!$AH$11,"C",IF(R277&lt;'PlayerGrades+'!$AH$10,"C+",IF(R277&lt;'PlayerGrades+'!$AH$9,"B-",IF(R277&lt;'PlayerGrades+'!$AH$8,"B",IF(R277&lt;'PlayerGrades+'!$AH$7,"B+",IF(R277&lt;'PlayerGrades+'!$AH$6,"A-",IF(R277&lt;'PlayerGrades+'!$AH$5,"A",IF(R277&lt;'PlayerGrades+'!$AH$4,"A+",IF(R277&lt;'PlayerGrades+'!$AH$3,"S-",IF(R277&lt;'PlayerGrades+'!$AH$2,"S","S+"))))))))))))))))))))</f>
        <v>#DIV/0!</v>
      </c>
      <c r="T277" s="961">
        <f t="shared" si="9"/>
        <v>0</v>
      </c>
      <c r="U277" s="961" t="str">
        <f>IF(T277&lt;'PlayerGrades+'!$AI$21,"F-",IF(T277&lt;'PlayerGrades+'!$AI$20,"F",IF(T277&lt;'PlayerGrades+'!$AI$19,"F+",IF(T277&lt;'PlayerGrades+'!$AI$18,"E-",IF(T277&lt;'PlayerGrades+'!$AI$17,"E",IF(T277&lt;'PlayerGrades+'!$AI$16,"E+",IF(T277&lt;'PlayerGrades+'!$AI$15,"D-",IF(T277&lt;'PlayerGrades+'!$AI$14,"D",IF(T277&lt;'PlayerGrades+'!$AI$13,"D+",IF(T277&lt;'PlayerGrades+'!$AI$12,"C-",IF(T277&lt;'PlayerGrades+'!$AI$11,"C",IF(T277&lt;'PlayerGrades+'!$AI$10,"C+",IF(T277&lt;'PlayerGrades+'!$AI$9,"B-",IF(T277&lt;'PlayerGrades+'!$AI$8,"B",IF(T277&lt;'PlayerGrades+'!$AI$7,"B+",IF(T277&lt;'PlayerGrades+'!$AI$6,"A-",IF(T277&lt;'PlayerGrades+'!$AI$5,"A",IF(T277&lt;'PlayerGrades+'!$AI$4,"A+",IF(T277&lt;'PlayerGrades+'!$AI$3,"S-",IF(T277&lt;'PlayerGrades+'!$AI$2,"S","S+"))))))))))))))))))))</f>
        <v>F-</v>
      </c>
      <c r="AC277" s="1392"/>
    </row>
    <row r="278">
      <c r="A278" s="1391"/>
      <c r="B278" s="611" t="str">
        <f>IF(C278&lt;'PlayerGrades+'!$Y$44,"F-",IF(C278&lt;'PlayerGrades+'!$Y$43,"F",IF(C278&lt;'PlayerGrades+'!$Y$42,"F+",IF(C278&lt;'PlayerGrades+'!$Y$41,"E-",IF(C278&lt;'PlayerGrades+'!$Y$40,"E",IF(C278&lt;'PlayerGrades+'!$Y$39,"E+",IF(C278&lt;'PlayerGrades+'!$Y$38,"D-",IF(C278&lt;'PlayerGrades+'!$Y$37,"D",IF(C278&lt;'PlayerGrades+'!$Y$36,"D+",IF(C278&lt;'PlayerGrades+'!$Y$35,"C-",IF(C278&lt;'PlayerGrades+'!$Y$34,"C",IF(C278&lt;'PlayerGrades+'!$Y$33,"C+",IF(C278&lt;'PlayerGrades+'!$Y$32,"B-",IF(C278&lt;'PlayerGrades+'!$Y$31,"B",IF(C278&lt;'PlayerGrades+'!$Y$30,"B+",IF(C278&lt;'PlayerGrades+'!$Y$29,"A-",IF(C278&lt;'PlayerGrades+'!$Y$28,"A",IF(C278&lt;'PlayerGrades+'!$Y$27,"A+",IF(C278&lt;'PlayerGrades+'!$Y$26,"S-",IF(C278&lt;'PlayerGrades+'!$Y$25,"S","S+"))))))))))))))))))))</f>
        <v>#DIV/0!</v>
      </c>
      <c r="C278" s="1378" t="str">
        <f>('PlayerGrades+'!$Y$47*(VLOOKUP(E278, 'PlayerGrades+'!$X$3:$Y$23, 2, FALSE)))+('PlayerGrades+'!$Y$48*(VLOOKUP(G278, 'PlayerGrades+'!$X$3:$Y$23, 2, FALSE)))+('PlayerGrades+'!$Y$49*(VLOOKUP(I278, 'PlayerGrades+'!$X$3:$Y$23, 2, FALSE)))+('PlayerGrades+'!$Y$50*(VLOOKUP(K278, 'PlayerGrades+'!$X$3:$Y$23, 2, FALSE)))+('PlayerGrades+'!$Y$51*(VLOOKUP(M278, 'PlayerGrades+'!$X$3:$Y$23, 2, FALSE)))+('PlayerGrades+'!$Y$52*(VLOOKUP(O278, 'PlayerGrades+'!$X$3:$Y$23, 2, FALSE)))+('PlayerGrades+'!$Y$53*(VLOOKUP(Q278, 'PlayerGrades+'!$X$3:$Y$23, 2, FALSE)))+('PlayerGrades+'!$Y$54*(VLOOKUP(S278, 'PlayerGrades+'!$X$3:$Y$23, 2, FALSE)))+('PlayerGrades+'!$Y$55*(VLOOKUP(U278, 'PlayerGrades+'!$X$3:$Y$23, 2, FALSE)))</f>
        <v>#DIV/0!</v>
      </c>
      <c r="D278" s="961" t="str">
        <f t="shared" si="1"/>
        <v>#DIV/0!</v>
      </c>
      <c r="E278" s="961" t="str">
        <f>IF(D278&lt;'PlayerGrades+'!$AA$21,"F-",IF(D278&lt;'PlayerGrades+'!$AA$20,"F",IF(D278&lt;'PlayerGrades+'!$AA$19,"F+",IF(D278&lt;'PlayerGrades+'!$AA$18,"E-",IF(D278&lt;'PlayerGrades+'!$AA$17,"E",IF(D278&lt;'PlayerGrades+'!$AA$16,"E+",IF(D278&lt;'PlayerGrades+'!$AA$15,"D-",IF(D278&lt;'PlayerGrades+'!$AA$14,"D",IF(D278&lt;'PlayerGrades+'!$AA$13,"D+",IF(D278&lt;'PlayerGrades+'!$AA$12,"C-",IF(D278&lt;'PlayerGrades+'!$AA$11,"C",IF(D278&lt;'PlayerGrades+'!$AA$10,"C+",IF(D278&lt;'PlayerGrades+'!$AA$9,"B-",IF(D278&lt;'PlayerGrades+'!$AA$8,"B",IF(D278&lt;'PlayerGrades+'!$AA$7,"B+",IF(D278&lt;'PlayerGrades+'!$AA$6,"A-",IF(D278&lt;'PlayerGrades+'!$AA$5,"A",IF(D278&lt;'PlayerGrades+'!$AA$4,"A+",IF(D278&lt;'PlayerGrades+'!$AA$3,"S-",IF(D278&lt;'PlayerGrades+'!$AA$2,"S","S+"))))))))))))))))))))</f>
        <v>#DIV/0!</v>
      </c>
      <c r="F278" s="961" t="str">
        <f t="shared" si="2"/>
        <v>#DIV/0!</v>
      </c>
      <c r="G278" s="961" t="str">
        <f>IF(F278&lt;'PlayerGrades+'!$AB$21,"F-",IF(F278&lt;'PlayerGrades+'!$AB$20,"F",IF(F278&lt;'PlayerGrades+'!$AB$19,"F+",IF(F278&lt;'PlayerGrades+'!$AB$18,"E-",IF(F278&lt;'PlayerGrades+'!$AB$17,"E",IF(F278&lt;'PlayerGrades+'!$AB$16,"E+",IF(F278&lt;'PlayerGrades+'!$AB$15,"D-",IF(F278&lt;'PlayerGrades+'!$AB$14,"D",IF(F278&lt;'PlayerGrades+'!$AB$13,"D+",IF(F278&lt;'PlayerGrades+'!$AB$12,"C-",IF(F278&lt;'PlayerGrades+'!$AB$11,"C",IF(F278&lt;'PlayerGrades+'!$AB$10,"C+",IF(F278&lt;'PlayerGrades+'!$AB$9,"B-",IF(F278&lt;'PlayerGrades+'!$AB$8,"B",IF(F278&lt;'PlayerGrades+'!$AB$7,"B+",IF(F278&lt;'PlayerGrades+'!$AB$6,"A-",IF(F278&lt;'PlayerGrades+'!$AB$5,"A",IF(F278&lt;'PlayerGrades+'!$AB$4,"A+",IF(F278&lt;'PlayerGrades+'!$AB$3,"S-",IF(F278&lt;'PlayerGrades+'!$AB$2,"S","S+"))))))))))))))))))))</f>
        <v>#DIV/0!</v>
      </c>
      <c r="H278" s="961" t="str">
        <f t="shared" si="3"/>
        <v>#DIV/0!</v>
      </c>
      <c r="I278" s="961" t="str">
        <f>IF(H278&lt;'PlayerGrades+'!$AC$21,"F-",IF(H278&lt;'PlayerGrades+'!$AC$20,"F",IF(H278&lt;'PlayerGrades+'!$AC$19,"F+",IF(H278&lt;'PlayerGrades+'!$AC$18,"E-",IF(H278&lt;'PlayerGrades+'!$AC$17,"E",IF(H278&lt;'PlayerGrades+'!$AC$16,"E+",IF(H278&lt;'PlayerGrades+'!$AC$15,"D-",IF(H278&lt;'PlayerGrades+'!$AC$14,"D",IF(H278&lt;'PlayerGrades+'!$AC$13,"D+",IF(H278&lt;'PlayerGrades+'!$AC$12,"C-",IF(H278&lt;'PlayerGrades+'!$AC$11,"C",IF(H278&lt;'PlayerGrades+'!$AC$10,"C+",IF(H278&lt;'PlayerGrades+'!$AC$9,"B-",IF(H278&lt;'PlayerGrades+'!$AC$8,"B",IF(H278&lt;'PlayerGrades+'!$AC$7,"B+",IF(H278&lt;'PlayerGrades+'!$AC$6,"A-",IF(H278&lt;'PlayerGrades+'!$AC$5,"A",IF(H278&lt;'PlayerGrades+'!$AC$4,"A+",IF(H278&lt;'PlayerGrades+'!$AC$3,"S-",IF(H278&lt;'PlayerGrades+'!$AC$2,"S","S+"))))))))))))))))))))</f>
        <v>#DIV/0!</v>
      </c>
      <c r="J278" s="961" t="str">
        <f t="shared" si="4"/>
        <v>#DIV/0!</v>
      </c>
      <c r="K278" s="961" t="str">
        <f>IF(J278&lt;'PlayerGrades+'!$AD$21,"F-",IF(J278&lt;'PlayerGrades+'!$AD$20,"F",IF(J278&lt;'PlayerGrades+'!$AD$19,"F+",IF(J278&lt;'PlayerGrades+'!$AD$18,"E-",IF(J278&lt;'PlayerGrades+'!$AD$17,"E",IF(J278&lt;'PlayerGrades+'!$AD$16,"E+",IF(J278&lt;'PlayerGrades+'!$AD$15,"D-",IF(J278&lt;'PlayerGrades+'!$AD$14,"D",IF(J278&lt;'PlayerGrades+'!$AD$13,"D+",IF(J278&lt;'PlayerGrades+'!$AD$12,"C-",IF(J278&lt;'PlayerGrades+'!$AD$11,"C",IF(J278&lt;'PlayerGrades+'!$AD$10,"C+",IF(J278&lt;'PlayerGrades+'!$AD$9,"B-",IF(J278&lt;'PlayerGrades+'!$AD$8,"B",IF(J278&lt;'PlayerGrades+'!$AD$7,"B+",IF(J278&lt;'PlayerGrades+'!$AD$6,"A-",IF(J278&lt;'PlayerGrades+'!$AD$5,"A",IF(J278&lt;'PlayerGrades+'!$AD$4,"A+",IF(J278&lt;'PlayerGrades+'!$AD$3,"S-",IF(J278&lt;'PlayerGrades+'!$AD$2,"S","S+"))))))))))))))))))))</f>
        <v>#DIV/0!</v>
      </c>
      <c r="L278" s="1176" t="str">
        <f t="shared" si="5"/>
        <v>#DIV/0!</v>
      </c>
      <c r="M278" s="992" t="str">
        <f>IF(L278&lt;'PlayerGrades+'!$AE$21,"F-",IF(L278&lt;'PlayerGrades+'!$AE$20,"F",IF(L278&lt;'PlayerGrades+'!$AE$19,"F+",IF(L278&lt;'PlayerGrades+'!$AE$18,"E-",IF(L278&lt;'PlayerGrades+'!$AE$17,"E",IF(L278&lt;'PlayerGrades+'!$AE$16,"E+",IF(L278&lt;'PlayerGrades+'!$AE$15,"D-",IF(L278&lt;'PlayerGrades+'!$AE$14,"D",IF(L278&lt;'PlayerGrades+'!$AE$13,"D+",IF(L278&lt;'PlayerGrades+'!$AE$12,"C-",IF(L278&lt;'PlayerGrades+'!$AE$11,"C",IF(L278&lt;'PlayerGrades+'!$AE$10,"C+",IF(L278&lt;'PlayerGrades+'!$AE$9,"B-",IF(L278&lt;'PlayerGrades+'!$AE$8,"B",IF(L278&lt;'PlayerGrades+'!$AE$7,"B+",IF(L278&lt;'PlayerGrades+'!$AE$6,"A-",IF(L278&lt;'PlayerGrades+'!$AE$5,"A",IF(L278&lt;'PlayerGrades+'!$AE$4,"A+",IF(L278&lt;'PlayerGrades+'!$AE$3,"S-",IF(L278&lt;'PlayerGrades+'!$AE$2,"S","S+"))))))))))))))))))))</f>
        <v>#DIV/0!</v>
      </c>
      <c r="N278" s="961" t="str">
        <f t="shared" si="6"/>
        <v>#DIV/0!</v>
      </c>
      <c r="O278" s="961" t="str">
        <f>IF(N278&lt;'PlayerGrades+'!$AF$21,"F-",IF(N278&lt;'PlayerGrades+'!$AF$20,"F",IF(N278&lt;'PlayerGrades+'!$AF$19,"F+",IF(N278&lt;'PlayerGrades+'!$AF$18,"E-",IF(N278&lt;'PlayerGrades+'!$AF$17,"E",IF(N278&lt;'PlayerGrades+'!$AF$16,"E+",IF(N278&lt;'PlayerGrades+'!$AF$15,"D-",IF(N278&lt;'PlayerGrades+'!$AF$14,"D",IF(N278&lt;'PlayerGrades+'!$AF$13,"D+",IF(N278&lt;'PlayerGrades+'!$AF$12,"C-",IF(N278&lt;'PlayerGrades+'!$AF$11,"C",IF(N278&lt;'PlayerGrades+'!$AF$10,"C+",IF(N278&lt;'PlayerGrades+'!$AF$9,"B-",IF(N278&lt;'PlayerGrades+'!$AF$8,"B",IF(N278&lt;'PlayerGrades+'!$AF$7,"B+",IF(N278&lt;'PlayerGrades+'!$AF$6,"A-",IF(N278&lt;'PlayerGrades+'!$AF$5,"A",IF(N278&lt;'PlayerGrades+'!$AF$4,"A+",IF(N278&lt;'PlayerGrades+'!$AF$3,"S-",IF(N278&lt;'PlayerGrades+'!$AF$2,"S","S+"))))))))))))))))))))</f>
        <v>#DIV/0!</v>
      </c>
      <c r="P278" s="961" t="str">
        <f t="shared" si="7"/>
        <v>#DIV/0!</v>
      </c>
      <c r="Q278" s="961" t="str">
        <f>IF(P278&lt;'PlayerGrades+'!$AG$21,"F-",IF(P278&lt;'PlayerGrades+'!$AG$20,"F",IF(P278&lt;'PlayerGrades+'!$AG$19,"F+",IF(P278&lt;'PlayerGrades+'!$AG$18,"E-",IF(P278&lt;'PlayerGrades+'!$AG$17,"E",IF(P278&lt;'PlayerGrades+'!$AG$16,"E+",IF(P278&lt;'PlayerGrades+'!$AG$15,"D-",IF(P278&lt;'PlayerGrades+'!$AG$14,"D",IF(P278&lt;'PlayerGrades+'!$AG$13,"D+",IF(P278&lt;'PlayerGrades+'!$AG$12,"C-",IF(P278&lt;'PlayerGrades+'!$AG$11,"C",IF(P278&lt;'PlayerGrades+'!$AG$10,"C+",IF(P278&lt;'PlayerGrades+'!$AG$9,"B-",IF(P278&lt;'PlayerGrades+'!$AG$8,"B",IF(P278&lt;'PlayerGrades+'!$AG$7,"B+",IF(P278&lt;'PlayerGrades+'!$AG$6,"A-",IF(P278&lt;'PlayerGrades+'!$AG$5,"A",IF(P278&lt;'PlayerGrades+'!$AG$4,"A+",IF(P278&lt;'PlayerGrades+'!$AG$3,"S-",IF(P278&lt;'PlayerGrades+'!$AG$2,"S","S+"))))))))))))))))))))</f>
        <v>#DIV/0!</v>
      </c>
      <c r="R278" s="961" t="str">
        <f t="shared" si="8"/>
        <v>#DIV/0!</v>
      </c>
      <c r="S278" s="961" t="str">
        <f>IF(R278&lt;'PlayerGrades+'!$AH$21,"F-",IF(R278&lt;'PlayerGrades+'!$AH$20,"F",IF(R278&lt;'PlayerGrades+'!$AH$19,"F+",IF(R278&lt;'PlayerGrades+'!$AH$18,"E-",IF(R278&lt;'PlayerGrades+'!$AH$17,"E",IF(R278&lt;'PlayerGrades+'!$AH$16,"E+",IF(R278&lt;'PlayerGrades+'!$AH$15,"D-",IF(R278&lt;'PlayerGrades+'!$AH$14,"D",IF(R278&lt;'PlayerGrades+'!$AH$13,"D+",IF(R278&lt;'PlayerGrades+'!$AH$12,"C-",IF(R278&lt;'PlayerGrades+'!$AH$11,"C",IF(R278&lt;'PlayerGrades+'!$AH$10,"C+",IF(R278&lt;'PlayerGrades+'!$AH$9,"B-",IF(R278&lt;'PlayerGrades+'!$AH$8,"B",IF(R278&lt;'PlayerGrades+'!$AH$7,"B+",IF(R278&lt;'PlayerGrades+'!$AH$6,"A-",IF(R278&lt;'PlayerGrades+'!$AH$5,"A",IF(R278&lt;'PlayerGrades+'!$AH$4,"A+",IF(R278&lt;'PlayerGrades+'!$AH$3,"S-",IF(R278&lt;'PlayerGrades+'!$AH$2,"S","S+"))))))))))))))))))))</f>
        <v>#DIV/0!</v>
      </c>
      <c r="T278" s="961">
        <f t="shared" si="9"/>
        <v>0</v>
      </c>
      <c r="U278" s="961" t="str">
        <f>IF(T278&lt;'PlayerGrades+'!$AI$21,"F-",IF(T278&lt;'PlayerGrades+'!$AI$20,"F",IF(T278&lt;'PlayerGrades+'!$AI$19,"F+",IF(T278&lt;'PlayerGrades+'!$AI$18,"E-",IF(T278&lt;'PlayerGrades+'!$AI$17,"E",IF(T278&lt;'PlayerGrades+'!$AI$16,"E+",IF(T278&lt;'PlayerGrades+'!$AI$15,"D-",IF(T278&lt;'PlayerGrades+'!$AI$14,"D",IF(T278&lt;'PlayerGrades+'!$AI$13,"D+",IF(T278&lt;'PlayerGrades+'!$AI$12,"C-",IF(T278&lt;'PlayerGrades+'!$AI$11,"C",IF(T278&lt;'PlayerGrades+'!$AI$10,"C+",IF(T278&lt;'PlayerGrades+'!$AI$9,"B-",IF(T278&lt;'PlayerGrades+'!$AI$8,"B",IF(T278&lt;'PlayerGrades+'!$AI$7,"B+",IF(T278&lt;'PlayerGrades+'!$AI$6,"A-",IF(T278&lt;'PlayerGrades+'!$AI$5,"A",IF(T278&lt;'PlayerGrades+'!$AI$4,"A+",IF(T278&lt;'PlayerGrades+'!$AI$3,"S-",IF(T278&lt;'PlayerGrades+'!$AI$2,"S","S+"))))))))))))))))))))</f>
        <v>F-</v>
      </c>
      <c r="AC278" s="1392"/>
    </row>
    <row r="279">
      <c r="A279" s="1391"/>
      <c r="B279" s="611" t="str">
        <f>IF(C279&lt;'PlayerGrades+'!$Y$44,"F-",IF(C279&lt;'PlayerGrades+'!$Y$43,"F",IF(C279&lt;'PlayerGrades+'!$Y$42,"F+",IF(C279&lt;'PlayerGrades+'!$Y$41,"E-",IF(C279&lt;'PlayerGrades+'!$Y$40,"E",IF(C279&lt;'PlayerGrades+'!$Y$39,"E+",IF(C279&lt;'PlayerGrades+'!$Y$38,"D-",IF(C279&lt;'PlayerGrades+'!$Y$37,"D",IF(C279&lt;'PlayerGrades+'!$Y$36,"D+",IF(C279&lt;'PlayerGrades+'!$Y$35,"C-",IF(C279&lt;'PlayerGrades+'!$Y$34,"C",IF(C279&lt;'PlayerGrades+'!$Y$33,"C+",IF(C279&lt;'PlayerGrades+'!$Y$32,"B-",IF(C279&lt;'PlayerGrades+'!$Y$31,"B",IF(C279&lt;'PlayerGrades+'!$Y$30,"B+",IF(C279&lt;'PlayerGrades+'!$Y$29,"A-",IF(C279&lt;'PlayerGrades+'!$Y$28,"A",IF(C279&lt;'PlayerGrades+'!$Y$27,"A+",IF(C279&lt;'PlayerGrades+'!$Y$26,"S-",IF(C279&lt;'PlayerGrades+'!$Y$25,"S","S+"))))))))))))))))))))</f>
        <v>#DIV/0!</v>
      </c>
      <c r="C279" s="1378" t="str">
        <f>('PlayerGrades+'!$Y$47*(VLOOKUP(E279, 'PlayerGrades+'!$X$3:$Y$23, 2, FALSE)))+('PlayerGrades+'!$Y$48*(VLOOKUP(G279, 'PlayerGrades+'!$X$3:$Y$23, 2, FALSE)))+('PlayerGrades+'!$Y$49*(VLOOKUP(I279, 'PlayerGrades+'!$X$3:$Y$23, 2, FALSE)))+('PlayerGrades+'!$Y$50*(VLOOKUP(K279, 'PlayerGrades+'!$X$3:$Y$23, 2, FALSE)))+('PlayerGrades+'!$Y$51*(VLOOKUP(M279, 'PlayerGrades+'!$X$3:$Y$23, 2, FALSE)))+('PlayerGrades+'!$Y$52*(VLOOKUP(O279, 'PlayerGrades+'!$X$3:$Y$23, 2, FALSE)))+('PlayerGrades+'!$Y$53*(VLOOKUP(Q279, 'PlayerGrades+'!$X$3:$Y$23, 2, FALSE)))+('PlayerGrades+'!$Y$54*(VLOOKUP(S279, 'PlayerGrades+'!$X$3:$Y$23, 2, FALSE)))+('PlayerGrades+'!$Y$55*(VLOOKUP(U279, 'PlayerGrades+'!$X$3:$Y$23, 2, FALSE)))</f>
        <v>#DIV/0!</v>
      </c>
      <c r="D279" s="961" t="str">
        <f t="shared" si="1"/>
        <v>#DIV/0!</v>
      </c>
      <c r="E279" s="961" t="str">
        <f>IF(D279&lt;'PlayerGrades+'!$AA$21,"F-",IF(D279&lt;'PlayerGrades+'!$AA$20,"F",IF(D279&lt;'PlayerGrades+'!$AA$19,"F+",IF(D279&lt;'PlayerGrades+'!$AA$18,"E-",IF(D279&lt;'PlayerGrades+'!$AA$17,"E",IF(D279&lt;'PlayerGrades+'!$AA$16,"E+",IF(D279&lt;'PlayerGrades+'!$AA$15,"D-",IF(D279&lt;'PlayerGrades+'!$AA$14,"D",IF(D279&lt;'PlayerGrades+'!$AA$13,"D+",IF(D279&lt;'PlayerGrades+'!$AA$12,"C-",IF(D279&lt;'PlayerGrades+'!$AA$11,"C",IF(D279&lt;'PlayerGrades+'!$AA$10,"C+",IF(D279&lt;'PlayerGrades+'!$AA$9,"B-",IF(D279&lt;'PlayerGrades+'!$AA$8,"B",IF(D279&lt;'PlayerGrades+'!$AA$7,"B+",IF(D279&lt;'PlayerGrades+'!$AA$6,"A-",IF(D279&lt;'PlayerGrades+'!$AA$5,"A",IF(D279&lt;'PlayerGrades+'!$AA$4,"A+",IF(D279&lt;'PlayerGrades+'!$AA$3,"S-",IF(D279&lt;'PlayerGrades+'!$AA$2,"S","S+"))))))))))))))))))))</f>
        <v>#DIV/0!</v>
      </c>
      <c r="F279" s="961" t="str">
        <f t="shared" si="2"/>
        <v>#DIV/0!</v>
      </c>
      <c r="G279" s="961" t="str">
        <f>IF(F279&lt;'PlayerGrades+'!$AB$21,"F-",IF(F279&lt;'PlayerGrades+'!$AB$20,"F",IF(F279&lt;'PlayerGrades+'!$AB$19,"F+",IF(F279&lt;'PlayerGrades+'!$AB$18,"E-",IF(F279&lt;'PlayerGrades+'!$AB$17,"E",IF(F279&lt;'PlayerGrades+'!$AB$16,"E+",IF(F279&lt;'PlayerGrades+'!$AB$15,"D-",IF(F279&lt;'PlayerGrades+'!$AB$14,"D",IF(F279&lt;'PlayerGrades+'!$AB$13,"D+",IF(F279&lt;'PlayerGrades+'!$AB$12,"C-",IF(F279&lt;'PlayerGrades+'!$AB$11,"C",IF(F279&lt;'PlayerGrades+'!$AB$10,"C+",IF(F279&lt;'PlayerGrades+'!$AB$9,"B-",IF(F279&lt;'PlayerGrades+'!$AB$8,"B",IF(F279&lt;'PlayerGrades+'!$AB$7,"B+",IF(F279&lt;'PlayerGrades+'!$AB$6,"A-",IF(F279&lt;'PlayerGrades+'!$AB$5,"A",IF(F279&lt;'PlayerGrades+'!$AB$4,"A+",IF(F279&lt;'PlayerGrades+'!$AB$3,"S-",IF(F279&lt;'PlayerGrades+'!$AB$2,"S","S+"))))))))))))))))))))</f>
        <v>#DIV/0!</v>
      </c>
      <c r="H279" s="961" t="str">
        <f t="shared" si="3"/>
        <v>#DIV/0!</v>
      </c>
      <c r="I279" s="961" t="str">
        <f>IF(H279&lt;'PlayerGrades+'!$AC$21,"F-",IF(H279&lt;'PlayerGrades+'!$AC$20,"F",IF(H279&lt;'PlayerGrades+'!$AC$19,"F+",IF(H279&lt;'PlayerGrades+'!$AC$18,"E-",IF(H279&lt;'PlayerGrades+'!$AC$17,"E",IF(H279&lt;'PlayerGrades+'!$AC$16,"E+",IF(H279&lt;'PlayerGrades+'!$AC$15,"D-",IF(H279&lt;'PlayerGrades+'!$AC$14,"D",IF(H279&lt;'PlayerGrades+'!$AC$13,"D+",IF(H279&lt;'PlayerGrades+'!$AC$12,"C-",IF(H279&lt;'PlayerGrades+'!$AC$11,"C",IF(H279&lt;'PlayerGrades+'!$AC$10,"C+",IF(H279&lt;'PlayerGrades+'!$AC$9,"B-",IF(H279&lt;'PlayerGrades+'!$AC$8,"B",IF(H279&lt;'PlayerGrades+'!$AC$7,"B+",IF(H279&lt;'PlayerGrades+'!$AC$6,"A-",IF(H279&lt;'PlayerGrades+'!$AC$5,"A",IF(H279&lt;'PlayerGrades+'!$AC$4,"A+",IF(H279&lt;'PlayerGrades+'!$AC$3,"S-",IF(H279&lt;'PlayerGrades+'!$AC$2,"S","S+"))))))))))))))))))))</f>
        <v>#DIV/0!</v>
      </c>
      <c r="J279" s="961" t="str">
        <f t="shared" si="4"/>
        <v>#DIV/0!</v>
      </c>
      <c r="K279" s="961" t="str">
        <f>IF(J279&lt;'PlayerGrades+'!$AD$21,"F-",IF(J279&lt;'PlayerGrades+'!$AD$20,"F",IF(J279&lt;'PlayerGrades+'!$AD$19,"F+",IF(J279&lt;'PlayerGrades+'!$AD$18,"E-",IF(J279&lt;'PlayerGrades+'!$AD$17,"E",IF(J279&lt;'PlayerGrades+'!$AD$16,"E+",IF(J279&lt;'PlayerGrades+'!$AD$15,"D-",IF(J279&lt;'PlayerGrades+'!$AD$14,"D",IF(J279&lt;'PlayerGrades+'!$AD$13,"D+",IF(J279&lt;'PlayerGrades+'!$AD$12,"C-",IF(J279&lt;'PlayerGrades+'!$AD$11,"C",IF(J279&lt;'PlayerGrades+'!$AD$10,"C+",IF(J279&lt;'PlayerGrades+'!$AD$9,"B-",IF(J279&lt;'PlayerGrades+'!$AD$8,"B",IF(J279&lt;'PlayerGrades+'!$AD$7,"B+",IF(J279&lt;'PlayerGrades+'!$AD$6,"A-",IF(J279&lt;'PlayerGrades+'!$AD$5,"A",IF(J279&lt;'PlayerGrades+'!$AD$4,"A+",IF(J279&lt;'PlayerGrades+'!$AD$3,"S-",IF(J279&lt;'PlayerGrades+'!$AD$2,"S","S+"))))))))))))))))))))</f>
        <v>#DIV/0!</v>
      </c>
      <c r="L279" s="1176" t="str">
        <f t="shared" si="5"/>
        <v>#DIV/0!</v>
      </c>
      <c r="M279" s="992" t="str">
        <f>IF(L279&lt;'PlayerGrades+'!$AE$21,"F-",IF(L279&lt;'PlayerGrades+'!$AE$20,"F",IF(L279&lt;'PlayerGrades+'!$AE$19,"F+",IF(L279&lt;'PlayerGrades+'!$AE$18,"E-",IF(L279&lt;'PlayerGrades+'!$AE$17,"E",IF(L279&lt;'PlayerGrades+'!$AE$16,"E+",IF(L279&lt;'PlayerGrades+'!$AE$15,"D-",IF(L279&lt;'PlayerGrades+'!$AE$14,"D",IF(L279&lt;'PlayerGrades+'!$AE$13,"D+",IF(L279&lt;'PlayerGrades+'!$AE$12,"C-",IF(L279&lt;'PlayerGrades+'!$AE$11,"C",IF(L279&lt;'PlayerGrades+'!$AE$10,"C+",IF(L279&lt;'PlayerGrades+'!$AE$9,"B-",IF(L279&lt;'PlayerGrades+'!$AE$8,"B",IF(L279&lt;'PlayerGrades+'!$AE$7,"B+",IF(L279&lt;'PlayerGrades+'!$AE$6,"A-",IF(L279&lt;'PlayerGrades+'!$AE$5,"A",IF(L279&lt;'PlayerGrades+'!$AE$4,"A+",IF(L279&lt;'PlayerGrades+'!$AE$3,"S-",IF(L279&lt;'PlayerGrades+'!$AE$2,"S","S+"))))))))))))))))))))</f>
        <v>#DIV/0!</v>
      </c>
      <c r="N279" s="961" t="str">
        <f t="shared" si="6"/>
        <v>#DIV/0!</v>
      </c>
      <c r="O279" s="961" t="str">
        <f>IF(N279&lt;'PlayerGrades+'!$AF$21,"F-",IF(N279&lt;'PlayerGrades+'!$AF$20,"F",IF(N279&lt;'PlayerGrades+'!$AF$19,"F+",IF(N279&lt;'PlayerGrades+'!$AF$18,"E-",IF(N279&lt;'PlayerGrades+'!$AF$17,"E",IF(N279&lt;'PlayerGrades+'!$AF$16,"E+",IF(N279&lt;'PlayerGrades+'!$AF$15,"D-",IF(N279&lt;'PlayerGrades+'!$AF$14,"D",IF(N279&lt;'PlayerGrades+'!$AF$13,"D+",IF(N279&lt;'PlayerGrades+'!$AF$12,"C-",IF(N279&lt;'PlayerGrades+'!$AF$11,"C",IF(N279&lt;'PlayerGrades+'!$AF$10,"C+",IF(N279&lt;'PlayerGrades+'!$AF$9,"B-",IF(N279&lt;'PlayerGrades+'!$AF$8,"B",IF(N279&lt;'PlayerGrades+'!$AF$7,"B+",IF(N279&lt;'PlayerGrades+'!$AF$6,"A-",IF(N279&lt;'PlayerGrades+'!$AF$5,"A",IF(N279&lt;'PlayerGrades+'!$AF$4,"A+",IF(N279&lt;'PlayerGrades+'!$AF$3,"S-",IF(N279&lt;'PlayerGrades+'!$AF$2,"S","S+"))))))))))))))))))))</f>
        <v>#DIV/0!</v>
      </c>
      <c r="P279" s="961" t="str">
        <f t="shared" si="7"/>
        <v>#DIV/0!</v>
      </c>
      <c r="Q279" s="961" t="str">
        <f>IF(P279&lt;'PlayerGrades+'!$AG$21,"F-",IF(P279&lt;'PlayerGrades+'!$AG$20,"F",IF(P279&lt;'PlayerGrades+'!$AG$19,"F+",IF(P279&lt;'PlayerGrades+'!$AG$18,"E-",IF(P279&lt;'PlayerGrades+'!$AG$17,"E",IF(P279&lt;'PlayerGrades+'!$AG$16,"E+",IF(P279&lt;'PlayerGrades+'!$AG$15,"D-",IF(P279&lt;'PlayerGrades+'!$AG$14,"D",IF(P279&lt;'PlayerGrades+'!$AG$13,"D+",IF(P279&lt;'PlayerGrades+'!$AG$12,"C-",IF(P279&lt;'PlayerGrades+'!$AG$11,"C",IF(P279&lt;'PlayerGrades+'!$AG$10,"C+",IF(P279&lt;'PlayerGrades+'!$AG$9,"B-",IF(P279&lt;'PlayerGrades+'!$AG$8,"B",IF(P279&lt;'PlayerGrades+'!$AG$7,"B+",IF(P279&lt;'PlayerGrades+'!$AG$6,"A-",IF(P279&lt;'PlayerGrades+'!$AG$5,"A",IF(P279&lt;'PlayerGrades+'!$AG$4,"A+",IF(P279&lt;'PlayerGrades+'!$AG$3,"S-",IF(P279&lt;'PlayerGrades+'!$AG$2,"S","S+"))))))))))))))))))))</f>
        <v>#DIV/0!</v>
      </c>
      <c r="R279" s="961" t="str">
        <f t="shared" si="8"/>
        <v>#DIV/0!</v>
      </c>
      <c r="S279" s="961" t="str">
        <f>IF(R279&lt;'PlayerGrades+'!$AH$21,"F-",IF(R279&lt;'PlayerGrades+'!$AH$20,"F",IF(R279&lt;'PlayerGrades+'!$AH$19,"F+",IF(R279&lt;'PlayerGrades+'!$AH$18,"E-",IF(R279&lt;'PlayerGrades+'!$AH$17,"E",IF(R279&lt;'PlayerGrades+'!$AH$16,"E+",IF(R279&lt;'PlayerGrades+'!$AH$15,"D-",IF(R279&lt;'PlayerGrades+'!$AH$14,"D",IF(R279&lt;'PlayerGrades+'!$AH$13,"D+",IF(R279&lt;'PlayerGrades+'!$AH$12,"C-",IF(R279&lt;'PlayerGrades+'!$AH$11,"C",IF(R279&lt;'PlayerGrades+'!$AH$10,"C+",IF(R279&lt;'PlayerGrades+'!$AH$9,"B-",IF(R279&lt;'PlayerGrades+'!$AH$8,"B",IF(R279&lt;'PlayerGrades+'!$AH$7,"B+",IF(R279&lt;'PlayerGrades+'!$AH$6,"A-",IF(R279&lt;'PlayerGrades+'!$AH$5,"A",IF(R279&lt;'PlayerGrades+'!$AH$4,"A+",IF(R279&lt;'PlayerGrades+'!$AH$3,"S-",IF(R279&lt;'PlayerGrades+'!$AH$2,"S","S+"))))))))))))))))))))</f>
        <v>#DIV/0!</v>
      </c>
      <c r="T279" s="961">
        <f t="shared" si="9"/>
        <v>0</v>
      </c>
      <c r="U279" s="961" t="str">
        <f>IF(T279&lt;'PlayerGrades+'!$AI$21,"F-",IF(T279&lt;'PlayerGrades+'!$AI$20,"F",IF(T279&lt;'PlayerGrades+'!$AI$19,"F+",IF(T279&lt;'PlayerGrades+'!$AI$18,"E-",IF(T279&lt;'PlayerGrades+'!$AI$17,"E",IF(T279&lt;'PlayerGrades+'!$AI$16,"E+",IF(T279&lt;'PlayerGrades+'!$AI$15,"D-",IF(T279&lt;'PlayerGrades+'!$AI$14,"D",IF(T279&lt;'PlayerGrades+'!$AI$13,"D+",IF(T279&lt;'PlayerGrades+'!$AI$12,"C-",IF(T279&lt;'PlayerGrades+'!$AI$11,"C",IF(T279&lt;'PlayerGrades+'!$AI$10,"C+",IF(T279&lt;'PlayerGrades+'!$AI$9,"B-",IF(T279&lt;'PlayerGrades+'!$AI$8,"B",IF(T279&lt;'PlayerGrades+'!$AI$7,"B+",IF(T279&lt;'PlayerGrades+'!$AI$6,"A-",IF(T279&lt;'PlayerGrades+'!$AI$5,"A",IF(T279&lt;'PlayerGrades+'!$AI$4,"A+",IF(T279&lt;'PlayerGrades+'!$AI$3,"S-",IF(T279&lt;'PlayerGrades+'!$AI$2,"S","S+"))))))))))))))))))))</f>
        <v>F-</v>
      </c>
      <c r="AC279" s="1392"/>
    </row>
    <row r="280">
      <c r="A280" s="1391"/>
      <c r="B280" s="611" t="str">
        <f>IF(C280&lt;'PlayerGrades+'!$Y$44,"F-",IF(C280&lt;'PlayerGrades+'!$Y$43,"F",IF(C280&lt;'PlayerGrades+'!$Y$42,"F+",IF(C280&lt;'PlayerGrades+'!$Y$41,"E-",IF(C280&lt;'PlayerGrades+'!$Y$40,"E",IF(C280&lt;'PlayerGrades+'!$Y$39,"E+",IF(C280&lt;'PlayerGrades+'!$Y$38,"D-",IF(C280&lt;'PlayerGrades+'!$Y$37,"D",IF(C280&lt;'PlayerGrades+'!$Y$36,"D+",IF(C280&lt;'PlayerGrades+'!$Y$35,"C-",IF(C280&lt;'PlayerGrades+'!$Y$34,"C",IF(C280&lt;'PlayerGrades+'!$Y$33,"C+",IF(C280&lt;'PlayerGrades+'!$Y$32,"B-",IF(C280&lt;'PlayerGrades+'!$Y$31,"B",IF(C280&lt;'PlayerGrades+'!$Y$30,"B+",IF(C280&lt;'PlayerGrades+'!$Y$29,"A-",IF(C280&lt;'PlayerGrades+'!$Y$28,"A",IF(C280&lt;'PlayerGrades+'!$Y$27,"A+",IF(C280&lt;'PlayerGrades+'!$Y$26,"S-",IF(C280&lt;'PlayerGrades+'!$Y$25,"S","S+"))))))))))))))))))))</f>
        <v>#DIV/0!</v>
      </c>
      <c r="C280" s="1378" t="str">
        <f>('PlayerGrades+'!$Y$47*(VLOOKUP(E280, 'PlayerGrades+'!$X$3:$Y$23, 2, FALSE)))+('PlayerGrades+'!$Y$48*(VLOOKUP(G280, 'PlayerGrades+'!$X$3:$Y$23, 2, FALSE)))+('PlayerGrades+'!$Y$49*(VLOOKUP(I280, 'PlayerGrades+'!$X$3:$Y$23, 2, FALSE)))+('PlayerGrades+'!$Y$50*(VLOOKUP(K280, 'PlayerGrades+'!$X$3:$Y$23, 2, FALSE)))+('PlayerGrades+'!$Y$51*(VLOOKUP(M280, 'PlayerGrades+'!$X$3:$Y$23, 2, FALSE)))+('PlayerGrades+'!$Y$52*(VLOOKUP(O280, 'PlayerGrades+'!$X$3:$Y$23, 2, FALSE)))+('PlayerGrades+'!$Y$53*(VLOOKUP(Q280, 'PlayerGrades+'!$X$3:$Y$23, 2, FALSE)))+('PlayerGrades+'!$Y$54*(VLOOKUP(S280, 'PlayerGrades+'!$X$3:$Y$23, 2, FALSE)))+('PlayerGrades+'!$Y$55*(VLOOKUP(U280, 'PlayerGrades+'!$X$3:$Y$23, 2, FALSE)))</f>
        <v>#DIV/0!</v>
      </c>
      <c r="D280" s="961" t="str">
        <f t="shared" si="1"/>
        <v>#DIV/0!</v>
      </c>
      <c r="E280" s="961" t="str">
        <f>IF(D280&lt;'PlayerGrades+'!$AA$21,"F-",IF(D280&lt;'PlayerGrades+'!$AA$20,"F",IF(D280&lt;'PlayerGrades+'!$AA$19,"F+",IF(D280&lt;'PlayerGrades+'!$AA$18,"E-",IF(D280&lt;'PlayerGrades+'!$AA$17,"E",IF(D280&lt;'PlayerGrades+'!$AA$16,"E+",IF(D280&lt;'PlayerGrades+'!$AA$15,"D-",IF(D280&lt;'PlayerGrades+'!$AA$14,"D",IF(D280&lt;'PlayerGrades+'!$AA$13,"D+",IF(D280&lt;'PlayerGrades+'!$AA$12,"C-",IF(D280&lt;'PlayerGrades+'!$AA$11,"C",IF(D280&lt;'PlayerGrades+'!$AA$10,"C+",IF(D280&lt;'PlayerGrades+'!$AA$9,"B-",IF(D280&lt;'PlayerGrades+'!$AA$8,"B",IF(D280&lt;'PlayerGrades+'!$AA$7,"B+",IF(D280&lt;'PlayerGrades+'!$AA$6,"A-",IF(D280&lt;'PlayerGrades+'!$AA$5,"A",IF(D280&lt;'PlayerGrades+'!$AA$4,"A+",IF(D280&lt;'PlayerGrades+'!$AA$3,"S-",IF(D280&lt;'PlayerGrades+'!$AA$2,"S","S+"))))))))))))))))))))</f>
        <v>#DIV/0!</v>
      </c>
      <c r="F280" s="961" t="str">
        <f t="shared" si="2"/>
        <v>#DIV/0!</v>
      </c>
      <c r="G280" s="961" t="str">
        <f>IF(F280&lt;'PlayerGrades+'!$AB$21,"F-",IF(F280&lt;'PlayerGrades+'!$AB$20,"F",IF(F280&lt;'PlayerGrades+'!$AB$19,"F+",IF(F280&lt;'PlayerGrades+'!$AB$18,"E-",IF(F280&lt;'PlayerGrades+'!$AB$17,"E",IF(F280&lt;'PlayerGrades+'!$AB$16,"E+",IF(F280&lt;'PlayerGrades+'!$AB$15,"D-",IF(F280&lt;'PlayerGrades+'!$AB$14,"D",IF(F280&lt;'PlayerGrades+'!$AB$13,"D+",IF(F280&lt;'PlayerGrades+'!$AB$12,"C-",IF(F280&lt;'PlayerGrades+'!$AB$11,"C",IF(F280&lt;'PlayerGrades+'!$AB$10,"C+",IF(F280&lt;'PlayerGrades+'!$AB$9,"B-",IF(F280&lt;'PlayerGrades+'!$AB$8,"B",IF(F280&lt;'PlayerGrades+'!$AB$7,"B+",IF(F280&lt;'PlayerGrades+'!$AB$6,"A-",IF(F280&lt;'PlayerGrades+'!$AB$5,"A",IF(F280&lt;'PlayerGrades+'!$AB$4,"A+",IF(F280&lt;'PlayerGrades+'!$AB$3,"S-",IF(F280&lt;'PlayerGrades+'!$AB$2,"S","S+"))))))))))))))))))))</f>
        <v>#DIV/0!</v>
      </c>
      <c r="H280" s="961" t="str">
        <f t="shared" si="3"/>
        <v>#DIV/0!</v>
      </c>
      <c r="I280" s="961" t="str">
        <f>IF(H280&lt;'PlayerGrades+'!$AC$21,"F-",IF(H280&lt;'PlayerGrades+'!$AC$20,"F",IF(H280&lt;'PlayerGrades+'!$AC$19,"F+",IF(H280&lt;'PlayerGrades+'!$AC$18,"E-",IF(H280&lt;'PlayerGrades+'!$AC$17,"E",IF(H280&lt;'PlayerGrades+'!$AC$16,"E+",IF(H280&lt;'PlayerGrades+'!$AC$15,"D-",IF(H280&lt;'PlayerGrades+'!$AC$14,"D",IF(H280&lt;'PlayerGrades+'!$AC$13,"D+",IF(H280&lt;'PlayerGrades+'!$AC$12,"C-",IF(H280&lt;'PlayerGrades+'!$AC$11,"C",IF(H280&lt;'PlayerGrades+'!$AC$10,"C+",IF(H280&lt;'PlayerGrades+'!$AC$9,"B-",IF(H280&lt;'PlayerGrades+'!$AC$8,"B",IF(H280&lt;'PlayerGrades+'!$AC$7,"B+",IF(H280&lt;'PlayerGrades+'!$AC$6,"A-",IF(H280&lt;'PlayerGrades+'!$AC$5,"A",IF(H280&lt;'PlayerGrades+'!$AC$4,"A+",IF(H280&lt;'PlayerGrades+'!$AC$3,"S-",IF(H280&lt;'PlayerGrades+'!$AC$2,"S","S+"))))))))))))))))))))</f>
        <v>#DIV/0!</v>
      </c>
      <c r="J280" s="961" t="str">
        <f t="shared" si="4"/>
        <v>#DIV/0!</v>
      </c>
      <c r="K280" s="961" t="str">
        <f>IF(J280&lt;'PlayerGrades+'!$AD$21,"F-",IF(J280&lt;'PlayerGrades+'!$AD$20,"F",IF(J280&lt;'PlayerGrades+'!$AD$19,"F+",IF(J280&lt;'PlayerGrades+'!$AD$18,"E-",IF(J280&lt;'PlayerGrades+'!$AD$17,"E",IF(J280&lt;'PlayerGrades+'!$AD$16,"E+",IF(J280&lt;'PlayerGrades+'!$AD$15,"D-",IF(J280&lt;'PlayerGrades+'!$AD$14,"D",IF(J280&lt;'PlayerGrades+'!$AD$13,"D+",IF(J280&lt;'PlayerGrades+'!$AD$12,"C-",IF(J280&lt;'PlayerGrades+'!$AD$11,"C",IF(J280&lt;'PlayerGrades+'!$AD$10,"C+",IF(J280&lt;'PlayerGrades+'!$AD$9,"B-",IF(J280&lt;'PlayerGrades+'!$AD$8,"B",IF(J280&lt;'PlayerGrades+'!$AD$7,"B+",IF(J280&lt;'PlayerGrades+'!$AD$6,"A-",IF(J280&lt;'PlayerGrades+'!$AD$5,"A",IF(J280&lt;'PlayerGrades+'!$AD$4,"A+",IF(J280&lt;'PlayerGrades+'!$AD$3,"S-",IF(J280&lt;'PlayerGrades+'!$AD$2,"S","S+"))))))))))))))))))))</f>
        <v>#DIV/0!</v>
      </c>
      <c r="L280" s="1176" t="str">
        <f t="shared" si="5"/>
        <v>#DIV/0!</v>
      </c>
      <c r="M280" s="992" t="str">
        <f>IF(L280&lt;'PlayerGrades+'!$AE$21,"F-",IF(L280&lt;'PlayerGrades+'!$AE$20,"F",IF(L280&lt;'PlayerGrades+'!$AE$19,"F+",IF(L280&lt;'PlayerGrades+'!$AE$18,"E-",IF(L280&lt;'PlayerGrades+'!$AE$17,"E",IF(L280&lt;'PlayerGrades+'!$AE$16,"E+",IF(L280&lt;'PlayerGrades+'!$AE$15,"D-",IF(L280&lt;'PlayerGrades+'!$AE$14,"D",IF(L280&lt;'PlayerGrades+'!$AE$13,"D+",IF(L280&lt;'PlayerGrades+'!$AE$12,"C-",IF(L280&lt;'PlayerGrades+'!$AE$11,"C",IF(L280&lt;'PlayerGrades+'!$AE$10,"C+",IF(L280&lt;'PlayerGrades+'!$AE$9,"B-",IF(L280&lt;'PlayerGrades+'!$AE$8,"B",IF(L280&lt;'PlayerGrades+'!$AE$7,"B+",IF(L280&lt;'PlayerGrades+'!$AE$6,"A-",IF(L280&lt;'PlayerGrades+'!$AE$5,"A",IF(L280&lt;'PlayerGrades+'!$AE$4,"A+",IF(L280&lt;'PlayerGrades+'!$AE$3,"S-",IF(L280&lt;'PlayerGrades+'!$AE$2,"S","S+"))))))))))))))))))))</f>
        <v>#DIV/0!</v>
      </c>
      <c r="N280" s="961" t="str">
        <f t="shared" si="6"/>
        <v>#DIV/0!</v>
      </c>
      <c r="O280" s="961" t="str">
        <f>IF(N280&lt;'PlayerGrades+'!$AF$21,"F-",IF(N280&lt;'PlayerGrades+'!$AF$20,"F",IF(N280&lt;'PlayerGrades+'!$AF$19,"F+",IF(N280&lt;'PlayerGrades+'!$AF$18,"E-",IF(N280&lt;'PlayerGrades+'!$AF$17,"E",IF(N280&lt;'PlayerGrades+'!$AF$16,"E+",IF(N280&lt;'PlayerGrades+'!$AF$15,"D-",IF(N280&lt;'PlayerGrades+'!$AF$14,"D",IF(N280&lt;'PlayerGrades+'!$AF$13,"D+",IF(N280&lt;'PlayerGrades+'!$AF$12,"C-",IF(N280&lt;'PlayerGrades+'!$AF$11,"C",IF(N280&lt;'PlayerGrades+'!$AF$10,"C+",IF(N280&lt;'PlayerGrades+'!$AF$9,"B-",IF(N280&lt;'PlayerGrades+'!$AF$8,"B",IF(N280&lt;'PlayerGrades+'!$AF$7,"B+",IF(N280&lt;'PlayerGrades+'!$AF$6,"A-",IF(N280&lt;'PlayerGrades+'!$AF$5,"A",IF(N280&lt;'PlayerGrades+'!$AF$4,"A+",IF(N280&lt;'PlayerGrades+'!$AF$3,"S-",IF(N280&lt;'PlayerGrades+'!$AF$2,"S","S+"))))))))))))))))))))</f>
        <v>#DIV/0!</v>
      </c>
      <c r="P280" s="961" t="str">
        <f t="shared" si="7"/>
        <v>#DIV/0!</v>
      </c>
      <c r="Q280" s="961" t="str">
        <f>IF(P280&lt;'PlayerGrades+'!$AG$21,"F-",IF(P280&lt;'PlayerGrades+'!$AG$20,"F",IF(P280&lt;'PlayerGrades+'!$AG$19,"F+",IF(P280&lt;'PlayerGrades+'!$AG$18,"E-",IF(P280&lt;'PlayerGrades+'!$AG$17,"E",IF(P280&lt;'PlayerGrades+'!$AG$16,"E+",IF(P280&lt;'PlayerGrades+'!$AG$15,"D-",IF(P280&lt;'PlayerGrades+'!$AG$14,"D",IF(P280&lt;'PlayerGrades+'!$AG$13,"D+",IF(P280&lt;'PlayerGrades+'!$AG$12,"C-",IF(P280&lt;'PlayerGrades+'!$AG$11,"C",IF(P280&lt;'PlayerGrades+'!$AG$10,"C+",IF(P280&lt;'PlayerGrades+'!$AG$9,"B-",IF(P280&lt;'PlayerGrades+'!$AG$8,"B",IF(P280&lt;'PlayerGrades+'!$AG$7,"B+",IF(P280&lt;'PlayerGrades+'!$AG$6,"A-",IF(P280&lt;'PlayerGrades+'!$AG$5,"A",IF(P280&lt;'PlayerGrades+'!$AG$4,"A+",IF(P280&lt;'PlayerGrades+'!$AG$3,"S-",IF(P280&lt;'PlayerGrades+'!$AG$2,"S","S+"))))))))))))))))))))</f>
        <v>#DIV/0!</v>
      </c>
      <c r="R280" s="961" t="str">
        <f t="shared" si="8"/>
        <v>#DIV/0!</v>
      </c>
      <c r="S280" s="961" t="str">
        <f>IF(R280&lt;'PlayerGrades+'!$AH$21,"F-",IF(R280&lt;'PlayerGrades+'!$AH$20,"F",IF(R280&lt;'PlayerGrades+'!$AH$19,"F+",IF(R280&lt;'PlayerGrades+'!$AH$18,"E-",IF(R280&lt;'PlayerGrades+'!$AH$17,"E",IF(R280&lt;'PlayerGrades+'!$AH$16,"E+",IF(R280&lt;'PlayerGrades+'!$AH$15,"D-",IF(R280&lt;'PlayerGrades+'!$AH$14,"D",IF(R280&lt;'PlayerGrades+'!$AH$13,"D+",IF(R280&lt;'PlayerGrades+'!$AH$12,"C-",IF(R280&lt;'PlayerGrades+'!$AH$11,"C",IF(R280&lt;'PlayerGrades+'!$AH$10,"C+",IF(R280&lt;'PlayerGrades+'!$AH$9,"B-",IF(R280&lt;'PlayerGrades+'!$AH$8,"B",IF(R280&lt;'PlayerGrades+'!$AH$7,"B+",IF(R280&lt;'PlayerGrades+'!$AH$6,"A-",IF(R280&lt;'PlayerGrades+'!$AH$5,"A",IF(R280&lt;'PlayerGrades+'!$AH$4,"A+",IF(R280&lt;'PlayerGrades+'!$AH$3,"S-",IF(R280&lt;'PlayerGrades+'!$AH$2,"S","S+"))))))))))))))))))))</f>
        <v>#DIV/0!</v>
      </c>
      <c r="T280" s="961">
        <f t="shared" si="9"/>
        <v>0</v>
      </c>
      <c r="U280" s="961" t="str">
        <f>IF(T280&lt;'PlayerGrades+'!$AI$21,"F-",IF(T280&lt;'PlayerGrades+'!$AI$20,"F",IF(T280&lt;'PlayerGrades+'!$AI$19,"F+",IF(T280&lt;'PlayerGrades+'!$AI$18,"E-",IF(T280&lt;'PlayerGrades+'!$AI$17,"E",IF(T280&lt;'PlayerGrades+'!$AI$16,"E+",IF(T280&lt;'PlayerGrades+'!$AI$15,"D-",IF(T280&lt;'PlayerGrades+'!$AI$14,"D",IF(T280&lt;'PlayerGrades+'!$AI$13,"D+",IF(T280&lt;'PlayerGrades+'!$AI$12,"C-",IF(T280&lt;'PlayerGrades+'!$AI$11,"C",IF(T280&lt;'PlayerGrades+'!$AI$10,"C+",IF(T280&lt;'PlayerGrades+'!$AI$9,"B-",IF(T280&lt;'PlayerGrades+'!$AI$8,"B",IF(T280&lt;'PlayerGrades+'!$AI$7,"B+",IF(T280&lt;'PlayerGrades+'!$AI$6,"A-",IF(T280&lt;'PlayerGrades+'!$AI$5,"A",IF(T280&lt;'PlayerGrades+'!$AI$4,"A+",IF(T280&lt;'PlayerGrades+'!$AI$3,"S-",IF(T280&lt;'PlayerGrades+'!$AI$2,"S","S+"))))))))))))))))))))</f>
        <v>F-</v>
      </c>
      <c r="AC280" s="1392"/>
    </row>
    <row r="281">
      <c r="A281" s="1393"/>
      <c r="B281" s="611" t="str">
        <f>IF(C281&lt;'PlayerGrades+'!$Y$44,"F-",IF(C281&lt;'PlayerGrades+'!$Y$43,"F",IF(C281&lt;'PlayerGrades+'!$Y$42,"F+",IF(C281&lt;'PlayerGrades+'!$Y$41,"E-",IF(C281&lt;'PlayerGrades+'!$Y$40,"E",IF(C281&lt;'PlayerGrades+'!$Y$39,"E+",IF(C281&lt;'PlayerGrades+'!$Y$38,"D-",IF(C281&lt;'PlayerGrades+'!$Y$37,"D",IF(C281&lt;'PlayerGrades+'!$Y$36,"D+",IF(C281&lt;'PlayerGrades+'!$Y$35,"C-",IF(C281&lt;'PlayerGrades+'!$Y$34,"C",IF(C281&lt;'PlayerGrades+'!$Y$33,"C+",IF(C281&lt;'PlayerGrades+'!$Y$32,"B-",IF(C281&lt;'PlayerGrades+'!$Y$31,"B",IF(C281&lt;'PlayerGrades+'!$Y$30,"B+",IF(C281&lt;'PlayerGrades+'!$Y$29,"A-",IF(C281&lt;'PlayerGrades+'!$Y$28,"A",IF(C281&lt;'PlayerGrades+'!$Y$27,"A+",IF(C281&lt;'PlayerGrades+'!$Y$26,"S-",IF(C281&lt;'PlayerGrades+'!$Y$25,"S","S+"))))))))))))))))))))</f>
        <v>#DIV/0!</v>
      </c>
      <c r="C281" s="1378" t="str">
        <f>('PlayerGrades+'!$Y$47*(VLOOKUP(E281, 'PlayerGrades+'!$X$3:$Y$23, 2, FALSE)))+('PlayerGrades+'!$Y$48*(VLOOKUP(G281, 'PlayerGrades+'!$X$3:$Y$23, 2, FALSE)))+('PlayerGrades+'!$Y$49*(VLOOKUP(I281, 'PlayerGrades+'!$X$3:$Y$23, 2, FALSE)))+('PlayerGrades+'!$Y$50*(VLOOKUP(K281, 'PlayerGrades+'!$X$3:$Y$23, 2, FALSE)))+('PlayerGrades+'!$Y$51*(VLOOKUP(M281, 'PlayerGrades+'!$X$3:$Y$23, 2, FALSE)))+('PlayerGrades+'!$Y$52*(VLOOKUP(O281, 'PlayerGrades+'!$X$3:$Y$23, 2, FALSE)))+('PlayerGrades+'!$Y$53*(VLOOKUP(Q281, 'PlayerGrades+'!$X$3:$Y$23, 2, FALSE)))+('PlayerGrades+'!$Y$54*(VLOOKUP(S281, 'PlayerGrades+'!$X$3:$Y$23, 2, FALSE)))+('PlayerGrades+'!$Y$55*(VLOOKUP(U281, 'PlayerGrades+'!$X$3:$Y$23, 2, FALSE)))</f>
        <v>#DIV/0!</v>
      </c>
      <c r="D281" s="961" t="str">
        <f t="shared" si="1"/>
        <v>#DIV/0!</v>
      </c>
      <c r="E281" s="961" t="str">
        <f>IF(D281&lt;'PlayerGrades+'!$AA$21,"F-",IF(D281&lt;'PlayerGrades+'!$AA$20,"F",IF(D281&lt;'PlayerGrades+'!$AA$19,"F+",IF(D281&lt;'PlayerGrades+'!$AA$18,"E-",IF(D281&lt;'PlayerGrades+'!$AA$17,"E",IF(D281&lt;'PlayerGrades+'!$AA$16,"E+",IF(D281&lt;'PlayerGrades+'!$AA$15,"D-",IF(D281&lt;'PlayerGrades+'!$AA$14,"D",IF(D281&lt;'PlayerGrades+'!$AA$13,"D+",IF(D281&lt;'PlayerGrades+'!$AA$12,"C-",IF(D281&lt;'PlayerGrades+'!$AA$11,"C",IF(D281&lt;'PlayerGrades+'!$AA$10,"C+",IF(D281&lt;'PlayerGrades+'!$AA$9,"B-",IF(D281&lt;'PlayerGrades+'!$AA$8,"B",IF(D281&lt;'PlayerGrades+'!$AA$7,"B+",IF(D281&lt;'PlayerGrades+'!$AA$6,"A-",IF(D281&lt;'PlayerGrades+'!$AA$5,"A",IF(D281&lt;'PlayerGrades+'!$AA$4,"A+",IF(D281&lt;'PlayerGrades+'!$AA$3,"S-",IF(D281&lt;'PlayerGrades+'!$AA$2,"S","S+"))))))))))))))))))))</f>
        <v>#DIV/0!</v>
      </c>
      <c r="F281" s="961" t="str">
        <f t="shared" si="2"/>
        <v>#DIV/0!</v>
      </c>
      <c r="G281" s="961" t="str">
        <f>IF(F281&lt;'PlayerGrades+'!$AB$21,"F-",IF(F281&lt;'PlayerGrades+'!$AB$20,"F",IF(F281&lt;'PlayerGrades+'!$AB$19,"F+",IF(F281&lt;'PlayerGrades+'!$AB$18,"E-",IF(F281&lt;'PlayerGrades+'!$AB$17,"E",IF(F281&lt;'PlayerGrades+'!$AB$16,"E+",IF(F281&lt;'PlayerGrades+'!$AB$15,"D-",IF(F281&lt;'PlayerGrades+'!$AB$14,"D",IF(F281&lt;'PlayerGrades+'!$AB$13,"D+",IF(F281&lt;'PlayerGrades+'!$AB$12,"C-",IF(F281&lt;'PlayerGrades+'!$AB$11,"C",IF(F281&lt;'PlayerGrades+'!$AB$10,"C+",IF(F281&lt;'PlayerGrades+'!$AB$9,"B-",IF(F281&lt;'PlayerGrades+'!$AB$8,"B",IF(F281&lt;'PlayerGrades+'!$AB$7,"B+",IF(F281&lt;'PlayerGrades+'!$AB$6,"A-",IF(F281&lt;'PlayerGrades+'!$AB$5,"A",IF(F281&lt;'PlayerGrades+'!$AB$4,"A+",IF(F281&lt;'PlayerGrades+'!$AB$3,"S-",IF(F281&lt;'PlayerGrades+'!$AB$2,"S","S+"))))))))))))))))))))</f>
        <v>#DIV/0!</v>
      </c>
      <c r="H281" s="961" t="str">
        <f t="shared" si="3"/>
        <v>#DIV/0!</v>
      </c>
      <c r="I281" s="961" t="str">
        <f>IF(H281&lt;'PlayerGrades+'!$AC$21,"F-",IF(H281&lt;'PlayerGrades+'!$AC$20,"F",IF(H281&lt;'PlayerGrades+'!$AC$19,"F+",IF(H281&lt;'PlayerGrades+'!$AC$18,"E-",IF(H281&lt;'PlayerGrades+'!$AC$17,"E",IF(H281&lt;'PlayerGrades+'!$AC$16,"E+",IF(H281&lt;'PlayerGrades+'!$AC$15,"D-",IF(H281&lt;'PlayerGrades+'!$AC$14,"D",IF(H281&lt;'PlayerGrades+'!$AC$13,"D+",IF(H281&lt;'PlayerGrades+'!$AC$12,"C-",IF(H281&lt;'PlayerGrades+'!$AC$11,"C",IF(H281&lt;'PlayerGrades+'!$AC$10,"C+",IF(H281&lt;'PlayerGrades+'!$AC$9,"B-",IF(H281&lt;'PlayerGrades+'!$AC$8,"B",IF(H281&lt;'PlayerGrades+'!$AC$7,"B+",IF(H281&lt;'PlayerGrades+'!$AC$6,"A-",IF(H281&lt;'PlayerGrades+'!$AC$5,"A",IF(H281&lt;'PlayerGrades+'!$AC$4,"A+",IF(H281&lt;'PlayerGrades+'!$AC$3,"S-",IF(H281&lt;'PlayerGrades+'!$AC$2,"S","S+"))))))))))))))))))))</f>
        <v>#DIV/0!</v>
      </c>
      <c r="J281" s="961" t="str">
        <f t="shared" si="4"/>
        <v>#DIV/0!</v>
      </c>
      <c r="K281" s="961" t="str">
        <f>IF(J281&lt;'PlayerGrades+'!$AD$21,"F-",IF(J281&lt;'PlayerGrades+'!$AD$20,"F",IF(J281&lt;'PlayerGrades+'!$AD$19,"F+",IF(J281&lt;'PlayerGrades+'!$AD$18,"E-",IF(J281&lt;'PlayerGrades+'!$AD$17,"E",IF(J281&lt;'PlayerGrades+'!$AD$16,"E+",IF(J281&lt;'PlayerGrades+'!$AD$15,"D-",IF(J281&lt;'PlayerGrades+'!$AD$14,"D",IF(J281&lt;'PlayerGrades+'!$AD$13,"D+",IF(J281&lt;'PlayerGrades+'!$AD$12,"C-",IF(J281&lt;'PlayerGrades+'!$AD$11,"C",IF(J281&lt;'PlayerGrades+'!$AD$10,"C+",IF(J281&lt;'PlayerGrades+'!$AD$9,"B-",IF(J281&lt;'PlayerGrades+'!$AD$8,"B",IF(J281&lt;'PlayerGrades+'!$AD$7,"B+",IF(J281&lt;'PlayerGrades+'!$AD$6,"A-",IF(J281&lt;'PlayerGrades+'!$AD$5,"A",IF(J281&lt;'PlayerGrades+'!$AD$4,"A+",IF(J281&lt;'PlayerGrades+'!$AD$3,"S-",IF(J281&lt;'PlayerGrades+'!$AD$2,"S","S+"))))))))))))))))))))</f>
        <v>#DIV/0!</v>
      </c>
      <c r="L281" s="1176" t="str">
        <f t="shared" si="5"/>
        <v>#DIV/0!</v>
      </c>
      <c r="M281" s="992" t="str">
        <f>IF(L281&lt;'PlayerGrades+'!$AE$21,"F-",IF(L281&lt;'PlayerGrades+'!$AE$20,"F",IF(L281&lt;'PlayerGrades+'!$AE$19,"F+",IF(L281&lt;'PlayerGrades+'!$AE$18,"E-",IF(L281&lt;'PlayerGrades+'!$AE$17,"E",IF(L281&lt;'PlayerGrades+'!$AE$16,"E+",IF(L281&lt;'PlayerGrades+'!$AE$15,"D-",IF(L281&lt;'PlayerGrades+'!$AE$14,"D",IF(L281&lt;'PlayerGrades+'!$AE$13,"D+",IF(L281&lt;'PlayerGrades+'!$AE$12,"C-",IF(L281&lt;'PlayerGrades+'!$AE$11,"C",IF(L281&lt;'PlayerGrades+'!$AE$10,"C+",IF(L281&lt;'PlayerGrades+'!$AE$9,"B-",IF(L281&lt;'PlayerGrades+'!$AE$8,"B",IF(L281&lt;'PlayerGrades+'!$AE$7,"B+",IF(L281&lt;'PlayerGrades+'!$AE$6,"A-",IF(L281&lt;'PlayerGrades+'!$AE$5,"A",IF(L281&lt;'PlayerGrades+'!$AE$4,"A+",IF(L281&lt;'PlayerGrades+'!$AE$3,"S-",IF(L281&lt;'PlayerGrades+'!$AE$2,"S","S+"))))))))))))))))))))</f>
        <v>#DIV/0!</v>
      </c>
      <c r="N281" s="961" t="str">
        <f t="shared" si="6"/>
        <v>#DIV/0!</v>
      </c>
      <c r="O281" s="961" t="str">
        <f>IF(N281&lt;'PlayerGrades+'!$AF$21,"F-",IF(N281&lt;'PlayerGrades+'!$AF$20,"F",IF(N281&lt;'PlayerGrades+'!$AF$19,"F+",IF(N281&lt;'PlayerGrades+'!$AF$18,"E-",IF(N281&lt;'PlayerGrades+'!$AF$17,"E",IF(N281&lt;'PlayerGrades+'!$AF$16,"E+",IF(N281&lt;'PlayerGrades+'!$AF$15,"D-",IF(N281&lt;'PlayerGrades+'!$AF$14,"D",IF(N281&lt;'PlayerGrades+'!$AF$13,"D+",IF(N281&lt;'PlayerGrades+'!$AF$12,"C-",IF(N281&lt;'PlayerGrades+'!$AF$11,"C",IF(N281&lt;'PlayerGrades+'!$AF$10,"C+",IF(N281&lt;'PlayerGrades+'!$AF$9,"B-",IF(N281&lt;'PlayerGrades+'!$AF$8,"B",IF(N281&lt;'PlayerGrades+'!$AF$7,"B+",IF(N281&lt;'PlayerGrades+'!$AF$6,"A-",IF(N281&lt;'PlayerGrades+'!$AF$5,"A",IF(N281&lt;'PlayerGrades+'!$AF$4,"A+",IF(N281&lt;'PlayerGrades+'!$AF$3,"S-",IF(N281&lt;'PlayerGrades+'!$AF$2,"S","S+"))))))))))))))))))))</f>
        <v>#DIV/0!</v>
      </c>
      <c r="P281" s="961" t="str">
        <f t="shared" si="7"/>
        <v>#DIV/0!</v>
      </c>
      <c r="Q281" s="961" t="str">
        <f>IF(P281&lt;'PlayerGrades+'!$AG$21,"F-",IF(P281&lt;'PlayerGrades+'!$AG$20,"F",IF(P281&lt;'PlayerGrades+'!$AG$19,"F+",IF(P281&lt;'PlayerGrades+'!$AG$18,"E-",IF(P281&lt;'PlayerGrades+'!$AG$17,"E",IF(P281&lt;'PlayerGrades+'!$AG$16,"E+",IF(P281&lt;'PlayerGrades+'!$AG$15,"D-",IF(P281&lt;'PlayerGrades+'!$AG$14,"D",IF(P281&lt;'PlayerGrades+'!$AG$13,"D+",IF(P281&lt;'PlayerGrades+'!$AG$12,"C-",IF(P281&lt;'PlayerGrades+'!$AG$11,"C",IF(P281&lt;'PlayerGrades+'!$AG$10,"C+",IF(P281&lt;'PlayerGrades+'!$AG$9,"B-",IF(P281&lt;'PlayerGrades+'!$AG$8,"B",IF(P281&lt;'PlayerGrades+'!$AG$7,"B+",IF(P281&lt;'PlayerGrades+'!$AG$6,"A-",IF(P281&lt;'PlayerGrades+'!$AG$5,"A",IF(P281&lt;'PlayerGrades+'!$AG$4,"A+",IF(P281&lt;'PlayerGrades+'!$AG$3,"S-",IF(P281&lt;'PlayerGrades+'!$AG$2,"S","S+"))))))))))))))))))))</f>
        <v>#DIV/0!</v>
      </c>
      <c r="R281" s="961" t="str">
        <f t="shared" si="8"/>
        <v>#DIV/0!</v>
      </c>
      <c r="S281" s="961" t="str">
        <f>IF(R281&lt;'PlayerGrades+'!$AH$21,"F-",IF(R281&lt;'PlayerGrades+'!$AH$20,"F",IF(R281&lt;'PlayerGrades+'!$AH$19,"F+",IF(R281&lt;'PlayerGrades+'!$AH$18,"E-",IF(R281&lt;'PlayerGrades+'!$AH$17,"E",IF(R281&lt;'PlayerGrades+'!$AH$16,"E+",IF(R281&lt;'PlayerGrades+'!$AH$15,"D-",IF(R281&lt;'PlayerGrades+'!$AH$14,"D",IF(R281&lt;'PlayerGrades+'!$AH$13,"D+",IF(R281&lt;'PlayerGrades+'!$AH$12,"C-",IF(R281&lt;'PlayerGrades+'!$AH$11,"C",IF(R281&lt;'PlayerGrades+'!$AH$10,"C+",IF(R281&lt;'PlayerGrades+'!$AH$9,"B-",IF(R281&lt;'PlayerGrades+'!$AH$8,"B",IF(R281&lt;'PlayerGrades+'!$AH$7,"B+",IF(R281&lt;'PlayerGrades+'!$AH$6,"A-",IF(R281&lt;'PlayerGrades+'!$AH$5,"A",IF(R281&lt;'PlayerGrades+'!$AH$4,"A+",IF(R281&lt;'PlayerGrades+'!$AH$3,"S-",IF(R281&lt;'PlayerGrades+'!$AH$2,"S","S+"))))))))))))))))))))</f>
        <v>#DIV/0!</v>
      </c>
      <c r="T281" s="961">
        <f t="shared" si="9"/>
        <v>0</v>
      </c>
      <c r="U281" s="961" t="str">
        <f>IF(T281&lt;'PlayerGrades+'!$AI$21,"F-",IF(T281&lt;'PlayerGrades+'!$AI$20,"F",IF(T281&lt;'PlayerGrades+'!$AI$19,"F+",IF(T281&lt;'PlayerGrades+'!$AI$18,"E-",IF(T281&lt;'PlayerGrades+'!$AI$17,"E",IF(T281&lt;'PlayerGrades+'!$AI$16,"E+",IF(T281&lt;'PlayerGrades+'!$AI$15,"D-",IF(T281&lt;'PlayerGrades+'!$AI$14,"D",IF(T281&lt;'PlayerGrades+'!$AI$13,"D+",IF(T281&lt;'PlayerGrades+'!$AI$12,"C-",IF(T281&lt;'PlayerGrades+'!$AI$11,"C",IF(T281&lt;'PlayerGrades+'!$AI$10,"C+",IF(T281&lt;'PlayerGrades+'!$AI$9,"B-",IF(T281&lt;'PlayerGrades+'!$AI$8,"B",IF(T281&lt;'PlayerGrades+'!$AI$7,"B+",IF(T281&lt;'PlayerGrades+'!$AI$6,"A-",IF(T281&lt;'PlayerGrades+'!$AI$5,"A",IF(T281&lt;'PlayerGrades+'!$AI$4,"A+",IF(T281&lt;'PlayerGrades+'!$AI$3,"S-",IF(T281&lt;'PlayerGrades+'!$AI$2,"S","S+"))))))))))))))))))))</f>
        <v>F-</v>
      </c>
      <c r="V281" s="1386"/>
      <c r="W281" s="1386"/>
      <c r="X281" s="1386"/>
      <c r="Y281" s="1386"/>
      <c r="Z281" s="1386"/>
      <c r="AA281" s="1386"/>
      <c r="AB281" s="1386"/>
      <c r="AC281" s="1397"/>
      <c r="AD281" s="1386"/>
      <c r="AE281" s="1386"/>
      <c r="AF281" s="1386"/>
      <c r="AG281" s="1386"/>
      <c r="AH281" s="1386"/>
      <c r="AI281" s="1386"/>
      <c r="AJ281" s="1386"/>
      <c r="AK281" s="1386"/>
      <c r="AL281" s="1386"/>
      <c r="AM281" s="1386"/>
      <c r="AN281" s="1386"/>
      <c r="AO281" s="1386"/>
      <c r="AP281" s="1386"/>
      <c r="AQ281" s="1386"/>
      <c r="AR281" s="1386"/>
      <c r="AS281" s="1386"/>
      <c r="AT281" s="1386"/>
      <c r="AU281" s="1386"/>
      <c r="AV281" s="1386"/>
      <c r="AW281" s="1386"/>
      <c r="AX281" s="1386"/>
      <c r="AY281" s="1386"/>
      <c r="AZ281" s="1386"/>
    </row>
    <row r="282">
      <c r="A282" s="1389"/>
      <c r="B282" s="611" t="str">
        <f>IF(C282&lt;'PlayerGrades+'!$Y$44,"F-",IF(C282&lt;'PlayerGrades+'!$Y$43,"F",IF(C282&lt;'PlayerGrades+'!$Y$42,"F+",IF(C282&lt;'PlayerGrades+'!$Y$41,"E-",IF(C282&lt;'PlayerGrades+'!$Y$40,"E",IF(C282&lt;'PlayerGrades+'!$Y$39,"E+",IF(C282&lt;'PlayerGrades+'!$Y$38,"D-",IF(C282&lt;'PlayerGrades+'!$Y$37,"D",IF(C282&lt;'PlayerGrades+'!$Y$36,"D+",IF(C282&lt;'PlayerGrades+'!$Y$35,"C-",IF(C282&lt;'PlayerGrades+'!$Y$34,"C",IF(C282&lt;'PlayerGrades+'!$Y$33,"C+",IF(C282&lt;'PlayerGrades+'!$Y$32,"B-",IF(C282&lt;'PlayerGrades+'!$Y$31,"B",IF(C282&lt;'PlayerGrades+'!$Y$30,"B+",IF(C282&lt;'PlayerGrades+'!$Y$29,"A-",IF(C282&lt;'PlayerGrades+'!$Y$28,"A",IF(C282&lt;'PlayerGrades+'!$Y$27,"A+",IF(C282&lt;'PlayerGrades+'!$Y$26,"S-",IF(C282&lt;'PlayerGrades+'!$Y$25,"S","S+"))))))))))))))))))))</f>
        <v>#DIV/0!</v>
      </c>
      <c r="C282" s="1378" t="str">
        <f>('PlayerGrades+'!$Y$47*(VLOOKUP(E282, 'PlayerGrades+'!$X$3:$Y$23, 2, FALSE)))+('PlayerGrades+'!$Y$48*(VLOOKUP(G282, 'PlayerGrades+'!$X$3:$Y$23, 2, FALSE)))+('PlayerGrades+'!$Y$49*(VLOOKUP(I282, 'PlayerGrades+'!$X$3:$Y$23, 2, FALSE)))+('PlayerGrades+'!$Y$50*(VLOOKUP(K282, 'PlayerGrades+'!$X$3:$Y$23, 2, FALSE)))+('PlayerGrades+'!$Y$51*(VLOOKUP(M282, 'PlayerGrades+'!$X$3:$Y$23, 2, FALSE)))+('PlayerGrades+'!$Y$52*(VLOOKUP(O282, 'PlayerGrades+'!$X$3:$Y$23, 2, FALSE)))+('PlayerGrades+'!$Y$53*(VLOOKUP(Q282, 'PlayerGrades+'!$X$3:$Y$23, 2, FALSE)))+('PlayerGrades+'!$Y$54*(VLOOKUP(S282, 'PlayerGrades+'!$X$3:$Y$23, 2, FALSE)))+('PlayerGrades+'!$Y$55*(VLOOKUP(U282, 'PlayerGrades+'!$X$3:$Y$23, 2, FALSE)))</f>
        <v>#DIV/0!</v>
      </c>
      <c r="D282" s="961" t="str">
        <f t="shared" si="1"/>
        <v>#DIV/0!</v>
      </c>
      <c r="E282" s="961" t="str">
        <f>IF(D282&lt;'PlayerGrades+'!$AA$21,"F-",IF(D282&lt;'PlayerGrades+'!$AA$20,"F",IF(D282&lt;'PlayerGrades+'!$AA$19,"F+",IF(D282&lt;'PlayerGrades+'!$AA$18,"E-",IF(D282&lt;'PlayerGrades+'!$AA$17,"E",IF(D282&lt;'PlayerGrades+'!$AA$16,"E+",IF(D282&lt;'PlayerGrades+'!$AA$15,"D-",IF(D282&lt;'PlayerGrades+'!$AA$14,"D",IF(D282&lt;'PlayerGrades+'!$AA$13,"D+",IF(D282&lt;'PlayerGrades+'!$AA$12,"C-",IF(D282&lt;'PlayerGrades+'!$AA$11,"C",IF(D282&lt;'PlayerGrades+'!$AA$10,"C+",IF(D282&lt;'PlayerGrades+'!$AA$9,"B-",IF(D282&lt;'PlayerGrades+'!$AA$8,"B",IF(D282&lt;'PlayerGrades+'!$AA$7,"B+",IF(D282&lt;'PlayerGrades+'!$AA$6,"A-",IF(D282&lt;'PlayerGrades+'!$AA$5,"A",IF(D282&lt;'PlayerGrades+'!$AA$4,"A+",IF(D282&lt;'PlayerGrades+'!$AA$3,"S-",IF(D282&lt;'PlayerGrades+'!$AA$2,"S","S+"))))))))))))))))))))</f>
        <v>#DIV/0!</v>
      </c>
      <c r="F282" s="961" t="str">
        <f t="shared" si="2"/>
        <v>#DIV/0!</v>
      </c>
      <c r="G282" s="961" t="str">
        <f>IF(F282&lt;'PlayerGrades+'!$AB$21,"F-",IF(F282&lt;'PlayerGrades+'!$AB$20,"F",IF(F282&lt;'PlayerGrades+'!$AB$19,"F+",IF(F282&lt;'PlayerGrades+'!$AB$18,"E-",IF(F282&lt;'PlayerGrades+'!$AB$17,"E",IF(F282&lt;'PlayerGrades+'!$AB$16,"E+",IF(F282&lt;'PlayerGrades+'!$AB$15,"D-",IF(F282&lt;'PlayerGrades+'!$AB$14,"D",IF(F282&lt;'PlayerGrades+'!$AB$13,"D+",IF(F282&lt;'PlayerGrades+'!$AB$12,"C-",IF(F282&lt;'PlayerGrades+'!$AB$11,"C",IF(F282&lt;'PlayerGrades+'!$AB$10,"C+",IF(F282&lt;'PlayerGrades+'!$AB$9,"B-",IF(F282&lt;'PlayerGrades+'!$AB$8,"B",IF(F282&lt;'PlayerGrades+'!$AB$7,"B+",IF(F282&lt;'PlayerGrades+'!$AB$6,"A-",IF(F282&lt;'PlayerGrades+'!$AB$5,"A",IF(F282&lt;'PlayerGrades+'!$AB$4,"A+",IF(F282&lt;'PlayerGrades+'!$AB$3,"S-",IF(F282&lt;'PlayerGrades+'!$AB$2,"S","S+"))))))))))))))))))))</f>
        <v>#DIV/0!</v>
      </c>
      <c r="H282" s="961" t="str">
        <f t="shared" si="3"/>
        <v>#DIV/0!</v>
      </c>
      <c r="I282" s="961" t="str">
        <f>IF(H282&lt;'PlayerGrades+'!$AC$21,"F-",IF(H282&lt;'PlayerGrades+'!$AC$20,"F",IF(H282&lt;'PlayerGrades+'!$AC$19,"F+",IF(H282&lt;'PlayerGrades+'!$AC$18,"E-",IF(H282&lt;'PlayerGrades+'!$AC$17,"E",IF(H282&lt;'PlayerGrades+'!$AC$16,"E+",IF(H282&lt;'PlayerGrades+'!$AC$15,"D-",IF(H282&lt;'PlayerGrades+'!$AC$14,"D",IF(H282&lt;'PlayerGrades+'!$AC$13,"D+",IF(H282&lt;'PlayerGrades+'!$AC$12,"C-",IF(H282&lt;'PlayerGrades+'!$AC$11,"C",IF(H282&lt;'PlayerGrades+'!$AC$10,"C+",IF(H282&lt;'PlayerGrades+'!$AC$9,"B-",IF(H282&lt;'PlayerGrades+'!$AC$8,"B",IF(H282&lt;'PlayerGrades+'!$AC$7,"B+",IF(H282&lt;'PlayerGrades+'!$AC$6,"A-",IF(H282&lt;'PlayerGrades+'!$AC$5,"A",IF(H282&lt;'PlayerGrades+'!$AC$4,"A+",IF(H282&lt;'PlayerGrades+'!$AC$3,"S-",IF(H282&lt;'PlayerGrades+'!$AC$2,"S","S+"))))))))))))))))))))</f>
        <v>#DIV/0!</v>
      </c>
      <c r="J282" s="961" t="str">
        <f t="shared" si="4"/>
        <v>#DIV/0!</v>
      </c>
      <c r="K282" s="961" t="str">
        <f>IF(J282&lt;'PlayerGrades+'!$AD$21,"F-",IF(J282&lt;'PlayerGrades+'!$AD$20,"F",IF(J282&lt;'PlayerGrades+'!$AD$19,"F+",IF(J282&lt;'PlayerGrades+'!$AD$18,"E-",IF(J282&lt;'PlayerGrades+'!$AD$17,"E",IF(J282&lt;'PlayerGrades+'!$AD$16,"E+",IF(J282&lt;'PlayerGrades+'!$AD$15,"D-",IF(J282&lt;'PlayerGrades+'!$AD$14,"D",IF(J282&lt;'PlayerGrades+'!$AD$13,"D+",IF(J282&lt;'PlayerGrades+'!$AD$12,"C-",IF(J282&lt;'PlayerGrades+'!$AD$11,"C",IF(J282&lt;'PlayerGrades+'!$AD$10,"C+",IF(J282&lt;'PlayerGrades+'!$AD$9,"B-",IF(J282&lt;'PlayerGrades+'!$AD$8,"B",IF(J282&lt;'PlayerGrades+'!$AD$7,"B+",IF(J282&lt;'PlayerGrades+'!$AD$6,"A-",IF(J282&lt;'PlayerGrades+'!$AD$5,"A",IF(J282&lt;'PlayerGrades+'!$AD$4,"A+",IF(J282&lt;'PlayerGrades+'!$AD$3,"S-",IF(J282&lt;'PlayerGrades+'!$AD$2,"S","S+"))))))))))))))))))))</f>
        <v>#DIV/0!</v>
      </c>
      <c r="L282" s="1176" t="str">
        <f t="shared" si="5"/>
        <v>#DIV/0!</v>
      </c>
      <c r="M282" s="992" t="str">
        <f>IF(L282&lt;'PlayerGrades+'!$AE$21,"F-",IF(L282&lt;'PlayerGrades+'!$AE$20,"F",IF(L282&lt;'PlayerGrades+'!$AE$19,"F+",IF(L282&lt;'PlayerGrades+'!$AE$18,"E-",IF(L282&lt;'PlayerGrades+'!$AE$17,"E",IF(L282&lt;'PlayerGrades+'!$AE$16,"E+",IF(L282&lt;'PlayerGrades+'!$AE$15,"D-",IF(L282&lt;'PlayerGrades+'!$AE$14,"D",IF(L282&lt;'PlayerGrades+'!$AE$13,"D+",IF(L282&lt;'PlayerGrades+'!$AE$12,"C-",IF(L282&lt;'PlayerGrades+'!$AE$11,"C",IF(L282&lt;'PlayerGrades+'!$AE$10,"C+",IF(L282&lt;'PlayerGrades+'!$AE$9,"B-",IF(L282&lt;'PlayerGrades+'!$AE$8,"B",IF(L282&lt;'PlayerGrades+'!$AE$7,"B+",IF(L282&lt;'PlayerGrades+'!$AE$6,"A-",IF(L282&lt;'PlayerGrades+'!$AE$5,"A",IF(L282&lt;'PlayerGrades+'!$AE$4,"A+",IF(L282&lt;'PlayerGrades+'!$AE$3,"S-",IF(L282&lt;'PlayerGrades+'!$AE$2,"S","S+"))))))))))))))))))))</f>
        <v>#DIV/0!</v>
      </c>
      <c r="N282" s="961" t="str">
        <f t="shared" si="6"/>
        <v>#DIV/0!</v>
      </c>
      <c r="O282" s="961" t="str">
        <f>IF(N282&lt;'PlayerGrades+'!$AF$21,"F-",IF(N282&lt;'PlayerGrades+'!$AF$20,"F",IF(N282&lt;'PlayerGrades+'!$AF$19,"F+",IF(N282&lt;'PlayerGrades+'!$AF$18,"E-",IF(N282&lt;'PlayerGrades+'!$AF$17,"E",IF(N282&lt;'PlayerGrades+'!$AF$16,"E+",IF(N282&lt;'PlayerGrades+'!$AF$15,"D-",IF(N282&lt;'PlayerGrades+'!$AF$14,"D",IF(N282&lt;'PlayerGrades+'!$AF$13,"D+",IF(N282&lt;'PlayerGrades+'!$AF$12,"C-",IF(N282&lt;'PlayerGrades+'!$AF$11,"C",IF(N282&lt;'PlayerGrades+'!$AF$10,"C+",IF(N282&lt;'PlayerGrades+'!$AF$9,"B-",IF(N282&lt;'PlayerGrades+'!$AF$8,"B",IF(N282&lt;'PlayerGrades+'!$AF$7,"B+",IF(N282&lt;'PlayerGrades+'!$AF$6,"A-",IF(N282&lt;'PlayerGrades+'!$AF$5,"A",IF(N282&lt;'PlayerGrades+'!$AF$4,"A+",IF(N282&lt;'PlayerGrades+'!$AF$3,"S-",IF(N282&lt;'PlayerGrades+'!$AF$2,"S","S+"))))))))))))))))))))</f>
        <v>#DIV/0!</v>
      </c>
      <c r="P282" s="961" t="str">
        <f t="shared" si="7"/>
        <v>#DIV/0!</v>
      </c>
      <c r="Q282" s="961" t="str">
        <f>IF(P282&lt;'PlayerGrades+'!$AG$21,"F-",IF(P282&lt;'PlayerGrades+'!$AG$20,"F",IF(P282&lt;'PlayerGrades+'!$AG$19,"F+",IF(P282&lt;'PlayerGrades+'!$AG$18,"E-",IF(P282&lt;'PlayerGrades+'!$AG$17,"E",IF(P282&lt;'PlayerGrades+'!$AG$16,"E+",IF(P282&lt;'PlayerGrades+'!$AG$15,"D-",IF(P282&lt;'PlayerGrades+'!$AG$14,"D",IF(P282&lt;'PlayerGrades+'!$AG$13,"D+",IF(P282&lt;'PlayerGrades+'!$AG$12,"C-",IF(P282&lt;'PlayerGrades+'!$AG$11,"C",IF(P282&lt;'PlayerGrades+'!$AG$10,"C+",IF(P282&lt;'PlayerGrades+'!$AG$9,"B-",IF(P282&lt;'PlayerGrades+'!$AG$8,"B",IF(P282&lt;'PlayerGrades+'!$AG$7,"B+",IF(P282&lt;'PlayerGrades+'!$AG$6,"A-",IF(P282&lt;'PlayerGrades+'!$AG$5,"A",IF(P282&lt;'PlayerGrades+'!$AG$4,"A+",IF(P282&lt;'PlayerGrades+'!$AG$3,"S-",IF(P282&lt;'PlayerGrades+'!$AG$2,"S","S+"))))))))))))))))))))</f>
        <v>#DIV/0!</v>
      </c>
      <c r="R282" s="961" t="str">
        <f t="shared" si="8"/>
        <v>#DIV/0!</v>
      </c>
      <c r="S282" s="961" t="str">
        <f>IF(R282&lt;'PlayerGrades+'!$AH$21,"F-",IF(R282&lt;'PlayerGrades+'!$AH$20,"F",IF(R282&lt;'PlayerGrades+'!$AH$19,"F+",IF(R282&lt;'PlayerGrades+'!$AH$18,"E-",IF(R282&lt;'PlayerGrades+'!$AH$17,"E",IF(R282&lt;'PlayerGrades+'!$AH$16,"E+",IF(R282&lt;'PlayerGrades+'!$AH$15,"D-",IF(R282&lt;'PlayerGrades+'!$AH$14,"D",IF(R282&lt;'PlayerGrades+'!$AH$13,"D+",IF(R282&lt;'PlayerGrades+'!$AH$12,"C-",IF(R282&lt;'PlayerGrades+'!$AH$11,"C",IF(R282&lt;'PlayerGrades+'!$AH$10,"C+",IF(R282&lt;'PlayerGrades+'!$AH$9,"B-",IF(R282&lt;'PlayerGrades+'!$AH$8,"B",IF(R282&lt;'PlayerGrades+'!$AH$7,"B+",IF(R282&lt;'PlayerGrades+'!$AH$6,"A-",IF(R282&lt;'PlayerGrades+'!$AH$5,"A",IF(R282&lt;'PlayerGrades+'!$AH$4,"A+",IF(R282&lt;'PlayerGrades+'!$AH$3,"S-",IF(R282&lt;'PlayerGrades+'!$AH$2,"S","S+"))))))))))))))))))))</f>
        <v>#DIV/0!</v>
      </c>
      <c r="T282" s="961">
        <f t="shared" si="9"/>
        <v>0</v>
      </c>
      <c r="U282" s="961" t="str">
        <f>IF(T282&lt;'PlayerGrades+'!$AI$21,"F-",IF(T282&lt;'PlayerGrades+'!$AI$20,"F",IF(T282&lt;'PlayerGrades+'!$AI$19,"F+",IF(T282&lt;'PlayerGrades+'!$AI$18,"E-",IF(T282&lt;'PlayerGrades+'!$AI$17,"E",IF(T282&lt;'PlayerGrades+'!$AI$16,"E+",IF(T282&lt;'PlayerGrades+'!$AI$15,"D-",IF(T282&lt;'PlayerGrades+'!$AI$14,"D",IF(T282&lt;'PlayerGrades+'!$AI$13,"D+",IF(T282&lt;'PlayerGrades+'!$AI$12,"C-",IF(T282&lt;'PlayerGrades+'!$AI$11,"C",IF(T282&lt;'PlayerGrades+'!$AI$10,"C+",IF(T282&lt;'PlayerGrades+'!$AI$9,"B-",IF(T282&lt;'PlayerGrades+'!$AI$8,"B",IF(T282&lt;'PlayerGrades+'!$AI$7,"B+",IF(T282&lt;'PlayerGrades+'!$AI$6,"A-",IF(T282&lt;'PlayerGrades+'!$AI$5,"A",IF(T282&lt;'PlayerGrades+'!$AI$4,"A+",IF(T282&lt;'PlayerGrades+'!$AI$3,"S-",IF(T282&lt;'PlayerGrades+'!$AI$2,"S","S+"))))))))))))))))))))</f>
        <v>F-</v>
      </c>
      <c r="V282" s="1379"/>
      <c r="W282" s="1379"/>
      <c r="X282" s="1379"/>
      <c r="Y282" s="1379"/>
      <c r="Z282" s="1379"/>
      <c r="AA282" s="1379"/>
      <c r="AB282" s="1379"/>
      <c r="AC282" s="1390"/>
      <c r="AD282" s="1379"/>
      <c r="AE282" s="1379"/>
      <c r="AF282" s="1379"/>
      <c r="AG282" s="1379"/>
      <c r="AH282" s="1379"/>
      <c r="AI282" s="1379"/>
      <c r="AJ282" s="1379"/>
      <c r="AK282" s="1379"/>
      <c r="AL282" s="1379"/>
      <c r="AM282" s="1379"/>
      <c r="AN282" s="1379"/>
      <c r="AO282" s="1379"/>
      <c r="AP282" s="1379"/>
      <c r="AQ282" s="1379"/>
      <c r="AR282" s="1379"/>
      <c r="AS282" s="1379"/>
      <c r="AT282" s="1379"/>
      <c r="AU282" s="1379"/>
      <c r="AV282" s="1379"/>
      <c r="AW282" s="1379"/>
      <c r="AX282" s="1379"/>
      <c r="AY282" s="1379"/>
      <c r="AZ282" s="1379"/>
    </row>
    <row r="283">
      <c r="A283" s="1391"/>
      <c r="B283" s="611" t="str">
        <f>IF(C283&lt;'PlayerGrades+'!$Y$44,"F-",IF(C283&lt;'PlayerGrades+'!$Y$43,"F",IF(C283&lt;'PlayerGrades+'!$Y$42,"F+",IF(C283&lt;'PlayerGrades+'!$Y$41,"E-",IF(C283&lt;'PlayerGrades+'!$Y$40,"E",IF(C283&lt;'PlayerGrades+'!$Y$39,"E+",IF(C283&lt;'PlayerGrades+'!$Y$38,"D-",IF(C283&lt;'PlayerGrades+'!$Y$37,"D",IF(C283&lt;'PlayerGrades+'!$Y$36,"D+",IF(C283&lt;'PlayerGrades+'!$Y$35,"C-",IF(C283&lt;'PlayerGrades+'!$Y$34,"C",IF(C283&lt;'PlayerGrades+'!$Y$33,"C+",IF(C283&lt;'PlayerGrades+'!$Y$32,"B-",IF(C283&lt;'PlayerGrades+'!$Y$31,"B",IF(C283&lt;'PlayerGrades+'!$Y$30,"B+",IF(C283&lt;'PlayerGrades+'!$Y$29,"A-",IF(C283&lt;'PlayerGrades+'!$Y$28,"A",IF(C283&lt;'PlayerGrades+'!$Y$27,"A+",IF(C283&lt;'PlayerGrades+'!$Y$26,"S-",IF(C283&lt;'PlayerGrades+'!$Y$25,"S","S+"))))))))))))))))))))</f>
        <v>#DIV/0!</v>
      </c>
      <c r="C283" s="1378" t="str">
        <f>('PlayerGrades+'!$Y$47*(VLOOKUP(E283, 'PlayerGrades+'!$X$3:$Y$23, 2, FALSE)))+('PlayerGrades+'!$Y$48*(VLOOKUP(G283, 'PlayerGrades+'!$X$3:$Y$23, 2, FALSE)))+('PlayerGrades+'!$Y$49*(VLOOKUP(I283, 'PlayerGrades+'!$X$3:$Y$23, 2, FALSE)))+('PlayerGrades+'!$Y$50*(VLOOKUP(K283, 'PlayerGrades+'!$X$3:$Y$23, 2, FALSE)))+('PlayerGrades+'!$Y$51*(VLOOKUP(M283, 'PlayerGrades+'!$X$3:$Y$23, 2, FALSE)))+('PlayerGrades+'!$Y$52*(VLOOKUP(O283, 'PlayerGrades+'!$X$3:$Y$23, 2, FALSE)))+('PlayerGrades+'!$Y$53*(VLOOKUP(Q283, 'PlayerGrades+'!$X$3:$Y$23, 2, FALSE)))+('PlayerGrades+'!$Y$54*(VLOOKUP(S283, 'PlayerGrades+'!$X$3:$Y$23, 2, FALSE)))+('PlayerGrades+'!$Y$55*(VLOOKUP(U283, 'PlayerGrades+'!$X$3:$Y$23, 2, FALSE)))</f>
        <v>#DIV/0!</v>
      </c>
      <c r="D283" s="961" t="str">
        <f t="shared" si="1"/>
        <v>#DIV/0!</v>
      </c>
      <c r="E283" s="961" t="str">
        <f>IF(D283&lt;'PlayerGrades+'!$AA$21,"F-",IF(D283&lt;'PlayerGrades+'!$AA$20,"F",IF(D283&lt;'PlayerGrades+'!$AA$19,"F+",IF(D283&lt;'PlayerGrades+'!$AA$18,"E-",IF(D283&lt;'PlayerGrades+'!$AA$17,"E",IF(D283&lt;'PlayerGrades+'!$AA$16,"E+",IF(D283&lt;'PlayerGrades+'!$AA$15,"D-",IF(D283&lt;'PlayerGrades+'!$AA$14,"D",IF(D283&lt;'PlayerGrades+'!$AA$13,"D+",IF(D283&lt;'PlayerGrades+'!$AA$12,"C-",IF(D283&lt;'PlayerGrades+'!$AA$11,"C",IF(D283&lt;'PlayerGrades+'!$AA$10,"C+",IF(D283&lt;'PlayerGrades+'!$AA$9,"B-",IF(D283&lt;'PlayerGrades+'!$AA$8,"B",IF(D283&lt;'PlayerGrades+'!$AA$7,"B+",IF(D283&lt;'PlayerGrades+'!$AA$6,"A-",IF(D283&lt;'PlayerGrades+'!$AA$5,"A",IF(D283&lt;'PlayerGrades+'!$AA$4,"A+",IF(D283&lt;'PlayerGrades+'!$AA$3,"S-",IF(D283&lt;'PlayerGrades+'!$AA$2,"S","S+"))))))))))))))))))))</f>
        <v>#DIV/0!</v>
      </c>
      <c r="F283" s="961" t="str">
        <f t="shared" si="2"/>
        <v>#DIV/0!</v>
      </c>
      <c r="G283" s="961" t="str">
        <f>IF(F283&lt;'PlayerGrades+'!$AB$21,"F-",IF(F283&lt;'PlayerGrades+'!$AB$20,"F",IF(F283&lt;'PlayerGrades+'!$AB$19,"F+",IF(F283&lt;'PlayerGrades+'!$AB$18,"E-",IF(F283&lt;'PlayerGrades+'!$AB$17,"E",IF(F283&lt;'PlayerGrades+'!$AB$16,"E+",IF(F283&lt;'PlayerGrades+'!$AB$15,"D-",IF(F283&lt;'PlayerGrades+'!$AB$14,"D",IF(F283&lt;'PlayerGrades+'!$AB$13,"D+",IF(F283&lt;'PlayerGrades+'!$AB$12,"C-",IF(F283&lt;'PlayerGrades+'!$AB$11,"C",IF(F283&lt;'PlayerGrades+'!$AB$10,"C+",IF(F283&lt;'PlayerGrades+'!$AB$9,"B-",IF(F283&lt;'PlayerGrades+'!$AB$8,"B",IF(F283&lt;'PlayerGrades+'!$AB$7,"B+",IF(F283&lt;'PlayerGrades+'!$AB$6,"A-",IF(F283&lt;'PlayerGrades+'!$AB$5,"A",IF(F283&lt;'PlayerGrades+'!$AB$4,"A+",IF(F283&lt;'PlayerGrades+'!$AB$3,"S-",IF(F283&lt;'PlayerGrades+'!$AB$2,"S","S+"))))))))))))))))))))</f>
        <v>#DIV/0!</v>
      </c>
      <c r="H283" s="961" t="str">
        <f t="shared" si="3"/>
        <v>#DIV/0!</v>
      </c>
      <c r="I283" s="961" t="str">
        <f>IF(H283&lt;'PlayerGrades+'!$AC$21,"F-",IF(H283&lt;'PlayerGrades+'!$AC$20,"F",IF(H283&lt;'PlayerGrades+'!$AC$19,"F+",IF(H283&lt;'PlayerGrades+'!$AC$18,"E-",IF(H283&lt;'PlayerGrades+'!$AC$17,"E",IF(H283&lt;'PlayerGrades+'!$AC$16,"E+",IF(H283&lt;'PlayerGrades+'!$AC$15,"D-",IF(H283&lt;'PlayerGrades+'!$AC$14,"D",IF(H283&lt;'PlayerGrades+'!$AC$13,"D+",IF(H283&lt;'PlayerGrades+'!$AC$12,"C-",IF(H283&lt;'PlayerGrades+'!$AC$11,"C",IF(H283&lt;'PlayerGrades+'!$AC$10,"C+",IF(H283&lt;'PlayerGrades+'!$AC$9,"B-",IF(H283&lt;'PlayerGrades+'!$AC$8,"B",IF(H283&lt;'PlayerGrades+'!$AC$7,"B+",IF(H283&lt;'PlayerGrades+'!$AC$6,"A-",IF(H283&lt;'PlayerGrades+'!$AC$5,"A",IF(H283&lt;'PlayerGrades+'!$AC$4,"A+",IF(H283&lt;'PlayerGrades+'!$AC$3,"S-",IF(H283&lt;'PlayerGrades+'!$AC$2,"S","S+"))))))))))))))))))))</f>
        <v>#DIV/0!</v>
      </c>
      <c r="J283" s="961" t="str">
        <f t="shared" si="4"/>
        <v>#DIV/0!</v>
      </c>
      <c r="K283" s="961" t="str">
        <f>IF(J283&lt;'PlayerGrades+'!$AD$21,"F-",IF(J283&lt;'PlayerGrades+'!$AD$20,"F",IF(J283&lt;'PlayerGrades+'!$AD$19,"F+",IF(J283&lt;'PlayerGrades+'!$AD$18,"E-",IF(J283&lt;'PlayerGrades+'!$AD$17,"E",IF(J283&lt;'PlayerGrades+'!$AD$16,"E+",IF(J283&lt;'PlayerGrades+'!$AD$15,"D-",IF(J283&lt;'PlayerGrades+'!$AD$14,"D",IF(J283&lt;'PlayerGrades+'!$AD$13,"D+",IF(J283&lt;'PlayerGrades+'!$AD$12,"C-",IF(J283&lt;'PlayerGrades+'!$AD$11,"C",IF(J283&lt;'PlayerGrades+'!$AD$10,"C+",IF(J283&lt;'PlayerGrades+'!$AD$9,"B-",IF(J283&lt;'PlayerGrades+'!$AD$8,"B",IF(J283&lt;'PlayerGrades+'!$AD$7,"B+",IF(J283&lt;'PlayerGrades+'!$AD$6,"A-",IF(J283&lt;'PlayerGrades+'!$AD$5,"A",IF(J283&lt;'PlayerGrades+'!$AD$4,"A+",IF(J283&lt;'PlayerGrades+'!$AD$3,"S-",IF(J283&lt;'PlayerGrades+'!$AD$2,"S","S+"))))))))))))))))))))</f>
        <v>#DIV/0!</v>
      </c>
      <c r="L283" s="1176" t="str">
        <f t="shared" si="5"/>
        <v>#DIV/0!</v>
      </c>
      <c r="M283" s="992" t="str">
        <f>IF(L283&lt;'PlayerGrades+'!$AE$21,"F-",IF(L283&lt;'PlayerGrades+'!$AE$20,"F",IF(L283&lt;'PlayerGrades+'!$AE$19,"F+",IF(L283&lt;'PlayerGrades+'!$AE$18,"E-",IF(L283&lt;'PlayerGrades+'!$AE$17,"E",IF(L283&lt;'PlayerGrades+'!$AE$16,"E+",IF(L283&lt;'PlayerGrades+'!$AE$15,"D-",IF(L283&lt;'PlayerGrades+'!$AE$14,"D",IF(L283&lt;'PlayerGrades+'!$AE$13,"D+",IF(L283&lt;'PlayerGrades+'!$AE$12,"C-",IF(L283&lt;'PlayerGrades+'!$AE$11,"C",IF(L283&lt;'PlayerGrades+'!$AE$10,"C+",IF(L283&lt;'PlayerGrades+'!$AE$9,"B-",IF(L283&lt;'PlayerGrades+'!$AE$8,"B",IF(L283&lt;'PlayerGrades+'!$AE$7,"B+",IF(L283&lt;'PlayerGrades+'!$AE$6,"A-",IF(L283&lt;'PlayerGrades+'!$AE$5,"A",IF(L283&lt;'PlayerGrades+'!$AE$4,"A+",IF(L283&lt;'PlayerGrades+'!$AE$3,"S-",IF(L283&lt;'PlayerGrades+'!$AE$2,"S","S+"))))))))))))))))))))</f>
        <v>#DIV/0!</v>
      </c>
      <c r="N283" s="961" t="str">
        <f t="shared" si="6"/>
        <v>#DIV/0!</v>
      </c>
      <c r="O283" s="961" t="str">
        <f>IF(N283&lt;'PlayerGrades+'!$AF$21,"F-",IF(N283&lt;'PlayerGrades+'!$AF$20,"F",IF(N283&lt;'PlayerGrades+'!$AF$19,"F+",IF(N283&lt;'PlayerGrades+'!$AF$18,"E-",IF(N283&lt;'PlayerGrades+'!$AF$17,"E",IF(N283&lt;'PlayerGrades+'!$AF$16,"E+",IF(N283&lt;'PlayerGrades+'!$AF$15,"D-",IF(N283&lt;'PlayerGrades+'!$AF$14,"D",IF(N283&lt;'PlayerGrades+'!$AF$13,"D+",IF(N283&lt;'PlayerGrades+'!$AF$12,"C-",IF(N283&lt;'PlayerGrades+'!$AF$11,"C",IF(N283&lt;'PlayerGrades+'!$AF$10,"C+",IF(N283&lt;'PlayerGrades+'!$AF$9,"B-",IF(N283&lt;'PlayerGrades+'!$AF$8,"B",IF(N283&lt;'PlayerGrades+'!$AF$7,"B+",IF(N283&lt;'PlayerGrades+'!$AF$6,"A-",IF(N283&lt;'PlayerGrades+'!$AF$5,"A",IF(N283&lt;'PlayerGrades+'!$AF$4,"A+",IF(N283&lt;'PlayerGrades+'!$AF$3,"S-",IF(N283&lt;'PlayerGrades+'!$AF$2,"S","S+"))))))))))))))))))))</f>
        <v>#DIV/0!</v>
      </c>
      <c r="P283" s="961" t="str">
        <f t="shared" si="7"/>
        <v>#DIV/0!</v>
      </c>
      <c r="Q283" s="961" t="str">
        <f>IF(P283&lt;'PlayerGrades+'!$AG$21,"F-",IF(P283&lt;'PlayerGrades+'!$AG$20,"F",IF(P283&lt;'PlayerGrades+'!$AG$19,"F+",IF(P283&lt;'PlayerGrades+'!$AG$18,"E-",IF(P283&lt;'PlayerGrades+'!$AG$17,"E",IF(P283&lt;'PlayerGrades+'!$AG$16,"E+",IF(P283&lt;'PlayerGrades+'!$AG$15,"D-",IF(P283&lt;'PlayerGrades+'!$AG$14,"D",IF(P283&lt;'PlayerGrades+'!$AG$13,"D+",IF(P283&lt;'PlayerGrades+'!$AG$12,"C-",IF(P283&lt;'PlayerGrades+'!$AG$11,"C",IF(P283&lt;'PlayerGrades+'!$AG$10,"C+",IF(P283&lt;'PlayerGrades+'!$AG$9,"B-",IF(P283&lt;'PlayerGrades+'!$AG$8,"B",IF(P283&lt;'PlayerGrades+'!$AG$7,"B+",IF(P283&lt;'PlayerGrades+'!$AG$6,"A-",IF(P283&lt;'PlayerGrades+'!$AG$5,"A",IF(P283&lt;'PlayerGrades+'!$AG$4,"A+",IF(P283&lt;'PlayerGrades+'!$AG$3,"S-",IF(P283&lt;'PlayerGrades+'!$AG$2,"S","S+"))))))))))))))))))))</f>
        <v>#DIV/0!</v>
      </c>
      <c r="R283" s="961" t="str">
        <f t="shared" si="8"/>
        <v>#DIV/0!</v>
      </c>
      <c r="S283" s="961" t="str">
        <f>IF(R283&lt;'PlayerGrades+'!$AH$21,"F-",IF(R283&lt;'PlayerGrades+'!$AH$20,"F",IF(R283&lt;'PlayerGrades+'!$AH$19,"F+",IF(R283&lt;'PlayerGrades+'!$AH$18,"E-",IF(R283&lt;'PlayerGrades+'!$AH$17,"E",IF(R283&lt;'PlayerGrades+'!$AH$16,"E+",IF(R283&lt;'PlayerGrades+'!$AH$15,"D-",IF(R283&lt;'PlayerGrades+'!$AH$14,"D",IF(R283&lt;'PlayerGrades+'!$AH$13,"D+",IF(R283&lt;'PlayerGrades+'!$AH$12,"C-",IF(R283&lt;'PlayerGrades+'!$AH$11,"C",IF(R283&lt;'PlayerGrades+'!$AH$10,"C+",IF(R283&lt;'PlayerGrades+'!$AH$9,"B-",IF(R283&lt;'PlayerGrades+'!$AH$8,"B",IF(R283&lt;'PlayerGrades+'!$AH$7,"B+",IF(R283&lt;'PlayerGrades+'!$AH$6,"A-",IF(R283&lt;'PlayerGrades+'!$AH$5,"A",IF(R283&lt;'PlayerGrades+'!$AH$4,"A+",IF(R283&lt;'PlayerGrades+'!$AH$3,"S-",IF(R283&lt;'PlayerGrades+'!$AH$2,"S","S+"))))))))))))))))))))</f>
        <v>#DIV/0!</v>
      </c>
      <c r="T283" s="961">
        <f t="shared" si="9"/>
        <v>0</v>
      </c>
      <c r="U283" s="961" t="str">
        <f>IF(T283&lt;'PlayerGrades+'!$AI$21,"F-",IF(T283&lt;'PlayerGrades+'!$AI$20,"F",IF(T283&lt;'PlayerGrades+'!$AI$19,"F+",IF(T283&lt;'PlayerGrades+'!$AI$18,"E-",IF(T283&lt;'PlayerGrades+'!$AI$17,"E",IF(T283&lt;'PlayerGrades+'!$AI$16,"E+",IF(T283&lt;'PlayerGrades+'!$AI$15,"D-",IF(T283&lt;'PlayerGrades+'!$AI$14,"D",IF(T283&lt;'PlayerGrades+'!$AI$13,"D+",IF(T283&lt;'PlayerGrades+'!$AI$12,"C-",IF(T283&lt;'PlayerGrades+'!$AI$11,"C",IF(T283&lt;'PlayerGrades+'!$AI$10,"C+",IF(T283&lt;'PlayerGrades+'!$AI$9,"B-",IF(T283&lt;'PlayerGrades+'!$AI$8,"B",IF(T283&lt;'PlayerGrades+'!$AI$7,"B+",IF(T283&lt;'PlayerGrades+'!$AI$6,"A-",IF(T283&lt;'PlayerGrades+'!$AI$5,"A",IF(T283&lt;'PlayerGrades+'!$AI$4,"A+",IF(T283&lt;'PlayerGrades+'!$AI$3,"S-",IF(T283&lt;'PlayerGrades+'!$AI$2,"S","S+"))))))))))))))))))))</f>
        <v>F-</v>
      </c>
      <c r="AC283" s="1392"/>
    </row>
    <row r="284">
      <c r="A284" s="1391"/>
      <c r="B284" s="611" t="str">
        <f>IF(C284&lt;'PlayerGrades+'!$Y$44,"F-",IF(C284&lt;'PlayerGrades+'!$Y$43,"F",IF(C284&lt;'PlayerGrades+'!$Y$42,"F+",IF(C284&lt;'PlayerGrades+'!$Y$41,"E-",IF(C284&lt;'PlayerGrades+'!$Y$40,"E",IF(C284&lt;'PlayerGrades+'!$Y$39,"E+",IF(C284&lt;'PlayerGrades+'!$Y$38,"D-",IF(C284&lt;'PlayerGrades+'!$Y$37,"D",IF(C284&lt;'PlayerGrades+'!$Y$36,"D+",IF(C284&lt;'PlayerGrades+'!$Y$35,"C-",IF(C284&lt;'PlayerGrades+'!$Y$34,"C",IF(C284&lt;'PlayerGrades+'!$Y$33,"C+",IF(C284&lt;'PlayerGrades+'!$Y$32,"B-",IF(C284&lt;'PlayerGrades+'!$Y$31,"B",IF(C284&lt;'PlayerGrades+'!$Y$30,"B+",IF(C284&lt;'PlayerGrades+'!$Y$29,"A-",IF(C284&lt;'PlayerGrades+'!$Y$28,"A",IF(C284&lt;'PlayerGrades+'!$Y$27,"A+",IF(C284&lt;'PlayerGrades+'!$Y$26,"S-",IF(C284&lt;'PlayerGrades+'!$Y$25,"S","S+"))))))))))))))))))))</f>
        <v>#DIV/0!</v>
      </c>
      <c r="C284" s="1378" t="str">
        <f>('PlayerGrades+'!$Y$47*(VLOOKUP(E284, 'PlayerGrades+'!$X$3:$Y$23, 2, FALSE)))+('PlayerGrades+'!$Y$48*(VLOOKUP(G284, 'PlayerGrades+'!$X$3:$Y$23, 2, FALSE)))+('PlayerGrades+'!$Y$49*(VLOOKUP(I284, 'PlayerGrades+'!$X$3:$Y$23, 2, FALSE)))+('PlayerGrades+'!$Y$50*(VLOOKUP(K284, 'PlayerGrades+'!$X$3:$Y$23, 2, FALSE)))+('PlayerGrades+'!$Y$51*(VLOOKUP(M284, 'PlayerGrades+'!$X$3:$Y$23, 2, FALSE)))+('PlayerGrades+'!$Y$52*(VLOOKUP(O284, 'PlayerGrades+'!$X$3:$Y$23, 2, FALSE)))+('PlayerGrades+'!$Y$53*(VLOOKUP(Q284, 'PlayerGrades+'!$X$3:$Y$23, 2, FALSE)))+('PlayerGrades+'!$Y$54*(VLOOKUP(S284, 'PlayerGrades+'!$X$3:$Y$23, 2, FALSE)))+('PlayerGrades+'!$Y$55*(VLOOKUP(U284, 'PlayerGrades+'!$X$3:$Y$23, 2, FALSE)))</f>
        <v>#DIV/0!</v>
      </c>
      <c r="D284" s="961" t="str">
        <f t="shared" si="1"/>
        <v>#DIV/0!</v>
      </c>
      <c r="E284" s="961" t="str">
        <f>IF(D284&lt;'PlayerGrades+'!$AA$21,"F-",IF(D284&lt;'PlayerGrades+'!$AA$20,"F",IF(D284&lt;'PlayerGrades+'!$AA$19,"F+",IF(D284&lt;'PlayerGrades+'!$AA$18,"E-",IF(D284&lt;'PlayerGrades+'!$AA$17,"E",IF(D284&lt;'PlayerGrades+'!$AA$16,"E+",IF(D284&lt;'PlayerGrades+'!$AA$15,"D-",IF(D284&lt;'PlayerGrades+'!$AA$14,"D",IF(D284&lt;'PlayerGrades+'!$AA$13,"D+",IF(D284&lt;'PlayerGrades+'!$AA$12,"C-",IF(D284&lt;'PlayerGrades+'!$AA$11,"C",IF(D284&lt;'PlayerGrades+'!$AA$10,"C+",IF(D284&lt;'PlayerGrades+'!$AA$9,"B-",IF(D284&lt;'PlayerGrades+'!$AA$8,"B",IF(D284&lt;'PlayerGrades+'!$AA$7,"B+",IF(D284&lt;'PlayerGrades+'!$AA$6,"A-",IF(D284&lt;'PlayerGrades+'!$AA$5,"A",IF(D284&lt;'PlayerGrades+'!$AA$4,"A+",IF(D284&lt;'PlayerGrades+'!$AA$3,"S-",IF(D284&lt;'PlayerGrades+'!$AA$2,"S","S+"))))))))))))))))))))</f>
        <v>#DIV/0!</v>
      </c>
      <c r="F284" s="961" t="str">
        <f t="shared" si="2"/>
        <v>#DIV/0!</v>
      </c>
      <c r="G284" s="961" t="str">
        <f>IF(F284&lt;'PlayerGrades+'!$AB$21,"F-",IF(F284&lt;'PlayerGrades+'!$AB$20,"F",IF(F284&lt;'PlayerGrades+'!$AB$19,"F+",IF(F284&lt;'PlayerGrades+'!$AB$18,"E-",IF(F284&lt;'PlayerGrades+'!$AB$17,"E",IF(F284&lt;'PlayerGrades+'!$AB$16,"E+",IF(F284&lt;'PlayerGrades+'!$AB$15,"D-",IF(F284&lt;'PlayerGrades+'!$AB$14,"D",IF(F284&lt;'PlayerGrades+'!$AB$13,"D+",IF(F284&lt;'PlayerGrades+'!$AB$12,"C-",IF(F284&lt;'PlayerGrades+'!$AB$11,"C",IF(F284&lt;'PlayerGrades+'!$AB$10,"C+",IF(F284&lt;'PlayerGrades+'!$AB$9,"B-",IF(F284&lt;'PlayerGrades+'!$AB$8,"B",IF(F284&lt;'PlayerGrades+'!$AB$7,"B+",IF(F284&lt;'PlayerGrades+'!$AB$6,"A-",IF(F284&lt;'PlayerGrades+'!$AB$5,"A",IF(F284&lt;'PlayerGrades+'!$AB$4,"A+",IF(F284&lt;'PlayerGrades+'!$AB$3,"S-",IF(F284&lt;'PlayerGrades+'!$AB$2,"S","S+"))))))))))))))))))))</f>
        <v>#DIV/0!</v>
      </c>
      <c r="H284" s="961" t="str">
        <f t="shared" si="3"/>
        <v>#DIV/0!</v>
      </c>
      <c r="I284" s="961" t="str">
        <f>IF(H284&lt;'PlayerGrades+'!$AC$21,"F-",IF(H284&lt;'PlayerGrades+'!$AC$20,"F",IF(H284&lt;'PlayerGrades+'!$AC$19,"F+",IF(H284&lt;'PlayerGrades+'!$AC$18,"E-",IF(H284&lt;'PlayerGrades+'!$AC$17,"E",IF(H284&lt;'PlayerGrades+'!$AC$16,"E+",IF(H284&lt;'PlayerGrades+'!$AC$15,"D-",IF(H284&lt;'PlayerGrades+'!$AC$14,"D",IF(H284&lt;'PlayerGrades+'!$AC$13,"D+",IF(H284&lt;'PlayerGrades+'!$AC$12,"C-",IF(H284&lt;'PlayerGrades+'!$AC$11,"C",IF(H284&lt;'PlayerGrades+'!$AC$10,"C+",IF(H284&lt;'PlayerGrades+'!$AC$9,"B-",IF(H284&lt;'PlayerGrades+'!$AC$8,"B",IF(H284&lt;'PlayerGrades+'!$AC$7,"B+",IF(H284&lt;'PlayerGrades+'!$AC$6,"A-",IF(H284&lt;'PlayerGrades+'!$AC$5,"A",IF(H284&lt;'PlayerGrades+'!$AC$4,"A+",IF(H284&lt;'PlayerGrades+'!$AC$3,"S-",IF(H284&lt;'PlayerGrades+'!$AC$2,"S","S+"))))))))))))))))))))</f>
        <v>#DIV/0!</v>
      </c>
      <c r="J284" s="961" t="str">
        <f t="shared" si="4"/>
        <v>#DIV/0!</v>
      </c>
      <c r="K284" s="961" t="str">
        <f>IF(J284&lt;'PlayerGrades+'!$AD$21,"F-",IF(J284&lt;'PlayerGrades+'!$AD$20,"F",IF(J284&lt;'PlayerGrades+'!$AD$19,"F+",IF(J284&lt;'PlayerGrades+'!$AD$18,"E-",IF(J284&lt;'PlayerGrades+'!$AD$17,"E",IF(J284&lt;'PlayerGrades+'!$AD$16,"E+",IF(J284&lt;'PlayerGrades+'!$AD$15,"D-",IF(J284&lt;'PlayerGrades+'!$AD$14,"D",IF(J284&lt;'PlayerGrades+'!$AD$13,"D+",IF(J284&lt;'PlayerGrades+'!$AD$12,"C-",IF(J284&lt;'PlayerGrades+'!$AD$11,"C",IF(J284&lt;'PlayerGrades+'!$AD$10,"C+",IF(J284&lt;'PlayerGrades+'!$AD$9,"B-",IF(J284&lt;'PlayerGrades+'!$AD$8,"B",IF(J284&lt;'PlayerGrades+'!$AD$7,"B+",IF(J284&lt;'PlayerGrades+'!$AD$6,"A-",IF(J284&lt;'PlayerGrades+'!$AD$5,"A",IF(J284&lt;'PlayerGrades+'!$AD$4,"A+",IF(J284&lt;'PlayerGrades+'!$AD$3,"S-",IF(J284&lt;'PlayerGrades+'!$AD$2,"S","S+"))))))))))))))))))))</f>
        <v>#DIV/0!</v>
      </c>
      <c r="L284" s="1176" t="str">
        <f t="shared" si="5"/>
        <v>#DIV/0!</v>
      </c>
      <c r="M284" s="992" t="str">
        <f>IF(L284&lt;'PlayerGrades+'!$AE$21,"F-",IF(L284&lt;'PlayerGrades+'!$AE$20,"F",IF(L284&lt;'PlayerGrades+'!$AE$19,"F+",IF(L284&lt;'PlayerGrades+'!$AE$18,"E-",IF(L284&lt;'PlayerGrades+'!$AE$17,"E",IF(L284&lt;'PlayerGrades+'!$AE$16,"E+",IF(L284&lt;'PlayerGrades+'!$AE$15,"D-",IF(L284&lt;'PlayerGrades+'!$AE$14,"D",IF(L284&lt;'PlayerGrades+'!$AE$13,"D+",IF(L284&lt;'PlayerGrades+'!$AE$12,"C-",IF(L284&lt;'PlayerGrades+'!$AE$11,"C",IF(L284&lt;'PlayerGrades+'!$AE$10,"C+",IF(L284&lt;'PlayerGrades+'!$AE$9,"B-",IF(L284&lt;'PlayerGrades+'!$AE$8,"B",IF(L284&lt;'PlayerGrades+'!$AE$7,"B+",IF(L284&lt;'PlayerGrades+'!$AE$6,"A-",IF(L284&lt;'PlayerGrades+'!$AE$5,"A",IF(L284&lt;'PlayerGrades+'!$AE$4,"A+",IF(L284&lt;'PlayerGrades+'!$AE$3,"S-",IF(L284&lt;'PlayerGrades+'!$AE$2,"S","S+"))))))))))))))))))))</f>
        <v>#DIV/0!</v>
      </c>
      <c r="N284" s="961" t="str">
        <f t="shared" si="6"/>
        <v>#DIV/0!</v>
      </c>
      <c r="O284" s="961" t="str">
        <f>IF(N284&lt;'PlayerGrades+'!$AF$21,"F-",IF(N284&lt;'PlayerGrades+'!$AF$20,"F",IF(N284&lt;'PlayerGrades+'!$AF$19,"F+",IF(N284&lt;'PlayerGrades+'!$AF$18,"E-",IF(N284&lt;'PlayerGrades+'!$AF$17,"E",IF(N284&lt;'PlayerGrades+'!$AF$16,"E+",IF(N284&lt;'PlayerGrades+'!$AF$15,"D-",IF(N284&lt;'PlayerGrades+'!$AF$14,"D",IF(N284&lt;'PlayerGrades+'!$AF$13,"D+",IF(N284&lt;'PlayerGrades+'!$AF$12,"C-",IF(N284&lt;'PlayerGrades+'!$AF$11,"C",IF(N284&lt;'PlayerGrades+'!$AF$10,"C+",IF(N284&lt;'PlayerGrades+'!$AF$9,"B-",IF(N284&lt;'PlayerGrades+'!$AF$8,"B",IF(N284&lt;'PlayerGrades+'!$AF$7,"B+",IF(N284&lt;'PlayerGrades+'!$AF$6,"A-",IF(N284&lt;'PlayerGrades+'!$AF$5,"A",IF(N284&lt;'PlayerGrades+'!$AF$4,"A+",IF(N284&lt;'PlayerGrades+'!$AF$3,"S-",IF(N284&lt;'PlayerGrades+'!$AF$2,"S","S+"))))))))))))))))))))</f>
        <v>#DIV/0!</v>
      </c>
      <c r="P284" s="961" t="str">
        <f t="shared" si="7"/>
        <v>#DIV/0!</v>
      </c>
      <c r="Q284" s="961" t="str">
        <f>IF(P284&lt;'PlayerGrades+'!$AG$21,"F-",IF(P284&lt;'PlayerGrades+'!$AG$20,"F",IF(P284&lt;'PlayerGrades+'!$AG$19,"F+",IF(P284&lt;'PlayerGrades+'!$AG$18,"E-",IF(P284&lt;'PlayerGrades+'!$AG$17,"E",IF(P284&lt;'PlayerGrades+'!$AG$16,"E+",IF(P284&lt;'PlayerGrades+'!$AG$15,"D-",IF(P284&lt;'PlayerGrades+'!$AG$14,"D",IF(P284&lt;'PlayerGrades+'!$AG$13,"D+",IF(P284&lt;'PlayerGrades+'!$AG$12,"C-",IF(P284&lt;'PlayerGrades+'!$AG$11,"C",IF(P284&lt;'PlayerGrades+'!$AG$10,"C+",IF(P284&lt;'PlayerGrades+'!$AG$9,"B-",IF(P284&lt;'PlayerGrades+'!$AG$8,"B",IF(P284&lt;'PlayerGrades+'!$AG$7,"B+",IF(P284&lt;'PlayerGrades+'!$AG$6,"A-",IF(P284&lt;'PlayerGrades+'!$AG$5,"A",IF(P284&lt;'PlayerGrades+'!$AG$4,"A+",IF(P284&lt;'PlayerGrades+'!$AG$3,"S-",IF(P284&lt;'PlayerGrades+'!$AG$2,"S","S+"))))))))))))))))))))</f>
        <v>#DIV/0!</v>
      </c>
      <c r="R284" s="961" t="str">
        <f t="shared" si="8"/>
        <v>#DIV/0!</v>
      </c>
      <c r="S284" s="961" t="str">
        <f>IF(R284&lt;'PlayerGrades+'!$AH$21,"F-",IF(R284&lt;'PlayerGrades+'!$AH$20,"F",IF(R284&lt;'PlayerGrades+'!$AH$19,"F+",IF(R284&lt;'PlayerGrades+'!$AH$18,"E-",IF(R284&lt;'PlayerGrades+'!$AH$17,"E",IF(R284&lt;'PlayerGrades+'!$AH$16,"E+",IF(R284&lt;'PlayerGrades+'!$AH$15,"D-",IF(R284&lt;'PlayerGrades+'!$AH$14,"D",IF(R284&lt;'PlayerGrades+'!$AH$13,"D+",IF(R284&lt;'PlayerGrades+'!$AH$12,"C-",IF(R284&lt;'PlayerGrades+'!$AH$11,"C",IF(R284&lt;'PlayerGrades+'!$AH$10,"C+",IF(R284&lt;'PlayerGrades+'!$AH$9,"B-",IF(R284&lt;'PlayerGrades+'!$AH$8,"B",IF(R284&lt;'PlayerGrades+'!$AH$7,"B+",IF(R284&lt;'PlayerGrades+'!$AH$6,"A-",IF(R284&lt;'PlayerGrades+'!$AH$5,"A",IF(R284&lt;'PlayerGrades+'!$AH$4,"A+",IF(R284&lt;'PlayerGrades+'!$AH$3,"S-",IF(R284&lt;'PlayerGrades+'!$AH$2,"S","S+"))))))))))))))))))))</f>
        <v>#DIV/0!</v>
      </c>
      <c r="T284" s="961">
        <f t="shared" si="9"/>
        <v>0</v>
      </c>
      <c r="U284" s="961" t="str">
        <f>IF(T284&lt;'PlayerGrades+'!$AI$21,"F-",IF(T284&lt;'PlayerGrades+'!$AI$20,"F",IF(T284&lt;'PlayerGrades+'!$AI$19,"F+",IF(T284&lt;'PlayerGrades+'!$AI$18,"E-",IF(T284&lt;'PlayerGrades+'!$AI$17,"E",IF(T284&lt;'PlayerGrades+'!$AI$16,"E+",IF(T284&lt;'PlayerGrades+'!$AI$15,"D-",IF(T284&lt;'PlayerGrades+'!$AI$14,"D",IF(T284&lt;'PlayerGrades+'!$AI$13,"D+",IF(T284&lt;'PlayerGrades+'!$AI$12,"C-",IF(T284&lt;'PlayerGrades+'!$AI$11,"C",IF(T284&lt;'PlayerGrades+'!$AI$10,"C+",IF(T284&lt;'PlayerGrades+'!$AI$9,"B-",IF(T284&lt;'PlayerGrades+'!$AI$8,"B",IF(T284&lt;'PlayerGrades+'!$AI$7,"B+",IF(T284&lt;'PlayerGrades+'!$AI$6,"A-",IF(T284&lt;'PlayerGrades+'!$AI$5,"A",IF(T284&lt;'PlayerGrades+'!$AI$4,"A+",IF(T284&lt;'PlayerGrades+'!$AI$3,"S-",IF(T284&lt;'PlayerGrades+'!$AI$2,"S","S+"))))))))))))))))))))</f>
        <v>F-</v>
      </c>
      <c r="AC284" s="1392"/>
    </row>
    <row r="285">
      <c r="A285" s="1391"/>
      <c r="B285" s="611" t="str">
        <f>IF(C285&lt;'PlayerGrades+'!$Y$44,"F-",IF(C285&lt;'PlayerGrades+'!$Y$43,"F",IF(C285&lt;'PlayerGrades+'!$Y$42,"F+",IF(C285&lt;'PlayerGrades+'!$Y$41,"E-",IF(C285&lt;'PlayerGrades+'!$Y$40,"E",IF(C285&lt;'PlayerGrades+'!$Y$39,"E+",IF(C285&lt;'PlayerGrades+'!$Y$38,"D-",IF(C285&lt;'PlayerGrades+'!$Y$37,"D",IF(C285&lt;'PlayerGrades+'!$Y$36,"D+",IF(C285&lt;'PlayerGrades+'!$Y$35,"C-",IF(C285&lt;'PlayerGrades+'!$Y$34,"C",IF(C285&lt;'PlayerGrades+'!$Y$33,"C+",IF(C285&lt;'PlayerGrades+'!$Y$32,"B-",IF(C285&lt;'PlayerGrades+'!$Y$31,"B",IF(C285&lt;'PlayerGrades+'!$Y$30,"B+",IF(C285&lt;'PlayerGrades+'!$Y$29,"A-",IF(C285&lt;'PlayerGrades+'!$Y$28,"A",IF(C285&lt;'PlayerGrades+'!$Y$27,"A+",IF(C285&lt;'PlayerGrades+'!$Y$26,"S-",IF(C285&lt;'PlayerGrades+'!$Y$25,"S","S+"))))))))))))))))))))</f>
        <v>#DIV/0!</v>
      </c>
      <c r="C285" s="1378" t="str">
        <f>('PlayerGrades+'!$Y$47*(VLOOKUP(E285, 'PlayerGrades+'!$X$3:$Y$23, 2, FALSE)))+('PlayerGrades+'!$Y$48*(VLOOKUP(G285, 'PlayerGrades+'!$X$3:$Y$23, 2, FALSE)))+('PlayerGrades+'!$Y$49*(VLOOKUP(I285, 'PlayerGrades+'!$X$3:$Y$23, 2, FALSE)))+('PlayerGrades+'!$Y$50*(VLOOKUP(K285, 'PlayerGrades+'!$X$3:$Y$23, 2, FALSE)))+('PlayerGrades+'!$Y$51*(VLOOKUP(M285, 'PlayerGrades+'!$X$3:$Y$23, 2, FALSE)))+('PlayerGrades+'!$Y$52*(VLOOKUP(O285, 'PlayerGrades+'!$X$3:$Y$23, 2, FALSE)))+('PlayerGrades+'!$Y$53*(VLOOKUP(Q285, 'PlayerGrades+'!$X$3:$Y$23, 2, FALSE)))+('PlayerGrades+'!$Y$54*(VLOOKUP(S285, 'PlayerGrades+'!$X$3:$Y$23, 2, FALSE)))+('PlayerGrades+'!$Y$55*(VLOOKUP(U285, 'PlayerGrades+'!$X$3:$Y$23, 2, FALSE)))</f>
        <v>#DIV/0!</v>
      </c>
      <c r="D285" s="961" t="str">
        <f t="shared" si="1"/>
        <v>#DIV/0!</v>
      </c>
      <c r="E285" s="961" t="str">
        <f>IF(D285&lt;'PlayerGrades+'!$AA$21,"F-",IF(D285&lt;'PlayerGrades+'!$AA$20,"F",IF(D285&lt;'PlayerGrades+'!$AA$19,"F+",IF(D285&lt;'PlayerGrades+'!$AA$18,"E-",IF(D285&lt;'PlayerGrades+'!$AA$17,"E",IF(D285&lt;'PlayerGrades+'!$AA$16,"E+",IF(D285&lt;'PlayerGrades+'!$AA$15,"D-",IF(D285&lt;'PlayerGrades+'!$AA$14,"D",IF(D285&lt;'PlayerGrades+'!$AA$13,"D+",IF(D285&lt;'PlayerGrades+'!$AA$12,"C-",IF(D285&lt;'PlayerGrades+'!$AA$11,"C",IF(D285&lt;'PlayerGrades+'!$AA$10,"C+",IF(D285&lt;'PlayerGrades+'!$AA$9,"B-",IF(D285&lt;'PlayerGrades+'!$AA$8,"B",IF(D285&lt;'PlayerGrades+'!$AA$7,"B+",IF(D285&lt;'PlayerGrades+'!$AA$6,"A-",IF(D285&lt;'PlayerGrades+'!$AA$5,"A",IF(D285&lt;'PlayerGrades+'!$AA$4,"A+",IF(D285&lt;'PlayerGrades+'!$AA$3,"S-",IF(D285&lt;'PlayerGrades+'!$AA$2,"S","S+"))))))))))))))))))))</f>
        <v>#DIV/0!</v>
      </c>
      <c r="F285" s="961" t="str">
        <f t="shared" si="2"/>
        <v>#DIV/0!</v>
      </c>
      <c r="G285" s="961" t="str">
        <f>IF(F285&lt;'PlayerGrades+'!$AB$21,"F-",IF(F285&lt;'PlayerGrades+'!$AB$20,"F",IF(F285&lt;'PlayerGrades+'!$AB$19,"F+",IF(F285&lt;'PlayerGrades+'!$AB$18,"E-",IF(F285&lt;'PlayerGrades+'!$AB$17,"E",IF(F285&lt;'PlayerGrades+'!$AB$16,"E+",IF(F285&lt;'PlayerGrades+'!$AB$15,"D-",IF(F285&lt;'PlayerGrades+'!$AB$14,"D",IF(F285&lt;'PlayerGrades+'!$AB$13,"D+",IF(F285&lt;'PlayerGrades+'!$AB$12,"C-",IF(F285&lt;'PlayerGrades+'!$AB$11,"C",IF(F285&lt;'PlayerGrades+'!$AB$10,"C+",IF(F285&lt;'PlayerGrades+'!$AB$9,"B-",IF(F285&lt;'PlayerGrades+'!$AB$8,"B",IF(F285&lt;'PlayerGrades+'!$AB$7,"B+",IF(F285&lt;'PlayerGrades+'!$AB$6,"A-",IF(F285&lt;'PlayerGrades+'!$AB$5,"A",IF(F285&lt;'PlayerGrades+'!$AB$4,"A+",IF(F285&lt;'PlayerGrades+'!$AB$3,"S-",IF(F285&lt;'PlayerGrades+'!$AB$2,"S","S+"))))))))))))))))))))</f>
        <v>#DIV/0!</v>
      </c>
      <c r="H285" s="961" t="str">
        <f t="shared" si="3"/>
        <v>#DIV/0!</v>
      </c>
      <c r="I285" s="961" t="str">
        <f>IF(H285&lt;'PlayerGrades+'!$AC$21,"F-",IF(H285&lt;'PlayerGrades+'!$AC$20,"F",IF(H285&lt;'PlayerGrades+'!$AC$19,"F+",IF(H285&lt;'PlayerGrades+'!$AC$18,"E-",IF(H285&lt;'PlayerGrades+'!$AC$17,"E",IF(H285&lt;'PlayerGrades+'!$AC$16,"E+",IF(H285&lt;'PlayerGrades+'!$AC$15,"D-",IF(H285&lt;'PlayerGrades+'!$AC$14,"D",IF(H285&lt;'PlayerGrades+'!$AC$13,"D+",IF(H285&lt;'PlayerGrades+'!$AC$12,"C-",IF(H285&lt;'PlayerGrades+'!$AC$11,"C",IF(H285&lt;'PlayerGrades+'!$AC$10,"C+",IF(H285&lt;'PlayerGrades+'!$AC$9,"B-",IF(H285&lt;'PlayerGrades+'!$AC$8,"B",IF(H285&lt;'PlayerGrades+'!$AC$7,"B+",IF(H285&lt;'PlayerGrades+'!$AC$6,"A-",IF(H285&lt;'PlayerGrades+'!$AC$5,"A",IF(H285&lt;'PlayerGrades+'!$AC$4,"A+",IF(H285&lt;'PlayerGrades+'!$AC$3,"S-",IF(H285&lt;'PlayerGrades+'!$AC$2,"S","S+"))))))))))))))))))))</f>
        <v>#DIV/0!</v>
      </c>
      <c r="J285" s="961" t="str">
        <f t="shared" si="4"/>
        <v>#DIV/0!</v>
      </c>
      <c r="K285" s="961" t="str">
        <f>IF(J285&lt;'PlayerGrades+'!$AD$21,"F-",IF(J285&lt;'PlayerGrades+'!$AD$20,"F",IF(J285&lt;'PlayerGrades+'!$AD$19,"F+",IF(J285&lt;'PlayerGrades+'!$AD$18,"E-",IF(J285&lt;'PlayerGrades+'!$AD$17,"E",IF(J285&lt;'PlayerGrades+'!$AD$16,"E+",IF(J285&lt;'PlayerGrades+'!$AD$15,"D-",IF(J285&lt;'PlayerGrades+'!$AD$14,"D",IF(J285&lt;'PlayerGrades+'!$AD$13,"D+",IF(J285&lt;'PlayerGrades+'!$AD$12,"C-",IF(J285&lt;'PlayerGrades+'!$AD$11,"C",IF(J285&lt;'PlayerGrades+'!$AD$10,"C+",IF(J285&lt;'PlayerGrades+'!$AD$9,"B-",IF(J285&lt;'PlayerGrades+'!$AD$8,"B",IF(J285&lt;'PlayerGrades+'!$AD$7,"B+",IF(J285&lt;'PlayerGrades+'!$AD$6,"A-",IF(J285&lt;'PlayerGrades+'!$AD$5,"A",IF(J285&lt;'PlayerGrades+'!$AD$4,"A+",IF(J285&lt;'PlayerGrades+'!$AD$3,"S-",IF(J285&lt;'PlayerGrades+'!$AD$2,"S","S+"))))))))))))))))))))</f>
        <v>#DIV/0!</v>
      </c>
      <c r="L285" s="1176" t="str">
        <f t="shared" si="5"/>
        <v>#DIV/0!</v>
      </c>
      <c r="M285" s="992" t="str">
        <f>IF(L285&lt;'PlayerGrades+'!$AE$21,"F-",IF(L285&lt;'PlayerGrades+'!$AE$20,"F",IF(L285&lt;'PlayerGrades+'!$AE$19,"F+",IF(L285&lt;'PlayerGrades+'!$AE$18,"E-",IF(L285&lt;'PlayerGrades+'!$AE$17,"E",IF(L285&lt;'PlayerGrades+'!$AE$16,"E+",IF(L285&lt;'PlayerGrades+'!$AE$15,"D-",IF(L285&lt;'PlayerGrades+'!$AE$14,"D",IF(L285&lt;'PlayerGrades+'!$AE$13,"D+",IF(L285&lt;'PlayerGrades+'!$AE$12,"C-",IF(L285&lt;'PlayerGrades+'!$AE$11,"C",IF(L285&lt;'PlayerGrades+'!$AE$10,"C+",IF(L285&lt;'PlayerGrades+'!$AE$9,"B-",IF(L285&lt;'PlayerGrades+'!$AE$8,"B",IF(L285&lt;'PlayerGrades+'!$AE$7,"B+",IF(L285&lt;'PlayerGrades+'!$AE$6,"A-",IF(L285&lt;'PlayerGrades+'!$AE$5,"A",IF(L285&lt;'PlayerGrades+'!$AE$4,"A+",IF(L285&lt;'PlayerGrades+'!$AE$3,"S-",IF(L285&lt;'PlayerGrades+'!$AE$2,"S","S+"))))))))))))))))))))</f>
        <v>#DIV/0!</v>
      </c>
      <c r="N285" s="961" t="str">
        <f t="shared" si="6"/>
        <v>#DIV/0!</v>
      </c>
      <c r="O285" s="961" t="str">
        <f>IF(N285&lt;'PlayerGrades+'!$AF$21,"F-",IF(N285&lt;'PlayerGrades+'!$AF$20,"F",IF(N285&lt;'PlayerGrades+'!$AF$19,"F+",IF(N285&lt;'PlayerGrades+'!$AF$18,"E-",IF(N285&lt;'PlayerGrades+'!$AF$17,"E",IF(N285&lt;'PlayerGrades+'!$AF$16,"E+",IF(N285&lt;'PlayerGrades+'!$AF$15,"D-",IF(N285&lt;'PlayerGrades+'!$AF$14,"D",IF(N285&lt;'PlayerGrades+'!$AF$13,"D+",IF(N285&lt;'PlayerGrades+'!$AF$12,"C-",IF(N285&lt;'PlayerGrades+'!$AF$11,"C",IF(N285&lt;'PlayerGrades+'!$AF$10,"C+",IF(N285&lt;'PlayerGrades+'!$AF$9,"B-",IF(N285&lt;'PlayerGrades+'!$AF$8,"B",IF(N285&lt;'PlayerGrades+'!$AF$7,"B+",IF(N285&lt;'PlayerGrades+'!$AF$6,"A-",IF(N285&lt;'PlayerGrades+'!$AF$5,"A",IF(N285&lt;'PlayerGrades+'!$AF$4,"A+",IF(N285&lt;'PlayerGrades+'!$AF$3,"S-",IF(N285&lt;'PlayerGrades+'!$AF$2,"S","S+"))))))))))))))))))))</f>
        <v>#DIV/0!</v>
      </c>
      <c r="P285" s="961" t="str">
        <f t="shared" si="7"/>
        <v>#DIV/0!</v>
      </c>
      <c r="Q285" s="961" t="str">
        <f>IF(P285&lt;'PlayerGrades+'!$AG$21,"F-",IF(P285&lt;'PlayerGrades+'!$AG$20,"F",IF(P285&lt;'PlayerGrades+'!$AG$19,"F+",IF(P285&lt;'PlayerGrades+'!$AG$18,"E-",IF(P285&lt;'PlayerGrades+'!$AG$17,"E",IF(P285&lt;'PlayerGrades+'!$AG$16,"E+",IF(P285&lt;'PlayerGrades+'!$AG$15,"D-",IF(P285&lt;'PlayerGrades+'!$AG$14,"D",IF(P285&lt;'PlayerGrades+'!$AG$13,"D+",IF(P285&lt;'PlayerGrades+'!$AG$12,"C-",IF(P285&lt;'PlayerGrades+'!$AG$11,"C",IF(P285&lt;'PlayerGrades+'!$AG$10,"C+",IF(P285&lt;'PlayerGrades+'!$AG$9,"B-",IF(P285&lt;'PlayerGrades+'!$AG$8,"B",IF(P285&lt;'PlayerGrades+'!$AG$7,"B+",IF(P285&lt;'PlayerGrades+'!$AG$6,"A-",IF(P285&lt;'PlayerGrades+'!$AG$5,"A",IF(P285&lt;'PlayerGrades+'!$AG$4,"A+",IF(P285&lt;'PlayerGrades+'!$AG$3,"S-",IF(P285&lt;'PlayerGrades+'!$AG$2,"S","S+"))))))))))))))))))))</f>
        <v>#DIV/0!</v>
      </c>
      <c r="R285" s="961" t="str">
        <f t="shared" si="8"/>
        <v>#DIV/0!</v>
      </c>
      <c r="S285" s="961" t="str">
        <f>IF(R285&lt;'PlayerGrades+'!$AH$21,"F-",IF(R285&lt;'PlayerGrades+'!$AH$20,"F",IF(R285&lt;'PlayerGrades+'!$AH$19,"F+",IF(R285&lt;'PlayerGrades+'!$AH$18,"E-",IF(R285&lt;'PlayerGrades+'!$AH$17,"E",IF(R285&lt;'PlayerGrades+'!$AH$16,"E+",IF(R285&lt;'PlayerGrades+'!$AH$15,"D-",IF(R285&lt;'PlayerGrades+'!$AH$14,"D",IF(R285&lt;'PlayerGrades+'!$AH$13,"D+",IF(R285&lt;'PlayerGrades+'!$AH$12,"C-",IF(R285&lt;'PlayerGrades+'!$AH$11,"C",IF(R285&lt;'PlayerGrades+'!$AH$10,"C+",IF(R285&lt;'PlayerGrades+'!$AH$9,"B-",IF(R285&lt;'PlayerGrades+'!$AH$8,"B",IF(R285&lt;'PlayerGrades+'!$AH$7,"B+",IF(R285&lt;'PlayerGrades+'!$AH$6,"A-",IF(R285&lt;'PlayerGrades+'!$AH$5,"A",IF(R285&lt;'PlayerGrades+'!$AH$4,"A+",IF(R285&lt;'PlayerGrades+'!$AH$3,"S-",IF(R285&lt;'PlayerGrades+'!$AH$2,"S","S+"))))))))))))))))))))</f>
        <v>#DIV/0!</v>
      </c>
      <c r="T285" s="961">
        <f t="shared" si="9"/>
        <v>0</v>
      </c>
      <c r="U285" s="961" t="str">
        <f>IF(T285&lt;'PlayerGrades+'!$AI$21,"F-",IF(T285&lt;'PlayerGrades+'!$AI$20,"F",IF(T285&lt;'PlayerGrades+'!$AI$19,"F+",IF(T285&lt;'PlayerGrades+'!$AI$18,"E-",IF(T285&lt;'PlayerGrades+'!$AI$17,"E",IF(T285&lt;'PlayerGrades+'!$AI$16,"E+",IF(T285&lt;'PlayerGrades+'!$AI$15,"D-",IF(T285&lt;'PlayerGrades+'!$AI$14,"D",IF(T285&lt;'PlayerGrades+'!$AI$13,"D+",IF(T285&lt;'PlayerGrades+'!$AI$12,"C-",IF(T285&lt;'PlayerGrades+'!$AI$11,"C",IF(T285&lt;'PlayerGrades+'!$AI$10,"C+",IF(T285&lt;'PlayerGrades+'!$AI$9,"B-",IF(T285&lt;'PlayerGrades+'!$AI$8,"B",IF(T285&lt;'PlayerGrades+'!$AI$7,"B+",IF(T285&lt;'PlayerGrades+'!$AI$6,"A-",IF(T285&lt;'PlayerGrades+'!$AI$5,"A",IF(T285&lt;'PlayerGrades+'!$AI$4,"A+",IF(T285&lt;'PlayerGrades+'!$AI$3,"S-",IF(T285&lt;'PlayerGrades+'!$AI$2,"S","S+"))))))))))))))))))))</f>
        <v>F-</v>
      </c>
      <c r="AC285" s="1392"/>
    </row>
    <row r="286">
      <c r="A286" s="1391"/>
      <c r="B286" s="611" t="str">
        <f>IF(C286&lt;'PlayerGrades+'!$Y$44,"F-",IF(C286&lt;'PlayerGrades+'!$Y$43,"F",IF(C286&lt;'PlayerGrades+'!$Y$42,"F+",IF(C286&lt;'PlayerGrades+'!$Y$41,"E-",IF(C286&lt;'PlayerGrades+'!$Y$40,"E",IF(C286&lt;'PlayerGrades+'!$Y$39,"E+",IF(C286&lt;'PlayerGrades+'!$Y$38,"D-",IF(C286&lt;'PlayerGrades+'!$Y$37,"D",IF(C286&lt;'PlayerGrades+'!$Y$36,"D+",IF(C286&lt;'PlayerGrades+'!$Y$35,"C-",IF(C286&lt;'PlayerGrades+'!$Y$34,"C",IF(C286&lt;'PlayerGrades+'!$Y$33,"C+",IF(C286&lt;'PlayerGrades+'!$Y$32,"B-",IF(C286&lt;'PlayerGrades+'!$Y$31,"B",IF(C286&lt;'PlayerGrades+'!$Y$30,"B+",IF(C286&lt;'PlayerGrades+'!$Y$29,"A-",IF(C286&lt;'PlayerGrades+'!$Y$28,"A",IF(C286&lt;'PlayerGrades+'!$Y$27,"A+",IF(C286&lt;'PlayerGrades+'!$Y$26,"S-",IF(C286&lt;'PlayerGrades+'!$Y$25,"S","S+"))))))))))))))))))))</f>
        <v>#DIV/0!</v>
      </c>
      <c r="C286" s="1378" t="str">
        <f>('PlayerGrades+'!$Y$47*(VLOOKUP(E286, 'PlayerGrades+'!$X$3:$Y$23, 2, FALSE)))+('PlayerGrades+'!$Y$48*(VLOOKUP(G286, 'PlayerGrades+'!$X$3:$Y$23, 2, FALSE)))+('PlayerGrades+'!$Y$49*(VLOOKUP(I286, 'PlayerGrades+'!$X$3:$Y$23, 2, FALSE)))+('PlayerGrades+'!$Y$50*(VLOOKUP(K286, 'PlayerGrades+'!$X$3:$Y$23, 2, FALSE)))+('PlayerGrades+'!$Y$51*(VLOOKUP(M286, 'PlayerGrades+'!$X$3:$Y$23, 2, FALSE)))+('PlayerGrades+'!$Y$52*(VLOOKUP(O286, 'PlayerGrades+'!$X$3:$Y$23, 2, FALSE)))+('PlayerGrades+'!$Y$53*(VLOOKUP(Q286, 'PlayerGrades+'!$X$3:$Y$23, 2, FALSE)))+('PlayerGrades+'!$Y$54*(VLOOKUP(S286, 'PlayerGrades+'!$X$3:$Y$23, 2, FALSE)))+('PlayerGrades+'!$Y$55*(VLOOKUP(U286, 'PlayerGrades+'!$X$3:$Y$23, 2, FALSE)))</f>
        <v>#DIV/0!</v>
      </c>
      <c r="D286" s="961" t="str">
        <f t="shared" si="1"/>
        <v>#DIV/0!</v>
      </c>
      <c r="E286" s="961" t="str">
        <f>IF(D286&lt;'PlayerGrades+'!$AA$21,"F-",IF(D286&lt;'PlayerGrades+'!$AA$20,"F",IF(D286&lt;'PlayerGrades+'!$AA$19,"F+",IF(D286&lt;'PlayerGrades+'!$AA$18,"E-",IF(D286&lt;'PlayerGrades+'!$AA$17,"E",IF(D286&lt;'PlayerGrades+'!$AA$16,"E+",IF(D286&lt;'PlayerGrades+'!$AA$15,"D-",IF(D286&lt;'PlayerGrades+'!$AA$14,"D",IF(D286&lt;'PlayerGrades+'!$AA$13,"D+",IF(D286&lt;'PlayerGrades+'!$AA$12,"C-",IF(D286&lt;'PlayerGrades+'!$AA$11,"C",IF(D286&lt;'PlayerGrades+'!$AA$10,"C+",IF(D286&lt;'PlayerGrades+'!$AA$9,"B-",IF(D286&lt;'PlayerGrades+'!$AA$8,"B",IF(D286&lt;'PlayerGrades+'!$AA$7,"B+",IF(D286&lt;'PlayerGrades+'!$AA$6,"A-",IF(D286&lt;'PlayerGrades+'!$AA$5,"A",IF(D286&lt;'PlayerGrades+'!$AA$4,"A+",IF(D286&lt;'PlayerGrades+'!$AA$3,"S-",IF(D286&lt;'PlayerGrades+'!$AA$2,"S","S+"))))))))))))))))))))</f>
        <v>#DIV/0!</v>
      </c>
      <c r="F286" s="961" t="str">
        <f t="shared" si="2"/>
        <v>#DIV/0!</v>
      </c>
      <c r="G286" s="961" t="str">
        <f>IF(F286&lt;'PlayerGrades+'!$AB$21,"F-",IF(F286&lt;'PlayerGrades+'!$AB$20,"F",IF(F286&lt;'PlayerGrades+'!$AB$19,"F+",IF(F286&lt;'PlayerGrades+'!$AB$18,"E-",IF(F286&lt;'PlayerGrades+'!$AB$17,"E",IF(F286&lt;'PlayerGrades+'!$AB$16,"E+",IF(F286&lt;'PlayerGrades+'!$AB$15,"D-",IF(F286&lt;'PlayerGrades+'!$AB$14,"D",IF(F286&lt;'PlayerGrades+'!$AB$13,"D+",IF(F286&lt;'PlayerGrades+'!$AB$12,"C-",IF(F286&lt;'PlayerGrades+'!$AB$11,"C",IF(F286&lt;'PlayerGrades+'!$AB$10,"C+",IF(F286&lt;'PlayerGrades+'!$AB$9,"B-",IF(F286&lt;'PlayerGrades+'!$AB$8,"B",IF(F286&lt;'PlayerGrades+'!$AB$7,"B+",IF(F286&lt;'PlayerGrades+'!$AB$6,"A-",IF(F286&lt;'PlayerGrades+'!$AB$5,"A",IF(F286&lt;'PlayerGrades+'!$AB$4,"A+",IF(F286&lt;'PlayerGrades+'!$AB$3,"S-",IF(F286&lt;'PlayerGrades+'!$AB$2,"S","S+"))))))))))))))))))))</f>
        <v>#DIV/0!</v>
      </c>
      <c r="H286" s="961" t="str">
        <f t="shared" si="3"/>
        <v>#DIV/0!</v>
      </c>
      <c r="I286" s="961" t="str">
        <f>IF(H286&lt;'PlayerGrades+'!$AC$21,"F-",IF(H286&lt;'PlayerGrades+'!$AC$20,"F",IF(H286&lt;'PlayerGrades+'!$AC$19,"F+",IF(H286&lt;'PlayerGrades+'!$AC$18,"E-",IF(H286&lt;'PlayerGrades+'!$AC$17,"E",IF(H286&lt;'PlayerGrades+'!$AC$16,"E+",IF(H286&lt;'PlayerGrades+'!$AC$15,"D-",IF(H286&lt;'PlayerGrades+'!$AC$14,"D",IF(H286&lt;'PlayerGrades+'!$AC$13,"D+",IF(H286&lt;'PlayerGrades+'!$AC$12,"C-",IF(H286&lt;'PlayerGrades+'!$AC$11,"C",IF(H286&lt;'PlayerGrades+'!$AC$10,"C+",IF(H286&lt;'PlayerGrades+'!$AC$9,"B-",IF(H286&lt;'PlayerGrades+'!$AC$8,"B",IF(H286&lt;'PlayerGrades+'!$AC$7,"B+",IF(H286&lt;'PlayerGrades+'!$AC$6,"A-",IF(H286&lt;'PlayerGrades+'!$AC$5,"A",IF(H286&lt;'PlayerGrades+'!$AC$4,"A+",IF(H286&lt;'PlayerGrades+'!$AC$3,"S-",IF(H286&lt;'PlayerGrades+'!$AC$2,"S","S+"))))))))))))))))))))</f>
        <v>#DIV/0!</v>
      </c>
      <c r="J286" s="961" t="str">
        <f t="shared" si="4"/>
        <v>#DIV/0!</v>
      </c>
      <c r="K286" s="961" t="str">
        <f>IF(J286&lt;'PlayerGrades+'!$AD$21,"F-",IF(J286&lt;'PlayerGrades+'!$AD$20,"F",IF(J286&lt;'PlayerGrades+'!$AD$19,"F+",IF(J286&lt;'PlayerGrades+'!$AD$18,"E-",IF(J286&lt;'PlayerGrades+'!$AD$17,"E",IF(J286&lt;'PlayerGrades+'!$AD$16,"E+",IF(J286&lt;'PlayerGrades+'!$AD$15,"D-",IF(J286&lt;'PlayerGrades+'!$AD$14,"D",IF(J286&lt;'PlayerGrades+'!$AD$13,"D+",IF(J286&lt;'PlayerGrades+'!$AD$12,"C-",IF(J286&lt;'PlayerGrades+'!$AD$11,"C",IF(J286&lt;'PlayerGrades+'!$AD$10,"C+",IF(J286&lt;'PlayerGrades+'!$AD$9,"B-",IF(J286&lt;'PlayerGrades+'!$AD$8,"B",IF(J286&lt;'PlayerGrades+'!$AD$7,"B+",IF(J286&lt;'PlayerGrades+'!$AD$6,"A-",IF(J286&lt;'PlayerGrades+'!$AD$5,"A",IF(J286&lt;'PlayerGrades+'!$AD$4,"A+",IF(J286&lt;'PlayerGrades+'!$AD$3,"S-",IF(J286&lt;'PlayerGrades+'!$AD$2,"S","S+"))))))))))))))))))))</f>
        <v>#DIV/0!</v>
      </c>
      <c r="L286" s="1176" t="str">
        <f t="shared" si="5"/>
        <v>#DIV/0!</v>
      </c>
      <c r="M286" s="992" t="str">
        <f>IF(L286&lt;'PlayerGrades+'!$AE$21,"F-",IF(L286&lt;'PlayerGrades+'!$AE$20,"F",IF(L286&lt;'PlayerGrades+'!$AE$19,"F+",IF(L286&lt;'PlayerGrades+'!$AE$18,"E-",IF(L286&lt;'PlayerGrades+'!$AE$17,"E",IF(L286&lt;'PlayerGrades+'!$AE$16,"E+",IF(L286&lt;'PlayerGrades+'!$AE$15,"D-",IF(L286&lt;'PlayerGrades+'!$AE$14,"D",IF(L286&lt;'PlayerGrades+'!$AE$13,"D+",IF(L286&lt;'PlayerGrades+'!$AE$12,"C-",IF(L286&lt;'PlayerGrades+'!$AE$11,"C",IF(L286&lt;'PlayerGrades+'!$AE$10,"C+",IF(L286&lt;'PlayerGrades+'!$AE$9,"B-",IF(L286&lt;'PlayerGrades+'!$AE$8,"B",IF(L286&lt;'PlayerGrades+'!$AE$7,"B+",IF(L286&lt;'PlayerGrades+'!$AE$6,"A-",IF(L286&lt;'PlayerGrades+'!$AE$5,"A",IF(L286&lt;'PlayerGrades+'!$AE$4,"A+",IF(L286&lt;'PlayerGrades+'!$AE$3,"S-",IF(L286&lt;'PlayerGrades+'!$AE$2,"S","S+"))))))))))))))))))))</f>
        <v>#DIV/0!</v>
      </c>
      <c r="N286" s="961" t="str">
        <f t="shared" si="6"/>
        <v>#DIV/0!</v>
      </c>
      <c r="O286" s="961" t="str">
        <f>IF(N286&lt;'PlayerGrades+'!$AF$21,"F-",IF(N286&lt;'PlayerGrades+'!$AF$20,"F",IF(N286&lt;'PlayerGrades+'!$AF$19,"F+",IF(N286&lt;'PlayerGrades+'!$AF$18,"E-",IF(N286&lt;'PlayerGrades+'!$AF$17,"E",IF(N286&lt;'PlayerGrades+'!$AF$16,"E+",IF(N286&lt;'PlayerGrades+'!$AF$15,"D-",IF(N286&lt;'PlayerGrades+'!$AF$14,"D",IF(N286&lt;'PlayerGrades+'!$AF$13,"D+",IF(N286&lt;'PlayerGrades+'!$AF$12,"C-",IF(N286&lt;'PlayerGrades+'!$AF$11,"C",IF(N286&lt;'PlayerGrades+'!$AF$10,"C+",IF(N286&lt;'PlayerGrades+'!$AF$9,"B-",IF(N286&lt;'PlayerGrades+'!$AF$8,"B",IF(N286&lt;'PlayerGrades+'!$AF$7,"B+",IF(N286&lt;'PlayerGrades+'!$AF$6,"A-",IF(N286&lt;'PlayerGrades+'!$AF$5,"A",IF(N286&lt;'PlayerGrades+'!$AF$4,"A+",IF(N286&lt;'PlayerGrades+'!$AF$3,"S-",IF(N286&lt;'PlayerGrades+'!$AF$2,"S","S+"))))))))))))))))))))</f>
        <v>#DIV/0!</v>
      </c>
      <c r="P286" s="961" t="str">
        <f t="shared" si="7"/>
        <v>#DIV/0!</v>
      </c>
      <c r="Q286" s="961" t="str">
        <f>IF(P286&lt;'PlayerGrades+'!$AG$21,"F-",IF(P286&lt;'PlayerGrades+'!$AG$20,"F",IF(P286&lt;'PlayerGrades+'!$AG$19,"F+",IF(P286&lt;'PlayerGrades+'!$AG$18,"E-",IF(P286&lt;'PlayerGrades+'!$AG$17,"E",IF(P286&lt;'PlayerGrades+'!$AG$16,"E+",IF(P286&lt;'PlayerGrades+'!$AG$15,"D-",IF(P286&lt;'PlayerGrades+'!$AG$14,"D",IF(P286&lt;'PlayerGrades+'!$AG$13,"D+",IF(P286&lt;'PlayerGrades+'!$AG$12,"C-",IF(P286&lt;'PlayerGrades+'!$AG$11,"C",IF(P286&lt;'PlayerGrades+'!$AG$10,"C+",IF(P286&lt;'PlayerGrades+'!$AG$9,"B-",IF(P286&lt;'PlayerGrades+'!$AG$8,"B",IF(P286&lt;'PlayerGrades+'!$AG$7,"B+",IF(P286&lt;'PlayerGrades+'!$AG$6,"A-",IF(P286&lt;'PlayerGrades+'!$AG$5,"A",IF(P286&lt;'PlayerGrades+'!$AG$4,"A+",IF(P286&lt;'PlayerGrades+'!$AG$3,"S-",IF(P286&lt;'PlayerGrades+'!$AG$2,"S","S+"))))))))))))))))))))</f>
        <v>#DIV/0!</v>
      </c>
      <c r="R286" s="961" t="str">
        <f t="shared" si="8"/>
        <v>#DIV/0!</v>
      </c>
      <c r="S286" s="961" t="str">
        <f>IF(R286&lt;'PlayerGrades+'!$AH$21,"F-",IF(R286&lt;'PlayerGrades+'!$AH$20,"F",IF(R286&lt;'PlayerGrades+'!$AH$19,"F+",IF(R286&lt;'PlayerGrades+'!$AH$18,"E-",IF(R286&lt;'PlayerGrades+'!$AH$17,"E",IF(R286&lt;'PlayerGrades+'!$AH$16,"E+",IF(R286&lt;'PlayerGrades+'!$AH$15,"D-",IF(R286&lt;'PlayerGrades+'!$AH$14,"D",IF(R286&lt;'PlayerGrades+'!$AH$13,"D+",IF(R286&lt;'PlayerGrades+'!$AH$12,"C-",IF(R286&lt;'PlayerGrades+'!$AH$11,"C",IF(R286&lt;'PlayerGrades+'!$AH$10,"C+",IF(R286&lt;'PlayerGrades+'!$AH$9,"B-",IF(R286&lt;'PlayerGrades+'!$AH$8,"B",IF(R286&lt;'PlayerGrades+'!$AH$7,"B+",IF(R286&lt;'PlayerGrades+'!$AH$6,"A-",IF(R286&lt;'PlayerGrades+'!$AH$5,"A",IF(R286&lt;'PlayerGrades+'!$AH$4,"A+",IF(R286&lt;'PlayerGrades+'!$AH$3,"S-",IF(R286&lt;'PlayerGrades+'!$AH$2,"S","S+"))))))))))))))))))))</f>
        <v>#DIV/0!</v>
      </c>
      <c r="T286" s="961">
        <f t="shared" si="9"/>
        <v>0</v>
      </c>
      <c r="U286" s="961" t="str">
        <f>IF(T286&lt;'PlayerGrades+'!$AI$21,"F-",IF(T286&lt;'PlayerGrades+'!$AI$20,"F",IF(T286&lt;'PlayerGrades+'!$AI$19,"F+",IF(T286&lt;'PlayerGrades+'!$AI$18,"E-",IF(T286&lt;'PlayerGrades+'!$AI$17,"E",IF(T286&lt;'PlayerGrades+'!$AI$16,"E+",IF(T286&lt;'PlayerGrades+'!$AI$15,"D-",IF(T286&lt;'PlayerGrades+'!$AI$14,"D",IF(T286&lt;'PlayerGrades+'!$AI$13,"D+",IF(T286&lt;'PlayerGrades+'!$AI$12,"C-",IF(T286&lt;'PlayerGrades+'!$AI$11,"C",IF(T286&lt;'PlayerGrades+'!$AI$10,"C+",IF(T286&lt;'PlayerGrades+'!$AI$9,"B-",IF(T286&lt;'PlayerGrades+'!$AI$8,"B",IF(T286&lt;'PlayerGrades+'!$AI$7,"B+",IF(T286&lt;'PlayerGrades+'!$AI$6,"A-",IF(T286&lt;'PlayerGrades+'!$AI$5,"A",IF(T286&lt;'PlayerGrades+'!$AI$4,"A+",IF(T286&lt;'PlayerGrades+'!$AI$3,"S-",IF(T286&lt;'PlayerGrades+'!$AI$2,"S","S+"))))))))))))))))))))</f>
        <v>F-</v>
      </c>
      <c r="AC286" s="1392"/>
    </row>
    <row r="287">
      <c r="A287" s="1391"/>
      <c r="B287" s="611" t="str">
        <f>IF(C287&lt;'PlayerGrades+'!$Y$44,"F-",IF(C287&lt;'PlayerGrades+'!$Y$43,"F",IF(C287&lt;'PlayerGrades+'!$Y$42,"F+",IF(C287&lt;'PlayerGrades+'!$Y$41,"E-",IF(C287&lt;'PlayerGrades+'!$Y$40,"E",IF(C287&lt;'PlayerGrades+'!$Y$39,"E+",IF(C287&lt;'PlayerGrades+'!$Y$38,"D-",IF(C287&lt;'PlayerGrades+'!$Y$37,"D",IF(C287&lt;'PlayerGrades+'!$Y$36,"D+",IF(C287&lt;'PlayerGrades+'!$Y$35,"C-",IF(C287&lt;'PlayerGrades+'!$Y$34,"C",IF(C287&lt;'PlayerGrades+'!$Y$33,"C+",IF(C287&lt;'PlayerGrades+'!$Y$32,"B-",IF(C287&lt;'PlayerGrades+'!$Y$31,"B",IF(C287&lt;'PlayerGrades+'!$Y$30,"B+",IF(C287&lt;'PlayerGrades+'!$Y$29,"A-",IF(C287&lt;'PlayerGrades+'!$Y$28,"A",IF(C287&lt;'PlayerGrades+'!$Y$27,"A+",IF(C287&lt;'PlayerGrades+'!$Y$26,"S-",IF(C287&lt;'PlayerGrades+'!$Y$25,"S","S+"))))))))))))))))))))</f>
        <v>#DIV/0!</v>
      </c>
      <c r="C287" s="1378" t="str">
        <f>('PlayerGrades+'!$Y$47*(VLOOKUP(E287, 'PlayerGrades+'!$X$3:$Y$23, 2, FALSE)))+('PlayerGrades+'!$Y$48*(VLOOKUP(G287, 'PlayerGrades+'!$X$3:$Y$23, 2, FALSE)))+('PlayerGrades+'!$Y$49*(VLOOKUP(I287, 'PlayerGrades+'!$X$3:$Y$23, 2, FALSE)))+('PlayerGrades+'!$Y$50*(VLOOKUP(K287, 'PlayerGrades+'!$X$3:$Y$23, 2, FALSE)))+('PlayerGrades+'!$Y$51*(VLOOKUP(M287, 'PlayerGrades+'!$X$3:$Y$23, 2, FALSE)))+('PlayerGrades+'!$Y$52*(VLOOKUP(O287, 'PlayerGrades+'!$X$3:$Y$23, 2, FALSE)))+('PlayerGrades+'!$Y$53*(VLOOKUP(Q287, 'PlayerGrades+'!$X$3:$Y$23, 2, FALSE)))+('PlayerGrades+'!$Y$54*(VLOOKUP(S287, 'PlayerGrades+'!$X$3:$Y$23, 2, FALSE)))+('PlayerGrades+'!$Y$55*(VLOOKUP(U287, 'PlayerGrades+'!$X$3:$Y$23, 2, FALSE)))</f>
        <v>#DIV/0!</v>
      </c>
      <c r="D287" s="961" t="str">
        <f t="shared" si="1"/>
        <v>#DIV/0!</v>
      </c>
      <c r="E287" s="961" t="str">
        <f>IF(D287&lt;'PlayerGrades+'!$AA$21,"F-",IF(D287&lt;'PlayerGrades+'!$AA$20,"F",IF(D287&lt;'PlayerGrades+'!$AA$19,"F+",IF(D287&lt;'PlayerGrades+'!$AA$18,"E-",IF(D287&lt;'PlayerGrades+'!$AA$17,"E",IF(D287&lt;'PlayerGrades+'!$AA$16,"E+",IF(D287&lt;'PlayerGrades+'!$AA$15,"D-",IF(D287&lt;'PlayerGrades+'!$AA$14,"D",IF(D287&lt;'PlayerGrades+'!$AA$13,"D+",IF(D287&lt;'PlayerGrades+'!$AA$12,"C-",IF(D287&lt;'PlayerGrades+'!$AA$11,"C",IF(D287&lt;'PlayerGrades+'!$AA$10,"C+",IF(D287&lt;'PlayerGrades+'!$AA$9,"B-",IF(D287&lt;'PlayerGrades+'!$AA$8,"B",IF(D287&lt;'PlayerGrades+'!$AA$7,"B+",IF(D287&lt;'PlayerGrades+'!$AA$6,"A-",IF(D287&lt;'PlayerGrades+'!$AA$5,"A",IF(D287&lt;'PlayerGrades+'!$AA$4,"A+",IF(D287&lt;'PlayerGrades+'!$AA$3,"S-",IF(D287&lt;'PlayerGrades+'!$AA$2,"S","S+"))))))))))))))))))))</f>
        <v>#DIV/0!</v>
      </c>
      <c r="F287" s="961" t="str">
        <f t="shared" si="2"/>
        <v>#DIV/0!</v>
      </c>
      <c r="G287" s="961" t="str">
        <f>IF(F287&lt;'PlayerGrades+'!$AB$21,"F-",IF(F287&lt;'PlayerGrades+'!$AB$20,"F",IF(F287&lt;'PlayerGrades+'!$AB$19,"F+",IF(F287&lt;'PlayerGrades+'!$AB$18,"E-",IF(F287&lt;'PlayerGrades+'!$AB$17,"E",IF(F287&lt;'PlayerGrades+'!$AB$16,"E+",IF(F287&lt;'PlayerGrades+'!$AB$15,"D-",IF(F287&lt;'PlayerGrades+'!$AB$14,"D",IF(F287&lt;'PlayerGrades+'!$AB$13,"D+",IF(F287&lt;'PlayerGrades+'!$AB$12,"C-",IF(F287&lt;'PlayerGrades+'!$AB$11,"C",IF(F287&lt;'PlayerGrades+'!$AB$10,"C+",IF(F287&lt;'PlayerGrades+'!$AB$9,"B-",IF(F287&lt;'PlayerGrades+'!$AB$8,"B",IF(F287&lt;'PlayerGrades+'!$AB$7,"B+",IF(F287&lt;'PlayerGrades+'!$AB$6,"A-",IF(F287&lt;'PlayerGrades+'!$AB$5,"A",IF(F287&lt;'PlayerGrades+'!$AB$4,"A+",IF(F287&lt;'PlayerGrades+'!$AB$3,"S-",IF(F287&lt;'PlayerGrades+'!$AB$2,"S","S+"))))))))))))))))))))</f>
        <v>#DIV/0!</v>
      </c>
      <c r="H287" s="961" t="str">
        <f t="shared" si="3"/>
        <v>#DIV/0!</v>
      </c>
      <c r="I287" s="961" t="str">
        <f>IF(H287&lt;'PlayerGrades+'!$AC$21,"F-",IF(H287&lt;'PlayerGrades+'!$AC$20,"F",IF(H287&lt;'PlayerGrades+'!$AC$19,"F+",IF(H287&lt;'PlayerGrades+'!$AC$18,"E-",IF(H287&lt;'PlayerGrades+'!$AC$17,"E",IF(H287&lt;'PlayerGrades+'!$AC$16,"E+",IF(H287&lt;'PlayerGrades+'!$AC$15,"D-",IF(H287&lt;'PlayerGrades+'!$AC$14,"D",IF(H287&lt;'PlayerGrades+'!$AC$13,"D+",IF(H287&lt;'PlayerGrades+'!$AC$12,"C-",IF(H287&lt;'PlayerGrades+'!$AC$11,"C",IF(H287&lt;'PlayerGrades+'!$AC$10,"C+",IF(H287&lt;'PlayerGrades+'!$AC$9,"B-",IF(H287&lt;'PlayerGrades+'!$AC$8,"B",IF(H287&lt;'PlayerGrades+'!$AC$7,"B+",IF(H287&lt;'PlayerGrades+'!$AC$6,"A-",IF(H287&lt;'PlayerGrades+'!$AC$5,"A",IF(H287&lt;'PlayerGrades+'!$AC$4,"A+",IF(H287&lt;'PlayerGrades+'!$AC$3,"S-",IF(H287&lt;'PlayerGrades+'!$AC$2,"S","S+"))))))))))))))))))))</f>
        <v>#DIV/0!</v>
      </c>
      <c r="J287" s="961" t="str">
        <f t="shared" si="4"/>
        <v>#DIV/0!</v>
      </c>
      <c r="K287" s="961" t="str">
        <f>IF(J287&lt;'PlayerGrades+'!$AD$21,"F-",IF(J287&lt;'PlayerGrades+'!$AD$20,"F",IF(J287&lt;'PlayerGrades+'!$AD$19,"F+",IF(J287&lt;'PlayerGrades+'!$AD$18,"E-",IF(J287&lt;'PlayerGrades+'!$AD$17,"E",IF(J287&lt;'PlayerGrades+'!$AD$16,"E+",IF(J287&lt;'PlayerGrades+'!$AD$15,"D-",IF(J287&lt;'PlayerGrades+'!$AD$14,"D",IF(J287&lt;'PlayerGrades+'!$AD$13,"D+",IF(J287&lt;'PlayerGrades+'!$AD$12,"C-",IF(J287&lt;'PlayerGrades+'!$AD$11,"C",IF(J287&lt;'PlayerGrades+'!$AD$10,"C+",IF(J287&lt;'PlayerGrades+'!$AD$9,"B-",IF(J287&lt;'PlayerGrades+'!$AD$8,"B",IF(J287&lt;'PlayerGrades+'!$AD$7,"B+",IF(J287&lt;'PlayerGrades+'!$AD$6,"A-",IF(J287&lt;'PlayerGrades+'!$AD$5,"A",IF(J287&lt;'PlayerGrades+'!$AD$4,"A+",IF(J287&lt;'PlayerGrades+'!$AD$3,"S-",IF(J287&lt;'PlayerGrades+'!$AD$2,"S","S+"))))))))))))))))))))</f>
        <v>#DIV/0!</v>
      </c>
      <c r="L287" s="1176" t="str">
        <f t="shared" si="5"/>
        <v>#DIV/0!</v>
      </c>
      <c r="M287" s="992" t="str">
        <f>IF(L287&lt;'PlayerGrades+'!$AE$21,"F-",IF(L287&lt;'PlayerGrades+'!$AE$20,"F",IF(L287&lt;'PlayerGrades+'!$AE$19,"F+",IF(L287&lt;'PlayerGrades+'!$AE$18,"E-",IF(L287&lt;'PlayerGrades+'!$AE$17,"E",IF(L287&lt;'PlayerGrades+'!$AE$16,"E+",IF(L287&lt;'PlayerGrades+'!$AE$15,"D-",IF(L287&lt;'PlayerGrades+'!$AE$14,"D",IF(L287&lt;'PlayerGrades+'!$AE$13,"D+",IF(L287&lt;'PlayerGrades+'!$AE$12,"C-",IF(L287&lt;'PlayerGrades+'!$AE$11,"C",IF(L287&lt;'PlayerGrades+'!$AE$10,"C+",IF(L287&lt;'PlayerGrades+'!$AE$9,"B-",IF(L287&lt;'PlayerGrades+'!$AE$8,"B",IF(L287&lt;'PlayerGrades+'!$AE$7,"B+",IF(L287&lt;'PlayerGrades+'!$AE$6,"A-",IF(L287&lt;'PlayerGrades+'!$AE$5,"A",IF(L287&lt;'PlayerGrades+'!$AE$4,"A+",IF(L287&lt;'PlayerGrades+'!$AE$3,"S-",IF(L287&lt;'PlayerGrades+'!$AE$2,"S","S+"))))))))))))))))))))</f>
        <v>#DIV/0!</v>
      </c>
      <c r="N287" s="961" t="str">
        <f t="shared" si="6"/>
        <v>#DIV/0!</v>
      </c>
      <c r="O287" s="961" t="str">
        <f>IF(N287&lt;'PlayerGrades+'!$AF$21,"F-",IF(N287&lt;'PlayerGrades+'!$AF$20,"F",IF(N287&lt;'PlayerGrades+'!$AF$19,"F+",IF(N287&lt;'PlayerGrades+'!$AF$18,"E-",IF(N287&lt;'PlayerGrades+'!$AF$17,"E",IF(N287&lt;'PlayerGrades+'!$AF$16,"E+",IF(N287&lt;'PlayerGrades+'!$AF$15,"D-",IF(N287&lt;'PlayerGrades+'!$AF$14,"D",IF(N287&lt;'PlayerGrades+'!$AF$13,"D+",IF(N287&lt;'PlayerGrades+'!$AF$12,"C-",IF(N287&lt;'PlayerGrades+'!$AF$11,"C",IF(N287&lt;'PlayerGrades+'!$AF$10,"C+",IF(N287&lt;'PlayerGrades+'!$AF$9,"B-",IF(N287&lt;'PlayerGrades+'!$AF$8,"B",IF(N287&lt;'PlayerGrades+'!$AF$7,"B+",IF(N287&lt;'PlayerGrades+'!$AF$6,"A-",IF(N287&lt;'PlayerGrades+'!$AF$5,"A",IF(N287&lt;'PlayerGrades+'!$AF$4,"A+",IF(N287&lt;'PlayerGrades+'!$AF$3,"S-",IF(N287&lt;'PlayerGrades+'!$AF$2,"S","S+"))))))))))))))))))))</f>
        <v>#DIV/0!</v>
      </c>
      <c r="P287" s="961" t="str">
        <f t="shared" si="7"/>
        <v>#DIV/0!</v>
      </c>
      <c r="Q287" s="961" t="str">
        <f>IF(P287&lt;'PlayerGrades+'!$AG$21,"F-",IF(P287&lt;'PlayerGrades+'!$AG$20,"F",IF(P287&lt;'PlayerGrades+'!$AG$19,"F+",IF(P287&lt;'PlayerGrades+'!$AG$18,"E-",IF(P287&lt;'PlayerGrades+'!$AG$17,"E",IF(P287&lt;'PlayerGrades+'!$AG$16,"E+",IF(P287&lt;'PlayerGrades+'!$AG$15,"D-",IF(P287&lt;'PlayerGrades+'!$AG$14,"D",IF(P287&lt;'PlayerGrades+'!$AG$13,"D+",IF(P287&lt;'PlayerGrades+'!$AG$12,"C-",IF(P287&lt;'PlayerGrades+'!$AG$11,"C",IF(P287&lt;'PlayerGrades+'!$AG$10,"C+",IF(P287&lt;'PlayerGrades+'!$AG$9,"B-",IF(P287&lt;'PlayerGrades+'!$AG$8,"B",IF(P287&lt;'PlayerGrades+'!$AG$7,"B+",IF(P287&lt;'PlayerGrades+'!$AG$6,"A-",IF(P287&lt;'PlayerGrades+'!$AG$5,"A",IF(P287&lt;'PlayerGrades+'!$AG$4,"A+",IF(P287&lt;'PlayerGrades+'!$AG$3,"S-",IF(P287&lt;'PlayerGrades+'!$AG$2,"S","S+"))))))))))))))))))))</f>
        <v>#DIV/0!</v>
      </c>
      <c r="R287" s="961" t="str">
        <f t="shared" si="8"/>
        <v>#DIV/0!</v>
      </c>
      <c r="S287" s="961" t="str">
        <f>IF(R287&lt;'PlayerGrades+'!$AH$21,"F-",IF(R287&lt;'PlayerGrades+'!$AH$20,"F",IF(R287&lt;'PlayerGrades+'!$AH$19,"F+",IF(R287&lt;'PlayerGrades+'!$AH$18,"E-",IF(R287&lt;'PlayerGrades+'!$AH$17,"E",IF(R287&lt;'PlayerGrades+'!$AH$16,"E+",IF(R287&lt;'PlayerGrades+'!$AH$15,"D-",IF(R287&lt;'PlayerGrades+'!$AH$14,"D",IF(R287&lt;'PlayerGrades+'!$AH$13,"D+",IF(R287&lt;'PlayerGrades+'!$AH$12,"C-",IF(R287&lt;'PlayerGrades+'!$AH$11,"C",IF(R287&lt;'PlayerGrades+'!$AH$10,"C+",IF(R287&lt;'PlayerGrades+'!$AH$9,"B-",IF(R287&lt;'PlayerGrades+'!$AH$8,"B",IF(R287&lt;'PlayerGrades+'!$AH$7,"B+",IF(R287&lt;'PlayerGrades+'!$AH$6,"A-",IF(R287&lt;'PlayerGrades+'!$AH$5,"A",IF(R287&lt;'PlayerGrades+'!$AH$4,"A+",IF(R287&lt;'PlayerGrades+'!$AH$3,"S-",IF(R287&lt;'PlayerGrades+'!$AH$2,"S","S+"))))))))))))))))))))</f>
        <v>#DIV/0!</v>
      </c>
      <c r="T287" s="961">
        <f t="shared" si="9"/>
        <v>0</v>
      </c>
      <c r="U287" s="961" t="str">
        <f>IF(T287&lt;'PlayerGrades+'!$AI$21,"F-",IF(T287&lt;'PlayerGrades+'!$AI$20,"F",IF(T287&lt;'PlayerGrades+'!$AI$19,"F+",IF(T287&lt;'PlayerGrades+'!$AI$18,"E-",IF(T287&lt;'PlayerGrades+'!$AI$17,"E",IF(T287&lt;'PlayerGrades+'!$AI$16,"E+",IF(T287&lt;'PlayerGrades+'!$AI$15,"D-",IF(T287&lt;'PlayerGrades+'!$AI$14,"D",IF(T287&lt;'PlayerGrades+'!$AI$13,"D+",IF(T287&lt;'PlayerGrades+'!$AI$12,"C-",IF(T287&lt;'PlayerGrades+'!$AI$11,"C",IF(T287&lt;'PlayerGrades+'!$AI$10,"C+",IF(T287&lt;'PlayerGrades+'!$AI$9,"B-",IF(T287&lt;'PlayerGrades+'!$AI$8,"B",IF(T287&lt;'PlayerGrades+'!$AI$7,"B+",IF(T287&lt;'PlayerGrades+'!$AI$6,"A-",IF(T287&lt;'PlayerGrades+'!$AI$5,"A",IF(T287&lt;'PlayerGrades+'!$AI$4,"A+",IF(T287&lt;'PlayerGrades+'!$AI$3,"S-",IF(T287&lt;'PlayerGrades+'!$AI$2,"S","S+"))))))))))))))))))))</f>
        <v>F-</v>
      </c>
      <c r="AC287" s="1392"/>
    </row>
    <row r="288">
      <c r="A288" s="1391"/>
      <c r="B288" s="611" t="str">
        <f>IF(C288&lt;'PlayerGrades+'!$Y$44,"F-",IF(C288&lt;'PlayerGrades+'!$Y$43,"F",IF(C288&lt;'PlayerGrades+'!$Y$42,"F+",IF(C288&lt;'PlayerGrades+'!$Y$41,"E-",IF(C288&lt;'PlayerGrades+'!$Y$40,"E",IF(C288&lt;'PlayerGrades+'!$Y$39,"E+",IF(C288&lt;'PlayerGrades+'!$Y$38,"D-",IF(C288&lt;'PlayerGrades+'!$Y$37,"D",IF(C288&lt;'PlayerGrades+'!$Y$36,"D+",IF(C288&lt;'PlayerGrades+'!$Y$35,"C-",IF(C288&lt;'PlayerGrades+'!$Y$34,"C",IF(C288&lt;'PlayerGrades+'!$Y$33,"C+",IF(C288&lt;'PlayerGrades+'!$Y$32,"B-",IF(C288&lt;'PlayerGrades+'!$Y$31,"B",IF(C288&lt;'PlayerGrades+'!$Y$30,"B+",IF(C288&lt;'PlayerGrades+'!$Y$29,"A-",IF(C288&lt;'PlayerGrades+'!$Y$28,"A",IF(C288&lt;'PlayerGrades+'!$Y$27,"A+",IF(C288&lt;'PlayerGrades+'!$Y$26,"S-",IF(C288&lt;'PlayerGrades+'!$Y$25,"S","S+"))))))))))))))))))))</f>
        <v>#DIV/0!</v>
      </c>
      <c r="C288" s="1378" t="str">
        <f>('PlayerGrades+'!$Y$47*(VLOOKUP(E288, 'PlayerGrades+'!$X$3:$Y$23, 2, FALSE)))+('PlayerGrades+'!$Y$48*(VLOOKUP(G288, 'PlayerGrades+'!$X$3:$Y$23, 2, FALSE)))+('PlayerGrades+'!$Y$49*(VLOOKUP(I288, 'PlayerGrades+'!$X$3:$Y$23, 2, FALSE)))+('PlayerGrades+'!$Y$50*(VLOOKUP(K288, 'PlayerGrades+'!$X$3:$Y$23, 2, FALSE)))+('PlayerGrades+'!$Y$51*(VLOOKUP(M288, 'PlayerGrades+'!$X$3:$Y$23, 2, FALSE)))+('PlayerGrades+'!$Y$52*(VLOOKUP(O288, 'PlayerGrades+'!$X$3:$Y$23, 2, FALSE)))+('PlayerGrades+'!$Y$53*(VLOOKUP(Q288, 'PlayerGrades+'!$X$3:$Y$23, 2, FALSE)))+('PlayerGrades+'!$Y$54*(VLOOKUP(S288, 'PlayerGrades+'!$X$3:$Y$23, 2, FALSE)))+('PlayerGrades+'!$Y$55*(VLOOKUP(U288, 'PlayerGrades+'!$X$3:$Y$23, 2, FALSE)))</f>
        <v>#DIV/0!</v>
      </c>
      <c r="D288" s="961" t="str">
        <f t="shared" si="1"/>
        <v>#DIV/0!</v>
      </c>
      <c r="E288" s="961" t="str">
        <f>IF(D288&lt;'PlayerGrades+'!$AA$21,"F-",IF(D288&lt;'PlayerGrades+'!$AA$20,"F",IF(D288&lt;'PlayerGrades+'!$AA$19,"F+",IF(D288&lt;'PlayerGrades+'!$AA$18,"E-",IF(D288&lt;'PlayerGrades+'!$AA$17,"E",IF(D288&lt;'PlayerGrades+'!$AA$16,"E+",IF(D288&lt;'PlayerGrades+'!$AA$15,"D-",IF(D288&lt;'PlayerGrades+'!$AA$14,"D",IF(D288&lt;'PlayerGrades+'!$AA$13,"D+",IF(D288&lt;'PlayerGrades+'!$AA$12,"C-",IF(D288&lt;'PlayerGrades+'!$AA$11,"C",IF(D288&lt;'PlayerGrades+'!$AA$10,"C+",IF(D288&lt;'PlayerGrades+'!$AA$9,"B-",IF(D288&lt;'PlayerGrades+'!$AA$8,"B",IF(D288&lt;'PlayerGrades+'!$AA$7,"B+",IF(D288&lt;'PlayerGrades+'!$AA$6,"A-",IF(D288&lt;'PlayerGrades+'!$AA$5,"A",IF(D288&lt;'PlayerGrades+'!$AA$4,"A+",IF(D288&lt;'PlayerGrades+'!$AA$3,"S-",IF(D288&lt;'PlayerGrades+'!$AA$2,"S","S+"))))))))))))))))))))</f>
        <v>#DIV/0!</v>
      </c>
      <c r="F288" s="961" t="str">
        <f t="shared" si="2"/>
        <v>#DIV/0!</v>
      </c>
      <c r="G288" s="961" t="str">
        <f>IF(F288&lt;'PlayerGrades+'!$AB$21,"F-",IF(F288&lt;'PlayerGrades+'!$AB$20,"F",IF(F288&lt;'PlayerGrades+'!$AB$19,"F+",IF(F288&lt;'PlayerGrades+'!$AB$18,"E-",IF(F288&lt;'PlayerGrades+'!$AB$17,"E",IF(F288&lt;'PlayerGrades+'!$AB$16,"E+",IF(F288&lt;'PlayerGrades+'!$AB$15,"D-",IF(F288&lt;'PlayerGrades+'!$AB$14,"D",IF(F288&lt;'PlayerGrades+'!$AB$13,"D+",IF(F288&lt;'PlayerGrades+'!$AB$12,"C-",IF(F288&lt;'PlayerGrades+'!$AB$11,"C",IF(F288&lt;'PlayerGrades+'!$AB$10,"C+",IF(F288&lt;'PlayerGrades+'!$AB$9,"B-",IF(F288&lt;'PlayerGrades+'!$AB$8,"B",IF(F288&lt;'PlayerGrades+'!$AB$7,"B+",IF(F288&lt;'PlayerGrades+'!$AB$6,"A-",IF(F288&lt;'PlayerGrades+'!$AB$5,"A",IF(F288&lt;'PlayerGrades+'!$AB$4,"A+",IF(F288&lt;'PlayerGrades+'!$AB$3,"S-",IF(F288&lt;'PlayerGrades+'!$AB$2,"S","S+"))))))))))))))))))))</f>
        <v>#DIV/0!</v>
      </c>
      <c r="H288" s="961" t="str">
        <f t="shared" si="3"/>
        <v>#DIV/0!</v>
      </c>
      <c r="I288" s="961" t="str">
        <f>IF(H288&lt;'PlayerGrades+'!$AC$21,"F-",IF(H288&lt;'PlayerGrades+'!$AC$20,"F",IF(H288&lt;'PlayerGrades+'!$AC$19,"F+",IF(H288&lt;'PlayerGrades+'!$AC$18,"E-",IF(H288&lt;'PlayerGrades+'!$AC$17,"E",IF(H288&lt;'PlayerGrades+'!$AC$16,"E+",IF(H288&lt;'PlayerGrades+'!$AC$15,"D-",IF(H288&lt;'PlayerGrades+'!$AC$14,"D",IF(H288&lt;'PlayerGrades+'!$AC$13,"D+",IF(H288&lt;'PlayerGrades+'!$AC$12,"C-",IF(H288&lt;'PlayerGrades+'!$AC$11,"C",IF(H288&lt;'PlayerGrades+'!$AC$10,"C+",IF(H288&lt;'PlayerGrades+'!$AC$9,"B-",IF(H288&lt;'PlayerGrades+'!$AC$8,"B",IF(H288&lt;'PlayerGrades+'!$AC$7,"B+",IF(H288&lt;'PlayerGrades+'!$AC$6,"A-",IF(H288&lt;'PlayerGrades+'!$AC$5,"A",IF(H288&lt;'PlayerGrades+'!$AC$4,"A+",IF(H288&lt;'PlayerGrades+'!$AC$3,"S-",IF(H288&lt;'PlayerGrades+'!$AC$2,"S","S+"))))))))))))))))))))</f>
        <v>#DIV/0!</v>
      </c>
      <c r="J288" s="961" t="str">
        <f t="shared" si="4"/>
        <v>#DIV/0!</v>
      </c>
      <c r="K288" s="961" t="str">
        <f>IF(J288&lt;'PlayerGrades+'!$AD$21,"F-",IF(J288&lt;'PlayerGrades+'!$AD$20,"F",IF(J288&lt;'PlayerGrades+'!$AD$19,"F+",IF(J288&lt;'PlayerGrades+'!$AD$18,"E-",IF(J288&lt;'PlayerGrades+'!$AD$17,"E",IF(J288&lt;'PlayerGrades+'!$AD$16,"E+",IF(J288&lt;'PlayerGrades+'!$AD$15,"D-",IF(J288&lt;'PlayerGrades+'!$AD$14,"D",IF(J288&lt;'PlayerGrades+'!$AD$13,"D+",IF(J288&lt;'PlayerGrades+'!$AD$12,"C-",IF(J288&lt;'PlayerGrades+'!$AD$11,"C",IF(J288&lt;'PlayerGrades+'!$AD$10,"C+",IF(J288&lt;'PlayerGrades+'!$AD$9,"B-",IF(J288&lt;'PlayerGrades+'!$AD$8,"B",IF(J288&lt;'PlayerGrades+'!$AD$7,"B+",IF(J288&lt;'PlayerGrades+'!$AD$6,"A-",IF(J288&lt;'PlayerGrades+'!$AD$5,"A",IF(J288&lt;'PlayerGrades+'!$AD$4,"A+",IF(J288&lt;'PlayerGrades+'!$AD$3,"S-",IF(J288&lt;'PlayerGrades+'!$AD$2,"S","S+"))))))))))))))))))))</f>
        <v>#DIV/0!</v>
      </c>
      <c r="L288" s="1176" t="str">
        <f t="shared" si="5"/>
        <v>#DIV/0!</v>
      </c>
      <c r="M288" s="992" t="str">
        <f>IF(L288&lt;'PlayerGrades+'!$AE$21,"F-",IF(L288&lt;'PlayerGrades+'!$AE$20,"F",IF(L288&lt;'PlayerGrades+'!$AE$19,"F+",IF(L288&lt;'PlayerGrades+'!$AE$18,"E-",IF(L288&lt;'PlayerGrades+'!$AE$17,"E",IF(L288&lt;'PlayerGrades+'!$AE$16,"E+",IF(L288&lt;'PlayerGrades+'!$AE$15,"D-",IF(L288&lt;'PlayerGrades+'!$AE$14,"D",IF(L288&lt;'PlayerGrades+'!$AE$13,"D+",IF(L288&lt;'PlayerGrades+'!$AE$12,"C-",IF(L288&lt;'PlayerGrades+'!$AE$11,"C",IF(L288&lt;'PlayerGrades+'!$AE$10,"C+",IF(L288&lt;'PlayerGrades+'!$AE$9,"B-",IF(L288&lt;'PlayerGrades+'!$AE$8,"B",IF(L288&lt;'PlayerGrades+'!$AE$7,"B+",IF(L288&lt;'PlayerGrades+'!$AE$6,"A-",IF(L288&lt;'PlayerGrades+'!$AE$5,"A",IF(L288&lt;'PlayerGrades+'!$AE$4,"A+",IF(L288&lt;'PlayerGrades+'!$AE$3,"S-",IF(L288&lt;'PlayerGrades+'!$AE$2,"S","S+"))))))))))))))))))))</f>
        <v>#DIV/0!</v>
      </c>
      <c r="N288" s="961" t="str">
        <f t="shared" si="6"/>
        <v>#DIV/0!</v>
      </c>
      <c r="O288" s="961" t="str">
        <f>IF(N288&lt;'PlayerGrades+'!$AF$21,"F-",IF(N288&lt;'PlayerGrades+'!$AF$20,"F",IF(N288&lt;'PlayerGrades+'!$AF$19,"F+",IF(N288&lt;'PlayerGrades+'!$AF$18,"E-",IF(N288&lt;'PlayerGrades+'!$AF$17,"E",IF(N288&lt;'PlayerGrades+'!$AF$16,"E+",IF(N288&lt;'PlayerGrades+'!$AF$15,"D-",IF(N288&lt;'PlayerGrades+'!$AF$14,"D",IF(N288&lt;'PlayerGrades+'!$AF$13,"D+",IF(N288&lt;'PlayerGrades+'!$AF$12,"C-",IF(N288&lt;'PlayerGrades+'!$AF$11,"C",IF(N288&lt;'PlayerGrades+'!$AF$10,"C+",IF(N288&lt;'PlayerGrades+'!$AF$9,"B-",IF(N288&lt;'PlayerGrades+'!$AF$8,"B",IF(N288&lt;'PlayerGrades+'!$AF$7,"B+",IF(N288&lt;'PlayerGrades+'!$AF$6,"A-",IF(N288&lt;'PlayerGrades+'!$AF$5,"A",IF(N288&lt;'PlayerGrades+'!$AF$4,"A+",IF(N288&lt;'PlayerGrades+'!$AF$3,"S-",IF(N288&lt;'PlayerGrades+'!$AF$2,"S","S+"))))))))))))))))))))</f>
        <v>#DIV/0!</v>
      </c>
      <c r="P288" s="961" t="str">
        <f t="shared" si="7"/>
        <v>#DIV/0!</v>
      </c>
      <c r="Q288" s="961" t="str">
        <f>IF(P288&lt;'PlayerGrades+'!$AG$21,"F-",IF(P288&lt;'PlayerGrades+'!$AG$20,"F",IF(P288&lt;'PlayerGrades+'!$AG$19,"F+",IF(P288&lt;'PlayerGrades+'!$AG$18,"E-",IF(P288&lt;'PlayerGrades+'!$AG$17,"E",IF(P288&lt;'PlayerGrades+'!$AG$16,"E+",IF(P288&lt;'PlayerGrades+'!$AG$15,"D-",IF(P288&lt;'PlayerGrades+'!$AG$14,"D",IF(P288&lt;'PlayerGrades+'!$AG$13,"D+",IF(P288&lt;'PlayerGrades+'!$AG$12,"C-",IF(P288&lt;'PlayerGrades+'!$AG$11,"C",IF(P288&lt;'PlayerGrades+'!$AG$10,"C+",IF(P288&lt;'PlayerGrades+'!$AG$9,"B-",IF(P288&lt;'PlayerGrades+'!$AG$8,"B",IF(P288&lt;'PlayerGrades+'!$AG$7,"B+",IF(P288&lt;'PlayerGrades+'!$AG$6,"A-",IF(P288&lt;'PlayerGrades+'!$AG$5,"A",IF(P288&lt;'PlayerGrades+'!$AG$4,"A+",IF(P288&lt;'PlayerGrades+'!$AG$3,"S-",IF(P288&lt;'PlayerGrades+'!$AG$2,"S","S+"))))))))))))))))))))</f>
        <v>#DIV/0!</v>
      </c>
      <c r="R288" s="961" t="str">
        <f t="shared" si="8"/>
        <v>#DIV/0!</v>
      </c>
      <c r="S288" s="961" t="str">
        <f>IF(R288&lt;'PlayerGrades+'!$AH$21,"F-",IF(R288&lt;'PlayerGrades+'!$AH$20,"F",IF(R288&lt;'PlayerGrades+'!$AH$19,"F+",IF(R288&lt;'PlayerGrades+'!$AH$18,"E-",IF(R288&lt;'PlayerGrades+'!$AH$17,"E",IF(R288&lt;'PlayerGrades+'!$AH$16,"E+",IF(R288&lt;'PlayerGrades+'!$AH$15,"D-",IF(R288&lt;'PlayerGrades+'!$AH$14,"D",IF(R288&lt;'PlayerGrades+'!$AH$13,"D+",IF(R288&lt;'PlayerGrades+'!$AH$12,"C-",IF(R288&lt;'PlayerGrades+'!$AH$11,"C",IF(R288&lt;'PlayerGrades+'!$AH$10,"C+",IF(R288&lt;'PlayerGrades+'!$AH$9,"B-",IF(R288&lt;'PlayerGrades+'!$AH$8,"B",IF(R288&lt;'PlayerGrades+'!$AH$7,"B+",IF(R288&lt;'PlayerGrades+'!$AH$6,"A-",IF(R288&lt;'PlayerGrades+'!$AH$5,"A",IF(R288&lt;'PlayerGrades+'!$AH$4,"A+",IF(R288&lt;'PlayerGrades+'!$AH$3,"S-",IF(R288&lt;'PlayerGrades+'!$AH$2,"S","S+"))))))))))))))))))))</f>
        <v>#DIV/0!</v>
      </c>
      <c r="T288" s="961">
        <f t="shared" si="9"/>
        <v>0</v>
      </c>
      <c r="U288" s="961" t="str">
        <f>IF(T288&lt;'PlayerGrades+'!$AI$21,"F-",IF(T288&lt;'PlayerGrades+'!$AI$20,"F",IF(T288&lt;'PlayerGrades+'!$AI$19,"F+",IF(T288&lt;'PlayerGrades+'!$AI$18,"E-",IF(T288&lt;'PlayerGrades+'!$AI$17,"E",IF(T288&lt;'PlayerGrades+'!$AI$16,"E+",IF(T288&lt;'PlayerGrades+'!$AI$15,"D-",IF(T288&lt;'PlayerGrades+'!$AI$14,"D",IF(T288&lt;'PlayerGrades+'!$AI$13,"D+",IF(T288&lt;'PlayerGrades+'!$AI$12,"C-",IF(T288&lt;'PlayerGrades+'!$AI$11,"C",IF(T288&lt;'PlayerGrades+'!$AI$10,"C+",IF(T288&lt;'PlayerGrades+'!$AI$9,"B-",IF(T288&lt;'PlayerGrades+'!$AI$8,"B",IF(T288&lt;'PlayerGrades+'!$AI$7,"B+",IF(T288&lt;'PlayerGrades+'!$AI$6,"A-",IF(T288&lt;'PlayerGrades+'!$AI$5,"A",IF(T288&lt;'PlayerGrades+'!$AI$4,"A+",IF(T288&lt;'PlayerGrades+'!$AI$3,"S-",IF(T288&lt;'PlayerGrades+'!$AI$2,"S","S+"))))))))))))))))))))</f>
        <v>F-</v>
      </c>
      <c r="AC288" s="1392"/>
    </row>
    <row r="289">
      <c r="A289" s="1393"/>
      <c r="B289" s="611" t="str">
        <f>IF(C289&lt;'PlayerGrades+'!$Y$44,"F-",IF(C289&lt;'PlayerGrades+'!$Y$43,"F",IF(C289&lt;'PlayerGrades+'!$Y$42,"F+",IF(C289&lt;'PlayerGrades+'!$Y$41,"E-",IF(C289&lt;'PlayerGrades+'!$Y$40,"E",IF(C289&lt;'PlayerGrades+'!$Y$39,"E+",IF(C289&lt;'PlayerGrades+'!$Y$38,"D-",IF(C289&lt;'PlayerGrades+'!$Y$37,"D",IF(C289&lt;'PlayerGrades+'!$Y$36,"D+",IF(C289&lt;'PlayerGrades+'!$Y$35,"C-",IF(C289&lt;'PlayerGrades+'!$Y$34,"C",IF(C289&lt;'PlayerGrades+'!$Y$33,"C+",IF(C289&lt;'PlayerGrades+'!$Y$32,"B-",IF(C289&lt;'PlayerGrades+'!$Y$31,"B",IF(C289&lt;'PlayerGrades+'!$Y$30,"B+",IF(C289&lt;'PlayerGrades+'!$Y$29,"A-",IF(C289&lt;'PlayerGrades+'!$Y$28,"A",IF(C289&lt;'PlayerGrades+'!$Y$27,"A+",IF(C289&lt;'PlayerGrades+'!$Y$26,"S-",IF(C289&lt;'PlayerGrades+'!$Y$25,"S","S+"))))))))))))))))))))</f>
        <v>#DIV/0!</v>
      </c>
      <c r="C289" s="1378" t="str">
        <f>('PlayerGrades+'!$Y$47*(VLOOKUP(E289, 'PlayerGrades+'!$X$3:$Y$23, 2, FALSE)))+('PlayerGrades+'!$Y$48*(VLOOKUP(G289, 'PlayerGrades+'!$X$3:$Y$23, 2, FALSE)))+('PlayerGrades+'!$Y$49*(VLOOKUP(I289, 'PlayerGrades+'!$X$3:$Y$23, 2, FALSE)))+('PlayerGrades+'!$Y$50*(VLOOKUP(K289, 'PlayerGrades+'!$X$3:$Y$23, 2, FALSE)))+('PlayerGrades+'!$Y$51*(VLOOKUP(M289, 'PlayerGrades+'!$X$3:$Y$23, 2, FALSE)))+('PlayerGrades+'!$Y$52*(VLOOKUP(O289, 'PlayerGrades+'!$X$3:$Y$23, 2, FALSE)))+('PlayerGrades+'!$Y$53*(VLOOKUP(Q289, 'PlayerGrades+'!$X$3:$Y$23, 2, FALSE)))+('PlayerGrades+'!$Y$54*(VLOOKUP(S289, 'PlayerGrades+'!$X$3:$Y$23, 2, FALSE)))+('PlayerGrades+'!$Y$55*(VLOOKUP(U289, 'PlayerGrades+'!$X$3:$Y$23, 2, FALSE)))</f>
        <v>#DIV/0!</v>
      </c>
      <c r="D289" s="961" t="str">
        <f t="shared" si="1"/>
        <v>#DIV/0!</v>
      </c>
      <c r="E289" s="961" t="str">
        <f>IF(D289&lt;'PlayerGrades+'!$AA$21,"F-",IF(D289&lt;'PlayerGrades+'!$AA$20,"F",IF(D289&lt;'PlayerGrades+'!$AA$19,"F+",IF(D289&lt;'PlayerGrades+'!$AA$18,"E-",IF(D289&lt;'PlayerGrades+'!$AA$17,"E",IF(D289&lt;'PlayerGrades+'!$AA$16,"E+",IF(D289&lt;'PlayerGrades+'!$AA$15,"D-",IF(D289&lt;'PlayerGrades+'!$AA$14,"D",IF(D289&lt;'PlayerGrades+'!$AA$13,"D+",IF(D289&lt;'PlayerGrades+'!$AA$12,"C-",IF(D289&lt;'PlayerGrades+'!$AA$11,"C",IF(D289&lt;'PlayerGrades+'!$AA$10,"C+",IF(D289&lt;'PlayerGrades+'!$AA$9,"B-",IF(D289&lt;'PlayerGrades+'!$AA$8,"B",IF(D289&lt;'PlayerGrades+'!$AA$7,"B+",IF(D289&lt;'PlayerGrades+'!$AA$6,"A-",IF(D289&lt;'PlayerGrades+'!$AA$5,"A",IF(D289&lt;'PlayerGrades+'!$AA$4,"A+",IF(D289&lt;'PlayerGrades+'!$AA$3,"S-",IF(D289&lt;'PlayerGrades+'!$AA$2,"S","S+"))))))))))))))))))))</f>
        <v>#DIV/0!</v>
      </c>
      <c r="F289" s="961" t="str">
        <f t="shared" si="2"/>
        <v>#DIV/0!</v>
      </c>
      <c r="G289" s="961" t="str">
        <f>IF(F289&lt;'PlayerGrades+'!$AB$21,"F-",IF(F289&lt;'PlayerGrades+'!$AB$20,"F",IF(F289&lt;'PlayerGrades+'!$AB$19,"F+",IF(F289&lt;'PlayerGrades+'!$AB$18,"E-",IF(F289&lt;'PlayerGrades+'!$AB$17,"E",IF(F289&lt;'PlayerGrades+'!$AB$16,"E+",IF(F289&lt;'PlayerGrades+'!$AB$15,"D-",IF(F289&lt;'PlayerGrades+'!$AB$14,"D",IF(F289&lt;'PlayerGrades+'!$AB$13,"D+",IF(F289&lt;'PlayerGrades+'!$AB$12,"C-",IF(F289&lt;'PlayerGrades+'!$AB$11,"C",IF(F289&lt;'PlayerGrades+'!$AB$10,"C+",IF(F289&lt;'PlayerGrades+'!$AB$9,"B-",IF(F289&lt;'PlayerGrades+'!$AB$8,"B",IF(F289&lt;'PlayerGrades+'!$AB$7,"B+",IF(F289&lt;'PlayerGrades+'!$AB$6,"A-",IF(F289&lt;'PlayerGrades+'!$AB$5,"A",IF(F289&lt;'PlayerGrades+'!$AB$4,"A+",IF(F289&lt;'PlayerGrades+'!$AB$3,"S-",IF(F289&lt;'PlayerGrades+'!$AB$2,"S","S+"))))))))))))))))))))</f>
        <v>#DIV/0!</v>
      </c>
      <c r="H289" s="961" t="str">
        <f t="shared" si="3"/>
        <v>#DIV/0!</v>
      </c>
      <c r="I289" s="961" t="str">
        <f>IF(H289&lt;'PlayerGrades+'!$AC$21,"F-",IF(H289&lt;'PlayerGrades+'!$AC$20,"F",IF(H289&lt;'PlayerGrades+'!$AC$19,"F+",IF(H289&lt;'PlayerGrades+'!$AC$18,"E-",IF(H289&lt;'PlayerGrades+'!$AC$17,"E",IF(H289&lt;'PlayerGrades+'!$AC$16,"E+",IF(H289&lt;'PlayerGrades+'!$AC$15,"D-",IF(H289&lt;'PlayerGrades+'!$AC$14,"D",IF(H289&lt;'PlayerGrades+'!$AC$13,"D+",IF(H289&lt;'PlayerGrades+'!$AC$12,"C-",IF(H289&lt;'PlayerGrades+'!$AC$11,"C",IF(H289&lt;'PlayerGrades+'!$AC$10,"C+",IF(H289&lt;'PlayerGrades+'!$AC$9,"B-",IF(H289&lt;'PlayerGrades+'!$AC$8,"B",IF(H289&lt;'PlayerGrades+'!$AC$7,"B+",IF(H289&lt;'PlayerGrades+'!$AC$6,"A-",IF(H289&lt;'PlayerGrades+'!$AC$5,"A",IF(H289&lt;'PlayerGrades+'!$AC$4,"A+",IF(H289&lt;'PlayerGrades+'!$AC$3,"S-",IF(H289&lt;'PlayerGrades+'!$AC$2,"S","S+"))))))))))))))))))))</f>
        <v>#DIV/0!</v>
      </c>
      <c r="J289" s="961" t="str">
        <f t="shared" si="4"/>
        <v>#DIV/0!</v>
      </c>
      <c r="K289" s="961" t="str">
        <f>IF(J289&lt;'PlayerGrades+'!$AD$21,"F-",IF(J289&lt;'PlayerGrades+'!$AD$20,"F",IF(J289&lt;'PlayerGrades+'!$AD$19,"F+",IF(J289&lt;'PlayerGrades+'!$AD$18,"E-",IF(J289&lt;'PlayerGrades+'!$AD$17,"E",IF(J289&lt;'PlayerGrades+'!$AD$16,"E+",IF(J289&lt;'PlayerGrades+'!$AD$15,"D-",IF(J289&lt;'PlayerGrades+'!$AD$14,"D",IF(J289&lt;'PlayerGrades+'!$AD$13,"D+",IF(J289&lt;'PlayerGrades+'!$AD$12,"C-",IF(J289&lt;'PlayerGrades+'!$AD$11,"C",IF(J289&lt;'PlayerGrades+'!$AD$10,"C+",IF(J289&lt;'PlayerGrades+'!$AD$9,"B-",IF(J289&lt;'PlayerGrades+'!$AD$8,"B",IF(J289&lt;'PlayerGrades+'!$AD$7,"B+",IF(J289&lt;'PlayerGrades+'!$AD$6,"A-",IF(J289&lt;'PlayerGrades+'!$AD$5,"A",IF(J289&lt;'PlayerGrades+'!$AD$4,"A+",IF(J289&lt;'PlayerGrades+'!$AD$3,"S-",IF(J289&lt;'PlayerGrades+'!$AD$2,"S","S+"))))))))))))))))))))</f>
        <v>#DIV/0!</v>
      </c>
      <c r="L289" s="1176" t="str">
        <f t="shared" si="5"/>
        <v>#DIV/0!</v>
      </c>
      <c r="M289" s="992" t="str">
        <f>IF(L289&lt;'PlayerGrades+'!$AE$21,"F-",IF(L289&lt;'PlayerGrades+'!$AE$20,"F",IF(L289&lt;'PlayerGrades+'!$AE$19,"F+",IF(L289&lt;'PlayerGrades+'!$AE$18,"E-",IF(L289&lt;'PlayerGrades+'!$AE$17,"E",IF(L289&lt;'PlayerGrades+'!$AE$16,"E+",IF(L289&lt;'PlayerGrades+'!$AE$15,"D-",IF(L289&lt;'PlayerGrades+'!$AE$14,"D",IF(L289&lt;'PlayerGrades+'!$AE$13,"D+",IF(L289&lt;'PlayerGrades+'!$AE$12,"C-",IF(L289&lt;'PlayerGrades+'!$AE$11,"C",IF(L289&lt;'PlayerGrades+'!$AE$10,"C+",IF(L289&lt;'PlayerGrades+'!$AE$9,"B-",IF(L289&lt;'PlayerGrades+'!$AE$8,"B",IF(L289&lt;'PlayerGrades+'!$AE$7,"B+",IF(L289&lt;'PlayerGrades+'!$AE$6,"A-",IF(L289&lt;'PlayerGrades+'!$AE$5,"A",IF(L289&lt;'PlayerGrades+'!$AE$4,"A+",IF(L289&lt;'PlayerGrades+'!$AE$3,"S-",IF(L289&lt;'PlayerGrades+'!$AE$2,"S","S+"))))))))))))))))))))</f>
        <v>#DIV/0!</v>
      </c>
      <c r="N289" s="961" t="str">
        <f t="shared" si="6"/>
        <v>#DIV/0!</v>
      </c>
      <c r="O289" s="961" t="str">
        <f>IF(N289&lt;'PlayerGrades+'!$AF$21,"F-",IF(N289&lt;'PlayerGrades+'!$AF$20,"F",IF(N289&lt;'PlayerGrades+'!$AF$19,"F+",IF(N289&lt;'PlayerGrades+'!$AF$18,"E-",IF(N289&lt;'PlayerGrades+'!$AF$17,"E",IF(N289&lt;'PlayerGrades+'!$AF$16,"E+",IF(N289&lt;'PlayerGrades+'!$AF$15,"D-",IF(N289&lt;'PlayerGrades+'!$AF$14,"D",IF(N289&lt;'PlayerGrades+'!$AF$13,"D+",IF(N289&lt;'PlayerGrades+'!$AF$12,"C-",IF(N289&lt;'PlayerGrades+'!$AF$11,"C",IF(N289&lt;'PlayerGrades+'!$AF$10,"C+",IF(N289&lt;'PlayerGrades+'!$AF$9,"B-",IF(N289&lt;'PlayerGrades+'!$AF$8,"B",IF(N289&lt;'PlayerGrades+'!$AF$7,"B+",IF(N289&lt;'PlayerGrades+'!$AF$6,"A-",IF(N289&lt;'PlayerGrades+'!$AF$5,"A",IF(N289&lt;'PlayerGrades+'!$AF$4,"A+",IF(N289&lt;'PlayerGrades+'!$AF$3,"S-",IF(N289&lt;'PlayerGrades+'!$AF$2,"S","S+"))))))))))))))))))))</f>
        <v>#DIV/0!</v>
      </c>
      <c r="P289" s="961" t="str">
        <f t="shared" si="7"/>
        <v>#DIV/0!</v>
      </c>
      <c r="Q289" s="961" t="str">
        <f>IF(P289&lt;'PlayerGrades+'!$AG$21,"F-",IF(P289&lt;'PlayerGrades+'!$AG$20,"F",IF(P289&lt;'PlayerGrades+'!$AG$19,"F+",IF(P289&lt;'PlayerGrades+'!$AG$18,"E-",IF(P289&lt;'PlayerGrades+'!$AG$17,"E",IF(P289&lt;'PlayerGrades+'!$AG$16,"E+",IF(P289&lt;'PlayerGrades+'!$AG$15,"D-",IF(P289&lt;'PlayerGrades+'!$AG$14,"D",IF(P289&lt;'PlayerGrades+'!$AG$13,"D+",IF(P289&lt;'PlayerGrades+'!$AG$12,"C-",IF(P289&lt;'PlayerGrades+'!$AG$11,"C",IF(P289&lt;'PlayerGrades+'!$AG$10,"C+",IF(P289&lt;'PlayerGrades+'!$AG$9,"B-",IF(P289&lt;'PlayerGrades+'!$AG$8,"B",IF(P289&lt;'PlayerGrades+'!$AG$7,"B+",IF(P289&lt;'PlayerGrades+'!$AG$6,"A-",IF(P289&lt;'PlayerGrades+'!$AG$5,"A",IF(P289&lt;'PlayerGrades+'!$AG$4,"A+",IF(P289&lt;'PlayerGrades+'!$AG$3,"S-",IF(P289&lt;'PlayerGrades+'!$AG$2,"S","S+"))))))))))))))))))))</f>
        <v>#DIV/0!</v>
      </c>
      <c r="R289" s="961" t="str">
        <f t="shared" si="8"/>
        <v>#DIV/0!</v>
      </c>
      <c r="S289" s="961" t="str">
        <f>IF(R289&lt;'PlayerGrades+'!$AH$21,"F-",IF(R289&lt;'PlayerGrades+'!$AH$20,"F",IF(R289&lt;'PlayerGrades+'!$AH$19,"F+",IF(R289&lt;'PlayerGrades+'!$AH$18,"E-",IF(R289&lt;'PlayerGrades+'!$AH$17,"E",IF(R289&lt;'PlayerGrades+'!$AH$16,"E+",IF(R289&lt;'PlayerGrades+'!$AH$15,"D-",IF(R289&lt;'PlayerGrades+'!$AH$14,"D",IF(R289&lt;'PlayerGrades+'!$AH$13,"D+",IF(R289&lt;'PlayerGrades+'!$AH$12,"C-",IF(R289&lt;'PlayerGrades+'!$AH$11,"C",IF(R289&lt;'PlayerGrades+'!$AH$10,"C+",IF(R289&lt;'PlayerGrades+'!$AH$9,"B-",IF(R289&lt;'PlayerGrades+'!$AH$8,"B",IF(R289&lt;'PlayerGrades+'!$AH$7,"B+",IF(R289&lt;'PlayerGrades+'!$AH$6,"A-",IF(R289&lt;'PlayerGrades+'!$AH$5,"A",IF(R289&lt;'PlayerGrades+'!$AH$4,"A+",IF(R289&lt;'PlayerGrades+'!$AH$3,"S-",IF(R289&lt;'PlayerGrades+'!$AH$2,"S","S+"))))))))))))))))))))</f>
        <v>#DIV/0!</v>
      </c>
      <c r="T289" s="961">
        <f t="shared" si="9"/>
        <v>0</v>
      </c>
      <c r="U289" s="961" t="str">
        <f>IF(T289&lt;'PlayerGrades+'!$AI$21,"F-",IF(T289&lt;'PlayerGrades+'!$AI$20,"F",IF(T289&lt;'PlayerGrades+'!$AI$19,"F+",IF(T289&lt;'PlayerGrades+'!$AI$18,"E-",IF(T289&lt;'PlayerGrades+'!$AI$17,"E",IF(T289&lt;'PlayerGrades+'!$AI$16,"E+",IF(T289&lt;'PlayerGrades+'!$AI$15,"D-",IF(T289&lt;'PlayerGrades+'!$AI$14,"D",IF(T289&lt;'PlayerGrades+'!$AI$13,"D+",IF(T289&lt;'PlayerGrades+'!$AI$12,"C-",IF(T289&lt;'PlayerGrades+'!$AI$11,"C",IF(T289&lt;'PlayerGrades+'!$AI$10,"C+",IF(T289&lt;'PlayerGrades+'!$AI$9,"B-",IF(T289&lt;'PlayerGrades+'!$AI$8,"B",IF(T289&lt;'PlayerGrades+'!$AI$7,"B+",IF(T289&lt;'PlayerGrades+'!$AI$6,"A-",IF(T289&lt;'PlayerGrades+'!$AI$5,"A",IF(T289&lt;'PlayerGrades+'!$AI$4,"A+",IF(T289&lt;'PlayerGrades+'!$AI$3,"S-",IF(T289&lt;'PlayerGrades+'!$AI$2,"S","S+"))))))))))))))))))))</f>
        <v>F-</v>
      </c>
      <c r="V289" s="1386"/>
      <c r="W289" s="1386"/>
      <c r="X289" s="1386"/>
      <c r="Y289" s="1386"/>
      <c r="Z289" s="1386"/>
      <c r="AA289" s="1386"/>
      <c r="AB289" s="1386"/>
      <c r="AC289" s="1397"/>
      <c r="AD289" s="1386"/>
      <c r="AE289" s="1386"/>
      <c r="AF289" s="1386"/>
      <c r="AG289" s="1386"/>
      <c r="AH289" s="1386"/>
      <c r="AI289" s="1386"/>
      <c r="AJ289" s="1386"/>
      <c r="AK289" s="1386"/>
      <c r="AL289" s="1386"/>
      <c r="AM289" s="1386"/>
      <c r="AN289" s="1386"/>
      <c r="AO289" s="1386"/>
      <c r="AP289" s="1386"/>
      <c r="AQ289" s="1386"/>
      <c r="AR289" s="1386"/>
      <c r="AS289" s="1386"/>
      <c r="AT289" s="1386"/>
      <c r="AU289" s="1386"/>
      <c r="AV289" s="1386"/>
      <c r="AW289" s="1386"/>
      <c r="AX289" s="1386"/>
      <c r="AY289" s="1386"/>
      <c r="AZ289" s="1386"/>
    </row>
    <row r="290">
      <c r="A290" s="1389"/>
      <c r="B290" s="611" t="str">
        <f>IF(C290&lt;'PlayerGrades+'!$Y$44,"F-",IF(C290&lt;'PlayerGrades+'!$Y$43,"F",IF(C290&lt;'PlayerGrades+'!$Y$42,"F+",IF(C290&lt;'PlayerGrades+'!$Y$41,"E-",IF(C290&lt;'PlayerGrades+'!$Y$40,"E",IF(C290&lt;'PlayerGrades+'!$Y$39,"E+",IF(C290&lt;'PlayerGrades+'!$Y$38,"D-",IF(C290&lt;'PlayerGrades+'!$Y$37,"D",IF(C290&lt;'PlayerGrades+'!$Y$36,"D+",IF(C290&lt;'PlayerGrades+'!$Y$35,"C-",IF(C290&lt;'PlayerGrades+'!$Y$34,"C",IF(C290&lt;'PlayerGrades+'!$Y$33,"C+",IF(C290&lt;'PlayerGrades+'!$Y$32,"B-",IF(C290&lt;'PlayerGrades+'!$Y$31,"B",IF(C290&lt;'PlayerGrades+'!$Y$30,"B+",IF(C290&lt;'PlayerGrades+'!$Y$29,"A-",IF(C290&lt;'PlayerGrades+'!$Y$28,"A",IF(C290&lt;'PlayerGrades+'!$Y$27,"A+",IF(C290&lt;'PlayerGrades+'!$Y$26,"S-",IF(C290&lt;'PlayerGrades+'!$Y$25,"S","S+"))))))))))))))))))))</f>
        <v>#DIV/0!</v>
      </c>
      <c r="C290" s="1378" t="str">
        <f>('PlayerGrades+'!$Y$47*(VLOOKUP(E290, 'PlayerGrades+'!$X$3:$Y$23, 2, FALSE)))+('PlayerGrades+'!$Y$48*(VLOOKUP(G290, 'PlayerGrades+'!$X$3:$Y$23, 2, FALSE)))+('PlayerGrades+'!$Y$49*(VLOOKUP(I290, 'PlayerGrades+'!$X$3:$Y$23, 2, FALSE)))+('PlayerGrades+'!$Y$50*(VLOOKUP(K290, 'PlayerGrades+'!$X$3:$Y$23, 2, FALSE)))+('PlayerGrades+'!$Y$51*(VLOOKUP(M290, 'PlayerGrades+'!$X$3:$Y$23, 2, FALSE)))+('PlayerGrades+'!$Y$52*(VLOOKUP(O290, 'PlayerGrades+'!$X$3:$Y$23, 2, FALSE)))+('PlayerGrades+'!$Y$53*(VLOOKUP(Q290, 'PlayerGrades+'!$X$3:$Y$23, 2, FALSE)))+('PlayerGrades+'!$Y$54*(VLOOKUP(S290, 'PlayerGrades+'!$X$3:$Y$23, 2, FALSE)))+('PlayerGrades+'!$Y$55*(VLOOKUP(U290, 'PlayerGrades+'!$X$3:$Y$23, 2, FALSE)))</f>
        <v>#DIV/0!</v>
      </c>
      <c r="D290" s="961" t="str">
        <f t="shared" si="1"/>
        <v>#DIV/0!</v>
      </c>
      <c r="E290" s="961" t="str">
        <f>IF(D290&lt;'PlayerGrades+'!$AA$21,"F-",IF(D290&lt;'PlayerGrades+'!$AA$20,"F",IF(D290&lt;'PlayerGrades+'!$AA$19,"F+",IF(D290&lt;'PlayerGrades+'!$AA$18,"E-",IF(D290&lt;'PlayerGrades+'!$AA$17,"E",IF(D290&lt;'PlayerGrades+'!$AA$16,"E+",IF(D290&lt;'PlayerGrades+'!$AA$15,"D-",IF(D290&lt;'PlayerGrades+'!$AA$14,"D",IF(D290&lt;'PlayerGrades+'!$AA$13,"D+",IF(D290&lt;'PlayerGrades+'!$AA$12,"C-",IF(D290&lt;'PlayerGrades+'!$AA$11,"C",IF(D290&lt;'PlayerGrades+'!$AA$10,"C+",IF(D290&lt;'PlayerGrades+'!$AA$9,"B-",IF(D290&lt;'PlayerGrades+'!$AA$8,"B",IF(D290&lt;'PlayerGrades+'!$AA$7,"B+",IF(D290&lt;'PlayerGrades+'!$AA$6,"A-",IF(D290&lt;'PlayerGrades+'!$AA$5,"A",IF(D290&lt;'PlayerGrades+'!$AA$4,"A+",IF(D290&lt;'PlayerGrades+'!$AA$3,"S-",IF(D290&lt;'PlayerGrades+'!$AA$2,"S","S+"))))))))))))))))))))</f>
        <v>#DIV/0!</v>
      </c>
      <c r="F290" s="961" t="str">
        <f t="shared" si="2"/>
        <v>#DIV/0!</v>
      </c>
      <c r="G290" s="961" t="str">
        <f>IF(F290&lt;'PlayerGrades+'!$AB$21,"F-",IF(F290&lt;'PlayerGrades+'!$AB$20,"F",IF(F290&lt;'PlayerGrades+'!$AB$19,"F+",IF(F290&lt;'PlayerGrades+'!$AB$18,"E-",IF(F290&lt;'PlayerGrades+'!$AB$17,"E",IF(F290&lt;'PlayerGrades+'!$AB$16,"E+",IF(F290&lt;'PlayerGrades+'!$AB$15,"D-",IF(F290&lt;'PlayerGrades+'!$AB$14,"D",IF(F290&lt;'PlayerGrades+'!$AB$13,"D+",IF(F290&lt;'PlayerGrades+'!$AB$12,"C-",IF(F290&lt;'PlayerGrades+'!$AB$11,"C",IF(F290&lt;'PlayerGrades+'!$AB$10,"C+",IF(F290&lt;'PlayerGrades+'!$AB$9,"B-",IF(F290&lt;'PlayerGrades+'!$AB$8,"B",IF(F290&lt;'PlayerGrades+'!$AB$7,"B+",IF(F290&lt;'PlayerGrades+'!$AB$6,"A-",IF(F290&lt;'PlayerGrades+'!$AB$5,"A",IF(F290&lt;'PlayerGrades+'!$AB$4,"A+",IF(F290&lt;'PlayerGrades+'!$AB$3,"S-",IF(F290&lt;'PlayerGrades+'!$AB$2,"S","S+"))))))))))))))))))))</f>
        <v>#DIV/0!</v>
      </c>
      <c r="H290" s="961" t="str">
        <f t="shared" si="3"/>
        <v>#DIV/0!</v>
      </c>
      <c r="I290" s="961" t="str">
        <f>IF(H290&lt;'PlayerGrades+'!$AC$21,"F-",IF(H290&lt;'PlayerGrades+'!$AC$20,"F",IF(H290&lt;'PlayerGrades+'!$AC$19,"F+",IF(H290&lt;'PlayerGrades+'!$AC$18,"E-",IF(H290&lt;'PlayerGrades+'!$AC$17,"E",IF(H290&lt;'PlayerGrades+'!$AC$16,"E+",IF(H290&lt;'PlayerGrades+'!$AC$15,"D-",IF(H290&lt;'PlayerGrades+'!$AC$14,"D",IF(H290&lt;'PlayerGrades+'!$AC$13,"D+",IF(H290&lt;'PlayerGrades+'!$AC$12,"C-",IF(H290&lt;'PlayerGrades+'!$AC$11,"C",IF(H290&lt;'PlayerGrades+'!$AC$10,"C+",IF(H290&lt;'PlayerGrades+'!$AC$9,"B-",IF(H290&lt;'PlayerGrades+'!$AC$8,"B",IF(H290&lt;'PlayerGrades+'!$AC$7,"B+",IF(H290&lt;'PlayerGrades+'!$AC$6,"A-",IF(H290&lt;'PlayerGrades+'!$AC$5,"A",IF(H290&lt;'PlayerGrades+'!$AC$4,"A+",IF(H290&lt;'PlayerGrades+'!$AC$3,"S-",IF(H290&lt;'PlayerGrades+'!$AC$2,"S","S+"))))))))))))))))))))</f>
        <v>#DIV/0!</v>
      </c>
      <c r="J290" s="961" t="str">
        <f t="shared" si="4"/>
        <v>#DIV/0!</v>
      </c>
      <c r="K290" s="961" t="str">
        <f>IF(J290&lt;'PlayerGrades+'!$AD$21,"F-",IF(J290&lt;'PlayerGrades+'!$AD$20,"F",IF(J290&lt;'PlayerGrades+'!$AD$19,"F+",IF(J290&lt;'PlayerGrades+'!$AD$18,"E-",IF(J290&lt;'PlayerGrades+'!$AD$17,"E",IF(J290&lt;'PlayerGrades+'!$AD$16,"E+",IF(J290&lt;'PlayerGrades+'!$AD$15,"D-",IF(J290&lt;'PlayerGrades+'!$AD$14,"D",IF(J290&lt;'PlayerGrades+'!$AD$13,"D+",IF(J290&lt;'PlayerGrades+'!$AD$12,"C-",IF(J290&lt;'PlayerGrades+'!$AD$11,"C",IF(J290&lt;'PlayerGrades+'!$AD$10,"C+",IF(J290&lt;'PlayerGrades+'!$AD$9,"B-",IF(J290&lt;'PlayerGrades+'!$AD$8,"B",IF(J290&lt;'PlayerGrades+'!$AD$7,"B+",IF(J290&lt;'PlayerGrades+'!$AD$6,"A-",IF(J290&lt;'PlayerGrades+'!$AD$5,"A",IF(J290&lt;'PlayerGrades+'!$AD$4,"A+",IF(J290&lt;'PlayerGrades+'!$AD$3,"S-",IF(J290&lt;'PlayerGrades+'!$AD$2,"S","S+"))))))))))))))))))))</f>
        <v>#DIV/0!</v>
      </c>
      <c r="L290" s="1176" t="str">
        <f t="shared" si="5"/>
        <v>#DIV/0!</v>
      </c>
      <c r="M290" s="992" t="str">
        <f>IF(L290&lt;'PlayerGrades+'!$AE$21,"F-",IF(L290&lt;'PlayerGrades+'!$AE$20,"F",IF(L290&lt;'PlayerGrades+'!$AE$19,"F+",IF(L290&lt;'PlayerGrades+'!$AE$18,"E-",IF(L290&lt;'PlayerGrades+'!$AE$17,"E",IF(L290&lt;'PlayerGrades+'!$AE$16,"E+",IF(L290&lt;'PlayerGrades+'!$AE$15,"D-",IF(L290&lt;'PlayerGrades+'!$AE$14,"D",IF(L290&lt;'PlayerGrades+'!$AE$13,"D+",IF(L290&lt;'PlayerGrades+'!$AE$12,"C-",IF(L290&lt;'PlayerGrades+'!$AE$11,"C",IF(L290&lt;'PlayerGrades+'!$AE$10,"C+",IF(L290&lt;'PlayerGrades+'!$AE$9,"B-",IF(L290&lt;'PlayerGrades+'!$AE$8,"B",IF(L290&lt;'PlayerGrades+'!$AE$7,"B+",IF(L290&lt;'PlayerGrades+'!$AE$6,"A-",IF(L290&lt;'PlayerGrades+'!$AE$5,"A",IF(L290&lt;'PlayerGrades+'!$AE$4,"A+",IF(L290&lt;'PlayerGrades+'!$AE$3,"S-",IF(L290&lt;'PlayerGrades+'!$AE$2,"S","S+"))))))))))))))))))))</f>
        <v>#DIV/0!</v>
      </c>
      <c r="N290" s="961" t="str">
        <f t="shared" si="6"/>
        <v>#DIV/0!</v>
      </c>
      <c r="O290" s="961" t="str">
        <f>IF(N290&lt;'PlayerGrades+'!$AF$21,"F-",IF(N290&lt;'PlayerGrades+'!$AF$20,"F",IF(N290&lt;'PlayerGrades+'!$AF$19,"F+",IF(N290&lt;'PlayerGrades+'!$AF$18,"E-",IF(N290&lt;'PlayerGrades+'!$AF$17,"E",IF(N290&lt;'PlayerGrades+'!$AF$16,"E+",IF(N290&lt;'PlayerGrades+'!$AF$15,"D-",IF(N290&lt;'PlayerGrades+'!$AF$14,"D",IF(N290&lt;'PlayerGrades+'!$AF$13,"D+",IF(N290&lt;'PlayerGrades+'!$AF$12,"C-",IF(N290&lt;'PlayerGrades+'!$AF$11,"C",IF(N290&lt;'PlayerGrades+'!$AF$10,"C+",IF(N290&lt;'PlayerGrades+'!$AF$9,"B-",IF(N290&lt;'PlayerGrades+'!$AF$8,"B",IF(N290&lt;'PlayerGrades+'!$AF$7,"B+",IF(N290&lt;'PlayerGrades+'!$AF$6,"A-",IF(N290&lt;'PlayerGrades+'!$AF$5,"A",IF(N290&lt;'PlayerGrades+'!$AF$4,"A+",IF(N290&lt;'PlayerGrades+'!$AF$3,"S-",IF(N290&lt;'PlayerGrades+'!$AF$2,"S","S+"))))))))))))))))))))</f>
        <v>#DIV/0!</v>
      </c>
      <c r="P290" s="961" t="str">
        <f t="shared" si="7"/>
        <v>#DIV/0!</v>
      </c>
      <c r="Q290" s="961" t="str">
        <f>IF(P290&lt;'PlayerGrades+'!$AG$21,"F-",IF(P290&lt;'PlayerGrades+'!$AG$20,"F",IF(P290&lt;'PlayerGrades+'!$AG$19,"F+",IF(P290&lt;'PlayerGrades+'!$AG$18,"E-",IF(P290&lt;'PlayerGrades+'!$AG$17,"E",IF(P290&lt;'PlayerGrades+'!$AG$16,"E+",IF(P290&lt;'PlayerGrades+'!$AG$15,"D-",IF(P290&lt;'PlayerGrades+'!$AG$14,"D",IF(P290&lt;'PlayerGrades+'!$AG$13,"D+",IF(P290&lt;'PlayerGrades+'!$AG$12,"C-",IF(P290&lt;'PlayerGrades+'!$AG$11,"C",IF(P290&lt;'PlayerGrades+'!$AG$10,"C+",IF(P290&lt;'PlayerGrades+'!$AG$9,"B-",IF(P290&lt;'PlayerGrades+'!$AG$8,"B",IF(P290&lt;'PlayerGrades+'!$AG$7,"B+",IF(P290&lt;'PlayerGrades+'!$AG$6,"A-",IF(P290&lt;'PlayerGrades+'!$AG$5,"A",IF(P290&lt;'PlayerGrades+'!$AG$4,"A+",IF(P290&lt;'PlayerGrades+'!$AG$3,"S-",IF(P290&lt;'PlayerGrades+'!$AG$2,"S","S+"))))))))))))))))))))</f>
        <v>#DIV/0!</v>
      </c>
      <c r="R290" s="961" t="str">
        <f t="shared" si="8"/>
        <v>#DIV/0!</v>
      </c>
      <c r="S290" s="961" t="str">
        <f>IF(R290&lt;'PlayerGrades+'!$AH$21,"F-",IF(R290&lt;'PlayerGrades+'!$AH$20,"F",IF(R290&lt;'PlayerGrades+'!$AH$19,"F+",IF(R290&lt;'PlayerGrades+'!$AH$18,"E-",IF(R290&lt;'PlayerGrades+'!$AH$17,"E",IF(R290&lt;'PlayerGrades+'!$AH$16,"E+",IF(R290&lt;'PlayerGrades+'!$AH$15,"D-",IF(R290&lt;'PlayerGrades+'!$AH$14,"D",IF(R290&lt;'PlayerGrades+'!$AH$13,"D+",IF(R290&lt;'PlayerGrades+'!$AH$12,"C-",IF(R290&lt;'PlayerGrades+'!$AH$11,"C",IF(R290&lt;'PlayerGrades+'!$AH$10,"C+",IF(R290&lt;'PlayerGrades+'!$AH$9,"B-",IF(R290&lt;'PlayerGrades+'!$AH$8,"B",IF(R290&lt;'PlayerGrades+'!$AH$7,"B+",IF(R290&lt;'PlayerGrades+'!$AH$6,"A-",IF(R290&lt;'PlayerGrades+'!$AH$5,"A",IF(R290&lt;'PlayerGrades+'!$AH$4,"A+",IF(R290&lt;'PlayerGrades+'!$AH$3,"S-",IF(R290&lt;'PlayerGrades+'!$AH$2,"S","S+"))))))))))))))))))))</f>
        <v>#DIV/0!</v>
      </c>
      <c r="T290" s="961">
        <f t="shared" si="9"/>
        <v>0</v>
      </c>
      <c r="U290" s="961" t="str">
        <f>IF(T290&lt;'PlayerGrades+'!$AI$21,"F-",IF(T290&lt;'PlayerGrades+'!$AI$20,"F",IF(T290&lt;'PlayerGrades+'!$AI$19,"F+",IF(T290&lt;'PlayerGrades+'!$AI$18,"E-",IF(T290&lt;'PlayerGrades+'!$AI$17,"E",IF(T290&lt;'PlayerGrades+'!$AI$16,"E+",IF(T290&lt;'PlayerGrades+'!$AI$15,"D-",IF(T290&lt;'PlayerGrades+'!$AI$14,"D",IF(T290&lt;'PlayerGrades+'!$AI$13,"D+",IF(T290&lt;'PlayerGrades+'!$AI$12,"C-",IF(T290&lt;'PlayerGrades+'!$AI$11,"C",IF(T290&lt;'PlayerGrades+'!$AI$10,"C+",IF(T290&lt;'PlayerGrades+'!$AI$9,"B-",IF(T290&lt;'PlayerGrades+'!$AI$8,"B",IF(T290&lt;'PlayerGrades+'!$AI$7,"B+",IF(T290&lt;'PlayerGrades+'!$AI$6,"A-",IF(T290&lt;'PlayerGrades+'!$AI$5,"A",IF(T290&lt;'PlayerGrades+'!$AI$4,"A+",IF(T290&lt;'PlayerGrades+'!$AI$3,"S-",IF(T290&lt;'PlayerGrades+'!$AI$2,"S","S+"))))))))))))))))))))</f>
        <v>F-</v>
      </c>
      <c r="V290" s="1379"/>
      <c r="W290" s="1379"/>
      <c r="X290" s="1379"/>
      <c r="Y290" s="1379"/>
      <c r="Z290" s="1379"/>
      <c r="AA290" s="1379"/>
      <c r="AB290" s="1379"/>
      <c r="AC290" s="1390"/>
      <c r="AD290" s="1379"/>
      <c r="AE290" s="1379"/>
      <c r="AF290" s="1379"/>
      <c r="AG290" s="1379"/>
      <c r="AH290" s="1379"/>
      <c r="AI290" s="1379"/>
      <c r="AJ290" s="1379"/>
      <c r="AK290" s="1379"/>
      <c r="AL290" s="1379"/>
      <c r="AM290" s="1379"/>
      <c r="AN290" s="1379"/>
      <c r="AO290" s="1379"/>
      <c r="AP290" s="1379"/>
      <c r="AQ290" s="1379"/>
      <c r="AR290" s="1379"/>
      <c r="AS290" s="1379"/>
      <c r="AT290" s="1379"/>
      <c r="AU290" s="1379"/>
      <c r="AV290" s="1379"/>
      <c r="AW290" s="1379"/>
      <c r="AX290" s="1379"/>
      <c r="AY290" s="1379"/>
      <c r="AZ290" s="1379"/>
    </row>
    <row r="291">
      <c r="A291" s="1391"/>
      <c r="B291" s="611" t="str">
        <f>IF(C291&lt;'PlayerGrades+'!$Y$44,"F-",IF(C291&lt;'PlayerGrades+'!$Y$43,"F",IF(C291&lt;'PlayerGrades+'!$Y$42,"F+",IF(C291&lt;'PlayerGrades+'!$Y$41,"E-",IF(C291&lt;'PlayerGrades+'!$Y$40,"E",IF(C291&lt;'PlayerGrades+'!$Y$39,"E+",IF(C291&lt;'PlayerGrades+'!$Y$38,"D-",IF(C291&lt;'PlayerGrades+'!$Y$37,"D",IF(C291&lt;'PlayerGrades+'!$Y$36,"D+",IF(C291&lt;'PlayerGrades+'!$Y$35,"C-",IF(C291&lt;'PlayerGrades+'!$Y$34,"C",IF(C291&lt;'PlayerGrades+'!$Y$33,"C+",IF(C291&lt;'PlayerGrades+'!$Y$32,"B-",IF(C291&lt;'PlayerGrades+'!$Y$31,"B",IF(C291&lt;'PlayerGrades+'!$Y$30,"B+",IF(C291&lt;'PlayerGrades+'!$Y$29,"A-",IF(C291&lt;'PlayerGrades+'!$Y$28,"A",IF(C291&lt;'PlayerGrades+'!$Y$27,"A+",IF(C291&lt;'PlayerGrades+'!$Y$26,"S-",IF(C291&lt;'PlayerGrades+'!$Y$25,"S","S+"))))))))))))))))))))</f>
        <v>#DIV/0!</v>
      </c>
      <c r="C291" s="1378" t="str">
        <f>('PlayerGrades+'!$Y$47*(VLOOKUP(E291, 'PlayerGrades+'!$X$3:$Y$23, 2, FALSE)))+('PlayerGrades+'!$Y$48*(VLOOKUP(G291, 'PlayerGrades+'!$X$3:$Y$23, 2, FALSE)))+('PlayerGrades+'!$Y$49*(VLOOKUP(I291, 'PlayerGrades+'!$X$3:$Y$23, 2, FALSE)))+('PlayerGrades+'!$Y$50*(VLOOKUP(K291, 'PlayerGrades+'!$X$3:$Y$23, 2, FALSE)))+('PlayerGrades+'!$Y$51*(VLOOKUP(M291, 'PlayerGrades+'!$X$3:$Y$23, 2, FALSE)))+('PlayerGrades+'!$Y$52*(VLOOKUP(O291, 'PlayerGrades+'!$X$3:$Y$23, 2, FALSE)))+('PlayerGrades+'!$Y$53*(VLOOKUP(Q291, 'PlayerGrades+'!$X$3:$Y$23, 2, FALSE)))+('PlayerGrades+'!$Y$54*(VLOOKUP(S291, 'PlayerGrades+'!$X$3:$Y$23, 2, FALSE)))+('PlayerGrades+'!$Y$55*(VLOOKUP(U291, 'PlayerGrades+'!$X$3:$Y$23, 2, FALSE)))</f>
        <v>#DIV/0!</v>
      </c>
      <c r="D291" s="961" t="str">
        <f t="shared" si="1"/>
        <v>#DIV/0!</v>
      </c>
      <c r="E291" s="961" t="str">
        <f>IF(D291&lt;'PlayerGrades+'!$AA$21,"F-",IF(D291&lt;'PlayerGrades+'!$AA$20,"F",IF(D291&lt;'PlayerGrades+'!$AA$19,"F+",IF(D291&lt;'PlayerGrades+'!$AA$18,"E-",IF(D291&lt;'PlayerGrades+'!$AA$17,"E",IF(D291&lt;'PlayerGrades+'!$AA$16,"E+",IF(D291&lt;'PlayerGrades+'!$AA$15,"D-",IF(D291&lt;'PlayerGrades+'!$AA$14,"D",IF(D291&lt;'PlayerGrades+'!$AA$13,"D+",IF(D291&lt;'PlayerGrades+'!$AA$12,"C-",IF(D291&lt;'PlayerGrades+'!$AA$11,"C",IF(D291&lt;'PlayerGrades+'!$AA$10,"C+",IF(D291&lt;'PlayerGrades+'!$AA$9,"B-",IF(D291&lt;'PlayerGrades+'!$AA$8,"B",IF(D291&lt;'PlayerGrades+'!$AA$7,"B+",IF(D291&lt;'PlayerGrades+'!$AA$6,"A-",IF(D291&lt;'PlayerGrades+'!$AA$5,"A",IF(D291&lt;'PlayerGrades+'!$AA$4,"A+",IF(D291&lt;'PlayerGrades+'!$AA$3,"S-",IF(D291&lt;'PlayerGrades+'!$AA$2,"S","S+"))))))))))))))))))))</f>
        <v>#DIV/0!</v>
      </c>
      <c r="F291" s="961" t="str">
        <f t="shared" si="2"/>
        <v>#DIV/0!</v>
      </c>
      <c r="G291" s="961" t="str">
        <f>IF(F291&lt;'PlayerGrades+'!$AB$21,"F-",IF(F291&lt;'PlayerGrades+'!$AB$20,"F",IF(F291&lt;'PlayerGrades+'!$AB$19,"F+",IF(F291&lt;'PlayerGrades+'!$AB$18,"E-",IF(F291&lt;'PlayerGrades+'!$AB$17,"E",IF(F291&lt;'PlayerGrades+'!$AB$16,"E+",IF(F291&lt;'PlayerGrades+'!$AB$15,"D-",IF(F291&lt;'PlayerGrades+'!$AB$14,"D",IF(F291&lt;'PlayerGrades+'!$AB$13,"D+",IF(F291&lt;'PlayerGrades+'!$AB$12,"C-",IF(F291&lt;'PlayerGrades+'!$AB$11,"C",IF(F291&lt;'PlayerGrades+'!$AB$10,"C+",IF(F291&lt;'PlayerGrades+'!$AB$9,"B-",IF(F291&lt;'PlayerGrades+'!$AB$8,"B",IF(F291&lt;'PlayerGrades+'!$AB$7,"B+",IF(F291&lt;'PlayerGrades+'!$AB$6,"A-",IF(F291&lt;'PlayerGrades+'!$AB$5,"A",IF(F291&lt;'PlayerGrades+'!$AB$4,"A+",IF(F291&lt;'PlayerGrades+'!$AB$3,"S-",IF(F291&lt;'PlayerGrades+'!$AB$2,"S","S+"))))))))))))))))))))</f>
        <v>#DIV/0!</v>
      </c>
      <c r="H291" s="961" t="str">
        <f t="shared" si="3"/>
        <v>#DIV/0!</v>
      </c>
      <c r="I291" s="961" t="str">
        <f>IF(H291&lt;'PlayerGrades+'!$AC$21,"F-",IF(H291&lt;'PlayerGrades+'!$AC$20,"F",IF(H291&lt;'PlayerGrades+'!$AC$19,"F+",IF(H291&lt;'PlayerGrades+'!$AC$18,"E-",IF(H291&lt;'PlayerGrades+'!$AC$17,"E",IF(H291&lt;'PlayerGrades+'!$AC$16,"E+",IF(H291&lt;'PlayerGrades+'!$AC$15,"D-",IF(H291&lt;'PlayerGrades+'!$AC$14,"D",IF(H291&lt;'PlayerGrades+'!$AC$13,"D+",IF(H291&lt;'PlayerGrades+'!$AC$12,"C-",IF(H291&lt;'PlayerGrades+'!$AC$11,"C",IF(H291&lt;'PlayerGrades+'!$AC$10,"C+",IF(H291&lt;'PlayerGrades+'!$AC$9,"B-",IF(H291&lt;'PlayerGrades+'!$AC$8,"B",IF(H291&lt;'PlayerGrades+'!$AC$7,"B+",IF(H291&lt;'PlayerGrades+'!$AC$6,"A-",IF(H291&lt;'PlayerGrades+'!$AC$5,"A",IF(H291&lt;'PlayerGrades+'!$AC$4,"A+",IF(H291&lt;'PlayerGrades+'!$AC$3,"S-",IF(H291&lt;'PlayerGrades+'!$AC$2,"S","S+"))))))))))))))))))))</f>
        <v>#DIV/0!</v>
      </c>
      <c r="J291" s="961" t="str">
        <f t="shared" si="4"/>
        <v>#DIV/0!</v>
      </c>
      <c r="K291" s="961" t="str">
        <f>IF(J291&lt;'PlayerGrades+'!$AD$21,"F-",IF(J291&lt;'PlayerGrades+'!$AD$20,"F",IF(J291&lt;'PlayerGrades+'!$AD$19,"F+",IF(J291&lt;'PlayerGrades+'!$AD$18,"E-",IF(J291&lt;'PlayerGrades+'!$AD$17,"E",IF(J291&lt;'PlayerGrades+'!$AD$16,"E+",IF(J291&lt;'PlayerGrades+'!$AD$15,"D-",IF(J291&lt;'PlayerGrades+'!$AD$14,"D",IF(J291&lt;'PlayerGrades+'!$AD$13,"D+",IF(J291&lt;'PlayerGrades+'!$AD$12,"C-",IF(J291&lt;'PlayerGrades+'!$AD$11,"C",IF(J291&lt;'PlayerGrades+'!$AD$10,"C+",IF(J291&lt;'PlayerGrades+'!$AD$9,"B-",IF(J291&lt;'PlayerGrades+'!$AD$8,"B",IF(J291&lt;'PlayerGrades+'!$AD$7,"B+",IF(J291&lt;'PlayerGrades+'!$AD$6,"A-",IF(J291&lt;'PlayerGrades+'!$AD$5,"A",IF(J291&lt;'PlayerGrades+'!$AD$4,"A+",IF(J291&lt;'PlayerGrades+'!$AD$3,"S-",IF(J291&lt;'PlayerGrades+'!$AD$2,"S","S+"))))))))))))))))))))</f>
        <v>#DIV/0!</v>
      </c>
      <c r="L291" s="1176" t="str">
        <f t="shared" si="5"/>
        <v>#DIV/0!</v>
      </c>
      <c r="M291" s="992" t="str">
        <f>IF(L291&lt;'PlayerGrades+'!$AE$21,"F-",IF(L291&lt;'PlayerGrades+'!$AE$20,"F",IF(L291&lt;'PlayerGrades+'!$AE$19,"F+",IF(L291&lt;'PlayerGrades+'!$AE$18,"E-",IF(L291&lt;'PlayerGrades+'!$AE$17,"E",IF(L291&lt;'PlayerGrades+'!$AE$16,"E+",IF(L291&lt;'PlayerGrades+'!$AE$15,"D-",IF(L291&lt;'PlayerGrades+'!$AE$14,"D",IF(L291&lt;'PlayerGrades+'!$AE$13,"D+",IF(L291&lt;'PlayerGrades+'!$AE$12,"C-",IF(L291&lt;'PlayerGrades+'!$AE$11,"C",IF(L291&lt;'PlayerGrades+'!$AE$10,"C+",IF(L291&lt;'PlayerGrades+'!$AE$9,"B-",IF(L291&lt;'PlayerGrades+'!$AE$8,"B",IF(L291&lt;'PlayerGrades+'!$AE$7,"B+",IF(L291&lt;'PlayerGrades+'!$AE$6,"A-",IF(L291&lt;'PlayerGrades+'!$AE$5,"A",IF(L291&lt;'PlayerGrades+'!$AE$4,"A+",IF(L291&lt;'PlayerGrades+'!$AE$3,"S-",IF(L291&lt;'PlayerGrades+'!$AE$2,"S","S+"))))))))))))))))))))</f>
        <v>#DIV/0!</v>
      </c>
      <c r="N291" s="961" t="str">
        <f t="shared" si="6"/>
        <v>#DIV/0!</v>
      </c>
      <c r="O291" s="961" t="str">
        <f>IF(N291&lt;'PlayerGrades+'!$AF$21,"F-",IF(N291&lt;'PlayerGrades+'!$AF$20,"F",IF(N291&lt;'PlayerGrades+'!$AF$19,"F+",IF(N291&lt;'PlayerGrades+'!$AF$18,"E-",IF(N291&lt;'PlayerGrades+'!$AF$17,"E",IF(N291&lt;'PlayerGrades+'!$AF$16,"E+",IF(N291&lt;'PlayerGrades+'!$AF$15,"D-",IF(N291&lt;'PlayerGrades+'!$AF$14,"D",IF(N291&lt;'PlayerGrades+'!$AF$13,"D+",IF(N291&lt;'PlayerGrades+'!$AF$12,"C-",IF(N291&lt;'PlayerGrades+'!$AF$11,"C",IF(N291&lt;'PlayerGrades+'!$AF$10,"C+",IF(N291&lt;'PlayerGrades+'!$AF$9,"B-",IF(N291&lt;'PlayerGrades+'!$AF$8,"B",IF(N291&lt;'PlayerGrades+'!$AF$7,"B+",IF(N291&lt;'PlayerGrades+'!$AF$6,"A-",IF(N291&lt;'PlayerGrades+'!$AF$5,"A",IF(N291&lt;'PlayerGrades+'!$AF$4,"A+",IF(N291&lt;'PlayerGrades+'!$AF$3,"S-",IF(N291&lt;'PlayerGrades+'!$AF$2,"S","S+"))))))))))))))))))))</f>
        <v>#DIV/0!</v>
      </c>
      <c r="P291" s="961" t="str">
        <f t="shared" si="7"/>
        <v>#DIV/0!</v>
      </c>
      <c r="Q291" s="961" t="str">
        <f>IF(P291&lt;'PlayerGrades+'!$AG$21,"F-",IF(P291&lt;'PlayerGrades+'!$AG$20,"F",IF(P291&lt;'PlayerGrades+'!$AG$19,"F+",IF(P291&lt;'PlayerGrades+'!$AG$18,"E-",IF(P291&lt;'PlayerGrades+'!$AG$17,"E",IF(P291&lt;'PlayerGrades+'!$AG$16,"E+",IF(P291&lt;'PlayerGrades+'!$AG$15,"D-",IF(P291&lt;'PlayerGrades+'!$AG$14,"D",IF(P291&lt;'PlayerGrades+'!$AG$13,"D+",IF(P291&lt;'PlayerGrades+'!$AG$12,"C-",IF(P291&lt;'PlayerGrades+'!$AG$11,"C",IF(P291&lt;'PlayerGrades+'!$AG$10,"C+",IF(P291&lt;'PlayerGrades+'!$AG$9,"B-",IF(P291&lt;'PlayerGrades+'!$AG$8,"B",IF(P291&lt;'PlayerGrades+'!$AG$7,"B+",IF(P291&lt;'PlayerGrades+'!$AG$6,"A-",IF(P291&lt;'PlayerGrades+'!$AG$5,"A",IF(P291&lt;'PlayerGrades+'!$AG$4,"A+",IF(P291&lt;'PlayerGrades+'!$AG$3,"S-",IF(P291&lt;'PlayerGrades+'!$AG$2,"S","S+"))))))))))))))))))))</f>
        <v>#DIV/0!</v>
      </c>
      <c r="R291" s="961" t="str">
        <f t="shared" si="8"/>
        <v>#DIV/0!</v>
      </c>
      <c r="S291" s="961" t="str">
        <f>IF(R291&lt;'PlayerGrades+'!$AH$21,"F-",IF(R291&lt;'PlayerGrades+'!$AH$20,"F",IF(R291&lt;'PlayerGrades+'!$AH$19,"F+",IF(R291&lt;'PlayerGrades+'!$AH$18,"E-",IF(R291&lt;'PlayerGrades+'!$AH$17,"E",IF(R291&lt;'PlayerGrades+'!$AH$16,"E+",IF(R291&lt;'PlayerGrades+'!$AH$15,"D-",IF(R291&lt;'PlayerGrades+'!$AH$14,"D",IF(R291&lt;'PlayerGrades+'!$AH$13,"D+",IF(R291&lt;'PlayerGrades+'!$AH$12,"C-",IF(R291&lt;'PlayerGrades+'!$AH$11,"C",IF(R291&lt;'PlayerGrades+'!$AH$10,"C+",IF(R291&lt;'PlayerGrades+'!$AH$9,"B-",IF(R291&lt;'PlayerGrades+'!$AH$8,"B",IF(R291&lt;'PlayerGrades+'!$AH$7,"B+",IF(R291&lt;'PlayerGrades+'!$AH$6,"A-",IF(R291&lt;'PlayerGrades+'!$AH$5,"A",IF(R291&lt;'PlayerGrades+'!$AH$4,"A+",IF(R291&lt;'PlayerGrades+'!$AH$3,"S-",IF(R291&lt;'PlayerGrades+'!$AH$2,"S","S+"))))))))))))))))))))</f>
        <v>#DIV/0!</v>
      </c>
      <c r="T291" s="961">
        <f t="shared" si="9"/>
        <v>0</v>
      </c>
      <c r="U291" s="961" t="str">
        <f>IF(T291&lt;'PlayerGrades+'!$AI$21,"F-",IF(T291&lt;'PlayerGrades+'!$AI$20,"F",IF(T291&lt;'PlayerGrades+'!$AI$19,"F+",IF(T291&lt;'PlayerGrades+'!$AI$18,"E-",IF(T291&lt;'PlayerGrades+'!$AI$17,"E",IF(T291&lt;'PlayerGrades+'!$AI$16,"E+",IF(T291&lt;'PlayerGrades+'!$AI$15,"D-",IF(T291&lt;'PlayerGrades+'!$AI$14,"D",IF(T291&lt;'PlayerGrades+'!$AI$13,"D+",IF(T291&lt;'PlayerGrades+'!$AI$12,"C-",IF(T291&lt;'PlayerGrades+'!$AI$11,"C",IF(T291&lt;'PlayerGrades+'!$AI$10,"C+",IF(T291&lt;'PlayerGrades+'!$AI$9,"B-",IF(T291&lt;'PlayerGrades+'!$AI$8,"B",IF(T291&lt;'PlayerGrades+'!$AI$7,"B+",IF(T291&lt;'PlayerGrades+'!$AI$6,"A-",IF(T291&lt;'PlayerGrades+'!$AI$5,"A",IF(T291&lt;'PlayerGrades+'!$AI$4,"A+",IF(T291&lt;'PlayerGrades+'!$AI$3,"S-",IF(T291&lt;'PlayerGrades+'!$AI$2,"S","S+"))))))))))))))))))))</f>
        <v>F-</v>
      </c>
      <c r="AC291" s="1392"/>
    </row>
    <row r="292">
      <c r="A292" s="1391"/>
      <c r="B292" s="611" t="str">
        <f>IF(C292&lt;'PlayerGrades+'!$Y$44,"F-",IF(C292&lt;'PlayerGrades+'!$Y$43,"F",IF(C292&lt;'PlayerGrades+'!$Y$42,"F+",IF(C292&lt;'PlayerGrades+'!$Y$41,"E-",IF(C292&lt;'PlayerGrades+'!$Y$40,"E",IF(C292&lt;'PlayerGrades+'!$Y$39,"E+",IF(C292&lt;'PlayerGrades+'!$Y$38,"D-",IF(C292&lt;'PlayerGrades+'!$Y$37,"D",IF(C292&lt;'PlayerGrades+'!$Y$36,"D+",IF(C292&lt;'PlayerGrades+'!$Y$35,"C-",IF(C292&lt;'PlayerGrades+'!$Y$34,"C",IF(C292&lt;'PlayerGrades+'!$Y$33,"C+",IF(C292&lt;'PlayerGrades+'!$Y$32,"B-",IF(C292&lt;'PlayerGrades+'!$Y$31,"B",IF(C292&lt;'PlayerGrades+'!$Y$30,"B+",IF(C292&lt;'PlayerGrades+'!$Y$29,"A-",IF(C292&lt;'PlayerGrades+'!$Y$28,"A",IF(C292&lt;'PlayerGrades+'!$Y$27,"A+",IF(C292&lt;'PlayerGrades+'!$Y$26,"S-",IF(C292&lt;'PlayerGrades+'!$Y$25,"S","S+"))))))))))))))))))))</f>
        <v>#DIV/0!</v>
      </c>
      <c r="C292" s="1378" t="str">
        <f>('PlayerGrades+'!$Y$47*(VLOOKUP(E292, 'PlayerGrades+'!$X$3:$Y$23, 2, FALSE)))+('PlayerGrades+'!$Y$48*(VLOOKUP(G292, 'PlayerGrades+'!$X$3:$Y$23, 2, FALSE)))+('PlayerGrades+'!$Y$49*(VLOOKUP(I292, 'PlayerGrades+'!$X$3:$Y$23, 2, FALSE)))+('PlayerGrades+'!$Y$50*(VLOOKUP(K292, 'PlayerGrades+'!$X$3:$Y$23, 2, FALSE)))+('PlayerGrades+'!$Y$51*(VLOOKUP(M292, 'PlayerGrades+'!$X$3:$Y$23, 2, FALSE)))+('PlayerGrades+'!$Y$52*(VLOOKUP(O292, 'PlayerGrades+'!$X$3:$Y$23, 2, FALSE)))+('PlayerGrades+'!$Y$53*(VLOOKUP(Q292, 'PlayerGrades+'!$X$3:$Y$23, 2, FALSE)))+('PlayerGrades+'!$Y$54*(VLOOKUP(S292, 'PlayerGrades+'!$X$3:$Y$23, 2, FALSE)))+('PlayerGrades+'!$Y$55*(VLOOKUP(U292, 'PlayerGrades+'!$X$3:$Y$23, 2, FALSE)))</f>
        <v>#DIV/0!</v>
      </c>
      <c r="D292" s="961" t="str">
        <f t="shared" si="1"/>
        <v>#DIV/0!</v>
      </c>
      <c r="E292" s="961" t="str">
        <f>IF(D292&lt;'PlayerGrades+'!$AA$21,"F-",IF(D292&lt;'PlayerGrades+'!$AA$20,"F",IF(D292&lt;'PlayerGrades+'!$AA$19,"F+",IF(D292&lt;'PlayerGrades+'!$AA$18,"E-",IF(D292&lt;'PlayerGrades+'!$AA$17,"E",IF(D292&lt;'PlayerGrades+'!$AA$16,"E+",IF(D292&lt;'PlayerGrades+'!$AA$15,"D-",IF(D292&lt;'PlayerGrades+'!$AA$14,"D",IF(D292&lt;'PlayerGrades+'!$AA$13,"D+",IF(D292&lt;'PlayerGrades+'!$AA$12,"C-",IF(D292&lt;'PlayerGrades+'!$AA$11,"C",IF(D292&lt;'PlayerGrades+'!$AA$10,"C+",IF(D292&lt;'PlayerGrades+'!$AA$9,"B-",IF(D292&lt;'PlayerGrades+'!$AA$8,"B",IF(D292&lt;'PlayerGrades+'!$AA$7,"B+",IF(D292&lt;'PlayerGrades+'!$AA$6,"A-",IF(D292&lt;'PlayerGrades+'!$AA$5,"A",IF(D292&lt;'PlayerGrades+'!$AA$4,"A+",IF(D292&lt;'PlayerGrades+'!$AA$3,"S-",IF(D292&lt;'PlayerGrades+'!$AA$2,"S","S+"))))))))))))))))))))</f>
        <v>#DIV/0!</v>
      </c>
      <c r="F292" s="961" t="str">
        <f t="shared" si="2"/>
        <v>#DIV/0!</v>
      </c>
      <c r="G292" s="961" t="str">
        <f>IF(F292&lt;'PlayerGrades+'!$AB$21,"F-",IF(F292&lt;'PlayerGrades+'!$AB$20,"F",IF(F292&lt;'PlayerGrades+'!$AB$19,"F+",IF(F292&lt;'PlayerGrades+'!$AB$18,"E-",IF(F292&lt;'PlayerGrades+'!$AB$17,"E",IF(F292&lt;'PlayerGrades+'!$AB$16,"E+",IF(F292&lt;'PlayerGrades+'!$AB$15,"D-",IF(F292&lt;'PlayerGrades+'!$AB$14,"D",IF(F292&lt;'PlayerGrades+'!$AB$13,"D+",IF(F292&lt;'PlayerGrades+'!$AB$12,"C-",IF(F292&lt;'PlayerGrades+'!$AB$11,"C",IF(F292&lt;'PlayerGrades+'!$AB$10,"C+",IF(F292&lt;'PlayerGrades+'!$AB$9,"B-",IF(F292&lt;'PlayerGrades+'!$AB$8,"B",IF(F292&lt;'PlayerGrades+'!$AB$7,"B+",IF(F292&lt;'PlayerGrades+'!$AB$6,"A-",IF(F292&lt;'PlayerGrades+'!$AB$5,"A",IF(F292&lt;'PlayerGrades+'!$AB$4,"A+",IF(F292&lt;'PlayerGrades+'!$AB$3,"S-",IF(F292&lt;'PlayerGrades+'!$AB$2,"S","S+"))))))))))))))))))))</f>
        <v>#DIV/0!</v>
      </c>
      <c r="H292" s="961" t="str">
        <f t="shared" si="3"/>
        <v>#DIV/0!</v>
      </c>
      <c r="I292" s="961" t="str">
        <f>IF(H292&lt;'PlayerGrades+'!$AC$21,"F-",IF(H292&lt;'PlayerGrades+'!$AC$20,"F",IF(H292&lt;'PlayerGrades+'!$AC$19,"F+",IF(H292&lt;'PlayerGrades+'!$AC$18,"E-",IF(H292&lt;'PlayerGrades+'!$AC$17,"E",IF(H292&lt;'PlayerGrades+'!$AC$16,"E+",IF(H292&lt;'PlayerGrades+'!$AC$15,"D-",IF(H292&lt;'PlayerGrades+'!$AC$14,"D",IF(H292&lt;'PlayerGrades+'!$AC$13,"D+",IF(H292&lt;'PlayerGrades+'!$AC$12,"C-",IF(H292&lt;'PlayerGrades+'!$AC$11,"C",IF(H292&lt;'PlayerGrades+'!$AC$10,"C+",IF(H292&lt;'PlayerGrades+'!$AC$9,"B-",IF(H292&lt;'PlayerGrades+'!$AC$8,"B",IF(H292&lt;'PlayerGrades+'!$AC$7,"B+",IF(H292&lt;'PlayerGrades+'!$AC$6,"A-",IF(H292&lt;'PlayerGrades+'!$AC$5,"A",IF(H292&lt;'PlayerGrades+'!$AC$4,"A+",IF(H292&lt;'PlayerGrades+'!$AC$3,"S-",IF(H292&lt;'PlayerGrades+'!$AC$2,"S","S+"))))))))))))))))))))</f>
        <v>#DIV/0!</v>
      </c>
      <c r="J292" s="961" t="str">
        <f t="shared" si="4"/>
        <v>#DIV/0!</v>
      </c>
      <c r="K292" s="961" t="str">
        <f>IF(J292&lt;'PlayerGrades+'!$AD$21,"F-",IF(J292&lt;'PlayerGrades+'!$AD$20,"F",IF(J292&lt;'PlayerGrades+'!$AD$19,"F+",IF(J292&lt;'PlayerGrades+'!$AD$18,"E-",IF(J292&lt;'PlayerGrades+'!$AD$17,"E",IF(J292&lt;'PlayerGrades+'!$AD$16,"E+",IF(J292&lt;'PlayerGrades+'!$AD$15,"D-",IF(J292&lt;'PlayerGrades+'!$AD$14,"D",IF(J292&lt;'PlayerGrades+'!$AD$13,"D+",IF(J292&lt;'PlayerGrades+'!$AD$12,"C-",IF(J292&lt;'PlayerGrades+'!$AD$11,"C",IF(J292&lt;'PlayerGrades+'!$AD$10,"C+",IF(J292&lt;'PlayerGrades+'!$AD$9,"B-",IF(J292&lt;'PlayerGrades+'!$AD$8,"B",IF(J292&lt;'PlayerGrades+'!$AD$7,"B+",IF(J292&lt;'PlayerGrades+'!$AD$6,"A-",IF(J292&lt;'PlayerGrades+'!$AD$5,"A",IF(J292&lt;'PlayerGrades+'!$AD$4,"A+",IF(J292&lt;'PlayerGrades+'!$AD$3,"S-",IF(J292&lt;'PlayerGrades+'!$AD$2,"S","S+"))))))))))))))))))))</f>
        <v>#DIV/0!</v>
      </c>
      <c r="L292" s="1176" t="str">
        <f t="shared" si="5"/>
        <v>#DIV/0!</v>
      </c>
      <c r="M292" s="992" t="str">
        <f>IF(L292&lt;'PlayerGrades+'!$AE$21,"F-",IF(L292&lt;'PlayerGrades+'!$AE$20,"F",IF(L292&lt;'PlayerGrades+'!$AE$19,"F+",IF(L292&lt;'PlayerGrades+'!$AE$18,"E-",IF(L292&lt;'PlayerGrades+'!$AE$17,"E",IF(L292&lt;'PlayerGrades+'!$AE$16,"E+",IF(L292&lt;'PlayerGrades+'!$AE$15,"D-",IF(L292&lt;'PlayerGrades+'!$AE$14,"D",IF(L292&lt;'PlayerGrades+'!$AE$13,"D+",IF(L292&lt;'PlayerGrades+'!$AE$12,"C-",IF(L292&lt;'PlayerGrades+'!$AE$11,"C",IF(L292&lt;'PlayerGrades+'!$AE$10,"C+",IF(L292&lt;'PlayerGrades+'!$AE$9,"B-",IF(L292&lt;'PlayerGrades+'!$AE$8,"B",IF(L292&lt;'PlayerGrades+'!$AE$7,"B+",IF(L292&lt;'PlayerGrades+'!$AE$6,"A-",IF(L292&lt;'PlayerGrades+'!$AE$5,"A",IF(L292&lt;'PlayerGrades+'!$AE$4,"A+",IF(L292&lt;'PlayerGrades+'!$AE$3,"S-",IF(L292&lt;'PlayerGrades+'!$AE$2,"S","S+"))))))))))))))))))))</f>
        <v>#DIV/0!</v>
      </c>
      <c r="N292" s="961" t="str">
        <f t="shared" si="6"/>
        <v>#DIV/0!</v>
      </c>
      <c r="O292" s="961" t="str">
        <f>IF(N292&lt;'PlayerGrades+'!$AF$21,"F-",IF(N292&lt;'PlayerGrades+'!$AF$20,"F",IF(N292&lt;'PlayerGrades+'!$AF$19,"F+",IF(N292&lt;'PlayerGrades+'!$AF$18,"E-",IF(N292&lt;'PlayerGrades+'!$AF$17,"E",IF(N292&lt;'PlayerGrades+'!$AF$16,"E+",IF(N292&lt;'PlayerGrades+'!$AF$15,"D-",IF(N292&lt;'PlayerGrades+'!$AF$14,"D",IF(N292&lt;'PlayerGrades+'!$AF$13,"D+",IF(N292&lt;'PlayerGrades+'!$AF$12,"C-",IF(N292&lt;'PlayerGrades+'!$AF$11,"C",IF(N292&lt;'PlayerGrades+'!$AF$10,"C+",IF(N292&lt;'PlayerGrades+'!$AF$9,"B-",IF(N292&lt;'PlayerGrades+'!$AF$8,"B",IF(N292&lt;'PlayerGrades+'!$AF$7,"B+",IF(N292&lt;'PlayerGrades+'!$AF$6,"A-",IF(N292&lt;'PlayerGrades+'!$AF$5,"A",IF(N292&lt;'PlayerGrades+'!$AF$4,"A+",IF(N292&lt;'PlayerGrades+'!$AF$3,"S-",IF(N292&lt;'PlayerGrades+'!$AF$2,"S","S+"))))))))))))))))))))</f>
        <v>#DIV/0!</v>
      </c>
      <c r="P292" s="961" t="str">
        <f t="shared" si="7"/>
        <v>#DIV/0!</v>
      </c>
      <c r="Q292" s="961" t="str">
        <f>IF(P292&lt;'PlayerGrades+'!$AG$21,"F-",IF(P292&lt;'PlayerGrades+'!$AG$20,"F",IF(P292&lt;'PlayerGrades+'!$AG$19,"F+",IF(P292&lt;'PlayerGrades+'!$AG$18,"E-",IF(P292&lt;'PlayerGrades+'!$AG$17,"E",IF(P292&lt;'PlayerGrades+'!$AG$16,"E+",IF(P292&lt;'PlayerGrades+'!$AG$15,"D-",IF(P292&lt;'PlayerGrades+'!$AG$14,"D",IF(P292&lt;'PlayerGrades+'!$AG$13,"D+",IF(P292&lt;'PlayerGrades+'!$AG$12,"C-",IF(P292&lt;'PlayerGrades+'!$AG$11,"C",IF(P292&lt;'PlayerGrades+'!$AG$10,"C+",IF(P292&lt;'PlayerGrades+'!$AG$9,"B-",IF(P292&lt;'PlayerGrades+'!$AG$8,"B",IF(P292&lt;'PlayerGrades+'!$AG$7,"B+",IF(P292&lt;'PlayerGrades+'!$AG$6,"A-",IF(P292&lt;'PlayerGrades+'!$AG$5,"A",IF(P292&lt;'PlayerGrades+'!$AG$4,"A+",IF(P292&lt;'PlayerGrades+'!$AG$3,"S-",IF(P292&lt;'PlayerGrades+'!$AG$2,"S","S+"))))))))))))))))))))</f>
        <v>#DIV/0!</v>
      </c>
      <c r="R292" s="961" t="str">
        <f t="shared" si="8"/>
        <v>#DIV/0!</v>
      </c>
      <c r="S292" s="961" t="str">
        <f>IF(R292&lt;'PlayerGrades+'!$AH$21,"F-",IF(R292&lt;'PlayerGrades+'!$AH$20,"F",IF(R292&lt;'PlayerGrades+'!$AH$19,"F+",IF(R292&lt;'PlayerGrades+'!$AH$18,"E-",IF(R292&lt;'PlayerGrades+'!$AH$17,"E",IF(R292&lt;'PlayerGrades+'!$AH$16,"E+",IF(R292&lt;'PlayerGrades+'!$AH$15,"D-",IF(R292&lt;'PlayerGrades+'!$AH$14,"D",IF(R292&lt;'PlayerGrades+'!$AH$13,"D+",IF(R292&lt;'PlayerGrades+'!$AH$12,"C-",IF(R292&lt;'PlayerGrades+'!$AH$11,"C",IF(R292&lt;'PlayerGrades+'!$AH$10,"C+",IF(R292&lt;'PlayerGrades+'!$AH$9,"B-",IF(R292&lt;'PlayerGrades+'!$AH$8,"B",IF(R292&lt;'PlayerGrades+'!$AH$7,"B+",IF(R292&lt;'PlayerGrades+'!$AH$6,"A-",IF(R292&lt;'PlayerGrades+'!$AH$5,"A",IF(R292&lt;'PlayerGrades+'!$AH$4,"A+",IF(R292&lt;'PlayerGrades+'!$AH$3,"S-",IF(R292&lt;'PlayerGrades+'!$AH$2,"S","S+"))))))))))))))))))))</f>
        <v>#DIV/0!</v>
      </c>
      <c r="T292" s="961">
        <f t="shared" si="9"/>
        <v>0</v>
      </c>
      <c r="U292" s="961" t="str">
        <f>IF(T292&lt;'PlayerGrades+'!$AI$21,"F-",IF(T292&lt;'PlayerGrades+'!$AI$20,"F",IF(T292&lt;'PlayerGrades+'!$AI$19,"F+",IF(T292&lt;'PlayerGrades+'!$AI$18,"E-",IF(T292&lt;'PlayerGrades+'!$AI$17,"E",IF(T292&lt;'PlayerGrades+'!$AI$16,"E+",IF(T292&lt;'PlayerGrades+'!$AI$15,"D-",IF(T292&lt;'PlayerGrades+'!$AI$14,"D",IF(T292&lt;'PlayerGrades+'!$AI$13,"D+",IF(T292&lt;'PlayerGrades+'!$AI$12,"C-",IF(T292&lt;'PlayerGrades+'!$AI$11,"C",IF(T292&lt;'PlayerGrades+'!$AI$10,"C+",IF(T292&lt;'PlayerGrades+'!$AI$9,"B-",IF(T292&lt;'PlayerGrades+'!$AI$8,"B",IF(T292&lt;'PlayerGrades+'!$AI$7,"B+",IF(T292&lt;'PlayerGrades+'!$AI$6,"A-",IF(T292&lt;'PlayerGrades+'!$AI$5,"A",IF(T292&lt;'PlayerGrades+'!$AI$4,"A+",IF(T292&lt;'PlayerGrades+'!$AI$3,"S-",IF(T292&lt;'PlayerGrades+'!$AI$2,"S","S+"))))))))))))))))))))</f>
        <v>F-</v>
      </c>
      <c r="AC292" s="1392"/>
    </row>
    <row r="293">
      <c r="A293" s="1391"/>
      <c r="B293" s="611" t="str">
        <f>IF(C293&lt;'PlayerGrades+'!$Y$44,"F-",IF(C293&lt;'PlayerGrades+'!$Y$43,"F",IF(C293&lt;'PlayerGrades+'!$Y$42,"F+",IF(C293&lt;'PlayerGrades+'!$Y$41,"E-",IF(C293&lt;'PlayerGrades+'!$Y$40,"E",IF(C293&lt;'PlayerGrades+'!$Y$39,"E+",IF(C293&lt;'PlayerGrades+'!$Y$38,"D-",IF(C293&lt;'PlayerGrades+'!$Y$37,"D",IF(C293&lt;'PlayerGrades+'!$Y$36,"D+",IF(C293&lt;'PlayerGrades+'!$Y$35,"C-",IF(C293&lt;'PlayerGrades+'!$Y$34,"C",IF(C293&lt;'PlayerGrades+'!$Y$33,"C+",IF(C293&lt;'PlayerGrades+'!$Y$32,"B-",IF(C293&lt;'PlayerGrades+'!$Y$31,"B",IF(C293&lt;'PlayerGrades+'!$Y$30,"B+",IF(C293&lt;'PlayerGrades+'!$Y$29,"A-",IF(C293&lt;'PlayerGrades+'!$Y$28,"A",IF(C293&lt;'PlayerGrades+'!$Y$27,"A+",IF(C293&lt;'PlayerGrades+'!$Y$26,"S-",IF(C293&lt;'PlayerGrades+'!$Y$25,"S","S+"))))))))))))))))))))</f>
        <v>#DIV/0!</v>
      </c>
      <c r="C293" s="1378" t="str">
        <f>('PlayerGrades+'!$Y$47*(VLOOKUP(E293, 'PlayerGrades+'!$X$3:$Y$23, 2, FALSE)))+('PlayerGrades+'!$Y$48*(VLOOKUP(G293, 'PlayerGrades+'!$X$3:$Y$23, 2, FALSE)))+('PlayerGrades+'!$Y$49*(VLOOKUP(I293, 'PlayerGrades+'!$X$3:$Y$23, 2, FALSE)))+('PlayerGrades+'!$Y$50*(VLOOKUP(K293, 'PlayerGrades+'!$X$3:$Y$23, 2, FALSE)))+('PlayerGrades+'!$Y$51*(VLOOKUP(M293, 'PlayerGrades+'!$X$3:$Y$23, 2, FALSE)))+('PlayerGrades+'!$Y$52*(VLOOKUP(O293, 'PlayerGrades+'!$X$3:$Y$23, 2, FALSE)))+('PlayerGrades+'!$Y$53*(VLOOKUP(Q293, 'PlayerGrades+'!$X$3:$Y$23, 2, FALSE)))+('PlayerGrades+'!$Y$54*(VLOOKUP(S293, 'PlayerGrades+'!$X$3:$Y$23, 2, FALSE)))+('PlayerGrades+'!$Y$55*(VLOOKUP(U293, 'PlayerGrades+'!$X$3:$Y$23, 2, FALSE)))</f>
        <v>#DIV/0!</v>
      </c>
      <c r="D293" s="961" t="str">
        <f t="shared" si="1"/>
        <v>#DIV/0!</v>
      </c>
      <c r="E293" s="961" t="str">
        <f>IF(D293&lt;'PlayerGrades+'!$AA$21,"F-",IF(D293&lt;'PlayerGrades+'!$AA$20,"F",IF(D293&lt;'PlayerGrades+'!$AA$19,"F+",IF(D293&lt;'PlayerGrades+'!$AA$18,"E-",IF(D293&lt;'PlayerGrades+'!$AA$17,"E",IF(D293&lt;'PlayerGrades+'!$AA$16,"E+",IF(D293&lt;'PlayerGrades+'!$AA$15,"D-",IF(D293&lt;'PlayerGrades+'!$AA$14,"D",IF(D293&lt;'PlayerGrades+'!$AA$13,"D+",IF(D293&lt;'PlayerGrades+'!$AA$12,"C-",IF(D293&lt;'PlayerGrades+'!$AA$11,"C",IF(D293&lt;'PlayerGrades+'!$AA$10,"C+",IF(D293&lt;'PlayerGrades+'!$AA$9,"B-",IF(D293&lt;'PlayerGrades+'!$AA$8,"B",IF(D293&lt;'PlayerGrades+'!$AA$7,"B+",IF(D293&lt;'PlayerGrades+'!$AA$6,"A-",IF(D293&lt;'PlayerGrades+'!$AA$5,"A",IF(D293&lt;'PlayerGrades+'!$AA$4,"A+",IF(D293&lt;'PlayerGrades+'!$AA$3,"S-",IF(D293&lt;'PlayerGrades+'!$AA$2,"S","S+"))))))))))))))))))))</f>
        <v>#DIV/0!</v>
      </c>
      <c r="F293" s="961" t="str">
        <f t="shared" si="2"/>
        <v>#DIV/0!</v>
      </c>
      <c r="G293" s="961" t="str">
        <f>IF(F293&lt;'PlayerGrades+'!$AB$21,"F-",IF(F293&lt;'PlayerGrades+'!$AB$20,"F",IF(F293&lt;'PlayerGrades+'!$AB$19,"F+",IF(F293&lt;'PlayerGrades+'!$AB$18,"E-",IF(F293&lt;'PlayerGrades+'!$AB$17,"E",IF(F293&lt;'PlayerGrades+'!$AB$16,"E+",IF(F293&lt;'PlayerGrades+'!$AB$15,"D-",IF(F293&lt;'PlayerGrades+'!$AB$14,"D",IF(F293&lt;'PlayerGrades+'!$AB$13,"D+",IF(F293&lt;'PlayerGrades+'!$AB$12,"C-",IF(F293&lt;'PlayerGrades+'!$AB$11,"C",IF(F293&lt;'PlayerGrades+'!$AB$10,"C+",IF(F293&lt;'PlayerGrades+'!$AB$9,"B-",IF(F293&lt;'PlayerGrades+'!$AB$8,"B",IF(F293&lt;'PlayerGrades+'!$AB$7,"B+",IF(F293&lt;'PlayerGrades+'!$AB$6,"A-",IF(F293&lt;'PlayerGrades+'!$AB$5,"A",IF(F293&lt;'PlayerGrades+'!$AB$4,"A+",IF(F293&lt;'PlayerGrades+'!$AB$3,"S-",IF(F293&lt;'PlayerGrades+'!$AB$2,"S","S+"))))))))))))))))))))</f>
        <v>#DIV/0!</v>
      </c>
      <c r="H293" s="961" t="str">
        <f t="shared" si="3"/>
        <v>#DIV/0!</v>
      </c>
      <c r="I293" s="961" t="str">
        <f>IF(H293&lt;'PlayerGrades+'!$AC$21,"F-",IF(H293&lt;'PlayerGrades+'!$AC$20,"F",IF(H293&lt;'PlayerGrades+'!$AC$19,"F+",IF(H293&lt;'PlayerGrades+'!$AC$18,"E-",IF(H293&lt;'PlayerGrades+'!$AC$17,"E",IF(H293&lt;'PlayerGrades+'!$AC$16,"E+",IF(H293&lt;'PlayerGrades+'!$AC$15,"D-",IF(H293&lt;'PlayerGrades+'!$AC$14,"D",IF(H293&lt;'PlayerGrades+'!$AC$13,"D+",IF(H293&lt;'PlayerGrades+'!$AC$12,"C-",IF(H293&lt;'PlayerGrades+'!$AC$11,"C",IF(H293&lt;'PlayerGrades+'!$AC$10,"C+",IF(H293&lt;'PlayerGrades+'!$AC$9,"B-",IF(H293&lt;'PlayerGrades+'!$AC$8,"B",IF(H293&lt;'PlayerGrades+'!$AC$7,"B+",IF(H293&lt;'PlayerGrades+'!$AC$6,"A-",IF(H293&lt;'PlayerGrades+'!$AC$5,"A",IF(H293&lt;'PlayerGrades+'!$AC$4,"A+",IF(H293&lt;'PlayerGrades+'!$AC$3,"S-",IF(H293&lt;'PlayerGrades+'!$AC$2,"S","S+"))))))))))))))))))))</f>
        <v>#DIV/0!</v>
      </c>
      <c r="J293" s="961" t="str">
        <f t="shared" si="4"/>
        <v>#DIV/0!</v>
      </c>
      <c r="K293" s="961" t="str">
        <f>IF(J293&lt;'PlayerGrades+'!$AD$21,"F-",IF(J293&lt;'PlayerGrades+'!$AD$20,"F",IF(J293&lt;'PlayerGrades+'!$AD$19,"F+",IF(J293&lt;'PlayerGrades+'!$AD$18,"E-",IF(J293&lt;'PlayerGrades+'!$AD$17,"E",IF(J293&lt;'PlayerGrades+'!$AD$16,"E+",IF(J293&lt;'PlayerGrades+'!$AD$15,"D-",IF(J293&lt;'PlayerGrades+'!$AD$14,"D",IF(J293&lt;'PlayerGrades+'!$AD$13,"D+",IF(J293&lt;'PlayerGrades+'!$AD$12,"C-",IF(J293&lt;'PlayerGrades+'!$AD$11,"C",IF(J293&lt;'PlayerGrades+'!$AD$10,"C+",IF(J293&lt;'PlayerGrades+'!$AD$9,"B-",IF(J293&lt;'PlayerGrades+'!$AD$8,"B",IF(J293&lt;'PlayerGrades+'!$AD$7,"B+",IF(J293&lt;'PlayerGrades+'!$AD$6,"A-",IF(J293&lt;'PlayerGrades+'!$AD$5,"A",IF(J293&lt;'PlayerGrades+'!$AD$4,"A+",IF(J293&lt;'PlayerGrades+'!$AD$3,"S-",IF(J293&lt;'PlayerGrades+'!$AD$2,"S","S+"))))))))))))))))))))</f>
        <v>#DIV/0!</v>
      </c>
      <c r="L293" s="1176" t="str">
        <f t="shared" si="5"/>
        <v>#DIV/0!</v>
      </c>
      <c r="M293" s="992" t="str">
        <f>IF(L293&lt;'PlayerGrades+'!$AE$21,"F-",IF(L293&lt;'PlayerGrades+'!$AE$20,"F",IF(L293&lt;'PlayerGrades+'!$AE$19,"F+",IF(L293&lt;'PlayerGrades+'!$AE$18,"E-",IF(L293&lt;'PlayerGrades+'!$AE$17,"E",IF(L293&lt;'PlayerGrades+'!$AE$16,"E+",IF(L293&lt;'PlayerGrades+'!$AE$15,"D-",IF(L293&lt;'PlayerGrades+'!$AE$14,"D",IF(L293&lt;'PlayerGrades+'!$AE$13,"D+",IF(L293&lt;'PlayerGrades+'!$AE$12,"C-",IF(L293&lt;'PlayerGrades+'!$AE$11,"C",IF(L293&lt;'PlayerGrades+'!$AE$10,"C+",IF(L293&lt;'PlayerGrades+'!$AE$9,"B-",IF(L293&lt;'PlayerGrades+'!$AE$8,"B",IF(L293&lt;'PlayerGrades+'!$AE$7,"B+",IF(L293&lt;'PlayerGrades+'!$AE$6,"A-",IF(L293&lt;'PlayerGrades+'!$AE$5,"A",IF(L293&lt;'PlayerGrades+'!$AE$4,"A+",IF(L293&lt;'PlayerGrades+'!$AE$3,"S-",IF(L293&lt;'PlayerGrades+'!$AE$2,"S","S+"))))))))))))))))))))</f>
        <v>#DIV/0!</v>
      </c>
      <c r="N293" s="961" t="str">
        <f t="shared" si="6"/>
        <v>#DIV/0!</v>
      </c>
      <c r="O293" s="961" t="str">
        <f>IF(N293&lt;'PlayerGrades+'!$AF$21,"F-",IF(N293&lt;'PlayerGrades+'!$AF$20,"F",IF(N293&lt;'PlayerGrades+'!$AF$19,"F+",IF(N293&lt;'PlayerGrades+'!$AF$18,"E-",IF(N293&lt;'PlayerGrades+'!$AF$17,"E",IF(N293&lt;'PlayerGrades+'!$AF$16,"E+",IF(N293&lt;'PlayerGrades+'!$AF$15,"D-",IF(N293&lt;'PlayerGrades+'!$AF$14,"D",IF(N293&lt;'PlayerGrades+'!$AF$13,"D+",IF(N293&lt;'PlayerGrades+'!$AF$12,"C-",IF(N293&lt;'PlayerGrades+'!$AF$11,"C",IF(N293&lt;'PlayerGrades+'!$AF$10,"C+",IF(N293&lt;'PlayerGrades+'!$AF$9,"B-",IF(N293&lt;'PlayerGrades+'!$AF$8,"B",IF(N293&lt;'PlayerGrades+'!$AF$7,"B+",IF(N293&lt;'PlayerGrades+'!$AF$6,"A-",IF(N293&lt;'PlayerGrades+'!$AF$5,"A",IF(N293&lt;'PlayerGrades+'!$AF$4,"A+",IF(N293&lt;'PlayerGrades+'!$AF$3,"S-",IF(N293&lt;'PlayerGrades+'!$AF$2,"S","S+"))))))))))))))))))))</f>
        <v>#DIV/0!</v>
      </c>
      <c r="P293" s="961" t="str">
        <f t="shared" si="7"/>
        <v>#DIV/0!</v>
      </c>
      <c r="Q293" s="961" t="str">
        <f>IF(P293&lt;'PlayerGrades+'!$AG$21,"F-",IF(P293&lt;'PlayerGrades+'!$AG$20,"F",IF(P293&lt;'PlayerGrades+'!$AG$19,"F+",IF(P293&lt;'PlayerGrades+'!$AG$18,"E-",IF(P293&lt;'PlayerGrades+'!$AG$17,"E",IF(P293&lt;'PlayerGrades+'!$AG$16,"E+",IF(P293&lt;'PlayerGrades+'!$AG$15,"D-",IF(P293&lt;'PlayerGrades+'!$AG$14,"D",IF(P293&lt;'PlayerGrades+'!$AG$13,"D+",IF(P293&lt;'PlayerGrades+'!$AG$12,"C-",IF(P293&lt;'PlayerGrades+'!$AG$11,"C",IF(P293&lt;'PlayerGrades+'!$AG$10,"C+",IF(P293&lt;'PlayerGrades+'!$AG$9,"B-",IF(P293&lt;'PlayerGrades+'!$AG$8,"B",IF(P293&lt;'PlayerGrades+'!$AG$7,"B+",IF(P293&lt;'PlayerGrades+'!$AG$6,"A-",IF(P293&lt;'PlayerGrades+'!$AG$5,"A",IF(P293&lt;'PlayerGrades+'!$AG$4,"A+",IF(P293&lt;'PlayerGrades+'!$AG$3,"S-",IF(P293&lt;'PlayerGrades+'!$AG$2,"S","S+"))))))))))))))))))))</f>
        <v>#DIV/0!</v>
      </c>
      <c r="R293" s="961" t="str">
        <f t="shared" si="8"/>
        <v>#DIV/0!</v>
      </c>
      <c r="S293" s="961" t="str">
        <f>IF(R293&lt;'PlayerGrades+'!$AH$21,"F-",IF(R293&lt;'PlayerGrades+'!$AH$20,"F",IF(R293&lt;'PlayerGrades+'!$AH$19,"F+",IF(R293&lt;'PlayerGrades+'!$AH$18,"E-",IF(R293&lt;'PlayerGrades+'!$AH$17,"E",IF(R293&lt;'PlayerGrades+'!$AH$16,"E+",IF(R293&lt;'PlayerGrades+'!$AH$15,"D-",IF(R293&lt;'PlayerGrades+'!$AH$14,"D",IF(R293&lt;'PlayerGrades+'!$AH$13,"D+",IF(R293&lt;'PlayerGrades+'!$AH$12,"C-",IF(R293&lt;'PlayerGrades+'!$AH$11,"C",IF(R293&lt;'PlayerGrades+'!$AH$10,"C+",IF(R293&lt;'PlayerGrades+'!$AH$9,"B-",IF(R293&lt;'PlayerGrades+'!$AH$8,"B",IF(R293&lt;'PlayerGrades+'!$AH$7,"B+",IF(R293&lt;'PlayerGrades+'!$AH$6,"A-",IF(R293&lt;'PlayerGrades+'!$AH$5,"A",IF(R293&lt;'PlayerGrades+'!$AH$4,"A+",IF(R293&lt;'PlayerGrades+'!$AH$3,"S-",IF(R293&lt;'PlayerGrades+'!$AH$2,"S","S+"))))))))))))))))))))</f>
        <v>#DIV/0!</v>
      </c>
      <c r="T293" s="961">
        <f t="shared" si="9"/>
        <v>0</v>
      </c>
      <c r="U293" s="961" t="str">
        <f>IF(T293&lt;'PlayerGrades+'!$AI$21,"F-",IF(T293&lt;'PlayerGrades+'!$AI$20,"F",IF(T293&lt;'PlayerGrades+'!$AI$19,"F+",IF(T293&lt;'PlayerGrades+'!$AI$18,"E-",IF(T293&lt;'PlayerGrades+'!$AI$17,"E",IF(T293&lt;'PlayerGrades+'!$AI$16,"E+",IF(T293&lt;'PlayerGrades+'!$AI$15,"D-",IF(T293&lt;'PlayerGrades+'!$AI$14,"D",IF(T293&lt;'PlayerGrades+'!$AI$13,"D+",IF(T293&lt;'PlayerGrades+'!$AI$12,"C-",IF(T293&lt;'PlayerGrades+'!$AI$11,"C",IF(T293&lt;'PlayerGrades+'!$AI$10,"C+",IF(T293&lt;'PlayerGrades+'!$AI$9,"B-",IF(T293&lt;'PlayerGrades+'!$AI$8,"B",IF(T293&lt;'PlayerGrades+'!$AI$7,"B+",IF(T293&lt;'PlayerGrades+'!$AI$6,"A-",IF(T293&lt;'PlayerGrades+'!$AI$5,"A",IF(T293&lt;'PlayerGrades+'!$AI$4,"A+",IF(T293&lt;'PlayerGrades+'!$AI$3,"S-",IF(T293&lt;'PlayerGrades+'!$AI$2,"S","S+"))))))))))))))))))))</f>
        <v>F-</v>
      </c>
      <c r="AC293" s="1392"/>
    </row>
    <row r="294">
      <c r="A294" s="1391"/>
      <c r="B294" s="611" t="str">
        <f>IF(C294&lt;'PlayerGrades+'!$Y$44,"F-",IF(C294&lt;'PlayerGrades+'!$Y$43,"F",IF(C294&lt;'PlayerGrades+'!$Y$42,"F+",IF(C294&lt;'PlayerGrades+'!$Y$41,"E-",IF(C294&lt;'PlayerGrades+'!$Y$40,"E",IF(C294&lt;'PlayerGrades+'!$Y$39,"E+",IF(C294&lt;'PlayerGrades+'!$Y$38,"D-",IF(C294&lt;'PlayerGrades+'!$Y$37,"D",IF(C294&lt;'PlayerGrades+'!$Y$36,"D+",IF(C294&lt;'PlayerGrades+'!$Y$35,"C-",IF(C294&lt;'PlayerGrades+'!$Y$34,"C",IF(C294&lt;'PlayerGrades+'!$Y$33,"C+",IF(C294&lt;'PlayerGrades+'!$Y$32,"B-",IF(C294&lt;'PlayerGrades+'!$Y$31,"B",IF(C294&lt;'PlayerGrades+'!$Y$30,"B+",IF(C294&lt;'PlayerGrades+'!$Y$29,"A-",IF(C294&lt;'PlayerGrades+'!$Y$28,"A",IF(C294&lt;'PlayerGrades+'!$Y$27,"A+",IF(C294&lt;'PlayerGrades+'!$Y$26,"S-",IF(C294&lt;'PlayerGrades+'!$Y$25,"S","S+"))))))))))))))))))))</f>
        <v>#DIV/0!</v>
      </c>
      <c r="C294" s="1378" t="str">
        <f>('PlayerGrades+'!$Y$47*(VLOOKUP(E294, 'PlayerGrades+'!$X$3:$Y$23, 2, FALSE)))+('PlayerGrades+'!$Y$48*(VLOOKUP(G294, 'PlayerGrades+'!$X$3:$Y$23, 2, FALSE)))+('PlayerGrades+'!$Y$49*(VLOOKUP(I294, 'PlayerGrades+'!$X$3:$Y$23, 2, FALSE)))+('PlayerGrades+'!$Y$50*(VLOOKUP(K294, 'PlayerGrades+'!$X$3:$Y$23, 2, FALSE)))+('PlayerGrades+'!$Y$51*(VLOOKUP(M294, 'PlayerGrades+'!$X$3:$Y$23, 2, FALSE)))+('PlayerGrades+'!$Y$52*(VLOOKUP(O294, 'PlayerGrades+'!$X$3:$Y$23, 2, FALSE)))+('PlayerGrades+'!$Y$53*(VLOOKUP(Q294, 'PlayerGrades+'!$X$3:$Y$23, 2, FALSE)))+('PlayerGrades+'!$Y$54*(VLOOKUP(S294, 'PlayerGrades+'!$X$3:$Y$23, 2, FALSE)))+('PlayerGrades+'!$Y$55*(VLOOKUP(U294, 'PlayerGrades+'!$X$3:$Y$23, 2, FALSE)))</f>
        <v>#DIV/0!</v>
      </c>
      <c r="D294" s="961" t="str">
        <f t="shared" si="1"/>
        <v>#DIV/0!</v>
      </c>
      <c r="E294" s="961" t="str">
        <f>IF(D294&lt;'PlayerGrades+'!$AA$21,"F-",IF(D294&lt;'PlayerGrades+'!$AA$20,"F",IF(D294&lt;'PlayerGrades+'!$AA$19,"F+",IF(D294&lt;'PlayerGrades+'!$AA$18,"E-",IF(D294&lt;'PlayerGrades+'!$AA$17,"E",IF(D294&lt;'PlayerGrades+'!$AA$16,"E+",IF(D294&lt;'PlayerGrades+'!$AA$15,"D-",IF(D294&lt;'PlayerGrades+'!$AA$14,"D",IF(D294&lt;'PlayerGrades+'!$AA$13,"D+",IF(D294&lt;'PlayerGrades+'!$AA$12,"C-",IF(D294&lt;'PlayerGrades+'!$AA$11,"C",IF(D294&lt;'PlayerGrades+'!$AA$10,"C+",IF(D294&lt;'PlayerGrades+'!$AA$9,"B-",IF(D294&lt;'PlayerGrades+'!$AA$8,"B",IF(D294&lt;'PlayerGrades+'!$AA$7,"B+",IF(D294&lt;'PlayerGrades+'!$AA$6,"A-",IF(D294&lt;'PlayerGrades+'!$AA$5,"A",IF(D294&lt;'PlayerGrades+'!$AA$4,"A+",IF(D294&lt;'PlayerGrades+'!$AA$3,"S-",IF(D294&lt;'PlayerGrades+'!$AA$2,"S","S+"))))))))))))))))))))</f>
        <v>#DIV/0!</v>
      </c>
      <c r="F294" s="961" t="str">
        <f t="shared" si="2"/>
        <v>#DIV/0!</v>
      </c>
      <c r="G294" s="961" t="str">
        <f>IF(F294&lt;'PlayerGrades+'!$AB$21,"F-",IF(F294&lt;'PlayerGrades+'!$AB$20,"F",IF(F294&lt;'PlayerGrades+'!$AB$19,"F+",IF(F294&lt;'PlayerGrades+'!$AB$18,"E-",IF(F294&lt;'PlayerGrades+'!$AB$17,"E",IF(F294&lt;'PlayerGrades+'!$AB$16,"E+",IF(F294&lt;'PlayerGrades+'!$AB$15,"D-",IF(F294&lt;'PlayerGrades+'!$AB$14,"D",IF(F294&lt;'PlayerGrades+'!$AB$13,"D+",IF(F294&lt;'PlayerGrades+'!$AB$12,"C-",IF(F294&lt;'PlayerGrades+'!$AB$11,"C",IF(F294&lt;'PlayerGrades+'!$AB$10,"C+",IF(F294&lt;'PlayerGrades+'!$AB$9,"B-",IF(F294&lt;'PlayerGrades+'!$AB$8,"B",IF(F294&lt;'PlayerGrades+'!$AB$7,"B+",IF(F294&lt;'PlayerGrades+'!$AB$6,"A-",IF(F294&lt;'PlayerGrades+'!$AB$5,"A",IF(F294&lt;'PlayerGrades+'!$AB$4,"A+",IF(F294&lt;'PlayerGrades+'!$AB$3,"S-",IF(F294&lt;'PlayerGrades+'!$AB$2,"S","S+"))))))))))))))))))))</f>
        <v>#DIV/0!</v>
      </c>
      <c r="H294" s="961" t="str">
        <f t="shared" si="3"/>
        <v>#DIV/0!</v>
      </c>
      <c r="I294" s="961" t="str">
        <f>IF(H294&lt;'PlayerGrades+'!$AC$21,"F-",IF(H294&lt;'PlayerGrades+'!$AC$20,"F",IF(H294&lt;'PlayerGrades+'!$AC$19,"F+",IF(H294&lt;'PlayerGrades+'!$AC$18,"E-",IF(H294&lt;'PlayerGrades+'!$AC$17,"E",IF(H294&lt;'PlayerGrades+'!$AC$16,"E+",IF(H294&lt;'PlayerGrades+'!$AC$15,"D-",IF(H294&lt;'PlayerGrades+'!$AC$14,"D",IF(H294&lt;'PlayerGrades+'!$AC$13,"D+",IF(H294&lt;'PlayerGrades+'!$AC$12,"C-",IF(H294&lt;'PlayerGrades+'!$AC$11,"C",IF(H294&lt;'PlayerGrades+'!$AC$10,"C+",IF(H294&lt;'PlayerGrades+'!$AC$9,"B-",IF(H294&lt;'PlayerGrades+'!$AC$8,"B",IF(H294&lt;'PlayerGrades+'!$AC$7,"B+",IF(H294&lt;'PlayerGrades+'!$AC$6,"A-",IF(H294&lt;'PlayerGrades+'!$AC$5,"A",IF(H294&lt;'PlayerGrades+'!$AC$4,"A+",IF(H294&lt;'PlayerGrades+'!$AC$3,"S-",IF(H294&lt;'PlayerGrades+'!$AC$2,"S","S+"))))))))))))))))))))</f>
        <v>#DIV/0!</v>
      </c>
      <c r="J294" s="961" t="str">
        <f t="shared" si="4"/>
        <v>#DIV/0!</v>
      </c>
      <c r="K294" s="961" t="str">
        <f>IF(J294&lt;'PlayerGrades+'!$AD$21,"F-",IF(J294&lt;'PlayerGrades+'!$AD$20,"F",IF(J294&lt;'PlayerGrades+'!$AD$19,"F+",IF(J294&lt;'PlayerGrades+'!$AD$18,"E-",IF(J294&lt;'PlayerGrades+'!$AD$17,"E",IF(J294&lt;'PlayerGrades+'!$AD$16,"E+",IF(J294&lt;'PlayerGrades+'!$AD$15,"D-",IF(J294&lt;'PlayerGrades+'!$AD$14,"D",IF(J294&lt;'PlayerGrades+'!$AD$13,"D+",IF(J294&lt;'PlayerGrades+'!$AD$12,"C-",IF(J294&lt;'PlayerGrades+'!$AD$11,"C",IF(J294&lt;'PlayerGrades+'!$AD$10,"C+",IF(J294&lt;'PlayerGrades+'!$AD$9,"B-",IF(J294&lt;'PlayerGrades+'!$AD$8,"B",IF(J294&lt;'PlayerGrades+'!$AD$7,"B+",IF(J294&lt;'PlayerGrades+'!$AD$6,"A-",IF(J294&lt;'PlayerGrades+'!$AD$5,"A",IF(J294&lt;'PlayerGrades+'!$AD$4,"A+",IF(J294&lt;'PlayerGrades+'!$AD$3,"S-",IF(J294&lt;'PlayerGrades+'!$AD$2,"S","S+"))))))))))))))))))))</f>
        <v>#DIV/0!</v>
      </c>
      <c r="L294" s="1176" t="str">
        <f t="shared" si="5"/>
        <v>#DIV/0!</v>
      </c>
      <c r="M294" s="992" t="str">
        <f>IF(L294&lt;'PlayerGrades+'!$AE$21,"F-",IF(L294&lt;'PlayerGrades+'!$AE$20,"F",IF(L294&lt;'PlayerGrades+'!$AE$19,"F+",IF(L294&lt;'PlayerGrades+'!$AE$18,"E-",IF(L294&lt;'PlayerGrades+'!$AE$17,"E",IF(L294&lt;'PlayerGrades+'!$AE$16,"E+",IF(L294&lt;'PlayerGrades+'!$AE$15,"D-",IF(L294&lt;'PlayerGrades+'!$AE$14,"D",IF(L294&lt;'PlayerGrades+'!$AE$13,"D+",IF(L294&lt;'PlayerGrades+'!$AE$12,"C-",IF(L294&lt;'PlayerGrades+'!$AE$11,"C",IF(L294&lt;'PlayerGrades+'!$AE$10,"C+",IF(L294&lt;'PlayerGrades+'!$AE$9,"B-",IF(L294&lt;'PlayerGrades+'!$AE$8,"B",IF(L294&lt;'PlayerGrades+'!$AE$7,"B+",IF(L294&lt;'PlayerGrades+'!$AE$6,"A-",IF(L294&lt;'PlayerGrades+'!$AE$5,"A",IF(L294&lt;'PlayerGrades+'!$AE$4,"A+",IF(L294&lt;'PlayerGrades+'!$AE$3,"S-",IF(L294&lt;'PlayerGrades+'!$AE$2,"S","S+"))))))))))))))))))))</f>
        <v>#DIV/0!</v>
      </c>
      <c r="N294" s="961" t="str">
        <f t="shared" si="6"/>
        <v>#DIV/0!</v>
      </c>
      <c r="O294" s="961" t="str">
        <f>IF(N294&lt;'PlayerGrades+'!$AF$21,"F-",IF(N294&lt;'PlayerGrades+'!$AF$20,"F",IF(N294&lt;'PlayerGrades+'!$AF$19,"F+",IF(N294&lt;'PlayerGrades+'!$AF$18,"E-",IF(N294&lt;'PlayerGrades+'!$AF$17,"E",IF(N294&lt;'PlayerGrades+'!$AF$16,"E+",IF(N294&lt;'PlayerGrades+'!$AF$15,"D-",IF(N294&lt;'PlayerGrades+'!$AF$14,"D",IF(N294&lt;'PlayerGrades+'!$AF$13,"D+",IF(N294&lt;'PlayerGrades+'!$AF$12,"C-",IF(N294&lt;'PlayerGrades+'!$AF$11,"C",IF(N294&lt;'PlayerGrades+'!$AF$10,"C+",IF(N294&lt;'PlayerGrades+'!$AF$9,"B-",IF(N294&lt;'PlayerGrades+'!$AF$8,"B",IF(N294&lt;'PlayerGrades+'!$AF$7,"B+",IF(N294&lt;'PlayerGrades+'!$AF$6,"A-",IF(N294&lt;'PlayerGrades+'!$AF$5,"A",IF(N294&lt;'PlayerGrades+'!$AF$4,"A+",IF(N294&lt;'PlayerGrades+'!$AF$3,"S-",IF(N294&lt;'PlayerGrades+'!$AF$2,"S","S+"))))))))))))))))))))</f>
        <v>#DIV/0!</v>
      </c>
      <c r="P294" s="961" t="str">
        <f t="shared" si="7"/>
        <v>#DIV/0!</v>
      </c>
      <c r="Q294" s="961" t="str">
        <f>IF(P294&lt;'PlayerGrades+'!$AG$21,"F-",IF(P294&lt;'PlayerGrades+'!$AG$20,"F",IF(P294&lt;'PlayerGrades+'!$AG$19,"F+",IF(P294&lt;'PlayerGrades+'!$AG$18,"E-",IF(P294&lt;'PlayerGrades+'!$AG$17,"E",IF(P294&lt;'PlayerGrades+'!$AG$16,"E+",IF(P294&lt;'PlayerGrades+'!$AG$15,"D-",IF(P294&lt;'PlayerGrades+'!$AG$14,"D",IF(P294&lt;'PlayerGrades+'!$AG$13,"D+",IF(P294&lt;'PlayerGrades+'!$AG$12,"C-",IF(P294&lt;'PlayerGrades+'!$AG$11,"C",IF(P294&lt;'PlayerGrades+'!$AG$10,"C+",IF(P294&lt;'PlayerGrades+'!$AG$9,"B-",IF(P294&lt;'PlayerGrades+'!$AG$8,"B",IF(P294&lt;'PlayerGrades+'!$AG$7,"B+",IF(P294&lt;'PlayerGrades+'!$AG$6,"A-",IF(P294&lt;'PlayerGrades+'!$AG$5,"A",IF(P294&lt;'PlayerGrades+'!$AG$4,"A+",IF(P294&lt;'PlayerGrades+'!$AG$3,"S-",IF(P294&lt;'PlayerGrades+'!$AG$2,"S","S+"))))))))))))))))))))</f>
        <v>#DIV/0!</v>
      </c>
      <c r="R294" s="961" t="str">
        <f t="shared" si="8"/>
        <v>#DIV/0!</v>
      </c>
      <c r="S294" s="961" t="str">
        <f>IF(R294&lt;'PlayerGrades+'!$AH$21,"F-",IF(R294&lt;'PlayerGrades+'!$AH$20,"F",IF(R294&lt;'PlayerGrades+'!$AH$19,"F+",IF(R294&lt;'PlayerGrades+'!$AH$18,"E-",IF(R294&lt;'PlayerGrades+'!$AH$17,"E",IF(R294&lt;'PlayerGrades+'!$AH$16,"E+",IF(R294&lt;'PlayerGrades+'!$AH$15,"D-",IF(R294&lt;'PlayerGrades+'!$AH$14,"D",IF(R294&lt;'PlayerGrades+'!$AH$13,"D+",IF(R294&lt;'PlayerGrades+'!$AH$12,"C-",IF(R294&lt;'PlayerGrades+'!$AH$11,"C",IF(R294&lt;'PlayerGrades+'!$AH$10,"C+",IF(R294&lt;'PlayerGrades+'!$AH$9,"B-",IF(R294&lt;'PlayerGrades+'!$AH$8,"B",IF(R294&lt;'PlayerGrades+'!$AH$7,"B+",IF(R294&lt;'PlayerGrades+'!$AH$6,"A-",IF(R294&lt;'PlayerGrades+'!$AH$5,"A",IF(R294&lt;'PlayerGrades+'!$AH$4,"A+",IF(R294&lt;'PlayerGrades+'!$AH$3,"S-",IF(R294&lt;'PlayerGrades+'!$AH$2,"S","S+"))))))))))))))))))))</f>
        <v>#DIV/0!</v>
      </c>
      <c r="T294" s="961">
        <f t="shared" si="9"/>
        <v>0</v>
      </c>
      <c r="U294" s="961" t="str">
        <f>IF(T294&lt;'PlayerGrades+'!$AI$21,"F-",IF(T294&lt;'PlayerGrades+'!$AI$20,"F",IF(T294&lt;'PlayerGrades+'!$AI$19,"F+",IF(T294&lt;'PlayerGrades+'!$AI$18,"E-",IF(T294&lt;'PlayerGrades+'!$AI$17,"E",IF(T294&lt;'PlayerGrades+'!$AI$16,"E+",IF(T294&lt;'PlayerGrades+'!$AI$15,"D-",IF(T294&lt;'PlayerGrades+'!$AI$14,"D",IF(T294&lt;'PlayerGrades+'!$AI$13,"D+",IF(T294&lt;'PlayerGrades+'!$AI$12,"C-",IF(T294&lt;'PlayerGrades+'!$AI$11,"C",IF(T294&lt;'PlayerGrades+'!$AI$10,"C+",IF(T294&lt;'PlayerGrades+'!$AI$9,"B-",IF(T294&lt;'PlayerGrades+'!$AI$8,"B",IF(T294&lt;'PlayerGrades+'!$AI$7,"B+",IF(T294&lt;'PlayerGrades+'!$AI$6,"A-",IF(T294&lt;'PlayerGrades+'!$AI$5,"A",IF(T294&lt;'PlayerGrades+'!$AI$4,"A+",IF(T294&lt;'PlayerGrades+'!$AI$3,"S-",IF(T294&lt;'PlayerGrades+'!$AI$2,"S","S+"))))))))))))))))))))</f>
        <v>F-</v>
      </c>
      <c r="AC294" s="1392"/>
    </row>
    <row r="295">
      <c r="A295" s="1391"/>
      <c r="B295" s="611" t="str">
        <f>IF(C295&lt;'PlayerGrades+'!$Y$44,"F-",IF(C295&lt;'PlayerGrades+'!$Y$43,"F",IF(C295&lt;'PlayerGrades+'!$Y$42,"F+",IF(C295&lt;'PlayerGrades+'!$Y$41,"E-",IF(C295&lt;'PlayerGrades+'!$Y$40,"E",IF(C295&lt;'PlayerGrades+'!$Y$39,"E+",IF(C295&lt;'PlayerGrades+'!$Y$38,"D-",IF(C295&lt;'PlayerGrades+'!$Y$37,"D",IF(C295&lt;'PlayerGrades+'!$Y$36,"D+",IF(C295&lt;'PlayerGrades+'!$Y$35,"C-",IF(C295&lt;'PlayerGrades+'!$Y$34,"C",IF(C295&lt;'PlayerGrades+'!$Y$33,"C+",IF(C295&lt;'PlayerGrades+'!$Y$32,"B-",IF(C295&lt;'PlayerGrades+'!$Y$31,"B",IF(C295&lt;'PlayerGrades+'!$Y$30,"B+",IF(C295&lt;'PlayerGrades+'!$Y$29,"A-",IF(C295&lt;'PlayerGrades+'!$Y$28,"A",IF(C295&lt;'PlayerGrades+'!$Y$27,"A+",IF(C295&lt;'PlayerGrades+'!$Y$26,"S-",IF(C295&lt;'PlayerGrades+'!$Y$25,"S","S+"))))))))))))))))))))</f>
        <v>#DIV/0!</v>
      </c>
      <c r="C295" s="1378" t="str">
        <f>('PlayerGrades+'!$Y$47*(VLOOKUP(E295, 'PlayerGrades+'!$X$3:$Y$23, 2, FALSE)))+('PlayerGrades+'!$Y$48*(VLOOKUP(G295, 'PlayerGrades+'!$X$3:$Y$23, 2, FALSE)))+('PlayerGrades+'!$Y$49*(VLOOKUP(I295, 'PlayerGrades+'!$X$3:$Y$23, 2, FALSE)))+('PlayerGrades+'!$Y$50*(VLOOKUP(K295, 'PlayerGrades+'!$X$3:$Y$23, 2, FALSE)))+('PlayerGrades+'!$Y$51*(VLOOKUP(M295, 'PlayerGrades+'!$X$3:$Y$23, 2, FALSE)))+('PlayerGrades+'!$Y$52*(VLOOKUP(O295, 'PlayerGrades+'!$X$3:$Y$23, 2, FALSE)))+('PlayerGrades+'!$Y$53*(VLOOKUP(Q295, 'PlayerGrades+'!$X$3:$Y$23, 2, FALSE)))+('PlayerGrades+'!$Y$54*(VLOOKUP(S295, 'PlayerGrades+'!$X$3:$Y$23, 2, FALSE)))+('PlayerGrades+'!$Y$55*(VLOOKUP(U295, 'PlayerGrades+'!$X$3:$Y$23, 2, FALSE)))</f>
        <v>#DIV/0!</v>
      </c>
      <c r="D295" s="961" t="str">
        <f t="shared" si="1"/>
        <v>#DIV/0!</v>
      </c>
      <c r="E295" s="961" t="str">
        <f>IF(D295&lt;'PlayerGrades+'!$AA$21,"F-",IF(D295&lt;'PlayerGrades+'!$AA$20,"F",IF(D295&lt;'PlayerGrades+'!$AA$19,"F+",IF(D295&lt;'PlayerGrades+'!$AA$18,"E-",IF(D295&lt;'PlayerGrades+'!$AA$17,"E",IF(D295&lt;'PlayerGrades+'!$AA$16,"E+",IF(D295&lt;'PlayerGrades+'!$AA$15,"D-",IF(D295&lt;'PlayerGrades+'!$AA$14,"D",IF(D295&lt;'PlayerGrades+'!$AA$13,"D+",IF(D295&lt;'PlayerGrades+'!$AA$12,"C-",IF(D295&lt;'PlayerGrades+'!$AA$11,"C",IF(D295&lt;'PlayerGrades+'!$AA$10,"C+",IF(D295&lt;'PlayerGrades+'!$AA$9,"B-",IF(D295&lt;'PlayerGrades+'!$AA$8,"B",IF(D295&lt;'PlayerGrades+'!$AA$7,"B+",IF(D295&lt;'PlayerGrades+'!$AA$6,"A-",IF(D295&lt;'PlayerGrades+'!$AA$5,"A",IF(D295&lt;'PlayerGrades+'!$AA$4,"A+",IF(D295&lt;'PlayerGrades+'!$AA$3,"S-",IF(D295&lt;'PlayerGrades+'!$AA$2,"S","S+"))))))))))))))))))))</f>
        <v>#DIV/0!</v>
      </c>
      <c r="F295" s="961" t="str">
        <f t="shared" si="2"/>
        <v>#DIV/0!</v>
      </c>
      <c r="G295" s="961" t="str">
        <f>IF(F295&lt;'PlayerGrades+'!$AB$21,"F-",IF(F295&lt;'PlayerGrades+'!$AB$20,"F",IF(F295&lt;'PlayerGrades+'!$AB$19,"F+",IF(F295&lt;'PlayerGrades+'!$AB$18,"E-",IF(F295&lt;'PlayerGrades+'!$AB$17,"E",IF(F295&lt;'PlayerGrades+'!$AB$16,"E+",IF(F295&lt;'PlayerGrades+'!$AB$15,"D-",IF(F295&lt;'PlayerGrades+'!$AB$14,"D",IF(F295&lt;'PlayerGrades+'!$AB$13,"D+",IF(F295&lt;'PlayerGrades+'!$AB$12,"C-",IF(F295&lt;'PlayerGrades+'!$AB$11,"C",IF(F295&lt;'PlayerGrades+'!$AB$10,"C+",IF(F295&lt;'PlayerGrades+'!$AB$9,"B-",IF(F295&lt;'PlayerGrades+'!$AB$8,"B",IF(F295&lt;'PlayerGrades+'!$AB$7,"B+",IF(F295&lt;'PlayerGrades+'!$AB$6,"A-",IF(F295&lt;'PlayerGrades+'!$AB$5,"A",IF(F295&lt;'PlayerGrades+'!$AB$4,"A+",IF(F295&lt;'PlayerGrades+'!$AB$3,"S-",IF(F295&lt;'PlayerGrades+'!$AB$2,"S","S+"))))))))))))))))))))</f>
        <v>#DIV/0!</v>
      </c>
      <c r="H295" s="961" t="str">
        <f t="shared" si="3"/>
        <v>#DIV/0!</v>
      </c>
      <c r="I295" s="961" t="str">
        <f>IF(H295&lt;'PlayerGrades+'!$AC$21,"F-",IF(H295&lt;'PlayerGrades+'!$AC$20,"F",IF(H295&lt;'PlayerGrades+'!$AC$19,"F+",IF(H295&lt;'PlayerGrades+'!$AC$18,"E-",IF(H295&lt;'PlayerGrades+'!$AC$17,"E",IF(H295&lt;'PlayerGrades+'!$AC$16,"E+",IF(H295&lt;'PlayerGrades+'!$AC$15,"D-",IF(H295&lt;'PlayerGrades+'!$AC$14,"D",IF(H295&lt;'PlayerGrades+'!$AC$13,"D+",IF(H295&lt;'PlayerGrades+'!$AC$12,"C-",IF(H295&lt;'PlayerGrades+'!$AC$11,"C",IF(H295&lt;'PlayerGrades+'!$AC$10,"C+",IF(H295&lt;'PlayerGrades+'!$AC$9,"B-",IF(H295&lt;'PlayerGrades+'!$AC$8,"B",IF(H295&lt;'PlayerGrades+'!$AC$7,"B+",IF(H295&lt;'PlayerGrades+'!$AC$6,"A-",IF(H295&lt;'PlayerGrades+'!$AC$5,"A",IF(H295&lt;'PlayerGrades+'!$AC$4,"A+",IF(H295&lt;'PlayerGrades+'!$AC$3,"S-",IF(H295&lt;'PlayerGrades+'!$AC$2,"S","S+"))))))))))))))))))))</f>
        <v>#DIV/0!</v>
      </c>
      <c r="J295" s="961" t="str">
        <f t="shared" si="4"/>
        <v>#DIV/0!</v>
      </c>
      <c r="K295" s="961" t="str">
        <f>IF(J295&lt;'PlayerGrades+'!$AD$21,"F-",IF(J295&lt;'PlayerGrades+'!$AD$20,"F",IF(J295&lt;'PlayerGrades+'!$AD$19,"F+",IF(J295&lt;'PlayerGrades+'!$AD$18,"E-",IF(J295&lt;'PlayerGrades+'!$AD$17,"E",IF(J295&lt;'PlayerGrades+'!$AD$16,"E+",IF(J295&lt;'PlayerGrades+'!$AD$15,"D-",IF(J295&lt;'PlayerGrades+'!$AD$14,"D",IF(J295&lt;'PlayerGrades+'!$AD$13,"D+",IF(J295&lt;'PlayerGrades+'!$AD$12,"C-",IF(J295&lt;'PlayerGrades+'!$AD$11,"C",IF(J295&lt;'PlayerGrades+'!$AD$10,"C+",IF(J295&lt;'PlayerGrades+'!$AD$9,"B-",IF(J295&lt;'PlayerGrades+'!$AD$8,"B",IF(J295&lt;'PlayerGrades+'!$AD$7,"B+",IF(J295&lt;'PlayerGrades+'!$AD$6,"A-",IF(J295&lt;'PlayerGrades+'!$AD$5,"A",IF(J295&lt;'PlayerGrades+'!$AD$4,"A+",IF(J295&lt;'PlayerGrades+'!$AD$3,"S-",IF(J295&lt;'PlayerGrades+'!$AD$2,"S","S+"))))))))))))))))))))</f>
        <v>#DIV/0!</v>
      </c>
      <c r="L295" s="1176" t="str">
        <f t="shared" si="5"/>
        <v>#DIV/0!</v>
      </c>
      <c r="M295" s="992" t="str">
        <f>IF(L295&lt;'PlayerGrades+'!$AE$21,"F-",IF(L295&lt;'PlayerGrades+'!$AE$20,"F",IF(L295&lt;'PlayerGrades+'!$AE$19,"F+",IF(L295&lt;'PlayerGrades+'!$AE$18,"E-",IF(L295&lt;'PlayerGrades+'!$AE$17,"E",IF(L295&lt;'PlayerGrades+'!$AE$16,"E+",IF(L295&lt;'PlayerGrades+'!$AE$15,"D-",IF(L295&lt;'PlayerGrades+'!$AE$14,"D",IF(L295&lt;'PlayerGrades+'!$AE$13,"D+",IF(L295&lt;'PlayerGrades+'!$AE$12,"C-",IF(L295&lt;'PlayerGrades+'!$AE$11,"C",IF(L295&lt;'PlayerGrades+'!$AE$10,"C+",IF(L295&lt;'PlayerGrades+'!$AE$9,"B-",IF(L295&lt;'PlayerGrades+'!$AE$8,"B",IF(L295&lt;'PlayerGrades+'!$AE$7,"B+",IF(L295&lt;'PlayerGrades+'!$AE$6,"A-",IF(L295&lt;'PlayerGrades+'!$AE$5,"A",IF(L295&lt;'PlayerGrades+'!$AE$4,"A+",IF(L295&lt;'PlayerGrades+'!$AE$3,"S-",IF(L295&lt;'PlayerGrades+'!$AE$2,"S","S+"))))))))))))))))))))</f>
        <v>#DIV/0!</v>
      </c>
      <c r="N295" s="961" t="str">
        <f t="shared" si="6"/>
        <v>#DIV/0!</v>
      </c>
      <c r="O295" s="961" t="str">
        <f>IF(N295&lt;'PlayerGrades+'!$AF$21,"F-",IF(N295&lt;'PlayerGrades+'!$AF$20,"F",IF(N295&lt;'PlayerGrades+'!$AF$19,"F+",IF(N295&lt;'PlayerGrades+'!$AF$18,"E-",IF(N295&lt;'PlayerGrades+'!$AF$17,"E",IF(N295&lt;'PlayerGrades+'!$AF$16,"E+",IF(N295&lt;'PlayerGrades+'!$AF$15,"D-",IF(N295&lt;'PlayerGrades+'!$AF$14,"D",IF(N295&lt;'PlayerGrades+'!$AF$13,"D+",IF(N295&lt;'PlayerGrades+'!$AF$12,"C-",IF(N295&lt;'PlayerGrades+'!$AF$11,"C",IF(N295&lt;'PlayerGrades+'!$AF$10,"C+",IF(N295&lt;'PlayerGrades+'!$AF$9,"B-",IF(N295&lt;'PlayerGrades+'!$AF$8,"B",IF(N295&lt;'PlayerGrades+'!$AF$7,"B+",IF(N295&lt;'PlayerGrades+'!$AF$6,"A-",IF(N295&lt;'PlayerGrades+'!$AF$5,"A",IF(N295&lt;'PlayerGrades+'!$AF$4,"A+",IF(N295&lt;'PlayerGrades+'!$AF$3,"S-",IF(N295&lt;'PlayerGrades+'!$AF$2,"S","S+"))))))))))))))))))))</f>
        <v>#DIV/0!</v>
      </c>
      <c r="P295" s="961" t="str">
        <f t="shared" si="7"/>
        <v>#DIV/0!</v>
      </c>
      <c r="Q295" s="961" t="str">
        <f>IF(P295&lt;'PlayerGrades+'!$AG$21,"F-",IF(P295&lt;'PlayerGrades+'!$AG$20,"F",IF(P295&lt;'PlayerGrades+'!$AG$19,"F+",IF(P295&lt;'PlayerGrades+'!$AG$18,"E-",IF(P295&lt;'PlayerGrades+'!$AG$17,"E",IF(P295&lt;'PlayerGrades+'!$AG$16,"E+",IF(P295&lt;'PlayerGrades+'!$AG$15,"D-",IF(P295&lt;'PlayerGrades+'!$AG$14,"D",IF(P295&lt;'PlayerGrades+'!$AG$13,"D+",IF(P295&lt;'PlayerGrades+'!$AG$12,"C-",IF(P295&lt;'PlayerGrades+'!$AG$11,"C",IF(P295&lt;'PlayerGrades+'!$AG$10,"C+",IF(P295&lt;'PlayerGrades+'!$AG$9,"B-",IF(P295&lt;'PlayerGrades+'!$AG$8,"B",IF(P295&lt;'PlayerGrades+'!$AG$7,"B+",IF(P295&lt;'PlayerGrades+'!$AG$6,"A-",IF(P295&lt;'PlayerGrades+'!$AG$5,"A",IF(P295&lt;'PlayerGrades+'!$AG$4,"A+",IF(P295&lt;'PlayerGrades+'!$AG$3,"S-",IF(P295&lt;'PlayerGrades+'!$AG$2,"S","S+"))))))))))))))))))))</f>
        <v>#DIV/0!</v>
      </c>
      <c r="R295" s="961" t="str">
        <f t="shared" si="8"/>
        <v>#DIV/0!</v>
      </c>
      <c r="S295" s="961" t="str">
        <f>IF(R295&lt;'PlayerGrades+'!$AH$21,"F-",IF(R295&lt;'PlayerGrades+'!$AH$20,"F",IF(R295&lt;'PlayerGrades+'!$AH$19,"F+",IF(R295&lt;'PlayerGrades+'!$AH$18,"E-",IF(R295&lt;'PlayerGrades+'!$AH$17,"E",IF(R295&lt;'PlayerGrades+'!$AH$16,"E+",IF(R295&lt;'PlayerGrades+'!$AH$15,"D-",IF(R295&lt;'PlayerGrades+'!$AH$14,"D",IF(R295&lt;'PlayerGrades+'!$AH$13,"D+",IF(R295&lt;'PlayerGrades+'!$AH$12,"C-",IF(R295&lt;'PlayerGrades+'!$AH$11,"C",IF(R295&lt;'PlayerGrades+'!$AH$10,"C+",IF(R295&lt;'PlayerGrades+'!$AH$9,"B-",IF(R295&lt;'PlayerGrades+'!$AH$8,"B",IF(R295&lt;'PlayerGrades+'!$AH$7,"B+",IF(R295&lt;'PlayerGrades+'!$AH$6,"A-",IF(R295&lt;'PlayerGrades+'!$AH$5,"A",IF(R295&lt;'PlayerGrades+'!$AH$4,"A+",IF(R295&lt;'PlayerGrades+'!$AH$3,"S-",IF(R295&lt;'PlayerGrades+'!$AH$2,"S","S+"))))))))))))))))))))</f>
        <v>#DIV/0!</v>
      </c>
      <c r="T295" s="961">
        <f t="shared" si="9"/>
        <v>0</v>
      </c>
      <c r="U295" s="961" t="str">
        <f>IF(T295&lt;'PlayerGrades+'!$AI$21,"F-",IF(T295&lt;'PlayerGrades+'!$AI$20,"F",IF(T295&lt;'PlayerGrades+'!$AI$19,"F+",IF(T295&lt;'PlayerGrades+'!$AI$18,"E-",IF(T295&lt;'PlayerGrades+'!$AI$17,"E",IF(T295&lt;'PlayerGrades+'!$AI$16,"E+",IF(T295&lt;'PlayerGrades+'!$AI$15,"D-",IF(T295&lt;'PlayerGrades+'!$AI$14,"D",IF(T295&lt;'PlayerGrades+'!$AI$13,"D+",IF(T295&lt;'PlayerGrades+'!$AI$12,"C-",IF(T295&lt;'PlayerGrades+'!$AI$11,"C",IF(T295&lt;'PlayerGrades+'!$AI$10,"C+",IF(T295&lt;'PlayerGrades+'!$AI$9,"B-",IF(T295&lt;'PlayerGrades+'!$AI$8,"B",IF(T295&lt;'PlayerGrades+'!$AI$7,"B+",IF(T295&lt;'PlayerGrades+'!$AI$6,"A-",IF(T295&lt;'PlayerGrades+'!$AI$5,"A",IF(T295&lt;'PlayerGrades+'!$AI$4,"A+",IF(T295&lt;'PlayerGrades+'!$AI$3,"S-",IF(T295&lt;'PlayerGrades+'!$AI$2,"S","S+"))))))))))))))))))))</f>
        <v>F-</v>
      </c>
      <c r="AC295" s="1392"/>
    </row>
    <row r="296">
      <c r="A296" s="1391"/>
      <c r="B296" s="611" t="str">
        <f>IF(C296&lt;'PlayerGrades+'!$Y$44,"F-",IF(C296&lt;'PlayerGrades+'!$Y$43,"F",IF(C296&lt;'PlayerGrades+'!$Y$42,"F+",IF(C296&lt;'PlayerGrades+'!$Y$41,"E-",IF(C296&lt;'PlayerGrades+'!$Y$40,"E",IF(C296&lt;'PlayerGrades+'!$Y$39,"E+",IF(C296&lt;'PlayerGrades+'!$Y$38,"D-",IF(C296&lt;'PlayerGrades+'!$Y$37,"D",IF(C296&lt;'PlayerGrades+'!$Y$36,"D+",IF(C296&lt;'PlayerGrades+'!$Y$35,"C-",IF(C296&lt;'PlayerGrades+'!$Y$34,"C",IF(C296&lt;'PlayerGrades+'!$Y$33,"C+",IF(C296&lt;'PlayerGrades+'!$Y$32,"B-",IF(C296&lt;'PlayerGrades+'!$Y$31,"B",IF(C296&lt;'PlayerGrades+'!$Y$30,"B+",IF(C296&lt;'PlayerGrades+'!$Y$29,"A-",IF(C296&lt;'PlayerGrades+'!$Y$28,"A",IF(C296&lt;'PlayerGrades+'!$Y$27,"A+",IF(C296&lt;'PlayerGrades+'!$Y$26,"S-",IF(C296&lt;'PlayerGrades+'!$Y$25,"S","S+"))))))))))))))))))))</f>
        <v>#DIV/0!</v>
      </c>
      <c r="C296" s="1378" t="str">
        <f>('PlayerGrades+'!$Y$47*(VLOOKUP(E296, 'PlayerGrades+'!$X$3:$Y$23, 2, FALSE)))+('PlayerGrades+'!$Y$48*(VLOOKUP(G296, 'PlayerGrades+'!$X$3:$Y$23, 2, FALSE)))+('PlayerGrades+'!$Y$49*(VLOOKUP(I296, 'PlayerGrades+'!$X$3:$Y$23, 2, FALSE)))+('PlayerGrades+'!$Y$50*(VLOOKUP(K296, 'PlayerGrades+'!$X$3:$Y$23, 2, FALSE)))+('PlayerGrades+'!$Y$51*(VLOOKUP(M296, 'PlayerGrades+'!$X$3:$Y$23, 2, FALSE)))+('PlayerGrades+'!$Y$52*(VLOOKUP(O296, 'PlayerGrades+'!$X$3:$Y$23, 2, FALSE)))+('PlayerGrades+'!$Y$53*(VLOOKUP(Q296, 'PlayerGrades+'!$X$3:$Y$23, 2, FALSE)))+('PlayerGrades+'!$Y$54*(VLOOKUP(S296, 'PlayerGrades+'!$X$3:$Y$23, 2, FALSE)))+('PlayerGrades+'!$Y$55*(VLOOKUP(U296, 'PlayerGrades+'!$X$3:$Y$23, 2, FALSE)))</f>
        <v>#DIV/0!</v>
      </c>
      <c r="D296" s="961" t="str">
        <f t="shared" si="1"/>
        <v>#DIV/0!</v>
      </c>
      <c r="E296" s="961" t="str">
        <f>IF(D296&lt;'PlayerGrades+'!$AA$21,"F-",IF(D296&lt;'PlayerGrades+'!$AA$20,"F",IF(D296&lt;'PlayerGrades+'!$AA$19,"F+",IF(D296&lt;'PlayerGrades+'!$AA$18,"E-",IF(D296&lt;'PlayerGrades+'!$AA$17,"E",IF(D296&lt;'PlayerGrades+'!$AA$16,"E+",IF(D296&lt;'PlayerGrades+'!$AA$15,"D-",IF(D296&lt;'PlayerGrades+'!$AA$14,"D",IF(D296&lt;'PlayerGrades+'!$AA$13,"D+",IF(D296&lt;'PlayerGrades+'!$AA$12,"C-",IF(D296&lt;'PlayerGrades+'!$AA$11,"C",IF(D296&lt;'PlayerGrades+'!$AA$10,"C+",IF(D296&lt;'PlayerGrades+'!$AA$9,"B-",IF(D296&lt;'PlayerGrades+'!$AA$8,"B",IF(D296&lt;'PlayerGrades+'!$AA$7,"B+",IF(D296&lt;'PlayerGrades+'!$AA$6,"A-",IF(D296&lt;'PlayerGrades+'!$AA$5,"A",IF(D296&lt;'PlayerGrades+'!$AA$4,"A+",IF(D296&lt;'PlayerGrades+'!$AA$3,"S-",IF(D296&lt;'PlayerGrades+'!$AA$2,"S","S+"))))))))))))))))))))</f>
        <v>#DIV/0!</v>
      </c>
      <c r="F296" s="961" t="str">
        <f t="shared" si="2"/>
        <v>#DIV/0!</v>
      </c>
      <c r="G296" s="961" t="str">
        <f>IF(F296&lt;'PlayerGrades+'!$AB$21,"F-",IF(F296&lt;'PlayerGrades+'!$AB$20,"F",IF(F296&lt;'PlayerGrades+'!$AB$19,"F+",IF(F296&lt;'PlayerGrades+'!$AB$18,"E-",IF(F296&lt;'PlayerGrades+'!$AB$17,"E",IF(F296&lt;'PlayerGrades+'!$AB$16,"E+",IF(F296&lt;'PlayerGrades+'!$AB$15,"D-",IF(F296&lt;'PlayerGrades+'!$AB$14,"D",IF(F296&lt;'PlayerGrades+'!$AB$13,"D+",IF(F296&lt;'PlayerGrades+'!$AB$12,"C-",IF(F296&lt;'PlayerGrades+'!$AB$11,"C",IF(F296&lt;'PlayerGrades+'!$AB$10,"C+",IF(F296&lt;'PlayerGrades+'!$AB$9,"B-",IF(F296&lt;'PlayerGrades+'!$AB$8,"B",IF(F296&lt;'PlayerGrades+'!$AB$7,"B+",IF(F296&lt;'PlayerGrades+'!$AB$6,"A-",IF(F296&lt;'PlayerGrades+'!$AB$5,"A",IF(F296&lt;'PlayerGrades+'!$AB$4,"A+",IF(F296&lt;'PlayerGrades+'!$AB$3,"S-",IF(F296&lt;'PlayerGrades+'!$AB$2,"S","S+"))))))))))))))))))))</f>
        <v>#DIV/0!</v>
      </c>
      <c r="H296" s="961" t="str">
        <f t="shared" si="3"/>
        <v>#DIV/0!</v>
      </c>
      <c r="I296" s="961" t="str">
        <f>IF(H296&lt;'PlayerGrades+'!$AC$21,"F-",IF(H296&lt;'PlayerGrades+'!$AC$20,"F",IF(H296&lt;'PlayerGrades+'!$AC$19,"F+",IF(H296&lt;'PlayerGrades+'!$AC$18,"E-",IF(H296&lt;'PlayerGrades+'!$AC$17,"E",IF(H296&lt;'PlayerGrades+'!$AC$16,"E+",IF(H296&lt;'PlayerGrades+'!$AC$15,"D-",IF(H296&lt;'PlayerGrades+'!$AC$14,"D",IF(H296&lt;'PlayerGrades+'!$AC$13,"D+",IF(H296&lt;'PlayerGrades+'!$AC$12,"C-",IF(H296&lt;'PlayerGrades+'!$AC$11,"C",IF(H296&lt;'PlayerGrades+'!$AC$10,"C+",IF(H296&lt;'PlayerGrades+'!$AC$9,"B-",IF(H296&lt;'PlayerGrades+'!$AC$8,"B",IF(H296&lt;'PlayerGrades+'!$AC$7,"B+",IF(H296&lt;'PlayerGrades+'!$AC$6,"A-",IF(H296&lt;'PlayerGrades+'!$AC$5,"A",IF(H296&lt;'PlayerGrades+'!$AC$4,"A+",IF(H296&lt;'PlayerGrades+'!$AC$3,"S-",IF(H296&lt;'PlayerGrades+'!$AC$2,"S","S+"))))))))))))))))))))</f>
        <v>#DIV/0!</v>
      </c>
      <c r="J296" s="961" t="str">
        <f t="shared" si="4"/>
        <v>#DIV/0!</v>
      </c>
      <c r="K296" s="961" t="str">
        <f>IF(J296&lt;'PlayerGrades+'!$AD$21,"F-",IF(J296&lt;'PlayerGrades+'!$AD$20,"F",IF(J296&lt;'PlayerGrades+'!$AD$19,"F+",IF(J296&lt;'PlayerGrades+'!$AD$18,"E-",IF(J296&lt;'PlayerGrades+'!$AD$17,"E",IF(J296&lt;'PlayerGrades+'!$AD$16,"E+",IF(J296&lt;'PlayerGrades+'!$AD$15,"D-",IF(J296&lt;'PlayerGrades+'!$AD$14,"D",IF(J296&lt;'PlayerGrades+'!$AD$13,"D+",IF(J296&lt;'PlayerGrades+'!$AD$12,"C-",IF(J296&lt;'PlayerGrades+'!$AD$11,"C",IF(J296&lt;'PlayerGrades+'!$AD$10,"C+",IF(J296&lt;'PlayerGrades+'!$AD$9,"B-",IF(J296&lt;'PlayerGrades+'!$AD$8,"B",IF(J296&lt;'PlayerGrades+'!$AD$7,"B+",IF(J296&lt;'PlayerGrades+'!$AD$6,"A-",IF(J296&lt;'PlayerGrades+'!$AD$5,"A",IF(J296&lt;'PlayerGrades+'!$AD$4,"A+",IF(J296&lt;'PlayerGrades+'!$AD$3,"S-",IF(J296&lt;'PlayerGrades+'!$AD$2,"S","S+"))))))))))))))))))))</f>
        <v>#DIV/0!</v>
      </c>
      <c r="L296" s="1176" t="str">
        <f t="shared" si="5"/>
        <v>#DIV/0!</v>
      </c>
      <c r="M296" s="992" t="str">
        <f>IF(L296&lt;'PlayerGrades+'!$AE$21,"F-",IF(L296&lt;'PlayerGrades+'!$AE$20,"F",IF(L296&lt;'PlayerGrades+'!$AE$19,"F+",IF(L296&lt;'PlayerGrades+'!$AE$18,"E-",IF(L296&lt;'PlayerGrades+'!$AE$17,"E",IF(L296&lt;'PlayerGrades+'!$AE$16,"E+",IF(L296&lt;'PlayerGrades+'!$AE$15,"D-",IF(L296&lt;'PlayerGrades+'!$AE$14,"D",IF(L296&lt;'PlayerGrades+'!$AE$13,"D+",IF(L296&lt;'PlayerGrades+'!$AE$12,"C-",IF(L296&lt;'PlayerGrades+'!$AE$11,"C",IF(L296&lt;'PlayerGrades+'!$AE$10,"C+",IF(L296&lt;'PlayerGrades+'!$AE$9,"B-",IF(L296&lt;'PlayerGrades+'!$AE$8,"B",IF(L296&lt;'PlayerGrades+'!$AE$7,"B+",IF(L296&lt;'PlayerGrades+'!$AE$6,"A-",IF(L296&lt;'PlayerGrades+'!$AE$5,"A",IF(L296&lt;'PlayerGrades+'!$AE$4,"A+",IF(L296&lt;'PlayerGrades+'!$AE$3,"S-",IF(L296&lt;'PlayerGrades+'!$AE$2,"S","S+"))))))))))))))))))))</f>
        <v>#DIV/0!</v>
      </c>
      <c r="N296" s="961" t="str">
        <f t="shared" si="6"/>
        <v>#DIV/0!</v>
      </c>
      <c r="O296" s="961" t="str">
        <f>IF(N296&lt;'PlayerGrades+'!$AF$21,"F-",IF(N296&lt;'PlayerGrades+'!$AF$20,"F",IF(N296&lt;'PlayerGrades+'!$AF$19,"F+",IF(N296&lt;'PlayerGrades+'!$AF$18,"E-",IF(N296&lt;'PlayerGrades+'!$AF$17,"E",IF(N296&lt;'PlayerGrades+'!$AF$16,"E+",IF(N296&lt;'PlayerGrades+'!$AF$15,"D-",IF(N296&lt;'PlayerGrades+'!$AF$14,"D",IF(N296&lt;'PlayerGrades+'!$AF$13,"D+",IF(N296&lt;'PlayerGrades+'!$AF$12,"C-",IF(N296&lt;'PlayerGrades+'!$AF$11,"C",IF(N296&lt;'PlayerGrades+'!$AF$10,"C+",IF(N296&lt;'PlayerGrades+'!$AF$9,"B-",IF(N296&lt;'PlayerGrades+'!$AF$8,"B",IF(N296&lt;'PlayerGrades+'!$AF$7,"B+",IF(N296&lt;'PlayerGrades+'!$AF$6,"A-",IF(N296&lt;'PlayerGrades+'!$AF$5,"A",IF(N296&lt;'PlayerGrades+'!$AF$4,"A+",IF(N296&lt;'PlayerGrades+'!$AF$3,"S-",IF(N296&lt;'PlayerGrades+'!$AF$2,"S","S+"))))))))))))))))))))</f>
        <v>#DIV/0!</v>
      </c>
      <c r="P296" s="961" t="str">
        <f t="shared" si="7"/>
        <v>#DIV/0!</v>
      </c>
      <c r="Q296" s="961" t="str">
        <f>IF(P296&lt;'PlayerGrades+'!$AG$21,"F-",IF(P296&lt;'PlayerGrades+'!$AG$20,"F",IF(P296&lt;'PlayerGrades+'!$AG$19,"F+",IF(P296&lt;'PlayerGrades+'!$AG$18,"E-",IF(P296&lt;'PlayerGrades+'!$AG$17,"E",IF(P296&lt;'PlayerGrades+'!$AG$16,"E+",IF(P296&lt;'PlayerGrades+'!$AG$15,"D-",IF(P296&lt;'PlayerGrades+'!$AG$14,"D",IF(P296&lt;'PlayerGrades+'!$AG$13,"D+",IF(P296&lt;'PlayerGrades+'!$AG$12,"C-",IF(P296&lt;'PlayerGrades+'!$AG$11,"C",IF(P296&lt;'PlayerGrades+'!$AG$10,"C+",IF(P296&lt;'PlayerGrades+'!$AG$9,"B-",IF(P296&lt;'PlayerGrades+'!$AG$8,"B",IF(P296&lt;'PlayerGrades+'!$AG$7,"B+",IF(P296&lt;'PlayerGrades+'!$AG$6,"A-",IF(P296&lt;'PlayerGrades+'!$AG$5,"A",IF(P296&lt;'PlayerGrades+'!$AG$4,"A+",IF(P296&lt;'PlayerGrades+'!$AG$3,"S-",IF(P296&lt;'PlayerGrades+'!$AG$2,"S","S+"))))))))))))))))))))</f>
        <v>#DIV/0!</v>
      </c>
      <c r="R296" s="961" t="str">
        <f t="shared" si="8"/>
        <v>#DIV/0!</v>
      </c>
      <c r="S296" s="961" t="str">
        <f>IF(R296&lt;'PlayerGrades+'!$AH$21,"F-",IF(R296&lt;'PlayerGrades+'!$AH$20,"F",IF(R296&lt;'PlayerGrades+'!$AH$19,"F+",IF(R296&lt;'PlayerGrades+'!$AH$18,"E-",IF(R296&lt;'PlayerGrades+'!$AH$17,"E",IF(R296&lt;'PlayerGrades+'!$AH$16,"E+",IF(R296&lt;'PlayerGrades+'!$AH$15,"D-",IF(R296&lt;'PlayerGrades+'!$AH$14,"D",IF(R296&lt;'PlayerGrades+'!$AH$13,"D+",IF(R296&lt;'PlayerGrades+'!$AH$12,"C-",IF(R296&lt;'PlayerGrades+'!$AH$11,"C",IF(R296&lt;'PlayerGrades+'!$AH$10,"C+",IF(R296&lt;'PlayerGrades+'!$AH$9,"B-",IF(R296&lt;'PlayerGrades+'!$AH$8,"B",IF(R296&lt;'PlayerGrades+'!$AH$7,"B+",IF(R296&lt;'PlayerGrades+'!$AH$6,"A-",IF(R296&lt;'PlayerGrades+'!$AH$5,"A",IF(R296&lt;'PlayerGrades+'!$AH$4,"A+",IF(R296&lt;'PlayerGrades+'!$AH$3,"S-",IF(R296&lt;'PlayerGrades+'!$AH$2,"S","S+"))))))))))))))))))))</f>
        <v>#DIV/0!</v>
      </c>
      <c r="T296" s="961">
        <f t="shared" si="9"/>
        <v>0</v>
      </c>
      <c r="U296" s="961" t="str">
        <f>IF(T296&lt;'PlayerGrades+'!$AI$21,"F-",IF(T296&lt;'PlayerGrades+'!$AI$20,"F",IF(T296&lt;'PlayerGrades+'!$AI$19,"F+",IF(T296&lt;'PlayerGrades+'!$AI$18,"E-",IF(T296&lt;'PlayerGrades+'!$AI$17,"E",IF(T296&lt;'PlayerGrades+'!$AI$16,"E+",IF(T296&lt;'PlayerGrades+'!$AI$15,"D-",IF(T296&lt;'PlayerGrades+'!$AI$14,"D",IF(T296&lt;'PlayerGrades+'!$AI$13,"D+",IF(T296&lt;'PlayerGrades+'!$AI$12,"C-",IF(T296&lt;'PlayerGrades+'!$AI$11,"C",IF(T296&lt;'PlayerGrades+'!$AI$10,"C+",IF(T296&lt;'PlayerGrades+'!$AI$9,"B-",IF(T296&lt;'PlayerGrades+'!$AI$8,"B",IF(T296&lt;'PlayerGrades+'!$AI$7,"B+",IF(T296&lt;'PlayerGrades+'!$AI$6,"A-",IF(T296&lt;'PlayerGrades+'!$AI$5,"A",IF(T296&lt;'PlayerGrades+'!$AI$4,"A+",IF(T296&lt;'PlayerGrades+'!$AI$3,"S-",IF(T296&lt;'PlayerGrades+'!$AI$2,"S","S+"))))))))))))))))))))</f>
        <v>F-</v>
      </c>
      <c r="AC296" s="1392"/>
    </row>
    <row r="297">
      <c r="A297" s="1393"/>
      <c r="B297" s="611" t="str">
        <f>IF(C297&lt;'PlayerGrades+'!$Y$44,"F-",IF(C297&lt;'PlayerGrades+'!$Y$43,"F",IF(C297&lt;'PlayerGrades+'!$Y$42,"F+",IF(C297&lt;'PlayerGrades+'!$Y$41,"E-",IF(C297&lt;'PlayerGrades+'!$Y$40,"E",IF(C297&lt;'PlayerGrades+'!$Y$39,"E+",IF(C297&lt;'PlayerGrades+'!$Y$38,"D-",IF(C297&lt;'PlayerGrades+'!$Y$37,"D",IF(C297&lt;'PlayerGrades+'!$Y$36,"D+",IF(C297&lt;'PlayerGrades+'!$Y$35,"C-",IF(C297&lt;'PlayerGrades+'!$Y$34,"C",IF(C297&lt;'PlayerGrades+'!$Y$33,"C+",IF(C297&lt;'PlayerGrades+'!$Y$32,"B-",IF(C297&lt;'PlayerGrades+'!$Y$31,"B",IF(C297&lt;'PlayerGrades+'!$Y$30,"B+",IF(C297&lt;'PlayerGrades+'!$Y$29,"A-",IF(C297&lt;'PlayerGrades+'!$Y$28,"A",IF(C297&lt;'PlayerGrades+'!$Y$27,"A+",IF(C297&lt;'PlayerGrades+'!$Y$26,"S-",IF(C297&lt;'PlayerGrades+'!$Y$25,"S","S+"))))))))))))))))))))</f>
        <v>#DIV/0!</v>
      </c>
      <c r="C297" s="1378" t="str">
        <f>('PlayerGrades+'!$Y$47*(VLOOKUP(E297, 'PlayerGrades+'!$X$3:$Y$23, 2, FALSE)))+('PlayerGrades+'!$Y$48*(VLOOKUP(G297, 'PlayerGrades+'!$X$3:$Y$23, 2, FALSE)))+('PlayerGrades+'!$Y$49*(VLOOKUP(I297, 'PlayerGrades+'!$X$3:$Y$23, 2, FALSE)))+('PlayerGrades+'!$Y$50*(VLOOKUP(K297, 'PlayerGrades+'!$X$3:$Y$23, 2, FALSE)))+('PlayerGrades+'!$Y$51*(VLOOKUP(M297, 'PlayerGrades+'!$X$3:$Y$23, 2, FALSE)))+('PlayerGrades+'!$Y$52*(VLOOKUP(O297, 'PlayerGrades+'!$X$3:$Y$23, 2, FALSE)))+('PlayerGrades+'!$Y$53*(VLOOKUP(Q297, 'PlayerGrades+'!$X$3:$Y$23, 2, FALSE)))+('PlayerGrades+'!$Y$54*(VLOOKUP(S297, 'PlayerGrades+'!$X$3:$Y$23, 2, FALSE)))+('PlayerGrades+'!$Y$55*(VLOOKUP(U297, 'PlayerGrades+'!$X$3:$Y$23, 2, FALSE)))</f>
        <v>#DIV/0!</v>
      </c>
      <c r="D297" s="961" t="str">
        <f t="shared" si="1"/>
        <v>#DIV/0!</v>
      </c>
      <c r="E297" s="961" t="str">
        <f>IF(D297&lt;'PlayerGrades+'!$AA$21,"F-",IF(D297&lt;'PlayerGrades+'!$AA$20,"F",IF(D297&lt;'PlayerGrades+'!$AA$19,"F+",IF(D297&lt;'PlayerGrades+'!$AA$18,"E-",IF(D297&lt;'PlayerGrades+'!$AA$17,"E",IF(D297&lt;'PlayerGrades+'!$AA$16,"E+",IF(D297&lt;'PlayerGrades+'!$AA$15,"D-",IF(D297&lt;'PlayerGrades+'!$AA$14,"D",IF(D297&lt;'PlayerGrades+'!$AA$13,"D+",IF(D297&lt;'PlayerGrades+'!$AA$12,"C-",IF(D297&lt;'PlayerGrades+'!$AA$11,"C",IF(D297&lt;'PlayerGrades+'!$AA$10,"C+",IF(D297&lt;'PlayerGrades+'!$AA$9,"B-",IF(D297&lt;'PlayerGrades+'!$AA$8,"B",IF(D297&lt;'PlayerGrades+'!$AA$7,"B+",IF(D297&lt;'PlayerGrades+'!$AA$6,"A-",IF(D297&lt;'PlayerGrades+'!$AA$5,"A",IF(D297&lt;'PlayerGrades+'!$AA$4,"A+",IF(D297&lt;'PlayerGrades+'!$AA$3,"S-",IF(D297&lt;'PlayerGrades+'!$AA$2,"S","S+"))))))))))))))))))))</f>
        <v>#DIV/0!</v>
      </c>
      <c r="F297" s="961" t="str">
        <f t="shared" si="2"/>
        <v>#DIV/0!</v>
      </c>
      <c r="G297" s="961" t="str">
        <f>IF(F297&lt;'PlayerGrades+'!$AB$21,"F-",IF(F297&lt;'PlayerGrades+'!$AB$20,"F",IF(F297&lt;'PlayerGrades+'!$AB$19,"F+",IF(F297&lt;'PlayerGrades+'!$AB$18,"E-",IF(F297&lt;'PlayerGrades+'!$AB$17,"E",IF(F297&lt;'PlayerGrades+'!$AB$16,"E+",IF(F297&lt;'PlayerGrades+'!$AB$15,"D-",IF(F297&lt;'PlayerGrades+'!$AB$14,"D",IF(F297&lt;'PlayerGrades+'!$AB$13,"D+",IF(F297&lt;'PlayerGrades+'!$AB$12,"C-",IF(F297&lt;'PlayerGrades+'!$AB$11,"C",IF(F297&lt;'PlayerGrades+'!$AB$10,"C+",IF(F297&lt;'PlayerGrades+'!$AB$9,"B-",IF(F297&lt;'PlayerGrades+'!$AB$8,"B",IF(F297&lt;'PlayerGrades+'!$AB$7,"B+",IF(F297&lt;'PlayerGrades+'!$AB$6,"A-",IF(F297&lt;'PlayerGrades+'!$AB$5,"A",IF(F297&lt;'PlayerGrades+'!$AB$4,"A+",IF(F297&lt;'PlayerGrades+'!$AB$3,"S-",IF(F297&lt;'PlayerGrades+'!$AB$2,"S","S+"))))))))))))))))))))</f>
        <v>#DIV/0!</v>
      </c>
      <c r="H297" s="961" t="str">
        <f t="shared" si="3"/>
        <v>#DIV/0!</v>
      </c>
      <c r="I297" s="961" t="str">
        <f>IF(H297&lt;'PlayerGrades+'!$AC$21,"F-",IF(H297&lt;'PlayerGrades+'!$AC$20,"F",IF(H297&lt;'PlayerGrades+'!$AC$19,"F+",IF(H297&lt;'PlayerGrades+'!$AC$18,"E-",IF(H297&lt;'PlayerGrades+'!$AC$17,"E",IF(H297&lt;'PlayerGrades+'!$AC$16,"E+",IF(H297&lt;'PlayerGrades+'!$AC$15,"D-",IF(H297&lt;'PlayerGrades+'!$AC$14,"D",IF(H297&lt;'PlayerGrades+'!$AC$13,"D+",IF(H297&lt;'PlayerGrades+'!$AC$12,"C-",IF(H297&lt;'PlayerGrades+'!$AC$11,"C",IF(H297&lt;'PlayerGrades+'!$AC$10,"C+",IF(H297&lt;'PlayerGrades+'!$AC$9,"B-",IF(H297&lt;'PlayerGrades+'!$AC$8,"B",IF(H297&lt;'PlayerGrades+'!$AC$7,"B+",IF(H297&lt;'PlayerGrades+'!$AC$6,"A-",IF(H297&lt;'PlayerGrades+'!$AC$5,"A",IF(H297&lt;'PlayerGrades+'!$AC$4,"A+",IF(H297&lt;'PlayerGrades+'!$AC$3,"S-",IF(H297&lt;'PlayerGrades+'!$AC$2,"S","S+"))))))))))))))))))))</f>
        <v>#DIV/0!</v>
      </c>
      <c r="J297" s="961" t="str">
        <f t="shared" si="4"/>
        <v>#DIV/0!</v>
      </c>
      <c r="K297" s="961" t="str">
        <f>IF(J297&lt;'PlayerGrades+'!$AD$21,"F-",IF(J297&lt;'PlayerGrades+'!$AD$20,"F",IF(J297&lt;'PlayerGrades+'!$AD$19,"F+",IF(J297&lt;'PlayerGrades+'!$AD$18,"E-",IF(J297&lt;'PlayerGrades+'!$AD$17,"E",IF(J297&lt;'PlayerGrades+'!$AD$16,"E+",IF(J297&lt;'PlayerGrades+'!$AD$15,"D-",IF(J297&lt;'PlayerGrades+'!$AD$14,"D",IF(J297&lt;'PlayerGrades+'!$AD$13,"D+",IF(J297&lt;'PlayerGrades+'!$AD$12,"C-",IF(J297&lt;'PlayerGrades+'!$AD$11,"C",IF(J297&lt;'PlayerGrades+'!$AD$10,"C+",IF(J297&lt;'PlayerGrades+'!$AD$9,"B-",IF(J297&lt;'PlayerGrades+'!$AD$8,"B",IF(J297&lt;'PlayerGrades+'!$AD$7,"B+",IF(J297&lt;'PlayerGrades+'!$AD$6,"A-",IF(J297&lt;'PlayerGrades+'!$AD$5,"A",IF(J297&lt;'PlayerGrades+'!$AD$4,"A+",IF(J297&lt;'PlayerGrades+'!$AD$3,"S-",IF(J297&lt;'PlayerGrades+'!$AD$2,"S","S+"))))))))))))))))))))</f>
        <v>#DIV/0!</v>
      </c>
      <c r="L297" s="1176" t="str">
        <f t="shared" si="5"/>
        <v>#DIV/0!</v>
      </c>
      <c r="M297" s="992" t="str">
        <f>IF(L297&lt;'PlayerGrades+'!$AE$21,"F-",IF(L297&lt;'PlayerGrades+'!$AE$20,"F",IF(L297&lt;'PlayerGrades+'!$AE$19,"F+",IF(L297&lt;'PlayerGrades+'!$AE$18,"E-",IF(L297&lt;'PlayerGrades+'!$AE$17,"E",IF(L297&lt;'PlayerGrades+'!$AE$16,"E+",IF(L297&lt;'PlayerGrades+'!$AE$15,"D-",IF(L297&lt;'PlayerGrades+'!$AE$14,"D",IF(L297&lt;'PlayerGrades+'!$AE$13,"D+",IF(L297&lt;'PlayerGrades+'!$AE$12,"C-",IF(L297&lt;'PlayerGrades+'!$AE$11,"C",IF(L297&lt;'PlayerGrades+'!$AE$10,"C+",IF(L297&lt;'PlayerGrades+'!$AE$9,"B-",IF(L297&lt;'PlayerGrades+'!$AE$8,"B",IF(L297&lt;'PlayerGrades+'!$AE$7,"B+",IF(L297&lt;'PlayerGrades+'!$AE$6,"A-",IF(L297&lt;'PlayerGrades+'!$AE$5,"A",IF(L297&lt;'PlayerGrades+'!$AE$4,"A+",IF(L297&lt;'PlayerGrades+'!$AE$3,"S-",IF(L297&lt;'PlayerGrades+'!$AE$2,"S","S+"))))))))))))))))))))</f>
        <v>#DIV/0!</v>
      </c>
      <c r="N297" s="961" t="str">
        <f t="shared" si="6"/>
        <v>#DIV/0!</v>
      </c>
      <c r="O297" s="961" t="str">
        <f>IF(N297&lt;'PlayerGrades+'!$AF$21,"F-",IF(N297&lt;'PlayerGrades+'!$AF$20,"F",IF(N297&lt;'PlayerGrades+'!$AF$19,"F+",IF(N297&lt;'PlayerGrades+'!$AF$18,"E-",IF(N297&lt;'PlayerGrades+'!$AF$17,"E",IF(N297&lt;'PlayerGrades+'!$AF$16,"E+",IF(N297&lt;'PlayerGrades+'!$AF$15,"D-",IF(N297&lt;'PlayerGrades+'!$AF$14,"D",IF(N297&lt;'PlayerGrades+'!$AF$13,"D+",IF(N297&lt;'PlayerGrades+'!$AF$12,"C-",IF(N297&lt;'PlayerGrades+'!$AF$11,"C",IF(N297&lt;'PlayerGrades+'!$AF$10,"C+",IF(N297&lt;'PlayerGrades+'!$AF$9,"B-",IF(N297&lt;'PlayerGrades+'!$AF$8,"B",IF(N297&lt;'PlayerGrades+'!$AF$7,"B+",IF(N297&lt;'PlayerGrades+'!$AF$6,"A-",IF(N297&lt;'PlayerGrades+'!$AF$5,"A",IF(N297&lt;'PlayerGrades+'!$AF$4,"A+",IF(N297&lt;'PlayerGrades+'!$AF$3,"S-",IF(N297&lt;'PlayerGrades+'!$AF$2,"S","S+"))))))))))))))))))))</f>
        <v>#DIV/0!</v>
      </c>
      <c r="P297" s="961" t="str">
        <f t="shared" si="7"/>
        <v>#DIV/0!</v>
      </c>
      <c r="Q297" s="961" t="str">
        <f>IF(P297&lt;'PlayerGrades+'!$AG$21,"F-",IF(P297&lt;'PlayerGrades+'!$AG$20,"F",IF(P297&lt;'PlayerGrades+'!$AG$19,"F+",IF(P297&lt;'PlayerGrades+'!$AG$18,"E-",IF(P297&lt;'PlayerGrades+'!$AG$17,"E",IF(P297&lt;'PlayerGrades+'!$AG$16,"E+",IF(P297&lt;'PlayerGrades+'!$AG$15,"D-",IF(P297&lt;'PlayerGrades+'!$AG$14,"D",IF(P297&lt;'PlayerGrades+'!$AG$13,"D+",IF(P297&lt;'PlayerGrades+'!$AG$12,"C-",IF(P297&lt;'PlayerGrades+'!$AG$11,"C",IF(P297&lt;'PlayerGrades+'!$AG$10,"C+",IF(P297&lt;'PlayerGrades+'!$AG$9,"B-",IF(P297&lt;'PlayerGrades+'!$AG$8,"B",IF(P297&lt;'PlayerGrades+'!$AG$7,"B+",IF(P297&lt;'PlayerGrades+'!$AG$6,"A-",IF(P297&lt;'PlayerGrades+'!$AG$5,"A",IF(P297&lt;'PlayerGrades+'!$AG$4,"A+",IF(P297&lt;'PlayerGrades+'!$AG$3,"S-",IF(P297&lt;'PlayerGrades+'!$AG$2,"S","S+"))))))))))))))))))))</f>
        <v>#DIV/0!</v>
      </c>
      <c r="R297" s="961" t="str">
        <f t="shared" si="8"/>
        <v>#DIV/0!</v>
      </c>
      <c r="S297" s="961" t="str">
        <f>IF(R297&lt;'PlayerGrades+'!$AH$21,"F-",IF(R297&lt;'PlayerGrades+'!$AH$20,"F",IF(R297&lt;'PlayerGrades+'!$AH$19,"F+",IF(R297&lt;'PlayerGrades+'!$AH$18,"E-",IF(R297&lt;'PlayerGrades+'!$AH$17,"E",IF(R297&lt;'PlayerGrades+'!$AH$16,"E+",IF(R297&lt;'PlayerGrades+'!$AH$15,"D-",IF(R297&lt;'PlayerGrades+'!$AH$14,"D",IF(R297&lt;'PlayerGrades+'!$AH$13,"D+",IF(R297&lt;'PlayerGrades+'!$AH$12,"C-",IF(R297&lt;'PlayerGrades+'!$AH$11,"C",IF(R297&lt;'PlayerGrades+'!$AH$10,"C+",IF(R297&lt;'PlayerGrades+'!$AH$9,"B-",IF(R297&lt;'PlayerGrades+'!$AH$8,"B",IF(R297&lt;'PlayerGrades+'!$AH$7,"B+",IF(R297&lt;'PlayerGrades+'!$AH$6,"A-",IF(R297&lt;'PlayerGrades+'!$AH$5,"A",IF(R297&lt;'PlayerGrades+'!$AH$4,"A+",IF(R297&lt;'PlayerGrades+'!$AH$3,"S-",IF(R297&lt;'PlayerGrades+'!$AH$2,"S","S+"))))))))))))))))))))</f>
        <v>#DIV/0!</v>
      </c>
      <c r="T297" s="961">
        <f t="shared" si="9"/>
        <v>0</v>
      </c>
      <c r="U297" s="961" t="str">
        <f>IF(T297&lt;'PlayerGrades+'!$AI$21,"F-",IF(T297&lt;'PlayerGrades+'!$AI$20,"F",IF(T297&lt;'PlayerGrades+'!$AI$19,"F+",IF(T297&lt;'PlayerGrades+'!$AI$18,"E-",IF(T297&lt;'PlayerGrades+'!$AI$17,"E",IF(T297&lt;'PlayerGrades+'!$AI$16,"E+",IF(T297&lt;'PlayerGrades+'!$AI$15,"D-",IF(T297&lt;'PlayerGrades+'!$AI$14,"D",IF(T297&lt;'PlayerGrades+'!$AI$13,"D+",IF(T297&lt;'PlayerGrades+'!$AI$12,"C-",IF(T297&lt;'PlayerGrades+'!$AI$11,"C",IF(T297&lt;'PlayerGrades+'!$AI$10,"C+",IF(T297&lt;'PlayerGrades+'!$AI$9,"B-",IF(T297&lt;'PlayerGrades+'!$AI$8,"B",IF(T297&lt;'PlayerGrades+'!$AI$7,"B+",IF(T297&lt;'PlayerGrades+'!$AI$6,"A-",IF(T297&lt;'PlayerGrades+'!$AI$5,"A",IF(T297&lt;'PlayerGrades+'!$AI$4,"A+",IF(T297&lt;'PlayerGrades+'!$AI$3,"S-",IF(T297&lt;'PlayerGrades+'!$AI$2,"S","S+"))))))))))))))))))))</f>
        <v>F-</v>
      </c>
      <c r="V297" s="1386"/>
      <c r="W297" s="1386"/>
      <c r="X297" s="1386"/>
      <c r="Y297" s="1386"/>
      <c r="Z297" s="1386"/>
      <c r="AA297" s="1386"/>
      <c r="AB297" s="1386"/>
      <c r="AC297" s="1397"/>
      <c r="AD297" s="1386"/>
      <c r="AE297" s="1386"/>
      <c r="AF297" s="1386"/>
      <c r="AG297" s="1386"/>
      <c r="AH297" s="1386"/>
      <c r="AI297" s="1386"/>
      <c r="AJ297" s="1386"/>
      <c r="AK297" s="1386"/>
      <c r="AL297" s="1386"/>
      <c r="AM297" s="1386"/>
      <c r="AN297" s="1386"/>
      <c r="AO297" s="1386"/>
      <c r="AP297" s="1386"/>
      <c r="AQ297" s="1386"/>
      <c r="AR297" s="1386"/>
      <c r="AS297" s="1386"/>
      <c r="AT297" s="1386"/>
      <c r="AU297" s="1386"/>
      <c r="AV297" s="1386"/>
      <c r="AW297" s="1386"/>
      <c r="AX297" s="1386"/>
      <c r="AY297" s="1386"/>
      <c r="AZ297" s="1386"/>
    </row>
    <row r="298">
      <c r="A298" s="1389"/>
      <c r="B298" s="611" t="str">
        <f>IF(C298&lt;'PlayerGrades+'!$Y$44,"F-",IF(C298&lt;'PlayerGrades+'!$Y$43,"F",IF(C298&lt;'PlayerGrades+'!$Y$42,"F+",IF(C298&lt;'PlayerGrades+'!$Y$41,"E-",IF(C298&lt;'PlayerGrades+'!$Y$40,"E",IF(C298&lt;'PlayerGrades+'!$Y$39,"E+",IF(C298&lt;'PlayerGrades+'!$Y$38,"D-",IF(C298&lt;'PlayerGrades+'!$Y$37,"D",IF(C298&lt;'PlayerGrades+'!$Y$36,"D+",IF(C298&lt;'PlayerGrades+'!$Y$35,"C-",IF(C298&lt;'PlayerGrades+'!$Y$34,"C",IF(C298&lt;'PlayerGrades+'!$Y$33,"C+",IF(C298&lt;'PlayerGrades+'!$Y$32,"B-",IF(C298&lt;'PlayerGrades+'!$Y$31,"B",IF(C298&lt;'PlayerGrades+'!$Y$30,"B+",IF(C298&lt;'PlayerGrades+'!$Y$29,"A-",IF(C298&lt;'PlayerGrades+'!$Y$28,"A",IF(C298&lt;'PlayerGrades+'!$Y$27,"A+",IF(C298&lt;'PlayerGrades+'!$Y$26,"S-",IF(C298&lt;'PlayerGrades+'!$Y$25,"S","S+"))))))))))))))))))))</f>
        <v>#DIV/0!</v>
      </c>
      <c r="C298" s="1378" t="str">
        <f>('PlayerGrades+'!$Y$47*(VLOOKUP(E298, 'PlayerGrades+'!$X$3:$Y$23, 2, FALSE)))+('PlayerGrades+'!$Y$48*(VLOOKUP(G298, 'PlayerGrades+'!$X$3:$Y$23, 2, FALSE)))+('PlayerGrades+'!$Y$49*(VLOOKUP(I298, 'PlayerGrades+'!$X$3:$Y$23, 2, FALSE)))+('PlayerGrades+'!$Y$50*(VLOOKUP(K298, 'PlayerGrades+'!$X$3:$Y$23, 2, FALSE)))+('PlayerGrades+'!$Y$51*(VLOOKUP(M298, 'PlayerGrades+'!$X$3:$Y$23, 2, FALSE)))+('PlayerGrades+'!$Y$52*(VLOOKUP(O298, 'PlayerGrades+'!$X$3:$Y$23, 2, FALSE)))+('PlayerGrades+'!$Y$53*(VLOOKUP(Q298, 'PlayerGrades+'!$X$3:$Y$23, 2, FALSE)))+('PlayerGrades+'!$Y$54*(VLOOKUP(S298, 'PlayerGrades+'!$X$3:$Y$23, 2, FALSE)))+('PlayerGrades+'!$Y$55*(VLOOKUP(U298, 'PlayerGrades+'!$X$3:$Y$23, 2, FALSE)))</f>
        <v>#DIV/0!</v>
      </c>
      <c r="D298" s="961" t="str">
        <f t="shared" si="1"/>
        <v>#DIV/0!</v>
      </c>
      <c r="E298" s="961" t="str">
        <f>IF(D298&lt;'PlayerGrades+'!$AA$21,"F-",IF(D298&lt;'PlayerGrades+'!$AA$20,"F",IF(D298&lt;'PlayerGrades+'!$AA$19,"F+",IF(D298&lt;'PlayerGrades+'!$AA$18,"E-",IF(D298&lt;'PlayerGrades+'!$AA$17,"E",IF(D298&lt;'PlayerGrades+'!$AA$16,"E+",IF(D298&lt;'PlayerGrades+'!$AA$15,"D-",IF(D298&lt;'PlayerGrades+'!$AA$14,"D",IF(D298&lt;'PlayerGrades+'!$AA$13,"D+",IF(D298&lt;'PlayerGrades+'!$AA$12,"C-",IF(D298&lt;'PlayerGrades+'!$AA$11,"C",IF(D298&lt;'PlayerGrades+'!$AA$10,"C+",IF(D298&lt;'PlayerGrades+'!$AA$9,"B-",IF(D298&lt;'PlayerGrades+'!$AA$8,"B",IF(D298&lt;'PlayerGrades+'!$AA$7,"B+",IF(D298&lt;'PlayerGrades+'!$AA$6,"A-",IF(D298&lt;'PlayerGrades+'!$AA$5,"A",IF(D298&lt;'PlayerGrades+'!$AA$4,"A+",IF(D298&lt;'PlayerGrades+'!$AA$3,"S-",IF(D298&lt;'PlayerGrades+'!$AA$2,"S","S+"))))))))))))))))))))</f>
        <v>#DIV/0!</v>
      </c>
      <c r="F298" s="961" t="str">
        <f t="shared" si="2"/>
        <v>#DIV/0!</v>
      </c>
      <c r="G298" s="961" t="str">
        <f>IF(F298&lt;'PlayerGrades+'!$AB$21,"F-",IF(F298&lt;'PlayerGrades+'!$AB$20,"F",IF(F298&lt;'PlayerGrades+'!$AB$19,"F+",IF(F298&lt;'PlayerGrades+'!$AB$18,"E-",IF(F298&lt;'PlayerGrades+'!$AB$17,"E",IF(F298&lt;'PlayerGrades+'!$AB$16,"E+",IF(F298&lt;'PlayerGrades+'!$AB$15,"D-",IF(F298&lt;'PlayerGrades+'!$AB$14,"D",IF(F298&lt;'PlayerGrades+'!$AB$13,"D+",IF(F298&lt;'PlayerGrades+'!$AB$12,"C-",IF(F298&lt;'PlayerGrades+'!$AB$11,"C",IF(F298&lt;'PlayerGrades+'!$AB$10,"C+",IF(F298&lt;'PlayerGrades+'!$AB$9,"B-",IF(F298&lt;'PlayerGrades+'!$AB$8,"B",IF(F298&lt;'PlayerGrades+'!$AB$7,"B+",IF(F298&lt;'PlayerGrades+'!$AB$6,"A-",IF(F298&lt;'PlayerGrades+'!$AB$5,"A",IF(F298&lt;'PlayerGrades+'!$AB$4,"A+",IF(F298&lt;'PlayerGrades+'!$AB$3,"S-",IF(F298&lt;'PlayerGrades+'!$AB$2,"S","S+"))))))))))))))))))))</f>
        <v>#DIV/0!</v>
      </c>
      <c r="H298" s="961" t="str">
        <f t="shared" si="3"/>
        <v>#DIV/0!</v>
      </c>
      <c r="I298" s="961" t="str">
        <f>IF(H298&lt;'PlayerGrades+'!$AC$21,"F-",IF(H298&lt;'PlayerGrades+'!$AC$20,"F",IF(H298&lt;'PlayerGrades+'!$AC$19,"F+",IF(H298&lt;'PlayerGrades+'!$AC$18,"E-",IF(H298&lt;'PlayerGrades+'!$AC$17,"E",IF(H298&lt;'PlayerGrades+'!$AC$16,"E+",IF(H298&lt;'PlayerGrades+'!$AC$15,"D-",IF(H298&lt;'PlayerGrades+'!$AC$14,"D",IF(H298&lt;'PlayerGrades+'!$AC$13,"D+",IF(H298&lt;'PlayerGrades+'!$AC$12,"C-",IF(H298&lt;'PlayerGrades+'!$AC$11,"C",IF(H298&lt;'PlayerGrades+'!$AC$10,"C+",IF(H298&lt;'PlayerGrades+'!$AC$9,"B-",IF(H298&lt;'PlayerGrades+'!$AC$8,"B",IF(H298&lt;'PlayerGrades+'!$AC$7,"B+",IF(H298&lt;'PlayerGrades+'!$AC$6,"A-",IF(H298&lt;'PlayerGrades+'!$AC$5,"A",IF(H298&lt;'PlayerGrades+'!$AC$4,"A+",IF(H298&lt;'PlayerGrades+'!$AC$3,"S-",IF(H298&lt;'PlayerGrades+'!$AC$2,"S","S+"))))))))))))))))))))</f>
        <v>#DIV/0!</v>
      </c>
      <c r="J298" s="961" t="str">
        <f t="shared" si="4"/>
        <v>#DIV/0!</v>
      </c>
      <c r="K298" s="961" t="str">
        <f>IF(J298&lt;'PlayerGrades+'!$AD$21,"F-",IF(J298&lt;'PlayerGrades+'!$AD$20,"F",IF(J298&lt;'PlayerGrades+'!$AD$19,"F+",IF(J298&lt;'PlayerGrades+'!$AD$18,"E-",IF(J298&lt;'PlayerGrades+'!$AD$17,"E",IF(J298&lt;'PlayerGrades+'!$AD$16,"E+",IF(J298&lt;'PlayerGrades+'!$AD$15,"D-",IF(J298&lt;'PlayerGrades+'!$AD$14,"D",IF(J298&lt;'PlayerGrades+'!$AD$13,"D+",IF(J298&lt;'PlayerGrades+'!$AD$12,"C-",IF(J298&lt;'PlayerGrades+'!$AD$11,"C",IF(J298&lt;'PlayerGrades+'!$AD$10,"C+",IF(J298&lt;'PlayerGrades+'!$AD$9,"B-",IF(J298&lt;'PlayerGrades+'!$AD$8,"B",IF(J298&lt;'PlayerGrades+'!$AD$7,"B+",IF(J298&lt;'PlayerGrades+'!$AD$6,"A-",IF(J298&lt;'PlayerGrades+'!$AD$5,"A",IF(J298&lt;'PlayerGrades+'!$AD$4,"A+",IF(J298&lt;'PlayerGrades+'!$AD$3,"S-",IF(J298&lt;'PlayerGrades+'!$AD$2,"S","S+"))))))))))))))))))))</f>
        <v>#DIV/0!</v>
      </c>
      <c r="L298" s="1176" t="str">
        <f t="shared" si="5"/>
        <v>#DIV/0!</v>
      </c>
      <c r="M298" s="992" t="str">
        <f>IF(L298&lt;'PlayerGrades+'!$AE$21,"F-",IF(L298&lt;'PlayerGrades+'!$AE$20,"F",IF(L298&lt;'PlayerGrades+'!$AE$19,"F+",IF(L298&lt;'PlayerGrades+'!$AE$18,"E-",IF(L298&lt;'PlayerGrades+'!$AE$17,"E",IF(L298&lt;'PlayerGrades+'!$AE$16,"E+",IF(L298&lt;'PlayerGrades+'!$AE$15,"D-",IF(L298&lt;'PlayerGrades+'!$AE$14,"D",IF(L298&lt;'PlayerGrades+'!$AE$13,"D+",IF(L298&lt;'PlayerGrades+'!$AE$12,"C-",IF(L298&lt;'PlayerGrades+'!$AE$11,"C",IF(L298&lt;'PlayerGrades+'!$AE$10,"C+",IF(L298&lt;'PlayerGrades+'!$AE$9,"B-",IF(L298&lt;'PlayerGrades+'!$AE$8,"B",IF(L298&lt;'PlayerGrades+'!$AE$7,"B+",IF(L298&lt;'PlayerGrades+'!$AE$6,"A-",IF(L298&lt;'PlayerGrades+'!$AE$5,"A",IF(L298&lt;'PlayerGrades+'!$AE$4,"A+",IF(L298&lt;'PlayerGrades+'!$AE$3,"S-",IF(L298&lt;'PlayerGrades+'!$AE$2,"S","S+"))))))))))))))))))))</f>
        <v>#DIV/0!</v>
      </c>
      <c r="N298" s="961" t="str">
        <f t="shared" si="6"/>
        <v>#DIV/0!</v>
      </c>
      <c r="O298" s="961" t="str">
        <f>IF(N298&lt;'PlayerGrades+'!$AF$21,"F-",IF(N298&lt;'PlayerGrades+'!$AF$20,"F",IF(N298&lt;'PlayerGrades+'!$AF$19,"F+",IF(N298&lt;'PlayerGrades+'!$AF$18,"E-",IF(N298&lt;'PlayerGrades+'!$AF$17,"E",IF(N298&lt;'PlayerGrades+'!$AF$16,"E+",IF(N298&lt;'PlayerGrades+'!$AF$15,"D-",IF(N298&lt;'PlayerGrades+'!$AF$14,"D",IF(N298&lt;'PlayerGrades+'!$AF$13,"D+",IF(N298&lt;'PlayerGrades+'!$AF$12,"C-",IF(N298&lt;'PlayerGrades+'!$AF$11,"C",IF(N298&lt;'PlayerGrades+'!$AF$10,"C+",IF(N298&lt;'PlayerGrades+'!$AF$9,"B-",IF(N298&lt;'PlayerGrades+'!$AF$8,"B",IF(N298&lt;'PlayerGrades+'!$AF$7,"B+",IF(N298&lt;'PlayerGrades+'!$AF$6,"A-",IF(N298&lt;'PlayerGrades+'!$AF$5,"A",IF(N298&lt;'PlayerGrades+'!$AF$4,"A+",IF(N298&lt;'PlayerGrades+'!$AF$3,"S-",IF(N298&lt;'PlayerGrades+'!$AF$2,"S","S+"))))))))))))))))))))</f>
        <v>#DIV/0!</v>
      </c>
      <c r="P298" s="961" t="str">
        <f t="shared" si="7"/>
        <v>#DIV/0!</v>
      </c>
      <c r="Q298" s="961" t="str">
        <f>IF(P298&lt;'PlayerGrades+'!$AG$21,"F-",IF(P298&lt;'PlayerGrades+'!$AG$20,"F",IF(P298&lt;'PlayerGrades+'!$AG$19,"F+",IF(P298&lt;'PlayerGrades+'!$AG$18,"E-",IF(P298&lt;'PlayerGrades+'!$AG$17,"E",IF(P298&lt;'PlayerGrades+'!$AG$16,"E+",IF(P298&lt;'PlayerGrades+'!$AG$15,"D-",IF(P298&lt;'PlayerGrades+'!$AG$14,"D",IF(P298&lt;'PlayerGrades+'!$AG$13,"D+",IF(P298&lt;'PlayerGrades+'!$AG$12,"C-",IF(P298&lt;'PlayerGrades+'!$AG$11,"C",IF(P298&lt;'PlayerGrades+'!$AG$10,"C+",IF(P298&lt;'PlayerGrades+'!$AG$9,"B-",IF(P298&lt;'PlayerGrades+'!$AG$8,"B",IF(P298&lt;'PlayerGrades+'!$AG$7,"B+",IF(P298&lt;'PlayerGrades+'!$AG$6,"A-",IF(P298&lt;'PlayerGrades+'!$AG$5,"A",IF(P298&lt;'PlayerGrades+'!$AG$4,"A+",IF(P298&lt;'PlayerGrades+'!$AG$3,"S-",IF(P298&lt;'PlayerGrades+'!$AG$2,"S","S+"))))))))))))))))))))</f>
        <v>#DIV/0!</v>
      </c>
      <c r="R298" s="961" t="str">
        <f t="shared" si="8"/>
        <v>#DIV/0!</v>
      </c>
      <c r="S298" s="961" t="str">
        <f>IF(R298&lt;'PlayerGrades+'!$AH$21,"F-",IF(R298&lt;'PlayerGrades+'!$AH$20,"F",IF(R298&lt;'PlayerGrades+'!$AH$19,"F+",IF(R298&lt;'PlayerGrades+'!$AH$18,"E-",IF(R298&lt;'PlayerGrades+'!$AH$17,"E",IF(R298&lt;'PlayerGrades+'!$AH$16,"E+",IF(R298&lt;'PlayerGrades+'!$AH$15,"D-",IF(R298&lt;'PlayerGrades+'!$AH$14,"D",IF(R298&lt;'PlayerGrades+'!$AH$13,"D+",IF(R298&lt;'PlayerGrades+'!$AH$12,"C-",IF(R298&lt;'PlayerGrades+'!$AH$11,"C",IF(R298&lt;'PlayerGrades+'!$AH$10,"C+",IF(R298&lt;'PlayerGrades+'!$AH$9,"B-",IF(R298&lt;'PlayerGrades+'!$AH$8,"B",IF(R298&lt;'PlayerGrades+'!$AH$7,"B+",IF(R298&lt;'PlayerGrades+'!$AH$6,"A-",IF(R298&lt;'PlayerGrades+'!$AH$5,"A",IF(R298&lt;'PlayerGrades+'!$AH$4,"A+",IF(R298&lt;'PlayerGrades+'!$AH$3,"S-",IF(R298&lt;'PlayerGrades+'!$AH$2,"S","S+"))))))))))))))))))))</f>
        <v>#DIV/0!</v>
      </c>
      <c r="T298" s="961">
        <f t="shared" si="9"/>
        <v>0</v>
      </c>
      <c r="U298" s="961" t="str">
        <f>IF(T298&lt;'PlayerGrades+'!$AI$21,"F-",IF(T298&lt;'PlayerGrades+'!$AI$20,"F",IF(T298&lt;'PlayerGrades+'!$AI$19,"F+",IF(T298&lt;'PlayerGrades+'!$AI$18,"E-",IF(T298&lt;'PlayerGrades+'!$AI$17,"E",IF(T298&lt;'PlayerGrades+'!$AI$16,"E+",IF(T298&lt;'PlayerGrades+'!$AI$15,"D-",IF(T298&lt;'PlayerGrades+'!$AI$14,"D",IF(T298&lt;'PlayerGrades+'!$AI$13,"D+",IF(T298&lt;'PlayerGrades+'!$AI$12,"C-",IF(T298&lt;'PlayerGrades+'!$AI$11,"C",IF(T298&lt;'PlayerGrades+'!$AI$10,"C+",IF(T298&lt;'PlayerGrades+'!$AI$9,"B-",IF(T298&lt;'PlayerGrades+'!$AI$8,"B",IF(T298&lt;'PlayerGrades+'!$AI$7,"B+",IF(T298&lt;'PlayerGrades+'!$AI$6,"A-",IF(T298&lt;'PlayerGrades+'!$AI$5,"A",IF(T298&lt;'PlayerGrades+'!$AI$4,"A+",IF(T298&lt;'PlayerGrades+'!$AI$3,"S-",IF(T298&lt;'PlayerGrades+'!$AI$2,"S","S+"))))))))))))))))))))</f>
        <v>F-</v>
      </c>
      <c r="V298" s="1379"/>
      <c r="W298" s="1379"/>
      <c r="X298" s="1379"/>
      <c r="Y298" s="1379"/>
      <c r="Z298" s="1379"/>
      <c r="AA298" s="1379"/>
      <c r="AB298" s="1379"/>
      <c r="AC298" s="1390"/>
      <c r="AD298" s="1379"/>
      <c r="AE298" s="1379"/>
      <c r="AF298" s="1379"/>
      <c r="AG298" s="1379"/>
      <c r="AH298" s="1379"/>
      <c r="AI298" s="1379"/>
      <c r="AJ298" s="1379"/>
      <c r="AK298" s="1379"/>
      <c r="AL298" s="1379"/>
      <c r="AM298" s="1379"/>
      <c r="AN298" s="1379"/>
      <c r="AO298" s="1379"/>
      <c r="AP298" s="1379"/>
      <c r="AQ298" s="1379"/>
      <c r="AR298" s="1379"/>
      <c r="AS298" s="1379"/>
      <c r="AT298" s="1379"/>
      <c r="AU298" s="1379"/>
      <c r="AV298" s="1379"/>
      <c r="AW298" s="1379"/>
      <c r="AX298" s="1379"/>
      <c r="AY298" s="1379"/>
      <c r="AZ298" s="1379"/>
    </row>
    <row r="299">
      <c r="A299" s="1391"/>
      <c r="B299" s="611" t="str">
        <f>IF(C299&lt;'PlayerGrades+'!$Y$44,"F-",IF(C299&lt;'PlayerGrades+'!$Y$43,"F",IF(C299&lt;'PlayerGrades+'!$Y$42,"F+",IF(C299&lt;'PlayerGrades+'!$Y$41,"E-",IF(C299&lt;'PlayerGrades+'!$Y$40,"E",IF(C299&lt;'PlayerGrades+'!$Y$39,"E+",IF(C299&lt;'PlayerGrades+'!$Y$38,"D-",IF(C299&lt;'PlayerGrades+'!$Y$37,"D",IF(C299&lt;'PlayerGrades+'!$Y$36,"D+",IF(C299&lt;'PlayerGrades+'!$Y$35,"C-",IF(C299&lt;'PlayerGrades+'!$Y$34,"C",IF(C299&lt;'PlayerGrades+'!$Y$33,"C+",IF(C299&lt;'PlayerGrades+'!$Y$32,"B-",IF(C299&lt;'PlayerGrades+'!$Y$31,"B",IF(C299&lt;'PlayerGrades+'!$Y$30,"B+",IF(C299&lt;'PlayerGrades+'!$Y$29,"A-",IF(C299&lt;'PlayerGrades+'!$Y$28,"A",IF(C299&lt;'PlayerGrades+'!$Y$27,"A+",IF(C299&lt;'PlayerGrades+'!$Y$26,"S-",IF(C299&lt;'PlayerGrades+'!$Y$25,"S","S+"))))))))))))))))))))</f>
        <v>#DIV/0!</v>
      </c>
      <c r="C299" s="1378" t="str">
        <f>('PlayerGrades+'!$Y$47*(VLOOKUP(E299, 'PlayerGrades+'!$X$3:$Y$23, 2, FALSE)))+('PlayerGrades+'!$Y$48*(VLOOKUP(G299, 'PlayerGrades+'!$X$3:$Y$23, 2, FALSE)))+('PlayerGrades+'!$Y$49*(VLOOKUP(I299, 'PlayerGrades+'!$X$3:$Y$23, 2, FALSE)))+('PlayerGrades+'!$Y$50*(VLOOKUP(K299, 'PlayerGrades+'!$X$3:$Y$23, 2, FALSE)))+('PlayerGrades+'!$Y$51*(VLOOKUP(M299, 'PlayerGrades+'!$X$3:$Y$23, 2, FALSE)))+('PlayerGrades+'!$Y$52*(VLOOKUP(O299, 'PlayerGrades+'!$X$3:$Y$23, 2, FALSE)))+('PlayerGrades+'!$Y$53*(VLOOKUP(Q299, 'PlayerGrades+'!$X$3:$Y$23, 2, FALSE)))+('PlayerGrades+'!$Y$54*(VLOOKUP(S299, 'PlayerGrades+'!$X$3:$Y$23, 2, FALSE)))+('PlayerGrades+'!$Y$55*(VLOOKUP(U299, 'PlayerGrades+'!$X$3:$Y$23, 2, FALSE)))</f>
        <v>#DIV/0!</v>
      </c>
      <c r="D299" s="961" t="str">
        <f t="shared" si="1"/>
        <v>#DIV/0!</v>
      </c>
      <c r="E299" s="961" t="str">
        <f>IF(D299&lt;'PlayerGrades+'!$AA$21,"F-",IF(D299&lt;'PlayerGrades+'!$AA$20,"F",IF(D299&lt;'PlayerGrades+'!$AA$19,"F+",IF(D299&lt;'PlayerGrades+'!$AA$18,"E-",IF(D299&lt;'PlayerGrades+'!$AA$17,"E",IF(D299&lt;'PlayerGrades+'!$AA$16,"E+",IF(D299&lt;'PlayerGrades+'!$AA$15,"D-",IF(D299&lt;'PlayerGrades+'!$AA$14,"D",IF(D299&lt;'PlayerGrades+'!$AA$13,"D+",IF(D299&lt;'PlayerGrades+'!$AA$12,"C-",IF(D299&lt;'PlayerGrades+'!$AA$11,"C",IF(D299&lt;'PlayerGrades+'!$AA$10,"C+",IF(D299&lt;'PlayerGrades+'!$AA$9,"B-",IF(D299&lt;'PlayerGrades+'!$AA$8,"B",IF(D299&lt;'PlayerGrades+'!$AA$7,"B+",IF(D299&lt;'PlayerGrades+'!$AA$6,"A-",IF(D299&lt;'PlayerGrades+'!$AA$5,"A",IF(D299&lt;'PlayerGrades+'!$AA$4,"A+",IF(D299&lt;'PlayerGrades+'!$AA$3,"S-",IF(D299&lt;'PlayerGrades+'!$AA$2,"S","S+"))))))))))))))))))))</f>
        <v>#DIV/0!</v>
      </c>
      <c r="F299" s="961" t="str">
        <f t="shared" si="2"/>
        <v>#DIV/0!</v>
      </c>
      <c r="G299" s="961" t="str">
        <f>IF(F299&lt;'PlayerGrades+'!$AB$21,"F-",IF(F299&lt;'PlayerGrades+'!$AB$20,"F",IF(F299&lt;'PlayerGrades+'!$AB$19,"F+",IF(F299&lt;'PlayerGrades+'!$AB$18,"E-",IF(F299&lt;'PlayerGrades+'!$AB$17,"E",IF(F299&lt;'PlayerGrades+'!$AB$16,"E+",IF(F299&lt;'PlayerGrades+'!$AB$15,"D-",IF(F299&lt;'PlayerGrades+'!$AB$14,"D",IF(F299&lt;'PlayerGrades+'!$AB$13,"D+",IF(F299&lt;'PlayerGrades+'!$AB$12,"C-",IF(F299&lt;'PlayerGrades+'!$AB$11,"C",IF(F299&lt;'PlayerGrades+'!$AB$10,"C+",IF(F299&lt;'PlayerGrades+'!$AB$9,"B-",IF(F299&lt;'PlayerGrades+'!$AB$8,"B",IF(F299&lt;'PlayerGrades+'!$AB$7,"B+",IF(F299&lt;'PlayerGrades+'!$AB$6,"A-",IF(F299&lt;'PlayerGrades+'!$AB$5,"A",IF(F299&lt;'PlayerGrades+'!$AB$4,"A+",IF(F299&lt;'PlayerGrades+'!$AB$3,"S-",IF(F299&lt;'PlayerGrades+'!$AB$2,"S","S+"))))))))))))))))))))</f>
        <v>#DIV/0!</v>
      </c>
      <c r="H299" s="961" t="str">
        <f t="shared" si="3"/>
        <v>#DIV/0!</v>
      </c>
      <c r="I299" s="961" t="str">
        <f>IF(H299&lt;'PlayerGrades+'!$AC$21,"F-",IF(H299&lt;'PlayerGrades+'!$AC$20,"F",IF(H299&lt;'PlayerGrades+'!$AC$19,"F+",IF(H299&lt;'PlayerGrades+'!$AC$18,"E-",IF(H299&lt;'PlayerGrades+'!$AC$17,"E",IF(H299&lt;'PlayerGrades+'!$AC$16,"E+",IF(H299&lt;'PlayerGrades+'!$AC$15,"D-",IF(H299&lt;'PlayerGrades+'!$AC$14,"D",IF(H299&lt;'PlayerGrades+'!$AC$13,"D+",IF(H299&lt;'PlayerGrades+'!$AC$12,"C-",IF(H299&lt;'PlayerGrades+'!$AC$11,"C",IF(H299&lt;'PlayerGrades+'!$AC$10,"C+",IF(H299&lt;'PlayerGrades+'!$AC$9,"B-",IF(H299&lt;'PlayerGrades+'!$AC$8,"B",IF(H299&lt;'PlayerGrades+'!$AC$7,"B+",IF(H299&lt;'PlayerGrades+'!$AC$6,"A-",IF(H299&lt;'PlayerGrades+'!$AC$5,"A",IF(H299&lt;'PlayerGrades+'!$AC$4,"A+",IF(H299&lt;'PlayerGrades+'!$AC$3,"S-",IF(H299&lt;'PlayerGrades+'!$AC$2,"S","S+"))))))))))))))))))))</f>
        <v>#DIV/0!</v>
      </c>
      <c r="J299" s="961" t="str">
        <f t="shared" si="4"/>
        <v>#DIV/0!</v>
      </c>
      <c r="K299" s="961" t="str">
        <f>IF(J299&lt;'PlayerGrades+'!$AD$21,"F-",IF(J299&lt;'PlayerGrades+'!$AD$20,"F",IF(J299&lt;'PlayerGrades+'!$AD$19,"F+",IF(J299&lt;'PlayerGrades+'!$AD$18,"E-",IF(J299&lt;'PlayerGrades+'!$AD$17,"E",IF(J299&lt;'PlayerGrades+'!$AD$16,"E+",IF(J299&lt;'PlayerGrades+'!$AD$15,"D-",IF(J299&lt;'PlayerGrades+'!$AD$14,"D",IF(J299&lt;'PlayerGrades+'!$AD$13,"D+",IF(J299&lt;'PlayerGrades+'!$AD$12,"C-",IF(J299&lt;'PlayerGrades+'!$AD$11,"C",IF(J299&lt;'PlayerGrades+'!$AD$10,"C+",IF(J299&lt;'PlayerGrades+'!$AD$9,"B-",IF(J299&lt;'PlayerGrades+'!$AD$8,"B",IF(J299&lt;'PlayerGrades+'!$AD$7,"B+",IF(J299&lt;'PlayerGrades+'!$AD$6,"A-",IF(J299&lt;'PlayerGrades+'!$AD$5,"A",IF(J299&lt;'PlayerGrades+'!$AD$4,"A+",IF(J299&lt;'PlayerGrades+'!$AD$3,"S-",IF(J299&lt;'PlayerGrades+'!$AD$2,"S","S+"))))))))))))))))))))</f>
        <v>#DIV/0!</v>
      </c>
      <c r="L299" s="1176" t="str">
        <f t="shared" si="5"/>
        <v>#DIV/0!</v>
      </c>
      <c r="M299" s="992" t="str">
        <f>IF(L299&lt;'PlayerGrades+'!$AE$21,"F-",IF(L299&lt;'PlayerGrades+'!$AE$20,"F",IF(L299&lt;'PlayerGrades+'!$AE$19,"F+",IF(L299&lt;'PlayerGrades+'!$AE$18,"E-",IF(L299&lt;'PlayerGrades+'!$AE$17,"E",IF(L299&lt;'PlayerGrades+'!$AE$16,"E+",IF(L299&lt;'PlayerGrades+'!$AE$15,"D-",IF(L299&lt;'PlayerGrades+'!$AE$14,"D",IF(L299&lt;'PlayerGrades+'!$AE$13,"D+",IF(L299&lt;'PlayerGrades+'!$AE$12,"C-",IF(L299&lt;'PlayerGrades+'!$AE$11,"C",IF(L299&lt;'PlayerGrades+'!$AE$10,"C+",IF(L299&lt;'PlayerGrades+'!$AE$9,"B-",IF(L299&lt;'PlayerGrades+'!$AE$8,"B",IF(L299&lt;'PlayerGrades+'!$AE$7,"B+",IF(L299&lt;'PlayerGrades+'!$AE$6,"A-",IF(L299&lt;'PlayerGrades+'!$AE$5,"A",IF(L299&lt;'PlayerGrades+'!$AE$4,"A+",IF(L299&lt;'PlayerGrades+'!$AE$3,"S-",IF(L299&lt;'PlayerGrades+'!$AE$2,"S","S+"))))))))))))))))))))</f>
        <v>#DIV/0!</v>
      </c>
      <c r="N299" s="961" t="str">
        <f t="shared" si="6"/>
        <v>#DIV/0!</v>
      </c>
      <c r="O299" s="961" t="str">
        <f>IF(N299&lt;'PlayerGrades+'!$AF$21,"F-",IF(N299&lt;'PlayerGrades+'!$AF$20,"F",IF(N299&lt;'PlayerGrades+'!$AF$19,"F+",IF(N299&lt;'PlayerGrades+'!$AF$18,"E-",IF(N299&lt;'PlayerGrades+'!$AF$17,"E",IF(N299&lt;'PlayerGrades+'!$AF$16,"E+",IF(N299&lt;'PlayerGrades+'!$AF$15,"D-",IF(N299&lt;'PlayerGrades+'!$AF$14,"D",IF(N299&lt;'PlayerGrades+'!$AF$13,"D+",IF(N299&lt;'PlayerGrades+'!$AF$12,"C-",IF(N299&lt;'PlayerGrades+'!$AF$11,"C",IF(N299&lt;'PlayerGrades+'!$AF$10,"C+",IF(N299&lt;'PlayerGrades+'!$AF$9,"B-",IF(N299&lt;'PlayerGrades+'!$AF$8,"B",IF(N299&lt;'PlayerGrades+'!$AF$7,"B+",IF(N299&lt;'PlayerGrades+'!$AF$6,"A-",IF(N299&lt;'PlayerGrades+'!$AF$5,"A",IF(N299&lt;'PlayerGrades+'!$AF$4,"A+",IF(N299&lt;'PlayerGrades+'!$AF$3,"S-",IF(N299&lt;'PlayerGrades+'!$AF$2,"S","S+"))))))))))))))))))))</f>
        <v>#DIV/0!</v>
      </c>
      <c r="P299" s="961" t="str">
        <f t="shared" si="7"/>
        <v>#DIV/0!</v>
      </c>
      <c r="Q299" s="961" t="str">
        <f>IF(P299&lt;'PlayerGrades+'!$AG$21,"F-",IF(P299&lt;'PlayerGrades+'!$AG$20,"F",IF(P299&lt;'PlayerGrades+'!$AG$19,"F+",IF(P299&lt;'PlayerGrades+'!$AG$18,"E-",IF(P299&lt;'PlayerGrades+'!$AG$17,"E",IF(P299&lt;'PlayerGrades+'!$AG$16,"E+",IF(P299&lt;'PlayerGrades+'!$AG$15,"D-",IF(P299&lt;'PlayerGrades+'!$AG$14,"D",IF(P299&lt;'PlayerGrades+'!$AG$13,"D+",IF(P299&lt;'PlayerGrades+'!$AG$12,"C-",IF(P299&lt;'PlayerGrades+'!$AG$11,"C",IF(P299&lt;'PlayerGrades+'!$AG$10,"C+",IF(P299&lt;'PlayerGrades+'!$AG$9,"B-",IF(P299&lt;'PlayerGrades+'!$AG$8,"B",IF(P299&lt;'PlayerGrades+'!$AG$7,"B+",IF(P299&lt;'PlayerGrades+'!$AG$6,"A-",IF(P299&lt;'PlayerGrades+'!$AG$5,"A",IF(P299&lt;'PlayerGrades+'!$AG$4,"A+",IF(P299&lt;'PlayerGrades+'!$AG$3,"S-",IF(P299&lt;'PlayerGrades+'!$AG$2,"S","S+"))))))))))))))))))))</f>
        <v>#DIV/0!</v>
      </c>
      <c r="R299" s="961" t="str">
        <f t="shared" si="8"/>
        <v>#DIV/0!</v>
      </c>
      <c r="S299" s="961" t="str">
        <f>IF(R299&lt;'PlayerGrades+'!$AH$21,"F-",IF(R299&lt;'PlayerGrades+'!$AH$20,"F",IF(R299&lt;'PlayerGrades+'!$AH$19,"F+",IF(R299&lt;'PlayerGrades+'!$AH$18,"E-",IF(R299&lt;'PlayerGrades+'!$AH$17,"E",IF(R299&lt;'PlayerGrades+'!$AH$16,"E+",IF(R299&lt;'PlayerGrades+'!$AH$15,"D-",IF(R299&lt;'PlayerGrades+'!$AH$14,"D",IF(R299&lt;'PlayerGrades+'!$AH$13,"D+",IF(R299&lt;'PlayerGrades+'!$AH$12,"C-",IF(R299&lt;'PlayerGrades+'!$AH$11,"C",IF(R299&lt;'PlayerGrades+'!$AH$10,"C+",IF(R299&lt;'PlayerGrades+'!$AH$9,"B-",IF(R299&lt;'PlayerGrades+'!$AH$8,"B",IF(R299&lt;'PlayerGrades+'!$AH$7,"B+",IF(R299&lt;'PlayerGrades+'!$AH$6,"A-",IF(R299&lt;'PlayerGrades+'!$AH$5,"A",IF(R299&lt;'PlayerGrades+'!$AH$4,"A+",IF(R299&lt;'PlayerGrades+'!$AH$3,"S-",IF(R299&lt;'PlayerGrades+'!$AH$2,"S","S+"))))))))))))))))))))</f>
        <v>#DIV/0!</v>
      </c>
      <c r="T299" s="961">
        <f t="shared" si="9"/>
        <v>0</v>
      </c>
      <c r="U299" s="961" t="str">
        <f>IF(T299&lt;'PlayerGrades+'!$AI$21,"F-",IF(T299&lt;'PlayerGrades+'!$AI$20,"F",IF(T299&lt;'PlayerGrades+'!$AI$19,"F+",IF(T299&lt;'PlayerGrades+'!$AI$18,"E-",IF(T299&lt;'PlayerGrades+'!$AI$17,"E",IF(T299&lt;'PlayerGrades+'!$AI$16,"E+",IF(T299&lt;'PlayerGrades+'!$AI$15,"D-",IF(T299&lt;'PlayerGrades+'!$AI$14,"D",IF(T299&lt;'PlayerGrades+'!$AI$13,"D+",IF(T299&lt;'PlayerGrades+'!$AI$12,"C-",IF(T299&lt;'PlayerGrades+'!$AI$11,"C",IF(T299&lt;'PlayerGrades+'!$AI$10,"C+",IF(T299&lt;'PlayerGrades+'!$AI$9,"B-",IF(T299&lt;'PlayerGrades+'!$AI$8,"B",IF(T299&lt;'PlayerGrades+'!$AI$7,"B+",IF(T299&lt;'PlayerGrades+'!$AI$6,"A-",IF(T299&lt;'PlayerGrades+'!$AI$5,"A",IF(T299&lt;'PlayerGrades+'!$AI$4,"A+",IF(T299&lt;'PlayerGrades+'!$AI$3,"S-",IF(T299&lt;'PlayerGrades+'!$AI$2,"S","S+"))))))))))))))))))))</f>
        <v>F-</v>
      </c>
      <c r="AC299" s="1392"/>
    </row>
    <row r="300">
      <c r="A300" s="1391"/>
      <c r="B300" s="611" t="str">
        <f>IF(C300&lt;'PlayerGrades+'!$Y$44,"F-",IF(C300&lt;'PlayerGrades+'!$Y$43,"F",IF(C300&lt;'PlayerGrades+'!$Y$42,"F+",IF(C300&lt;'PlayerGrades+'!$Y$41,"E-",IF(C300&lt;'PlayerGrades+'!$Y$40,"E",IF(C300&lt;'PlayerGrades+'!$Y$39,"E+",IF(C300&lt;'PlayerGrades+'!$Y$38,"D-",IF(C300&lt;'PlayerGrades+'!$Y$37,"D",IF(C300&lt;'PlayerGrades+'!$Y$36,"D+",IF(C300&lt;'PlayerGrades+'!$Y$35,"C-",IF(C300&lt;'PlayerGrades+'!$Y$34,"C",IF(C300&lt;'PlayerGrades+'!$Y$33,"C+",IF(C300&lt;'PlayerGrades+'!$Y$32,"B-",IF(C300&lt;'PlayerGrades+'!$Y$31,"B",IF(C300&lt;'PlayerGrades+'!$Y$30,"B+",IF(C300&lt;'PlayerGrades+'!$Y$29,"A-",IF(C300&lt;'PlayerGrades+'!$Y$28,"A",IF(C300&lt;'PlayerGrades+'!$Y$27,"A+",IF(C300&lt;'PlayerGrades+'!$Y$26,"S-",IF(C300&lt;'PlayerGrades+'!$Y$25,"S","S+"))))))))))))))))))))</f>
        <v>#DIV/0!</v>
      </c>
      <c r="C300" s="1378" t="str">
        <f>('PlayerGrades+'!$Y$47*(VLOOKUP(E300, 'PlayerGrades+'!$X$3:$Y$23, 2, FALSE)))+('PlayerGrades+'!$Y$48*(VLOOKUP(G300, 'PlayerGrades+'!$X$3:$Y$23, 2, FALSE)))+('PlayerGrades+'!$Y$49*(VLOOKUP(I300, 'PlayerGrades+'!$X$3:$Y$23, 2, FALSE)))+('PlayerGrades+'!$Y$50*(VLOOKUP(K300, 'PlayerGrades+'!$X$3:$Y$23, 2, FALSE)))+('PlayerGrades+'!$Y$51*(VLOOKUP(M300, 'PlayerGrades+'!$X$3:$Y$23, 2, FALSE)))+('PlayerGrades+'!$Y$52*(VLOOKUP(O300, 'PlayerGrades+'!$X$3:$Y$23, 2, FALSE)))+('PlayerGrades+'!$Y$53*(VLOOKUP(Q300, 'PlayerGrades+'!$X$3:$Y$23, 2, FALSE)))+('PlayerGrades+'!$Y$54*(VLOOKUP(S300, 'PlayerGrades+'!$X$3:$Y$23, 2, FALSE)))+('PlayerGrades+'!$Y$55*(VLOOKUP(U300, 'PlayerGrades+'!$X$3:$Y$23, 2, FALSE)))</f>
        <v>#DIV/0!</v>
      </c>
      <c r="D300" s="961" t="str">
        <f t="shared" si="1"/>
        <v>#DIV/0!</v>
      </c>
      <c r="E300" s="961" t="str">
        <f>IF(D300&lt;'PlayerGrades+'!$AA$21,"F-",IF(D300&lt;'PlayerGrades+'!$AA$20,"F",IF(D300&lt;'PlayerGrades+'!$AA$19,"F+",IF(D300&lt;'PlayerGrades+'!$AA$18,"E-",IF(D300&lt;'PlayerGrades+'!$AA$17,"E",IF(D300&lt;'PlayerGrades+'!$AA$16,"E+",IF(D300&lt;'PlayerGrades+'!$AA$15,"D-",IF(D300&lt;'PlayerGrades+'!$AA$14,"D",IF(D300&lt;'PlayerGrades+'!$AA$13,"D+",IF(D300&lt;'PlayerGrades+'!$AA$12,"C-",IF(D300&lt;'PlayerGrades+'!$AA$11,"C",IF(D300&lt;'PlayerGrades+'!$AA$10,"C+",IF(D300&lt;'PlayerGrades+'!$AA$9,"B-",IF(D300&lt;'PlayerGrades+'!$AA$8,"B",IF(D300&lt;'PlayerGrades+'!$AA$7,"B+",IF(D300&lt;'PlayerGrades+'!$AA$6,"A-",IF(D300&lt;'PlayerGrades+'!$AA$5,"A",IF(D300&lt;'PlayerGrades+'!$AA$4,"A+",IF(D300&lt;'PlayerGrades+'!$AA$3,"S-",IF(D300&lt;'PlayerGrades+'!$AA$2,"S","S+"))))))))))))))))))))</f>
        <v>#DIV/0!</v>
      </c>
      <c r="F300" s="961" t="str">
        <f t="shared" si="2"/>
        <v>#DIV/0!</v>
      </c>
      <c r="G300" s="961" t="str">
        <f>IF(F300&lt;'PlayerGrades+'!$AB$21,"F-",IF(F300&lt;'PlayerGrades+'!$AB$20,"F",IF(F300&lt;'PlayerGrades+'!$AB$19,"F+",IF(F300&lt;'PlayerGrades+'!$AB$18,"E-",IF(F300&lt;'PlayerGrades+'!$AB$17,"E",IF(F300&lt;'PlayerGrades+'!$AB$16,"E+",IF(F300&lt;'PlayerGrades+'!$AB$15,"D-",IF(F300&lt;'PlayerGrades+'!$AB$14,"D",IF(F300&lt;'PlayerGrades+'!$AB$13,"D+",IF(F300&lt;'PlayerGrades+'!$AB$12,"C-",IF(F300&lt;'PlayerGrades+'!$AB$11,"C",IF(F300&lt;'PlayerGrades+'!$AB$10,"C+",IF(F300&lt;'PlayerGrades+'!$AB$9,"B-",IF(F300&lt;'PlayerGrades+'!$AB$8,"B",IF(F300&lt;'PlayerGrades+'!$AB$7,"B+",IF(F300&lt;'PlayerGrades+'!$AB$6,"A-",IF(F300&lt;'PlayerGrades+'!$AB$5,"A",IF(F300&lt;'PlayerGrades+'!$AB$4,"A+",IF(F300&lt;'PlayerGrades+'!$AB$3,"S-",IF(F300&lt;'PlayerGrades+'!$AB$2,"S","S+"))))))))))))))))))))</f>
        <v>#DIV/0!</v>
      </c>
      <c r="H300" s="961" t="str">
        <f t="shared" si="3"/>
        <v>#DIV/0!</v>
      </c>
      <c r="I300" s="961" t="str">
        <f>IF(H300&lt;'PlayerGrades+'!$AC$21,"F-",IF(H300&lt;'PlayerGrades+'!$AC$20,"F",IF(H300&lt;'PlayerGrades+'!$AC$19,"F+",IF(H300&lt;'PlayerGrades+'!$AC$18,"E-",IF(H300&lt;'PlayerGrades+'!$AC$17,"E",IF(H300&lt;'PlayerGrades+'!$AC$16,"E+",IF(H300&lt;'PlayerGrades+'!$AC$15,"D-",IF(H300&lt;'PlayerGrades+'!$AC$14,"D",IF(H300&lt;'PlayerGrades+'!$AC$13,"D+",IF(H300&lt;'PlayerGrades+'!$AC$12,"C-",IF(H300&lt;'PlayerGrades+'!$AC$11,"C",IF(H300&lt;'PlayerGrades+'!$AC$10,"C+",IF(H300&lt;'PlayerGrades+'!$AC$9,"B-",IF(H300&lt;'PlayerGrades+'!$AC$8,"B",IF(H300&lt;'PlayerGrades+'!$AC$7,"B+",IF(H300&lt;'PlayerGrades+'!$AC$6,"A-",IF(H300&lt;'PlayerGrades+'!$AC$5,"A",IF(H300&lt;'PlayerGrades+'!$AC$4,"A+",IF(H300&lt;'PlayerGrades+'!$AC$3,"S-",IF(H300&lt;'PlayerGrades+'!$AC$2,"S","S+"))))))))))))))))))))</f>
        <v>#DIV/0!</v>
      </c>
      <c r="J300" s="961" t="str">
        <f t="shared" si="4"/>
        <v>#DIV/0!</v>
      </c>
      <c r="K300" s="961" t="str">
        <f>IF(J300&lt;'PlayerGrades+'!$AD$21,"F-",IF(J300&lt;'PlayerGrades+'!$AD$20,"F",IF(J300&lt;'PlayerGrades+'!$AD$19,"F+",IF(J300&lt;'PlayerGrades+'!$AD$18,"E-",IF(J300&lt;'PlayerGrades+'!$AD$17,"E",IF(J300&lt;'PlayerGrades+'!$AD$16,"E+",IF(J300&lt;'PlayerGrades+'!$AD$15,"D-",IF(J300&lt;'PlayerGrades+'!$AD$14,"D",IF(J300&lt;'PlayerGrades+'!$AD$13,"D+",IF(J300&lt;'PlayerGrades+'!$AD$12,"C-",IF(J300&lt;'PlayerGrades+'!$AD$11,"C",IF(J300&lt;'PlayerGrades+'!$AD$10,"C+",IF(J300&lt;'PlayerGrades+'!$AD$9,"B-",IF(J300&lt;'PlayerGrades+'!$AD$8,"B",IF(J300&lt;'PlayerGrades+'!$AD$7,"B+",IF(J300&lt;'PlayerGrades+'!$AD$6,"A-",IF(J300&lt;'PlayerGrades+'!$AD$5,"A",IF(J300&lt;'PlayerGrades+'!$AD$4,"A+",IF(J300&lt;'PlayerGrades+'!$AD$3,"S-",IF(J300&lt;'PlayerGrades+'!$AD$2,"S","S+"))))))))))))))))))))</f>
        <v>#DIV/0!</v>
      </c>
      <c r="L300" s="1176" t="str">
        <f t="shared" si="5"/>
        <v>#DIV/0!</v>
      </c>
      <c r="M300" s="992" t="str">
        <f>IF(L300&lt;'PlayerGrades+'!$AE$21,"F-",IF(L300&lt;'PlayerGrades+'!$AE$20,"F",IF(L300&lt;'PlayerGrades+'!$AE$19,"F+",IF(L300&lt;'PlayerGrades+'!$AE$18,"E-",IF(L300&lt;'PlayerGrades+'!$AE$17,"E",IF(L300&lt;'PlayerGrades+'!$AE$16,"E+",IF(L300&lt;'PlayerGrades+'!$AE$15,"D-",IF(L300&lt;'PlayerGrades+'!$AE$14,"D",IF(L300&lt;'PlayerGrades+'!$AE$13,"D+",IF(L300&lt;'PlayerGrades+'!$AE$12,"C-",IF(L300&lt;'PlayerGrades+'!$AE$11,"C",IF(L300&lt;'PlayerGrades+'!$AE$10,"C+",IF(L300&lt;'PlayerGrades+'!$AE$9,"B-",IF(L300&lt;'PlayerGrades+'!$AE$8,"B",IF(L300&lt;'PlayerGrades+'!$AE$7,"B+",IF(L300&lt;'PlayerGrades+'!$AE$6,"A-",IF(L300&lt;'PlayerGrades+'!$AE$5,"A",IF(L300&lt;'PlayerGrades+'!$AE$4,"A+",IF(L300&lt;'PlayerGrades+'!$AE$3,"S-",IF(L300&lt;'PlayerGrades+'!$AE$2,"S","S+"))))))))))))))))))))</f>
        <v>#DIV/0!</v>
      </c>
      <c r="N300" s="961" t="str">
        <f t="shared" si="6"/>
        <v>#DIV/0!</v>
      </c>
      <c r="O300" s="961" t="str">
        <f>IF(N300&lt;'PlayerGrades+'!$AF$21,"F-",IF(N300&lt;'PlayerGrades+'!$AF$20,"F",IF(N300&lt;'PlayerGrades+'!$AF$19,"F+",IF(N300&lt;'PlayerGrades+'!$AF$18,"E-",IF(N300&lt;'PlayerGrades+'!$AF$17,"E",IF(N300&lt;'PlayerGrades+'!$AF$16,"E+",IF(N300&lt;'PlayerGrades+'!$AF$15,"D-",IF(N300&lt;'PlayerGrades+'!$AF$14,"D",IF(N300&lt;'PlayerGrades+'!$AF$13,"D+",IF(N300&lt;'PlayerGrades+'!$AF$12,"C-",IF(N300&lt;'PlayerGrades+'!$AF$11,"C",IF(N300&lt;'PlayerGrades+'!$AF$10,"C+",IF(N300&lt;'PlayerGrades+'!$AF$9,"B-",IF(N300&lt;'PlayerGrades+'!$AF$8,"B",IF(N300&lt;'PlayerGrades+'!$AF$7,"B+",IF(N300&lt;'PlayerGrades+'!$AF$6,"A-",IF(N300&lt;'PlayerGrades+'!$AF$5,"A",IF(N300&lt;'PlayerGrades+'!$AF$4,"A+",IF(N300&lt;'PlayerGrades+'!$AF$3,"S-",IF(N300&lt;'PlayerGrades+'!$AF$2,"S","S+"))))))))))))))))))))</f>
        <v>#DIV/0!</v>
      </c>
      <c r="P300" s="961" t="str">
        <f t="shared" si="7"/>
        <v>#DIV/0!</v>
      </c>
      <c r="Q300" s="961" t="str">
        <f>IF(P300&lt;'PlayerGrades+'!$AG$21,"F-",IF(P300&lt;'PlayerGrades+'!$AG$20,"F",IF(P300&lt;'PlayerGrades+'!$AG$19,"F+",IF(P300&lt;'PlayerGrades+'!$AG$18,"E-",IF(P300&lt;'PlayerGrades+'!$AG$17,"E",IF(P300&lt;'PlayerGrades+'!$AG$16,"E+",IF(P300&lt;'PlayerGrades+'!$AG$15,"D-",IF(P300&lt;'PlayerGrades+'!$AG$14,"D",IF(P300&lt;'PlayerGrades+'!$AG$13,"D+",IF(P300&lt;'PlayerGrades+'!$AG$12,"C-",IF(P300&lt;'PlayerGrades+'!$AG$11,"C",IF(P300&lt;'PlayerGrades+'!$AG$10,"C+",IF(P300&lt;'PlayerGrades+'!$AG$9,"B-",IF(P300&lt;'PlayerGrades+'!$AG$8,"B",IF(P300&lt;'PlayerGrades+'!$AG$7,"B+",IF(P300&lt;'PlayerGrades+'!$AG$6,"A-",IF(P300&lt;'PlayerGrades+'!$AG$5,"A",IF(P300&lt;'PlayerGrades+'!$AG$4,"A+",IF(P300&lt;'PlayerGrades+'!$AG$3,"S-",IF(P300&lt;'PlayerGrades+'!$AG$2,"S","S+"))))))))))))))))))))</f>
        <v>#DIV/0!</v>
      </c>
      <c r="R300" s="961" t="str">
        <f t="shared" si="8"/>
        <v>#DIV/0!</v>
      </c>
      <c r="S300" s="961" t="str">
        <f>IF(R300&lt;'PlayerGrades+'!$AH$21,"F-",IF(R300&lt;'PlayerGrades+'!$AH$20,"F",IF(R300&lt;'PlayerGrades+'!$AH$19,"F+",IF(R300&lt;'PlayerGrades+'!$AH$18,"E-",IF(R300&lt;'PlayerGrades+'!$AH$17,"E",IF(R300&lt;'PlayerGrades+'!$AH$16,"E+",IF(R300&lt;'PlayerGrades+'!$AH$15,"D-",IF(R300&lt;'PlayerGrades+'!$AH$14,"D",IF(R300&lt;'PlayerGrades+'!$AH$13,"D+",IF(R300&lt;'PlayerGrades+'!$AH$12,"C-",IF(R300&lt;'PlayerGrades+'!$AH$11,"C",IF(R300&lt;'PlayerGrades+'!$AH$10,"C+",IF(R300&lt;'PlayerGrades+'!$AH$9,"B-",IF(R300&lt;'PlayerGrades+'!$AH$8,"B",IF(R300&lt;'PlayerGrades+'!$AH$7,"B+",IF(R300&lt;'PlayerGrades+'!$AH$6,"A-",IF(R300&lt;'PlayerGrades+'!$AH$5,"A",IF(R300&lt;'PlayerGrades+'!$AH$4,"A+",IF(R300&lt;'PlayerGrades+'!$AH$3,"S-",IF(R300&lt;'PlayerGrades+'!$AH$2,"S","S+"))))))))))))))))))))</f>
        <v>#DIV/0!</v>
      </c>
      <c r="T300" s="961">
        <f t="shared" si="9"/>
        <v>0</v>
      </c>
      <c r="U300" s="961" t="str">
        <f>IF(T300&lt;'PlayerGrades+'!$AI$21,"F-",IF(T300&lt;'PlayerGrades+'!$AI$20,"F",IF(T300&lt;'PlayerGrades+'!$AI$19,"F+",IF(T300&lt;'PlayerGrades+'!$AI$18,"E-",IF(T300&lt;'PlayerGrades+'!$AI$17,"E",IF(T300&lt;'PlayerGrades+'!$AI$16,"E+",IF(T300&lt;'PlayerGrades+'!$AI$15,"D-",IF(T300&lt;'PlayerGrades+'!$AI$14,"D",IF(T300&lt;'PlayerGrades+'!$AI$13,"D+",IF(T300&lt;'PlayerGrades+'!$AI$12,"C-",IF(T300&lt;'PlayerGrades+'!$AI$11,"C",IF(T300&lt;'PlayerGrades+'!$AI$10,"C+",IF(T300&lt;'PlayerGrades+'!$AI$9,"B-",IF(T300&lt;'PlayerGrades+'!$AI$8,"B",IF(T300&lt;'PlayerGrades+'!$AI$7,"B+",IF(T300&lt;'PlayerGrades+'!$AI$6,"A-",IF(T300&lt;'PlayerGrades+'!$AI$5,"A",IF(T300&lt;'PlayerGrades+'!$AI$4,"A+",IF(T300&lt;'PlayerGrades+'!$AI$3,"S-",IF(T300&lt;'PlayerGrades+'!$AI$2,"S","S+"))))))))))))))))))))</f>
        <v>F-</v>
      </c>
      <c r="AC300" s="1392"/>
    </row>
    <row r="301">
      <c r="A301" s="1391"/>
      <c r="B301" s="611" t="str">
        <f>IF(C301&lt;'PlayerGrades+'!$Y$44,"F-",IF(C301&lt;'PlayerGrades+'!$Y$43,"F",IF(C301&lt;'PlayerGrades+'!$Y$42,"F+",IF(C301&lt;'PlayerGrades+'!$Y$41,"E-",IF(C301&lt;'PlayerGrades+'!$Y$40,"E",IF(C301&lt;'PlayerGrades+'!$Y$39,"E+",IF(C301&lt;'PlayerGrades+'!$Y$38,"D-",IF(C301&lt;'PlayerGrades+'!$Y$37,"D",IF(C301&lt;'PlayerGrades+'!$Y$36,"D+",IF(C301&lt;'PlayerGrades+'!$Y$35,"C-",IF(C301&lt;'PlayerGrades+'!$Y$34,"C",IF(C301&lt;'PlayerGrades+'!$Y$33,"C+",IF(C301&lt;'PlayerGrades+'!$Y$32,"B-",IF(C301&lt;'PlayerGrades+'!$Y$31,"B",IF(C301&lt;'PlayerGrades+'!$Y$30,"B+",IF(C301&lt;'PlayerGrades+'!$Y$29,"A-",IF(C301&lt;'PlayerGrades+'!$Y$28,"A",IF(C301&lt;'PlayerGrades+'!$Y$27,"A+",IF(C301&lt;'PlayerGrades+'!$Y$26,"S-",IF(C301&lt;'PlayerGrades+'!$Y$25,"S","S+"))))))))))))))))))))</f>
        <v>#DIV/0!</v>
      </c>
      <c r="C301" s="1378" t="str">
        <f>('PlayerGrades+'!$Y$47*(VLOOKUP(E301, 'PlayerGrades+'!$X$3:$Y$23, 2, FALSE)))+('PlayerGrades+'!$Y$48*(VLOOKUP(G301, 'PlayerGrades+'!$X$3:$Y$23, 2, FALSE)))+('PlayerGrades+'!$Y$49*(VLOOKUP(I301, 'PlayerGrades+'!$X$3:$Y$23, 2, FALSE)))+('PlayerGrades+'!$Y$50*(VLOOKUP(K301, 'PlayerGrades+'!$X$3:$Y$23, 2, FALSE)))+('PlayerGrades+'!$Y$51*(VLOOKUP(M301, 'PlayerGrades+'!$X$3:$Y$23, 2, FALSE)))+('PlayerGrades+'!$Y$52*(VLOOKUP(O301, 'PlayerGrades+'!$X$3:$Y$23, 2, FALSE)))+('PlayerGrades+'!$Y$53*(VLOOKUP(Q301, 'PlayerGrades+'!$X$3:$Y$23, 2, FALSE)))+('PlayerGrades+'!$Y$54*(VLOOKUP(S301, 'PlayerGrades+'!$X$3:$Y$23, 2, FALSE)))+('PlayerGrades+'!$Y$55*(VLOOKUP(U301, 'PlayerGrades+'!$X$3:$Y$23, 2, FALSE)))</f>
        <v>#DIV/0!</v>
      </c>
      <c r="D301" s="961" t="str">
        <f t="shared" si="1"/>
        <v>#DIV/0!</v>
      </c>
      <c r="E301" s="961" t="str">
        <f>IF(D301&lt;'PlayerGrades+'!$AA$21,"F-",IF(D301&lt;'PlayerGrades+'!$AA$20,"F",IF(D301&lt;'PlayerGrades+'!$AA$19,"F+",IF(D301&lt;'PlayerGrades+'!$AA$18,"E-",IF(D301&lt;'PlayerGrades+'!$AA$17,"E",IF(D301&lt;'PlayerGrades+'!$AA$16,"E+",IF(D301&lt;'PlayerGrades+'!$AA$15,"D-",IF(D301&lt;'PlayerGrades+'!$AA$14,"D",IF(D301&lt;'PlayerGrades+'!$AA$13,"D+",IF(D301&lt;'PlayerGrades+'!$AA$12,"C-",IF(D301&lt;'PlayerGrades+'!$AA$11,"C",IF(D301&lt;'PlayerGrades+'!$AA$10,"C+",IF(D301&lt;'PlayerGrades+'!$AA$9,"B-",IF(D301&lt;'PlayerGrades+'!$AA$8,"B",IF(D301&lt;'PlayerGrades+'!$AA$7,"B+",IF(D301&lt;'PlayerGrades+'!$AA$6,"A-",IF(D301&lt;'PlayerGrades+'!$AA$5,"A",IF(D301&lt;'PlayerGrades+'!$AA$4,"A+",IF(D301&lt;'PlayerGrades+'!$AA$3,"S-",IF(D301&lt;'PlayerGrades+'!$AA$2,"S","S+"))))))))))))))))))))</f>
        <v>#DIV/0!</v>
      </c>
      <c r="F301" s="961" t="str">
        <f t="shared" si="2"/>
        <v>#DIV/0!</v>
      </c>
      <c r="G301" s="961" t="str">
        <f>IF(F301&lt;'PlayerGrades+'!$AB$21,"F-",IF(F301&lt;'PlayerGrades+'!$AB$20,"F",IF(F301&lt;'PlayerGrades+'!$AB$19,"F+",IF(F301&lt;'PlayerGrades+'!$AB$18,"E-",IF(F301&lt;'PlayerGrades+'!$AB$17,"E",IF(F301&lt;'PlayerGrades+'!$AB$16,"E+",IF(F301&lt;'PlayerGrades+'!$AB$15,"D-",IF(F301&lt;'PlayerGrades+'!$AB$14,"D",IF(F301&lt;'PlayerGrades+'!$AB$13,"D+",IF(F301&lt;'PlayerGrades+'!$AB$12,"C-",IF(F301&lt;'PlayerGrades+'!$AB$11,"C",IF(F301&lt;'PlayerGrades+'!$AB$10,"C+",IF(F301&lt;'PlayerGrades+'!$AB$9,"B-",IF(F301&lt;'PlayerGrades+'!$AB$8,"B",IF(F301&lt;'PlayerGrades+'!$AB$7,"B+",IF(F301&lt;'PlayerGrades+'!$AB$6,"A-",IF(F301&lt;'PlayerGrades+'!$AB$5,"A",IF(F301&lt;'PlayerGrades+'!$AB$4,"A+",IF(F301&lt;'PlayerGrades+'!$AB$3,"S-",IF(F301&lt;'PlayerGrades+'!$AB$2,"S","S+"))))))))))))))))))))</f>
        <v>#DIV/0!</v>
      </c>
      <c r="H301" s="961" t="str">
        <f t="shared" si="3"/>
        <v>#DIV/0!</v>
      </c>
      <c r="I301" s="961" t="str">
        <f>IF(H301&lt;'PlayerGrades+'!$AC$21,"F-",IF(H301&lt;'PlayerGrades+'!$AC$20,"F",IF(H301&lt;'PlayerGrades+'!$AC$19,"F+",IF(H301&lt;'PlayerGrades+'!$AC$18,"E-",IF(H301&lt;'PlayerGrades+'!$AC$17,"E",IF(H301&lt;'PlayerGrades+'!$AC$16,"E+",IF(H301&lt;'PlayerGrades+'!$AC$15,"D-",IF(H301&lt;'PlayerGrades+'!$AC$14,"D",IF(H301&lt;'PlayerGrades+'!$AC$13,"D+",IF(H301&lt;'PlayerGrades+'!$AC$12,"C-",IF(H301&lt;'PlayerGrades+'!$AC$11,"C",IF(H301&lt;'PlayerGrades+'!$AC$10,"C+",IF(H301&lt;'PlayerGrades+'!$AC$9,"B-",IF(H301&lt;'PlayerGrades+'!$AC$8,"B",IF(H301&lt;'PlayerGrades+'!$AC$7,"B+",IF(H301&lt;'PlayerGrades+'!$AC$6,"A-",IF(H301&lt;'PlayerGrades+'!$AC$5,"A",IF(H301&lt;'PlayerGrades+'!$AC$4,"A+",IF(H301&lt;'PlayerGrades+'!$AC$3,"S-",IF(H301&lt;'PlayerGrades+'!$AC$2,"S","S+"))))))))))))))))))))</f>
        <v>#DIV/0!</v>
      </c>
      <c r="J301" s="961" t="str">
        <f t="shared" si="4"/>
        <v>#DIV/0!</v>
      </c>
      <c r="K301" s="961" t="str">
        <f>IF(J301&lt;'PlayerGrades+'!$AD$21,"F-",IF(J301&lt;'PlayerGrades+'!$AD$20,"F",IF(J301&lt;'PlayerGrades+'!$AD$19,"F+",IF(J301&lt;'PlayerGrades+'!$AD$18,"E-",IF(J301&lt;'PlayerGrades+'!$AD$17,"E",IF(J301&lt;'PlayerGrades+'!$AD$16,"E+",IF(J301&lt;'PlayerGrades+'!$AD$15,"D-",IF(J301&lt;'PlayerGrades+'!$AD$14,"D",IF(J301&lt;'PlayerGrades+'!$AD$13,"D+",IF(J301&lt;'PlayerGrades+'!$AD$12,"C-",IF(J301&lt;'PlayerGrades+'!$AD$11,"C",IF(J301&lt;'PlayerGrades+'!$AD$10,"C+",IF(J301&lt;'PlayerGrades+'!$AD$9,"B-",IF(J301&lt;'PlayerGrades+'!$AD$8,"B",IF(J301&lt;'PlayerGrades+'!$AD$7,"B+",IF(J301&lt;'PlayerGrades+'!$AD$6,"A-",IF(J301&lt;'PlayerGrades+'!$AD$5,"A",IF(J301&lt;'PlayerGrades+'!$AD$4,"A+",IF(J301&lt;'PlayerGrades+'!$AD$3,"S-",IF(J301&lt;'PlayerGrades+'!$AD$2,"S","S+"))))))))))))))))))))</f>
        <v>#DIV/0!</v>
      </c>
      <c r="L301" s="1176" t="str">
        <f t="shared" si="5"/>
        <v>#DIV/0!</v>
      </c>
      <c r="M301" s="992" t="str">
        <f>IF(L301&lt;'PlayerGrades+'!$AE$21,"F-",IF(L301&lt;'PlayerGrades+'!$AE$20,"F",IF(L301&lt;'PlayerGrades+'!$AE$19,"F+",IF(L301&lt;'PlayerGrades+'!$AE$18,"E-",IF(L301&lt;'PlayerGrades+'!$AE$17,"E",IF(L301&lt;'PlayerGrades+'!$AE$16,"E+",IF(L301&lt;'PlayerGrades+'!$AE$15,"D-",IF(L301&lt;'PlayerGrades+'!$AE$14,"D",IF(L301&lt;'PlayerGrades+'!$AE$13,"D+",IF(L301&lt;'PlayerGrades+'!$AE$12,"C-",IF(L301&lt;'PlayerGrades+'!$AE$11,"C",IF(L301&lt;'PlayerGrades+'!$AE$10,"C+",IF(L301&lt;'PlayerGrades+'!$AE$9,"B-",IF(L301&lt;'PlayerGrades+'!$AE$8,"B",IF(L301&lt;'PlayerGrades+'!$AE$7,"B+",IF(L301&lt;'PlayerGrades+'!$AE$6,"A-",IF(L301&lt;'PlayerGrades+'!$AE$5,"A",IF(L301&lt;'PlayerGrades+'!$AE$4,"A+",IF(L301&lt;'PlayerGrades+'!$AE$3,"S-",IF(L301&lt;'PlayerGrades+'!$AE$2,"S","S+"))))))))))))))))))))</f>
        <v>#DIV/0!</v>
      </c>
      <c r="N301" s="961" t="str">
        <f t="shared" si="6"/>
        <v>#DIV/0!</v>
      </c>
      <c r="O301" s="961" t="str">
        <f>IF(N301&lt;'PlayerGrades+'!$AF$21,"F-",IF(N301&lt;'PlayerGrades+'!$AF$20,"F",IF(N301&lt;'PlayerGrades+'!$AF$19,"F+",IF(N301&lt;'PlayerGrades+'!$AF$18,"E-",IF(N301&lt;'PlayerGrades+'!$AF$17,"E",IF(N301&lt;'PlayerGrades+'!$AF$16,"E+",IF(N301&lt;'PlayerGrades+'!$AF$15,"D-",IF(N301&lt;'PlayerGrades+'!$AF$14,"D",IF(N301&lt;'PlayerGrades+'!$AF$13,"D+",IF(N301&lt;'PlayerGrades+'!$AF$12,"C-",IF(N301&lt;'PlayerGrades+'!$AF$11,"C",IF(N301&lt;'PlayerGrades+'!$AF$10,"C+",IF(N301&lt;'PlayerGrades+'!$AF$9,"B-",IF(N301&lt;'PlayerGrades+'!$AF$8,"B",IF(N301&lt;'PlayerGrades+'!$AF$7,"B+",IF(N301&lt;'PlayerGrades+'!$AF$6,"A-",IF(N301&lt;'PlayerGrades+'!$AF$5,"A",IF(N301&lt;'PlayerGrades+'!$AF$4,"A+",IF(N301&lt;'PlayerGrades+'!$AF$3,"S-",IF(N301&lt;'PlayerGrades+'!$AF$2,"S","S+"))))))))))))))))))))</f>
        <v>#DIV/0!</v>
      </c>
      <c r="P301" s="961" t="str">
        <f t="shared" si="7"/>
        <v>#DIV/0!</v>
      </c>
      <c r="Q301" s="961" t="str">
        <f>IF(P301&lt;'PlayerGrades+'!$AG$21,"F-",IF(P301&lt;'PlayerGrades+'!$AG$20,"F",IF(P301&lt;'PlayerGrades+'!$AG$19,"F+",IF(P301&lt;'PlayerGrades+'!$AG$18,"E-",IF(P301&lt;'PlayerGrades+'!$AG$17,"E",IF(P301&lt;'PlayerGrades+'!$AG$16,"E+",IF(P301&lt;'PlayerGrades+'!$AG$15,"D-",IF(P301&lt;'PlayerGrades+'!$AG$14,"D",IF(P301&lt;'PlayerGrades+'!$AG$13,"D+",IF(P301&lt;'PlayerGrades+'!$AG$12,"C-",IF(P301&lt;'PlayerGrades+'!$AG$11,"C",IF(P301&lt;'PlayerGrades+'!$AG$10,"C+",IF(P301&lt;'PlayerGrades+'!$AG$9,"B-",IF(P301&lt;'PlayerGrades+'!$AG$8,"B",IF(P301&lt;'PlayerGrades+'!$AG$7,"B+",IF(P301&lt;'PlayerGrades+'!$AG$6,"A-",IF(P301&lt;'PlayerGrades+'!$AG$5,"A",IF(P301&lt;'PlayerGrades+'!$AG$4,"A+",IF(P301&lt;'PlayerGrades+'!$AG$3,"S-",IF(P301&lt;'PlayerGrades+'!$AG$2,"S","S+"))))))))))))))))))))</f>
        <v>#DIV/0!</v>
      </c>
      <c r="R301" s="961" t="str">
        <f t="shared" si="8"/>
        <v>#DIV/0!</v>
      </c>
      <c r="S301" s="961" t="str">
        <f>IF(R301&lt;'PlayerGrades+'!$AH$21,"F-",IF(R301&lt;'PlayerGrades+'!$AH$20,"F",IF(R301&lt;'PlayerGrades+'!$AH$19,"F+",IF(R301&lt;'PlayerGrades+'!$AH$18,"E-",IF(R301&lt;'PlayerGrades+'!$AH$17,"E",IF(R301&lt;'PlayerGrades+'!$AH$16,"E+",IF(R301&lt;'PlayerGrades+'!$AH$15,"D-",IF(R301&lt;'PlayerGrades+'!$AH$14,"D",IF(R301&lt;'PlayerGrades+'!$AH$13,"D+",IF(R301&lt;'PlayerGrades+'!$AH$12,"C-",IF(R301&lt;'PlayerGrades+'!$AH$11,"C",IF(R301&lt;'PlayerGrades+'!$AH$10,"C+",IF(R301&lt;'PlayerGrades+'!$AH$9,"B-",IF(R301&lt;'PlayerGrades+'!$AH$8,"B",IF(R301&lt;'PlayerGrades+'!$AH$7,"B+",IF(R301&lt;'PlayerGrades+'!$AH$6,"A-",IF(R301&lt;'PlayerGrades+'!$AH$5,"A",IF(R301&lt;'PlayerGrades+'!$AH$4,"A+",IF(R301&lt;'PlayerGrades+'!$AH$3,"S-",IF(R301&lt;'PlayerGrades+'!$AH$2,"S","S+"))))))))))))))))))))</f>
        <v>#DIV/0!</v>
      </c>
      <c r="T301" s="961">
        <f t="shared" si="9"/>
        <v>0</v>
      </c>
      <c r="U301" s="961" t="str">
        <f>IF(T301&lt;'PlayerGrades+'!$AI$21,"F-",IF(T301&lt;'PlayerGrades+'!$AI$20,"F",IF(T301&lt;'PlayerGrades+'!$AI$19,"F+",IF(T301&lt;'PlayerGrades+'!$AI$18,"E-",IF(T301&lt;'PlayerGrades+'!$AI$17,"E",IF(T301&lt;'PlayerGrades+'!$AI$16,"E+",IF(T301&lt;'PlayerGrades+'!$AI$15,"D-",IF(T301&lt;'PlayerGrades+'!$AI$14,"D",IF(T301&lt;'PlayerGrades+'!$AI$13,"D+",IF(T301&lt;'PlayerGrades+'!$AI$12,"C-",IF(T301&lt;'PlayerGrades+'!$AI$11,"C",IF(T301&lt;'PlayerGrades+'!$AI$10,"C+",IF(T301&lt;'PlayerGrades+'!$AI$9,"B-",IF(T301&lt;'PlayerGrades+'!$AI$8,"B",IF(T301&lt;'PlayerGrades+'!$AI$7,"B+",IF(T301&lt;'PlayerGrades+'!$AI$6,"A-",IF(T301&lt;'PlayerGrades+'!$AI$5,"A",IF(T301&lt;'PlayerGrades+'!$AI$4,"A+",IF(T301&lt;'PlayerGrades+'!$AI$3,"S-",IF(T301&lt;'PlayerGrades+'!$AI$2,"S","S+"))))))))))))))))))))</f>
        <v>F-</v>
      </c>
      <c r="AC301" s="1392"/>
    </row>
    <row r="302">
      <c r="A302" s="1391"/>
      <c r="B302" s="611" t="str">
        <f>IF(C302&lt;'PlayerGrades+'!$Y$44,"F-",IF(C302&lt;'PlayerGrades+'!$Y$43,"F",IF(C302&lt;'PlayerGrades+'!$Y$42,"F+",IF(C302&lt;'PlayerGrades+'!$Y$41,"E-",IF(C302&lt;'PlayerGrades+'!$Y$40,"E",IF(C302&lt;'PlayerGrades+'!$Y$39,"E+",IF(C302&lt;'PlayerGrades+'!$Y$38,"D-",IF(C302&lt;'PlayerGrades+'!$Y$37,"D",IF(C302&lt;'PlayerGrades+'!$Y$36,"D+",IF(C302&lt;'PlayerGrades+'!$Y$35,"C-",IF(C302&lt;'PlayerGrades+'!$Y$34,"C",IF(C302&lt;'PlayerGrades+'!$Y$33,"C+",IF(C302&lt;'PlayerGrades+'!$Y$32,"B-",IF(C302&lt;'PlayerGrades+'!$Y$31,"B",IF(C302&lt;'PlayerGrades+'!$Y$30,"B+",IF(C302&lt;'PlayerGrades+'!$Y$29,"A-",IF(C302&lt;'PlayerGrades+'!$Y$28,"A",IF(C302&lt;'PlayerGrades+'!$Y$27,"A+",IF(C302&lt;'PlayerGrades+'!$Y$26,"S-",IF(C302&lt;'PlayerGrades+'!$Y$25,"S","S+"))))))))))))))))))))</f>
        <v>#DIV/0!</v>
      </c>
      <c r="C302" s="1378" t="str">
        <f>('PlayerGrades+'!$Y$47*(VLOOKUP(E302, 'PlayerGrades+'!$X$3:$Y$23, 2, FALSE)))+('PlayerGrades+'!$Y$48*(VLOOKUP(G302, 'PlayerGrades+'!$X$3:$Y$23, 2, FALSE)))+('PlayerGrades+'!$Y$49*(VLOOKUP(I302, 'PlayerGrades+'!$X$3:$Y$23, 2, FALSE)))+('PlayerGrades+'!$Y$50*(VLOOKUP(K302, 'PlayerGrades+'!$X$3:$Y$23, 2, FALSE)))+('PlayerGrades+'!$Y$51*(VLOOKUP(M302, 'PlayerGrades+'!$X$3:$Y$23, 2, FALSE)))+('PlayerGrades+'!$Y$52*(VLOOKUP(O302, 'PlayerGrades+'!$X$3:$Y$23, 2, FALSE)))+('PlayerGrades+'!$Y$53*(VLOOKUP(Q302, 'PlayerGrades+'!$X$3:$Y$23, 2, FALSE)))+('PlayerGrades+'!$Y$54*(VLOOKUP(S302, 'PlayerGrades+'!$X$3:$Y$23, 2, FALSE)))+('PlayerGrades+'!$Y$55*(VLOOKUP(U302, 'PlayerGrades+'!$X$3:$Y$23, 2, FALSE)))</f>
        <v>#DIV/0!</v>
      </c>
      <c r="D302" s="961" t="str">
        <f t="shared" si="1"/>
        <v>#DIV/0!</v>
      </c>
      <c r="E302" s="961" t="str">
        <f>IF(D302&lt;'PlayerGrades+'!$AA$21,"F-",IF(D302&lt;'PlayerGrades+'!$AA$20,"F",IF(D302&lt;'PlayerGrades+'!$AA$19,"F+",IF(D302&lt;'PlayerGrades+'!$AA$18,"E-",IF(D302&lt;'PlayerGrades+'!$AA$17,"E",IF(D302&lt;'PlayerGrades+'!$AA$16,"E+",IF(D302&lt;'PlayerGrades+'!$AA$15,"D-",IF(D302&lt;'PlayerGrades+'!$AA$14,"D",IF(D302&lt;'PlayerGrades+'!$AA$13,"D+",IF(D302&lt;'PlayerGrades+'!$AA$12,"C-",IF(D302&lt;'PlayerGrades+'!$AA$11,"C",IF(D302&lt;'PlayerGrades+'!$AA$10,"C+",IF(D302&lt;'PlayerGrades+'!$AA$9,"B-",IF(D302&lt;'PlayerGrades+'!$AA$8,"B",IF(D302&lt;'PlayerGrades+'!$AA$7,"B+",IF(D302&lt;'PlayerGrades+'!$AA$6,"A-",IF(D302&lt;'PlayerGrades+'!$AA$5,"A",IF(D302&lt;'PlayerGrades+'!$AA$4,"A+",IF(D302&lt;'PlayerGrades+'!$AA$3,"S-",IF(D302&lt;'PlayerGrades+'!$AA$2,"S","S+"))))))))))))))))))))</f>
        <v>#DIV/0!</v>
      </c>
      <c r="F302" s="961" t="str">
        <f t="shared" si="2"/>
        <v>#DIV/0!</v>
      </c>
      <c r="G302" s="961" t="str">
        <f>IF(F302&lt;'PlayerGrades+'!$AB$21,"F-",IF(F302&lt;'PlayerGrades+'!$AB$20,"F",IF(F302&lt;'PlayerGrades+'!$AB$19,"F+",IF(F302&lt;'PlayerGrades+'!$AB$18,"E-",IF(F302&lt;'PlayerGrades+'!$AB$17,"E",IF(F302&lt;'PlayerGrades+'!$AB$16,"E+",IF(F302&lt;'PlayerGrades+'!$AB$15,"D-",IF(F302&lt;'PlayerGrades+'!$AB$14,"D",IF(F302&lt;'PlayerGrades+'!$AB$13,"D+",IF(F302&lt;'PlayerGrades+'!$AB$12,"C-",IF(F302&lt;'PlayerGrades+'!$AB$11,"C",IF(F302&lt;'PlayerGrades+'!$AB$10,"C+",IF(F302&lt;'PlayerGrades+'!$AB$9,"B-",IF(F302&lt;'PlayerGrades+'!$AB$8,"B",IF(F302&lt;'PlayerGrades+'!$AB$7,"B+",IF(F302&lt;'PlayerGrades+'!$AB$6,"A-",IF(F302&lt;'PlayerGrades+'!$AB$5,"A",IF(F302&lt;'PlayerGrades+'!$AB$4,"A+",IF(F302&lt;'PlayerGrades+'!$AB$3,"S-",IF(F302&lt;'PlayerGrades+'!$AB$2,"S","S+"))))))))))))))))))))</f>
        <v>#DIV/0!</v>
      </c>
      <c r="H302" s="961" t="str">
        <f t="shared" si="3"/>
        <v>#DIV/0!</v>
      </c>
      <c r="I302" s="961" t="str">
        <f>IF(H302&lt;'PlayerGrades+'!$AC$21,"F-",IF(H302&lt;'PlayerGrades+'!$AC$20,"F",IF(H302&lt;'PlayerGrades+'!$AC$19,"F+",IF(H302&lt;'PlayerGrades+'!$AC$18,"E-",IF(H302&lt;'PlayerGrades+'!$AC$17,"E",IF(H302&lt;'PlayerGrades+'!$AC$16,"E+",IF(H302&lt;'PlayerGrades+'!$AC$15,"D-",IF(H302&lt;'PlayerGrades+'!$AC$14,"D",IF(H302&lt;'PlayerGrades+'!$AC$13,"D+",IF(H302&lt;'PlayerGrades+'!$AC$12,"C-",IF(H302&lt;'PlayerGrades+'!$AC$11,"C",IF(H302&lt;'PlayerGrades+'!$AC$10,"C+",IF(H302&lt;'PlayerGrades+'!$AC$9,"B-",IF(H302&lt;'PlayerGrades+'!$AC$8,"B",IF(H302&lt;'PlayerGrades+'!$AC$7,"B+",IF(H302&lt;'PlayerGrades+'!$AC$6,"A-",IF(H302&lt;'PlayerGrades+'!$AC$5,"A",IF(H302&lt;'PlayerGrades+'!$AC$4,"A+",IF(H302&lt;'PlayerGrades+'!$AC$3,"S-",IF(H302&lt;'PlayerGrades+'!$AC$2,"S","S+"))))))))))))))))))))</f>
        <v>#DIV/0!</v>
      </c>
      <c r="J302" s="961" t="str">
        <f t="shared" si="4"/>
        <v>#DIV/0!</v>
      </c>
      <c r="K302" s="961" t="str">
        <f>IF(J302&lt;'PlayerGrades+'!$AD$21,"F-",IF(J302&lt;'PlayerGrades+'!$AD$20,"F",IF(J302&lt;'PlayerGrades+'!$AD$19,"F+",IF(J302&lt;'PlayerGrades+'!$AD$18,"E-",IF(J302&lt;'PlayerGrades+'!$AD$17,"E",IF(J302&lt;'PlayerGrades+'!$AD$16,"E+",IF(J302&lt;'PlayerGrades+'!$AD$15,"D-",IF(J302&lt;'PlayerGrades+'!$AD$14,"D",IF(J302&lt;'PlayerGrades+'!$AD$13,"D+",IF(J302&lt;'PlayerGrades+'!$AD$12,"C-",IF(J302&lt;'PlayerGrades+'!$AD$11,"C",IF(J302&lt;'PlayerGrades+'!$AD$10,"C+",IF(J302&lt;'PlayerGrades+'!$AD$9,"B-",IF(J302&lt;'PlayerGrades+'!$AD$8,"B",IF(J302&lt;'PlayerGrades+'!$AD$7,"B+",IF(J302&lt;'PlayerGrades+'!$AD$6,"A-",IF(J302&lt;'PlayerGrades+'!$AD$5,"A",IF(J302&lt;'PlayerGrades+'!$AD$4,"A+",IF(J302&lt;'PlayerGrades+'!$AD$3,"S-",IF(J302&lt;'PlayerGrades+'!$AD$2,"S","S+"))))))))))))))))))))</f>
        <v>#DIV/0!</v>
      </c>
      <c r="L302" s="1176" t="str">
        <f t="shared" si="5"/>
        <v>#DIV/0!</v>
      </c>
      <c r="M302" s="992" t="str">
        <f>IF(L302&lt;'PlayerGrades+'!$AE$21,"F-",IF(L302&lt;'PlayerGrades+'!$AE$20,"F",IF(L302&lt;'PlayerGrades+'!$AE$19,"F+",IF(L302&lt;'PlayerGrades+'!$AE$18,"E-",IF(L302&lt;'PlayerGrades+'!$AE$17,"E",IF(L302&lt;'PlayerGrades+'!$AE$16,"E+",IF(L302&lt;'PlayerGrades+'!$AE$15,"D-",IF(L302&lt;'PlayerGrades+'!$AE$14,"D",IF(L302&lt;'PlayerGrades+'!$AE$13,"D+",IF(L302&lt;'PlayerGrades+'!$AE$12,"C-",IF(L302&lt;'PlayerGrades+'!$AE$11,"C",IF(L302&lt;'PlayerGrades+'!$AE$10,"C+",IF(L302&lt;'PlayerGrades+'!$AE$9,"B-",IF(L302&lt;'PlayerGrades+'!$AE$8,"B",IF(L302&lt;'PlayerGrades+'!$AE$7,"B+",IF(L302&lt;'PlayerGrades+'!$AE$6,"A-",IF(L302&lt;'PlayerGrades+'!$AE$5,"A",IF(L302&lt;'PlayerGrades+'!$AE$4,"A+",IF(L302&lt;'PlayerGrades+'!$AE$3,"S-",IF(L302&lt;'PlayerGrades+'!$AE$2,"S","S+"))))))))))))))))))))</f>
        <v>#DIV/0!</v>
      </c>
      <c r="N302" s="961" t="str">
        <f t="shared" si="6"/>
        <v>#DIV/0!</v>
      </c>
      <c r="O302" s="961" t="str">
        <f>IF(N302&lt;'PlayerGrades+'!$AF$21,"F-",IF(N302&lt;'PlayerGrades+'!$AF$20,"F",IF(N302&lt;'PlayerGrades+'!$AF$19,"F+",IF(N302&lt;'PlayerGrades+'!$AF$18,"E-",IF(N302&lt;'PlayerGrades+'!$AF$17,"E",IF(N302&lt;'PlayerGrades+'!$AF$16,"E+",IF(N302&lt;'PlayerGrades+'!$AF$15,"D-",IF(N302&lt;'PlayerGrades+'!$AF$14,"D",IF(N302&lt;'PlayerGrades+'!$AF$13,"D+",IF(N302&lt;'PlayerGrades+'!$AF$12,"C-",IF(N302&lt;'PlayerGrades+'!$AF$11,"C",IF(N302&lt;'PlayerGrades+'!$AF$10,"C+",IF(N302&lt;'PlayerGrades+'!$AF$9,"B-",IF(N302&lt;'PlayerGrades+'!$AF$8,"B",IF(N302&lt;'PlayerGrades+'!$AF$7,"B+",IF(N302&lt;'PlayerGrades+'!$AF$6,"A-",IF(N302&lt;'PlayerGrades+'!$AF$5,"A",IF(N302&lt;'PlayerGrades+'!$AF$4,"A+",IF(N302&lt;'PlayerGrades+'!$AF$3,"S-",IF(N302&lt;'PlayerGrades+'!$AF$2,"S","S+"))))))))))))))))))))</f>
        <v>#DIV/0!</v>
      </c>
      <c r="P302" s="961" t="str">
        <f t="shared" si="7"/>
        <v>#DIV/0!</v>
      </c>
      <c r="Q302" s="961" t="str">
        <f>IF(P302&lt;'PlayerGrades+'!$AG$21,"F-",IF(P302&lt;'PlayerGrades+'!$AG$20,"F",IF(P302&lt;'PlayerGrades+'!$AG$19,"F+",IF(P302&lt;'PlayerGrades+'!$AG$18,"E-",IF(P302&lt;'PlayerGrades+'!$AG$17,"E",IF(P302&lt;'PlayerGrades+'!$AG$16,"E+",IF(P302&lt;'PlayerGrades+'!$AG$15,"D-",IF(P302&lt;'PlayerGrades+'!$AG$14,"D",IF(P302&lt;'PlayerGrades+'!$AG$13,"D+",IF(P302&lt;'PlayerGrades+'!$AG$12,"C-",IF(P302&lt;'PlayerGrades+'!$AG$11,"C",IF(P302&lt;'PlayerGrades+'!$AG$10,"C+",IF(P302&lt;'PlayerGrades+'!$AG$9,"B-",IF(P302&lt;'PlayerGrades+'!$AG$8,"B",IF(P302&lt;'PlayerGrades+'!$AG$7,"B+",IF(P302&lt;'PlayerGrades+'!$AG$6,"A-",IF(P302&lt;'PlayerGrades+'!$AG$5,"A",IF(P302&lt;'PlayerGrades+'!$AG$4,"A+",IF(P302&lt;'PlayerGrades+'!$AG$3,"S-",IF(P302&lt;'PlayerGrades+'!$AG$2,"S","S+"))))))))))))))))))))</f>
        <v>#DIV/0!</v>
      </c>
      <c r="R302" s="961" t="str">
        <f t="shared" si="8"/>
        <v>#DIV/0!</v>
      </c>
      <c r="S302" s="961" t="str">
        <f>IF(R302&lt;'PlayerGrades+'!$AH$21,"F-",IF(R302&lt;'PlayerGrades+'!$AH$20,"F",IF(R302&lt;'PlayerGrades+'!$AH$19,"F+",IF(R302&lt;'PlayerGrades+'!$AH$18,"E-",IF(R302&lt;'PlayerGrades+'!$AH$17,"E",IF(R302&lt;'PlayerGrades+'!$AH$16,"E+",IF(R302&lt;'PlayerGrades+'!$AH$15,"D-",IF(R302&lt;'PlayerGrades+'!$AH$14,"D",IF(R302&lt;'PlayerGrades+'!$AH$13,"D+",IF(R302&lt;'PlayerGrades+'!$AH$12,"C-",IF(R302&lt;'PlayerGrades+'!$AH$11,"C",IF(R302&lt;'PlayerGrades+'!$AH$10,"C+",IF(R302&lt;'PlayerGrades+'!$AH$9,"B-",IF(R302&lt;'PlayerGrades+'!$AH$8,"B",IF(R302&lt;'PlayerGrades+'!$AH$7,"B+",IF(R302&lt;'PlayerGrades+'!$AH$6,"A-",IF(R302&lt;'PlayerGrades+'!$AH$5,"A",IF(R302&lt;'PlayerGrades+'!$AH$4,"A+",IF(R302&lt;'PlayerGrades+'!$AH$3,"S-",IF(R302&lt;'PlayerGrades+'!$AH$2,"S","S+"))))))))))))))))))))</f>
        <v>#DIV/0!</v>
      </c>
      <c r="T302" s="961">
        <f t="shared" si="9"/>
        <v>0</v>
      </c>
      <c r="U302" s="961" t="str">
        <f>IF(T302&lt;'PlayerGrades+'!$AI$21,"F-",IF(T302&lt;'PlayerGrades+'!$AI$20,"F",IF(T302&lt;'PlayerGrades+'!$AI$19,"F+",IF(T302&lt;'PlayerGrades+'!$AI$18,"E-",IF(T302&lt;'PlayerGrades+'!$AI$17,"E",IF(T302&lt;'PlayerGrades+'!$AI$16,"E+",IF(T302&lt;'PlayerGrades+'!$AI$15,"D-",IF(T302&lt;'PlayerGrades+'!$AI$14,"D",IF(T302&lt;'PlayerGrades+'!$AI$13,"D+",IF(T302&lt;'PlayerGrades+'!$AI$12,"C-",IF(T302&lt;'PlayerGrades+'!$AI$11,"C",IF(T302&lt;'PlayerGrades+'!$AI$10,"C+",IF(T302&lt;'PlayerGrades+'!$AI$9,"B-",IF(T302&lt;'PlayerGrades+'!$AI$8,"B",IF(T302&lt;'PlayerGrades+'!$AI$7,"B+",IF(T302&lt;'PlayerGrades+'!$AI$6,"A-",IF(T302&lt;'PlayerGrades+'!$AI$5,"A",IF(T302&lt;'PlayerGrades+'!$AI$4,"A+",IF(T302&lt;'PlayerGrades+'!$AI$3,"S-",IF(T302&lt;'PlayerGrades+'!$AI$2,"S","S+"))))))))))))))))))))</f>
        <v>F-</v>
      </c>
      <c r="AC302" s="1392"/>
    </row>
    <row r="303">
      <c r="A303" s="1391"/>
      <c r="B303" s="611" t="str">
        <f>IF(C303&lt;'PlayerGrades+'!$Y$44,"F-",IF(C303&lt;'PlayerGrades+'!$Y$43,"F",IF(C303&lt;'PlayerGrades+'!$Y$42,"F+",IF(C303&lt;'PlayerGrades+'!$Y$41,"E-",IF(C303&lt;'PlayerGrades+'!$Y$40,"E",IF(C303&lt;'PlayerGrades+'!$Y$39,"E+",IF(C303&lt;'PlayerGrades+'!$Y$38,"D-",IF(C303&lt;'PlayerGrades+'!$Y$37,"D",IF(C303&lt;'PlayerGrades+'!$Y$36,"D+",IF(C303&lt;'PlayerGrades+'!$Y$35,"C-",IF(C303&lt;'PlayerGrades+'!$Y$34,"C",IF(C303&lt;'PlayerGrades+'!$Y$33,"C+",IF(C303&lt;'PlayerGrades+'!$Y$32,"B-",IF(C303&lt;'PlayerGrades+'!$Y$31,"B",IF(C303&lt;'PlayerGrades+'!$Y$30,"B+",IF(C303&lt;'PlayerGrades+'!$Y$29,"A-",IF(C303&lt;'PlayerGrades+'!$Y$28,"A",IF(C303&lt;'PlayerGrades+'!$Y$27,"A+",IF(C303&lt;'PlayerGrades+'!$Y$26,"S-",IF(C303&lt;'PlayerGrades+'!$Y$25,"S","S+"))))))))))))))))))))</f>
        <v>#DIV/0!</v>
      </c>
      <c r="C303" s="1378" t="str">
        <f>('PlayerGrades+'!$Y$47*(VLOOKUP(E303, 'PlayerGrades+'!$X$3:$Y$23, 2, FALSE)))+('PlayerGrades+'!$Y$48*(VLOOKUP(G303, 'PlayerGrades+'!$X$3:$Y$23, 2, FALSE)))+('PlayerGrades+'!$Y$49*(VLOOKUP(I303, 'PlayerGrades+'!$X$3:$Y$23, 2, FALSE)))+('PlayerGrades+'!$Y$50*(VLOOKUP(K303, 'PlayerGrades+'!$X$3:$Y$23, 2, FALSE)))+('PlayerGrades+'!$Y$51*(VLOOKUP(M303, 'PlayerGrades+'!$X$3:$Y$23, 2, FALSE)))+('PlayerGrades+'!$Y$52*(VLOOKUP(O303, 'PlayerGrades+'!$X$3:$Y$23, 2, FALSE)))+('PlayerGrades+'!$Y$53*(VLOOKUP(Q303, 'PlayerGrades+'!$X$3:$Y$23, 2, FALSE)))+('PlayerGrades+'!$Y$54*(VLOOKUP(S303, 'PlayerGrades+'!$X$3:$Y$23, 2, FALSE)))+('PlayerGrades+'!$Y$55*(VLOOKUP(U303, 'PlayerGrades+'!$X$3:$Y$23, 2, FALSE)))</f>
        <v>#DIV/0!</v>
      </c>
      <c r="D303" s="961" t="str">
        <f t="shared" si="1"/>
        <v>#DIV/0!</v>
      </c>
      <c r="E303" s="961" t="str">
        <f>IF(D303&lt;'PlayerGrades+'!$AA$21,"F-",IF(D303&lt;'PlayerGrades+'!$AA$20,"F",IF(D303&lt;'PlayerGrades+'!$AA$19,"F+",IF(D303&lt;'PlayerGrades+'!$AA$18,"E-",IF(D303&lt;'PlayerGrades+'!$AA$17,"E",IF(D303&lt;'PlayerGrades+'!$AA$16,"E+",IF(D303&lt;'PlayerGrades+'!$AA$15,"D-",IF(D303&lt;'PlayerGrades+'!$AA$14,"D",IF(D303&lt;'PlayerGrades+'!$AA$13,"D+",IF(D303&lt;'PlayerGrades+'!$AA$12,"C-",IF(D303&lt;'PlayerGrades+'!$AA$11,"C",IF(D303&lt;'PlayerGrades+'!$AA$10,"C+",IF(D303&lt;'PlayerGrades+'!$AA$9,"B-",IF(D303&lt;'PlayerGrades+'!$AA$8,"B",IF(D303&lt;'PlayerGrades+'!$AA$7,"B+",IF(D303&lt;'PlayerGrades+'!$AA$6,"A-",IF(D303&lt;'PlayerGrades+'!$AA$5,"A",IF(D303&lt;'PlayerGrades+'!$AA$4,"A+",IF(D303&lt;'PlayerGrades+'!$AA$3,"S-",IF(D303&lt;'PlayerGrades+'!$AA$2,"S","S+"))))))))))))))))))))</f>
        <v>#DIV/0!</v>
      </c>
      <c r="F303" s="961" t="str">
        <f t="shared" si="2"/>
        <v>#DIV/0!</v>
      </c>
      <c r="G303" s="961" t="str">
        <f>IF(F303&lt;'PlayerGrades+'!$AB$21,"F-",IF(F303&lt;'PlayerGrades+'!$AB$20,"F",IF(F303&lt;'PlayerGrades+'!$AB$19,"F+",IF(F303&lt;'PlayerGrades+'!$AB$18,"E-",IF(F303&lt;'PlayerGrades+'!$AB$17,"E",IF(F303&lt;'PlayerGrades+'!$AB$16,"E+",IF(F303&lt;'PlayerGrades+'!$AB$15,"D-",IF(F303&lt;'PlayerGrades+'!$AB$14,"D",IF(F303&lt;'PlayerGrades+'!$AB$13,"D+",IF(F303&lt;'PlayerGrades+'!$AB$12,"C-",IF(F303&lt;'PlayerGrades+'!$AB$11,"C",IF(F303&lt;'PlayerGrades+'!$AB$10,"C+",IF(F303&lt;'PlayerGrades+'!$AB$9,"B-",IF(F303&lt;'PlayerGrades+'!$AB$8,"B",IF(F303&lt;'PlayerGrades+'!$AB$7,"B+",IF(F303&lt;'PlayerGrades+'!$AB$6,"A-",IF(F303&lt;'PlayerGrades+'!$AB$5,"A",IF(F303&lt;'PlayerGrades+'!$AB$4,"A+",IF(F303&lt;'PlayerGrades+'!$AB$3,"S-",IF(F303&lt;'PlayerGrades+'!$AB$2,"S","S+"))))))))))))))))))))</f>
        <v>#DIV/0!</v>
      </c>
      <c r="H303" s="961" t="str">
        <f t="shared" si="3"/>
        <v>#DIV/0!</v>
      </c>
      <c r="I303" s="961" t="str">
        <f>IF(H303&lt;'PlayerGrades+'!$AC$21,"F-",IF(H303&lt;'PlayerGrades+'!$AC$20,"F",IF(H303&lt;'PlayerGrades+'!$AC$19,"F+",IF(H303&lt;'PlayerGrades+'!$AC$18,"E-",IF(H303&lt;'PlayerGrades+'!$AC$17,"E",IF(H303&lt;'PlayerGrades+'!$AC$16,"E+",IF(H303&lt;'PlayerGrades+'!$AC$15,"D-",IF(H303&lt;'PlayerGrades+'!$AC$14,"D",IF(H303&lt;'PlayerGrades+'!$AC$13,"D+",IF(H303&lt;'PlayerGrades+'!$AC$12,"C-",IF(H303&lt;'PlayerGrades+'!$AC$11,"C",IF(H303&lt;'PlayerGrades+'!$AC$10,"C+",IF(H303&lt;'PlayerGrades+'!$AC$9,"B-",IF(H303&lt;'PlayerGrades+'!$AC$8,"B",IF(H303&lt;'PlayerGrades+'!$AC$7,"B+",IF(H303&lt;'PlayerGrades+'!$AC$6,"A-",IF(H303&lt;'PlayerGrades+'!$AC$5,"A",IF(H303&lt;'PlayerGrades+'!$AC$4,"A+",IF(H303&lt;'PlayerGrades+'!$AC$3,"S-",IF(H303&lt;'PlayerGrades+'!$AC$2,"S","S+"))))))))))))))))))))</f>
        <v>#DIV/0!</v>
      </c>
      <c r="J303" s="961" t="str">
        <f t="shared" si="4"/>
        <v>#DIV/0!</v>
      </c>
      <c r="K303" s="961" t="str">
        <f>IF(J303&lt;'PlayerGrades+'!$AD$21,"F-",IF(J303&lt;'PlayerGrades+'!$AD$20,"F",IF(J303&lt;'PlayerGrades+'!$AD$19,"F+",IF(J303&lt;'PlayerGrades+'!$AD$18,"E-",IF(J303&lt;'PlayerGrades+'!$AD$17,"E",IF(J303&lt;'PlayerGrades+'!$AD$16,"E+",IF(J303&lt;'PlayerGrades+'!$AD$15,"D-",IF(J303&lt;'PlayerGrades+'!$AD$14,"D",IF(J303&lt;'PlayerGrades+'!$AD$13,"D+",IF(J303&lt;'PlayerGrades+'!$AD$12,"C-",IF(J303&lt;'PlayerGrades+'!$AD$11,"C",IF(J303&lt;'PlayerGrades+'!$AD$10,"C+",IF(J303&lt;'PlayerGrades+'!$AD$9,"B-",IF(J303&lt;'PlayerGrades+'!$AD$8,"B",IF(J303&lt;'PlayerGrades+'!$AD$7,"B+",IF(J303&lt;'PlayerGrades+'!$AD$6,"A-",IF(J303&lt;'PlayerGrades+'!$AD$5,"A",IF(J303&lt;'PlayerGrades+'!$AD$4,"A+",IF(J303&lt;'PlayerGrades+'!$AD$3,"S-",IF(J303&lt;'PlayerGrades+'!$AD$2,"S","S+"))))))))))))))))))))</f>
        <v>#DIV/0!</v>
      </c>
      <c r="L303" s="1176" t="str">
        <f t="shared" si="5"/>
        <v>#DIV/0!</v>
      </c>
      <c r="M303" s="992" t="str">
        <f>IF(L303&lt;'PlayerGrades+'!$AE$21,"F-",IF(L303&lt;'PlayerGrades+'!$AE$20,"F",IF(L303&lt;'PlayerGrades+'!$AE$19,"F+",IF(L303&lt;'PlayerGrades+'!$AE$18,"E-",IF(L303&lt;'PlayerGrades+'!$AE$17,"E",IF(L303&lt;'PlayerGrades+'!$AE$16,"E+",IF(L303&lt;'PlayerGrades+'!$AE$15,"D-",IF(L303&lt;'PlayerGrades+'!$AE$14,"D",IF(L303&lt;'PlayerGrades+'!$AE$13,"D+",IF(L303&lt;'PlayerGrades+'!$AE$12,"C-",IF(L303&lt;'PlayerGrades+'!$AE$11,"C",IF(L303&lt;'PlayerGrades+'!$AE$10,"C+",IF(L303&lt;'PlayerGrades+'!$AE$9,"B-",IF(L303&lt;'PlayerGrades+'!$AE$8,"B",IF(L303&lt;'PlayerGrades+'!$AE$7,"B+",IF(L303&lt;'PlayerGrades+'!$AE$6,"A-",IF(L303&lt;'PlayerGrades+'!$AE$5,"A",IF(L303&lt;'PlayerGrades+'!$AE$4,"A+",IF(L303&lt;'PlayerGrades+'!$AE$3,"S-",IF(L303&lt;'PlayerGrades+'!$AE$2,"S","S+"))))))))))))))))))))</f>
        <v>#DIV/0!</v>
      </c>
      <c r="N303" s="961" t="str">
        <f t="shared" si="6"/>
        <v>#DIV/0!</v>
      </c>
      <c r="O303" s="961" t="str">
        <f>IF(N303&lt;'PlayerGrades+'!$AF$21,"F-",IF(N303&lt;'PlayerGrades+'!$AF$20,"F",IF(N303&lt;'PlayerGrades+'!$AF$19,"F+",IF(N303&lt;'PlayerGrades+'!$AF$18,"E-",IF(N303&lt;'PlayerGrades+'!$AF$17,"E",IF(N303&lt;'PlayerGrades+'!$AF$16,"E+",IF(N303&lt;'PlayerGrades+'!$AF$15,"D-",IF(N303&lt;'PlayerGrades+'!$AF$14,"D",IF(N303&lt;'PlayerGrades+'!$AF$13,"D+",IF(N303&lt;'PlayerGrades+'!$AF$12,"C-",IF(N303&lt;'PlayerGrades+'!$AF$11,"C",IF(N303&lt;'PlayerGrades+'!$AF$10,"C+",IF(N303&lt;'PlayerGrades+'!$AF$9,"B-",IF(N303&lt;'PlayerGrades+'!$AF$8,"B",IF(N303&lt;'PlayerGrades+'!$AF$7,"B+",IF(N303&lt;'PlayerGrades+'!$AF$6,"A-",IF(N303&lt;'PlayerGrades+'!$AF$5,"A",IF(N303&lt;'PlayerGrades+'!$AF$4,"A+",IF(N303&lt;'PlayerGrades+'!$AF$3,"S-",IF(N303&lt;'PlayerGrades+'!$AF$2,"S","S+"))))))))))))))))))))</f>
        <v>#DIV/0!</v>
      </c>
      <c r="P303" s="961" t="str">
        <f t="shared" si="7"/>
        <v>#DIV/0!</v>
      </c>
      <c r="Q303" s="961" t="str">
        <f>IF(P303&lt;'PlayerGrades+'!$AG$21,"F-",IF(P303&lt;'PlayerGrades+'!$AG$20,"F",IF(P303&lt;'PlayerGrades+'!$AG$19,"F+",IF(P303&lt;'PlayerGrades+'!$AG$18,"E-",IF(P303&lt;'PlayerGrades+'!$AG$17,"E",IF(P303&lt;'PlayerGrades+'!$AG$16,"E+",IF(P303&lt;'PlayerGrades+'!$AG$15,"D-",IF(P303&lt;'PlayerGrades+'!$AG$14,"D",IF(P303&lt;'PlayerGrades+'!$AG$13,"D+",IF(P303&lt;'PlayerGrades+'!$AG$12,"C-",IF(P303&lt;'PlayerGrades+'!$AG$11,"C",IF(P303&lt;'PlayerGrades+'!$AG$10,"C+",IF(P303&lt;'PlayerGrades+'!$AG$9,"B-",IF(P303&lt;'PlayerGrades+'!$AG$8,"B",IF(P303&lt;'PlayerGrades+'!$AG$7,"B+",IF(P303&lt;'PlayerGrades+'!$AG$6,"A-",IF(P303&lt;'PlayerGrades+'!$AG$5,"A",IF(P303&lt;'PlayerGrades+'!$AG$4,"A+",IF(P303&lt;'PlayerGrades+'!$AG$3,"S-",IF(P303&lt;'PlayerGrades+'!$AG$2,"S","S+"))))))))))))))))))))</f>
        <v>#DIV/0!</v>
      </c>
      <c r="R303" s="961" t="str">
        <f t="shared" si="8"/>
        <v>#DIV/0!</v>
      </c>
      <c r="S303" s="961" t="str">
        <f>IF(R303&lt;'PlayerGrades+'!$AH$21,"F-",IF(R303&lt;'PlayerGrades+'!$AH$20,"F",IF(R303&lt;'PlayerGrades+'!$AH$19,"F+",IF(R303&lt;'PlayerGrades+'!$AH$18,"E-",IF(R303&lt;'PlayerGrades+'!$AH$17,"E",IF(R303&lt;'PlayerGrades+'!$AH$16,"E+",IF(R303&lt;'PlayerGrades+'!$AH$15,"D-",IF(R303&lt;'PlayerGrades+'!$AH$14,"D",IF(R303&lt;'PlayerGrades+'!$AH$13,"D+",IF(R303&lt;'PlayerGrades+'!$AH$12,"C-",IF(R303&lt;'PlayerGrades+'!$AH$11,"C",IF(R303&lt;'PlayerGrades+'!$AH$10,"C+",IF(R303&lt;'PlayerGrades+'!$AH$9,"B-",IF(R303&lt;'PlayerGrades+'!$AH$8,"B",IF(R303&lt;'PlayerGrades+'!$AH$7,"B+",IF(R303&lt;'PlayerGrades+'!$AH$6,"A-",IF(R303&lt;'PlayerGrades+'!$AH$5,"A",IF(R303&lt;'PlayerGrades+'!$AH$4,"A+",IF(R303&lt;'PlayerGrades+'!$AH$3,"S-",IF(R303&lt;'PlayerGrades+'!$AH$2,"S","S+"))))))))))))))))))))</f>
        <v>#DIV/0!</v>
      </c>
      <c r="T303" s="961">
        <f t="shared" si="9"/>
        <v>0</v>
      </c>
      <c r="U303" s="961" t="str">
        <f>IF(T303&lt;'PlayerGrades+'!$AI$21,"F-",IF(T303&lt;'PlayerGrades+'!$AI$20,"F",IF(T303&lt;'PlayerGrades+'!$AI$19,"F+",IF(T303&lt;'PlayerGrades+'!$AI$18,"E-",IF(T303&lt;'PlayerGrades+'!$AI$17,"E",IF(T303&lt;'PlayerGrades+'!$AI$16,"E+",IF(T303&lt;'PlayerGrades+'!$AI$15,"D-",IF(T303&lt;'PlayerGrades+'!$AI$14,"D",IF(T303&lt;'PlayerGrades+'!$AI$13,"D+",IF(T303&lt;'PlayerGrades+'!$AI$12,"C-",IF(T303&lt;'PlayerGrades+'!$AI$11,"C",IF(T303&lt;'PlayerGrades+'!$AI$10,"C+",IF(T303&lt;'PlayerGrades+'!$AI$9,"B-",IF(T303&lt;'PlayerGrades+'!$AI$8,"B",IF(T303&lt;'PlayerGrades+'!$AI$7,"B+",IF(T303&lt;'PlayerGrades+'!$AI$6,"A-",IF(T303&lt;'PlayerGrades+'!$AI$5,"A",IF(T303&lt;'PlayerGrades+'!$AI$4,"A+",IF(T303&lt;'PlayerGrades+'!$AI$3,"S-",IF(T303&lt;'PlayerGrades+'!$AI$2,"S","S+"))))))))))))))))))))</f>
        <v>F-</v>
      </c>
      <c r="AC303" s="1392"/>
    </row>
    <row r="304">
      <c r="A304" s="1391"/>
      <c r="B304" s="611" t="str">
        <f>IF(C304&lt;'PlayerGrades+'!$Y$44,"F-",IF(C304&lt;'PlayerGrades+'!$Y$43,"F",IF(C304&lt;'PlayerGrades+'!$Y$42,"F+",IF(C304&lt;'PlayerGrades+'!$Y$41,"E-",IF(C304&lt;'PlayerGrades+'!$Y$40,"E",IF(C304&lt;'PlayerGrades+'!$Y$39,"E+",IF(C304&lt;'PlayerGrades+'!$Y$38,"D-",IF(C304&lt;'PlayerGrades+'!$Y$37,"D",IF(C304&lt;'PlayerGrades+'!$Y$36,"D+",IF(C304&lt;'PlayerGrades+'!$Y$35,"C-",IF(C304&lt;'PlayerGrades+'!$Y$34,"C",IF(C304&lt;'PlayerGrades+'!$Y$33,"C+",IF(C304&lt;'PlayerGrades+'!$Y$32,"B-",IF(C304&lt;'PlayerGrades+'!$Y$31,"B",IF(C304&lt;'PlayerGrades+'!$Y$30,"B+",IF(C304&lt;'PlayerGrades+'!$Y$29,"A-",IF(C304&lt;'PlayerGrades+'!$Y$28,"A",IF(C304&lt;'PlayerGrades+'!$Y$27,"A+",IF(C304&lt;'PlayerGrades+'!$Y$26,"S-",IF(C304&lt;'PlayerGrades+'!$Y$25,"S","S+"))))))))))))))))))))</f>
        <v>#DIV/0!</v>
      </c>
      <c r="C304" s="1378" t="str">
        <f>('PlayerGrades+'!$Y$47*(VLOOKUP(E304, 'PlayerGrades+'!$X$3:$Y$23, 2, FALSE)))+('PlayerGrades+'!$Y$48*(VLOOKUP(G304, 'PlayerGrades+'!$X$3:$Y$23, 2, FALSE)))+('PlayerGrades+'!$Y$49*(VLOOKUP(I304, 'PlayerGrades+'!$X$3:$Y$23, 2, FALSE)))+('PlayerGrades+'!$Y$50*(VLOOKUP(K304, 'PlayerGrades+'!$X$3:$Y$23, 2, FALSE)))+('PlayerGrades+'!$Y$51*(VLOOKUP(M304, 'PlayerGrades+'!$X$3:$Y$23, 2, FALSE)))+('PlayerGrades+'!$Y$52*(VLOOKUP(O304, 'PlayerGrades+'!$X$3:$Y$23, 2, FALSE)))+('PlayerGrades+'!$Y$53*(VLOOKUP(Q304, 'PlayerGrades+'!$X$3:$Y$23, 2, FALSE)))+('PlayerGrades+'!$Y$54*(VLOOKUP(S304, 'PlayerGrades+'!$X$3:$Y$23, 2, FALSE)))+('PlayerGrades+'!$Y$55*(VLOOKUP(U304, 'PlayerGrades+'!$X$3:$Y$23, 2, FALSE)))</f>
        <v>#DIV/0!</v>
      </c>
      <c r="D304" s="961" t="str">
        <f t="shared" si="1"/>
        <v>#DIV/0!</v>
      </c>
      <c r="E304" s="961" t="str">
        <f>IF(D304&lt;'PlayerGrades+'!$AA$21,"F-",IF(D304&lt;'PlayerGrades+'!$AA$20,"F",IF(D304&lt;'PlayerGrades+'!$AA$19,"F+",IF(D304&lt;'PlayerGrades+'!$AA$18,"E-",IF(D304&lt;'PlayerGrades+'!$AA$17,"E",IF(D304&lt;'PlayerGrades+'!$AA$16,"E+",IF(D304&lt;'PlayerGrades+'!$AA$15,"D-",IF(D304&lt;'PlayerGrades+'!$AA$14,"D",IF(D304&lt;'PlayerGrades+'!$AA$13,"D+",IF(D304&lt;'PlayerGrades+'!$AA$12,"C-",IF(D304&lt;'PlayerGrades+'!$AA$11,"C",IF(D304&lt;'PlayerGrades+'!$AA$10,"C+",IF(D304&lt;'PlayerGrades+'!$AA$9,"B-",IF(D304&lt;'PlayerGrades+'!$AA$8,"B",IF(D304&lt;'PlayerGrades+'!$AA$7,"B+",IF(D304&lt;'PlayerGrades+'!$AA$6,"A-",IF(D304&lt;'PlayerGrades+'!$AA$5,"A",IF(D304&lt;'PlayerGrades+'!$AA$4,"A+",IF(D304&lt;'PlayerGrades+'!$AA$3,"S-",IF(D304&lt;'PlayerGrades+'!$AA$2,"S","S+"))))))))))))))))))))</f>
        <v>#DIV/0!</v>
      </c>
      <c r="F304" s="961" t="str">
        <f t="shared" si="2"/>
        <v>#DIV/0!</v>
      </c>
      <c r="G304" s="961" t="str">
        <f>IF(F304&lt;'PlayerGrades+'!$AB$21,"F-",IF(F304&lt;'PlayerGrades+'!$AB$20,"F",IF(F304&lt;'PlayerGrades+'!$AB$19,"F+",IF(F304&lt;'PlayerGrades+'!$AB$18,"E-",IF(F304&lt;'PlayerGrades+'!$AB$17,"E",IF(F304&lt;'PlayerGrades+'!$AB$16,"E+",IF(F304&lt;'PlayerGrades+'!$AB$15,"D-",IF(F304&lt;'PlayerGrades+'!$AB$14,"D",IF(F304&lt;'PlayerGrades+'!$AB$13,"D+",IF(F304&lt;'PlayerGrades+'!$AB$12,"C-",IF(F304&lt;'PlayerGrades+'!$AB$11,"C",IF(F304&lt;'PlayerGrades+'!$AB$10,"C+",IF(F304&lt;'PlayerGrades+'!$AB$9,"B-",IF(F304&lt;'PlayerGrades+'!$AB$8,"B",IF(F304&lt;'PlayerGrades+'!$AB$7,"B+",IF(F304&lt;'PlayerGrades+'!$AB$6,"A-",IF(F304&lt;'PlayerGrades+'!$AB$5,"A",IF(F304&lt;'PlayerGrades+'!$AB$4,"A+",IF(F304&lt;'PlayerGrades+'!$AB$3,"S-",IF(F304&lt;'PlayerGrades+'!$AB$2,"S","S+"))))))))))))))))))))</f>
        <v>#DIV/0!</v>
      </c>
      <c r="H304" s="961" t="str">
        <f t="shared" si="3"/>
        <v>#DIV/0!</v>
      </c>
      <c r="I304" s="961" t="str">
        <f>IF(H304&lt;'PlayerGrades+'!$AC$21,"F-",IF(H304&lt;'PlayerGrades+'!$AC$20,"F",IF(H304&lt;'PlayerGrades+'!$AC$19,"F+",IF(H304&lt;'PlayerGrades+'!$AC$18,"E-",IF(H304&lt;'PlayerGrades+'!$AC$17,"E",IF(H304&lt;'PlayerGrades+'!$AC$16,"E+",IF(H304&lt;'PlayerGrades+'!$AC$15,"D-",IF(H304&lt;'PlayerGrades+'!$AC$14,"D",IF(H304&lt;'PlayerGrades+'!$AC$13,"D+",IF(H304&lt;'PlayerGrades+'!$AC$12,"C-",IF(H304&lt;'PlayerGrades+'!$AC$11,"C",IF(H304&lt;'PlayerGrades+'!$AC$10,"C+",IF(H304&lt;'PlayerGrades+'!$AC$9,"B-",IF(H304&lt;'PlayerGrades+'!$AC$8,"B",IF(H304&lt;'PlayerGrades+'!$AC$7,"B+",IF(H304&lt;'PlayerGrades+'!$AC$6,"A-",IF(H304&lt;'PlayerGrades+'!$AC$5,"A",IF(H304&lt;'PlayerGrades+'!$AC$4,"A+",IF(H304&lt;'PlayerGrades+'!$AC$3,"S-",IF(H304&lt;'PlayerGrades+'!$AC$2,"S","S+"))))))))))))))))))))</f>
        <v>#DIV/0!</v>
      </c>
      <c r="J304" s="961" t="str">
        <f t="shared" si="4"/>
        <v>#DIV/0!</v>
      </c>
      <c r="K304" s="961" t="str">
        <f>IF(J304&lt;'PlayerGrades+'!$AD$21,"F-",IF(J304&lt;'PlayerGrades+'!$AD$20,"F",IF(J304&lt;'PlayerGrades+'!$AD$19,"F+",IF(J304&lt;'PlayerGrades+'!$AD$18,"E-",IF(J304&lt;'PlayerGrades+'!$AD$17,"E",IF(J304&lt;'PlayerGrades+'!$AD$16,"E+",IF(J304&lt;'PlayerGrades+'!$AD$15,"D-",IF(J304&lt;'PlayerGrades+'!$AD$14,"D",IF(J304&lt;'PlayerGrades+'!$AD$13,"D+",IF(J304&lt;'PlayerGrades+'!$AD$12,"C-",IF(J304&lt;'PlayerGrades+'!$AD$11,"C",IF(J304&lt;'PlayerGrades+'!$AD$10,"C+",IF(J304&lt;'PlayerGrades+'!$AD$9,"B-",IF(J304&lt;'PlayerGrades+'!$AD$8,"B",IF(J304&lt;'PlayerGrades+'!$AD$7,"B+",IF(J304&lt;'PlayerGrades+'!$AD$6,"A-",IF(J304&lt;'PlayerGrades+'!$AD$5,"A",IF(J304&lt;'PlayerGrades+'!$AD$4,"A+",IF(J304&lt;'PlayerGrades+'!$AD$3,"S-",IF(J304&lt;'PlayerGrades+'!$AD$2,"S","S+"))))))))))))))))))))</f>
        <v>#DIV/0!</v>
      </c>
      <c r="L304" s="1176" t="str">
        <f t="shared" si="5"/>
        <v>#DIV/0!</v>
      </c>
      <c r="M304" s="992" t="str">
        <f>IF(L304&lt;'PlayerGrades+'!$AE$21,"F-",IF(L304&lt;'PlayerGrades+'!$AE$20,"F",IF(L304&lt;'PlayerGrades+'!$AE$19,"F+",IF(L304&lt;'PlayerGrades+'!$AE$18,"E-",IF(L304&lt;'PlayerGrades+'!$AE$17,"E",IF(L304&lt;'PlayerGrades+'!$AE$16,"E+",IF(L304&lt;'PlayerGrades+'!$AE$15,"D-",IF(L304&lt;'PlayerGrades+'!$AE$14,"D",IF(L304&lt;'PlayerGrades+'!$AE$13,"D+",IF(L304&lt;'PlayerGrades+'!$AE$12,"C-",IF(L304&lt;'PlayerGrades+'!$AE$11,"C",IF(L304&lt;'PlayerGrades+'!$AE$10,"C+",IF(L304&lt;'PlayerGrades+'!$AE$9,"B-",IF(L304&lt;'PlayerGrades+'!$AE$8,"B",IF(L304&lt;'PlayerGrades+'!$AE$7,"B+",IF(L304&lt;'PlayerGrades+'!$AE$6,"A-",IF(L304&lt;'PlayerGrades+'!$AE$5,"A",IF(L304&lt;'PlayerGrades+'!$AE$4,"A+",IF(L304&lt;'PlayerGrades+'!$AE$3,"S-",IF(L304&lt;'PlayerGrades+'!$AE$2,"S","S+"))))))))))))))))))))</f>
        <v>#DIV/0!</v>
      </c>
      <c r="N304" s="961" t="str">
        <f t="shared" si="6"/>
        <v>#DIV/0!</v>
      </c>
      <c r="O304" s="961" t="str">
        <f>IF(N304&lt;'PlayerGrades+'!$AF$21,"F-",IF(N304&lt;'PlayerGrades+'!$AF$20,"F",IF(N304&lt;'PlayerGrades+'!$AF$19,"F+",IF(N304&lt;'PlayerGrades+'!$AF$18,"E-",IF(N304&lt;'PlayerGrades+'!$AF$17,"E",IF(N304&lt;'PlayerGrades+'!$AF$16,"E+",IF(N304&lt;'PlayerGrades+'!$AF$15,"D-",IF(N304&lt;'PlayerGrades+'!$AF$14,"D",IF(N304&lt;'PlayerGrades+'!$AF$13,"D+",IF(N304&lt;'PlayerGrades+'!$AF$12,"C-",IF(N304&lt;'PlayerGrades+'!$AF$11,"C",IF(N304&lt;'PlayerGrades+'!$AF$10,"C+",IF(N304&lt;'PlayerGrades+'!$AF$9,"B-",IF(N304&lt;'PlayerGrades+'!$AF$8,"B",IF(N304&lt;'PlayerGrades+'!$AF$7,"B+",IF(N304&lt;'PlayerGrades+'!$AF$6,"A-",IF(N304&lt;'PlayerGrades+'!$AF$5,"A",IF(N304&lt;'PlayerGrades+'!$AF$4,"A+",IF(N304&lt;'PlayerGrades+'!$AF$3,"S-",IF(N304&lt;'PlayerGrades+'!$AF$2,"S","S+"))))))))))))))))))))</f>
        <v>#DIV/0!</v>
      </c>
      <c r="P304" s="961" t="str">
        <f t="shared" si="7"/>
        <v>#DIV/0!</v>
      </c>
      <c r="Q304" s="961" t="str">
        <f>IF(P304&lt;'PlayerGrades+'!$AG$21,"F-",IF(P304&lt;'PlayerGrades+'!$AG$20,"F",IF(P304&lt;'PlayerGrades+'!$AG$19,"F+",IF(P304&lt;'PlayerGrades+'!$AG$18,"E-",IF(P304&lt;'PlayerGrades+'!$AG$17,"E",IF(P304&lt;'PlayerGrades+'!$AG$16,"E+",IF(P304&lt;'PlayerGrades+'!$AG$15,"D-",IF(P304&lt;'PlayerGrades+'!$AG$14,"D",IF(P304&lt;'PlayerGrades+'!$AG$13,"D+",IF(P304&lt;'PlayerGrades+'!$AG$12,"C-",IF(P304&lt;'PlayerGrades+'!$AG$11,"C",IF(P304&lt;'PlayerGrades+'!$AG$10,"C+",IF(P304&lt;'PlayerGrades+'!$AG$9,"B-",IF(P304&lt;'PlayerGrades+'!$AG$8,"B",IF(P304&lt;'PlayerGrades+'!$AG$7,"B+",IF(P304&lt;'PlayerGrades+'!$AG$6,"A-",IF(P304&lt;'PlayerGrades+'!$AG$5,"A",IF(P304&lt;'PlayerGrades+'!$AG$4,"A+",IF(P304&lt;'PlayerGrades+'!$AG$3,"S-",IF(P304&lt;'PlayerGrades+'!$AG$2,"S","S+"))))))))))))))))))))</f>
        <v>#DIV/0!</v>
      </c>
      <c r="R304" s="961" t="str">
        <f t="shared" si="8"/>
        <v>#DIV/0!</v>
      </c>
      <c r="S304" s="961" t="str">
        <f>IF(R304&lt;'PlayerGrades+'!$AH$21,"F-",IF(R304&lt;'PlayerGrades+'!$AH$20,"F",IF(R304&lt;'PlayerGrades+'!$AH$19,"F+",IF(R304&lt;'PlayerGrades+'!$AH$18,"E-",IF(R304&lt;'PlayerGrades+'!$AH$17,"E",IF(R304&lt;'PlayerGrades+'!$AH$16,"E+",IF(R304&lt;'PlayerGrades+'!$AH$15,"D-",IF(R304&lt;'PlayerGrades+'!$AH$14,"D",IF(R304&lt;'PlayerGrades+'!$AH$13,"D+",IF(R304&lt;'PlayerGrades+'!$AH$12,"C-",IF(R304&lt;'PlayerGrades+'!$AH$11,"C",IF(R304&lt;'PlayerGrades+'!$AH$10,"C+",IF(R304&lt;'PlayerGrades+'!$AH$9,"B-",IF(R304&lt;'PlayerGrades+'!$AH$8,"B",IF(R304&lt;'PlayerGrades+'!$AH$7,"B+",IF(R304&lt;'PlayerGrades+'!$AH$6,"A-",IF(R304&lt;'PlayerGrades+'!$AH$5,"A",IF(R304&lt;'PlayerGrades+'!$AH$4,"A+",IF(R304&lt;'PlayerGrades+'!$AH$3,"S-",IF(R304&lt;'PlayerGrades+'!$AH$2,"S","S+"))))))))))))))))))))</f>
        <v>#DIV/0!</v>
      </c>
      <c r="T304" s="961">
        <f t="shared" si="9"/>
        <v>0</v>
      </c>
      <c r="U304" s="961" t="str">
        <f>IF(T304&lt;'PlayerGrades+'!$AI$21,"F-",IF(T304&lt;'PlayerGrades+'!$AI$20,"F",IF(T304&lt;'PlayerGrades+'!$AI$19,"F+",IF(T304&lt;'PlayerGrades+'!$AI$18,"E-",IF(T304&lt;'PlayerGrades+'!$AI$17,"E",IF(T304&lt;'PlayerGrades+'!$AI$16,"E+",IF(T304&lt;'PlayerGrades+'!$AI$15,"D-",IF(T304&lt;'PlayerGrades+'!$AI$14,"D",IF(T304&lt;'PlayerGrades+'!$AI$13,"D+",IF(T304&lt;'PlayerGrades+'!$AI$12,"C-",IF(T304&lt;'PlayerGrades+'!$AI$11,"C",IF(T304&lt;'PlayerGrades+'!$AI$10,"C+",IF(T304&lt;'PlayerGrades+'!$AI$9,"B-",IF(T304&lt;'PlayerGrades+'!$AI$8,"B",IF(T304&lt;'PlayerGrades+'!$AI$7,"B+",IF(T304&lt;'PlayerGrades+'!$AI$6,"A-",IF(T304&lt;'PlayerGrades+'!$AI$5,"A",IF(T304&lt;'PlayerGrades+'!$AI$4,"A+",IF(T304&lt;'PlayerGrades+'!$AI$3,"S-",IF(T304&lt;'PlayerGrades+'!$AI$2,"S","S+"))))))))))))))))))))</f>
        <v>F-</v>
      </c>
      <c r="AC304" s="1392"/>
    </row>
    <row r="305">
      <c r="A305" s="1393"/>
      <c r="B305" s="611" t="str">
        <f>IF(C305&lt;'PlayerGrades+'!$Y$44,"F-",IF(C305&lt;'PlayerGrades+'!$Y$43,"F",IF(C305&lt;'PlayerGrades+'!$Y$42,"F+",IF(C305&lt;'PlayerGrades+'!$Y$41,"E-",IF(C305&lt;'PlayerGrades+'!$Y$40,"E",IF(C305&lt;'PlayerGrades+'!$Y$39,"E+",IF(C305&lt;'PlayerGrades+'!$Y$38,"D-",IF(C305&lt;'PlayerGrades+'!$Y$37,"D",IF(C305&lt;'PlayerGrades+'!$Y$36,"D+",IF(C305&lt;'PlayerGrades+'!$Y$35,"C-",IF(C305&lt;'PlayerGrades+'!$Y$34,"C",IF(C305&lt;'PlayerGrades+'!$Y$33,"C+",IF(C305&lt;'PlayerGrades+'!$Y$32,"B-",IF(C305&lt;'PlayerGrades+'!$Y$31,"B",IF(C305&lt;'PlayerGrades+'!$Y$30,"B+",IF(C305&lt;'PlayerGrades+'!$Y$29,"A-",IF(C305&lt;'PlayerGrades+'!$Y$28,"A",IF(C305&lt;'PlayerGrades+'!$Y$27,"A+",IF(C305&lt;'PlayerGrades+'!$Y$26,"S-",IF(C305&lt;'PlayerGrades+'!$Y$25,"S","S+"))))))))))))))))))))</f>
        <v>#DIV/0!</v>
      </c>
      <c r="C305" s="1378" t="str">
        <f>('PlayerGrades+'!$Y$47*(VLOOKUP(E305, 'PlayerGrades+'!$X$3:$Y$23, 2, FALSE)))+('PlayerGrades+'!$Y$48*(VLOOKUP(G305, 'PlayerGrades+'!$X$3:$Y$23, 2, FALSE)))+('PlayerGrades+'!$Y$49*(VLOOKUP(I305, 'PlayerGrades+'!$X$3:$Y$23, 2, FALSE)))+('PlayerGrades+'!$Y$50*(VLOOKUP(K305, 'PlayerGrades+'!$X$3:$Y$23, 2, FALSE)))+('PlayerGrades+'!$Y$51*(VLOOKUP(M305, 'PlayerGrades+'!$X$3:$Y$23, 2, FALSE)))+('PlayerGrades+'!$Y$52*(VLOOKUP(O305, 'PlayerGrades+'!$X$3:$Y$23, 2, FALSE)))+('PlayerGrades+'!$Y$53*(VLOOKUP(Q305, 'PlayerGrades+'!$X$3:$Y$23, 2, FALSE)))+('PlayerGrades+'!$Y$54*(VLOOKUP(S305, 'PlayerGrades+'!$X$3:$Y$23, 2, FALSE)))+('PlayerGrades+'!$Y$55*(VLOOKUP(U305, 'PlayerGrades+'!$X$3:$Y$23, 2, FALSE)))</f>
        <v>#DIV/0!</v>
      </c>
      <c r="D305" s="961" t="str">
        <f t="shared" si="1"/>
        <v>#DIV/0!</v>
      </c>
      <c r="E305" s="961" t="str">
        <f>IF(D305&lt;'PlayerGrades+'!$AA$21,"F-",IF(D305&lt;'PlayerGrades+'!$AA$20,"F",IF(D305&lt;'PlayerGrades+'!$AA$19,"F+",IF(D305&lt;'PlayerGrades+'!$AA$18,"E-",IF(D305&lt;'PlayerGrades+'!$AA$17,"E",IF(D305&lt;'PlayerGrades+'!$AA$16,"E+",IF(D305&lt;'PlayerGrades+'!$AA$15,"D-",IF(D305&lt;'PlayerGrades+'!$AA$14,"D",IF(D305&lt;'PlayerGrades+'!$AA$13,"D+",IF(D305&lt;'PlayerGrades+'!$AA$12,"C-",IF(D305&lt;'PlayerGrades+'!$AA$11,"C",IF(D305&lt;'PlayerGrades+'!$AA$10,"C+",IF(D305&lt;'PlayerGrades+'!$AA$9,"B-",IF(D305&lt;'PlayerGrades+'!$AA$8,"B",IF(D305&lt;'PlayerGrades+'!$AA$7,"B+",IF(D305&lt;'PlayerGrades+'!$AA$6,"A-",IF(D305&lt;'PlayerGrades+'!$AA$5,"A",IF(D305&lt;'PlayerGrades+'!$AA$4,"A+",IF(D305&lt;'PlayerGrades+'!$AA$3,"S-",IF(D305&lt;'PlayerGrades+'!$AA$2,"S","S+"))))))))))))))))))))</f>
        <v>#DIV/0!</v>
      </c>
      <c r="F305" s="961" t="str">
        <f t="shared" si="2"/>
        <v>#DIV/0!</v>
      </c>
      <c r="G305" s="961" t="str">
        <f>IF(F305&lt;'PlayerGrades+'!$AB$21,"F-",IF(F305&lt;'PlayerGrades+'!$AB$20,"F",IF(F305&lt;'PlayerGrades+'!$AB$19,"F+",IF(F305&lt;'PlayerGrades+'!$AB$18,"E-",IF(F305&lt;'PlayerGrades+'!$AB$17,"E",IF(F305&lt;'PlayerGrades+'!$AB$16,"E+",IF(F305&lt;'PlayerGrades+'!$AB$15,"D-",IF(F305&lt;'PlayerGrades+'!$AB$14,"D",IF(F305&lt;'PlayerGrades+'!$AB$13,"D+",IF(F305&lt;'PlayerGrades+'!$AB$12,"C-",IF(F305&lt;'PlayerGrades+'!$AB$11,"C",IF(F305&lt;'PlayerGrades+'!$AB$10,"C+",IF(F305&lt;'PlayerGrades+'!$AB$9,"B-",IF(F305&lt;'PlayerGrades+'!$AB$8,"B",IF(F305&lt;'PlayerGrades+'!$AB$7,"B+",IF(F305&lt;'PlayerGrades+'!$AB$6,"A-",IF(F305&lt;'PlayerGrades+'!$AB$5,"A",IF(F305&lt;'PlayerGrades+'!$AB$4,"A+",IF(F305&lt;'PlayerGrades+'!$AB$3,"S-",IF(F305&lt;'PlayerGrades+'!$AB$2,"S","S+"))))))))))))))))))))</f>
        <v>#DIV/0!</v>
      </c>
      <c r="H305" s="961" t="str">
        <f t="shared" si="3"/>
        <v>#DIV/0!</v>
      </c>
      <c r="I305" s="961" t="str">
        <f>IF(H305&lt;'PlayerGrades+'!$AC$21,"F-",IF(H305&lt;'PlayerGrades+'!$AC$20,"F",IF(H305&lt;'PlayerGrades+'!$AC$19,"F+",IF(H305&lt;'PlayerGrades+'!$AC$18,"E-",IF(H305&lt;'PlayerGrades+'!$AC$17,"E",IF(H305&lt;'PlayerGrades+'!$AC$16,"E+",IF(H305&lt;'PlayerGrades+'!$AC$15,"D-",IF(H305&lt;'PlayerGrades+'!$AC$14,"D",IF(H305&lt;'PlayerGrades+'!$AC$13,"D+",IF(H305&lt;'PlayerGrades+'!$AC$12,"C-",IF(H305&lt;'PlayerGrades+'!$AC$11,"C",IF(H305&lt;'PlayerGrades+'!$AC$10,"C+",IF(H305&lt;'PlayerGrades+'!$AC$9,"B-",IF(H305&lt;'PlayerGrades+'!$AC$8,"B",IF(H305&lt;'PlayerGrades+'!$AC$7,"B+",IF(H305&lt;'PlayerGrades+'!$AC$6,"A-",IF(H305&lt;'PlayerGrades+'!$AC$5,"A",IF(H305&lt;'PlayerGrades+'!$AC$4,"A+",IF(H305&lt;'PlayerGrades+'!$AC$3,"S-",IF(H305&lt;'PlayerGrades+'!$AC$2,"S","S+"))))))))))))))))))))</f>
        <v>#DIV/0!</v>
      </c>
      <c r="J305" s="961" t="str">
        <f t="shared" si="4"/>
        <v>#DIV/0!</v>
      </c>
      <c r="K305" s="961" t="str">
        <f>IF(J305&lt;'PlayerGrades+'!$AD$21,"F-",IF(J305&lt;'PlayerGrades+'!$AD$20,"F",IF(J305&lt;'PlayerGrades+'!$AD$19,"F+",IF(J305&lt;'PlayerGrades+'!$AD$18,"E-",IF(J305&lt;'PlayerGrades+'!$AD$17,"E",IF(J305&lt;'PlayerGrades+'!$AD$16,"E+",IF(J305&lt;'PlayerGrades+'!$AD$15,"D-",IF(J305&lt;'PlayerGrades+'!$AD$14,"D",IF(J305&lt;'PlayerGrades+'!$AD$13,"D+",IF(J305&lt;'PlayerGrades+'!$AD$12,"C-",IF(J305&lt;'PlayerGrades+'!$AD$11,"C",IF(J305&lt;'PlayerGrades+'!$AD$10,"C+",IF(J305&lt;'PlayerGrades+'!$AD$9,"B-",IF(J305&lt;'PlayerGrades+'!$AD$8,"B",IF(J305&lt;'PlayerGrades+'!$AD$7,"B+",IF(J305&lt;'PlayerGrades+'!$AD$6,"A-",IF(J305&lt;'PlayerGrades+'!$AD$5,"A",IF(J305&lt;'PlayerGrades+'!$AD$4,"A+",IF(J305&lt;'PlayerGrades+'!$AD$3,"S-",IF(J305&lt;'PlayerGrades+'!$AD$2,"S","S+"))))))))))))))))))))</f>
        <v>#DIV/0!</v>
      </c>
      <c r="L305" s="1176" t="str">
        <f t="shared" si="5"/>
        <v>#DIV/0!</v>
      </c>
      <c r="M305" s="992" t="str">
        <f>IF(L305&lt;'PlayerGrades+'!$AE$21,"F-",IF(L305&lt;'PlayerGrades+'!$AE$20,"F",IF(L305&lt;'PlayerGrades+'!$AE$19,"F+",IF(L305&lt;'PlayerGrades+'!$AE$18,"E-",IF(L305&lt;'PlayerGrades+'!$AE$17,"E",IF(L305&lt;'PlayerGrades+'!$AE$16,"E+",IF(L305&lt;'PlayerGrades+'!$AE$15,"D-",IF(L305&lt;'PlayerGrades+'!$AE$14,"D",IF(L305&lt;'PlayerGrades+'!$AE$13,"D+",IF(L305&lt;'PlayerGrades+'!$AE$12,"C-",IF(L305&lt;'PlayerGrades+'!$AE$11,"C",IF(L305&lt;'PlayerGrades+'!$AE$10,"C+",IF(L305&lt;'PlayerGrades+'!$AE$9,"B-",IF(L305&lt;'PlayerGrades+'!$AE$8,"B",IF(L305&lt;'PlayerGrades+'!$AE$7,"B+",IF(L305&lt;'PlayerGrades+'!$AE$6,"A-",IF(L305&lt;'PlayerGrades+'!$AE$5,"A",IF(L305&lt;'PlayerGrades+'!$AE$4,"A+",IF(L305&lt;'PlayerGrades+'!$AE$3,"S-",IF(L305&lt;'PlayerGrades+'!$AE$2,"S","S+"))))))))))))))))))))</f>
        <v>#DIV/0!</v>
      </c>
      <c r="N305" s="961" t="str">
        <f t="shared" si="6"/>
        <v>#DIV/0!</v>
      </c>
      <c r="O305" s="961" t="str">
        <f>IF(N305&lt;'PlayerGrades+'!$AF$21,"F-",IF(N305&lt;'PlayerGrades+'!$AF$20,"F",IF(N305&lt;'PlayerGrades+'!$AF$19,"F+",IF(N305&lt;'PlayerGrades+'!$AF$18,"E-",IF(N305&lt;'PlayerGrades+'!$AF$17,"E",IF(N305&lt;'PlayerGrades+'!$AF$16,"E+",IF(N305&lt;'PlayerGrades+'!$AF$15,"D-",IF(N305&lt;'PlayerGrades+'!$AF$14,"D",IF(N305&lt;'PlayerGrades+'!$AF$13,"D+",IF(N305&lt;'PlayerGrades+'!$AF$12,"C-",IF(N305&lt;'PlayerGrades+'!$AF$11,"C",IF(N305&lt;'PlayerGrades+'!$AF$10,"C+",IF(N305&lt;'PlayerGrades+'!$AF$9,"B-",IF(N305&lt;'PlayerGrades+'!$AF$8,"B",IF(N305&lt;'PlayerGrades+'!$AF$7,"B+",IF(N305&lt;'PlayerGrades+'!$AF$6,"A-",IF(N305&lt;'PlayerGrades+'!$AF$5,"A",IF(N305&lt;'PlayerGrades+'!$AF$4,"A+",IF(N305&lt;'PlayerGrades+'!$AF$3,"S-",IF(N305&lt;'PlayerGrades+'!$AF$2,"S","S+"))))))))))))))))))))</f>
        <v>#DIV/0!</v>
      </c>
      <c r="P305" s="961" t="str">
        <f t="shared" si="7"/>
        <v>#DIV/0!</v>
      </c>
      <c r="Q305" s="961" t="str">
        <f>IF(P305&lt;'PlayerGrades+'!$AG$21,"F-",IF(P305&lt;'PlayerGrades+'!$AG$20,"F",IF(P305&lt;'PlayerGrades+'!$AG$19,"F+",IF(P305&lt;'PlayerGrades+'!$AG$18,"E-",IF(P305&lt;'PlayerGrades+'!$AG$17,"E",IF(P305&lt;'PlayerGrades+'!$AG$16,"E+",IF(P305&lt;'PlayerGrades+'!$AG$15,"D-",IF(P305&lt;'PlayerGrades+'!$AG$14,"D",IF(P305&lt;'PlayerGrades+'!$AG$13,"D+",IF(P305&lt;'PlayerGrades+'!$AG$12,"C-",IF(P305&lt;'PlayerGrades+'!$AG$11,"C",IF(P305&lt;'PlayerGrades+'!$AG$10,"C+",IF(P305&lt;'PlayerGrades+'!$AG$9,"B-",IF(P305&lt;'PlayerGrades+'!$AG$8,"B",IF(P305&lt;'PlayerGrades+'!$AG$7,"B+",IF(P305&lt;'PlayerGrades+'!$AG$6,"A-",IF(P305&lt;'PlayerGrades+'!$AG$5,"A",IF(P305&lt;'PlayerGrades+'!$AG$4,"A+",IF(P305&lt;'PlayerGrades+'!$AG$3,"S-",IF(P305&lt;'PlayerGrades+'!$AG$2,"S","S+"))))))))))))))))))))</f>
        <v>#DIV/0!</v>
      </c>
      <c r="R305" s="961" t="str">
        <f t="shared" si="8"/>
        <v>#DIV/0!</v>
      </c>
      <c r="S305" s="961" t="str">
        <f>IF(R305&lt;'PlayerGrades+'!$AH$21,"F-",IF(R305&lt;'PlayerGrades+'!$AH$20,"F",IF(R305&lt;'PlayerGrades+'!$AH$19,"F+",IF(R305&lt;'PlayerGrades+'!$AH$18,"E-",IF(R305&lt;'PlayerGrades+'!$AH$17,"E",IF(R305&lt;'PlayerGrades+'!$AH$16,"E+",IF(R305&lt;'PlayerGrades+'!$AH$15,"D-",IF(R305&lt;'PlayerGrades+'!$AH$14,"D",IF(R305&lt;'PlayerGrades+'!$AH$13,"D+",IF(R305&lt;'PlayerGrades+'!$AH$12,"C-",IF(R305&lt;'PlayerGrades+'!$AH$11,"C",IF(R305&lt;'PlayerGrades+'!$AH$10,"C+",IF(R305&lt;'PlayerGrades+'!$AH$9,"B-",IF(R305&lt;'PlayerGrades+'!$AH$8,"B",IF(R305&lt;'PlayerGrades+'!$AH$7,"B+",IF(R305&lt;'PlayerGrades+'!$AH$6,"A-",IF(R305&lt;'PlayerGrades+'!$AH$5,"A",IF(R305&lt;'PlayerGrades+'!$AH$4,"A+",IF(R305&lt;'PlayerGrades+'!$AH$3,"S-",IF(R305&lt;'PlayerGrades+'!$AH$2,"S","S+"))))))))))))))))))))</f>
        <v>#DIV/0!</v>
      </c>
      <c r="T305" s="961">
        <f t="shared" si="9"/>
        <v>0</v>
      </c>
      <c r="U305" s="961" t="str">
        <f>IF(T305&lt;'PlayerGrades+'!$AI$21,"F-",IF(T305&lt;'PlayerGrades+'!$AI$20,"F",IF(T305&lt;'PlayerGrades+'!$AI$19,"F+",IF(T305&lt;'PlayerGrades+'!$AI$18,"E-",IF(T305&lt;'PlayerGrades+'!$AI$17,"E",IF(T305&lt;'PlayerGrades+'!$AI$16,"E+",IF(T305&lt;'PlayerGrades+'!$AI$15,"D-",IF(T305&lt;'PlayerGrades+'!$AI$14,"D",IF(T305&lt;'PlayerGrades+'!$AI$13,"D+",IF(T305&lt;'PlayerGrades+'!$AI$12,"C-",IF(T305&lt;'PlayerGrades+'!$AI$11,"C",IF(T305&lt;'PlayerGrades+'!$AI$10,"C+",IF(T305&lt;'PlayerGrades+'!$AI$9,"B-",IF(T305&lt;'PlayerGrades+'!$AI$8,"B",IF(T305&lt;'PlayerGrades+'!$AI$7,"B+",IF(T305&lt;'PlayerGrades+'!$AI$6,"A-",IF(T305&lt;'PlayerGrades+'!$AI$5,"A",IF(T305&lt;'PlayerGrades+'!$AI$4,"A+",IF(T305&lt;'PlayerGrades+'!$AI$3,"S-",IF(T305&lt;'PlayerGrades+'!$AI$2,"S","S+"))))))))))))))))))))</f>
        <v>F-</v>
      </c>
      <c r="V305" s="1386"/>
      <c r="W305" s="1386"/>
      <c r="X305" s="1386"/>
      <c r="Y305" s="1386"/>
      <c r="Z305" s="1386"/>
      <c r="AA305" s="1386"/>
      <c r="AB305" s="1386"/>
      <c r="AC305" s="1397"/>
      <c r="AD305" s="1386"/>
      <c r="AE305" s="1386"/>
      <c r="AF305" s="1386"/>
      <c r="AG305" s="1386"/>
      <c r="AH305" s="1386"/>
      <c r="AI305" s="1386"/>
      <c r="AJ305" s="1386"/>
      <c r="AK305" s="1386"/>
      <c r="AL305" s="1386"/>
      <c r="AM305" s="1386"/>
      <c r="AN305" s="1386"/>
      <c r="AO305" s="1386"/>
      <c r="AP305" s="1386"/>
      <c r="AQ305" s="1386"/>
      <c r="AR305" s="1386"/>
      <c r="AS305" s="1386"/>
      <c r="AT305" s="1386"/>
      <c r="AU305" s="1386"/>
      <c r="AV305" s="1386"/>
      <c r="AW305" s="1386"/>
      <c r="AX305" s="1386"/>
      <c r="AY305" s="1386"/>
      <c r="AZ305" s="1386"/>
    </row>
    <row r="306">
      <c r="A306" s="1389"/>
      <c r="B306" s="611" t="str">
        <f>IF(C306&lt;'PlayerGrades+'!$Y$44,"F-",IF(C306&lt;'PlayerGrades+'!$Y$43,"F",IF(C306&lt;'PlayerGrades+'!$Y$42,"F+",IF(C306&lt;'PlayerGrades+'!$Y$41,"E-",IF(C306&lt;'PlayerGrades+'!$Y$40,"E",IF(C306&lt;'PlayerGrades+'!$Y$39,"E+",IF(C306&lt;'PlayerGrades+'!$Y$38,"D-",IF(C306&lt;'PlayerGrades+'!$Y$37,"D",IF(C306&lt;'PlayerGrades+'!$Y$36,"D+",IF(C306&lt;'PlayerGrades+'!$Y$35,"C-",IF(C306&lt;'PlayerGrades+'!$Y$34,"C",IF(C306&lt;'PlayerGrades+'!$Y$33,"C+",IF(C306&lt;'PlayerGrades+'!$Y$32,"B-",IF(C306&lt;'PlayerGrades+'!$Y$31,"B",IF(C306&lt;'PlayerGrades+'!$Y$30,"B+",IF(C306&lt;'PlayerGrades+'!$Y$29,"A-",IF(C306&lt;'PlayerGrades+'!$Y$28,"A",IF(C306&lt;'PlayerGrades+'!$Y$27,"A+",IF(C306&lt;'PlayerGrades+'!$Y$26,"S-",IF(C306&lt;'PlayerGrades+'!$Y$25,"S","S+"))))))))))))))))))))</f>
        <v>#DIV/0!</v>
      </c>
      <c r="C306" s="1378" t="str">
        <f>('PlayerGrades+'!$Y$47*(VLOOKUP(E306, 'PlayerGrades+'!$X$3:$Y$23, 2, FALSE)))+('PlayerGrades+'!$Y$48*(VLOOKUP(G306, 'PlayerGrades+'!$X$3:$Y$23, 2, FALSE)))+('PlayerGrades+'!$Y$49*(VLOOKUP(I306, 'PlayerGrades+'!$X$3:$Y$23, 2, FALSE)))+('PlayerGrades+'!$Y$50*(VLOOKUP(K306, 'PlayerGrades+'!$X$3:$Y$23, 2, FALSE)))+('PlayerGrades+'!$Y$51*(VLOOKUP(M306, 'PlayerGrades+'!$X$3:$Y$23, 2, FALSE)))+('PlayerGrades+'!$Y$52*(VLOOKUP(O306, 'PlayerGrades+'!$X$3:$Y$23, 2, FALSE)))+('PlayerGrades+'!$Y$53*(VLOOKUP(Q306, 'PlayerGrades+'!$X$3:$Y$23, 2, FALSE)))+('PlayerGrades+'!$Y$54*(VLOOKUP(S306, 'PlayerGrades+'!$X$3:$Y$23, 2, FALSE)))+('PlayerGrades+'!$Y$55*(VLOOKUP(U306, 'PlayerGrades+'!$X$3:$Y$23, 2, FALSE)))</f>
        <v>#DIV/0!</v>
      </c>
      <c r="D306" s="961" t="str">
        <f t="shared" si="1"/>
        <v>#DIV/0!</v>
      </c>
      <c r="E306" s="961" t="str">
        <f>IF(D306&lt;'PlayerGrades+'!$AA$21,"F-",IF(D306&lt;'PlayerGrades+'!$AA$20,"F",IF(D306&lt;'PlayerGrades+'!$AA$19,"F+",IF(D306&lt;'PlayerGrades+'!$AA$18,"E-",IF(D306&lt;'PlayerGrades+'!$AA$17,"E",IF(D306&lt;'PlayerGrades+'!$AA$16,"E+",IF(D306&lt;'PlayerGrades+'!$AA$15,"D-",IF(D306&lt;'PlayerGrades+'!$AA$14,"D",IF(D306&lt;'PlayerGrades+'!$AA$13,"D+",IF(D306&lt;'PlayerGrades+'!$AA$12,"C-",IF(D306&lt;'PlayerGrades+'!$AA$11,"C",IF(D306&lt;'PlayerGrades+'!$AA$10,"C+",IF(D306&lt;'PlayerGrades+'!$AA$9,"B-",IF(D306&lt;'PlayerGrades+'!$AA$8,"B",IF(D306&lt;'PlayerGrades+'!$AA$7,"B+",IF(D306&lt;'PlayerGrades+'!$AA$6,"A-",IF(D306&lt;'PlayerGrades+'!$AA$5,"A",IF(D306&lt;'PlayerGrades+'!$AA$4,"A+",IF(D306&lt;'PlayerGrades+'!$AA$3,"S-",IF(D306&lt;'PlayerGrades+'!$AA$2,"S","S+"))))))))))))))))))))</f>
        <v>#DIV/0!</v>
      </c>
      <c r="F306" s="961" t="str">
        <f t="shared" si="2"/>
        <v>#DIV/0!</v>
      </c>
      <c r="G306" s="961" t="str">
        <f>IF(F306&lt;'PlayerGrades+'!$AB$21,"F-",IF(F306&lt;'PlayerGrades+'!$AB$20,"F",IF(F306&lt;'PlayerGrades+'!$AB$19,"F+",IF(F306&lt;'PlayerGrades+'!$AB$18,"E-",IF(F306&lt;'PlayerGrades+'!$AB$17,"E",IF(F306&lt;'PlayerGrades+'!$AB$16,"E+",IF(F306&lt;'PlayerGrades+'!$AB$15,"D-",IF(F306&lt;'PlayerGrades+'!$AB$14,"D",IF(F306&lt;'PlayerGrades+'!$AB$13,"D+",IF(F306&lt;'PlayerGrades+'!$AB$12,"C-",IF(F306&lt;'PlayerGrades+'!$AB$11,"C",IF(F306&lt;'PlayerGrades+'!$AB$10,"C+",IF(F306&lt;'PlayerGrades+'!$AB$9,"B-",IF(F306&lt;'PlayerGrades+'!$AB$8,"B",IF(F306&lt;'PlayerGrades+'!$AB$7,"B+",IF(F306&lt;'PlayerGrades+'!$AB$6,"A-",IF(F306&lt;'PlayerGrades+'!$AB$5,"A",IF(F306&lt;'PlayerGrades+'!$AB$4,"A+",IF(F306&lt;'PlayerGrades+'!$AB$3,"S-",IF(F306&lt;'PlayerGrades+'!$AB$2,"S","S+"))))))))))))))))))))</f>
        <v>#DIV/0!</v>
      </c>
      <c r="H306" s="961" t="str">
        <f t="shared" si="3"/>
        <v>#DIV/0!</v>
      </c>
      <c r="I306" s="961" t="str">
        <f>IF(H306&lt;'PlayerGrades+'!$AC$21,"F-",IF(H306&lt;'PlayerGrades+'!$AC$20,"F",IF(H306&lt;'PlayerGrades+'!$AC$19,"F+",IF(H306&lt;'PlayerGrades+'!$AC$18,"E-",IF(H306&lt;'PlayerGrades+'!$AC$17,"E",IF(H306&lt;'PlayerGrades+'!$AC$16,"E+",IF(H306&lt;'PlayerGrades+'!$AC$15,"D-",IF(H306&lt;'PlayerGrades+'!$AC$14,"D",IF(H306&lt;'PlayerGrades+'!$AC$13,"D+",IF(H306&lt;'PlayerGrades+'!$AC$12,"C-",IF(H306&lt;'PlayerGrades+'!$AC$11,"C",IF(H306&lt;'PlayerGrades+'!$AC$10,"C+",IF(H306&lt;'PlayerGrades+'!$AC$9,"B-",IF(H306&lt;'PlayerGrades+'!$AC$8,"B",IF(H306&lt;'PlayerGrades+'!$AC$7,"B+",IF(H306&lt;'PlayerGrades+'!$AC$6,"A-",IF(H306&lt;'PlayerGrades+'!$AC$5,"A",IF(H306&lt;'PlayerGrades+'!$AC$4,"A+",IF(H306&lt;'PlayerGrades+'!$AC$3,"S-",IF(H306&lt;'PlayerGrades+'!$AC$2,"S","S+"))))))))))))))))))))</f>
        <v>#DIV/0!</v>
      </c>
      <c r="J306" s="961" t="str">
        <f t="shared" si="4"/>
        <v>#DIV/0!</v>
      </c>
      <c r="K306" s="961" t="str">
        <f>IF(J306&lt;'PlayerGrades+'!$AD$21,"F-",IF(J306&lt;'PlayerGrades+'!$AD$20,"F",IF(J306&lt;'PlayerGrades+'!$AD$19,"F+",IF(J306&lt;'PlayerGrades+'!$AD$18,"E-",IF(J306&lt;'PlayerGrades+'!$AD$17,"E",IF(J306&lt;'PlayerGrades+'!$AD$16,"E+",IF(J306&lt;'PlayerGrades+'!$AD$15,"D-",IF(J306&lt;'PlayerGrades+'!$AD$14,"D",IF(J306&lt;'PlayerGrades+'!$AD$13,"D+",IF(J306&lt;'PlayerGrades+'!$AD$12,"C-",IF(J306&lt;'PlayerGrades+'!$AD$11,"C",IF(J306&lt;'PlayerGrades+'!$AD$10,"C+",IF(J306&lt;'PlayerGrades+'!$AD$9,"B-",IF(J306&lt;'PlayerGrades+'!$AD$8,"B",IF(J306&lt;'PlayerGrades+'!$AD$7,"B+",IF(J306&lt;'PlayerGrades+'!$AD$6,"A-",IF(J306&lt;'PlayerGrades+'!$AD$5,"A",IF(J306&lt;'PlayerGrades+'!$AD$4,"A+",IF(J306&lt;'PlayerGrades+'!$AD$3,"S-",IF(J306&lt;'PlayerGrades+'!$AD$2,"S","S+"))))))))))))))))))))</f>
        <v>#DIV/0!</v>
      </c>
      <c r="L306" s="1176" t="str">
        <f t="shared" si="5"/>
        <v>#DIV/0!</v>
      </c>
      <c r="M306" s="992" t="str">
        <f>IF(L306&lt;'PlayerGrades+'!$AE$21,"F-",IF(L306&lt;'PlayerGrades+'!$AE$20,"F",IF(L306&lt;'PlayerGrades+'!$AE$19,"F+",IF(L306&lt;'PlayerGrades+'!$AE$18,"E-",IF(L306&lt;'PlayerGrades+'!$AE$17,"E",IF(L306&lt;'PlayerGrades+'!$AE$16,"E+",IF(L306&lt;'PlayerGrades+'!$AE$15,"D-",IF(L306&lt;'PlayerGrades+'!$AE$14,"D",IF(L306&lt;'PlayerGrades+'!$AE$13,"D+",IF(L306&lt;'PlayerGrades+'!$AE$12,"C-",IF(L306&lt;'PlayerGrades+'!$AE$11,"C",IF(L306&lt;'PlayerGrades+'!$AE$10,"C+",IF(L306&lt;'PlayerGrades+'!$AE$9,"B-",IF(L306&lt;'PlayerGrades+'!$AE$8,"B",IF(L306&lt;'PlayerGrades+'!$AE$7,"B+",IF(L306&lt;'PlayerGrades+'!$AE$6,"A-",IF(L306&lt;'PlayerGrades+'!$AE$5,"A",IF(L306&lt;'PlayerGrades+'!$AE$4,"A+",IF(L306&lt;'PlayerGrades+'!$AE$3,"S-",IF(L306&lt;'PlayerGrades+'!$AE$2,"S","S+"))))))))))))))))))))</f>
        <v>#DIV/0!</v>
      </c>
      <c r="N306" s="961" t="str">
        <f t="shared" si="6"/>
        <v>#DIV/0!</v>
      </c>
      <c r="O306" s="961" t="str">
        <f>IF(N306&lt;'PlayerGrades+'!$AF$21,"F-",IF(N306&lt;'PlayerGrades+'!$AF$20,"F",IF(N306&lt;'PlayerGrades+'!$AF$19,"F+",IF(N306&lt;'PlayerGrades+'!$AF$18,"E-",IF(N306&lt;'PlayerGrades+'!$AF$17,"E",IF(N306&lt;'PlayerGrades+'!$AF$16,"E+",IF(N306&lt;'PlayerGrades+'!$AF$15,"D-",IF(N306&lt;'PlayerGrades+'!$AF$14,"D",IF(N306&lt;'PlayerGrades+'!$AF$13,"D+",IF(N306&lt;'PlayerGrades+'!$AF$12,"C-",IF(N306&lt;'PlayerGrades+'!$AF$11,"C",IF(N306&lt;'PlayerGrades+'!$AF$10,"C+",IF(N306&lt;'PlayerGrades+'!$AF$9,"B-",IF(N306&lt;'PlayerGrades+'!$AF$8,"B",IF(N306&lt;'PlayerGrades+'!$AF$7,"B+",IF(N306&lt;'PlayerGrades+'!$AF$6,"A-",IF(N306&lt;'PlayerGrades+'!$AF$5,"A",IF(N306&lt;'PlayerGrades+'!$AF$4,"A+",IF(N306&lt;'PlayerGrades+'!$AF$3,"S-",IF(N306&lt;'PlayerGrades+'!$AF$2,"S","S+"))))))))))))))))))))</f>
        <v>#DIV/0!</v>
      </c>
      <c r="P306" s="961" t="str">
        <f t="shared" si="7"/>
        <v>#DIV/0!</v>
      </c>
      <c r="Q306" s="961" t="str">
        <f>IF(P306&lt;'PlayerGrades+'!$AG$21,"F-",IF(P306&lt;'PlayerGrades+'!$AG$20,"F",IF(P306&lt;'PlayerGrades+'!$AG$19,"F+",IF(P306&lt;'PlayerGrades+'!$AG$18,"E-",IF(P306&lt;'PlayerGrades+'!$AG$17,"E",IF(P306&lt;'PlayerGrades+'!$AG$16,"E+",IF(P306&lt;'PlayerGrades+'!$AG$15,"D-",IF(P306&lt;'PlayerGrades+'!$AG$14,"D",IF(P306&lt;'PlayerGrades+'!$AG$13,"D+",IF(P306&lt;'PlayerGrades+'!$AG$12,"C-",IF(P306&lt;'PlayerGrades+'!$AG$11,"C",IF(P306&lt;'PlayerGrades+'!$AG$10,"C+",IF(P306&lt;'PlayerGrades+'!$AG$9,"B-",IF(P306&lt;'PlayerGrades+'!$AG$8,"B",IF(P306&lt;'PlayerGrades+'!$AG$7,"B+",IF(P306&lt;'PlayerGrades+'!$AG$6,"A-",IF(P306&lt;'PlayerGrades+'!$AG$5,"A",IF(P306&lt;'PlayerGrades+'!$AG$4,"A+",IF(P306&lt;'PlayerGrades+'!$AG$3,"S-",IF(P306&lt;'PlayerGrades+'!$AG$2,"S","S+"))))))))))))))))))))</f>
        <v>#DIV/0!</v>
      </c>
      <c r="R306" s="961" t="str">
        <f t="shared" si="8"/>
        <v>#DIV/0!</v>
      </c>
      <c r="S306" s="961" t="str">
        <f>IF(R306&lt;'PlayerGrades+'!$AH$21,"F-",IF(R306&lt;'PlayerGrades+'!$AH$20,"F",IF(R306&lt;'PlayerGrades+'!$AH$19,"F+",IF(R306&lt;'PlayerGrades+'!$AH$18,"E-",IF(R306&lt;'PlayerGrades+'!$AH$17,"E",IF(R306&lt;'PlayerGrades+'!$AH$16,"E+",IF(R306&lt;'PlayerGrades+'!$AH$15,"D-",IF(R306&lt;'PlayerGrades+'!$AH$14,"D",IF(R306&lt;'PlayerGrades+'!$AH$13,"D+",IF(R306&lt;'PlayerGrades+'!$AH$12,"C-",IF(R306&lt;'PlayerGrades+'!$AH$11,"C",IF(R306&lt;'PlayerGrades+'!$AH$10,"C+",IF(R306&lt;'PlayerGrades+'!$AH$9,"B-",IF(R306&lt;'PlayerGrades+'!$AH$8,"B",IF(R306&lt;'PlayerGrades+'!$AH$7,"B+",IF(R306&lt;'PlayerGrades+'!$AH$6,"A-",IF(R306&lt;'PlayerGrades+'!$AH$5,"A",IF(R306&lt;'PlayerGrades+'!$AH$4,"A+",IF(R306&lt;'PlayerGrades+'!$AH$3,"S-",IF(R306&lt;'PlayerGrades+'!$AH$2,"S","S+"))))))))))))))))))))</f>
        <v>#DIV/0!</v>
      </c>
      <c r="T306" s="961">
        <f t="shared" si="9"/>
        <v>0</v>
      </c>
      <c r="U306" s="961" t="str">
        <f>IF(T306&lt;'PlayerGrades+'!$AI$21,"F-",IF(T306&lt;'PlayerGrades+'!$AI$20,"F",IF(T306&lt;'PlayerGrades+'!$AI$19,"F+",IF(T306&lt;'PlayerGrades+'!$AI$18,"E-",IF(T306&lt;'PlayerGrades+'!$AI$17,"E",IF(T306&lt;'PlayerGrades+'!$AI$16,"E+",IF(T306&lt;'PlayerGrades+'!$AI$15,"D-",IF(T306&lt;'PlayerGrades+'!$AI$14,"D",IF(T306&lt;'PlayerGrades+'!$AI$13,"D+",IF(T306&lt;'PlayerGrades+'!$AI$12,"C-",IF(T306&lt;'PlayerGrades+'!$AI$11,"C",IF(T306&lt;'PlayerGrades+'!$AI$10,"C+",IF(T306&lt;'PlayerGrades+'!$AI$9,"B-",IF(T306&lt;'PlayerGrades+'!$AI$8,"B",IF(T306&lt;'PlayerGrades+'!$AI$7,"B+",IF(T306&lt;'PlayerGrades+'!$AI$6,"A-",IF(T306&lt;'PlayerGrades+'!$AI$5,"A",IF(T306&lt;'PlayerGrades+'!$AI$4,"A+",IF(T306&lt;'PlayerGrades+'!$AI$3,"S-",IF(T306&lt;'PlayerGrades+'!$AI$2,"S","S+"))))))))))))))))))))</f>
        <v>F-</v>
      </c>
      <c r="V306" s="1379"/>
      <c r="W306" s="1379"/>
      <c r="X306" s="1379"/>
      <c r="Y306" s="1379"/>
      <c r="Z306" s="1379"/>
      <c r="AA306" s="1379"/>
      <c r="AB306" s="1379"/>
      <c r="AC306" s="1390"/>
      <c r="AD306" s="1379"/>
      <c r="AE306" s="1379"/>
      <c r="AF306" s="1379"/>
      <c r="AG306" s="1379"/>
      <c r="AH306" s="1379"/>
      <c r="AI306" s="1379"/>
      <c r="AJ306" s="1379"/>
      <c r="AK306" s="1379"/>
      <c r="AL306" s="1379"/>
      <c r="AM306" s="1379"/>
      <c r="AN306" s="1379"/>
      <c r="AO306" s="1379"/>
      <c r="AP306" s="1379"/>
      <c r="AQ306" s="1379"/>
      <c r="AR306" s="1379"/>
      <c r="AS306" s="1379"/>
      <c r="AT306" s="1379"/>
      <c r="AU306" s="1379"/>
      <c r="AV306" s="1379"/>
      <c r="AW306" s="1379"/>
      <c r="AX306" s="1379"/>
      <c r="AY306" s="1379"/>
      <c r="AZ306" s="1379"/>
    </row>
    <row r="307">
      <c r="A307" s="1391"/>
      <c r="B307" s="611" t="str">
        <f>IF(C307&lt;'PlayerGrades+'!$Y$44,"F-",IF(C307&lt;'PlayerGrades+'!$Y$43,"F",IF(C307&lt;'PlayerGrades+'!$Y$42,"F+",IF(C307&lt;'PlayerGrades+'!$Y$41,"E-",IF(C307&lt;'PlayerGrades+'!$Y$40,"E",IF(C307&lt;'PlayerGrades+'!$Y$39,"E+",IF(C307&lt;'PlayerGrades+'!$Y$38,"D-",IF(C307&lt;'PlayerGrades+'!$Y$37,"D",IF(C307&lt;'PlayerGrades+'!$Y$36,"D+",IF(C307&lt;'PlayerGrades+'!$Y$35,"C-",IF(C307&lt;'PlayerGrades+'!$Y$34,"C",IF(C307&lt;'PlayerGrades+'!$Y$33,"C+",IF(C307&lt;'PlayerGrades+'!$Y$32,"B-",IF(C307&lt;'PlayerGrades+'!$Y$31,"B",IF(C307&lt;'PlayerGrades+'!$Y$30,"B+",IF(C307&lt;'PlayerGrades+'!$Y$29,"A-",IF(C307&lt;'PlayerGrades+'!$Y$28,"A",IF(C307&lt;'PlayerGrades+'!$Y$27,"A+",IF(C307&lt;'PlayerGrades+'!$Y$26,"S-",IF(C307&lt;'PlayerGrades+'!$Y$25,"S","S+"))))))))))))))))))))</f>
        <v>#DIV/0!</v>
      </c>
      <c r="C307" s="1378" t="str">
        <f>('PlayerGrades+'!$Y$47*(VLOOKUP(E307, 'PlayerGrades+'!$X$3:$Y$23, 2, FALSE)))+('PlayerGrades+'!$Y$48*(VLOOKUP(G307, 'PlayerGrades+'!$X$3:$Y$23, 2, FALSE)))+('PlayerGrades+'!$Y$49*(VLOOKUP(I307, 'PlayerGrades+'!$X$3:$Y$23, 2, FALSE)))+('PlayerGrades+'!$Y$50*(VLOOKUP(K307, 'PlayerGrades+'!$X$3:$Y$23, 2, FALSE)))+('PlayerGrades+'!$Y$51*(VLOOKUP(M307, 'PlayerGrades+'!$X$3:$Y$23, 2, FALSE)))+('PlayerGrades+'!$Y$52*(VLOOKUP(O307, 'PlayerGrades+'!$X$3:$Y$23, 2, FALSE)))+('PlayerGrades+'!$Y$53*(VLOOKUP(Q307, 'PlayerGrades+'!$X$3:$Y$23, 2, FALSE)))+('PlayerGrades+'!$Y$54*(VLOOKUP(S307, 'PlayerGrades+'!$X$3:$Y$23, 2, FALSE)))+('PlayerGrades+'!$Y$55*(VLOOKUP(U307, 'PlayerGrades+'!$X$3:$Y$23, 2, FALSE)))</f>
        <v>#DIV/0!</v>
      </c>
      <c r="D307" s="961" t="str">
        <f t="shared" si="1"/>
        <v>#DIV/0!</v>
      </c>
      <c r="E307" s="961" t="str">
        <f>IF(D307&lt;'PlayerGrades+'!$AA$21,"F-",IF(D307&lt;'PlayerGrades+'!$AA$20,"F",IF(D307&lt;'PlayerGrades+'!$AA$19,"F+",IF(D307&lt;'PlayerGrades+'!$AA$18,"E-",IF(D307&lt;'PlayerGrades+'!$AA$17,"E",IF(D307&lt;'PlayerGrades+'!$AA$16,"E+",IF(D307&lt;'PlayerGrades+'!$AA$15,"D-",IF(D307&lt;'PlayerGrades+'!$AA$14,"D",IF(D307&lt;'PlayerGrades+'!$AA$13,"D+",IF(D307&lt;'PlayerGrades+'!$AA$12,"C-",IF(D307&lt;'PlayerGrades+'!$AA$11,"C",IF(D307&lt;'PlayerGrades+'!$AA$10,"C+",IF(D307&lt;'PlayerGrades+'!$AA$9,"B-",IF(D307&lt;'PlayerGrades+'!$AA$8,"B",IF(D307&lt;'PlayerGrades+'!$AA$7,"B+",IF(D307&lt;'PlayerGrades+'!$AA$6,"A-",IF(D307&lt;'PlayerGrades+'!$AA$5,"A",IF(D307&lt;'PlayerGrades+'!$AA$4,"A+",IF(D307&lt;'PlayerGrades+'!$AA$3,"S-",IF(D307&lt;'PlayerGrades+'!$AA$2,"S","S+"))))))))))))))))))))</f>
        <v>#DIV/0!</v>
      </c>
      <c r="F307" s="961" t="str">
        <f t="shared" si="2"/>
        <v>#DIV/0!</v>
      </c>
      <c r="G307" s="961" t="str">
        <f>IF(F307&lt;'PlayerGrades+'!$AB$21,"F-",IF(F307&lt;'PlayerGrades+'!$AB$20,"F",IF(F307&lt;'PlayerGrades+'!$AB$19,"F+",IF(F307&lt;'PlayerGrades+'!$AB$18,"E-",IF(F307&lt;'PlayerGrades+'!$AB$17,"E",IF(F307&lt;'PlayerGrades+'!$AB$16,"E+",IF(F307&lt;'PlayerGrades+'!$AB$15,"D-",IF(F307&lt;'PlayerGrades+'!$AB$14,"D",IF(F307&lt;'PlayerGrades+'!$AB$13,"D+",IF(F307&lt;'PlayerGrades+'!$AB$12,"C-",IF(F307&lt;'PlayerGrades+'!$AB$11,"C",IF(F307&lt;'PlayerGrades+'!$AB$10,"C+",IF(F307&lt;'PlayerGrades+'!$AB$9,"B-",IF(F307&lt;'PlayerGrades+'!$AB$8,"B",IF(F307&lt;'PlayerGrades+'!$AB$7,"B+",IF(F307&lt;'PlayerGrades+'!$AB$6,"A-",IF(F307&lt;'PlayerGrades+'!$AB$5,"A",IF(F307&lt;'PlayerGrades+'!$AB$4,"A+",IF(F307&lt;'PlayerGrades+'!$AB$3,"S-",IF(F307&lt;'PlayerGrades+'!$AB$2,"S","S+"))))))))))))))))))))</f>
        <v>#DIV/0!</v>
      </c>
      <c r="H307" s="961" t="str">
        <f t="shared" si="3"/>
        <v>#DIV/0!</v>
      </c>
      <c r="I307" s="961" t="str">
        <f>IF(H307&lt;'PlayerGrades+'!$AC$21,"F-",IF(H307&lt;'PlayerGrades+'!$AC$20,"F",IF(H307&lt;'PlayerGrades+'!$AC$19,"F+",IF(H307&lt;'PlayerGrades+'!$AC$18,"E-",IF(H307&lt;'PlayerGrades+'!$AC$17,"E",IF(H307&lt;'PlayerGrades+'!$AC$16,"E+",IF(H307&lt;'PlayerGrades+'!$AC$15,"D-",IF(H307&lt;'PlayerGrades+'!$AC$14,"D",IF(H307&lt;'PlayerGrades+'!$AC$13,"D+",IF(H307&lt;'PlayerGrades+'!$AC$12,"C-",IF(H307&lt;'PlayerGrades+'!$AC$11,"C",IF(H307&lt;'PlayerGrades+'!$AC$10,"C+",IF(H307&lt;'PlayerGrades+'!$AC$9,"B-",IF(H307&lt;'PlayerGrades+'!$AC$8,"B",IF(H307&lt;'PlayerGrades+'!$AC$7,"B+",IF(H307&lt;'PlayerGrades+'!$AC$6,"A-",IF(H307&lt;'PlayerGrades+'!$AC$5,"A",IF(H307&lt;'PlayerGrades+'!$AC$4,"A+",IF(H307&lt;'PlayerGrades+'!$AC$3,"S-",IF(H307&lt;'PlayerGrades+'!$AC$2,"S","S+"))))))))))))))))))))</f>
        <v>#DIV/0!</v>
      </c>
      <c r="J307" s="961" t="str">
        <f t="shared" si="4"/>
        <v>#DIV/0!</v>
      </c>
      <c r="K307" s="961" t="str">
        <f>IF(J307&lt;'PlayerGrades+'!$AD$21,"F-",IF(J307&lt;'PlayerGrades+'!$AD$20,"F",IF(J307&lt;'PlayerGrades+'!$AD$19,"F+",IF(J307&lt;'PlayerGrades+'!$AD$18,"E-",IF(J307&lt;'PlayerGrades+'!$AD$17,"E",IF(J307&lt;'PlayerGrades+'!$AD$16,"E+",IF(J307&lt;'PlayerGrades+'!$AD$15,"D-",IF(J307&lt;'PlayerGrades+'!$AD$14,"D",IF(J307&lt;'PlayerGrades+'!$AD$13,"D+",IF(J307&lt;'PlayerGrades+'!$AD$12,"C-",IF(J307&lt;'PlayerGrades+'!$AD$11,"C",IF(J307&lt;'PlayerGrades+'!$AD$10,"C+",IF(J307&lt;'PlayerGrades+'!$AD$9,"B-",IF(J307&lt;'PlayerGrades+'!$AD$8,"B",IF(J307&lt;'PlayerGrades+'!$AD$7,"B+",IF(J307&lt;'PlayerGrades+'!$AD$6,"A-",IF(J307&lt;'PlayerGrades+'!$AD$5,"A",IF(J307&lt;'PlayerGrades+'!$AD$4,"A+",IF(J307&lt;'PlayerGrades+'!$AD$3,"S-",IF(J307&lt;'PlayerGrades+'!$AD$2,"S","S+"))))))))))))))))))))</f>
        <v>#DIV/0!</v>
      </c>
      <c r="L307" s="1176" t="str">
        <f t="shared" si="5"/>
        <v>#DIV/0!</v>
      </c>
      <c r="M307" s="992" t="str">
        <f>IF(L307&lt;'PlayerGrades+'!$AE$21,"F-",IF(L307&lt;'PlayerGrades+'!$AE$20,"F",IF(L307&lt;'PlayerGrades+'!$AE$19,"F+",IF(L307&lt;'PlayerGrades+'!$AE$18,"E-",IF(L307&lt;'PlayerGrades+'!$AE$17,"E",IF(L307&lt;'PlayerGrades+'!$AE$16,"E+",IF(L307&lt;'PlayerGrades+'!$AE$15,"D-",IF(L307&lt;'PlayerGrades+'!$AE$14,"D",IF(L307&lt;'PlayerGrades+'!$AE$13,"D+",IF(L307&lt;'PlayerGrades+'!$AE$12,"C-",IF(L307&lt;'PlayerGrades+'!$AE$11,"C",IF(L307&lt;'PlayerGrades+'!$AE$10,"C+",IF(L307&lt;'PlayerGrades+'!$AE$9,"B-",IF(L307&lt;'PlayerGrades+'!$AE$8,"B",IF(L307&lt;'PlayerGrades+'!$AE$7,"B+",IF(L307&lt;'PlayerGrades+'!$AE$6,"A-",IF(L307&lt;'PlayerGrades+'!$AE$5,"A",IF(L307&lt;'PlayerGrades+'!$AE$4,"A+",IF(L307&lt;'PlayerGrades+'!$AE$3,"S-",IF(L307&lt;'PlayerGrades+'!$AE$2,"S","S+"))))))))))))))))))))</f>
        <v>#DIV/0!</v>
      </c>
      <c r="N307" s="961" t="str">
        <f t="shared" si="6"/>
        <v>#DIV/0!</v>
      </c>
      <c r="O307" s="961" t="str">
        <f>IF(N307&lt;'PlayerGrades+'!$AF$21,"F-",IF(N307&lt;'PlayerGrades+'!$AF$20,"F",IF(N307&lt;'PlayerGrades+'!$AF$19,"F+",IF(N307&lt;'PlayerGrades+'!$AF$18,"E-",IF(N307&lt;'PlayerGrades+'!$AF$17,"E",IF(N307&lt;'PlayerGrades+'!$AF$16,"E+",IF(N307&lt;'PlayerGrades+'!$AF$15,"D-",IF(N307&lt;'PlayerGrades+'!$AF$14,"D",IF(N307&lt;'PlayerGrades+'!$AF$13,"D+",IF(N307&lt;'PlayerGrades+'!$AF$12,"C-",IF(N307&lt;'PlayerGrades+'!$AF$11,"C",IF(N307&lt;'PlayerGrades+'!$AF$10,"C+",IF(N307&lt;'PlayerGrades+'!$AF$9,"B-",IF(N307&lt;'PlayerGrades+'!$AF$8,"B",IF(N307&lt;'PlayerGrades+'!$AF$7,"B+",IF(N307&lt;'PlayerGrades+'!$AF$6,"A-",IF(N307&lt;'PlayerGrades+'!$AF$5,"A",IF(N307&lt;'PlayerGrades+'!$AF$4,"A+",IF(N307&lt;'PlayerGrades+'!$AF$3,"S-",IF(N307&lt;'PlayerGrades+'!$AF$2,"S","S+"))))))))))))))))))))</f>
        <v>#DIV/0!</v>
      </c>
      <c r="P307" s="961" t="str">
        <f t="shared" si="7"/>
        <v>#DIV/0!</v>
      </c>
      <c r="Q307" s="961" t="str">
        <f>IF(P307&lt;'PlayerGrades+'!$AG$21,"F-",IF(P307&lt;'PlayerGrades+'!$AG$20,"F",IF(P307&lt;'PlayerGrades+'!$AG$19,"F+",IF(P307&lt;'PlayerGrades+'!$AG$18,"E-",IF(P307&lt;'PlayerGrades+'!$AG$17,"E",IF(P307&lt;'PlayerGrades+'!$AG$16,"E+",IF(P307&lt;'PlayerGrades+'!$AG$15,"D-",IF(P307&lt;'PlayerGrades+'!$AG$14,"D",IF(P307&lt;'PlayerGrades+'!$AG$13,"D+",IF(P307&lt;'PlayerGrades+'!$AG$12,"C-",IF(P307&lt;'PlayerGrades+'!$AG$11,"C",IF(P307&lt;'PlayerGrades+'!$AG$10,"C+",IF(P307&lt;'PlayerGrades+'!$AG$9,"B-",IF(P307&lt;'PlayerGrades+'!$AG$8,"B",IF(P307&lt;'PlayerGrades+'!$AG$7,"B+",IF(P307&lt;'PlayerGrades+'!$AG$6,"A-",IF(P307&lt;'PlayerGrades+'!$AG$5,"A",IF(P307&lt;'PlayerGrades+'!$AG$4,"A+",IF(P307&lt;'PlayerGrades+'!$AG$3,"S-",IF(P307&lt;'PlayerGrades+'!$AG$2,"S","S+"))))))))))))))))))))</f>
        <v>#DIV/0!</v>
      </c>
      <c r="R307" s="961" t="str">
        <f t="shared" si="8"/>
        <v>#DIV/0!</v>
      </c>
      <c r="S307" s="961" t="str">
        <f>IF(R307&lt;'PlayerGrades+'!$AH$21,"F-",IF(R307&lt;'PlayerGrades+'!$AH$20,"F",IF(R307&lt;'PlayerGrades+'!$AH$19,"F+",IF(R307&lt;'PlayerGrades+'!$AH$18,"E-",IF(R307&lt;'PlayerGrades+'!$AH$17,"E",IF(R307&lt;'PlayerGrades+'!$AH$16,"E+",IF(R307&lt;'PlayerGrades+'!$AH$15,"D-",IF(R307&lt;'PlayerGrades+'!$AH$14,"D",IF(R307&lt;'PlayerGrades+'!$AH$13,"D+",IF(R307&lt;'PlayerGrades+'!$AH$12,"C-",IF(R307&lt;'PlayerGrades+'!$AH$11,"C",IF(R307&lt;'PlayerGrades+'!$AH$10,"C+",IF(R307&lt;'PlayerGrades+'!$AH$9,"B-",IF(R307&lt;'PlayerGrades+'!$AH$8,"B",IF(R307&lt;'PlayerGrades+'!$AH$7,"B+",IF(R307&lt;'PlayerGrades+'!$AH$6,"A-",IF(R307&lt;'PlayerGrades+'!$AH$5,"A",IF(R307&lt;'PlayerGrades+'!$AH$4,"A+",IF(R307&lt;'PlayerGrades+'!$AH$3,"S-",IF(R307&lt;'PlayerGrades+'!$AH$2,"S","S+"))))))))))))))))))))</f>
        <v>#DIV/0!</v>
      </c>
      <c r="T307" s="961">
        <f t="shared" si="9"/>
        <v>0</v>
      </c>
      <c r="U307" s="961" t="str">
        <f>IF(T307&lt;'PlayerGrades+'!$AI$21,"F-",IF(T307&lt;'PlayerGrades+'!$AI$20,"F",IF(T307&lt;'PlayerGrades+'!$AI$19,"F+",IF(T307&lt;'PlayerGrades+'!$AI$18,"E-",IF(T307&lt;'PlayerGrades+'!$AI$17,"E",IF(T307&lt;'PlayerGrades+'!$AI$16,"E+",IF(T307&lt;'PlayerGrades+'!$AI$15,"D-",IF(T307&lt;'PlayerGrades+'!$AI$14,"D",IF(T307&lt;'PlayerGrades+'!$AI$13,"D+",IF(T307&lt;'PlayerGrades+'!$AI$12,"C-",IF(T307&lt;'PlayerGrades+'!$AI$11,"C",IF(T307&lt;'PlayerGrades+'!$AI$10,"C+",IF(T307&lt;'PlayerGrades+'!$AI$9,"B-",IF(T307&lt;'PlayerGrades+'!$AI$8,"B",IF(T307&lt;'PlayerGrades+'!$AI$7,"B+",IF(T307&lt;'PlayerGrades+'!$AI$6,"A-",IF(T307&lt;'PlayerGrades+'!$AI$5,"A",IF(T307&lt;'PlayerGrades+'!$AI$4,"A+",IF(T307&lt;'PlayerGrades+'!$AI$3,"S-",IF(T307&lt;'PlayerGrades+'!$AI$2,"S","S+"))))))))))))))))))))</f>
        <v>F-</v>
      </c>
      <c r="AC307" s="1392"/>
    </row>
    <row r="308">
      <c r="A308" s="1391"/>
      <c r="B308" s="611" t="str">
        <f>IF(C308&lt;'PlayerGrades+'!$Y$44,"F-",IF(C308&lt;'PlayerGrades+'!$Y$43,"F",IF(C308&lt;'PlayerGrades+'!$Y$42,"F+",IF(C308&lt;'PlayerGrades+'!$Y$41,"E-",IF(C308&lt;'PlayerGrades+'!$Y$40,"E",IF(C308&lt;'PlayerGrades+'!$Y$39,"E+",IF(C308&lt;'PlayerGrades+'!$Y$38,"D-",IF(C308&lt;'PlayerGrades+'!$Y$37,"D",IF(C308&lt;'PlayerGrades+'!$Y$36,"D+",IF(C308&lt;'PlayerGrades+'!$Y$35,"C-",IF(C308&lt;'PlayerGrades+'!$Y$34,"C",IF(C308&lt;'PlayerGrades+'!$Y$33,"C+",IF(C308&lt;'PlayerGrades+'!$Y$32,"B-",IF(C308&lt;'PlayerGrades+'!$Y$31,"B",IF(C308&lt;'PlayerGrades+'!$Y$30,"B+",IF(C308&lt;'PlayerGrades+'!$Y$29,"A-",IF(C308&lt;'PlayerGrades+'!$Y$28,"A",IF(C308&lt;'PlayerGrades+'!$Y$27,"A+",IF(C308&lt;'PlayerGrades+'!$Y$26,"S-",IF(C308&lt;'PlayerGrades+'!$Y$25,"S","S+"))))))))))))))))))))</f>
        <v>#DIV/0!</v>
      </c>
      <c r="C308" s="1378" t="str">
        <f>('PlayerGrades+'!$Y$47*(VLOOKUP(E308, 'PlayerGrades+'!$X$3:$Y$23, 2, FALSE)))+('PlayerGrades+'!$Y$48*(VLOOKUP(G308, 'PlayerGrades+'!$X$3:$Y$23, 2, FALSE)))+('PlayerGrades+'!$Y$49*(VLOOKUP(I308, 'PlayerGrades+'!$X$3:$Y$23, 2, FALSE)))+('PlayerGrades+'!$Y$50*(VLOOKUP(K308, 'PlayerGrades+'!$X$3:$Y$23, 2, FALSE)))+('PlayerGrades+'!$Y$51*(VLOOKUP(M308, 'PlayerGrades+'!$X$3:$Y$23, 2, FALSE)))+('PlayerGrades+'!$Y$52*(VLOOKUP(O308, 'PlayerGrades+'!$X$3:$Y$23, 2, FALSE)))+('PlayerGrades+'!$Y$53*(VLOOKUP(Q308, 'PlayerGrades+'!$X$3:$Y$23, 2, FALSE)))+('PlayerGrades+'!$Y$54*(VLOOKUP(S308, 'PlayerGrades+'!$X$3:$Y$23, 2, FALSE)))+('PlayerGrades+'!$Y$55*(VLOOKUP(U308, 'PlayerGrades+'!$X$3:$Y$23, 2, FALSE)))</f>
        <v>#DIV/0!</v>
      </c>
      <c r="D308" s="961" t="str">
        <f t="shared" si="1"/>
        <v>#DIV/0!</v>
      </c>
      <c r="E308" s="961" t="str">
        <f>IF(D308&lt;'PlayerGrades+'!$AA$21,"F-",IF(D308&lt;'PlayerGrades+'!$AA$20,"F",IF(D308&lt;'PlayerGrades+'!$AA$19,"F+",IF(D308&lt;'PlayerGrades+'!$AA$18,"E-",IF(D308&lt;'PlayerGrades+'!$AA$17,"E",IF(D308&lt;'PlayerGrades+'!$AA$16,"E+",IF(D308&lt;'PlayerGrades+'!$AA$15,"D-",IF(D308&lt;'PlayerGrades+'!$AA$14,"D",IF(D308&lt;'PlayerGrades+'!$AA$13,"D+",IF(D308&lt;'PlayerGrades+'!$AA$12,"C-",IF(D308&lt;'PlayerGrades+'!$AA$11,"C",IF(D308&lt;'PlayerGrades+'!$AA$10,"C+",IF(D308&lt;'PlayerGrades+'!$AA$9,"B-",IF(D308&lt;'PlayerGrades+'!$AA$8,"B",IF(D308&lt;'PlayerGrades+'!$AA$7,"B+",IF(D308&lt;'PlayerGrades+'!$AA$6,"A-",IF(D308&lt;'PlayerGrades+'!$AA$5,"A",IF(D308&lt;'PlayerGrades+'!$AA$4,"A+",IF(D308&lt;'PlayerGrades+'!$AA$3,"S-",IF(D308&lt;'PlayerGrades+'!$AA$2,"S","S+"))))))))))))))))))))</f>
        <v>#DIV/0!</v>
      </c>
      <c r="F308" s="961" t="str">
        <f t="shared" si="2"/>
        <v>#DIV/0!</v>
      </c>
      <c r="G308" s="961" t="str">
        <f>IF(F308&lt;'PlayerGrades+'!$AB$21,"F-",IF(F308&lt;'PlayerGrades+'!$AB$20,"F",IF(F308&lt;'PlayerGrades+'!$AB$19,"F+",IF(F308&lt;'PlayerGrades+'!$AB$18,"E-",IF(F308&lt;'PlayerGrades+'!$AB$17,"E",IF(F308&lt;'PlayerGrades+'!$AB$16,"E+",IF(F308&lt;'PlayerGrades+'!$AB$15,"D-",IF(F308&lt;'PlayerGrades+'!$AB$14,"D",IF(F308&lt;'PlayerGrades+'!$AB$13,"D+",IF(F308&lt;'PlayerGrades+'!$AB$12,"C-",IF(F308&lt;'PlayerGrades+'!$AB$11,"C",IF(F308&lt;'PlayerGrades+'!$AB$10,"C+",IF(F308&lt;'PlayerGrades+'!$AB$9,"B-",IF(F308&lt;'PlayerGrades+'!$AB$8,"B",IF(F308&lt;'PlayerGrades+'!$AB$7,"B+",IF(F308&lt;'PlayerGrades+'!$AB$6,"A-",IF(F308&lt;'PlayerGrades+'!$AB$5,"A",IF(F308&lt;'PlayerGrades+'!$AB$4,"A+",IF(F308&lt;'PlayerGrades+'!$AB$3,"S-",IF(F308&lt;'PlayerGrades+'!$AB$2,"S","S+"))))))))))))))))))))</f>
        <v>#DIV/0!</v>
      </c>
      <c r="H308" s="961" t="str">
        <f t="shared" si="3"/>
        <v>#DIV/0!</v>
      </c>
      <c r="I308" s="961" t="str">
        <f>IF(H308&lt;'PlayerGrades+'!$AC$21,"F-",IF(H308&lt;'PlayerGrades+'!$AC$20,"F",IF(H308&lt;'PlayerGrades+'!$AC$19,"F+",IF(H308&lt;'PlayerGrades+'!$AC$18,"E-",IF(H308&lt;'PlayerGrades+'!$AC$17,"E",IF(H308&lt;'PlayerGrades+'!$AC$16,"E+",IF(H308&lt;'PlayerGrades+'!$AC$15,"D-",IF(H308&lt;'PlayerGrades+'!$AC$14,"D",IF(H308&lt;'PlayerGrades+'!$AC$13,"D+",IF(H308&lt;'PlayerGrades+'!$AC$12,"C-",IF(H308&lt;'PlayerGrades+'!$AC$11,"C",IF(H308&lt;'PlayerGrades+'!$AC$10,"C+",IF(H308&lt;'PlayerGrades+'!$AC$9,"B-",IF(H308&lt;'PlayerGrades+'!$AC$8,"B",IF(H308&lt;'PlayerGrades+'!$AC$7,"B+",IF(H308&lt;'PlayerGrades+'!$AC$6,"A-",IF(H308&lt;'PlayerGrades+'!$AC$5,"A",IF(H308&lt;'PlayerGrades+'!$AC$4,"A+",IF(H308&lt;'PlayerGrades+'!$AC$3,"S-",IF(H308&lt;'PlayerGrades+'!$AC$2,"S","S+"))))))))))))))))))))</f>
        <v>#DIV/0!</v>
      </c>
      <c r="J308" s="961" t="str">
        <f t="shared" si="4"/>
        <v>#DIV/0!</v>
      </c>
      <c r="K308" s="961" t="str">
        <f>IF(J308&lt;'PlayerGrades+'!$AD$21,"F-",IF(J308&lt;'PlayerGrades+'!$AD$20,"F",IF(J308&lt;'PlayerGrades+'!$AD$19,"F+",IF(J308&lt;'PlayerGrades+'!$AD$18,"E-",IF(J308&lt;'PlayerGrades+'!$AD$17,"E",IF(J308&lt;'PlayerGrades+'!$AD$16,"E+",IF(J308&lt;'PlayerGrades+'!$AD$15,"D-",IF(J308&lt;'PlayerGrades+'!$AD$14,"D",IF(J308&lt;'PlayerGrades+'!$AD$13,"D+",IF(J308&lt;'PlayerGrades+'!$AD$12,"C-",IF(J308&lt;'PlayerGrades+'!$AD$11,"C",IF(J308&lt;'PlayerGrades+'!$AD$10,"C+",IF(J308&lt;'PlayerGrades+'!$AD$9,"B-",IF(J308&lt;'PlayerGrades+'!$AD$8,"B",IF(J308&lt;'PlayerGrades+'!$AD$7,"B+",IF(J308&lt;'PlayerGrades+'!$AD$6,"A-",IF(J308&lt;'PlayerGrades+'!$AD$5,"A",IF(J308&lt;'PlayerGrades+'!$AD$4,"A+",IF(J308&lt;'PlayerGrades+'!$AD$3,"S-",IF(J308&lt;'PlayerGrades+'!$AD$2,"S","S+"))))))))))))))))))))</f>
        <v>#DIV/0!</v>
      </c>
      <c r="L308" s="1176" t="str">
        <f t="shared" si="5"/>
        <v>#DIV/0!</v>
      </c>
      <c r="M308" s="992" t="str">
        <f>IF(L308&lt;'PlayerGrades+'!$AE$21,"F-",IF(L308&lt;'PlayerGrades+'!$AE$20,"F",IF(L308&lt;'PlayerGrades+'!$AE$19,"F+",IF(L308&lt;'PlayerGrades+'!$AE$18,"E-",IF(L308&lt;'PlayerGrades+'!$AE$17,"E",IF(L308&lt;'PlayerGrades+'!$AE$16,"E+",IF(L308&lt;'PlayerGrades+'!$AE$15,"D-",IF(L308&lt;'PlayerGrades+'!$AE$14,"D",IF(L308&lt;'PlayerGrades+'!$AE$13,"D+",IF(L308&lt;'PlayerGrades+'!$AE$12,"C-",IF(L308&lt;'PlayerGrades+'!$AE$11,"C",IF(L308&lt;'PlayerGrades+'!$AE$10,"C+",IF(L308&lt;'PlayerGrades+'!$AE$9,"B-",IF(L308&lt;'PlayerGrades+'!$AE$8,"B",IF(L308&lt;'PlayerGrades+'!$AE$7,"B+",IF(L308&lt;'PlayerGrades+'!$AE$6,"A-",IF(L308&lt;'PlayerGrades+'!$AE$5,"A",IF(L308&lt;'PlayerGrades+'!$AE$4,"A+",IF(L308&lt;'PlayerGrades+'!$AE$3,"S-",IF(L308&lt;'PlayerGrades+'!$AE$2,"S","S+"))))))))))))))))))))</f>
        <v>#DIV/0!</v>
      </c>
      <c r="N308" s="961" t="str">
        <f t="shared" si="6"/>
        <v>#DIV/0!</v>
      </c>
      <c r="O308" s="961" t="str">
        <f>IF(N308&lt;'PlayerGrades+'!$AF$21,"F-",IF(N308&lt;'PlayerGrades+'!$AF$20,"F",IF(N308&lt;'PlayerGrades+'!$AF$19,"F+",IF(N308&lt;'PlayerGrades+'!$AF$18,"E-",IF(N308&lt;'PlayerGrades+'!$AF$17,"E",IF(N308&lt;'PlayerGrades+'!$AF$16,"E+",IF(N308&lt;'PlayerGrades+'!$AF$15,"D-",IF(N308&lt;'PlayerGrades+'!$AF$14,"D",IF(N308&lt;'PlayerGrades+'!$AF$13,"D+",IF(N308&lt;'PlayerGrades+'!$AF$12,"C-",IF(N308&lt;'PlayerGrades+'!$AF$11,"C",IF(N308&lt;'PlayerGrades+'!$AF$10,"C+",IF(N308&lt;'PlayerGrades+'!$AF$9,"B-",IF(N308&lt;'PlayerGrades+'!$AF$8,"B",IF(N308&lt;'PlayerGrades+'!$AF$7,"B+",IF(N308&lt;'PlayerGrades+'!$AF$6,"A-",IF(N308&lt;'PlayerGrades+'!$AF$5,"A",IF(N308&lt;'PlayerGrades+'!$AF$4,"A+",IF(N308&lt;'PlayerGrades+'!$AF$3,"S-",IF(N308&lt;'PlayerGrades+'!$AF$2,"S","S+"))))))))))))))))))))</f>
        <v>#DIV/0!</v>
      </c>
      <c r="P308" s="961" t="str">
        <f t="shared" si="7"/>
        <v>#DIV/0!</v>
      </c>
      <c r="Q308" s="961" t="str">
        <f>IF(P308&lt;'PlayerGrades+'!$AG$21,"F-",IF(P308&lt;'PlayerGrades+'!$AG$20,"F",IF(P308&lt;'PlayerGrades+'!$AG$19,"F+",IF(P308&lt;'PlayerGrades+'!$AG$18,"E-",IF(P308&lt;'PlayerGrades+'!$AG$17,"E",IF(P308&lt;'PlayerGrades+'!$AG$16,"E+",IF(P308&lt;'PlayerGrades+'!$AG$15,"D-",IF(P308&lt;'PlayerGrades+'!$AG$14,"D",IF(P308&lt;'PlayerGrades+'!$AG$13,"D+",IF(P308&lt;'PlayerGrades+'!$AG$12,"C-",IF(P308&lt;'PlayerGrades+'!$AG$11,"C",IF(P308&lt;'PlayerGrades+'!$AG$10,"C+",IF(P308&lt;'PlayerGrades+'!$AG$9,"B-",IF(P308&lt;'PlayerGrades+'!$AG$8,"B",IF(P308&lt;'PlayerGrades+'!$AG$7,"B+",IF(P308&lt;'PlayerGrades+'!$AG$6,"A-",IF(P308&lt;'PlayerGrades+'!$AG$5,"A",IF(P308&lt;'PlayerGrades+'!$AG$4,"A+",IF(P308&lt;'PlayerGrades+'!$AG$3,"S-",IF(P308&lt;'PlayerGrades+'!$AG$2,"S","S+"))))))))))))))))))))</f>
        <v>#DIV/0!</v>
      </c>
      <c r="R308" s="961" t="str">
        <f t="shared" si="8"/>
        <v>#DIV/0!</v>
      </c>
      <c r="S308" s="961" t="str">
        <f>IF(R308&lt;'PlayerGrades+'!$AH$21,"F-",IF(R308&lt;'PlayerGrades+'!$AH$20,"F",IF(R308&lt;'PlayerGrades+'!$AH$19,"F+",IF(R308&lt;'PlayerGrades+'!$AH$18,"E-",IF(R308&lt;'PlayerGrades+'!$AH$17,"E",IF(R308&lt;'PlayerGrades+'!$AH$16,"E+",IF(R308&lt;'PlayerGrades+'!$AH$15,"D-",IF(R308&lt;'PlayerGrades+'!$AH$14,"D",IF(R308&lt;'PlayerGrades+'!$AH$13,"D+",IF(R308&lt;'PlayerGrades+'!$AH$12,"C-",IF(R308&lt;'PlayerGrades+'!$AH$11,"C",IF(R308&lt;'PlayerGrades+'!$AH$10,"C+",IF(R308&lt;'PlayerGrades+'!$AH$9,"B-",IF(R308&lt;'PlayerGrades+'!$AH$8,"B",IF(R308&lt;'PlayerGrades+'!$AH$7,"B+",IF(R308&lt;'PlayerGrades+'!$AH$6,"A-",IF(R308&lt;'PlayerGrades+'!$AH$5,"A",IF(R308&lt;'PlayerGrades+'!$AH$4,"A+",IF(R308&lt;'PlayerGrades+'!$AH$3,"S-",IF(R308&lt;'PlayerGrades+'!$AH$2,"S","S+"))))))))))))))))))))</f>
        <v>#DIV/0!</v>
      </c>
      <c r="T308" s="961">
        <f t="shared" si="9"/>
        <v>0</v>
      </c>
      <c r="U308" s="961" t="str">
        <f>IF(T308&lt;'PlayerGrades+'!$AI$21,"F-",IF(T308&lt;'PlayerGrades+'!$AI$20,"F",IF(T308&lt;'PlayerGrades+'!$AI$19,"F+",IF(T308&lt;'PlayerGrades+'!$AI$18,"E-",IF(T308&lt;'PlayerGrades+'!$AI$17,"E",IF(T308&lt;'PlayerGrades+'!$AI$16,"E+",IF(T308&lt;'PlayerGrades+'!$AI$15,"D-",IF(T308&lt;'PlayerGrades+'!$AI$14,"D",IF(T308&lt;'PlayerGrades+'!$AI$13,"D+",IF(T308&lt;'PlayerGrades+'!$AI$12,"C-",IF(T308&lt;'PlayerGrades+'!$AI$11,"C",IF(T308&lt;'PlayerGrades+'!$AI$10,"C+",IF(T308&lt;'PlayerGrades+'!$AI$9,"B-",IF(T308&lt;'PlayerGrades+'!$AI$8,"B",IF(T308&lt;'PlayerGrades+'!$AI$7,"B+",IF(T308&lt;'PlayerGrades+'!$AI$6,"A-",IF(T308&lt;'PlayerGrades+'!$AI$5,"A",IF(T308&lt;'PlayerGrades+'!$AI$4,"A+",IF(T308&lt;'PlayerGrades+'!$AI$3,"S-",IF(T308&lt;'PlayerGrades+'!$AI$2,"S","S+"))))))))))))))))))))</f>
        <v>F-</v>
      </c>
      <c r="AC308" s="1392"/>
    </row>
    <row r="309">
      <c r="A309" s="1391"/>
      <c r="B309" s="611" t="str">
        <f>IF(C309&lt;'PlayerGrades+'!$Y$44,"F-",IF(C309&lt;'PlayerGrades+'!$Y$43,"F",IF(C309&lt;'PlayerGrades+'!$Y$42,"F+",IF(C309&lt;'PlayerGrades+'!$Y$41,"E-",IF(C309&lt;'PlayerGrades+'!$Y$40,"E",IF(C309&lt;'PlayerGrades+'!$Y$39,"E+",IF(C309&lt;'PlayerGrades+'!$Y$38,"D-",IF(C309&lt;'PlayerGrades+'!$Y$37,"D",IF(C309&lt;'PlayerGrades+'!$Y$36,"D+",IF(C309&lt;'PlayerGrades+'!$Y$35,"C-",IF(C309&lt;'PlayerGrades+'!$Y$34,"C",IF(C309&lt;'PlayerGrades+'!$Y$33,"C+",IF(C309&lt;'PlayerGrades+'!$Y$32,"B-",IF(C309&lt;'PlayerGrades+'!$Y$31,"B",IF(C309&lt;'PlayerGrades+'!$Y$30,"B+",IF(C309&lt;'PlayerGrades+'!$Y$29,"A-",IF(C309&lt;'PlayerGrades+'!$Y$28,"A",IF(C309&lt;'PlayerGrades+'!$Y$27,"A+",IF(C309&lt;'PlayerGrades+'!$Y$26,"S-",IF(C309&lt;'PlayerGrades+'!$Y$25,"S","S+"))))))))))))))))))))</f>
        <v>#DIV/0!</v>
      </c>
      <c r="C309" s="1378" t="str">
        <f>('PlayerGrades+'!$Y$47*(VLOOKUP(E309, 'PlayerGrades+'!$X$3:$Y$23, 2, FALSE)))+('PlayerGrades+'!$Y$48*(VLOOKUP(G309, 'PlayerGrades+'!$X$3:$Y$23, 2, FALSE)))+('PlayerGrades+'!$Y$49*(VLOOKUP(I309, 'PlayerGrades+'!$X$3:$Y$23, 2, FALSE)))+('PlayerGrades+'!$Y$50*(VLOOKUP(K309, 'PlayerGrades+'!$X$3:$Y$23, 2, FALSE)))+('PlayerGrades+'!$Y$51*(VLOOKUP(M309, 'PlayerGrades+'!$X$3:$Y$23, 2, FALSE)))+('PlayerGrades+'!$Y$52*(VLOOKUP(O309, 'PlayerGrades+'!$X$3:$Y$23, 2, FALSE)))+('PlayerGrades+'!$Y$53*(VLOOKUP(Q309, 'PlayerGrades+'!$X$3:$Y$23, 2, FALSE)))+('PlayerGrades+'!$Y$54*(VLOOKUP(S309, 'PlayerGrades+'!$X$3:$Y$23, 2, FALSE)))+('PlayerGrades+'!$Y$55*(VLOOKUP(U309, 'PlayerGrades+'!$X$3:$Y$23, 2, FALSE)))</f>
        <v>#DIV/0!</v>
      </c>
      <c r="D309" s="961" t="str">
        <f t="shared" si="1"/>
        <v>#DIV/0!</v>
      </c>
      <c r="E309" s="961" t="str">
        <f>IF(D309&lt;'PlayerGrades+'!$AA$21,"F-",IF(D309&lt;'PlayerGrades+'!$AA$20,"F",IF(D309&lt;'PlayerGrades+'!$AA$19,"F+",IF(D309&lt;'PlayerGrades+'!$AA$18,"E-",IF(D309&lt;'PlayerGrades+'!$AA$17,"E",IF(D309&lt;'PlayerGrades+'!$AA$16,"E+",IF(D309&lt;'PlayerGrades+'!$AA$15,"D-",IF(D309&lt;'PlayerGrades+'!$AA$14,"D",IF(D309&lt;'PlayerGrades+'!$AA$13,"D+",IF(D309&lt;'PlayerGrades+'!$AA$12,"C-",IF(D309&lt;'PlayerGrades+'!$AA$11,"C",IF(D309&lt;'PlayerGrades+'!$AA$10,"C+",IF(D309&lt;'PlayerGrades+'!$AA$9,"B-",IF(D309&lt;'PlayerGrades+'!$AA$8,"B",IF(D309&lt;'PlayerGrades+'!$AA$7,"B+",IF(D309&lt;'PlayerGrades+'!$AA$6,"A-",IF(D309&lt;'PlayerGrades+'!$AA$5,"A",IF(D309&lt;'PlayerGrades+'!$AA$4,"A+",IF(D309&lt;'PlayerGrades+'!$AA$3,"S-",IF(D309&lt;'PlayerGrades+'!$AA$2,"S","S+"))))))))))))))))))))</f>
        <v>#DIV/0!</v>
      </c>
      <c r="F309" s="961" t="str">
        <f t="shared" si="2"/>
        <v>#DIV/0!</v>
      </c>
      <c r="G309" s="961" t="str">
        <f>IF(F309&lt;'PlayerGrades+'!$AB$21,"F-",IF(F309&lt;'PlayerGrades+'!$AB$20,"F",IF(F309&lt;'PlayerGrades+'!$AB$19,"F+",IF(F309&lt;'PlayerGrades+'!$AB$18,"E-",IF(F309&lt;'PlayerGrades+'!$AB$17,"E",IF(F309&lt;'PlayerGrades+'!$AB$16,"E+",IF(F309&lt;'PlayerGrades+'!$AB$15,"D-",IF(F309&lt;'PlayerGrades+'!$AB$14,"D",IF(F309&lt;'PlayerGrades+'!$AB$13,"D+",IF(F309&lt;'PlayerGrades+'!$AB$12,"C-",IF(F309&lt;'PlayerGrades+'!$AB$11,"C",IF(F309&lt;'PlayerGrades+'!$AB$10,"C+",IF(F309&lt;'PlayerGrades+'!$AB$9,"B-",IF(F309&lt;'PlayerGrades+'!$AB$8,"B",IF(F309&lt;'PlayerGrades+'!$AB$7,"B+",IF(F309&lt;'PlayerGrades+'!$AB$6,"A-",IF(F309&lt;'PlayerGrades+'!$AB$5,"A",IF(F309&lt;'PlayerGrades+'!$AB$4,"A+",IF(F309&lt;'PlayerGrades+'!$AB$3,"S-",IF(F309&lt;'PlayerGrades+'!$AB$2,"S","S+"))))))))))))))))))))</f>
        <v>#DIV/0!</v>
      </c>
      <c r="H309" s="961" t="str">
        <f t="shared" si="3"/>
        <v>#DIV/0!</v>
      </c>
      <c r="I309" s="961" t="str">
        <f>IF(H309&lt;'PlayerGrades+'!$AC$21,"F-",IF(H309&lt;'PlayerGrades+'!$AC$20,"F",IF(H309&lt;'PlayerGrades+'!$AC$19,"F+",IF(H309&lt;'PlayerGrades+'!$AC$18,"E-",IF(H309&lt;'PlayerGrades+'!$AC$17,"E",IF(H309&lt;'PlayerGrades+'!$AC$16,"E+",IF(H309&lt;'PlayerGrades+'!$AC$15,"D-",IF(H309&lt;'PlayerGrades+'!$AC$14,"D",IF(H309&lt;'PlayerGrades+'!$AC$13,"D+",IF(H309&lt;'PlayerGrades+'!$AC$12,"C-",IF(H309&lt;'PlayerGrades+'!$AC$11,"C",IF(H309&lt;'PlayerGrades+'!$AC$10,"C+",IF(H309&lt;'PlayerGrades+'!$AC$9,"B-",IF(H309&lt;'PlayerGrades+'!$AC$8,"B",IF(H309&lt;'PlayerGrades+'!$AC$7,"B+",IF(H309&lt;'PlayerGrades+'!$AC$6,"A-",IF(H309&lt;'PlayerGrades+'!$AC$5,"A",IF(H309&lt;'PlayerGrades+'!$AC$4,"A+",IF(H309&lt;'PlayerGrades+'!$AC$3,"S-",IF(H309&lt;'PlayerGrades+'!$AC$2,"S","S+"))))))))))))))))))))</f>
        <v>#DIV/0!</v>
      </c>
      <c r="J309" s="961" t="str">
        <f t="shared" si="4"/>
        <v>#DIV/0!</v>
      </c>
      <c r="K309" s="961" t="str">
        <f>IF(J309&lt;'PlayerGrades+'!$AD$21,"F-",IF(J309&lt;'PlayerGrades+'!$AD$20,"F",IF(J309&lt;'PlayerGrades+'!$AD$19,"F+",IF(J309&lt;'PlayerGrades+'!$AD$18,"E-",IF(J309&lt;'PlayerGrades+'!$AD$17,"E",IF(J309&lt;'PlayerGrades+'!$AD$16,"E+",IF(J309&lt;'PlayerGrades+'!$AD$15,"D-",IF(J309&lt;'PlayerGrades+'!$AD$14,"D",IF(J309&lt;'PlayerGrades+'!$AD$13,"D+",IF(J309&lt;'PlayerGrades+'!$AD$12,"C-",IF(J309&lt;'PlayerGrades+'!$AD$11,"C",IF(J309&lt;'PlayerGrades+'!$AD$10,"C+",IF(J309&lt;'PlayerGrades+'!$AD$9,"B-",IF(J309&lt;'PlayerGrades+'!$AD$8,"B",IF(J309&lt;'PlayerGrades+'!$AD$7,"B+",IF(J309&lt;'PlayerGrades+'!$AD$6,"A-",IF(J309&lt;'PlayerGrades+'!$AD$5,"A",IF(J309&lt;'PlayerGrades+'!$AD$4,"A+",IF(J309&lt;'PlayerGrades+'!$AD$3,"S-",IF(J309&lt;'PlayerGrades+'!$AD$2,"S","S+"))))))))))))))))))))</f>
        <v>#DIV/0!</v>
      </c>
      <c r="L309" s="1176" t="str">
        <f t="shared" si="5"/>
        <v>#DIV/0!</v>
      </c>
      <c r="M309" s="992" t="str">
        <f>IF(L309&lt;'PlayerGrades+'!$AE$21,"F-",IF(L309&lt;'PlayerGrades+'!$AE$20,"F",IF(L309&lt;'PlayerGrades+'!$AE$19,"F+",IF(L309&lt;'PlayerGrades+'!$AE$18,"E-",IF(L309&lt;'PlayerGrades+'!$AE$17,"E",IF(L309&lt;'PlayerGrades+'!$AE$16,"E+",IF(L309&lt;'PlayerGrades+'!$AE$15,"D-",IF(L309&lt;'PlayerGrades+'!$AE$14,"D",IF(L309&lt;'PlayerGrades+'!$AE$13,"D+",IF(L309&lt;'PlayerGrades+'!$AE$12,"C-",IF(L309&lt;'PlayerGrades+'!$AE$11,"C",IF(L309&lt;'PlayerGrades+'!$AE$10,"C+",IF(L309&lt;'PlayerGrades+'!$AE$9,"B-",IF(L309&lt;'PlayerGrades+'!$AE$8,"B",IF(L309&lt;'PlayerGrades+'!$AE$7,"B+",IF(L309&lt;'PlayerGrades+'!$AE$6,"A-",IF(L309&lt;'PlayerGrades+'!$AE$5,"A",IF(L309&lt;'PlayerGrades+'!$AE$4,"A+",IF(L309&lt;'PlayerGrades+'!$AE$3,"S-",IF(L309&lt;'PlayerGrades+'!$AE$2,"S","S+"))))))))))))))))))))</f>
        <v>#DIV/0!</v>
      </c>
      <c r="N309" s="961" t="str">
        <f t="shared" si="6"/>
        <v>#DIV/0!</v>
      </c>
      <c r="O309" s="961" t="str">
        <f>IF(N309&lt;'PlayerGrades+'!$AF$21,"F-",IF(N309&lt;'PlayerGrades+'!$AF$20,"F",IF(N309&lt;'PlayerGrades+'!$AF$19,"F+",IF(N309&lt;'PlayerGrades+'!$AF$18,"E-",IF(N309&lt;'PlayerGrades+'!$AF$17,"E",IF(N309&lt;'PlayerGrades+'!$AF$16,"E+",IF(N309&lt;'PlayerGrades+'!$AF$15,"D-",IF(N309&lt;'PlayerGrades+'!$AF$14,"D",IF(N309&lt;'PlayerGrades+'!$AF$13,"D+",IF(N309&lt;'PlayerGrades+'!$AF$12,"C-",IF(N309&lt;'PlayerGrades+'!$AF$11,"C",IF(N309&lt;'PlayerGrades+'!$AF$10,"C+",IF(N309&lt;'PlayerGrades+'!$AF$9,"B-",IF(N309&lt;'PlayerGrades+'!$AF$8,"B",IF(N309&lt;'PlayerGrades+'!$AF$7,"B+",IF(N309&lt;'PlayerGrades+'!$AF$6,"A-",IF(N309&lt;'PlayerGrades+'!$AF$5,"A",IF(N309&lt;'PlayerGrades+'!$AF$4,"A+",IF(N309&lt;'PlayerGrades+'!$AF$3,"S-",IF(N309&lt;'PlayerGrades+'!$AF$2,"S","S+"))))))))))))))))))))</f>
        <v>#DIV/0!</v>
      </c>
      <c r="P309" s="961" t="str">
        <f t="shared" si="7"/>
        <v>#DIV/0!</v>
      </c>
      <c r="Q309" s="961" t="str">
        <f>IF(P309&lt;'PlayerGrades+'!$AG$21,"F-",IF(P309&lt;'PlayerGrades+'!$AG$20,"F",IF(P309&lt;'PlayerGrades+'!$AG$19,"F+",IF(P309&lt;'PlayerGrades+'!$AG$18,"E-",IF(P309&lt;'PlayerGrades+'!$AG$17,"E",IF(P309&lt;'PlayerGrades+'!$AG$16,"E+",IF(P309&lt;'PlayerGrades+'!$AG$15,"D-",IF(P309&lt;'PlayerGrades+'!$AG$14,"D",IF(P309&lt;'PlayerGrades+'!$AG$13,"D+",IF(P309&lt;'PlayerGrades+'!$AG$12,"C-",IF(P309&lt;'PlayerGrades+'!$AG$11,"C",IF(P309&lt;'PlayerGrades+'!$AG$10,"C+",IF(P309&lt;'PlayerGrades+'!$AG$9,"B-",IF(P309&lt;'PlayerGrades+'!$AG$8,"B",IF(P309&lt;'PlayerGrades+'!$AG$7,"B+",IF(P309&lt;'PlayerGrades+'!$AG$6,"A-",IF(P309&lt;'PlayerGrades+'!$AG$5,"A",IF(P309&lt;'PlayerGrades+'!$AG$4,"A+",IF(P309&lt;'PlayerGrades+'!$AG$3,"S-",IF(P309&lt;'PlayerGrades+'!$AG$2,"S","S+"))))))))))))))))))))</f>
        <v>#DIV/0!</v>
      </c>
      <c r="R309" s="961" t="str">
        <f t="shared" si="8"/>
        <v>#DIV/0!</v>
      </c>
      <c r="S309" s="961" t="str">
        <f>IF(R309&lt;'PlayerGrades+'!$AH$21,"F-",IF(R309&lt;'PlayerGrades+'!$AH$20,"F",IF(R309&lt;'PlayerGrades+'!$AH$19,"F+",IF(R309&lt;'PlayerGrades+'!$AH$18,"E-",IF(R309&lt;'PlayerGrades+'!$AH$17,"E",IF(R309&lt;'PlayerGrades+'!$AH$16,"E+",IF(R309&lt;'PlayerGrades+'!$AH$15,"D-",IF(R309&lt;'PlayerGrades+'!$AH$14,"D",IF(R309&lt;'PlayerGrades+'!$AH$13,"D+",IF(R309&lt;'PlayerGrades+'!$AH$12,"C-",IF(R309&lt;'PlayerGrades+'!$AH$11,"C",IF(R309&lt;'PlayerGrades+'!$AH$10,"C+",IF(R309&lt;'PlayerGrades+'!$AH$9,"B-",IF(R309&lt;'PlayerGrades+'!$AH$8,"B",IF(R309&lt;'PlayerGrades+'!$AH$7,"B+",IF(R309&lt;'PlayerGrades+'!$AH$6,"A-",IF(R309&lt;'PlayerGrades+'!$AH$5,"A",IF(R309&lt;'PlayerGrades+'!$AH$4,"A+",IF(R309&lt;'PlayerGrades+'!$AH$3,"S-",IF(R309&lt;'PlayerGrades+'!$AH$2,"S","S+"))))))))))))))))))))</f>
        <v>#DIV/0!</v>
      </c>
      <c r="T309" s="961">
        <f t="shared" si="9"/>
        <v>0</v>
      </c>
      <c r="U309" s="961" t="str">
        <f>IF(T309&lt;'PlayerGrades+'!$AI$21,"F-",IF(T309&lt;'PlayerGrades+'!$AI$20,"F",IF(T309&lt;'PlayerGrades+'!$AI$19,"F+",IF(T309&lt;'PlayerGrades+'!$AI$18,"E-",IF(T309&lt;'PlayerGrades+'!$AI$17,"E",IF(T309&lt;'PlayerGrades+'!$AI$16,"E+",IF(T309&lt;'PlayerGrades+'!$AI$15,"D-",IF(T309&lt;'PlayerGrades+'!$AI$14,"D",IF(T309&lt;'PlayerGrades+'!$AI$13,"D+",IF(T309&lt;'PlayerGrades+'!$AI$12,"C-",IF(T309&lt;'PlayerGrades+'!$AI$11,"C",IF(T309&lt;'PlayerGrades+'!$AI$10,"C+",IF(T309&lt;'PlayerGrades+'!$AI$9,"B-",IF(T309&lt;'PlayerGrades+'!$AI$8,"B",IF(T309&lt;'PlayerGrades+'!$AI$7,"B+",IF(T309&lt;'PlayerGrades+'!$AI$6,"A-",IF(T309&lt;'PlayerGrades+'!$AI$5,"A",IF(T309&lt;'PlayerGrades+'!$AI$4,"A+",IF(T309&lt;'PlayerGrades+'!$AI$3,"S-",IF(T309&lt;'PlayerGrades+'!$AI$2,"S","S+"))))))))))))))))))))</f>
        <v>F-</v>
      </c>
      <c r="AC309" s="1392"/>
    </row>
    <row r="310">
      <c r="A310" s="1391"/>
      <c r="B310" s="611" t="str">
        <f>IF(C310&lt;'PlayerGrades+'!$Y$44,"F-",IF(C310&lt;'PlayerGrades+'!$Y$43,"F",IF(C310&lt;'PlayerGrades+'!$Y$42,"F+",IF(C310&lt;'PlayerGrades+'!$Y$41,"E-",IF(C310&lt;'PlayerGrades+'!$Y$40,"E",IF(C310&lt;'PlayerGrades+'!$Y$39,"E+",IF(C310&lt;'PlayerGrades+'!$Y$38,"D-",IF(C310&lt;'PlayerGrades+'!$Y$37,"D",IF(C310&lt;'PlayerGrades+'!$Y$36,"D+",IF(C310&lt;'PlayerGrades+'!$Y$35,"C-",IF(C310&lt;'PlayerGrades+'!$Y$34,"C",IF(C310&lt;'PlayerGrades+'!$Y$33,"C+",IF(C310&lt;'PlayerGrades+'!$Y$32,"B-",IF(C310&lt;'PlayerGrades+'!$Y$31,"B",IF(C310&lt;'PlayerGrades+'!$Y$30,"B+",IF(C310&lt;'PlayerGrades+'!$Y$29,"A-",IF(C310&lt;'PlayerGrades+'!$Y$28,"A",IF(C310&lt;'PlayerGrades+'!$Y$27,"A+",IF(C310&lt;'PlayerGrades+'!$Y$26,"S-",IF(C310&lt;'PlayerGrades+'!$Y$25,"S","S+"))))))))))))))))))))</f>
        <v>#DIV/0!</v>
      </c>
      <c r="C310" s="1378" t="str">
        <f>('PlayerGrades+'!$Y$47*(VLOOKUP(E310, 'PlayerGrades+'!$X$3:$Y$23, 2, FALSE)))+('PlayerGrades+'!$Y$48*(VLOOKUP(G310, 'PlayerGrades+'!$X$3:$Y$23, 2, FALSE)))+('PlayerGrades+'!$Y$49*(VLOOKUP(I310, 'PlayerGrades+'!$X$3:$Y$23, 2, FALSE)))+('PlayerGrades+'!$Y$50*(VLOOKUP(K310, 'PlayerGrades+'!$X$3:$Y$23, 2, FALSE)))+('PlayerGrades+'!$Y$51*(VLOOKUP(M310, 'PlayerGrades+'!$X$3:$Y$23, 2, FALSE)))+('PlayerGrades+'!$Y$52*(VLOOKUP(O310, 'PlayerGrades+'!$X$3:$Y$23, 2, FALSE)))+('PlayerGrades+'!$Y$53*(VLOOKUP(Q310, 'PlayerGrades+'!$X$3:$Y$23, 2, FALSE)))+('PlayerGrades+'!$Y$54*(VLOOKUP(S310, 'PlayerGrades+'!$X$3:$Y$23, 2, FALSE)))+('PlayerGrades+'!$Y$55*(VLOOKUP(U310, 'PlayerGrades+'!$X$3:$Y$23, 2, FALSE)))</f>
        <v>#DIV/0!</v>
      </c>
      <c r="D310" s="961" t="str">
        <f t="shared" si="1"/>
        <v>#DIV/0!</v>
      </c>
      <c r="E310" s="961" t="str">
        <f>IF(D310&lt;'PlayerGrades+'!$AA$21,"F-",IF(D310&lt;'PlayerGrades+'!$AA$20,"F",IF(D310&lt;'PlayerGrades+'!$AA$19,"F+",IF(D310&lt;'PlayerGrades+'!$AA$18,"E-",IF(D310&lt;'PlayerGrades+'!$AA$17,"E",IF(D310&lt;'PlayerGrades+'!$AA$16,"E+",IF(D310&lt;'PlayerGrades+'!$AA$15,"D-",IF(D310&lt;'PlayerGrades+'!$AA$14,"D",IF(D310&lt;'PlayerGrades+'!$AA$13,"D+",IF(D310&lt;'PlayerGrades+'!$AA$12,"C-",IF(D310&lt;'PlayerGrades+'!$AA$11,"C",IF(D310&lt;'PlayerGrades+'!$AA$10,"C+",IF(D310&lt;'PlayerGrades+'!$AA$9,"B-",IF(D310&lt;'PlayerGrades+'!$AA$8,"B",IF(D310&lt;'PlayerGrades+'!$AA$7,"B+",IF(D310&lt;'PlayerGrades+'!$AA$6,"A-",IF(D310&lt;'PlayerGrades+'!$AA$5,"A",IF(D310&lt;'PlayerGrades+'!$AA$4,"A+",IF(D310&lt;'PlayerGrades+'!$AA$3,"S-",IF(D310&lt;'PlayerGrades+'!$AA$2,"S","S+"))))))))))))))))))))</f>
        <v>#DIV/0!</v>
      </c>
      <c r="F310" s="961" t="str">
        <f t="shared" si="2"/>
        <v>#DIV/0!</v>
      </c>
      <c r="G310" s="961" t="str">
        <f>IF(F310&lt;'PlayerGrades+'!$AB$21,"F-",IF(F310&lt;'PlayerGrades+'!$AB$20,"F",IF(F310&lt;'PlayerGrades+'!$AB$19,"F+",IF(F310&lt;'PlayerGrades+'!$AB$18,"E-",IF(F310&lt;'PlayerGrades+'!$AB$17,"E",IF(F310&lt;'PlayerGrades+'!$AB$16,"E+",IF(F310&lt;'PlayerGrades+'!$AB$15,"D-",IF(F310&lt;'PlayerGrades+'!$AB$14,"D",IF(F310&lt;'PlayerGrades+'!$AB$13,"D+",IF(F310&lt;'PlayerGrades+'!$AB$12,"C-",IF(F310&lt;'PlayerGrades+'!$AB$11,"C",IF(F310&lt;'PlayerGrades+'!$AB$10,"C+",IF(F310&lt;'PlayerGrades+'!$AB$9,"B-",IF(F310&lt;'PlayerGrades+'!$AB$8,"B",IF(F310&lt;'PlayerGrades+'!$AB$7,"B+",IF(F310&lt;'PlayerGrades+'!$AB$6,"A-",IF(F310&lt;'PlayerGrades+'!$AB$5,"A",IF(F310&lt;'PlayerGrades+'!$AB$4,"A+",IF(F310&lt;'PlayerGrades+'!$AB$3,"S-",IF(F310&lt;'PlayerGrades+'!$AB$2,"S","S+"))))))))))))))))))))</f>
        <v>#DIV/0!</v>
      </c>
      <c r="H310" s="961" t="str">
        <f t="shared" si="3"/>
        <v>#DIV/0!</v>
      </c>
      <c r="I310" s="961" t="str">
        <f>IF(H310&lt;'PlayerGrades+'!$AC$21,"F-",IF(H310&lt;'PlayerGrades+'!$AC$20,"F",IF(H310&lt;'PlayerGrades+'!$AC$19,"F+",IF(H310&lt;'PlayerGrades+'!$AC$18,"E-",IF(H310&lt;'PlayerGrades+'!$AC$17,"E",IF(H310&lt;'PlayerGrades+'!$AC$16,"E+",IF(H310&lt;'PlayerGrades+'!$AC$15,"D-",IF(H310&lt;'PlayerGrades+'!$AC$14,"D",IF(H310&lt;'PlayerGrades+'!$AC$13,"D+",IF(H310&lt;'PlayerGrades+'!$AC$12,"C-",IF(H310&lt;'PlayerGrades+'!$AC$11,"C",IF(H310&lt;'PlayerGrades+'!$AC$10,"C+",IF(H310&lt;'PlayerGrades+'!$AC$9,"B-",IF(H310&lt;'PlayerGrades+'!$AC$8,"B",IF(H310&lt;'PlayerGrades+'!$AC$7,"B+",IF(H310&lt;'PlayerGrades+'!$AC$6,"A-",IF(H310&lt;'PlayerGrades+'!$AC$5,"A",IF(H310&lt;'PlayerGrades+'!$AC$4,"A+",IF(H310&lt;'PlayerGrades+'!$AC$3,"S-",IF(H310&lt;'PlayerGrades+'!$AC$2,"S","S+"))))))))))))))))))))</f>
        <v>#DIV/0!</v>
      </c>
      <c r="J310" s="961" t="str">
        <f t="shared" si="4"/>
        <v>#DIV/0!</v>
      </c>
      <c r="K310" s="961" t="str">
        <f>IF(J310&lt;'PlayerGrades+'!$AD$21,"F-",IF(J310&lt;'PlayerGrades+'!$AD$20,"F",IF(J310&lt;'PlayerGrades+'!$AD$19,"F+",IF(J310&lt;'PlayerGrades+'!$AD$18,"E-",IF(J310&lt;'PlayerGrades+'!$AD$17,"E",IF(J310&lt;'PlayerGrades+'!$AD$16,"E+",IF(J310&lt;'PlayerGrades+'!$AD$15,"D-",IF(J310&lt;'PlayerGrades+'!$AD$14,"D",IF(J310&lt;'PlayerGrades+'!$AD$13,"D+",IF(J310&lt;'PlayerGrades+'!$AD$12,"C-",IF(J310&lt;'PlayerGrades+'!$AD$11,"C",IF(J310&lt;'PlayerGrades+'!$AD$10,"C+",IF(J310&lt;'PlayerGrades+'!$AD$9,"B-",IF(J310&lt;'PlayerGrades+'!$AD$8,"B",IF(J310&lt;'PlayerGrades+'!$AD$7,"B+",IF(J310&lt;'PlayerGrades+'!$AD$6,"A-",IF(J310&lt;'PlayerGrades+'!$AD$5,"A",IF(J310&lt;'PlayerGrades+'!$AD$4,"A+",IF(J310&lt;'PlayerGrades+'!$AD$3,"S-",IF(J310&lt;'PlayerGrades+'!$AD$2,"S","S+"))))))))))))))))))))</f>
        <v>#DIV/0!</v>
      </c>
      <c r="L310" s="1176" t="str">
        <f t="shared" si="5"/>
        <v>#DIV/0!</v>
      </c>
      <c r="M310" s="992" t="str">
        <f>IF(L310&lt;'PlayerGrades+'!$AE$21,"F-",IF(L310&lt;'PlayerGrades+'!$AE$20,"F",IF(L310&lt;'PlayerGrades+'!$AE$19,"F+",IF(L310&lt;'PlayerGrades+'!$AE$18,"E-",IF(L310&lt;'PlayerGrades+'!$AE$17,"E",IF(L310&lt;'PlayerGrades+'!$AE$16,"E+",IF(L310&lt;'PlayerGrades+'!$AE$15,"D-",IF(L310&lt;'PlayerGrades+'!$AE$14,"D",IF(L310&lt;'PlayerGrades+'!$AE$13,"D+",IF(L310&lt;'PlayerGrades+'!$AE$12,"C-",IF(L310&lt;'PlayerGrades+'!$AE$11,"C",IF(L310&lt;'PlayerGrades+'!$AE$10,"C+",IF(L310&lt;'PlayerGrades+'!$AE$9,"B-",IF(L310&lt;'PlayerGrades+'!$AE$8,"B",IF(L310&lt;'PlayerGrades+'!$AE$7,"B+",IF(L310&lt;'PlayerGrades+'!$AE$6,"A-",IF(L310&lt;'PlayerGrades+'!$AE$5,"A",IF(L310&lt;'PlayerGrades+'!$AE$4,"A+",IF(L310&lt;'PlayerGrades+'!$AE$3,"S-",IF(L310&lt;'PlayerGrades+'!$AE$2,"S","S+"))))))))))))))))))))</f>
        <v>#DIV/0!</v>
      </c>
      <c r="N310" s="961" t="str">
        <f t="shared" si="6"/>
        <v>#DIV/0!</v>
      </c>
      <c r="O310" s="961" t="str">
        <f>IF(N310&lt;'PlayerGrades+'!$AF$21,"F-",IF(N310&lt;'PlayerGrades+'!$AF$20,"F",IF(N310&lt;'PlayerGrades+'!$AF$19,"F+",IF(N310&lt;'PlayerGrades+'!$AF$18,"E-",IF(N310&lt;'PlayerGrades+'!$AF$17,"E",IF(N310&lt;'PlayerGrades+'!$AF$16,"E+",IF(N310&lt;'PlayerGrades+'!$AF$15,"D-",IF(N310&lt;'PlayerGrades+'!$AF$14,"D",IF(N310&lt;'PlayerGrades+'!$AF$13,"D+",IF(N310&lt;'PlayerGrades+'!$AF$12,"C-",IF(N310&lt;'PlayerGrades+'!$AF$11,"C",IF(N310&lt;'PlayerGrades+'!$AF$10,"C+",IF(N310&lt;'PlayerGrades+'!$AF$9,"B-",IF(N310&lt;'PlayerGrades+'!$AF$8,"B",IF(N310&lt;'PlayerGrades+'!$AF$7,"B+",IF(N310&lt;'PlayerGrades+'!$AF$6,"A-",IF(N310&lt;'PlayerGrades+'!$AF$5,"A",IF(N310&lt;'PlayerGrades+'!$AF$4,"A+",IF(N310&lt;'PlayerGrades+'!$AF$3,"S-",IF(N310&lt;'PlayerGrades+'!$AF$2,"S","S+"))))))))))))))))))))</f>
        <v>#DIV/0!</v>
      </c>
      <c r="P310" s="961" t="str">
        <f t="shared" si="7"/>
        <v>#DIV/0!</v>
      </c>
      <c r="Q310" s="961" t="str">
        <f>IF(P310&lt;'PlayerGrades+'!$AG$21,"F-",IF(P310&lt;'PlayerGrades+'!$AG$20,"F",IF(P310&lt;'PlayerGrades+'!$AG$19,"F+",IF(P310&lt;'PlayerGrades+'!$AG$18,"E-",IF(P310&lt;'PlayerGrades+'!$AG$17,"E",IF(P310&lt;'PlayerGrades+'!$AG$16,"E+",IF(P310&lt;'PlayerGrades+'!$AG$15,"D-",IF(P310&lt;'PlayerGrades+'!$AG$14,"D",IF(P310&lt;'PlayerGrades+'!$AG$13,"D+",IF(P310&lt;'PlayerGrades+'!$AG$12,"C-",IF(P310&lt;'PlayerGrades+'!$AG$11,"C",IF(P310&lt;'PlayerGrades+'!$AG$10,"C+",IF(P310&lt;'PlayerGrades+'!$AG$9,"B-",IF(P310&lt;'PlayerGrades+'!$AG$8,"B",IF(P310&lt;'PlayerGrades+'!$AG$7,"B+",IF(P310&lt;'PlayerGrades+'!$AG$6,"A-",IF(P310&lt;'PlayerGrades+'!$AG$5,"A",IF(P310&lt;'PlayerGrades+'!$AG$4,"A+",IF(P310&lt;'PlayerGrades+'!$AG$3,"S-",IF(P310&lt;'PlayerGrades+'!$AG$2,"S","S+"))))))))))))))))))))</f>
        <v>#DIV/0!</v>
      </c>
      <c r="R310" s="961" t="str">
        <f t="shared" si="8"/>
        <v>#DIV/0!</v>
      </c>
      <c r="S310" s="961" t="str">
        <f>IF(R310&lt;'PlayerGrades+'!$AH$21,"F-",IF(R310&lt;'PlayerGrades+'!$AH$20,"F",IF(R310&lt;'PlayerGrades+'!$AH$19,"F+",IF(R310&lt;'PlayerGrades+'!$AH$18,"E-",IF(R310&lt;'PlayerGrades+'!$AH$17,"E",IF(R310&lt;'PlayerGrades+'!$AH$16,"E+",IF(R310&lt;'PlayerGrades+'!$AH$15,"D-",IF(R310&lt;'PlayerGrades+'!$AH$14,"D",IF(R310&lt;'PlayerGrades+'!$AH$13,"D+",IF(R310&lt;'PlayerGrades+'!$AH$12,"C-",IF(R310&lt;'PlayerGrades+'!$AH$11,"C",IF(R310&lt;'PlayerGrades+'!$AH$10,"C+",IF(R310&lt;'PlayerGrades+'!$AH$9,"B-",IF(R310&lt;'PlayerGrades+'!$AH$8,"B",IF(R310&lt;'PlayerGrades+'!$AH$7,"B+",IF(R310&lt;'PlayerGrades+'!$AH$6,"A-",IF(R310&lt;'PlayerGrades+'!$AH$5,"A",IF(R310&lt;'PlayerGrades+'!$AH$4,"A+",IF(R310&lt;'PlayerGrades+'!$AH$3,"S-",IF(R310&lt;'PlayerGrades+'!$AH$2,"S","S+"))))))))))))))))))))</f>
        <v>#DIV/0!</v>
      </c>
      <c r="T310" s="961">
        <f t="shared" si="9"/>
        <v>0</v>
      </c>
      <c r="U310" s="961" t="str">
        <f>IF(T310&lt;'PlayerGrades+'!$AI$21,"F-",IF(T310&lt;'PlayerGrades+'!$AI$20,"F",IF(T310&lt;'PlayerGrades+'!$AI$19,"F+",IF(T310&lt;'PlayerGrades+'!$AI$18,"E-",IF(T310&lt;'PlayerGrades+'!$AI$17,"E",IF(T310&lt;'PlayerGrades+'!$AI$16,"E+",IF(T310&lt;'PlayerGrades+'!$AI$15,"D-",IF(T310&lt;'PlayerGrades+'!$AI$14,"D",IF(T310&lt;'PlayerGrades+'!$AI$13,"D+",IF(T310&lt;'PlayerGrades+'!$AI$12,"C-",IF(T310&lt;'PlayerGrades+'!$AI$11,"C",IF(T310&lt;'PlayerGrades+'!$AI$10,"C+",IF(T310&lt;'PlayerGrades+'!$AI$9,"B-",IF(T310&lt;'PlayerGrades+'!$AI$8,"B",IF(T310&lt;'PlayerGrades+'!$AI$7,"B+",IF(T310&lt;'PlayerGrades+'!$AI$6,"A-",IF(T310&lt;'PlayerGrades+'!$AI$5,"A",IF(T310&lt;'PlayerGrades+'!$AI$4,"A+",IF(T310&lt;'PlayerGrades+'!$AI$3,"S-",IF(T310&lt;'PlayerGrades+'!$AI$2,"S","S+"))))))))))))))))))))</f>
        <v>F-</v>
      </c>
      <c r="AC310" s="1392"/>
    </row>
    <row r="311">
      <c r="A311" s="1391"/>
      <c r="B311" s="611" t="str">
        <f>IF(C311&lt;'PlayerGrades+'!$Y$44,"F-",IF(C311&lt;'PlayerGrades+'!$Y$43,"F",IF(C311&lt;'PlayerGrades+'!$Y$42,"F+",IF(C311&lt;'PlayerGrades+'!$Y$41,"E-",IF(C311&lt;'PlayerGrades+'!$Y$40,"E",IF(C311&lt;'PlayerGrades+'!$Y$39,"E+",IF(C311&lt;'PlayerGrades+'!$Y$38,"D-",IF(C311&lt;'PlayerGrades+'!$Y$37,"D",IF(C311&lt;'PlayerGrades+'!$Y$36,"D+",IF(C311&lt;'PlayerGrades+'!$Y$35,"C-",IF(C311&lt;'PlayerGrades+'!$Y$34,"C",IF(C311&lt;'PlayerGrades+'!$Y$33,"C+",IF(C311&lt;'PlayerGrades+'!$Y$32,"B-",IF(C311&lt;'PlayerGrades+'!$Y$31,"B",IF(C311&lt;'PlayerGrades+'!$Y$30,"B+",IF(C311&lt;'PlayerGrades+'!$Y$29,"A-",IF(C311&lt;'PlayerGrades+'!$Y$28,"A",IF(C311&lt;'PlayerGrades+'!$Y$27,"A+",IF(C311&lt;'PlayerGrades+'!$Y$26,"S-",IF(C311&lt;'PlayerGrades+'!$Y$25,"S","S+"))))))))))))))))))))</f>
        <v>#DIV/0!</v>
      </c>
      <c r="C311" s="1378" t="str">
        <f>('PlayerGrades+'!$Y$47*(VLOOKUP(E311, 'PlayerGrades+'!$X$3:$Y$23, 2, FALSE)))+('PlayerGrades+'!$Y$48*(VLOOKUP(G311, 'PlayerGrades+'!$X$3:$Y$23, 2, FALSE)))+('PlayerGrades+'!$Y$49*(VLOOKUP(I311, 'PlayerGrades+'!$X$3:$Y$23, 2, FALSE)))+('PlayerGrades+'!$Y$50*(VLOOKUP(K311, 'PlayerGrades+'!$X$3:$Y$23, 2, FALSE)))+('PlayerGrades+'!$Y$51*(VLOOKUP(M311, 'PlayerGrades+'!$X$3:$Y$23, 2, FALSE)))+('PlayerGrades+'!$Y$52*(VLOOKUP(O311, 'PlayerGrades+'!$X$3:$Y$23, 2, FALSE)))+('PlayerGrades+'!$Y$53*(VLOOKUP(Q311, 'PlayerGrades+'!$X$3:$Y$23, 2, FALSE)))+('PlayerGrades+'!$Y$54*(VLOOKUP(S311, 'PlayerGrades+'!$X$3:$Y$23, 2, FALSE)))+('PlayerGrades+'!$Y$55*(VLOOKUP(U311, 'PlayerGrades+'!$X$3:$Y$23, 2, FALSE)))</f>
        <v>#DIV/0!</v>
      </c>
      <c r="D311" s="961" t="str">
        <f t="shared" si="1"/>
        <v>#DIV/0!</v>
      </c>
      <c r="E311" s="961" t="str">
        <f>IF(D311&lt;'PlayerGrades+'!$AA$21,"F-",IF(D311&lt;'PlayerGrades+'!$AA$20,"F",IF(D311&lt;'PlayerGrades+'!$AA$19,"F+",IF(D311&lt;'PlayerGrades+'!$AA$18,"E-",IF(D311&lt;'PlayerGrades+'!$AA$17,"E",IF(D311&lt;'PlayerGrades+'!$AA$16,"E+",IF(D311&lt;'PlayerGrades+'!$AA$15,"D-",IF(D311&lt;'PlayerGrades+'!$AA$14,"D",IF(D311&lt;'PlayerGrades+'!$AA$13,"D+",IF(D311&lt;'PlayerGrades+'!$AA$12,"C-",IF(D311&lt;'PlayerGrades+'!$AA$11,"C",IF(D311&lt;'PlayerGrades+'!$AA$10,"C+",IF(D311&lt;'PlayerGrades+'!$AA$9,"B-",IF(D311&lt;'PlayerGrades+'!$AA$8,"B",IF(D311&lt;'PlayerGrades+'!$AA$7,"B+",IF(D311&lt;'PlayerGrades+'!$AA$6,"A-",IF(D311&lt;'PlayerGrades+'!$AA$5,"A",IF(D311&lt;'PlayerGrades+'!$AA$4,"A+",IF(D311&lt;'PlayerGrades+'!$AA$3,"S-",IF(D311&lt;'PlayerGrades+'!$AA$2,"S","S+"))))))))))))))))))))</f>
        <v>#DIV/0!</v>
      </c>
      <c r="F311" s="961" t="str">
        <f t="shared" si="2"/>
        <v>#DIV/0!</v>
      </c>
      <c r="G311" s="961" t="str">
        <f>IF(F311&lt;'PlayerGrades+'!$AB$21,"F-",IF(F311&lt;'PlayerGrades+'!$AB$20,"F",IF(F311&lt;'PlayerGrades+'!$AB$19,"F+",IF(F311&lt;'PlayerGrades+'!$AB$18,"E-",IF(F311&lt;'PlayerGrades+'!$AB$17,"E",IF(F311&lt;'PlayerGrades+'!$AB$16,"E+",IF(F311&lt;'PlayerGrades+'!$AB$15,"D-",IF(F311&lt;'PlayerGrades+'!$AB$14,"D",IF(F311&lt;'PlayerGrades+'!$AB$13,"D+",IF(F311&lt;'PlayerGrades+'!$AB$12,"C-",IF(F311&lt;'PlayerGrades+'!$AB$11,"C",IF(F311&lt;'PlayerGrades+'!$AB$10,"C+",IF(F311&lt;'PlayerGrades+'!$AB$9,"B-",IF(F311&lt;'PlayerGrades+'!$AB$8,"B",IF(F311&lt;'PlayerGrades+'!$AB$7,"B+",IF(F311&lt;'PlayerGrades+'!$AB$6,"A-",IF(F311&lt;'PlayerGrades+'!$AB$5,"A",IF(F311&lt;'PlayerGrades+'!$AB$4,"A+",IF(F311&lt;'PlayerGrades+'!$AB$3,"S-",IF(F311&lt;'PlayerGrades+'!$AB$2,"S","S+"))))))))))))))))))))</f>
        <v>#DIV/0!</v>
      </c>
      <c r="H311" s="961" t="str">
        <f t="shared" si="3"/>
        <v>#DIV/0!</v>
      </c>
      <c r="I311" s="961" t="str">
        <f>IF(H311&lt;'PlayerGrades+'!$AC$21,"F-",IF(H311&lt;'PlayerGrades+'!$AC$20,"F",IF(H311&lt;'PlayerGrades+'!$AC$19,"F+",IF(H311&lt;'PlayerGrades+'!$AC$18,"E-",IF(H311&lt;'PlayerGrades+'!$AC$17,"E",IF(H311&lt;'PlayerGrades+'!$AC$16,"E+",IF(H311&lt;'PlayerGrades+'!$AC$15,"D-",IF(H311&lt;'PlayerGrades+'!$AC$14,"D",IF(H311&lt;'PlayerGrades+'!$AC$13,"D+",IF(H311&lt;'PlayerGrades+'!$AC$12,"C-",IF(H311&lt;'PlayerGrades+'!$AC$11,"C",IF(H311&lt;'PlayerGrades+'!$AC$10,"C+",IF(H311&lt;'PlayerGrades+'!$AC$9,"B-",IF(H311&lt;'PlayerGrades+'!$AC$8,"B",IF(H311&lt;'PlayerGrades+'!$AC$7,"B+",IF(H311&lt;'PlayerGrades+'!$AC$6,"A-",IF(H311&lt;'PlayerGrades+'!$AC$5,"A",IF(H311&lt;'PlayerGrades+'!$AC$4,"A+",IF(H311&lt;'PlayerGrades+'!$AC$3,"S-",IF(H311&lt;'PlayerGrades+'!$AC$2,"S","S+"))))))))))))))))))))</f>
        <v>#DIV/0!</v>
      </c>
      <c r="J311" s="961" t="str">
        <f t="shared" si="4"/>
        <v>#DIV/0!</v>
      </c>
      <c r="K311" s="961" t="str">
        <f>IF(J311&lt;'PlayerGrades+'!$AD$21,"F-",IF(J311&lt;'PlayerGrades+'!$AD$20,"F",IF(J311&lt;'PlayerGrades+'!$AD$19,"F+",IF(J311&lt;'PlayerGrades+'!$AD$18,"E-",IF(J311&lt;'PlayerGrades+'!$AD$17,"E",IF(J311&lt;'PlayerGrades+'!$AD$16,"E+",IF(J311&lt;'PlayerGrades+'!$AD$15,"D-",IF(J311&lt;'PlayerGrades+'!$AD$14,"D",IF(J311&lt;'PlayerGrades+'!$AD$13,"D+",IF(J311&lt;'PlayerGrades+'!$AD$12,"C-",IF(J311&lt;'PlayerGrades+'!$AD$11,"C",IF(J311&lt;'PlayerGrades+'!$AD$10,"C+",IF(J311&lt;'PlayerGrades+'!$AD$9,"B-",IF(J311&lt;'PlayerGrades+'!$AD$8,"B",IF(J311&lt;'PlayerGrades+'!$AD$7,"B+",IF(J311&lt;'PlayerGrades+'!$AD$6,"A-",IF(J311&lt;'PlayerGrades+'!$AD$5,"A",IF(J311&lt;'PlayerGrades+'!$AD$4,"A+",IF(J311&lt;'PlayerGrades+'!$AD$3,"S-",IF(J311&lt;'PlayerGrades+'!$AD$2,"S","S+"))))))))))))))))))))</f>
        <v>#DIV/0!</v>
      </c>
      <c r="L311" s="1176" t="str">
        <f t="shared" si="5"/>
        <v>#DIV/0!</v>
      </c>
      <c r="M311" s="992" t="str">
        <f>IF(L311&lt;'PlayerGrades+'!$AE$21,"F-",IF(L311&lt;'PlayerGrades+'!$AE$20,"F",IF(L311&lt;'PlayerGrades+'!$AE$19,"F+",IF(L311&lt;'PlayerGrades+'!$AE$18,"E-",IF(L311&lt;'PlayerGrades+'!$AE$17,"E",IF(L311&lt;'PlayerGrades+'!$AE$16,"E+",IF(L311&lt;'PlayerGrades+'!$AE$15,"D-",IF(L311&lt;'PlayerGrades+'!$AE$14,"D",IF(L311&lt;'PlayerGrades+'!$AE$13,"D+",IF(L311&lt;'PlayerGrades+'!$AE$12,"C-",IF(L311&lt;'PlayerGrades+'!$AE$11,"C",IF(L311&lt;'PlayerGrades+'!$AE$10,"C+",IF(L311&lt;'PlayerGrades+'!$AE$9,"B-",IF(L311&lt;'PlayerGrades+'!$AE$8,"B",IF(L311&lt;'PlayerGrades+'!$AE$7,"B+",IF(L311&lt;'PlayerGrades+'!$AE$6,"A-",IF(L311&lt;'PlayerGrades+'!$AE$5,"A",IF(L311&lt;'PlayerGrades+'!$AE$4,"A+",IF(L311&lt;'PlayerGrades+'!$AE$3,"S-",IF(L311&lt;'PlayerGrades+'!$AE$2,"S","S+"))))))))))))))))))))</f>
        <v>#DIV/0!</v>
      </c>
      <c r="N311" s="961" t="str">
        <f t="shared" si="6"/>
        <v>#DIV/0!</v>
      </c>
      <c r="O311" s="961" t="str">
        <f>IF(N311&lt;'PlayerGrades+'!$AF$21,"F-",IF(N311&lt;'PlayerGrades+'!$AF$20,"F",IF(N311&lt;'PlayerGrades+'!$AF$19,"F+",IF(N311&lt;'PlayerGrades+'!$AF$18,"E-",IF(N311&lt;'PlayerGrades+'!$AF$17,"E",IF(N311&lt;'PlayerGrades+'!$AF$16,"E+",IF(N311&lt;'PlayerGrades+'!$AF$15,"D-",IF(N311&lt;'PlayerGrades+'!$AF$14,"D",IF(N311&lt;'PlayerGrades+'!$AF$13,"D+",IF(N311&lt;'PlayerGrades+'!$AF$12,"C-",IF(N311&lt;'PlayerGrades+'!$AF$11,"C",IF(N311&lt;'PlayerGrades+'!$AF$10,"C+",IF(N311&lt;'PlayerGrades+'!$AF$9,"B-",IF(N311&lt;'PlayerGrades+'!$AF$8,"B",IF(N311&lt;'PlayerGrades+'!$AF$7,"B+",IF(N311&lt;'PlayerGrades+'!$AF$6,"A-",IF(N311&lt;'PlayerGrades+'!$AF$5,"A",IF(N311&lt;'PlayerGrades+'!$AF$4,"A+",IF(N311&lt;'PlayerGrades+'!$AF$3,"S-",IF(N311&lt;'PlayerGrades+'!$AF$2,"S","S+"))))))))))))))))))))</f>
        <v>#DIV/0!</v>
      </c>
      <c r="P311" s="961" t="str">
        <f t="shared" si="7"/>
        <v>#DIV/0!</v>
      </c>
      <c r="Q311" s="961" t="str">
        <f>IF(P311&lt;'PlayerGrades+'!$AG$21,"F-",IF(P311&lt;'PlayerGrades+'!$AG$20,"F",IF(P311&lt;'PlayerGrades+'!$AG$19,"F+",IF(P311&lt;'PlayerGrades+'!$AG$18,"E-",IF(P311&lt;'PlayerGrades+'!$AG$17,"E",IF(P311&lt;'PlayerGrades+'!$AG$16,"E+",IF(P311&lt;'PlayerGrades+'!$AG$15,"D-",IF(P311&lt;'PlayerGrades+'!$AG$14,"D",IF(P311&lt;'PlayerGrades+'!$AG$13,"D+",IF(P311&lt;'PlayerGrades+'!$AG$12,"C-",IF(P311&lt;'PlayerGrades+'!$AG$11,"C",IF(P311&lt;'PlayerGrades+'!$AG$10,"C+",IF(P311&lt;'PlayerGrades+'!$AG$9,"B-",IF(P311&lt;'PlayerGrades+'!$AG$8,"B",IF(P311&lt;'PlayerGrades+'!$AG$7,"B+",IF(P311&lt;'PlayerGrades+'!$AG$6,"A-",IF(P311&lt;'PlayerGrades+'!$AG$5,"A",IF(P311&lt;'PlayerGrades+'!$AG$4,"A+",IF(P311&lt;'PlayerGrades+'!$AG$3,"S-",IF(P311&lt;'PlayerGrades+'!$AG$2,"S","S+"))))))))))))))))))))</f>
        <v>#DIV/0!</v>
      </c>
      <c r="R311" s="961" t="str">
        <f t="shared" si="8"/>
        <v>#DIV/0!</v>
      </c>
      <c r="S311" s="961" t="str">
        <f>IF(R311&lt;'PlayerGrades+'!$AH$21,"F-",IF(R311&lt;'PlayerGrades+'!$AH$20,"F",IF(R311&lt;'PlayerGrades+'!$AH$19,"F+",IF(R311&lt;'PlayerGrades+'!$AH$18,"E-",IF(R311&lt;'PlayerGrades+'!$AH$17,"E",IF(R311&lt;'PlayerGrades+'!$AH$16,"E+",IF(R311&lt;'PlayerGrades+'!$AH$15,"D-",IF(R311&lt;'PlayerGrades+'!$AH$14,"D",IF(R311&lt;'PlayerGrades+'!$AH$13,"D+",IF(R311&lt;'PlayerGrades+'!$AH$12,"C-",IF(R311&lt;'PlayerGrades+'!$AH$11,"C",IF(R311&lt;'PlayerGrades+'!$AH$10,"C+",IF(R311&lt;'PlayerGrades+'!$AH$9,"B-",IF(R311&lt;'PlayerGrades+'!$AH$8,"B",IF(R311&lt;'PlayerGrades+'!$AH$7,"B+",IF(R311&lt;'PlayerGrades+'!$AH$6,"A-",IF(R311&lt;'PlayerGrades+'!$AH$5,"A",IF(R311&lt;'PlayerGrades+'!$AH$4,"A+",IF(R311&lt;'PlayerGrades+'!$AH$3,"S-",IF(R311&lt;'PlayerGrades+'!$AH$2,"S","S+"))))))))))))))))))))</f>
        <v>#DIV/0!</v>
      </c>
      <c r="T311" s="961">
        <f t="shared" si="9"/>
        <v>0</v>
      </c>
      <c r="U311" s="961" t="str">
        <f>IF(T311&lt;'PlayerGrades+'!$AI$21,"F-",IF(T311&lt;'PlayerGrades+'!$AI$20,"F",IF(T311&lt;'PlayerGrades+'!$AI$19,"F+",IF(T311&lt;'PlayerGrades+'!$AI$18,"E-",IF(T311&lt;'PlayerGrades+'!$AI$17,"E",IF(T311&lt;'PlayerGrades+'!$AI$16,"E+",IF(T311&lt;'PlayerGrades+'!$AI$15,"D-",IF(T311&lt;'PlayerGrades+'!$AI$14,"D",IF(T311&lt;'PlayerGrades+'!$AI$13,"D+",IF(T311&lt;'PlayerGrades+'!$AI$12,"C-",IF(T311&lt;'PlayerGrades+'!$AI$11,"C",IF(T311&lt;'PlayerGrades+'!$AI$10,"C+",IF(T311&lt;'PlayerGrades+'!$AI$9,"B-",IF(T311&lt;'PlayerGrades+'!$AI$8,"B",IF(T311&lt;'PlayerGrades+'!$AI$7,"B+",IF(T311&lt;'PlayerGrades+'!$AI$6,"A-",IF(T311&lt;'PlayerGrades+'!$AI$5,"A",IF(T311&lt;'PlayerGrades+'!$AI$4,"A+",IF(T311&lt;'PlayerGrades+'!$AI$3,"S-",IF(T311&lt;'PlayerGrades+'!$AI$2,"S","S+"))))))))))))))))))))</f>
        <v>F-</v>
      </c>
      <c r="AC311" s="1392"/>
    </row>
    <row r="312">
      <c r="A312" s="1391"/>
      <c r="B312" s="611" t="str">
        <f>IF(C312&lt;'PlayerGrades+'!$Y$44,"F-",IF(C312&lt;'PlayerGrades+'!$Y$43,"F",IF(C312&lt;'PlayerGrades+'!$Y$42,"F+",IF(C312&lt;'PlayerGrades+'!$Y$41,"E-",IF(C312&lt;'PlayerGrades+'!$Y$40,"E",IF(C312&lt;'PlayerGrades+'!$Y$39,"E+",IF(C312&lt;'PlayerGrades+'!$Y$38,"D-",IF(C312&lt;'PlayerGrades+'!$Y$37,"D",IF(C312&lt;'PlayerGrades+'!$Y$36,"D+",IF(C312&lt;'PlayerGrades+'!$Y$35,"C-",IF(C312&lt;'PlayerGrades+'!$Y$34,"C",IF(C312&lt;'PlayerGrades+'!$Y$33,"C+",IF(C312&lt;'PlayerGrades+'!$Y$32,"B-",IF(C312&lt;'PlayerGrades+'!$Y$31,"B",IF(C312&lt;'PlayerGrades+'!$Y$30,"B+",IF(C312&lt;'PlayerGrades+'!$Y$29,"A-",IF(C312&lt;'PlayerGrades+'!$Y$28,"A",IF(C312&lt;'PlayerGrades+'!$Y$27,"A+",IF(C312&lt;'PlayerGrades+'!$Y$26,"S-",IF(C312&lt;'PlayerGrades+'!$Y$25,"S","S+"))))))))))))))))))))</f>
        <v>#DIV/0!</v>
      </c>
      <c r="C312" s="1378" t="str">
        <f>('PlayerGrades+'!$Y$47*(VLOOKUP(E312, 'PlayerGrades+'!$X$3:$Y$23, 2, FALSE)))+('PlayerGrades+'!$Y$48*(VLOOKUP(G312, 'PlayerGrades+'!$X$3:$Y$23, 2, FALSE)))+('PlayerGrades+'!$Y$49*(VLOOKUP(I312, 'PlayerGrades+'!$X$3:$Y$23, 2, FALSE)))+('PlayerGrades+'!$Y$50*(VLOOKUP(K312, 'PlayerGrades+'!$X$3:$Y$23, 2, FALSE)))+('PlayerGrades+'!$Y$51*(VLOOKUP(M312, 'PlayerGrades+'!$X$3:$Y$23, 2, FALSE)))+('PlayerGrades+'!$Y$52*(VLOOKUP(O312, 'PlayerGrades+'!$X$3:$Y$23, 2, FALSE)))+('PlayerGrades+'!$Y$53*(VLOOKUP(Q312, 'PlayerGrades+'!$X$3:$Y$23, 2, FALSE)))+('PlayerGrades+'!$Y$54*(VLOOKUP(S312, 'PlayerGrades+'!$X$3:$Y$23, 2, FALSE)))+('PlayerGrades+'!$Y$55*(VLOOKUP(U312, 'PlayerGrades+'!$X$3:$Y$23, 2, FALSE)))</f>
        <v>#DIV/0!</v>
      </c>
      <c r="D312" s="961" t="str">
        <f t="shared" si="1"/>
        <v>#DIV/0!</v>
      </c>
      <c r="E312" s="961" t="str">
        <f>IF(D312&lt;'PlayerGrades+'!$AA$21,"F-",IF(D312&lt;'PlayerGrades+'!$AA$20,"F",IF(D312&lt;'PlayerGrades+'!$AA$19,"F+",IF(D312&lt;'PlayerGrades+'!$AA$18,"E-",IF(D312&lt;'PlayerGrades+'!$AA$17,"E",IF(D312&lt;'PlayerGrades+'!$AA$16,"E+",IF(D312&lt;'PlayerGrades+'!$AA$15,"D-",IF(D312&lt;'PlayerGrades+'!$AA$14,"D",IF(D312&lt;'PlayerGrades+'!$AA$13,"D+",IF(D312&lt;'PlayerGrades+'!$AA$12,"C-",IF(D312&lt;'PlayerGrades+'!$AA$11,"C",IF(D312&lt;'PlayerGrades+'!$AA$10,"C+",IF(D312&lt;'PlayerGrades+'!$AA$9,"B-",IF(D312&lt;'PlayerGrades+'!$AA$8,"B",IF(D312&lt;'PlayerGrades+'!$AA$7,"B+",IF(D312&lt;'PlayerGrades+'!$AA$6,"A-",IF(D312&lt;'PlayerGrades+'!$AA$5,"A",IF(D312&lt;'PlayerGrades+'!$AA$4,"A+",IF(D312&lt;'PlayerGrades+'!$AA$3,"S-",IF(D312&lt;'PlayerGrades+'!$AA$2,"S","S+"))))))))))))))))))))</f>
        <v>#DIV/0!</v>
      </c>
      <c r="F312" s="961" t="str">
        <f t="shared" si="2"/>
        <v>#DIV/0!</v>
      </c>
      <c r="G312" s="961" t="str">
        <f>IF(F312&lt;'PlayerGrades+'!$AB$21,"F-",IF(F312&lt;'PlayerGrades+'!$AB$20,"F",IF(F312&lt;'PlayerGrades+'!$AB$19,"F+",IF(F312&lt;'PlayerGrades+'!$AB$18,"E-",IF(F312&lt;'PlayerGrades+'!$AB$17,"E",IF(F312&lt;'PlayerGrades+'!$AB$16,"E+",IF(F312&lt;'PlayerGrades+'!$AB$15,"D-",IF(F312&lt;'PlayerGrades+'!$AB$14,"D",IF(F312&lt;'PlayerGrades+'!$AB$13,"D+",IF(F312&lt;'PlayerGrades+'!$AB$12,"C-",IF(F312&lt;'PlayerGrades+'!$AB$11,"C",IF(F312&lt;'PlayerGrades+'!$AB$10,"C+",IF(F312&lt;'PlayerGrades+'!$AB$9,"B-",IF(F312&lt;'PlayerGrades+'!$AB$8,"B",IF(F312&lt;'PlayerGrades+'!$AB$7,"B+",IF(F312&lt;'PlayerGrades+'!$AB$6,"A-",IF(F312&lt;'PlayerGrades+'!$AB$5,"A",IF(F312&lt;'PlayerGrades+'!$AB$4,"A+",IF(F312&lt;'PlayerGrades+'!$AB$3,"S-",IF(F312&lt;'PlayerGrades+'!$AB$2,"S","S+"))))))))))))))))))))</f>
        <v>#DIV/0!</v>
      </c>
      <c r="H312" s="961" t="str">
        <f t="shared" si="3"/>
        <v>#DIV/0!</v>
      </c>
      <c r="I312" s="961" t="str">
        <f>IF(H312&lt;'PlayerGrades+'!$AC$21,"F-",IF(H312&lt;'PlayerGrades+'!$AC$20,"F",IF(H312&lt;'PlayerGrades+'!$AC$19,"F+",IF(H312&lt;'PlayerGrades+'!$AC$18,"E-",IF(H312&lt;'PlayerGrades+'!$AC$17,"E",IF(H312&lt;'PlayerGrades+'!$AC$16,"E+",IF(H312&lt;'PlayerGrades+'!$AC$15,"D-",IF(H312&lt;'PlayerGrades+'!$AC$14,"D",IF(H312&lt;'PlayerGrades+'!$AC$13,"D+",IF(H312&lt;'PlayerGrades+'!$AC$12,"C-",IF(H312&lt;'PlayerGrades+'!$AC$11,"C",IF(H312&lt;'PlayerGrades+'!$AC$10,"C+",IF(H312&lt;'PlayerGrades+'!$AC$9,"B-",IF(H312&lt;'PlayerGrades+'!$AC$8,"B",IF(H312&lt;'PlayerGrades+'!$AC$7,"B+",IF(H312&lt;'PlayerGrades+'!$AC$6,"A-",IF(H312&lt;'PlayerGrades+'!$AC$5,"A",IF(H312&lt;'PlayerGrades+'!$AC$4,"A+",IF(H312&lt;'PlayerGrades+'!$AC$3,"S-",IF(H312&lt;'PlayerGrades+'!$AC$2,"S","S+"))))))))))))))))))))</f>
        <v>#DIV/0!</v>
      </c>
      <c r="J312" s="961" t="str">
        <f t="shared" si="4"/>
        <v>#DIV/0!</v>
      </c>
      <c r="K312" s="961" t="str">
        <f>IF(J312&lt;'PlayerGrades+'!$AD$21,"F-",IF(J312&lt;'PlayerGrades+'!$AD$20,"F",IF(J312&lt;'PlayerGrades+'!$AD$19,"F+",IF(J312&lt;'PlayerGrades+'!$AD$18,"E-",IF(J312&lt;'PlayerGrades+'!$AD$17,"E",IF(J312&lt;'PlayerGrades+'!$AD$16,"E+",IF(J312&lt;'PlayerGrades+'!$AD$15,"D-",IF(J312&lt;'PlayerGrades+'!$AD$14,"D",IF(J312&lt;'PlayerGrades+'!$AD$13,"D+",IF(J312&lt;'PlayerGrades+'!$AD$12,"C-",IF(J312&lt;'PlayerGrades+'!$AD$11,"C",IF(J312&lt;'PlayerGrades+'!$AD$10,"C+",IF(J312&lt;'PlayerGrades+'!$AD$9,"B-",IF(J312&lt;'PlayerGrades+'!$AD$8,"B",IF(J312&lt;'PlayerGrades+'!$AD$7,"B+",IF(J312&lt;'PlayerGrades+'!$AD$6,"A-",IF(J312&lt;'PlayerGrades+'!$AD$5,"A",IF(J312&lt;'PlayerGrades+'!$AD$4,"A+",IF(J312&lt;'PlayerGrades+'!$AD$3,"S-",IF(J312&lt;'PlayerGrades+'!$AD$2,"S","S+"))))))))))))))))))))</f>
        <v>#DIV/0!</v>
      </c>
      <c r="L312" s="1176" t="str">
        <f t="shared" si="5"/>
        <v>#DIV/0!</v>
      </c>
      <c r="M312" s="992" t="str">
        <f>IF(L312&lt;'PlayerGrades+'!$AE$21,"F-",IF(L312&lt;'PlayerGrades+'!$AE$20,"F",IF(L312&lt;'PlayerGrades+'!$AE$19,"F+",IF(L312&lt;'PlayerGrades+'!$AE$18,"E-",IF(L312&lt;'PlayerGrades+'!$AE$17,"E",IF(L312&lt;'PlayerGrades+'!$AE$16,"E+",IF(L312&lt;'PlayerGrades+'!$AE$15,"D-",IF(L312&lt;'PlayerGrades+'!$AE$14,"D",IF(L312&lt;'PlayerGrades+'!$AE$13,"D+",IF(L312&lt;'PlayerGrades+'!$AE$12,"C-",IF(L312&lt;'PlayerGrades+'!$AE$11,"C",IF(L312&lt;'PlayerGrades+'!$AE$10,"C+",IF(L312&lt;'PlayerGrades+'!$AE$9,"B-",IF(L312&lt;'PlayerGrades+'!$AE$8,"B",IF(L312&lt;'PlayerGrades+'!$AE$7,"B+",IF(L312&lt;'PlayerGrades+'!$AE$6,"A-",IF(L312&lt;'PlayerGrades+'!$AE$5,"A",IF(L312&lt;'PlayerGrades+'!$AE$4,"A+",IF(L312&lt;'PlayerGrades+'!$AE$3,"S-",IF(L312&lt;'PlayerGrades+'!$AE$2,"S","S+"))))))))))))))))))))</f>
        <v>#DIV/0!</v>
      </c>
      <c r="N312" s="961" t="str">
        <f t="shared" si="6"/>
        <v>#DIV/0!</v>
      </c>
      <c r="O312" s="961" t="str">
        <f>IF(N312&lt;'PlayerGrades+'!$AF$21,"F-",IF(N312&lt;'PlayerGrades+'!$AF$20,"F",IF(N312&lt;'PlayerGrades+'!$AF$19,"F+",IF(N312&lt;'PlayerGrades+'!$AF$18,"E-",IF(N312&lt;'PlayerGrades+'!$AF$17,"E",IF(N312&lt;'PlayerGrades+'!$AF$16,"E+",IF(N312&lt;'PlayerGrades+'!$AF$15,"D-",IF(N312&lt;'PlayerGrades+'!$AF$14,"D",IF(N312&lt;'PlayerGrades+'!$AF$13,"D+",IF(N312&lt;'PlayerGrades+'!$AF$12,"C-",IF(N312&lt;'PlayerGrades+'!$AF$11,"C",IF(N312&lt;'PlayerGrades+'!$AF$10,"C+",IF(N312&lt;'PlayerGrades+'!$AF$9,"B-",IF(N312&lt;'PlayerGrades+'!$AF$8,"B",IF(N312&lt;'PlayerGrades+'!$AF$7,"B+",IF(N312&lt;'PlayerGrades+'!$AF$6,"A-",IF(N312&lt;'PlayerGrades+'!$AF$5,"A",IF(N312&lt;'PlayerGrades+'!$AF$4,"A+",IF(N312&lt;'PlayerGrades+'!$AF$3,"S-",IF(N312&lt;'PlayerGrades+'!$AF$2,"S","S+"))))))))))))))))))))</f>
        <v>#DIV/0!</v>
      </c>
      <c r="P312" s="961" t="str">
        <f t="shared" si="7"/>
        <v>#DIV/0!</v>
      </c>
      <c r="Q312" s="961" t="str">
        <f>IF(P312&lt;'PlayerGrades+'!$AG$21,"F-",IF(P312&lt;'PlayerGrades+'!$AG$20,"F",IF(P312&lt;'PlayerGrades+'!$AG$19,"F+",IF(P312&lt;'PlayerGrades+'!$AG$18,"E-",IF(P312&lt;'PlayerGrades+'!$AG$17,"E",IF(P312&lt;'PlayerGrades+'!$AG$16,"E+",IF(P312&lt;'PlayerGrades+'!$AG$15,"D-",IF(P312&lt;'PlayerGrades+'!$AG$14,"D",IF(P312&lt;'PlayerGrades+'!$AG$13,"D+",IF(P312&lt;'PlayerGrades+'!$AG$12,"C-",IF(P312&lt;'PlayerGrades+'!$AG$11,"C",IF(P312&lt;'PlayerGrades+'!$AG$10,"C+",IF(P312&lt;'PlayerGrades+'!$AG$9,"B-",IF(P312&lt;'PlayerGrades+'!$AG$8,"B",IF(P312&lt;'PlayerGrades+'!$AG$7,"B+",IF(P312&lt;'PlayerGrades+'!$AG$6,"A-",IF(P312&lt;'PlayerGrades+'!$AG$5,"A",IF(P312&lt;'PlayerGrades+'!$AG$4,"A+",IF(P312&lt;'PlayerGrades+'!$AG$3,"S-",IF(P312&lt;'PlayerGrades+'!$AG$2,"S","S+"))))))))))))))))))))</f>
        <v>#DIV/0!</v>
      </c>
      <c r="R312" s="961" t="str">
        <f t="shared" si="8"/>
        <v>#DIV/0!</v>
      </c>
      <c r="S312" s="961" t="str">
        <f>IF(R312&lt;'PlayerGrades+'!$AH$21,"F-",IF(R312&lt;'PlayerGrades+'!$AH$20,"F",IF(R312&lt;'PlayerGrades+'!$AH$19,"F+",IF(R312&lt;'PlayerGrades+'!$AH$18,"E-",IF(R312&lt;'PlayerGrades+'!$AH$17,"E",IF(R312&lt;'PlayerGrades+'!$AH$16,"E+",IF(R312&lt;'PlayerGrades+'!$AH$15,"D-",IF(R312&lt;'PlayerGrades+'!$AH$14,"D",IF(R312&lt;'PlayerGrades+'!$AH$13,"D+",IF(R312&lt;'PlayerGrades+'!$AH$12,"C-",IF(R312&lt;'PlayerGrades+'!$AH$11,"C",IF(R312&lt;'PlayerGrades+'!$AH$10,"C+",IF(R312&lt;'PlayerGrades+'!$AH$9,"B-",IF(R312&lt;'PlayerGrades+'!$AH$8,"B",IF(R312&lt;'PlayerGrades+'!$AH$7,"B+",IF(R312&lt;'PlayerGrades+'!$AH$6,"A-",IF(R312&lt;'PlayerGrades+'!$AH$5,"A",IF(R312&lt;'PlayerGrades+'!$AH$4,"A+",IF(R312&lt;'PlayerGrades+'!$AH$3,"S-",IF(R312&lt;'PlayerGrades+'!$AH$2,"S","S+"))))))))))))))))))))</f>
        <v>#DIV/0!</v>
      </c>
      <c r="T312" s="961">
        <f t="shared" si="9"/>
        <v>0</v>
      </c>
      <c r="U312" s="961" t="str">
        <f>IF(T312&lt;'PlayerGrades+'!$AI$21,"F-",IF(T312&lt;'PlayerGrades+'!$AI$20,"F",IF(T312&lt;'PlayerGrades+'!$AI$19,"F+",IF(T312&lt;'PlayerGrades+'!$AI$18,"E-",IF(T312&lt;'PlayerGrades+'!$AI$17,"E",IF(T312&lt;'PlayerGrades+'!$AI$16,"E+",IF(T312&lt;'PlayerGrades+'!$AI$15,"D-",IF(T312&lt;'PlayerGrades+'!$AI$14,"D",IF(T312&lt;'PlayerGrades+'!$AI$13,"D+",IF(T312&lt;'PlayerGrades+'!$AI$12,"C-",IF(T312&lt;'PlayerGrades+'!$AI$11,"C",IF(T312&lt;'PlayerGrades+'!$AI$10,"C+",IF(T312&lt;'PlayerGrades+'!$AI$9,"B-",IF(T312&lt;'PlayerGrades+'!$AI$8,"B",IF(T312&lt;'PlayerGrades+'!$AI$7,"B+",IF(T312&lt;'PlayerGrades+'!$AI$6,"A-",IF(T312&lt;'PlayerGrades+'!$AI$5,"A",IF(T312&lt;'PlayerGrades+'!$AI$4,"A+",IF(T312&lt;'PlayerGrades+'!$AI$3,"S-",IF(T312&lt;'PlayerGrades+'!$AI$2,"S","S+"))))))))))))))))))))</f>
        <v>F-</v>
      </c>
      <c r="AC312" s="1392"/>
    </row>
    <row r="313">
      <c r="A313" s="1393"/>
      <c r="B313" s="611" t="str">
        <f>IF(C313&lt;'PlayerGrades+'!$Y$44,"F-",IF(C313&lt;'PlayerGrades+'!$Y$43,"F",IF(C313&lt;'PlayerGrades+'!$Y$42,"F+",IF(C313&lt;'PlayerGrades+'!$Y$41,"E-",IF(C313&lt;'PlayerGrades+'!$Y$40,"E",IF(C313&lt;'PlayerGrades+'!$Y$39,"E+",IF(C313&lt;'PlayerGrades+'!$Y$38,"D-",IF(C313&lt;'PlayerGrades+'!$Y$37,"D",IF(C313&lt;'PlayerGrades+'!$Y$36,"D+",IF(C313&lt;'PlayerGrades+'!$Y$35,"C-",IF(C313&lt;'PlayerGrades+'!$Y$34,"C",IF(C313&lt;'PlayerGrades+'!$Y$33,"C+",IF(C313&lt;'PlayerGrades+'!$Y$32,"B-",IF(C313&lt;'PlayerGrades+'!$Y$31,"B",IF(C313&lt;'PlayerGrades+'!$Y$30,"B+",IF(C313&lt;'PlayerGrades+'!$Y$29,"A-",IF(C313&lt;'PlayerGrades+'!$Y$28,"A",IF(C313&lt;'PlayerGrades+'!$Y$27,"A+",IF(C313&lt;'PlayerGrades+'!$Y$26,"S-",IF(C313&lt;'PlayerGrades+'!$Y$25,"S","S+"))))))))))))))))))))</f>
        <v>#DIV/0!</v>
      </c>
      <c r="C313" s="1378" t="str">
        <f>('PlayerGrades+'!$Y$47*(VLOOKUP(E313, 'PlayerGrades+'!$X$3:$Y$23, 2, FALSE)))+('PlayerGrades+'!$Y$48*(VLOOKUP(G313, 'PlayerGrades+'!$X$3:$Y$23, 2, FALSE)))+('PlayerGrades+'!$Y$49*(VLOOKUP(I313, 'PlayerGrades+'!$X$3:$Y$23, 2, FALSE)))+('PlayerGrades+'!$Y$50*(VLOOKUP(K313, 'PlayerGrades+'!$X$3:$Y$23, 2, FALSE)))+('PlayerGrades+'!$Y$51*(VLOOKUP(M313, 'PlayerGrades+'!$X$3:$Y$23, 2, FALSE)))+('PlayerGrades+'!$Y$52*(VLOOKUP(O313, 'PlayerGrades+'!$X$3:$Y$23, 2, FALSE)))+('PlayerGrades+'!$Y$53*(VLOOKUP(Q313, 'PlayerGrades+'!$X$3:$Y$23, 2, FALSE)))+('PlayerGrades+'!$Y$54*(VLOOKUP(S313, 'PlayerGrades+'!$X$3:$Y$23, 2, FALSE)))+('PlayerGrades+'!$Y$55*(VLOOKUP(U313, 'PlayerGrades+'!$X$3:$Y$23, 2, FALSE)))</f>
        <v>#DIV/0!</v>
      </c>
      <c r="D313" s="961" t="str">
        <f t="shared" si="1"/>
        <v>#DIV/0!</v>
      </c>
      <c r="E313" s="961" t="str">
        <f>IF(D313&lt;'PlayerGrades+'!$AA$21,"F-",IF(D313&lt;'PlayerGrades+'!$AA$20,"F",IF(D313&lt;'PlayerGrades+'!$AA$19,"F+",IF(D313&lt;'PlayerGrades+'!$AA$18,"E-",IF(D313&lt;'PlayerGrades+'!$AA$17,"E",IF(D313&lt;'PlayerGrades+'!$AA$16,"E+",IF(D313&lt;'PlayerGrades+'!$AA$15,"D-",IF(D313&lt;'PlayerGrades+'!$AA$14,"D",IF(D313&lt;'PlayerGrades+'!$AA$13,"D+",IF(D313&lt;'PlayerGrades+'!$AA$12,"C-",IF(D313&lt;'PlayerGrades+'!$AA$11,"C",IF(D313&lt;'PlayerGrades+'!$AA$10,"C+",IF(D313&lt;'PlayerGrades+'!$AA$9,"B-",IF(D313&lt;'PlayerGrades+'!$AA$8,"B",IF(D313&lt;'PlayerGrades+'!$AA$7,"B+",IF(D313&lt;'PlayerGrades+'!$AA$6,"A-",IF(D313&lt;'PlayerGrades+'!$AA$5,"A",IF(D313&lt;'PlayerGrades+'!$AA$4,"A+",IF(D313&lt;'PlayerGrades+'!$AA$3,"S-",IF(D313&lt;'PlayerGrades+'!$AA$2,"S","S+"))))))))))))))))))))</f>
        <v>#DIV/0!</v>
      </c>
      <c r="F313" s="961" t="str">
        <f t="shared" si="2"/>
        <v>#DIV/0!</v>
      </c>
      <c r="G313" s="961" t="str">
        <f>IF(F313&lt;'PlayerGrades+'!$AB$21,"F-",IF(F313&lt;'PlayerGrades+'!$AB$20,"F",IF(F313&lt;'PlayerGrades+'!$AB$19,"F+",IF(F313&lt;'PlayerGrades+'!$AB$18,"E-",IF(F313&lt;'PlayerGrades+'!$AB$17,"E",IF(F313&lt;'PlayerGrades+'!$AB$16,"E+",IF(F313&lt;'PlayerGrades+'!$AB$15,"D-",IF(F313&lt;'PlayerGrades+'!$AB$14,"D",IF(F313&lt;'PlayerGrades+'!$AB$13,"D+",IF(F313&lt;'PlayerGrades+'!$AB$12,"C-",IF(F313&lt;'PlayerGrades+'!$AB$11,"C",IF(F313&lt;'PlayerGrades+'!$AB$10,"C+",IF(F313&lt;'PlayerGrades+'!$AB$9,"B-",IF(F313&lt;'PlayerGrades+'!$AB$8,"B",IF(F313&lt;'PlayerGrades+'!$AB$7,"B+",IF(F313&lt;'PlayerGrades+'!$AB$6,"A-",IF(F313&lt;'PlayerGrades+'!$AB$5,"A",IF(F313&lt;'PlayerGrades+'!$AB$4,"A+",IF(F313&lt;'PlayerGrades+'!$AB$3,"S-",IF(F313&lt;'PlayerGrades+'!$AB$2,"S","S+"))))))))))))))))))))</f>
        <v>#DIV/0!</v>
      </c>
      <c r="H313" s="961" t="str">
        <f t="shared" si="3"/>
        <v>#DIV/0!</v>
      </c>
      <c r="I313" s="961" t="str">
        <f>IF(H313&lt;'PlayerGrades+'!$AC$21,"F-",IF(H313&lt;'PlayerGrades+'!$AC$20,"F",IF(H313&lt;'PlayerGrades+'!$AC$19,"F+",IF(H313&lt;'PlayerGrades+'!$AC$18,"E-",IF(H313&lt;'PlayerGrades+'!$AC$17,"E",IF(H313&lt;'PlayerGrades+'!$AC$16,"E+",IF(H313&lt;'PlayerGrades+'!$AC$15,"D-",IF(H313&lt;'PlayerGrades+'!$AC$14,"D",IF(H313&lt;'PlayerGrades+'!$AC$13,"D+",IF(H313&lt;'PlayerGrades+'!$AC$12,"C-",IF(H313&lt;'PlayerGrades+'!$AC$11,"C",IF(H313&lt;'PlayerGrades+'!$AC$10,"C+",IF(H313&lt;'PlayerGrades+'!$AC$9,"B-",IF(H313&lt;'PlayerGrades+'!$AC$8,"B",IF(H313&lt;'PlayerGrades+'!$AC$7,"B+",IF(H313&lt;'PlayerGrades+'!$AC$6,"A-",IF(H313&lt;'PlayerGrades+'!$AC$5,"A",IF(H313&lt;'PlayerGrades+'!$AC$4,"A+",IF(H313&lt;'PlayerGrades+'!$AC$3,"S-",IF(H313&lt;'PlayerGrades+'!$AC$2,"S","S+"))))))))))))))))))))</f>
        <v>#DIV/0!</v>
      </c>
      <c r="J313" s="961" t="str">
        <f t="shared" si="4"/>
        <v>#DIV/0!</v>
      </c>
      <c r="K313" s="961" t="str">
        <f>IF(J313&lt;'PlayerGrades+'!$AD$21,"F-",IF(J313&lt;'PlayerGrades+'!$AD$20,"F",IF(J313&lt;'PlayerGrades+'!$AD$19,"F+",IF(J313&lt;'PlayerGrades+'!$AD$18,"E-",IF(J313&lt;'PlayerGrades+'!$AD$17,"E",IF(J313&lt;'PlayerGrades+'!$AD$16,"E+",IF(J313&lt;'PlayerGrades+'!$AD$15,"D-",IF(J313&lt;'PlayerGrades+'!$AD$14,"D",IF(J313&lt;'PlayerGrades+'!$AD$13,"D+",IF(J313&lt;'PlayerGrades+'!$AD$12,"C-",IF(J313&lt;'PlayerGrades+'!$AD$11,"C",IF(J313&lt;'PlayerGrades+'!$AD$10,"C+",IF(J313&lt;'PlayerGrades+'!$AD$9,"B-",IF(J313&lt;'PlayerGrades+'!$AD$8,"B",IF(J313&lt;'PlayerGrades+'!$AD$7,"B+",IF(J313&lt;'PlayerGrades+'!$AD$6,"A-",IF(J313&lt;'PlayerGrades+'!$AD$5,"A",IF(J313&lt;'PlayerGrades+'!$AD$4,"A+",IF(J313&lt;'PlayerGrades+'!$AD$3,"S-",IF(J313&lt;'PlayerGrades+'!$AD$2,"S","S+"))))))))))))))))))))</f>
        <v>#DIV/0!</v>
      </c>
      <c r="L313" s="1176" t="str">
        <f t="shared" si="5"/>
        <v>#DIV/0!</v>
      </c>
      <c r="M313" s="992" t="str">
        <f>IF(L313&lt;'PlayerGrades+'!$AE$21,"F-",IF(L313&lt;'PlayerGrades+'!$AE$20,"F",IF(L313&lt;'PlayerGrades+'!$AE$19,"F+",IF(L313&lt;'PlayerGrades+'!$AE$18,"E-",IF(L313&lt;'PlayerGrades+'!$AE$17,"E",IF(L313&lt;'PlayerGrades+'!$AE$16,"E+",IF(L313&lt;'PlayerGrades+'!$AE$15,"D-",IF(L313&lt;'PlayerGrades+'!$AE$14,"D",IF(L313&lt;'PlayerGrades+'!$AE$13,"D+",IF(L313&lt;'PlayerGrades+'!$AE$12,"C-",IF(L313&lt;'PlayerGrades+'!$AE$11,"C",IF(L313&lt;'PlayerGrades+'!$AE$10,"C+",IF(L313&lt;'PlayerGrades+'!$AE$9,"B-",IF(L313&lt;'PlayerGrades+'!$AE$8,"B",IF(L313&lt;'PlayerGrades+'!$AE$7,"B+",IF(L313&lt;'PlayerGrades+'!$AE$6,"A-",IF(L313&lt;'PlayerGrades+'!$AE$5,"A",IF(L313&lt;'PlayerGrades+'!$AE$4,"A+",IF(L313&lt;'PlayerGrades+'!$AE$3,"S-",IF(L313&lt;'PlayerGrades+'!$AE$2,"S","S+"))))))))))))))))))))</f>
        <v>#DIV/0!</v>
      </c>
      <c r="N313" s="961" t="str">
        <f t="shared" si="6"/>
        <v>#DIV/0!</v>
      </c>
      <c r="O313" s="961" t="str">
        <f>IF(N313&lt;'PlayerGrades+'!$AF$21,"F-",IF(N313&lt;'PlayerGrades+'!$AF$20,"F",IF(N313&lt;'PlayerGrades+'!$AF$19,"F+",IF(N313&lt;'PlayerGrades+'!$AF$18,"E-",IF(N313&lt;'PlayerGrades+'!$AF$17,"E",IF(N313&lt;'PlayerGrades+'!$AF$16,"E+",IF(N313&lt;'PlayerGrades+'!$AF$15,"D-",IF(N313&lt;'PlayerGrades+'!$AF$14,"D",IF(N313&lt;'PlayerGrades+'!$AF$13,"D+",IF(N313&lt;'PlayerGrades+'!$AF$12,"C-",IF(N313&lt;'PlayerGrades+'!$AF$11,"C",IF(N313&lt;'PlayerGrades+'!$AF$10,"C+",IF(N313&lt;'PlayerGrades+'!$AF$9,"B-",IF(N313&lt;'PlayerGrades+'!$AF$8,"B",IF(N313&lt;'PlayerGrades+'!$AF$7,"B+",IF(N313&lt;'PlayerGrades+'!$AF$6,"A-",IF(N313&lt;'PlayerGrades+'!$AF$5,"A",IF(N313&lt;'PlayerGrades+'!$AF$4,"A+",IF(N313&lt;'PlayerGrades+'!$AF$3,"S-",IF(N313&lt;'PlayerGrades+'!$AF$2,"S","S+"))))))))))))))))))))</f>
        <v>#DIV/0!</v>
      </c>
      <c r="P313" s="961" t="str">
        <f t="shared" si="7"/>
        <v>#DIV/0!</v>
      </c>
      <c r="Q313" s="961" t="str">
        <f>IF(P313&lt;'PlayerGrades+'!$AG$21,"F-",IF(P313&lt;'PlayerGrades+'!$AG$20,"F",IF(P313&lt;'PlayerGrades+'!$AG$19,"F+",IF(P313&lt;'PlayerGrades+'!$AG$18,"E-",IF(P313&lt;'PlayerGrades+'!$AG$17,"E",IF(P313&lt;'PlayerGrades+'!$AG$16,"E+",IF(P313&lt;'PlayerGrades+'!$AG$15,"D-",IF(P313&lt;'PlayerGrades+'!$AG$14,"D",IF(P313&lt;'PlayerGrades+'!$AG$13,"D+",IF(P313&lt;'PlayerGrades+'!$AG$12,"C-",IF(P313&lt;'PlayerGrades+'!$AG$11,"C",IF(P313&lt;'PlayerGrades+'!$AG$10,"C+",IF(P313&lt;'PlayerGrades+'!$AG$9,"B-",IF(P313&lt;'PlayerGrades+'!$AG$8,"B",IF(P313&lt;'PlayerGrades+'!$AG$7,"B+",IF(P313&lt;'PlayerGrades+'!$AG$6,"A-",IF(P313&lt;'PlayerGrades+'!$AG$5,"A",IF(P313&lt;'PlayerGrades+'!$AG$4,"A+",IF(P313&lt;'PlayerGrades+'!$AG$3,"S-",IF(P313&lt;'PlayerGrades+'!$AG$2,"S","S+"))))))))))))))))))))</f>
        <v>#DIV/0!</v>
      </c>
      <c r="R313" s="961" t="str">
        <f t="shared" si="8"/>
        <v>#DIV/0!</v>
      </c>
      <c r="S313" s="961" t="str">
        <f>IF(R313&lt;'PlayerGrades+'!$AH$21,"F-",IF(R313&lt;'PlayerGrades+'!$AH$20,"F",IF(R313&lt;'PlayerGrades+'!$AH$19,"F+",IF(R313&lt;'PlayerGrades+'!$AH$18,"E-",IF(R313&lt;'PlayerGrades+'!$AH$17,"E",IF(R313&lt;'PlayerGrades+'!$AH$16,"E+",IF(R313&lt;'PlayerGrades+'!$AH$15,"D-",IF(R313&lt;'PlayerGrades+'!$AH$14,"D",IF(R313&lt;'PlayerGrades+'!$AH$13,"D+",IF(R313&lt;'PlayerGrades+'!$AH$12,"C-",IF(R313&lt;'PlayerGrades+'!$AH$11,"C",IF(R313&lt;'PlayerGrades+'!$AH$10,"C+",IF(R313&lt;'PlayerGrades+'!$AH$9,"B-",IF(R313&lt;'PlayerGrades+'!$AH$8,"B",IF(R313&lt;'PlayerGrades+'!$AH$7,"B+",IF(R313&lt;'PlayerGrades+'!$AH$6,"A-",IF(R313&lt;'PlayerGrades+'!$AH$5,"A",IF(R313&lt;'PlayerGrades+'!$AH$4,"A+",IF(R313&lt;'PlayerGrades+'!$AH$3,"S-",IF(R313&lt;'PlayerGrades+'!$AH$2,"S","S+"))))))))))))))))))))</f>
        <v>#DIV/0!</v>
      </c>
      <c r="T313" s="961">
        <f t="shared" si="9"/>
        <v>0</v>
      </c>
      <c r="U313" s="961" t="str">
        <f>IF(T313&lt;'PlayerGrades+'!$AI$21,"F-",IF(T313&lt;'PlayerGrades+'!$AI$20,"F",IF(T313&lt;'PlayerGrades+'!$AI$19,"F+",IF(T313&lt;'PlayerGrades+'!$AI$18,"E-",IF(T313&lt;'PlayerGrades+'!$AI$17,"E",IF(T313&lt;'PlayerGrades+'!$AI$16,"E+",IF(T313&lt;'PlayerGrades+'!$AI$15,"D-",IF(T313&lt;'PlayerGrades+'!$AI$14,"D",IF(T313&lt;'PlayerGrades+'!$AI$13,"D+",IF(T313&lt;'PlayerGrades+'!$AI$12,"C-",IF(T313&lt;'PlayerGrades+'!$AI$11,"C",IF(T313&lt;'PlayerGrades+'!$AI$10,"C+",IF(T313&lt;'PlayerGrades+'!$AI$9,"B-",IF(T313&lt;'PlayerGrades+'!$AI$8,"B",IF(T313&lt;'PlayerGrades+'!$AI$7,"B+",IF(T313&lt;'PlayerGrades+'!$AI$6,"A-",IF(T313&lt;'PlayerGrades+'!$AI$5,"A",IF(T313&lt;'PlayerGrades+'!$AI$4,"A+",IF(T313&lt;'PlayerGrades+'!$AI$3,"S-",IF(T313&lt;'PlayerGrades+'!$AI$2,"S","S+"))))))))))))))))))))</f>
        <v>F-</v>
      </c>
      <c r="V313" s="1386"/>
      <c r="W313" s="1386"/>
      <c r="X313" s="1386"/>
      <c r="Y313" s="1386"/>
      <c r="Z313" s="1386"/>
      <c r="AA313" s="1386"/>
      <c r="AB313" s="1386"/>
      <c r="AC313" s="1397"/>
      <c r="AD313" s="1386"/>
      <c r="AE313" s="1386"/>
      <c r="AF313" s="1386"/>
      <c r="AG313" s="1386"/>
      <c r="AH313" s="1386"/>
      <c r="AI313" s="1386"/>
      <c r="AJ313" s="1386"/>
      <c r="AK313" s="1386"/>
      <c r="AL313" s="1386"/>
      <c r="AM313" s="1386"/>
      <c r="AN313" s="1386"/>
      <c r="AO313" s="1386"/>
      <c r="AP313" s="1386"/>
      <c r="AQ313" s="1386"/>
      <c r="AR313" s="1386"/>
      <c r="AS313" s="1386"/>
      <c r="AT313" s="1386"/>
      <c r="AU313" s="1386"/>
      <c r="AV313" s="1386"/>
      <c r="AW313" s="1386"/>
      <c r="AX313" s="1386"/>
      <c r="AY313" s="1386"/>
      <c r="AZ313" s="1386"/>
    </row>
    <row r="314">
      <c r="A314" s="1389"/>
      <c r="B314" s="611" t="str">
        <f>IF(C314&lt;'PlayerGrades+'!$Y$44,"F-",IF(C314&lt;'PlayerGrades+'!$Y$43,"F",IF(C314&lt;'PlayerGrades+'!$Y$42,"F+",IF(C314&lt;'PlayerGrades+'!$Y$41,"E-",IF(C314&lt;'PlayerGrades+'!$Y$40,"E",IF(C314&lt;'PlayerGrades+'!$Y$39,"E+",IF(C314&lt;'PlayerGrades+'!$Y$38,"D-",IF(C314&lt;'PlayerGrades+'!$Y$37,"D",IF(C314&lt;'PlayerGrades+'!$Y$36,"D+",IF(C314&lt;'PlayerGrades+'!$Y$35,"C-",IF(C314&lt;'PlayerGrades+'!$Y$34,"C",IF(C314&lt;'PlayerGrades+'!$Y$33,"C+",IF(C314&lt;'PlayerGrades+'!$Y$32,"B-",IF(C314&lt;'PlayerGrades+'!$Y$31,"B",IF(C314&lt;'PlayerGrades+'!$Y$30,"B+",IF(C314&lt;'PlayerGrades+'!$Y$29,"A-",IF(C314&lt;'PlayerGrades+'!$Y$28,"A",IF(C314&lt;'PlayerGrades+'!$Y$27,"A+",IF(C314&lt;'PlayerGrades+'!$Y$26,"S-",IF(C314&lt;'PlayerGrades+'!$Y$25,"S","S+"))))))))))))))))))))</f>
        <v>#DIV/0!</v>
      </c>
      <c r="C314" s="1378" t="str">
        <f>('PlayerGrades+'!$Y$47*(VLOOKUP(E314, 'PlayerGrades+'!$X$3:$Y$23, 2, FALSE)))+('PlayerGrades+'!$Y$48*(VLOOKUP(G314, 'PlayerGrades+'!$X$3:$Y$23, 2, FALSE)))+('PlayerGrades+'!$Y$49*(VLOOKUP(I314, 'PlayerGrades+'!$X$3:$Y$23, 2, FALSE)))+('PlayerGrades+'!$Y$50*(VLOOKUP(K314, 'PlayerGrades+'!$X$3:$Y$23, 2, FALSE)))+('PlayerGrades+'!$Y$51*(VLOOKUP(M314, 'PlayerGrades+'!$X$3:$Y$23, 2, FALSE)))+('PlayerGrades+'!$Y$52*(VLOOKUP(O314, 'PlayerGrades+'!$X$3:$Y$23, 2, FALSE)))+('PlayerGrades+'!$Y$53*(VLOOKUP(Q314, 'PlayerGrades+'!$X$3:$Y$23, 2, FALSE)))+('PlayerGrades+'!$Y$54*(VLOOKUP(S314, 'PlayerGrades+'!$X$3:$Y$23, 2, FALSE)))+('PlayerGrades+'!$Y$55*(VLOOKUP(U314, 'PlayerGrades+'!$X$3:$Y$23, 2, FALSE)))</f>
        <v>#DIV/0!</v>
      </c>
      <c r="D314" s="961" t="str">
        <f t="shared" si="1"/>
        <v>#DIV/0!</v>
      </c>
      <c r="E314" s="961" t="str">
        <f>IF(D314&lt;'PlayerGrades+'!$AA$21,"F-",IF(D314&lt;'PlayerGrades+'!$AA$20,"F",IF(D314&lt;'PlayerGrades+'!$AA$19,"F+",IF(D314&lt;'PlayerGrades+'!$AA$18,"E-",IF(D314&lt;'PlayerGrades+'!$AA$17,"E",IF(D314&lt;'PlayerGrades+'!$AA$16,"E+",IF(D314&lt;'PlayerGrades+'!$AA$15,"D-",IF(D314&lt;'PlayerGrades+'!$AA$14,"D",IF(D314&lt;'PlayerGrades+'!$AA$13,"D+",IF(D314&lt;'PlayerGrades+'!$AA$12,"C-",IF(D314&lt;'PlayerGrades+'!$AA$11,"C",IF(D314&lt;'PlayerGrades+'!$AA$10,"C+",IF(D314&lt;'PlayerGrades+'!$AA$9,"B-",IF(D314&lt;'PlayerGrades+'!$AA$8,"B",IF(D314&lt;'PlayerGrades+'!$AA$7,"B+",IF(D314&lt;'PlayerGrades+'!$AA$6,"A-",IF(D314&lt;'PlayerGrades+'!$AA$5,"A",IF(D314&lt;'PlayerGrades+'!$AA$4,"A+",IF(D314&lt;'PlayerGrades+'!$AA$3,"S-",IF(D314&lt;'PlayerGrades+'!$AA$2,"S","S+"))))))))))))))))))))</f>
        <v>#DIV/0!</v>
      </c>
      <c r="F314" s="961" t="str">
        <f t="shared" si="2"/>
        <v>#DIV/0!</v>
      </c>
      <c r="G314" s="961" t="str">
        <f>IF(F314&lt;'PlayerGrades+'!$AB$21,"F-",IF(F314&lt;'PlayerGrades+'!$AB$20,"F",IF(F314&lt;'PlayerGrades+'!$AB$19,"F+",IF(F314&lt;'PlayerGrades+'!$AB$18,"E-",IF(F314&lt;'PlayerGrades+'!$AB$17,"E",IF(F314&lt;'PlayerGrades+'!$AB$16,"E+",IF(F314&lt;'PlayerGrades+'!$AB$15,"D-",IF(F314&lt;'PlayerGrades+'!$AB$14,"D",IF(F314&lt;'PlayerGrades+'!$AB$13,"D+",IF(F314&lt;'PlayerGrades+'!$AB$12,"C-",IF(F314&lt;'PlayerGrades+'!$AB$11,"C",IF(F314&lt;'PlayerGrades+'!$AB$10,"C+",IF(F314&lt;'PlayerGrades+'!$AB$9,"B-",IF(F314&lt;'PlayerGrades+'!$AB$8,"B",IF(F314&lt;'PlayerGrades+'!$AB$7,"B+",IF(F314&lt;'PlayerGrades+'!$AB$6,"A-",IF(F314&lt;'PlayerGrades+'!$AB$5,"A",IF(F314&lt;'PlayerGrades+'!$AB$4,"A+",IF(F314&lt;'PlayerGrades+'!$AB$3,"S-",IF(F314&lt;'PlayerGrades+'!$AB$2,"S","S+"))))))))))))))))))))</f>
        <v>#DIV/0!</v>
      </c>
      <c r="H314" s="961" t="str">
        <f t="shared" si="3"/>
        <v>#DIV/0!</v>
      </c>
      <c r="I314" s="961" t="str">
        <f>IF(H314&lt;'PlayerGrades+'!$AC$21,"F-",IF(H314&lt;'PlayerGrades+'!$AC$20,"F",IF(H314&lt;'PlayerGrades+'!$AC$19,"F+",IF(H314&lt;'PlayerGrades+'!$AC$18,"E-",IF(H314&lt;'PlayerGrades+'!$AC$17,"E",IF(H314&lt;'PlayerGrades+'!$AC$16,"E+",IF(H314&lt;'PlayerGrades+'!$AC$15,"D-",IF(H314&lt;'PlayerGrades+'!$AC$14,"D",IF(H314&lt;'PlayerGrades+'!$AC$13,"D+",IF(H314&lt;'PlayerGrades+'!$AC$12,"C-",IF(H314&lt;'PlayerGrades+'!$AC$11,"C",IF(H314&lt;'PlayerGrades+'!$AC$10,"C+",IF(H314&lt;'PlayerGrades+'!$AC$9,"B-",IF(H314&lt;'PlayerGrades+'!$AC$8,"B",IF(H314&lt;'PlayerGrades+'!$AC$7,"B+",IF(H314&lt;'PlayerGrades+'!$AC$6,"A-",IF(H314&lt;'PlayerGrades+'!$AC$5,"A",IF(H314&lt;'PlayerGrades+'!$AC$4,"A+",IF(H314&lt;'PlayerGrades+'!$AC$3,"S-",IF(H314&lt;'PlayerGrades+'!$AC$2,"S","S+"))))))))))))))))))))</f>
        <v>#DIV/0!</v>
      </c>
      <c r="J314" s="961" t="str">
        <f t="shared" si="4"/>
        <v>#DIV/0!</v>
      </c>
      <c r="K314" s="961" t="str">
        <f>IF(J314&lt;'PlayerGrades+'!$AD$21,"F-",IF(J314&lt;'PlayerGrades+'!$AD$20,"F",IF(J314&lt;'PlayerGrades+'!$AD$19,"F+",IF(J314&lt;'PlayerGrades+'!$AD$18,"E-",IF(J314&lt;'PlayerGrades+'!$AD$17,"E",IF(J314&lt;'PlayerGrades+'!$AD$16,"E+",IF(J314&lt;'PlayerGrades+'!$AD$15,"D-",IF(J314&lt;'PlayerGrades+'!$AD$14,"D",IF(J314&lt;'PlayerGrades+'!$AD$13,"D+",IF(J314&lt;'PlayerGrades+'!$AD$12,"C-",IF(J314&lt;'PlayerGrades+'!$AD$11,"C",IF(J314&lt;'PlayerGrades+'!$AD$10,"C+",IF(J314&lt;'PlayerGrades+'!$AD$9,"B-",IF(J314&lt;'PlayerGrades+'!$AD$8,"B",IF(J314&lt;'PlayerGrades+'!$AD$7,"B+",IF(J314&lt;'PlayerGrades+'!$AD$6,"A-",IF(J314&lt;'PlayerGrades+'!$AD$5,"A",IF(J314&lt;'PlayerGrades+'!$AD$4,"A+",IF(J314&lt;'PlayerGrades+'!$AD$3,"S-",IF(J314&lt;'PlayerGrades+'!$AD$2,"S","S+"))))))))))))))))))))</f>
        <v>#DIV/0!</v>
      </c>
      <c r="L314" s="1176" t="str">
        <f t="shared" si="5"/>
        <v>#DIV/0!</v>
      </c>
      <c r="M314" s="992" t="str">
        <f>IF(L314&lt;'PlayerGrades+'!$AE$21,"F-",IF(L314&lt;'PlayerGrades+'!$AE$20,"F",IF(L314&lt;'PlayerGrades+'!$AE$19,"F+",IF(L314&lt;'PlayerGrades+'!$AE$18,"E-",IF(L314&lt;'PlayerGrades+'!$AE$17,"E",IF(L314&lt;'PlayerGrades+'!$AE$16,"E+",IF(L314&lt;'PlayerGrades+'!$AE$15,"D-",IF(L314&lt;'PlayerGrades+'!$AE$14,"D",IF(L314&lt;'PlayerGrades+'!$AE$13,"D+",IF(L314&lt;'PlayerGrades+'!$AE$12,"C-",IF(L314&lt;'PlayerGrades+'!$AE$11,"C",IF(L314&lt;'PlayerGrades+'!$AE$10,"C+",IF(L314&lt;'PlayerGrades+'!$AE$9,"B-",IF(L314&lt;'PlayerGrades+'!$AE$8,"B",IF(L314&lt;'PlayerGrades+'!$AE$7,"B+",IF(L314&lt;'PlayerGrades+'!$AE$6,"A-",IF(L314&lt;'PlayerGrades+'!$AE$5,"A",IF(L314&lt;'PlayerGrades+'!$AE$4,"A+",IF(L314&lt;'PlayerGrades+'!$AE$3,"S-",IF(L314&lt;'PlayerGrades+'!$AE$2,"S","S+"))))))))))))))))))))</f>
        <v>#DIV/0!</v>
      </c>
      <c r="N314" s="961" t="str">
        <f t="shared" si="6"/>
        <v>#DIV/0!</v>
      </c>
      <c r="O314" s="961" t="str">
        <f>IF(N314&lt;'PlayerGrades+'!$AF$21,"F-",IF(N314&lt;'PlayerGrades+'!$AF$20,"F",IF(N314&lt;'PlayerGrades+'!$AF$19,"F+",IF(N314&lt;'PlayerGrades+'!$AF$18,"E-",IF(N314&lt;'PlayerGrades+'!$AF$17,"E",IF(N314&lt;'PlayerGrades+'!$AF$16,"E+",IF(N314&lt;'PlayerGrades+'!$AF$15,"D-",IF(N314&lt;'PlayerGrades+'!$AF$14,"D",IF(N314&lt;'PlayerGrades+'!$AF$13,"D+",IF(N314&lt;'PlayerGrades+'!$AF$12,"C-",IF(N314&lt;'PlayerGrades+'!$AF$11,"C",IF(N314&lt;'PlayerGrades+'!$AF$10,"C+",IF(N314&lt;'PlayerGrades+'!$AF$9,"B-",IF(N314&lt;'PlayerGrades+'!$AF$8,"B",IF(N314&lt;'PlayerGrades+'!$AF$7,"B+",IF(N314&lt;'PlayerGrades+'!$AF$6,"A-",IF(N314&lt;'PlayerGrades+'!$AF$5,"A",IF(N314&lt;'PlayerGrades+'!$AF$4,"A+",IF(N314&lt;'PlayerGrades+'!$AF$3,"S-",IF(N314&lt;'PlayerGrades+'!$AF$2,"S","S+"))))))))))))))))))))</f>
        <v>#DIV/0!</v>
      </c>
      <c r="P314" s="961" t="str">
        <f t="shared" si="7"/>
        <v>#DIV/0!</v>
      </c>
      <c r="Q314" s="961" t="str">
        <f>IF(P314&lt;'PlayerGrades+'!$AG$21,"F-",IF(P314&lt;'PlayerGrades+'!$AG$20,"F",IF(P314&lt;'PlayerGrades+'!$AG$19,"F+",IF(P314&lt;'PlayerGrades+'!$AG$18,"E-",IF(P314&lt;'PlayerGrades+'!$AG$17,"E",IF(P314&lt;'PlayerGrades+'!$AG$16,"E+",IF(P314&lt;'PlayerGrades+'!$AG$15,"D-",IF(P314&lt;'PlayerGrades+'!$AG$14,"D",IF(P314&lt;'PlayerGrades+'!$AG$13,"D+",IF(P314&lt;'PlayerGrades+'!$AG$12,"C-",IF(P314&lt;'PlayerGrades+'!$AG$11,"C",IF(P314&lt;'PlayerGrades+'!$AG$10,"C+",IF(P314&lt;'PlayerGrades+'!$AG$9,"B-",IF(P314&lt;'PlayerGrades+'!$AG$8,"B",IF(P314&lt;'PlayerGrades+'!$AG$7,"B+",IF(P314&lt;'PlayerGrades+'!$AG$6,"A-",IF(P314&lt;'PlayerGrades+'!$AG$5,"A",IF(P314&lt;'PlayerGrades+'!$AG$4,"A+",IF(P314&lt;'PlayerGrades+'!$AG$3,"S-",IF(P314&lt;'PlayerGrades+'!$AG$2,"S","S+"))))))))))))))))))))</f>
        <v>#DIV/0!</v>
      </c>
      <c r="R314" s="961" t="str">
        <f t="shared" si="8"/>
        <v>#DIV/0!</v>
      </c>
      <c r="S314" s="961" t="str">
        <f>IF(R314&lt;'PlayerGrades+'!$AH$21,"F-",IF(R314&lt;'PlayerGrades+'!$AH$20,"F",IF(R314&lt;'PlayerGrades+'!$AH$19,"F+",IF(R314&lt;'PlayerGrades+'!$AH$18,"E-",IF(R314&lt;'PlayerGrades+'!$AH$17,"E",IF(R314&lt;'PlayerGrades+'!$AH$16,"E+",IF(R314&lt;'PlayerGrades+'!$AH$15,"D-",IF(R314&lt;'PlayerGrades+'!$AH$14,"D",IF(R314&lt;'PlayerGrades+'!$AH$13,"D+",IF(R314&lt;'PlayerGrades+'!$AH$12,"C-",IF(R314&lt;'PlayerGrades+'!$AH$11,"C",IF(R314&lt;'PlayerGrades+'!$AH$10,"C+",IF(R314&lt;'PlayerGrades+'!$AH$9,"B-",IF(R314&lt;'PlayerGrades+'!$AH$8,"B",IF(R314&lt;'PlayerGrades+'!$AH$7,"B+",IF(R314&lt;'PlayerGrades+'!$AH$6,"A-",IF(R314&lt;'PlayerGrades+'!$AH$5,"A",IF(R314&lt;'PlayerGrades+'!$AH$4,"A+",IF(R314&lt;'PlayerGrades+'!$AH$3,"S-",IF(R314&lt;'PlayerGrades+'!$AH$2,"S","S+"))))))))))))))))))))</f>
        <v>#DIV/0!</v>
      </c>
      <c r="T314" s="961">
        <f t="shared" si="9"/>
        <v>0</v>
      </c>
      <c r="U314" s="961" t="str">
        <f>IF(T314&lt;'PlayerGrades+'!$AI$21,"F-",IF(T314&lt;'PlayerGrades+'!$AI$20,"F",IF(T314&lt;'PlayerGrades+'!$AI$19,"F+",IF(T314&lt;'PlayerGrades+'!$AI$18,"E-",IF(T314&lt;'PlayerGrades+'!$AI$17,"E",IF(T314&lt;'PlayerGrades+'!$AI$16,"E+",IF(T314&lt;'PlayerGrades+'!$AI$15,"D-",IF(T314&lt;'PlayerGrades+'!$AI$14,"D",IF(T314&lt;'PlayerGrades+'!$AI$13,"D+",IF(T314&lt;'PlayerGrades+'!$AI$12,"C-",IF(T314&lt;'PlayerGrades+'!$AI$11,"C",IF(T314&lt;'PlayerGrades+'!$AI$10,"C+",IF(T314&lt;'PlayerGrades+'!$AI$9,"B-",IF(T314&lt;'PlayerGrades+'!$AI$8,"B",IF(T314&lt;'PlayerGrades+'!$AI$7,"B+",IF(T314&lt;'PlayerGrades+'!$AI$6,"A-",IF(T314&lt;'PlayerGrades+'!$AI$5,"A",IF(T314&lt;'PlayerGrades+'!$AI$4,"A+",IF(T314&lt;'PlayerGrades+'!$AI$3,"S-",IF(T314&lt;'PlayerGrades+'!$AI$2,"S","S+"))))))))))))))))))))</f>
        <v>F-</v>
      </c>
      <c r="V314" s="1379"/>
      <c r="W314" s="1379"/>
      <c r="X314" s="1379"/>
      <c r="Y314" s="1379"/>
      <c r="Z314" s="1379"/>
      <c r="AA314" s="1379"/>
      <c r="AB314" s="1379"/>
      <c r="AC314" s="1390"/>
      <c r="AD314" s="1379"/>
      <c r="AE314" s="1379"/>
      <c r="AF314" s="1379"/>
      <c r="AG314" s="1379"/>
      <c r="AH314" s="1379"/>
      <c r="AI314" s="1379"/>
      <c r="AJ314" s="1379"/>
      <c r="AK314" s="1379"/>
      <c r="AL314" s="1379"/>
      <c r="AM314" s="1379"/>
      <c r="AN314" s="1379"/>
      <c r="AO314" s="1379"/>
      <c r="AP314" s="1379"/>
      <c r="AQ314" s="1379"/>
      <c r="AR314" s="1379"/>
      <c r="AS314" s="1379"/>
      <c r="AT314" s="1379"/>
      <c r="AU314" s="1379"/>
      <c r="AV314" s="1379"/>
      <c r="AW314" s="1379"/>
      <c r="AX314" s="1379"/>
      <c r="AY314" s="1379"/>
      <c r="AZ314" s="1379"/>
    </row>
    <row r="315">
      <c r="A315" s="1391"/>
      <c r="B315" s="611" t="str">
        <f>IF(C315&lt;'PlayerGrades+'!$Y$44,"F-",IF(C315&lt;'PlayerGrades+'!$Y$43,"F",IF(C315&lt;'PlayerGrades+'!$Y$42,"F+",IF(C315&lt;'PlayerGrades+'!$Y$41,"E-",IF(C315&lt;'PlayerGrades+'!$Y$40,"E",IF(C315&lt;'PlayerGrades+'!$Y$39,"E+",IF(C315&lt;'PlayerGrades+'!$Y$38,"D-",IF(C315&lt;'PlayerGrades+'!$Y$37,"D",IF(C315&lt;'PlayerGrades+'!$Y$36,"D+",IF(C315&lt;'PlayerGrades+'!$Y$35,"C-",IF(C315&lt;'PlayerGrades+'!$Y$34,"C",IF(C315&lt;'PlayerGrades+'!$Y$33,"C+",IF(C315&lt;'PlayerGrades+'!$Y$32,"B-",IF(C315&lt;'PlayerGrades+'!$Y$31,"B",IF(C315&lt;'PlayerGrades+'!$Y$30,"B+",IF(C315&lt;'PlayerGrades+'!$Y$29,"A-",IF(C315&lt;'PlayerGrades+'!$Y$28,"A",IF(C315&lt;'PlayerGrades+'!$Y$27,"A+",IF(C315&lt;'PlayerGrades+'!$Y$26,"S-",IF(C315&lt;'PlayerGrades+'!$Y$25,"S","S+"))))))))))))))))))))</f>
        <v>#DIV/0!</v>
      </c>
      <c r="C315" s="1378" t="str">
        <f>('PlayerGrades+'!$Y$47*(VLOOKUP(E315, 'PlayerGrades+'!$X$3:$Y$23, 2, FALSE)))+('PlayerGrades+'!$Y$48*(VLOOKUP(G315, 'PlayerGrades+'!$X$3:$Y$23, 2, FALSE)))+('PlayerGrades+'!$Y$49*(VLOOKUP(I315, 'PlayerGrades+'!$X$3:$Y$23, 2, FALSE)))+('PlayerGrades+'!$Y$50*(VLOOKUP(K315, 'PlayerGrades+'!$X$3:$Y$23, 2, FALSE)))+('PlayerGrades+'!$Y$51*(VLOOKUP(M315, 'PlayerGrades+'!$X$3:$Y$23, 2, FALSE)))+('PlayerGrades+'!$Y$52*(VLOOKUP(O315, 'PlayerGrades+'!$X$3:$Y$23, 2, FALSE)))+('PlayerGrades+'!$Y$53*(VLOOKUP(Q315, 'PlayerGrades+'!$X$3:$Y$23, 2, FALSE)))+('PlayerGrades+'!$Y$54*(VLOOKUP(S315, 'PlayerGrades+'!$X$3:$Y$23, 2, FALSE)))+('PlayerGrades+'!$Y$55*(VLOOKUP(U315, 'PlayerGrades+'!$X$3:$Y$23, 2, FALSE)))</f>
        <v>#DIV/0!</v>
      </c>
      <c r="D315" s="961" t="str">
        <f t="shared" si="1"/>
        <v>#DIV/0!</v>
      </c>
      <c r="E315" s="961" t="str">
        <f>IF(D315&lt;'PlayerGrades+'!$AA$21,"F-",IF(D315&lt;'PlayerGrades+'!$AA$20,"F",IF(D315&lt;'PlayerGrades+'!$AA$19,"F+",IF(D315&lt;'PlayerGrades+'!$AA$18,"E-",IF(D315&lt;'PlayerGrades+'!$AA$17,"E",IF(D315&lt;'PlayerGrades+'!$AA$16,"E+",IF(D315&lt;'PlayerGrades+'!$AA$15,"D-",IF(D315&lt;'PlayerGrades+'!$AA$14,"D",IF(D315&lt;'PlayerGrades+'!$AA$13,"D+",IF(D315&lt;'PlayerGrades+'!$AA$12,"C-",IF(D315&lt;'PlayerGrades+'!$AA$11,"C",IF(D315&lt;'PlayerGrades+'!$AA$10,"C+",IF(D315&lt;'PlayerGrades+'!$AA$9,"B-",IF(D315&lt;'PlayerGrades+'!$AA$8,"B",IF(D315&lt;'PlayerGrades+'!$AA$7,"B+",IF(D315&lt;'PlayerGrades+'!$AA$6,"A-",IF(D315&lt;'PlayerGrades+'!$AA$5,"A",IF(D315&lt;'PlayerGrades+'!$AA$4,"A+",IF(D315&lt;'PlayerGrades+'!$AA$3,"S-",IF(D315&lt;'PlayerGrades+'!$AA$2,"S","S+"))))))))))))))))))))</f>
        <v>#DIV/0!</v>
      </c>
      <c r="F315" s="961" t="str">
        <f t="shared" si="2"/>
        <v>#DIV/0!</v>
      </c>
      <c r="G315" s="961" t="str">
        <f>IF(F315&lt;'PlayerGrades+'!$AB$21,"F-",IF(F315&lt;'PlayerGrades+'!$AB$20,"F",IF(F315&lt;'PlayerGrades+'!$AB$19,"F+",IF(F315&lt;'PlayerGrades+'!$AB$18,"E-",IF(F315&lt;'PlayerGrades+'!$AB$17,"E",IF(F315&lt;'PlayerGrades+'!$AB$16,"E+",IF(F315&lt;'PlayerGrades+'!$AB$15,"D-",IF(F315&lt;'PlayerGrades+'!$AB$14,"D",IF(F315&lt;'PlayerGrades+'!$AB$13,"D+",IF(F315&lt;'PlayerGrades+'!$AB$12,"C-",IF(F315&lt;'PlayerGrades+'!$AB$11,"C",IF(F315&lt;'PlayerGrades+'!$AB$10,"C+",IF(F315&lt;'PlayerGrades+'!$AB$9,"B-",IF(F315&lt;'PlayerGrades+'!$AB$8,"B",IF(F315&lt;'PlayerGrades+'!$AB$7,"B+",IF(F315&lt;'PlayerGrades+'!$AB$6,"A-",IF(F315&lt;'PlayerGrades+'!$AB$5,"A",IF(F315&lt;'PlayerGrades+'!$AB$4,"A+",IF(F315&lt;'PlayerGrades+'!$AB$3,"S-",IF(F315&lt;'PlayerGrades+'!$AB$2,"S","S+"))))))))))))))))))))</f>
        <v>#DIV/0!</v>
      </c>
      <c r="H315" s="961" t="str">
        <f t="shared" si="3"/>
        <v>#DIV/0!</v>
      </c>
      <c r="I315" s="961" t="str">
        <f>IF(H315&lt;'PlayerGrades+'!$AC$21,"F-",IF(H315&lt;'PlayerGrades+'!$AC$20,"F",IF(H315&lt;'PlayerGrades+'!$AC$19,"F+",IF(H315&lt;'PlayerGrades+'!$AC$18,"E-",IF(H315&lt;'PlayerGrades+'!$AC$17,"E",IF(H315&lt;'PlayerGrades+'!$AC$16,"E+",IF(H315&lt;'PlayerGrades+'!$AC$15,"D-",IF(H315&lt;'PlayerGrades+'!$AC$14,"D",IF(H315&lt;'PlayerGrades+'!$AC$13,"D+",IF(H315&lt;'PlayerGrades+'!$AC$12,"C-",IF(H315&lt;'PlayerGrades+'!$AC$11,"C",IF(H315&lt;'PlayerGrades+'!$AC$10,"C+",IF(H315&lt;'PlayerGrades+'!$AC$9,"B-",IF(H315&lt;'PlayerGrades+'!$AC$8,"B",IF(H315&lt;'PlayerGrades+'!$AC$7,"B+",IF(H315&lt;'PlayerGrades+'!$AC$6,"A-",IF(H315&lt;'PlayerGrades+'!$AC$5,"A",IF(H315&lt;'PlayerGrades+'!$AC$4,"A+",IF(H315&lt;'PlayerGrades+'!$AC$3,"S-",IF(H315&lt;'PlayerGrades+'!$AC$2,"S","S+"))))))))))))))))))))</f>
        <v>#DIV/0!</v>
      </c>
      <c r="J315" s="961" t="str">
        <f t="shared" si="4"/>
        <v>#DIV/0!</v>
      </c>
      <c r="K315" s="961" t="str">
        <f>IF(J315&lt;'PlayerGrades+'!$AD$21,"F-",IF(J315&lt;'PlayerGrades+'!$AD$20,"F",IF(J315&lt;'PlayerGrades+'!$AD$19,"F+",IF(J315&lt;'PlayerGrades+'!$AD$18,"E-",IF(J315&lt;'PlayerGrades+'!$AD$17,"E",IF(J315&lt;'PlayerGrades+'!$AD$16,"E+",IF(J315&lt;'PlayerGrades+'!$AD$15,"D-",IF(J315&lt;'PlayerGrades+'!$AD$14,"D",IF(J315&lt;'PlayerGrades+'!$AD$13,"D+",IF(J315&lt;'PlayerGrades+'!$AD$12,"C-",IF(J315&lt;'PlayerGrades+'!$AD$11,"C",IF(J315&lt;'PlayerGrades+'!$AD$10,"C+",IF(J315&lt;'PlayerGrades+'!$AD$9,"B-",IF(J315&lt;'PlayerGrades+'!$AD$8,"B",IF(J315&lt;'PlayerGrades+'!$AD$7,"B+",IF(J315&lt;'PlayerGrades+'!$AD$6,"A-",IF(J315&lt;'PlayerGrades+'!$AD$5,"A",IF(J315&lt;'PlayerGrades+'!$AD$4,"A+",IF(J315&lt;'PlayerGrades+'!$AD$3,"S-",IF(J315&lt;'PlayerGrades+'!$AD$2,"S","S+"))))))))))))))))))))</f>
        <v>#DIV/0!</v>
      </c>
      <c r="L315" s="1176" t="str">
        <f t="shared" si="5"/>
        <v>#DIV/0!</v>
      </c>
      <c r="M315" s="992" t="str">
        <f>IF(L315&lt;'PlayerGrades+'!$AE$21,"F-",IF(L315&lt;'PlayerGrades+'!$AE$20,"F",IF(L315&lt;'PlayerGrades+'!$AE$19,"F+",IF(L315&lt;'PlayerGrades+'!$AE$18,"E-",IF(L315&lt;'PlayerGrades+'!$AE$17,"E",IF(L315&lt;'PlayerGrades+'!$AE$16,"E+",IF(L315&lt;'PlayerGrades+'!$AE$15,"D-",IF(L315&lt;'PlayerGrades+'!$AE$14,"D",IF(L315&lt;'PlayerGrades+'!$AE$13,"D+",IF(L315&lt;'PlayerGrades+'!$AE$12,"C-",IF(L315&lt;'PlayerGrades+'!$AE$11,"C",IF(L315&lt;'PlayerGrades+'!$AE$10,"C+",IF(L315&lt;'PlayerGrades+'!$AE$9,"B-",IF(L315&lt;'PlayerGrades+'!$AE$8,"B",IF(L315&lt;'PlayerGrades+'!$AE$7,"B+",IF(L315&lt;'PlayerGrades+'!$AE$6,"A-",IF(L315&lt;'PlayerGrades+'!$AE$5,"A",IF(L315&lt;'PlayerGrades+'!$AE$4,"A+",IF(L315&lt;'PlayerGrades+'!$AE$3,"S-",IF(L315&lt;'PlayerGrades+'!$AE$2,"S","S+"))))))))))))))))))))</f>
        <v>#DIV/0!</v>
      </c>
      <c r="N315" s="961" t="str">
        <f t="shared" si="6"/>
        <v>#DIV/0!</v>
      </c>
      <c r="O315" s="961" t="str">
        <f>IF(N315&lt;'PlayerGrades+'!$AF$21,"F-",IF(N315&lt;'PlayerGrades+'!$AF$20,"F",IF(N315&lt;'PlayerGrades+'!$AF$19,"F+",IF(N315&lt;'PlayerGrades+'!$AF$18,"E-",IF(N315&lt;'PlayerGrades+'!$AF$17,"E",IF(N315&lt;'PlayerGrades+'!$AF$16,"E+",IF(N315&lt;'PlayerGrades+'!$AF$15,"D-",IF(N315&lt;'PlayerGrades+'!$AF$14,"D",IF(N315&lt;'PlayerGrades+'!$AF$13,"D+",IF(N315&lt;'PlayerGrades+'!$AF$12,"C-",IF(N315&lt;'PlayerGrades+'!$AF$11,"C",IF(N315&lt;'PlayerGrades+'!$AF$10,"C+",IF(N315&lt;'PlayerGrades+'!$AF$9,"B-",IF(N315&lt;'PlayerGrades+'!$AF$8,"B",IF(N315&lt;'PlayerGrades+'!$AF$7,"B+",IF(N315&lt;'PlayerGrades+'!$AF$6,"A-",IF(N315&lt;'PlayerGrades+'!$AF$5,"A",IF(N315&lt;'PlayerGrades+'!$AF$4,"A+",IF(N315&lt;'PlayerGrades+'!$AF$3,"S-",IF(N315&lt;'PlayerGrades+'!$AF$2,"S","S+"))))))))))))))))))))</f>
        <v>#DIV/0!</v>
      </c>
      <c r="P315" s="961" t="str">
        <f t="shared" si="7"/>
        <v>#DIV/0!</v>
      </c>
      <c r="Q315" s="961" t="str">
        <f>IF(P315&lt;'PlayerGrades+'!$AG$21,"F-",IF(P315&lt;'PlayerGrades+'!$AG$20,"F",IF(P315&lt;'PlayerGrades+'!$AG$19,"F+",IF(P315&lt;'PlayerGrades+'!$AG$18,"E-",IF(P315&lt;'PlayerGrades+'!$AG$17,"E",IF(P315&lt;'PlayerGrades+'!$AG$16,"E+",IF(P315&lt;'PlayerGrades+'!$AG$15,"D-",IF(P315&lt;'PlayerGrades+'!$AG$14,"D",IF(P315&lt;'PlayerGrades+'!$AG$13,"D+",IF(P315&lt;'PlayerGrades+'!$AG$12,"C-",IF(P315&lt;'PlayerGrades+'!$AG$11,"C",IF(P315&lt;'PlayerGrades+'!$AG$10,"C+",IF(P315&lt;'PlayerGrades+'!$AG$9,"B-",IF(P315&lt;'PlayerGrades+'!$AG$8,"B",IF(P315&lt;'PlayerGrades+'!$AG$7,"B+",IF(P315&lt;'PlayerGrades+'!$AG$6,"A-",IF(P315&lt;'PlayerGrades+'!$AG$5,"A",IF(P315&lt;'PlayerGrades+'!$AG$4,"A+",IF(P315&lt;'PlayerGrades+'!$AG$3,"S-",IF(P315&lt;'PlayerGrades+'!$AG$2,"S","S+"))))))))))))))))))))</f>
        <v>#DIV/0!</v>
      </c>
      <c r="R315" s="961" t="str">
        <f t="shared" si="8"/>
        <v>#DIV/0!</v>
      </c>
      <c r="S315" s="961" t="str">
        <f>IF(R315&lt;'PlayerGrades+'!$AH$21,"F-",IF(R315&lt;'PlayerGrades+'!$AH$20,"F",IF(R315&lt;'PlayerGrades+'!$AH$19,"F+",IF(R315&lt;'PlayerGrades+'!$AH$18,"E-",IF(R315&lt;'PlayerGrades+'!$AH$17,"E",IF(R315&lt;'PlayerGrades+'!$AH$16,"E+",IF(R315&lt;'PlayerGrades+'!$AH$15,"D-",IF(R315&lt;'PlayerGrades+'!$AH$14,"D",IF(R315&lt;'PlayerGrades+'!$AH$13,"D+",IF(R315&lt;'PlayerGrades+'!$AH$12,"C-",IF(R315&lt;'PlayerGrades+'!$AH$11,"C",IF(R315&lt;'PlayerGrades+'!$AH$10,"C+",IF(R315&lt;'PlayerGrades+'!$AH$9,"B-",IF(R315&lt;'PlayerGrades+'!$AH$8,"B",IF(R315&lt;'PlayerGrades+'!$AH$7,"B+",IF(R315&lt;'PlayerGrades+'!$AH$6,"A-",IF(R315&lt;'PlayerGrades+'!$AH$5,"A",IF(R315&lt;'PlayerGrades+'!$AH$4,"A+",IF(R315&lt;'PlayerGrades+'!$AH$3,"S-",IF(R315&lt;'PlayerGrades+'!$AH$2,"S","S+"))))))))))))))))))))</f>
        <v>#DIV/0!</v>
      </c>
      <c r="T315" s="961">
        <f t="shared" si="9"/>
        <v>0</v>
      </c>
      <c r="U315" s="961" t="str">
        <f>IF(T315&lt;'PlayerGrades+'!$AI$21,"F-",IF(T315&lt;'PlayerGrades+'!$AI$20,"F",IF(T315&lt;'PlayerGrades+'!$AI$19,"F+",IF(T315&lt;'PlayerGrades+'!$AI$18,"E-",IF(T315&lt;'PlayerGrades+'!$AI$17,"E",IF(T315&lt;'PlayerGrades+'!$AI$16,"E+",IF(T315&lt;'PlayerGrades+'!$AI$15,"D-",IF(T315&lt;'PlayerGrades+'!$AI$14,"D",IF(T315&lt;'PlayerGrades+'!$AI$13,"D+",IF(T315&lt;'PlayerGrades+'!$AI$12,"C-",IF(T315&lt;'PlayerGrades+'!$AI$11,"C",IF(T315&lt;'PlayerGrades+'!$AI$10,"C+",IF(T315&lt;'PlayerGrades+'!$AI$9,"B-",IF(T315&lt;'PlayerGrades+'!$AI$8,"B",IF(T315&lt;'PlayerGrades+'!$AI$7,"B+",IF(T315&lt;'PlayerGrades+'!$AI$6,"A-",IF(T315&lt;'PlayerGrades+'!$AI$5,"A",IF(T315&lt;'PlayerGrades+'!$AI$4,"A+",IF(T315&lt;'PlayerGrades+'!$AI$3,"S-",IF(T315&lt;'PlayerGrades+'!$AI$2,"S","S+"))))))))))))))))))))</f>
        <v>F-</v>
      </c>
      <c r="AC315" s="1392"/>
    </row>
    <row r="316">
      <c r="A316" s="1391"/>
      <c r="B316" s="611" t="str">
        <f>IF(C316&lt;'PlayerGrades+'!$Y$44,"F-",IF(C316&lt;'PlayerGrades+'!$Y$43,"F",IF(C316&lt;'PlayerGrades+'!$Y$42,"F+",IF(C316&lt;'PlayerGrades+'!$Y$41,"E-",IF(C316&lt;'PlayerGrades+'!$Y$40,"E",IF(C316&lt;'PlayerGrades+'!$Y$39,"E+",IF(C316&lt;'PlayerGrades+'!$Y$38,"D-",IF(C316&lt;'PlayerGrades+'!$Y$37,"D",IF(C316&lt;'PlayerGrades+'!$Y$36,"D+",IF(C316&lt;'PlayerGrades+'!$Y$35,"C-",IF(C316&lt;'PlayerGrades+'!$Y$34,"C",IF(C316&lt;'PlayerGrades+'!$Y$33,"C+",IF(C316&lt;'PlayerGrades+'!$Y$32,"B-",IF(C316&lt;'PlayerGrades+'!$Y$31,"B",IF(C316&lt;'PlayerGrades+'!$Y$30,"B+",IF(C316&lt;'PlayerGrades+'!$Y$29,"A-",IF(C316&lt;'PlayerGrades+'!$Y$28,"A",IF(C316&lt;'PlayerGrades+'!$Y$27,"A+",IF(C316&lt;'PlayerGrades+'!$Y$26,"S-",IF(C316&lt;'PlayerGrades+'!$Y$25,"S","S+"))))))))))))))))))))</f>
        <v>#DIV/0!</v>
      </c>
      <c r="C316" s="1378" t="str">
        <f>('PlayerGrades+'!$Y$47*(VLOOKUP(E316, 'PlayerGrades+'!$X$3:$Y$23, 2, FALSE)))+('PlayerGrades+'!$Y$48*(VLOOKUP(G316, 'PlayerGrades+'!$X$3:$Y$23, 2, FALSE)))+('PlayerGrades+'!$Y$49*(VLOOKUP(I316, 'PlayerGrades+'!$X$3:$Y$23, 2, FALSE)))+('PlayerGrades+'!$Y$50*(VLOOKUP(K316, 'PlayerGrades+'!$X$3:$Y$23, 2, FALSE)))+('PlayerGrades+'!$Y$51*(VLOOKUP(M316, 'PlayerGrades+'!$X$3:$Y$23, 2, FALSE)))+('PlayerGrades+'!$Y$52*(VLOOKUP(O316, 'PlayerGrades+'!$X$3:$Y$23, 2, FALSE)))+('PlayerGrades+'!$Y$53*(VLOOKUP(Q316, 'PlayerGrades+'!$X$3:$Y$23, 2, FALSE)))+('PlayerGrades+'!$Y$54*(VLOOKUP(S316, 'PlayerGrades+'!$X$3:$Y$23, 2, FALSE)))+('PlayerGrades+'!$Y$55*(VLOOKUP(U316, 'PlayerGrades+'!$X$3:$Y$23, 2, FALSE)))</f>
        <v>#DIV/0!</v>
      </c>
      <c r="D316" s="961" t="str">
        <f t="shared" si="1"/>
        <v>#DIV/0!</v>
      </c>
      <c r="E316" s="961" t="str">
        <f>IF(D316&lt;'PlayerGrades+'!$AA$21,"F-",IF(D316&lt;'PlayerGrades+'!$AA$20,"F",IF(D316&lt;'PlayerGrades+'!$AA$19,"F+",IF(D316&lt;'PlayerGrades+'!$AA$18,"E-",IF(D316&lt;'PlayerGrades+'!$AA$17,"E",IF(D316&lt;'PlayerGrades+'!$AA$16,"E+",IF(D316&lt;'PlayerGrades+'!$AA$15,"D-",IF(D316&lt;'PlayerGrades+'!$AA$14,"D",IF(D316&lt;'PlayerGrades+'!$AA$13,"D+",IF(D316&lt;'PlayerGrades+'!$AA$12,"C-",IF(D316&lt;'PlayerGrades+'!$AA$11,"C",IF(D316&lt;'PlayerGrades+'!$AA$10,"C+",IF(D316&lt;'PlayerGrades+'!$AA$9,"B-",IF(D316&lt;'PlayerGrades+'!$AA$8,"B",IF(D316&lt;'PlayerGrades+'!$AA$7,"B+",IF(D316&lt;'PlayerGrades+'!$AA$6,"A-",IF(D316&lt;'PlayerGrades+'!$AA$5,"A",IF(D316&lt;'PlayerGrades+'!$AA$4,"A+",IF(D316&lt;'PlayerGrades+'!$AA$3,"S-",IF(D316&lt;'PlayerGrades+'!$AA$2,"S","S+"))))))))))))))))))))</f>
        <v>#DIV/0!</v>
      </c>
      <c r="F316" s="961" t="str">
        <f t="shared" si="2"/>
        <v>#DIV/0!</v>
      </c>
      <c r="G316" s="961" t="str">
        <f>IF(F316&lt;'PlayerGrades+'!$AB$21,"F-",IF(F316&lt;'PlayerGrades+'!$AB$20,"F",IF(F316&lt;'PlayerGrades+'!$AB$19,"F+",IF(F316&lt;'PlayerGrades+'!$AB$18,"E-",IF(F316&lt;'PlayerGrades+'!$AB$17,"E",IF(F316&lt;'PlayerGrades+'!$AB$16,"E+",IF(F316&lt;'PlayerGrades+'!$AB$15,"D-",IF(F316&lt;'PlayerGrades+'!$AB$14,"D",IF(F316&lt;'PlayerGrades+'!$AB$13,"D+",IF(F316&lt;'PlayerGrades+'!$AB$12,"C-",IF(F316&lt;'PlayerGrades+'!$AB$11,"C",IF(F316&lt;'PlayerGrades+'!$AB$10,"C+",IF(F316&lt;'PlayerGrades+'!$AB$9,"B-",IF(F316&lt;'PlayerGrades+'!$AB$8,"B",IF(F316&lt;'PlayerGrades+'!$AB$7,"B+",IF(F316&lt;'PlayerGrades+'!$AB$6,"A-",IF(F316&lt;'PlayerGrades+'!$AB$5,"A",IF(F316&lt;'PlayerGrades+'!$AB$4,"A+",IF(F316&lt;'PlayerGrades+'!$AB$3,"S-",IF(F316&lt;'PlayerGrades+'!$AB$2,"S","S+"))))))))))))))))))))</f>
        <v>#DIV/0!</v>
      </c>
      <c r="H316" s="961" t="str">
        <f t="shared" si="3"/>
        <v>#DIV/0!</v>
      </c>
      <c r="I316" s="961" t="str">
        <f>IF(H316&lt;'PlayerGrades+'!$AC$21,"F-",IF(H316&lt;'PlayerGrades+'!$AC$20,"F",IF(H316&lt;'PlayerGrades+'!$AC$19,"F+",IF(H316&lt;'PlayerGrades+'!$AC$18,"E-",IF(H316&lt;'PlayerGrades+'!$AC$17,"E",IF(H316&lt;'PlayerGrades+'!$AC$16,"E+",IF(H316&lt;'PlayerGrades+'!$AC$15,"D-",IF(H316&lt;'PlayerGrades+'!$AC$14,"D",IF(H316&lt;'PlayerGrades+'!$AC$13,"D+",IF(H316&lt;'PlayerGrades+'!$AC$12,"C-",IF(H316&lt;'PlayerGrades+'!$AC$11,"C",IF(H316&lt;'PlayerGrades+'!$AC$10,"C+",IF(H316&lt;'PlayerGrades+'!$AC$9,"B-",IF(H316&lt;'PlayerGrades+'!$AC$8,"B",IF(H316&lt;'PlayerGrades+'!$AC$7,"B+",IF(H316&lt;'PlayerGrades+'!$AC$6,"A-",IF(H316&lt;'PlayerGrades+'!$AC$5,"A",IF(H316&lt;'PlayerGrades+'!$AC$4,"A+",IF(H316&lt;'PlayerGrades+'!$AC$3,"S-",IF(H316&lt;'PlayerGrades+'!$AC$2,"S","S+"))))))))))))))))))))</f>
        <v>#DIV/0!</v>
      </c>
      <c r="J316" s="961" t="str">
        <f t="shared" si="4"/>
        <v>#DIV/0!</v>
      </c>
      <c r="K316" s="961" t="str">
        <f>IF(J316&lt;'PlayerGrades+'!$AD$21,"F-",IF(J316&lt;'PlayerGrades+'!$AD$20,"F",IF(J316&lt;'PlayerGrades+'!$AD$19,"F+",IF(J316&lt;'PlayerGrades+'!$AD$18,"E-",IF(J316&lt;'PlayerGrades+'!$AD$17,"E",IF(J316&lt;'PlayerGrades+'!$AD$16,"E+",IF(J316&lt;'PlayerGrades+'!$AD$15,"D-",IF(J316&lt;'PlayerGrades+'!$AD$14,"D",IF(J316&lt;'PlayerGrades+'!$AD$13,"D+",IF(J316&lt;'PlayerGrades+'!$AD$12,"C-",IF(J316&lt;'PlayerGrades+'!$AD$11,"C",IF(J316&lt;'PlayerGrades+'!$AD$10,"C+",IF(J316&lt;'PlayerGrades+'!$AD$9,"B-",IF(J316&lt;'PlayerGrades+'!$AD$8,"B",IF(J316&lt;'PlayerGrades+'!$AD$7,"B+",IF(J316&lt;'PlayerGrades+'!$AD$6,"A-",IF(J316&lt;'PlayerGrades+'!$AD$5,"A",IF(J316&lt;'PlayerGrades+'!$AD$4,"A+",IF(J316&lt;'PlayerGrades+'!$AD$3,"S-",IF(J316&lt;'PlayerGrades+'!$AD$2,"S","S+"))))))))))))))))))))</f>
        <v>#DIV/0!</v>
      </c>
      <c r="L316" s="1176" t="str">
        <f t="shared" si="5"/>
        <v>#DIV/0!</v>
      </c>
      <c r="M316" s="992" t="str">
        <f>IF(L316&lt;'PlayerGrades+'!$AE$21,"F-",IF(L316&lt;'PlayerGrades+'!$AE$20,"F",IF(L316&lt;'PlayerGrades+'!$AE$19,"F+",IF(L316&lt;'PlayerGrades+'!$AE$18,"E-",IF(L316&lt;'PlayerGrades+'!$AE$17,"E",IF(L316&lt;'PlayerGrades+'!$AE$16,"E+",IF(L316&lt;'PlayerGrades+'!$AE$15,"D-",IF(L316&lt;'PlayerGrades+'!$AE$14,"D",IF(L316&lt;'PlayerGrades+'!$AE$13,"D+",IF(L316&lt;'PlayerGrades+'!$AE$12,"C-",IF(L316&lt;'PlayerGrades+'!$AE$11,"C",IF(L316&lt;'PlayerGrades+'!$AE$10,"C+",IF(L316&lt;'PlayerGrades+'!$AE$9,"B-",IF(L316&lt;'PlayerGrades+'!$AE$8,"B",IF(L316&lt;'PlayerGrades+'!$AE$7,"B+",IF(L316&lt;'PlayerGrades+'!$AE$6,"A-",IF(L316&lt;'PlayerGrades+'!$AE$5,"A",IF(L316&lt;'PlayerGrades+'!$AE$4,"A+",IF(L316&lt;'PlayerGrades+'!$AE$3,"S-",IF(L316&lt;'PlayerGrades+'!$AE$2,"S","S+"))))))))))))))))))))</f>
        <v>#DIV/0!</v>
      </c>
      <c r="N316" s="961" t="str">
        <f t="shared" si="6"/>
        <v>#DIV/0!</v>
      </c>
      <c r="O316" s="961" t="str">
        <f>IF(N316&lt;'PlayerGrades+'!$AF$21,"F-",IF(N316&lt;'PlayerGrades+'!$AF$20,"F",IF(N316&lt;'PlayerGrades+'!$AF$19,"F+",IF(N316&lt;'PlayerGrades+'!$AF$18,"E-",IF(N316&lt;'PlayerGrades+'!$AF$17,"E",IF(N316&lt;'PlayerGrades+'!$AF$16,"E+",IF(N316&lt;'PlayerGrades+'!$AF$15,"D-",IF(N316&lt;'PlayerGrades+'!$AF$14,"D",IF(N316&lt;'PlayerGrades+'!$AF$13,"D+",IF(N316&lt;'PlayerGrades+'!$AF$12,"C-",IF(N316&lt;'PlayerGrades+'!$AF$11,"C",IF(N316&lt;'PlayerGrades+'!$AF$10,"C+",IF(N316&lt;'PlayerGrades+'!$AF$9,"B-",IF(N316&lt;'PlayerGrades+'!$AF$8,"B",IF(N316&lt;'PlayerGrades+'!$AF$7,"B+",IF(N316&lt;'PlayerGrades+'!$AF$6,"A-",IF(N316&lt;'PlayerGrades+'!$AF$5,"A",IF(N316&lt;'PlayerGrades+'!$AF$4,"A+",IF(N316&lt;'PlayerGrades+'!$AF$3,"S-",IF(N316&lt;'PlayerGrades+'!$AF$2,"S","S+"))))))))))))))))))))</f>
        <v>#DIV/0!</v>
      </c>
      <c r="P316" s="961" t="str">
        <f t="shared" si="7"/>
        <v>#DIV/0!</v>
      </c>
      <c r="Q316" s="961" t="str">
        <f>IF(P316&lt;'PlayerGrades+'!$AG$21,"F-",IF(P316&lt;'PlayerGrades+'!$AG$20,"F",IF(P316&lt;'PlayerGrades+'!$AG$19,"F+",IF(P316&lt;'PlayerGrades+'!$AG$18,"E-",IF(P316&lt;'PlayerGrades+'!$AG$17,"E",IF(P316&lt;'PlayerGrades+'!$AG$16,"E+",IF(P316&lt;'PlayerGrades+'!$AG$15,"D-",IF(P316&lt;'PlayerGrades+'!$AG$14,"D",IF(P316&lt;'PlayerGrades+'!$AG$13,"D+",IF(P316&lt;'PlayerGrades+'!$AG$12,"C-",IF(P316&lt;'PlayerGrades+'!$AG$11,"C",IF(P316&lt;'PlayerGrades+'!$AG$10,"C+",IF(P316&lt;'PlayerGrades+'!$AG$9,"B-",IF(P316&lt;'PlayerGrades+'!$AG$8,"B",IF(P316&lt;'PlayerGrades+'!$AG$7,"B+",IF(P316&lt;'PlayerGrades+'!$AG$6,"A-",IF(P316&lt;'PlayerGrades+'!$AG$5,"A",IF(P316&lt;'PlayerGrades+'!$AG$4,"A+",IF(P316&lt;'PlayerGrades+'!$AG$3,"S-",IF(P316&lt;'PlayerGrades+'!$AG$2,"S","S+"))))))))))))))))))))</f>
        <v>#DIV/0!</v>
      </c>
      <c r="R316" s="961" t="str">
        <f t="shared" si="8"/>
        <v>#DIV/0!</v>
      </c>
      <c r="S316" s="961" t="str">
        <f>IF(R316&lt;'PlayerGrades+'!$AH$21,"F-",IF(R316&lt;'PlayerGrades+'!$AH$20,"F",IF(R316&lt;'PlayerGrades+'!$AH$19,"F+",IF(R316&lt;'PlayerGrades+'!$AH$18,"E-",IF(R316&lt;'PlayerGrades+'!$AH$17,"E",IF(R316&lt;'PlayerGrades+'!$AH$16,"E+",IF(R316&lt;'PlayerGrades+'!$AH$15,"D-",IF(R316&lt;'PlayerGrades+'!$AH$14,"D",IF(R316&lt;'PlayerGrades+'!$AH$13,"D+",IF(R316&lt;'PlayerGrades+'!$AH$12,"C-",IF(R316&lt;'PlayerGrades+'!$AH$11,"C",IF(R316&lt;'PlayerGrades+'!$AH$10,"C+",IF(R316&lt;'PlayerGrades+'!$AH$9,"B-",IF(R316&lt;'PlayerGrades+'!$AH$8,"B",IF(R316&lt;'PlayerGrades+'!$AH$7,"B+",IF(R316&lt;'PlayerGrades+'!$AH$6,"A-",IF(R316&lt;'PlayerGrades+'!$AH$5,"A",IF(R316&lt;'PlayerGrades+'!$AH$4,"A+",IF(R316&lt;'PlayerGrades+'!$AH$3,"S-",IF(R316&lt;'PlayerGrades+'!$AH$2,"S","S+"))))))))))))))))))))</f>
        <v>#DIV/0!</v>
      </c>
      <c r="T316" s="961">
        <f t="shared" si="9"/>
        <v>0</v>
      </c>
      <c r="U316" s="961" t="str">
        <f>IF(T316&lt;'PlayerGrades+'!$AI$21,"F-",IF(T316&lt;'PlayerGrades+'!$AI$20,"F",IF(T316&lt;'PlayerGrades+'!$AI$19,"F+",IF(T316&lt;'PlayerGrades+'!$AI$18,"E-",IF(T316&lt;'PlayerGrades+'!$AI$17,"E",IF(T316&lt;'PlayerGrades+'!$AI$16,"E+",IF(T316&lt;'PlayerGrades+'!$AI$15,"D-",IF(T316&lt;'PlayerGrades+'!$AI$14,"D",IF(T316&lt;'PlayerGrades+'!$AI$13,"D+",IF(T316&lt;'PlayerGrades+'!$AI$12,"C-",IF(T316&lt;'PlayerGrades+'!$AI$11,"C",IF(T316&lt;'PlayerGrades+'!$AI$10,"C+",IF(T316&lt;'PlayerGrades+'!$AI$9,"B-",IF(T316&lt;'PlayerGrades+'!$AI$8,"B",IF(T316&lt;'PlayerGrades+'!$AI$7,"B+",IF(T316&lt;'PlayerGrades+'!$AI$6,"A-",IF(T316&lt;'PlayerGrades+'!$AI$5,"A",IF(T316&lt;'PlayerGrades+'!$AI$4,"A+",IF(T316&lt;'PlayerGrades+'!$AI$3,"S-",IF(T316&lt;'PlayerGrades+'!$AI$2,"S","S+"))))))))))))))))))))</f>
        <v>F-</v>
      </c>
      <c r="AC316" s="1392"/>
    </row>
    <row r="317">
      <c r="A317" s="1391"/>
      <c r="B317" s="611" t="str">
        <f>IF(C317&lt;'PlayerGrades+'!$Y$44,"F-",IF(C317&lt;'PlayerGrades+'!$Y$43,"F",IF(C317&lt;'PlayerGrades+'!$Y$42,"F+",IF(C317&lt;'PlayerGrades+'!$Y$41,"E-",IF(C317&lt;'PlayerGrades+'!$Y$40,"E",IF(C317&lt;'PlayerGrades+'!$Y$39,"E+",IF(C317&lt;'PlayerGrades+'!$Y$38,"D-",IF(C317&lt;'PlayerGrades+'!$Y$37,"D",IF(C317&lt;'PlayerGrades+'!$Y$36,"D+",IF(C317&lt;'PlayerGrades+'!$Y$35,"C-",IF(C317&lt;'PlayerGrades+'!$Y$34,"C",IF(C317&lt;'PlayerGrades+'!$Y$33,"C+",IF(C317&lt;'PlayerGrades+'!$Y$32,"B-",IF(C317&lt;'PlayerGrades+'!$Y$31,"B",IF(C317&lt;'PlayerGrades+'!$Y$30,"B+",IF(C317&lt;'PlayerGrades+'!$Y$29,"A-",IF(C317&lt;'PlayerGrades+'!$Y$28,"A",IF(C317&lt;'PlayerGrades+'!$Y$27,"A+",IF(C317&lt;'PlayerGrades+'!$Y$26,"S-",IF(C317&lt;'PlayerGrades+'!$Y$25,"S","S+"))))))))))))))))))))</f>
        <v>#DIV/0!</v>
      </c>
      <c r="C317" s="1378" t="str">
        <f>('PlayerGrades+'!$Y$47*(VLOOKUP(E317, 'PlayerGrades+'!$X$3:$Y$23, 2, FALSE)))+('PlayerGrades+'!$Y$48*(VLOOKUP(G317, 'PlayerGrades+'!$X$3:$Y$23, 2, FALSE)))+('PlayerGrades+'!$Y$49*(VLOOKUP(I317, 'PlayerGrades+'!$X$3:$Y$23, 2, FALSE)))+('PlayerGrades+'!$Y$50*(VLOOKUP(K317, 'PlayerGrades+'!$X$3:$Y$23, 2, FALSE)))+('PlayerGrades+'!$Y$51*(VLOOKUP(M317, 'PlayerGrades+'!$X$3:$Y$23, 2, FALSE)))+('PlayerGrades+'!$Y$52*(VLOOKUP(O317, 'PlayerGrades+'!$X$3:$Y$23, 2, FALSE)))+('PlayerGrades+'!$Y$53*(VLOOKUP(Q317, 'PlayerGrades+'!$X$3:$Y$23, 2, FALSE)))+('PlayerGrades+'!$Y$54*(VLOOKUP(S317, 'PlayerGrades+'!$X$3:$Y$23, 2, FALSE)))+('PlayerGrades+'!$Y$55*(VLOOKUP(U317, 'PlayerGrades+'!$X$3:$Y$23, 2, FALSE)))</f>
        <v>#DIV/0!</v>
      </c>
      <c r="D317" s="961" t="str">
        <f t="shared" si="1"/>
        <v>#DIV/0!</v>
      </c>
      <c r="E317" s="961" t="str">
        <f>IF(D317&lt;'PlayerGrades+'!$AA$21,"F-",IF(D317&lt;'PlayerGrades+'!$AA$20,"F",IF(D317&lt;'PlayerGrades+'!$AA$19,"F+",IF(D317&lt;'PlayerGrades+'!$AA$18,"E-",IF(D317&lt;'PlayerGrades+'!$AA$17,"E",IF(D317&lt;'PlayerGrades+'!$AA$16,"E+",IF(D317&lt;'PlayerGrades+'!$AA$15,"D-",IF(D317&lt;'PlayerGrades+'!$AA$14,"D",IF(D317&lt;'PlayerGrades+'!$AA$13,"D+",IF(D317&lt;'PlayerGrades+'!$AA$12,"C-",IF(D317&lt;'PlayerGrades+'!$AA$11,"C",IF(D317&lt;'PlayerGrades+'!$AA$10,"C+",IF(D317&lt;'PlayerGrades+'!$AA$9,"B-",IF(D317&lt;'PlayerGrades+'!$AA$8,"B",IF(D317&lt;'PlayerGrades+'!$AA$7,"B+",IF(D317&lt;'PlayerGrades+'!$AA$6,"A-",IF(D317&lt;'PlayerGrades+'!$AA$5,"A",IF(D317&lt;'PlayerGrades+'!$AA$4,"A+",IF(D317&lt;'PlayerGrades+'!$AA$3,"S-",IF(D317&lt;'PlayerGrades+'!$AA$2,"S","S+"))))))))))))))))))))</f>
        <v>#DIV/0!</v>
      </c>
      <c r="F317" s="961" t="str">
        <f t="shared" si="2"/>
        <v>#DIV/0!</v>
      </c>
      <c r="G317" s="961" t="str">
        <f>IF(F317&lt;'PlayerGrades+'!$AB$21,"F-",IF(F317&lt;'PlayerGrades+'!$AB$20,"F",IF(F317&lt;'PlayerGrades+'!$AB$19,"F+",IF(F317&lt;'PlayerGrades+'!$AB$18,"E-",IF(F317&lt;'PlayerGrades+'!$AB$17,"E",IF(F317&lt;'PlayerGrades+'!$AB$16,"E+",IF(F317&lt;'PlayerGrades+'!$AB$15,"D-",IF(F317&lt;'PlayerGrades+'!$AB$14,"D",IF(F317&lt;'PlayerGrades+'!$AB$13,"D+",IF(F317&lt;'PlayerGrades+'!$AB$12,"C-",IF(F317&lt;'PlayerGrades+'!$AB$11,"C",IF(F317&lt;'PlayerGrades+'!$AB$10,"C+",IF(F317&lt;'PlayerGrades+'!$AB$9,"B-",IF(F317&lt;'PlayerGrades+'!$AB$8,"B",IF(F317&lt;'PlayerGrades+'!$AB$7,"B+",IF(F317&lt;'PlayerGrades+'!$AB$6,"A-",IF(F317&lt;'PlayerGrades+'!$AB$5,"A",IF(F317&lt;'PlayerGrades+'!$AB$4,"A+",IF(F317&lt;'PlayerGrades+'!$AB$3,"S-",IF(F317&lt;'PlayerGrades+'!$AB$2,"S","S+"))))))))))))))))))))</f>
        <v>#DIV/0!</v>
      </c>
      <c r="H317" s="961" t="str">
        <f t="shared" si="3"/>
        <v>#DIV/0!</v>
      </c>
      <c r="I317" s="961" t="str">
        <f>IF(H317&lt;'PlayerGrades+'!$AC$21,"F-",IF(H317&lt;'PlayerGrades+'!$AC$20,"F",IF(H317&lt;'PlayerGrades+'!$AC$19,"F+",IF(H317&lt;'PlayerGrades+'!$AC$18,"E-",IF(H317&lt;'PlayerGrades+'!$AC$17,"E",IF(H317&lt;'PlayerGrades+'!$AC$16,"E+",IF(H317&lt;'PlayerGrades+'!$AC$15,"D-",IF(H317&lt;'PlayerGrades+'!$AC$14,"D",IF(H317&lt;'PlayerGrades+'!$AC$13,"D+",IF(H317&lt;'PlayerGrades+'!$AC$12,"C-",IF(H317&lt;'PlayerGrades+'!$AC$11,"C",IF(H317&lt;'PlayerGrades+'!$AC$10,"C+",IF(H317&lt;'PlayerGrades+'!$AC$9,"B-",IF(H317&lt;'PlayerGrades+'!$AC$8,"B",IF(H317&lt;'PlayerGrades+'!$AC$7,"B+",IF(H317&lt;'PlayerGrades+'!$AC$6,"A-",IF(H317&lt;'PlayerGrades+'!$AC$5,"A",IF(H317&lt;'PlayerGrades+'!$AC$4,"A+",IF(H317&lt;'PlayerGrades+'!$AC$3,"S-",IF(H317&lt;'PlayerGrades+'!$AC$2,"S","S+"))))))))))))))))))))</f>
        <v>#DIV/0!</v>
      </c>
      <c r="J317" s="961" t="str">
        <f t="shared" si="4"/>
        <v>#DIV/0!</v>
      </c>
      <c r="K317" s="961" t="str">
        <f>IF(J317&lt;'PlayerGrades+'!$AD$21,"F-",IF(J317&lt;'PlayerGrades+'!$AD$20,"F",IF(J317&lt;'PlayerGrades+'!$AD$19,"F+",IF(J317&lt;'PlayerGrades+'!$AD$18,"E-",IF(J317&lt;'PlayerGrades+'!$AD$17,"E",IF(J317&lt;'PlayerGrades+'!$AD$16,"E+",IF(J317&lt;'PlayerGrades+'!$AD$15,"D-",IF(J317&lt;'PlayerGrades+'!$AD$14,"D",IF(J317&lt;'PlayerGrades+'!$AD$13,"D+",IF(J317&lt;'PlayerGrades+'!$AD$12,"C-",IF(J317&lt;'PlayerGrades+'!$AD$11,"C",IF(J317&lt;'PlayerGrades+'!$AD$10,"C+",IF(J317&lt;'PlayerGrades+'!$AD$9,"B-",IF(J317&lt;'PlayerGrades+'!$AD$8,"B",IF(J317&lt;'PlayerGrades+'!$AD$7,"B+",IF(J317&lt;'PlayerGrades+'!$AD$6,"A-",IF(J317&lt;'PlayerGrades+'!$AD$5,"A",IF(J317&lt;'PlayerGrades+'!$AD$4,"A+",IF(J317&lt;'PlayerGrades+'!$AD$3,"S-",IF(J317&lt;'PlayerGrades+'!$AD$2,"S","S+"))))))))))))))))))))</f>
        <v>#DIV/0!</v>
      </c>
      <c r="L317" s="1176" t="str">
        <f t="shared" si="5"/>
        <v>#DIV/0!</v>
      </c>
      <c r="M317" s="992" t="str">
        <f>IF(L317&lt;'PlayerGrades+'!$AE$21,"F-",IF(L317&lt;'PlayerGrades+'!$AE$20,"F",IF(L317&lt;'PlayerGrades+'!$AE$19,"F+",IF(L317&lt;'PlayerGrades+'!$AE$18,"E-",IF(L317&lt;'PlayerGrades+'!$AE$17,"E",IF(L317&lt;'PlayerGrades+'!$AE$16,"E+",IF(L317&lt;'PlayerGrades+'!$AE$15,"D-",IF(L317&lt;'PlayerGrades+'!$AE$14,"D",IF(L317&lt;'PlayerGrades+'!$AE$13,"D+",IF(L317&lt;'PlayerGrades+'!$AE$12,"C-",IF(L317&lt;'PlayerGrades+'!$AE$11,"C",IF(L317&lt;'PlayerGrades+'!$AE$10,"C+",IF(L317&lt;'PlayerGrades+'!$AE$9,"B-",IF(L317&lt;'PlayerGrades+'!$AE$8,"B",IF(L317&lt;'PlayerGrades+'!$AE$7,"B+",IF(L317&lt;'PlayerGrades+'!$AE$6,"A-",IF(L317&lt;'PlayerGrades+'!$AE$5,"A",IF(L317&lt;'PlayerGrades+'!$AE$4,"A+",IF(L317&lt;'PlayerGrades+'!$AE$3,"S-",IF(L317&lt;'PlayerGrades+'!$AE$2,"S","S+"))))))))))))))))))))</f>
        <v>#DIV/0!</v>
      </c>
      <c r="N317" s="961" t="str">
        <f t="shared" si="6"/>
        <v>#DIV/0!</v>
      </c>
      <c r="O317" s="961" t="str">
        <f>IF(N317&lt;'PlayerGrades+'!$AF$21,"F-",IF(N317&lt;'PlayerGrades+'!$AF$20,"F",IF(N317&lt;'PlayerGrades+'!$AF$19,"F+",IF(N317&lt;'PlayerGrades+'!$AF$18,"E-",IF(N317&lt;'PlayerGrades+'!$AF$17,"E",IF(N317&lt;'PlayerGrades+'!$AF$16,"E+",IF(N317&lt;'PlayerGrades+'!$AF$15,"D-",IF(N317&lt;'PlayerGrades+'!$AF$14,"D",IF(N317&lt;'PlayerGrades+'!$AF$13,"D+",IF(N317&lt;'PlayerGrades+'!$AF$12,"C-",IF(N317&lt;'PlayerGrades+'!$AF$11,"C",IF(N317&lt;'PlayerGrades+'!$AF$10,"C+",IF(N317&lt;'PlayerGrades+'!$AF$9,"B-",IF(N317&lt;'PlayerGrades+'!$AF$8,"B",IF(N317&lt;'PlayerGrades+'!$AF$7,"B+",IF(N317&lt;'PlayerGrades+'!$AF$6,"A-",IF(N317&lt;'PlayerGrades+'!$AF$5,"A",IF(N317&lt;'PlayerGrades+'!$AF$4,"A+",IF(N317&lt;'PlayerGrades+'!$AF$3,"S-",IF(N317&lt;'PlayerGrades+'!$AF$2,"S","S+"))))))))))))))))))))</f>
        <v>#DIV/0!</v>
      </c>
      <c r="P317" s="961" t="str">
        <f t="shared" si="7"/>
        <v>#DIV/0!</v>
      </c>
      <c r="Q317" s="961" t="str">
        <f>IF(P317&lt;'PlayerGrades+'!$AG$21,"F-",IF(P317&lt;'PlayerGrades+'!$AG$20,"F",IF(P317&lt;'PlayerGrades+'!$AG$19,"F+",IF(P317&lt;'PlayerGrades+'!$AG$18,"E-",IF(P317&lt;'PlayerGrades+'!$AG$17,"E",IF(P317&lt;'PlayerGrades+'!$AG$16,"E+",IF(P317&lt;'PlayerGrades+'!$AG$15,"D-",IF(P317&lt;'PlayerGrades+'!$AG$14,"D",IF(P317&lt;'PlayerGrades+'!$AG$13,"D+",IF(P317&lt;'PlayerGrades+'!$AG$12,"C-",IF(P317&lt;'PlayerGrades+'!$AG$11,"C",IF(P317&lt;'PlayerGrades+'!$AG$10,"C+",IF(P317&lt;'PlayerGrades+'!$AG$9,"B-",IF(P317&lt;'PlayerGrades+'!$AG$8,"B",IF(P317&lt;'PlayerGrades+'!$AG$7,"B+",IF(P317&lt;'PlayerGrades+'!$AG$6,"A-",IF(P317&lt;'PlayerGrades+'!$AG$5,"A",IF(P317&lt;'PlayerGrades+'!$AG$4,"A+",IF(P317&lt;'PlayerGrades+'!$AG$3,"S-",IF(P317&lt;'PlayerGrades+'!$AG$2,"S","S+"))))))))))))))))))))</f>
        <v>#DIV/0!</v>
      </c>
      <c r="R317" s="961" t="str">
        <f t="shared" si="8"/>
        <v>#DIV/0!</v>
      </c>
      <c r="S317" s="961" t="str">
        <f>IF(R317&lt;'PlayerGrades+'!$AH$21,"F-",IF(R317&lt;'PlayerGrades+'!$AH$20,"F",IF(R317&lt;'PlayerGrades+'!$AH$19,"F+",IF(R317&lt;'PlayerGrades+'!$AH$18,"E-",IF(R317&lt;'PlayerGrades+'!$AH$17,"E",IF(R317&lt;'PlayerGrades+'!$AH$16,"E+",IF(R317&lt;'PlayerGrades+'!$AH$15,"D-",IF(R317&lt;'PlayerGrades+'!$AH$14,"D",IF(R317&lt;'PlayerGrades+'!$AH$13,"D+",IF(R317&lt;'PlayerGrades+'!$AH$12,"C-",IF(R317&lt;'PlayerGrades+'!$AH$11,"C",IF(R317&lt;'PlayerGrades+'!$AH$10,"C+",IF(R317&lt;'PlayerGrades+'!$AH$9,"B-",IF(R317&lt;'PlayerGrades+'!$AH$8,"B",IF(R317&lt;'PlayerGrades+'!$AH$7,"B+",IF(R317&lt;'PlayerGrades+'!$AH$6,"A-",IF(R317&lt;'PlayerGrades+'!$AH$5,"A",IF(R317&lt;'PlayerGrades+'!$AH$4,"A+",IF(R317&lt;'PlayerGrades+'!$AH$3,"S-",IF(R317&lt;'PlayerGrades+'!$AH$2,"S","S+"))))))))))))))))))))</f>
        <v>#DIV/0!</v>
      </c>
      <c r="T317" s="961">
        <f t="shared" si="9"/>
        <v>0</v>
      </c>
      <c r="U317" s="961" t="str">
        <f>IF(T317&lt;'PlayerGrades+'!$AI$21,"F-",IF(T317&lt;'PlayerGrades+'!$AI$20,"F",IF(T317&lt;'PlayerGrades+'!$AI$19,"F+",IF(T317&lt;'PlayerGrades+'!$AI$18,"E-",IF(T317&lt;'PlayerGrades+'!$AI$17,"E",IF(T317&lt;'PlayerGrades+'!$AI$16,"E+",IF(T317&lt;'PlayerGrades+'!$AI$15,"D-",IF(T317&lt;'PlayerGrades+'!$AI$14,"D",IF(T317&lt;'PlayerGrades+'!$AI$13,"D+",IF(T317&lt;'PlayerGrades+'!$AI$12,"C-",IF(T317&lt;'PlayerGrades+'!$AI$11,"C",IF(T317&lt;'PlayerGrades+'!$AI$10,"C+",IF(T317&lt;'PlayerGrades+'!$AI$9,"B-",IF(T317&lt;'PlayerGrades+'!$AI$8,"B",IF(T317&lt;'PlayerGrades+'!$AI$7,"B+",IF(T317&lt;'PlayerGrades+'!$AI$6,"A-",IF(T317&lt;'PlayerGrades+'!$AI$5,"A",IF(T317&lt;'PlayerGrades+'!$AI$4,"A+",IF(T317&lt;'PlayerGrades+'!$AI$3,"S-",IF(T317&lt;'PlayerGrades+'!$AI$2,"S","S+"))))))))))))))))))))</f>
        <v>F-</v>
      </c>
      <c r="AC317" s="1392"/>
    </row>
    <row r="318">
      <c r="A318" s="1391"/>
      <c r="B318" s="611" t="str">
        <f>IF(C318&lt;'PlayerGrades+'!$Y$44,"F-",IF(C318&lt;'PlayerGrades+'!$Y$43,"F",IF(C318&lt;'PlayerGrades+'!$Y$42,"F+",IF(C318&lt;'PlayerGrades+'!$Y$41,"E-",IF(C318&lt;'PlayerGrades+'!$Y$40,"E",IF(C318&lt;'PlayerGrades+'!$Y$39,"E+",IF(C318&lt;'PlayerGrades+'!$Y$38,"D-",IF(C318&lt;'PlayerGrades+'!$Y$37,"D",IF(C318&lt;'PlayerGrades+'!$Y$36,"D+",IF(C318&lt;'PlayerGrades+'!$Y$35,"C-",IF(C318&lt;'PlayerGrades+'!$Y$34,"C",IF(C318&lt;'PlayerGrades+'!$Y$33,"C+",IF(C318&lt;'PlayerGrades+'!$Y$32,"B-",IF(C318&lt;'PlayerGrades+'!$Y$31,"B",IF(C318&lt;'PlayerGrades+'!$Y$30,"B+",IF(C318&lt;'PlayerGrades+'!$Y$29,"A-",IF(C318&lt;'PlayerGrades+'!$Y$28,"A",IF(C318&lt;'PlayerGrades+'!$Y$27,"A+",IF(C318&lt;'PlayerGrades+'!$Y$26,"S-",IF(C318&lt;'PlayerGrades+'!$Y$25,"S","S+"))))))))))))))))))))</f>
        <v>#DIV/0!</v>
      </c>
      <c r="C318" s="1378" t="str">
        <f>('PlayerGrades+'!$Y$47*(VLOOKUP(E318, 'PlayerGrades+'!$X$3:$Y$23, 2, FALSE)))+('PlayerGrades+'!$Y$48*(VLOOKUP(G318, 'PlayerGrades+'!$X$3:$Y$23, 2, FALSE)))+('PlayerGrades+'!$Y$49*(VLOOKUP(I318, 'PlayerGrades+'!$X$3:$Y$23, 2, FALSE)))+('PlayerGrades+'!$Y$50*(VLOOKUP(K318, 'PlayerGrades+'!$X$3:$Y$23, 2, FALSE)))+('PlayerGrades+'!$Y$51*(VLOOKUP(M318, 'PlayerGrades+'!$X$3:$Y$23, 2, FALSE)))+('PlayerGrades+'!$Y$52*(VLOOKUP(O318, 'PlayerGrades+'!$X$3:$Y$23, 2, FALSE)))+('PlayerGrades+'!$Y$53*(VLOOKUP(Q318, 'PlayerGrades+'!$X$3:$Y$23, 2, FALSE)))+('PlayerGrades+'!$Y$54*(VLOOKUP(S318, 'PlayerGrades+'!$X$3:$Y$23, 2, FALSE)))+('PlayerGrades+'!$Y$55*(VLOOKUP(U318, 'PlayerGrades+'!$X$3:$Y$23, 2, FALSE)))</f>
        <v>#DIV/0!</v>
      </c>
      <c r="D318" s="961" t="str">
        <f t="shared" si="1"/>
        <v>#DIV/0!</v>
      </c>
      <c r="E318" s="961" t="str">
        <f>IF(D318&lt;'PlayerGrades+'!$AA$21,"F-",IF(D318&lt;'PlayerGrades+'!$AA$20,"F",IF(D318&lt;'PlayerGrades+'!$AA$19,"F+",IF(D318&lt;'PlayerGrades+'!$AA$18,"E-",IF(D318&lt;'PlayerGrades+'!$AA$17,"E",IF(D318&lt;'PlayerGrades+'!$AA$16,"E+",IF(D318&lt;'PlayerGrades+'!$AA$15,"D-",IF(D318&lt;'PlayerGrades+'!$AA$14,"D",IF(D318&lt;'PlayerGrades+'!$AA$13,"D+",IF(D318&lt;'PlayerGrades+'!$AA$12,"C-",IF(D318&lt;'PlayerGrades+'!$AA$11,"C",IF(D318&lt;'PlayerGrades+'!$AA$10,"C+",IF(D318&lt;'PlayerGrades+'!$AA$9,"B-",IF(D318&lt;'PlayerGrades+'!$AA$8,"B",IF(D318&lt;'PlayerGrades+'!$AA$7,"B+",IF(D318&lt;'PlayerGrades+'!$AA$6,"A-",IF(D318&lt;'PlayerGrades+'!$AA$5,"A",IF(D318&lt;'PlayerGrades+'!$AA$4,"A+",IF(D318&lt;'PlayerGrades+'!$AA$3,"S-",IF(D318&lt;'PlayerGrades+'!$AA$2,"S","S+"))))))))))))))))))))</f>
        <v>#DIV/0!</v>
      </c>
      <c r="F318" s="961" t="str">
        <f t="shared" si="2"/>
        <v>#DIV/0!</v>
      </c>
      <c r="G318" s="961" t="str">
        <f>IF(F318&lt;'PlayerGrades+'!$AB$21,"F-",IF(F318&lt;'PlayerGrades+'!$AB$20,"F",IF(F318&lt;'PlayerGrades+'!$AB$19,"F+",IF(F318&lt;'PlayerGrades+'!$AB$18,"E-",IF(F318&lt;'PlayerGrades+'!$AB$17,"E",IF(F318&lt;'PlayerGrades+'!$AB$16,"E+",IF(F318&lt;'PlayerGrades+'!$AB$15,"D-",IF(F318&lt;'PlayerGrades+'!$AB$14,"D",IF(F318&lt;'PlayerGrades+'!$AB$13,"D+",IF(F318&lt;'PlayerGrades+'!$AB$12,"C-",IF(F318&lt;'PlayerGrades+'!$AB$11,"C",IF(F318&lt;'PlayerGrades+'!$AB$10,"C+",IF(F318&lt;'PlayerGrades+'!$AB$9,"B-",IF(F318&lt;'PlayerGrades+'!$AB$8,"B",IF(F318&lt;'PlayerGrades+'!$AB$7,"B+",IF(F318&lt;'PlayerGrades+'!$AB$6,"A-",IF(F318&lt;'PlayerGrades+'!$AB$5,"A",IF(F318&lt;'PlayerGrades+'!$AB$4,"A+",IF(F318&lt;'PlayerGrades+'!$AB$3,"S-",IF(F318&lt;'PlayerGrades+'!$AB$2,"S","S+"))))))))))))))))))))</f>
        <v>#DIV/0!</v>
      </c>
      <c r="H318" s="961" t="str">
        <f t="shared" si="3"/>
        <v>#DIV/0!</v>
      </c>
      <c r="I318" s="961" t="str">
        <f>IF(H318&lt;'PlayerGrades+'!$AC$21,"F-",IF(H318&lt;'PlayerGrades+'!$AC$20,"F",IF(H318&lt;'PlayerGrades+'!$AC$19,"F+",IF(H318&lt;'PlayerGrades+'!$AC$18,"E-",IF(H318&lt;'PlayerGrades+'!$AC$17,"E",IF(H318&lt;'PlayerGrades+'!$AC$16,"E+",IF(H318&lt;'PlayerGrades+'!$AC$15,"D-",IF(H318&lt;'PlayerGrades+'!$AC$14,"D",IF(H318&lt;'PlayerGrades+'!$AC$13,"D+",IF(H318&lt;'PlayerGrades+'!$AC$12,"C-",IF(H318&lt;'PlayerGrades+'!$AC$11,"C",IF(H318&lt;'PlayerGrades+'!$AC$10,"C+",IF(H318&lt;'PlayerGrades+'!$AC$9,"B-",IF(H318&lt;'PlayerGrades+'!$AC$8,"B",IF(H318&lt;'PlayerGrades+'!$AC$7,"B+",IF(H318&lt;'PlayerGrades+'!$AC$6,"A-",IF(H318&lt;'PlayerGrades+'!$AC$5,"A",IF(H318&lt;'PlayerGrades+'!$AC$4,"A+",IF(H318&lt;'PlayerGrades+'!$AC$3,"S-",IF(H318&lt;'PlayerGrades+'!$AC$2,"S","S+"))))))))))))))))))))</f>
        <v>#DIV/0!</v>
      </c>
      <c r="J318" s="961" t="str">
        <f t="shared" si="4"/>
        <v>#DIV/0!</v>
      </c>
      <c r="K318" s="961" t="str">
        <f>IF(J318&lt;'PlayerGrades+'!$AD$21,"F-",IF(J318&lt;'PlayerGrades+'!$AD$20,"F",IF(J318&lt;'PlayerGrades+'!$AD$19,"F+",IF(J318&lt;'PlayerGrades+'!$AD$18,"E-",IF(J318&lt;'PlayerGrades+'!$AD$17,"E",IF(J318&lt;'PlayerGrades+'!$AD$16,"E+",IF(J318&lt;'PlayerGrades+'!$AD$15,"D-",IF(J318&lt;'PlayerGrades+'!$AD$14,"D",IF(J318&lt;'PlayerGrades+'!$AD$13,"D+",IF(J318&lt;'PlayerGrades+'!$AD$12,"C-",IF(J318&lt;'PlayerGrades+'!$AD$11,"C",IF(J318&lt;'PlayerGrades+'!$AD$10,"C+",IF(J318&lt;'PlayerGrades+'!$AD$9,"B-",IF(J318&lt;'PlayerGrades+'!$AD$8,"B",IF(J318&lt;'PlayerGrades+'!$AD$7,"B+",IF(J318&lt;'PlayerGrades+'!$AD$6,"A-",IF(J318&lt;'PlayerGrades+'!$AD$5,"A",IF(J318&lt;'PlayerGrades+'!$AD$4,"A+",IF(J318&lt;'PlayerGrades+'!$AD$3,"S-",IF(J318&lt;'PlayerGrades+'!$AD$2,"S","S+"))))))))))))))))))))</f>
        <v>#DIV/0!</v>
      </c>
      <c r="L318" s="1176" t="str">
        <f t="shared" si="5"/>
        <v>#DIV/0!</v>
      </c>
      <c r="M318" s="992" t="str">
        <f>IF(L318&lt;'PlayerGrades+'!$AE$21,"F-",IF(L318&lt;'PlayerGrades+'!$AE$20,"F",IF(L318&lt;'PlayerGrades+'!$AE$19,"F+",IF(L318&lt;'PlayerGrades+'!$AE$18,"E-",IF(L318&lt;'PlayerGrades+'!$AE$17,"E",IF(L318&lt;'PlayerGrades+'!$AE$16,"E+",IF(L318&lt;'PlayerGrades+'!$AE$15,"D-",IF(L318&lt;'PlayerGrades+'!$AE$14,"D",IF(L318&lt;'PlayerGrades+'!$AE$13,"D+",IF(L318&lt;'PlayerGrades+'!$AE$12,"C-",IF(L318&lt;'PlayerGrades+'!$AE$11,"C",IF(L318&lt;'PlayerGrades+'!$AE$10,"C+",IF(L318&lt;'PlayerGrades+'!$AE$9,"B-",IF(L318&lt;'PlayerGrades+'!$AE$8,"B",IF(L318&lt;'PlayerGrades+'!$AE$7,"B+",IF(L318&lt;'PlayerGrades+'!$AE$6,"A-",IF(L318&lt;'PlayerGrades+'!$AE$5,"A",IF(L318&lt;'PlayerGrades+'!$AE$4,"A+",IF(L318&lt;'PlayerGrades+'!$AE$3,"S-",IF(L318&lt;'PlayerGrades+'!$AE$2,"S","S+"))))))))))))))))))))</f>
        <v>#DIV/0!</v>
      </c>
      <c r="N318" s="961" t="str">
        <f t="shared" si="6"/>
        <v>#DIV/0!</v>
      </c>
      <c r="O318" s="961" t="str">
        <f>IF(N318&lt;'PlayerGrades+'!$AF$21,"F-",IF(N318&lt;'PlayerGrades+'!$AF$20,"F",IF(N318&lt;'PlayerGrades+'!$AF$19,"F+",IF(N318&lt;'PlayerGrades+'!$AF$18,"E-",IF(N318&lt;'PlayerGrades+'!$AF$17,"E",IF(N318&lt;'PlayerGrades+'!$AF$16,"E+",IF(N318&lt;'PlayerGrades+'!$AF$15,"D-",IF(N318&lt;'PlayerGrades+'!$AF$14,"D",IF(N318&lt;'PlayerGrades+'!$AF$13,"D+",IF(N318&lt;'PlayerGrades+'!$AF$12,"C-",IF(N318&lt;'PlayerGrades+'!$AF$11,"C",IF(N318&lt;'PlayerGrades+'!$AF$10,"C+",IF(N318&lt;'PlayerGrades+'!$AF$9,"B-",IF(N318&lt;'PlayerGrades+'!$AF$8,"B",IF(N318&lt;'PlayerGrades+'!$AF$7,"B+",IF(N318&lt;'PlayerGrades+'!$AF$6,"A-",IF(N318&lt;'PlayerGrades+'!$AF$5,"A",IF(N318&lt;'PlayerGrades+'!$AF$4,"A+",IF(N318&lt;'PlayerGrades+'!$AF$3,"S-",IF(N318&lt;'PlayerGrades+'!$AF$2,"S","S+"))))))))))))))))))))</f>
        <v>#DIV/0!</v>
      </c>
      <c r="P318" s="961" t="str">
        <f t="shared" si="7"/>
        <v>#DIV/0!</v>
      </c>
      <c r="Q318" s="961" t="str">
        <f>IF(P318&lt;'PlayerGrades+'!$AG$21,"F-",IF(P318&lt;'PlayerGrades+'!$AG$20,"F",IF(P318&lt;'PlayerGrades+'!$AG$19,"F+",IF(P318&lt;'PlayerGrades+'!$AG$18,"E-",IF(P318&lt;'PlayerGrades+'!$AG$17,"E",IF(P318&lt;'PlayerGrades+'!$AG$16,"E+",IF(P318&lt;'PlayerGrades+'!$AG$15,"D-",IF(P318&lt;'PlayerGrades+'!$AG$14,"D",IF(P318&lt;'PlayerGrades+'!$AG$13,"D+",IF(P318&lt;'PlayerGrades+'!$AG$12,"C-",IF(P318&lt;'PlayerGrades+'!$AG$11,"C",IF(P318&lt;'PlayerGrades+'!$AG$10,"C+",IF(P318&lt;'PlayerGrades+'!$AG$9,"B-",IF(P318&lt;'PlayerGrades+'!$AG$8,"B",IF(P318&lt;'PlayerGrades+'!$AG$7,"B+",IF(P318&lt;'PlayerGrades+'!$AG$6,"A-",IF(P318&lt;'PlayerGrades+'!$AG$5,"A",IF(P318&lt;'PlayerGrades+'!$AG$4,"A+",IF(P318&lt;'PlayerGrades+'!$AG$3,"S-",IF(P318&lt;'PlayerGrades+'!$AG$2,"S","S+"))))))))))))))))))))</f>
        <v>#DIV/0!</v>
      </c>
      <c r="R318" s="961" t="str">
        <f t="shared" si="8"/>
        <v>#DIV/0!</v>
      </c>
      <c r="S318" s="961" t="str">
        <f>IF(R318&lt;'PlayerGrades+'!$AH$21,"F-",IF(R318&lt;'PlayerGrades+'!$AH$20,"F",IF(R318&lt;'PlayerGrades+'!$AH$19,"F+",IF(R318&lt;'PlayerGrades+'!$AH$18,"E-",IF(R318&lt;'PlayerGrades+'!$AH$17,"E",IF(R318&lt;'PlayerGrades+'!$AH$16,"E+",IF(R318&lt;'PlayerGrades+'!$AH$15,"D-",IF(R318&lt;'PlayerGrades+'!$AH$14,"D",IF(R318&lt;'PlayerGrades+'!$AH$13,"D+",IF(R318&lt;'PlayerGrades+'!$AH$12,"C-",IF(R318&lt;'PlayerGrades+'!$AH$11,"C",IF(R318&lt;'PlayerGrades+'!$AH$10,"C+",IF(R318&lt;'PlayerGrades+'!$AH$9,"B-",IF(R318&lt;'PlayerGrades+'!$AH$8,"B",IF(R318&lt;'PlayerGrades+'!$AH$7,"B+",IF(R318&lt;'PlayerGrades+'!$AH$6,"A-",IF(R318&lt;'PlayerGrades+'!$AH$5,"A",IF(R318&lt;'PlayerGrades+'!$AH$4,"A+",IF(R318&lt;'PlayerGrades+'!$AH$3,"S-",IF(R318&lt;'PlayerGrades+'!$AH$2,"S","S+"))))))))))))))))))))</f>
        <v>#DIV/0!</v>
      </c>
      <c r="T318" s="961">
        <f t="shared" si="9"/>
        <v>0</v>
      </c>
      <c r="U318" s="961" t="str">
        <f>IF(T318&lt;'PlayerGrades+'!$AI$21,"F-",IF(T318&lt;'PlayerGrades+'!$AI$20,"F",IF(T318&lt;'PlayerGrades+'!$AI$19,"F+",IF(T318&lt;'PlayerGrades+'!$AI$18,"E-",IF(T318&lt;'PlayerGrades+'!$AI$17,"E",IF(T318&lt;'PlayerGrades+'!$AI$16,"E+",IF(T318&lt;'PlayerGrades+'!$AI$15,"D-",IF(T318&lt;'PlayerGrades+'!$AI$14,"D",IF(T318&lt;'PlayerGrades+'!$AI$13,"D+",IF(T318&lt;'PlayerGrades+'!$AI$12,"C-",IF(T318&lt;'PlayerGrades+'!$AI$11,"C",IF(T318&lt;'PlayerGrades+'!$AI$10,"C+",IF(T318&lt;'PlayerGrades+'!$AI$9,"B-",IF(T318&lt;'PlayerGrades+'!$AI$8,"B",IF(T318&lt;'PlayerGrades+'!$AI$7,"B+",IF(T318&lt;'PlayerGrades+'!$AI$6,"A-",IF(T318&lt;'PlayerGrades+'!$AI$5,"A",IF(T318&lt;'PlayerGrades+'!$AI$4,"A+",IF(T318&lt;'PlayerGrades+'!$AI$3,"S-",IF(T318&lt;'PlayerGrades+'!$AI$2,"S","S+"))))))))))))))))))))</f>
        <v>F-</v>
      </c>
      <c r="AC318" s="1392"/>
    </row>
    <row r="319">
      <c r="A319" s="1391"/>
      <c r="B319" s="611" t="str">
        <f>IF(C319&lt;'PlayerGrades+'!$Y$44,"F-",IF(C319&lt;'PlayerGrades+'!$Y$43,"F",IF(C319&lt;'PlayerGrades+'!$Y$42,"F+",IF(C319&lt;'PlayerGrades+'!$Y$41,"E-",IF(C319&lt;'PlayerGrades+'!$Y$40,"E",IF(C319&lt;'PlayerGrades+'!$Y$39,"E+",IF(C319&lt;'PlayerGrades+'!$Y$38,"D-",IF(C319&lt;'PlayerGrades+'!$Y$37,"D",IF(C319&lt;'PlayerGrades+'!$Y$36,"D+",IF(C319&lt;'PlayerGrades+'!$Y$35,"C-",IF(C319&lt;'PlayerGrades+'!$Y$34,"C",IF(C319&lt;'PlayerGrades+'!$Y$33,"C+",IF(C319&lt;'PlayerGrades+'!$Y$32,"B-",IF(C319&lt;'PlayerGrades+'!$Y$31,"B",IF(C319&lt;'PlayerGrades+'!$Y$30,"B+",IF(C319&lt;'PlayerGrades+'!$Y$29,"A-",IF(C319&lt;'PlayerGrades+'!$Y$28,"A",IF(C319&lt;'PlayerGrades+'!$Y$27,"A+",IF(C319&lt;'PlayerGrades+'!$Y$26,"S-",IF(C319&lt;'PlayerGrades+'!$Y$25,"S","S+"))))))))))))))))))))</f>
        <v>#DIV/0!</v>
      </c>
      <c r="C319" s="1378" t="str">
        <f>('PlayerGrades+'!$Y$47*(VLOOKUP(E319, 'PlayerGrades+'!$X$3:$Y$23, 2, FALSE)))+('PlayerGrades+'!$Y$48*(VLOOKUP(G319, 'PlayerGrades+'!$X$3:$Y$23, 2, FALSE)))+('PlayerGrades+'!$Y$49*(VLOOKUP(I319, 'PlayerGrades+'!$X$3:$Y$23, 2, FALSE)))+('PlayerGrades+'!$Y$50*(VLOOKUP(K319, 'PlayerGrades+'!$X$3:$Y$23, 2, FALSE)))+('PlayerGrades+'!$Y$51*(VLOOKUP(M319, 'PlayerGrades+'!$X$3:$Y$23, 2, FALSE)))+('PlayerGrades+'!$Y$52*(VLOOKUP(O319, 'PlayerGrades+'!$X$3:$Y$23, 2, FALSE)))+('PlayerGrades+'!$Y$53*(VLOOKUP(Q319, 'PlayerGrades+'!$X$3:$Y$23, 2, FALSE)))+('PlayerGrades+'!$Y$54*(VLOOKUP(S319, 'PlayerGrades+'!$X$3:$Y$23, 2, FALSE)))+('PlayerGrades+'!$Y$55*(VLOOKUP(U319, 'PlayerGrades+'!$X$3:$Y$23, 2, FALSE)))</f>
        <v>#DIV/0!</v>
      </c>
      <c r="D319" s="961" t="str">
        <f t="shared" si="1"/>
        <v>#DIV/0!</v>
      </c>
      <c r="E319" s="961" t="str">
        <f>IF(D319&lt;'PlayerGrades+'!$AA$21,"F-",IF(D319&lt;'PlayerGrades+'!$AA$20,"F",IF(D319&lt;'PlayerGrades+'!$AA$19,"F+",IF(D319&lt;'PlayerGrades+'!$AA$18,"E-",IF(D319&lt;'PlayerGrades+'!$AA$17,"E",IF(D319&lt;'PlayerGrades+'!$AA$16,"E+",IF(D319&lt;'PlayerGrades+'!$AA$15,"D-",IF(D319&lt;'PlayerGrades+'!$AA$14,"D",IF(D319&lt;'PlayerGrades+'!$AA$13,"D+",IF(D319&lt;'PlayerGrades+'!$AA$12,"C-",IF(D319&lt;'PlayerGrades+'!$AA$11,"C",IF(D319&lt;'PlayerGrades+'!$AA$10,"C+",IF(D319&lt;'PlayerGrades+'!$AA$9,"B-",IF(D319&lt;'PlayerGrades+'!$AA$8,"B",IF(D319&lt;'PlayerGrades+'!$AA$7,"B+",IF(D319&lt;'PlayerGrades+'!$AA$6,"A-",IF(D319&lt;'PlayerGrades+'!$AA$5,"A",IF(D319&lt;'PlayerGrades+'!$AA$4,"A+",IF(D319&lt;'PlayerGrades+'!$AA$3,"S-",IF(D319&lt;'PlayerGrades+'!$AA$2,"S","S+"))))))))))))))))))))</f>
        <v>#DIV/0!</v>
      </c>
      <c r="F319" s="961" t="str">
        <f t="shared" si="2"/>
        <v>#DIV/0!</v>
      </c>
      <c r="G319" s="961" t="str">
        <f>IF(F319&lt;'PlayerGrades+'!$AB$21,"F-",IF(F319&lt;'PlayerGrades+'!$AB$20,"F",IF(F319&lt;'PlayerGrades+'!$AB$19,"F+",IF(F319&lt;'PlayerGrades+'!$AB$18,"E-",IF(F319&lt;'PlayerGrades+'!$AB$17,"E",IF(F319&lt;'PlayerGrades+'!$AB$16,"E+",IF(F319&lt;'PlayerGrades+'!$AB$15,"D-",IF(F319&lt;'PlayerGrades+'!$AB$14,"D",IF(F319&lt;'PlayerGrades+'!$AB$13,"D+",IF(F319&lt;'PlayerGrades+'!$AB$12,"C-",IF(F319&lt;'PlayerGrades+'!$AB$11,"C",IF(F319&lt;'PlayerGrades+'!$AB$10,"C+",IF(F319&lt;'PlayerGrades+'!$AB$9,"B-",IF(F319&lt;'PlayerGrades+'!$AB$8,"B",IF(F319&lt;'PlayerGrades+'!$AB$7,"B+",IF(F319&lt;'PlayerGrades+'!$AB$6,"A-",IF(F319&lt;'PlayerGrades+'!$AB$5,"A",IF(F319&lt;'PlayerGrades+'!$AB$4,"A+",IF(F319&lt;'PlayerGrades+'!$AB$3,"S-",IF(F319&lt;'PlayerGrades+'!$AB$2,"S","S+"))))))))))))))))))))</f>
        <v>#DIV/0!</v>
      </c>
      <c r="H319" s="961" t="str">
        <f t="shared" si="3"/>
        <v>#DIV/0!</v>
      </c>
      <c r="I319" s="961" t="str">
        <f>IF(H319&lt;'PlayerGrades+'!$AC$21,"F-",IF(H319&lt;'PlayerGrades+'!$AC$20,"F",IF(H319&lt;'PlayerGrades+'!$AC$19,"F+",IF(H319&lt;'PlayerGrades+'!$AC$18,"E-",IF(H319&lt;'PlayerGrades+'!$AC$17,"E",IF(H319&lt;'PlayerGrades+'!$AC$16,"E+",IF(H319&lt;'PlayerGrades+'!$AC$15,"D-",IF(H319&lt;'PlayerGrades+'!$AC$14,"D",IF(H319&lt;'PlayerGrades+'!$AC$13,"D+",IF(H319&lt;'PlayerGrades+'!$AC$12,"C-",IF(H319&lt;'PlayerGrades+'!$AC$11,"C",IF(H319&lt;'PlayerGrades+'!$AC$10,"C+",IF(H319&lt;'PlayerGrades+'!$AC$9,"B-",IF(H319&lt;'PlayerGrades+'!$AC$8,"B",IF(H319&lt;'PlayerGrades+'!$AC$7,"B+",IF(H319&lt;'PlayerGrades+'!$AC$6,"A-",IF(H319&lt;'PlayerGrades+'!$AC$5,"A",IF(H319&lt;'PlayerGrades+'!$AC$4,"A+",IF(H319&lt;'PlayerGrades+'!$AC$3,"S-",IF(H319&lt;'PlayerGrades+'!$AC$2,"S","S+"))))))))))))))))))))</f>
        <v>#DIV/0!</v>
      </c>
      <c r="J319" s="961" t="str">
        <f t="shared" si="4"/>
        <v>#DIV/0!</v>
      </c>
      <c r="K319" s="961" t="str">
        <f>IF(J319&lt;'PlayerGrades+'!$AD$21,"F-",IF(J319&lt;'PlayerGrades+'!$AD$20,"F",IF(J319&lt;'PlayerGrades+'!$AD$19,"F+",IF(J319&lt;'PlayerGrades+'!$AD$18,"E-",IF(J319&lt;'PlayerGrades+'!$AD$17,"E",IF(J319&lt;'PlayerGrades+'!$AD$16,"E+",IF(J319&lt;'PlayerGrades+'!$AD$15,"D-",IF(J319&lt;'PlayerGrades+'!$AD$14,"D",IF(J319&lt;'PlayerGrades+'!$AD$13,"D+",IF(J319&lt;'PlayerGrades+'!$AD$12,"C-",IF(J319&lt;'PlayerGrades+'!$AD$11,"C",IF(J319&lt;'PlayerGrades+'!$AD$10,"C+",IF(J319&lt;'PlayerGrades+'!$AD$9,"B-",IF(J319&lt;'PlayerGrades+'!$AD$8,"B",IF(J319&lt;'PlayerGrades+'!$AD$7,"B+",IF(J319&lt;'PlayerGrades+'!$AD$6,"A-",IF(J319&lt;'PlayerGrades+'!$AD$5,"A",IF(J319&lt;'PlayerGrades+'!$AD$4,"A+",IF(J319&lt;'PlayerGrades+'!$AD$3,"S-",IF(J319&lt;'PlayerGrades+'!$AD$2,"S","S+"))))))))))))))))))))</f>
        <v>#DIV/0!</v>
      </c>
      <c r="L319" s="1176" t="str">
        <f t="shared" si="5"/>
        <v>#DIV/0!</v>
      </c>
      <c r="M319" s="992" t="str">
        <f>IF(L319&lt;'PlayerGrades+'!$AE$21,"F-",IF(L319&lt;'PlayerGrades+'!$AE$20,"F",IF(L319&lt;'PlayerGrades+'!$AE$19,"F+",IF(L319&lt;'PlayerGrades+'!$AE$18,"E-",IF(L319&lt;'PlayerGrades+'!$AE$17,"E",IF(L319&lt;'PlayerGrades+'!$AE$16,"E+",IF(L319&lt;'PlayerGrades+'!$AE$15,"D-",IF(L319&lt;'PlayerGrades+'!$AE$14,"D",IF(L319&lt;'PlayerGrades+'!$AE$13,"D+",IF(L319&lt;'PlayerGrades+'!$AE$12,"C-",IF(L319&lt;'PlayerGrades+'!$AE$11,"C",IF(L319&lt;'PlayerGrades+'!$AE$10,"C+",IF(L319&lt;'PlayerGrades+'!$AE$9,"B-",IF(L319&lt;'PlayerGrades+'!$AE$8,"B",IF(L319&lt;'PlayerGrades+'!$AE$7,"B+",IF(L319&lt;'PlayerGrades+'!$AE$6,"A-",IF(L319&lt;'PlayerGrades+'!$AE$5,"A",IF(L319&lt;'PlayerGrades+'!$AE$4,"A+",IF(L319&lt;'PlayerGrades+'!$AE$3,"S-",IF(L319&lt;'PlayerGrades+'!$AE$2,"S","S+"))))))))))))))))))))</f>
        <v>#DIV/0!</v>
      </c>
      <c r="N319" s="961" t="str">
        <f t="shared" si="6"/>
        <v>#DIV/0!</v>
      </c>
      <c r="O319" s="961" t="str">
        <f>IF(N319&lt;'PlayerGrades+'!$AF$21,"F-",IF(N319&lt;'PlayerGrades+'!$AF$20,"F",IF(N319&lt;'PlayerGrades+'!$AF$19,"F+",IF(N319&lt;'PlayerGrades+'!$AF$18,"E-",IF(N319&lt;'PlayerGrades+'!$AF$17,"E",IF(N319&lt;'PlayerGrades+'!$AF$16,"E+",IF(N319&lt;'PlayerGrades+'!$AF$15,"D-",IF(N319&lt;'PlayerGrades+'!$AF$14,"D",IF(N319&lt;'PlayerGrades+'!$AF$13,"D+",IF(N319&lt;'PlayerGrades+'!$AF$12,"C-",IF(N319&lt;'PlayerGrades+'!$AF$11,"C",IF(N319&lt;'PlayerGrades+'!$AF$10,"C+",IF(N319&lt;'PlayerGrades+'!$AF$9,"B-",IF(N319&lt;'PlayerGrades+'!$AF$8,"B",IF(N319&lt;'PlayerGrades+'!$AF$7,"B+",IF(N319&lt;'PlayerGrades+'!$AF$6,"A-",IF(N319&lt;'PlayerGrades+'!$AF$5,"A",IF(N319&lt;'PlayerGrades+'!$AF$4,"A+",IF(N319&lt;'PlayerGrades+'!$AF$3,"S-",IF(N319&lt;'PlayerGrades+'!$AF$2,"S","S+"))))))))))))))))))))</f>
        <v>#DIV/0!</v>
      </c>
      <c r="P319" s="961" t="str">
        <f t="shared" si="7"/>
        <v>#DIV/0!</v>
      </c>
      <c r="Q319" s="961" t="str">
        <f>IF(P319&lt;'PlayerGrades+'!$AG$21,"F-",IF(P319&lt;'PlayerGrades+'!$AG$20,"F",IF(P319&lt;'PlayerGrades+'!$AG$19,"F+",IF(P319&lt;'PlayerGrades+'!$AG$18,"E-",IF(P319&lt;'PlayerGrades+'!$AG$17,"E",IF(P319&lt;'PlayerGrades+'!$AG$16,"E+",IF(P319&lt;'PlayerGrades+'!$AG$15,"D-",IF(P319&lt;'PlayerGrades+'!$AG$14,"D",IF(P319&lt;'PlayerGrades+'!$AG$13,"D+",IF(P319&lt;'PlayerGrades+'!$AG$12,"C-",IF(P319&lt;'PlayerGrades+'!$AG$11,"C",IF(P319&lt;'PlayerGrades+'!$AG$10,"C+",IF(P319&lt;'PlayerGrades+'!$AG$9,"B-",IF(P319&lt;'PlayerGrades+'!$AG$8,"B",IF(P319&lt;'PlayerGrades+'!$AG$7,"B+",IF(P319&lt;'PlayerGrades+'!$AG$6,"A-",IF(P319&lt;'PlayerGrades+'!$AG$5,"A",IF(P319&lt;'PlayerGrades+'!$AG$4,"A+",IF(P319&lt;'PlayerGrades+'!$AG$3,"S-",IF(P319&lt;'PlayerGrades+'!$AG$2,"S","S+"))))))))))))))))))))</f>
        <v>#DIV/0!</v>
      </c>
      <c r="R319" s="961" t="str">
        <f t="shared" si="8"/>
        <v>#DIV/0!</v>
      </c>
      <c r="S319" s="961" t="str">
        <f>IF(R319&lt;'PlayerGrades+'!$AH$21,"F-",IF(R319&lt;'PlayerGrades+'!$AH$20,"F",IF(R319&lt;'PlayerGrades+'!$AH$19,"F+",IF(R319&lt;'PlayerGrades+'!$AH$18,"E-",IF(R319&lt;'PlayerGrades+'!$AH$17,"E",IF(R319&lt;'PlayerGrades+'!$AH$16,"E+",IF(R319&lt;'PlayerGrades+'!$AH$15,"D-",IF(R319&lt;'PlayerGrades+'!$AH$14,"D",IF(R319&lt;'PlayerGrades+'!$AH$13,"D+",IF(R319&lt;'PlayerGrades+'!$AH$12,"C-",IF(R319&lt;'PlayerGrades+'!$AH$11,"C",IF(R319&lt;'PlayerGrades+'!$AH$10,"C+",IF(R319&lt;'PlayerGrades+'!$AH$9,"B-",IF(R319&lt;'PlayerGrades+'!$AH$8,"B",IF(R319&lt;'PlayerGrades+'!$AH$7,"B+",IF(R319&lt;'PlayerGrades+'!$AH$6,"A-",IF(R319&lt;'PlayerGrades+'!$AH$5,"A",IF(R319&lt;'PlayerGrades+'!$AH$4,"A+",IF(R319&lt;'PlayerGrades+'!$AH$3,"S-",IF(R319&lt;'PlayerGrades+'!$AH$2,"S","S+"))))))))))))))))))))</f>
        <v>#DIV/0!</v>
      </c>
      <c r="T319" s="961">
        <f t="shared" si="9"/>
        <v>0</v>
      </c>
      <c r="U319" s="961" t="str">
        <f>IF(T319&lt;'PlayerGrades+'!$AI$21,"F-",IF(T319&lt;'PlayerGrades+'!$AI$20,"F",IF(T319&lt;'PlayerGrades+'!$AI$19,"F+",IF(T319&lt;'PlayerGrades+'!$AI$18,"E-",IF(T319&lt;'PlayerGrades+'!$AI$17,"E",IF(T319&lt;'PlayerGrades+'!$AI$16,"E+",IF(T319&lt;'PlayerGrades+'!$AI$15,"D-",IF(T319&lt;'PlayerGrades+'!$AI$14,"D",IF(T319&lt;'PlayerGrades+'!$AI$13,"D+",IF(T319&lt;'PlayerGrades+'!$AI$12,"C-",IF(T319&lt;'PlayerGrades+'!$AI$11,"C",IF(T319&lt;'PlayerGrades+'!$AI$10,"C+",IF(T319&lt;'PlayerGrades+'!$AI$9,"B-",IF(T319&lt;'PlayerGrades+'!$AI$8,"B",IF(T319&lt;'PlayerGrades+'!$AI$7,"B+",IF(T319&lt;'PlayerGrades+'!$AI$6,"A-",IF(T319&lt;'PlayerGrades+'!$AI$5,"A",IF(T319&lt;'PlayerGrades+'!$AI$4,"A+",IF(T319&lt;'PlayerGrades+'!$AI$3,"S-",IF(T319&lt;'PlayerGrades+'!$AI$2,"S","S+"))))))))))))))))))))</f>
        <v>F-</v>
      </c>
      <c r="AC319" s="1392"/>
    </row>
    <row r="320">
      <c r="A320" s="1391"/>
      <c r="B320" s="611" t="str">
        <f>IF(C320&lt;'PlayerGrades+'!$Y$44,"F-",IF(C320&lt;'PlayerGrades+'!$Y$43,"F",IF(C320&lt;'PlayerGrades+'!$Y$42,"F+",IF(C320&lt;'PlayerGrades+'!$Y$41,"E-",IF(C320&lt;'PlayerGrades+'!$Y$40,"E",IF(C320&lt;'PlayerGrades+'!$Y$39,"E+",IF(C320&lt;'PlayerGrades+'!$Y$38,"D-",IF(C320&lt;'PlayerGrades+'!$Y$37,"D",IF(C320&lt;'PlayerGrades+'!$Y$36,"D+",IF(C320&lt;'PlayerGrades+'!$Y$35,"C-",IF(C320&lt;'PlayerGrades+'!$Y$34,"C",IF(C320&lt;'PlayerGrades+'!$Y$33,"C+",IF(C320&lt;'PlayerGrades+'!$Y$32,"B-",IF(C320&lt;'PlayerGrades+'!$Y$31,"B",IF(C320&lt;'PlayerGrades+'!$Y$30,"B+",IF(C320&lt;'PlayerGrades+'!$Y$29,"A-",IF(C320&lt;'PlayerGrades+'!$Y$28,"A",IF(C320&lt;'PlayerGrades+'!$Y$27,"A+",IF(C320&lt;'PlayerGrades+'!$Y$26,"S-",IF(C320&lt;'PlayerGrades+'!$Y$25,"S","S+"))))))))))))))))))))</f>
        <v>#DIV/0!</v>
      </c>
      <c r="C320" s="1378" t="str">
        <f>('PlayerGrades+'!$Y$47*(VLOOKUP(E320, 'PlayerGrades+'!$X$3:$Y$23, 2, FALSE)))+('PlayerGrades+'!$Y$48*(VLOOKUP(G320, 'PlayerGrades+'!$X$3:$Y$23, 2, FALSE)))+('PlayerGrades+'!$Y$49*(VLOOKUP(I320, 'PlayerGrades+'!$X$3:$Y$23, 2, FALSE)))+('PlayerGrades+'!$Y$50*(VLOOKUP(K320, 'PlayerGrades+'!$X$3:$Y$23, 2, FALSE)))+('PlayerGrades+'!$Y$51*(VLOOKUP(M320, 'PlayerGrades+'!$X$3:$Y$23, 2, FALSE)))+('PlayerGrades+'!$Y$52*(VLOOKUP(O320, 'PlayerGrades+'!$X$3:$Y$23, 2, FALSE)))+('PlayerGrades+'!$Y$53*(VLOOKUP(Q320, 'PlayerGrades+'!$X$3:$Y$23, 2, FALSE)))+('PlayerGrades+'!$Y$54*(VLOOKUP(S320, 'PlayerGrades+'!$X$3:$Y$23, 2, FALSE)))+('PlayerGrades+'!$Y$55*(VLOOKUP(U320, 'PlayerGrades+'!$X$3:$Y$23, 2, FALSE)))</f>
        <v>#DIV/0!</v>
      </c>
      <c r="D320" s="961" t="str">
        <f t="shared" si="1"/>
        <v>#DIV/0!</v>
      </c>
      <c r="E320" s="961" t="str">
        <f>IF(D320&lt;'PlayerGrades+'!$AA$21,"F-",IF(D320&lt;'PlayerGrades+'!$AA$20,"F",IF(D320&lt;'PlayerGrades+'!$AA$19,"F+",IF(D320&lt;'PlayerGrades+'!$AA$18,"E-",IF(D320&lt;'PlayerGrades+'!$AA$17,"E",IF(D320&lt;'PlayerGrades+'!$AA$16,"E+",IF(D320&lt;'PlayerGrades+'!$AA$15,"D-",IF(D320&lt;'PlayerGrades+'!$AA$14,"D",IF(D320&lt;'PlayerGrades+'!$AA$13,"D+",IF(D320&lt;'PlayerGrades+'!$AA$12,"C-",IF(D320&lt;'PlayerGrades+'!$AA$11,"C",IF(D320&lt;'PlayerGrades+'!$AA$10,"C+",IF(D320&lt;'PlayerGrades+'!$AA$9,"B-",IF(D320&lt;'PlayerGrades+'!$AA$8,"B",IF(D320&lt;'PlayerGrades+'!$AA$7,"B+",IF(D320&lt;'PlayerGrades+'!$AA$6,"A-",IF(D320&lt;'PlayerGrades+'!$AA$5,"A",IF(D320&lt;'PlayerGrades+'!$AA$4,"A+",IF(D320&lt;'PlayerGrades+'!$AA$3,"S-",IF(D320&lt;'PlayerGrades+'!$AA$2,"S","S+"))))))))))))))))))))</f>
        <v>#DIV/0!</v>
      </c>
      <c r="F320" s="961" t="str">
        <f t="shared" si="2"/>
        <v>#DIV/0!</v>
      </c>
      <c r="G320" s="961" t="str">
        <f>IF(F320&lt;'PlayerGrades+'!$AB$21,"F-",IF(F320&lt;'PlayerGrades+'!$AB$20,"F",IF(F320&lt;'PlayerGrades+'!$AB$19,"F+",IF(F320&lt;'PlayerGrades+'!$AB$18,"E-",IF(F320&lt;'PlayerGrades+'!$AB$17,"E",IF(F320&lt;'PlayerGrades+'!$AB$16,"E+",IF(F320&lt;'PlayerGrades+'!$AB$15,"D-",IF(F320&lt;'PlayerGrades+'!$AB$14,"D",IF(F320&lt;'PlayerGrades+'!$AB$13,"D+",IF(F320&lt;'PlayerGrades+'!$AB$12,"C-",IF(F320&lt;'PlayerGrades+'!$AB$11,"C",IF(F320&lt;'PlayerGrades+'!$AB$10,"C+",IF(F320&lt;'PlayerGrades+'!$AB$9,"B-",IF(F320&lt;'PlayerGrades+'!$AB$8,"B",IF(F320&lt;'PlayerGrades+'!$AB$7,"B+",IF(F320&lt;'PlayerGrades+'!$AB$6,"A-",IF(F320&lt;'PlayerGrades+'!$AB$5,"A",IF(F320&lt;'PlayerGrades+'!$AB$4,"A+",IF(F320&lt;'PlayerGrades+'!$AB$3,"S-",IF(F320&lt;'PlayerGrades+'!$AB$2,"S","S+"))))))))))))))))))))</f>
        <v>#DIV/0!</v>
      </c>
      <c r="H320" s="961" t="str">
        <f t="shared" si="3"/>
        <v>#DIV/0!</v>
      </c>
      <c r="I320" s="961" t="str">
        <f>IF(H320&lt;'PlayerGrades+'!$AC$21,"F-",IF(H320&lt;'PlayerGrades+'!$AC$20,"F",IF(H320&lt;'PlayerGrades+'!$AC$19,"F+",IF(H320&lt;'PlayerGrades+'!$AC$18,"E-",IF(H320&lt;'PlayerGrades+'!$AC$17,"E",IF(H320&lt;'PlayerGrades+'!$AC$16,"E+",IF(H320&lt;'PlayerGrades+'!$AC$15,"D-",IF(H320&lt;'PlayerGrades+'!$AC$14,"D",IF(H320&lt;'PlayerGrades+'!$AC$13,"D+",IF(H320&lt;'PlayerGrades+'!$AC$12,"C-",IF(H320&lt;'PlayerGrades+'!$AC$11,"C",IF(H320&lt;'PlayerGrades+'!$AC$10,"C+",IF(H320&lt;'PlayerGrades+'!$AC$9,"B-",IF(H320&lt;'PlayerGrades+'!$AC$8,"B",IF(H320&lt;'PlayerGrades+'!$AC$7,"B+",IF(H320&lt;'PlayerGrades+'!$AC$6,"A-",IF(H320&lt;'PlayerGrades+'!$AC$5,"A",IF(H320&lt;'PlayerGrades+'!$AC$4,"A+",IF(H320&lt;'PlayerGrades+'!$AC$3,"S-",IF(H320&lt;'PlayerGrades+'!$AC$2,"S","S+"))))))))))))))))))))</f>
        <v>#DIV/0!</v>
      </c>
      <c r="J320" s="961" t="str">
        <f t="shared" si="4"/>
        <v>#DIV/0!</v>
      </c>
      <c r="K320" s="961" t="str">
        <f>IF(J320&lt;'PlayerGrades+'!$AD$21,"F-",IF(J320&lt;'PlayerGrades+'!$AD$20,"F",IF(J320&lt;'PlayerGrades+'!$AD$19,"F+",IF(J320&lt;'PlayerGrades+'!$AD$18,"E-",IF(J320&lt;'PlayerGrades+'!$AD$17,"E",IF(J320&lt;'PlayerGrades+'!$AD$16,"E+",IF(J320&lt;'PlayerGrades+'!$AD$15,"D-",IF(J320&lt;'PlayerGrades+'!$AD$14,"D",IF(J320&lt;'PlayerGrades+'!$AD$13,"D+",IF(J320&lt;'PlayerGrades+'!$AD$12,"C-",IF(J320&lt;'PlayerGrades+'!$AD$11,"C",IF(J320&lt;'PlayerGrades+'!$AD$10,"C+",IF(J320&lt;'PlayerGrades+'!$AD$9,"B-",IF(J320&lt;'PlayerGrades+'!$AD$8,"B",IF(J320&lt;'PlayerGrades+'!$AD$7,"B+",IF(J320&lt;'PlayerGrades+'!$AD$6,"A-",IF(J320&lt;'PlayerGrades+'!$AD$5,"A",IF(J320&lt;'PlayerGrades+'!$AD$4,"A+",IF(J320&lt;'PlayerGrades+'!$AD$3,"S-",IF(J320&lt;'PlayerGrades+'!$AD$2,"S","S+"))))))))))))))))))))</f>
        <v>#DIV/0!</v>
      </c>
      <c r="L320" s="1176" t="str">
        <f t="shared" si="5"/>
        <v>#DIV/0!</v>
      </c>
      <c r="M320" s="992" t="str">
        <f>IF(L320&lt;'PlayerGrades+'!$AE$21,"F-",IF(L320&lt;'PlayerGrades+'!$AE$20,"F",IF(L320&lt;'PlayerGrades+'!$AE$19,"F+",IF(L320&lt;'PlayerGrades+'!$AE$18,"E-",IF(L320&lt;'PlayerGrades+'!$AE$17,"E",IF(L320&lt;'PlayerGrades+'!$AE$16,"E+",IF(L320&lt;'PlayerGrades+'!$AE$15,"D-",IF(L320&lt;'PlayerGrades+'!$AE$14,"D",IF(L320&lt;'PlayerGrades+'!$AE$13,"D+",IF(L320&lt;'PlayerGrades+'!$AE$12,"C-",IF(L320&lt;'PlayerGrades+'!$AE$11,"C",IF(L320&lt;'PlayerGrades+'!$AE$10,"C+",IF(L320&lt;'PlayerGrades+'!$AE$9,"B-",IF(L320&lt;'PlayerGrades+'!$AE$8,"B",IF(L320&lt;'PlayerGrades+'!$AE$7,"B+",IF(L320&lt;'PlayerGrades+'!$AE$6,"A-",IF(L320&lt;'PlayerGrades+'!$AE$5,"A",IF(L320&lt;'PlayerGrades+'!$AE$4,"A+",IF(L320&lt;'PlayerGrades+'!$AE$3,"S-",IF(L320&lt;'PlayerGrades+'!$AE$2,"S","S+"))))))))))))))))))))</f>
        <v>#DIV/0!</v>
      </c>
      <c r="N320" s="961" t="str">
        <f t="shared" si="6"/>
        <v>#DIV/0!</v>
      </c>
      <c r="O320" s="961" t="str">
        <f>IF(N320&lt;'PlayerGrades+'!$AF$21,"F-",IF(N320&lt;'PlayerGrades+'!$AF$20,"F",IF(N320&lt;'PlayerGrades+'!$AF$19,"F+",IF(N320&lt;'PlayerGrades+'!$AF$18,"E-",IF(N320&lt;'PlayerGrades+'!$AF$17,"E",IF(N320&lt;'PlayerGrades+'!$AF$16,"E+",IF(N320&lt;'PlayerGrades+'!$AF$15,"D-",IF(N320&lt;'PlayerGrades+'!$AF$14,"D",IF(N320&lt;'PlayerGrades+'!$AF$13,"D+",IF(N320&lt;'PlayerGrades+'!$AF$12,"C-",IF(N320&lt;'PlayerGrades+'!$AF$11,"C",IF(N320&lt;'PlayerGrades+'!$AF$10,"C+",IF(N320&lt;'PlayerGrades+'!$AF$9,"B-",IF(N320&lt;'PlayerGrades+'!$AF$8,"B",IF(N320&lt;'PlayerGrades+'!$AF$7,"B+",IF(N320&lt;'PlayerGrades+'!$AF$6,"A-",IF(N320&lt;'PlayerGrades+'!$AF$5,"A",IF(N320&lt;'PlayerGrades+'!$AF$4,"A+",IF(N320&lt;'PlayerGrades+'!$AF$3,"S-",IF(N320&lt;'PlayerGrades+'!$AF$2,"S","S+"))))))))))))))))))))</f>
        <v>#DIV/0!</v>
      </c>
      <c r="P320" s="961" t="str">
        <f t="shared" si="7"/>
        <v>#DIV/0!</v>
      </c>
      <c r="Q320" s="961" t="str">
        <f>IF(P320&lt;'PlayerGrades+'!$AG$21,"F-",IF(P320&lt;'PlayerGrades+'!$AG$20,"F",IF(P320&lt;'PlayerGrades+'!$AG$19,"F+",IF(P320&lt;'PlayerGrades+'!$AG$18,"E-",IF(P320&lt;'PlayerGrades+'!$AG$17,"E",IF(P320&lt;'PlayerGrades+'!$AG$16,"E+",IF(P320&lt;'PlayerGrades+'!$AG$15,"D-",IF(P320&lt;'PlayerGrades+'!$AG$14,"D",IF(P320&lt;'PlayerGrades+'!$AG$13,"D+",IF(P320&lt;'PlayerGrades+'!$AG$12,"C-",IF(P320&lt;'PlayerGrades+'!$AG$11,"C",IF(P320&lt;'PlayerGrades+'!$AG$10,"C+",IF(P320&lt;'PlayerGrades+'!$AG$9,"B-",IF(P320&lt;'PlayerGrades+'!$AG$8,"B",IF(P320&lt;'PlayerGrades+'!$AG$7,"B+",IF(P320&lt;'PlayerGrades+'!$AG$6,"A-",IF(P320&lt;'PlayerGrades+'!$AG$5,"A",IF(P320&lt;'PlayerGrades+'!$AG$4,"A+",IF(P320&lt;'PlayerGrades+'!$AG$3,"S-",IF(P320&lt;'PlayerGrades+'!$AG$2,"S","S+"))))))))))))))))))))</f>
        <v>#DIV/0!</v>
      </c>
      <c r="R320" s="961" t="str">
        <f t="shared" si="8"/>
        <v>#DIV/0!</v>
      </c>
      <c r="S320" s="961" t="str">
        <f>IF(R320&lt;'PlayerGrades+'!$AH$21,"F-",IF(R320&lt;'PlayerGrades+'!$AH$20,"F",IF(R320&lt;'PlayerGrades+'!$AH$19,"F+",IF(R320&lt;'PlayerGrades+'!$AH$18,"E-",IF(R320&lt;'PlayerGrades+'!$AH$17,"E",IF(R320&lt;'PlayerGrades+'!$AH$16,"E+",IF(R320&lt;'PlayerGrades+'!$AH$15,"D-",IF(R320&lt;'PlayerGrades+'!$AH$14,"D",IF(R320&lt;'PlayerGrades+'!$AH$13,"D+",IF(R320&lt;'PlayerGrades+'!$AH$12,"C-",IF(R320&lt;'PlayerGrades+'!$AH$11,"C",IF(R320&lt;'PlayerGrades+'!$AH$10,"C+",IF(R320&lt;'PlayerGrades+'!$AH$9,"B-",IF(R320&lt;'PlayerGrades+'!$AH$8,"B",IF(R320&lt;'PlayerGrades+'!$AH$7,"B+",IF(R320&lt;'PlayerGrades+'!$AH$6,"A-",IF(R320&lt;'PlayerGrades+'!$AH$5,"A",IF(R320&lt;'PlayerGrades+'!$AH$4,"A+",IF(R320&lt;'PlayerGrades+'!$AH$3,"S-",IF(R320&lt;'PlayerGrades+'!$AH$2,"S","S+"))))))))))))))))))))</f>
        <v>#DIV/0!</v>
      </c>
      <c r="T320" s="961">
        <f t="shared" si="9"/>
        <v>0</v>
      </c>
      <c r="U320" s="961" t="str">
        <f>IF(T320&lt;'PlayerGrades+'!$AI$21,"F-",IF(T320&lt;'PlayerGrades+'!$AI$20,"F",IF(T320&lt;'PlayerGrades+'!$AI$19,"F+",IF(T320&lt;'PlayerGrades+'!$AI$18,"E-",IF(T320&lt;'PlayerGrades+'!$AI$17,"E",IF(T320&lt;'PlayerGrades+'!$AI$16,"E+",IF(T320&lt;'PlayerGrades+'!$AI$15,"D-",IF(T320&lt;'PlayerGrades+'!$AI$14,"D",IF(T320&lt;'PlayerGrades+'!$AI$13,"D+",IF(T320&lt;'PlayerGrades+'!$AI$12,"C-",IF(T320&lt;'PlayerGrades+'!$AI$11,"C",IF(T320&lt;'PlayerGrades+'!$AI$10,"C+",IF(T320&lt;'PlayerGrades+'!$AI$9,"B-",IF(T320&lt;'PlayerGrades+'!$AI$8,"B",IF(T320&lt;'PlayerGrades+'!$AI$7,"B+",IF(T320&lt;'PlayerGrades+'!$AI$6,"A-",IF(T320&lt;'PlayerGrades+'!$AI$5,"A",IF(T320&lt;'PlayerGrades+'!$AI$4,"A+",IF(T320&lt;'PlayerGrades+'!$AI$3,"S-",IF(T320&lt;'PlayerGrades+'!$AI$2,"S","S+"))))))))))))))))))))</f>
        <v>F-</v>
      </c>
      <c r="AC320" s="1392"/>
    </row>
    <row r="321">
      <c r="A321" s="1393"/>
      <c r="B321" s="611" t="str">
        <f>IF(C321&lt;'PlayerGrades+'!$Y$44,"F-",IF(C321&lt;'PlayerGrades+'!$Y$43,"F",IF(C321&lt;'PlayerGrades+'!$Y$42,"F+",IF(C321&lt;'PlayerGrades+'!$Y$41,"E-",IF(C321&lt;'PlayerGrades+'!$Y$40,"E",IF(C321&lt;'PlayerGrades+'!$Y$39,"E+",IF(C321&lt;'PlayerGrades+'!$Y$38,"D-",IF(C321&lt;'PlayerGrades+'!$Y$37,"D",IF(C321&lt;'PlayerGrades+'!$Y$36,"D+",IF(C321&lt;'PlayerGrades+'!$Y$35,"C-",IF(C321&lt;'PlayerGrades+'!$Y$34,"C",IF(C321&lt;'PlayerGrades+'!$Y$33,"C+",IF(C321&lt;'PlayerGrades+'!$Y$32,"B-",IF(C321&lt;'PlayerGrades+'!$Y$31,"B",IF(C321&lt;'PlayerGrades+'!$Y$30,"B+",IF(C321&lt;'PlayerGrades+'!$Y$29,"A-",IF(C321&lt;'PlayerGrades+'!$Y$28,"A",IF(C321&lt;'PlayerGrades+'!$Y$27,"A+",IF(C321&lt;'PlayerGrades+'!$Y$26,"S-",IF(C321&lt;'PlayerGrades+'!$Y$25,"S","S+"))))))))))))))))))))</f>
        <v>#DIV/0!</v>
      </c>
      <c r="C321" s="1378" t="str">
        <f>('PlayerGrades+'!$Y$47*(VLOOKUP(E321, 'PlayerGrades+'!$X$3:$Y$23, 2, FALSE)))+('PlayerGrades+'!$Y$48*(VLOOKUP(G321, 'PlayerGrades+'!$X$3:$Y$23, 2, FALSE)))+('PlayerGrades+'!$Y$49*(VLOOKUP(I321, 'PlayerGrades+'!$X$3:$Y$23, 2, FALSE)))+('PlayerGrades+'!$Y$50*(VLOOKUP(K321, 'PlayerGrades+'!$X$3:$Y$23, 2, FALSE)))+('PlayerGrades+'!$Y$51*(VLOOKUP(M321, 'PlayerGrades+'!$X$3:$Y$23, 2, FALSE)))+('PlayerGrades+'!$Y$52*(VLOOKUP(O321, 'PlayerGrades+'!$X$3:$Y$23, 2, FALSE)))+('PlayerGrades+'!$Y$53*(VLOOKUP(Q321, 'PlayerGrades+'!$X$3:$Y$23, 2, FALSE)))+('PlayerGrades+'!$Y$54*(VLOOKUP(S321, 'PlayerGrades+'!$X$3:$Y$23, 2, FALSE)))+('PlayerGrades+'!$Y$55*(VLOOKUP(U321, 'PlayerGrades+'!$X$3:$Y$23, 2, FALSE)))</f>
        <v>#DIV/0!</v>
      </c>
      <c r="D321" s="961" t="str">
        <f t="shared" si="1"/>
        <v>#DIV/0!</v>
      </c>
      <c r="E321" s="961" t="str">
        <f>IF(D321&lt;'PlayerGrades+'!$AA$21,"F-",IF(D321&lt;'PlayerGrades+'!$AA$20,"F",IF(D321&lt;'PlayerGrades+'!$AA$19,"F+",IF(D321&lt;'PlayerGrades+'!$AA$18,"E-",IF(D321&lt;'PlayerGrades+'!$AA$17,"E",IF(D321&lt;'PlayerGrades+'!$AA$16,"E+",IF(D321&lt;'PlayerGrades+'!$AA$15,"D-",IF(D321&lt;'PlayerGrades+'!$AA$14,"D",IF(D321&lt;'PlayerGrades+'!$AA$13,"D+",IF(D321&lt;'PlayerGrades+'!$AA$12,"C-",IF(D321&lt;'PlayerGrades+'!$AA$11,"C",IF(D321&lt;'PlayerGrades+'!$AA$10,"C+",IF(D321&lt;'PlayerGrades+'!$AA$9,"B-",IF(D321&lt;'PlayerGrades+'!$AA$8,"B",IF(D321&lt;'PlayerGrades+'!$AA$7,"B+",IF(D321&lt;'PlayerGrades+'!$AA$6,"A-",IF(D321&lt;'PlayerGrades+'!$AA$5,"A",IF(D321&lt;'PlayerGrades+'!$AA$4,"A+",IF(D321&lt;'PlayerGrades+'!$AA$3,"S-",IF(D321&lt;'PlayerGrades+'!$AA$2,"S","S+"))))))))))))))))))))</f>
        <v>#DIV/0!</v>
      </c>
      <c r="F321" s="961" t="str">
        <f t="shared" si="2"/>
        <v>#DIV/0!</v>
      </c>
      <c r="G321" s="961" t="str">
        <f>IF(F321&lt;'PlayerGrades+'!$AB$21,"F-",IF(F321&lt;'PlayerGrades+'!$AB$20,"F",IF(F321&lt;'PlayerGrades+'!$AB$19,"F+",IF(F321&lt;'PlayerGrades+'!$AB$18,"E-",IF(F321&lt;'PlayerGrades+'!$AB$17,"E",IF(F321&lt;'PlayerGrades+'!$AB$16,"E+",IF(F321&lt;'PlayerGrades+'!$AB$15,"D-",IF(F321&lt;'PlayerGrades+'!$AB$14,"D",IF(F321&lt;'PlayerGrades+'!$AB$13,"D+",IF(F321&lt;'PlayerGrades+'!$AB$12,"C-",IF(F321&lt;'PlayerGrades+'!$AB$11,"C",IF(F321&lt;'PlayerGrades+'!$AB$10,"C+",IF(F321&lt;'PlayerGrades+'!$AB$9,"B-",IF(F321&lt;'PlayerGrades+'!$AB$8,"B",IF(F321&lt;'PlayerGrades+'!$AB$7,"B+",IF(F321&lt;'PlayerGrades+'!$AB$6,"A-",IF(F321&lt;'PlayerGrades+'!$AB$5,"A",IF(F321&lt;'PlayerGrades+'!$AB$4,"A+",IF(F321&lt;'PlayerGrades+'!$AB$3,"S-",IF(F321&lt;'PlayerGrades+'!$AB$2,"S","S+"))))))))))))))))))))</f>
        <v>#DIV/0!</v>
      </c>
      <c r="H321" s="961" t="str">
        <f t="shared" si="3"/>
        <v>#DIV/0!</v>
      </c>
      <c r="I321" s="961" t="str">
        <f>IF(H321&lt;'PlayerGrades+'!$AC$21,"F-",IF(H321&lt;'PlayerGrades+'!$AC$20,"F",IF(H321&lt;'PlayerGrades+'!$AC$19,"F+",IF(H321&lt;'PlayerGrades+'!$AC$18,"E-",IF(H321&lt;'PlayerGrades+'!$AC$17,"E",IF(H321&lt;'PlayerGrades+'!$AC$16,"E+",IF(H321&lt;'PlayerGrades+'!$AC$15,"D-",IF(H321&lt;'PlayerGrades+'!$AC$14,"D",IF(H321&lt;'PlayerGrades+'!$AC$13,"D+",IF(H321&lt;'PlayerGrades+'!$AC$12,"C-",IF(H321&lt;'PlayerGrades+'!$AC$11,"C",IF(H321&lt;'PlayerGrades+'!$AC$10,"C+",IF(H321&lt;'PlayerGrades+'!$AC$9,"B-",IF(H321&lt;'PlayerGrades+'!$AC$8,"B",IF(H321&lt;'PlayerGrades+'!$AC$7,"B+",IF(H321&lt;'PlayerGrades+'!$AC$6,"A-",IF(H321&lt;'PlayerGrades+'!$AC$5,"A",IF(H321&lt;'PlayerGrades+'!$AC$4,"A+",IF(H321&lt;'PlayerGrades+'!$AC$3,"S-",IF(H321&lt;'PlayerGrades+'!$AC$2,"S","S+"))))))))))))))))))))</f>
        <v>#DIV/0!</v>
      </c>
      <c r="J321" s="961" t="str">
        <f t="shared" si="4"/>
        <v>#DIV/0!</v>
      </c>
      <c r="K321" s="961" t="str">
        <f>IF(J321&lt;'PlayerGrades+'!$AD$21,"F-",IF(J321&lt;'PlayerGrades+'!$AD$20,"F",IF(J321&lt;'PlayerGrades+'!$AD$19,"F+",IF(J321&lt;'PlayerGrades+'!$AD$18,"E-",IF(J321&lt;'PlayerGrades+'!$AD$17,"E",IF(J321&lt;'PlayerGrades+'!$AD$16,"E+",IF(J321&lt;'PlayerGrades+'!$AD$15,"D-",IF(J321&lt;'PlayerGrades+'!$AD$14,"D",IF(J321&lt;'PlayerGrades+'!$AD$13,"D+",IF(J321&lt;'PlayerGrades+'!$AD$12,"C-",IF(J321&lt;'PlayerGrades+'!$AD$11,"C",IF(J321&lt;'PlayerGrades+'!$AD$10,"C+",IF(J321&lt;'PlayerGrades+'!$AD$9,"B-",IF(J321&lt;'PlayerGrades+'!$AD$8,"B",IF(J321&lt;'PlayerGrades+'!$AD$7,"B+",IF(J321&lt;'PlayerGrades+'!$AD$6,"A-",IF(J321&lt;'PlayerGrades+'!$AD$5,"A",IF(J321&lt;'PlayerGrades+'!$AD$4,"A+",IF(J321&lt;'PlayerGrades+'!$AD$3,"S-",IF(J321&lt;'PlayerGrades+'!$AD$2,"S","S+"))))))))))))))))))))</f>
        <v>#DIV/0!</v>
      </c>
      <c r="L321" s="1176" t="str">
        <f t="shared" si="5"/>
        <v>#DIV/0!</v>
      </c>
      <c r="M321" s="992" t="str">
        <f>IF(L321&lt;'PlayerGrades+'!$AE$21,"F-",IF(L321&lt;'PlayerGrades+'!$AE$20,"F",IF(L321&lt;'PlayerGrades+'!$AE$19,"F+",IF(L321&lt;'PlayerGrades+'!$AE$18,"E-",IF(L321&lt;'PlayerGrades+'!$AE$17,"E",IF(L321&lt;'PlayerGrades+'!$AE$16,"E+",IF(L321&lt;'PlayerGrades+'!$AE$15,"D-",IF(L321&lt;'PlayerGrades+'!$AE$14,"D",IF(L321&lt;'PlayerGrades+'!$AE$13,"D+",IF(L321&lt;'PlayerGrades+'!$AE$12,"C-",IF(L321&lt;'PlayerGrades+'!$AE$11,"C",IF(L321&lt;'PlayerGrades+'!$AE$10,"C+",IF(L321&lt;'PlayerGrades+'!$AE$9,"B-",IF(L321&lt;'PlayerGrades+'!$AE$8,"B",IF(L321&lt;'PlayerGrades+'!$AE$7,"B+",IF(L321&lt;'PlayerGrades+'!$AE$6,"A-",IF(L321&lt;'PlayerGrades+'!$AE$5,"A",IF(L321&lt;'PlayerGrades+'!$AE$4,"A+",IF(L321&lt;'PlayerGrades+'!$AE$3,"S-",IF(L321&lt;'PlayerGrades+'!$AE$2,"S","S+"))))))))))))))))))))</f>
        <v>#DIV/0!</v>
      </c>
      <c r="N321" s="961" t="str">
        <f t="shared" si="6"/>
        <v>#DIV/0!</v>
      </c>
      <c r="O321" s="961" t="str">
        <f>IF(N321&lt;'PlayerGrades+'!$AF$21,"F-",IF(N321&lt;'PlayerGrades+'!$AF$20,"F",IF(N321&lt;'PlayerGrades+'!$AF$19,"F+",IF(N321&lt;'PlayerGrades+'!$AF$18,"E-",IF(N321&lt;'PlayerGrades+'!$AF$17,"E",IF(N321&lt;'PlayerGrades+'!$AF$16,"E+",IF(N321&lt;'PlayerGrades+'!$AF$15,"D-",IF(N321&lt;'PlayerGrades+'!$AF$14,"D",IF(N321&lt;'PlayerGrades+'!$AF$13,"D+",IF(N321&lt;'PlayerGrades+'!$AF$12,"C-",IF(N321&lt;'PlayerGrades+'!$AF$11,"C",IF(N321&lt;'PlayerGrades+'!$AF$10,"C+",IF(N321&lt;'PlayerGrades+'!$AF$9,"B-",IF(N321&lt;'PlayerGrades+'!$AF$8,"B",IF(N321&lt;'PlayerGrades+'!$AF$7,"B+",IF(N321&lt;'PlayerGrades+'!$AF$6,"A-",IF(N321&lt;'PlayerGrades+'!$AF$5,"A",IF(N321&lt;'PlayerGrades+'!$AF$4,"A+",IF(N321&lt;'PlayerGrades+'!$AF$3,"S-",IF(N321&lt;'PlayerGrades+'!$AF$2,"S","S+"))))))))))))))))))))</f>
        <v>#DIV/0!</v>
      </c>
      <c r="P321" s="961" t="str">
        <f t="shared" si="7"/>
        <v>#DIV/0!</v>
      </c>
      <c r="Q321" s="961" t="str">
        <f>IF(P321&lt;'PlayerGrades+'!$AG$21,"F-",IF(P321&lt;'PlayerGrades+'!$AG$20,"F",IF(P321&lt;'PlayerGrades+'!$AG$19,"F+",IF(P321&lt;'PlayerGrades+'!$AG$18,"E-",IF(P321&lt;'PlayerGrades+'!$AG$17,"E",IF(P321&lt;'PlayerGrades+'!$AG$16,"E+",IF(P321&lt;'PlayerGrades+'!$AG$15,"D-",IF(P321&lt;'PlayerGrades+'!$AG$14,"D",IF(P321&lt;'PlayerGrades+'!$AG$13,"D+",IF(P321&lt;'PlayerGrades+'!$AG$12,"C-",IF(P321&lt;'PlayerGrades+'!$AG$11,"C",IF(P321&lt;'PlayerGrades+'!$AG$10,"C+",IF(P321&lt;'PlayerGrades+'!$AG$9,"B-",IF(P321&lt;'PlayerGrades+'!$AG$8,"B",IF(P321&lt;'PlayerGrades+'!$AG$7,"B+",IF(P321&lt;'PlayerGrades+'!$AG$6,"A-",IF(P321&lt;'PlayerGrades+'!$AG$5,"A",IF(P321&lt;'PlayerGrades+'!$AG$4,"A+",IF(P321&lt;'PlayerGrades+'!$AG$3,"S-",IF(P321&lt;'PlayerGrades+'!$AG$2,"S","S+"))))))))))))))))))))</f>
        <v>#DIV/0!</v>
      </c>
      <c r="R321" s="961" t="str">
        <f t="shared" si="8"/>
        <v>#DIV/0!</v>
      </c>
      <c r="S321" s="961" t="str">
        <f>IF(R321&lt;'PlayerGrades+'!$AH$21,"F-",IF(R321&lt;'PlayerGrades+'!$AH$20,"F",IF(R321&lt;'PlayerGrades+'!$AH$19,"F+",IF(R321&lt;'PlayerGrades+'!$AH$18,"E-",IF(R321&lt;'PlayerGrades+'!$AH$17,"E",IF(R321&lt;'PlayerGrades+'!$AH$16,"E+",IF(R321&lt;'PlayerGrades+'!$AH$15,"D-",IF(R321&lt;'PlayerGrades+'!$AH$14,"D",IF(R321&lt;'PlayerGrades+'!$AH$13,"D+",IF(R321&lt;'PlayerGrades+'!$AH$12,"C-",IF(R321&lt;'PlayerGrades+'!$AH$11,"C",IF(R321&lt;'PlayerGrades+'!$AH$10,"C+",IF(R321&lt;'PlayerGrades+'!$AH$9,"B-",IF(R321&lt;'PlayerGrades+'!$AH$8,"B",IF(R321&lt;'PlayerGrades+'!$AH$7,"B+",IF(R321&lt;'PlayerGrades+'!$AH$6,"A-",IF(R321&lt;'PlayerGrades+'!$AH$5,"A",IF(R321&lt;'PlayerGrades+'!$AH$4,"A+",IF(R321&lt;'PlayerGrades+'!$AH$3,"S-",IF(R321&lt;'PlayerGrades+'!$AH$2,"S","S+"))))))))))))))))))))</f>
        <v>#DIV/0!</v>
      </c>
      <c r="T321" s="961">
        <f t="shared" si="9"/>
        <v>0</v>
      </c>
      <c r="U321" s="961" t="str">
        <f>IF(T321&lt;'PlayerGrades+'!$AI$21,"F-",IF(T321&lt;'PlayerGrades+'!$AI$20,"F",IF(T321&lt;'PlayerGrades+'!$AI$19,"F+",IF(T321&lt;'PlayerGrades+'!$AI$18,"E-",IF(T321&lt;'PlayerGrades+'!$AI$17,"E",IF(T321&lt;'PlayerGrades+'!$AI$16,"E+",IF(T321&lt;'PlayerGrades+'!$AI$15,"D-",IF(T321&lt;'PlayerGrades+'!$AI$14,"D",IF(T321&lt;'PlayerGrades+'!$AI$13,"D+",IF(T321&lt;'PlayerGrades+'!$AI$12,"C-",IF(T321&lt;'PlayerGrades+'!$AI$11,"C",IF(T321&lt;'PlayerGrades+'!$AI$10,"C+",IF(T321&lt;'PlayerGrades+'!$AI$9,"B-",IF(T321&lt;'PlayerGrades+'!$AI$8,"B",IF(T321&lt;'PlayerGrades+'!$AI$7,"B+",IF(T321&lt;'PlayerGrades+'!$AI$6,"A-",IF(T321&lt;'PlayerGrades+'!$AI$5,"A",IF(T321&lt;'PlayerGrades+'!$AI$4,"A+",IF(T321&lt;'PlayerGrades+'!$AI$3,"S-",IF(T321&lt;'PlayerGrades+'!$AI$2,"S","S+"))))))))))))))))))))</f>
        <v>F-</v>
      </c>
      <c r="V321" s="1386"/>
      <c r="W321" s="1386"/>
      <c r="X321" s="1386"/>
      <c r="Y321" s="1386"/>
      <c r="Z321" s="1386"/>
      <c r="AA321" s="1386"/>
      <c r="AB321" s="1386"/>
      <c r="AC321" s="1397"/>
      <c r="AD321" s="1386"/>
      <c r="AE321" s="1386"/>
      <c r="AF321" s="1386"/>
      <c r="AG321" s="1386"/>
      <c r="AH321" s="1386"/>
      <c r="AI321" s="1386"/>
      <c r="AJ321" s="1386"/>
      <c r="AK321" s="1386"/>
      <c r="AL321" s="1386"/>
      <c r="AM321" s="1386"/>
      <c r="AN321" s="1386"/>
      <c r="AO321" s="1386"/>
      <c r="AP321" s="1386"/>
      <c r="AQ321" s="1386"/>
      <c r="AR321" s="1386"/>
      <c r="AS321" s="1386"/>
      <c r="AT321" s="1386"/>
      <c r="AU321" s="1386"/>
      <c r="AV321" s="1386"/>
      <c r="AW321" s="1386"/>
      <c r="AX321" s="1386"/>
      <c r="AY321" s="1386"/>
      <c r="AZ321" s="1386"/>
    </row>
    <row r="322">
      <c r="A322" s="1389"/>
      <c r="B322" s="611" t="str">
        <f>IF(C322&lt;'PlayerGrades+'!$Y$44,"F-",IF(C322&lt;'PlayerGrades+'!$Y$43,"F",IF(C322&lt;'PlayerGrades+'!$Y$42,"F+",IF(C322&lt;'PlayerGrades+'!$Y$41,"E-",IF(C322&lt;'PlayerGrades+'!$Y$40,"E",IF(C322&lt;'PlayerGrades+'!$Y$39,"E+",IF(C322&lt;'PlayerGrades+'!$Y$38,"D-",IF(C322&lt;'PlayerGrades+'!$Y$37,"D",IF(C322&lt;'PlayerGrades+'!$Y$36,"D+",IF(C322&lt;'PlayerGrades+'!$Y$35,"C-",IF(C322&lt;'PlayerGrades+'!$Y$34,"C",IF(C322&lt;'PlayerGrades+'!$Y$33,"C+",IF(C322&lt;'PlayerGrades+'!$Y$32,"B-",IF(C322&lt;'PlayerGrades+'!$Y$31,"B",IF(C322&lt;'PlayerGrades+'!$Y$30,"B+",IF(C322&lt;'PlayerGrades+'!$Y$29,"A-",IF(C322&lt;'PlayerGrades+'!$Y$28,"A",IF(C322&lt;'PlayerGrades+'!$Y$27,"A+",IF(C322&lt;'PlayerGrades+'!$Y$26,"S-",IF(C322&lt;'PlayerGrades+'!$Y$25,"S","S+"))))))))))))))))))))</f>
        <v>#DIV/0!</v>
      </c>
      <c r="C322" s="1378" t="str">
        <f>('PlayerGrades+'!$Y$47*(VLOOKUP(E322, 'PlayerGrades+'!$X$3:$Y$23, 2, FALSE)))+('PlayerGrades+'!$Y$48*(VLOOKUP(G322, 'PlayerGrades+'!$X$3:$Y$23, 2, FALSE)))+('PlayerGrades+'!$Y$49*(VLOOKUP(I322, 'PlayerGrades+'!$X$3:$Y$23, 2, FALSE)))+('PlayerGrades+'!$Y$50*(VLOOKUP(K322, 'PlayerGrades+'!$X$3:$Y$23, 2, FALSE)))+('PlayerGrades+'!$Y$51*(VLOOKUP(M322, 'PlayerGrades+'!$X$3:$Y$23, 2, FALSE)))+('PlayerGrades+'!$Y$52*(VLOOKUP(O322, 'PlayerGrades+'!$X$3:$Y$23, 2, FALSE)))+('PlayerGrades+'!$Y$53*(VLOOKUP(Q322, 'PlayerGrades+'!$X$3:$Y$23, 2, FALSE)))+('PlayerGrades+'!$Y$54*(VLOOKUP(S322, 'PlayerGrades+'!$X$3:$Y$23, 2, FALSE)))+('PlayerGrades+'!$Y$55*(VLOOKUP(U322, 'PlayerGrades+'!$X$3:$Y$23, 2, FALSE)))</f>
        <v>#DIV/0!</v>
      </c>
      <c r="D322" s="961" t="str">
        <f t="shared" si="1"/>
        <v>#DIV/0!</v>
      </c>
      <c r="E322" s="961" t="str">
        <f>IF(D322&lt;'PlayerGrades+'!$AA$21,"F-",IF(D322&lt;'PlayerGrades+'!$AA$20,"F",IF(D322&lt;'PlayerGrades+'!$AA$19,"F+",IF(D322&lt;'PlayerGrades+'!$AA$18,"E-",IF(D322&lt;'PlayerGrades+'!$AA$17,"E",IF(D322&lt;'PlayerGrades+'!$AA$16,"E+",IF(D322&lt;'PlayerGrades+'!$AA$15,"D-",IF(D322&lt;'PlayerGrades+'!$AA$14,"D",IF(D322&lt;'PlayerGrades+'!$AA$13,"D+",IF(D322&lt;'PlayerGrades+'!$AA$12,"C-",IF(D322&lt;'PlayerGrades+'!$AA$11,"C",IF(D322&lt;'PlayerGrades+'!$AA$10,"C+",IF(D322&lt;'PlayerGrades+'!$AA$9,"B-",IF(D322&lt;'PlayerGrades+'!$AA$8,"B",IF(D322&lt;'PlayerGrades+'!$AA$7,"B+",IF(D322&lt;'PlayerGrades+'!$AA$6,"A-",IF(D322&lt;'PlayerGrades+'!$AA$5,"A",IF(D322&lt;'PlayerGrades+'!$AA$4,"A+",IF(D322&lt;'PlayerGrades+'!$AA$3,"S-",IF(D322&lt;'PlayerGrades+'!$AA$2,"S","S+"))))))))))))))))))))</f>
        <v>#DIV/0!</v>
      </c>
      <c r="F322" s="961" t="str">
        <f t="shared" si="2"/>
        <v>#DIV/0!</v>
      </c>
      <c r="G322" s="961" t="str">
        <f>IF(F322&lt;'PlayerGrades+'!$AB$21,"F-",IF(F322&lt;'PlayerGrades+'!$AB$20,"F",IF(F322&lt;'PlayerGrades+'!$AB$19,"F+",IF(F322&lt;'PlayerGrades+'!$AB$18,"E-",IF(F322&lt;'PlayerGrades+'!$AB$17,"E",IF(F322&lt;'PlayerGrades+'!$AB$16,"E+",IF(F322&lt;'PlayerGrades+'!$AB$15,"D-",IF(F322&lt;'PlayerGrades+'!$AB$14,"D",IF(F322&lt;'PlayerGrades+'!$AB$13,"D+",IF(F322&lt;'PlayerGrades+'!$AB$12,"C-",IF(F322&lt;'PlayerGrades+'!$AB$11,"C",IF(F322&lt;'PlayerGrades+'!$AB$10,"C+",IF(F322&lt;'PlayerGrades+'!$AB$9,"B-",IF(F322&lt;'PlayerGrades+'!$AB$8,"B",IF(F322&lt;'PlayerGrades+'!$AB$7,"B+",IF(F322&lt;'PlayerGrades+'!$AB$6,"A-",IF(F322&lt;'PlayerGrades+'!$AB$5,"A",IF(F322&lt;'PlayerGrades+'!$AB$4,"A+",IF(F322&lt;'PlayerGrades+'!$AB$3,"S-",IF(F322&lt;'PlayerGrades+'!$AB$2,"S","S+"))))))))))))))))))))</f>
        <v>#DIV/0!</v>
      </c>
      <c r="H322" s="961" t="str">
        <f t="shared" si="3"/>
        <v>#DIV/0!</v>
      </c>
      <c r="I322" s="961" t="str">
        <f>IF(H322&lt;'PlayerGrades+'!$AC$21,"F-",IF(H322&lt;'PlayerGrades+'!$AC$20,"F",IF(H322&lt;'PlayerGrades+'!$AC$19,"F+",IF(H322&lt;'PlayerGrades+'!$AC$18,"E-",IF(H322&lt;'PlayerGrades+'!$AC$17,"E",IF(H322&lt;'PlayerGrades+'!$AC$16,"E+",IF(H322&lt;'PlayerGrades+'!$AC$15,"D-",IF(H322&lt;'PlayerGrades+'!$AC$14,"D",IF(H322&lt;'PlayerGrades+'!$AC$13,"D+",IF(H322&lt;'PlayerGrades+'!$AC$12,"C-",IF(H322&lt;'PlayerGrades+'!$AC$11,"C",IF(H322&lt;'PlayerGrades+'!$AC$10,"C+",IF(H322&lt;'PlayerGrades+'!$AC$9,"B-",IF(H322&lt;'PlayerGrades+'!$AC$8,"B",IF(H322&lt;'PlayerGrades+'!$AC$7,"B+",IF(H322&lt;'PlayerGrades+'!$AC$6,"A-",IF(H322&lt;'PlayerGrades+'!$AC$5,"A",IF(H322&lt;'PlayerGrades+'!$AC$4,"A+",IF(H322&lt;'PlayerGrades+'!$AC$3,"S-",IF(H322&lt;'PlayerGrades+'!$AC$2,"S","S+"))))))))))))))))))))</f>
        <v>#DIV/0!</v>
      </c>
      <c r="J322" s="961" t="str">
        <f t="shared" si="4"/>
        <v>#DIV/0!</v>
      </c>
      <c r="K322" s="961" t="str">
        <f>IF(J322&lt;'PlayerGrades+'!$AD$21,"F-",IF(J322&lt;'PlayerGrades+'!$AD$20,"F",IF(J322&lt;'PlayerGrades+'!$AD$19,"F+",IF(J322&lt;'PlayerGrades+'!$AD$18,"E-",IF(J322&lt;'PlayerGrades+'!$AD$17,"E",IF(J322&lt;'PlayerGrades+'!$AD$16,"E+",IF(J322&lt;'PlayerGrades+'!$AD$15,"D-",IF(J322&lt;'PlayerGrades+'!$AD$14,"D",IF(J322&lt;'PlayerGrades+'!$AD$13,"D+",IF(J322&lt;'PlayerGrades+'!$AD$12,"C-",IF(J322&lt;'PlayerGrades+'!$AD$11,"C",IF(J322&lt;'PlayerGrades+'!$AD$10,"C+",IF(J322&lt;'PlayerGrades+'!$AD$9,"B-",IF(J322&lt;'PlayerGrades+'!$AD$8,"B",IF(J322&lt;'PlayerGrades+'!$AD$7,"B+",IF(J322&lt;'PlayerGrades+'!$AD$6,"A-",IF(J322&lt;'PlayerGrades+'!$AD$5,"A",IF(J322&lt;'PlayerGrades+'!$AD$4,"A+",IF(J322&lt;'PlayerGrades+'!$AD$3,"S-",IF(J322&lt;'PlayerGrades+'!$AD$2,"S","S+"))))))))))))))))))))</f>
        <v>#DIV/0!</v>
      </c>
      <c r="L322" s="1176" t="str">
        <f t="shared" si="5"/>
        <v>#DIV/0!</v>
      </c>
      <c r="M322" s="992" t="str">
        <f>IF(L322&lt;'PlayerGrades+'!$AE$21,"F-",IF(L322&lt;'PlayerGrades+'!$AE$20,"F",IF(L322&lt;'PlayerGrades+'!$AE$19,"F+",IF(L322&lt;'PlayerGrades+'!$AE$18,"E-",IF(L322&lt;'PlayerGrades+'!$AE$17,"E",IF(L322&lt;'PlayerGrades+'!$AE$16,"E+",IF(L322&lt;'PlayerGrades+'!$AE$15,"D-",IF(L322&lt;'PlayerGrades+'!$AE$14,"D",IF(L322&lt;'PlayerGrades+'!$AE$13,"D+",IF(L322&lt;'PlayerGrades+'!$AE$12,"C-",IF(L322&lt;'PlayerGrades+'!$AE$11,"C",IF(L322&lt;'PlayerGrades+'!$AE$10,"C+",IF(L322&lt;'PlayerGrades+'!$AE$9,"B-",IF(L322&lt;'PlayerGrades+'!$AE$8,"B",IF(L322&lt;'PlayerGrades+'!$AE$7,"B+",IF(L322&lt;'PlayerGrades+'!$AE$6,"A-",IF(L322&lt;'PlayerGrades+'!$AE$5,"A",IF(L322&lt;'PlayerGrades+'!$AE$4,"A+",IF(L322&lt;'PlayerGrades+'!$AE$3,"S-",IF(L322&lt;'PlayerGrades+'!$AE$2,"S","S+"))))))))))))))))))))</f>
        <v>#DIV/0!</v>
      </c>
      <c r="N322" s="961" t="str">
        <f t="shared" si="6"/>
        <v>#DIV/0!</v>
      </c>
      <c r="O322" s="961" t="str">
        <f>IF(N322&lt;'PlayerGrades+'!$AF$21,"F-",IF(N322&lt;'PlayerGrades+'!$AF$20,"F",IF(N322&lt;'PlayerGrades+'!$AF$19,"F+",IF(N322&lt;'PlayerGrades+'!$AF$18,"E-",IF(N322&lt;'PlayerGrades+'!$AF$17,"E",IF(N322&lt;'PlayerGrades+'!$AF$16,"E+",IF(N322&lt;'PlayerGrades+'!$AF$15,"D-",IF(N322&lt;'PlayerGrades+'!$AF$14,"D",IF(N322&lt;'PlayerGrades+'!$AF$13,"D+",IF(N322&lt;'PlayerGrades+'!$AF$12,"C-",IF(N322&lt;'PlayerGrades+'!$AF$11,"C",IF(N322&lt;'PlayerGrades+'!$AF$10,"C+",IF(N322&lt;'PlayerGrades+'!$AF$9,"B-",IF(N322&lt;'PlayerGrades+'!$AF$8,"B",IF(N322&lt;'PlayerGrades+'!$AF$7,"B+",IF(N322&lt;'PlayerGrades+'!$AF$6,"A-",IF(N322&lt;'PlayerGrades+'!$AF$5,"A",IF(N322&lt;'PlayerGrades+'!$AF$4,"A+",IF(N322&lt;'PlayerGrades+'!$AF$3,"S-",IF(N322&lt;'PlayerGrades+'!$AF$2,"S","S+"))))))))))))))))))))</f>
        <v>#DIV/0!</v>
      </c>
      <c r="P322" s="961" t="str">
        <f t="shared" si="7"/>
        <v>#DIV/0!</v>
      </c>
      <c r="Q322" s="961" t="str">
        <f>IF(P322&lt;'PlayerGrades+'!$AG$21,"F-",IF(P322&lt;'PlayerGrades+'!$AG$20,"F",IF(P322&lt;'PlayerGrades+'!$AG$19,"F+",IF(P322&lt;'PlayerGrades+'!$AG$18,"E-",IF(P322&lt;'PlayerGrades+'!$AG$17,"E",IF(P322&lt;'PlayerGrades+'!$AG$16,"E+",IF(P322&lt;'PlayerGrades+'!$AG$15,"D-",IF(P322&lt;'PlayerGrades+'!$AG$14,"D",IF(P322&lt;'PlayerGrades+'!$AG$13,"D+",IF(P322&lt;'PlayerGrades+'!$AG$12,"C-",IF(P322&lt;'PlayerGrades+'!$AG$11,"C",IF(P322&lt;'PlayerGrades+'!$AG$10,"C+",IF(P322&lt;'PlayerGrades+'!$AG$9,"B-",IF(P322&lt;'PlayerGrades+'!$AG$8,"B",IF(P322&lt;'PlayerGrades+'!$AG$7,"B+",IF(P322&lt;'PlayerGrades+'!$AG$6,"A-",IF(P322&lt;'PlayerGrades+'!$AG$5,"A",IF(P322&lt;'PlayerGrades+'!$AG$4,"A+",IF(P322&lt;'PlayerGrades+'!$AG$3,"S-",IF(P322&lt;'PlayerGrades+'!$AG$2,"S","S+"))))))))))))))))))))</f>
        <v>#DIV/0!</v>
      </c>
      <c r="R322" s="961" t="str">
        <f t="shared" si="8"/>
        <v>#DIV/0!</v>
      </c>
      <c r="S322" s="961" t="str">
        <f>IF(R322&lt;'PlayerGrades+'!$AH$21,"F-",IF(R322&lt;'PlayerGrades+'!$AH$20,"F",IF(R322&lt;'PlayerGrades+'!$AH$19,"F+",IF(R322&lt;'PlayerGrades+'!$AH$18,"E-",IF(R322&lt;'PlayerGrades+'!$AH$17,"E",IF(R322&lt;'PlayerGrades+'!$AH$16,"E+",IF(R322&lt;'PlayerGrades+'!$AH$15,"D-",IF(R322&lt;'PlayerGrades+'!$AH$14,"D",IF(R322&lt;'PlayerGrades+'!$AH$13,"D+",IF(R322&lt;'PlayerGrades+'!$AH$12,"C-",IF(R322&lt;'PlayerGrades+'!$AH$11,"C",IF(R322&lt;'PlayerGrades+'!$AH$10,"C+",IF(R322&lt;'PlayerGrades+'!$AH$9,"B-",IF(R322&lt;'PlayerGrades+'!$AH$8,"B",IF(R322&lt;'PlayerGrades+'!$AH$7,"B+",IF(R322&lt;'PlayerGrades+'!$AH$6,"A-",IF(R322&lt;'PlayerGrades+'!$AH$5,"A",IF(R322&lt;'PlayerGrades+'!$AH$4,"A+",IF(R322&lt;'PlayerGrades+'!$AH$3,"S-",IF(R322&lt;'PlayerGrades+'!$AH$2,"S","S+"))))))))))))))))))))</f>
        <v>#DIV/0!</v>
      </c>
      <c r="T322" s="961">
        <f t="shared" si="9"/>
        <v>0</v>
      </c>
      <c r="U322" s="961" t="str">
        <f>IF(T322&lt;'PlayerGrades+'!$AI$21,"F-",IF(T322&lt;'PlayerGrades+'!$AI$20,"F",IF(T322&lt;'PlayerGrades+'!$AI$19,"F+",IF(T322&lt;'PlayerGrades+'!$AI$18,"E-",IF(T322&lt;'PlayerGrades+'!$AI$17,"E",IF(T322&lt;'PlayerGrades+'!$AI$16,"E+",IF(T322&lt;'PlayerGrades+'!$AI$15,"D-",IF(T322&lt;'PlayerGrades+'!$AI$14,"D",IF(T322&lt;'PlayerGrades+'!$AI$13,"D+",IF(T322&lt;'PlayerGrades+'!$AI$12,"C-",IF(T322&lt;'PlayerGrades+'!$AI$11,"C",IF(T322&lt;'PlayerGrades+'!$AI$10,"C+",IF(T322&lt;'PlayerGrades+'!$AI$9,"B-",IF(T322&lt;'PlayerGrades+'!$AI$8,"B",IF(T322&lt;'PlayerGrades+'!$AI$7,"B+",IF(T322&lt;'PlayerGrades+'!$AI$6,"A-",IF(T322&lt;'PlayerGrades+'!$AI$5,"A",IF(T322&lt;'PlayerGrades+'!$AI$4,"A+",IF(T322&lt;'PlayerGrades+'!$AI$3,"S-",IF(T322&lt;'PlayerGrades+'!$AI$2,"S","S+"))))))))))))))))))))</f>
        <v>F-</v>
      </c>
      <c r="V322" s="1379"/>
      <c r="W322" s="1379"/>
      <c r="X322" s="1379"/>
      <c r="Y322" s="1379"/>
      <c r="Z322" s="1379"/>
      <c r="AA322" s="1379"/>
      <c r="AB322" s="1379"/>
      <c r="AC322" s="1390"/>
      <c r="AD322" s="1379"/>
      <c r="AE322" s="1379"/>
      <c r="AF322" s="1410"/>
      <c r="AG322" s="1379"/>
      <c r="AH322" s="1379"/>
      <c r="AI322" s="1379"/>
      <c r="AJ322" s="1379"/>
      <c r="AK322" s="1379"/>
      <c r="AL322" s="1379"/>
      <c r="AM322" s="1379"/>
      <c r="AN322" s="1379"/>
      <c r="AO322" s="1379"/>
      <c r="AP322" s="1379"/>
      <c r="AQ322" s="1379"/>
      <c r="AR322" s="1379"/>
      <c r="AS322" s="1379"/>
      <c r="AT322" s="1379"/>
      <c r="AU322" s="1379"/>
      <c r="AV322" s="1379"/>
      <c r="AW322" s="1379"/>
      <c r="AX322" s="1379"/>
      <c r="AY322" s="1379"/>
      <c r="AZ322" s="1379"/>
    </row>
    <row r="323">
      <c r="A323" s="1391"/>
      <c r="B323" s="611" t="str">
        <f>IF(C323&lt;'PlayerGrades+'!$Y$44,"F-",IF(C323&lt;'PlayerGrades+'!$Y$43,"F",IF(C323&lt;'PlayerGrades+'!$Y$42,"F+",IF(C323&lt;'PlayerGrades+'!$Y$41,"E-",IF(C323&lt;'PlayerGrades+'!$Y$40,"E",IF(C323&lt;'PlayerGrades+'!$Y$39,"E+",IF(C323&lt;'PlayerGrades+'!$Y$38,"D-",IF(C323&lt;'PlayerGrades+'!$Y$37,"D",IF(C323&lt;'PlayerGrades+'!$Y$36,"D+",IF(C323&lt;'PlayerGrades+'!$Y$35,"C-",IF(C323&lt;'PlayerGrades+'!$Y$34,"C",IF(C323&lt;'PlayerGrades+'!$Y$33,"C+",IF(C323&lt;'PlayerGrades+'!$Y$32,"B-",IF(C323&lt;'PlayerGrades+'!$Y$31,"B",IF(C323&lt;'PlayerGrades+'!$Y$30,"B+",IF(C323&lt;'PlayerGrades+'!$Y$29,"A-",IF(C323&lt;'PlayerGrades+'!$Y$28,"A",IF(C323&lt;'PlayerGrades+'!$Y$27,"A+",IF(C323&lt;'PlayerGrades+'!$Y$26,"S-",IF(C323&lt;'PlayerGrades+'!$Y$25,"S","S+"))))))))))))))))))))</f>
        <v>#DIV/0!</v>
      </c>
      <c r="C323" s="1378" t="str">
        <f>('PlayerGrades+'!$Y$47*(VLOOKUP(E323, 'PlayerGrades+'!$X$3:$Y$23, 2, FALSE)))+('PlayerGrades+'!$Y$48*(VLOOKUP(G323, 'PlayerGrades+'!$X$3:$Y$23, 2, FALSE)))+('PlayerGrades+'!$Y$49*(VLOOKUP(I323, 'PlayerGrades+'!$X$3:$Y$23, 2, FALSE)))+('PlayerGrades+'!$Y$50*(VLOOKUP(K323, 'PlayerGrades+'!$X$3:$Y$23, 2, FALSE)))+('PlayerGrades+'!$Y$51*(VLOOKUP(M323, 'PlayerGrades+'!$X$3:$Y$23, 2, FALSE)))+('PlayerGrades+'!$Y$52*(VLOOKUP(O323, 'PlayerGrades+'!$X$3:$Y$23, 2, FALSE)))+('PlayerGrades+'!$Y$53*(VLOOKUP(Q323, 'PlayerGrades+'!$X$3:$Y$23, 2, FALSE)))+('PlayerGrades+'!$Y$54*(VLOOKUP(S323, 'PlayerGrades+'!$X$3:$Y$23, 2, FALSE)))+('PlayerGrades+'!$Y$55*(VLOOKUP(U323, 'PlayerGrades+'!$X$3:$Y$23, 2, FALSE)))</f>
        <v>#DIV/0!</v>
      </c>
      <c r="D323" s="961" t="str">
        <f t="shared" si="1"/>
        <v>#DIV/0!</v>
      </c>
      <c r="E323" s="961" t="str">
        <f>IF(D323&lt;'PlayerGrades+'!$AA$21,"F-",IF(D323&lt;'PlayerGrades+'!$AA$20,"F",IF(D323&lt;'PlayerGrades+'!$AA$19,"F+",IF(D323&lt;'PlayerGrades+'!$AA$18,"E-",IF(D323&lt;'PlayerGrades+'!$AA$17,"E",IF(D323&lt;'PlayerGrades+'!$AA$16,"E+",IF(D323&lt;'PlayerGrades+'!$AA$15,"D-",IF(D323&lt;'PlayerGrades+'!$AA$14,"D",IF(D323&lt;'PlayerGrades+'!$AA$13,"D+",IF(D323&lt;'PlayerGrades+'!$AA$12,"C-",IF(D323&lt;'PlayerGrades+'!$AA$11,"C",IF(D323&lt;'PlayerGrades+'!$AA$10,"C+",IF(D323&lt;'PlayerGrades+'!$AA$9,"B-",IF(D323&lt;'PlayerGrades+'!$AA$8,"B",IF(D323&lt;'PlayerGrades+'!$AA$7,"B+",IF(D323&lt;'PlayerGrades+'!$AA$6,"A-",IF(D323&lt;'PlayerGrades+'!$AA$5,"A",IF(D323&lt;'PlayerGrades+'!$AA$4,"A+",IF(D323&lt;'PlayerGrades+'!$AA$3,"S-",IF(D323&lt;'PlayerGrades+'!$AA$2,"S","S+"))))))))))))))))))))</f>
        <v>#DIV/0!</v>
      </c>
      <c r="F323" s="961" t="str">
        <f t="shared" si="2"/>
        <v>#DIV/0!</v>
      </c>
      <c r="G323" s="961" t="str">
        <f>IF(F323&lt;'PlayerGrades+'!$AB$21,"F-",IF(F323&lt;'PlayerGrades+'!$AB$20,"F",IF(F323&lt;'PlayerGrades+'!$AB$19,"F+",IF(F323&lt;'PlayerGrades+'!$AB$18,"E-",IF(F323&lt;'PlayerGrades+'!$AB$17,"E",IF(F323&lt;'PlayerGrades+'!$AB$16,"E+",IF(F323&lt;'PlayerGrades+'!$AB$15,"D-",IF(F323&lt;'PlayerGrades+'!$AB$14,"D",IF(F323&lt;'PlayerGrades+'!$AB$13,"D+",IF(F323&lt;'PlayerGrades+'!$AB$12,"C-",IF(F323&lt;'PlayerGrades+'!$AB$11,"C",IF(F323&lt;'PlayerGrades+'!$AB$10,"C+",IF(F323&lt;'PlayerGrades+'!$AB$9,"B-",IF(F323&lt;'PlayerGrades+'!$AB$8,"B",IF(F323&lt;'PlayerGrades+'!$AB$7,"B+",IF(F323&lt;'PlayerGrades+'!$AB$6,"A-",IF(F323&lt;'PlayerGrades+'!$AB$5,"A",IF(F323&lt;'PlayerGrades+'!$AB$4,"A+",IF(F323&lt;'PlayerGrades+'!$AB$3,"S-",IF(F323&lt;'PlayerGrades+'!$AB$2,"S","S+"))))))))))))))))))))</f>
        <v>#DIV/0!</v>
      </c>
      <c r="H323" s="961" t="str">
        <f t="shared" si="3"/>
        <v>#DIV/0!</v>
      </c>
      <c r="I323" s="961" t="str">
        <f>IF(H323&lt;'PlayerGrades+'!$AC$21,"F-",IF(H323&lt;'PlayerGrades+'!$AC$20,"F",IF(H323&lt;'PlayerGrades+'!$AC$19,"F+",IF(H323&lt;'PlayerGrades+'!$AC$18,"E-",IF(H323&lt;'PlayerGrades+'!$AC$17,"E",IF(H323&lt;'PlayerGrades+'!$AC$16,"E+",IF(H323&lt;'PlayerGrades+'!$AC$15,"D-",IF(H323&lt;'PlayerGrades+'!$AC$14,"D",IF(H323&lt;'PlayerGrades+'!$AC$13,"D+",IF(H323&lt;'PlayerGrades+'!$AC$12,"C-",IF(H323&lt;'PlayerGrades+'!$AC$11,"C",IF(H323&lt;'PlayerGrades+'!$AC$10,"C+",IF(H323&lt;'PlayerGrades+'!$AC$9,"B-",IF(H323&lt;'PlayerGrades+'!$AC$8,"B",IF(H323&lt;'PlayerGrades+'!$AC$7,"B+",IF(H323&lt;'PlayerGrades+'!$AC$6,"A-",IF(H323&lt;'PlayerGrades+'!$AC$5,"A",IF(H323&lt;'PlayerGrades+'!$AC$4,"A+",IF(H323&lt;'PlayerGrades+'!$AC$3,"S-",IF(H323&lt;'PlayerGrades+'!$AC$2,"S","S+"))))))))))))))))))))</f>
        <v>#DIV/0!</v>
      </c>
      <c r="J323" s="961" t="str">
        <f t="shared" si="4"/>
        <v>#DIV/0!</v>
      </c>
      <c r="K323" s="961" t="str">
        <f>IF(J323&lt;'PlayerGrades+'!$AD$21,"F-",IF(J323&lt;'PlayerGrades+'!$AD$20,"F",IF(J323&lt;'PlayerGrades+'!$AD$19,"F+",IF(J323&lt;'PlayerGrades+'!$AD$18,"E-",IF(J323&lt;'PlayerGrades+'!$AD$17,"E",IF(J323&lt;'PlayerGrades+'!$AD$16,"E+",IF(J323&lt;'PlayerGrades+'!$AD$15,"D-",IF(J323&lt;'PlayerGrades+'!$AD$14,"D",IF(J323&lt;'PlayerGrades+'!$AD$13,"D+",IF(J323&lt;'PlayerGrades+'!$AD$12,"C-",IF(J323&lt;'PlayerGrades+'!$AD$11,"C",IF(J323&lt;'PlayerGrades+'!$AD$10,"C+",IF(J323&lt;'PlayerGrades+'!$AD$9,"B-",IF(J323&lt;'PlayerGrades+'!$AD$8,"B",IF(J323&lt;'PlayerGrades+'!$AD$7,"B+",IF(J323&lt;'PlayerGrades+'!$AD$6,"A-",IF(J323&lt;'PlayerGrades+'!$AD$5,"A",IF(J323&lt;'PlayerGrades+'!$AD$4,"A+",IF(J323&lt;'PlayerGrades+'!$AD$3,"S-",IF(J323&lt;'PlayerGrades+'!$AD$2,"S","S+"))))))))))))))))))))</f>
        <v>#DIV/0!</v>
      </c>
      <c r="L323" s="1176" t="str">
        <f t="shared" si="5"/>
        <v>#DIV/0!</v>
      </c>
      <c r="M323" s="992" t="str">
        <f>IF(L323&lt;'PlayerGrades+'!$AE$21,"F-",IF(L323&lt;'PlayerGrades+'!$AE$20,"F",IF(L323&lt;'PlayerGrades+'!$AE$19,"F+",IF(L323&lt;'PlayerGrades+'!$AE$18,"E-",IF(L323&lt;'PlayerGrades+'!$AE$17,"E",IF(L323&lt;'PlayerGrades+'!$AE$16,"E+",IF(L323&lt;'PlayerGrades+'!$AE$15,"D-",IF(L323&lt;'PlayerGrades+'!$AE$14,"D",IF(L323&lt;'PlayerGrades+'!$AE$13,"D+",IF(L323&lt;'PlayerGrades+'!$AE$12,"C-",IF(L323&lt;'PlayerGrades+'!$AE$11,"C",IF(L323&lt;'PlayerGrades+'!$AE$10,"C+",IF(L323&lt;'PlayerGrades+'!$AE$9,"B-",IF(L323&lt;'PlayerGrades+'!$AE$8,"B",IF(L323&lt;'PlayerGrades+'!$AE$7,"B+",IF(L323&lt;'PlayerGrades+'!$AE$6,"A-",IF(L323&lt;'PlayerGrades+'!$AE$5,"A",IF(L323&lt;'PlayerGrades+'!$AE$4,"A+",IF(L323&lt;'PlayerGrades+'!$AE$3,"S-",IF(L323&lt;'PlayerGrades+'!$AE$2,"S","S+"))))))))))))))))))))</f>
        <v>#DIV/0!</v>
      </c>
      <c r="N323" s="961" t="str">
        <f t="shared" si="6"/>
        <v>#DIV/0!</v>
      </c>
      <c r="O323" s="961" t="str">
        <f>IF(N323&lt;'PlayerGrades+'!$AF$21,"F-",IF(N323&lt;'PlayerGrades+'!$AF$20,"F",IF(N323&lt;'PlayerGrades+'!$AF$19,"F+",IF(N323&lt;'PlayerGrades+'!$AF$18,"E-",IF(N323&lt;'PlayerGrades+'!$AF$17,"E",IF(N323&lt;'PlayerGrades+'!$AF$16,"E+",IF(N323&lt;'PlayerGrades+'!$AF$15,"D-",IF(N323&lt;'PlayerGrades+'!$AF$14,"D",IF(N323&lt;'PlayerGrades+'!$AF$13,"D+",IF(N323&lt;'PlayerGrades+'!$AF$12,"C-",IF(N323&lt;'PlayerGrades+'!$AF$11,"C",IF(N323&lt;'PlayerGrades+'!$AF$10,"C+",IF(N323&lt;'PlayerGrades+'!$AF$9,"B-",IF(N323&lt;'PlayerGrades+'!$AF$8,"B",IF(N323&lt;'PlayerGrades+'!$AF$7,"B+",IF(N323&lt;'PlayerGrades+'!$AF$6,"A-",IF(N323&lt;'PlayerGrades+'!$AF$5,"A",IF(N323&lt;'PlayerGrades+'!$AF$4,"A+",IF(N323&lt;'PlayerGrades+'!$AF$3,"S-",IF(N323&lt;'PlayerGrades+'!$AF$2,"S","S+"))))))))))))))))))))</f>
        <v>#DIV/0!</v>
      </c>
      <c r="P323" s="961" t="str">
        <f t="shared" si="7"/>
        <v>#DIV/0!</v>
      </c>
      <c r="Q323" s="961" t="str">
        <f>IF(P323&lt;'PlayerGrades+'!$AG$21,"F-",IF(P323&lt;'PlayerGrades+'!$AG$20,"F",IF(P323&lt;'PlayerGrades+'!$AG$19,"F+",IF(P323&lt;'PlayerGrades+'!$AG$18,"E-",IF(P323&lt;'PlayerGrades+'!$AG$17,"E",IF(P323&lt;'PlayerGrades+'!$AG$16,"E+",IF(P323&lt;'PlayerGrades+'!$AG$15,"D-",IF(P323&lt;'PlayerGrades+'!$AG$14,"D",IF(P323&lt;'PlayerGrades+'!$AG$13,"D+",IF(P323&lt;'PlayerGrades+'!$AG$12,"C-",IF(P323&lt;'PlayerGrades+'!$AG$11,"C",IF(P323&lt;'PlayerGrades+'!$AG$10,"C+",IF(P323&lt;'PlayerGrades+'!$AG$9,"B-",IF(P323&lt;'PlayerGrades+'!$AG$8,"B",IF(P323&lt;'PlayerGrades+'!$AG$7,"B+",IF(P323&lt;'PlayerGrades+'!$AG$6,"A-",IF(P323&lt;'PlayerGrades+'!$AG$5,"A",IF(P323&lt;'PlayerGrades+'!$AG$4,"A+",IF(P323&lt;'PlayerGrades+'!$AG$3,"S-",IF(P323&lt;'PlayerGrades+'!$AG$2,"S","S+"))))))))))))))))))))</f>
        <v>#DIV/0!</v>
      </c>
      <c r="R323" s="961" t="str">
        <f t="shared" si="8"/>
        <v>#DIV/0!</v>
      </c>
      <c r="S323" s="961" t="str">
        <f>IF(R323&lt;'PlayerGrades+'!$AH$21,"F-",IF(R323&lt;'PlayerGrades+'!$AH$20,"F",IF(R323&lt;'PlayerGrades+'!$AH$19,"F+",IF(R323&lt;'PlayerGrades+'!$AH$18,"E-",IF(R323&lt;'PlayerGrades+'!$AH$17,"E",IF(R323&lt;'PlayerGrades+'!$AH$16,"E+",IF(R323&lt;'PlayerGrades+'!$AH$15,"D-",IF(R323&lt;'PlayerGrades+'!$AH$14,"D",IF(R323&lt;'PlayerGrades+'!$AH$13,"D+",IF(R323&lt;'PlayerGrades+'!$AH$12,"C-",IF(R323&lt;'PlayerGrades+'!$AH$11,"C",IF(R323&lt;'PlayerGrades+'!$AH$10,"C+",IF(R323&lt;'PlayerGrades+'!$AH$9,"B-",IF(R323&lt;'PlayerGrades+'!$AH$8,"B",IF(R323&lt;'PlayerGrades+'!$AH$7,"B+",IF(R323&lt;'PlayerGrades+'!$AH$6,"A-",IF(R323&lt;'PlayerGrades+'!$AH$5,"A",IF(R323&lt;'PlayerGrades+'!$AH$4,"A+",IF(R323&lt;'PlayerGrades+'!$AH$3,"S-",IF(R323&lt;'PlayerGrades+'!$AH$2,"S","S+"))))))))))))))))))))</f>
        <v>#DIV/0!</v>
      </c>
      <c r="T323" s="961">
        <f t="shared" si="9"/>
        <v>0</v>
      </c>
      <c r="U323" s="961" t="str">
        <f>IF(T323&lt;'PlayerGrades+'!$AI$21,"F-",IF(T323&lt;'PlayerGrades+'!$AI$20,"F",IF(T323&lt;'PlayerGrades+'!$AI$19,"F+",IF(T323&lt;'PlayerGrades+'!$AI$18,"E-",IF(T323&lt;'PlayerGrades+'!$AI$17,"E",IF(T323&lt;'PlayerGrades+'!$AI$16,"E+",IF(T323&lt;'PlayerGrades+'!$AI$15,"D-",IF(T323&lt;'PlayerGrades+'!$AI$14,"D",IF(T323&lt;'PlayerGrades+'!$AI$13,"D+",IF(T323&lt;'PlayerGrades+'!$AI$12,"C-",IF(T323&lt;'PlayerGrades+'!$AI$11,"C",IF(T323&lt;'PlayerGrades+'!$AI$10,"C+",IF(T323&lt;'PlayerGrades+'!$AI$9,"B-",IF(T323&lt;'PlayerGrades+'!$AI$8,"B",IF(T323&lt;'PlayerGrades+'!$AI$7,"B+",IF(T323&lt;'PlayerGrades+'!$AI$6,"A-",IF(T323&lt;'PlayerGrades+'!$AI$5,"A",IF(T323&lt;'PlayerGrades+'!$AI$4,"A+",IF(T323&lt;'PlayerGrades+'!$AI$3,"S-",IF(T323&lt;'PlayerGrades+'!$AI$2,"S","S+"))))))))))))))))))))</f>
        <v>F-</v>
      </c>
      <c r="AC323" s="1392"/>
    </row>
    <row r="324">
      <c r="A324" s="1391"/>
      <c r="B324" s="611" t="str">
        <f>IF(C324&lt;'PlayerGrades+'!$Y$44,"F-",IF(C324&lt;'PlayerGrades+'!$Y$43,"F",IF(C324&lt;'PlayerGrades+'!$Y$42,"F+",IF(C324&lt;'PlayerGrades+'!$Y$41,"E-",IF(C324&lt;'PlayerGrades+'!$Y$40,"E",IF(C324&lt;'PlayerGrades+'!$Y$39,"E+",IF(C324&lt;'PlayerGrades+'!$Y$38,"D-",IF(C324&lt;'PlayerGrades+'!$Y$37,"D",IF(C324&lt;'PlayerGrades+'!$Y$36,"D+",IF(C324&lt;'PlayerGrades+'!$Y$35,"C-",IF(C324&lt;'PlayerGrades+'!$Y$34,"C",IF(C324&lt;'PlayerGrades+'!$Y$33,"C+",IF(C324&lt;'PlayerGrades+'!$Y$32,"B-",IF(C324&lt;'PlayerGrades+'!$Y$31,"B",IF(C324&lt;'PlayerGrades+'!$Y$30,"B+",IF(C324&lt;'PlayerGrades+'!$Y$29,"A-",IF(C324&lt;'PlayerGrades+'!$Y$28,"A",IF(C324&lt;'PlayerGrades+'!$Y$27,"A+",IF(C324&lt;'PlayerGrades+'!$Y$26,"S-",IF(C324&lt;'PlayerGrades+'!$Y$25,"S","S+"))))))))))))))))))))</f>
        <v>#DIV/0!</v>
      </c>
      <c r="C324" s="1378" t="str">
        <f>('PlayerGrades+'!$Y$47*(VLOOKUP(E324, 'PlayerGrades+'!$X$3:$Y$23, 2, FALSE)))+('PlayerGrades+'!$Y$48*(VLOOKUP(G324, 'PlayerGrades+'!$X$3:$Y$23, 2, FALSE)))+('PlayerGrades+'!$Y$49*(VLOOKUP(I324, 'PlayerGrades+'!$X$3:$Y$23, 2, FALSE)))+('PlayerGrades+'!$Y$50*(VLOOKUP(K324, 'PlayerGrades+'!$X$3:$Y$23, 2, FALSE)))+('PlayerGrades+'!$Y$51*(VLOOKUP(M324, 'PlayerGrades+'!$X$3:$Y$23, 2, FALSE)))+('PlayerGrades+'!$Y$52*(VLOOKUP(O324, 'PlayerGrades+'!$X$3:$Y$23, 2, FALSE)))+('PlayerGrades+'!$Y$53*(VLOOKUP(Q324, 'PlayerGrades+'!$X$3:$Y$23, 2, FALSE)))+('PlayerGrades+'!$Y$54*(VLOOKUP(S324, 'PlayerGrades+'!$X$3:$Y$23, 2, FALSE)))+('PlayerGrades+'!$Y$55*(VLOOKUP(U324, 'PlayerGrades+'!$X$3:$Y$23, 2, FALSE)))</f>
        <v>#DIV/0!</v>
      </c>
      <c r="D324" s="961" t="str">
        <f t="shared" si="1"/>
        <v>#DIV/0!</v>
      </c>
      <c r="E324" s="961" t="str">
        <f>IF(D324&lt;'PlayerGrades+'!$AA$21,"F-",IF(D324&lt;'PlayerGrades+'!$AA$20,"F",IF(D324&lt;'PlayerGrades+'!$AA$19,"F+",IF(D324&lt;'PlayerGrades+'!$AA$18,"E-",IF(D324&lt;'PlayerGrades+'!$AA$17,"E",IF(D324&lt;'PlayerGrades+'!$AA$16,"E+",IF(D324&lt;'PlayerGrades+'!$AA$15,"D-",IF(D324&lt;'PlayerGrades+'!$AA$14,"D",IF(D324&lt;'PlayerGrades+'!$AA$13,"D+",IF(D324&lt;'PlayerGrades+'!$AA$12,"C-",IF(D324&lt;'PlayerGrades+'!$AA$11,"C",IF(D324&lt;'PlayerGrades+'!$AA$10,"C+",IF(D324&lt;'PlayerGrades+'!$AA$9,"B-",IF(D324&lt;'PlayerGrades+'!$AA$8,"B",IF(D324&lt;'PlayerGrades+'!$AA$7,"B+",IF(D324&lt;'PlayerGrades+'!$AA$6,"A-",IF(D324&lt;'PlayerGrades+'!$AA$5,"A",IF(D324&lt;'PlayerGrades+'!$AA$4,"A+",IF(D324&lt;'PlayerGrades+'!$AA$3,"S-",IF(D324&lt;'PlayerGrades+'!$AA$2,"S","S+"))))))))))))))))))))</f>
        <v>#DIV/0!</v>
      </c>
      <c r="F324" s="961" t="str">
        <f t="shared" si="2"/>
        <v>#DIV/0!</v>
      </c>
      <c r="G324" s="961" t="str">
        <f>IF(F324&lt;'PlayerGrades+'!$AB$21,"F-",IF(F324&lt;'PlayerGrades+'!$AB$20,"F",IF(F324&lt;'PlayerGrades+'!$AB$19,"F+",IF(F324&lt;'PlayerGrades+'!$AB$18,"E-",IF(F324&lt;'PlayerGrades+'!$AB$17,"E",IF(F324&lt;'PlayerGrades+'!$AB$16,"E+",IF(F324&lt;'PlayerGrades+'!$AB$15,"D-",IF(F324&lt;'PlayerGrades+'!$AB$14,"D",IF(F324&lt;'PlayerGrades+'!$AB$13,"D+",IF(F324&lt;'PlayerGrades+'!$AB$12,"C-",IF(F324&lt;'PlayerGrades+'!$AB$11,"C",IF(F324&lt;'PlayerGrades+'!$AB$10,"C+",IF(F324&lt;'PlayerGrades+'!$AB$9,"B-",IF(F324&lt;'PlayerGrades+'!$AB$8,"B",IF(F324&lt;'PlayerGrades+'!$AB$7,"B+",IF(F324&lt;'PlayerGrades+'!$AB$6,"A-",IF(F324&lt;'PlayerGrades+'!$AB$5,"A",IF(F324&lt;'PlayerGrades+'!$AB$4,"A+",IF(F324&lt;'PlayerGrades+'!$AB$3,"S-",IF(F324&lt;'PlayerGrades+'!$AB$2,"S","S+"))))))))))))))))))))</f>
        <v>#DIV/0!</v>
      </c>
      <c r="H324" s="961" t="str">
        <f t="shared" si="3"/>
        <v>#DIV/0!</v>
      </c>
      <c r="I324" s="961" t="str">
        <f>IF(H324&lt;'PlayerGrades+'!$AC$21,"F-",IF(H324&lt;'PlayerGrades+'!$AC$20,"F",IF(H324&lt;'PlayerGrades+'!$AC$19,"F+",IF(H324&lt;'PlayerGrades+'!$AC$18,"E-",IF(H324&lt;'PlayerGrades+'!$AC$17,"E",IF(H324&lt;'PlayerGrades+'!$AC$16,"E+",IF(H324&lt;'PlayerGrades+'!$AC$15,"D-",IF(H324&lt;'PlayerGrades+'!$AC$14,"D",IF(H324&lt;'PlayerGrades+'!$AC$13,"D+",IF(H324&lt;'PlayerGrades+'!$AC$12,"C-",IF(H324&lt;'PlayerGrades+'!$AC$11,"C",IF(H324&lt;'PlayerGrades+'!$AC$10,"C+",IF(H324&lt;'PlayerGrades+'!$AC$9,"B-",IF(H324&lt;'PlayerGrades+'!$AC$8,"B",IF(H324&lt;'PlayerGrades+'!$AC$7,"B+",IF(H324&lt;'PlayerGrades+'!$AC$6,"A-",IF(H324&lt;'PlayerGrades+'!$AC$5,"A",IF(H324&lt;'PlayerGrades+'!$AC$4,"A+",IF(H324&lt;'PlayerGrades+'!$AC$3,"S-",IF(H324&lt;'PlayerGrades+'!$AC$2,"S","S+"))))))))))))))))))))</f>
        <v>#DIV/0!</v>
      </c>
      <c r="J324" s="961" t="str">
        <f t="shared" si="4"/>
        <v>#DIV/0!</v>
      </c>
      <c r="K324" s="961" t="str">
        <f>IF(J324&lt;'PlayerGrades+'!$AD$21,"F-",IF(J324&lt;'PlayerGrades+'!$AD$20,"F",IF(J324&lt;'PlayerGrades+'!$AD$19,"F+",IF(J324&lt;'PlayerGrades+'!$AD$18,"E-",IF(J324&lt;'PlayerGrades+'!$AD$17,"E",IF(J324&lt;'PlayerGrades+'!$AD$16,"E+",IF(J324&lt;'PlayerGrades+'!$AD$15,"D-",IF(J324&lt;'PlayerGrades+'!$AD$14,"D",IF(J324&lt;'PlayerGrades+'!$AD$13,"D+",IF(J324&lt;'PlayerGrades+'!$AD$12,"C-",IF(J324&lt;'PlayerGrades+'!$AD$11,"C",IF(J324&lt;'PlayerGrades+'!$AD$10,"C+",IF(J324&lt;'PlayerGrades+'!$AD$9,"B-",IF(J324&lt;'PlayerGrades+'!$AD$8,"B",IF(J324&lt;'PlayerGrades+'!$AD$7,"B+",IF(J324&lt;'PlayerGrades+'!$AD$6,"A-",IF(J324&lt;'PlayerGrades+'!$AD$5,"A",IF(J324&lt;'PlayerGrades+'!$AD$4,"A+",IF(J324&lt;'PlayerGrades+'!$AD$3,"S-",IF(J324&lt;'PlayerGrades+'!$AD$2,"S","S+"))))))))))))))))))))</f>
        <v>#DIV/0!</v>
      </c>
      <c r="L324" s="1176" t="str">
        <f t="shared" si="5"/>
        <v>#DIV/0!</v>
      </c>
      <c r="M324" s="992" t="str">
        <f>IF(L324&lt;'PlayerGrades+'!$AE$21,"F-",IF(L324&lt;'PlayerGrades+'!$AE$20,"F",IF(L324&lt;'PlayerGrades+'!$AE$19,"F+",IF(L324&lt;'PlayerGrades+'!$AE$18,"E-",IF(L324&lt;'PlayerGrades+'!$AE$17,"E",IF(L324&lt;'PlayerGrades+'!$AE$16,"E+",IF(L324&lt;'PlayerGrades+'!$AE$15,"D-",IF(L324&lt;'PlayerGrades+'!$AE$14,"D",IF(L324&lt;'PlayerGrades+'!$AE$13,"D+",IF(L324&lt;'PlayerGrades+'!$AE$12,"C-",IF(L324&lt;'PlayerGrades+'!$AE$11,"C",IF(L324&lt;'PlayerGrades+'!$AE$10,"C+",IF(L324&lt;'PlayerGrades+'!$AE$9,"B-",IF(L324&lt;'PlayerGrades+'!$AE$8,"B",IF(L324&lt;'PlayerGrades+'!$AE$7,"B+",IF(L324&lt;'PlayerGrades+'!$AE$6,"A-",IF(L324&lt;'PlayerGrades+'!$AE$5,"A",IF(L324&lt;'PlayerGrades+'!$AE$4,"A+",IF(L324&lt;'PlayerGrades+'!$AE$3,"S-",IF(L324&lt;'PlayerGrades+'!$AE$2,"S","S+"))))))))))))))))))))</f>
        <v>#DIV/0!</v>
      </c>
      <c r="N324" s="961" t="str">
        <f t="shared" si="6"/>
        <v>#DIV/0!</v>
      </c>
      <c r="O324" s="961" t="str">
        <f>IF(N324&lt;'PlayerGrades+'!$AF$21,"F-",IF(N324&lt;'PlayerGrades+'!$AF$20,"F",IF(N324&lt;'PlayerGrades+'!$AF$19,"F+",IF(N324&lt;'PlayerGrades+'!$AF$18,"E-",IF(N324&lt;'PlayerGrades+'!$AF$17,"E",IF(N324&lt;'PlayerGrades+'!$AF$16,"E+",IF(N324&lt;'PlayerGrades+'!$AF$15,"D-",IF(N324&lt;'PlayerGrades+'!$AF$14,"D",IF(N324&lt;'PlayerGrades+'!$AF$13,"D+",IF(N324&lt;'PlayerGrades+'!$AF$12,"C-",IF(N324&lt;'PlayerGrades+'!$AF$11,"C",IF(N324&lt;'PlayerGrades+'!$AF$10,"C+",IF(N324&lt;'PlayerGrades+'!$AF$9,"B-",IF(N324&lt;'PlayerGrades+'!$AF$8,"B",IF(N324&lt;'PlayerGrades+'!$AF$7,"B+",IF(N324&lt;'PlayerGrades+'!$AF$6,"A-",IF(N324&lt;'PlayerGrades+'!$AF$5,"A",IF(N324&lt;'PlayerGrades+'!$AF$4,"A+",IF(N324&lt;'PlayerGrades+'!$AF$3,"S-",IF(N324&lt;'PlayerGrades+'!$AF$2,"S","S+"))))))))))))))))))))</f>
        <v>#DIV/0!</v>
      </c>
      <c r="P324" s="961" t="str">
        <f t="shared" si="7"/>
        <v>#DIV/0!</v>
      </c>
      <c r="Q324" s="961" t="str">
        <f>IF(P324&lt;'PlayerGrades+'!$AG$21,"F-",IF(P324&lt;'PlayerGrades+'!$AG$20,"F",IF(P324&lt;'PlayerGrades+'!$AG$19,"F+",IF(P324&lt;'PlayerGrades+'!$AG$18,"E-",IF(P324&lt;'PlayerGrades+'!$AG$17,"E",IF(P324&lt;'PlayerGrades+'!$AG$16,"E+",IF(P324&lt;'PlayerGrades+'!$AG$15,"D-",IF(P324&lt;'PlayerGrades+'!$AG$14,"D",IF(P324&lt;'PlayerGrades+'!$AG$13,"D+",IF(P324&lt;'PlayerGrades+'!$AG$12,"C-",IF(P324&lt;'PlayerGrades+'!$AG$11,"C",IF(P324&lt;'PlayerGrades+'!$AG$10,"C+",IF(P324&lt;'PlayerGrades+'!$AG$9,"B-",IF(P324&lt;'PlayerGrades+'!$AG$8,"B",IF(P324&lt;'PlayerGrades+'!$AG$7,"B+",IF(P324&lt;'PlayerGrades+'!$AG$6,"A-",IF(P324&lt;'PlayerGrades+'!$AG$5,"A",IF(P324&lt;'PlayerGrades+'!$AG$4,"A+",IF(P324&lt;'PlayerGrades+'!$AG$3,"S-",IF(P324&lt;'PlayerGrades+'!$AG$2,"S","S+"))))))))))))))))))))</f>
        <v>#DIV/0!</v>
      </c>
      <c r="R324" s="961" t="str">
        <f t="shared" si="8"/>
        <v>#DIV/0!</v>
      </c>
      <c r="S324" s="961" t="str">
        <f>IF(R324&lt;'PlayerGrades+'!$AH$21,"F-",IF(R324&lt;'PlayerGrades+'!$AH$20,"F",IF(R324&lt;'PlayerGrades+'!$AH$19,"F+",IF(R324&lt;'PlayerGrades+'!$AH$18,"E-",IF(R324&lt;'PlayerGrades+'!$AH$17,"E",IF(R324&lt;'PlayerGrades+'!$AH$16,"E+",IF(R324&lt;'PlayerGrades+'!$AH$15,"D-",IF(R324&lt;'PlayerGrades+'!$AH$14,"D",IF(R324&lt;'PlayerGrades+'!$AH$13,"D+",IF(R324&lt;'PlayerGrades+'!$AH$12,"C-",IF(R324&lt;'PlayerGrades+'!$AH$11,"C",IF(R324&lt;'PlayerGrades+'!$AH$10,"C+",IF(R324&lt;'PlayerGrades+'!$AH$9,"B-",IF(R324&lt;'PlayerGrades+'!$AH$8,"B",IF(R324&lt;'PlayerGrades+'!$AH$7,"B+",IF(R324&lt;'PlayerGrades+'!$AH$6,"A-",IF(R324&lt;'PlayerGrades+'!$AH$5,"A",IF(R324&lt;'PlayerGrades+'!$AH$4,"A+",IF(R324&lt;'PlayerGrades+'!$AH$3,"S-",IF(R324&lt;'PlayerGrades+'!$AH$2,"S","S+"))))))))))))))))))))</f>
        <v>#DIV/0!</v>
      </c>
      <c r="T324" s="961">
        <f t="shared" si="9"/>
        <v>0</v>
      </c>
      <c r="U324" s="961" t="str">
        <f>IF(T324&lt;'PlayerGrades+'!$AI$21,"F-",IF(T324&lt;'PlayerGrades+'!$AI$20,"F",IF(T324&lt;'PlayerGrades+'!$AI$19,"F+",IF(T324&lt;'PlayerGrades+'!$AI$18,"E-",IF(T324&lt;'PlayerGrades+'!$AI$17,"E",IF(T324&lt;'PlayerGrades+'!$AI$16,"E+",IF(T324&lt;'PlayerGrades+'!$AI$15,"D-",IF(T324&lt;'PlayerGrades+'!$AI$14,"D",IF(T324&lt;'PlayerGrades+'!$AI$13,"D+",IF(T324&lt;'PlayerGrades+'!$AI$12,"C-",IF(T324&lt;'PlayerGrades+'!$AI$11,"C",IF(T324&lt;'PlayerGrades+'!$AI$10,"C+",IF(T324&lt;'PlayerGrades+'!$AI$9,"B-",IF(T324&lt;'PlayerGrades+'!$AI$8,"B",IF(T324&lt;'PlayerGrades+'!$AI$7,"B+",IF(T324&lt;'PlayerGrades+'!$AI$6,"A-",IF(T324&lt;'PlayerGrades+'!$AI$5,"A",IF(T324&lt;'PlayerGrades+'!$AI$4,"A+",IF(T324&lt;'PlayerGrades+'!$AI$3,"S-",IF(T324&lt;'PlayerGrades+'!$AI$2,"S","S+"))))))))))))))))))))</f>
        <v>F-</v>
      </c>
      <c r="AC324" s="1392"/>
    </row>
    <row r="325">
      <c r="A325" s="1391"/>
      <c r="B325" s="611" t="str">
        <f>IF(C325&lt;'PlayerGrades+'!$Y$44,"F-",IF(C325&lt;'PlayerGrades+'!$Y$43,"F",IF(C325&lt;'PlayerGrades+'!$Y$42,"F+",IF(C325&lt;'PlayerGrades+'!$Y$41,"E-",IF(C325&lt;'PlayerGrades+'!$Y$40,"E",IF(C325&lt;'PlayerGrades+'!$Y$39,"E+",IF(C325&lt;'PlayerGrades+'!$Y$38,"D-",IF(C325&lt;'PlayerGrades+'!$Y$37,"D",IF(C325&lt;'PlayerGrades+'!$Y$36,"D+",IF(C325&lt;'PlayerGrades+'!$Y$35,"C-",IF(C325&lt;'PlayerGrades+'!$Y$34,"C",IF(C325&lt;'PlayerGrades+'!$Y$33,"C+",IF(C325&lt;'PlayerGrades+'!$Y$32,"B-",IF(C325&lt;'PlayerGrades+'!$Y$31,"B",IF(C325&lt;'PlayerGrades+'!$Y$30,"B+",IF(C325&lt;'PlayerGrades+'!$Y$29,"A-",IF(C325&lt;'PlayerGrades+'!$Y$28,"A",IF(C325&lt;'PlayerGrades+'!$Y$27,"A+",IF(C325&lt;'PlayerGrades+'!$Y$26,"S-",IF(C325&lt;'PlayerGrades+'!$Y$25,"S","S+"))))))))))))))))))))</f>
        <v>#DIV/0!</v>
      </c>
      <c r="C325" s="1378" t="str">
        <f>('PlayerGrades+'!$Y$47*(VLOOKUP(E325, 'PlayerGrades+'!$X$3:$Y$23, 2, FALSE)))+('PlayerGrades+'!$Y$48*(VLOOKUP(G325, 'PlayerGrades+'!$X$3:$Y$23, 2, FALSE)))+('PlayerGrades+'!$Y$49*(VLOOKUP(I325, 'PlayerGrades+'!$X$3:$Y$23, 2, FALSE)))+('PlayerGrades+'!$Y$50*(VLOOKUP(K325, 'PlayerGrades+'!$X$3:$Y$23, 2, FALSE)))+('PlayerGrades+'!$Y$51*(VLOOKUP(M325, 'PlayerGrades+'!$X$3:$Y$23, 2, FALSE)))+('PlayerGrades+'!$Y$52*(VLOOKUP(O325, 'PlayerGrades+'!$X$3:$Y$23, 2, FALSE)))+('PlayerGrades+'!$Y$53*(VLOOKUP(Q325, 'PlayerGrades+'!$X$3:$Y$23, 2, FALSE)))+('PlayerGrades+'!$Y$54*(VLOOKUP(S325, 'PlayerGrades+'!$X$3:$Y$23, 2, FALSE)))+('PlayerGrades+'!$Y$55*(VLOOKUP(U325, 'PlayerGrades+'!$X$3:$Y$23, 2, FALSE)))</f>
        <v>#DIV/0!</v>
      </c>
      <c r="D325" s="961" t="str">
        <f t="shared" si="1"/>
        <v>#DIV/0!</v>
      </c>
      <c r="E325" s="961" t="str">
        <f>IF(D325&lt;'PlayerGrades+'!$AA$21,"F-",IF(D325&lt;'PlayerGrades+'!$AA$20,"F",IF(D325&lt;'PlayerGrades+'!$AA$19,"F+",IF(D325&lt;'PlayerGrades+'!$AA$18,"E-",IF(D325&lt;'PlayerGrades+'!$AA$17,"E",IF(D325&lt;'PlayerGrades+'!$AA$16,"E+",IF(D325&lt;'PlayerGrades+'!$AA$15,"D-",IF(D325&lt;'PlayerGrades+'!$AA$14,"D",IF(D325&lt;'PlayerGrades+'!$AA$13,"D+",IF(D325&lt;'PlayerGrades+'!$AA$12,"C-",IF(D325&lt;'PlayerGrades+'!$AA$11,"C",IF(D325&lt;'PlayerGrades+'!$AA$10,"C+",IF(D325&lt;'PlayerGrades+'!$AA$9,"B-",IF(D325&lt;'PlayerGrades+'!$AA$8,"B",IF(D325&lt;'PlayerGrades+'!$AA$7,"B+",IF(D325&lt;'PlayerGrades+'!$AA$6,"A-",IF(D325&lt;'PlayerGrades+'!$AA$5,"A",IF(D325&lt;'PlayerGrades+'!$AA$4,"A+",IF(D325&lt;'PlayerGrades+'!$AA$3,"S-",IF(D325&lt;'PlayerGrades+'!$AA$2,"S","S+"))))))))))))))))))))</f>
        <v>#DIV/0!</v>
      </c>
      <c r="F325" s="961" t="str">
        <f t="shared" si="2"/>
        <v>#DIV/0!</v>
      </c>
      <c r="G325" s="961" t="str">
        <f>IF(F325&lt;'PlayerGrades+'!$AB$21,"F-",IF(F325&lt;'PlayerGrades+'!$AB$20,"F",IF(F325&lt;'PlayerGrades+'!$AB$19,"F+",IF(F325&lt;'PlayerGrades+'!$AB$18,"E-",IF(F325&lt;'PlayerGrades+'!$AB$17,"E",IF(F325&lt;'PlayerGrades+'!$AB$16,"E+",IF(F325&lt;'PlayerGrades+'!$AB$15,"D-",IF(F325&lt;'PlayerGrades+'!$AB$14,"D",IF(F325&lt;'PlayerGrades+'!$AB$13,"D+",IF(F325&lt;'PlayerGrades+'!$AB$12,"C-",IF(F325&lt;'PlayerGrades+'!$AB$11,"C",IF(F325&lt;'PlayerGrades+'!$AB$10,"C+",IF(F325&lt;'PlayerGrades+'!$AB$9,"B-",IF(F325&lt;'PlayerGrades+'!$AB$8,"B",IF(F325&lt;'PlayerGrades+'!$AB$7,"B+",IF(F325&lt;'PlayerGrades+'!$AB$6,"A-",IF(F325&lt;'PlayerGrades+'!$AB$5,"A",IF(F325&lt;'PlayerGrades+'!$AB$4,"A+",IF(F325&lt;'PlayerGrades+'!$AB$3,"S-",IF(F325&lt;'PlayerGrades+'!$AB$2,"S","S+"))))))))))))))))))))</f>
        <v>#DIV/0!</v>
      </c>
      <c r="H325" s="961" t="str">
        <f t="shared" si="3"/>
        <v>#DIV/0!</v>
      </c>
      <c r="I325" s="961" t="str">
        <f>IF(H325&lt;'PlayerGrades+'!$AC$21,"F-",IF(H325&lt;'PlayerGrades+'!$AC$20,"F",IF(H325&lt;'PlayerGrades+'!$AC$19,"F+",IF(H325&lt;'PlayerGrades+'!$AC$18,"E-",IF(H325&lt;'PlayerGrades+'!$AC$17,"E",IF(H325&lt;'PlayerGrades+'!$AC$16,"E+",IF(H325&lt;'PlayerGrades+'!$AC$15,"D-",IF(H325&lt;'PlayerGrades+'!$AC$14,"D",IF(H325&lt;'PlayerGrades+'!$AC$13,"D+",IF(H325&lt;'PlayerGrades+'!$AC$12,"C-",IF(H325&lt;'PlayerGrades+'!$AC$11,"C",IF(H325&lt;'PlayerGrades+'!$AC$10,"C+",IF(H325&lt;'PlayerGrades+'!$AC$9,"B-",IF(H325&lt;'PlayerGrades+'!$AC$8,"B",IF(H325&lt;'PlayerGrades+'!$AC$7,"B+",IF(H325&lt;'PlayerGrades+'!$AC$6,"A-",IF(H325&lt;'PlayerGrades+'!$AC$5,"A",IF(H325&lt;'PlayerGrades+'!$AC$4,"A+",IF(H325&lt;'PlayerGrades+'!$AC$3,"S-",IF(H325&lt;'PlayerGrades+'!$AC$2,"S","S+"))))))))))))))))))))</f>
        <v>#DIV/0!</v>
      </c>
      <c r="J325" s="961" t="str">
        <f t="shared" si="4"/>
        <v>#DIV/0!</v>
      </c>
      <c r="K325" s="961" t="str">
        <f>IF(J325&lt;'PlayerGrades+'!$AD$21,"F-",IF(J325&lt;'PlayerGrades+'!$AD$20,"F",IF(J325&lt;'PlayerGrades+'!$AD$19,"F+",IF(J325&lt;'PlayerGrades+'!$AD$18,"E-",IF(J325&lt;'PlayerGrades+'!$AD$17,"E",IF(J325&lt;'PlayerGrades+'!$AD$16,"E+",IF(J325&lt;'PlayerGrades+'!$AD$15,"D-",IF(J325&lt;'PlayerGrades+'!$AD$14,"D",IF(J325&lt;'PlayerGrades+'!$AD$13,"D+",IF(J325&lt;'PlayerGrades+'!$AD$12,"C-",IF(J325&lt;'PlayerGrades+'!$AD$11,"C",IF(J325&lt;'PlayerGrades+'!$AD$10,"C+",IF(J325&lt;'PlayerGrades+'!$AD$9,"B-",IF(J325&lt;'PlayerGrades+'!$AD$8,"B",IF(J325&lt;'PlayerGrades+'!$AD$7,"B+",IF(J325&lt;'PlayerGrades+'!$AD$6,"A-",IF(J325&lt;'PlayerGrades+'!$AD$5,"A",IF(J325&lt;'PlayerGrades+'!$AD$4,"A+",IF(J325&lt;'PlayerGrades+'!$AD$3,"S-",IF(J325&lt;'PlayerGrades+'!$AD$2,"S","S+"))))))))))))))))))))</f>
        <v>#DIV/0!</v>
      </c>
      <c r="L325" s="1176" t="str">
        <f t="shared" si="5"/>
        <v>#DIV/0!</v>
      </c>
      <c r="M325" s="992" t="str">
        <f>IF(L325&lt;'PlayerGrades+'!$AE$21,"F-",IF(L325&lt;'PlayerGrades+'!$AE$20,"F",IF(L325&lt;'PlayerGrades+'!$AE$19,"F+",IF(L325&lt;'PlayerGrades+'!$AE$18,"E-",IF(L325&lt;'PlayerGrades+'!$AE$17,"E",IF(L325&lt;'PlayerGrades+'!$AE$16,"E+",IF(L325&lt;'PlayerGrades+'!$AE$15,"D-",IF(L325&lt;'PlayerGrades+'!$AE$14,"D",IF(L325&lt;'PlayerGrades+'!$AE$13,"D+",IF(L325&lt;'PlayerGrades+'!$AE$12,"C-",IF(L325&lt;'PlayerGrades+'!$AE$11,"C",IF(L325&lt;'PlayerGrades+'!$AE$10,"C+",IF(L325&lt;'PlayerGrades+'!$AE$9,"B-",IF(L325&lt;'PlayerGrades+'!$AE$8,"B",IF(L325&lt;'PlayerGrades+'!$AE$7,"B+",IF(L325&lt;'PlayerGrades+'!$AE$6,"A-",IF(L325&lt;'PlayerGrades+'!$AE$5,"A",IF(L325&lt;'PlayerGrades+'!$AE$4,"A+",IF(L325&lt;'PlayerGrades+'!$AE$3,"S-",IF(L325&lt;'PlayerGrades+'!$AE$2,"S","S+"))))))))))))))))))))</f>
        <v>#DIV/0!</v>
      </c>
      <c r="N325" s="961" t="str">
        <f t="shared" si="6"/>
        <v>#DIV/0!</v>
      </c>
      <c r="O325" s="961" t="str">
        <f>IF(N325&lt;'PlayerGrades+'!$AF$21,"F-",IF(N325&lt;'PlayerGrades+'!$AF$20,"F",IF(N325&lt;'PlayerGrades+'!$AF$19,"F+",IF(N325&lt;'PlayerGrades+'!$AF$18,"E-",IF(N325&lt;'PlayerGrades+'!$AF$17,"E",IF(N325&lt;'PlayerGrades+'!$AF$16,"E+",IF(N325&lt;'PlayerGrades+'!$AF$15,"D-",IF(N325&lt;'PlayerGrades+'!$AF$14,"D",IF(N325&lt;'PlayerGrades+'!$AF$13,"D+",IF(N325&lt;'PlayerGrades+'!$AF$12,"C-",IF(N325&lt;'PlayerGrades+'!$AF$11,"C",IF(N325&lt;'PlayerGrades+'!$AF$10,"C+",IF(N325&lt;'PlayerGrades+'!$AF$9,"B-",IF(N325&lt;'PlayerGrades+'!$AF$8,"B",IF(N325&lt;'PlayerGrades+'!$AF$7,"B+",IF(N325&lt;'PlayerGrades+'!$AF$6,"A-",IF(N325&lt;'PlayerGrades+'!$AF$5,"A",IF(N325&lt;'PlayerGrades+'!$AF$4,"A+",IF(N325&lt;'PlayerGrades+'!$AF$3,"S-",IF(N325&lt;'PlayerGrades+'!$AF$2,"S","S+"))))))))))))))))))))</f>
        <v>#DIV/0!</v>
      </c>
      <c r="P325" s="961" t="str">
        <f t="shared" si="7"/>
        <v>#DIV/0!</v>
      </c>
      <c r="Q325" s="961" t="str">
        <f>IF(P325&lt;'PlayerGrades+'!$AG$21,"F-",IF(P325&lt;'PlayerGrades+'!$AG$20,"F",IF(P325&lt;'PlayerGrades+'!$AG$19,"F+",IF(P325&lt;'PlayerGrades+'!$AG$18,"E-",IF(P325&lt;'PlayerGrades+'!$AG$17,"E",IF(P325&lt;'PlayerGrades+'!$AG$16,"E+",IF(P325&lt;'PlayerGrades+'!$AG$15,"D-",IF(P325&lt;'PlayerGrades+'!$AG$14,"D",IF(P325&lt;'PlayerGrades+'!$AG$13,"D+",IF(P325&lt;'PlayerGrades+'!$AG$12,"C-",IF(P325&lt;'PlayerGrades+'!$AG$11,"C",IF(P325&lt;'PlayerGrades+'!$AG$10,"C+",IF(P325&lt;'PlayerGrades+'!$AG$9,"B-",IF(P325&lt;'PlayerGrades+'!$AG$8,"B",IF(P325&lt;'PlayerGrades+'!$AG$7,"B+",IF(P325&lt;'PlayerGrades+'!$AG$6,"A-",IF(P325&lt;'PlayerGrades+'!$AG$5,"A",IF(P325&lt;'PlayerGrades+'!$AG$4,"A+",IF(P325&lt;'PlayerGrades+'!$AG$3,"S-",IF(P325&lt;'PlayerGrades+'!$AG$2,"S","S+"))))))))))))))))))))</f>
        <v>#DIV/0!</v>
      </c>
      <c r="R325" s="961" t="str">
        <f t="shared" si="8"/>
        <v>#DIV/0!</v>
      </c>
      <c r="S325" s="961" t="str">
        <f>IF(R325&lt;'PlayerGrades+'!$AH$21,"F-",IF(R325&lt;'PlayerGrades+'!$AH$20,"F",IF(R325&lt;'PlayerGrades+'!$AH$19,"F+",IF(R325&lt;'PlayerGrades+'!$AH$18,"E-",IF(R325&lt;'PlayerGrades+'!$AH$17,"E",IF(R325&lt;'PlayerGrades+'!$AH$16,"E+",IF(R325&lt;'PlayerGrades+'!$AH$15,"D-",IF(R325&lt;'PlayerGrades+'!$AH$14,"D",IF(R325&lt;'PlayerGrades+'!$AH$13,"D+",IF(R325&lt;'PlayerGrades+'!$AH$12,"C-",IF(R325&lt;'PlayerGrades+'!$AH$11,"C",IF(R325&lt;'PlayerGrades+'!$AH$10,"C+",IF(R325&lt;'PlayerGrades+'!$AH$9,"B-",IF(R325&lt;'PlayerGrades+'!$AH$8,"B",IF(R325&lt;'PlayerGrades+'!$AH$7,"B+",IF(R325&lt;'PlayerGrades+'!$AH$6,"A-",IF(R325&lt;'PlayerGrades+'!$AH$5,"A",IF(R325&lt;'PlayerGrades+'!$AH$4,"A+",IF(R325&lt;'PlayerGrades+'!$AH$3,"S-",IF(R325&lt;'PlayerGrades+'!$AH$2,"S","S+"))))))))))))))))))))</f>
        <v>#DIV/0!</v>
      </c>
      <c r="T325" s="961">
        <f t="shared" si="9"/>
        <v>0</v>
      </c>
      <c r="U325" s="961" t="str">
        <f>IF(T325&lt;'PlayerGrades+'!$AI$21,"F-",IF(T325&lt;'PlayerGrades+'!$AI$20,"F",IF(T325&lt;'PlayerGrades+'!$AI$19,"F+",IF(T325&lt;'PlayerGrades+'!$AI$18,"E-",IF(T325&lt;'PlayerGrades+'!$AI$17,"E",IF(T325&lt;'PlayerGrades+'!$AI$16,"E+",IF(T325&lt;'PlayerGrades+'!$AI$15,"D-",IF(T325&lt;'PlayerGrades+'!$AI$14,"D",IF(T325&lt;'PlayerGrades+'!$AI$13,"D+",IF(T325&lt;'PlayerGrades+'!$AI$12,"C-",IF(T325&lt;'PlayerGrades+'!$AI$11,"C",IF(T325&lt;'PlayerGrades+'!$AI$10,"C+",IF(T325&lt;'PlayerGrades+'!$AI$9,"B-",IF(T325&lt;'PlayerGrades+'!$AI$8,"B",IF(T325&lt;'PlayerGrades+'!$AI$7,"B+",IF(T325&lt;'PlayerGrades+'!$AI$6,"A-",IF(T325&lt;'PlayerGrades+'!$AI$5,"A",IF(T325&lt;'PlayerGrades+'!$AI$4,"A+",IF(T325&lt;'PlayerGrades+'!$AI$3,"S-",IF(T325&lt;'PlayerGrades+'!$AI$2,"S","S+"))))))))))))))))))))</f>
        <v>F-</v>
      </c>
      <c r="AC325" s="1392"/>
    </row>
    <row r="326">
      <c r="A326" s="1391"/>
      <c r="B326" s="611" t="str">
        <f>IF(C326&lt;'PlayerGrades+'!$Y$44,"F-",IF(C326&lt;'PlayerGrades+'!$Y$43,"F",IF(C326&lt;'PlayerGrades+'!$Y$42,"F+",IF(C326&lt;'PlayerGrades+'!$Y$41,"E-",IF(C326&lt;'PlayerGrades+'!$Y$40,"E",IF(C326&lt;'PlayerGrades+'!$Y$39,"E+",IF(C326&lt;'PlayerGrades+'!$Y$38,"D-",IF(C326&lt;'PlayerGrades+'!$Y$37,"D",IF(C326&lt;'PlayerGrades+'!$Y$36,"D+",IF(C326&lt;'PlayerGrades+'!$Y$35,"C-",IF(C326&lt;'PlayerGrades+'!$Y$34,"C",IF(C326&lt;'PlayerGrades+'!$Y$33,"C+",IF(C326&lt;'PlayerGrades+'!$Y$32,"B-",IF(C326&lt;'PlayerGrades+'!$Y$31,"B",IF(C326&lt;'PlayerGrades+'!$Y$30,"B+",IF(C326&lt;'PlayerGrades+'!$Y$29,"A-",IF(C326&lt;'PlayerGrades+'!$Y$28,"A",IF(C326&lt;'PlayerGrades+'!$Y$27,"A+",IF(C326&lt;'PlayerGrades+'!$Y$26,"S-",IF(C326&lt;'PlayerGrades+'!$Y$25,"S","S+"))))))))))))))))))))</f>
        <v>#DIV/0!</v>
      </c>
      <c r="C326" s="1378" t="str">
        <f>('PlayerGrades+'!$Y$47*(VLOOKUP(E326, 'PlayerGrades+'!$X$3:$Y$23, 2, FALSE)))+('PlayerGrades+'!$Y$48*(VLOOKUP(G326, 'PlayerGrades+'!$X$3:$Y$23, 2, FALSE)))+('PlayerGrades+'!$Y$49*(VLOOKUP(I326, 'PlayerGrades+'!$X$3:$Y$23, 2, FALSE)))+('PlayerGrades+'!$Y$50*(VLOOKUP(K326, 'PlayerGrades+'!$X$3:$Y$23, 2, FALSE)))+('PlayerGrades+'!$Y$51*(VLOOKUP(M326, 'PlayerGrades+'!$X$3:$Y$23, 2, FALSE)))+('PlayerGrades+'!$Y$52*(VLOOKUP(O326, 'PlayerGrades+'!$X$3:$Y$23, 2, FALSE)))+('PlayerGrades+'!$Y$53*(VLOOKUP(Q326, 'PlayerGrades+'!$X$3:$Y$23, 2, FALSE)))+('PlayerGrades+'!$Y$54*(VLOOKUP(S326, 'PlayerGrades+'!$X$3:$Y$23, 2, FALSE)))+('PlayerGrades+'!$Y$55*(VLOOKUP(U326, 'PlayerGrades+'!$X$3:$Y$23, 2, FALSE)))</f>
        <v>#DIV/0!</v>
      </c>
      <c r="D326" s="961" t="str">
        <f t="shared" si="1"/>
        <v>#DIV/0!</v>
      </c>
      <c r="E326" s="961" t="str">
        <f>IF(D326&lt;'PlayerGrades+'!$AA$21,"F-",IF(D326&lt;'PlayerGrades+'!$AA$20,"F",IF(D326&lt;'PlayerGrades+'!$AA$19,"F+",IF(D326&lt;'PlayerGrades+'!$AA$18,"E-",IF(D326&lt;'PlayerGrades+'!$AA$17,"E",IF(D326&lt;'PlayerGrades+'!$AA$16,"E+",IF(D326&lt;'PlayerGrades+'!$AA$15,"D-",IF(D326&lt;'PlayerGrades+'!$AA$14,"D",IF(D326&lt;'PlayerGrades+'!$AA$13,"D+",IF(D326&lt;'PlayerGrades+'!$AA$12,"C-",IF(D326&lt;'PlayerGrades+'!$AA$11,"C",IF(D326&lt;'PlayerGrades+'!$AA$10,"C+",IF(D326&lt;'PlayerGrades+'!$AA$9,"B-",IF(D326&lt;'PlayerGrades+'!$AA$8,"B",IF(D326&lt;'PlayerGrades+'!$AA$7,"B+",IF(D326&lt;'PlayerGrades+'!$AA$6,"A-",IF(D326&lt;'PlayerGrades+'!$AA$5,"A",IF(D326&lt;'PlayerGrades+'!$AA$4,"A+",IF(D326&lt;'PlayerGrades+'!$AA$3,"S-",IF(D326&lt;'PlayerGrades+'!$AA$2,"S","S+"))))))))))))))))))))</f>
        <v>#DIV/0!</v>
      </c>
      <c r="F326" s="961" t="str">
        <f t="shared" si="2"/>
        <v>#DIV/0!</v>
      </c>
      <c r="G326" s="961" t="str">
        <f>IF(F326&lt;'PlayerGrades+'!$AB$21,"F-",IF(F326&lt;'PlayerGrades+'!$AB$20,"F",IF(F326&lt;'PlayerGrades+'!$AB$19,"F+",IF(F326&lt;'PlayerGrades+'!$AB$18,"E-",IF(F326&lt;'PlayerGrades+'!$AB$17,"E",IF(F326&lt;'PlayerGrades+'!$AB$16,"E+",IF(F326&lt;'PlayerGrades+'!$AB$15,"D-",IF(F326&lt;'PlayerGrades+'!$AB$14,"D",IF(F326&lt;'PlayerGrades+'!$AB$13,"D+",IF(F326&lt;'PlayerGrades+'!$AB$12,"C-",IF(F326&lt;'PlayerGrades+'!$AB$11,"C",IF(F326&lt;'PlayerGrades+'!$AB$10,"C+",IF(F326&lt;'PlayerGrades+'!$AB$9,"B-",IF(F326&lt;'PlayerGrades+'!$AB$8,"B",IF(F326&lt;'PlayerGrades+'!$AB$7,"B+",IF(F326&lt;'PlayerGrades+'!$AB$6,"A-",IF(F326&lt;'PlayerGrades+'!$AB$5,"A",IF(F326&lt;'PlayerGrades+'!$AB$4,"A+",IF(F326&lt;'PlayerGrades+'!$AB$3,"S-",IF(F326&lt;'PlayerGrades+'!$AB$2,"S","S+"))))))))))))))))))))</f>
        <v>#DIV/0!</v>
      </c>
      <c r="H326" s="961" t="str">
        <f t="shared" si="3"/>
        <v>#DIV/0!</v>
      </c>
      <c r="I326" s="961" t="str">
        <f>IF(H326&lt;'PlayerGrades+'!$AC$21,"F-",IF(H326&lt;'PlayerGrades+'!$AC$20,"F",IF(H326&lt;'PlayerGrades+'!$AC$19,"F+",IF(H326&lt;'PlayerGrades+'!$AC$18,"E-",IF(H326&lt;'PlayerGrades+'!$AC$17,"E",IF(H326&lt;'PlayerGrades+'!$AC$16,"E+",IF(H326&lt;'PlayerGrades+'!$AC$15,"D-",IF(H326&lt;'PlayerGrades+'!$AC$14,"D",IF(H326&lt;'PlayerGrades+'!$AC$13,"D+",IF(H326&lt;'PlayerGrades+'!$AC$12,"C-",IF(H326&lt;'PlayerGrades+'!$AC$11,"C",IF(H326&lt;'PlayerGrades+'!$AC$10,"C+",IF(H326&lt;'PlayerGrades+'!$AC$9,"B-",IF(H326&lt;'PlayerGrades+'!$AC$8,"B",IF(H326&lt;'PlayerGrades+'!$AC$7,"B+",IF(H326&lt;'PlayerGrades+'!$AC$6,"A-",IF(H326&lt;'PlayerGrades+'!$AC$5,"A",IF(H326&lt;'PlayerGrades+'!$AC$4,"A+",IF(H326&lt;'PlayerGrades+'!$AC$3,"S-",IF(H326&lt;'PlayerGrades+'!$AC$2,"S","S+"))))))))))))))))))))</f>
        <v>#DIV/0!</v>
      </c>
      <c r="J326" s="961" t="str">
        <f t="shared" si="4"/>
        <v>#DIV/0!</v>
      </c>
      <c r="K326" s="961" t="str">
        <f>IF(J326&lt;'PlayerGrades+'!$AD$21,"F-",IF(J326&lt;'PlayerGrades+'!$AD$20,"F",IF(J326&lt;'PlayerGrades+'!$AD$19,"F+",IF(J326&lt;'PlayerGrades+'!$AD$18,"E-",IF(J326&lt;'PlayerGrades+'!$AD$17,"E",IF(J326&lt;'PlayerGrades+'!$AD$16,"E+",IF(J326&lt;'PlayerGrades+'!$AD$15,"D-",IF(J326&lt;'PlayerGrades+'!$AD$14,"D",IF(J326&lt;'PlayerGrades+'!$AD$13,"D+",IF(J326&lt;'PlayerGrades+'!$AD$12,"C-",IF(J326&lt;'PlayerGrades+'!$AD$11,"C",IF(J326&lt;'PlayerGrades+'!$AD$10,"C+",IF(J326&lt;'PlayerGrades+'!$AD$9,"B-",IF(J326&lt;'PlayerGrades+'!$AD$8,"B",IF(J326&lt;'PlayerGrades+'!$AD$7,"B+",IF(J326&lt;'PlayerGrades+'!$AD$6,"A-",IF(J326&lt;'PlayerGrades+'!$AD$5,"A",IF(J326&lt;'PlayerGrades+'!$AD$4,"A+",IF(J326&lt;'PlayerGrades+'!$AD$3,"S-",IF(J326&lt;'PlayerGrades+'!$AD$2,"S","S+"))))))))))))))))))))</f>
        <v>#DIV/0!</v>
      </c>
      <c r="L326" s="1176" t="str">
        <f t="shared" si="5"/>
        <v>#DIV/0!</v>
      </c>
      <c r="M326" s="992" t="str">
        <f>IF(L326&lt;'PlayerGrades+'!$AE$21,"F-",IF(L326&lt;'PlayerGrades+'!$AE$20,"F",IF(L326&lt;'PlayerGrades+'!$AE$19,"F+",IF(L326&lt;'PlayerGrades+'!$AE$18,"E-",IF(L326&lt;'PlayerGrades+'!$AE$17,"E",IF(L326&lt;'PlayerGrades+'!$AE$16,"E+",IF(L326&lt;'PlayerGrades+'!$AE$15,"D-",IF(L326&lt;'PlayerGrades+'!$AE$14,"D",IF(L326&lt;'PlayerGrades+'!$AE$13,"D+",IF(L326&lt;'PlayerGrades+'!$AE$12,"C-",IF(L326&lt;'PlayerGrades+'!$AE$11,"C",IF(L326&lt;'PlayerGrades+'!$AE$10,"C+",IF(L326&lt;'PlayerGrades+'!$AE$9,"B-",IF(L326&lt;'PlayerGrades+'!$AE$8,"B",IF(L326&lt;'PlayerGrades+'!$AE$7,"B+",IF(L326&lt;'PlayerGrades+'!$AE$6,"A-",IF(L326&lt;'PlayerGrades+'!$AE$5,"A",IF(L326&lt;'PlayerGrades+'!$AE$4,"A+",IF(L326&lt;'PlayerGrades+'!$AE$3,"S-",IF(L326&lt;'PlayerGrades+'!$AE$2,"S","S+"))))))))))))))))))))</f>
        <v>#DIV/0!</v>
      </c>
      <c r="N326" s="961" t="str">
        <f t="shared" si="6"/>
        <v>#DIV/0!</v>
      </c>
      <c r="O326" s="961" t="str">
        <f>IF(N326&lt;'PlayerGrades+'!$AF$21,"F-",IF(N326&lt;'PlayerGrades+'!$AF$20,"F",IF(N326&lt;'PlayerGrades+'!$AF$19,"F+",IF(N326&lt;'PlayerGrades+'!$AF$18,"E-",IF(N326&lt;'PlayerGrades+'!$AF$17,"E",IF(N326&lt;'PlayerGrades+'!$AF$16,"E+",IF(N326&lt;'PlayerGrades+'!$AF$15,"D-",IF(N326&lt;'PlayerGrades+'!$AF$14,"D",IF(N326&lt;'PlayerGrades+'!$AF$13,"D+",IF(N326&lt;'PlayerGrades+'!$AF$12,"C-",IF(N326&lt;'PlayerGrades+'!$AF$11,"C",IF(N326&lt;'PlayerGrades+'!$AF$10,"C+",IF(N326&lt;'PlayerGrades+'!$AF$9,"B-",IF(N326&lt;'PlayerGrades+'!$AF$8,"B",IF(N326&lt;'PlayerGrades+'!$AF$7,"B+",IF(N326&lt;'PlayerGrades+'!$AF$6,"A-",IF(N326&lt;'PlayerGrades+'!$AF$5,"A",IF(N326&lt;'PlayerGrades+'!$AF$4,"A+",IF(N326&lt;'PlayerGrades+'!$AF$3,"S-",IF(N326&lt;'PlayerGrades+'!$AF$2,"S","S+"))))))))))))))))))))</f>
        <v>#DIV/0!</v>
      </c>
      <c r="P326" s="961" t="str">
        <f t="shared" si="7"/>
        <v>#DIV/0!</v>
      </c>
      <c r="Q326" s="961" t="str">
        <f>IF(P326&lt;'PlayerGrades+'!$AG$21,"F-",IF(P326&lt;'PlayerGrades+'!$AG$20,"F",IF(P326&lt;'PlayerGrades+'!$AG$19,"F+",IF(P326&lt;'PlayerGrades+'!$AG$18,"E-",IF(P326&lt;'PlayerGrades+'!$AG$17,"E",IF(P326&lt;'PlayerGrades+'!$AG$16,"E+",IF(P326&lt;'PlayerGrades+'!$AG$15,"D-",IF(P326&lt;'PlayerGrades+'!$AG$14,"D",IF(P326&lt;'PlayerGrades+'!$AG$13,"D+",IF(P326&lt;'PlayerGrades+'!$AG$12,"C-",IF(P326&lt;'PlayerGrades+'!$AG$11,"C",IF(P326&lt;'PlayerGrades+'!$AG$10,"C+",IF(P326&lt;'PlayerGrades+'!$AG$9,"B-",IF(P326&lt;'PlayerGrades+'!$AG$8,"B",IF(P326&lt;'PlayerGrades+'!$AG$7,"B+",IF(P326&lt;'PlayerGrades+'!$AG$6,"A-",IF(P326&lt;'PlayerGrades+'!$AG$5,"A",IF(P326&lt;'PlayerGrades+'!$AG$4,"A+",IF(P326&lt;'PlayerGrades+'!$AG$3,"S-",IF(P326&lt;'PlayerGrades+'!$AG$2,"S","S+"))))))))))))))))))))</f>
        <v>#DIV/0!</v>
      </c>
      <c r="R326" s="961" t="str">
        <f t="shared" si="8"/>
        <v>#DIV/0!</v>
      </c>
      <c r="S326" s="961" t="str">
        <f>IF(R326&lt;'PlayerGrades+'!$AH$21,"F-",IF(R326&lt;'PlayerGrades+'!$AH$20,"F",IF(R326&lt;'PlayerGrades+'!$AH$19,"F+",IF(R326&lt;'PlayerGrades+'!$AH$18,"E-",IF(R326&lt;'PlayerGrades+'!$AH$17,"E",IF(R326&lt;'PlayerGrades+'!$AH$16,"E+",IF(R326&lt;'PlayerGrades+'!$AH$15,"D-",IF(R326&lt;'PlayerGrades+'!$AH$14,"D",IF(R326&lt;'PlayerGrades+'!$AH$13,"D+",IF(R326&lt;'PlayerGrades+'!$AH$12,"C-",IF(R326&lt;'PlayerGrades+'!$AH$11,"C",IF(R326&lt;'PlayerGrades+'!$AH$10,"C+",IF(R326&lt;'PlayerGrades+'!$AH$9,"B-",IF(R326&lt;'PlayerGrades+'!$AH$8,"B",IF(R326&lt;'PlayerGrades+'!$AH$7,"B+",IF(R326&lt;'PlayerGrades+'!$AH$6,"A-",IF(R326&lt;'PlayerGrades+'!$AH$5,"A",IF(R326&lt;'PlayerGrades+'!$AH$4,"A+",IF(R326&lt;'PlayerGrades+'!$AH$3,"S-",IF(R326&lt;'PlayerGrades+'!$AH$2,"S","S+"))))))))))))))))))))</f>
        <v>#DIV/0!</v>
      </c>
      <c r="T326" s="961">
        <f t="shared" si="9"/>
        <v>0</v>
      </c>
      <c r="U326" s="961" t="str">
        <f>IF(T326&lt;'PlayerGrades+'!$AI$21,"F-",IF(T326&lt;'PlayerGrades+'!$AI$20,"F",IF(T326&lt;'PlayerGrades+'!$AI$19,"F+",IF(T326&lt;'PlayerGrades+'!$AI$18,"E-",IF(T326&lt;'PlayerGrades+'!$AI$17,"E",IF(T326&lt;'PlayerGrades+'!$AI$16,"E+",IF(T326&lt;'PlayerGrades+'!$AI$15,"D-",IF(T326&lt;'PlayerGrades+'!$AI$14,"D",IF(T326&lt;'PlayerGrades+'!$AI$13,"D+",IF(T326&lt;'PlayerGrades+'!$AI$12,"C-",IF(T326&lt;'PlayerGrades+'!$AI$11,"C",IF(T326&lt;'PlayerGrades+'!$AI$10,"C+",IF(T326&lt;'PlayerGrades+'!$AI$9,"B-",IF(T326&lt;'PlayerGrades+'!$AI$8,"B",IF(T326&lt;'PlayerGrades+'!$AI$7,"B+",IF(T326&lt;'PlayerGrades+'!$AI$6,"A-",IF(T326&lt;'PlayerGrades+'!$AI$5,"A",IF(T326&lt;'PlayerGrades+'!$AI$4,"A+",IF(T326&lt;'PlayerGrades+'!$AI$3,"S-",IF(T326&lt;'PlayerGrades+'!$AI$2,"S","S+"))))))))))))))))))))</f>
        <v>F-</v>
      </c>
      <c r="AC326" s="1392"/>
    </row>
    <row r="327">
      <c r="A327" s="1391"/>
      <c r="B327" s="611" t="str">
        <f>IF(C327&lt;'PlayerGrades+'!$Y$44,"F-",IF(C327&lt;'PlayerGrades+'!$Y$43,"F",IF(C327&lt;'PlayerGrades+'!$Y$42,"F+",IF(C327&lt;'PlayerGrades+'!$Y$41,"E-",IF(C327&lt;'PlayerGrades+'!$Y$40,"E",IF(C327&lt;'PlayerGrades+'!$Y$39,"E+",IF(C327&lt;'PlayerGrades+'!$Y$38,"D-",IF(C327&lt;'PlayerGrades+'!$Y$37,"D",IF(C327&lt;'PlayerGrades+'!$Y$36,"D+",IF(C327&lt;'PlayerGrades+'!$Y$35,"C-",IF(C327&lt;'PlayerGrades+'!$Y$34,"C",IF(C327&lt;'PlayerGrades+'!$Y$33,"C+",IF(C327&lt;'PlayerGrades+'!$Y$32,"B-",IF(C327&lt;'PlayerGrades+'!$Y$31,"B",IF(C327&lt;'PlayerGrades+'!$Y$30,"B+",IF(C327&lt;'PlayerGrades+'!$Y$29,"A-",IF(C327&lt;'PlayerGrades+'!$Y$28,"A",IF(C327&lt;'PlayerGrades+'!$Y$27,"A+",IF(C327&lt;'PlayerGrades+'!$Y$26,"S-",IF(C327&lt;'PlayerGrades+'!$Y$25,"S","S+"))))))))))))))))))))</f>
        <v>#DIV/0!</v>
      </c>
      <c r="C327" s="1378" t="str">
        <f>('PlayerGrades+'!$Y$47*(VLOOKUP(E327, 'PlayerGrades+'!$X$3:$Y$23, 2, FALSE)))+('PlayerGrades+'!$Y$48*(VLOOKUP(G327, 'PlayerGrades+'!$X$3:$Y$23, 2, FALSE)))+('PlayerGrades+'!$Y$49*(VLOOKUP(I327, 'PlayerGrades+'!$X$3:$Y$23, 2, FALSE)))+('PlayerGrades+'!$Y$50*(VLOOKUP(K327, 'PlayerGrades+'!$X$3:$Y$23, 2, FALSE)))+('PlayerGrades+'!$Y$51*(VLOOKUP(M327, 'PlayerGrades+'!$X$3:$Y$23, 2, FALSE)))+('PlayerGrades+'!$Y$52*(VLOOKUP(O327, 'PlayerGrades+'!$X$3:$Y$23, 2, FALSE)))+('PlayerGrades+'!$Y$53*(VLOOKUP(Q327, 'PlayerGrades+'!$X$3:$Y$23, 2, FALSE)))+('PlayerGrades+'!$Y$54*(VLOOKUP(S327, 'PlayerGrades+'!$X$3:$Y$23, 2, FALSE)))+('PlayerGrades+'!$Y$55*(VLOOKUP(U327, 'PlayerGrades+'!$X$3:$Y$23, 2, FALSE)))</f>
        <v>#DIV/0!</v>
      </c>
      <c r="D327" s="961" t="str">
        <f t="shared" si="1"/>
        <v>#DIV/0!</v>
      </c>
      <c r="E327" s="961" t="str">
        <f>IF(D327&lt;'PlayerGrades+'!$AA$21,"F-",IF(D327&lt;'PlayerGrades+'!$AA$20,"F",IF(D327&lt;'PlayerGrades+'!$AA$19,"F+",IF(D327&lt;'PlayerGrades+'!$AA$18,"E-",IF(D327&lt;'PlayerGrades+'!$AA$17,"E",IF(D327&lt;'PlayerGrades+'!$AA$16,"E+",IF(D327&lt;'PlayerGrades+'!$AA$15,"D-",IF(D327&lt;'PlayerGrades+'!$AA$14,"D",IF(D327&lt;'PlayerGrades+'!$AA$13,"D+",IF(D327&lt;'PlayerGrades+'!$AA$12,"C-",IF(D327&lt;'PlayerGrades+'!$AA$11,"C",IF(D327&lt;'PlayerGrades+'!$AA$10,"C+",IF(D327&lt;'PlayerGrades+'!$AA$9,"B-",IF(D327&lt;'PlayerGrades+'!$AA$8,"B",IF(D327&lt;'PlayerGrades+'!$AA$7,"B+",IF(D327&lt;'PlayerGrades+'!$AA$6,"A-",IF(D327&lt;'PlayerGrades+'!$AA$5,"A",IF(D327&lt;'PlayerGrades+'!$AA$4,"A+",IF(D327&lt;'PlayerGrades+'!$AA$3,"S-",IF(D327&lt;'PlayerGrades+'!$AA$2,"S","S+"))))))))))))))))))))</f>
        <v>#DIV/0!</v>
      </c>
      <c r="F327" s="961" t="str">
        <f t="shared" si="2"/>
        <v>#DIV/0!</v>
      </c>
      <c r="G327" s="961" t="str">
        <f>IF(F327&lt;'PlayerGrades+'!$AB$21,"F-",IF(F327&lt;'PlayerGrades+'!$AB$20,"F",IF(F327&lt;'PlayerGrades+'!$AB$19,"F+",IF(F327&lt;'PlayerGrades+'!$AB$18,"E-",IF(F327&lt;'PlayerGrades+'!$AB$17,"E",IF(F327&lt;'PlayerGrades+'!$AB$16,"E+",IF(F327&lt;'PlayerGrades+'!$AB$15,"D-",IF(F327&lt;'PlayerGrades+'!$AB$14,"D",IF(F327&lt;'PlayerGrades+'!$AB$13,"D+",IF(F327&lt;'PlayerGrades+'!$AB$12,"C-",IF(F327&lt;'PlayerGrades+'!$AB$11,"C",IF(F327&lt;'PlayerGrades+'!$AB$10,"C+",IF(F327&lt;'PlayerGrades+'!$AB$9,"B-",IF(F327&lt;'PlayerGrades+'!$AB$8,"B",IF(F327&lt;'PlayerGrades+'!$AB$7,"B+",IF(F327&lt;'PlayerGrades+'!$AB$6,"A-",IF(F327&lt;'PlayerGrades+'!$AB$5,"A",IF(F327&lt;'PlayerGrades+'!$AB$4,"A+",IF(F327&lt;'PlayerGrades+'!$AB$3,"S-",IF(F327&lt;'PlayerGrades+'!$AB$2,"S","S+"))))))))))))))))))))</f>
        <v>#DIV/0!</v>
      </c>
      <c r="H327" s="961" t="str">
        <f t="shared" si="3"/>
        <v>#DIV/0!</v>
      </c>
      <c r="I327" s="961" t="str">
        <f>IF(H327&lt;'PlayerGrades+'!$AC$21,"F-",IF(H327&lt;'PlayerGrades+'!$AC$20,"F",IF(H327&lt;'PlayerGrades+'!$AC$19,"F+",IF(H327&lt;'PlayerGrades+'!$AC$18,"E-",IF(H327&lt;'PlayerGrades+'!$AC$17,"E",IF(H327&lt;'PlayerGrades+'!$AC$16,"E+",IF(H327&lt;'PlayerGrades+'!$AC$15,"D-",IF(H327&lt;'PlayerGrades+'!$AC$14,"D",IF(H327&lt;'PlayerGrades+'!$AC$13,"D+",IF(H327&lt;'PlayerGrades+'!$AC$12,"C-",IF(H327&lt;'PlayerGrades+'!$AC$11,"C",IF(H327&lt;'PlayerGrades+'!$AC$10,"C+",IF(H327&lt;'PlayerGrades+'!$AC$9,"B-",IF(H327&lt;'PlayerGrades+'!$AC$8,"B",IF(H327&lt;'PlayerGrades+'!$AC$7,"B+",IF(H327&lt;'PlayerGrades+'!$AC$6,"A-",IF(H327&lt;'PlayerGrades+'!$AC$5,"A",IF(H327&lt;'PlayerGrades+'!$AC$4,"A+",IF(H327&lt;'PlayerGrades+'!$AC$3,"S-",IF(H327&lt;'PlayerGrades+'!$AC$2,"S","S+"))))))))))))))))))))</f>
        <v>#DIV/0!</v>
      </c>
      <c r="J327" s="961" t="str">
        <f t="shared" si="4"/>
        <v>#DIV/0!</v>
      </c>
      <c r="K327" s="961" t="str">
        <f>IF(J327&lt;'PlayerGrades+'!$AD$21,"F-",IF(J327&lt;'PlayerGrades+'!$AD$20,"F",IF(J327&lt;'PlayerGrades+'!$AD$19,"F+",IF(J327&lt;'PlayerGrades+'!$AD$18,"E-",IF(J327&lt;'PlayerGrades+'!$AD$17,"E",IF(J327&lt;'PlayerGrades+'!$AD$16,"E+",IF(J327&lt;'PlayerGrades+'!$AD$15,"D-",IF(J327&lt;'PlayerGrades+'!$AD$14,"D",IF(J327&lt;'PlayerGrades+'!$AD$13,"D+",IF(J327&lt;'PlayerGrades+'!$AD$12,"C-",IF(J327&lt;'PlayerGrades+'!$AD$11,"C",IF(J327&lt;'PlayerGrades+'!$AD$10,"C+",IF(J327&lt;'PlayerGrades+'!$AD$9,"B-",IF(J327&lt;'PlayerGrades+'!$AD$8,"B",IF(J327&lt;'PlayerGrades+'!$AD$7,"B+",IF(J327&lt;'PlayerGrades+'!$AD$6,"A-",IF(J327&lt;'PlayerGrades+'!$AD$5,"A",IF(J327&lt;'PlayerGrades+'!$AD$4,"A+",IF(J327&lt;'PlayerGrades+'!$AD$3,"S-",IF(J327&lt;'PlayerGrades+'!$AD$2,"S","S+"))))))))))))))))))))</f>
        <v>#DIV/0!</v>
      </c>
      <c r="L327" s="1176" t="str">
        <f t="shared" si="5"/>
        <v>#DIV/0!</v>
      </c>
      <c r="M327" s="992" t="str">
        <f>IF(L327&lt;'PlayerGrades+'!$AE$21,"F-",IF(L327&lt;'PlayerGrades+'!$AE$20,"F",IF(L327&lt;'PlayerGrades+'!$AE$19,"F+",IF(L327&lt;'PlayerGrades+'!$AE$18,"E-",IF(L327&lt;'PlayerGrades+'!$AE$17,"E",IF(L327&lt;'PlayerGrades+'!$AE$16,"E+",IF(L327&lt;'PlayerGrades+'!$AE$15,"D-",IF(L327&lt;'PlayerGrades+'!$AE$14,"D",IF(L327&lt;'PlayerGrades+'!$AE$13,"D+",IF(L327&lt;'PlayerGrades+'!$AE$12,"C-",IF(L327&lt;'PlayerGrades+'!$AE$11,"C",IF(L327&lt;'PlayerGrades+'!$AE$10,"C+",IF(L327&lt;'PlayerGrades+'!$AE$9,"B-",IF(L327&lt;'PlayerGrades+'!$AE$8,"B",IF(L327&lt;'PlayerGrades+'!$AE$7,"B+",IF(L327&lt;'PlayerGrades+'!$AE$6,"A-",IF(L327&lt;'PlayerGrades+'!$AE$5,"A",IF(L327&lt;'PlayerGrades+'!$AE$4,"A+",IF(L327&lt;'PlayerGrades+'!$AE$3,"S-",IF(L327&lt;'PlayerGrades+'!$AE$2,"S","S+"))))))))))))))))))))</f>
        <v>#DIV/0!</v>
      </c>
      <c r="N327" s="961" t="str">
        <f t="shared" si="6"/>
        <v>#DIV/0!</v>
      </c>
      <c r="O327" s="961" t="str">
        <f>IF(N327&lt;'PlayerGrades+'!$AF$21,"F-",IF(N327&lt;'PlayerGrades+'!$AF$20,"F",IF(N327&lt;'PlayerGrades+'!$AF$19,"F+",IF(N327&lt;'PlayerGrades+'!$AF$18,"E-",IF(N327&lt;'PlayerGrades+'!$AF$17,"E",IF(N327&lt;'PlayerGrades+'!$AF$16,"E+",IF(N327&lt;'PlayerGrades+'!$AF$15,"D-",IF(N327&lt;'PlayerGrades+'!$AF$14,"D",IF(N327&lt;'PlayerGrades+'!$AF$13,"D+",IF(N327&lt;'PlayerGrades+'!$AF$12,"C-",IF(N327&lt;'PlayerGrades+'!$AF$11,"C",IF(N327&lt;'PlayerGrades+'!$AF$10,"C+",IF(N327&lt;'PlayerGrades+'!$AF$9,"B-",IF(N327&lt;'PlayerGrades+'!$AF$8,"B",IF(N327&lt;'PlayerGrades+'!$AF$7,"B+",IF(N327&lt;'PlayerGrades+'!$AF$6,"A-",IF(N327&lt;'PlayerGrades+'!$AF$5,"A",IF(N327&lt;'PlayerGrades+'!$AF$4,"A+",IF(N327&lt;'PlayerGrades+'!$AF$3,"S-",IF(N327&lt;'PlayerGrades+'!$AF$2,"S","S+"))))))))))))))))))))</f>
        <v>#DIV/0!</v>
      </c>
      <c r="P327" s="961" t="str">
        <f t="shared" si="7"/>
        <v>#DIV/0!</v>
      </c>
      <c r="Q327" s="961" t="str">
        <f>IF(P327&lt;'PlayerGrades+'!$AG$21,"F-",IF(P327&lt;'PlayerGrades+'!$AG$20,"F",IF(P327&lt;'PlayerGrades+'!$AG$19,"F+",IF(P327&lt;'PlayerGrades+'!$AG$18,"E-",IF(P327&lt;'PlayerGrades+'!$AG$17,"E",IF(P327&lt;'PlayerGrades+'!$AG$16,"E+",IF(P327&lt;'PlayerGrades+'!$AG$15,"D-",IF(P327&lt;'PlayerGrades+'!$AG$14,"D",IF(P327&lt;'PlayerGrades+'!$AG$13,"D+",IF(P327&lt;'PlayerGrades+'!$AG$12,"C-",IF(P327&lt;'PlayerGrades+'!$AG$11,"C",IF(P327&lt;'PlayerGrades+'!$AG$10,"C+",IF(P327&lt;'PlayerGrades+'!$AG$9,"B-",IF(P327&lt;'PlayerGrades+'!$AG$8,"B",IF(P327&lt;'PlayerGrades+'!$AG$7,"B+",IF(P327&lt;'PlayerGrades+'!$AG$6,"A-",IF(P327&lt;'PlayerGrades+'!$AG$5,"A",IF(P327&lt;'PlayerGrades+'!$AG$4,"A+",IF(P327&lt;'PlayerGrades+'!$AG$3,"S-",IF(P327&lt;'PlayerGrades+'!$AG$2,"S","S+"))))))))))))))))))))</f>
        <v>#DIV/0!</v>
      </c>
      <c r="R327" s="961" t="str">
        <f t="shared" si="8"/>
        <v>#DIV/0!</v>
      </c>
      <c r="S327" s="961" t="str">
        <f>IF(R327&lt;'PlayerGrades+'!$AH$21,"F-",IF(R327&lt;'PlayerGrades+'!$AH$20,"F",IF(R327&lt;'PlayerGrades+'!$AH$19,"F+",IF(R327&lt;'PlayerGrades+'!$AH$18,"E-",IF(R327&lt;'PlayerGrades+'!$AH$17,"E",IF(R327&lt;'PlayerGrades+'!$AH$16,"E+",IF(R327&lt;'PlayerGrades+'!$AH$15,"D-",IF(R327&lt;'PlayerGrades+'!$AH$14,"D",IF(R327&lt;'PlayerGrades+'!$AH$13,"D+",IF(R327&lt;'PlayerGrades+'!$AH$12,"C-",IF(R327&lt;'PlayerGrades+'!$AH$11,"C",IF(R327&lt;'PlayerGrades+'!$AH$10,"C+",IF(R327&lt;'PlayerGrades+'!$AH$9,"B-",IF(R327&lt;'PlayerGrades+'!$AH$8,"B",IF(R327&lt;'PlayerGrades+'!$AH$7,"B+",IF(R327&lt;'PlayerGrades+'!$AH$6,"A-",IF(R327&lt;'PlayerGrades+'!$AH$5,"A",IF(R327&lt;'PlayerGrades+'!$AH$4,"A+",IF(R327&lt;'PlayerGrades+'!$AH$3,"S-",IF(R327&lt;'PlayerGrades+'!$AH$2,"S","S+"))))))))))))))))))))</f>
        <v>#DIV/0!</v>
      </c>
      <c r="T327" s="961">
        <f t="shared" si="9"/>
        <v>0</v>
      </c>
      <c r="U327" s="961" t="str">
        <f>IF(T327&lt;'PlayerGrades+'!$AI$21,"F-",IF(T327&lt;'PlayerGrades+'!$AI$20,"F",IF(T327&lt;'PlayerGrades+'!$AI$19,"F+",IF(T327&lt;'PlayerGrades+'!$AI$18,"E-",IF(T327&lt;'PlayerGrades+'!$AI$17,"E",IF(T327&lt;'PlayerGrades+'!$AI$16,"E+",IF(T327&lt;'PlayerGrades+'!$AI$15,"D-",IF(T327&lt;'PlayerGrades+'!$AI$14,"D",IF(T327&lt;'PlayerGrades+'!$AI$13,"D+",IF(T327&lt;'PlayerGrades+'!$AI$12,"C-",IF(T327&lt;'PlayerGrades+'!$AI$11,"C",IF(T327&lt;'PlayerGrades+'!$AI$10,"C+",IF(T327&lt;'PlayerGrades+'!$AI$9,"B-",IF(T327&lt;'PlayerGrades+'!$AI$8,"B",IF(T327&lt;'PlayerGrades+'!$AI$7,"B+",IF(T327&lt;'PlayerGrades+'!$AI$6,"A-",IF(T327&lt;'PlayerGrades+'!$AI$5,"A",IF(T327&lt;'PlayerGrades+'!$AI$4,"A+",IF(T327&lt;'PlayerGrades+'!$AI$3,"S-",IF(T327&lt;'PlayerGrades+'!$AI$2,"S","S+"))))))))))))))))))))</f>
        <v>F-</v>
      </c>
      <c r="AC327" s="1392"/>
    </row>
    <row r="328">
      <c r="A328" s="1391"/>
      <c r="B328" s="611" t="str">
        <f>IF(C328&lt;'PlayerGrades+'!$Y$44,"F-",IF(C328&lt;'PlayerGrades+'!$Y$43,"F",IF(C328&lt;'PlayerGrades+'!$Y$42,"F+",IF(C328&lt;'PlayerGrades+'!$Y$41,"E-",IF(C328&lt;'PlayerGrades+'!$Y$40,"E",IF(C328&lt;'PlayerGrades+'!$Y$39,"E+",IF(C328&lt;'PlayerGrades+'!$Y$38,"D-",IF(C328&lt;'PlayerGrades+'!$Y$37,"D",IF(C328&lt;'PlayerGrades+'!$Y$36,"D+",IF(C328&lt;'PlayerGrades+'!$Y$35,"C-",IF(C328&lt;'PlayerGrades+'!$Y$34,"C",IF(C328&lt;'PlayerGrades+'!$Y$33,"C+",IF(C328&lt;'PlayerGrades+'!$Y$32,"B-",IF(C328&lt;'PlayerGrades+'!$Y$31,"B",IF(C328&lt;'PlayerGrades+'!$Y$30,"B+",IF(C328&lt;'PlayerGrades+'!$Y$29,"A-",IF(C328&lt;'PlayerGrades+'!$Y$28,"A",IF(C328&lt;'PlayerGrades+'!$Y$27,"A+",IF(C328&lt;'PlayerGrades+'!$Y$26,"S-",IF(C328&lt;'PlayerGrades+'!$Y$25,"S","S+"))))))))))))))))))))</f>
        <v>#DIV/0!</v>
      </c>
      <c r="C328" s="1378" t="str">
        <f>('PlayerGrades+'!$Y$47*(VLOOKUP(E328, 'PlayerGrades+'!$X$3:$Y$23, 2, FALSE)))+('PlayerGrades+'!$Y$48*(VLOOKUP(G328, 'PlayerGrades+'!$X$3:$Y$23, 2, FALSE)))+('PlayerGrades+'!$Y$49*(VLOOKUP(I328, 'PlayerGrades+'!$X$3:$Y$23, 2, FALSE)))+('PlayerGrades+'!$Y$50*(VLOOKUP(K328, 'PlayerGrades+'!$X$3:$Y$23, 2, FALSE)))+('PlayerGrades+'!$Y$51*(VLOOKUP(M328, 'PlayerGrades+'!$X$3:$Y$23, 2, FALSE)))+('PlayerGrades+'!$Y$52*(VLOOKUP(O328, 'PlayerGrades+'!$X$3:$Y$23, 2, FALSE)))+('PlayerGrades+'!$Y$53*(VLOOKUP(Q328, 'PlayerGrades+'!$X$3:$Y$23, 2, FALSE)))+('PlayerGrades+'!$Y$54*(VLOOKUP(S328, 'PlayerGrades+'!$X$3:$Y$23, 2, FALSE)))+('PlayerGrades+'!$Y$55*(VLOOKUP(U328, 'PlayerGrades+'!$X$3:$Y$23, 2, FALSE)))</f>
        <v>#DIV/0!</v>
      </c>
      <c r="D328" s="961" t="str">
        <f t="shared" si="1"/>
        <v>#DIV/0!</v>
      </c>
      <c r="E328" s="961" t="str">
        <f>IF(D328&lt;'PlayerGrades+'!$AA$21,"F-",IF(D328&lt;'PlayerGrades+'!$AA$20,"F",IF(D328&lt;'PlayerGrades+'!$AA$19,"F+",IF(D328&lt;'PlayerGrades+'!$AA$18,"E-",IF(D328&lt;'PlayerGrades+'!$AA$17,"E",IF(D328&lt;'PlayerGrades+'!$AA$16,"E+",IF(D328&lt;'PlayerGrades+'!$AA$15,"D-",IF(D328&lt;'PlayerGrades+'!$AA$14,"D",IF(D328&lt;'PlayerGrades+'!$AA$13,"D+",IF(D328&lt;'PlayerGrades+'!$AA$12,"C-",IF(D328&lt;'PlayerGrades+'!$AA$11,"C",IF(D328&lt;'PlayerGrades+'!$AA$10,"C+",IF(D328&lt;'PlayerGrades+'!$AA$9,"B-",IF(D328&lt;'PlayerGrades+'!$AA$8,"B",IF(D328&lt;'PlayerGrades+'!$AA$7,"B+",IF(D328&lt;'PlayerGrades+'!$AA$6,"A-",IF(D328&lt;'PlayerGrades+'!$AA$5,"A",IF(D328&lt;'PlayerGrades+'!$AA$4,"A+",IF(D328&lt;'PlayerGrades+'!$AA$3,"S-",IF(D328&lt;'PlayerGrades+'!$AA$2,"S","S+"))))))))))))))))))))</f>
        <v>#DIV/0!</v>
      </c>
      <c r="F328" s="961" t="str">
        <f t="shared" si="2"/>
        <v>#DIV/0!</v>
      </c>
      <c r="G328" s="961" t="str">
        <f>IF(F328&lt;'PlayerGrades+'!$AB$21,"F-",IF(F328&lt;'PlayerGrades+'!$AB$20,"F",IF(F328&lt;'PlayerGrades+'!$AB$19,"F+",IF(F328&lt;'PlayerGrades+'!$AB$18,"E-",IF(F328&lt;'PlayerGrades+'!$AB$17,"E",IF(F328&lt;'PlayerGrades+'!$AB$16,"E+",IF(F328&lt;'PlayerGrades+'!$AB$15,"D-",IF(F328&lt;'PlayerGrades+'!$AB$14,"D",IF(F328&lt;'PlayerGrades+'!$AB$13,"D+",IF(F328&lt;'PlayerGrades+'!$AB$12,"C-",IF(F328&lt;'PlayerGrades+'!$AB$11,"C",IF(F328&lt;'PlayerGrades+'!$AB$10,"C+",IF(F328&lt;'PlayerGrades+'!$AB$9,"B-",IF(F328&lt;'PlayerGrades+'!$AB$8,"B",IF(F328&lt;'PlayerGrades+'!$AB$7,"B+",IF(F328&lt;'PlayerGrades+'!$AB$6,"A-",IF(F328&lt;'PlayerGrades+'!$AB$5,"A",IF(F328&lt;'PlayerGrades+'!$AB$4,"A+",IF(F328&lt;'PlayerGrades+'!$AB$3,"S-",IF(F328&lt;'PlayerGrades+'!$AB$2,"S","S+"))))))))))))))))))))</f>
        <v>#DIV/0!</v>
      </c>
      <c r="H328" s="961" t="str">
        <f t="shared" si="3"/>
        <v>#DIV/0!</v>
      </c>
      <c r="I328" s="961" t="str">
        <f>IF(H328&lt;'PlayerGrades+'!$AC$21,"F-",IF(H328&lt;'PlayerGrades+'!$AC$20,"F",IF(H328&lt;'PlayerGrades+'!$AC$19,"F+",IF(H328&lt;'PlayerGrades+'!$AC$18,"E-",IF(H328&lt;'PlayerGrades+'!$AC$17,"E",IF(H328&lt;'PlayerGrades+'!$AC$16,"E+",IF(H328&lt;'PlayerGrades+'!$AC$15,"D-",IF(H328&lt;'PlayerGrades+'!$AC$14,"D",IF(H328&lt;'PlayerGrades+'!$AC$13,"D+",IF(H328&lt;'PlayerGrades+'!$AC$12,"C-",IF(H328&lt;'PlayerGrades+'!$AC$11,"C",IF(H328&lt;'PlayerGrades+'!$AC$10,"C+",IF(H328&lt;'PlayerGrades+'!$AC$9,"B-",IF(H328&lt;'PlayerGrades+'!$AC$8,"B",IF(H328&lt;'PlayerGrades+'!$AC$7,"B+",IF(H328&lt;'PlayerGrades+'!$AC$6,"A-",IF(H328&lt;'PlayerGrades+'!$AC$5,"A",IF(H328&lt;'PlayerGrades+'!$AC$4,"A+",IF(H328&lt;'PlayerGrades+'!$AC$3,"S-",IF(H328&lt;'PlayerGrades+'!$AC$2,"S","S+"))))))))))))))))))))</f>
        <v>#DIV/0!</v>
      </c>
      <c r="J328" s="961" t="str">
        <f t="shared" si="4"/>
        <v>#DIV/0!</v>
      </c>
      <c r="K328" s="961" t="str">
        <f>IF(J328&lt;'PlayerGrades+'!$AD$21,"F-",IF(J328&lt;'PlayerGrades+'!$AD$20,"F",IF(J328&lt;'PlayerGrades+'!$AD$19,"F+",IF(J328&lt;'PlayerGrades+'!$AD$18,"E-",IF(J328&lt;'PlayerGrades+'!$AD$17,"E",IF(J328&lt;'PlayerGrades+'!$AD$16,"E+",IF(J328&lt;'PlayerGrades+'!$AD$15,"D-",IF(J328&lt;'PlayerGrades+'!$AD$14,"D",IF(J328&lt;'PlayerGrades+'!$AD$13,"D+",IF(J328&lt;'PlayerGrades+'!$AD$12,"C-",IF(J328&lt;'PlayerGrades+'!$AD$11,"C",IF(J328&lt;'PlayerGrades+'!$AD$10,"C+",IF(J328&lt;'PlayerGrades+'!$AD$9,"B-",IF(J328&lt;'PlayerGrades+'!$AD$8,"B",IF(J328&lt;'PlayerGrades+'!$AD$7,"B+",IF(J328&lt;'PlayerGrades+'!$AD$6,"A-",IF(J328&lt;'PlayerGrades+'!$AD$5,"A",IF(J328&lt;'PlayerGrades+'!$AD$4,"A+",IF(J328&lt;'PlayerGrades+'!$AD$3,"S-",IF(J328&lt;'PlayerGrades+'!$AD$2,"S","S+"))))))))))))))))))))</f>
        <v>#DIV/0!</v>
      </c>
      <c r="L328" s="1176" t="str">
        <f t="shared" si="5"/>
        <v>#DIV/0!</v>
      </c>
      <c r="M328" s="992" t="str">
        <f>IF(L328&lt;'PlayerGrades+'!$AE$21,"F-",IF(L328&lt;'PlayerGrades+'!$AE$20,"F",IF(L328&lt;'PlayerGrades+'!$AE$19,"F+",IF(L328&lt;'PlayerGrades+'!$AE$18,"E-",IF(L328&lt;'PlayerGrades+'!$AE$17,"E",IF(L328&lt;'PlayerGrades+'!$AE$16,"E+",IF(L328&lt;'PlayerGrades+'!$AE$15,"D-",IF(L328&lt;'PlayerGrades+'!$AE$14,"D",IF(L328&lt;'PlayerGrades+'!$AE$13,"D+",IF(L328&lt;'PlayerGrades+'!$AE$12,"C-",IF(L328&lt;'PlayerGrades+'!$AE$11,"C",IF(L328&lt;'PlayerGrades+'!$AE$10,"C+",IF(L328&lt;'PlayerGrades+'!$AE$9,"B-",IF(L328&lt;'PlayerGrades+'!$AE$8,"B",IF(L328&lt;'PlayerGrades+'!$AE$7,"B+",IF(L328&lt;'PlayerGrades+'!$AE$6,"A-",IF(L328&lt;'PlayerGrades+'!$AE$5,"A",IF(L328&lt;'PlayerGrades+'!$AE$4,"A+",IF(L328&lt;'PlayerGrades+'!$AE$3,"S-",IF(L328&lt;'PlayerGrades+'!$AE$2,"S","S+"))))))))))))))))))))</f>
        <v>#DIV/0!</v>
      </c>
      <c r="N328" s="961" t="str">
        <f t="shared" si="6"/>
        <v>#DIV/0!</v>
      </c>
      <c r="O328" s="961" t="str">
        <f>IF(N328&lt;'PlayerGrades+'!$AF$21,"F-",IF(N328&lt;'PlayerGrades+'!$AF$20,"F",IF(N328&lt;'PlayerGrades+'!$AF$19,"F+",IF(N328&lt;'PlayerGrades+'!$AF$18,"E-",IF(N328&lt;'PlayerGrades+'!$AF$17,"E",IF(N328&lt;'PlayerGrades+'!$AF$16,"E+",IF(N328&lt;'PlayerGrades+'!$AF$15,"D-",IF(N328&lt;'PlayerGrades+'!$AF$14,"D",IF(N328&lt;'PlayerGrades+'!$AF$13,"D+",IF(N328&lt;'PlayerGrades+'!$AF$12,"C-",IF(N328&lt;'PlayerGrades+'!$AF$11,"C",IF(N328&lt;'PlayerGrades+'!$AF$10,"C+",IF(N328&lt;'PlayerGrades+'!$AF$9,"B-",IF(N328&lt;'PlayerGrades+'!$AF$8,"B",IF(N328&lt;'PlayerGrades+'!$AF$7,"B+",IF(N328&lt;'PlayerGrades+'!$AF$6,"A-",IF(N328&lt;'PlayerGrades+'!$AF$5,"A",IF(N328&lt;'PlayerGrades+'!$AF$4,"A+",IF(N328&lt;'PlayerGrades+'!$AF$3,"S-",IF(N328&lt;'PlayerGrades+'!$AF$2,"S","S+"))))))))))))))))))))</f>
        <v>#DIV/0!</v>
      </c>
      <c r="P328" s="961" t="str">
        <f t="shared" si="7"/>
        <v>#DIV/0!</v>
      </c>
      <c r="Q328" s="961" t="str">
        <f>IF(P328&lt;'PlayerGrades+'!$AG$21,"F-",IF(P328&lt;'PlayerGrades+'!$AG$20,"F",IF(P328&lt;'PlayerGrades+'!$AG$19,"F+",IF(P328&lt;'PlayerGrades+'!$AG$18,"E-",IF(P328&lt;'PlayerGrades+'!$AG$17,"E",IF(P328&lt;'PlayerGrades+'!$AG$16,"E+",IF(P328&lt;'PlayerGrades+'!$AG$15,"D-",IF(P328&lt;'PlayerGrades+'!$AG$14,"D",IF(P328&lt;'PlayerGrades+'!$AG$13,"D+",IF(P328&lt;'PlayerGrades+'!$AG$12,"C-",IF(P328&lt;'PlayerGrades+'!$AG$11,"C",IF(P328&lt;'PlayerGrades+'!$AG$10,"C+",IF(P328&lt;'PlayerGrades+'!$AG$9,"B-",IF(P328&lt;'PlayerGrades+'!$AG$8,"B",IF(P328&lt;'PlayerGrades+'!$AG$7,"B+",IF(P328&lt;'PlayerGrades+'!$AG$6,"A-",IF(P328&lt;'PlayerGrades+'!$AG$5,"A",IF(P328&lt;'PlayerGrades+'!$AG$4,"A+",IF(P328&lt;'PlayerGrades+'!$AG$3,"S-",IF(P328&lt;'PlayerGrades+'!$AG$2,"S","S+"))))))))))))))))))))</f>
        <v>#DIV/0!</v>
      </c>
      <c r="R328" s="961" t="str">
        <f t="shared" si="8"/>
        <v>#DIV/0!</v>
      </c>
      <c r="S328" s="961" t="str">
        <f>IF(R328&lt;'PlayerGrades+'!$AH$21,"F-",IF(R328&lt;'PlayerGrades+'!$AH$20,"F",IF(R328&lt;'PlayerGrades+'!$AH$19,"F+",IF(R328&lt;'PlayerGrades+'!$AH$18,"E-",IF(R328&lt;'PlayerGrades+'!$AH$17,"E",IF(R328&lt;'PlayerGrades+'!$AH$16,"E+",IF(R328&lt;'PlayerGrades+'!$AH$15,"D-",IF(R328&lt;'PlayerGrades+'!$AH$14,"D",IF(R328&lt;'PlayerGrades+'!$AH$13,"D+",IF(R328&lt;'PlayerGrades+'!$AH$12,"C-",IF(R328&lt;'PlayerGrades+'!$AH$11,"C",IF(R328&lt;'PlayerGrades+'!$AH$10,"C+",IF(R328&lt;'PlayerGrades+'!$AH$9,"B-",IF(R328&lt;'PlayerGrades+'!$AH$8,"B",IF(R328&lt;'PlayerGrades+'!$AH$7,"B+",IF(R328&lt;'PlayerGrades+'!$AH$6,"A-",IF(R328&lt;'PlayerGrades+'!$AH$5,"A",IF(R328&lt;'PlayerGrades+'!$AH$4,"A+",IF(R328&lt;'PlayerGrades+'!$AH$3,"S-",IF(R328&lt;'PlayerGrades+'!$AH$2,"S","S+"))))))))))))))))))))</f>
        <v>#DIV/0!</v>
      </c>
      <c r="T328" s="961">
        <f t="shared" si="9"/>
        <v>0</v>
      </c>
      <c r="U328" s="961" t="str">
        <f>IF(T328&lt;'PlayerGrades+'!$AI$21,"F-",IF(T328&lt;'PlayerGrades+'!$AI$20,"F",IF(T328&lt;'PlayerGrades+'!$AI$19,"F+",IF(T328&lt;'PlayerGrades+'!$AI$18,"E-",IF(T328&lt;'PlayerGrades+'!$AI$17,"E",IF(T328&lt;'PlayerGrades+'!$AI$16,"E+",IF(T328&lt;'PlayerGrades+'!$AI$15,"D-",IF(T328&lt;'PlayerGrades+'!$AI$14,"D",IF(T328&lt;'PlayerGrades+'!$AI$13,"D+",IF(T328&lt;'PlayerGrades+'!$AI$12,"C-",IF(T328&lt;'PlayerGrades+'!$AI$11,"C",IF(T328&lt;'PlayerGrades+'!$AI$10,"C+",IF(T328&lt;'PlayerGrades+'!$AI$9,"B-",IF(T328&lt;'PlayerGrades+'!$AI$8,"B",IF(T328&lt;'PlayerGrades+'!$AI$7,"B+",IF(T328&lt;'PlayerGrades+'!$AI$6,"A-",IF(T328&lt;'PlayerGrades+'!$AI$5,"A",IF(T328&lt;'PlayerGrades+'!$AI$4,"A+",IF(T328&lt;'PlayerGrades+'!$AI$3,"S-",IF(T328&lt;'PlayerGrades+'!$AI$2,"S","S+"))))))))))))))))))))</f>
        <v>F-</v>
      </c>
      <c r="AC328" s="1392"/>
    </row>
    <row r="329">
      <c r="A329" s="1393"/>
      <c r="B329" s="611" t="str">
        <f>IF(C329&lt;'PlayerGrades+'!$Y$44,"F-",IF(C329&lt;'PlayerGrades+'!$Y$43,"F",IF(C329&lt;'PlayerGrades+'!$Y$42,"F+",IF(C329&lt;'PlayerGrades+'!$Y$41,"E-",IF(C329&lt;'PlayerGrades+'!$Y$40,"E",IF(C329&lt;'PlayerGrades+'!$Y$39,"E+",IF(C329&lt;'PlayerGrades+'!$Y$38,"D-",IF(C329&lt;'PlayerGrades+'!$Y$37,"D",IF(C329&lt;'PlayerGrades+'!$Y$36,"D+",IF(C329&lt;'PlayerGrades+'!$Y$35,"C-",IF(C329&lt;'PlayerGrades+'!$Y$34,"C",IF(C329&lt;'PlayerGrades+'!$Y$33,"C+",IF(C329&lt;'PlayerGrades+'!$Y$32,"B-",IF(C329&lt;'PlayerGrades+'!$Y$31,"B",IF(C329&lt;'PlayerGrades+'!$Y$30,"B+",IF(C329&lt;'PlayerGrades+'!$Y$29,"A-",IF(C329&lt;'PlayerGrades+'!$Y$28,"A",IF(C329&lt;'PlayerGrades+'!$Y$27,"A+",IF(C329&lt;'PlayerGrades+'!$Y$26,"S-",IF(C329&lt;'PlayerGrades+'!$Y$25,"S","S+"))))))))))))))))))))</f>
        <v>#DIV/0!</v>
      </c>
      <c r="C329" s="1378" t="str">
        <f>('PlayerGrades+'!$Y$47*(VLOOKUP(E329, 'PlayerGrades+'!$X$3:$Y$23, 2, FALSE)))+('PlayerGrades+'!$Y$48*(VLOOKUP(G329, 'PlayerGrades+'!$X$3:$Y$23, 2, FALSE)))+('PlayerGrades+'!$Y$49*(VLOOKUP(I329, 'PlayerGrades+'!$X$3:$Y$23, 2, FALSE)))+('PlayerGrades+'!$Y$50*(VLOOKUP(K329, 'PlayerGrades+'!$X$3:$Y$23, 2, FALSE)))+('PlayerGrades+'!$Y$51*(VLOOKUP(M329, 'PlayerGrades+'!$X$3:$Y$23, 2, FALSE)))+('PlayerGrades+'!$Y$52*(VLOOKUP(O329, 'PlayerGrades+'!$X$3:$Y$23, 2, FALSE)))+('PlayerGrades+'!$Y$53*(VLOOKUP(Q329, 'PlayerGrades+'!$X$3:$Y$23, 2, FALSE)))+('PlayerGrades+'!$Y$54*(VLOOKUP(S329, 'PlayerGrades+'!$X$3:$Y$23, 2, FALSE)))+('PlayerGrades+'!$Y$55*(VLOOKUP(U329, 'PlayerGrades+'!$X$3:$Y$23, 2, FALSE)))</f>
        <v>#DIV/0!</v>
      </c>
      <c r="D329" s="961" t="str">
        <f t="shared" si="1"/>
        <v>#DIV/0!</v>
      </c>
      <c r="E329" s="961" t="str">
        <f>IF(D329&lt;'PlayerGrades+'!$AA$21,"F-",IF(D329&lt;'PlayerGrades+'!$AA$20,"F",IF(D329&lt;'PlayerGrades+'!$AA$19,"F+",IF(D329&lt;'PlayerGrades+'!$AA$18,"E-",IF(D329&lt;'PlayerGrades+'!$AA$17,"E",IF(D329&lt;'PlayerGrades+'!$AA$16,"E+",IF(D329&lt;'PlayerGrades+'!$AA$15,"D-",IF(D329&lt;'PlayerGrades+'!$AA$14,"D",IF(D329&lt;'PlayerGrades+'!$AA$13,"D+",IF(D329&lt;'PlayerGrades+'!$AA$12,"C-",IF(D329&lt;'PlayerGrades+'!$AA$11,"C",IF(D329&lt;'PlayerGrades+'!$AA$10,"C+",IF(D329&lt;'PlayerGrades+'!$AA$9,"B-",IF(D329&lt;'PlayerGrades+'!$AA$8,"B",IF(D329&lt;'PlayerGrades+'!$AA$7,"B+",IF(D329&lt;'PlayerGrades+'!$AA$6,"A-",IF(D329&lt;'PlayerGrades+'!$AA$5,"A",IF(D329&lt;'PlayerGrades+'!$AA$4,"A+",IF(D329&lt;'PlayerGrades+'!$AA$3,"S-",IF(D329&lt;'PlayerGrades+'!$AA$2,"S","S+"))))))))))))))))))))</f>
        <v>#DIV/0!</v>
      </c>
      <c r="F329" s="961" t="str">
        <f t="shared" si="2"/>
        <v>#DIV/0!</v>
      </c>
      <c r="G329" s="961" t="str">
        <f>IF(F329&lt;'PlayerGrades+'!$AB$21,"F-",IF(F329&lt;'PlayerGrades+'!$AB$20,"F",IF(F329&lt;'PlayerGrades+'!$AB$19,"F+",IF(F329&lt;'PlayerGrades+'!$AB$18,"E-",IF(F329&lt;'PlayerGrades+'!$AB$17,"E",IF(F329&lt;'PlayerGrades+'!$AB$16,"E+",IF(F329&lt;'PlayerGrades+'!$AB$15,"D-",IF(F329&lt;'PlayerGrades+'!$AB$14,"D",IF(F329&lt;'PlayerGrades+'!$AB$13,"D+",IF(F329&lt;'PlayerGrades+'!$AB$12,"C-",IF(F329&lt;'PlayerGrades+'!$AB$11,"C",IF(F329&lt;'PlayerGrades+'!$AB$10,"C+",IF(F329&lt;'PlayerGrades+'!$AB$9,"B-",IF(F329&lt;'PlayerGrades+'!$AB$8,"B",IF(F329&lt;'PlayerGrades+'!$AB$7,"B+",IF(F329&lt;'PlayerGrades+'!$AB$6,"A-",IF(F329&lt;'PlayerGrades+'!$AB$5,"A",IF(F329&lt;'PlayerGrades+'!$AB$4,"A+",IF(F329&lt;'PlayerGrades+'!$AB$3,"S-",IF(F329&lt;'PlayerGrades+'!$AB$2,"S","S+"))))))))))))))))))))</f>
        <v>#DIV/0!</v>
      </c>
      <c r="H329" s="961" t="str">
        <f t="shared" si="3"/>
        <v>#DIV/0!</v>
      </c>
      <c r="I329" s="961" t="str">
        <f>IF(H329&lt;'PlayerGrades+'!$AC$21,"F-",IF(H329&lt;'PlayerGrades+'!$AC$20,"F",IF(H329&lt;'PlayerGrades+'!$AC$19,"F+",IF(H329&lt;'PlayerGrades+'!$AC$18,"E-",IF(H329&lt;'PlayerGrades+'!$AC$17,"E",IF(H329&lt;'PlayerGrades+'!$AC$16,"E+",IF(H329&lt;'PlayerGrades+'!$AC$15,"D-",IF(H329&lt;'PlayerGrades+'!$AC$14,"D",IF(H329&lt;'PlayerGrades+'!$AC$13,"D+",IF(H329&lt;'PlayerGrades+'!$AC$12,"C-",IF(H329&lt;'PlayerGrades+'!$AC$11,"C",IF(H329&lt;'PlayerGrades+'!$AC$10,"C+",IF(H329&lt;'PlayerGrades+'!$AC$9,"B-",IF(H329&lt;'PlayerGrades+'!$AC$8,"B",IF(H329&lt;'PlayerGrades+'!$AC$7,"B+",IF(H329&lt;'PlayerGrades+'!$AC$6,"A-",IF(H329&lt;'PlayerGrades+'!$AC$5,"A",IF(H329&lt;'PlayerGrades+'!$AC$4,"A+",IF(H329&lt;'PlayerGrades+'!$AC$3,"S-",IF(H329&lt;'PlayerGrades+'!$AC$2,"S","S+"))))))))))))))))))))</f>
        <v>#DIV/0!</v>
      </c>
      <c r="J329" s="961" t="str">
        <f t="shared" si="4"/>
        <v>#DIV/0!</v>
      </c>
      <c r="K329" s="961" t="str">
        <f>IF(J329&lt;'PlayerGrades+'!$AD$21,"F-",IF(J329&lt;'PlayerGrades+'!$AD$20,"F",IF(J329&lt;'PlayerGrades+'!$AD$19,"F+",IF(J329&lt;'PlayerGrades+'!$AD$18,"E-",IF(J329&lt;'PlayerGrades+'!$AD$17,"E",IF(J329&lt;'PlayerGrades+'!$AD$16,"E+",IF(J329&lt;'PlayerGrades+'!$AD$15,"D-",IF(J329&lt;'PlayerGrades+'!$AD$14,"D",IF(J329&lt;'PlayerGrades+'!$AD$13,"D+",IF(J329&lt;'PlayerGrades+'!$AD$12,"C-",IF(J329&lt;'PlayerGrades+'!$AD$11,"C",IF(J329&lt;'PlayerGrades+'!$AD$10,"C+",IF(J329&lt;'PlayerGrades+'!$AD$9,"B-",IF(J329&lt;'PlayerGrades+'!$AD$8,"B",IF(J329&lt;'PlayerGrades+'!$AD$7,"B+",IF(J329&lt;'PlayerGrades+'!$AD$6,"A-",IF(J329&lt;'PlayerGrades+'!$AD$5,"A",IF(J329&lt;'PlayerGrades+'!$AD$4,"A+",IF(J329&lt;'PlayerGrades+'!$AD$3,"S-",IF(J329&lt;'PlayerGrades+'!$AD$2,"S","S+"))))))))))))))))))))</f>
        <v>#DIV/0!</v>
      </c>
      <c r="L329" s="1176" t="str">
        <f t="shared" si="5"/>
        <v>#DIV/0!</v>
      </c>
      <c r="M329" s="992" t="str">
        <f>IF(L329&lt;'PlayerGrades+'!$AE$21,"F-",IF(L329&lt;'PlayerGrades+'!$AE$20,"F",IF(L329&lt;'PlayerGrades+'!$AE$19,"F+",IF(L329&lt;'PlayerGrades+'!$AE$18,"E-",IF(L329&lt;'PlayerGrades+'!$AE$17,"E",IF(L329&lt;'PlayerGrades+'!$AE$16,"E+",IF(L329&lt;'PlayerGrades+'!$AE$15,"D-",IF(L329&lt;'PlayerGrades+'!$AE$14,"D",IF(L329&lt;'PlayerGrades+'!$AE$13,"D+",IF(L329&lt;'PlayerGrades+'!$AE$12,"C-",IF(L329&lt;'PlayerGrades+'!$AE$11,"C",IF(L329&lt;'PlayerGrades+'!$AE$10,"C+",IF(L329&lt;'PlayerGrades+'!$AE$9,"B-",IF(L329&lt;'PlayerGrades+'!$AE$8,"B",IF(L329&lt;'PlayerGrades+'!$AE$7,"B+",IF(L329&lt;'PlayerGrades+'!$AE$6,"A-",IF(L329&lt;'PlayerGrades+'!$AE$5,"A",IF(L329&lt;'PlayerGrades+'!$AE$4,"A+",IF(L329&lt;'PlayerGrades+'!$AE$3,"S-",IF(L329&lt;'PlayerGrades+'!$AE$2,"S","S+"))))))))))))))))))))</f>
        <v>#DIV/0!</v>
      </c>
      <c r="N329" s="961" t="str">
        <f t="shared" si="6"/>
        <v>#DIV/0!</v>
      </c>
      <c r="O329" s="961" t="str">
        <f>IF(N329&lt;'PlayerGrades+'!$AF$21,"F-",IF(N329&lt;'PlayerGrades+'!$AF$20,"F",IF(N329&lt;'PlayerGrades+'!$AF$19,"F+",IF(N329&lt;'PlayerGrades+'!$AF$18,"E-",IF(N329&lt;'PlayerGrades+'!$AF$17,"E",IF(N329&lt;'PlayerGrades+'!$AF$16,"E+",IF(N329&lt;'PlayerGrades+'!$AF$15,"D-",IF(N329&lt;'PlayerGrades+'!$AF$14,"D",IF(N329&lt;'PlayerGrades+'!$AF$13,"D+",IF(N329&lt;'PlayerGrades+'!$AF$12,"C-",IF(N329&lt;'PlayerGrades+'!$AF$11,"C",IF(N329&lt;'PlayerGrades+'!$AF$10,"C+",IF(N329&lt;'PlayerGrades+'!$AF$9,"B-",IF(N329&lt;'PlayerGrades+'!$AF$8,"B",IF(N329&lt;'PlayerGrades+'!$AF$7,"B+",IF(N329&lt;'PlayerGrades+'!$AF$6,"A-",IF(N329&lt;'PlayerGrades+'!$AF$5,"A",IF(N329&lt;'PlayerGrades+'!$AF$4,"A+",IF(N329&lt;'PlayerGrades+'!$AF$3,"S-",IF(N329&lt;'PlayerGrades+'!$AF$2,"S","S+"))))))))))))))))))))</f>
        <v>#DIV/0!</v>
      </c>
      <c r="P329" s="961" t="str">
        <f t="shared" si="7"/>
        <v>#DIV/0!</v>
      </c>
      <c r="Q329" s="961" t="str">
        <f>IF(P329&lt;'PlayerGrades+'!$AG$21,"F-",IF(P329&lt;'PlayerGrades+'!$AG$20,"F",IF(P329&lt;'PlayerGrades+'!$AG$19,"F+",IF(P329&lt;'PlayerGrades+'!$AG$18,"E-",IF(P329&lt;'PlayerGrades+'!$AG$17,"E",IF(P329&lt;'PlayerGrades+'!$AG$16,"E+",IF(P329&lt;'PlayerGrades+'!$AG$15,"D-",IF(P329&lt;'PlayerGrades+'!$AG$14,"D",IF(P329&lt;'PlayerGrades+'!$AG$13,"D+",IF(P329&lt;'PlayerGrades+'!$AG$12,"C-",IF(P329&lt;'PlayerGrades+'!$AG$11,"C",IF(P329&lt;'PlayerGrades+'!$AG$10,"C+",IF(P329&lt;'PlayerGrades+'!$AG$9,"B-",IF(P329&lt;'PlayerGrades+'!$AG$8,"B",IF(P329&lt;'PlayerGrades+'!$AG$7,"B+",IF(P329&lt;'PlayerGrades+'!$AG$6,"A-",IF(P329&lt;'PlayerGrades+'!$AG$5,"A",IF(P329&lt;'PlayerGrades+'!$AG$4,"A+",IF(P329&lt;'PlayerGrades+'!$AG$3,"S-",IF(P329&lt;'PlayerGrades+'!$AG$2,"S","S+"))))))))))))))))))))</f>
        <v>#DIV/0!</v>
      </c>
      <c r="R329" s="961" t="str">
        <f t="shared" si="8"/>
        <v>#DIV/0!</v>
      </c>
      <c r="S329" s="961" t="str">
        <f>IF(R329&lt;'PlayerGrades+'!$AH$21,"F-",IF(R329&lt;'PlayerGrades+'!$AH$20,"F",IF(R329&lt;'PlayerGrades+'!$AH$19,"F+",IF(R329&lt;'PlayerGrades+'!$AH$18,"E-",IF(R329&lt;'PlayerGrades+'!$AH$17,"E",IF(R329&lt;'PlayerGrades+'!$AH$16,"E+",IF(R329&lt;'PlayerGrades+'!$AH$15,"D-",IF(R329&lt;'PlayerGrades+'!$AH$14,"D",IF(R329&lt;'PlayerGrades+'!$AH$13,"D+",IF(R329&lt;'PlayerGrades+'!$AH$12,"C-",IF(R329&lt;'PlayerGrades+'!$AH$11,"C",IF(R329&lt;'PlayerGrades+'!$AH$10,"C+",IF(R329&lt;'PlayerGrades+'!$AH$9,"B-",IF(R329&lt;'PlayerGrades+'!$AH$8,"B",IF(R329&lt;'PlayerGrades+'!$AH$7,"B+",IF(R329&lt;'PlayerGrades+'!$AH$6,"A-",IF(R329&lt;'PlayerGrades+'!$AH$5,"A",IF(R329&lt;'PlayerGrades+'!$AH$4,"A+",IF(R329&lt;'PlayerGrades+'!$AH$3,"S-",IF(R329&lt;'PlayerGrades+'!$AH$2,"S","S+"))))))))))))))))))))</f>
        <v>#DIV/0!</v>
      </c>
      <c r="T329" s="961">
        <f t="shared" si="9"/>
        <v>0</v>
      </c>
      <c r="U329" s="961" t="str">
        <f>IF(T329&lt;'PlayerGrades+'!$AI$21,"F-",IF(T329&lt;'PlayerGrades+'!$AI$20,"F",IF(T329&lt;'PlayerGrades+'!$AI$19,"F+",IF(T329&lt;'PlayerGrades+'!$AI$18,"E-",IF(T329&lt;'PlayerGrades+'!$AI$17,"E",IF(T329&lt;'PlayerGrades+'!$AI$16,"E+",IF(T329&lt;'PlayerGrades+'!$AI$15,"D-",IF(T329&lt;'PlayerGrades+'!$AI$14,"D",IF(T329&lt;'PlayerGrades+'!$AI$13,"D+",IF(T329&lt;'PlayerGrades+'!$AI$12,"C-",IF(T329&lt;'PlayerGrades+'!$AI$11,"C",IF(T329&lt;'PlayerGrades+'!$AI$10,"C+",IF(T329&lt;'PlayerGrades+'!$AI$9,"B-",IF(T329&lt;'PlayerGrades+'!$AI$8,"B",IF(T329&lt;'PlayerGrades+'!$AI$7,"B+",IF(T329&lt;'PlayerGrades+'!$AI$6,"A-",IF(T329&lt;'PlayerGrades+'!$AI$5,"A",IF(T329&lt;'PlayerGrades+'!$AI$4,"A+",IF(T329&lt;'PlayerGrades+'!$AI$3,"S-",IF(T329&lt;'PlayerGrades+'!$AI$2,"S","S+"))))))))))))))))))))</f>
        <v>F-</v>
      </c>
      <c r="V329" s="1386"/>
      <c r="W329" s="1386"/>
      <c r="X329" s="1386"/>
      <c r="Y329" s="1386"/>
      <c r="Z329" s="1386"/>
      <c r="AA329" s="1386"/>
      <c r="AB329" s="1386"/>
      <c r="AC329" s="1397"/>
      <c r="AD329" s="1386"/>
      <c r="AE329" s="1386"/>
      <c r="AF329" s="1411"/>
      <c r="AG329" s="1386"/>
      <c r="AH329" s="1386"/>
      <c r="AI329" s="1386"/>
      <c r="AJ329" s="1386"/>
      <c r="AK329" s="1386"/>
      <c r="AL329" s="1386"/>
      <c r="AM329" s="1386"/>
      <c r="AN329" s="1386"/>
      <c r="AO329" s="1386"/>
      <c r="AP329" s="1386"/>
      <c r="AQ329" s="1386"/>
      <c r="AR329" s="1386"/>
      <c r="AS329" s="1386"/>
      <c r="AT329" s="1386"/>
      <c r="AU329" s="1386"/>
      <c r="AV329" s="1386"/>
      <c r="AW329" s="1386"/>
      <c r="AX329" s="1386"/>
      <c r="AY329" s="1386"/>
      <c r="AZ329" s="1386"/>
    </row>
    <row r="330">
      <c r="A330" s="1389"/>
      <c r="B330" s="611" t="str">
        <f>IF(C330&lt;'PlayerGrades+'!$Y$44,"F-",IF(C330&lt;'PlayerGrades+'!$Y$43,"F",IF(C330&lt;'PlayerGrades+'!$Y$42,"F+",IF(C330&lt;'PlayerGrades+'!$Y$41,"E-",IF(C330&lt;'PlayerGrades+'!$Y$40,"E",IF(C330&lt;'PlayerGrades+'!$Y$39,"E+",IF(C330&lt;'PlayerGrades+'!$Y$38,"D-",IF(C330&lt;'PlayerGrades+'!$Y$37,"D",IF(C330&lt;'PlayerGrades+'!$Y$36,"D+",IF(C330&lt;'PlayerGrades+'!$Y$35,"C-",IF(C330&lt;'PlayerGrades+'!$Y$34,"C",IF(C330&lt;'PlayerGrades+'!$Y$33,"C+",IF(C330&lt;'PlayerGrades+'!$Y$32,"B-",IF(C330&lt;'PlayerGrades+'!$Y$31,"B",IF(C330&lt;'PlayerGrades+'!$Y$30,"B+",IF(C330&lt;'PlayerGrades+'!$Y$29,"A-",IF(C330&lt;'PlayerGrades+'!$Y$28,"A",IF(C330&lt;'PlayerGrades+'!$Y$27,"A+",IF(C330&lt;'PlayerGrades+'!$Y$26,"S-",IF(C330&lt;'PlayerGrades+'!$Y$25,"S","S+"))))))))))))))))))))</f>
        <v>#DIV/0!</v>
      </c>
      <c r="C330" s="1378" t="str">
        <f>('PlayerGrades+'!$Y$47*(VLOOKUP(E330, 'PlayerGrades+'!$X$3:$Y$23, 2, FALSE)))+('PlayerGrades+'!$Y$48*(VLOOKUP(G330, 'PlayerGrades+'!$X$3:$Y$23, 2, FALSE)))+('PlayerGrades+'!$Y$49*(VLOOKUP(I330, 'PlayerGrades+'!$X$3:$Y$23, 2, FALSE)))+('PlayerGrades+'!$Y$50*(VLOOKUP(K330, 'PlayerGrades+'!$X$3:$Y$23, 2, FALSE)))+('PlayerGrades+'!$Y$51*(VLOOKUP(M330, 'PlayerGrades+'!$X$3:$Y$23, 2, FALSE)))+('PlayerGrades+'!$Y$52*(VLOOKUP(O330, 'PlayerGrades+'!$X$3:$Y$23, 2, FALSE)))+('PlayerGrades+'!$Y$53*(VLOOKUP(Q330, 'PlayerGrades+'!$X$3:$Y$23, 2, FALSE)))+('PlayerGrades+'!$Y$54*(VLOOKUP(S330, 'PlayerGrades+'!$X$3:$Y$23, 2, FALSE)))+('PlayerGrades+'!$Y$55*(VLOOKUP(U330, 'PlayerGrades+'!$X$3:$Y$23, 2, FALSE)))</f>
        <v>#DIV/0!</v>
      </c>
      <c r="D330" s="961" t="str">
        <f t="shared" si="1"/>
        <v>#DIV/0!</v>
      </c>
      <c r="E330" s="961" t="str">
        <f>IF(D330&lt;'PlayerGrades+'!$AA$21,"F-",IF(D330&lt;'PlayerGrades+'!$AA$20,"F",IF(D330&lt;'PlayerGrades+'!$AA$19,"F+",IF(D330&lt;'PlayerGrades+'!$AA$18,"E-",IF(D330&lt;'PlayerGrades+'!$AA$17,"E",IF(D330&lt;'PlayerGrades+'!$AA$16,"E+",IF(D330&lt;'PlayerGrades+'!$AA$15,"D-",IF(D330&lt;'PlayerGrades+'!$AA$14,"D",IF(D330&lt;'PlayerGrades+'!$AA$13,"D+",IF(D330&lt;'PlayerGrades+'!$AA$12,"C-",IF(D330&lt;'PlayerGrades+'!$AA$11,"C",IF(D330&lt;'PlayerGrades+'!$AA$10,"C+",IF(D330&lt;'PlayerGrades+'!$AA$9,"B-",IF(D330&lt;'PlayerGrades+'!$AA$8,"B",IF(D330&lt;'PlayerGrades+'!$AA$7,"B+",IF(D330&lt;'PlayerGrades+'!$AA$6,"A-",IF(D330&lt;'PlayerGrades+'!$AA$5,"A",IF(D330&lt;'PlayerGrades+'!$AA$4,"A+",IF(D330&lt;'PlayerGrades+'!$AA$3,"S-",IF(D330&lt;'PlayerGrades+'!$AA$2,"S","S+"))))))))))))))))))))</f>
        <v>#DIV/0!</v>
      </c>
      <c r="F330" s="961" t="str">
        <f t="shared" si="2"/>
        <v>#DIV/0!</v>
      </c>
      <c r="G330" s="961" t="str">
        <f>IF(F330&lt;'PlayerGrades+'!$AB$21,"F-",IF(F330&lt;'PlayerGrades+'!$AB$20,"F",IF(F330&lt;'PlayerGrades+'!$AB$19,"F+",IF(F330&lt;'PlayerGrades+'!$AB$18,"E-",IF(F330&lt;'PlayerGrades+'!$AB$17,"E",IF(F330&lt;'PlayerGrades+'!$AB$16,"E+",IF(F330&lt;'PlayerGrades+'!$AB$15,"D-",IF(F330&lt;'PlayerGrades+'!$AB$14,"D",IF(F330&lt;'PlayerGrades+'!$AB$13,"D+",IF(F330&lt;'PlayerGrades+'!$AB$12,"C-",IF(F330&lt;'PlayerGrades+'!$AB$11,"C",IF(F330&lt;'PlayerGrades+'!$AB$10,"C+",IF(F330&lt;'PlayerGrades+'!$AB$9,"B-",IF(F330&lt;'PlayerGrades+'!$AB$8,"B",IF(F330&lt;'PlayerGrades+'!$AB$7,"B+",IF(F330&lt;'PlayerGrades+'!$AB$6,"A-",IF(F330&lt;'PlayerGrades+'!$AB$5,"A",IF(F330&lt;'PlayerGrades+'!$AB$4,"A+",IF(F330&lt;'PlayerGrades+'!$AB$3,"S-",IF(F330&lt;'PlayerGrades+'!$AB$2,"S","S+"))))))))))))))))))))</f>
        <v>#DIV/0!</v>
      </c>
      <c r="H330" s="961" t="str">
        <f t="shared" si="3"/>
        <v>#DIV/0!</v>
      </c>
      <c r="I330" s="961" t="str">
        <f>IF(H330&lt;'PlayerGrades+'!$AC$21,"F-",IF(H330&lt;'PlayerGrades+'!$AC$20,"F",IF(H330&lt;'PlayerGrades+'!$AC$19,"F+",IF(H330&lt;'PlayerGrades+'!$AC$18,"E-",IF(H330&lt;'PlayerGrades+'!$AC$17,"E",IF(H330&lt;'PlayerGrades+'!$AC$16,"E+",IF(H330&lt;'PlayerGrades+'!$AC$15,"D-",IF(H330&lt;'PlayerGrades+'!$AC$14,"D",IF(H330&lt;'PlayerGrades+'!$AC$13,"D+",IF(H330&lt;'PlayerGrades+'!$AC$12,"C-",IF(H330&lt;'PlayerGrades+'!$AC$11,"C",IF(H330&lt;'PlayerGrades+'!$AC$10,"C+",IF(H330&lt;'PlayerGrades+'!$AC$9,"B-",IF(H330&lt;'PlayerGrades+'!$AC$8,"B",IF(H330&lt;'PlayerGrades+'!$AC$7,"B+",IF(H330&lt;'PlayerGrades+'!$AC$6,"A-",IF(H330&lt;'PlayerGrades+'!$AC$5,"A",IF(H330&lt;'PlayerGrades+'!$AC$4,"A+",IF(H330&lt;'PlayerGrades+'!$AC$3,"S-",IF(H330&lt;'PlayerGrades+'!$AC$2,"S","S+"))))))))))))))))))))</f>
        <v>#DIV/0!</v>
      </c>
      <c r="J330" s="961" t="str">
        <f t="shared" si="4"/>
        <v>#DIV/0!</v>
      </c>
      <c r="K330" s="961" t="str">
        <f>IF(J330&lt;'PlayerGrades+'!$AD$21,"F-",IF(J330&lt;'PlayerGrades+'!$AD$20,"F",IF(J330&lt;'PlayerGrades+'!$AD$19,"F+",IF(J330&lt;'PlayerGrades+'!$AD$18,"E-",IF(J330&lt;'PlayerGrades+'!$AD$17,"E",IF(J330&lt;'PlayerGrades+'!$AD$16,"E+",IF(J330&lt;'PlayerGrades+'!$AD$15,"D-",IF(J330&lt;'PlayerGrades+'!$AD$14,"D",IF(J330&lt;'PlayerGrades+'!$AD$13,"D+",IF(J330&lt;'PlayerGrades+'!$AD$12,"C-",IF(J330&lt;'PlayerGrades+'!$AD$11,"C",IF(J330&lt;'PlayerGrades+'!$AD$10,"C+",IF(J330&lt;'PlayerGrades+'!$AD$9,"B-",IF(J330&lt;'PlayerGrades+'!$AD$8,"B",IF(J330&lt;'PlayerGrades+'!$AD$7,"B+",IF(J330&lt;'PlayerGrades+'!$AD$6,"A-",IF(J330&lt;'PlayerGrades+'!$AD$5,"A",IF(J330&lt;'PlayerGrades+'!$AD$4,"A+",IF(J330&lt;'PlayerGrades+'!$AD$3,"S-",IF(J330&lt;'PlayerGrades+'!$AD$2,"S","S+"))))))))))))))))))))</f>
        <v>#DIV/0!</v>
      </c>
      <c r="L330" s="1176" t="str">
        <f t="shared" si="5"/>
        <v>#DIV/0!</v>
      </c>
      <c r="M330" s="992" t="str">
        <f>IF(L330&lt;'PlayerGrades+'!$AE$21,"F-",IF(L330&lt;'PlayerGrades+'!$AE$20,"F",IF(L330&lt;'PlayerGrades+'!$AE$19,"F+",IF(L330&lt;'PlayerGrades+'!$AE$18,"E-",IF(L330&lt;'PlayerGrades+'!$AE$17,"E",IF(L330&lt;'PlayerGrades+'!$AE$16,"E+",IF(L330&lt;'PlayerGrades+'!$AE$15,"D-",IF(L330&lt;'PlayerGrades+'!$AE$14,"D",IF(L330&lt;'PlayerGrades+'!$AE$13,"D+",IF(L330&lt;'PlayerGrades+'!$AE$12,"C-",IF(L330&lt;'PlayerGrades+'!$AE$11,"C",IF(L330&lt;'PlayerGrades+'!$AE$10,"C+",IF(L330&lt;'PlayerGrades+'!$AE$9,"B-",IF(L330&lt;'PlayerGrades+'!$AE$8,"B",IF(L330&lt;'PlayerGrades+'!$AE$7,"B+",IF(L330&lt;'PlayerGrades+'!$AE$6,"A-",IF(L330&lt;'PlayerGrades+'!$AE$5,"A",IF(L330&lt;'PlayerGrades+'!$AE$4,"A+",IF(L330&lt;'PlayerGrades+'!$AE$3,"S-",IF(L330&lt;'PlayerGrades+'!$AE$2,"S","S+"))))))))))))))))))))</f>
        <v>#DIV/0!</v>
      </c>
      <c r="N330" s="961" t="str">
        <f t="shared" si="6"/>
        <v>#DIV/0!</v>
      </c>
      <c r="O330" s="961" t="str">
        <f>IF(N330&lt;'PlayerGrades+'!$AF$21,"F-",IF(N330&lt;'PlayerGrades+'!$AF$20,"F",IF(N330&lt;'PlayerGrades+'!$AF$19,"F+",IF(N330&lt;'PlayerGrades+'!$AF$18,"E-",IF(N330&lt;'PlayerGrades+'!$AF$17,"E",IF(N330&lt;'PlayerGrades+'!$AF$16,"E+",IF(N330&lt;'PlayerGrades+'!$AF$15,"D-",IF(N330&lt;'PlayerGrades+'!$AF$14,"D",IF(N330&lt;'PlayerGrades+'!$AF$13,"D+",IF(N330&lt;'PlayerGrades+'!$AF$12,"C-",IF(N330&lt;'PlayerGrades+'!$AF$11,"C",IF(N330&lt;'PlayerGrades+'!$AF$10,"C+",IF(N330&lt;'PlayerGrades+'!$AF$9,"B-",IF(N330&lt;'PlayerGrades+'!$AF$8,"B",IF(N330&lt;'PlayerGrades+'!$AF$7,"B+",IF(N330&lt;'PlayerGrades+'!$AF$6,"A-",IF(N330&lt;'PlayerGrades+'!$AF$5,"A",IF(N330&lt;'PlayerGrades+'!$AF$4,"A+",IF(N330&lt;'PlayerGrades+'!$AF$3,"S-",IF(N330&lt;'PlayerGrades+'!$AF$2,"S","S+"))))))))))))))))))))</f>
        <v>#DIV/0!</v>
      </c>
      <c r="P330" s="961" t="str">
        <f t="shared" si="7"/>
        <v>#DIV/0!</v>
      </c>
      <c r="Q330" s="961" t="str">
        <f>IF(P330&lt;'PlayerGrades+'!$AG$21,"F-",IF(P330&lt;'PlayerGrades+'!$AG$20,"F",IF(P330&lt;'PlayerGrades+'!$AG$19,"F+",IF(P330&lt;'PlayerGrades+'!$AG$18,"E-",IF(P330&lt;'PlayerGrades+'!$AG$17,"E",IF(P330&lt;'PlayerGrades+'!$AG$16,"E+",IF(P330&lt;'PlayerGrades+'!$AG$15,"D-",IF(P330&lt;'PlayerGrades+'!$AG$14,"D",IF(P330&lt;'PlayerGrades+'!$AG$13,"D+",IF(P330&lt;'PlayerGrades+'!$AG$12,"C-",IF(P330&lt;'PlayerGrades+'!$AG$11,"C",IF(P330&lt;'PlayerGrades+'!$AG$10,"C+",IF(P330&lt;'PlayerGrades+'!$AG$9,"B-",IF(P330&lt;'PlayerGrades+'!$AG$8,"B",IF(P330&lt;'PlayerGrades+'!$AG$7,"B+",IF(P330&lt;'PlayerGrades+'!$AG$6,"A-",IF(P330&lt;'PlayerGrades+'!$AG$5,"A",IF(P330&lt;'PlayerGrades+'!$AG$4,"A+",IF(P330&lt;'PlayerGrades+'!$AG$3,"S-",IF(P330&lt;'PlayerGrades+'!$AG$2,"S","S+"))))))))))))))))))))</f>
        <v>#DIV/0!</v>
      </c>
      <c r="R330" s="961" t="str">
        <f t="shared" si="8"/>
        <v>#DIV/0!</v>
      </c>
      <c r="S330" s="961" t="str">
        <f>IF(R330&lt;'PlayerGrades+'!$AH$21,"F-",IF(R330&lt;'PlayerGrades+'!$AH$20,"F",IF(R330&lt;'PlayerGrades+'!$AH$19,"F+",IF(R330&lt;'PlayerGrades+'!$AH$18,"E-",IF(R330&lt;'PlayerGrades+'!$AH$17,"E",IF(R330&lt;'PlayerGrades+'!$AH$16,"E+",IF(R330&lt;'PlayerGrades+'!$AH$15,"D-",IF(R330&lt;'PlayerGrades+'!$AH$14,"D",IF(R330&lt;'PlayerGrades+'!$AH$13,"D+",IF(R330&lt;'PlayerGrades+'!$AH$12,"C-",IF(R330&lt;'PlayerGrades+'!$AH$11,"C",IF(R330&lt;'PlayerGrades+'!$AH$10,"C+",IF(R330&lt;'PlayerGrades+'!$AH$9,"B-",IF(R330&lt;'PlayerGrades+'!$AH$8,"B",IF(R330&lt;'PlayerGrades+'!$AH$7,"B+",IF(R330&lt;'PlayerGrades+'!$AH$6,"A-",IF(R330&lt;'PlayerGrades+'!$AH$5,"A",IF(R330&lt;'PlayerGrades+'!$AH$4,"A+",IF(R330&lt;'PlayerGrades+'!$AH$3,"S-",IF(R330&lt;'PlayerGrades+'!$AH$2,"S","S+"))))))))))))))))))))</f>
        <v>#DIV/0!</v>
      </c>
      <c r="T330" s="961">
        <f t="shared" si="9"/>
        <v>0</v>
      </c>
      <c r="U330" s="961" t="str">
        <f>IF(T330&lt;'PlayerGrades+'!$AI$21,"F-",IF(T330&lt;'PlayerGrades+'!$AI$20,"F",IF(T330&lt;'PlayerGrades+'!$AI$19,"F+",IF(T330&lt;'PlayerGrades+'!$AI$18,"E-",IF(T330&lt;'PlayerGrades+'!$AI$17,"E",IF(T330&lt;'PlayerGrades+'!$AI$16,"E+",IF(T330&lt;'PlayerGrades+'!$AI$15,"D-",IF(T330&lt;'PlayerGrades+'!$AI$14,"D",IF(T330&lt;'PlayerGrades+'!$AI$13,"D+",IF(T330&lt;'PlayerGrades+'!$AI$12,"C-",IF(T330&lt;'PlayerGrades+'!$AI$11,"C",IF(T330&lt;'PlayerGrades+'!$AI$10,"C+",IF(T330&lt;'PlayerGrades+'!$AI$9,"B-",IF(T330&lt;'PlayerGrades+'!$AI$8,"B",IF(T330&lt;'PlayerGrades+'!$AI$7,"B+",IF(T330&lt;'PlayerGrades+'!$AI$6,"A-",IF(T330&lt;'PlayerGrades+'!$AI$5,"A",IF(T330&lt;'PlayerGrades+'!$AI$4,"A+",IF(T330&lt;'PlayerGrades+'!$AI$3,"S-",IF(T330&lt;'PlayerGrades+'!$AI$2,"S","S+"))))))))))))))))))))</f>
        <v>F-</v>
      </c>
      <c r="V330" s="1379"/>
      <c r="W330" s="1379"/>
      <c r="X330" s="1379"/>
      <c r="Y330" s="1379"/>
      <c r="Z330" s="1379"/>
      <c r="AA330" s="1379"/>
      <c r="AB330" s="1379"/>
      <c r="AC330" s="1390"/>
      <c r="AD330" s="1379"/>
      <c r="AE330" s="1379"/>
      <c r="AF330" s="1379"/>
      <c r="AG330" s="1379"/>
      <c r="AH330" s="1379"/>
      <c r="AI330" s="1379"/>
      <c r="AJ330" s="1379"/>
      <c r="AK330" s="1379"/>
      <c r="AL330" s="1379"/>
      <c r="AM330" s="1379"/>
      <c r="AN330" s="1379"/>
      <c r="AO330" s="1379"/>
      <c r="AP330" s="1379"/>
      <c r="AQ330" s="1379"/>
      <c r="AR330" s="1379"/>
      <c r="AS330" s="1379"/>
      <c r="AT330" s="1379"/>
      <c r="AU330" s="1379"/>
      <c r="AV330" s="1379"/>
      <c r="AW330" s="1379"/>
      <c r="AX330" s="1379"/>
      <c r="AY330" s="1379"/>
      <c r="AZ330" s="1379"/>
    </row>
    <row r="331">
      <c r="A331" s="1391"/>
      <c r="B331" s="611" t="str">
        <f>IF(C331&lt;'PlayerGrades+'!$Y$44,"F-",IF(C331&lt;'PlayerGrades+'!$Y$43,"F",IF(C331&lt;'PlayerGrades+'!$Y$42,"F+",IF(C331&lt;'PlayerGrades+'!$Y$41,"E-",IF(C331&lt;'PlayerGrades+'!$Y$40,"E",IF(C331&lt;'PlayerGrades+'!$Y$39,"E+",IF(C331&lt;'PlayerGrades+'!$Y$38,"D-",IF(C331&lt;'PlayerGrades+'!$Y$37,"D",IF(C331&lt;'PlayerGrades+'!$Y$36,"D+",IF(C331&lt;'PlayerGrades+'!$Y$35,"C-",IF(C331&lt;'PlayerGrades+'!$Y$34,"C",IF(C331&lt;'PlayerGrades+'!$Y$33,"C+",IF(C331&lt;'PlayerGrades+'!$Y$32,"B-",IF(C331&lt;'PlayerGrades+'!$Y$31,"B",IF(C331&lt;'PlayerGrades+'!$Y$30,"B+",IF(C331&lt;'PlayerGrades+'!$Y$29,"A-",IF(C331&lt;'PlayerGrades+'!$Y$28,"A",IF(C331&lt;'PlayerGrades+'!$Y$27,"A+",IF(C331&lt;'PlayerGrades+'!$Y$26,"S-",IF(C331&lt;'PlayerGrades+'!$Y$25,"S","S+"))))))))))))))))))))</f>
        <v>#DIV/0!</v>
      </c>
      <c r="C331" s="1378" t="str">
        <f>('PlayerGrades+'!$Y$47*(VLOOKUP(E331, 'PlayerGrades+'!$X$3:$Y$23, 2, FALSE)))+('PlayerGrades+'!$Y$48*(VLOOKUP(G331, 'PlayerGrades+'!$X$3:$Y$23, 2, FALSE)))+('PlayerGrades+'!$Y$49*(VLOOKUP(I331, 'PlayerGrades+'!$X$3:$Y$23, 2, FALSE)))+('PlayerGrades+'!$Y$50*(VLOOKUP(K331, 'PlayerGrades+'!$X$3:$Y$23, 2, FALSE)))+('PlayerGrades+'!$Y$51*(VLOOKUP(M331, 'PlayerGrades+'!$X$3:$Y$23, 2, FALSE)))+('PlayerGrades+'!$Y$52*(VLOOKUP(O331, 'PlayerGrades+'!$X$3:$Y$23, 2, FALSE)))+('PlayerGrades+'!$Y$53*(VLOOKUP(Q331, 'PlayerGrades+'!$X$3:$Y$23, 2, FALSE)))+('PlayerGrades+'!$Y$54*(VLOOKUP(S331, 'PlayerGrades+'!$X$3:$Y$23, 2, FALSE)))+('PlayerGrades+'!$Y$55*(VLOOKUP(U331, 'PlayerGrades+'!$X$3:$Y$23, 2, FALSE)))</f>
        <v>#DIV/0!</v>
      </c>
      <c r="D331" s="961" t="str">
        <f t="shared" si="1"/>
        <v>#DIV/0!</v>
      </c>
      <c r="E331" s="961" t="str">
        <f>IF(D331&lt;'PlayerGrades+'!$AA$21,"F-",IF(D331&lt;'PlayerGrades+'!$AA$20,"F",IF(D331&lt;'PlayerGrades+'!$AA$19,"F+",IF(D331&lt;'PlayerGrades+'!$AA$18,"E-",IF(D331&lt;'PlayerGrades+'!$AA$17,"E",IF(D331&lt;'PlayerGrades+'!$AA$16,"E+",IF(D331&lt;'PlayerGrades+'!$AA$15,"D-",IF(D331&lt;'PlayerGrades+'!$AA$14,"D",IF(D331&lt;'PlayerGrades+'!$AA$13,"D+",IF(D331&lt;'PlayerGrades+'!$AA$12,"C-",IF(D331&lt;'PlayerGrades+'!$AA$11,"C",IF(D331&lt;'PlayerGrades+'!$AA$10,"C+",IF(D331&lt;'PlayerGrades+'!$AA$9,"B-",IF(D331&lt;'PlayerGrades+'!$AA$8,"B",IF(D331&lt;'PlayerGrades+'!$AA$7,"B+",IF(D331&lt;'PlayerGrades+'!$AA$6,"A-",IF(D331&lt;'PlayerGrades+'!$AA$5,"A",IF(D331&lt;'PlayerGrades+'!$AA$4,"A+",IF(D331&lt;'PlayerGrades+'!$AA$3,"S-",IF(D331&lt;'PlayerGrades+'!$AA$2,"S","S+"))))))))))))))))))))</f>
        <v>#DIV/0!</v>
      </c>
      <c r="F331" s="961" t="str">
        <f t="shared" si="2"/>
        <v>#DIV/0!</v>
      </c>
      <c r="G331" s="961" t="str">
        <f>IF(F331&lt;'PlayerGrades+'!$AB$21,"F-",IF(F331&lt;'PlayerGrades+'!$AB$20,"F",IF(F331&lt;'PlayerGrades+'!$AB$19,"F+",IF(F331&lt;'PlayerGrades+'!$AB$18,"E-",IF(F331&lt;'PlayerGrades+'!$AB$17,"E",IF(F331&lt;'PlayerGrades+'!$AB$16,"E+",IF(F331&lt;'PlayerGrades+'!$AB$15,"D-",IF(F331&lt;'PlayerGrades+'!$AB$14,"D",IF(F331&lt;'PlayerGrades+'!$AB$13,"D+",IF(F331&lt;'PlayerGrades+'!$AB$12,"C-",IF(F331&lt;'PlayerGrades+'!$AB$11,"C",IF(F331&lt;'PlayerGrades+'!$AB$10,"C+",IF(F331&lt;'PlayerGrades+'!$AB$9,"B-",IF(F331&lt;'PlayerGrades+'!$AB$8,"B",IF(F331&lt;'PlayerGrades+'!$AB$7,"B+",IF(F331&lt;'PlayerGrades+'!$AB$6,"A-",IF(F331&lt;'PlayerGrades+'!$AB$5,"A",IF(F331&lt;'PlayerGrades+'!$AB$4,"A+",IF(F331&lt;'PlayerGrades+'!$AB$3,"S-",IF(F331&lt;'PlayerGrades+'!$AB$2,"S","S+"))))))))))))))))))))</f>
        <v>#DIV/0!</v>
      </c>
      <c r="H331" s="961" t="str">
        <f t="shared" si="3"/>
        <v>#DIV/0!</v>
      </c>
      <c r="I331" s="961" t="str">
        <f>IF(H331&lt;'PlayerGrades+'!$AC$21,"F-",IF(H331&lt;'PlayerGrades+'!$AC$20,"F",IF(H331&lt;'PlayerGrades+'!$AC$19,"F+",IF(H331&lt;'PlayerGrades+'!$AC$18,"E-",IF(H331&lt;'PlayerGrades+'!$AC$17,"E",IF(H331&lt;'PlayerGrades+'!$AC$16,"E+",IF(H331&lt;'PlayerGrades+'!$AC$15,"D-",IF(H331&lt;'PlayerGrades+'!$AC$14,"D",IF(H331&lt;'PlayerGrades+'!$AC$13,"D+",IF(H331&lt;'PlayerGrades+'!$AC$12,"C-",IF(H331&lt;'PlayerGrades+'!$AC$11,"C",IF(H331&lt;'PlayerGrades+'!$AC$10,"C+",IF(H331&lt;'PlayerGrades+'!$AC$9,"B-",IF(H331&lt;'PlayerGrades+'!$AC$8,"B",IF(H331&lt;'PlayerGrades+'!$AC$7,"B+",IF(H331&lt;'PlayerGrades+'!$AC$6,"A-",IF(H331&lt;'PlayerGrades+'!$AC$5,"A",IF(H331&lt;'PlayerGrades+'!$AC$4,"A+",IF(H331&lt;'PlayerGrades+'!$AC$3,"S-",IF(H331&lt;'PlayerGrades+'!$AC$2,"S","S+"))))))))))))))))))))</f>
        <v>#DIV/0!</v>
      </c>
      <c r="J331" s="961" t="str">
        <f t="shared" si="4"/>
        <v>#DIV/0!</v>
      </c>
      <c r="K331" s="961" t="str">
        <f>IF(J331&lt;'PlayerGrades+'!$AD$21,"F-",IF(J331&lt;'PlayerGrades+'!$AD$20,"F",IF(J331&lt;'PlayerGrades+'!$AD$19,"F+",IF(J331&lt;'PlayerGrades+'!$AD$18,"E-",IF(J331&lt;'PlayerGrades+'!$AD$17,"E",IF(J331&lt;'PlayerGrades+'!$AD$16,"E+",IF(J331&lt;'PlayerGrades+'!$AD$15,"D-",IF(J331&lt;'PlayerGrades+'!$AD$14,"D",IF(J331&lt;'PlayerGrades+'!$AD$13,"D+",IF(J331&lt;'PlayerGrades+'!$AD$12,"C-",IF(J331&lt;'PlayerGrades+'!$AD$11,"C",IF(J331&lt;'PlayerGrades+'!$AD$10,"C+",IF(J331&lt;'PlayerGrades+'!$AD$9,"B-",IF(J331&lt;'PlayerGrades+'!$AD$8,"B",IF(J331&lt;'PlayerGrades+'!$AD$7,"B+",IF(J331&lt;'PlayerGrades+'!$AD$6,"A-",IF(J331&lt;'PlayerGrades+'!$AD$5,"A",IF(J331&lt;'PlayerGrades+'!$AD$4,"A+",IF(J331&lt;'PlayerGrades+'!$AD$3,"S-",IF(J331&lt;'PlayerGrades+'!$AD$2,"S","S+"))))))))))))))))))))</f>
        <v>#DIV/0!</v>
      </c>
      <c r="L331" s="1176" t="str">
        <f t="shared" si="5"/>
        <v>#DIV/0!</v>
      </c>
      <c r="M331" s="992" t="str">
        <f>IF(L331&lt;'PlayerGrades+'!$AE$21,"F-",IF(L331&lt;'PlayerGrades+'!$AE$20,"F",IF(L331&lt;'PlayerGrades+'!$AE$19,"F+",IF(L331&lt;'PlayerGrades+'!$AE$18,"E-",IF(L331&lt;'PlayerGrades+'!$AE$17,"E",IF(L331&lt;'PlayerGrades+'!$AE$16,"E+",IF(L331&lt;'PlayerGrades+'!$AE$15,"D-",IF(L331&lt;'PlayerGrades+'!$AE$14,"D",IF(L331&lt;'PlayerGrades+'!$AE$13,"D+",IF(L331&lt;'PlayerGrades+'!$AE$12,"C-",IF(L331&lt;'PlayerGrades+'!$AE$11,"C",IF(L331&lt;'PlayerGrades+'!$AE$10,"C+",IF(L331&lt;'PlayerGrades+'!$AE$9,"B-",IF(L331&lt;'PlayerGrades+'!$AE$8,"B",IF(L331&lt;'PlayerGrades+'!$AE$7,"B+",IF(L331&lt;'PlayerGrades+'!$AE$6,"A-",IF(L331&lt;'PlayerGrades+'!$AE$5,"A",IF(L331&lt;'PlayerGrades+'!$AE$4,"A+",IF(L331&lt;'PlayerGrades+'!$AE$3,"S-",IF(L331&lt;'PlayerGrades+'!$AE$2,"S","S+"))))))))))))))))))))</f>
        <v>#DIV/0!</v>
      </c>
      <c r="N331" s="961" t="str">
        <f t="shared" si="6"/>
        <v>#DIV/0!</v>
      </c>
      <c r="O331" s="961" t="str">
        <f>IF(N331&lt;'PlayerGrades+'!$AF$21,"F-",IF(N331&lt;'PlayerGrades+'!$AF$20,"F",IF(N331&lt;'PlayerGrades+'!$AF$19,"F+",IF(N331&lt;'PlayerGrades+'!$AF$18,"E-",IF(N331&lt;'PlayerGrades+'!$AF$17,"E",IF(N331&lt;'PlayerGrades+'!$AF$16,"E+",IF(N331&lt;'PlayerGrades+'!$AF$15,"D-",IF(N331&lt;'PlayerGrades+'!$AF$14,"D",IF(N331&lt;'PlayerGrades+'!$AF$13,"D+",IF(N331&lt;'PlayerGrades+'!$AF$12,"C-",IF(N331&lt;'PlayerGrades+'!$AF$11,"C",IF(N331&lt;'PlayerGrades+'!$AF$10,"C+",IF(N331&lt;'PlayerGrades+'!$AF$9,"B-",IF(N331&lt;'PlayerGrades+'!$AF$8,"B",IF(N331&lt;'PlayerGrades+'!$AF$7,"B+",IF(N331&lt;'PlayerGrades+'!$AF$6,"A-",IF(N331&lt;'PlayerGrades+'!$AF$5,"A",IF(N331&lt;'PlayerGrades+'!$AF$4,"A+",IF(N331&lt;'PlayerGrades+'!$AF$3,"S-",IF(N331&lt;'PlayerGrades+'!$AF$2,"S","S+"))))))))))))))))))))</f>
        <v>#DIV/0!</v>
      </c>
      <c r="P331" s="961" t="str">
        <f t="shared" si="7"/>
        <v>#DIV/0!</v>
      </c>
      <c r="Q331" s="961" t="str">
        <f>IF(P331&lt;'PlayerGrades+'!$AG$21,"F-",IF(P331&lt;'PlayerGrades+'!$AG$20,"F",IF(P331&lt;'PlayerGrades+'!$AG$19,"F+",IF(P331&lt;'PlayerGrades+'!$AG$18,"E-",IF(P331&lt;'PlayerGrades+'!$AG$17,"E",IF(P331&lt;'PlayerGrades+'!$AG$16,"E+",IF(P331&lt;'PlayerGrades+'!$AG$15,"D-",IF(P331&lt;'PlayerGrades+'!$AG$14,"D",IF(P331&lt;'PlayerGrades+'!$AG$13,"D+",IF(P331&lt;'PlayerGrades+'!$AG$12,"C-",IF(P331&lt;'PlayerGrades+'!$AG$11,"C",IF(P331&lt;'PlayerGrades+'!$AG$10,"C+",IF(P331&lt;'PlayerGrades+'!$AG$9,"B-",IF(P331&lt;'PlayerGrades+'!$AG$8,"B",IF(P331&lt;'PlayerGrades+'!$AG$7,"B+",IF(P331&lt;'PlayerGrades+'!$AG$6,"A-",IF(P331&lt;'PlayerGrades+'!$AG$5,"A",IF(P331&lt;'PlayerGrades+'!$AG$4,"A+",IF(P331&lt;'PlayerGrades+'!$AG$3,"S-",IF(P331&lt;'PlayerGrades+'!$AG$2,"S","S+"))))))))))))))))))))</f>
        <v>#DIV/0!</v>
      </c>
      <c r="R331" s="961" t="str">
        <f t="shared" si="8"/>
        <v>#DIV/0!</v>
      </c>
      <c r="S331" s="961" t="str">
        <f>IF(R331&lt;'PlayerGrades+'!$AH$21,"F-",IF(R331&lt;'PlayerGrades+'!$AH$20,"F",IF(R331&lt;'PlayerGrades+'!$AH$19,"F+",IF(R331&lt;'PlayerGrades+'!$AH$18,"E-",IF(R331&lt;'PlayerGrades+'!$AH$17,"E",IF(R331&lt;'PlayerGrades+'!$AH$16,"E+",IF(R331&lt;'PlayerGrades+'!$AH$15,"D-",IF(R331&lt;'PlayerGrades+'!$AH$14,"D",IF(R331&lt;'PlayerGrades+'!$AH$13,"D+",IF(R331&lt;'PlayerGrades+'!$AH$12,"C-",IF(R331&lt;'PlayerGrades+'!$AH$11,"C",IF(R331&lt;'PlayerGrades+'!$AH$10,"C+",IF(R331&lt;'PlayerGrades+'!$AH$9,"B-",IF(R331&lt;'PlayerGrades+'!$AH$8,"B",IF(R331&lt;'PlayerGrades+'!$AH$7,"B+",IF(R331&lt;'PlayerGrades+'!$AH$6,"A-",IF(R331&lt;'PlayerGrades+'!$AH$5,"A",IF(R331&lt;'PlayerGrades+'!$AH$4,"A+",IF(R331&lt;'PlayerGrades+'!$AH$3,"S-",IF(R331&lt;'PlayerGrades+'!$AH$2,"S","S+"))))))))))))))))))))</f>
        <v>#DIV/0!</v>
      </c>
      <c r="T331" s="961">
        <f t="shared" si="9"/>
        <v>0</v>
      </c>
      <c r="U331" s="961" t="str">
        <f>IF(T331&lt;'PlayerGrades+'!$AI$21,"F-",IF(T331&lt;'PlayerGrades+'!$AI$20,"F",IF(T331&lt;'PlayerGrades+'!$AI$19,"F+",IF(T331&lt;'PlayerGrades+'!$AI$18,"E-",IF(T331&lt;'PlayerGrades+'!$AI$17,"E",IF(T331&lt;'PlayerGrades+'!$AI$16,"E+",IF(T331&lt;'PlayerGrades+'!$AI$15,"D-",IF(T331&lt;'PlayerGrades+'!$AI$14,"D",IF(T331&lt;'PlayerGrades+'!$AI$13,"D+",IF(T331&lt;'PlayerGrades+'!$AI$12,"C-",IF(T331&lt;'PlayerGrades+'!$AI$11,"C",IF(T331&lt;'PlayerGrades+'!$AI$10,"C+",IF(T331&lt;'PlayerGrades+'!$AI$9,"B-",IF(T331&lt;'PlayerGrades+'!$AI$8,"B",IF(T331&lt;'PlayerGrades+'!$AI$7,"B+",IF(T331&lt;'PlayerGrades+'!$AI$6,"A-",IF(T331&lt;'PlayerGrades+'!$AI$5,"A",IF(T331&lt;'PlayerGrades+'!$AI$4,"A+",IF(T331&lt;'PlayerGrades+'!$AI$3,"S-",IF(T331&lt;'PlayerGrades+'!$AI$2,"S","S+"))))))))))))))))))))</f>
        <v>F-</v>
      </c>
      <c r="AC331" s="1392"/>
    </row>
    <row r="332">
      <c r="A332" s="1391"/>
      <c r="B332" s="611" t="str">
        <f>IF(C332&lt;'PlayerGrades+'!$Y$44,"F-",IF(C332&lt;'PlayerGrades+'!$Y$43,"F",IF(C332&lt;'PlayerGrades+'!$Y$42,"F+",IF(C332&lt;'PlayerGrades+'!$Y$41,"E-",IF(C332&lt;'PlayerGrades+'!$Y$40,"E",IF(C332&lt;'PlayerGrades+'!$Y$39,"E+",IF(C332&lt;'PlayerGrades+'!$Y$38,"D-",IF(C332&lt;'PlayerGrades+'!$Y$37,"D",IF(C332&lt;'PlayerGrades+'!$Y$36,"D+",IF(C332&lt;'PlayerGrades+'!$Y$35,"C-",IF(C332&lt;'PlayerGrades+'!$Y$34,"C",IF(C332&lt;'PlayerGrades+'!$Y$33,"C+",IF(C332&lt;'PlayerGrades+'!$Y$32,"B-",IF(C332&lt;'PlayerGrades+'!$Y$31,"B",IF(C332&lt;'PlayerGrades+'!$Y$30,"B+",IF(C332&lt;'PlayerGrades+'!$Y$29,"A-",IF(C332&lt;'PlayerGrades+'!$Y$28,"A",IF(C332&lt;'PlayerGrades+'!$Y$27,"A+",IF(C332&lt;'PlayerGrades+'!$Y$26,"S-",IF(C332&lt;'PlayerGrades+'!$Y$25,"S","S+"))))))))))))))))))))</f>
        <v>#DIV/0!</v>
      </c>
      <c r="C332" s="1378" t="str">
        <f>('PlayerGrades+'!$Y$47*(VLOOKUP(E332, 'PlayerGrades+'!$X$3:$Y$23, 2, FALSE)))+('PlayerGrades+'!$Y$48*(VLOOKUP(G332, 'PlayerGrades+'!$X$3:$Y$23, 2, FALSE)))+('PlayerGrades+'!$Y$49*(VLOOKUP(I332, 'PlayerGrades+'!$X$3:$Y$23, 2, FALSE)))+('PlayerGrades+'!$Y$50*(VLOOKUP(K332, 'PlayerGrades+'!$X$3:$Y$23, 2, FALSE)))+('PlayerGrades+'!$Y$51*(VLOOKUP(M332, 'PlayerGrades+'!$X$3:$Y$23, 2, FALSE)))+('PlayerGrades+'!$Y$52*(VLOOKUP(O332, 'PlayerGrades+'!$X$3:$Y$23, 2, FALSE)))+('PlayerGrades+'!$Y$53*(VLOOKUP(Q332, 'PlayerGrades+'!$X$3:$Y$23, 2, FALSE)))+('PlayerGrades+'!$Y$54*(VLOOKUP(S332, 'PlayerGrades+'!$X$3:$Y$23, 2, FALSE)))+('PlayerGrades+'!$Y$55*(VLOOKUP(U332, 'PlayerGrades+'!$X$3:$Y$23, 2, FALSE)))</f>
        <v>#DIV/0!</v>
      </c>
      <c r="D332" s="961" t="str">
        <f t="shared" si="1"/>
        <v>#DIV/0!</v>
      </c>
      <c r="E332" s="961" t="str">
        <f>IF(D332&lt;'PlayerGrades+'!$AA$21,"F-",IF(D332&lt;'PlayerGrades+'!$AA$20,"F",IF(D332&lt;'PlayerGrades+'!$AA$19,"F+",IF(D332&lt;'PlayerGrades+'!$AA$18,"E-",IF(D332&lt;'PlayerGrades+'!$AA$17,"E",IF(D332&lt;'PlayerGrades+'!$AA$16,"E+",IF(D332&lt;'PlayerGrades+'!$AA$15,"D-",IF(D332&lt;'PlayerGrades+'!$AA$14,"D",IF(D332&lt;'PlayerGrades+'!$AA$13,"D+",IF(D332&lt;'PlayerGrades+'!$AA$12,"C-",IF(D332&lt;'PlayerGrades+'!$AA$11,"C",IF(D332&lt;'PlayerGrades+'!$AA$10,"C+",IF(D332&lt;'PlayerGrades+'!$AA$9,"B-",IF(D332&lt;'PlayerGrades+'!$AA$8,"B",IF(D332&lt;'PlayerGrades+'!$AA$7,"B+",IF(D332&lt;'PlayerGrades+'!$AA$6,"A-",IF(D332&lt;'PlayerGrades+'!$AA$5,"A",IF(D332&lt;'PlayerGrades+'!$AA$4,"A+",IF(D332&lt;'PlayerGrades+'!$AA$3,"S-",IF(D332&lt;'PlayerGrades+'!$AA$2,"S","S+"))))))))))))))))))))</f>
        <v>#DIV/0!</v>
      </c>
      <c r="F332" s="961" t="str">
        <f t="shared" si="2"/>
        <v>#DIV/0!</v>
      </c>
      <c r="G332" s="961" t="str">
        <f>IF(F332&lt;'PlayerGrades+'!$AB$21,"F-",IF(F332&lt;'PlayerGrades+'!$AB$20,"F",IF(F332&lt;'PlayerGrades+'!$AB$19,"F+",IF(F332&lt;'PlayerGrades+'!$AB$18,"E-",IF(F332&lt;'PlayerGrades+'!$AB$17,"E",IF(F332&lt;'PlayerGrades+'!$AB$16,"E+",IF(F332&lt;'PlayerGrades+'!$AB$15,"D-",IF(F332&lt;'PlayerGrades+'!$AB$14,"D",IF(F332&lt;'PlayerGrades+'!$AB$13,"D+",IF(F332&lt;'PlayerGrades+'!$AB$12,"C-",IF(F332&lt;'PlayerGrades+'!$AB$11,"C",IF(F332&lt;'PlayerGrades+'!$AB$10,"C+",IF(F332&lt;'PlayerGrades+'!$AB$9,"B-",IF(F332&lt;'PlayerGrades+'!$AB$8,"B",IF(F332&lt;'PlayerGrades+'!$AB$7,"B+",IF(F332&lt;'PlayerGrades+'!$AB$6,"A-",IF(F332&lt;'PlayerGrades+'!$AB$5,"A",IF(F332&lt;'PlayerGrades+'!$AB$4,"A+",IF(F332&lt;'PlayerGrades+'!$AB$3,"S-",IF(F332&lt;'PlayerGrades+'!$AB$2,"S","S+"))))))))))))))))))))</f>
        <v>#DIV/0!</v>
      </c>
      <c r="H332" s="961" t="str">
        <f t="shared" si="3"/>
        <v>#DIV/0!</v>
      </c>
      <c r="I332" s="961" t="str">
        <f>IF(H332&lt;'PlayerGrades+'!$AC$21,"F-",IF(H332&lt;'PlayerGrades+'!$AC$20,"F",IF(H332&lt;'PlayerGrades+'!$AC$19,"F+",IF(H332&lt;'PlayerGrades+'!$AC$18,"E-",IF(H332&lt;'PlayerGrades+'!$AC$17,"E",IF(H332&lt;'PlayerGrades+'!$AC$16,"E+",IF(H332&lt;'PlayerGrades+'!$AC$15,"D-",IF(H332&lt;'PlayerGrades+'!$AC$14,"D",IF(H332&lt;'PlayerGrades+'!$AC$13,"D+",IF(H332&lt;'PlayerGrades+'!$AC$12,"C-",IF(H332&lt;'PlayerGrades+'!$AC$11,"C",IF(H332&lt;'PlayerGrades+'!$AC$10,"C+",IF(H332&lt;'PlayerGrades+'!$AC$9,"B-",IF(H332&lt;'PlayerGrades+'!$AC$8,"B",IF(H332&lt;'PlayerGrades+'!$AC$7,"B+",IF(H332&lt;'PlayerGrades+'!$AC$6,"A-",IF(H332&lt;'PlayerGrades+'!$AC$5,"A",IF(H332&lt;'PlayerGrades+'!$AC$4,"A+",IF(H332&lt;'PlayerGrades+'!$AC$3,"S-",IF(H332&lt;'PlayerGrades+'!$AC$2,"S","S+"))))))))))))))))))))</f>
        <v>#DIV/0!</v>
      </c>
      <c r="J332" s="961" t="str">
        <f t="shared" si="4"/>
        <v>#DIV/0!</v>
      </c>
      <c r="K332" s="961" t="str">
        <f>IF(J332&lt;'PlayerGrades+'!$AD$21,"F-",IF(J332&lt;'PlayerGrades+'!$AD$20,"F",IF(J332&lt;'PlayerGrades+'!$AD$19,"F+",IF(J332&lt;'PlayerGrades+'!$AD$18,"E-",IF(J332&lt;'PlayerGrades+'!$AD$17,"E",IF(J332&lt;'PlayerGrades+'!$AD$16,"E+",IF(J332&lt;'PlayerGrades+'!$AD$15,"D-",IF(J332&lt;'PlayerGrades+'!$AD$14,"D",IF(J332&lt;'PlayerGrades+'!$AD$13,"D+",IF(J332&lt;'PlayerGrades+'!$AD$12,"C-",IF(J332&lt;'PlayerGrades+'!$AD$11,"C",IF(J332&lt;'PlayerGrades+'!$AD$10,"C+",IF(J332&lt;'PlayerGrades+'!$AD$9,"B-",IF(J332&lt;'PlayerGrades+'!$AD$8,"B",IF(J332&lt;'PlayerGrades+'!$AD$7,"B+",IF(J332&lt;'PlayerGrades+'!$AD$6,"A-",IF(J332&lt;'PlayerGrades+'!$AD$5,"A",IF(J332&lt;'PlayerGrades+'!$AD$4,"A+",IF(J332&lt;'PlayerGrades+'!$AD$3,"S-",IF(J332&lt;'PlayerGrades+'!$AD$2,"S","S+"))))))))))))))))))))</f>
        <v>#DIV/0!</v>
      </c>
      <c r="L332" s="1176" t="str">
        <f t="shared" si="5"/>
        <v>#DIV/0!</v>
      </c>
      <c r="M332" s="992" t="str">
        <f>IF(L332&lt;'PlayerGrades+'!$AE$21,"F-",IF(L332&lt;'PlayerGrades+'!$AE$20,"F",IF(L332&lt;'PlayerGrades+'!$AE$19,"F+",IF(L332&lt;'PlayerGrades+'!$AE$18,"E-",IF(L332&lt;'PlayerGrades+'!$AE$17,"E",IF(L332&lt;'PlayerGrades+'!$AE$16,"E+",IF(L332&lt;'PlayerGrades+'!$AE$15,"D-",IF(L332&lt;'PlayerGrades+'!$AE$14,"D",IF(L332&lt;'PlayerGrades+'!$AE$13,"D+",IF(L332&lt;'PlayerGrades+'!$AE$12,"C-",IF(L332&lt;'PlayerGrades+'!$AE$11,"C",IF(L332&lt;'PlayerGrades+'!$AE$10,"C+",IF(L332&lt;'PlayerGrades+'!$AE$9,"B-",IF(L332&lt;'PlayerGrades+'!$AE$8,"B",IF(L332&lt;'PlayerGrades+'!$AE$7,"B+",IF(L332&lt;'PlayerGrades+'!$AE$6,"A-",IF(L332&lt;'PlayerGrades+'!$AE$5,"A",IF(L332&lt;'PlayerGrades+'!$AE$4,"A+",IF(L332&lt;'PlayerGrades+'!$AE$3,"S-",IF(L332&lt;'PlayerGrades+'!$AE$2,"S","S+"))))))))))))))))))))</f>
        <v>#DIV/0!</v>
      </c>
      <c r="N332" s="961" t="str">
        <f t="shared" si="6"/>
        <v>#DIV/0!</v>
      </c>
      <c r="O332" s="961" t="str">
        <f>IF(N332&lt;'PlayerGrades+'!$AF$21,"F-",IF(N332&lt;'PlayerGrades+'!$AF$20,"F",IF(N332&lt;'PlayerGrades+'!$AF$19,"F+",IF(N332&lt;'PlayerGrades+'!$AF$18,"E-",IF(N332&lt;'PlayerGrades+'!$AF$17,"E",IF(N332&lt;'PlayerGrades+'!$AF$16,"E+",IF(N332&lt;'PlayerGrades+'!$AF$15,"D-",IF(N332&lt;'PlayerGrades+'!$AF$14,"D",IF(N332&lt;'PlayerGrades+'!$AF$13,"D+",IF(N332&lt;'PlayerGrades+'!$AF$12,"C-",IF(N332&lt;'PlayerGrades+'!$AF$11,"C",IF(N332&lt;'PlayerGrades+'!$AF$10,"C+",IF(N332&lt;'PlayerGrades+'!$AF$9,"B-",IF(N332&lt;'PlayerGrades+'!$AF$8,"B",IF(N332&lt;'PlayerGrades+'!$AF$7,"B+",IF(N332&lt;'PlayerGrades+'!$AF$6,"A-",IF(N332&lt;'PlayerGrades+'!$AF$5,"A",IF(N332&lt;'PlayerGrades+'!$AF$4,"A+",IF(N332&lt;'PlayerGrades+'!$AF$3,"S-",IF(N332&lt;'PlayerGrades+'!$AF$2,"S","S+"))))))))))))))))))))</f>
        <v>#DIV/0!</v>
      </c>
      <c r="P332" s="961" t="str">
        <f t="shared" si="7"/>
        <v>#DIV/0!</v>
      </c>
      <c r="Q332" s="961" t="str">
        <f>IF(P332&lt;'PlayerGrades+'!$AG$21,"F-",IF(P332&lt;'PlayerGrades+'!$AG$20,"F",IF(P332&lt;'PlayerGrades+'!$AG$19,"F+",IF(P332&lt;'PlayerGrades+'!$AG$18,"E-",IF(P332&lt;'PlayerGrades+'!$AG$17,"E",IF(P332&lt;'PlayerGrades+'!$AG$16,"E+",IF(P332&lt;'PlayerGrades+'!$AG$15,"D-",IF(P332&lt;'PlayerGrades+'!$AG$14,"D",IF(P332&lt;'PlayerGrades+'!$AG$13,"D+",IF(P332&lt;'PlayerGrades+'!$AG$12,"C-",IF(P332&lt;'PlayerGrades+'!$AG$11,"C",IF(P332&lt;'PlayerGrades+'!$AG$10,"C+",IF(P332&lt;'PlayerGrades+'!$AG$9,"B-",IF(P332&lt;'PlayerGrades+'!$AG$8,"B",IF(P332&lt;'PlayerGrades+'!$AG$7,"B+",IF(P332&lt;'PlayerGrades+'!$AG$6,"A-",IF(P332&lt;'PlayerGrades+'!$AG$5,"A",IF(P332&lt;'PlayerGrades+'!$AG$4,"A+",IF(P332&lt;'PlayerGrades+'!$AG$3,"S-",IF(P332&lt;'PlayerGrades+'!$AG$2,"S","S+"))))))))))))))))))))</f>
        <v>#DIV/0!</v>
      </c>
      <c r="R332" s="961" t="str">
        <f t="shared" si="8"/>
        <v>#DIV/0!</v>
      </c>
      <c r="S332" s="961" t="str">
        <f>IF(R332&lt;'PlayerGrades+'!$AH$21,"F-",IF(R332&lt;'PlayerGrades+'!$AH$20,"F",IF(R332&lt;'PlayerGrades+'!$AH$19,"F+",IF(R332&lt;'PlayerGrades+'!$AH$18,"E-",IF(R332&lt;'PlayerGrades+'!$AH$17,"E",IF(R332&lt;'PlayerGrades+'!$AH$16,"E+",IF(R332&lt;'PlayerGrades+'!$AH$15,"D-",IF(R332&lt;'PlayerGrades+'!$AH$14,"D",IF(R332&lt;'PlayerGrades+'!$AH$13,"D+",IF(R332&lt;'PlayerGrades+'!$AH$12,"C-",IF(R332&lt;'PlayerGrades+'!$AH$11,"C",IF(R332&lt;'PlayerGrades+'!$AH$10,"C+",IF(R332&lt;'PlayerGrades+'!$AH$9,"B-",IF(R332&lt;'PlayerGrades+'!$AH$8,"B",IF(R332&lt;'PlayerGrades+'!$AH$7,"B+",IF(R332&lt;'PlayerGrades+'!$AH$6,"A-",IF(R332&lt;'PlayerGrades+'!$AH$5,"A",IF(R332&lt;'PlayerGrades+'!$AH$4,"A+",IF(R332&lt;'PlayerGrades+'!$AH$3,"S-",IF(R332&lt;'PlayerGrades+'!$AH$2,"S","S+"))))))))))))))))))))</f>
        <v>#DIV/0!</v>
      </c>
      <c r="T332" s="961">
        <f t="shared" si="9"/>
        <v>0</v>
      </c>
      <c r="U332" s="961" t="str">
        <f>IF(T332&lt;'PlayerGrades+'!$AI$21,"F-",IF(T332&lt;'PlayerGrades+'!$AI$20,"F",IF(T332&lt;'PlayerGrades+'!$AI$19,"F+",IF(T332&lt;'PlayerGrades+'!$AI$18,"E-",IF(T332&lt;'PlayerGrades+'!$AI$17,"E",IF(T332&lt;'PlayerGrades+'!$AI$16,"E+",IF(T332&lt;'PlayerGrades+'!$AI$15,"D-",IF(T332&lt;'PlayerGrades+'!$AI$14,"D",IF(T332&lt;'PlayerGrades+'!$AI$13,"D+",IF(T332&lt;'PlayerGrades+'!$AI$12,"C-",IF(T332&lt;'PlayerGrades+'!$AI$11,"C",IF(T332&lt;'PlayerGrades+'!$AI$10,"C+",IF(T332&lt;'PlayerGrades+'!$AI$9,"B-",IF(T332&lt;'PlayerGrades+'!$AI$8,"B",IF(T332&lt;'PlayerGrades+'!$AI$7,"B+",IF(T332&lt;'PlayerGrades+'!$AI$6,"A-",IF(T332&lt;'PlayerGrades+'!$AI$5,"A",IF(T332&lt;'PlayerGrades+'!$AI$4,"A+",IF(T332&lt;'PlayerGrades+'!$AI$3,"S-",IF(T332&lt;'PlayerGrades+'!$AI$2,"S","S+"))))))))))))))))))))</f>
        <v>F-</v>
      </c>
      <c r="AC332" s="1392"/>
    </row>
    <row r="333">
      <c r="A333" s="1391"/>
      <c r="B333" s="611" t="str">
        <f>IF(C333&lt;'PlayerGrades+'!$Y$44,"F-",IF(C333&lt;'PlayerGrades+'!$Y$43,"F",IF(C333&lt;'PlayerGrades+'!$Y$42,"F+",IF(C333&lt;'PlayerGrades+'!$Y$41,"E-",IF(C333&lt;'PlayerGrades+'!$Y$40,"E",IF(C333&lt;'PlayerGrades+'!$Y$39,"E+",IF(C333&lt;'PlayerGrades+'!$Y$38,"D-",IF(C333&lt;'PlayerGrades+'!$Y$37,"D",IF(C333&lt;'PlayerGrades+'!$Y$36,"D+",IF(C333&lt;'PlayerGrades+'!$Y$35,"C-",IF(C333&lt;'PlayerGrades+'!$Y$34,"C",IF(C333&lt;'PlayerGrades+'!$Y$33,"C+",IF(C333&lt;'PlayerGrades+'!$Y$32,"B-",IF(C333&lt;'PlayerGrades+'!$Y$31,"B",IF(C333&lt;'PlayerGrades+'!$Y$30,"B+",IF(C333&lt;'PlayerGrades+'!$Y$29,"A-",IF(C333&lt;'PlayerGrades+'!$Y$28,"A",IF(C333&lt;'PlayerGrades+'!$Y$27,"A+",IF(C333&lt;'PlayerGrades+'!$Y$26,"S-",IF(C333&lt;'PlayerGrades+'!$Y$25,"S","S+"))))))))))))))))))))</f>
        <v>#DIV/0!</v>
      </c>
      <c r="C333" s="1378" t="str">
        <f>('PlayerGrades+'!$Y$47*(VLOOKUP(E333, 'PlayerGrades+'!$X$3:$Y$23, 2, FALSE)))+('PlayerGrades+'!$Y$48*(VLOOKUP(G333, 'PlayerGrades+'!$X$3:$Y$23, 2, FALSE)))+('PlayerGrades+'!$Y$49*(VLOOKUP(I333, 'PlayerGrades+'!$X$3:$Y$23, 2, FALSE)))+('PlayerGrades+'!$Y$50*(VLOOKUP(K333, 'PlayerGrades+'!$X$3:$Y$23, 2, FALSE)))+('PlayerGrades+'!$Y$51*(VLOOKUP(M333, 'PlayerGrades+'!$X$3:$Y$23, 2, FALSE)))+('PlayerGrades+'!$Y$52*(VLOOKUP(O333, 'PlayerGrades+'!$X$3:$Y$23, 2, FALSE)))+('PlayerGrades+'!$Y$53*(VLOOKUP(Q333, 'PlayerGrades+'!$X$3:$Y$23, 2, FALSE)))+('PlayerGrades+'!$Y$54*(VLOOKUP(S333, 'PlayerGrades+'!$X$3:$Y$23, 2, FALSE)))+('PlayerGrades+'!$Y$55*(VLOOKUP(U333, 'PlayerGrades+'!$X$3:$Y$23, 2, FALSE)))</f>
        <v>#DIV/0!</v>
      </c>
      <c r="D333" s="961" t="str">
        <f t="shared" si="1"/>
        <v>#DIV/0!</v>
      </c>
      <c r="E333" s="961" t="str">
        <f>IF(D333&lt;'PlayerGrades+'!$AA$21,"F-",IF(D333&lt;'PlayerGrades+'!$AA$20,"F",IF(D333&lt;'PlayerGrades+'!$AA$19,"F+",IF(D333&lt;'PlayerGrades+'!$AA$18,"E-",IF(D333&lt;'PlayerGrades+'!$AA$17,"E",IF(D333&lt;'PlayerGrades+'!$AA$16,"E+",IF(D333&lt;'PlayerGrades+'!$AA$15,"D-",IF(D333&lt;'PlayerGrades+'!$AA$14,"D",IF(D333&lt;'PlayerGrades+'!$AA$13,"D+",IF(D333&lt;'PlayerGrades+'!$AA$12,"C-",IF(D333&lt;'PlayerGrades+'!$AA$11,"C",IF(D333&lt;'PlayerGrades+'!$AA$10,"C+",IF(D333&lt;'PlayerGrades+'!$AA$9,"B-",IF(D333&lt;'PlayerGrades+'!$AA$8,"B",IF(D333&lt;'PlayerGrades+'!$AA$7,"B+",IF(D333&lt;'PlayerGrades+'!$AA$6,"A-",IF(D333&lt;'PlayerGrades+'!$AA$5,"A",IF(D333&lt;'PlayerGrades+'!$AA$4,"A+",IF(D333&lt;'PlayerGrades+'!$AA$3,"S-",IF(D333&lt;'PlayerGrades+'!$AA$2,"S","S+"))))))))))))))))))))</f>
        <v>#DIV/0!</v>
      </c>
      <c r="F333" s="961" t="str">
        <f t="shared" si="2"/>
        <v>#DIV/0!</v>
      </c>
      <c r="G333" s="961" t="str">
        <f>IF(F333&lt;'PlayerGrades+'!$AB$21,"F-",IF(F333&lt;'PlayerGrades+'!$AB$20,"F",IF(F333&lt;'PlayerGrades+'!$AB$19,"F+",IF(F333&lt;'PlayerGrades+'!$AB$18,"E-",IF(F333&lt;'PlayerGrades+'!$AB$17,"E",IF(F333&lt;'PlayerGrades+'!$AB$16,"E+",IF(F333&lt;'PlayerGrades+'!$AB$15,"D-",IF(F333&lt;'PlayerGrades+'!$AB$14,"D",IF(F333&lt;'PlayerGrades+'!$AB$13,"D+",IF(F333&lt;'PlayerGrades+'!$AB$12,"C-",IF(F333&lt;'PlayerGrades+'!$AB$11,"C",IF(F333&lt;'PlayerGrades+'!$AB$10,"C+",IF(F333&lt;'PlayerGrades+'!$AB$9,"B-",IF(F333&lt;'PlayerGrades+'!$AB$8,"B",IF(F333&lt;'PlayerGrades+'!$AB$7,"B+",IF(F333&lt;'PlayerGrades+'!$AB$6,"A-",IF(F333&lt;'PlayerGrades+'!$AB$5,"A",IF(F333&lt;'PlayerGrades+'!$AB$4,"A+",IF(F333&lt;'PlayerGrades+'!$AB$3,"S-",IF(F333&lt;'PlayerGrades+'!$AB$2,"S","S+"))))))))))))))))))))</f>
        <v>#DIV/0!</v>
      </c>
      <c r="H333" s="961" t="str">
        <f t="shared" si="3"/>
        <v>#DIV/0!</v>
      </c>
      <c r="I333" s="961" t="str">
        <f>IF(H333&lt;'PlayerGrades+'!$AC$21,"F-",IF(H333&lt;'PlayerGrades+'!$AC$20,"F",IF(H333&lt;'PlayerGrades+'!$AC$19,"F+",IF(H333&lt;'PlayerGrades+'!$AC$18,"E-",IF(H333&lt;'PlayerGrades+'!$AC$17,"E",IF(H333&lt;'PlayerGrades+'!$AC$16,"E+",IF(H333&lt;'PlayerGrades+'!$AC$15,"D-",IF(H333&lt;'PlayerGrades+'!$AC$14,"D",IF(H333&lt;'PlayerGrades+'!$AC$13,"D+",IF(H333&lt;'PlayerGrades+'!$AC$12,"C-",IF(H333&lt;'PlayerGrades+'!$AC$11,"C",IF(H333&lt;'PlayerGrades+'!$AC$10,"C+",IF(H333&lt;'PlayerGrades+'!$AC$9,"B-",IF(H333&lt;'PlayerGrades+'!$AC$8,"B",IF(H333&lt;'PlayerGrades+'!$AC$7,"B+",IF(H333&lt;'PlayerGrades+'!$AC$6,"A-",IF(H333&lt;'PlayerGrades+'!$AC$5,"A",IF(H333&lt;'PlayerGrades+'!$AC$4,"A+",IF(H333&lt;'PlayerGrades+'!$AC$3,"S-",IF(H333&lt;'PlayerGrades+'!$AC$2,"S","S+"))))))))))))))))))))</f>
        <v>#DIV/0!</v>
      </c>
      <c r="J333" s="961" t="str">
        <f t="shared" si="4"/>
        <v>#DIV/0!</v>
      </c>
      <c r="K333" s="961" t="str">
        <f>IF(J333&lt;'PlayerGrades+'!$AD$21,"F-",IF(J333&lt;'PlayerGrades+'!$AD$20,"F",IF(J333&lt;'PlayerGrades+'!$AD$19,"F+",IF(J333&lt;'PlayerGrades+'!$AD$18,"E-",IF(J333&lt;'PlayerGrades+'!$AD$17,"E",IF(J333&lt;'PlayerGrades+'!$AD$16,"E+",IF(J333&lt;'PlayerGrades+'!$AD$15,"D-",IF(J333&lt;'PlayerGrades+'!$AD$14,"D",IF(J333&lt;'PlayerGrades+'!$AD$13,"D+",IF(J333&lt;'PlayerGrades+'!$AD$12,"C-",IF(J333&lt;'PlayerGrades+'!$AD$11,"C",IF(J333&lt;'PlayerGrades+'!$AD$10,"C+",IF(J333&lt;'PlayerGrades+'!$AD$9,"B-",IF(J333&lt;'PlayerGrades+'!$AD$8,"B",IF(J333&lt;'PlayerGrades+'!$AD$7,"B+",IF(J333&lt;'PlayerGrades+'!$AD$6,"A-",IF(J333&lt;'PlayerGrades+'!$AD$5,"A",IF(J333&lt;'PlayerGrades+'!$AD$4,"A+",IF(J333&lt;'PlayerGrades+'!$AD$3,"S-",IF(J333&lt;'PlayerGrades+'!$AD$2,"S","S+"))))))))))))))))))))</f>
        <v>#DIV/0!</v>
      </c>
      <c r="L333" s="1176" t="str">
        <f t="shared" si="5"/>
        <v>#DIV/0!</v>
      </c>
      <c r="M333" s="992" t="str">
        <f>IF(L333&lt;'PlayerGrades+'!$AE$21,"F-",IF(L333&lt;'PlayerGrades+'!$AE$20,"F",IF(L333&lt;'PlayerGrades+'!$AE$19,"F+",IF(L333&lt;'PlayerGrades+'!$AE$18,"E-",IF(L333&lt;'PlayerGrades+'!$AE$17,"E",IF(L333&lt;'PlayerGrades+'!$AE$16,"E+",IF(L333&lt;'PlayerGrades+'!$AE$15,"D-",IF(L333&lt;'PlayerGrades+'!$AE$14,"D",IF(L333&lt;'PlayerGrades+'!$AE$13,"D+",IF(L333&lt;'PlayerGrades+'!$AE$12,"C-",IF(L333&lt;'PlayerGrades+'!$AE$11,"C",IF(L333&lt;'PlayerGrades+'!$AE$10,"C+",IF(L333&lt;'PlayerGrades+'!$AE$9,"B-",IF(L333&lt;'PlayerGrades+'!$AE$8,"B",IF(L333&lt;'PlayerGrades+'!$AE$7,"B+",IF(L333&lt;'PlayerGrades+'!$AE$6,"A-",IF(L333&lt;'PlayerGrades+'!$AE$5,"A",IF(L333&lt;'PlayerGrades+'!$AE$4,"A+",IF(L333&lt;'PlayerGrades+'!$AE$3,"S-",IF(L333&lt;'PlayerGrades+'!$AE$2,"S","S+"))))))))))))))))))))</f>
        <v>#DIV/0!</v>
      </c>
      <c r="N333" s="961" t="str">
        <f t="shared" si="6"/>
        <v>#DIV/0!</v>
      </c>
      <c r="O333" s="961" t="str">
        <f>IF(N333&lt;'PlayerGrades+'!$AF$21,"F-",IF(N333&lt;'PlayerGrades+'!$AF$20,"F",IF(N333&lt;'PlayerGrades+'!$AF$19,"F+",IF(N333&lt;'PlayerGrades+'!$AF$18,"E-",IF(N333&lt;'PlayerGrades+'!$AF$17,"E",IF(N333&lt;'PlayerGrades+'!$AF$16,"E+",IF(N333&lt;'PlayerGrades+'!$AF$15,"D-",IF(N333&lt;'PlayerGrades+'!$AF$14,"D",IF(N333&lt;'PlayerGrades+'!$AF$13,"D+",IF(N333&lt;'PlayerGrades+'!$AF$12,"C-",IF(N333&lt;'PlayerGrades+'!$AF$11,"C",IF(N333&lt;'PlayerGrades+'!$AF$10,"C+",IF(N333&lt;'PlayerGrades+'!$AF$9,"B-",IF(N333&lt;'PlayerGrades+'!$AF$8,"B",IF(N333&lt;'PlayerGrades+'!$AF$7,"B+",IF(N333&lt;'PlayerGrades+'!$AF$6,"A-",IF(N333&lt;'PlayerGrades+'!$AF$5,"A",IF(N333&lt;'PlayerGrades+'!$AF$4,"A+",IF(N333&lt;'PlayerGrades+'!$AF$3,"S-",IF(N333&lt;'PlayerGrades+'!$AF$2,"S","S+"))))))))))))))))))))</f>
        <v>#DIV/0!</v>
      </c>
      <c r="P333" s="961" t="str">
        <f t="shared" si="7"/>
        <v>#DIV/0!</v>
      </c>
      <c r="Q333" s="961" t="str">
        <f>IF(P333&lt;'PlayerGrades+'!$AG$21,"F-",IF(P333&lt;'PlayerGrades+'!$AG$20,"F",IF(P333&lt;'PlayerGrades+'!$AG$19,"F+",IF(P333&lt;'PlayerGrades+'!$AG$18,"E-",IF(P333&lt;'PlayerGrades+'!$AG$17,"E",IF(P333&lt;'PlayerGrades+'!$AG$16,"E+",IF(P333&lt;'PlayerGrades+'!$AG$15,"D-",IF(P333&lt;'PlayerGrades+'!$AG$14,"D",IF(P333&lt;'PlayerGrades+'!$AG$13,"D+",IF(P333&lt;'PlayerGrades+'!$AG$12,"C-",IF(P333&lt;'PlayerGrades+'!$AG$11,"C",IF(P333&lt;'PlayerGrades+'!$AG$10,"C+",IF(P333&lt;'PlayerGrades+'!$AG$9,"B-",IF(P333&lt;'PlayerGrades+'!$AG$8,"B",IF(P333&lt;'PlayerGrades+'!$AG$7,"B+",IF(P333&lt;'PlayerGrades+'!$AG$6,"A-",IF(P333&lt;'PlayerGrades+'!$AG$5,"A",IF(P333&lt;'PlayerGrades+'!$AG$4,"A+",IF(P333&lt;'PlayerGrades+'!$AG$3,"S-",IF(P333&lt;'PlayerGrades+'!$AG$2,"S","S+"))))))))))))))))))))</f>
        <v>#DIV/0!</v>
      </c>
      <c r="R333" s="961" t="str">
        <f t="shared" si="8"/>
        <v>#DIV/0!</v>
      </c>
      <c r="S333" s="961" t="str">
        <f>IF(R333&lt;'PlayerGrades+'!$AH$21,"F-",IF(R333&lt;'PlayerGrades+'!$AH$20,"F",IF(R333&lt;'PlayerGrades+'!$AH$19,"F+",IF(R333&lt;'PlayerGrades+'!$AH$18,"E-",IF(R333&lt;'PlayerGrades+'!$AH$17,"E",IF(R333&lt;'PlayerGrades+'!$AH$16,"E+",IF(R333&lt;'PlayerGrades+'!$AH$15,"D-",IF(R333&lt;'PlayerGrades+'!$AH$14,"D",IF(R333&lt;'PlayerGrades+'!$AH$13,"D+",IF(R333&lt;'PlayerGrades+'!$AH$12,"C-",IF(R333&lt;'PlayerGrades+'!$AH$11,"C",IF(R333&lt;'PlayerGrades+'!$AH$10,"C+",IF(R333&lt;'PlayerGrades+'!$AH$9,"B-",IF(R333&lt;'PlayerGrades+'!$AH$8,"B",IF(R333&lt;'PlayerGrades+'!$AH$7,"B+",IF(R333&lt;'PlayerGrades+'!$AH$6,"A-",IF(R333&lt;'PlayerGrades+'!$AH$5,"A",IF(R333&lt;'PlayerGrades+'!$AH$4,"A+",IF(R333&lt;'PlayerGrades+'!$AH$3,"S-",IF(R333&lt;'PlayerGrades+'!$AH$2,"S","S+"))))))))))))))))))))</f>
        <v>#DIV/0!</v>
      </c>
      <c r="T333" s="961">
        <f t="shared" si="9"/>
        <v>0</v>
      </c>
      <c r="U333" s="961" t="str">
        <f>IF(T333&lt;'PlayerGrades+'!$AI$21,"F-",IF(T333&lt;'PlayerGrades+'!$AI$20,"F",IF(T333&lt;'PlayerGrades+'!$AI$19,"F+",IF(T333&lt;'PlayerGrades+'!$AI$18,"E-",IF(T333&lt;'PlayerGrades+'!$AI$17,"E",IF(T333&lt;'PlayerGrades+'!$AI$16,"E+",IF(T333&lt;'PlayerGrades+'!$AI$15,"D-",IF(T333&lt;'PlayerGrades+'!$AI$14,"D",IF(T333&lt;'PlayerGrades+'!$AI$13,"D+",IF(T333&lt;'PlayerGrades+'!$AI$12,"C-",IF(T333&lt;'PlayerGrades+'!$AI$11,"C",IF(T333&lt;'PlayerGrades+'!$AI$10,"C+",IF(T333&lt;'PlayerGrades+'!$AI$9,"B-",IF(T333&lt;'PlayerGrades+'!$AI$8,"B",IF(T333&lt;'PlayerGrades+'!$AI$7,"B+",IF(T333&lt;'PlayerGrades+'!$AI$6,"A-",IF(T333&lt;'PlayerGrades+'!$AI$5,"A",IF(T333&lt;'PlayerGrades+'!$AI$4,"A+",IF(T333&lt;'PlayerGrades+'!$AI$3,"S-",IF(T333&lt;'PlayerGrades+'!$AI$2,"S","S+"))))))))))))))))))))</f>
        <v>F-</v>
      </c>
      <c r="AC333" s="1392"/>
    </row>
    <row r="334">
      <c r="A334" s="1391"/>
      <c r="B334" s="611" t="str">
        <f>IF(C334&lt;'PlayerGrades+'!$Y$44,"F-",IF(C334&lt;'PlayerGrades+'!$Y$43,"F",IF(C334&lt;'PlayerGrades+'!$Y$42,"F+",IF(C334&lt;'PlayerGrades+'!$Y$41,"E-",IF(C334&lt;'PlayerGrades+'!$Y$40,"E",IF(C334&lt;'PlayerGrades+'!$Y$39,"E+",IF(C334&lt;'PlayerGrades+'!$Y$38,"D-",IF(C334&lt;'PlayerGrades+'!$Y$37,"D",IF(C334&lt;'PlayerGrades+'!$Y$36,"D+",IF(C334&lt;'PlayerGrades+'!$Y$35,"C-",IF(C334&lt;'PlayerGrades+'!$Y$34,"C",IF(C334&lt;'PlayerGrades+'!$Y$33,"C+",IF(C334&lt;'PlayerGrades+'!$Y$32,"B-",IF(C334&lt;'PlayerGrades+'!$Y$31,"B",IF(C334&lt;'PlayerGrades+'!$Y$30,"B+",IF(C334&lt;'PlayerGrades+'!$Y$29,"A-",IF(C334&lt;'PlayerGrades+'!$Y$28,"A",IF(C334&lt;'PlayerGrades+'!$Y$27,"A+",IF(C334&lt;'PlayerGrades+'!$Y$26,"S-",IF(C334&lt;'PlayerGrades+'!$Y$25,"S","S+"))))))))))))))))))))</f>
        <v>#DIV/0!</v>
      </c>
      <c r="C334" s="1378" t="str">
        <f>('PlayerGrades+'!$Y$47*(VLOOKUP(E334, 'PlayerGrades+'!$X$3:$Y$23, 2, FALSE)))+('PlayerGrades+'!$Y$48*(VLOOKUP(G334, 'PlayerGrades+'!$X$3:$Y$23, 2, FALSE)))+('PlayerGrades+'!$Y$49*(VLOOKUP(I334, 'PlayerGrades+'!$X$3:$Y$23, 2, FALSE)))+('PlayerGrades+'!$Y$50*(VLOOKUP(K334, 'PlayerGrades+'!$X$3:$Y$23, 2, FALSE)))+('PlayerGrades+'!$Y$51*(VLOOKUP(M334, 'PlayerGrades+'!$X$3:$Y$23, 2, FALSE)))+('PlayerGrades+'!$Y$52*(VLOOKUP(O334, 'PlayerGrades+'!$X$3:$Y$23, 2, FALSE)))+('PlayerGrades+'!$Y$53*(VLOOKUP(Q334, 'PlayerGrades+'!$X$3:$Y$23, 2, FALSE)))+('PlayerGrades+'!$Y$54*(VLOOKUP(S334, 'PlayerGrades+'!$X$3:$Y$23, 2, FALSE)))+('PlayerGrades+'!$Y$55*(VLOOKUP(U334, 'PlayerGrades+'!$X$3:$Y$23, 2, FALSE)))</f>
        <v>#DIV/0!</v>
      </c>
      <c r="D334" s="961" t="str">
        <f t="shared" si="1"/>
        <v>#DIV/0!</v>
      </c>
      <c r="E334" s="961" t="str">
        <f>IF(D334&lt;'PlayerGrades+'!$AA$21,"F-",IF(D334&lt;'PlayerGrades+'!$AA$20,"F",IF(D334&lt;'PlayerGrades+'!$AA$19,"F+",IF(D334&lt;'PlayerGrades+'!$AA$18,"E-",IF(D334&lt;'PlayerGrades+'!$AA$17,"E",IF(D334&lt;'PlayerGrades+'!$AA$16,"E+",IF(D334&lt;'PlayerGrades+'!$AA$15,"D-",IF(D334&lt;'PlayerGrades+'!$AA$14,"D",IF(D334&lt;'PlayerGrades+'!$AA$13,"D+",IF(D334&lt;'PlayerGrades+'!$AA$12,"C-",IF(D334&lt;'PlayerGrades+'!$AA$11,"C",IF(D334&lt;'PlayerGrades+'!$AA$10,"C+",IF(D334&lt;'PlayerGrades+'!$AA$9,"B-",IF(D334&lt;'PlayerGrades+'!$AA$8,"B",IF(D334&lt;'PlayerGrades+'!$AA$7,"B+",IF(D334&lt;'PlayerGrades+'!$AA$6,"A-",IF(D334&lt;'PlayerGrades+'!$AA$5,"A",IF(D334&lt;'PlayerGrades+'!$AA$4,"A+",IF(D334&lt;'PlayerGrades+'!$AA$3,"S-",IF(D334&lt;'PlayerGrades+'!$AA$2,"S","S+"))))))))))))))))))))</f>
        <v>#DIV/0!</v>
      </c>
      <c r="F334" s="961" t="str">
        <f t="shared" si="2"/>
        <v>#DIV/0!</v>
      </c>
      <c r="G334" s="961" t="str">
        <f>IF(F334&lt;'PlayerGrades+'!$AB$21,"F-",IF(F334&lt;'PlayerGrades+'!$AB$20,"F",IF(F334&lt;'PlayerGrades+'!$AB$19,"F+",IF(F334&lt;'PlayerGrades+'!$AB$18,"E-",IF(F334&lt;'PlayerGrades+'!$AB$17,"E",IF(F334&lt;'PlayerGrades+'!$AB$16,"E+",IF(F334&lt;'PlayerGrades+'!$AB$15,"D-",IF(F334&lt;'PlayerGrades+'!$AB$14,"D",IF(F334&lt;'PlayerGrades+'!$AB$13,"D+",IF(F334&lt;'PlayerGrades+'!$AB$12,"C-",IF(F334&lt;'PlayerGrades+'!$AB$11,"C",IF(F334&lt;'PlayerGrades+'!$AB$10,"C+",IF(F334&lt;'PlayerGrades+'!$AB$9,"B-",IF(F334&lt;'PlayerGrades+'!$AB$8,"B",IF(F334&lt;'PlayerGrades+'!$AB$7,"B+",IF(F334&lt;'PlayerGrades+'!$AB$6,"A-",IF(F334&lt;'PlayerGrades+'!$AB$5,"A",IF(F334&lt;'PlayerGrades+'!$AB$4,"A+",IF(F334&lt;'PlayerGrades+'!$AB$3,"S-",IF(F334&lt;'PlayerGrades+'!$AB$2,"S","S+"))))))))))))))))))))</f>
        <v>#DIV/0!</v>
      </c>
      <c r="H334" s="961" t="str">
        <f t="shared" si="3"/>
        <v>#DIV/0!</v>
      </c>
      <c r="I334" s="961" t="str">
        <f>IF(H334&lt;'PlayerGrades+'!$AC$21,"F-",IF(H334&lt;'PlayerGrades+'!$AC$20,"F",IF(H334&lt;'PlayerGrades+'!$AC$19,"F+",IF(H334&lt;'PlayerGrades+'!$AC$18,"E-",IF(H334&lt;'PlayerGrades+'!$AC$17,"E",IF(H334&lt;'PlayerGrades+'!$AC$16,"E+",IF(H334&lt;'PlayerGrades+'!$AC$15,"D-",IF(H334&lt;'PlayerGrades+'!$AC$14,"D",IF(H334&lt;'PlayerGrades+'!$AC$13,"D+",IF(H334&lt;'PlayerGrades+'!$AC$12,"C-",IF(H334&lt;'PlayerGrades+'!$AC$11,"C",IF(H334&lt;'PlayerGrades+'!$AC$10,"C+",IF(H334&lt;'PlayerGrades+'!$AC$9,"B-",IF(H334&lt;'PlayerGrades+'!$AC$8,"B",IF(H334&lt;'PlayerGrades+'!$AC$7,"B+",IF(H334&lt;'PlayerGrades+'!$AC$6,"A-",IF(H334&lt;'PlayerGrades+'!$AC$5,"A",IF(H334&lt;'PlayerGrades+'!$AC$4,"A+",IF(H334&lt;'PlayerGrades+'!$AC$3,"S-",IF(H334&lt;'PlayerGrades+'!$AC$2,"S","S+"))))))))))))))))))))</f>
        <v>#DIV/0!</v>
      </c>
      <c r="J334" s="961" t="str">
        <f t="shared" si="4"/>
        <v>#DIV/0!</v>
      </c>
      <c r="K334" s="961" t="str">
        <f>IF(J334&lt;'PlayerGrades+'!$AD$21,"F-",IF(J334&lt;'PlayerGrades+'!$AD$20,"F",IF(J334&lt;'PlayerGrades+'!$AD$19,"F+",IF(J334&lt;'PlayerGrades+'!$AD$18,"E-",IF(J334&lt;'PlayerGrades+'!$AD$17,"E",IF(J334&lt;'PlayerGrades+'!$AD$16,"E+",IF(J334&lt;'PlayerGrades+'!$AD$15,"D-",IF(J334&lt;'PlayerGrades+'!$AD$14,"D",IF(J334&lt;'PlayerGrades+'!$AD$13,"D+",IF(J334&lt;'PlayerGrades+'!$AD$12,"C-",IF(J334&lt;'PlayerGrades+'!$AD$11,"C",IF(J334&lt;'PlayerGrades+'!$AD$10,"C+",IF(J334&lt;'PlayerGrades+'!$AD$9,"B-",IF(J334&lt;'PlayerGrades+'!$AD$8,"B",IF(J334&lt;'PlayerGrades+'!$AD$7,"B+",IF(J334&lt;'PlayerGrades+'!$AD$6,"A-",IF(J334&lt;'PlayerGrades+'!$AD$5,"A",IF(J334&lt;'PlayerGrades+'!$AD$4,"A+",IF(J334&lt;'PlayerGrades+'!$AD$3,"S-",IF(J334&lt;'PlayerGrades+'!$AD$2,"S","S+"))))))))))))))))))))</f>
        <v>#DIV/0!</v>
      </c>
      <c r="L334" s="1176" t="str">
        <f t="shared" si="5"/>
        <v>#DIV/0!</v>
      </c>
      <c r="M334" s="992" t="str">
        <f>IF(L334&lt;'PlayerGrades+'!$AE$21,"F-",IF(L334&lt;'PlayerGrades+'!$AE$20,"F",IF(L334&lt;'PlayerGrades+'!$AE$19,"F+",IF(L334&lt;'PlayerGrades+'!$AE$18,"E-",IF(L334&lt;'PlayerGrades+'!$AE$17,"E",IF(L334&lt;'PlayerGrades+'!$AE$16,"E+",IF(L334&lt;'PlayerGrades+'!$AE$15,"D-",IF(L334&lt;'PlayerGrades+'!$AE$14,"D",IF(L334&lt;'PlayerGrades+'!$AE$13,"D+",IF(L334&lt;'PlayerGrades+'!$AE$12,"C-",IF(L334&lt;'PlayerGrades+'!$AE$11,"C",IF(L334&lt;'PlayerGrades+'!$AE$10,"C+",IF(L334&lt;'PlayerGrades+'!$AE$9,"B-",IF(L334&lt;'PlayerGrades+'!$AE$8,"B",IF(L334&lt;'PlayerGrades+'!$AE$7,"B+",IF(L334&lt;'PlayerGrades+'!$AE$6,"A-",IF(L334&lt;'PlayerGrades+'!$AE$5,"A",IF(L334&lt;'PlayerGrades+'!$AE$4,"A+",IF(L334&lt;'PlayerGrades+'!$AE$3,"S-",IF(L334&lt;'PlayerGrades+'!$AE$2,"S","S+"))))))))))))))))))))</f>
        <v>#DIV/0!</v>
      </c>
      <c r="N334" s="961" t="str">
        <f t="shared" si="6"/>
        <v>#DIV/0!</v>
      </c>
      <c r="O334" s="961" t="str">
        <f>IF(N334&lt;'PlayerGrades+'!$AF$21,"F-",IF(N334&lt;'PlayerGrades+'!$AF$20,"F",IF(N334&lt;'PlayerGrades+'!$AF$19,"F+",IF(N334&lt;'PlayerGrades+'!$AF$18,"E-",IF(N334&lt;'PlayerGrades+'!$AF$17,"E",IF(N334&lt;'PlayerGrades+'!$AF$16,"E+",IF(N334&lt;'PlayerGrades+'!$AF$15,"D-",IF(N334&lt;'PlayerGrades+'!$AF$14,"D",IF(N334&lt;'PlayerGrades+'!$AF$13,"D+",IF(N334&lt;'PlayerGrades+'!$AF$12,"C-",IF(N334&lt;'PlayerGrades+'!$AF$11,"C",IF(N334&lt;'PlayerGrades+'!$AF$10,"C+",IF(N334&lt;'PlayerGrades+'!$AF$9,"B-",IF(N334&lt;'PlayerGrades+'!$AF$8,"B",IF(N334&lt;'PlayerGrades+'!$AF$7,"B+",IF(N334&lt;'PlayerGrades+'!$AF$6,"A-",IF(N334&lt;'PlayerGrades+'!$AF$5,"A",IF(N334&lt;'PlayerGrades+'!$AF$4,"A+",IF(N334&lt;'PlayerGrades+'!$AF$3,"S-",IF(N334&lt;'PlayerGrades+'!$AF$2,"S","S+"))))))))))))))))))))</f>
        <v>#DIV/0!</v>
      </c>
      <c r="P334" s="961" t="str">
        <f t="shared" si="7"/>
        <v>#DIV/0!</v>
      </c>
      <c r="Q334" s="961" t="str">
        <f>IF(P334&lt;'PlayerGrades+'!$AG$21,"F-",IF(P334&lt;'PlayerGrades+'!$AG$20,"F",IF(P334&lt;'PlayerGrades+'!$AG$19,"F+",IF(P334&lt;'PlayerGrades+'!$AG$18,"E-",IF(P334&lt;'PlayerGrades+'!$AG$17,"E",IF(P334&lt;'PlayerGrades+'!$AG$16,"E+",IF(P334&lt;'PlayerGrades+'!$AG$15,"D-",IF(P334&lt;'PlayerGrades+'!$AG$14,"D",IF(P334&lt;'PlayerGrades+'!$AG$13,"D+",IF(P334&lt;'PlayerGrades+'!$AG$12,"C-",IF(P334&lt;'PlayerGrades+'!$AG$11,"C",IF(P334&lt;'PlayerGrades+'!$AG$10,"C+",IF(P334&lt;'PlayerGrades+'!$AG$9,"B-",IF(P334&lt;'PlayerGrades+'!$AG$8,"B",IF(P334&lt;'PlayerGrades+'!$AG$7,"B+",IF(P334&lt;'PlayerGrades+'!$AG$6,"A-",IF(P334&lt;'PlayerGrades+'!$AG$5,"A",IF(P334&lt;'PlayerGrades+'!$AG$4,"A+",IF(P334&lt;'PlayerGrades+'!$AG$3,"S-",IF(P334&lt;'PlayerGrades+'!$AG$2,"S","S+"))))))))))))))))))))</f>
        <v>#DIV/0!</v>
      </c>
      <c r="R334" s="961" t="str">
        <f t="shared" si="8"/>
        <v>#DIV/0!</v>
      </c>
      <c r="S334" s="961" t="str">
        <f>IF(R334&lt;'PlayerGrades+'!$AH$21,"F-",IF(R334&lt;'PlayerGrades+'!$AH$20,"F",IF(R334&lt;'PlayerGrades+'!$AH$19,"F+",IF(R334&lt;'PlayerGrades+'!$AH$18,"E-",IF(R334&lt;'PlayerGrades+'!$AH$17,"E",IF(R334&lt;'PlayerGrades+'!$AH$16,"E+",IF(R334&lt;'PlayerGrades+'!$AH$15,"D-",IF(R334&lt;'PlayerGrades+'!$AH$14,"D",IF(R334&lt;'PlayerGrades+'!$AH$13,"D+",IF(R334&lt;'PlayerGrades+'!$AH$12,"C-",IF(R334&lt;'PlayerGrades+'!$AH$11,"C",IF(R334&lt;'PlayerGrades+'!$AH$10,"C+",IF(R334&lt;'PlayerGrades+'!$AH$9,"B-",IF(R334&lt;'PlayerGrades+'!$AH$8,"B",IF(R334&lt;'PlayerGrades+'!$AH$7,"B+",IF(R334&lt;'PlayerGrades+'!$AH$6,"A-",IF(R334&lt;'PlayerGrades+'!$AH$5,"A",IF(R334&lt;'PlayerGrades+'!$AH$4,"A+",IF(R334&lt;'PlayerGrades+'!$AH$3,"S-",IF(R334&lt;'PlayerGrades+'!$AH$2,"S","S+"))))))))))))))))))))</f>
        <v>#DIV/0!</v>
      </c>
      <c r="T334" s="961">
        <f t="shared" si="9"/>
        <v>0</v>
      </c>
      <c r="U334" s="961" t="str">
        <f>IF(T334&lt;'PlayerGrades+'!$AI$21,"F-",IF(T334&lt;'PlayerGrades+'!$AI$20,"F",IF(T334&lt;'PlayerGrades+'!$AI$19,"F+",IF(T334&lt;'PlayerGrades+'!$AI$18,"E-",IF(T334&lt;'PlayerGrades+'!$AI$17,"E",IF(T334&lt;'PlayerGrades+'!$AI$16,"E+",IF(T334&lt;'PlayerGrades+'!$AI$15,"D-",IF(T334&lt;'PlayerGrades+'!$AI$14,"D",IF(T334&lt;'PlayerGrades+'!$AI$13,"D+",IF(T334&lt;'PlayerGrades+'!$AI$12,"C-",IF(T334&lt;'PlayerGrades+'!$AI$11,"C",IF(T334&lt;'PlayerGrades+'!$AI$10,"C+",IF(T334&lt;'PlayerGrades+'!$AI$9,"B-",IF(T334&lt;'PlayerGrades+'!$AI$8,"B",IF(T334&lt;'PlayerGrades+'!$AI$7,"B+",IF(T334&lt;'PlayerGrades+'!$AI$6,"A-",IF(T334&lt;'PlayerGrades+'!$AI$5,"A",IF(T334&lt;'PlayerGrades+'!$AI$4,"A+",IF(T334&lt;'PlayerGrades+'!$AI$3,"S-",IF(T334&lt;'PlayerGrades+'!$AI$2,"S","S+"))))))))))))))))))))</f>
        <v>F-</v>
      </c>
      <c r="AC334" s="1392"/>
    </row>
    <row r="335">
      <c r="A335" s="1391"/>
      <c r="B335" s="611" t="str">
        <f>IF(C335&lt;'PlayerGrades+'!$Y$44,"F-",IF(C335&lt;'PlayerGrades+'!$Y$43,"F",IF(C335&lt;'PlayerGrades+'!$Y$42,"F+",IF(C335&lt;'PlayerGrades+'!$Y$41,"E-",IF(C335&lt;'PlayerGrades+'!$Y$40,"E",IF(C335&lt;'PlayerGrades+'!$Y$39,"E+",IF(C335&lt;'PlayerGrades+'!$Y$38,"D-",IF(C335&lt;'PlayerGrades+'!$Y$37,"D",IF(C335&lt;'PlayerGrades+'!$Y$36,"D+",IF(C335&lt;'PlayerGrades+'!$Y$35,"C-",IF(C335&lt;'PlayerGrades+'!$Y$34,"C",IF(C335&lt;'PlayerGrades+'!$Y$33,"C+",IF(C335&lt;'PlayerGrades+'!$Y$32,"B-",IF(C335&lt;'PlayerGrades+'!$Y$31,"B",IF(C335&lt;'PlayerGrades+'!$Y$30,"B+",IF(C335&lt;'PlayerGrades+'!$Y$29,"A-",IF(C335&lt;'PlayerGrades+'!$Y$28,"A",IF(C335&lt;'PlayerGrades+'!$Y$27,"A+",IF(C335&lt;'PlayerGrades+'!$Y$26,"S-",IF(C335&lt;'PlayerGrades+'!$Y$25,"S","S+"))))))))))))))))))))</f>
        <v>#DIV/0!</v>
      </c>
      <c r="C335" s="1378" t="str">
        <f>('PlayerGrades+'!$Y$47*(VLOOKUP(E335, 'PlayerGrades+'!$X$3:$Y$23, 2, FALSE)))+('PlayerGrades+'!$Y$48*(VLOOKUP(G335, 'PlayerGrades+'!$X$3:$Y$23, 2, FALSE)))+('PlayerGrades+'!$Y$49*(VLOOKUP(I335, 'PlayerGrades+'!$X$3:$Y$23, 2, FALSE)))+('PlayerGrades+'!$Y$50*(VLOOKUP(K335, 'PlayerGrades+'!$X$3:$Y$23, 2, FALSE)))+('PlayerGrades+'!$Y$51*(VLOOKUP(M335, 'PlayerGrades+'!$X$3:$Y$23, 2, FALSE)))+('PlayerGrades+'!$Y$52*(VLOOKUP(O335, 'PlayerGrades+'!$X$3:$Y$23, 2, FALSE)))+('PlayerGrades+'!$Y$53*(VLOOKUP(Q335, 'PlayerGrades+'!$X$3:$Y$23, 2, FALSE)))+('PlayerGrades+'!$Y$54*(VLOOKUP(S335, 'PlayerGrades+'!$X$3:$Y$23, 2, FALSE)))+('PlayerGrades+'!$Y$55*(VLOOKUP(U335, 'PlayerGrades+'!$X$3:$Y$23, 2, FALSE)))</f>
        <v>#DIV/0!</v>
      </c>
      <c r="D335" s="961" t="str">
        <f t="shared" si="1"/>
        <v>#DIV/0!</v>
      </c>
      <c r="E335" s="961" t="str">
        <f>IF(D335&lt;'PlayerGrades+'!$AA$21,"F-",IF(D335&lt;'PlayerGrades+'!$AA$20,"F",IF(D335&lt;'PlayerGrades+'!$AA$19,"F+",IF(D335&lt;'PlayerGrades+'!$AA$18,"E-",IF(D335&lt;'PlayerGrades+'!$AA$17,"E",IF(D335&lt;'PlayerGrades+'!$AA$16,"E+",IF(D335&lt;'PlayerGrades+'!$AA$15,"D-",IF(D335&lt;'PlayerGrades+'!$AA$14,"D",IF(D335&lt;'PlayerGrades+'!$AA$13,"D+",IF(D335&lt;'PlayerGrades+'!$AA$12,"C-",IF(D335&lt;'PlayerGrades+'!$AA$11,"C",IF(D335&lt;'PlayerGrades+'!$AA$10,"C+",IF(D335&lt;'PlayerGrades+'!$AA$9,"B-",IF(D335&lt;'PlayerGrades+'!$AA$8,"B",IF(D335&lt;'PlayerGrades+'!$AA$7,"B+",IF(D335&lt;'PlayerGrades+'!$AA$6,"A-",IF(D335&lt;'PlayerGrades+'!$AA$5,"A",IF(D335&lt;'PlayerGrades+'!$AA$4,"A+",IF(D335&lt;'PlayerGrades+'!$AA$3,"S-",IF(D335&lt;'PlayerGrades+'!$AA$2,"S","S+"))))))))))))))))))))</f>
        <v>#DIV/0!</v>
      </c>
      <c r="F335" s="961" t="str">
        <f t="shared" si="2"/>
        <v>#DIV/0!</v>
      </c>
      <c r="G335" s="961" t="str">
        <f>IF(F335&lt;'PlayerGrades+'!$AB$21,"F-",IF(F335&lt;'PlayerGrades+'!$AB$20,"F",IF(F335&lt;'PlayerGrades+'!$AB$19,"F+",IF(F335&lt;'PlayerGrades+'!$AB$18,"E-",IF(F335&lt;'PlayerGrades+'!$AB$17,"E",IF(F335&lt;'PlayerGrades+'!$AB$16,"E+",IF(F335&lt;'PlayerGrades+'!$AB$15,"D-",IF(F335&lt;'PlayerGrades+'!$AB$14,"D",IF(F335&lt;'PlayerGrades+'!$AB$13,"D+",IF(F335&lt;'PlayerGrades+'!$AB$12,"C-",IF(F335&lt;'PlayerGrades+'!$AB$11,"C",IF(F335&lt;'PlayerGrades+'!$AB$10,"C+",IF(F335&lt;'PlayerGrades+'!$AB$9,"B-",IF(F335&lt;'PlayerGrades+'!$AB$8,"B",IF(F335&lt;'PlayerGrades+'!$AB$7,"B+",IF(F335&lt;'PlayerGrades+'!$AB$6,"A-",IF(F335&lt;'PlayerGrades+'!$AB$5,"A",IF(F335&lt;'PlayerGrades+'!$AB$4,"A+",IF(F335&lt;'PlayerGrades+'!$AB$3,"S-",IF(F335&lt;'PlayerGrades+'!$AB$2,"S","S+"))))))))))))))))))))</f>
        <v>#DIV/0!</v>
      </c>
      <c r="H335" s="961" t="str">
        <f t="shared" si="3"/>
        <v>#DIV/0!</v>
      </c>
      <c r="I335" s="961" t="str">
        <f>IF(H335&lt;'PlayerGrades+'!$AC$21,"F-",IF(H335&lt;'PlayerGrades+'!$AC$20,"F",IF(H335&lt;'PlayerGrades+'!$AC$19,"F+",IF(H335&lt;'PlayerGrades+'!$AC$18,"E-",IF(H335&lt;'PlayerGrades+'!$AC$17,"E",IF(H335&lt;'PlayerGrades+'!$AC$16,"E+",IF(H335&lt;'PlayerGrades+'!$AC$15,"D-",IF(H335&lt;'PlayerGrades+'!$AC$14,"D",IF(H335&lt;'PlayerGrades+'!$AC$13,"D+",IF(H335&lt;'PlayerGrades+'!$AC$12,"C-",IF(H335&lt;'PlayerGrades+'!$AC$11,"C",IF(H335&lt;'PlayerGrades+'!$AC$10,"C+",IF(H335&lt;'PlayerGrades+'!$AC$9,"B-",IF(H335&lt;'PlayerGrades+'!$AC$8,"B",IF(H335&lt;'PlayerGrades+'!$AC$7,"B+",IF(H335&lt;'PlayerGrades+'!$AC$6,"A-",IF(H335&lt;'PlayerGrades+'!$AC$5,"A",IF(H335&lt;'PlayerGrades+'!$AC$4,"A+",IF(H335&lt;'PlayerGrades+'!$AC$3,"S-",IF(H335&lt;'PlayerGrades+'!$AC$2,"S","S+"))))))))))))))))))))</f>
        <v>#DIV/0!</v>
      </c>
      <c r="J335" s="961" t="str">
        <f t="shared" si="4"/>
        <v>#DIV/0!</v>
      </c>
      <c r="K335" s="961" t="str">
        <f>IF(J335&lt;'PlayerGrades+'!$AD$21,"F-",IF(J335&lt;'PlayerGrades+'!$AD$20,"F",IF(J335&lt;'PlayerGrades+'!$AD$19,"F+",IF(J335&lt;'PlayerGrades+'!$AD$18,"E-",IF(J335&lt;'PlayerGrades+'!$AD$17,"E",IF(J335&lt;'PlayerGrades+'!$AD$16,"E+",IF(J335&lt;'PlayerGrades+'!$AD$15,"D-",IF(J335&lt;'PlayerGrades+'!$AD$14,"D",IF(J335&lt;'PlayerGrades+'!$AD$13,"D+",IF(J335&lt;'PlayerGrades+'!$AD$12,"C-",IF(J335&lt;'PlayerGrades+'!$AD$11,"C",IF(J335&lt;'PlayerGrades+'!$AD$10,"C+",IF(J335&lt;'PlayerGrades+'!$AD$9,"B-",IF(J335&lt;'PlayerGrades+'!$AD$8,"B",IF(J335&lt;'PlayerGrades+'!$AD$7,"B+",IF(J335&lt;'PlayerGrades+'!$AD$6,"A-",IF(J335&lt;'PlayerGrades+'!$AD$5,"A",IF(J335&lt;'PlayerGrades+'!$AD$4,"A+",IF(J335&lt;'PlayerGrades+'!$AD$3,"S-",IF(J335&lt;'PlayerGrades+'!$AD$2,"S","S+"))))))))))))))))))))</f>
        <v>#DIV/0!</v>
      </c>
      <c r="L335" s="1176" t="str">
        <f t="shared" si="5"/>
        <v>#DIV/0!</v>
      </c>
      <c r="M335" s="992" t="str">
        <f>IF(L335&lt;'PlayerGrades+'!$AE$21,"F-",IF(L335&lt;'PlayerGrades+'!$AE$20,"F",IF(L335&lt;'PlayerGrades+'!$AE$19,"F+",IF(L335&lt;'PlayerGrades+'!$AE$18,"E-",IF(L335&lt;'PlayerGrades+'!$AE$17,"E",IF(L335&lt;'PlayerGrades+'!$AE$16,"E+",IF(L335&lt;'PlayerGrades+'!$AE$15,"D-",IF(L335&lt;'PlayerGrades+'!$AE$14,"D",IF(L335&lt;'PlayerGrades+'!$AE$13,"D+",IF(L335&lt;'PlayerGrades+'!$AE$12,"C-",IF(L335&lt;'PlayerGrades+'!$AE$11,"C",IF(L335&lt;'PlayerGrades+'!$AE$10,"C+",IF(L335&lt;'PlayerGrades+'!$AE$9,"B-",IF(L335&lt;'PlayerGrades+'!$AE$8,"B",IF(L335&lt;'PlayerGrades+'!$AE$7,"B+",IF(L335&lt;'PlayerGrades+'!$AE$6,"A-",IF(L335&lt;'PlayerGrades+'!$AE$5,"A",IF(L335&lt;'PlayerGrades+'!$AE$4,"A+",IF(L335&lt;'PlayerGrades+'!$AE$3,"S-",IF(L335&lt;'PlayerGrades+'!$AE$2,"S","S+"))))))))))))))))))))</f>
        <v>#DIV/0!</v>
      </c>
      <c r="N335" s="961" t="str">
        <f t="shared" si="6"/>
        <v>#DIV/0!</v>
      </c>
      <c r="O335" s="961" t="str">
        <f>IF(N335&lt;'PlayerGrades+'!$AF$21,"F-",IF(N335&lt;'PlayerGrades+'!$AF$20,"F",IF(N335&lt;'PlayerGrades+'!$AF$19,"F+",IF(N335&lt;'PlayerGrades+'!$AF$18,"E-",IF(N335&lt;'PlayerGrades+'!$AF$17,"E",IF(N335&lt;'PlayerGrades+'!$AF$16,"E+",IF(N335&lt;'PlayerGrades+'!$AF$15,"D-",IF(N335&lt;'PlayerGrades+'!$AF$14,"D",IF(N335&lt;'PlayerGrades+'!$AF$13,"D+",IF(N335&lt;'PlayerGrades+'!$AF$12,"C-",IF(N335&lt;'PlayerGrades+'!$AF$11,"C",IF(N335&lt;'PlayerGrades+'!$AF$10,"C+",IF(N335&lt;'PlayerGrades+'!$AF$9,"B-",IF(N335&lt;'PlayerGrades+'!$AF$8,"B",IF(N335&lt;'PlayerGrades+'!$AF$7,"B+",IF(N335&lt;'PlayerGrades+'!$AF$6,"A-",IF(N335&lt;'PlayerGrades+'!$AF$5,"A",IF(N335&lt;'PlayerGrades+'!$AF$4,"A+",IF(N335&lt;'PlayerGrades+'!$AF$3,"S-",IF(N335&lt;'PlayerGrades+'!$AF$2,"S","S+"))))))))))))))))))))</f>
        <v>#DIV/0!</v>
      </c>
      <c r="P335" s="961" t="str">
        <f t="shared" si="7"/>
        <v>#DIV/0!</v>
      </c>
      <c r="Q335" s="961" t="str">
        <f>IF(P335&lt;'PlayerGrades+'!$AG$21,"F-",IF(P335&lt;'PlayerGrades+'!$AG$20,"F",IF(P335&lt;'PlayerGrades+'!$AG$19,"F+",IF(P335&lt;'PlayerGrades+'!$AG$18,"E-",IF(P335&lt;'PlayerGrades+'!$AG$17,"E",IF(P335&lt;'PlayerGrades+'!$AG$16,"E+",IF(P335&lt;'PlayerGrades+'!$AG$15,"D-",IF(P335&lt;'PlayerGrades+'!$AG$14,"D",IF(P335&lt;'PlayerGrades+'!$AG$13,"D+",IF(P335&lt;'PlayerGrades+'!$AG$12,"C-",IF(P335&lt;'PlayerGrades+'!$AG$11,"C",IF(P335&lt;'PlayerGrades+'!$AG$10,"C+",IF(P335&lt;'PlayerGrades+'!$AG$9,"B-",IF(P335&lt;'PlayerGrades+'!$AG$8,"B",IF(P335&lt;'PlayerGrades+'!$AG$7,"B+",IF(P335&lt;'PlayerGrades+'!$AG$6,"A-",IF(P335&lt;'PlayerGrades+'!$AG$5,"A",IF(P335&lt;'PlayerGrades+'!$AG$4,"A+",IF(P335&lt;'PlayerGrades+'!$AG$3,"S-",IF(P335&lt;'PlayerGrades+'!$AG$2,"S","S+"))))))))))))))))))))</f>
        <v>#DIV/0!</v>
      </c>
      <c r="R335" s="961" t="str">
        <f t="shared" si="8"/>
        <v>#DIV/0!</v>
      </c>
      <c r="S335" s="961" t="str">
        <f>IF(R335&lt;'PlayerGrades+'!$AH$21,"F-",IF(R335&lt;'PlayerGrades+'!$AH$20,"F",IF(R335&lt;'PlayerGrades+'!$AH$19,"F+",IF(R335&lt;'PlayerGrades+'!$AH$18,"E-",IF(R335&lt;'PlayerGrades+'!$AH$17,"E",IF(R335&lt;'PlayerGrades+'!$AH$16,"E+",IF(R335&lt;'PlayerGrades+'!$AH$15,"D-",IF(R335&lt;'PlayerGrades+'!$AH$14,"D",IF(R335&lt;'PlayerGrades+'!$AH$13,"D+",IF(R335&lt;'PlayerGrades+'!$AH$12,"C-",IF(R335&lt;'PlayerGrades+'!$AH$11,"C",IF(R335&lt;'PlayerGrades+'!$AH$10,"C+",IF(R335&lt;'PlayerGrades+'!$AH$9,"B-",IF(R335&lt;'PlayerGrades+'!$AH$8,"B",IF(R335&lt;'PlayerGrades+'!$AH$7,"B+",IF(R335&lt;'PlayerGrades+'!$AH$6,"A-",IF(R335&lt;'PlayerGrades+'!$AH$5,"A",IF(R335&lt;'PlayerGrades+'!$AH$4,"A+",IF(R335&lt;'PlayerGrades+'!$AH$3,"S-",IF(R335&lt;'PlayerGrades+'!$AH$2,"S","S+"))))))))))))))))))))</f>
        <v>#DIV/0!</v>
      </c>
      <c r="T335" s="961">
        <f t="shared" si="9"/>
        <v>0</v>
      </c>
      <c r="U335" s="961" t="str">
        <f>IF(T335&lt;'PlayerGrades+'!$AI$21,"F-",IF(T335&lt;'PlayerGrades+'!$AI$20,"F",IF(T335&lt;'PlayerGrades+'!$AI$19,"F+",IF(T335&lt;'PlayerGrades+'!$AI$18,"E-",IF(T335&lt;'PlayerGrades+'!$AI$17,"E",IF(T335&lt;'PlayerGrades+'!$AI$16,"E+",IF(T335&lt;'PlayerGrades+'!$AI$15,"D-",IF(T335&lt;'PlayerGrades+'!$AI$14,"D",IF(T335&lt;'PlayerGrades+'!$AI$13,"D+",IF(T335&lt;'PlayerGrades+'!$AI$12,"C-",IF(T335&lt;'PlayerGrades+'!$AI$11,"C",IF(T335&lt;'PlayerGrades+'!$AI$10,"C+",IF(T335&lt;'PlayerGrades+'!$AI$9,"B-",IF(T335&lt;'PlayerGrades+'!$AI$8,"B",IF(T335&lt;'PlayerGrades+'!$AI$7,"B+",IF(T335&lt;'PlayerGrades+'!$AI$6,"A-",IF(T335&lt;'PlayerGrades+'!$AI$5,"A",IF(T335&lt;'PlayerGrades+'!$AI$4,"A+",IF(T335&lt;'PlayerGrades+'!$AI$3,"S-",IF(T335&lt;'PlayerGrades+'!$AI$2,"S","S+"))))))))))))))))))))</f>
        <v>F-</v>
      </c>
      <c r="AC335" s="1392"/>
    </row>
    <row r="336">
      <c r="A336" s="1391"/>
      <c r="B336" s="611" t="str">
        <f>IF(C336&lt;'PlayerGrades+'!$Y$44,"F-",IF(C336&lt;'PlayerGrades+'!$Y$43,"F",IF(C336&lt;'PlayerGrades+'!$Y$42,"F+",IF(C336&lt;'PlayerGrades+'!$Y$41,"E-",IF(C336&lt;'PlayerGrades+'!$Y$40,"E",IF(C336&lt;'PlayerGrades+'!$Y$39,"E+",IF(C336&lt;'PlayerGrades+'!$Y$38,"D-",IF(C336&lt;'PlayerGrades+'!$Y$37,"D",IF(C336&lt;'PlayerGrades+'!$Y$36,"D+",IF(C336&lt;'PlayerGrades+'!$Y$35,"C-",IF(C336&lt;'PlayerGrades+'!$Y$34,"C",IF(C336&lt;'PlayerGrades+'!$Y$33,"C+",IF(C336&lt;'PlayerGrades+'!$Y$32,"B-",IF(C336&lt;'PlayerGrades+'!$Y$31,"B",IF(C336&lt;'PlayerGrades+'!$Y$30,"B+",IF(C336&lt;'PlayerGrades+'!$Y$29,"A-",IF(C336&lt;'PlayerGrades+'!$Y$28,"A",IF(C336&lt;'PlayerGrades+'!$Y$27,"A+",IF(C336&lt;'PlayerGrades+'!$Y$26,"S-",IF(C336&lt;'PlayerGrades+'!$Y$25,"S","S+"))))))))))))))))))))</f>
        <v>#DIV/0!</v>
      </c>
      <c r="C336" s="1378" t="str">
        <f>('PlayerGrades+'!$Y$47*(VLOOKUP(E336, 'PlayerGrades+'!$X$3:$Y$23, 2, FALSE)))+('PlayerGrades+'!$Y$48*(VLOOKUP(G336, 'PlayerGrades+'!$X$3:$Y$23, 2, FALSE)))+('PlayerGrades+'!$Y$49*(VLOOKUP(I336, 'PlayerGrades+'!$X$3:$Y$23, 2, FALSE)))+('PlayerGrades+'!$Y$50*(VLOOKUP(K336, 'PlayerGrades+'!$X$3:$Y$23, 2, FALSE)))+('PlayerGrades+'!$Y$51*(VLOOKUP(M336, 'PlayerGrades+'!$X$3:$Y$23, 2, FALSE)))+('PlayerGrades+'!$Y$52*(VLOOKUP(O336, 'PlayerGrades+'!$X$3:$Y$23, 2, FALSE)))+('PlayerGrades+'!$Y$53*(VLOOKUP(Q336, 'PlayerGrades+'!$X$3:$Y$23, 2, FALSE)))+('PlayerGrades+'!$Y$54*(VLOOKUP(S336, 'PlayerGrades+'!$X$3:$Y$23, 2, FALSE)))+('PlayerGrades+'!$Y$55*(VLOOKUP(U336, 'PlayerGrades+'!$X$3:$Y$23, 2, FALSE)))</f>
        <v>#DIV/0!</v>
      </c>
      <c r="D336" s="961" t="str">
        <f t="shared" si="1"/>
        <v>#DIV/0!</v>
      </c>
      <c r="E336" s="961" t="str">
        <f>IF(D336&lt;'PlayerGrades+'!$AA$21,"F-",IF(D336&lt;'PlayerGrades+'!$AA$20,"F",IF(D336&lt;'PlayerGrades+'!$AA$19,"F+",IF(D336&lt;'PlayerGrades+'!$AA$18,"E-",IF(D336&lt;'PlayerGrades+'!$AA$17,"E",IF(D336&lt;'PlayerGrades+'!$AA$16,"E+",IF(D336&lt;'PlayerGrades+'!$AA$15,"D-",IF(D336&lt;'PlayerGrades+'!$AA$14,"D",IF(D336&lt;'PlayerGrades+'!$AA$13,"D+",IF(D336&lt;'PlayerGrades+'!$AA$12,"C-",IF(D336&lt;'PlayerGrades+'!$AA$11,"C",IF(D336&lt;'PlayerGrades+'!$AA$10,"C+",IF(D336&lt;'PlayerGrades+'!$AA$9,"B-",IF(D336&lt;'PlayerGrades+'!$AA$8,"B",IF(D336&lt;'PlayerGrades+'!$AA$7,"B+",IF(D336&lt;'PlayerGrades+'!$AA$6,"A-",IF(D336&lt;'PlayerGrades+'!$AA$5,"A",IF(D336&lt;'PlayerGrades+'!$AA$4,"A+",IF(D336&lt;'PlayerGrades+'!$AA$3,"S-",IF(D336&lt;'PlayerGrades+'!$AA$2,"S","S+"))))))))))))))))))))</f>
        <v>#DIV/0!</v>
      </c>
      <c r="F336" s="961" t="str">
        <f t="shared" si="2"/>
        <v>#DIV/0!</v>
      </c>
      <c r="G336" s="961" t="str">
        <f>IF(F336&lt;'PlayerGrades+'!$AB$21,"F-",IF(F336&lt;'PlayerGrades+'!$AB$20,"F",IF(F336&lt;'PlayerGrades+'!$AB$19,"F+",IF(F336&lt;'PlayerGrades+'!$AB$18,"E-",IF(F336&lt;'PlayerGrades+'!$AB$17,"E",IF(F336&lt;'PlayerGrades+'!$AB$16,"E+",IF(F336&lt;'PlayerGrades+'!$AB$15,"D-",IF(F336&lt;'PlayerGrades+'!$AB$14,"D",IF(F336&lt;'PlayerGrades+'!$AB$13,"D+",IF(F336&lt;'PlayerGrades+'!$AB$12,"C-",IF(F336&lt;'PlayerGrades+'!$AB$11,"C",IF(F336&lt;'PlayerGrades+'!$AB$10,"C+",IF(F336&lt;'PlayerGrades+'!$AB$9,"B-",IF(F336&lt;'PlayerGrades+'!$AB$8,"B",IF(F336&lt;'PlayerGrades+'!$AB$7,"B+",IF(F336&lt;'PlayerGrades+'!$AB$6,"A-",IF(F336&lt;'PlayerGrades+'!$AB$5,"A",IF(F336&lt;'PlayerGrades+'!$AB$4,"A+",IF(F336&lt;'PlayerGrades+'!$AB$3,"S-",IF(F336&lt;'PlayerGrades+'!$AB$2,"S","S+"))))))))))))))))))))</f>
        <v>#DIV/0!</v>
      </c>
      <c r="H336" s="961" t="str">
        <f t="shared" si="3"/>
        <v>#DIV/0!</v>
      </c>
      <c r="I336" s="961" t="str">
        <f>IF(H336&lt;'PlayerGrades+'!$AC$21,"F-",IF(H336&lt;'PlayerGrades+'!$AC$20,"F",IF(H336&lt;'PlayerGrades+'!$AC$19,"F+",IF(H336&lt;'PlayerGrades+'!$AC$18,"E-",IF(H336&lt;'PlayerGrades+'!$AC$17,"E",IF(H336&lt;'PlayerGrades+'!$AC$16,"E+",IF(H336&lt;'PlayerGrades+'!$AC$15,"D-",IF(H336&lt;'PlayerGrades+'!$AC$14,"D",IF(H336&lt;'PlayerGrades+'!$AC$13,"D+",IF(H336&lt;'PlayerGrades+'!$AC$12,"C-",IF(H336&lt;'PlayerGrades+'!$AC$11,"C",IF(H336&lt;'PlayerGrades+'!$AC$10,"C+",IF(H336&lt;'PlayerGrades+'!$AC$9,"B-",IF(H336&lt;'PlayerGrades+'!$AC$8,"B",IF(H336&lt;'PlayerGrades+'!$AC$7,"B+",IF(H336&lt;'PlayerGrades+'!$AC$6,"A-",IF(H336&lt;'PlayerGrades+'!$AC$5,"A",IF(H336&lt;'PlayerGrades+'!$AC$4,"A+",IF(H336&lt;'PlayerGrades+'!$AC$3,"S-",IF(H336&lt;'PlayerGrades+'!$AC$2,"S","S+"))))))))))))))))))))</f>
        <v>#DIV/0!</v>
      </c>
      <c r="J336" s="961" t="str">
        <f t="shared" si="4"/>
        <v>#DIV/0!</v>
      </c>
      <c r="K336" s="961" t="str">
        <f>IF(J336&lt;'PlayerGrades+'!$AD$21,"F-",IF(J336&lt;'PlayerGrades+'!$AD$20,"F",IF(J336&lt;'PlayerGrades+'!$AD$19,"F+",IF(J336&lt;'PlayerGrades+'!$AD$18,"E-",IF(J336&lt;'PlayerGrades+'!$AD$17,"E",IF(J336&lt;'PlayerGrades+'!$AD$16,"E+",IF(J336&lt;'PlayerGrades+'!$AD$15,"D-",IF(J336&lt;'PlayerGrades+'!$AD$14,"D",IF(J336&lt;'PlayerGrades+'!$AD$13,"D+",IF(J336&lt;'PlayerGrades+'!$AD$12,"C-",IF(J336&lt;'PlayerGrades+'!$AD$11,"C",IF(J336&lt;'PlayerGrades+'!$AD$10,"C+",IF(J336&lt;'PlayerGrades+'!$AD$9,"B-",IF(J336&lt;'PlayerGrades+'!$AD$8,"B",IF(J336&lt;'PlayerGrades+'!$AD$7,"B+",IF(J336&lt;'PlayerGrades+'!$AD$6,"A-",IF(J336&lt;'PlayerGrades+'!$AD$5,"A",IF(J336&lt;'PlayerGrades+'!$AD$4,"A+",IF(J336&lt;'PlayerGrades+'!$AD$3,"S-",IF(J336&lt;'PlayerGrades+'!$AD$2,"S","S+"))))))))))))))))))))</f>
        <v>#DIV/0!</v>
      </c>
      <c r="L336" s="1176" t="str">
        <f t="shared" si="5"/>
        <v>#DIV/0!</v>
      </c>
      <c r="M336" s="992" t="str">
        <f>IF(L336&lt;'PlayerGrades+'!$AE$21,"F-",IF(L336&lt;'PlayerGrades+'!$AE$20,"F",IF(L336&lt;'PlayerGrades+'!$AE$19,"F+",IF(L336&lt;'PlayerGrades+'!$AE$18,"E-",IF(L336&lt;'PlayerGrades+'!$AE$17,"E",IF(L336&lt;'PlayerGrades+'!$AE$16,"E+",IF(L336&lt;'PlayerGrades+'!$AE$15,"D-",IF(L336&lt;'PlayerGrades+'!$AE$14,"D",IF(L336&lt;'PlayerGrades+'!$AE$13,"D+",IF(L336&lt;'PlayerGrades+'!$AE$12,"C-",IF(L336&lt;'PlayerGrades+'!$AE$11,"C",IF(L336&lt;'PlayerGrades+'!$AE$10,"C+",IF(L336&lt;'PlayerGrades+'!$AE$9,"B-",IF(L336&lt;'PlayerGrades+'!$AE$8,"B",IF(L336&lt;'PlayerGrades+'!$AE$7,"B+",IF(L336&lt;'PlayerGrades+'!$AE$6,"A-",IF(L336&lt;'PlayerGrades+'!$AE$5,"A",IF(L336&lt;'PlayerGrades+'!$AE$4,"A+",IF(L336&lt;'PlayerGrades+'!$AE$3,"S-",IF(L336&lt;'PlayerGrades+'!$AE$2,"S","S+"))))))))))))))))))))</f>
        <v>#DIV/0!</v>
      </c>
      <c r="N336" s="961" t="str">
        <f t="shared" si="6"/>
        <v>#DIV/0!</v>
      </c>
      <c r="O336" s="961" t="str">
        <f>IF(N336&lt;'PlayerGrades+'!$AF$21,"F-",IF(N336&lt;'PlayerGrades+'!$AF$20,"F",IF(N336&lt;'PlayerGrades+'!$AF$19,"F+",IF(N336&lt;'PlayerGrades+'!$AF$18,"E-",IF(N336&lt;'PlayerGrades+'!$AF$17,"E",IF(N336&lt;'PlayerGrades+'!$AF$16,"E+",IF(N336&lt;'PlayerGrades+'!$AF$15,"D-",IF(N336&lt;'PlayerGrades+'!$AF$14,"D",IF(N336&lt;'PlayerGrades+'!$AF$13,"D+",IF(N336&lt;'PlayerGrades+'!$AF$12,"C-",IF(N336&lt;'PlayerGrades+'!$AF$11,"C",IF(N336&lt;'PlayerGrades+'!$AF$10,"C+",IF(N336&lt;'PlayerGrades+'!$AF$9,"B-",IF(N336&lt;'PlayerGrades+'!$AF$8,"B",IF(N336&lt;'PlayerGrades+'!$AF$7,"B+",IF(N336&lt;'PlayerGrades+'!$AF$6,"A-",IF(N336&lt;'PlayerGrades+'!$AF$5,"A",IF(N336&lt;'PlayerGrades+'!$AF$4,"A+",IF(N336&lt;'PlayerGrades+'!$AF$3,"S-",IF(N336&lt;'PlayerGrades+'!$AF$2,"S","S+"))))))))))))))))))))</f>
        <v>#DIV/0!</v>
      </c>
      <c r="P336" s="961" t="str">
        <f t="shared" si="7"/>
        <v>#DIV/0!</v>
      </c>
      <c r="Q336" s="961" t="str">
        <f>IF(P336&lt;'PlayerGrades+'!$AG$21,"F-",IF(P336&lt;'PlayerGrades+'!$AG$20,"F",IF(P336&lt;'PlayerGrades+'!$AG$19,"F+",IF(P336&lt;'PlayerGrades+'!$AG$18,"E-",IF(P336&lt;'PlayerGrades+'!$AG$17,"E",IF(P336&lt;'PlayerGrades+'!$AG$16,"E+",IF(P336&lt;'PlayerGrades+'!$AG$15,"D-",IF(P336&lt;'PlayerGrades+'!$AG$14,"D",IF(P336&lt;'PlayerGrades+'!$AG$13,"D+",IF(P336&lt;'PlayerGrades+'!$AG$12,"C-",IF(P336&lt;'PlayerGrades+'!$AG$11,"C",IF(P336&lt;'PlayerGrades+'!$AG$10,"C+",IF(P336&lt;'PlayerGrades+'!$AG$9,"B-",IF(P336&lt;'PlayerGrades+'!$AG$8,"B",IF(P336&lt;'PlayerGrades+'!$AG$7,"B+",IF(P336&lt;'PlayerGrades+'!$AG$6,"A-",IF(P336&lt;'PlayerGrades+'!$AG$5,"A",IF(P336&lt;'PlayerGrades+'!$AG$4,"A+",IF(P336&lt;'PlayerGrades+'!$AG$3,"S-",IF(P336&lt;'PlayerGrades+'!$AG$2,"S","S+"))))))))))))))))))))</f>
        <v>#DIV/0!</v>
      </c>
      <c r="R336" s="961" t="str">
        <f t="shared" si="8"/>
        <v>#DIV/0!</v>
      </c>
      <c r="S336" s="961" t="str">
        <f>IF(R336&lt;'PlayerGrades+'!$AH$21,"F-",IF(R336&lt;'PlayerGrades+'!$AH$20,"F",IF(R336&lt;'PlayerGrades+'!$AH$19,"F+",IF(R336&lt;'PlayerGrades+'!$AH$18,"E-",IF(R336&lt;'PlayerGrades+'!$AH$17,"E",IF(R336&lt;'PlayerGrades+'!$AH$16,"E+",IF(R336&lt;'PlayerGrades+'!$AH$15,"D-",IF(R336&lt;'PlayerGrades+'!$AH$14,"D",IF(R336&lt;'PlayerGrades+'!$AH$13,"D+",IF(R336&lt;'PlayerGrades+'!$AH$12,"C-",IF(R336&lt;'PlayerGrades+'!$AH$11,"C",IF(R336&lt;'PlayerGrades+'!$AH$10,"C+",IF(R336&lt;'PlayerGrades+'!$AH$9,"B-",IF(R336&lt;'PlayerGrades+'!$AH$8,"B",IF(R336&lt;'PlayerGrades+'!$AH$7,"B+",IF(R336&lt;'PlayerGrades+'!$AH$6,"A-",IF(R336&lt;'PlayerGrades+'!$AH$5,"A",IF(R336&lt;'PlayerGrades+'!$AH$4,"A+",IF(R336&lt;'PlayerGrades+'!$AH$3,"S-",IF(R336&lt;'PlayerGrades+'!$AH$2,"S","S+"))))))))))))))))))))</f>
        <v>#DIV/0!</v>
      </c>
      <c r="T336" s="961">
        <f t="shared" si="9"/>
        <v>0</v>
      </c>
      <c r="U336" s="961" t="str">
        <f>IF(T336&lt;'PlayerGrades+'!$AI$21,"F-",IF(T336&lt;'PlayerGrades+'!$AI$20,"F",IF(T336&lt;'PlayerGrades+'!$AI$19,"F+",IF(T336&lt;'PlayerGrades+'!$AI$18,"E-",IF(T336&lt;'PlayerGrades+'!$AI$17,"E",IF(T336&lt;'PlayerGrades+'!$AI$16,"E+",IF(T336&lt;'PlayerGrades+'!$AI$15,"D-",IF(T336&lt;'PlayerGrades+'!$AI$14,"D",IF(T336&lt;'PlayerGrades+'!$AI$13,"D+",IF(T336&lt;'PlayerGrades+'!$AI$12,"C-",IF(T336&lt;'PlayerGrades+'!$AI$11,"C",IF(T336&lt;'PlayerGrades+'!$AI$10,"C+",IF(T336&lt;'PlayerGrades+'!$AI$9,"B-",IF(T336&lt;'PlayerGrades+'!$AI$8,"B",IF(T336&lt;'PlayerGrades+'!$AI$7,"B+",IF(T336&lt;'PlayerGrades+'!$AI$6,"A-",IF(T336&lt;'PlayerGrades+'!$AI$5,"A",IF(T336&lt;'PlayerGrades+'!$AI$4,"A+",IF(T336&lt;'PlayerGrades+'!$AI$3,"S-",IF(T336&lt;'PlayerGrades+'!$AI$2,"S","S+"))))))))))))))))))))</f>
        <v>F-</v>
      </c>
      <c r="AC336" s="1392"/>
    </row>
    <row r="337">
      <c r="A337" s="1393"/>
      <c r="B337" s="611" t="str">
        <f>IF(C337&lt;'PlayerGrades+'!$Y$44,"F-",IF(C337&lt;'PlayerGrades+'!$Y$43,"F",IF(C337&lt;'PlayerGrades+'!$Y$42,"F+",IF(C337&lt;'PlayerGrades+'!$Y$41,"E-",IF(C337&lt;'PlayerGrades+'!$Y$40,"E",IF(C337&lt;'PlayerGrades+'!$Y$39,"E+",IF(C337&lt;'PlayerGrades+'!$Y$38,"D-",IF(C337&lt;'PlayerGrades+'!$Y$37,"D",IF(C337&lt;'PlayerGrades+'!$Y$36,"D+",IF(C337&lt;'PlayerGrades+'!$Y$35,"C-",IF(C337&lt;'PlayerGrades+'!$Y$34,"C",IF(C337&lt;'PlayerGrades+'!$Y$33,"C+",IF(C337&lt;'PlayerGrades+'!$Y$32,"B-",IF(C337&lt;'PlayerGrades+'!$Y$31,"B",IF(C337&lt;'PlayerGrades+'!$Y$30,"B+",IF(C337&lt;'PlayerGrades+'!$Y$29,"A-",IF(C337&lt;'PlayerGrades+'!$Y$28,"A",IF(C337&lt;'PlayerGrades+'!$Y$27,"A+",IF(C337&lt;'PlayerGrades+'!$Y$26,"S-",IF(C337&lt;'PlayerGrades+'!$Y$25,"S","S+"))))))))))))))))))))</f>
        <v>#DIV/0!</v>
      </c>
      <c r="C337" s="1378" t="str">
        <f>('PlayerGrades+'!$Y$47*(VLOOKUP(E337, 'PlayerGrades+'!$X$3:$Y$23, 2, FALSE)))+('PlayerGrades+'!$Y$48*(VLOOKUP(G337, 'PlayerGrades+'!$X$3:$Y$23, 2, FALSE)))+('PlayerGrades+'!$Y$49*(VLOOKUP(I337, 'PlayerGrades+'!$X$3:$Y$23, 2, FALSE)))+('PlayerGrades+'!$Y$50*(VLOOKUP(K337, 'PlayerGrades+'!$X$3:$Y$23, 2, FALSE)))+('PlayerGrades+'!$Y$51*(VLOOKUP(M337, 'PlayerGrades+'!$X$3:$Y$23, 2, FALSE)))+('PlayerGrades+'!$Y$52*(VLOOKUP(O337, 'PlayerGrades+'!$X$3:$Y$23, 2, FALSE)))+('PlayerGrades+'!$Y$53*(VLOOKUP(Q337, 'PlayerGrades+'!$X$3:$Y$23, 2, FALSE)))+('PlayerGrades+'!$Y$54*(VLOOKUP(S337, 'PlayerGrades+'!$X$3:$Y$23, 2, FALSE)))+('PlayerGrades+'!$Y$55*(VLOOKUP(U337, 'PlayerGrades+'!$X$3:$Y$23, 2, FALSE)))</f>
        <v>#DIV/0!</v>
      </c>
      <c r="D337" s="961" t="str">
        <f t="shared" si="1"/>
        <v>#DIV/0!</v>
      </c>
      <c r="E337" s="961" t="str">
        <f>IF(D337&lt;'PlayerGrades+'!$AA$21,"F-",IF(D337&lt;'PlayerGrades+'!$AA$20,"F",IF(D337&lt;'PlayerGrades+'!$AA$19,"F+",IF(D337&lt;'PlayerGrades+'!$AA$18,"E-",IF(D337&lt;'PlayerGrades+'!$AA$17,"E",IF(D337&lt;'PlayerGrades+'!$AA$16,"E+",IF(D337&lt;'PlayerGrades+'!$AA$15,"D-",IF(D337&lt;'PlayerGrades+'!$AA$14,"D",IF(D337&lt;'PlayerGrades+'!$AA$13,"D+",IF(D337&lt;'PlayerGrades+'!$AA$12,"C-",IF(D337&lt;'PlayerGrades+'!$AA$11,"C",IF(D337&lt;'PlayerGrades+'!$AA$10,"C+",IF(D337&lt;'PlayerGrades+'!$AA$9,"B-",IF(D337&lt;'PlayerGrades+'!$AA$8,"B",IF(D337&lt;'PlayerGrades+'!$AA$7,"B+",IF(D337&lt;'PlayerGrades+'!$AA$6,"A-",IF(D337&lt;'PlayerGrades+'!$AA$5,"A",IF(D337&lt;'PlayerGrades+'!$AA$4,"A+",IF(D337&lt;'PlayerGrades+'!$AA$3,"S-",IF(D337&lt;'PlayerGrades+'!$AA$2,"S","S+"))))))))))))))))))))</f>
        <v>#DIV/0!</v>
      </c>
      <c r="F337" s="961" t="str">
        <f t="shared" si="2"/>
        <v>#DIV/0!</v>
      </c>
      <c r="G337" s="961" t="str">
        <f>IF(F337&lt;'PlayerGrades+'!$AB$21,"F-",IF(F337&lt;'PlayerGrades+'!$AB$20,"F",IF(F337&lt;'PlayerGrades+'!$AB$19,"F+",IF(F337&lt;'PlayerGrades+'!$AB$18,"E-",IF(F337&lt;'PlayerGrades+'!$AB$17,"E",IF(F337&lt;'PlayerGrades+'!$AB$16,"E+",IF(F337&lt;'PlayerGrades+'!$AB$15,"D-",IF(F337&lt;'PlayerGrades+'!$AB$14,"D",IF(F337&lt;'PlayerGrades+'!$AB$13,"D+",IF(F337&lt;'PlayerGrades+'!$AB$12,"C-",IF(F337&lt;'PlayerGrades+'!$AB$11,"C",IF(F337&lt;'PlayerGrades+'!$AB$10,"C+",IF(F337&lt;'PlayerGrades+'!$AB$9,"B-",IF(F337&lt;'PlayerGrades+'!$AB$8,"B",IF(F337&lt;'PlayerGrades+'!$AB$7,"B+",IF(F337&lt;'PlayerGrades+'!$AB$6,"A-",IF(F337&lt;'PlayerGrades+'!$AB$5,"A",IF(F337&lt;'PlayerGrades+'!$AB$4,"A+",IF(F337&lt;'PlayerGrades+'!$AB$3,"S-",IF(F337&lt;'PlayerGrades+'!$AB$2,"S","S+"))))))))))))))))))))</f>
        <v>#DIV/0!</v>
      </c>
      <c r="H337" s="961" t="str">
        <f t="shared" si="3"/>
        <v>#DIV/0!</v>
      </c>
      <c r="I337" s="961" t="str">
        <f>IF(H337&lt;'PlayerGrades+'!$AC$21,"F-",IF(H337&lt;'PlayerGrades+'!$AC$20,"F",IF(H337&lt;'PlayerGrades+'!$AC$19,"F+",IF(H337&lt;'PlayerGrades+'!$AC$18,"E-",IF(H337&lt;'PlayerGrades+'!$AC$17,"E",IF(H337&lt;'PlayerGrades+'!$AC$16,"E+",IF(H337&lt;'PlayerGrades+'!$AC$15,"D-",IF(H337&lt;'PlayerGrades+'!$AC$14,"D",IF(H337&lt;'PlayerGrades+'!$AC$13,"D+",IF(H337&lt;'PlayerGrades+'!$AC$12,"C-",IF(H337&lt;'PlayerGrades+'!$AC$11,"C",IF(H337&lt;'PlayerGrades+'!$AC$10,"C+",IF(H337&lt;'PlayerGrades+'!$AC$9,"B-",IF(H337&lt;'PlayerGrades+'!$AC$8,"B",IF(H337&lt;'PlayerGrades+'!$AC$7,"B+",IF(H337&lt;'PlayerGrades+'!$AC$6,"A-",IF(H337&lt;'PlayerGrades+'!$AC$5,"A",IF(H337&lt;'PlayerGrades+'!$AC$4,"A+",IF(H337&lt;'PlayerGrades+'!$AC$3,"S-",IF(H337&lt;'PlayerGrades+'!$AC$2,"S","S+"))))))))))))))))))))</f>
        <v>#DIV/0!</v>
      </c>
      <c r="J337" s="961" t="str">
        <f t="shared" si="4"/>
        <v>#DIV/0!</v>
      </c>
      <c r="K337" s="961" t="str">
        <f>IF(J337&lt;'PlayerGrades+'!$AD$21,"F-",IF(J337&lt;'PlayerGrades+'!$AD$20,"F",IF(J337&lt;'PlayerGrades+'!$AD$19,"F+",IF(J337&lt;'PlayerGrades+'!$AD$18,"E-",IF(J337&lt;'PlayerGrades+'!$AD$17,"E",IF(J337&lt;'PlayerGrades+'!$AD$16,"E+",IF(J337&lt;'PlayerGrades+'!$AD$15,"D-",IF(J337&lt;'PlayerGrades+'!$AD$14,"D",IF(J337&lt;'PlayerGrades+'!$AD$13,"D+",IF(J337&lt;'PlayerGrades+'!$AD$12,"C-",IF(J337&lt;'PlayerGrades+'!$AD$11,"C",IF(J337&lt;'PlayerGrades+'!$AD$10,"C+",IF(J337&lt;'PlayerGrades+'!$AD$9,"B-",IF(J337&lt;'PlayerGrades+'!$AD$8,"B",IF(J337&lt;'PlayerGrades+'!$AD$7,"B+",IF(J337&lt;'PlayerGrades+'!$AD$6,"A-",IF(J337&lt;'PlayerGrades+'!$AD$5,"A",IF(J337&lt;'PlayerGrades+'!$AD$4,"A+",IF(J337&lt;'PlayerGrades+'!$AD$3,"S-",IF(J337&lt;'PlayerGrades+'!$AD$2,"S","S+"))))))))))))))))))))</f>
        <v>#DIV/0!</v>
      </c>
      <c r="L337" s="1176" t="str">
        <f t="shared" si="5"/>
        <v>#DIV/0!</v>
      </c>
      <c r="M337" s="992" t="str">
        <f>IF(L337&lt;'PlayerGrades+'!$AE$21,"F-",IF(L337&lt;'PlayerGrades+'!$AE$20,"F",IF(L337&lt;'PlayerGrades+'!$AE$19,"F+",IF(L337&lt;'PlayerGrades+'!$AE$18,"E-",IF(L337&lt;'PlayerGrades+'!$AE$17,"E",IF(L337&lt;'PlayerGrades+'!$AE$16,"E+",IF(L337&lt;'PlayerGrades+'!$AE$15,"D-",IF(L337&lt;'PlayerGrades+'!$AE$14,"D",IF(L337&lt;'PlayerGrades+'!$AE$13,"D+",IF(L337&lt;'PlayerGrades+'!$AE$12,"C-",IF(L337&lt;'PlayerGrades+'!$AE$11,"C",IF(L337&lt;'PlayerGrades+'!$AE$10,"C+",IF(L337&lt;'PlayerGrades+'!$AE$9,"B-",IF(L337&lt;'PlayerGrades+'!$AE$8,"B",IF(L337&lt;'PlayerGrades+'!$AE$7,"B+",IF(L337&lt;'PlayerGrades+'!$AE$6,"A-",IF(L337&lt;'PlayerGrades+'!$AE$5,"A",IF(L337&lt;'PlayerGrades+'!$AE$4,"A+",IF(L337&lt;'PlayerGrades+'!$AE$3,"S-",IF(L337&lt;'PlayerGrades+'!$AE$2,"S","S+"))))))))))))))))))))</f>
        <v>#DIV/0!</v>
      </c>
      <c r="N337" s="961" t="str">
        <f t="shared" si="6"/>
        <v>#DIV/0!</v>
      </c>
      <c r="O337" s="961" t="str">
        <f>IF(N337&lt;'PlayerGrades+'!$AF$21,"F-",IF(N337&lt;'PlayerGrades+'!$AF$20,"F",IF(N337&lt;'PlayerGrades+'!$AF$19,"F+",IF(N337&lt;'PlayerGrades+'!$AF$18,"E-",IF(N337&lt;'PlayerGrades+'!$AF$17,"E",IF(N337&lt;'PlayerGrades+'!$AF$16,"E+",IF(N337&lt;'PlayerGrades+'!$AF$15,"D-",IF(N337&lt;'PlayerGrades+'!$AF$14,"D",IF(N337&lt;'PlayerGrades+'!$AF$13,"D+",IF(N337&lt;'PlayerGrades+'!$AF$12,"C-",IF(N337&lt;'PlayerGrades+'!$AF$11,"C",IF(N337&lt;'PlayerGrades+'!$AF$10,"C+",IF(N337&lt;'PlayerGrades+'!$AF$9,"B-",IF(N337&lt;'PlayerGrades+'!$AF$8,"B",IF(N337&lt;'PlayerGrades+'!$AF$7,"B+",IF(N337&lt;'PlayerGrades+'!$AF$6,"A-",IF(N337&lt;'PlayerGrades+'!$AF$5,"A",IF(N337&lt;'PlayerGrades+'!$AF$4,"A+",IF(N337&lt;'PlayerGrades+'!$AF$3,"S-",IF(N337&lt;'PlayerGrades+'!$AF$2,"S","S+"))))))))))))))))))))</f>
        <v>#DIV/0!</v>
      </c>
      <c r="P337" s="961" t="str">
        <f t="shared" si="7"/>
        <v>#DIV/0!</v>
      </c>
      <c r="Q337" s="961" t="str">
        <f>IF(P337&lt;'PlayerGrades+'!$AG$21,"F-",IF(P337&lt;'PlayerGrades+'!$AG$20,"F",IF(P337&lt;'PlayerGrades+'!$AG$19,"F+",IF(P337&lt;'PlayerGrades+'!$AG$18,"E-",IF(P337&lt;'PlayerGrades+'!$AG$17,"E",IF(P337&lt;'PlayerGrades+'!$AG$16,"E+",IF(P337&lt;'PlayerGrades+'!$AG$15,"D-",IF(P337&lt;'PlayerGrades+'!$AG$14,"D",IF(P337&lt;'PlayerGrades+'!$AG$13,"D+",IF(P337&lt;'PlayerGrades+'!$AG$12,"C-",IF(P337&lt;'PlayerGrades+'!$AG$11,"C",IF(P337&lt;'PlayerGrades+'!$AG$10,"C+",IF(P337&lt;'PlayerGrades+'!$AG$9,"B-",IF(P337&lt;'PlayerGrades+'!$AG$8,"B",IF(P337&lt;'PlayerGrades+'!$AG$7,"B+",IF(P337&lt;'PlayerGrades+'!$AG$6,"A-",IF(P337&lt;'PlayerGrades+'!$AG$5,"A",IF(P337&lt;'PlayerGrades+'!$AG$4,"A+",IF(P337&lt;'PlayerGrades+'!$AG$3,"S-",IF(P337&lt;'PlayerGrades+'!$AG$2,"S","S+"))))))))))))))))))))</f>
        <v>#DIV/0!</v>
      </c>
      <c r="R337" s="961" t="str">
        <f t="shared" si="8"/>
        <v>#DIV/0!</v>
      </c>
      <c r="S337" s="961" t="str">
        <f>IF(R337&lt;'PlayerGrades+'!$AH$21,"F-",IF(R337&lt;'PlayerGrades+'!$AH$20,"F",IF(R337&lt;'PlayerGrades+'!$AH$19,"F+",IF(R337&lt;'PlayerGrades+'!$AH$18,"E-",IF(R337&lt;'PlayerGrades+'!$AH$17,"E",IF(R337&lt;'PlayerGrades+'!$AH$16,"E+",IF(R337&lt;'PlayerGrades+'!$AH$15,"D-",IF(R337&lt;'PlayerGrades+'!$AH$14,"D",IF(R337&lt;'PlayerGrades+'!$AH$13,"D+",IF(R337&lt;'PlayerGrades+'!$AH$12,"C-",IF(R337&lt;'PlayerGrades+'!$AH$11,"C",IF(R337&lt;'PlayerGrades+'!$AH$10,"C+",IF(R337&lt;'PlayerGrades+'!$AH$9,"B-",IF(R337&lt;'PlayerGrades+'!$AH$8,"B",IF(R337&lt;'PlayerGrades+'!$AH$7,"B+",IF(R337&lt;'PlayerGrades+'!$AH$6,"A-",IF(R337&lt;'PlayerGrades+'!$AH$5,"A",IF(R337&lt;'PlayerGrades+'!$AH$4,"A+",IF(R337&lt;'PlayerGrades+'!$AH$3,"S-",IF(R337&lt;'PlayerGrades+'!$AH$2,"S","S+"))))))))))))))))))))</f>
        <v>#DIV/0!</v>
      </c>
      <c r="T337" s="961">
        <f t="shared" si="9"/>
        <v>0</v>
      </c>
      <c r="U337" s="961" t="str">
        <f>IF(T337&lt;'PlayerGrades+'!$AI$21,"F-",IF(T337&lt;'PlayerGrades+'!$AI$20,"F",IF(T337&lt;'PlayerGrades+'!$AI$19,"F+",IF(T337&lt;'PlayerGrades+'!$AI$18,"E-",IF(T337&lt;'PlayerGrades+'!$AI$17,"E",IF(T337&lt;'PlayerGrades+'!$AI$16,"E+",IF(T337&lt;'PlayerGrades+'!$AI$15,"D-",IF(T337&lt;'PlayerGrades+'!$AI$14,"D",IF(T337&lt;'PlayerGrades+'!$AI$13,"D+",IF(T337&lt;'PlayerGrades+'!$AI$12,"C-",IF(T337&lt;'PlayerGrades+'!$AI$11,"C",IF(T337&lt;'PlayerGrades+'!$AI$10,"C+",IF(T337&lt;'PlayerGrades+'!$AI$9,"B-",IF(T337&lt;'PlayerGrades+'!$AI$8,"B",IF(T337&lt;'PlayerGrades+'!$AI$7,"B+",IF(T337&lt;'PlayerGrades+'!$AI$6,"A-",IF(T337&lt;'PlayerGrades+'!$AI$5,"A",IF(T337&lt;'PlayerGrades+'!$AI$4,"A+",IF(T337&lt;'PlayerGrades+'!$AI$3,"S-",IF(T337&lt;'PlayerGrades+'!$AI$2,"S","S+"))))))))))))))))))))</f>
        <v>F-</v>
      </c>
      <c r="V337" s="1386"/>
      <c r="W337" s="1386"/>
      <c r="X337" s="1386"/>
      <c r="Y337" s="1386"/>
      <c r="Z337" s="1386"/>
      <c r="AA337" s="1386"/>
      <c r="AB337" s="1386"/>
      <c r="AC337" s="1397"/>
      <c r="AD337" s="1386"/>
      <c r="AE337" s="1386"/>
      <c r="AF337" s="1386"/>
      <c r="AG337" s="1386"/>
      <c r="AH337" s="1386"/>
      <c r="AI337" s="1386"/>
      <c r="AJ337" s="1386"/>
      <c r="AK337" s="1386"/>
      <c r="AL337" s="1386"/>
      <c r="AM337" s="1386"/>
      <c r="AN337" s="1386"/>
      <c r="AO337" s="1386"/>
      <c r="AP337" s="1386"/>
      <c r="AQ337" s="1386"/>
      <c r="AR337" s="1386"/>
      <c r="AS337" s="1386"/>
      <c r="AT337" s="1386"/>
      <c r="AU337" s="1386"/>
      <c r="AV337" s="1386"/>
      <c r="AW337" s="1386"/>
      <c r="AX337" s="1386"/>
      <c r="AY337" s="1386"/>
      <c r="AZ337" s="1386"/>
    </row>
    <row r="338">
      <c r="A338" s="1389"/>
      <c r="B338" s="611" t="str">
        <f>IF(C338&lt;'PlayerGrades+'!$Y$44,"F-",IF(C338&lt;'PlayerGrades+'!$Y$43,"F",IF(C338&lt;'PlayerGrades+'!$Y$42,"F+",IF(C338&lt;'PlayerGrades+'!$Y$41,"E-",IF(C338&lt;'PlayerGrades+'!$Y$40,"E",IF(C338&lt;'PlayerGrades+'!$Y$39,"E+",IF(C338&lt;'PlayerGrades+'!$Y$38,"D-",IF(C338&lt;'PlayerGrades+'!$Y$37,"D",IF(C338&lt;'PlayerGrades+'!$Y$36,"D+",IF(C338&lt;'PlayerGrades+'!$Y$35,"C-",IF(C338&lt;'PlayerGrades+'!$Y$34,"C",IF(C338&lt;'PlayerGrades+'!$Y$33,"C+",IF(C338&lt;'PlayerGrades+'!$Y$32,"B-",IF(C338&lt;'PlayerGrades+'!$Y$31,"B",IF(C338&lt;'PlayerGrades+'!$Y$30,"B+",IF(C338&lt;'PlayerGrades+'!$Y$29,"A-",IF(C338&lt;'PlayerGrades+'!$Y$28,"A",IF(C338&lt;'PlayerGrades+'!$Y$27,"A+",IF(C338&lt;'PlayerGrades+'!$Y$26,"S-",IF(C338&lt;'PlayerGrades+'!$Y$25,"S","S+"))))))))))))))))))))</f>
        <v>#DIV/0!</v>
      </c>
      <c r="C338" s="1378" t="str">
        <f>('PlayerGrades+'!$Y$47*(VLOOKUP(E338, 'PlayerGrades+'!$X$3:$Y$23, 2, FALSE)))+('PlayerGrades+'!$Y$48*(VLOOKUP(G338, 'PlayerGrades+'!$X$3:$Y$23, 2, FALSE)))+('PlayerGrades+'!$Y$49*(VLOOKUP(I338, 'PlayerGrades+'!$X$3:$Y$23, 2, FALSE)))+('PlayerGrades+'!$Y$50*(VLOOKUP(K338, 'PlayerGrades+'!$X$3:$Y$23, 2, FALSE)))+('PlayerGrades+'!$Y$51*(VLOOKUP(M338, 'PlayerGrades+'!$X$3:$Y$23, 2, FALSE)))+('PlayerGrades+'!$Y$52*(VLOOKUP(O338, 'PlayerGrades+'!$X$3:$Y$23, 2, FALSE)))+('PlayerGrades+'!$Y$53*(VLOOKUP(Q338, 'PlayerGrades+'!$X$3:$Y$23, 2, FALSE)))+('PlayerGrades+'!$Y$54*(VLOOKUP(S338, 'PlayerGrades+'!$X$3:$Y$23, 2, FALSE)))+('PlayerGrades+'!$Y$55*(VLOOKUP(U338, 'PlayerGrades+'!$X$3:$Y$23, 2, FALSE)))</f>
        <v>#DIV/0!</v>
      </c>
      <c r="D338" s="961" t="str">
        <f t="shared" si="1"/>
        <v>#DIV/0!</v>
      </c>
      <c r="E338" s="961" t="str">
        <f>IF(D338&lt;'PlayerGrades+'!$AA$21,"F-",IF(D338&lt;'PlayerGrades+'!$AA$20,"F",IF(D338&lt;'PlayerGrades+'!$AA$19,"F+",IF(D338&lt;'PlayerGrades+'!$AA$18,"E-",IF(D338&lt;'PlayerGrades+'!$AA$17,"E",IF(D338&lt;'PlayerGrades+'!$AA$16,"E+",IF(D338&lt;'PlayerGrades+'!$AA$15,"D-",IF(D338&lt;'PlayerGrades+'!$AA$14,"D",IF(D338&lt;'PlayerGrades+'!$AA$13,"D+",IF(D338&lt;'PlayerGrades+'!$AA$12,"C-",IF(D338&lt;'PlayerGrades+'!$AA$11,"C",IF(D338&lt;'PlayerGrades+'!$AA$10,"C+",IF(D338&lt;'PlayerGrades+'!$AA$9,"B-",IF(D338&lt;'PlayerGrades+'!$AA$8,"B",IF(D338&lt;'PlayerGrades+'!$AA$7,"B+",IF(D338&lt;'PlayerGrades+'!$AA$6,"A-",IF(D338&lt;'PlayerGrades+'!$AA$5,"A",IF(D338&lt;'PlayerGrades+'!$AA$4,"A+",IF(D338&lt;'PlayerGrades+'!$AA$3,"S-",IF(D338&lt;'PlayerGrades+'!$AA$2,"S","S+"))))))))))))))))))))</f>
        <v>#DIV/0!</v>
      </c>
      <c r="F338" s="961" t="str">
        <f t="shared" si="2"/>
        <v>#DIV/0!</v>
      </c>
      <c r="G338" s="961" t="str">
        <f>IF(F338&lt;'PlayerGrades+'!$AB$21,"F-",IF(F338&lt;'PlayerGrades+'!$AB$20,"F",IF(F338&lt;'PlayerGrades+'!$AB$19,"F+",IF(F338&lt;'PlayerGrades+'!$AB$18,"E-",IF(F338&lt;'PlayerGrades+'!$AB$17,"E",IF(F338&lt;'PlayerGrades+'!$AB$16,"E+",IF(F338&lt;'PlayerGrades+'!$AB$15,"D-",IF(F338&lt;'PlayerGrades+'!$AB$14,"D",IF(F338&lt;'PlayerGrades+'!$AB$13,"D+",IF(F338&lt;'PlayerGrades+'!$AB$12,"C-",IF(F338&lt;'PlayerGrades+'!$AB$11,"C",IF(F338&lt;'PlayerGrades+'!$AB$10,"C+",IF(F338&lt;'PlayerGrades+'!$AB$9,"B-",IF(F338&lt;'PlayerGrades+'!$AB$8,"B",IF(F338&lt;'PlayerGrades+'!$AB$7,"B+",IF(F338&lt;'PlayerGrades+'!$AB$6,"A-",IF(F338&lt;'PlayerGrades+'!$AB$5,"A",IF(F338&lt;'PlayerGrades+'!$AB$4,"A+",IF(F338&lt;'PlayerGrades+'!$AB$3,"S-",IF(F338&lt;'PlayerGrades+'!$AB$2,"S","S+"))))))))))))))))))))</f>
        <v>#DIV/0!</v>
      </c>
      <c r="H338" s="961" t="str">
        <f t="shared" si="3"/>
        <v>#DIV/0!</v>
      </c>
      <c r="I338" s="961" t="str">
        <f>IF(H338&lt;'PlayerGrades+'!$AC$21,"F-",IF(H338&lt;'PlayerGrades+'!$AC$20,"F",IF(H338&lt;'PlayerGrades+'!$AC$19,"F+",IF(H338&lt;'PlayerGrades+'!$AC$18,"E-",IF(H338&lt;'PlayerGrades+'!$AC$17,"E",IF(H338&lt;'PlayerGrades+'!$AC$16,"E+",IF(H338&lt;'PlayerGrades+'!$AC$15,"D-",IF(H338&lt;'PlayerGrades+'!$AC$14,"D",IF(H338&lt;'PlayerGrades+'!$AC$13,"D+",IF(H338&lt;'PlayerGrades+'!$AC$12,"C-",IF(H338&lt;'PlayerGrades+'!$AC$11,"C",IF(H338&lt;'PlayerGrades+'!$AC$10,"C+",IF(H338&lt;'PlayerGrades+'!$AC$9,"B-",IF(H338&lt;'PlayerGrades+'!$AC$8,"B",IF(H338&lt;'PlayerGrades+'!$AC$7,"B+",IF(H338&lt;'PlayerGrades+'!$AC$6,"A-",IF(H338&lt;'PlayerGrades+'!$AC$5,"A",IF(H338&lt;'PlayerGrades+'!$AC$4,"A+",IF(H338&lt;'PlayerGrades+'!$AC$3,"S-",IF(H338&lt;'PlayerGrades+'!$AC$2,"S","S+"))))))))))))))))))))</f>
        <v>#DIV/0!</v>
      </c>
      <c r="J338" s="961" t="str">
        <f t="shared" si="4"/>
        <v>#DIV/0!</v>
      </c>
      <c r="K338" s="961" t="str">
        <f>IF(J338&lt;'PlayerGrades+'!$AD$21,"F-",IF(J338&lt;'PlayerGrades+'!$AD$20,"F",IF(J338&lt;'PlayerGrades+'!$AD$19,"F+",IF(J338&lt;'PlayerGrades+'!$AD$18,"E-",IF(J338&lt;'PlayerGrades+'!$AD$17,"E",IF(J338&lt;'PlayerGrades+'!$AD$16,"E+",IF(J338&lt;'PlayerGrades+'!$AD$15,"D-",IF(J338&lt;'PlayerGrades+'!$AD$14,"D",IF(J338&lt;'PlayerGrades+'!$AD$13,"D+",IF(J338&lt;'PlayerGrades+'!$AD$12,"C-",IF(J338&lt;'PlayerGrades+'!$AD$11,"C",IF(J338&lt;'PlayerGrades+'!$AD$10,"C+",IF(J338&lt;'PlayerGrades+'!$AD$9,"B-",IF(J338&lt;'PlayerGrades+'!$AD$8,"B",IF(J338&lt;'PlayerGrades+'!$AD$7,"B+",IF(J338&lt;'PlayerGrades+'!$AD$6,"A-",IF(J338&lt;'PlayerGrades+'!$AD$5,"A",IF(J338&lt;'PlayerGrades+'!$AD$4,"A+",IF(J338&lt;'PlayerGrades+'!$AD$3,"S-",IF(J338&lt;'PlayerGrades+'!$AD$2,"S","S+"))))))))))))))))))))</f>
        <v>#DIV/0!</v>
      </c>
      <c r="L338" s="1176" t="str">
        <f t="shared" si="5"/>
        <v>#DIV/0!</v>
      </c>
      <c r="M338" s="992" t="str">
        <f>IF(L338&lt;'PlayerGrades+'!$AE$21,"F-",IF(L338&lt;'PlayerGrades+'!$AE$20,"F",IF(L338&lt;'PlayerGrades+'!$AE$19,"F+",IF(L338&lt;'PlayerGrades+'!$AE$18,"E-",IF(L338&lt;'PlayerGrades+'!$AE$17,"E",IF(L338&lt;'PlayerGrades+'!$AE$16,"E+",IF(L338&lt;'PlayerGrades+'!$AE$15,"D-",IF(L338&lt;'PlayerGrades+'!$AE$14,"D",IF(L338&lt;'PlayerGrades+'!$AE$13,"D+",IF(L338&lt;'PlayerGrades+'!$AE$12,"C-",IF(L338&lt;'PlayerGrades+'!$AE$11,"C",IF(L338&lt;'PlayerGrades+'!$AE$10,"C+",IF(L338&lt;'PlayerGrades+'!$AE$9,"B-",IF(L338&lt;'PlayerGrades+'!$AE$8,"B",IF(L338&lt;'PlayerGrades+'!$AE$7,"B+",IF(L338&lt;'PlayerGrades+'!$AE$6,"A-",IF(L338&lt;'PlayerGrades+'!$AE$5,"A",IF(L338&lt;'PlayerGrades+'!$AE$4,"A+",IF(L338&lt;'PlayerGrades+'!$AE$3,"S-",IF(L338&lt;'PlayerGrades+'!$AE$2,"S","S+"))))))))))))))))))))</f>
        <v>#DIV/0!</v>
      </c>
      <c r="N338" s="961" t="str">
        <f t="shared" si="6"/>
        <v>#DIV/0!</v>
      </c>
      <c r="O338" s="961" t="str">
        <f>IF(N338&lt;'PlayerGrades+'!$AF$21,"F-",IF(N338&lt;'PlayerGrades+'!$AF$20,"F",IF(N338&lt;'PlayerGrades+'!$AF$19,"F+",IF(N338&lt;'PlayerGrades+'!$AF$18,"E-",IF(N338&lt;'PlayerGrades+'!$AF$17,"E",IF(N338&lt;'PlayerGrades+'!$AF$16,"E+",IF(N338&lt;'PlayerGrades+'!$AF$15,"D-",IF(N338&lt;'PlayerGrades+'!$AF$14,"D",IF(N338&lt;'PlayerGrades+'!$AF$13,"D+",IF(N338&lt;'PlayerGrades+'!$AF$12,"C-",IF(N338&lt;'PlayerGrades+'!$AF$11,"C",IF(N338&lt;'PlayerGrades+'!$AF$10,"C+",IF(N338&lt;'PlayerGrades+'!$AF$9,"B-",IF(N338&lt;'PlayerGrades+'!$AF$8,"B",IF(N338&lt;'PlayerGrades+'!$AF$7,"B+",IF(N338&lt;'PlayerGrades+'!$AF$6,"A-",IF(N338&lt;'PlayerGrades+'!$AF$5,"A",IF(N338&lt;'PlayerGrades+'!$AF$4,"A+",IF(N338&lt;'PlayerGrades+'!$AF$3,"S-",IF(N338&lt;'PlayerGrades+'!$AF$2,"S","S+"))))))))))))))))))))</f>
        <v>#DIV/0!</v>
      </c>
      <c r="P338" s="961" t="str">
        <f t="shared" si="7"/>
        <v>#DIV/0!</v>
      </c>
      <c r="Q338" s="961" t="str">
        <f>IF(P338&lt;'PlayerGrades+'!$AG$21,"F-",IF(P338&lt;'PlayerGrades+'!$AG$20,"F",IF(P338&lt;'PlayerGrades+'!$AG$19,"F+",IF(P338&lt;'PlayerGrades+'!$AG$18,"E-",IF(P338&lt;'PlayerGrades+'!$AG$17,"E",IF(P338&lt;'PlayerGrades+'!$AG$16,"E+",IF(P338&lt;'PlayerGrades+'!$AG$15,"D-",IF(P338&lt;'PlayerGrades+'!$AG$14,"D",IF(P338&lt;'PlayerGrades+'!$AG$13,"D+",IF(P338&lt;'PlayerGrades+'!$AG$12,"C-",IF(P338&lt;'PlayerGrades+'!$AG$11,"C",IF(P338&lt;'PlayerGrades+'!$AG$10,"C+",IF(P338&lt;'PlayerGrades+'!$AG$9,"B-",IF(P338&lt;'PlayerGrades+'!$AG$8,"B",IF(P338&lt;'PlayerGrades+'!$AG$7,"B+",IF(P338&lt;'PlayerGrades+'!$AG$6,"A-",IF(P338&lt;'PlayerGrades+'!$AG$5,"A",IF(P338&lt;'PlayerGrades+'!$AG$4,"A+",IF(P338&lt;'PlayerGrades+'!$AG$3,"S-",IF(P338&lt;'PlayerGrades+'!$AG$2,"S","S+"))))))))))))))))))))</f>
        <v>#DIV/0!</v>
      </c>
      <c r="R338" s="961" t="str">
        <f t="shared" si="8"/>
        <v>#DIV/0!</v>
      </c>
      <c r="S338" s="961" t="str">
        <f>IF(R338&lt;'PlayerGrades+'!$AH$21,"F-",IF(R338&lt;'PlayerGrades+'!$AH$20,"F",IF(R338&lt;'PlayerGrades+'!$AH$19,"F+",IF(R338&lt;'PlayerGrades+'!$AH$18,"E-",IF(R338&lt;'PlayerGrades+'!$AH$17,"E",IF(R338&lt;'PlayerGrades+'!$AH$16,"E+",IF(R338&lt;'PlayerGrades+'!$AH$15,"D-",IF(R338&lt;'PlayerGrades+'!$AH$14,"D",IF(R338&lt;'PlayerGrades+'!$AH$13,"D+",IF(R338&lt;'PlayerGrades+'!$AH$12,"C-",IF(R338&lt;'PlayerGrades+'!$AH$11,"C",IF(R338&lt;'PlayerGrades+'!$AH$10,"C+",IF(R338&lt;'PlayerGrades+'!$AH$9,"B-",IF(R338&lt;'PlayerGrades+'!$AH$8,"B",IF(R338&lt;'PlayerGrades+'!$AH$7,"B+",IF(R338&lt;'PlayerGrades+'!$AH$6,"A-",IF(R338&lt;'PlayerGrades+'!$AH$5,"A",IF(R338&lt;'PlayerGrades+'!$AH$4,"A+",IF(R338&lt;'PlayerGrades+'!$AH$3,"S-",IF(R338&lt;'PlayerGrades+'!$AH$2,"S","S+"))))))))))))))))))))</f>
        <v>#DIV/0!</v>
      </c>
      <c r="T338" s="961">
        <f t="shared" si="9"/>
        <v>0</v>
      </c>
      <c r="U338" s="961" t="str">
        <f>IF(T338&lt;'PlayerGrades+'!$AI$21,"F-",IF(T338&lt;'PlayerGrades+'!$AI$20,"F",IF(T338&lt;'PlayerGrades+'!$AI$19,"F+",IF(T338&lt;'PlayerGrades+'!$AI$18,"E-",IF(T338&lt;'PlayerGrades+'!$AI$17,"E",IF(T338&lt;'PlayerGrades+'!$AI$16,"E+",IF(T338&lt;'PlayerGrades+'!$AI$15,"D-",IF(T338&lt;'PlayerGrades+'!$AI$14,"D",IF(T338&lt;'PlayerGrades+'!$AI$13,"D+",IF(T338&lt;'PlayerGrades+'!$AI$12,"C-",IF(T338&lt;'PlayerGrades+'!$AI$11,"C",IF(T338&lt;'PlayerGrades+'!$AI$10,"C+",IF(T338&lt;'PlayerGrades+'!$AI$9,"B-",IF(T338&lt;'PlayerGrades+'!$AI$8,"B",IF(T338&lt;'PlayerGrades+'!$AI$7,"B+",IF(T338&lt;'PlayerGrades+'!$AI$6,"A-",IF(T338&lt;'PlayerGrades+'!$AI$5,"A",IF(T338&lt;'PlayerGrades+'!$AI$4,"A+",IF(T338&lt;'PlayerGrades+'!$AI$3,"S-",IF(T338&lt;'PlayerGrades+'!$AI$2,"S","S+"))))))))))))))))))))</f>
        <v>F-</v>
      </c>
      <c r="V338" s="1379"/>
      <c r="W338" s="1379"/>
      <c r="X338" s="1379"/>
      <c r="Y338" s="1379"/>
      <c r="Z338" s="1379"/>
      <c r="AA338" s="1379"/>
      <c r="AB338" s="1379"/>
      <c r="AC338" s="1390"/>
      <c r="AD338" s="1379"/>
      <c r="AE338" s="1379"/>
      <c r="AF338" s="1410"/>
      <c r="AG338" s="1379"/>
      <c r="AH338" s="1379"/>
      <c r="AI338" s="1379"/>
      <c r="AJ338" s="1379"/>
      <c r="AK338" s="1379"/>
      <c r="AL338" s="1379"/>
      <c r="AM338" s="1379"/>
      <c r="AN338" s="1379"/>
      <c r="AO338" s="1379"/>
      <c r="AP338" s="1379"/>
      <c r="AQ338" s="1379"/>
      <c r="AR338" s="1379"/>
      <c r="AS338" s="1379"/>
      <c r="AT338" s="1379"/>
      <c r="AU338" s="1379"/>
      <c r="AV338" s="1379"/>
      <c r="AW338" s="1379"/>
      <c r="AX338" s="1379"/>
      <c r="AY338" s="1379"/>
      <c r="AZ338" s="1379"/>
    </row>
    <row r="339">
      <c r="A339" s="1391"/>
      <c r="B339" s="611" t="str">
        <f>IF(C339&lt;'PlayerGrades+'!$Y$44,"F-",IF(C339&lt;'PlayerGrades+'!$Y$43,"F",IF(C339&lt;'PlayerGrades+'!$Y$42,"F+",IF(C339&lt;'PlayerGrades+'!$Y$41,"E-",IF(C339&lt;'PlayerGrades+'!$Y$40,"E",IF(C339&lt;'PlayerGrades+'!$Y$39,"E+",IF(C339&lt;'PlayerGrades+'!$Y$38,"D-",IF(C339&lt;'PlayerGrades+'!$Y$37,"D",IF(C339&lt;'PlayerGrades+'!$Y$36,"D+",IF(C339&lt;'PlayerGrades+'!$Y$35,"C-",IF(C339&lt;'PlayerGrades+'!$Y$34,"C",IF(C339&lt;'PlayerGrades+'!$Y$33,"C+",IF(C339&lt;'PlayerGrades+'!$Y$32,"B-",IF(C339&lt;'PlayerGrades+'!$Y$31,"B",IF(C339&lt;'PlayerGrades+'!$Y$30,"B+",IF(C339&lt;'PlayerGrades+'!$Y$29,"A-",IF(C339&lt;'PlayerGrades+'!$Y$28,"A",IF(C339&lt;'PlayerGrades+'!$Y$27,"A+",IF(C339&lt;'PlayerGrades+'!$Y$26,"S-",IF(C339&lt;'PlayerGrades+'!$Y$25,"S","S+"))))))))))))))))))))</f>
        <v>#DIV/0!</v>
      </c>
      <c r="C339" s="1378" t="str">
        <f>('PlayerGrades+'!$Y$47*(VLOOKUP(E339, 'PlayerGrades+'!$X$3:$Y$23, 2, FALSE)))+('PlayerGrades+'!$Y$48*(VLOOKUP(G339, 'PlayerGrades+'!$X$3:$Y$23, 2, FALSE)))+('PlayerGrades+'!$Y$49*(VLOOKUP(I339, 'PlayerGrades+'!$X$3:$Y$23, 2, FALSE)))+('PlayerGrades+'!$Y$50*(VLOOKUP(K339, 'PlayerGrades+'!$X$3:$Y$23, 2, FALSE)))+('PlayerGrades+'!$Y$51*(VLOOKUP(M339, 'PlayerGrades+'!$X$3:$Y$23, 2, FALSE)))+('PlayerGrades+'!$Y$52*(VLOOKUP(O339, 'PlayerGrades+'!$X$3:$Y$23, 2, FALSE)))+('PlayerGrades+'!$Y$53*(VLOOKUP(Q339, 'PlayerGrades+'!$X$3:$Y$23, 2, FALSE)))+('PlayerGrades+'!$Y$54*(VLOOKUP(S339, 'PlayerGrades+'!$X$3:$Y$23, 2, FALSE)))+('PlayerGrades+'!$Y$55*(VLOOKUP(U339, 'PlayerGrades+'!$X$3:$Y$23, 2, FALSE)))</f>
        <v>#DIV/0!</v>
      </c>
      <c r="D339" s="961" t="str">
        <f t="shared" si="1"/>
        <v>#DIV/0!</v>
      </c>
      <c r="E339" s="961" t="str">
        <f>IF(D339&lt;'PlayerGrades+'!$AA$21,"F-",IF(D339&lt;'PlayerGrades+'!$AA$20,"F",IF(D339&lt;'PlayerGrades+'!$AA$19,"F+",IF(D339&lt;'PlayerGrades+'!$AA$18,"E-",IF(D339&lt;'PlayerGrades+'!$AA$17,"E",IF(D339&lt;'PlayerGrades+'!$AA$16,"E+",IF(D339&lt;'PlayerGrades+'!$AA$15,"D-",IF(D339&lt;'PlayerGrades+'!$AA$14,"D",IF(D339&lt;'PlayerGrades+'!$AA$13,"D+",IF(D339&lt;'PlayerGrades+'!$AA$12,"C-",IF(D339&lt;'PlayerGrades+'!$AA$11,"C",IF(D339&lt;'PlayerGrades+'!$AA$10,"C+",IF(D339&lt;'PlayerGrades+'!$AA$9,"B-",IF(D339&lt;'PlayerGrades+'!$AA$8,"B",IF(D339&lt;'PlayerGrades+'!$AA$7,"B+",IF(D339&lt;'PlayerGrades+'!$AA$6,"A-",IF(D339&lt;'PlayerGrades+'!$AA$5,"A",IF(D339&lt;'PlayerGrades+'!$AA$4,"A+",IF(D339&lt;'PlayerGrades+'!$AA$3,"S-",IF(D339&lt;'PlayerGrades+'!$AA$2,"S","S+"))))))))))))))))))))</f>
        <v>#DIV/0!</v>
      </c>
      <c r="F339" s="961" t="str">
        <f t="shared" si="2"/>
        <v>#DIV/0!</v>
      </c>
      <c r="G339" s="961" t="str">
        <f>IF(F339&lt;'PlayerGrades+'!$AB$21,"F-",IF(F339&lt;'PlayerGrades+'!$AB$20,"F",IF(F339&lt;'PlayerGrades+'!$AB$19,"F+",IF(F339&lt;'PlayerGrades+'!$AB$18,"E-",IF(F339&lt;'PlayerGrades+'!$AB$17,"E",IF(F339&lt;'PlayerGrades+'!$AB$16,"E+",IF(F339&lt;'PlayerGrades+'!$AB$15,"D-",IF(F339&lt;'PlayerGrades+'!$AB$14,"D",IF(F339&lt;'PlayerGrades+'!$AB$13,"D+",IF(F339&lt;'PlayerGrades+'!$AB$12,"C-",IF(F339&lt;'PlayerGrades+'!$AB$11,"C",IF(F339&lt;'PlayerGrades+'!$AB$10,"C+",IF(F339&lt;'PlayerGrades+'!$AB$9,"B-",IF(F339&lt;'PlayerGrades+'!$AB$8,"B",IF(F339&lt;'PlayerGrades+'!$AB$7,"B+",IF(F339&lt;'PlayerGrades+'!$AB$6,"A-",IF(F339&lt;'PlayerGrades+'!$AB$5,"A",IF(F339&lt;'PlayerGrades+'!$AB$4,"A+",IF(F339&lt;'PlayerGrades+'!$AB$3,"S-",IF(F339&lt;'PlayerGrades+'!$AB$2,"S","S+"))))))))))))))))))))</f>
        <v>#DIV/0!</v>
      </c>
      <c r="H339" s="961" t="str">
        <f t="shared" si="3"/>
        <v>#DIV/0!</v>
      </c>
      <c r="I339" s="961" t="str">
        <f>IF(H339&lt;'PlayerGrades+'!$AC$21,"F-",IF(H339&lt;'PlayerGrades+'!$AC$20,"F",IF(H339&lt;'PlayerGrades+'!$AC$19,"F+",IF(H339&lt;'PlayerGrades+'!$AC$18,"E-",IF(H339&lt;'PlayerGrades+'!$AC$17,"E",IF(H339&lt;'PlayerGrades+'!$AC$16,"E+",IF(H339&lt;'PlayerGrades+'!$AC$15,"D-",IF(H339&lt;'PlayerGrades+'!$AC$14,"D",IF(H339&lt;'PlayerGrades+'!$AC$13,"D+",IF(H339&lt;'PlayerGrades+'!$AC$12,"C-",IF(H339&lt;'PlayerGrades+'!$AC$11,"C",IF(H339&lt;'PlayerGrades+'!$AC$10,"C+",IF(H339&lt;'PlayerGrades+'!$AC$9,"B-",IF(H339&lt;'PlayerGrades+'!$AC$8,"B",IF(H339&lt;'PlayerGrades+'!$AC$7,"B+",IF(H339&lt;'PlayerGrades+'!$AC$6,"A-",IF(H339&lt;'PlayerGrades+'!$AC$5,"A",IF(H339&lt;'PlayerGrades+'!$AC$4,"A+",IF(H339&lt;'PlayerGrades+'!$AC$3,"S-",IF(H339&lt;'PlayerGrades+'!$AC$2,"S","S+"))))))))))))))))))))</f>
        <v>#DIV/0!</v>
      </c>
      <c r="J339" s="961" t="str">
        <f t="shared" si="4"/>
        <v>#DIV/0!</v>
      </c>
      <c r="K339" s="961" t="str">
        <f>IF(J339&lt;'PlayerGrades+'!$AD$21,"F-",IF(J339&lt;'PlayerGrades+'!$AD$20,"F",IF(J339&lt;'PlayerGrades+'!$AD$19,"F+",IF(J339&lt;'PlayerGrades+'!$AD$18,"E-",IF(J339&lt;'PlayerGrades+'!$AD$17,"E",IF(J339&lt;'PlayerGrades+'!$AD$16,"E+",IF(J339&lt;'PlayerGrades+'!$AD$15,"D-",IF(J339&lt;'PlayerGrades+'!$AD$14,"D",IF(J339&lt;'PlayerGrades+'!$AD$13,"D+",IF(J339&lt;'PlayerGrades+'!$AD$12,"C-",IF(J339&lt;'PlayerGrades+'!$AD$11,"C",IF(J339&lt;'PlayerGrades+'!$AD$10,"C+",IF(J339&lt;'PlayerGrades+'!$AD$9,"B-",IF(J339&lt;'PlayerGrades+'!$AD$8,"B",IF(J339&lt;'PlayerGrades+'!$AD$7,"B+",IF(J339&lt;'PlayerGrades+'!$AD$6,"A-",IF(J339&lt;'PlayerGrades+'!$AD$5,"A",IF(J339&lt;'PlayerGrades+'!$AD$4,"A+",IF(J339&lt;'PlayerGrades+'!$AD$3,"S-",IF(J339&lt;'PlayerGrades+'!$AD$2,"S","S+"))))))))))))))))))))</f>
        <v>#DIV/0!</v>
      </c>
      <c r="L339" s="1176" t="str">
        <f t="shared" si="5"/>
        <v>#DIV/0!</v>
      </c>
      <c r="M339" s="992" t="str">
        <f>IF(L339&lt;'PlayerGrades+'!$AE$21,"F-",IF(L339&lt;'PlayerGrades+'!$AE$20,"F",IF(L339&lt;'PlayerGrades+'!$AE$19,"F+",IF(L339&lt;'PlayerGrades+'!$AE$18,"E-",IF(L339&lt;'PlayerGrades+'!$AE$17,"E",IF(L339&lt;'PlayerGrades+'!$AE$16,"E+",IF(L339&lt;'PlayerGrades+'!$AE$15,"D-",IF(L339&lt;'PlayerGrades+'!$AE$14,"D",IF(L339&lt;'PlayerGrades+'!$AE$13,"D+",IF(L339&lt;'PlayerGrades+'!$AE$12,"C-",IF(L339&lt;'PlayerGrades+'!$AE$11,"C",IF(L339&lt;'PlayerGrades+'!$AE$10,"C+",IF(L339&lt;'PlayerGrades+'!$AE$9,"B-",IF(L339&lt;'PlayerGrades+'!$AE$8,"B",IF(L339&lt;'PlayerGrades+'!$AE$7,"B+",IF(L339&lt;'PlayerGrades+'!$AE$6,"A-",IF(L339&lt;'PlayerGrades+'!$AE$5,"A",IF(L339&lt;'PlayerGrades+'!$AE$4,"A+",IF(L339&lt;'PlayerGrades+'!$AE$3,"S-",IF(L339&lt;'PlayerGrades+'!$AE$2,"S","S+"))))))))))))))))))))</f>
        <v>#DIV/0!</v>
      </c>
      <c r="N339" s="961" t="str">
        <f t="shared" si="6"/>
        <v>#DIV/0!</v>
      </c>
      <c r="O339" s="961" t="str">
        <f>IF(N339&lt;'PlayerGrades+'!$AF$21,"F-",IF(N339&lt;'PlayerGrades+'!$AF$20,"F",IF(N339&lt;'PlayerGrades+'!$AF$19,"F+",IF(N339&lt;'PlayerGrades+'!$AF$18,"E-",IF(N339&lt;'PlayerGrades+'!$AF$17,"E",IF(N339&lt;'PlayerGrades+'!$AF$16,"E+",IF(N339&lt;'PlayerGrades+'!$AF$15,"D-",IF(N339&lt;'PlayerGrades+'!$AF$14,"D",IF(N339&lt;'PlayerGrades+'!$AF$13,"D+",IF(N339&lt;'PlayerGrades+'!$AF$12,"C-",IF(N339&lt;'PlayerGrades+'!$AF$11,"C",IF(N339&lt;'PlayerGrades+'!$AF$10,"C+",IF(N339&lt;'PlayerGrades+'!$AF$9,"B-",IF(N339&lt;'PlayerGrades+'!$AF$8,"B",IF(N339&lt;'PlayerGrades+'!$AF$7,"B+",IF(N339&lt;'PlayerGrades+'!$AF$6,"A-",IF(N339&lt;'PlayerGrades+'!$AF$5,"A",IF(N339&lt;'PlayerGrades+'!$AF$4,"A+",IF(N339&lt;'PlayerGrades+'!$AF$3,"S-",IF(N339&lt;'PlayerGrades+'!$AF$2,"S","S+"))))))))))))))))))))</f>
        <v>#DIV/0!</v>
      </c>
      <c r="P339" s="961" t="str">
        <f t="shared" si="7"/>
        <v>#DIV/0!</v>
      </c>
      <c r="Q339" s="961" t="str">
        <f>IF(P339&lt;'PlayerGrades+'!$AG$21,"F-",IF(P339&lt;'PlayerGrades+'!$AG$20,"F",IF(P339&lt;'PlayerGrades+'!$AG$19,"F+",IF(P339&lt;'PlayerGrades+'!$AG$18,"E-",IF(P339&lt;'PlayerGrades+'!$AG$17,"E",IF(P339&lt;'PlayerGrades+'!$AG$16,"E+",IF(P339&lt;'PlayerGrades+'!$AG$15,"D-",IF(P339&lt;'PlayerGrades+'!$AG$14,"D",IF(P339&lt;'PlayerGrades+'!$AG$13,"D+",IF(P339&lt;'PlayerGrades+'!$AG$12,"C-",IF(P339&lt;'PlayerGrades+'!$AG$11,"C",IF(P339&lt;'PlayerGrades+'!$AG$10,"C+",IF(P339&lt;'PlayerGrades+'!$AG$9,"B-",IF(P339&lt;'PlayerGrades+'!$AG$8,"B",IF(P339&lt;'PlayerGrades+'!$AG$7,"B+",IF(P339&lt;'PlayerGrades+'!$AG$6,"A-",IF(P339&lt;'PlayerGrades+'!$AG$5,"A",IF(P339&lt;'PlayerGrades+'!$AG$4,"A+",IF(P339&lt;'PlayerGrades+'!$AG$3,"S-",IF(P339&lt;'PlayerGrades+'!$AG$2,"S","S+"))))))))))))))))))))</f>
        <v>#DIV/0!</v>
      </c>
      <c r="R339" s="961" t="str">
        <f t="shared" si="8"/>
        <v>#DIV/0!</v>
      </c>
      <c r="S339" s="961" t="str">
        <f>IF(R339&lt;'PlayerGrades+'!$AH$21,"F-",IF(R339&lt;'PlayerGrades+'!$AH$20,"F",IF(R339&lt;'PlayerGrades+'!$AH$19,"F+",IF(R339&lt;'PlayerGrades+'!$AH$18,"E-",IF(R339&lt;'PlayerGrades+'!$AH$17,"E",IF(R339&lt;'PlayerGrades+'!$AH$16,"E+",IF(R339&lt;'PlayerGrades+'!$AH$15,"D-",IF(R339&lt;'PlayerGrades+'!$AH$14,"D",IF(R339&lt;'PlayerGrades+'!$AH$13,"D+",IF(R339&lt;'PlayerGrades+'!$AH$12,"C-",IF(R339&lt;'PlayerGrades+'!$AH$11,"C",IF(R339&lt;'PlayerGrades+'!$AH$10,"C+",IF(R339&lt;'PlayerGrades+'!$AH$9,"B-",IF(R339&lt;'PlayerGrades+'!$AH$8,"B",IF(R339&lt;'PlayerGrades+'!$AH$7,"B+",IF(R339&lt;'PlayerGrades+'!$AH$6,"A-",IF(R339&lt;'PlayerGrades+'!$AH$5,"A",IF(R339&lt;'PlayerGrades+'!$AH$4,"A+",IF(R339&lt;'PlayerGrades+'!$AH$3,"S-",IF(R339&lt;'PlayerGrades+'!$AH$2,"S","S+"))))))))))))))))))))</f>
        <v>#DIV/0!</v>
      </c>
      <c r="T339" s="961">
        <f t="shared" si="9"/>
        <v>0</v>
      </c>
      <c r="U339" s="961" t="str">
        <f>IF(T339&lt;'PlayerGrades+'!$AI$21,"F-",IF(T339&lt;'PlayerGrades+'!$AI$20,"F",IF(T339&lt;'PlayerGrades+'!$AI$19,"F+",IF(T339&lt;'PlayerGrades+'!$AI$18,"E-",IF(T339&lt;'PlayerGrades+'!$AI$17,"E",IF(T339&lt;'PlayerGrades+'!$AI$16,"E+",IF(T339&lt;'PlayerGrades+'!$AI$15,"D-",IF(T339&lt;'PlayerGrades+'!$AI$14,"D",IF(T339&lt;'PlayerGrades+'!$AI$13,"D+",IF(T339&lt;'PlayerGrades+'!$AI$12,"C-",IF(T339&lt;'PlayerGrades+'!$AI$11,"C",IF(T339&lt;'PlayerGrades+'!$AI$10,"C+",IF(T339&lt;'PlayerGrades+'!$AI$9,"B-",IF(T339&lt;'PlayerGrades+'!$AI$8,"B",IF(T339&lt;'PlayerGrades+'!$AI$7,"B+",IF(T339&lt;'PlayerGrades+'!$AI$6,"A-",IF(T339&lt;'PlayerGrades+'!$AI$5,"A",IF(T339&lt;'PlayerGrades+'!$AI$4,"A+",IF(T339&lt;'PlayerGrades+'!$AI$3,"S-",IF(T339&lt;'PlayerGrades+'!$AI$2,"S","S+"))))))))))))))))))))</f>
        <v>F-</v>
      </c>
      <c r="AC339" s="1392"/>
    </row>
    <row r="340">
      <c r="A340" s="1391"/>
      <c r="B340" s="611" t="str">
        <f>IF(C340&lt;'PlayerGrades+'!$Y$44,"F-",IF(C340&lt;'PlayerGrades+'!$Y$43,"F",IF(C340&lt;'PlayerGrades+'!$Y$42,"F+",IF(C340&lt;'PlayerGrades+'!$Y$41,"E-",IF(C340&lt;'PlayerGrades+'!$Y$40,"E",IF(C340&lt;'PlayerGrades+'!$Y$39,"E+",IF(C340&lt;'PlayerGrades+'!$Y$38,"D-",IF(C340&lt;'PlayerGrades+'!$Y$37,"D",IF(C340&lt;'PlayerGrades+'!$Y$36,"D+",IF(C340&lt;'PlayerGrades+'!$Y$35,"C-",IF(C340&lt;'PlayerGrades+'!$Y$34,"C",IF(C340&lt;'PlayerGrades+'!$Y$33,"C+",IF(C340&lt;'PlayerGrades+'!$Y$32,"B-",IF(C340&lt;'PlayerGrades+'!$Y$31,"B",IF(C340&lt;'PlayerGrades+'!$Y$30,"B+",IF(C340&lt;'PlayerGrades+'!$Y$29,"A-",IF(C340&lt;'PlayerGrades+'!$Y$28,"A",IF(C340&lt;'PlayerGrades+'!$Y$27,"A+",IF(C340&lt;'PlayerGrades+'!$Y$26,"S-",IF(C340&lt;'PlayerGrades+'!$Y$25,"S","S+"))))))))))))))))))))</f>
        <v>#DIV/0!</v>
      </c>
      <c r="C340" s="1378" t="str">
        <f>('PlayerGrades+'!$Y$47*(VLOOKUP(E340, 'PlayerGrades+'!$X$3:$Y$23, 2, FALSE)))+('PlayerGrades+'!$Y$48*(VLOOKUP(G340, 'PlayerGrades+'!$X$3:$Y$23, 2, FALSE)))+('PlayerGrades+'!$Y$49*(VLOOKUP(I340, 'PlayerGrades+'!$X$3:$Y$23, 2, FALSE)))+('PlayerGrades+'!$Y$50*(VLOOKUP(K340, 'PlayerGrades+'!$X$3:$Y$23, 2, FALSE)))+('PlayerGrades+'!$Y$51*(VLOOKUP(M340, 'PlayerGrades+'!$X$3:$Y$23, 2, FALSE)))+('PlayerGrades+'!$Y$52*(VLOOKUP(O340, 'PlayerGrades+'!$X$3:$Y$23, 2, FALSE)))+('PlayerGrades+'!$Y$53*(VLOOKUP(Q340, 'PlayerGrades+'!$X$3:$Y$23, 2, FALSE)))+('PlayerGrades+'!$Y$54*(VLOOKUP(S340, 'PlayerGrades+'!$X$3:$Y$23, 2, FALSE)))+('PlayerGrades+'!$Y$55*(VLOOKUP(U340, 'PlayerGrades+'!$X$3:$Y$23, 2, FALSE)))</f>
        <v>#DIV/0!</v>
      </c>
      <c r="D340" s="961" t="str">
        <f t="shared" si="1"/>
        <v>#DIV/0!</v>
      </c>
      <c r="E340" s="961" t="str">
        <f>IF(D340&lt;'PlayerGrades+'!$AA$21,"F-",IF(D340&lt;'PlayerGrades+'!$AA$20,"F",IF(D340&lt;'PlayerGrades+'!$AA$19,"F+",IF(D340&lt;'PlayerGrades+'!$AA$18,"E-",IF(D340&lt;'PlayerGrades+'!$AA$17,"E",IF(D340&lt;'PlayerGrades+'!$AA$16,"E+",IF(D340&lt;'PlayerGrades+'!$AA$15,"D-",IF(D340&lt;'PlayerGrades+'!$AA$14,"D",IF(D340&lt;'PlayerGrades+'!$AA$13,"D+",IF(D340&lt;'PlayerGrades+'!$AA$12,"C-",IF(D340&lt;'PlayerGrades+'!$AA$11,"C",IF(D340&lt;'PlayerGrades+'!$AA$10,"C+",IF(D340&lt;'PlayerGrades+'!$AA$9,"B-",IF(D340&lt;'PlayerGrades+'!$AA$8,"B",IF(D340&lt;'PlayerGrades+'!$AA$7,"B+",IF(D340&lt;'PlayerGrades+'!$AA$6,"A-",IF(D340&lt;'PlayerGrades+'!$AA$5,"A",IF(D340&lt;'PlayerGrades+'!$AA$4,"A+",IF(D340&lt;'PlayerGrades+'!$AA$3,"S-",IF(D340&lt;'PlayerGrades+'!$AA$2,"S","S+"))))))))))))))))))))</f>
        <v>#DIV/0!</v>
      </c>
      <c r="F340" s="961" t="str">
        <f t="shared" si="2"/>
        <v>#DIV/0!</v>
      </c>
      <c r="G340" s="961" t="str">
        <f>IF(F340&lt;'PlayerGrades+'!$AB$21,"F-",IF(F340&lt;'PlayerGrades+'!$AB$20,"F",IF(F340&lt;'PlayerGrades+'!$AB$19,"F+",IF(F340&lt;'PlayerGrades+'!$AB$18,"E-",IF(F340&lt;'PlayerGrades+'!$AB$17,"E",IF(F340&lt;'PlayerGrades+'!$AB$16,"E+",IF(F340&lt;'PlayerGrades+'!$AB$15,"D-",IF(F340&lt;'PlayerGrades+'!$AB$14,"D",IF(F340&lt;'PlayerGrades+'!$AB$13,"D+",IF(F340&lt;'PlayerGrades+'!$AB$12,"C-",IF(F340&lt;'PlayerGrades+'!$AB$11,"C",IF(F340&lt;'PlayerGrades+'!$AB$10,"C+",IF(F340&lt;'PlayerGrades+'!$AB$9,"B-",IF(F340&lt;'PlayerGrades+'!$AB$8,"B",IF(F340&lt;'PlayerGrades+'!$AB$7,"B+",IF(F340&lt;'PlayerGrades+'!$AB$6,"A-",IF(F340&lt;'PlayerGrades+'!$AB$5,"A",IF(F340&lt;'PlayerGrades+'!$AB$4,"A+",IF(F340&lt;'PlayerGrades+'!$AB$3,"S-",IF(F340&lt;'PlayerGrades+'!$AB$2,"S","S+"))))))))))))))))))))</f>
        <v>#DIV/0!</v>
      </c>
      <c r="H340" s="961" t="str">
        <f t="shared" si="3"/>
        <v>#DIV/0!</v>
      </c>
      <c r="I340" s="961" t="str">
        <f>IF(H340&lt;'PlayerGrades+'!$AC$21,"F-",IF(H340&lt;'PlayerGrades+'!$AC$20,"F",IF(H340&lt;'PlayerGrades+'!$AC$19,"F+",IF(H340&lt;'PlayerGrades+'!$AC$18,"E-",IF(H340&lt;'PlayerGrades+'!$AC$17,"E",IF(H340&lt;'PlayerGrades+'!$AC$16,"E+",IF(H340&lt;'PlayerGrades+'!$AC$15,"D-",IF(H340&lt;'PlayerGrades+'!$AC$14,"D",IF(H340&lt;'PlayerGrades+'!$AC$13,"D+",IF(H340&lt;'PlayerGrades+'!$AC$12,"C-",IF(H340&lt;'PlayerGrades+'!$AC$11,"C",IF(H340&lt;'PlayerGrades+'!$AC$10,"C+",IF(H340&lt;'PlayerGrades+'!$AC$9,"B-",IF(H340&lt;'PlayerGrades+'!$AC$8,"B",IF(H340&lt;'PlayerGrades+'!$AC$7,"B+",IF(H340&lt;'PlayerGrades+'!$AC$6,"A-",IF(H340&lt;'PlayerGrades+'!$AC$5,"A",IF(H340&lt;'PlayerGrades+'!$AC$4,"A+",IF(H340&lt;'PlayerGrades+'!$AC$3,"S-",IF(H340&lt;'PlayerGrades+'!$AC$2,"S","S+"))))))))))))))))))))</f>
        <v>#DIV/0!</v>
      </c>
      <c r="J340" s="961" t="str">
        <f t="shared" si="4"/>
        <v>#DIV/0!</v>
      </c>
      <c r="K340" s="961" t="str">
        <f>IF(J340&lt;'PlayerGrades+'!$AD$21,"F-",IF(J340&lt;'PlayerGrades+'!$AD$20,"F",IF(J340&lt;'PlayerGrades+'!$AD$19,"F+",IF(J340&lt;'PlayerGrades+'!$AD$18,"E-",IF(J340&lt;'PlayerGrades+'!$AD$17,"E",IF(J340&lt;'PlayerGrades+'!$AD$16,"E+",IF(J340&lt;'PlayerGrades+'!$AD$15,"D-",IF(J340&lt;'PlayerGrades+'!$AD$14,"D",IF(J340&lt;'PlayerGrades+'!$AD$13,"D+",IF(J340&lt;'PlayerGrades+'!$AD$12,"C-",IF(J340&lt;'PlayerGrades+'!$AD$11,"C",IF(J340&lt;'PlayerGrades+'!$AD$10,"C+",IF(J340&lt;'PlayerGrades+'!$AD$9,"B-",IF(J340&lt;'PlayerGrades+'!$AD$8,"B",IF(J340&lt;'PlayerGrades+'!$AD$7,"B+",IF(J340&lt;'PlayerGrades+'!$AD$6,"A-",IF(J340&lt;'PlayerGrades+'!$AD$5,"A",IF(J340&lt;'PlayerGrades+'!$AD$4,"A+",IF(J340&lt;'PlayerGrades+'!$AD$3,"S-",IF(J340&lt;'PlayerGrades+'!$AD$2,"S","S+"))))))))))))))))))))</f>
        <v>#DIV/0!</v>
      </c>
      <c r="L340" s="1176" t="str">
        <f t="shared" si="5"/>
        <v>#DIV/0!</v>
      </c>
      <c r="M340" s="992" t="str">
        <f>IF(L340&lt;'PlayerGrades+'!$AE$21,"F-",IF(L340&lt;'PlayerGrades+'!$AE$20,"F",IF(L340&lt;'PlayerGrades+'!$AE$19,"F+",IF(L340&lt;'PlayerGrades+'!$AE$18,"E-",IF(L340&lt;'PlayerGrades+'!$AE$17,"E",IF(L340&lt;'PlayerGrades+'!$AE$16,"E+",IF(L340&lt;'PlayerGrades+'!$AE$15,"D-",IF(L340&lt;'PlayerGrades+'!$AE$14,"D",IF(L340&lt;'PlayerGrades+'!$AE$13,"D+",IF(L340&lt;'PlayerGrades+'!$AE$12,"C-",IF(L340&lt;'PlayerGrades+'!$AE$11,"C",IF(L340&lt;'PlayerGrades+'!$AE$10,"C+",IF(L340&lt;'PlayerGrades+'!$AE$9,"B-",IF(L340&lt;'PlayerGrades+'!$AE$8,"B",IF(L340&lt;'PlayerGrades+'!$AE$7,"B+",IF(L340&lt;'PlayerGrades+'!$AE$6,"A-",IF(L340&lt;'PlayerGrades+'!$AE$5,"A",IF(L340&lt;'PlayerGrades+'!$AE$4,"A+",IF(L340&lt;'PlayerGrades+'!$AE$3,"S-",IF(L340&lt;'PlayerGrades+'!$AE$2,"S","S+"))))))))))))))))))))</f>
        <v>#DIV/0!</v>
      </c>
      <c r="N340" s="961" t="str">
        <f t="shared" si="6"/>
        <v>#DIV/0!</v>
      </c>
      <c r="O340" s="961" t="str">
        <f>IF(N340&lt;'PlayerGrades+'!$AF$21,"F-",IF(N340&lt;'PlayerGrades+'!$AF$20,"F",IF(N340&lt;'PlayerGrades+'!$AF$19,"F+",IF(N340&lt;'PlayerGrades+'!$AF$18,"E-",IF(N340&lt;'PlayerGrades+'!$AF$17,"E",IF(N340&lt;'PlayerGrades+'!$AF$16,"E+",IF(N340&lt;'PlayerGrades+'!$AF$15,"D-",IF(N340&lt;'PlayerGrades+'!$AF$14,"D",IF(N340&lt;'PlayerGrades+'!$AF$13,"D+",IF(N340&lt;'PlayerGrades+'!$AF$12,"C-",IF(N340&lt;'PlayerGrades+'!$AF$11,"C",IF(N340&lt;'PlayerGrades+'!$AF$10,"C+",IF(N340&lt;'PlayerGrades+'!$AF$9,"B-",IF(N340&lt;'PlayerGrades+'!$AF$8,"B",IF(N340&lt;'PlayerGrades+'!$AF$7,"B+",IF(N340&lt;'PlayerGrades+'!$AF$6,"A-",IF(N340&lt;'PlayerGrades+'!$AF$5,"A",IF(N340&lt;'PlayerGrades+'!$AF$4,"A+",IF(N340&lt;'PlayerGrades+'!$AF$3,"S-",IF(N340&lt;'PlayerGrades+'!$AF$2,"S","S+"))))))))))))))))))))</f>
        <v>#DIV/0!</v>
      </c>
      <c r="P340" s="961" t="str">
        <f t="shared" si="7"/>
        <v>#DIV/0!</v>
      </c>
      <c r="Q340" s="961" t="str">
        <f>IF(P340&lt;'PlayerGrades+'!$AG$21,"F-",IF(P340&lt;'PlayerGrades+'!$AG$20,"F",IF(P340&lt;'PlayerGrades+'!$AG$19,"F+",IF(P340&lt;'PlayerGrades+'!$AG$18,"E-",IF(P340&lt;'PlayerGrades+'!$AG$17,"E",IF(P340&lt;'PlayerGrades+'!$AG$16,"E+",IF(P340&lt;'PlayerGrades+'!$AG$15,"D-",IF(P340&lt;'PlayerGrades+'!$AG$14,"D",IF(P340&lt;'PlayerGrades+'!$AG$13,"D+",IF(P340&lt;'PlayerGrades+'!$AG$12,"C-",IF(P340&lt;'PlayerGrades+'!$AG$11,"C",IF(P340&lt;'PlayerGrades+'!$AG$10,"C+",IF(P340&lt;'PlayerGrades+'!$AG$9,"B-",IF(P340&lt;'PlayerGrades+'!$AG$8,"B",IF(P340&lt;'PlayerGrades+'!$AG$7,"B+",IF(P340&lt;'PlayerGrades+'!$AG$6,"A-",IF(P340&lt;'PlayerGrades+'!$AG$5,"A",IF(P340&lt;'PlayerGrades+'!$AG$4,"A+",IF(P340&lt;'PlayerGrades+'!$AG$3,"S-",IF(P340&lt;'PlayerGrades+'!$AG$2,"S","S+"))))))))))))))))))))</f>
        <v>#DIV/0!</v>
      </c>
      <c r="R340" s="961" t="str">
        <f t="shared" si="8"/>
        <v>#DIV/0!</v>
      </c>
      <c r="S340" s="961" t="str">
        <f>IF(R340&lt;'PlayerGrades+'!$AH$21,"F-",IF(R340&lt;'PlayerGrades+'!$AH$20,"F",IF(R340&lt;'PlayerGrades+'!$AH$19,"F+",IF(R340&lt;'PlayerGrades+'!$AH$18,"E-",IF(R340&lt;'PlayerGrades+'!$AH$17,"E",IF(R340&lt;'PlayerGrades+'!$AH$16,"E+",IF(R340&lt;'PlayerGrades+'!$AH$15,"D-",IF(R340&lt;'PlayerGrades+'!$AH$14,"D",IF(R340&lt;'PlayerGrades+'!$AH$13,"D+",IF(R340&lt;'PlayerGrades+'!$AH$12,"C-",IF(R340&lt;'PlayerGrades+'!$AH$11,"C",IF(R340&lt;'PlayerGrades+'!$AH$10,"C+",IF(R340&lt;'PlayerGrades+'!$AH$9,"B-",IF(R340&lt;'PlayerGrades+'!$AH$8,"B",IF(R340&lt;'PlayerGrades+'!$AH$7,"B+",IF(R340&lt;'PlayerGrades+'!$AH$6,"A-",IF(R340&lt;'PlayerGrades+'!$AH$5,"A",IF(R340&lt;'PlayerGrades+'!$AH$4,"A+",IF(R340&lt;'PlayerGrades+'!$AH$3,"S-",IF(R340&lt;'PlayerGrades+'!$AH$2,"S","S+"))))))))))))))))))))</f>
        <v>#DIV/0!</v>
      </c>
      <c r="T340" s="961">
        <f t="shared" si="9"/>
        <v>0</v>
      </c>
      <c r="U340" s="961" t="str">
        <f>IF(T340&lt;'PlayerGrades+'!$AI$21,"F-",IF(T340&lt;'PlayerGrades+'!$AI$20,"F",IF(T340&lt;'PlayerGrades+'!$AI$19,"F+",IF(T340&lt;'PlayerGrades+'!$AI$18,"E-",IF(T340&lt;'PlayerGrades+'!$AI$17,"E",IF(T340&lt;'PlayerGrades+'!$AI$16,"E+",IF(T340&lt;'PlayerGrades+'!$AI$15,"D-",IF(T340&lt;'PlayerGrades+'!$AI$14,"D",IF(T340&lt;'PlayerGrades+'!$AI$13,"D+",IF(T340&lt;'PlayerGrades+'!$AI$12,"C-",IF(T340&lt;'PlayerGrades+'!$AI$11,"C",IF(T340&lt;'PlayerGrades+'!$AI$10,"C+",IF(T340&lt;'PlayerGrades+'!$AI$9,"B-",IF(T340&lt;'PlayerGrades+'!$AI$8,"B",IF(T340&lt;'PlayerGrades+'!$AI$7,"B+",IF(T340&lt;'PlayerGrades+'!$AI$6,"A-",IF(T340&lt;'PlayerGrades+'!$AI$5,"A",IF(T340&lt;'PlayerGrades+'!$AI$4,"A+",IF(T340&lt;'PlayerGrades+'!$AI$3,"S-",IF(T340&lt;'PlayerGrades+'!$AI$2,"S","S+"))))))))))))))))))))</f>
        <v>F-</v>
      </c>
      <c r="AC340" s="1392"/>
    </row>
    <row r="341">
      <c r="A341" s="1391"/>
      <c r="B341" s="611" t="str">
        <f>IF(C341&lt;'PlayerGrades+'!$Y$44,"F-",IF(C341&lt;'PlayerGrades+'!$Y$43,"F",IF(C341&lt;'PlayerGrades+'!$Y$42,"F+",IF(C341&lt;'PlayerGrades+'!$Y$41,"E-",IF(C341&lt;'PlayerGrades+'!$Y$40,"E",IF(C341&lt;'PlayerGrades+'!$Y$39,"E+",IF(C341&lt;'PlayerGrades+'!$Y$38,"D-",IF(C341&lt;'PlayerGrades+'!$Y$37,"D",IF(C341&lt;'PlayerGrades+'!$Y$36,"D+",IF(C341&lt;'PlayerGrades+'!$Y$35,"C-",IF(C341&lt;'PlayerGrades+'!$Y$34,"C",IF(C341&lt;'PlayerGrades+'!$Y$33,"C+",IF(C341&lt;'PlayerGrades+'!$Y$32,"B-",IF(C341&lt;'PlayerGrades+'!$Y$31,"B",IF(C341&lt;'PlayerGrades+'!$Y$30,"B+",IF(C341&lt;'PlayerGrades+'!$Y$29,"A-",IF(C341&lt;'PlayerGrades+'!$Y$28,"A",IF(C341&lt;'PlayerGrades+'!$Y$27,"A+",IF(C341&lt;'PlayerGrades+'!$Y$26,"S-",IF(C341&lt;'PlayerGrades+'!$Y$25,"S","S+"))))))))))))))))))))</f>
        <v>#DIV/0!</v>
      </c>
      <c r="C341" s="1378" t="str">
        <f>('PlayerGrades+'!$Y$47*(VLOOKUP(E341, 'PlayerGrades+'!$X$3:$Y$23, 2, FALSE)))+('PlayerGrades+'!$Y$48*(VLOOKUP(G341, 'PlayerGrades+'!$X$3:$Y$23, 2, FALSE)))+('PlayerGrades+'!$Y$49*(VLOOKUP(I341, 'PlayerGrades+'!$X$3:$Y$23, 2, FALSE)))+('PlayerGrades+'!$Y$50*(VLOOKUP(K341, 'PlayerGrades+'!$X$3:$Y$23, 2, FALSE)))+('PlayerGrades+'!$Y$51*(VLOOKUP(M341, 'PlayerGrades+'!$X$3:$Y$23, 2, FALSE)))+('PlayerGrades+'!$Y$52*(VLOOKUP(O341, 'PlayerGrades+'!$X$3:$Y$23, 2, FALSE)))+('PlayerGrades+'!$Y$53*(VLOOKUP(Q341, 'PlayerGrades+'!$X$3:$Y$23, 2, FALSE)))+('PlayerGrades+'!$Y$54*(VLOOKUP(S341, 'PlayerGrades+'!$X$3:$Y$23, 2, FALSE)))+('PlayerGrades+'!$Y$55*(VLOOKUP(U341, 'PlayerGrades+'!$X$3:$Y$23, 2, FALSE)))</f>
        <v>#DIV/0!</v>
      </c>
      <c r="D341" s="961" t="str">
        <f t="shared" si="1"/>
        <v>#DIV/0!</v>
      </c>
      <c r="E341" s="961" t="str">
        <f>IF(D341&lt;'PlayerGrades+'!$AA$21,"F-",IF(D341&lt;'PlayerGrades+'!$AA$20,"F",IF(D341&lt;'PlayerGrades+'!$AA$19,"F+",IF(D341&lt;'PlayerGrades+'!$AA$18,"E-",IF(D341&lt;'PlayerGrades+'!$AA$17,"E",IF(D341&lt;'PlayerGrades+'!$AA$16,"E+",IF(D341&lt;'PlayerGrades+'!$AA$15,"D-",IF(D341&lt;'PlayerGrades+'!$AA$14,"D",IF(D341&lt;'PlayerGrades+'!$AA$13,"D+",IF(D341&lt;'PlayerGrades+'!$AA$12,"C-",IF(D341&lt;'PlayerGrades+'!$AA$11,"C",IF(D341&lt;'PlayerGrades+'!$AA$10,"C+",IF(D341&lt;'PlayerGrades+'!$AA$9,"B-",IF(D341&lt;'PlayerGrades+'!$AA$8,"B",IF(D341&lt;'PlayerGrades+'!$AA$7,"B+",IF(D341&lt;'PlayerGrades+'!$AA$6,"A-",IF(D341&lt;'PlayerGrades+'!$AA$5,"A",IF(D341&lt;'PlayerGrades+'!$AA$4,"A+",IF(D341&lt;'PlayerGrades+'!$AA$3,"S-",IF(D341&lt;'PlayerGrades+'!$AA$2,"S","S+"))))))))))))))))))))</f>
        <v>#DIV/0!</v>
      </c>
      <c r="F341" s="961" t="str">
        <f t="shared" si="2"/>
        <v>#DIV/0!</v>
      </c>
      <c r="G341" s="961" t="str">
        <f>IF(F341&lt;'PlayerGrades+'!$AB$21,"F-",IF(F341&lt;'PlayerGrades+'!$AB$20,"F",IF(F341&lt;'PlayerGrades+'!$AB$19,"F+",IF(F341&lt;'PlayerGrades+'!$AB$18,"E-",IF(F341&lt;'PlayerGrades+'!$AB$17,"E",IF(F341&lt;'PlayerGrades+'!$AB$16,"E+",IF(F341&lt;'PlayerGrades+'!$AB$15,"D-",IF(F341&lt;'PlayerGrades+'!$AB$14,"D",IF(F341&lt;'PlayerGrades+'!$AB$13,"D+",IF(F341&lt;'PlayerGrades+'!$AB$12,"C-",IF(F341&lt;'PlayerGrades+'!$AB$11,"C",IF(F341&lt;'PlayerGrades+'!$AB$10,"C+",IF(F341&lt;'PlayerGrades+'!$AB$9,"B-",IF(F341&lt;'PlayerGrades+'!$AB$8,"B",IF(F341&lt;'PlayerGrades+'!$AB$7,"B+",IF(F341&lt;'PlayerGrades+'!$AB$6,"A-",IF(F341&lt;'PlayerGrades+'!$AB$5,"A",IF(F341&lt;'PlayerGrades+'!$AB$4,"A+",IF(F341&lt;'PlayerGrades+'!$AB$3,"S-",IF(F341&lt;'PlayerGrades+'!$AB$2,"S","S+"))))))))))))))))))))</f>
        <v>#DIV/0!</v>
      </c>
      <c r="H341" s="961" t="str">
        <f t="shared" si="3"/>
        <v>#DIV/0!</v>
      </c>
      <c r="I341" s="961" t="str">
        <f>IF(H341&lt;'PlayerGrades+'!$AC$21,"F-",IF(H341&lt;'PlayerGrades+'!$AC$20,"F",IF(H341&lt;'PlayerGrades+'!$AC$19,"F+",IF(H341&lt;'PlayerGrades+'!$AC$18,"E-",IF(H341&lt;'PlayerGrades+'!$AC$17,"E",IF(H341&lt;'PlayerGrades+'!$AC$16,"E+",IF(H341&lt;'PlayerGrades+'!$AC$15,"D-",IF(H341&lt;'PlayerGrades+'!$AC$14,"D",IF(H341&lt;'PlayerGrades+'!$AC$13,"D+",IF(H341&lt;'PlayerGrades+'!$AC$12,"C-",IF(H341&lt;'PlayerGrades+'!$AC$11,"C",IF(H341&lt;'PlayerGrades+'!$AC$10,"C+",IF(H341&lt;'PlayerGrades+'!$AC$9,"B-",IF(H341&lt;'PlayerGrades+'!$AC$8,"B",IF(H341&lt;'PlayerGrades+'!$AC$7,"B+",IF(H341&lt;'PlayerGrades+'!$AC$6,"A-",IF(H341&lt;'PlayerGrades+'!$AC$5,"A",IF(H341&lt;'PlayerGrades+'!$AC$4,"A+",IF(H341&lt;'PlayerGrades+'!$AC$3,"S-",IF(H341&lt;'PlayerGrades+'!$AC$2,"S","S+"))))))))))))))))))))</f>
        <v>#DIV/0!</v>
      </c>
      <c r="J341" s="961" t="str">
        <f t="shared" si="4"/>
        <v>#DIV/0!</v>
      </c>
      <c r="K341" s="961" t="str">
        <f>IF(J341&lt;'PlayerGrades+'!$AD$21,"F-",IF(J341&lt;'PlayerGrades+'!$AD$20,"F",IF(J341&lt;'PlayerGrades+'!$AD$19,"F+",IF(J341&lt;'PlayerGrades+'!$AD$18,"E-",IF(J341&lt;'PlayerGrades+'!$AD$17,"E",IF(J341&lt;'PlayerGrades+'!$AD$16,"E+",IF(J341&lt;'PlayerGrades+'!$AD$15,"D-",IF(J341&lt;'PlayerGrades+'!$AD$14,"D",IF(J341&lt;'PlayerGrades+'!$AD$13,"D+",IF(J341&lt;'PlayerGrades+'!$AD$12,"C-",IF(J341&lt;'PlayerGrades+'!$AD$11,"C",IF(J341&lt;'PlayerGrades+'!$AD$10,"C+",IF(J341&lt;'PlayerGrades+'!$AD$9,"B-",IF(J341&lt;'PlayerGrades+'!$AD$8,"B",IF(J341&lt;'PlayerGrades+'!$AD$7,"B+",IF(J341&lt;'PlayerGrades+'!$AD$6,"A-",IF(J341&lt;'PlayerGrades+'!$AD$5,"A",IF(J341&lt;'PlayerGrades+'!$AD$4,"A+",IF(J341&lt;'PlayerGrades+'!$AD$3,"S-",IF(J341&lt;'PlayerGrades+'!$AD$2,"S","S+"))))))))))))))))))))</f>
        <v>#DIV/0!</v>
      </c>
      <c r="L341" s="1176" t="str">
        <f t="shared" si="5"/>
        <v>#DIV/0!</v>
      </c>
      <c r="M341" s="992" t="str">
        <f>IF(L341&lt;'PlayerGrades+'!$AE$21,"F-",IF(L341&lt;'PlayerGrades+'!$AE$20,"F",IF(L341&lt;'PlayerGrades+'!$AE$19,"F+",IF(L341&lt;'PlayerGrades+'!$AE$18,"E-",IF(L341&lt;'PlayerGrades+'!$AE$17,"E",IF(L341&lt;'PlayerGrades+'!$AE$16,"E+",IF(L341&lt;'PlayerGrades+'!$AE$15,"D-",IF(L341&lt;'PlayerGrades+'!$AE$14,"D",IF(L341&lt;'PlayerGrades+'!$AE$13,"D+",IF(L341&lt;'PlayerGrades+'!$AE$12,"C-",IF(L341&lt;'PlayerGrades+'!$AE$11,"C",IF(L341&lt;'PlayerGrades+'!$AE$10,"C+",IF(L341&lt;'PlayerGrades+'!$AE$9,"B-",IF(L341&lt;'PlayerGrades+'!$AE$8,"B",IF(L341&lt;'PlayerGrades+'!$AE$7,"B+",IF(L341&lt;'PlayerGrades+'!$AE$6,"A-",IF(L341&lt;'PlayerGrades+'!$AE$5,"A",IF(L341&lt;'PlayerGrades+'!$AE$4,"A+",IF(L341&lt;'PlayerGrades+'!$AE$3,"S-",IF(L341&lt;'PlayerGrades+'!$AE$2,"S","S+"))))))))))))))))))))</f>
        <v>#DIV/0!</v>
      </c>
      <c r="N341" s="961" t="str">
        <f t="shared" si="6"/>
        <v>#DIV/0!</v>
      </c>
      <c r="O341" s="961" t="str">
        <f>IF(N341&lt;'PlayerGrades+'!$AF$21,"F-",IF(N341&lt;'PlayerGrades+'!$AF$20,"F",IF(N341&lt;'PlayerGrades+'!$AF$19,"F+",IF(N341&lt;'PlayerGrades+'!$AF$18,"E-",IF(N341&lt;'PlayerGrades+'!$AF$17,"E",IF(N341&lt;'PlayerGrades+'!$AF$16,"E+",IF(N341&lt;'PlayerGrades+'!$AF$15,"D-",IF(N341&lt;'PlayerGrades+'!$AF$14,"D",IF(N341&lt;'PlayerGrades+'!$AF$13,"D+",IF(N341&lt;'PlayerGrades+'!$AF$12,"C-",IF(N341&lt;'PlayerGrades+'!$AF$11,"C",IF(N341&lt;'PlayerGrades+'!$AF$10,"C+",IF(N341&lt;'PlayerGrades+'!$AF$9,"B-",IF(N341&lt;'PlayerGrades+'!$AF$8,"B",IF(N341&lt;'PlayerGrades+'!$AF$7,"B+",IF(N341&lt;'PlayerGrades+'!$AF$6,"A-",IF(N341&lt;'PlayerGrades+'!$AF$5,"A",IF(N341&lt;'PlayerGrades+'!$AF$4,"A+",IF(N341&lt;'PlayerGrades+'!$AF$3,"S-",IF(N341&lt;'PlayerGrades+'!$AF$2,"S","S+"))))))))))))))))))))</f>
        <v>#DIV/0!</v>
      </c>
      <c r="P341" s="961" t="str">
        <f t="shared" si="7"/>
        <v>#DIV/0!</v>
      </c>
      <c r="Q341" s="961" t="str">
        <f>IF(P341&lt;'PlayerGrades+'!$AG$21,"F-",IF(P341&lt;'PlayerGrades+'!$AG$20,"F",IF(P341&lt;'PlayerGrades+'!$AG$19,"F+",IF(P341&lt;'PlayerGrades+'!$AG$18,"E-",IF(P341&lt;'PlayerGrades+'!$AG$17,"E",IF(P341&lt;'PlayerGrades+'!$AG$16,"E+",IF(P341&lt;'PlayerGrades+'!$AG$15,"D-",IF(P341&lt;'PlayerGrades+'!$AG$14,"D",IF(P341&lt;'PlayerGrades+'!$AG$13,"D+",IF(P341&lt;'PlayerGrades+'!$AG$12,"C-",IF(P341&lt;'PlayerGrades+'!$AG$11,"C",IF(P341&lt;'PlayerGrades+'!$AG$10,"C+",IF(P341&lt;'PlayerGrades+'!$AG$9,"B-",IF(P341&lt;'PlayerGrades+'!$AG$8,"B",IF(P341&lt;'PlayerGrades+'!$AG$7,"B+",IF(P341&lt;'PlayerGrades+'!$AG$6,"A-",IF(P341&lt;'PlayerGrades+'!$AG$5,"A",IF(P341&lt;'PlayerGrades+'!$AG$4,"A+",IF(P341&lt;'PlayerGrades+'!$AG$3,"S-",IF(P341&lt;'PlayerGrades+'!$AG$2,"S","S+"))))))))))))))))))))</f>
        <v>#DIV/0!</v>
      </c>
      <c r="R341" s="961" t="str">
        <f t="shared" si="8"/>
        <v>#DIV/0!</v>
      </c>
      <c r="S341" s="961" t="str">
        <f>IF(R341&lt;'PlayerGrades+'!$AH$21,"F-",IF(R341&lt;'PlayerGrades+'!$AH$20,"F",IF(R341&lt;'PlayerGrades+'!$AH$19,"F+",IF(R341&lt;'PlayerGrades+'!$AH$18,"E-",IF(R341&lt;'PlayerGrades+'!$AH$17,"E",IF(R341&lt;'PlayerGrades+'!$AH$16,"E+",IF(R341&lt;'PlayerGrades+'!$AH$15,"D-",IF(R341&lt;'PlayerGrades+'!$AH$14,"D",IF(R341&lt;'PlayerGrades+'!$AH$13,"D+",IF(R341&lt;'PlayerGrades+'!$AH$12,"C-",IF(R341&lt;'PlayerGrades+'!$AH$11,"C",IF(R341&lt;'PlayerGrades+'!$AH$10,"C+",IF(R341&lt;'PlayerGrades+'!$AH$9,"B-",IF(R341&lt;'PlayerGrades+'!$AH$8,"B",IF(R341&lt;'PlayerGrades+'!$AH$7,"B+",IF(R341&lt;'PlayerGrades+'!$AH$6,"A-",IF(R341&lt;'PlayerGrades+'!$AH$5,"A",IF(R341&lt;'PlayerGrades+'!$AH$4,"A+",IF(R341&lt;'PlayerGrades+'!$AH$3,"S-",IF(R341&lt;'PlayerGrades+'!$AH$2,"S","S+"))))))))))))))))))))</f>
        <v>#DIV/0!</v>
      </c>
      <c r="T341" s="961">
        <f t="shared" si="9"/>
        <v>0</v>
      </c>
      <c r="U341" s="961" t="str">
        <f>IF(T341&lt;'PlayerGrades+'!$AI$21,"F-",IF(T341&lt;'PlayerGrades+'!$AI$20,"F",IF(T341&lt;'PlayerGrades+'!$AI$19,"F+",IF(T341&lt;'PlayerGrades+'!$AI$18,"E-",IF(T341&lt;'PlayerGrades+'!$AI$17,"E",IF(T341&lt;'PlayerGrades+'!$AI$16,"E+",IF(T341&lt;'PlayerGrades+'!$AI$15,"D-",IF(T341&lt;'PlayerGrades+'!$AI$14,"D",IF(T341&lt;'PlayerGrades+'!$AI$13,"D+",IF(T341&lt;'PlayerGrades+'!$AI$12,"C-",IF(T341&lt;'PlayerGrades+'!$AI$11,"C",IF(T341&lt;'PlayerGrades+'!$AI$10,"C+",IF(T341&lt;'PlayerGrades+'!$AI$9,"B-",IF(T341&lt;'PlayerGrades+'!$AI$8,"B",IF(T341&lt;'PlayerGrades+'!$AI$7,"B+",IF(T341&lt;'PlayerGrades+'!$AI$6,"A-",IF(T341&lt;'PlayerGrades+'!$AI$5,"A",IF(T341&lt;'PlayerGrades+'!$AI$4,"A+",IF(T341&lt;'PlayerGrades+'!$AI$3,"S-",IF(T341&lt;'PlayerGrades+'!$AI$2,"S","S+"))))))))))))))))))))</f>
        <v>F-</v>
      </c>
      <c r="AC341" s="1392"/>
    </row>
    <row r="342">
      <c r="A342" s="1391"/>
      <c r="B342" s="611" t="str">
        <f>IF(C342&lt;'PlayerGrades+'!$Y$44,"F-",IF(C342&lt;'PlayerGrades+'!$Y$43,"F",IF(C342&lt;'PlayerGrades+'!$Y$42,"F+",IF(C342&lt;'PlayerGrades+'!$Y$41,"E-",IF(C342&lt;'PlayerGrades+'!$Y$40,"E",IF(C342&lt;'PlayerGrades+'!$Y$39,"E+",IF(C342&lt;'PlayerGrades+'!$Y$38,"D-",IF(C342&lt;'PlayerGrades+'!$Y$37,"D",IF(C342&lt;'PlayerGrades+'!$Y$36,"D+",IF(C342&lt;'PlayerGrades+'!$Y$35,"C-",IF(C342&lt;'PlayerGrades+'!$Y$34,"C",IF(C342&lt;'PlayerGrades+'!$Y$33,"C+",IF(C342&lt;'PlayerGrades+'!$Y$32,"B-",IF(C342&lt;'PlayerGrades+'!$Y$31,"B",IF(C342&lt;'PlayerGrades+'!$Y$30,"B+",IF(C342&lt;'PlayerGrades+'!$Y$29,"A-",IF(C342&lt;'PlayerGrades+'!$Y$28,"A",IF(C342&lt;'PlayerGrades+'!$Y$27,"A+",IF(C342&lt;'PlayerGrades+'!$Y$26,"S-",IF(C342&lt;'PlayerGrades+'!$Y$25,"S","S+"))))))))))))))))))))</f>
        <v>#DIV/0!</v>
      </c>
      <c r="C342" s="1378" t="str">
        <f>('PlayerGrades+'!$Y$47*(VLOOKUP(E342, 'PlayerGrades+'!$X$3:$Y$23, 2, FALSE)))+('PlayerGrades+'!$Y$48*(VLOOKUP(G342, 'PlayerGrades+'!$X$3:$Y$23, 2, FALSE)))+('PlayerGrades+'!$Y$49*(VLOOKUP(I342, 'PlayerGrades+'!$X$3:$Y$23, 2, FALSE)))+('PlayerGrades+'!$Y$50*(VLOOKUP(K342, 'PlayerGrades+'!$X$3:$Y$23, 2, FALSE)))+('PlayerGrades+'!$Y$51*(VLOOKUP(M342, 'PlayerGrades+'!$X$3:$Y$23, 2, FALSE)))+('PlayerGrades+'!$Y$52*(VLOOKUP(O342, 'PlayerGrades+'!$X$3:$Y$23, 2, FALSE)))+('PlayerGrades+'!$Y$53*(VLOOKUP(Q342, 'PlayerGrades+'!$X$3:$Y$23, 2, FALSE)))+('PlayerGrades+'!$Y$54*(VLOOKUP(S342, 'PlayerGrades+'!$X$3:$Y$23, 2, FALSE)))+('PlayerGrades+'!$Y$55*(VLOOKUP(U342, 'PlayerGrades+'!$X$3:$Y$23, 2, FALSE)))</f>
        <v>#DIV/0!</v>
      </c>
      <c r="D342" s="961" t="str">
        <f t="shared" si="1"/>
        <v>#DIV/0!</v>
      </c>
      <c r="E342" s="961" t="str">
        <f>IF(D342&lt;'PlayerGrades+'!$AA$21,"F-",IF(D342&lt;'PlayerGrades+'!$AA$20,"F",IF(D342&lt;'PlayerGrades+'!$AA$19,"F+",IF(D342&lt;'PlayerGrades+'!$AA$18,"E-",IF(D342&lt;'PlayerGrades+'!$AA$17,"E",IF(D342&lt;'PlayerGrades+'!$AA$16,"E+",IF(D342&lt;'PlayerGrades+'!$AA$15,"D-",IF(D342&lt;'PlayerGrades+'!$AA$14,"D",IF(D342&lt;'PlayerGrades+'!$AA$13,"D+",IF(D342&lt;'PlayerGrades+'!$AA$12,"C-",IF(D342&lt;'PlayerGrades+'!$AA$11,"C",IF(D342&lt;'PlayerGrades+'!$AA$10,"C+",IF(D342&lt;'PlayerGrades+'!$AA$9,"B-",IF(D342&lt;'PlayerGrades+'!$AA$8,"B",IF(D342&lt;'PlayerGrades+'!$AA$7,"B+",IF(D342&lt;'PlayerGrades+'!$AA$6,"A-",IF(D342&lt;'PlayerGrades+'!$AA$5,"A",IF(D342&lt;'PlayerGrades+'!$AA$4,"A+",IF(D342&lt;'PlayerGrades+'!$AA$3,"S-",IF(D342&lt;'PlayerGrades+'!$AA$2,"S","S+"))))))))))))))))))))</f>
        <v>#DIV/0!</v>
      </c>
      <c r="F342" s="961" t="str">
        <f t="shared" si="2"/>
        <v>#DIV/0!</v>
      </c>
      <c r="G342" s="961" t="str">
        <f>IF(F342&lt;'PlayerGrades+'!$AB$21,"F-",IF(F342&lt;'PlayerGrades+'!$AB$20,"F",IF(F342&lt;'PlayerGrades+'!$AB$19,"F+",IF(F342&lt;'PlayerGrades+'!$AB$18,"E-",IF(F342&lt;'PlayerGrades+'!$AB$17,"E",IF(F342&lt;'PlayerGrades+'!$AB$16,"E+",IF(F342&lt;'PlayerGrades+'!$AB$15,"D-",IF(F342&lt;'PlayerGrades+'!$AB$14,"D",IF(F342&lt;'PlayerGrades+'!$AB$13,"D+",IF(F342&lt;'PlayerGrades+'!$AB$12,"C-",IF(F342&lt;'PlayerGrades+'!$AB$11,"C",IF(F342&lt;'PlayerGrades+'!$AB$10,"C+",IF(F342&lt;'PlayerGrades+'!$AB$9,"B-",IF(F342&lt;'PlayerGrades+'!$AB$8,"B",IF(F342&lt;'PlayerGrades+'!$AB$7,"B+",IF(F342&lt;'PlayerGrades+'!$AB$6,"A-",IF(F342&lt;'PlayerGrades+'!$AB$5,"A",IF(F342&lt;'PlayerGrades+'!$AB$4,"A+",IF(F342&lt;'PlayerGrades+'!$AB$3,"S-",IF(F342&lt;'PlayerGrades+'!$AB$2,"S","S+"))))))))))))))))))))</f>
        <v>#DIV/0!</v>
      </c>
      <c r="H342" s="961" t="str">
        <f t="shared" si="3"/>
        <v>#DIV/0!</v>
      </c>
      <c r="I342" s="961" t="str">
        <f>IF(H342&lt;'PlayerGrades+'!$AC$21,"F-",IF(H342&lt;'PlayerGrades+'!$AC$20,"F",IF(H342&lt;'PlayerGrades+'!$AC$19,"F+",IF(H342&lt;'PlayerGrades+'!$AC$18,"E-",IF(H342&lt;'PlayerGrades+'!$AC$17,"E",IF(H342&lt;'PlayerGrades+'!$AC$16,"E+",IF(H342&lt;'PlayerGrades+'!$AC$15,"D-",IF(H342&lt;'PlayerGrades+'!$AC$14,"D",IF(H342&lt;'PlayerGrades+'!$AC$13,"D+",IF(H342&lt;'PlayerGrades+'!$AC$12,"C-",IF(H342&lt;'PlayerGrades+'!$AC$11,"C",IF(H342&lt;'PlayerGrades+'!$AC$10,"C+",IF(H342&lt;'PlayerGrades+'!$AC$9,"B-",IF(H342&lt;'PlayerGrades+'!$AC$8,"B",IF(H342&lt;'PlayerGrades+'!$AC$7,"B+",IF(H342&lt;'PlayerGrades+'!$AC$6,"A-",IF(H342&lt;'PlayerGrades+'!$AC$5,"A",IF(H342&lt;'PlayerGrades+'!$AC$4,"A+",IF(H342&lt;'PlayerGrades+'!$AC$3,"S-",IF(H342&lt;'PlayerGrades+'!$AC$2,"S","S+"))))))))))))))))))))</f>
        <v>#DIV/0!</v>
      </c>
      <c r="J342" s="961" t="str">
        <f t="shared" si="4"/>
        <v>#DIV/0!</v>
      </c>
      <c r="K342" s="961" t="str">
        <f>IF(J342&lt;'PlayerGrades+'!$AD$21,"F-",IF(J342&lt;'PlayerGrades+'!$AD$20,"F",IF(J342&lt;'PlayerGrades+'!$AD$19,"F+",IF(J342&lt;'PlayerGrades+'!$AD$18,"E-",IF(J342&lt;'PlayerGrades+'!$AD$17,"E",IF(J342&lt;'PlayerGrades+'!$AD$16,"E+",IF(J342&lt;'PlayerGrades+'!$AD$15,"D-",IF(J342&lt;'PlayerGrades+'!$AD$14,"D",IF(J342&lt;'PlayerGrades+'!$AD$13,"D+",IF(J342&lt;'PlayerGrades+'!$AD$12,"C-",IF(J342&lt;'PlayerGrades+'!$AD$11,"C",IF(J342&lt;'PlayerGrades+'!$AD$10,"C+",IF(J342&lt;'PlayerGrades+'!$AD$9,"B-",IF(J342&lt;'PlayerGrades+'!$AD$8,"B",IF(J342&lt;'PlayerGrades+'!$AD$7,"B+",IF(J342&lt;'PlayerGrades+'!$AD$6,"A-",IF(J342&lt;'PlayerGrades+'!$AD$5,"A",IF(J342&lt;'PlayerGrades+'!$AD$4,"A+",IF(J342&lt;'PlayerGrades+'!$AD$3,"S-",IF(J342&lt;'PlayerGrades+'!$AD$2,"S","S+"))))))))))))))))))))</f>
        <v>#DIV/0!</v>
      </c>
      <c r="L342" s="1176" t="str">
        <f t="shared" si="5"/>
        <v>#DIV/0!</v>
      </c>
      <c r="M342" s="992" t="str">
        <f>IF(L342&lt;'PlayerGrades+'!$AE$21,"F-",IF(L342&lt;'PlayerGrades+'!$AE$20,"F",IF(L342&lt;'PlayerGrades+'!$AE$19,"F+",IF(L342&lt;'PlayerGrades+'!$AE$18,"E-",IF(L342&lt;'PlayerGrades+'!$AE$17,"E",IF(L342&lt;'PlayerGrades+'!$AE$16,"E+",IF(L342&lt;'PlayerGrades+'!$AE$15,"D-",IF(L342&lt;'PlayerGrades+'!$AE$14,"D",IF(L342&lt;'PlayerGrades+'!$AE$13,"D+",IF(L342&lt;'PlayerGrades+'!$AE$12,"C-",IF(L342&lt;'PlayerGrades+'!$AE$11,"C",IF(L342&lt;'PlayerGrades+'!$AE$10,"C+",IF(L342&lt;'PlayerGrades+'!$AE$9,"B-",IF(L342&lt;'PlayerGrades+'!$AE$8,"B",IF(L342&lt;'PlayerGrades+'!$AE$7,"B+",IF(L342&lt;'PlayerGrades+'!$AE$6,"A-",IF(L342&lt;'PlayerGrades+'!$AE$5,"A",IF(L342&lt;'PlayerGrades+'!$AE$4,"A+",IF(L342&lt;'PlayerGrades+'!$AE$3,"S-",IF(L342&lt;'PlayerGrades+'!$AE$2,"S","S+"))))))))))))))))))))</f>
        <v>#DIV/0!</v>
      </c>
      <c r="N342" s="961" t="str">
        <f t="shared" si="6"/>
        <v>#DIV/0!</v>
      </c>
      <c r="O342" s="961" t="str">
        <f>IF(N342&lt;'PlayerGrades+'!$AF$21,"F-",IF(N342&lt;'PlayerGrades+'!$AF$20,"F",IF(N342&lt;'PlayerGrades+'!$AF$19,"F+",IF(N342&lt;'PlayerGrades+'!$AF$18,"E-",IF(N342&lt;'PlayerGrades+'!$AF$17,"E",IF(N342&lt;'PlayerGrades+'!$AF$16,"E+",IF(N342&lt;'PlayerGrades+'!$AF$15,"D-",IF(N342&lt;'PlayerGrades+'!$AF$14,"D",IF(N342&lt;'PlayerGrades+'!$AF$13,"D+",IF(N342&lt;'PlayerGrades+'!$AF$12,"C-",IF(N342&lt;'PlayerGrades+'!$AF$11,"C",IF(N342&lt;'PlayerGrades+'!$AF$10,"C+",IF(N342&lt;'PlayerGrades+'!$AF$9,"B-",IF(N342&lt;'PlayerGrades+'!$AF$8,"B",IF(N342&lt;'PlayerGrades+'!$AF$7,"B+",IF(N342&lt;'PlayerGrades+'!$AF$6,"A-",IF(N342&lt;'PlayerGrades+'!$AF$5,"A",IF(N342&lt;'PlayerGrades+'!$AF$4,"A+",IF(N342&lt;'PlayerGrades+'!$AF$3,"S-",IF(N342&lt;'PlayerGrades+'!$AF$2,"S","S+"))))))))))))))))))))</f>
        <v>#DIV/0!</v>
      </c>
      <c r="P342" s="961" t="str">
        <f t="shared" si="7"/>
        <v>#DIV/0!</v>
      </c>
      <c r="Q342" s="961" t="str">
        <f>IF(P342&lt;'PlayerGrades+'!$AG$21,"F-",IF(P342&lt;'PlayerGrades+'!$AG$20,"F",IF(P342&lt;'PlayerGrades+'!$AG$19,"F+",IF(P342&lt;'PlayerGrades+'!$AG$18,"E-",IF(P342&lt;'PlayerGrades+'!$AG$17,"E",IF(P342&lt;'PlayerGrades+'!$AG$16,"E+",IF(P342&lt;'PlayerGrades+'!$AG$15,"D-",IF(P342&lt;'PlayerGrades+'!$AG$14,"D",IF(P342&lt;'PlayerGrades+'!$AG$13,"D+",IF(P342&lt;'PlayerGrades+'!$AG$12,"C-",IF(P342&lt;'PlayerGrades+'!$AG$11,"C",IF(P342&lt;'PlayerGrades+'!$AG$10,"C+",IF(P342&lt;'PlayerGrades+'!$AG$9,"B-",IF(P342&lt;'PlayerGrades+'!$AG$8,"B",IF(P342&lt;'PlayerGrades+'!$AG$7,"B+",IF(P342&lt;'PlayerGrades+'!$AG$6,"A-",IF(P342&lt;'PlayerGrades+'!$AG$5,"A",IF(P342&lt;'PlayerGrades+'!$AG$4,"A+",IF(P342&lt;'PlayerGrades+'!$AG$3,"S-",IF(P342&lt;'PlayerGrades+'!$AG$2,"S","S+"))))))))))))))))))))</f>
        <v>#DIV/0!</v>
      </c>
      <c r="R342" s="961" t="str">
        <f t="shared" si="8"/>
        <v>#DIV/0!</v>
      </c>
      <c r="S342" s="961" t="str">
        <f>IF(R342&lt;'PlayerGrades+'!$AH$21,"F-",IF(R342&lt;'PlayerGrades+'!$AH$20,"F",IF(R342&lt;'PlayerGrades+'!$AH$19,"F+",IF(R342&lt;'PlayerGrades+'!$AH$18,"E-",IF(R342&lt;'PlayerGrades+'!$AH$17,"E",IF(R342&lt;'PlayerGrades+'!$AH$16,"E+",IF(R342&lt;'PlayerGrades+'!$AH$15,"D-",IF(R342&lt;'PlayerGrades+'!$AH$14,"D",IF(R342&lt;'PlayerGrades+'!$AH$13,"D+",IF(R342&lt;'PlayerGrades+'!$AH$12,"C-",IF(R342&lt;'PlayerGrades+'!$AH$11,"C",IF(R342&lt;'PlayerGrades+'!$AH$10,"C+",IF(R342&lt;'PlayerGrades+'!$AH$9,"B-",IF(R342&lt;'PlayerGrades+'!$AH$8,"B",IF(R342&lt;'PlayerGrades+'!$AH$7,"B+",IF(R342&lt;'PlayerGrades+'!$AH$6,"A-",IF(R342&lt;'PlayerGrades+'!$AH$5,"A",IF(R342&lt;'PlayerGrades+'!$AH$4,"A+",IF(R342&lt;'PlayerGrades+'!$AH$3,"S-",IF(R342&lt;'PlayerGrades+'!$AH$2,"S","S+"))))))))))))))))))))</f>
        <v>#DIV/0!</v>
      </c>
      <c r="T342" s="961">
        <f t="shared" si="9"/>
        <v>0</v>
      </c>
      <c r="U342" s="961" t="str">
        <f>IF(T342&lt;'PlayerGrades+'!$AI$21,"F-",IF(T342&lt;'PlayerGrades+'!$AI$20,"F",IF(T342&lt;'PlayerGrades+'!$AI$19,"F+",IF(T342&lt;'PlayerGrades+'!$AI$18,"E-",IF(T342&lt;'PlayerGrades+'!$AI$17,"E",IF(T342&lt;'PlayerGrades+'!$AI$16,"E+",IF(T342&lt;'PlayerGrades+'!$AI$15,"D-",IF(T342&lt;'PlayerGrades+'!$AI$14,"D",IF(T342&lt;'PlayerGrades+'!$AI$13,"D+",IF(T342&lt;'PlayerGrades+'!$AI$12,"C-",IF(T342&lt;'PlayerGrades+'!$AI$11,"C",IF(T342&lt;'PlayerGrades+'!$AI$10,"C+",IF(T342&lt;'PlayerGrades+'!$AI$9,"B-",IF(T342&lt;'PlayerGrades+'!$AI$8,"B",IF(T342&lt;'PlayerGrades+'!$AI$7,"B+",IF(T342&lt;'PlayerGrades+'!$AI$6,"A-",IF(T342&lt;'PlayerGrades+'!$AI$5,"A",IF(T342&lt;'PlayerGrades+'!$AI$4,"A+",IF(T342&lt;'PlayerGrades+'!$AI$3,"S-",IF(T342&lt;'PlayerGrades+'!$AI$2,"S","S+"))))))))))))))))))))</f>
        <v>F-</v>
      </c>
      <c r="AC342" s="1392"/>
    </row>
    <row r="343">
      <c r="A343" s="1391"/>
      <c r="B343" s="611" t="str">
        <f>IF(C343&lt;'PlayerGrades+'!$Y$44,"F-",IF(C343&lt;'PlayerGrades+'!$Y$43,"F",IF(C343&lt;'PlayerGrades+'!$Y$42,"F+",IF(C343&lt;'PlayerGrades+'!$Y$41,"E-",IF(C343&lt;'PlayerGrades+'!$Y$40,"E",IF(C343&lt;'PlayerGrades+'!$Y$39,"E+",IF(C343&lt;'PlayerGrades+'!$Y$38,"D-",IF(C343&lt;'PlayerGrades+'!$Y$37,"D",IF(C343&lt;'PlayerGrades+'!$Y$36,"D+",IF(C343&lt;'PlayerGrades+'!$Y$35,"C-",IF(C343&lt;'PlayerGrades+'!$Y$34,"C",IF(C343&lt;'PlayerGrades+'!$Y$33,"C+",IF(C343&lt;'PlayerGrades+'!$Y$32,"B-",IF(C343&lt;'PlayerGrades+'!$Y$31,"B",IF(C343&lt;'PlayerGrades+'!$Y$30,"B+",IF(C343&lt;'PlayerGrades+'!$Y$29,"A-",IF(C343&lt;'PlayerGrades+'!$Y$28,"A",IF(C343&lt;'PlayerGrades+'!$Y$27,"A+",IF(C343&lt;'PlayerGrades+'!$Y$26,"S-",IF(C343&lt;'PlayerGrades+'!$Y$25,"S","S+"))))))))))))))))))))</f>
        <v>#DIV/0!</v>
      </c>
      <c r="C343" s="1378" t="str">
        <f>('PlayerGrades+'!$Y$47*(VLOOKUP(E343, 'PlayerGrades+'!$X$3:$Y$23, 2, FALSE)))+('PlayerGrades+'!$Y$48*(VLOOKUP(G343, 'PlayerGrades+'!$X$3:$Y$23, 2, FALSE)))+('PlayerGrades+'!$Y$49*(VLOOKUP(I343, 'PlayerGrades+'!$X$3:$Y$23, 2, FALSE)))+('PlayerGrades+'!$Y$50*(VLOOKUP(K343, 'PlayerGrades+'!$X$3:$Y$23, 2, FALSE)))+('PlayerGrades+'!$Y$51*(VLOOKUP(M343, 'PlayerGrades+'!$X$3:$Y$23, 2, FALSE)))+('PlayerGrades+'!$Y$52*(VLOOKUP(O343, 'PlayerGrades+'!$X$3:$Y$23, 2, FALSE)))+('PlayerGrades+'!$Y$53*(VLOOKUP(Q343, 'PlayerGrades+'!$X$3:$Y$23, 2, FALSE)))+('PlayerGrades+'!$Y$54*(VLOOKUP(S343, 'PlayerGrades+'!$X$3:$Y$23, 2, FALSE)))+('PlayerGrades+'!$Y$55*(VLOOKUP(U343, 'PlayerGrades+'!$X$3:$Y$23, 2, FALSE)))</f>
        <v>#DIV/0!</v>
      </c>
      <c r="D343" s="961" t="str">
        <f t="shared" si="1"/>
        <v>#DIV/0!</v>
      </c>
      <c r="E343" s="961" t="str">
        <f>IF(D343&lt;'PlayerGrades+'!$AA$21,"F-",IF(D343&lt;'PlayerGrades+'!$AA$20,"F",IF(D343&lt;'PlayerGrades+'!$AA$19,"F+",IF(D343&lt;'PlayerGrades+'!$AA$18,"E-",IF(D343&lt;'PlayerGrades+'!$AA$17,"E",IF(D343&lt;'PlayerGrades+'!$AA$16,"E+",IF(D343&lt;'PlayerGrades+'!$AA$15,"D-",IF(D343&lt;'PlayerGrades+'!$AA$14,"D",IF(D343&lt;'PlayerGrades+'!$AA$13,"D+",IF(D343&lt;'PlayerGrades+'!$AA$12,"C-",IF(D343&lt;'PlayerGrades+'!$AA$11,"C",IF(D343&lt;'PlayerGrades+'!$AA$10,"C+",IF(D343&lt;'PlayerGrades+'!$AA$9,"B-",IF(D343&lt;'PlayerGrades+'!$AA$8,"B",IF(D343&lt;'PlayerGrades+'!$AA$7,"B+",IF(D343&lt;'PlayerGrades+'!$AA$6,"A-",IF(D343&lt;'PlayerGrades+'!$AA$5,"A",IF(D343&lt;'PlayerGrades+'!$AA$4,"A+",IF(D343&lt;'PlayerGrades+'!$AA$3,"S-",IF(D343&lt;'PlayerGrades+'!$AA$2,"S","S+"))))))))))))))))))))</f>
        <v>#DIV/0!</v>
      </c>
      <c r="F343" s="961" t="str">
        <f t="shared" si="2"/>
        <v>#DIV/0!</v>
      </c>
      <c r="G343" s="961" t="str">
        <f>IF(F343&lt;'PlayerGrades+'!$AB$21,"F-",IF(F343&lt;'PlayerGrades+'!$AB$20,"F",IF(F343&lt;'PlayerGrades+'!$AB$19,"F+",IF(F343&lt;'PlayerGrades+'!$AB$18,"E-",IF(F343&lt;'PlayerGrades+'!$AB$17,"E",IF(F343&lt;'PlayerGrades+'!$AB$16,"E+",IF(F343&lt;'PlayerGrades+'!$AB$15,"D-",IF(F343&lt;'PlayerGrades+'!$AB$14,"D",IF(F343&lt;'PlayerGrades+'!$AB$13,"D+",IF(F343&lt;'PlayerGrades+'!$AB$12,"C-",IF(F343&lt;'PlayerGrades+'!$AB$11,"C",IF(F343&lt;'PlayerGrades+'!$AB$10,"C+",IF(F343&lt;'PlayerGrades+'!$AB$9,"B-",IF(F343&lt;'PlayerGrades+'!$AB$8,"B",IF(F343&lt;'PlayerGrades+'!$AB$7,"B+",IF(F343&lt;'PlayerGrades+'!$AB$6,"A-",IF(F343&lt;'PlayerGrades+'!$AB$5,"A",IF(F343&lt;'PlayerGrades+'!$AB$4,"A+",IF(F343&lt;'PlayerGrades+'!$AB$3,"S-",IF(F343&lt;'PlayerGrades+'!$AB$2,"S","S+"))))))))))))))))))))</f>
        <v>#DIV/0!</v>
      </c>
      <c r="H343" s="961" t="str">
        <f t="shared" si="3"/>
        <v>#DIV/0!</v>
      </c>
      <c r="I343" s="961" t="str">
        <f>IF(H343&lt;'PlayerGrades+'!$AC$21,"F-",IF(H343&lt;'PlayerGrades+'!$AC$20,"F",IF(H343&lt;'PlayerGrades+'!$AC$19,"F+",IF(H343&lt;'PlayerGrades+'!$AC$18,"E-",IF(H343&lt;'PlayerGrades+'!$AC$17,"E",IF(H343&lt;'PlayerGrades+'!$AC$16,"E+",IF(H343&lt;'PlayerGrades+'!$AC$15,"D-",IF(H343&lt;'PlayerGrades+'!$AC$14,"D",IF(H343&lt;'PlayerGrades+'!$AC$13,"D+",IF(H343&lt;'PlayerGrades+'!$AC$12,"C-",IF(H343&lt;'PlayerGrades+'!$AC$11,"C",IF(H343&lt;'PlayerGrades+'!$AC$10,"C+",IF(H343&lt;'PlayerGrades+'!$AC$9,"B-",IF(H343&lt;'PlayerGrades+'!$AC$8,"B",IF(H343&lt;'PlayerGrades+'!$AC$7,"B+",IF(H343&lt;'PlayerGrades+'!$AC$6,"A-",IF(H343&lt;'PlayerGrades+'!$AC$5,"A",IF(H343&lt;'PlayerGrades+'!$AC$4,"A+",IF(H343&lt;'PlayerGrades+'!$AC$3,"S-",IF(H343&lt;'PlayerGrades+'!$AC$2,"S","S+"))))))))))))))))))))</f>
        <v>#DIV/0!</v>
      </c>
      <c r="J343" s="961" t="str">
        <f t="shared" si="4"/>
        <v>#DIV/0!</v>
      </c>
      <c r="K343" s="961" t="str">
        <f>IF(J343&lt;'PlayerGrades+'!$AD$21,"F-",IF(J343&lt;'PlayerGrades+'!$AD$20,"F",IF(J343&lt;'PlayerGrades+'!$AD$19,"F+",IF(J343&lt;'PlayerGrades+'!$AD$18,"E-",IF(J343&lt;'PlayerGrades+'!$AD$17,"E",IF(J343&lt;'PlayerGrades+'!$AD$16,"E+",IF(J343&lt;'PlayerGrades+'!$AD$15,"D-",IF(J343&lt;'PlayerGrades+'!$AD$14,"D",IF(J343&lt;'PlayerGrades+'!$AD$13,"D+",IF(J343&lt;'PlayerGrades+'!$AD$12,"C-",IF(J343&lt;'PlayerGrades+'!$AD$11,"C",IF(J343&lt;'PlayerGrades+'!$AD$10,"C+",IF(J343&lt;'PlayerGrades+'!$AD$9,"B-",IF(J343&lt;'PlayerGrades+'!$AD$8,"B",IF(J343&lt;'PlayerGrades+'!$AD$7,"B+",IF(J343&lt;'PlayerGrades+'!$AD$6,"A-",IF(J343&lt;'PlayerGrades+'!$AD$5,"A",IF(J343&lt;'PlayerGrades+'!$AD$4,"A+",IF(J343&lt;'PlayerGrades+'!$AD$3,"S-",IF(J343&lt;'PlayerGrades+'!$AD$2,"S","S+"))))))))))))))))))))</f>
        <v>#DIV/0!</v>
      </c>
      <c r="L343" s="1176" t="str">
        <f t="shared" si="5"/>
        <v>#DIV/0!</v>
      </c>
      <c r="M343" s="992" t="str">
        <f>IF(L343&lt;'PlayerGrades+'!$AE$21,"F-",IF(L343&lt;'PlayerGrades+'!$AE$20,"F",IF(L343&lt;'PlayerGrades+'!$AE$19,"F+",IF(L343&lt;'PlayerGrades+'!$AE$18,"E-",IF(L343&lt;'PlayerGrades+'!$AE$17,"E",IF(L343&lt;'PlayerGrades+'!$AE$16,"E+",IF(L343&lt;'PlayerGrades+'!$AE$15,"D-",IF(L343&lt;'PlayerGrades+'!$AE$14,"D",IF(L343&lt;'PlayerGrades+'!$AE$13,"D+",IF(L343&lt;'PlayerGrades+'!$AE$12,"C-",IF(L343&lt;'PlayerGrades+'!$AE$11,"C",IF(L343&lt;'PlayerGrades+'!$AE$10,"C+",IF(L343&lt;'PlayerGrades+'!$AE$9,"B-",IF(L343&lt;'PlayerGrades+'!$AE$8,"B",IF(L343&lt;'PlayerGrades+'!$AE$7,"B+",IF(L343&lt;'PlayerGrades+'!$AE$6,"A-",IF(L343&lt;'PlayerGrades+'!$AE$5,"A",IF(L343&lt;'PlayerGrades+'!$AE$4,"A+",IF(L343&lt;'PlayerGrades+'!$AE$3,"S-",IF(L343&lt;'PlayerGrades+'!$AE$2,"S","S+"))))))))))))))))))))</f>
        <v>#DIV/0!</v>
      </c>
      <c r="N343" s="961" t="str">
        <f t="shared" si="6"/>
        <v>#DIV/0!</v>
      </c>
      <c r="O343" s="961" t="str">
        <f>IF(N343&lt;'PlayerGrades+'!$AF$21,"F-",IF(N343&lt;'PlayerGrades+'!$AF$20,"F",IF(N343&lt;'PlayerGrades+'!$AF$19,"F+",IF(N343&lt;'PlayerGrades+'!$AF$18,"E-",IF(N343&lt;'PlayerGrades+'!$AF$17,"E",IF(N343&lt;'PlayerGrades+'!$AF$16,"E+",IF(N343&lt;'PlayerGrades+'!$AF$15,"D-",IF(N343&lt;'PlayerGrades+'!$AF$14,"D",IF(N343&lt;'PlayerGrades+'!$AF$13,"D+",IF(N343&lt;'PlayerGrades+'!$AF$12,"C-",IF(N343&lt;'PlayerGrades+'!$AF$11,"C",IF(N343&lt;'PlayerGrades+'!$AF$10,"C+",IF(N343&lt;'PlayerGrades+'!$AF$9,"B-",IF(N343&lt;'PlayerGrades+'!$AF$8,"B",IF(N343&lt;'PlayerGrades+'!$AF$7,"B+",IF(N343&lt;'PlayerGrades+'!$AF$6,"A-",IF(N343&lt;'PlayerGrades+'!$AF$5,"A",IF(N343&lt;'PlayerGrades+'!$AF$4,"A+",IF(N343&lt;'PlayerGrades+'!$AF$3,"S-",IF(N343&lt;'PlayerGrades+'!$AF$2,"S","S+"))))))))))))))))))))</f>
        <v>#DIV/0!</v>
      </c>
      <c r="P343" s="961" t="str">
        <f t="shared" si="7"/>
        <v>#DIV/0!</v>
      </c>
      <c r="Q343" s="961" t="str">
        <f>IF(P343&lt;'PlayerGrades+'!$AG$21,"F-",IF(P343&lt;'PlayerGrades+'!$AG$20,"F",IF(P343&lt;'PlayerGrades+'!$AG$19,"F+",IF(P343&lt;'PlayerGrades+'!$AG$18,"E-",IF(P343&lt;'PlayerGrades+'!$AG$17,"E",IF(P343&lt;'PlayerGrades+'!$AG$16,"E+",IF(P343&lt;'PlayerGrades+'!$AG$15,"D-",IF(P343&lt;'PlayerGrades+'!$AG$14,"D",IF(P343&lt;'PlayerGrades+'!$AG$13,"D+",IF(P343&lt;'PlayerGrades+'!$AG$12,"C-",IF(P343&lt;'PlayerGrades+'!$AG$11,"C",IF(P343&lt;'PlayerGrades+'!$AG$10,"C+",IF(P343&lt;'PlayerGrades+'!$AG$9,"B-",IF(P343&lt;'PlayerGrades+'!$AG$8,"B",IF(P343&lt;'PlayerGrades+'!$AG$7,"B+",IF(P343&lt;'PlayerGrades+'!$AG$6,"A-",IF(P343&lt;'PlayerGrades+'!$AG$5,"A",IF(P343&lt;'PlayerGrades+'!$AG$4,"A+",IF(P343&lt;'PlayerGrades+'!$AG$3,"S-",IF(P343&lt;'PlayerGrades+'!$AG$2,"S","S+"))))))))))))))))))))</f>
        <v>#DIV/0!</v>
      </c>
      <c r="R343" s="961" t="str">
        <f t="shared" si="8"/>
        <v>#DIV/0!</v>
      </c>
      <c r="S343" s="961" t="str">
        <f>IF(R343&lt;'PlayerGrades+'!$AH$21,"F-",IF(R343&lt;'PlayerGrades+'!$AH$20,"F",IF(R343&lt;'PlayerGrades+'!$AH$19,"F+",IF(R343&lt;'PlayerGrades+'!$AH$18,"E-",IF(R343&lt;'PlayerGrades+'!$AH$17,"E",IF(R343&lt;'PlayerGrades+'!$AH$16,"E+",IF(R343&lt;'PlayerGrades+'!$AH$15,"D-",IF(R343&lt;'PlayerGrades+'!$AH$14,"D",IF(R343&lt;'PlayerGrades+'!$AH$13,"D+",IF(R343&lt;'PlayerGrades+'!$AH$12,"C-",IF(R343&lt;'PlayerGrades+'!$AH$11,"C",IF(R343&lt;'PlayerGrades+'!$AH$10,"C+",IF(R343&lt;'PlayerGrades+'!$AH$9,"B-",IF(R343&lt;'PlayerGrades+'!$AH$8,"B",IF(R343&lt;'PlayerGrades+'!$AH$7,"B+",IF(R343&lt;'PlayerGrades+'!$AH$6,"A-",IF(R343&lt;'PlayerGrades+'!$AH$5,"A",IF(R343&lt;'PlayerGrades+'!$AH$4,"A+",IF(R343&lt;'PlayerGrades+'!$AH$3,"S-",IF(R343&lt;'PlayerGrades+'!$AH$2,"S","S+"))))))))))))))))))))</f>
        <v>#DIV/0!</v>
      </c>
      <c r="T343" s="961">
        <f t="shared" si="9"/>
        <v>0</v>
      </c>
      <c r="U343" s="961" t="str">
        <f>IF(T343&lt;'PlayerGrades+'!$AI$21,"F-",IF(T343&lt;'PlayerGrades+'!$AI$20,"F",IF(T343&lt;'PlayerGrades+'!$AI$19,"F+",IF(T343&lt;'PlayerGrades+'!$AI$18,"E-",IF(T343&lt;'PlayerGrades+'!$AI$17,"E",IF(T343&lt;'PlayerGrades+'!$AI$16,"E+",IF(T343&lt;'PlayerGrades+'!$AI$15,"D-",IF(T343&lt;'PlayerGrades+'!$AI$14,"D",IF(T343&lt;'PlayerGrades+'!$AI$13,"D+",IF(T343&lt;'PlayerGrades+'!$AI$12,"C-",IF(T343&lt;'PlayerGrades+'!$AI$11,"C",IF(T343&lt;'PlayerGrades+'!$AI$10,"C+",IF(T343&lt;'PlayerGrades+'!$AI$9,"B-",IF(T343&lt;'PlayerGrades+'!$AI$8,"B",IF(T343&lt;'PlayerGrades+'!$AI$7,"B+",IF(T343&lt;'PlayerGrades+'!$AI$6,"A-",IF(T343&lt;'PlayerGrades+'!$AI$5,"A",IF(T343&lt;'PlayerGrades+'!$AI$4,"A+",IF(T343&lt;'PlayerGrades+'!$AI$3,"S-",IF(T343&lt;'PlayerGrades+'!$AI$2,"S","S+"))))))))))))))))))))</f>
        <v>F-</v>
      </c>
      <c r="AC343" s="1392"/>
    </row>
    <row r="344">
      <c r="A344" s="1391"/>
      <c r="B344" s="611" t="str">
        <f>IF(C344&lt;'PlayerGrades+'!$Y$44,"F-",IF(C344&lt;'PlayerGrades+'!$Y$43,"F",IF(C344&lt;'PlayerGrades+'!$Y$42,"F+",IF(C344&lt;'PlayerGrades+'!$Y$41,"E-",IF(C344&lt;'PlayerGrades+'!$Y$40,"E",IF(C344&lt;'PlayerGrades+'!$Y$39,"E+",IF(C344&lt;'PlayerGrades+'!$Y$38,"D-",IF(C344&lt;'PlayerGrades+'!$Y$37,"D",IF(C344&lt;'PlayerGrades+'!$Y$36,"D+",IF(C344&lt;'PlayerGrades+'!$Y$35,"C-",IF(C344&lt;'PlayerGrades+'!$Y$34,"C",IF(C344&lt;'PlayerGrades+'!$Y$33,"C+",IF(C344&lt;'PlayerGrades+'!$Y$32,"B-",IF(C344&lt;'PlayerGrades+'!$Y$31,"B",IF(C344&lt;'PlayerGrades+'!$Y$30,"B+",IF(C344&lt;'PlayerGrades+'!$Y$29,"A-",IF(C344&lt;'PlayerGrades+'!$Y$28,"A",IF(C344&lt;'PlayerGrades+'!$Y$27,"A+",IF(C344&lt;'PlayerGrades+'!$Y$26,"S-",IF(C344&lt;'PlayerGrades+'!$Y$25,"S","S+"))))))))))))))))))))</f>
        <v>#DIV/0!</v>
      </c>
      <c r="C344" s="1378" t="str">
        <f>('PlayerGrades+'!$Y$47*(VLOOKUP(E344, 'PlayerGrades+'!$X$3:$Y$23, 2, FALSE)))+('PlayerGrades+'!$Y$48*(VLOOKUP(G344, 'PlayerGrades+'!$X$3:$Y$23, 2, FALSE)))+('PlayerGrades+'!$Y$49*(VLOOKUP(I344, 'PlayerGrades+'!$X$3:$Y$23, 2, FALSE)))+('PlayerGrades+'!$Y$50*(VLOOKUP(K344, 'PlayerGrades+'!$X$3:$Y$23, 2, FALSE)))+('PlayerGrades+'!$Y$51*(VLOOKUP(M344, 'PlayerGrades+'!$X$3:$Y$23, 2, FALSE)))+('PlayerGrades+'!$Y$52*(VLOOKUP(O344, 'PlayerGrades+'!$X$3:$Y$23, 2, FALSE)))+('PlayerGrades+'!$Y$53*(VLOOKUP(Q344, 'PlayerGrades+'!$X$3:$Y$23, 2, FALSE)))+('PlayerGrades+'!$Y$54*(VLOOKUP(S344, 'PlayerGrades+'!$X$3:$Y$23, 2, FALSE)))+('PlayerGrades+'!$Y$55*(VLOOKUP(U344, 'PlayerGrades+'!$X$3:$Y$23, 2, FALSE)))</f>
        <v>#DIV/0!</v>
      </c>
      <c r="D344" s="961" t="str">
        <f t="shared" si="1"/>
        <v>#DIV/0!</v>
      </c>
      <c r="E344" s="961" t="str">
        <f>IF(D344&lt;'PlayerGrades+'!$AA$21,"F-",IF(D344&lt;'PlayerGrades+'!$AA$20,"F",IF(D344&lt;'PlayerGrades+'!$AA$19,"F+",IF(D344&lt;'PlayerGrades+'!$AA$18,"E-",IF(D344&lt;'PlayerGrades+'!$AA$17,"E",IF(D344&lt;'PlayerGrades+'!$AA$16,"E+",IF(D344&lt;'PlayerGrades+'!$AA$15,"D-",IF(D344&lt;'PlayerGrades+'!$AA$14,"D",IF(D344&lt;'PlayerGrades+'!$AA$13,"D+",IF(D344&lt;'PlayerGrades+'!$AA$12,"C-",IF(D344&lt;'PlayerGrades+'!$AA$11,"C",IF(D344&lt;'PlayerGrades+'!$AA$10,"C+",IF(D344&lt;'PlayerGrades+'!$AA$9,"B-",IF(D344&lt;'PlayerGrades+'!$AA$8,"B",IF(D344&lt;'PlayerGrades+'!$AA$7,"B+",IF(D344&lt;'PlayerGrades+'!$AA$6,"A-",IF(D344&lt;'PlayerGrades+'!$AA$5,"A",IF(D344&lt;'PlayerGrades+'!$AA$4,"A+",IF(D344&lt;'PlayerGrades+'!$AA$3,"S-",IF(D344&lt;'PlayerGrades+'!$AA$2,"S","S+"))))))))))))))))))))</f>
        <v>#DIV/0!</v>
      </c>
      <c r="F344" s="961" t="str">
        <f t="shared" si="2"/>
        <v>#DIV/0!</v>
      </c>
      <c r="G344" s="961" t="str">
        <f>IF(F344&lt;'PlayerGrades+'!$AB$21,"F-",IF(F344&lt;'PlayerGrades+'!$AB$20,"F",IF(F344&lt;'PlayerGrades+'!$AB$19,"F+",IF(F344&lt;'PlayerGrades+'!$AB$18,"E-",IF(F344&lt;'PlayerGrades+'!$AB$17,"E",IF(F344&lt;'PlayerGrades+'!$AB$16,"E+",IF(F344&lt;'PlayerGrades+'!$AB$15,"D-",IF(F344&lt;'PlayerGrades+'!$AB$14,"D",IF(F344&lt;'PlayerGrades+'!$AB$13,"D+",IF(F344&lt;'PlayerGrades+'!$AB$12,"C-",IF(F344&lt;'PlayerGrades+'!$AB$11,"C",IF(F344&lt;'PlayerGrades+'!$AB$10,"C+",IF(F344&lt;'PlayerGrades+'!$AB$9,"B-",IF(F344&lt;'PlayerGrades+'!$AB$8,"B",IF(F344&lt;'PlayerGrades+'!$AB$7,"B+",IF(F344&lt;'PlayerGrades+'!$AB$6,"A-",IF(F344&lt;'PlayerGrades+'!$AB$5,"A",IF(F344&lt;'PlayerGrades+'!$AB$4,"A+",IF(F344&lt;'PlayerGrades+'!$AB$3,"S-",IF(F344&lt;'PlayerGrades+'!$AB$2,"S","S+"))))))))))))))))))))</f>
        <v>#DIV/0!</v>
      </c>
      <c r="H344" s="961" t="str">
        <f t="shared" si="3"/>
        <v>#DIV/0!</v>
      </c>
      <c r="I344" s="961" t="str">
        <f>IF(H344&lt;'PlayerGrades+'!$AC$21,"F-",IF(H344&lt;'PlayerGrades+'!$AC$20,"F",IF(H344&lt;'PlayerGrades+'!$AC$19,"F+",IF(H344&lt;'PlayerGrades+'!$AC$18,"E-",IF(H344&lt;'PlayerGrades+'!$AC$17,"E",IF(H344&lt;'PlayerGrades+'!$AC$16,"E+",IF(H344&lt;'PlayerGrades+'!$AC$15,"D-",IF(H344&lt;'PlayerGrades+'!$AC$14,"D",IF(H344&lt;'PlayerGrades+'!$AC$13,"D+",IF(H344&lt;'PlayerGrades+'!$AC$12,"C-",IF(H344&lt;'PlayerGrades+'!$AC$11,"C",IF(H344&lt;'PlayerGrades+'!$AC$10,"C+",IF(H344&lt;'PlayerGrades+'!$AC$9,"B-",IF(H344&lt;'PlayerGrades+'!$AC$8,"B",IF(H344&lt;'PlayerGrades+'!$AC$7,"B+",IF(H344&lt;'PlayerGrades+'!$AC$6,"A-",IF(H344&lt;'PlayerGrades+'!$AC$5,"A",IF(H344&lt;'PlayerGrades+'!$AC$4,"A+",IF(H344&lt;'PlayerGrades+'!$AC$3,"S-",IF(H344&lt;'PlayerGrades+'!$AC$2,"S","S+"))))))))))))))))))))</f>
        <v>#DIV/0!</v>
      </c>
      <c r="J344" s="961" t="str">
        <f t="shared" si="4"/>
        <v>#DIV/0!</v>
      </c>
      <c r="K344" s="961" t="str">
        <f>IF(J344&lt;'PlayerGrades+'!$AD$21,"F-",IF(J344&lt;'PlayerGrades+'!$AD$20,"F",IF(J344&lt;'PlayerGrades+'!$AD$19,"F+",IF(J344&lt;'PlayerGrades+'!$AD$18,"E-",IF(J344&lt;'PlayerGrades+'!$AD$17,"E",IF(J344&lt;'PlayerGrades+'!$AD$16,"E+",IF(J344&lt;'PlayerGrades+'!$AD$15,"D-",IF(J344&lt;'PlayerGrades+'!$AD$14,"D",IF(J344&lt;'PlayerGrades+'!$AD$13,"D+",IF(J344&lt;'PlayerGrades+'!$AD$12,"C-",IF(J344&lt;'PlayerGrades+'!$AD$11,"C",IF(J344&lt;'PlayerGrades+'!$AD$10,"C+",IF(J344&lt;'PlayerGrades+'!$AD$9,"B-",IF(J344&lt;'PlayerGrades+'!$AD$8,"B",IF(J344&lt;'PlayerGrades+'!$AD$7,"B+",IF(J344&lt;'PlayerGrades+'!$AD$6,"A-",IF(J344&lt;'PlayerGrades+'!$AD$5,"A",IF(J344&lt;'PlayerGrades+'!$AD$4,"A+",IF(J344&lt;'PlayerGrades+'!$AD$3,"S-",IF(J344&lt;'PlayerGrades+'!$AD$2,"S","S+"))))))))))))))))))))</f>
        <v>#DIV/0!</v>
      </c>
      <c r="L344" s="1176" t="str">
        <f t="shared" si="5"/>
        <v>#DIV/0!</v>
      </c>
      <c r="M344" s="992" t="str">
        <f>IF(L344&lt;'PlayerGrades+'!$AE$21,"F-",IF(L344&lt;'PlayerGrades+'!$AE$20,"F",IF(L344&lt;'PlayerGrades+'!$AE$19,"F+",IF(L344&lt;'PlayerGrades+'!$AE$18,"E-",IF(L344&lt;'PlayerGrades+'!$AE$17,"E",IF(L344&lt;'PlayerGrades+'!$AE$16,"E+",IF(L344&lt;'PlayerGrades+'!$AE$15,"D-",IF(L344&lt;'PlayerGrades+'!$AE$14,"D",IF(L344&lt;'PlayerGrades+'!$AE$13,"D+",IF(L344&lt;'PlayerGrades+'!$AE$12,"C-",IF(L344&lt;'PlayerGrades+'!$AE$11,"C",IF(L344&lt;'PlayerGrades+'!$AE$10,"C+",IF(L344&lt;'PlayerGrades+'!$AE$9,"B-",IF(L344&lt;'PlayerGrades+'!$AE$8,"B",IF(L344&lt;'PlayerGrades+'!$AE$7,"B+",IF(L344&lt;'PlayerGrades+'!$AE$6,"A-",IF(L344&lt;'PlayerGrades+'!$AE$5,"A",IF(L344&lt;'PlayerGrades+'!$AE$4,"A+",IF(L344&lt;'PlayerGrades+'!$AE$3,"S-",IF(L344&lt;'PlayerGrades+'!$AE$2,"S","S+"))))))))))))))))))))</f>
        <v>#DIV/0!</v>
      </c>
      <c r="N344" s="961" t="str">
        <f t="shared" si="6"/>
        <v>#DIV/0!</v>
      </c>
      <c r="O344" s="961" t="str">
        <f>IF(N344&lt;'PlayerGrades+'!$AF$21,"F-",IF(N344&lt;'PlayerGrades+'!$AF$20,"F",IF(N344&lt;'PlayerGrades+'!$AF$19,"F+",IF(N344&lt;'PlayerGrades+'!$AF$18,"E-",IF(N344&lt;'PlayerGrades+'!$AF$17,"E",IF(N344&lt;'PlayerGrades+'!$AF$16,"E+",IF(N344&lt;'PlayerGrades+'!$AF$15,"D-",IF(N344&lt;'PlayerGrades+'!$AF$14,"D",IF(N344&lt;'PlayerGrades+'!$AF$13,"D+",IF(N344&lt;'PlayerGrades+'!$AF$12,"C-",IF(N344&lt;'PlayerGrades+'!$AF$11,"C",IF(N344&lt;'PlayerGrades+'!$AF$10,"C+",IF(N344&lt;'PlayerGrades+'!$AF$9,"B-",IF(N344&lt;'PlayerGrades+'!$AF$8,"B",IF(N344&lt;'PlayerGrades+'!$AF$7,"B+",IF(N344&lt;'PlayerGrades+'!$AF$6,"A-",IF(N344&lt;'PlayerGrades+'!$AF$5,"A",IF(N344&lt;'PlayerGrades+'!$AF$4,"A+",IF(N344&lt;'PlayerGrades+'!$AF$3,"S-",IF(N344&lt;'PlayerGrades+'!$AF$2,"S","S+"))))))))))))))))))))</f>
        <v>#DIV/0!</v>
      </c>
      <c r="P344" s="961" t="str">
        <f t="shared" si="7"/>
        <v>#DIV/0!</v>
      </c>
      <c r="Q344" s="961" t="str">
        <f>IF(P344&lt;'PlayerGrades+'!$AG$21,"F-",IF(P344&lt;'PlayerGrades+'!$AG$20,"F",IF(P344&lt;'PlayerGrades+'!$AG$19,"F+",IF(P344&lt;'PlayerGrades+'!$AG$18,"E-",IF(P344&lt;'PlayerGrades+'!$AG$17,"E",IF(P344&lt;'PlayerGrades+'!$AG$16,"E+",IF(P344&lt;'PlayerGrades+'!$AG$15,"D-",IF(P344&lt;'PlayerGrades+'!$AG$14,"D",IF(P344&lt;'PlayerGrades+'!$AG$13,"D+",IF(P344&lt;'PlayerGrades+'!$AG$12,"C-",IF(P344&lt;'PlayerGrades+'!$AG$11,"C",IF(P344&lt;'PlayerGrades+'!$AG$10,"C+",IF(P344&lt;'PlayerGrades+'!$AG$9,"B-",IF(P344&lt;'PlayerGrades+'!$AG$8,"B",IF(P344&lt;'PlayerGrades+'!$AG$7,"B+",IF(P344&lt;'PlayerGrades+'!$AG$6,"A-",IF(P344&lt;'PlayerGrades+'!$AG$5,"A",IF(P344&lt;'PlayerGrades+'!$AG$4,"A+",IF(P344&lt;'PlayerGrades+'!$AG$3,"S-",IF(P344&lt;'PlayerGrades+'!$AG$2,"S","S+"))))))))))))))))))))</f>
        <v>#DIV/0!</v>
      </c>
      <c r="R344" s="961" t="str">
        <f t="shared" si="8"/>
        <v>#DIV/0!</v>
      </c>
      <c r="S344" s="961" t="str">
        <f>IF(R344&lt;'PlayerGrades+'!$AH$21,"F-",IF(R344&lt;'PlayerGrades+'!$AH$20,"F",IF(R344&lt;'PlayerGrades+'!$AH$19,"F+",IF(R344&lt;'PlayerGrades+'!$AH$18,"E-",IF(R344&lt;'PlayerGrades+'!$AH$17,"E",IF(R344&lt;'PlayerGrades+'!$AH$16,"E+",IF(R344&lt;'PlayerGrades+'!$AH$15,"D-",IF(R344&lt;'PlayerGrades+'!$AH$14,"D",IF(R344&lt;'PlayerGrades+'!$AH$13,"D+",IF(R344&lt;'PlayerGrades+'!$AH$12,"C-",IF(R344&lt;'PlayerGrades+'!$AH$11,"C",IF(R344&lt;'PlayerGrades+'!$AH$10,"C+",IF(R344&lt;'PlayerGrades+'!$AH$9,"B-",IF(R344&lt;'PlayerGrades+'!$AH$8,"B",IF(R344&lt;'PlayerGrades+'!$AH$7,"B+",IF(R344&lt;'PlayerGrades+'!$AH$6,"A-",IF(R344&lt;'PlayerGrades+'!$AH$5,"A",IF(R344&lt;'PlayerGrades+'!$AH$4,"A+",IF(R344&lt;'PlayerGrades+'!$AH$3,"S-",IF(R344&lt;'PlayerGrades+'!$AH$2,"S","S+"))))))))))))))))))))</f>
        <v>#DIV/0!</v>
      </c>
      <c r="T344" s="961">
        <f t="shared" si="9"/>
        <v>0</v>
      </c>
      <c r="U344" s="961" t="str">
        <f>IF(T344&lt;'PlayerGrades+'!$AI$21,"F-",IF(T344&lt;'PlayerGrades+'!$AI$20,"F",IF(T344&lt;'PlayerGrades+'!$AI$19,"F+",IF(T344&lt;'PlayerGrades+'!$AI$18,"E-",IF(T344&lt;'PlayerGrades+'!$AI$17,"E",IF(T344&lt;'PlayerGrades+'!$AI$16,"E+",IF(T344&lt;'PlayerGrades+'!$AI$15,"D-",IF(T344&lt;'PlayerGrades+'!$AI$14,"D",IF(T344&lt;'PlayerGrades+'!$AI$13,"D+",IF(T344&lt;'PlayerGrades+'!$AI$12,"C-",IF(T344&lt;'PlayerGrades+'!$AI$11,"C",IF(T344&lt;'PlayerGrades+'!$AI$10,"C+",IF(T344&lt;'PlayerGrades+'!$AI$9,"B-",IF(T344&lt;'PlayerGrades+'!$AI$8,"B",IF(T344&lt;'PlayerGrades+'!$AI$7,"B+",IF(T344&lt;'PlayerGrades+'!$AI$6,"A-",IF(T344&lt;'PlayerGrades+'!$AI$5,"A",IF(T344&lt;'PlayerGrades+'!$AI$4,"A+",IF(T344&lt;'PlayerGrades+'!$AI$3,"S-",IF(T344&lt;'PlayerGrades+'!$AI$2,"S","S+"))))))))))))))))))))</f>
        <v>F-</v>
      </c>
      <c r="AC344" s="1392"/>
    </row>
    <row r="345">
      <c r="A345" s="1393"/>
      <c r="B345" s="611" t="str">
        <f>IF(C345&lt;'PlayerGrades+'!$Y$44,"F-",IF(C345&lt;'PlayerGrades+'!$Y$43,"F",IF(C345&lt;'PlayerGrades+'!$Y$42,"F+",IF(C345&lt;'PlayerGrades+'!$Y$41,"E-",IF(C345&lt;'PlayerGrades+'!$Y$40,"E",IF(C345&lt;'PlayerGrades+'!$Y$39,"E+",IF(C345&lt;'PlayerGrades+'!$Y$38,"D-",IF(C345&lt;'PlayerGrades+'!$Y$37,"D",IF(C345&lt;'PlayerGrades+'!$Y$36,"D+",IF(C345&lt;'PlayerGrades+'!$Y$35,"C-",IF(C345&lt;'PlayerGrades+'!$Y$34,"C",IF(C345&lt;'PlayerGrades+'!$Y$33,"C+",IF(C345&lt;'PlayerGrades+'!$Y$32,"B-",IF(C345&lt;'PlayerGrades+'!$Y$31,"B",IF(C345&lt;'PlayerGrades+'!$Y$30,"B+",IF(C345&lt;'PlayerGrades+'!$Y$29,"A-",IF(C345&lt;'PlayerGrades+'!$Y$28,"A",IF(C345&lt;'PlayerGrades+'!$Y$27,"A+",IF(C345&lt;'PlayerGrades+'!$Y$26,"S-",IF(C345&lt;'PlayerGrades+'!$Y$25,"S","S+"))))))))))))))))))))</f>
        <v>#DIV/0!</v>
      </c>
      <c r="C345" s="1378" t="str">
        <f>('PlayerGrades+'!$Y$47*(VLOOKUP(E345, 'PlayerGrades+'!$X$3:$Y$23, 2, FALSE)))+('PlayerGrades+'!$Y$48*(VLOOKUP(G345, 'PlayerGrades+'!$X$3:$Y$23, 2, FALSE)))+('PlayerGrades+'!$Y$49*(VLOOKUP(I345, 'PlayerGrades+'!$X$3:$Y$23, 2, FALSE)))+('PlayerGrades+'!$Y$50*(VLOOKUP(K345, 'PlayerGrades+'!$X$3:$Y$23, 2, FALSE)))+('PlayerGrades+'!$Y$51*(VLOOKUP(M345, 'PlayerGrades+'!$X$3:$Y$23, 2, FALSE)))+('PlayerGrades+'!$Y$52*(VLOOKUP(O345, 'PlayerGrades+'!$X$3:$Y$23, 2, FALSE)))+('PlayerGrades+'!$Y$53*(VLOOKUP(Q345, 'PlayerGrades+'!$X$3:$Y$23, 2, FALSE)))+('PlayerGrades+'!$Y$54*(VLOOKUP(S345, 'PlayerGrades+'!$X$3:$Y$23, 2, FALSE)))+('PlayerGrades+'!$Y$55*(VLOOKUP(U345, 'PlayerGrades+'!$X$3:$Y$23, 2, FALSE)))</f>
        <v>#DIV/0!</v>
      </c>
      <c r="D345" s="961" t="str">
        <f t="shared" si="1"/>
        <v>#DIV/0!</v>
      </c>
      <c r="E345" s="961" t="str">
        <f>IF(D345&lt;'PlayerGrades+'!$AA$21,"F-",IF(D345&lt;'PlayerGrades+'!$AA$20,"F",IF(D345&lt;'PlayerGrades+'!$AA$19,"F+",IF(D345&lt;'PlayerGrades+'!$AA$18,"E-",IF(D345&lt;'PlayerGrades+'!$AA$17,"E",IF(D345&lt;'PlayerGrades+'!$AA$16,"E+",IF(D345&lt;'PlayerGrades+'!$AA$15,"D-",IF(D345&lt;'PlayerGrades+'!$AA$14,"D",IF(D345&lt;'PlayerGrades+'!$AA$13,"D+",IF(D345&lt;'PlayerGrades+'!$AA$12,"C-",IF(D345&lt;'PlayerGrades+'!$AA$11,"C",IF(D345&lt;'PlayerGrades+'!$AA$10,"C+",IF(D345&lt;'PlayerGrades+'!$AA$9,"B-",IF(D345&lt;'PlayerGrades+'!$AA$8,"B",IF(D345&lt;'PlayerGrades+'!$AA$7,"B+",IF(D345&lt;'PlayerGrades+'!$AA$6,"A-",IF(D345&lt;'PlayerGrades+'!$AA$5,"A",IF(D345&lt;'PlayerGrades+'!$AA$4,"A+",IF(D345&lt;'PlayerGrades+'!$AA$3,"S-",IF(D345&lt;'PlayerGrades+'!$AA$2,"S","S+"))))))))))))))))))))</f>
        <v>#DIV/0!</v>
      </c>
      <c r="F345" s="961" t="str">
        <f t="shared" si="2"/>
        <v>#DIV/0!</v>
      </c>
      <c r="G345" s="961" t="str">
        <f>IF(F345&lt;'PlayerGrades+'!$AB$21,"F-",IF(F345&lt;'PlayerGrades+'!$AB$20,"F",IF(F345&lt;'PlayerGrades+'!$AB$19,"F+",IF(F345&lt;'PlayerGrades+'!$AB$18,"E-",IF(F345&lt;'PlayerGrades+'!$AB$17,"E",IF(F345&lt;'PlayerGrades+'!$AB$16,"E+",IF(F345&lt;'PlayerGrades+'!$AB$15,"D-",IF(F345&lt;'PlayerGrades+'!$AB$14,"D",IF(F345&lt;'PlayerGrades+'!$AB$13,"D+",IF(F345&lt;'PlayerGrades+'!$AB$12,"C-",IF(F345&lt;'PlayerGrades+'!$AB$11,"C",IF(F345&lt;'PlayerGrades+'!$AB$10,"C+",IF(F345&lt;'PlayerGrades+'!$AB$9,"B-",IF(F345&lt;'PlayerGrades+'!$AB$8,"B",IF(F345&lt;'PlayerGrades+'!$AB$7,"B+",IF(F345&lt;'PlayerGrades+'!$AB$6,"A-",IF(F345&lt;'PlayerGrades+'!$AB$5,"A",IF(F345&lt;'PlayerGrades+'!$AB$4,"A+",IF(F345&lt;'PlayerGrades+'!$AB$3,"S-",IF(F345&lt;'PlayerGrades+'!$AB$2,"S","S+"))))))))))))))))))))</f>
        <v>#DIV/0!</v>
      </c>
      <c r="H345" s="961" t="str">
        <f t="shared" si="3"/>
        <v>#DIV/0!</v>
      </c>
      <c r="I345" s="961" t="str">
        <f>IF(H345&lt;'PlayerGrades+'!$AC$21,"F-",IF(H345&lt;'PlayerGrades+'!$AC$20,"F",IF(H345&lt;'PlayerGrades+'!$AC$19,"F+",IF(H345&lt;'PlayerGrades+'!$AC$18,"E-",IF(H345&lt;'PlayerGrades+'!$AC$17,"E",IF(H345&lt;'PlayerGrades+'!$AC$16,"E+",IF(H345&lt;'PlayerGrades+'!$AC$15,"D-",IF(H345&lt;'PlayerGrades+'!$AC$14,"D",IF(H345&lt;'PlayerGrades+'!$AC$13,"D+",IF(H345&lt;'PlayerGrades+'!$AC$12,"C-",IF(H345&lt;'PlayerGrades+'!$AC$11,"C",IF(H345&lt;'PlayerGrades+'!$AC$10,"C+",IF(H345&lt;'PlayerGrades+'!$AC$9,"B-",IF(H345&lt;'PlayerGrades+'!$AC$8,"B",IF(H345&lt;'PlayerGrades+'!$AC$7,"B+",IF(H345&lt;'PlayerGrades+'!$AC$6,"A-",IF(H345&lt;'PlayerGrades+'!$AC$5,"A",IF(H345&lt;'PlayerGrades+'!$AC$4,"A+",IF(H345&lt;'PlayerGrades+'!$AC$3,"S-",IF(H345&lt;'PlayerGrades+'!$AC$2,"S","S+"))))))))))))))))))))</f>
        <v>#DIV/0!</v>
      </c>
      <c r="J345" s="961" t="str">
        <f t="shared" si="4"/>
        <v>#DIV/0!</v>
      </c>
      <c r="K345" s="961" t="str">
        <f>IF(J345&lt;'PlayerGrades+'!$AD$21,"F-",IF(J345&lt;'PlayerGrades+'!$AD$20,"F",IF(J345&lt;'PlayerGrades+'!$AD$19,"F+",IF(J345&lt;'PlayerGrades+'!$AD$18,"E-",IF(J345&lt;'PlayerGrades+'!$AD$17,"E",IF(J345&lt;'PlayerGrades+'!$AD$16,"E+",IF(J345&lt;'PlayerGrades+'!$AD$15,"D-",IF(J345&lt;'PlayerGrades+'!$AD$14,"D",IF(J345&lt;'PlayerGrades+'!$AD$13,"D+",IF(J345&lt;'PlayerGrades+'!$AD$12,"C-",IF(J345&lt;'PlayerGrades+'!$AD$11,"C",IF(J345&lt;'PlayerGrades+'!$AD$10,"C+",IF(J345&lt;'PlayerGrades+'!$AD$9,"B-",IF(J345&lt;'PlayerGrades+'!$AD$8,"B",IF(J345&lt;'PlayerGrades+'!$AD$7,"B+",IF(J345&lt;'PlayerGrades+'!$AD$6,"A-",IF(J345&lt;'PlayerGrades+'!$AD$5,"A",IF(J345&lt;'PlayerGrades+'!$AD$4,"A+",IF(J345&lt;'PlayerGrades+'!$AD$3,"S-",IF(J345&lt;'PlayerGrades+'!$AD$2,"S","S+"))))))))))))))))))))</f>
        <v>#DIV/0!</v>
      </c>
      <c r="L345" s="1176" t="str">
        <f t="shared" si="5"/>
        <v>#DIV/0!</v>
      </c>
      <c r="M345" s="992" t="str">
        <f>IF(L345&lt;'PlayerGrades+'!$AE$21,"F-",IF(L345&lt;'PlayerGrades+'!$AE$20,"F",IF(L345&lt;'PlayerGrades+'!$AE$19,"F+",IF(L345&lt;'PlayerGrades+'!$AE$18,"E-",IF(L345&lt;'PlayerGrades+'!$AE$17,"E",IF(L345&lt;'PlayerGrades+'!$AE$16,"E+",IF(L345&lt;'PlayerGrades+'!$AE$15,"D-",IF(L345&lt;'PlayerGrades+'!$AE$14,"D",IF(L345&lt;'PlayerGrades+'!$AE$13,"D+",IF(L345&lt;'PlayerGrades+'!$AE$12,"C-",IF(L345&lt;'PlayerGrades+'!$AE$11,"C",IF(L345&lt;'PlayerGrades+'!$AE$10,"C+",IF(L345&lt;'PlayerGrades+'!$AE$9,"B-",IF(L345&lt;'PlayerGrades+'!$AE$8,"B",IF(L345&lt;'PlayerGrades+'!$AE$7,"B+",IF(L345&lt;'PlayerGrades+'!$AE$6,"A-",IF(L345&lt;'PlayerGrades+'!$AE$5,"A",IF(L345&lt;'PlayerGrades+'!$AE$4,"A+",IF(L345&lt;'PlayerGrades+'!$AE$3,"S-",IF(L345&lt;'PlayerGrades+'!$AE$2,"S","S+"))))))))))))))))))))</f>
        <v>#DIV/0!</v>
      </c>
      <c r="N345" s="961" t="str">
        <f t="shared" si="6"/>
        <v>#DIV/0!</v>
      </c>
      <c r="O345" s="961" t="str">
        <f>IF(N345&lt;'PlayerGrades+'!$AF$21,"F-",IF(N345&lt;'PlayerGrades+'!$AF$20,"F",IF(N345&lt;'PlayerGrades+'!$AF$19,"F+",IF(N345&lt;'PlayerGrades+'!$AF$18,"E-",IF(N345&lt;'PlayerGrades+'!$AF$17,"E",IF(N345&lt;'PlayerGrades+'!$AF$16,"E+",IF(N345&lt;'PlayerGrades+'!$AF$15,"D-",IF(N345&lt;'PlayerGrades+'!$AF$14,"D",IF(N345&lt;'PlayerGrades+'!$AF$13,"D+",IF(N345&lt;'PlayerGrades+'!$AF$12,"C-",IF(N345&lt;'PlayerGrades+'!$AF$11,"C",IF(N345&lt;'PlayerGrades+'!$AF$10,"C+",IF(N345&lt;'PlayerGrades+'!$AF$9,"B-",IF(N345&lt;'PlayerGrades+'!$AF$8,"B",IF(N345&lt;'PlayerGrades+'!$AF$7,"B+",IF(N345&lt;'PlayerGrades+'!$AF$6,"A-",IF(N345&lt;'PlayerGrades+'!$AF$5,"A",IF(N345&lt;'PlayerGrades+'!$AF$4,"A+",IF(N345&lt;'PlayerGrades+'!$AF$3,"S-",IF(N345&lt;'PlayerGrades+'!$AF$2,"S","S+"))))))))))))))))))))</f>
        <v>#DIV/0!</v>
      </c>
      <c r="P345" s="961" t="str">
        <f t="shared" si="7"/>
        <v>#DIV/0!</v>
      </c>
      <c r="Q345" s="961" t="str">
        <f>IF(P345&lt;'PlayerGrades+'!$AG$21,"F-",IF(P345&lt;'PlayerGrades+'!$AG$20,"F",IF(P345&lt;'PlayerGrades+'!$AG$19,"F+",IF(P345&lt;'PlayerGrades+'!$AG$18,"E-",IF(P345&lt;'PlayerGrades+'!$AG$17,"E",IF(P345&lt;'PlayerGrades+'!$AG$16,"E+",IF(P345&lt;'PlayerGrades+'!$AG$15,"D-",IF(P345&lt;'PlayerGrades+'!$AG$14,"D",IF(P345&lt;'PlayerGrades+'!$AG$13,"D+",IF(P345&lt;'PlayerGrades+'!$AG$12,"C-",IF(P345&lt;'PlayerGrades+'!$AG$11,"C",IF(P345&lt;'PlayerGrades+'!$AG$10,"C+",IF(P345&lt;'PlayerGrades+'!$AG$9,"B-",IF(P345&lt;'PlayerGrades+'!$AG$8,"B",IF(P345&lt;'PlayerGrades+'!$AG$7,"B+",IF(P345&lt;'PlayerGrades+'!$AG$6,"A-",IF(P345&lt;'PlayerGrades+'!$AG$5,"A",IF(P345&lt;'PlayerGrades+'!$AG$4,"A+",IF(P345&lt;'PlayerGrades+'!$AG$3,"S-",IF(P345&lt;'PlayerGrades+'!$AG$2,"S","S+"))))))))))))))))))))</f>
        <v>#DIV/0!</v>
      </c>
      <c r="R345" s="961" t="str">
        <f t="shared" si="8"/>
        <v>#DIV/0!</v>
      </c>
      <c r="S345" s="961" t="str">
        <f>IF(R345&lt;'PlayerGrades+'!$AH$21,"F-",IF(R345&lt;'PlayerGrades+'!$AH$20,"F",IF(R345&lt;'PlayerGrades+'!$AH$19,"F+",IF(R345&lt;'PlayerGrades+'!$AH$18,"E-",IF(R345&lt;'PlayerGrades+'!$AH$17,"E",IF(R345&lt;'PlayerGrades+'!$AH$16,"E+",IF(R345&lt;'PlayerGrades+'!$AH$15,"D-",IF(R345&lt;'PlayerGrades+'!$AH$14,"D",IF(R345&lt;'PlayerGrades+'!$AH$13,"D+",IF(R345&lt;'PlayerGrades+'!$AH$12,"C-",IF(R345&lt;'PlayerGrades+'!$AH$11,"C",IF(R345&lt;'PlayerGrades+'!$AH$10,"C+",IF(R345&lt;'PlayerGrades+'!$AH$9,"B-",IF(R345&lt;'PlayerGrades+'!$AH$8,"B",IF(R345&lt;'PlayerGrades+'!$AH$7,"B+",IF(R345&lt;'PlayerGrades+'!$AH$6,"A-",IF(R345&lt;'PlayerGrades+'!$AH$5,"A",IF(R345&lt;'PlayerGrades+'!$AH$4,"A+",IF(R345&lt;'PlayerGrades+'!$AH$3,"S-",IF(R345&lt;'PlayerGrades+'!$AH$2,"S","S+"))))))))))))))))))))</f>
        <v>#DIV/0!</v>
      </c>
      <c r="T345" s="961">
        <f t="shared" si="9"/>
        <v>0</v>
      </c>
      <c r="U345" s="961" t="str">
        <f>IF(T345&lt;'PlayerGrades+'!$AI$21,"F-",IF(T345&lt;'PlayerGrades+'!$AI$20,"F",IF(T345&lt;'PlayerGrades+'!$AI$19,"F+",IF(T345&lt;'PlayerGrades+'!$AI$18,"E-",IF(T345&lt;'PlayerGrades+'!$AI$17,"E",IF(T345&lt;'PlayerGrades+'!$AI$16,"E+",IF(T345&lt;'PlayerGrades+'!$AI$15,"D-",IF(T345&lt;'PlayerGrades+'!$AI$14,"D",IF(T345&lt;'PlayerGrades+'!$AI$13,"D+",IF(T345&lt;'PlayerGrades+'!$AI$12,"C-",IF(T345&lt;'PlayerGrades+'!$AI$11,"C",IF(T345&lt;'PlayerGrades+'!$AI$10,"C+",IF(T345&lt;'PlayerGrades+'!$AI$9,"B-",IF(T345&lt;'PlayerGrades+'!$AI$8,"B",IF(T345&lt;'PlayerGrades+'!$AI$7,"B+",IF(T345&lt;'PlayerGrades+'!$AI$6,"A-",IF(T345&lt;'PlayerGrades+'!$AI$5,"A",IF(T345&lt;'PlayerGrades+'!$AI$4,"A+",IF(T345&lt;'PlayerGrades+'!$AI$3,"S-",IF(T345&lt;'PlayerGrades+'!$AI$2,"S","S+"))))))))))))))))))))</f>
        <v>F-</v>
      </c>
      <c r="V345" s="1386"/>
      <c r="W345" s="1386"/>
      <c r="X345" s="1386"/>
      <c r="Y345" s="1386"/>
      <c r="Z345" s="1386"/>
      <c r="AA345" s="1386"/>
      <c r="AB345" s="1386"/>
      <c r="AC345" s="1397"/>
      <c r="AD345" s="1386"/>
      <c r="AE345" s="1386"/>
      <c r="AG345" s="1386"/>
      <c r="AH345" s="1386"/>
      <c r="AI345" s="1386"/>
      <c r="AJ345" s="1386"/>
      <c r="AK345" s="1386"/>
      <c r="AL345" s="1386"/>
      <c r="AM345" s="1386"/>
      <c r="AN345" s="1386"/>
      <c r="AO345" s="1386"/>
      <c r="AP345" s="1386"/>
      <c r="AQ345" s="1386"/>
      <c r="AR345" s="1386"/>
      <c r="AS345" s="1386"/>
      <c r="AT345" s="1386"/>
      <c r="AU345" s="1386"/>
      <c r="AV345" s="1386"/>
      <c r="AW345" s="1386"/>
      <c r="AX345" s="1386"/>
      <c r="AY345" s="1386"/>
      <c r="AZ345" s="1386"/>
    </row>
    <row r="346">
      <c r="A346" s="1389"/>
      <c r="B346" s="611" t="str">
        <f>IF(C346&lt;'PlayerGrades+'!$Y$44,"F-",IF(C346&lt;'PlayerGrades+'!$Y$43,"F",IF(C346&lt;'PlayerGrades+'!$Y$42,"F+",IF(C346&lt;'PlayerGrades+'!$Y$41,"E-",IF(C346&lt;'PlayerGrades+'!$Y$40,"E",IF(C346&lt;'PlayerGrades+'!$Y$39,"E+",IF(C346&lt;'PlayerGrades+'!$Y$38,"D-",IF(C346&lt;'PlayerGrades+'!$Y$37,"D",IF(C346&lt;'PlayerGrades+'!$Y$36,"D+",IF(C346&lt;'PlayerGrades+'!$Y$35,"C-",IF(C346&lt;'PlayerGrades+'!$Y$34,"C",IF(C346&lt;'PlayerGrades+'!$Y$33,"C+",IF(C346&lt;'PlayerGrades+'!$Y$32,"B-",IF(C346&lt;'PlayerGrades+'!$Y$31,"B",IF(C346&lt;'PlayerGrades+'!$Y$30,"B+",IF(C346&lt;'PlayerGrades+'!$Y$29,"A-",IF(C346&lt;'PlayerGrades+'!$Y$28,"A",IF(C346&lt;'PlayerGrades+'!$Y$27,"A+",IF(C346&lt;'PlayerGrades+'!$Y$26,"S-",IF(C346&lt;'PlayerGrades+'!$Y$25,"S","S+"))))))))))))))))))))</f>
        <v>#DIV/0!</v>
      </c>
      <c r="C346" s="1378" t="str">
        <f>('PlayerGrades+'!$Y$47*(VLOOKUP(E346, 'PlayerGrades+'!$X$3:$Y$23, 2, FALSE)))+('PlayerGrades+'!$Y$48*(VLOOKUP(G346, 'PlayerGrades+'!$X$3:$Y$23, 2, FALSE)))+('PlayerGrades+'!$Y$49*(VLOOKUP(I346, 'PlayerGrades+'!$X$3:$Y$23, 2, FALSE)))+('PlayerGrades+'!$Y$50*(VLOOKUP(K346, 'PlayerGrades+'!$X$3:$Y$23, 2, FALSE)))+('PlayerGrades+'!$Y$51*(VLOOKUP(M346, 'PlayerGrades+'!$X$3:$Y$23, 2, FALSE)))+('PlayerGrades+'!$Y$52*(VLOOKUP(O346, 'PlayerGrades+'!$X$3:$Y$23, 2, FALSE)))+('PlayerGrades+'!$Y$53*(VLOOKUP(Q346, 'PlayerGrades+'!$X$3:$Y$23, 2, FALSE)))+('PlayerGrades+'!$Y$54*(VLOOKUP(S346, 'PlayerGrades+'!$X$3:$Y$23, 2, FALSE)))+('PlayerGrades+'!$Y$55*(VLOOKUP(U346, 'PlayerGrades+'!$X$3:$Y$23, 2, FALSE)))</f>
        <v>#DIV/0!</v>
      </c>
      <c r="D346" s="961" t="str">
        <f t="shared" si="1"/>
        <v>#DIV/0!</v>
      </c>
      <c r="E346" s="961" t="str">
        <f>IF(D346&lt;'PlayerGrades+'!$AA$21,"F-",IF(D346&lt;'PlayerGrades+'!$AA$20,"F",IF(D346&lt;'PlayerGrades+'!$AA$19,"F+",IF(D346&lt;'PlayerGrades+'!$AA$18,"E-",IF(D346&lt;'PlayerGrades+'!$AA$17,"E",IF(D346&lt;'PlayerGrades+'!$AA$16,"E+",IF(D346&lt;'PlayerGrades+'!$AA$15,"D-",IF(D346&lt;'PlayerGrades+'!$AA$14,"D",IF(D346&lt;'PlayerGrades+'!$AA$13,"D+",IF(D346&lt;'PlayerGrades+'!$AA$12,"C-",IF(D346&lt;'PlayerGrades+'!$AA$11,"C",IF(D346&lt;'PlayerGrades+'!$AA$10,"C+",IF(D346&lt;'PlayerGrades+'!$AA$9,"B-",IF(D346&lt;'PlayerGrades+'!$AA$8,"B",IF(D346&lt;'PlayerGrades+'!$AA$7,"B+",IF(D346&lt;'PlayerGrades+'!$AA$6,"A-",IF(D346&lt;'PlayerGrades+'!$AA$5,"A",IF(D346&lt;'PlayerGrades+'!$AA$4,"A+",IF(D346&lt;'PlayerGrades+'!$AA$3,"S-",IF(D346&lt;'PlayerGrades+'!$AA$2,"S","S+"))))))))))))))))))))</f>
        <v>#DIV/0!</v>
      </c>
      <c r="F346" s="961" t="str">
        <f t="shared" si="2"/>
        <v>#DIV/0!</v>
      </c>
      <c r="G346" s="961" t="str">
        <f>IF(F346&lt;'PlayerGrades+'!$AB$21,"F-",IF(F346&lt;'PlayerGrades+'!$AB$20,"F",IF(F346&lt;'PlayerGrades+'!$AB$19,"F+",IF(F346&lt;'PlayerGrades+'!$AB$18,"E-",IF(F346&lt;'PlayerGrades+'!$AB$17,"E",IF(F346&lt;'PlayerGrades+'!$AB$16,"E+",IF(F346&lt;'PlayerGrades+'!$AB$15,"D-",IF(F346&lt;'PlayerGrades+'!$AB$14,"D",IF(F346&lt;'PlayerGrades+'!$AB$13,"D+",IF(F346&lt;'PlayerGrades+'!$AB$12,"C-",IF(F346&lt;'PlayerGrades+'!$AB$11,"C",IF(F346&lt;'PlayerGrades+'!$AB$10,"C+",IF(F346&lt;'PlayerGrades+'!$AB$9,"B-",IF(F346&lt;'PlayerGrades+'!$AB$8,"B",IF(F346&lt;'PlayerGrades+'!$AB$7,"B+",IF(F346&lt;'PlayerGrades+'!$AB$6,"A-",IF(F346&lt;'PlayerGrades+'!$AB$5,"A",IF(F346&lt;'PlayerGrades+'!$AB$4,"A+",IF(F346&lt;'PlayerGrades+'!$AB$3,"S-",IF(F346&lt;'PlayerGrades+'!$AB$2,"S","S+"))))))))))))))))))))</f>
        <v>#DIV/0!</v>
      </c>
      <c r="H346" s="961" t="str">
        <f t="shared" si="3"/>
        <v>#DIV/0!</v>
      </c>
      <c r="I346" s="961" t="str">
        <f>IF(H346&lt;'PlayerGrades+'!$AC$21,"F-",IF(H346&lt;'PlayerGrades+'!$AC$20,"F",IF(H346&lt;'PlayerGrades+'!$AC$19,"F+",IF(H346&lt;'PlayerGrades+'!$AC$18,"E-",IF(H346&lt;'PlayerGrades+'!$AC$17,"E",IF(H346&lt;'PlayerGrades+'!$AC$16,"E+",IF(H346&lt;'PlayerGrades+'!$AC$15,"D-",IF(H346&lt;'PlayerGrades+'!$AC$14,"D",IF(H346&lt;'PlayerGrades+'!$AC$13,"D+",IF(H346&lt;'PlayerGrades+'!$AC$12,"C-",IF(H346&lt;'PlayerGrades+'!$AC$11,"C",IF(H346&lt;'PlayerGrades+'!$AC$10,"C+",IF(H346&lt;'PlayerGrades+'!$AC$9,"B-",IF(H346&lt;'PlayerGrades+'!$AC$8,"B",IF(H346&lt;'PlayerGrades+'!$AC$7,"B+",IF(H346&lt;'PlayerGrades+'!$AC$6,"A-",IF(H346&lt;'PlayerGrades+'!$AC$5,"A",IF(H346&lt;'PlayerGrades+'!$AC$4,"A+",IF(H346&lt;'PlayerGrades+'!$AC$3,"S-",IF(H346&lt;'PlayerGrades+'!$AC$2,"S","S+"))))))))))))))))))))</f>
        <v>#DIV/0!</v>
      </c>
      <c r="J346" s="961" t="str">
        <f t="shared" si="4"/>
        <v>#DIV/0!</v>
      </c>
      <c r="K346" s="961" t="str">
        <f>IF(J346&lt;'PlayerGrades+'!$AD$21,"F-",IF(J346&lt;'PlayerGrades+'!$AD$20,"F",IF(J346&lt;'PlayerGrades+'!$AD$19,"F+",IF(J346&lt;'PlayerGrades+'!$AD$18,"E-",IF(J346&lt;'PlayerGrades+'!$AD$17,"E",IF(J346&lt;'PlayerGrades+'!$AD$16,"E+",IF(J346&lt;'PlayerGrades+'!$AD$15,"D-",IF(J346&lt;'PlayerGrades+'!$AD$14,"D",IF(J346&lt;'PlayerGrades+'!$AD$13,"D+",IF(J346&lt;'PlayerGrades+'!$AD$12,"C-",IF(J346&lt;'PlayerGrades+'!$AD$11,"C",IF(J346&lt;'PlayerGrades+'!$AD$10,"C+",IF(J346&lt;'PlayerGrades+'!$AD$9,"B-",IF(J346&lt;'PlayerGrades+'!$AD$8,"B",IF(J346&lt;'PlayerGrades+'!$AD$7,"B+",IF(J346&lt;'PlayerGrades+'!$AD$6,"A-",IF(J346&lt;'PlayerGrades+'!$AD$5,"A",IF(J346&lt;'PlayerGrades+'!$AD$4,"A+",IF(J346&lt;'PlayerGrades+'!$AD$3,"S-",IF(J346&lt;'PlayerGrades+'!$AD$2,"S","S+"))))))))))))))))))))</f>
        <v>#DIV/0!</v>
      </c>
      <c r="L346" s="1176" t="str">
        <f t="shared" si="5"/>
        <v>#DIV/0!</v>
      </c>
      <c r="M346" s="992" t="str">
        <f>IF(L346&lt;'PlayerGrades+'!$AE$21,"F-",IF(L346&lt;'PlayerGrades+'!$AE$20,"F",IF(L346&lt;'PlayerGrades+'!$AE$19,"F+",IF(L346&lt;'PlayerGrades+'!$AE$18,"E-",IF(L346&lt;'PlayerGrades+'!$AE$17,"E",IF(L346&lt;'PlayerGrades+'!$AE$16,"E+",IF(L346&lt;'PlayerGrades+'!$AE$15,"D-",IF(L346&lt;'PlayerGrades+'!$AE$14,"D",IF(L346&lt;'PlayerGrades+'!$AE$13,"D+",IF(L346&lt;'PlayerGrades+'!$AE$12,"C-",IF(L346&lt;'PlayerGrades+'!$AE$11,"C",IF(L346&lt;'PlayerGrades+'!$AE$10,"C+",IF(L346&lt;'PlayerGrades+'!$AE$9,"B-",IF(L346&lt;'PlayerGrades+'!$AE$8,"B",IF(L346&lt;'PlayerGrades+'!$AE$7,"B+",IF(L346&lt;'PlayerGrades+'!$AE$6,"A-",IF(L346&lt;'PlayerGrades+'!$AE$5,"A",IF(L346&lt;'PlayerGrades+'!$AE$4,"A+",IF(L346&lt;'PlayerGrades+'!$AE$3,"S-",IF(L346&lt;'PlayerGrades+'!$AE$2,"S","S+"))))))))))))))))))))</f>
        <v>#DIV/0!</v>
      </c>
      <c r="N346" s="961" t="str">
        <f t="shared" si="6"/>
        <v>#DIV/0!</v>
      </c>
      <c r="O346" s="961" t="str">
        <f>IF(N346&lt;'PlayerGrades+'!$AF$21,"F-",IF(N346&lt;'PlayerGrades+'!$AF$20,"F",IF(N346&lt;'PlayerGrades+'!$AF$19,"F+",IF(N346&lt;'PlayerGrades+'!$AF$18,"E-",IF(N346&lt;'PlayerGrades+'!$AF$17,"E",IF(N346&lt;'PlayerGrades+'!$AF$16,"E+",IF(N346&lt;'PlayerGrades+'!$AF$15,"D-",IF(N346&lt;'PlayerGrades+'!$AF$14,"D",IF(N346&lt;'PlayerGrades+'!$AF$13,"D+",IF(N346&lt;'PlayerGrades+'!$AF$12,"C-",IF(N346&lt;'PlayerGrades+'!$AF$11,"C",IF(N346&lt;'PlayerGrades+'!$AF$10,"C+",IF(N346&lt;'PlayerGrades+'!$AF$9,"B-",IF(N346&lt;'PlayerGrades+'!$AF$8,"B",IF(N346&lt;'PlayerGrades+'!$AF$7,"B+",IF(N346&lt;'PlayerGrades+'!$AF$6,"A-",IF(N346&lt;'PlayerGrades+'!$AF$5,"A",IF(N346&lt;'PlayerGrades+'!$AF$4,"A+",IF(N346&lt;'PlayerGrades+'!$AF$3,"S-",IF(N346&lt;'PlayerGrades+'!$AF$2,"S","S+"))))))))))))))))))))</f>
        <v>#DIV/0!</v>
      </c>
      <c r="P346" s="961" t="str">
        <f t="shared" si="7"/>
        <v>#DIV/0!</v>
      </c>
      <c r="Q346" s="961" t="str">
        <f>IF(P346&lt;'PlayerGrades+'!$AG$21,"F-",IF(P346&lt;'PlayerGrades+'!$AG$20,"F",IF(P346&lt;'PlayerGrades+'!$AG$19,"F+",IF(P346&lt;'PlayerGrades+'!$AG$18,"E-",IF(P346&lt;'PlayerGrades+'!$AG$17,"E",IF(P346&lt;'PlayerGrades+'!$AG$16,"E+",IF(P346&lt;'PlayerGrades+'!$AG$15,"D-",IF(P346&lt;'PlayerGrades+'!$AG$14,"D",IF(P346&lt;'PlayerGrades+'!$AG$13,"D+",IF(P346&lt;'PlayerGrades+'!$AG$12,"C-",IF(P346&lt;'PlayerGrades+'!$AG$11,"C",IF(P346&lt;'PlayerGrades+'!$AG$10,"C+",IF(P346&lt;'PlayerGrades+'!$AG$9,"B-",IF(P346&lt;'PlayerGrades+'!$AG$8,"B",IF(P346&lt;'PlayerGrades+'!$AG$7,"B+",IF(P346&lt;'PlayerGrades+'!$AG$6,"A-",IF(P346&lt;'PlayerGrades+'!$AG$5,"A",IF(P346&lt;'PlayerGrades+'!$AG$4,"A+",IF(P346&lt;'PlayerGrades+'!$AG$3,"S-",IF(P346&lt;'PlayerGrades+'!$AG$2,"S","S+"))))))))))))))))))))</f>
        <v>#DIV/0!</v>
      </c>
      <c r="R346" s="961" t="str">
        <f t="shared" si="8"/>
        <v>#DIV/0!</v>
      </c>
      <c r="S346" s="961" t="str">
        <f>IF(R346&lt;'PlayerGrades+'!$AH$21,"F-",IF(R346&lt;'PlayerGrades+'!$AH$20,"F",IF(R346&lt;'PlayerGrades+'!$AH$19,"F+",IF(R346&lt;'PlayerGrades+'!$AH$18,"E-",IF(R346&lt;'PlayerGrades+'!$AH$17,"E",IF(R346&lt;'PlayerGrades+'!$AH$16,"E+",IF(R346&lt;'PlayerGrades+'!$AH$15,"D-",IF(R346&lt;'PlayerGrades+'!$AH$14,"D",IF(R346&lt;'PlayerGrades+'!$AH$13,"D+",IF(R346&lt;'PlayerGrades+'!$AH$12,"C-",IF(R346&lt;'PlayerGrades+'!$AH$11,"C",IF(R346&lt;'PlayerGrades+'!$AH$10,"C+",IF(R346&lt;'PlayerGrades+'!$AH$9,"B-",IF(R346&lt;'PlayerGrades+'!$AH$8,"B",IF(R346&lt;'PlayerGrades+'!$AH$7,"B+",IF(R346&lt;'PlayerGrades+'!$AH$6,"A-",IF(R346&lt;'PlayerGrades+'!$AH$5,"A",IF(R346&lt;'PlayerGrades+'!$AH$4,"A+",IF(R346&lt;'PlayerGrades+'!$AH$3,"S-",IF(R346&lt;'PlayerGrades+'!$AH$2,"S","S+"))))))))))))))))))))</f>
        <v>#DIV/0!</v>
      </c>
      <c r="T346" s="961">
        <f t="shared" si="9"/>
        <v>0</v>
      </c>
      <c r="U346" s="961" t="str">
        <f>IF(T346&lt;'PlayerGrades+'!$AI$21,"F-",IF(T346&lt;'PlayerGrades+'!$AI$20,"F",IF(T346&lt;'PlayerGrades+'!$AI$19,"F+",IF(T346&lt;'PlayerGrades+'!$AI$18,"E-",IF(T346&lt;'PlayerGrades+'!$AI$17,"E",IF(T346&lt;'PlayerGrades+'!$AI$16,"E+",IF(T346&lt;'PlayerGrades+'!$AI$15,"D-",IF(T346&lt;'PlayerGrades+'!$AI$14,"D",IF(T346&lt;'PlayerGrades+'!$AI$13,"D+",IF(T346&lt;'PlayerGrades+'!$AI$12,"C-",IF(T346&lt;'PlayerGrades+'!$AI$11,"C",IF(T346&lt;'PlayerGrades+'!$AI$10,"C+",IF(T346&lt;'PlayerGrades+'!$AI$9,"B-",IF(T346&lt;'PlayerGrades+'!$AI$8,"B",IF(T346&lt;'PlayerGrades+'!$AI$7,"B+",IF(T346&lt;'PlayerGrades+'!$AI$6,"A-",IF(T346&lt;'PlayerGrades+'!$AI$5,"A",IF(T346&lt;'PlayerGrades+'!$AI$4,"A+",IF(T346&lt;'PlayerGrades+'!$AI$3,"S-",IF(T346&lt;'PlayerGrades+'!$AI$2,"S","S+"))))))))))))))))))))</f>
        <v>F-</v>
      </c>
      <c r="V346" s="1379"/>
      <c r="W346" s="1379"/>
      <c r="X346" s="1379"/>
      <c r="Y346" s="1379"/>
      <c r="Z346" s="1379"/>
      <c r="AA346" s="1379"/>
      <c r="AB346" s="1379"/>
      <c r="AC346" s="1390"/>
      <c r="AD346" s="1379"/>
      <c r="AE346" s="1379"/>
      <c r="AF346" s="1379"/>
      <c r="AG346" s="1379"/>
      <c r="AH346" s="1379"/>
      <c r="AI346" s="1379"/>
      <c r="AJ346" s="1379"/>
      <c r="AK346" s="1379"/>
      <c r="AL346" s="1379"/>
      <c r="AM346" s="1379"/>
      <c r="AN346" s="1379"/>
      <c r="AO346" s="1379"/>
      <c r="AP346" s="1379"/>
      <c r="AQ346" s="1379"/>
      <c r="AR346" s="1379"/>
      <c r="AS346" s="1379"/>
      <c r="AT346" s="1379"/>
      <c r="AU346" s="1379"/>
      <c r="AV346" s="1379"/>
      <c r="AW346" s="1379"/>
      <c r="AX346" s="1379"/>
      <c r="AY346" s="1379"/>
      <c r="AZ346" s="1379"/>
    </row>
    <row r="347">
      <c r="A347" s="1391"/>
      <c r="B347" s="611" t="str">
        <f>IF(C347&lt;'PlayerGrades+'!$Y$44,"F-",IF(C347&lt;'PlayerGrades+'!$Y$43,"F",IF(C347&lt;'PlayerGrades+'!$Y$42,"F+",IF(C347&lt;'PlayerGrades+'!$Y$41,"E-",IF(C347&lt;'PlayerGrades+'!$Y$40,"E",IF(C347&lt;'PlayerGrades+'!$Y$39,"E+",IF(C347&lt;'PlayerGrades+'!$Y$38,"D-",IF(C347&lt;'PlayerGrades+'!$Y$37,"D",IF(C347&lt;'PlayerGrades+'!$Y$36,"D+",IF(C347&lt;'PlayerGrades+'!$Y$35,"C-",IF(C347&lt;'PlayerGrades+'!$Y$34,"C",IF(C347&lt;'PlayerGrades+'!$Y$33,"C+",IF(C347&lt;'PlayerGrades+'!$Y$32,"B-",IF(C347&lt;'PlayerGrades+'!$Y$31,"B",IF(C347&lt;'PlayerGrades+'!$Y$30,"B+",IF(C347&lt;'PlayerGrades+'!$Y$29,"A-",IF(C347&lt;'PlayerGrades+'!$Y$28,"A",IF(C347&lt;'PlayerGrades+'!$Y$27,"A+",IF(C347&lt;'PlayerGrades+'!$Y$26,"S-",IF(C347&lt;'PlayerGrades+'!$Y$25,"S","S+"))))))))))))))))))))</f>
        <v>#DIV/0!</v>
      </c>
      <c r="C347" s="1378" t="str">
        <f>('PlayerGrades+'!$Y$47*(VLOOKUP(E347, 'PlayerGrades+'!$X$3:$Y$23, 2, FALSE)))+('PlayerGrades+'!$Y$48*(VLOOKUP(G347, 'PlayerGrades+'!$X$3:$Y$23, 2, FALSE)))+('PlayerGrades+'!$Y$49*(VLOOKUP(I347, 'PlayerGrades+'!$X$3:$Y$23, 2, FALSE)))+('PlayerGrades+'!$Y$50*(VLOOKUP(K347, 'PlayerGrades+'!$X$3:$Y$23, 2, FALSE)))+('PlayerGrades+'!$Y$51*(VLOOKUP(M347, 'PlayerGrades+'!$X$3:$Y$23, 2, FALSE)))+('PlayerGrades+'!$Y$52*(VLOOKUP(O347, 'PlayerGrades+'!$X$3:$Y$23, 2, FALSE)))+('PlayerGrades+'!$Y$53*(VLOOKUP(Q347, 'PlayerGrades+'!$X$3:$Y$23, 2, FALSE)))+('PlayerGrades+'!$Y$54*(VLOOKUP(S347, 'PlayerGrades+'!$X$3:$Y$23, 2, FALSE)))+('PlayerGrades+'!$Y$55*(VLOOKUP(U347, 'PlayerGrades+'!$X$3:$Y$23, 2, FALSE)))</f>
        <v>#DIV/0!</v>
      </c>
      <c r="D347" s="961" t="str">
        <f t="shared" si="1"/>
        <v>#DIV/0!</v>
      </c>
      <c r="E347" s="961" t="str">
        <f>IF(D347&lt;'PlayerGrades+'!$AA$21,"F-",IF(D347&lt;'PlayerGrades+'!$AA$20,"F",IF(D347&lt;'PlayerGrades+'!$AA$19,"F+",IF(D347&lt;'PlayerGrades+'!$AA$18,"E-",IF(D347&lt;'PlayerGrades+'!$AA$17,"E",IF(D347&lt;'PlayerGrades+'!$AA$16,"E+",IF(D347&lt;'PlayerGrades+'!$AA$15,"D-",IF(D347&lt;'PlayerGrades+'!$AA$14,"D",IF(D347&lt;'PlayerGrades+'!$AA$13,"D+",IF(D347&lt;'PlayerGrades+'!$AA$12,"C-",IF(D347&lt;'PlayerGrades+'!$AA$11,"C",IF(D347&lt;'PlayerGrades+'!$AA$10,"C+",IF(D347&lt;'PlayerGrades+'!$AA$9,"B-",IF(D347&lt;'PlayerGrades+'!$AA$8,"B",IF(D347&lt;'PlayerGrades+'!$AA$7,"B+",IF(D347&lt;'PlayerGrades+'!$AA$6,"A-",IF(D347&lt;'PlayerGrades+'!$AA$5,"A",IF(D347&lt;'PlayerGrades+'!$AA$4,"A+",IF(D347&lt;'PlayerGrades+'!$AA$3,"S-",IF(D347&lt;'PlayerGrades+'!$AA$2,"S","S+"))))))))))))))))))))</f>
        <v>#DIV/0!</v>
      </c>
      <c r="F347" s="961" t="str">
        <f t="shared" si="2"/>
        <v>#DIV/0!</v>
      </c>
      <c r="G347" s="961" t="str">
        <f>IF(F347&lt;'PlayerGrades+'!$AB$21,"F-",IF(F347&lt;'PlayerGrades+'!$AB$20,"F",IF(F347&lt;'PlayerGrades+'!$AB$19,"F+",IF(F347&lt;'PlayerGrades+'!$AB$18,"E-",IF(F347&lt;'PlayerGrades+'!$AB$17,"E",IF(F347&lt;'PlayerGrades+'!$AB$16,"E+",IF(F347&lt;'PlayerGrades+'!$AB$15,"D-",IF(F347&lt;'PlayerGrades+'!$AB$14,"D",IF(F347&lt;'PlayerGrades+'!$AB$13,"D+",IF(F347&lt;'PlayerGrades+'!$AB$12,"C-",IF(F347&lt;'PlayerGrades+'!$AB$11,"C",IF(F347&lt;'PlayerGrades+'!$AB$10,"C+",IF(F347&lt;'PlayerGrades+'!$AB$9,"B-",IF(F347&lt;'PlayerGrades+'!$AB$8,"B",IF(F347&lt;'PlayerGrades+'!$AB$7,"B+",IF(F347&lt;'PlayerGrades+'!$AB$6,"A-",IF(F347&lt;'PlayerGrades+'!$AB$5,"A",IF(F347&lt;'PlayerGrades+'!$AB$4,"A+",IF(F347&lt;'PlayerGrades+'!$AB$3,"S-",IF(F347&lt;'PlayerGrades+'!$AB$2,"S","S+"))))))))))))))))))))</f>
        <v>#DIV/0!</v>
      </c>
      <c r="H347" s="961" t="str">
        <f t="shared" si="3"/>
        <v>#DIV/0!</v>
      </c>
      <c r="I347" s="961" t="str">
        <f>IF(H347&lt;'PlayerGrades+'!$AC$21,"F-",IF(H347&lt;'PlayerGrades+'!$AC$20,"F",IF(H347&lt;'PlayerGrades+'!$AC$19,"F+",IF(H347&lt;'PlayerGrades+'!$AC$18,"E-",IF(H347&lt;'PlayerGrades+'!$AC$17,"E",IF(H347&lt;'PlayerGrades+'!$AC$16,"E+",IF(H347&lt;'PlayerGrades+'!$AC$15,"D-",IF(H347&lt;'PlayerGrades+'!$AC$14,"D",IF(H347&lt;'PlayerGrades+'!$AC$13,"D+",IF(H347&lt;'PlayerGrades+'!$AC$12,"C-",IF(H347&lt;'PlayerGrades+'!$AC$11,"C",IF(H347&lt;'PlayerGrades+'!$AC$10,"C+",IF(H347&lt;'PlayerGrades+'!$AC$9,"B-",IF(H347&lt;'PlayerGrades+'!$AC$8,"B",IF(H347&lt;'PlayerGrades+'!$AC$7,"B+",IF(H347&lt;'PlayerGrades+'!$AC$6,"A-",IF(H347&lt;'PlayerGrades+'!$AC$5,"A",IF(H347&lt;'PlayerGrades+'!$AC$4,"A+",IF(H347&lt;'PlayerGrades+'!$AC$3,"S-",IF(H347&lt;'PlayerGrades+'!$AC$2,"S","S+"))))))))))))))))))))</f>
        <v>#DIV/0!</v>
      </c>
      <c r="J347" s="961" t="str">
        <f t="shared" si="4"/>
        <v>#DIV/0!</v>
      </c>
      <c r="K347" s="961" t="str">
        <f>IF(J347&lt;'PlayerGrades+'!$AD$21,"F-",IF(J347&lt;'PlayerGrades+'!$AD$20,"F",IF(J347&lt;'PlayerGrades+'!$AD$19,"F+",IF(J347&lt;'PlayerGrades+'!$AD$18,"E-",IF(J347&lt;'PlayerGrades+'!$AD$17,"E",IF(J347&lt;'PlayerGrades+'!$AD$16,"E+",IF(J347&lt;'PlayerGrades+'!$AD$15,"D-",IF(J347&lt;'PlayerGrades+'!$AD$14,"D",IF(J347&lt;'PlayerGrades+'!$AD$13,"D+",IF(J347&lt;'PlayerGrades+'!$AD$12,"C-",IF(J347&lt;'PlayerGrades+'!$AD$11,"C",IF(J347&lt;'PlayerGrades+'!$AD$10,"C+",IF(J347&lt;'PlayerGrades+'!$AD$9,"B-",IF(J347&lt;'PlayerGrades+'!$AD$8,"B",IF(J347&lt;'PlayerGrades+'!$AD$7,"B+",IF(J347&lt;'PlayerGrades+'!$AD$6,"A-",IF(J347&lt;'PlayerGrades+'!$AD$5,"A",IF(J347&lt;'PlayerGrades+'!$AD$4,"A+",IF(J347&lt;'PlayerGrades+'!$AD$3,"S-",IF(J347&lt;'PlayerGrades+'!$AD$2,"S","S+"))))))))))))))))))))</f>
        <v>#DIV/0!</v>
      </c>
      <c r="L347" s="1176" t="str">
        <f t="shared" si="5"/>
        <v>#DIV/0!</v>
      </c>
      <c r="M347" s="992" t="str">
        <f>IF(L347&lt;'PlayerGrades+'!$AE$21,"F-",IF(L347&lt;'PlayerGrades+'!$AE$20,"F",IF(L347&lt;'PlayerGrades+'!$AE$19,"F+",IF(L347&lt;'PlayerGrades+'!$AE$18,"E-",IF(L347&lt;'PlayerGrades+'!$AE$17,"E",IF(L347&lt;'PlayerGrades+'!$AE$16,"E+",IF(L347&lt;'PlayerGrades+'!$AE$15,"D-",IF(L347&lt;'PlayerGrades+'!$AE$14,"D",IF(L347&lt;'PlayerGrades+'!$AE$13,"D+",IF(L347&lt;'PlayerGrades+'!$AE$12,"C-",IF(L347&lt;'PlayerGrades+'!$AE$11,"C",IF(L347&lt;'PlayerGrades+'!$AE$10,"C+",IF(L347&lt;'PlayerGrades+'!$AE$9,"B-",IF(L347&lt;'PlayerGrades+'!$AE$8,"B",IF(L347&lt;'PlayerGrades+'!$AE$7,"B+",IF(L347&lt;'PlayerGrades+'!$AE$6,"A-",IF(L347&lt;'PlayerGrades+'!$AE$5,"A",IF(L347&lt;'PlayerGrades+'!$AE$4,"A+",IF(L347&lt;'PlayerGrades+'!$AE$3,"S-",IF(L347&lt;'PlayerGrades+'!$AE$2,"S","S+"))))))))))))))))))))</f>
        <v>#DIV/0!</v>
      </c>
      <c r="N347" s="961" t="str">
        <f t="shared" si="6"/>
        <v>#DIV/0!</v>
      </c>
      <c r="O347" s="961" t="str">
        <f>IF(N347&lt;'PlayerGrades+'!$AF$21,"F-",IF(N347&lt;'PlayerGrades+'!$AF$20,"F",IF(N347&lt;'PlayerGrades+'!$AF$19,"F+",IF(N347&lt;'PlayerGrades+'!$AF$18,"E-",IF(N347&lt;'PlayerGrades+'!$AF$17,"E",IF(N347&lt;'PlayerGrades+'!$AF$16,"E+",IF(N347&lt;'PlayerGrades+'!$AF$15,"D-",IF(N347&lt;'PlayerGrades+'!$AF$14,"D",IF(N347&lt;'PlayerGrades+'!$AF$13,"D+",IF(N347&lt;'PlayerGrades+'!$AF$12,"C-",IF(N347&lt;'PlayerGrades+'!$AF$11,"C",IF(N347&lt;'PlayerGrades+'!$AF$10,"C+",IF(N347&lt;'PlayerGrades+'!$AF$9,"B-",IF(N347&lt;'PlayerGrades+'!$AF$8,"B",IF(N347&lt;'PlayerGrades+'!$AF$7,"B+",IF(N347&lt;'PlayerGrades+'!$AF$6,"A-",IF(N347&lt;'PlayerGrades+'!$AF$5,"A",IF(N347&lt;'PlayerGrades+'!$AF$4,"A+",IF(N347&lt;'PlayerGrades+'!$AF$3,"S-",IF(N347&lt;'PlayerGrades+'!$AF$2,"S","S+"))))))))))))))))))))</f>
        <v>#DIV/0!</v>
      </c>
      <c r="P347" s="961" t="str">
        <f t="shared" si="7"/>
        <v>#DIV/0!</v>
      </c>
      <c r="Q347" s="961" t="str">
        <f>IF(P347&lt;'PlayerGrades+'!$AG$21,"F-",IF(P347&lt;'PlayerGrades+'!$AG$20,"F",IF(P347&lt;'PlayerGrades+'!$AG$19,"F+",IF(P347&lt;'PlayerGrades+'!$AG$18,"E-",IF(P347&lt;'PlayerGrades+'!$AG$17,"E",IF(P347&lt;'PlayerGrades+'!$AG$16,"E+",IF(P347&lt;'PlayerGrades+'!$AG$15,"D-",IF(P347&lt;'PlayerGrades+'!$AG$14,"D",IF(P347&lt;'PlayerGrades+'!$AG$13,"D+",IF(P347&lt;'PlayerGrades+'!$AG$12,"C-",IF(P347&lt;'PlayerGrades+'!$AG$11,"C",IF(P347&lt;'PlayerGrades+'!$AG$10,"C+",IF(P347&lt;'PlayerGrades+'!$AG$9,"B-",IF(P347&lt;'PlayerGrades+'!$AG$8,"B",IF(P347&lt;'PlayerGrades+'!$AG$7,"B+",IF(P347&lt;'PlayerGrades+'!$AG$6,"A-",IF(P347&lt;'PlayerGrades+'!$AG$5,"A",IF(P347&lt;'PlayerGrades+'!$AG$4,"A+",IF(P347&lt;'PlayerGrades+'!$AG$3,"S-",IF(P347&lt;'PlayerGrades+'!$AG$2,"S","S+"))))))))))))))))))))</f>
        <v>#DIV/0!</v>
      </c>
      <c r="R347" s="961" t="str">
        <f t="shared" si="8"/>
        <v>#DIV/0!</v>
      </c>
      <c r="S347" s="961" t="str">
        <f>IF(R347&lt;'PlayerGrades+'!$AH$21,"F-",IF(R347&lt;'PlayerGrades+'!$AH$20,"F",IF(R347&lt;'PlayerGrades+'!$AH$19,"F+",IF(R347&lt;'PlayerGrades+'!$AH$18,"E-",IF(R347&lt;'PlayerGrades+'!$AH$17,"E",IF(R347&lt;'PlayerGrades+'!$AH$16,"E+",IF(R347&lt;'PlayerGrades+'!$AH$15,"D-",IF(R347&lt;'PlayerGrades+'!$AH$14,"D",IF(R347&lt;'PlayerGrades+'!$AH$13,"D+",IF(R347&lt;'PlayerGrades+'!$AH$12,"C-",IF(R347&lt;'PlayerGrades+'!$AH$11,"C",IF(R347&lt;'PlayerGrades+'!$AH$10,"C+",IF(R347&lt;'PlayerGrades+'!$AH$9,"B-",IF(R347&lt;'PlayerGrades+'!$AH$8,"B",IF(R347&lt;'PlayerGrades+'!$AH$7,"B+",IF(R347&lt;'PlayerGrades+'!$AH$6,"A-",IF(R347&lt;'PlayerGrades+'!$AH$5,"A",IF(R347&lt;'PlayerGrades+'!$AH$4,"A+",IF(R347&lt;'PlayerGrades+'!$AH$3,"S-",IF(R347&lt;'PlayerGrades+'!$AH$2,"S","S+"))))))))))))))))))))</f>
        <v>#DIV/0!</v>
      </c>
      <c r="T347" s="961">
        <f t="shared" si="9"/>
        <v>0</v>
      </c>
      <c r="U347" s="961" t="str">
        <f>IF(T347&lt;'PlayerGrades+'!$AI$21,"F-",IF(T347&lt;'PlayerGrades+'!$AI$20,"F",IF(T347&lt;'PlayerGrades+'!$AI$19,"F+",IF(T347&lt;'PlayerGrades+'!$AI$18,"E-",IF(T347&lt;'PlayerGrades+'!$AI$17,"E",IF(T347&lt;'PlayerGrades+'!$AI$16,"E+",IF(T347&lt;'PlayerGrades+'!$AI$15,"D-",IF(T347&lt;'PlayerGrades+'!$AI$14,"D",IF(T347&lt;'PlayerGrades+'!$AI$13,"D+",IF(T347&lt;'PlayerGrades+'!$AI$12,"C-",IF(T347&lt;'PlayerGrades+'!$AI$11,"C",IF(T347&lt;'PlayerGrades+'!$AI$10,"C+",IF(T347&lt;'PlayerGrades+'!$AI$9,"B-",IF(T347&lt;'PlayerGrades+'!$AI$8,"B",IF(T347&lt;'PlayerGrades+'!$AI$7,"B+",IF(T347&lt;'PlayerGrades+'!$AI$6,"A-",IF(T347&lt;'PlayerGrades+'!$AI$5,"A",IF(T347&lt;'PlayerGrades+'!$AI$4,"A+",IF(T347&lt;'PlayerGrades+'!$AI$3,"S-",IF(T347&lt;'PlayerGrades+'!$AI$2,"S","S+"))))))))))))))))))))</f>
        <v>F-</v>
      </c>
      <c r="AC347" s="1392"/>
    </row>
    <row r="348">
      <c r="A348" s="1391"/>
      <c r="B348" s="611" t="str">
        <f>IF(C348&lt;'PlayerGrades+'!$Y$44,"F-",IF(C348&lt;'PlayerGrades+'!$Y$43,"F",IF(C348&lt;'PlayerGrades+'!$Y$42,"F+",IF(C348&lt;'PlayerGrades+'!$Y$41,"E-",IF(C348&lt;'PlayerGrades+'!$Y$40,"E",IF(C348&lt;'PlayerGrades+'!$Y$39,"E+",IF(C348&lt;'PlayerGrades+'!$Y$38,"D-",IF(C348&lt;'PlayerGrades+'!$Y$37,"D",IF(C348&lt;'PlayerGrades+'!$Y$36,"D+",IF(C348&lt;'PlayerGrades+'!$Y$35,"C-",IF(C348&lt;'PlayerGrades+'!$Y$34,"C",IF(C348&lt;'PlayerGrades+'!$Y$33,"C+",IF(C348&lt;'PlayerGrades+'!$Y$32,"B-",IF(C348&lt;'PlayerGrades+'!$Y$31,"B",IF(C348&lt;'PlayerGrades+'!$Y$30,"B+",IF(C348&lt;'PlayerGrades+'!$Y$29,"A-",IF(C348&lt;'PlayerGrades+'!$Y$28,"A",IF(C348&lt;'PlayerGrades+'!$Y$27,"A+",IF(C348&lt;'PlayerGrades+'!$Y$26,"S-",IF(C348&lt;'PlayerGrades+'!$Y$25,"S","S+"))))))))))))))))))))</f>
        <v>#DIV/0!</v>
      </c>
      <c r="C348" s="1378" t="str">
        <f>('PlayerGrades+'!$Y$47*(VLOOKUP(E348, 'PlayerGrades+'!$X$3:$Y$23, 2, FALSE)))+('PlayerGrades+'!$Y$48*(VLOOKUP(G348, 'PlayerGrades+'!$X$3:$Y$23, 2, FALSE)))+('PlayerGrades+'!$Y$49*(VLOOKUP(I348, 'PlayerGrades+'!$X$3:$Y$23, 2, FALSE)))+('PlayerGrades+'!$Y$50*(VLOOKUP(K348, 'PlayerGrades+'!$X$3:$Y$23, 2, FALSE)))+('PlayerGrades+'!$Y$51*(VLOOKUP(M348, 'PlayerGrades+'!$X$3:$Y$23, 2, FALSE)))+('PlayerGrades+'!$Y$52*(VLOOKUP(O348, 'PlayerGrades+'!$X$3:$Y$23, 2, FALSE)))+('PlayerGrades+'!$Y$53*(VLOOKUP(Q348, 'PlayerGrades+'!$X$3:$Y$23, 2, FALSE)))+('PlayerGrades+'!$Y$54*(VLOOKUP(S348, 'PlayerGrades+'!$X$3:$Y$23, 2, FALSE)))+('PlayerGrades+'!$Y$55*(VLOOKUP(U348, 'PlayerGrades+'!$X$3:$Y$23, 2, FALSE)))</f>
        <v>#DIV/0!</v>
      </c>
      <c r="D348" s="961" t="str">
        <f t="shared" si="1"/>
        <v>#DIV/0!</v>
      </c>
      <c r="E348" s="961" t="str">
        <f>IF(D348&lt;'PlayerGrades+'!$AA$21,"F-",IF(D348&lt;'PlayerGrades+'!$AA$20,"F",IF(D348&lt;'PlayerGrades+'!$AA$19,"F+",IF(D348&lt;'PlayerGrades+'!$AA$18,"E-",IF(D348&lt;'PlayerGrades+'!$AA$17,"E",IF(D348&lt;'PlayerGrades+'!$AA$16,"E+",IF(D348&lt;'PlayerGrades+'!$AA$15,"D-",IF(D348&lt;'PlayerGrades+'!$AA$14,"D",IF(D348&lt;'PlayerGrades+'!$AA$13,"D+",IF(D348&lt;'PlayerGrades+'!$AA$12,"C-",IF(D348&lt;'PlayerGrades+'!$AA$11,"C",IF(D348&lt;'PlayerGrades+'!$AA$10,"C+",IF(D348&lt;'PlayerGrades+'!$AA$9,"B-",IF(D348&lt;'PlayerGrades+'!$AA$8,"B",IF(D348&lt;'PlayerGrades+'!$AA$7,"B+",IF(D348&lt;'PlayerGrades+'!$AA$6,"A-",IF(D348&lt;'PlayerGrades+'!$AA$5,"A",IF(D348&lt;'PlayerGrades+'!$AA$4,"A+",IF(D348&lt;'PlayerGrades+'!$AA$3,"S-",IF(D348&lt;'PlayerGrades+'!$AA$2,"S","S+"))))))))))))))))))))</f>
        <v>#DIV/0!</v>
      </c>
      <c r="F348" s="961" t="str">
        <f t="shared" si="2"/>
        <v>#DIV/0!</v>
      </c>
      <c r="G348" s="961" t="str">
        <f>IF(F348&lt;'PlayerGrades+'!$AB$21,"F-",IF(F348&lt;'PlayerGrades+'!$AB$20,"F",IF(F348&lt;'PlayerGrades+'!$AB$19,"F+",IF(F348&lt;'PlayerGrades+'!$AB$18,"E-",IF(F348&lt;'PlayerGrades+'!$AB$17,"E",IF(F348&lt;'PlayerGrades+'!$AB$16,"E+",IF(F348&lt;'PlayerGrades+'!$AB$15,"D-",IF(F348&lt;'PlayerGrades+'!$AB$14,"D",IF(F348&lt;'PlayerGrades+'!$AB$13,"D+",IF(F348&lt;'PlayerGrades+'!$AB$12,"C-",IF(F348&lt;'PlayerGrades+'!$AB$11,"C",IF(F348&lt;'PlayerGrades+'!$AB$10,"C+",IF(F348&lt;'PlayerGrades+'!$AB$9,"B-",IF(F348&lt;'PlayerGrades+'!$AB$8,"B",IF(F348&lt;'PlayerGrades+'!$AB$7,"B+",IF(F348&lt;'PlayerGrades+'!$AB$6,"A-",IF(F348&lt;'PlayerGrades+'!$AB$5,"A",IF(F348&lt;'PlayerGrades+'!$AB$4,"A+",IF(F348&lt;'PlayerGrades+'!$AB$3,"S-",IF(F348&lt;'PlayerGrades+'!$AB$2,"S","S+"))))))))))))))))))))</f>
        <v>#DIV/0!</v>
      </c>
      <c r="H348" s="961" t="str">
        <f t="shared" si="3"/>
        <v>#DIV/0!</v>
      </c>
      <c r="I348" s="961" t="str">
        <f>IF(H348&lt;'PlayerGrades+'!$AC$21,"F-",IF(H348&lt;'PlayerGrades+'!$AC$20,"F",IF(H348&lt;'PlayerGrades+'!$AC$19,"F+",IF(H348&lt;'PlayerGrades+'!$AC$18,"E-",IF(H348&lt;'PlayerGrades+'!$AC$17,"E",IF(H348&lt;'PlayerGrades+'!$AC$16,"E+",IF(H348&lt;'PlayerGrades+'!$AC$15,"D-",IF(H348&lt;'PlayerGrades+'!$AC$14,"D",IF(H348&lt;'PlayerGrades+'!$AC$13,"D+",IF(H348&lt;'PlayerGrades+'!$AC$12,"C-",IF(H348&lt;'PlayerGrades+'!$AC$11,"C",IF(H348&lt;'PlayerGrades+'!$AC$10,"C+",IF(H348&lt;'PlayerGrades+'!$AC$9,"B-",IF(H348&lt;'PlayerGrades+'!$AC$8,"B",IF(H348&lt;'PlayerGrades+'!$AC$7,"B+",IF(H348&lt;'PlayerGrades+'!$AC$6,"A-",IF(H348&lt;'PlayerGrades+'!$AC$5,"A",IF(H348&lt;'PlayerGrades+'!$AC$4,"A+",IF(H348&lt;'PlayerGrades+'!$AC$3,"S-",IF(H348&lt;'PlayerGrades+'!$AC$2,"S","S+"))))))))))))))))))))</f>
        <v>#DIV/0!</v>
      </c>
      <c r="J348" s="961" t="str">
        <f t="shared" si="4"/>
        <v>#DIV/0!</v>
      </c>
      <c r="K348" s="961" t="str">
        <f>IF(J348&lt;'PlayerGrades+'!$AD$21,"F-",IF(J348&lt;'PlayerGrades+'!$AD$20,"F",IF(J348&lt;'PlayerGrades+'!$AD$19,"F+",IF(J348&lt;'PlayerGrades+'!$AD$18,"E-",IF(J348&lt;'PlayerGrades+'!$AD$17,"E",IF(J348&lt;'PlayerGrades+'!$AD$16,"E+",IF(J348&lt;'PlayerGrades+'!$AD$15,"D-",IF(J348&lt;'PlayerGrades+'!$AD$14,"D",IF(J348&lt;'PlayerGrades+'!$AD$13,"D+",IF(J348&lt;'PlayerGrades+'!$AD$12,"C-",IF(J348&lt;'PlayerGrades+'!$AD$11,"C",IF(J348&lt;'PlayerGrades+'!$AD$10,"C+",IF(J348&lt;'PlayerGrades+'!$AD$9,"B-",IF(J348&lt;'PlayerGrades+'!$AD$8,"B",IF(J348&lt;'PlayerGrades+'!$AD$7,"B+",IF(J348&lt;'PlayerGrades+'!$AD$6,"A-",IF(J348&lt;'PlayerGrades+'!$AD$5,"A",IF(J348&lt;'PlayerGrades+'!$AD$4,"A+",IF(J348&lt;'PlayerGrades+'!$AD$3,"S-",IF(J348&lt;'PlayerGrades+'!$AD$2,"S","S+"))))))))))))))))))))</f>
        <v>#DIV/0!</v>
      </c>
      <c r="L348" s="1176" t="str">
        <f t="shared" si="5"/>
        <v>#DIV/0!</v>
      </c>
      <c r="M348" s="992" t="str">
        <f>IF(L348&lt;'PlayerGrades+'!$AE$21,"F-",IF(L348&lt;'PlayerGrades+'!$AE$20,"F",IF(L348&lt;'PlayerGrades+'!$AE$19,"F+",IF(L348&lt;'PlayerGrades+'!$AE$18,"E-",IF(L348&lt;'PlayerGrades+'!$AE$17,"E",IF(L348&lt;'PlayerGrades+'!$AE$16,"E+",IF(L348&lt;'PlayerGrades+'!$AE$15,"D-",IF(L348&lt;'PlayerGrades+'!$AE$14,"D",IF(L348&lt;'PlayerGrades+'!$AE$13,"D+",IF(L348&lt;'PlayerGrades+'!$AE$12,"C-",IF(L348&lt;'PlayerGrades+'!$AE$11,"C",IF(L348&lt;'PlayerGrades+'!$AE$10,"C+",IF(L348&lt;'PlayerGrades+'!$AE$9,"B-",IF(L348&lt;'PlayerGrades+'!$AE$8,"B",IF(L348&lt;'PlayerGrades+'!$AE$7,"B+",IF(L348&lt;'PlayerGrades+'!$AE$6,"A-",IF(L348&lt;'PlayerGrades+'!$AE$5,"A",IF(L348&lt;'PlayerGrades+'!$AE$4,"A+",IF(L348&lt;'PlayerGrades+'!$AE$3,"S-",IF(L348&lt;'PlayerGrades+'!$AE$2,"S","S+"))))))))))))))))))))</f>
        <v>#DIV/0!</v>
      </c>
      <c r="N348" s="961" t="str">
        <f t="shared" si="6"/>
        <v>#DIV/0!</v>
      </c>
      <c r="O348" s="961" t="str">
        <f>IF(N348&lt;'PlayerGrades+'!$AF$21,"F-",IF(N348&lt;'PlayerGrades+'!$AF$20,"F",IF(N348&lt;'PlayerGrades+'!$AF$19,"F+",IF(N348&lt;'PlayerGrades+'!$AF$18,"E-",IF(N348&lt;'PlayerGrades+'!$AF$17,"E",IF(N348&lt;'PlayerGrades+'!$AF$16,"E+",IF(N348&lt;'PlayerGrades+'!$AF$15,"D-",IF(N348&lt;'PlayerGrades+'!$AF$14,"D",IF(N348&lt;'PlayerGrades+'!$AF$13,"D+",IF(N348&lt;'PlayerGrades+'!$AF$12,"C-",IF(N348&lt;'PlayerGrades+'!$AF$11,"C",IF(N348&lt;'PlayerGrades+'!$AF$10,"C+",IF(N348&lt;'PlayerGrades+'!$AF$9,"B-",IF(N348&lt;'PlayerGrades+'!$AF$8,"B",IF(N348&lt;'PlayerGrades+'!$AF$7,"B+",IF(N348&lt;'PlayerGrades+'!$AF$6,"A-",IF(N348&lt;'PlayerGrades+'!$AF$5,"A",IF(N348&lt;'PlayerGrades+'!$AF$4,"A+",IF(N348&lt;'PlayerGrades+'!$AF$3,"S-",IF(N348&lt;'PlayerGrades+'!$AF$2,"S","S+"))))))))))))))))))))</f>
        <v>#DIV/0!</v>
      </c>
      <c r="P348" s="961" t="str">
        <f t="shared" si="7"/>
        <v>#DIV/0!</v>
      </c>
      <c r="Q348" s="961" t="str">
        <f>IF(P348&lt;'PlayerGrades+'!$AG$21,"F-",IF(P348&lt;'PlayerGrades+'!$AG$20,"F",IF(P348&lt;'PlayerGrades+'!$AG$19,"F+",IF(P348&lt;'PlayerGrades+'!$AG$18,"E-",IF(P348&lt;'PlayerGrades+'!$AG$17,"E",IF(P348&lt;'PlayerGrades+'!$AG$16,"E+",IF(P348&lt;'PlayerGrades+'!$AG$15,"D-",IF(P348&lt;'PlayerGrades+'!$AG$14,"D",IF(P348&lt;'PlayerGrades+'!$AG$13,"D+",IF(P348&lt;'PlayerGrades+'!$AG$12,"C-",IF(P348&lt;'PlayerGrades+'!$AG$11,"C",IF(P348&lt;'PlayerGrades+'!$AG$10,"C+",IF(P348&lt;'PlayerGrades+'!$AG$9,"B-",IF(P348&lt;'PlayerGrades+'!$AG$8,"B",IF(P348&lt;'PlayerGrades+'!$AG$7,"B+",IF(P348&lt;'PlayerGrades+'!$AG$6,"A-",IF(P348&lt;'PlayerGrades+'!$AG$5,"A",IF(P348&lt;'PlayerGrades+'!$AG$4,"A+",IF(P348&lt;'PlayerGrades+'!$AG$3,"S-",IF(P348&lt;'PlayerGrades+'!$AG$2,"S","S+"))))))))))))))))))))</f>
        <v>#DIV/0!</v>
      </c>
      <c r="R348" s="961" t="str">
        <f t="shared" si="8"/>
        <v>#DIV/0!</v>
      </c>
      <c r="S348" s="961" t="str">
        <f>IF(R348&lt;'PlayerGrades+'!$AH$21,"F-",IF(R348&lt;'PlayerGrades+'!$AH$20,"F",IF(R348&lt;'PlayerGrades+'!$AH$19,"F+",IF(R348&lt;'PlayerGrades+'!$AH$18,"E-",IF(R348&lt;'PlayerGrades+'!$AH$17,"E",IF(R348&lt;'PlayerGrades+'!$AH$16,"E+",IF(R348&lt;'PlayerGrades+'!$AH$15,"D-",IF(R348&lt;'PlayerGrades+'!$AH$14,"D",IF(R348&lt;'PlayerGrades+'!$AH$13,"D+",IF(R348&lt;'PlayerGrades+'!$AH$12,"C-",IF(R348&lt;'PlayerGrades+'!$AH$11,"C",IF(R348&lt;'PlayerGrades+'!$AH$10,"C+",IF(R348&lt;'PlayerGrades+'!$AH$9,"B-",IF(R348&lt;'PlayerGrades+'!$AH$8,"B",IF(R348&lt;'PlayerGrades+'!$AH$7,"B+",IF(R348&lt;'PlayerGrades+'!$AH$6,"A-",IF(R348&lt;'PlayerGrades+'!$AH$5,"A",IF(R348&lt;'PlayerGrades+'!$AH$4,"A+",IF(R348&lt;'PlayerGrades+'!$AH$3,"S-",IF(R348&lt;'PlayerGrades+'!$AH$2,"S","S+"))))))))))))))))))))</f>
        <v>#DIV/0!</v>
      </c>
      <c r="T348" s="961">
        <f t="shared" si="9"/>
        <v>0</v>
      </c>
      <c r="U348" s="961" t="str">
        <f>IF(T348&lt;'PlayerGrades+'!$AI$21,"F-",IF(T348&lt;'PlayerGrades+'!$AI$20,"F",IF(T348&lt;'PlayerGrades+'!$AI$19,"F+",IF(T348&lt;'PlayerGrades+'!$AI$18,"E-",IF(T348&lt;'PlayerGrades+'!$AI$17,"E",IF(T348&lt;'PlayerGrades+'!$AI$16,"E+",IF(T348&lt;'PlayerGrades+'!$AI$15,"D-",IF(T348&lt;'PlayerGrades+'!$AI$14,"D",IF(T348&lt;'PlayerGrades+'!$AI$13,"D+",IF(T348&lt;'PlayerGrades+'!$AI$12,"C-",IF(T348&lt;'PlayerGrades+'!$AI$11,"C",IF(T348&lt;'PlayerGrades+'!$AI$10,"C+",IF(T348&lt;'PlayerGrades+'!$AI$9,"B-",IF(T348&lt;'PlayerGrades+'!$AI$8,"B",IF(T348&lt;'PlayerGrades+'!$AI$7,"B+",IF(T348&lt;'PlayerGrades+'!$AI$6,"A-",IF(T348&lt;'PlayerGrades+'!$AI$5,"A",IF(T348&lt;'PlayerGrades+'!$AI$4,"A+",IF(T348&lt;'PlayerGrades+'!$AI$3,"S-",IF(T348&lt;'PlayerGrades+'!$AI$2,"S","S+"))))))))))))))))))))</f>
        <v>F-</v>
      </c>
      <c r="AC348" s="1392"/>
    </row>
    <row r="349">
      <c r="A349" s="1391"/>
      <c r="B349" s="611" t="str">
        <f>IF(C349&lt;'PlayerGrades+'!$Y$44,"F-",IF(C349&lt;'PlayerGrades+'!$Y$43,"F",IF(C349&lt;'PlayerGrades+'!$Y$42,"F+",IF(C349&lt;'PlayerGrades+'!$Y$41,"E-",IF(C349&lt;'PlayerGrades+'!$Y$40,"E",IF(C349&lt;'PlayerGrades+'!$Y$39,"E+",IF(C349&lt;'PlayerGrades+'!$Y$38,"D-",IF(C349&lt;'PlayerGrades+'!$Y$37,"D",IF(C349&lt;'PlayerGrades+'!$Y$36,"D+",IF(C349&lt;'PlayerGrades+'!$Y$35,"C-",IF(C349&lt;'PlayerGrades+'!$Y$34,"C",IF(C349&lt;'PlayerGrades+'!$Y$33,"C+",IF(C349&lt;'PlayerGrades+'!$Y$32,"B-",IF(C349&lt;'PlayerGrades+'!$Y$31,"B",IF(C349&lt;'PlayerGrades+'!$Y$30,"B+",IF(C349&lt;'PlayerGrades+'!$Y$29,"A-",IF(C349&lt;'PlayerGrades+'!$Y$28,"A",IF(C349&lt;'PlayerGrades+'!$Y$27,"A+",IF(C349&lt;'PlayerGrades+'!$Y$26,"S-",IF(C349&lt;'PlayerGrades+'!$Y$25,"S","S+"))))))))))))))))))))</f>
        <v>#DIV/0!</v>
      </c>
      <c r="C349" s="1378" t="str">
        <f>('PlayerGrades+'!$Y$47*(VLOOKUP(E349, 'PlayerGrades+'!$X$3:$Y$23, 2, FALSE)))+('PlayerGrades+'!$Y$48*(VLOOKUP(G349, 'PlayerGrades+'!$X$3:$Y$23, 2, FALSE)))+('PlayerGrades+'!$Y$49*(VLOOKUP(I349, 'PlayerGrades+'!$X$3:$Y$23, 2, FALSE)))+('PlayerGrades+'!$Y$50*(VLOOKUP(K349, 'PlayerGrades+'!$X$3:$Y$23, 2, FALSE)))+('PlayerGrades+'!$Y$51*(VLOOKUP(M349, 'PlayerGrades+'!$X$3:$Y$23, 2, FALSE)))+('PlayerGrades+'!$Y$52*(VLOOKUP(O349, 'PlayerGrades+'!$X$3:$Y$23, 2, FALSE)))+('PlayerGrades+'!$Y$53*(VLOOKUP(Q349, 'PlayerGrades+'!$X$3:$Y$23, 2, FALSE)))+('PlayerGrades+'!$Y$54*(VLOOKUP(S349, 'PlayerGrades+'!$X$3:$Y$23, 2, FALSE)))+('PlayerGrades+'!$Y$55*(VLOOKUP(U349, 'PlayerGrades+'!$X$3:$Y$23, 2, FALSE)))</f>
        <v>#DIV/0!</v>
      </c>
      <c r="D349" s="961" t="str">
        <f t="shared" si="1"/>
        <v>#DIV/0!</v>
      </c>
      <c r="E349" s="961" t="str">
        <f>IF(D349&lt;'PlayerGrades+'!$AA$21,"F-",IF(D349&lt;'PlayerGrades+'!$AA$20,"F",IF(D349&lt;'PlayerGrades+'!$AA$19,"F+",IF(D349&lt;'PlayerGrades+'!$AA$18,"E-",IF(D349&lt;'PlayerGrades+'!$AA$17,"E",IF(D349&lt;'PlayerGrades+'!$AA$16,"E+",IF(D349&lt;'PlayerGrades+'!$AA$15,"D-",IF(D349&lt;'PlayerGrades+'!$AA$14,"D",IF(D349&lt;'PlayerGrades+'!$AA$13,"D+",IF(D349&lt;'PlayerGrades+'!$AA$12,"C-",IF(D349&lt;'PlayerGrades+'!$AA$11,"C",IF(D349&lt;'PlayerGrades+'!$AA$10,"C+",IF(D349&lt;'PlayerGrades+'!$AA$9,"B-",IF(D349&lt;'PlayerGrades+'!$AA$8,"B",IF(D349&lt;'PlayerGrades+'!$AA$7,"B+",IF(D349&lt;'PlayerGrades+'!$AA$6,"A-",IF(D349&lt;'PlayerGrades+'!$AA$5,"A",IF(D349&lt;'PlayerGrades+'!$AA$4,"A+",IF(D349&lt;'PlayerGrades+'!$AA$3,"S-",IF(D349&lt;'PlayerGrades+'!$AA$2,"S","S+"))))))))))))))))))))</f>
        <v>#DIV/0!</v>
      </c>
      <c r="F349" s="961" t="str">
        <f t="shared" si="2"/>
        <v>#DIV/0!</v>
      </c>
      <c r="G349" s="961" t="str">
        <f>IF(F349&lt;'PlayerGrades+'!$AB$21,"F-",IF(F349&lt;'PlayerGrades+'!$AB$20,"F",IF(F349&lt;'PlayerGrades+'!$AB$19,"F+",IF(F349&lt;'PlayerGrades+'!$AB$18,"E-",IF(F349&lt;'PlayerGrades+'!$AB$17,"E",IF(F349&lt;'PlayerGrades+'!$AB$16,"E+",IF(F349&lt;'PlayerGrades+'!$AB$15,"D-",IF(F349&lt;'PlayerGrades+'!$AB$14,"D",IF(F349&lt;'PlayerGrades+'!$AB$13,"D+",IF(F349&lt;'PlayerGrades+'!$AB$12,"C-",IF(F349&lt;'PlayerGrades+'!$AB$11,"C",IF(F349&lt;'PlayerGrades+'!$AB$10,"C+",IF(F349&lt;'PlayerGrades+'!$AB$9,"B-",IF(F349&lt;'PlayerGrades+'!$AB$8,"B",IF(F349&lt;'PlayerGrades+'!$AB$7,"B+",IF(F349&lt;'PlayerGrades+'!$AB$6,"A-",IF(F349&lt;'PlayerGrades+'!$AB$5,"A",IF(F349&lt;'PlayerGrades+'!$AB$4,"A+",IF(F349&lt;'PlayerGrades+'!$AB$3,"S-",IF(F349&lt;'PlayerGrades+'!$AB$2,"S","S+"))))))))))))))))))))</f>
        <v>#DIV/0!</v>
      </c>
      <c r="H349" s="961" t="str">
        <f t="shared" si="3"/>
        <v>#DIV/0!</v>
      </c>
      <c r="I349" s="961" t="str">
        <f>IF(H349&lt;'PlayerGrades+'!$AC$21,"F-",IF(H349&lt;'PlayerGrades+'!$AC$20,"F",IF(H349&lt;'PlayerGrades+'!$AC$19,"F+",IF(H349&lt;'PlayerGrades+'!$AC$18,"E-",IF(H349&lt;'PlayerGrades+'!$AC$17,"E",IF(H349&lt;'PlayerGrades+'!$AC$16,"E+",IF(H349&lt;'PlayerGrades+'!$AC$15,"D-",IF(H349&lt;'PlayerGrades+'!$AC$14,"D",IF(H349&lt;'PlayerGrades+'!$AC$13,"D+",IF(H349&lt;'PlayerGrades+'!$AC$12,"C-",IF(H349&lt;'PlayerGrades+'!$AC$11,"C",IF(H349&lt;'PlayerGrades+'!$AC$10,"C+",IF(H349&lt;'PlayerGrades+'!$AC$9,"B-",IF(H349&lt;'PlayerGrades+'!$AC$8,"B",IF(H349&lt;'PlayerGrades+'!$AC$7,"B+",IF(H349&lt;'PlayerGrades+'!$AC$6,"A-",IF(H349&lt;'PlayerGrades+'!$AC$5,"A",IF(H349&lt;'PlayerGrades+'!$AC$4,"A+",IF(H349&lt;'PlayerGrades+'!$AC$3,"S-",IF(H349&lt;'PlayerGrades+'!$AC$2,"S","S+"))))))))))))))))))))</f>
        <v>#DIV/0!</v>
      </c>
      <c r="J349" s="961" t="str">
        <f t="shared" si="4"/>
        <v>#DIV/0!</v>
      </c>
      <c r="K349" s="961" t="str">
        <f>IF(J349&lt;'PlayerGrades+'!$AD$21,"F-",IF(J349&lt;'PlayerGrades+'!$AD$20,"F",IF(J349&lt;'PlayerGrades+'!$AD$19,"F+",IF(J349&lt;'PlayerGrades+'!$AD$18,"E-",IF(J349&lt;'PlayerGrades+'!$AD$17,"E",IF(J349&lt;'PlayerGrades+'!$AD$16,"E+",IF(J349&lt;'PlayerGrades+'!$AD$15,"D-",IF(J349&lt;'PlayerGrades+'!$AD$14,"D",IF(J349&lt;'PlayerGrades+'!$AD$13,"D+",IF(J349&lt;'PlayerGrades+'!$AD$12,"C-",IF(J349&lt;'PlayerGrades+'!$AD$11,"C",IF(J349&lt;'PlayerGrades+'!$AD$10,"C+",IF(J349&lt;'PlayerGrades+'!$AD$9,"B-",IF(J349&lt;'PlayerGrades+'!$AD$8,"B",IF(J349&lt;'PlayerGrades+'!$AD$7,"B+",IF(J349&lt;'PlayerGrades+'!$AD$6,"A-",IF(J349&lt;'PlayerGrades+'!$AD$5,"A",IF(J349&lt;'PlayerGrades+'!$AD$4,"A+",IF(J349&lt;'PlayerGrades+'!$AD$3,"S-",IF(J349&lt;'PlayerGrades+'!$AD$2,"S","S+"))))))))))))))))))))</f>
        <v>#DIV/0!</v>
      </c>
      <c r="L349" s="1176" t="str">
        <f t="shared" si="5"/>
        <v>#DIV/0!</v>
      </c>
      <c r="M349" s="992" t="str">
        <f>IF(L349&lt;'PlayerGrades+'!$AE$21,"F-",IF(L349&lt;'PlayerGrades+'!$AE$20,"F",IF(L349&lt;'PlayerGrades+'!$AE$19,"F+",IF(L349&lt;'PlayerGrades+'!$AE$18,"E-",IF(L349&lt;'PlayerGrades+'!$AE$17,"E",IF(L349&lt;'PlayerGrades+'!$AE$16,"E+",IF(L349&lt;'PlayerGrades+'!$AE$15,"D-",IF(L349&lt;'PlayerGrades+'!$AE$14,"D",IF(L349&lt;'PlayerGrades+'!$AE$13,"D+",IF(L349&lt;'PlayerGrades+'!$AE$12,"C-",IF(L349&lt;'PlayerGrades+'!$AE$11,"C",IF(L349&lt;'PlayerGrades+'!$AE$10,"C+",IF(L349&lt;'PlayerGrades+'!$AE$9,"B-",IF(L349&lt;'PlayerGrades+'!$AE$8,"B",IF(L349&lt;'PlayerGrades+'!$AE$7,"B+",IF(L349&lt;'PlayerGrades+'!$AE$6,"A-",IF(L349&lt;'PlayerGrades+'!$AE$5,"A",IF(L349&lt;'PlayerGrades+'!$AE$4,"A+",IF(L349&lt;'PlayerGrades+'!$AE$3,"S-",IF(L349&lt;'PlayerGrades+'!$AE$2,"S","S+"))))))))))))))))))))</f>
        <v>#DIV/0!</v>
      </c>
      <c r="N349" s="961" t="str">
        <f t="shared" si="6"/>
        <v>#DIV/0!</v>
      </c>
      <c r="O349" s="961" t="str">
        <f>IF(N349&lt;'PlayerGrades+'!$AF$21,"F-",IF(N349&lt;'PlayerGrades+'!$AF$20,"F",IF(N349&lt;'PlayerGrades+'!$AF$19,"F+",IF(N349&lt;'PlayerGrades+'!$AF$18,"E-",IF(N349&lt;'PlayerGrades+'!$AF$17,"E",IF(N349&lt;'PlayerGrades+'!$AF$16,"E+",IF(N349&lt;'PlayerGrades+'!$AF$15,"D-",IF(N349&lt;'PlayerGrades+'!$AF$14,"D",IF(N349&lt;'PlayerGrades+'!$AF$13,"D+",IF(N349&lt;'PlayerGrades+'!$AF$12,"C-",IF(N349&lt;'PlayerGrades+'!$AF$11,"C",IF(N349&lt;'PlayerGrades+'!$AF$10,"C+",IF(N349&lt;'PlayerGrades+'!$AF$9,"B-",IF(N349&lt;'PlayerGrades+'!$AF$8,"B",IF(N349&lt;'PlayerGrades+'!$AF$7,"B+",IF(N349&lt;'PlayerGrades+'!$AF$6,"A-",IF(N349&lt;'PlayerGrades+'!$AF$5,"A",IF(N349&lt;'PlayerGrades+'!$AF$4,"A+",IF(N349&lt;'PlayerGrades+'!$AF$3,"S-",IF(N349&lt;'PlayerGrades+'!$AF$2,"S","S+"))))))))))))))))))))</f>
        <v>#DIV/0!</v>
      </c>
      <c r="P349" s="961" t="str">
        <f t="shared" si="7"/>
        <v>#DIV/0!</v>
      </c>
      <c r="Q349" s="961" t="str">
        <f>IF(P349&lt;'PlayerGrades+'!$AG$21,"F-",IF(P349&lt;'PlayerGrades+'!$AG$20,"F",IF(P349&lt;'PlayerGrades+'!$AG$19,"F+",IF(P349&lt;'PlayerGrades+'!$AG$18,"E-",IF(P349&lt;'PlayerGrades+'!$AG$17,"E",IF(P349&lt;'PlayerGrades+'!$AG$16,"E+",IF(P349&lt;'PlayerGrades+'!$AG$15,"D-",IF(P349&lt;'PlayerGrades+'!$AG$14,"D",IF(P349&lt;'PlayerGrades+'!$AG$13,"D+",IF(P349&lt;'PlayerGrades+'!$AG$12,"C-",IF(P349&lt;'PlayerGrades+'!$AG$11,"C",IF(P349&lt;'PlayerGrades+'!$AG$10,"C+",IF(P349&lt;'PlayerGrades+'!$AG$9,"B-",IF(P349&lt;'PlayerGrades+'!$AG$8,"B",IF(P349&lt;'PlayerGrades+'!$AG$7,"B+",IF(P349&lt;'PlayerGrades+'!$AG$6,"A-",IF(P349&lt;'PlayerGrades+'!$AG$5,"A",IF(P349&lt;'PlayerGrades+'!$AG$4,"A+",IF(P349&lt;'PlayerGrades+'!$AG$3,"S-",IF(P349&lt;'PlayerGrades+'!$AG$2,"S","S+"))))))))))))))))))))</f>
        <v>#DIV/0!</v>
      </c>
      <c r="R349" s="961" t="str">
        <f t="shared" si="8"/>
        <v>#DIV/0!</v>
      </c>
      <c r="S349" s="961" t="str">
        <f>IF(R349&lt;'PlayerGrades+'!$AH$21,"F-",IF(R349&lt;'PlayerGrades+'!$AH$20,"F",IF(R349&lt;'PlayerGrades+'!$AH$19,"F+",IF(R349&lt;'PlayerGrades+'!$AH$18,"E-",IF(R349&lt;'PlayerGrades+'!$AH$17,"E",IF(R349&lt;'PlayerGrades+'!$AH$16,"E+",IF(R349&lt;'PlayerGrades+'!$AH$15,"D-",IF(R349&lt;'PlayerGrades+'!$AH$14,"D",IF(R349&lt;'PlayerGrades+'!$AH$13,"D+",IF(R349&lt;'PlayerGrades+'!$AH$12,"C-",IF(R349&lt;'PlayerGrades+'!$AH$11,"C",IF(R349&lt;'PlayerGrades+'!$AH$10,"C+",IF(R349&lt;'PlayerGrades+'!$AH$9,"B-",IF(R349&lt;'PlayerGrades+'!$AH$8,"B",IF(R349&lt;'PlayerGrades+'!$AH$7,"B+",IF(R349&lt;'PlayerGrades+'!$AH$6,"A-",IF(R349&lt;'PlayerGrades+'!$AH$5,"A",IF(R349&lt;'PlayerGrades+'!$AH$4,"A+",IF(R349&lt;'PlayerGrades+'!$AH$3,"S-",IF(R349&lt;'PlayerGrades+'!$AH$2,"S","S+"))))))))))))))))))))</f>
        <v>#DIV/0!</v>
      </c>
      <c r="T349" s="961">
        <f t="shared" si="9"/>
        <v>0</v>
      </c>
      <c r="U349" s="961" t="str">
        <f>IF(T349&lt;'PlayerGrades+'!$AI$21,"F-",IF(T349&lt;'PlayerGrades+'!$AI$20,"F",IF(T349&lt;'PlayerGrades+'!$AI$19,"F+",IF(T349&lt;'PlayerGrades+'!$AI$18,"E-",IF(T349&lt;'PlayerGrades+'!$AI$17,"E",IF(T349&lt;'PlayerGrades+'!$AI$16,"E+",IF(T349&lt;'PlayerGrades+'!$AI$15,"D-",IF(T349&lt;'PlayerGrades+'!$AI$14,"D",IF(T349&lt;'PlayerGrades+'!$AI$13,"D+",IF(T349&lt;'PlayerGrades+'!$AI$12,"C-",IF(T349&lt;'PlayerGrades+'!$AI$11,"C",IF(T349&lt;'PlayerGrades+'!$AI$10,"C+",IF(T349&lt;'PlayerGrades+'!$AI$9,"B-",IF(T349&lt;'PlayerGrades+'!$AI$8,"B",IF(T349&lt;'PlayerGrades+'!$AI$7,"B+",IF(T349&lt;'PlayerGrades+'!$AI$6,"A-",IF(T349&lt;'PlayerGrades+'!$AI$5,"A",IF(T349&lt;'PlayerGrades+'!$AI$4,"A+",IF(T349&lt;'PlayerGrades+'!$AI$3,"S-",IF(T349&lt;'PlayerGrades+'!$AI$2,"S","S+"))))))))))))))))))))</f>
        <v>F-</v>
      </c>
      <c r="AC349" s="1392"/>
    </row>
    <row r="350">
      <c r="A350" s="1391"/>
      <c r="B350" s="611" t="str">
        <f>IF(C350&lt;'PlayerGrades+'!$Y$44,"F-",IF(C350&lt;'PlayerGrades+'!$Y$43,"F",IF(C350&lt;'PlayerGrades+'!$Y$42,"F+",IF(C350&lt;'PlayerGrades+'!$Y$41,"E-",IF(C350&lt;'PlayerGrades+'!$Y$40,"E",IF(C350&lt;'PlayerGrades+'!$Y$39,"E+",IF(C350&lt;'PlayerGrades+'!$Y$38,"D-",IF(C350&lt;'PlayerGrades+'!$Y$37,"D",IF(C350&lt;'PlayerGrades+'!$Y$36,"D+",IF(C350&lt;'PlayerGrades+'!$Y$35,"C-",IF(C350&lt;'PlayerGrades+'!$Y$34,"C",IF(C350&lt;'PlayerGrades+'!$Y$33,"C+",IF(C350&lt;'PlayerGrades+'!$Y$32,"B-",IF(C350&lt;'PlayerGrades+'!$Y$31,"B",IF(C350&lt;'PlayerGrades+'!$Y$30,"B+",IF(C350&lt;'PlayerGrades+'!$Y$29,"A-",IF(C350&lt;'PlayerGrades+'!$Y$28,"A",IF(C350&lt;'PlayerGrades+'!$Y$27,"A+",IF(C350&lt;'PlayerGrades+'!$Y$26,"S-",IF(C350&lt;'PlayerGrades+'!$Y$25,"S","S+"))))))))))))))))))))</f>
        <v>#DIV/0!</v>
      </c>
      <c r="C350" s="1378" t="str">
        <f>('PlayerGrades+'!$Y$47*(VLOOKUP(E350, 'PlayerGrades+'!$X$3:$Y$23, 2, FALSE)))+('PlayerGrades+'!$Y$48*(VLOOKUP(G350, 'PlayerGrades+'!$X$3:$Y$23, 2, FALSE)))+('PlayerGrades+'!$Y$49*(VLOOKUP(I350, 'PlayerGrades+'!$X$3:$Y$23, 2, FALSE)))+('PlayerGrades+'!$Y$50*(VLOOKUP(K350, 'PlayerGrades+'!$X$3:$Y$23, 2, FALSE)))+('PlayerGrades+'!$Y$51*(VLOOKUP(M350, 'PlayerGrades+'!$X$3:$Y$23, 2, FALSE)))+('PlayerGrades+'!$Y$52*(VLOOKUP(O350, 'PlayerGrades+'!$X$3:$Y$23, 2, FALSE)))+('PlayerGrades+'!$Y$53*(VLOOKUP(Q350, 'PlayerGrades+'!$X$3:$Y$23, 2, FALSE)))+('PlayerGrades+'!$Y$54*(VLOOKUP(S350, 'PlayerGrades+'!$X$3:$Y$23, 2, FALSE)))+('PlayerGrades+'!$Y$55*(VLOOKUP(U350, 'PlayerGrades+'!$X$3:$Y$23, 2, FALSE)))</f>
        <v>#DIV/0!</v>
      </c>
      <c r="D350" s="961" t="str">
        <f t="shared" si="1"/>
        <v>#DIV/0!</v>
      </c>
      <c r="E350" s="961" t="str">
        <f>IF(D350&lt;'PlayerGrades+'!$AA$21,"F-",IF(D350&lt;'PlayerGrades+'!$AA$20,"F",IF(D350&lt;'PlayerGrades+'!$AA$19,"F+",IF(D350&lt;'PlayerGrades+'!$AA$18,"E-",IF(D350&lt;'PlayerGrades+'!$AA$17,"E",IF(D350&lt;'PlayerGrades+'!$AA$16,"E+",IF(D350&lt;'PlayerGrades+'!$AA$15,"D-",IF(D350&lt;'PlayerGrades+'!$AA$14,"D",IF(D350&lt;'PlayerGrades+'!$AA$13,"D+",IF(D350&lt;'PlayerGrades+'!$AA$12,"C-",IF(D350&lt;'PlayerGrades+'!$AA$11,"C",IF(D350&lt;'PlayerGrades+'!$AA$10,"C+",IF(D350&lt;'PlayerGrades+'!$AA$9,"B-",IF(D350&lt;'PlayerGrades+'!$AA$8,"B",IF(D350&lt;'PlayerGrades+'!$AA$7,"B+",IF(D350&lt;'PlayerGrades+'!$AA$6,"A-",IF(D350&lt;'PlayerGrades+'!$AA$5,"A",IF(D350&lt;'PlayerGrades+'!$AA$4,"A+",IF(D350&lt;'PlayerGrades+'!$AA$3,"S-",IF(D350&lt;'PlayerGrades+'!$AA$2,"S","S+"))))))))))))))))))))</f>
        <v>#DIV/0!</v>
      </c>
      <c r="F350" s="961" t="str">
        <f t="shared" si="2"/>
        <v>#DIV/0!</v>
      </c>
      <c r="G350" s="961" t="str">
        <f>IF(F350&lt;'PlayerGrades+'!$AB$21,"F-",IF(F350&lt;'PlayerGrades+'!$AB$20,"F",IF(F350&lt;'PlayerGrades+'!$AB$19,"F+",IF(F350&lt;'PlayerGrades+'!$AB$18,"E-",IF(F350&lt;'PlayerGrades+'!$AB$17,"E",IF(F350&lt;'PlayerGrades+'!$AB$16,"E+",IF(F350&lt;'PlayerGrades+'!$AB$15,"D-",IF(F350&lt;'PlayerGrades+'!$AB$14,"D",IF(F350&lt;'PlayerGrades+'!$AB$13,"D+",IF(F350&lt;'PlayerGrades+'!$AB$12,"C-",IF(F350&lt;'PlayerGrades+'!$AB$11,"C",IF(F350&lt;'PlayerGrades+'!$AB$10,"C+",IF(F350&lt;'PlayerGrades+'!$AB$9,"B-",IF(F350&lt;'PlayerGrades+'!$AB$8,"B",IF(F350&lt;'PlayerGrades+'!$AB$7,"B+",IF(F350&lt;'PlayerGrades+'!$AB$6,"A-",IF(F350&lt;'PlayerGrades+'!$AB$5,"A",IF(F350&lt;'PlayerGrades+'!$AB$4,"A+",IF(F350&lt;'PlayerGrades+'!$AB$3,"S-",IF(F350&lt;'PlayerGrades+'!$AB$2,"S","S+"))))))))))))))))))))</f>
        <v>#DIV/0!</v>
      </c>
      <c r="H350" s="961" t="str">
        <f t="shared" si="3"/>
        <v>#DIV/0!</v>
      </c>
      <c r="I350" s="961" t="str">
        <f>IF(H350&lt;'PlayerGrades+'!$AC$21,"F-",IF(H350&lt;'PlayerGrades+'!$AC$20,"F",IF(H350&lt;'PlayerGrades+'!$AC$19,"F+",IF(H350&lt;'PlayerGrades+'!$AC$18,"E-",IF(H350&lt;'PlayerGrades+'!$AC$17,"E",IF(H350&lt;'PlayerGrades+'!$AC$16,"E+",IF(H350&lt;'PlayerGrades+'!$AC$15,"D-",IF(H350&lt;'PlayerGrades+'!$AC$14,"D",IF(H350&lt;'PlayerGrades+'!$AC$13,"D+",IF(H350&lt;'PlayerGrades+'!$AC$12,"C-",IF(H350&lt;'PlayerGrades+'!$AC$11,"C",IF(H350&lt;'PlayerGrades+'!$AC$10,"C+",IF(H350&lt;'PlayerGrades+'!$AC$9,"B-",IF(H350&lt;'PlayerGrades+'!$AC$8,"B",IF(H350&lt;'PlayerGrades+'!$AC$7,"B+",IF(H350&lt;'PlayerGrades+'!$AC$6,"A-",IF(H350&lt;'PlayerGrades+'!$AC$5,"A",IF(H350&lt;'PlayerGrades+'!$AC$4,"A+",IF(H350&lt;'PlayerGrades+'!$AC$3,"S-",IF(H350&lt;'PlayerGrades+'!$AC$2,"S","S+"))))))))))))))))))))</f>
        <v>#DIV/0!</v>
      </c>
      <c r="J350" s="961" t="str">
        <f t="shared" si="4"/>
        <v>#DIV/0!</v>
      </c>
      <c r="K350" s="961" t="str">
        <f>IF(J350&lt;'PlayerGrades+'!$AD$21,"F-",IF(J350&lt;'PlayerGrades+'!$AD$20,"F",IF(J350&lt;'PlayerGrades+'!$AD$19,"F+",IF(J350&lt;'PlayerGrades+'!$AD$18,"E-",IF(J350&lt;'PlayerGrades+'!$AD$17,"E",IF(J350&lt;'PlayerGrades+'!$AD$16,"E+",IF(J350&lt;'PlayerGrades+'!$AD$15,"D-",IF(J350&lt;'PlayerGrades+'!$AD$14,"D",IF(J350&lt;'PlayerGrades+'!$AD$13,"D+",IF(J350&lt;'PlayerGrades+'!$AD$12,"C-",IF(J350&lt;'PlayerGrades+'!$AD$11,"C",IF(J350&lt;'PlayerGrades+'!$AD$10,"C+",IF(J350&lt;'PlayerGrades+'!$AD$9,"B-",IF(J350&lt;'PlayerGrades+'!$AD$8,"B",IF(J350&lt;'PlayerGrades+'!$AD$7,"B+",IF(J350&lt;'PlayerGrades+'!$AD$6,"A-",IF(J350&lt;'PlayerGrades+'!$AD$5,"A",IF(J350&lt;'PlayerGrades+'!$AD$4,"A+",IF(J350&lt;'PlayerGrades+'!$AD$3,"S-",IF(J350&lt;'PlayerGrades+'!$AD$2,"S","S+"))))))))))))))))))))</f>
        <v>#DIV/0!</v>
      </c>
      <c r="L350" s="1176" t="str">
        <f t="shared" si="5"/>
        <v>#DIV/0!</v>
      </c>
      <c r="M350" s="992" t="str">
        <f>IF(L350&lt;'PlayerGrades+'!$AE$21,"F-",IF(L350&lt;'PlayerGrades+'!$AE$20,"F",IF(L350&lt;'PlayerGrades+'!$AE$19,"F+",IF(L350&lt;'PlayerGrades+'!$AE$18,"E-",IF(L350&lt;'PlayerGrades+'!$AE$17,"E",IF(L350&lt;'PlayerGrades+'!$AE$16,"E+",IF(L350&lt;'PlayerGrades+'!$AE$15,"D-",IF(L350&lt;'PlayerGrades+'!$AE$14,"D",IF(L350&lt;'PlayerGrades+'!$AE$13,"D+",IF(L350&lt;'PlayerGrades+'!$AE$12,"C-",IF(L350&lt;'PlayerGrades+'!$AE$11,"C",IF(L350&lt;'PlayerGrades+'!$AE$10,"C+",IF(L350&lt;'PlayerGrades+'!$AE$9,"B-",IF(L350&lt;'PlayerGrades+'!$AE$8,"B",IF(L350&lt;'PlayerGrades+'!$AE$7,"B+",IF(L350&lt;'PlayerGrades+'!$AE$6,"A-",IF(L350&lt;'PlayerGrades+'!$AE$5,"A",IF(L350&lt;'PlayerGrades+'!$AE$4,"A+",IF(L350&lt;'PlayerGrades+'!$AE$3,"S-",IF(L350&lt;'PlayerGrades+'!$AE$2,"S","S+"))))))))))))))))))))</f>
        <v>#DIV/0!</v>
      </c>
      <c r="N350" s="961" t="str">
        <f t="shared" si="6"/>
        <v>#DIV/0!</v>
      </c>
      <c r="O350" s="961" t="str">
        <f>IF(N350&lt;'PlayerGrades+'!$AF$21,"F-",IF(N350&lt;'PlayerGrades+'!$AF$20,"F",IF(N350&lt;'PlayerGrades+'!$AF$19,"F+",IF(N350&lt;'PlayerGrades+'!$AF$18,"E-",IF(N350&lt;'PlayerGrades+'!$AF$17,"E",IF(N350&lt;'PlayerGrades+'!$AF$16,"E+",IF(N350&lt;'PlayerGrades+'!$AF$15,"D-",IF(N350&lt;'PlayerGrades+'!$AF$14,"D",IF(N350&lt;'PlayerGrades+'!$AF$13,"D+",IF(N350&lt;'PlayerGrades+'!$AF$12,"C-",IF(N350&lt;'PlayerGrades+'!$AF$11,"C",IF(N350&lt;'PlayerGrades+'!$AF$10,"C+",IF(N350&lt;'PlayerGrades+'!$AF$9,"B-",IF(N350&lt;'PlayerGrades+'!$AF$8,"B",IF(N350&lt;'PlayerGrades+'!$AF$7,"B+",IF(N350&lt;'PlayerGrades+'!$AF$6,"A-",IF(N350&lt;'PlayerGrades+'!$AF$5,"A",IF(N350&lt;'PlayerGrades+'!$AF$4,"A+",IF(N350&lt;'PlayerGrades+'!$AF$3,"S-",IF(N350&lt;'PlayerGrades+'!$AF$2,"S","S+"))))))))))))))))))))</f>
        <v>#DIV/0!</v>
      </c>
      <c r="P350" s="961" t="str">
        <f t="shared" si="7"/>
        <v>#DIV/0!</v>
      </c>
      <c r="Q350" s="961" t="str">
        <f>IF(P350&lt;'PlayerGrades+'!$AG$21,"F-",IF(P350&lt;'PlayerGrades+'!$AG$20,"F",IF(P350&lt;'PlayerGrades+'!$AG$19,"F+",IF(P350&lt;'PlayerGrades+'!$AG$18,"E-",IF(P350&lt;'PlayerGrades+'!$AG$17,"E",IF(P350&lt;'PlayerGrades+'!$AG$16,"E+",IF(P350&lt;'PlayerGrades+'!$AG$15,"D-",IF(P350&lt;'PlayerGrades+'!$AG$14,"D",IF(P350&lt;'PlayerGrades+'!$AG$13,"D+",IF(P350&lt;'PlayerGrades+'!$AG$12,"C-",IF(P350&lt;'PlayerGrades+'!$AG$11,"C",IF(P350&lt;'PlayerGrades+'!$AG$10,"C+",IF(P350&lt;'PlayerGrades+'!$AG$9,"B-",IF(P350&lt;'PlayerGrades+'!$AG$8,"B",IF(P350&lt;'PlayerGrades+'!$AG$7,"B+",IF(P350&lt;'PlayerGrades+'!$AG$6,"A-",IF(P350&lt;'PlayerGrades+'!$AG$5,"A",IF(P350&lt;'PlayerGrades+'!$AG$4,"A+",IF(P350&lt;'PlayerGrades+'!$AG$3,"S-",IF(P350&lt;'PlayerGrades+'!$AG$2,"S","S+"))))))))))))))))))))</f>
        <v>#DIV/0!</v>
      </c>
      <c r="R350" s="961" t="str">
        <f t="shared" si="8"/>
        <v>#DIV/0!</v>
      </c>
      <c r="S350" s="961" t="str">
        <f>IF(R350&lt;'PlayerGrades+'!$AH$21,"F-",IF(R350&lt;'PlayerGrades+'!$AH$20,"F",IF(R350&lt;'PlayerGrades+'!$AH$19,"F+",IF(R350&lt;'PlayerGrades+'!$AH$18,"E-",IF(R350&lt;'PlayerGrades+'!$AH$17,"E",IF(R350&lt;'PlayerGrades+'!$AH$16,"E+",IF(R350&lt;'PlayerGrades+'!$AH$15,"D-",IF(R350&lt;'PlayerGrades+'!$AH$14,"D",IF(R350&lt;'PlayerGrades+'!$AH$13,"D+",IF(R350&lt;'PlayerGrades+'!$AH$12,"C-",IF(R350&lt;'PlayerGrades+'!$AH$11,"C",IF(R350&lt;'PlayerGrades+'!$AH$10,"C+",IF(R350&lt;'PlayerGrades+'!$AH$9,"B-",IF(R350&lt;'PlayerGrades+'!$AH$8,"B",IF(R350&lt;'PlayerGrades+'!$AH$7,"B+",IF(R350&lt;'PlayerGrades+'!$AH$6,"A-",IF(R350&lt;'PlayerGrades+'!$AH$5,"A",IF(R350&lt;'PlayerGrades+'!$AH$4,"A+",IF(R350&lt;'PlayerGrades+'!$AH$3,"S-",IF(R350&lt;'PlayerGrades+'!$AH$2,"S","S+"))))))))))))))))))))</f>
        <v>#DIV/0!</v>
      </c>
      <c r="T350" s="961">
        <f t="shared" si="9"/>
        <v>0</v>
      </c>
      <c r="U350" s="961" t="str">
        <f>IF(T350&lt;'PlayerGrades+'!$AI$21,"F-",IF(T350&lt;'PlayerGrades+'!$AI$20,"F",IF(T350&lt;'PlayerGrades+'!$AI$19,"F+",IF(T350&lt;'PlayerGrades+'!$AI$18,"E-",IF(T350&lt;'PlayerGrades+'!$AI$17,"E",IF(T350&lt;'PlayerGrades+'!$AI$16,"E+",IF(T350&lt;'PlayerGrades+'!$AI$15,"D-",IF(T350&lt;'PlayerGrades+'!$AI$14,"D",IF(T350&lt;'PlayerGrades+'!$AI$13,"D+",IF(T350&lt;'PlayerGrades+'!$AI$12,"C-",IF(T350&lt;'PlayerGrades+'!$AI$11,"C",IF(T350&lt;'PlayerGrades+'!$AI$10,"C+",IF(T350&lt;'PlayerGrades+'!$AI$9,"B-",IF(T350&lt;'PlayerGrades+'!$AI$8,"B",IF(T350&lt;'PlayerGrades+'!$AI$7,"B+",IF(T350&lt;'PlayerGrades+'!$AI$6,"A-",IF(T350&lt;'PlayerGrades+'!$AI$5,"A",IF(T350&lt;'PlayerGrades+'!$AI$4,"A+",IF(T350&lt;'PlayerGrades+'!$AI$3,"S-",IF(T350&lt;'PlayerGrades+'!$AI$2,"S","S+"))))))))))))))))))))</f>
        <v>F-</v>
      </c>
      <c r="AC350" s="1392"/>
    </row>
    <row r="351">
      <c r="A351" s="1391"/>
      <c r="B351" s="611" t="str">
        <f>IF(C351&lt;'PlayerGrades+'!$Y$44,"F-",IF(C351&lt;'PlayerGrades+'!$Y$43,"F",IF(C351&lt;'PlayerGrades+'!$Y$42,"F+",IF(C351&lt;'PlayerGrades+'!$Y$41,"E-",IF(C351&lt;'PlayerGrades+'!$Y$40,"E",IF(C351&lt;'PlayerGrades+'!$Y$39,"E+",IF(C351&lt;'PlayerGrades+'!$Y$38,"D-",IF(C351&lt;'PlayerGrades+'!$Y$37,"D",IF(C351&lt;'PlayerGrades+'!$Y$36,"D+",IF(C351&lt;'PlayerGrades+'!$Y$35,"C-",IF(C351&lt;'PlayerGrades+'!$Y$34,"C",IF(C351&lt;'PlayerGrades+'!$Y$33,"C+",IF(C351&lt;'PlayerGrades+'!$Y$32,"B-",IF(C351&lt;'PlayerGrades+'!$Y$31,"B",IF(C351&lt;'PlayerGrades+'!$Y$30,"B+",IF(C351&lt;'PlayerGrades+'!$Y$29,"A-",IF(C351&lt;'PlayerGrades+'!$Y$28,"A",IF(C351&lt;'PlayerGrades+'!$Y$27,"A+",IF(C351&lt;'PlayerGrades+'!$Y$26,"S-",IF(C351&lt;'PlayerGrades+'!$Y$25,"S","S+"))))))))))))))))))))</f>
        <v>#DIV/0!</v>
      </c>
      <c r="C351" s="1378" t="str">
        <f>('PlayerGrades+'!$Y$47*(VLOOKUP(E351, 'PlayerGrades+'!$X$3:$Y$23, 2, FALSE)))+('PlayerGrades+'!$Y$48*(VLOOKUP(G351, 'PlayerGrades+'!$X$3:$Y$23, 2, FALSE)))+('PlayerGrades+'!$Y$49*(VLOOKUP(I351, 'PlayerGrades+'!$X$3:$Y$23, 2, FALSE)))+('PlayerGrades+'!$Y$50*(VLOOKUP(K351, 'PlayerGrades+'!$X$3:$Y$23, 2, FALSE)))+('PlayerGrades+'!$Y$51*(VLOOKUP(M351, 'PlayerGrades+'!$X$3:$Y$23, 2, FALSE)))+('PlayerGrades+'!$Y$52*(VLOOKUP(O351, 'PlayerGrades+'!$X$3:$Y$23, 2, FALSE)))+('PlayerGrades+'!$Y$53*(VLOOKUP(Q351, 'PlayerGrades+'!$X$3:$Y$23, 2, FALSE)))+('PlayerGrades+'!$Y$54*(VLOOKUP(S351, 'PlayerGrades+'!$X$3:$Y$23, 2, FALSE)))+('PlayerGrades+'!$Y$55*(VLOOKUP(U351, 'PlayerGrades+'!$X$3:$Y$23, 2, FALSE)))</f>
        <v>#DIV/0!</v>
      </c>
      <c r="D351" s="961" t="str">
        <f t="shared" si="1"/>
        <v>#DIV/0!</v>
      </c>
      <c r="E351" s="961" t="str">
        <f>IF(D351&lt;'PlayerGrades+'!$AA$21,"F-",IF(D351&lt;'PlayerGrades+'!$AA$20,"F",IF(D351&lt;'PlayerGrades+'!$AA$19,"F+",IF(D351&lt;'PlayerGrades+'!$AA$18,"E-",IF(D351&lt;'PlayerGrades+'!$AA$17,"E",IF(D351&lt;'PlayerGrades+'!$AA$16,"E+",IF(D351&lt;'PlayerGrades+'!$AA$15,"D-",IF(D351&lt;'PlayerGrades+'!$AA$14,"D",IF(D351&lt;'PlayerGrades+'!$AA$13,"D+",IF(D351&lt;'PlayerGrades+'!$AA$12,"C-",IF(D351&lt;'PlayerGrades+'!$AA$11,"C",IF(D351&lt;'PlayerGrades+'!$AA$10,"C+",IF(D351&lt;'PlayerGrades+'!$AA$9,"B-",IF(D351&lt;'PlayerGrades+'!$AA$8,"B",IF(D351&lt;'PlayerGrades+'!$AA$7,"B+",IF(D351&lt;'PlayerGrades+'!$AA$6,"A-",IF(D351&lt;'PlayerGrades+'!$AA$5,"A",IF(D351&lt;'PlayerGrades+'!$AA$4,"A+",IF(D351&lt;'PlayerGrades+'!$AA$3,"S-",IF(D351&lt;'PlayerGrades+'!$AA$2,"S","S+"))))))))))))))))))))</f>
        <v>#DIV/0!</v>
      </c>
      <c r="F351" s="961" t="str">
        <f t="shared" si="2"/>
        <v>#DIV/0!</v>
      </c>
      <c r="G351" s="961" t="str">
        <f>IF(F351&lt;'PlayerGrades+'!$AB$21,"F-",IF(F351&lt;'PlayerGrades+'!$AB$20,"F",IF(F351&lt;'PlayerGrades+'!$AB$19,"F+",IF(F351&lt;'PlayerGrades+'!$AB$18,"E-",IF(F351&lt;'PlayerGrades+'!$AB$17,"E",IF(F351&lt;'PlayerGrades+'!$AB$16,"E+",IF(F351&lt;'PlayerGrades+'!$AB$15,"D-",IF(F351&lt;'PlayerGrades+'!$AB$14,"D",IF(F351&lt;'PlayerGrades+'!$AB$13,"D+",IF(F351&lt;'PlayerGrades+'!$AB$12,"C-",IF(F351&lt;'PlayerGrades+'!$AB$11,"C",IF(F351&lt;'PlayerGrades+'!$AB$10,"C+",IF(F351&lt;'PlayerGrades+'!$AB$9,"B-",IF(F351&lt;'PlayerGrades+'!$AB$8,"B",IF(F351&lt;'PlayerGrades+'!$AB$7,"B+",IF(F351&lt;'PlayerGrades+'!$AB$6,"A-",IF(F351&lt;'PlayerGrades+'!$AB$5,"A",IF(F351&lt;'PlayerGrades+'!$AB$4,"A+",IF(F351&lt;'PlayerGrades+'!$AB$3,"S-",IF(F351&lt;'PlayerGrades+'!$AB$2,"S","S+"))))))))))))))))))))</f>
        <v>#DIV/0!</v>
      </c>
      <c r="H351" s="961" t="str">
        <f t="shared" si="3"/>
        <v>#DIV/0!</v>
      </c>
      <c r="I351" s="961" t="str">
        <f>IF(H351&lt;'PlayerGrades+'!$AC$21,"F-",IF(H351&lt;'PlayerGrades+'!$AC$20,"F",IF(H351&lt;'PlayerGrades+'!$AC$19,"F+",IF(H351&lt;'PlayerGrades+'!$AC$18,"E-",IF(H351&lt;'PlayerGrades+'!$AC$17,"E",IF(H351&lt;'PlayerGrades+'!$AC$16,"E+",IF(H351&lt;'PlayerGrades+'!$AC$15,"D-",IF(H351&lt;'PlayerGrades+'!$AC$14,"D",IF(H351&lt;'PlayerGrades+'!$AC$13,"D+",IF(H351&lt;'PlayerGrades+'!$AC$12,"C-",IF(H351&lt;'PlayerGrades+'!$AC$11,"C",IF(H351&lt;'PlayerGrades+'!$AC$10,"C+",IF(H351&lt;'PlayerGrades+'!$AC$9,"B-",IF(H351&lt;'PlayerGrades+'!$AC$8,"B",IF(H351&lt;'PlayerGrades+'!$AC$7,"B+",IF(H351&lt;'PlayerGrades+'!$AC$6,"A-",IF(H351&lt;'PlayerGrades+'!$AC$5,"A",IF(H351&lt;'PlayerGrades+'!$AC$4,"A+",IF(H351&lt;'PlayerGrades+'!$AC$3,"S-",IF(H351&lt;'PlayerGrades+'!$AC$2,"S","S+"))))))))))))))))))))</f>
        <v>#DIV/0!</v>
      </c>
      <c r="J351" s="961" t="str">
        <f t="shared" si="4"/>
        <v>#DIV/0!</v>
      </c>
      <c r="K351" s="961" t="str">
        <f>IF(J351&lt;'PlayerGrades+'!$AD$21,"F-",IF(J351&lt;'PlayerGrades+'!$AD$20,"F",IF(J351&lt;'PlayerGrades+'!$AD$19,"F+",IF(J351&lt;'PlayerGrades+'!$AD$18,"E-",IF(J351&lt;'PlayerGrades+'!$AD$17,"E",IF(J351&lt;'PlayerGrades+'!$AD$16,"E+",IF(J351&lt;'PlayerGrades+'!$AD$15,"D-",IF(J351&lt;'PlayerGrades+'!$AD$14,"D",IF(J351&lt;'PlayerGrades+'!$AD$13,"D+",IF(J351&lt;'PlayerGrades+'!$AD$12,"C-",IF(J351&lt;'PlayerGrades+'!$AD$11,"C",IF(J351&lt;'PlayerGrades+'!$AD$10,"C+",IF(J351&lt;'PlayerGrades+'!$AD$9,"B-",IF(J351&lt;'PlayerGrades+'!$AD$8,"B",IF(J351&lt;'PlayerGrades+'!$AD$7,"B+",IF(J351&lt;'PlayerGrades+'!$AD$6,"A-",IF(J351&lt;'PlayerGrades+'!$AD$5,"A",IF(J351&lt;'PlayerGrades+'!$AD$4,"A+",IF(J351&lt;'PlayerGrades+'!$AD$3,"S-",IF(J351&lt;'PlayerGrades+'!$AD$2,"S","S+"))))))))))))))))))))</f>
        <v>#DIV/0!</v>
      </c>
      <c r="L351" s="1176" t="str">
        <f t="shared" si="5"/>
        <v>#DIV/0!</v>
      </c>
      <c r="M351" s="992" t="str">
        <f>IF(L351&lt;'PlayerGrades+'!$AE$21,"F-",IF(L351&lt;'PlayerGrades+'!$AE$20,"F",IF(L351&lt;'PlayerGrades+'!$AE$19,"F+",IF(L351&lt;'PlayerGrades+'!$AE$18,"E-",IF(L351&lt;'PlayerGrades+'!$AE$17,"E",IF(L351&lt;'PlayerGrades+'!$AE$16,"E+",IF(L351&lt;'PlayerGrades+'!$AE$15,"D-",IF(L351&lt;'PlayerGrades+'!$AE$14,"D",IF(L351&lt;'PlayerGrades+'!$AE$13,"D+",IF(L351&lt;'PlayerGrades+'!$AE$12,"C-",IF(L351&lt;'PlayerGrades+'!$AE$11,"C",IF(L351&lt;'PlayerGrades+'!$AE$10,"C+",IF(L351&lt;'PlayerGrades+'!$AE$9,"B-",IF(L351&lt;'PlayerGrades+'!$AE$8,"B",IF(L351&lt;'PlayerGrades+'!$AE$7,"B+",IF(L351&lt;'PlayerGrades+'!$AE$6,"A-",IF(L351&lt;'PlayerGrades+'!$AE$5,"A",IF(L351&lt;'PlayerGrades+'!$AE$4,"A+",IF(L351&lt;'PlayerGrades+'!$AE$3,"S-",IF(L351&lt;'PlayerGrades+'!$AE$2,"S","S+"))))))))))))))))))))</f>
        <v>#DIV/0!</v>
      </c>
      <c r="N351" s="961" t="str">
        <f t="shared" si="6"/>
        <v>#DIV/0!</v>
      </c>
      <c r="O351" s="961" t="str">
        <f>IF(N351&lt;'PlayerGrades+'!$AF$21,"F-",IF(N351&lt;'PlayerGrades+'!$AF$20,"F",IF(N351&lt;'PlayerGrades+'!$AF$19,"F+",IF(N351&lt;'PlayerGrades+'!$AF$18,"E-",IF(N351&lt;'PlayerGrades+'!$AF$17,"E",IF(N351&lt;'PlayerGrades+'!$AF$16,"E+",IF(N351&lt;'PlayerGrades+'!$AF$15,"D-",IF(N351&lt;'PlayerGrades+'!$AF$14,"D",IF(N351&lt;'PlayerGrades+'!$AF$13,"D+",IF(N351&lt;'PlayerGrades+'!$AF$12,"C-",IF(N351&lt;'PlayerGrades+'!$AF$11,"C",IF(N351&lt;'PlayerGrades+'!$AF$10,"C+",IF(N351&lt;'PlayerGrades+'!$AF$9,"B-",IF(N351&lt;'PlayerGrades+'!$AF$8,"B",IF(N351&lt;'PlayerGrades+'!$AF$7,"B+",IF(N351&lt;'PlayerGrades+'!$AF$6,"A-",IF(N351&lt;'PlayerGrades+'!$AF$5,"A",IF(N351&lt;'PlayerGrades+'!$AF$4,"A+",IF(N351&lt;'PlayerGrades+'!$AF$3,"S-",IF(N351&lt;'PlayerGrades+'!$AF$2,"S","S+"))))))))))))))))))))</f>
        <v>#DIV/0!</v>
      </c>
      <c r="P351" s="961" t="str">
        <f t="shared" si="7"/>
        <v>#DIV/0!</v>
      </c>
      <c r="Q351" s="961" t="str">
        <f>IF(P351&lt;'PlayerGrades+'!$AG$21,"F-",IF(P351&lt;'PlayerGrades+'!$AG$20,"F",IF(P351&lt;'PlayerGrades+'!$AG$19,"F+",IF(P351&lt;'PlayerGrades+'!$AG$18,"E-",IF(P351&lt;'PlayerGrades+'!$AG$17,"E",IF(P351&lt;'PlayerGrades+'!$AG$16,"E+",IF(P351&lt;'PlayerGrades+'!$AG$15,"D-",IF(P351&lt;'PlayerGrades+'!$AG$14,"D",IF(P351&lt;'PlayerGrades+'!$AG$13,"D+",IF(P351&lt;'PlayerGrades+'!$AG$12,"C-",IF(P351&lt;'PlayerGrades+'!$AG$11,"C",IF(P351&lt;'PlayerGrades+'!$AG$10,"C+",IF(P351&lt;'PlayerGrades+'!$AG$9,"B-",IF(P351&lt;'PlayerGrades+'!$AG$8,"B",IF(P351&lt;'PlayerGrades+'!$AG$7,"B+",IF(P351&lt;'PlayerGrades+'!$AG$6,"A-",IF(P351&lt;'PlayerGrades+'!$AG$5,"A",IF(P351&lt;'PlayerGrades+'!$AG$4,"A+",IF(P351&lt;'PlayerGrades+'!$AG$3,"S-",IF(P351&lt;'PlayerGrades+'!$AG$2,"S","S+"))))))))))))))))))))</f>
        <v>#DIV/0!</v>
      </c>
      <c r="R351" s="961" t="str">
        <f t="shared" si="8"/>
        <v>#DIV/0!</v>
      </c>
      <c r="S351" s="961" t="str">
        <f>IF(R351&lt;'PlayerGrades+'!$AH$21,"F-",IF(R351&lt;'PlayerGrades+'!$AH$20,"F",IF(R351&lt;'PlayerGrades+'!$AH$19,"F+",IF(R351&lt;'PlayerGrades+'!$AH$18,"E-",IF(R351&lt;'PlayerGrades+'!$AH$17,"E",IF(R351&lt;'PlayerGrades+'!$AH$16,"E+",IF(R351&lt;'PlayerGrades+'!$AH$15,"D-",IF(R351&lt;'PlayerGrades+'!$AH$14,"D",IF(R351&lt;'PlayerGrades+'!$AH$13,"D+",IF(R351&lt;'PlayerGrades+'!$AH$12,"C-",IF(R351&lt;'PlayerGrades+'!$AH$11,"C",IF(R351&lt;'PlayerGrades+'!$AH$10,"C+",IF(R351&lt;'PlayerGrades+'!$AH$9,"B-",IF(R351&lt;'PlayerGrades+'!$AH$8,"B",IF(R351&lt;'PlayerGrades+'!$AH$7,"B+",IF(R351&lt;'PlayerGrades+'!$AH$6,"A-",IF(R351&lt;'PlayerGrades+'!$AH$5,"A",IF(R351&lt;'PlayerGrades+'!$AH$4,"A+",IF(R351&lt;'PlayerGrades+'!$AH$3,"S-",IF(R351&lt;'PlayerGrades+'!$AH$2,"S","S+"))))))))))))))))))))</f>
        <v>#DIV/0!</v>
      </c>
      <c r="T351" s="961">
        <f t="shared" si="9"/>
        <v>0</v>
      </c>
      <c r="U351" s="961" t="str">
        <f>IF(T351&lt;'PlayerGrades+'!$AI$21,"F-",IF(T351&lt;'PlayerGrades+'!$AI$20,"F",IF(T351&lt;'PlayerGrades+'!$AI$19,"F+",IF(T351&lt;'PlayerGrades+'!$AI$18,"E-",IF(T351&lt;'PlayerGrades+'!$AI$17,"E",IF(T351&lt;'PlayerGrades+'!$AI$16,"E+",IF(T351&lt;'PlayerGrades+'!$AI$15,"D-",IF(T351&lt;'PlayerGrades+'!$AI$14,"D",IF(T351&lt;'PlayerGrades+'!$AI$13,"D+",IF(T351&lt;'PlayerGrades+'!$AI$12,"C-",IF(T351&lt;'PlayerGrades+'!$AI$11,"C",IF(T351&lt;'PlayerGrades+'!$AI$10,"C+",IF(T351&lt;'PlayerGrades+'!$AI$9,"B-",IF(T351&lt;'PlayerGrades+'!$AI$8,"B",IF(T351&lt;'PlayerGrades+'!$AI$7,"B+",IF(T351&lt;'PlayerGrades+'!$AI$6,"A-",IF(T351&lt;'PlayerGrades+'!$AI$5,"A",IF(T351&lt;'PlayerGrades+'!$AI$4,"A+",IF(T351&lt;'PlayerGrades+'!$AI$3,"S-",IF(T351&lt;'PlayerGrades+'!$AI$2,"S","S+"))))))))))))))))))))</f>
        <v>F-</v>
      </c>
      <c r="AC351" s="1392"/>
    </row>
    <row r="352">
      <c r="A352" s="1391"/>
      <c r="B352" s="611" t="str">
        <f>IF(C352&lt;'PlayerGrades+'!$Y$44,"F-",IF(C352&lt;'PlayerGrades+'!$Y$43,"F",IF(C352&lt;'PlayerGrades+'!$Y$42,"F+",IF(C352&lt;'PlayerGrades+'!$Y$41,"E-",IF(C352&lt;'PlayerGrades+'!$Y$40,"E",IF(C352&lt;'PlayerGrades+'!$Y$39,"E+",IF(C352&lt;'PlayerGrades+'!$Y$38,"D-",IF(C352&lt;'PlayerGrades+'!$Y$37,"D",IF(C352&lt;'PlayerGrades+'!$Y$36,"D+",IF(C352&lt;'PlayerGrades+'!$Y$35,"C-",IF(C352&lt;'PlayerGrades+'!$Y$34,"C",IF(C352&lt;'PlayerGrades+'!$Y$33,"C+",IF(C352&lt;'PlayerGrades+'!$Y$32,"B-",IF(C352&lt;'PlayerGrades+'!$Y$31,"B",IF(C352&lt;'PlayerGrades+'!$Y$30,"B+",IF(C352&lt;'PlayerGrades+'!$Y$29,"A-",IF(C352&lt;'PlayerGrades+'!$Y$28,"A",IF(C352&lt;'PlayerGrades+'!$Y$27,"A+",IF(C352&lt;'PlayerGrades+'!$Y$26,"S-",IF(C352&lt;'PlayerGrades+'!$Y$25,"S","S+"))))))))))))))))))))</f>
        <v>#DIV/0!</v>
      </c>
      <c r="C352" s="1378" t="str">
        <f>('PlayerGrades+'!$Y$47*(VLOOKUP(E352, 'PlayerGrades+'!$X$3:$Y$23, 2, FALSE)))+('PlayerGrades+'!$Y$48*(VLOOKUP(G352, 'PlayerGrades+'!$X$3:$Y$23, 2, FALSE)))+('PlayerGrades+'!$Y$49*(VLOOKUP(I352, 'PlayerGrades+'!$X$3:$Y$23, 2, FALSE)))+('PlayerGrades+'!$Y$50*(VLOOKUP(K352, 'PlayerGrades+'!$X$3:$Y$23, 2, FALSE)))+('PlayerGrades+'!$Y$51*(VLOOKUP(M352, 'PlayerGrades+'!$X$3:$Y$23, 2, FALSE)))+('PlayerGrades+'!$Y$52*(VLOOKUP(O352, 'PlayerGrades+'!$X$3:$Y$23, 2, FALSE)))+('PlayerGrades+'!$Y$53*(VLOOKUP(Q352, 'PlayerGrades+'!$X$3:$Y$23, 2, FALSE)))+('PlayerGrades+'!$Y$54*(VLOOKUP(S352, 'PlayerGrades+'!$X$3:$Y$23, 2, FALSE)))+('PlayerGrades+'!$Y$55*(VLOOKUP(U352, 'PlayerGrades+'!$X$3:$Y$23, 2, FALSE)))</f>
        <v>#DIV/0!</v>
      </c>
      <c r="D352" s="961" t="str">
        <f t="shared" si="1"/>
        <v>#DIV/0!</v>
      </c>
      <c r="E352" s="961" t="str">
        <f>IF(D352&lt;'PlayerGrades+'!$AA$21,"F-",IF(D352&lt;'PlayerGrades+'!$AA$20,"F",IF(D352&lt;'PlayerGrades+'!$AA$19,"F+",IF(D352&lt;'PlayerGrades+'!$AA$18,"E-",IF(D352&lt;'PlayerGrades+'!$AA$17,"E",IF(D352&lt;'PlayerGrades+'!$AA$16,"E+",IF(D352&lt;'PlayerGrades+'!$AA$15,"D-",IF(D352&lt;'PlayerGrades+'!$AA$14,"D",IF(D352&lt;'PlayerGrades+'!$AA$13,"D+",IF(D352&lt;'PlayerGrades+'!$AA$12,"C-",IF(D352&lt;'PlayerGrades+'!$AA$11,"C",IF(D352&lt;'PlayerGrades+'!$AA$10,"C+",IF(D352&lt;'PlayerGrades+'!$AA$9,"B-",IF(D352&lt;'PlayerGrades+'!$AA$8,"B",IF(D352&lt;'PlayerGrades+'!$AA$7,"B+",IF(D352&lt;'PlayerGrades+'!$AA$6,"A-",IF(D352&lt;'PlayerGrades+'!$AA$5,"A",IF(D352&lt;'PlayerGrades+'!$AA$4,"A+",IF(D352&lt;'PlayerGrades+'!$AA$3,"S-",IF(D352&lt;'PlayerGrades+'!$AA$2,"S","S+"))))))))))))))))))))</f>
        <v>#DIV/0!</v>
      </c>
      <c r="F352" s="961" t="str">
        <f t="shared" si="2"/>
        <v>#DIV/0!</v>
      </c>
      <c r="G352" s="961" t="str">
        <f>IF(F352&lt;'PlayerGrades+'!$AB$21,"F-",IF(F352&lt;'PlayerGrades+'!$AB$20,"F",IF(F352&lt;'PlayerGrades+'!$AB$19,"F+",IF(F352&lt;'PlayerGrades+'!$AB$18,"E-",IF(F352&lt;'PlayerGrades+'!$AB$17,"E",IF(F352&lt;'PlayerGrades+'!$AB$16,"E+",IF(F352&lt;'PlayerGrades+'!$AB$15,"D-",IF(F352&lt;'PlayerGrades+'!$AB$14,"D",IF(F352&lt;'PlayerGrades+'!$AB$13,"D+",IF(F352&lt;'PlayerGrades+'!$AB$12,"C-",IF(F352&lt;'PlayerGrades+'!$AB$11,"C",IF(F352&lt;'PlayerGrades+'!$AB$10,"C+",IF(F352&lt;'PlayerGrades+'!$AB$9,"B-",IF(F352&lt;'PlayerGrades+'!$AB$8,"B",IF(F352&lt;'PlayerGrades+'!$AB$7,"B+",IF(F352&lt;'PlayerGrades+'!$AB$6,"A-",IF(F352&lt;'PlayerGrades+'!$AB$5,"A",IF(F352&lt;'PlayerGrades+'!$AB$4,"A+",IF(F352&lt;'PlayerGrades+'!$AB$3,"S-",IF(F352&lt;'PlayerGrades+'!$AB$2,"S","S+"))))))))))))))))))))</f>
        <v>#DIV/0!</v>
      </c>
      <c r="H352" s="961" t="str">
        <f t="shared" si="3"/>
        <v>#DIV/0!</v>
      </c>
      <c r="I352" s="961" t="str">
        <f>IF(H352&lt;'PlayerGrades+'!$AC$21,"F-",IF(H352&lt;'PlayerGrades+'!$AC$20,"F",IF(H352&lt;'PlayerGrades+'!$AC$19,"F+",IF(H352&lt;'PlayerGrades+'!$AC$18,"E-",IF(H352&lt;'PlayerGrades+'!$AC$17,"E",IF(H352&lt;'PlayerGrades+'!$AC$16,"E+",IF(H352&lt;'PlayerGrades+'!$AC$15,"D-",IF(H352&lt;'PlayerGrades+'!$AC$14,"D",IF(H352&lt;'PlayerGrades+'!$AC$13,"D+",IF(H352&lt;'PlayerGrades+'!$AC$12,"C-",IF(H352&lt;'PlayerGrades+'!$AC$11,"C",IF(H352&lt;'PlayerGrades+'!$AC$10,"C+",IF(H352&lt;'PlayerGrades+'!$AC$9,"B-",IF(H352&lt;'PlayerGrades+'!$AC$8,"B",IF(H352&lt;'PlayerGrades+'!$AC$7,"B+",IF(H352&lt;'PlayerGrades+'!$AC$6,"A-",IF(H352&lt;'PlayerGrades+'!$AC$5,"A",IF(H352&lt;'PlayerGrades+'!$AC$4,"A+",IF(H352&lt;'PlayerGrades+'!$AC$3,"S-",IF(H352&lt;'PlayerGrades+'!$AC$2,"S","S+"))))))))))))))))))))</f>
        <v>#DIV/0!</v>
      </c>
      <c r="J352" s="961" t="str">
        <f t="shared" si="4"/>
        <v>#DIV/0!</v>
      </c>
      <c r="K352" s="961" t="str">
        <f>IF(J352&lt;'PlayerGrades+'!$AD$21,"F-",IF(J352&lt;'PlayerGrades+'!$AD$20,"F",IF(J352&lt;'PlayerGrades+'!$AD$19,"F+",IF(J352&lt;'PlayerGrades+'!$AD$18,"E-",IF(J352&lt;'PlayerGrades+'!$AD$17,"E",IF(J352&lt;'PlayerGrades+'!$AD$16,"E+",IF(J352&lt;'PlayerGrades+'!$AD$15,"D-",IF(J352&lt;'PlayerGrades+'!$AD$14,"D",IF(J352&lt;'PlayerGrades+'!$AD$13,"D+",IF(J352&lt;'PlayerGrades+'!$AD$12,"C-",IF(J352&lt;'PlayerGrades+'!$AD$11,"C",IF(J352&lt;'PlayerGrades+'!$AD$10,"C+",IF(J352&lt;'PlayerGrades+'!$AD$9,"B-",IF(J352&lt;'PlayerGrades+'!$AD$8,"B",IF(J352&lt;'PlayerGrades+'!$AD$7,"B+",IF(J352&lt;'PlayerGrades+'!$AD$6,"A-",IF(J352&lt;'PlayerGrades+'!$AD$5,"A",IF(J352&lt;'PlayerGrades+'!$AD$4,"A+",IF(J352&lt;'PlayerGrades+'!$AD$3,"S-",IF(J352&lt;'PlayerGrades+'!$AD$2,"S","S+"))))))))))))))))))))</f>
        <v>#DIV/0!</v>
      </c>
      <c r="L352" s="1176" t="str">
        <f t="shared" si="5"/>
        <v>#DIV/0!</v>
      </c>
      <c r="M352" s="992" t="str">
        <f>IF(L352&lt;'PlayerGrades+'!$AE$21,"F-",IF(L352&lt;'PlayerGrades+'!$AE$20,"F",IF(L352&lt;'PlayerGrades+'!$AE$19,"F+",IF(L352&lt;'PlayerGrades+'!$AE$18,"E-",IF(L352&lt;'PlayerGrades+'!$AE$17,"E",IF(L352&lt;'PlayerGrades+'!$AE$16,"E+",IF(L352&lt;'PlayerGrades+'!$AE$15,"D-",IF(L352&lt;'PlayerGrades+'!$AE$14,"D",IF(L352&lt;'PlayerGrades+'!$AE$13,"D+",IF(L352&lt;'PlayerGrades+'!$AE$12,"C-",IF(L352&lt;'PlayerGrades+'!$AE$11,"C",IF(L352&lt;'PlayerGrades+'!$AE$10,"C+",IF(L352&lt;'PlayerGrades+'!$AE$9,"B-",IF(L352&lt;'PlayerGrades+'!$AE$8,"B",IF(L352&lt;'PlayerGrades+'!$AE$7,"B+",IF(L352&lt;'PlayerGrades+'!$AE$6,"A-",IF(L352&lt;'PlayerGrades+'!$AE$5,"A",IF(L352&lt;'PlayerGrades+'!$AE$4,"A+",IF(L352&lt;'PlayerGrades+'!$AE$3,"S-",IF(L352&lt;'PlayerGrades+'!$AE$2,"S","S+"))))))))))))))))))))</f>
        <v>#DIV/0!</v>
      </c>
      <c r="N352" s="961" t="str">
        <f t="shared" si="6"/>
        <v>#DIV/0!</v>
      </c>
      <c r="O352" s="961" t="str">
        <f>IF(N352&lt;'PlayerGrades+'!$AF$21,"F-",IF(N352&lt;'PlayerGrades+'!$AF$20,"F",IF(N352&lt;'PlayerGrades+'!$AF$19,"F+",IF(N352&lt;'PlayerGrades+'!$AF$18,"E-",IF(N352&lt;'PlayerGrades+'!$AF$17,"E",IF(N352&lt;'PlayerGrades+'!$AF$16,"E+",IF(N352&lt;'PlayerGrades+'!$AF$15,"D-",IF(N352&lt;'PlayerGrades+'!$AF$14,"D",IF(N352&lt;'PlayerGrades+'!$AF$13,"D+",IF(N352&lt;'PlayerGrades+'!$AF$12,"C-",IF(N352&lt;'PlayerGrades+'!$AF$11,"C",IF(N352&lt;'PlayerGrades+'!$AF$10,"C+",IF(N352&lt;'PlayerGrades+'!$AF$9,"B-",IF(N352&lt;'PlayerGrades+'!$AF$8,"B",IF(N352&lt;'PlayerGrades+'!$AF$7,"B+",IF(N352&lt;'PlayerGrades+'!$AF$6,"A-",IF(N352&lt;'PlayerGrades+'!$AF$5,"A",IF(N352&lt;'PlayerGrades+'!$AF$4,"A+",IF(N352&lt;'PlayerGrades+'!$AF$3,"S-",IF(N352&lt;'PlayerGrades+'!$AF$2,"S","S+"))))))))))))))))))))</f>
        <v>#DIV/0!</v>
      </c>
      <c r="P352" s="961" t="str">
        <f t="shared" si="7"/>
        <v>#DIV/0!</v>
      </c>
      <c r="Q352" s="961" t="str">
        <f>IF(P352&lt;'PlayerGrades+'!$AG$21,"F-",IF(P352&lt;'PlayerGrades+'!$AG$20,"F",IF(P352&lt;'PlayerGrades+'!$AG$19,"F+",IF(P352&lt;'PlayerGrades+'!$AG$18,"E-",IF(P352&lt;'PlayerGrades+'!$AG$17,"E",IF(P352&lt;'PlayerGrades+'!$AG$16,"E+",IF(P352&lt;'PlayerGrades+'!$AG$15,"D-",IF(P352&lt;'PlayerGrades+'!$AG$14,"D",IF(P352&lt;'PlayerGrades+'!$AG$13,"D+",IF(P352&lt;'PlayerGrades+'!$AG$12,"C-",IF(P352&lt;'PlayerGrades+'!$AG$11,"C",IF(P352&lt;'PlayerGrades+'!$AG$10,"C+",IF(P352&lt;'PlayerGrades+'!$AG$9,"B-",IF(P352&lt;'PlayerGrades+'!$AG$8,"B",IF(P352&lt;'PlayerGrades+'!$AG$7,"B+",IF(P352&lt;'PlayerGrades+'!$AG$6,"A-",IF(P352&lt;'PlayerGrades+'!$AG$5,"A",IF(P352&lt;'PlayerGrades+'!$AG$4,"A+",IF(P352&lt;'PlayerGrades+'!$AG$3,"S-",IF(P352&lt;'PlayerGrades+'!$AG$2,"S","S+"))))))))))))))))))))</f>
        <v>#DIV/0!</v>
      </c>
      <c r="R352" s="961" t="str">
        <f t="shared" si="8"/>
        <v>#DIV/0!</v>
      </c>
      <c r="S352" s="961" t="str">
        <f>IF(R352&lt;'PlayerGrades+'!$AH$21,"F-",IF(R352&lt;'PlayerGrades+'!$AH$20,"F",IF(R352&lt;'PlayerGrades+'!$AH$19,"F+",IF(R352&lt;'PlayerGrades+'!$AH$18,"E-",IF(R352&lt;'PlayerGrades+'!$AH$17,"E",IF(R352&lt;'PlayerGrades+'!$AH$16,"E+",IF(R352&lt;'PlayerGrades+'!$AH$15,"D-",IF(R352&lt;'PlayerGrades+'!$AH$14,"D",IF(R352&lt;'PlayerGrades+'!$AH$13,"D+",IF(R352&lt;'PlayerGrades+'!$AH$12,"C-",IF(R352&lt;'PlayerGrades+'!$AH$11,"C",IF(R352&lt;'PlayerGrades+'!$AH$10,"C+",IF(R352&lt;'PlayerGrades+'!$AH$9,"B-",IF(R352&lt;'PlayerGrades+'!$AH$8,"B",IF(R352&lt;'PlayerGrades+'!$AH$7,"B+",IF(R352&lt;'PlayerGrades+'!$AH$6,"A-",IF(R352&lt;'PlayerGrades+'!$AH$5,"A",IF(R352&lt;'PlayerGrades+'!$AH$4,"A+",IF(R352&lt;'PlayerGrades+'!$AH$3,"S-",IF(R352&lt;'PlayerGrades+'!$AH$2,"S","S+"))))))))))))))))))))</f>
        <v>#DIV/0!</v>
      </c>
      <c r="T352" s="961">
        <f t="shared" si="9"/>
        <v>0</v>
      </c>
      <c r="U352" s="961" t="str">
        <f>IF(T352&lt;'PlayerGrades+'!$AI$21,"F-",IF(T352&lt;'PlayerGrades+'!$AI$20,"F",IF(T352&lt;'PlayerGrades+'!$AI$19,"F+",IF(T352&lt;'PlayerGrades+'!$AI$18,"E-",IF(T352&lt;'PlayerGrades+'!$AI$17,"E",IF(T352&lt;'PlayerGrades+'!$AI$16,"E+",IF(T352&lt;'PlayerGrades+'!$AI$15,"D-",IF(T352&lt;'PlayerGrades+'!$AI$14,"D",IF(T352&lt;'PlayerGrades+'!$AI$13,"D+",IF(T352&lt;'PlayerGrades+'!$AI$12,"C-",IF(T352&lt;'PlayerGrades+'!$AI$11,"C",IF(T352&lt;'PlayerGrades+'!$AI$10,"C+",IF(T352&lt;'PlayerGrades+'!$AI$9,"B-",IF(T352&lt;'PlayerGrades+'!$AI$8,"B",IF(T352&lt;'PlayerGrades+'!$AI$7,"B+",IF(T352&lt;'PlayerGrades+'!$AI$6,"A-",IF(T352&lt;'PlayerGrades+'!$AI$5,"A",IF(T352&lt;'PlayerGrades+'!$AI$4,"A+",IF(T352&lt;'PlayerGrades+'!$AI$3,"S-",IF(T352&lt;'PlayerGrades+'!$AI$2,"S","S+"))))))))))))))))))))</f>
        <v>F-</v>
      </c>
      <c r="AC352" s="1392"/>
    </row>
    <row r="353">
      <c r="A353" s="1393"/>
      <c r="B353" s="611" t="str">
        <f>IF(C353&lt;'PlayerGrades+'!$Y$44,"F-",IF(C353&lt;'PlayerGrades+'!$Y$43,"F",IF(C353&lt;'PlayerGrades+'!$Y$42,"F+",IF(C353&lt;'PlayerGrades+'!$Y$41,"E-",IF(C353&lt;'PlayerGrades+'!$Y$40,"E",IF(C353&lt;'PlayerGrades+'!$Y$39,"E+",IF(C353&lt;'PlayerGrades+'!$Y$38,"D-",IF(C353&lt;'PlayerGrades+'!$Y$37,"D",IF(C353&lt;'PlayerGrades+'!$Y$36,"D+",IF(C353&lt;'PlayerGrades+'!$Y$35,"C-",IF(C353&lt;'PlayerGrades+'!$Y$34,"C",IF(C353&lt;'PlayerGrades+'!$Y$33,"C+",IF(C353&lt;'PlayerGrades+'!$Y$32,"B-",IF(C353&lt;'PlayerGrades+'!$Y$31,"B",IF(C353&lt;'PlayerGrades+'!$Y$30,"B+",IF(C353&lt;'PlayerGrades+'!$Y$29,"A-",IF(C353&lt;'PlayerGrades+'!$Y$28,"A",IF(C353&lt;'PlayerGrades+'!$Y$27,"A+",IF(C353&lt;'PlayerGrades+'!$Y$26,"S-",IF(C353&lt;'PlayerGrades+'!$Y$25,"S","S+"))))))))))))))))))))</f>
        <v>#DIV/0!</v>
      </c>
      <c r="C353" s="1378" t="str">
        <f>('PlayerGrades+'!$Y$47*(VLOOKUP(E353, 'PlayerGrades+'!$X$3:$Y$23, 2, FALSE)))+('PlayerGrades+'!$Y$48*(VLOOKUP(G353, 'PlayerGrades+'!$X$3:$Y$23, 2, FALSE)))+('PlayerGrades+'!$Y$49*(VLOOKUP(I353, 'PlayerGrades+'!$X$3:$Y$23, 2, FALSE)))+('PlayerGrades+'!$Y$50*(VLOOKUP(K353, 'PlayerGrades+'!$X$3:$Y$23, 2, FALSE)))+('PlayerGrades+'!$Y$51*(VLOOKUP(M353, 'PlayerGrades+'!$X$3:$Y$23, 2, FALSE)))+('PlayerGrades+'!$Y$52*(VLOOKUP(O353, 'PlayerGrades+'!$X$3:$Y$23, 2, FALSE)))+('PlayerGrades+'!$Y$53*(VLOOKUP(Q353, 'PlayerGrades+'!$X$3:$Y$23, 2, FALSE)))+('PlayerGrades+'!$Y$54*(VLOOKUP(S353, 'PlayerGrades+'!$X$3:$Y$23, 2, FALSE)))+('PlayerGrades+'!$Y$55*(VLOOKUP(U353, 'PlayerGrades+'!$X$3:$Y$23, 2, FALSE)))</f>
        <v>#DIV/0!</v>
      </c>
      <c r="D353" s="961" t="str">
        <f t="shared" si="1"/>
        <v>#DIV/0!</v>
      </c>
      <c r="E353" s="961" t="str">
        <f>IF(D353&lt;'PlayerGrades+'!$AA$21,"F-",IF(D353&lt;'PlayerGrades+'!$AA$20,"F",IF(D353&lt;'PlayerGrades+'!$AA$19,"F+",IF(D353&lt;'PlayerGrades+'!$AA$18,"E-",IF(D353&lt;'PlayerGrades+'!$AA$17,"E",IF(D353&lt;'PlayerGrades+'!$AA$16,"E+",IF(D353&lt;'PlayerGrades+'!$AA$15,"D-",IF(D353&lt;'PlayerGrades+'!$AA$14,"D",IF(D353&lt;'PlayerGrades+'!$AA$13,"D+",IF(D353&lt;'PlayerGrades+'!$AA$12,"C-",IF(D353&lt;'PlayerGrades+'!$AA$11,"C",IF(D353&lt;'PlayerGrades+'!$AA$10,"C+",IF(D353&lt;'PlayerGrades+'!$AA$9,"B-",IF(D353&lt;'PlayerGrades+'!$AA$8,"B",IF(D353&lt;'PlayerGrades+'!$AA$7,"B+",IF(D353&lt;'PlayerGrades+'!$AA$6,"A-",IF(D353&lt;'PlayerGrades+'!$AA$5,"A",IF(D353&lt;'PlayerGrades+'!$AA$4,"A+",IF(D353&lt;'PlayerGrades+'!$AA$3,"S-",IF(D353&lt;'PlayerGrades+'!$AA$2,"S","S+"))))))))))))))))))))</f>
        <v>#DIV/0!</v>
      </c>
      <c r="F353" s="961" t="str">
        <f t="shared" si="2"/>
        <v>#DIV/0!</v>
      </c>
      <c r="G353" s="961" t="str">
        <f>IF(F353&lt;'PlayerGrades+'!$AB$21,"F-",IF(F353&lt;'PlayerGrades+'!$AB$20,"F",IF(F353&lt;'PlayerGrades+'!$AB$19,"F+",IF(F353&lt;'PlayerGrades+'!$AB$18,"E-",IF(F353&lt;'PlayerGrades+'!$AB$17,"E",IF(F353&lt;'PlayerGrades+'!$AB$16,"E+",IF(F353&lt;'PlayerGrades+'!$AB$15,"D-",IF(F353&lt;'PlayerGrades+'!$AB$14,"D",IF(F353&lt;'PlayerGrades+'!$AB$13,"D+",IF(F353&lt;'PlayerGrades+'!$AB$12,"C-",IF(F353&lt;'PlayerGrades+'!$AB$11,"C",IF(F353&lt;'PlayerGrades+'!$AB$10,"C+",IF(F353&lt;'PlayerGrades+'!$AB$9,"B-",IF(F353&lt;'PlayerGrades+'!$AB$8,"B",IF(F353&lt;'PlayerGrades+'!$AB$7,"B+",IF(F353&lt;'PlayerGrades+'!$AB$6,"A-",IF(F353&lt;'PlayerGrades+'!$AB$5,"A",IF(F353&lt;'PlayerGrades+'!$AB$4,"A+",IF(F353&lt;'PlayerGrades+'!$AB$3,"S-",IF(F353&lt;'PlayerGrades+'!$AB$2,"S","S+"))))))))))))))))))))</f>
        <v>#DIV/0!</v>
      </c>
      <c r="H353" s="961" t="str">
        <f t="shared" si="3"/>
        <v>#DIV/0!</v>
      </c>
      <c r="I353" s="961" t="str">
        <f>IF(H353&lt;'PlayerGrades+'!$AC$21,"F-",IF(H353&lt;'PlayerGrades+'!$AC$20,"F",IF(H353&lt;'PlayerGrades+'!$AC$19,"F+",IF(H353&lt;'PlayerGrades+'!$AC$18,"E-",IF(H353&lt;'PlayerGrades+'!$AC$17,"E",IF(H353&lt;'PlayerGrades+'!$AC$16,"E+",IF(H353&lt;'PlayerGrades+'!$AC$15,"D-",IF(H353&lt;'PlayerGrades+'!$AC$14,"D",IF(H353&lt;'PlayerGrades+'!$AC$13,"D+",IF(H353&lt;'PlayerGrades+'!$AC$12,"C-",IF(H353&lt;'PlayerGrades+'!$AC$11,"C",IF(H353&lt;'PlayerGrades+'!$AC$10,"C+",IF(H353&lt;'PlayerGrades+'!$AC$9,"B-",IF(H353&lt;'PlayerGrades+'!$AC$8,"B",IF(H353&lt;'PlayerGrades+'!$AC$7,"B+",IF(H353&lt;'PlayerGrades+'!$AC$6,"A-",IF(H353&lt;'PlayerGrades+'!$AC$5,"A",IF(H353&lt;'PlayerGrades+'!$AC$4,"A+",IF(H353&lt;'PlayerGrades+'!$AC$3,"S-",IF(H353&lt;'PlayerGrades+'!$AC$2,"S","S+"))))))))))))))))))))</f>
        <v>#DIV/0!</v>
      </c>
      <c r="J353" s="961" t="str">
        <f t="shared" si="4"/>
        <v>#DIV/0!</v>
      </c>
      <c r="K353" s="961" t="str">
        <f>IF(J353&lt;'PlayerGrades+'!$AD$21,"F-",IF(J353&lt;'PlayerGrades+'!$AD$20,"F",IF(J353&lt;'PlayerGrades+'!$AD$19,"F+",IF(J353&lt;'PlayerGrades+'!$AD$18,"E-",IF(J353&lt;'PlayerGrades+'!$AD$17,"E",IF(J353&lt;'PlayerGrades+'!$AD$16,"E+",IF(J353&lt;'PlayerGrades+'!$AD$15,"D-",IF(J353&lt;'PlayerGrades+'!$AD$14,"D",IF(J353&lt;'PlayerGrades+'!$AD$13,"D+",IF(J353&lt;'PlayerGrades+'!$AD$12,"C-",IF(J353&lt;'PlayerGrades+'!$AD$11,"C",IF(J353&lt;'PlayerGrades+'!$AD$10,"C+",IF(J353&lt;'PlayerGrades+'!$AD$9,"B-",IF(J353&lt;'PlayerGrades+'!$AD$8,"B",IF(J353&lt;'PlayerGrades+'!$AD$7,"B+",IF(J353&lt;'PlayerGrades+'!$AD$6,"A-",IF(J353&lt;'PlayerGrades+'!$AD$5,"A",IF(J353&lt;'PlayerGrades+'!$AD$4,"A+",IF(J353&lt;'PlayerGrades+'!$AD$3,"S-",IF(J353&lt;'PlayerGrades+'!$AD$2,"S","S+"))))))))))))))))))))</f>
        <v>#DIV/0!</v>
      </c>
      <c r="L353" s="1176" t="str">
        <f t="shared" si="5"/>
        <v>#DIV/0!</v>
      </c>
      <c r="M353" s="992" t="str">
        <f>IF(L353&lt;'PlayerGrades+'!$AE$21,"F-",IF(L353&lt;'PlayerGrades+'!$AE$20,"F",IF(L353&lt;'PlayerGrades+'!$AE$19,"F+",IF(L353&lt;'PlayerGrades+'!$AE$18,"E-",IF(L353&lt;'PlayerGrades+'!$AE$17,"E",IF(L353&lt;'PlayerGrades+'!$AE$16,"E+",IF(L353&lt;'PlayerGrades+'!$AE$15,"D-",IF(L353&lt;'PlayerGrades+'!$AE$14,"D",IF(L353&lt;'PlayerGrades+'!$AE$13,"D+",IF(L353&lt;'PlayerGrades+'!$AE$12,"C-",IF(L353&lt;'PlayerGrades+'!$AE$11,"C",IF(L353&lt;'PlayerGrades+'!$AE$10,"C+",IF(L353&lt;'PlayerGrades+'!$AE$9,"B-",IF(L353&lt;'PlayerGrades+'!$AE$8,"B",IF(L353&lt;'PlayerGrades+'!$AE$7,"B+",IF(L353&lt;'PlayerGrades+'!$AE$6,"A-",IF(L353&lt;'PlayerGrades+'!$AE$5,"A",IF(L353&lt;'PlayerGrades+'!$AE$4,"A+",IF(L353&lt;'PlayerGrades+'!$AE$3,"S-",IF(L353&lt;'PlayerGrades+'!$AE$2,"S","S+"))))))))))))))))))))</f>
        <v>#DIV/0!</v>
      </c>
      <c r="N353" s="961" t="str">
        <f t="shared" si="6"/>
        <v>#DIV/0!</v>
      </c>
      <c r="O353" s="961" t="str">
        <f>IF(N353&lt;'PlayerGrades+'!$AF$21,"F-",IF(N353&lt;'PlayerGrades+'!$AF$20,"F",IF(N353&lt;'PlayerGrades+'!$AF$19,"F+",IF(N353&lt;'PlayerGrades+'!$AF$18,"E-",IF(N353&lt;'PlayerGrades+'!$AF$17,"E",IF(N353&lt;'PlayerGrades+'!$AF$16,"E+",IF(N353&lt;'PlayerGrades+'!$AF$15,"D-",IF(N353&lt;'PlayerGrades+'!$AF$14,"D",IF(N353&lt;'PlayerGrades+'!$AF$13,"D+",IF(N353&lt;'PlayerGrades+'!$AF$12,"C-",IF(N353&lt;'PlayerGrades+'!$AF$11,"C",IF(N353&lt;'PlayerGrades+'!$AF$10,"C+",IF(N353&lt;'PlayerGrades+'!$AF$9,"B-",IF(N353&lt;'PlayerGrades+'!$AF$8,"B",IF(N353&lt;'PlayerGrades+'!$AF$7,"B+",IF(N353&lt;'PlayerGrades+'!$AF$6,"A-",IF(N353&lt;'PlayerGrades+'!$AF$5,"A",IF(N353&lt;'PlayerGrades+'!$AF$4,"A+",IF(N353&lt;'PlayerGrades+'!$AF$3,"S-",IF(N353&lt;'PlayerGrades+'!$AF$2,"S","S+"))))))))))))))))))))</f>
        <v>#DIV/0!</v>
      </c>
      <c r="P353" s="961" t="str">
        <f t="shared" si="7"/>
        <v>#DIV/0!</v>
      </c>
      <c r="Q353" s="961" t="str">
        <f>IF(P353&lt;'PlayerGrades+'!$AG$21,"F-",IF(P353&lt;'PlayerGrades+'!$AG$20,"F",IF(P353&lt;'PlayerGrades+'!$AG$19,"F+",IF(P353&lt;'PlayerGrades+'!$AG$18,"E-",IF(P353&lt;'PlayerGrades+'!$AG$17,"E",IF(P353&lt;'PlayerGrades+'!$AG$16,"E+",IF(P353&lt;'PlayerGrades+'!$AG$15,"D-",IF(P353&lt;'PlayerGrades+'!$AG$14,"D",IF(P353&lt;'PlayerGrades+'!$AG$13,"D+",IF(P353&lt;'PlayerGrades+'!$AG$12,"C-",IF(P353&lt;'PlayerGrades+'!$AG$11,"C",IF(P353&lt;'PlayerGrades+'!$AG$10,"C+",IF(P353&lt;'PlayerGrades+'!$AG$9,"B-",IF(P353&lt;'PlayerGrades+'!$AG$8,"B",IF(P353&lt;'PlayerGrades+'!$AG$7,"B+",IF(P353&lt;'PlayerGrades+'!$AG$6,"A-",IF(P353&lt;'PlayerGrades+'!$AG$5,"A",IF(P353&lt;'PlayerGrades+'!$AG$4,"A+",IF(P353&lt;'PlayerGrades+'!$AG$3,"S-",IF(P353&lt;'PlayerGrades+'!$AG$2,"S","S+"))))))))))))))))))))</f>
        <v>#DIV/0!</v>
      </c>
      <c r="R353" s="961" t="str">
        <f t="shared" si="8"/>
        <v>#DIV/0!</v>
      </c>
      <c r="S353" s="961" t="str">
        <f>IF(R353&lt;'PlayerGrades+'!$AH$21,"F-",IF(R353&lt;'PlayerGrades+'!$AH$20,"F",IF(R353&lt;'PlayerGrades+'!$AH$19,"F+",IF(R353&lt;'PlayerGrades+'!$AH$18,"E-",IF(R353&lt;'PlayerGrades+'!$AH$17,"E",IF(R353&lt;'PlayerGrades+'!$AH$16,"E+",IF(R353&lt;'PlayerGrades+'!$AH$15,"D-",IF(R353&lt;'PlayerGrades+'!$AH$14,"D",IF(R353&lt;'PlayerGrades+'!$AH$13,"D+",IF(R353&lt;'PlayerGrades+'!$AH$12,"C-",IF(R353&lt;'PlayerGrades+'!$AH$11,"C",IF(R353&lt;'PlayerGrades+'!$AH$10,"C+",IF(R353&lt;'PlayerGrades+'!$AH$9,"B-",IF(R353&lt;'PlayerGrades+'!$AH$8,"B",IF(R353&lt;'PlayerGrades+'!$AH$7,"B+",IF(R353&lt;'PlayerGrades+'!$AH$6,"A-",IF(R353&lt;'PlayerGrades+'!$AH$5,"A",IF(R353&lt;'PlayerGrades+'!$AH$4,"A+",IF(R353&lt;'PlayerGrades+'!$AH$3,"S-",IF(R353&lt;'PlayerGrades+'!$AH$2,"S","S+"))))))))))))))))))))</f>
        <v>#DIV/0!</v>
      </c>
      <c r="T353" s="961">
        <f t="shared" si="9"/>
        <v>0</v>
      </c>
      <c r="U353" s="961" t="str">
        <f>IF(T353&lt;'PlayerGrades+'!$AI$21,"F-",IF(T353&lt;'PlayerGrades+'!$AI$20,"F",IF(T353&lt;'PlayerGrades+'!$AI$19,"F+",IF(T353&lt;'PlayerGrades+'!$AI$18,"E-",IF(T353&lt;'PlayerGrades+'!$AI$17,"E",IF(T353&lt;'PlayerGrades+'!$AI$16,"E+",IF(T353&lt;'PlayerGrades+'!$AI$15,"D-",IF(T353&lt;'PlayerGrades+'!$AI$14,"D",IF(T353&lt;'PlayerGrades+'!$AI$13,"D+",IF(T353&lt;'PlayerGrades+'!$AI$12,"C-",IF(T353&lt;'PlayerGrades+'!$AI$11,"C",IF(T353&lt;'PlayerGrades+'!$AI$10,"C+",IF(T353&lt;'PlayerGrades+'!$AI$9,"B-",IF(T353&lt;'PlayerGrades+'!$AI$8,"B",IF(T353&lt;'PlayerGrades+'!$AI$7,"B+",IF(T353&lt;'PlayerGrades+'!$AI$6,"A-",IF(T353&lt;'PlayerGrades+'!$AI$5,"A",IF(T353&lt;'PlayerGrades+'!$AI$4,"A+",IF(T353&lt;'PlayerGrades+'!$AI$3,"S-",IF(T353&lt;'PlayerGrades+'!$AI$2,"S","S+"))))))))))))))))))))</f>
        <v>F-</v>
      </c>
      <c r="V353" s="1386"/>
      <c r="W353" s="1386"/>
      <c r="X353" s="1386"/>
      <c r="Y353" s="1386"/>
      <c r="Z353" s="1386"/>
      <c r="AA353" s="1386"/>
      <c r="AB353" s="1386"/>
      <c r="AC353" s="1397"/>
      <c r="AD353" s="1386"/>
      <c r="AE353" s="1386"/>
      <c r="AF353" s="1386"/>
      <c r="AG353" s="1386"/>
      <c r="AH353" s="1386"/>
      <c r="AI353" s="1386"/>
      <c r="AJ353" s="1386"/>
      <c r="AK353" s="1386"/>
      <c r="AL353" s="1386"/>
      <c r="AM353" s="1386"/>
      <c r="AN353" s="1386"/>
      <c r="AO353" s="1386"/>
      <c r="AP353" s="1386"/>
      <c r="AQ353" s="1386"/>
      <c r="AR353" s="1386"/>
      <c r="AS353" s="1386"/>
      <c r="AT353" s="1386"/>
      <c r="AU353" s="1386"/>
      <c r="AV353" s="1386"/>
      <c r="AW353" s="1386"/>
      <c r="AX353" s="1386"/>
      <c r="AY353" s="1386"/>
      <c r="AZ353" s="1386"/>
    </row>
    <row r="354">
      <c r="A354" s="1389"/>
      <c r="B354" s="611" t="str">
        <f>IF(C354&lt;'PlayerGrades+'!$Y$44,"F-",IF(C354&lt;'PlayerGrades+'!$Y$43,"F",IF(C354&lt;'PlayerGrades+'!$Y$42,"F+",IF(C354&lt;'PlayerGrades+'!$Y$41,"E-",IF(C354&lt;'PlayerGrades+'!$Y$40,"E",IF(C354&lt;'PlayerGrades+'!$Y$39,"E+",IF(C354&lt;'PlayerGrades+'!$Y$38,"D-",IF(C354&lt;'PlayerGrades+'!$Y$37,"D",IF(C354&lt;'PlayerGrades+'!$Y$36,"D+",IF(C354&lt;'PlayerGrades+'!$Y$35,"C-",IF(C354&lt;'PlayerGrades+'!$Y$34,"C",IF(C354&lt;'PlayerGrades+'!$Y$33,"C+",IF(C354&lt;'PlayerGrades+'!$Y$32,"B-",IF(C354&lt;'PlayerGrades+'!$Y$31,"B",IF(C354&lt;'PlayerGrades+'!$Y$30,"B+",IF(C354&lt;'PlayerGrades+'!$Y$29,"A-",IF(C354&lt;'PlayerGrades+'!$Y$28,"A",IF(C354&lt;'PlayerGrades+'!$Y$27,"A+",IF(C354&lt;'PlayerGrades+'!$Y$26,"S-",IF(C354&lt;'PlayerGrades+'!$Y$25,"S","S+"))))))))))))))))))))</f>
        <v>#DIV/0!</v>
      </c>
      <c r="C354" s="1378" t="str">
        <f>('PlayerGrades+'!$Y$47*(VLOOKUP(E354, 'PlayerGrades+'!$X$3:$Y$23, 2, FALSE)))+('PlayerGrades+'!$Y$48*(VLOOKUP(G354, 'PlayerGrades+'!$X$3:$Y$23, 2, FALSE)))+('PlayerGrades+'!$Y$49*(VLOOKUP(I354, 'PlayerGrades+'!$X$3:$Y$23, 2, FALSE)))+('PlayerGrades+'!$Y$50*(VLOOKUP(K354, 'PlayerGrades+'!$X$3:$Y$23, 2, FALSE)))+('PlayerGrades+'!$Y$51*(VLOOKUP(M354, 'PlayerGrades+'!$X$3:$Y$23, 2, FALSE)))+('PlayerGrades+'!$Y$52*(VLOOKUP(O354, 'PlayerGrades+'!$X$3:$Y$23, 2, FALSE)))+('PlayerGrades+'!$Y$53*(VLOOKUP(Q354, 'PlayerGrades+'!$X$3:$Y$23, 2, FALSE)))+('PlayerGrades+'!$Y$54*(VLOOKUP(S354, 'PlayerGrades+'!$X$3:$Y$23, 2, FALSE)))+('PlayerGrades+'!$Y$55*(VLOOKUP(U354, 'PlayerGrades+'!$X$3:$Y$23, 2, FALSE)))</f>
        <v>#DIV/0!</v>
      </c>
      <c r="D354" s="961" t="str">
        <f t="shared" si="1"/>
        <v>#DIV/0!</v>
      </c>
      <c r="E354" s="961" t="str">
        <f>IF(D354&lt;'PlayerGrades+'!$AA$21,"F-",IF(D354&lt;'PlayerGrades+'!$AA$20,"F",IF(D354&lt;'PlayerGrades+'!$AA$19,"F+",IF(D354&lt;'PlayerGrades+'!$AA$18,"E-",IF(D354&lt;'PlayerGrades+'!$AA$17,"E",IF(D354&lt;'PlayerGrades+'!$AA$16,"E+",IF(D354&lt;'PlayerGrades+'!$AA$15,"D-",IF(D354&lt;'PlayerGrades+'!$AA$14,"D",IF(D354&lt;'PlayerGrades+'!$AA$13,"D+",IF(D354&lt;'PlayerGrades+'!$AA$12,"C-",IF(D354&lt;'PlayerGrades+'!$AA$11,"C",IF(D354&lt;'PlayerGrades+'!$AA$10,"C+",IF(D354&lt;'PlayerGrades+'!$AA$9,"B-",IF(D354&lt;'PlayerGrades+'!$AA$8,"B",IF(D354&lt;'PlayerGrades+'!$AA$7,"B+",IF(D354&lt;'PlayerGrades+'!$AA$6,"A-",IF(D354&lt;'PlayerGrades+'!$AA$5,"A",IF(D354&lt;'PlayerGrades+'!$AA$4,"A+",IF(D354&lt;'PlayerGrades+'!$AA$3,"S-",IF(D354&lt;'PlayerGrades+'!$AA$2,"S","S+"))))))))))))))))))))</f>
        <v>#DIV/0!</v>
      </c>
      <c r="F354" s="961" t="str">
        <f t="shared" si="2"/>
        <v>#DIV/0!</v>
      </c>
      <c r="G354" s="961" t="str">
        <f>IF(F354&lt;'PlayerGrades+'!$AB$21,"F-",IF(F354&lt;'PlayerGrades+'!$AB$20,"F",IF(F354&lt;'PlayerGrades+'!$AB$19,"F+",IF(F354&lt;'PlayerGrades+'!$AB$18,"E-",IF(F354&lt;'PlayerGrades+'!$AB$17,"E",IF(F354&lt;'PlayerGrades+'!$AB$16,"E+",IF(F354&lt;'PlayerGrades+'!$AB$15,"D-",IF(F354&lt;'PlayerGrades+'!$AB$14,"D",IF(F354&lt;'PlayerGrades+'!$AB$13,"D+",IF(F354&lt;'PlayerGrades+'!$AB$12,"C-",IF(F354&lt;'PlayerGrades+'!$AB$11,"C",IF(F354&lt;'PlayerGrades+'!$AB$10,"C+",IF(F354&lt;'PlayerGrades+'!$AB$9,"B-",IF(F354&lt;'PlayerGrades+'!$AB$8,"B",IF(F354&lt;'PlayerGrades+'!$AB$7,"B+",IF(F354&lt;'PlayerGrades+'!$AB$6,"A-",IF(F354&lt;'PlayerGrades+'!$AB$5,"A",IF(F354&lt;'PlayerGrades+'!$AB$4,"A+",IF(F354&lt;'PlayerGrades+'!$AB$3,"S-",IF(F354&lt;'PlayerGrades+'!$AB$2,"S","S+"))))))))))))))))))))</f>
        <v>#DIV/0!</v>
      </c>
      <c r="H354" s="961" t="str">
        <f t="shared" si="3"/>
        <v>#DIV/0!</v>
      </c>
      <c r="I354" s="961" t="str">
        <f>IF(H354&lt;'PlayerGrades+'!$AC$21,"F-",IF(H354&lt;'PlayerGrades+'!$AC$20,"F",IF(H354&lt;'PlayerGrades+'!$AC$19,"F+",IF(H354&lt;'PlayerGrades+'!$AC$18,"E-",IF(H354&lt;'PlayerGrades+'!$AC$17,"E",IF(H354&lt;'PlayerGrades+'!$AC$16,"E+",IF(H354&lt;'PlayerGrades+'!$AC$15,"D-",IF(H354&lt;'PlayerGrades+'!$AC$14,"D",IF(H354&lt;'PlayerGrades+'!$AC$13,"D+",IF(H354&lt;'PlayerGrades+'!$AC$12,"C-",IF(H354&lt;'PlayerGrades+'!$AC$11,"C",IF(H354&lt;'PlayerGrades+'!$AC$10,"C+",IF(H354&lt;'PlayerGrades+'!$AC$9,"B-",IF(H354&lt;'PlayerGrades+'!$AC$8,"B",IF(H354&lt;'PlayerGrades+'!$AC$7,"B+",IF(H354&lt;'PlayerGrades+'!$AC$6,"A-",IF(H354&lt;'PlayerGrades+'!$AC$5,"A",IF(H354&lt;'PlayerGrades+'!$AC$4,"A+",IF(H354&lt;'PlayerGrades+'!$AC$3,"S-",IF(H354&lt;'PlayerGrades+'!$AC$2,"S","S+"))))))))))))))))))))</f>
        <v>#DIV/0!</v>
      </c>
      <c r="J354" s="961" t="str">
        <f t="shared" si="4"/>
        <v>#DIV/0!</v>
      </c>
      <c r="K354" s="961" t="str">
        <f>IF(J354&lt;'PlayerGrades+'!$AD$21,"F-",IF(J354&lt;'PlayerGrades+'!$AD$20,"F",IF(J354&lt;'PlayerGrades+'!$AD$19,"F+",IF(J354&lt;'PlayerGrades+'!$AD$18,"E-",IF(J354&lt;'PlayerGrades+'!$AD$17,"E",IF(J354&lt;'PlayerGrades+'!$AD$16,"E+",IF(J354&lt;'PlayerGrades+'!$AD$15,"D-",IF(J354&lt;'PlayerGrades+'!$AD$14,"D",IF(J354&lt;'PlayerGrades+'!$AD$13,"D+",IF(J354&lt;'PlayerGrades+'!$AD$12,"C-",IF(J354&lt;'PlayerGrades+'!$AD$11,"C",IF(J354&lt;'PlayerGrades+'!$AD$10,"C+",IF(J354&lt;'PlayerGrades+'!$AD$9,"B-",IF(J354&lt;'PlayerGrades+'!$AD$8,"B",IF(J354&lt;'PlayerGrades+'!$AD$7,"B+",IF(J354&lt;'PlayerGrades+'!$AD$6,"A-",IF(J354&lt;'PlayerGrades+'!$AD$5,"A",IF(J354&lt;'PlayerGrades+'!$AD$4,"A+",IF(J354&lt;'PlayerGrades+'!$AD$3,"S-",IF(J354&lt;'PlayerGrades+'!$AD$2,"S","S+"))))))))))))))))))))</f>
        <v>#DIV/0!</v>
      </c>
      <c r="L354" s="1176" t="str">
        <f t="shared" si="5"/>
        <v>#DIV/0!</v>
      </c>
      <c r="M354" s="992" t="str">
        <f>IF(L354&lt;'PlayerGrades+'!$AE$21,"F-",IF(L354&lt;'PlayerGrades+'!$AE$20,"F",IF(L354&lt;'PlayerGrades+'!$AE$19,"F+",IF(L354&lt;'PlayerGrades+'!$AE$18,"E-",IF(L354&lt;'PlayerGrades+'!$AE$17,"E",IF(L354&lt;'PlayerGrades+'!$AE$16,"E+",IF(L354&lt;'PlayerGrades+'!$AE$15,"D-",IF(L354&lt;'PlayerGrades+'!$AE$14,"D",IF(L354&lt;'PlayerGrades+'!$AE$13,"D+",IF(L354&lt;'PlayerGrades+'!$AE$12,"C-",IF(L354&lt;'PlayerGrades+'!$AE$11,"C",IF(L354&lt;'PlayerGrades+'!$AE$10,"C+",IF(L354&lt;'PlayerGrades+'!$AE$9,"B-",IF(L354&lt;'PlayerGrades+'!$AE$8,"B",IF(L354&lt;'PlayerGrades+'!$AE$7,"B+",IF(L354&lt;'PlayerGrades+'!$AE$6,"A-",IF(L354&lt;'PlayerGrades+'!$AE$5,"A",IF(L354&lt;'PlayerGrades+'!$AE$4,"A+",IF(L354&lt;'PlayerGrades+'!$AE$3,"S-",IF(L354&lt;'PlayerGrades+'!$AE$2,"S","S+"))))))))))))))))))))</f>
        <v>#DIV/0!</v>
      </c>
      <c r="N354" s="961" t="str">
        <f t="shared" si="6"/>
        <v>#DIV/0!</v>
      </c>
      <c r="O354" s="961" t="str">
        <f>IF(N354&lt;'PlayerGrades+'!$AF$21,"F-",IF(N354&lt;'PlayerGrades+'!$AF$20,"F",IF(N354&lt;'PlayerGrades+'!$AF$19,"F+",IF(N354&lt;'PlayerGrades+'!$AF$18,"E-",IF(N354&lt;'PlayerGrades+'!$AF$17,"E",IF(N354&lt;'PlayerGrades+'!$AF$16,"E+",IF(N354&lt;'PlayerGrades+'!$AF$15,"D-",IF(N354&lt;'PlayerGrades+'!$AF$14,"D",IF(N354&lt;'PlayerGrades+'!$AF$13,"D+",IF(N354&lt;'PlayerGrades+'!$AF$12,"C-",IF(N354&lt;'PlayerGrades+'!$AF$11,"C",IF(N354&lt;'PlayerGrades+'!$AF$10,"C+",IF(N354&lt;'PlayerGrades+'!$AF$9,"B-",IF(N354&lt;'PlayerGrades+'!$AF$8,"B",IF(N354&lt;'PlayerGrades+'!$AF$7,"B+",IF(N354&lt;'PlayerGrades+'!$AF$6,"A-",IF(N354&lt;'PlayerGrades+'!$AF$5,"A",IF(N354&lt;'PlayerGrades+'!$AF$4,"A+",IF(N354&lt;'PlayerGrades+'!$AF$3,"S-",IF(N354&lt;'PlayerGrades+'!$AF$2,"S","S+"))))))))))))))))))))</f>
        <v>#DIV/0!</v>
      </c>
      <c r="P354" s="961" t="str">
        <f t="shared" si="7"/>
        <v>#DIV/0!</v>
      </c>
      <c r="Q354" s="961" t="str">
        <f>IF(P354&lt;'PlayerGrades+'!$AG$21,"F-",IF(P354&lt;'PlayerGrades+'!$AG$20,"F",IF(P354&lt;'PlayerGrades+'!$AG$19,"F+",IF(P354&lt;'PlayerGrades+'!$AG$18,"E-",IF(P354&lt;'PlayerGrades+'!$AG$17,"E",IF(P354&lt;'PlayerGrades+'!$AG$16,"E+",IF(P354&lt;'PlayerGrades+'!$AG$15,"D-",IF(P354&lt;'PlayerGrades+'!$AG$14,"D",IF(P354&lt;'PlayerGrades+'!$AG$13,"D+",IF(P354&lt;'PlayerGrades+'!$AG$12,"C-",IF(P354&lt;'PlayerGrades+'!$AG$11,"C",IF(P354&lt;'PlayerGrades+'!$AG$10,"C+",IF(P354&lt;'PlayerGrades+'!$AG$9,"B-",IF(P354&lt;'PlayerGrades+'!$AG$8,"B",IF(P354&lt;'PlayerGrades+'!$AG$7,"B+",IF(P354&lt;'PlayerGrades+'!$AG$6,"A-",IF(P354&lt;'PlayerGrades+'!$AG$5,"A",IF(P354&lt;'PlayerGrades+'!$AG$4,"A+",IF(P354&lt;'PlayerGrades+'!$AG$3,"S-",IF(P354&lt;'PlayerGrades+'!$AG$2,"S","S+"))))))))))))))))))))</f>
        <v>#DIV/0!</v>
      </c>
      <c r="R354" s="961" t="str">
        <f t="shared" si="8"/>
        <v>#DIV/0!</v>
      </c>
      <c r="S354" s="961" t="str">
        <f>IF(R354&lt;'PlayerGrades+'!$AH$21,"F-",IF(R354&lt;'PlayerGrades+'!$AH$20,"F",IF(R354&lt;'PlayerGrades+'!$AH$19,"F+",IF(R354&lt;'PlayerGrades+'!$AH$18,"E-",IF(R354&lt;'PlayerGrades+'!$AH$17,"E",IF(R354&lt;'PlayerGrades+'!$AH$16,"E+",IF(R354&lt;'PlayerGrades+'!$AH$15,"D-",IF(R354&lt;'PlayerGrades+'!$AH$14,"D",IF(R354&lt;'PlayerGrades+'!$AH$13,"D+",IF(R354&lt;'PlayerGrades+'!$AH$12,"C-",IF(R354&lt;'PlayerGrades+'!$AH$11,"C",IF(R354&lt;'PlayerGrades+'!$AH$10,"C+",IF(R354&lt;'PlayerGrades+'!$AH$9,"B-",IF(R354&lt;'PlayerGrades+'!$AH$8,"B",IF(R354&lt;'PlayerGrades+'!$AH$7,"B+",IF(R354&lt;'PlayerGrades+'!$AH$6,"A-",IF(R354&lt;'PlayerGrades+'!$AH$5,"A",IF(R354&lt;'PlayerGrades+'!$AH$4,"A+",IF(R354&lt;'PlayerGrades+'!$AH$3,"S-",IF(R354&lt;'PlayerGrades+'!$AH$2,"S","S+"))))))))))))))))))))</f>
        <v>#DIV/0!</v>
      </c>
      <c r="T354" s="961">
        <f t="shared" si="9"/>
        <v>0</v>
      </c>
      <c r="U354" s="961" t="str">
        <f>IF(T354&lt;'PlayerGrades+'!$AI$21,"F-",IF(T354&lt;'PlayerGrades+'!$AI$20,"F",IF(T354&lt;'PlayerGrades+'!$AI$19,"F+",IF(T354&lt;'PlayerGrades+'!$AI$18,"E-",IF(T354&lt;'PlayerGrades+'!$AI$17,"E",IF(T354&lt;'PlayerGrades+'!$AI$16,"E+",IF(T354&lt;'PlayerGrades+'!$AI$15,"D-",IF(T354&lt;'PlayerGrades+'!$AI$14,"D",IF(T354&lt;'PlayerGrades+'!$AI$13,"D+",IF(T354&lt;'PlayerGrades+'!$AI$12,"C-",IF(T354&lt;'PlayerGrades+'!$AI$11,"C",IF(T354&lt;'PlayerGrades+'!$AI$10,"C+",IF(T354&lt;'PlayerGrades+'!$AI$9,"B-",IF(T354&lt;'PlayerGrades+'!$AI$8,"B",IF(T354&lt;'PlayerGrades+'!$AI$7,"B+",IF(T354&lt;'PlayerGrades+'!$AI$6,"A-",IF(T354&lt;'PlayerGrades+'!$AI$5,"A",IF(T354&lt;'PlayerGrades+'!$AI$4,"A+",IF(T354&lt;'PlayerGrades+'!$AI$3,"S-",IF(T354&lt;'PlayerGrades+'!$AI$2,"S","S+"))))))))))))))))))))</f>
        <v>F-</v>
      </c>
      <c r="V354" s="1379"/>
      <c r="W354" s="1379"/>
      <c r="X354" s="1379"/>
      <c r="Y354" s="1379"/>
      <c r="Z354" s="1379"/>
      <c r="AA354" s="1379"/>
      <c r="AB354" s="1379"/>
      <c r="AC354" s="1390"/>
      <c r="AD354" s="1379"/>
      <c r="AE354" s="1379"/>
      <c r="AF354" s="1379"/>
      <c r="AG354" s="1379"/>
      <c r="AH354" s="1379"/>
      <c r="AI354" s="1379"/>
      <c r="AJ354" s="1379"/>
      <c r="AK354" s="1379"/>
      <c r="AL354" s="1379"/>
      <c r="AM354" s="1379"/>
      <c r="AN354" s="1379"/>
      <c r="AO354" s="1379"/>
      <c r="AP354" s="1379"/>
      <c r="AQ354" s="1379"/>
      <c r="AR354" s="1379"/>
      <c r="AS354" s="1379"/>
      <c r="AT354" s="1379"/>
      <c r="AU354" s="1379"/>
      <c r="AV354" s="1379"/>
      <c r="AW354" s="1379"/>
      <c r="AX354" s="1379"/>
      <c r="AY354" s="1379"/>
      <c r="AZ354" s="1379"/>
    </row>
    <row r="355">
      <c r="A355" s="1391"/>
      <c r="B355" s="611" t="str">
        <f>IF(C355&lt;'PlayerGrades+'!$Y$44,"F-",IF(C355&lt;'PlayerGrades+'!$Y$43,"F",IF(C355&lt;'PlayerGrades+'!$Y$42,"F+",IF(C355&lt;'PlayerGrades+'!$Y$41,"E-",IF(C355&lt;'PlayerGrades+'!$Y$40,"E",IF(C355&lt;'PlayerGrades+'!$Y$39,"E+",IF(C355&lt;'PlayerGrades+'!$Y$38,"D-",IF(C355&lt;'PlayerGrades+'!$Y$37,"D",IF(C355&lt;'PlayerGrades+'!$Y$36,"D+",IF(C355&lt;'PlayerGrades+'!$Y$35,"C-",IF(C355&lt;'PlayerGrades+'!$Y$34,"C",IF(C355&lt;'PlayerGrades+'!$Y$33,"C+",IF(C355&lt;'PlayerGrades+'!$Y$32,"B-",IF(C355&lt;'PlayerGrades+'!$Y$31,"B",IF(C355&lt;'PlayerGrades+'!$Y$30,"B+",IF(C355&lt;'PlayerGrades+'!$Y$29,"A-",IF(C355&lt;'PlayerGrades+'!$Y$28,"A",IF(C355&lt;'PlayerGrades+'!$Y$27,"A+",IF(C355&lt;'PlayerGrades+'!$Y$26,"S-",IF(C355&lt;'PlayerGrades+'!$Y$25,"S","S+"))))))))))))))))))))</f>
        <v>#DIV/0!</v>
      </c>
      <c r="C355" s="1378" t="str">
        <f>('PlayerGrades+'!$Y$47*(VLOOKUP(E355, 'PlayerGrades+'!$X$3:$Y$23, 2, FALSE)))+('PlayerGrades+'!$Y$48*(VLOOKUP(G355, 'PlayerGrades+'!$X$3:$Y$23, 2, FALSE)))+('PlayerGrades+'!$Y$49*(VLOOKUP(I355, 'PlayerGrades+'!$X$3:$Y$23, 2, FALSE)))+('PlayerGrades+'!$Y$50*(VLOOKUP(K355, 'PlayerGrades+'!$X$3:$Y$23, 2, FALSE)))+('PlayerGrades+'!$Y$51*(VLOOKUP(M355, 'PlayerGrades+'!$X$3:$Y$23, 2, FALSE)))+('PlayerGrades+'!$Y$52*(VLOOKUP(O355, 'PlayerGrades+'!$X$3:$Y$23, 2, FALSE)))+('PlayerGrades+'!$Y$53*(VLOOKUP(Q355, 'PlayerGrades+'!$X$3:$Y$23, 2, FALSE)))+('PlayerGrades+'!$Y$54*(VLOOKUP(S355, 'PlayerGrades+'!$X$3:$Y$23, 2, FALSE)))+('PlayerGrades+'!$Y$55*(VLOOKUP(U355, 'PlayerGrades+'!$X$3:$Y$23, 2, FALSE)))</f>
        <v>#DIV/0!</v>
      </c>
      <c r="D355" s="961" t="str">
        <f t="shared" si="1"/>
        <v>#DIV/0!</v>
      </c>
      <c r="E355" s="961" t="str">
        <f>IF(D355&lt;'PlayerGrades+'!$AA$21,"F-",IF(D355&lt;'PlayerGrades+'!$AA$20,"F",IF(D355&lt;'PlayerGrades+'!$AA$19,"F+",IF(D355&lt;'PlayerGrades+'!$AA$18,"E-",IF(D355&lt;'PlayerGrades+'!$AA$17,"E",IF(D355&lt;'PlayerGrades+'!$AA$16,"E+",IF(D355&lt;'PlayerGrades+'!$AA$15,"D-",IF(D355&lt;'PlayerGrades+'!$AA$14,"D",IF(D355&lt;'PlayerGrades+'!$AA$13,"D+",IF(D355&lt;'PlayerGrades+'!$AA$12,"C-",IF(D355&lt;'PlayerGrades+'!$AA$11,"C",IF(D355&lt;'PlayerGrades+'!$AA$10,"C+",IF(D355&lt;'PlayerGrades+'!$AA$9,"B-",IF(D355&lt;'PlayerGrades+'!$AA$8,"B",IF(D355&lt;'PlayerGrades+'!$AA$7,"B+",IF(D355&lt;'PlayerGrades+'!$AA$6,"A-",IF(D355&lt;'PlayerGrades+'!$AA$5,"A",IF(D355&lt;'PlayerGrades+'!$AA$4,"A+",IF(D355&lt;'PlayerGrades+'!$AA$3,"S-",IF(D355&lt;'PlayerGrades+'!$AA$2,"S","S+"))))))))))))))))))))</f>
        <v>#DIV/0!</v>
      </c>
      <c r="F355" s="961" t="str">
        <f t="shared" si="2"/>
        <v>#DIV/0!</v>
      </c>
      <c r="G355" s="961" t="str">
        <f>IF(F355&lt;'PlayerGrades+'!$AB$21,"F-",IF(F355&lt;'PlayerGrades+'!$AB$20,"F",IF(F355&lt;'PlayerGrades+'!$AB$19,"F+",IF(F355&lt;'PlayerGrades+'!$AB$18,"E-",IF(F355&lt;'PlayerGrades+'!$AB$17,"E",IF(F355&lt;'PlayerGrades+'!$AB$16,"E+",IF(F355&lt;'PlayerGrades+'!$AB$15,"D-",IF(F355&lt;'PlayerGrades+'!$AB$14,"D",IF(F355&lt;'PlayerGrades+'!$AB$13,"D+",IF(F355&lt;'PlayerGrades+'!$AB$12,"C-",IF(F355&lt;'PlayerGrades+'!$AB$11,"C",IF(F355&lt;'PlayerGrades+'!$AB$10,"C+",IF(F355&lt;'PlayerGrades+'!$AB$9,"B-",IF(F355&lt;'PlayerGrades+'!$AB$8,"B",IF(F355&lt;'PlayerGrades+'!$AB$7,"B+",IF(F355&lt;'PlayerGrades+'!$AB$6,"A-",IF(F355&lt;'PlayerGrades+'!$AB$5,"A",IF(F355&lt;'PlayerGrades+'!$AB$4,"A+",IF(F355&lt;'PlayerGrades+'!$AB$3,"S-",IF(F355&lt;'PlayerGrades+'!$AB$2,"S","S+"))))))))))))))))))))</f>
        <v>#DIV/0!</v>
      </c>
      <c r="H355" s="961" t="str">
        <f t="shared" si="3"/>
        <v>#DIV/0!</v>
      </c>
      <c r="I355" s="961" t="str">
        <f>IF(H355&lt;'PlayerGrades+'!$AC$21,"F-",IF(H355&lt;'PlayerGrades+'!$AC$20,"F",IF(H355&lt;'PlayerGrades+'!$AC$19,"F+",IF(H355&lt;'PlayerGrades+'!$AC$18,"E-",IF(H355&lt;'PlayerGrades+'!$AC$17,"E",IF(H355&lt;'PlayerGrades+'!$AC$16,"E+",IF(H355&lt;'PlayerGrades+'!$AC$15,"D-",IF(H355&lt;'PlayerGrades+'!$AC$14,"D",IF(H355&lt;'PlayerGrades+'!$AC$13,"D+",IF(H355&lt;'PlayerGrades+'!$AC$12,"C-",IF(H355&lt;'PlayerGrades+'!$AC$11,"C",IF(H355&lt;'PlayerGrades+'!$AC$10,"C+",IF(H355&lt;'PlayerGrades+'!$AC$9,"B-",IF(H355&lt;'PlayerGrades+'!$AC$8,"B",IF(H355&lt;'PlayerGrades+'!$AC$7,"B+",IF(H355&lt;'PlayerGrades+'!$AC$6,"A-",IF(H355&lt;'PlayerGrades+'!$AC$5,"A",IF(H355&lt;'PlayerGrades+'!$AC$4,"A+",IF(H355&lt;'PlayerGrades+'!$AC$3,"S-",IF(H355&lt;'PlayerGrades+'!$AC$2,"S","S+"))))))))))))))))))))</f>
        <v>#DIV/0!</v>
      </c>
      <c r="J355" s="961" t="str">
        <f t="shared" si="4"/>
        <v>#DIV/0!</v>
      </c>
      <c r="K355" s="961" t="str">
        <f>IF(J355&lt;'PlayerGrades+'!$AD$21,"F-",IF(J355&lt;'PlayerGrades+'!$AD$20,"F",IF(J355&lt;'PlayerGrades+'!$AD$19,"F+",IF(J355&lt;'PlayerGrades+'!$AD$18,"E-",IF(J355&lt;'PlayerGrades+'!$AD$17,"E",IF(J355&lt;'PlayerGrades+'!$AD$16,"E+",IF(J355&lt;'PlayerGrades+'!$AD$15,"D-",IF(J355&lt;'PlayerGrades+'!$AD$14,"D",IF(J355&lt;'PlayerGrades+'!$AD$13,"D+",IF(J355&lt;'PlayerGrades+'!$AD$12,"C-",IF(J355&lt;'PlayerGrades+'!$AD$11,"C",IF(J355&lt;'PlayerGrades+'!$AD$10,"C+",IF(J355&lt;'PlayerGrades+'!$AD$9,"B-",IF(J355&lt;'PlayerGrades+'!$AD$8,"B",IF(J355&lt;'PlayerGrades+'!$AD$7,"B+",IF(J355&lt;'PlayerGrades+'!$AD$6,"A-",IF(J355&lt;'PlayerGrades+'!$AD$5,"A",IF(J355&lt;'PlayerGrades+'!$AD$4,"A+",IF(J355&lt;'PlayerGrades+'!$AD$3,"S-",IF(J355&lt;'PlayerGrades+'!$AD$2,"S","S+"))))))))))))))))))))</f>
        <v>#DIV/0!</v>
      </c>
      <c r="L355" s="1176" t="str">
        <f t="shared" si="5"/>
        <v>#DIV/0!</v>
      </c>
      <c r="M355" s="992" t="str">
        <f>IF(L355&lt;'PlayerGrades+'!$AE$21,"F-",IF(L355&lt;'PlayerGrades+'!$AE$20,"F",IF(L355&lt;'PlayerGrades+'!$AE$19,"F+",IF(L355&lt;'PlayerGrades+'!$AE$18,"E-",IF(L355&lt;'PlayerGrades+'!$AE$17,"E",IF(L355&lt;'PlayerGrades+'!$AE$16,"E+",IF(L355&lt;'PlayerGrades+'!$AE$15,"D-",IF(L355&lt;'PlayerGrades+'!$AE$14,"D",IF(L355&lt;'PlayerGrades+'!$AE$13,"D+",IF(L355&lt;'PlayerGrades+'!$AE$12,"C-",IF(L355&lt;'PlayerGrades+'!$AE$11,"C",IF(L355&lt;'PlayerGrades+'!$AE$10,"C+",IF(L355&lt;'PlayerGrades+'!$AE$9,"B-",IF(L355&lt;'PlayerGrades+'!$AE$8,"B",IF(L355&lt;'PlayerGrades+'!$AE$7,"B+",IF(L355&lt;'PlayerGrades+'!$AE$6,"A-",IF(L355&lt;'PlayerGrades+'!$AE$5,"A",IF(L355&lt;'PlayerGrades+'!$AE$4,"A+",IF(L355&lt;'PlayerGrades+'!$AE$3,"S-",IF(L355&lt;'PlayerGrades+'!$AE$2,"S","S+"))))))))))))))))))))</f>
        <v>#DIV/0!</v>
      </c>
      <c r="N355" s="961" t="str">
        <f t="shared" si="6"/>
        <v>#DIV/0!</v>
      </c>
      <c r="O355" s="961" t="str">
        <f>IF(N355&lt;'PlayerGrades+'!$AF$21,"F-",IF(N355&lt;'PlayerGrades+'!$AF$20,"F",IF(N355&lt;'PlayerGrades+'!$AF$19,"F+",IF(N355&lt;'PlayerGrades+'!$AF$18,"E-",IF(N355&lt;'PlayerGrades+'!$AF$17,"E",IF(N355&lt;'PlayerGrades+'!$AF$16,"E+",IF(N355&lt;'PlayerGrades+'!$AF$15,"D-",IF(N355&lt;'PlayerGrades+'!$AF$14,"D",IF(N355&lt;'PlayerGrades+'!$AF$13,"D+",IF(N355&lt;'PlayerGrades+'!$AF$12,"C-",IF(N355&lt;'PlayerGrades+'!$AF$11,"C",IF(N355&lt;'PlayerGrades+'!$AF$10,"C+",IF(N355&lt;'PlayerGrades+'!$AF$9,"B-",IF(N355&lt;'PlayerGrades+'!$AF$8,"B",IF(N355&lt;'PlayerGrades+'!$AF$7,"B+",IF(N355&lt;'PlayerGrades+'!$AF$6,"A-",IF(N355&lt;'PlayerGrades+'!$AF$5,"A",IF(N355&lt;'PlayerGrades+'!$AF$4,"A+",IF(N355&lt;'PlayerGrades+'!$AF$3,"S-",IF(N355&lt;'PlayerGrades+'!$AF$2,"S","S+"))))))))))))))))))))</f>
        <v>#DIV/0!</v>
      </c>
      <c r="P355" s="961" t="str">
        <f t="shared" si="7"/>
        <v>#DIV/0!</v>
      </c>
      <c r="Q355" s="961" t="str">
        <f>IF(P355&lt;'PlayerGrades+'!$AG$21,"F-",IF(P355&lt;'PlayerGrades+'!$AG$20,"F",IF(P355&lt;'PlayerGrades+'!$AG$19,"F+",IF(P355&lt;'PlayerGrades+'!$AG$18,"E-",IF(P355&lt;'PlayerGrades+'!$AG$17,"E",IF(P355&lt;'PlayerGrades+'!$AG$16,"E+",IF(P355&lt;'PlayerGrades+'!$AG$15,"D-",IF(P355&lt;'PlayerGrades+'!$AG$14,"D",IF(P355&lt;'PlayerGrades+'!$AG$13,"D+",IF(P355&lt;'PlayerGrades+'!$AG$12,"C-",IF(P355&lt;'PlayerGrades+'!$AG$11,"C",IF(P355&lt;'PlayerGrades+'!$AG$10,"C+",IF(P355&lt;'PlayerGrades+'!$AG$9,"B-",IF(P355&lt;'PlayerGrades+'!$AG$8,"B",IF(P355&lt;'PlayerGrades+'!$AG$7,"B+",IF(P355&lt;'PlayerGrades+'!$AG$6,"A-",IF(P355&lt;'PlayerGrades+'!$AG$5,"A",IF(P355&lt;'PlayerGrades+'!$AG$4,"A+",IF(P355&lt;'PlayerGrades+'!$AG$3,"S-",IF(P355&lt;'PlayerGrades+'!$AG$2,"S","S+"))))))))))))))))))))</f>
        <v>#DIV/0!</v>
      </c>
      <c r="R355" s="961" t="str">
        <f t="shared" si="8"/>
        <v>#DIV/0!</v>
      </c>
      <c r="S355" s="961" t="str">
        <f>IF(R355&lt;'PlayerGrades+'!$AH$21,"F-",IF(R355&lt;'PlayerGrades+'!$AH$20,"F",IF(R355&lt;'PlayerGrades+'!$AH$19,"F+",IF(R355&lt;'PlayerGrades+'!$AH$18,"E-",IF(R355&lt;'PlayerGrades+'!$AH$17,"E",IF(R355&lt;'PlayerGrades+'!$AH$16,"E+",IF(R355&lt;'PlayerGrades+'!$AH$15,"D-",IF(R355&lt;'PlayerGrades+'!$AH$14,"D",IF(R355&lt;'PlayerGrades+'!$AH$13,"D+",IF(R355&lt;'PlayerGrades+'!$AH$12,"C-",IF(R355&lt;'PlayerGrades+'!$AH$11,"C",IF(R355&lt;'PlayerGrades+'!$AH$10,"C+",IF(R355&lt;'PlayerGrades+'!$AH$9,"B-",IF(R355&lt;'PlayerGrades+'!$AH$8,"B",IF(R355&lt;'PlayerGrades+'!$AH$7,"B+",IF(R355&lt;'PlayerGrades+'!$AH$6,"A-",IF(R355&lt;'PlayerGrades+'!$AH$5,"A",IF(R355&lt;'PlayerGrades+'!$AH$4,"A+",IF(R355&lt;'PlayerGrades+'!$AH$3,"S-",IF(R355&lt;'PlayerGrades+'!$AH$2,"S","S+"))))))))))))))))))))</f>
        <v>#DIV/0!</v>
      </c>
      <c r="T355" s="961">
        <f t="shared" si="9"/>
        <v>0</v>
      </c>
      <c r="U355" s="961" t="str">
        <f>IF(T355&lt;'PlayerGrades+'!$AI$21,"F-",IF(T355&lt;'PlayerGrades+'!$AI$20,"F",IF(T355&lt;'PlayerGrades+'!$AI$19,"F+",IF(T355&lt;'PlayerGrades+'!$AI$18,"E-",IF(T355&lt;'PlayerGrades+'!$AI$17,"E",IF(T355&lt;'PlayerGrades+'!$AI$16,"E+",IF(T355&lt;'PlayerGrades+'!$AI$15,"D-",IF(T355&lt;'PlayerGrades+'!$AI$14,"D",IF(T355&lt;'PlayerGrades+'!$AI$13,"D+",IF(T355&lt;'PlayerGrades+'!$AI$12,"C-",IF(T355&lt;'PlayerGrades+'!$AI$11,"C",IF(T355&lt;'PlayerGrades+'!$AI$10,"C+",IF(T355&lt;'PlayerGrades+'!$AI$9,"B-",IF(T355&lt;'PlayerGrades+'!$AI$8,"B",IF(T355&lt;'PlayerGrades+'!$AI$7,"B+",IF(T355&lt;'PlayerGrades+'!$AI$6,"A-",IF(T355&lt;'PlayerGrades+'!$AI$5,"A",IF(T355&lt;'PlayerGrades+'!$AI$4,"A+",IF(T355&lt;'PlayerGrades+'!$AI$3,"S-",IF(T355&lt;'PlayerGrades+'!$AI$2,"S","S+"))))))))))))))))))))</f>
        <v>F-</v>
      </c>
      <c r="AC355" s="1392"/>
    </row>
    <row r="356">
      <c r="A356" s="1391"/>
      <c r="B356" s="611" t="str">
        <f>IF(C356&lt;'PlayerGrades+'!$Y$44,"F-",IF(C356&lt;'PlayerGrades+'!$Y$43,"F",IF(C356&lt;'PlayerGrades+'!$Y$42,"F+",IF(C356&lt;'PlayerGrades+'!$Y$41,"E-",IF(C356&lt;'PlayerGrades+'!$Y$40,"E",IF(C356&lt;'PlayerGrades+'!$Y$39,"E+",IF(C356&lt;'PlayerGrades+'!$Y$38,"D-",IF(C356&lt;'PlayerGrades+'!$Y$37,"D",IF(C356&lt;'PlayerGrades+'!$Y$36,"D+",IF(C356&lt;'PlayerGrades+'!$Y$35,"C-",IF(C356&lt;'PlayerGrades+'!$Y$34,"C",IF(C356&lt;'PlayerGrades+'!$Y$33,"C+",IF(C356&lt;'PlayerGrades+'!$Y$32,"B-",IF(C356&lt;'PlayerGrades+'!$Y$31,"B",IF(C356&lt;'PlayerGrades+'!$Y$30,"B+",IF(C356&lt;'PlayerGrades+'!$Y$29,"A-",IF(C356&lt;'PlayerGrades+'!$Y$28,"A",IF(C356&lt;'PlayerGrades+'!$Y$27,"A+",IF(C356&lt;'PlayerGrades+'!$Y$26,"S-",IF(C356&lt;'PlayerGrades+'!$Y$25,"S","S+"))))))))))))))))))))</f>
        <v>#DIV/0!</v>
      </c>
      <c r="C356" s="1378" t="str">
        <f>('PlayerGrades+'!$Y$47*(VLOOKUP(E356, 'PlayerGrades+'!$X$3:$Y$23, 2, FALSE)))+('PlayerGrades+'!$Y$48*(VLOOKUP(G356, 'PlayerGrades+'!$X$3:$Y$23, 2, FALSE)))+('PlayerGrades+'!$Y$49*(VLOOKUP(I356, 'PlayerGrades+'!$X$3:$Y$23, 2, FALSE)))+('PlayerGrades+'!$Y$50*(VLOOKUP(K356, 'PlayerGrades+'!$X$3:$Y$23, 2, FALSE)))+('PlayerGrades+'!$Y$51*(VLOOKUP(M356, 'PlayerGrades+'!$X$3:$Y$23, 2, FALSE)))+('PlayerGrades+'!$Y$52*(VLOOKUP(O356, 'PlayerGrades+'!$X$3:$Y$23, 2, FALSE)))+('PlayerGrades+'!$Y$53*(VLOOKUP(Q356, 'PlayerGrades+'!$X$3:$Y$23, 2, FALSE)))+('PlayerGrades+'!$Y$54*(VLOOKUP(S356, 'PlayerGrades+'!$X$3:$Y$23, 2, FALSE)))+('PlayerGrades+'!$Y$55*(VLOOKUP(U356, 'PlayerGrades+'!$X$3:$Y$23, 2, FALSE)))</f>
        <v>#DIV/0!</v>
      </c>
      <c r="D356" s="961" t="str">
        <f t="shared" si="1"/>
        <v>#DIV/0!</v>
      </c>
      <c r="E356" s="961" t="str">
        <f>IF(D356&lt;'PlayerGrades+'!$AA$21,"F-",IF(D356&lt;'PlayerGrades+'!$AA$20,"F",IF(D356&lt;'PlayerGrades+'!$AA$19,"F+",IF(D356&lt;'PlayerGrades+'!$AA$18,"E-",IF(D356&lt;'PlayerGrades+'!$AA$17,"E",IF(D356&lt;'PlayerGrades+'!$AA$16,"E+",IF(D356&lt;'PlayerGrades+'!$AA$15,"D-",IF(D356&lt;'PlayerGrades+'!$AA$14,"D",IF(D356&lt;'PlayerGrades+'!$AA$13,"D+",IF(D356&lt;'PlayerGrades+'!$AA$12,"C-",IF(D356&lt;'PlayerGrades+'!$AA$11,"C",IF(D356&lt;'PlayerGrades+'!$AA$10,"C+",IF(D356&lt;'PlayerGrades+'!$AA$9,"B-",IF(D356&lt;'PlayerGrades+'!$AA$8,"B",IF(D356&lt;'PlayerGrades+'!$AA$7,"B+",IF(D356&lt;'PlayerGrades+'!$AA$6,"A-",IF(D356&lt;'PlayerGrades+'!$AA$5,"A",IF(D356&lt;'PlayerGrades+'!$AA$4,"A+",IF(D356&lt;'PlayerGrades+'!$AA$3,"S-",IF(D356&lt;'PlayerGrades+'!$AA$2,"S","S+"))))))))))))))))))))</f>
        <v>#DIV/0!</v>
      </c>
      <c r="F356" s="961" t="str">
        <f t="shared" si="2"/>
        <v>#DIV/0!</v>
      </c>
      <c r="G356" s="961" t="str">
        <f>IF(F356&lt;'PlayerGrades+'!$AB$21,"F-",IF(F356&lt;'PlayerGrades+'!$AB$20,"F",IF(F356&lt;'PlayerGrades+'!$AB$19,"F+",IF(F356&lt;'PlayerGrades+'!$AB$18,"E-",IF(F356&lt;'PlayerGrades+'!$AB$17,"E",IF(F356&lt;'PlayerGrades+'!$AB$16,"E+",IF(F356&lt;'PlayerGrades+'!$AB$15,"D-",IF(F356&lt;'PlayerGrades+'!$AB$14,"D",IF(F356&lt;'PlayerGrades+'!$AB$13,"D+",IF(F356&lt;'PlayerGrades+'!$AB$12,"C-",IF(F356&lt;'PlayerGrades+'!$AB$11,"C",IF(F356&lt;'PlayerGrades+'!$AB$10,"C+",IF(F356&lt;'PlayerGrades+'!$AB$9,"B-",IF(F356&lt;'PlayerGrades+'!$AB$8,"B",IF(F356&lt;'PlayerGrades+'!$AB$7,"B+",IF(F356&lt;'PlayerGrades+'!$AB$6,"A-",IF(F356&lt;'PlayerGrades+'!$AB$5,"A",IF(F356&lt;'PlayerGrades+'!$AB$4,"A+",IF(F356&lt;'PlayerGrades+'!$AB$3,"S-",IF(F356&lt;'PlayerGrades+'!$AB$2,"S","S+"))))))))))))))))))))</f>
        <v>#DIV/0!</v>
      </c>
      <c r="H356" s="961" t="str">
        <f t="shared" si="3"/>
        <v>#DIV/0!</v>
      </c>
      <c r="I356" s="961" t="str">
        <f>IF(H356&lt;'PlayerGrades+'!$AC$21,"F-",IF(H356&lt;'PlayerGrades+'!$AC$20,"F",IF(H356&lt;'PlayerGrades+'!$AC$19,"F+",IF(H356&lt;'PlayerGrades+'!$AC$18,"E-",IF(H356&lt;'PlayerGrades+'!$AC$17,"E",IF(H356&lt;'PlayerGrades+'!$AC$16,"E+",IF(H356&lt;'PlayerGrades+'!$AC$15,"D-",IF(H356&lt;'PlayerGrades+'!$AC$14,"D",IF(H356&lt;'PlayerGrades+'!$AC$13,"D+",IF(H356&lt;'PlayerGrades+'!$AC$12,"C-",IF(H356&lt;'PlayerGrades+'!$AC$11,"C",IF(H356&lt;'PlayerGrades+'!$AC$10,"C+",IF(H356&lt;'PlayerGrades+'!$AC$9,"B-",IF(H356&lt;'PlayerGrades+'!$AC$8,"B",IF(H356&lt;'PlayerGrades+'!$AC$7,"B+",IF(H356&lt;'PlayerGrades+'!$AC$6,"A-",IF(H356&lt;'PlayerGrades+'!$AC$5,"A",IF(H356&lt;'PlayerGrades+'!$AC$4,"A+",IF(H356&lt;'PlayerGrades+'!$AC$3,"S-",IF(H356&lt;'PlayerGrades+'!$AC$2,"S","S+"))))))))))))))))))))</f>
        <v>#DIV/0!</v>
      </c>
      <c r="J356" s="961" t="str">
        <f t="shared" si="4"/>
        <v>#DIV/0!</v>
      </c>
      <c r="K356" s="961" t="str">
        <f>IF(J356&lt;'PlayerGrades+'!$AD$21,"F-",IF(J356&lt;'PlayerGrades+'!$AD$20,"F",IF(J356&lt;'PlayerGrades+'!$AD$19,"F+",IF(J356&lt;'PlayerGrades+'!$AD$18,"E-",IF(J356&lt;'PlayerGrades+'!$AD$17,"E",IF(J356&lt;'PlayerGrades+'!$AD$16,"E+",IF(J356&lt;'PlayerGrades+'!$AD$15,"D-",IF(J356&lt;'PlayerGrades+'!$AD$14,"D",IF(J356&lt;'PlayerGrades+'!$AD$13,"D+",IF(J356&lt;'PlayerGrades+'!$AD$12,"C-",IF(J356&lt;'PlayerGrades+'!$AD$11,"C",IF(J356&lt;'PlayerGrades+'!$AD$10,"C+",IF(J356&lt;'PlayerGrades+'!$AD$9,"B-",IF(J356&lt;'PlayerGrades+'!$AD$8,"B",IF(J356&lt;'PlayerGrades+'!$AD$7,"B+",IF(J356&lt;'PlayerGrades+'!$AD$6,"A-",IF(J356&lt;'PlayerGrades+'!$AD$5,"A",IF(J356&lt;'PlayerGrades+'!$AD$4,"A+",IF(J356&lt;'PlayerGrades+'!$AD$3,"S-",IF(J356&lt;'PlayerGrades+'!$AD$2,"S","S+"))))))))))))))))))))</f>
        <v>#DIV/0!</v>
      </c>
      <c r="L356" s="1176" t="str">
        <f t="shared" si="5"/>
        <v>#DIV/0!</v>
      </c>
      <c r="M356" s="992" t="str">
        <f>IF(L356&lt;'PlayerGrades+'!$AE$21,"F-",IF(L356&lt;'PlayerGrades+'!$AE$20,"F",IF(L356&lt;'PlayerGrades+'!$AE$19,"F+",IF(L356&lt;'PlayerGrades+'!$AE$18,"E-",IF(L356&lt;'PlayerGrades+'!$AE$17,"E",IF(L356&lt;'PlayerGrades+'!$AE$16,"E+",IF(L356&lt;'PlayerGrades+'!$AE$15,"D-",IF(L356&lt;'PlayerGrades+'!$AE$14,"D",IF(L356&lt;'PlayerGrades+'!$AE$13,"D+",IF(L356&lt;'PlayerGrades+'!$AE$12,"C-",IF(L356&lt;'PlayerGrades+'!$AE$11,"C",IF(L356&lt;'PlayerGrades+'!$AE$10,"C+",IF(L356&lt;'PlayerGrades+'!$AE$9,"B-",IF(L356&lt;'PlayerGrades+'!$AE$8,"B",IF(L356&lt;'PlayerGrades+'!$AE$7,"B+",IF(L356&lt;'PlayerGrades+'!$AE$6,"A-",IF(L356&lt;'PlayerGrades+'!$AE$5,"A",IF(L356&lt;'PlayerGrades+'!$AE$4,"A+",IF(L356&lt;'PlayerGrades+'!$AE$3,"S-",IF(L356&lt;'PlayerGrades+'!$AE$2,"S","S+"))))))))))))))))))))</f>
        <v>#DIV/0!</v>
      </c>
      <c r="N356" s="961" t="str">
        <f t="shared" si="6"/>
        <v>#DIV/0!</v>
      </c>
      <c r="O356" s="961" t="str">
        <f>IF(N356&lt;'PlayerGrades+'!$AF$21,"F-",IF(N356&lt;'PlayerGrades+'!$AF$20,"F",IF(N356&lt;'PlayerGrades+'!$AF$19,"F+",IF(N356&lt;'PlayerGrades+'!$AF$18,"E-",IF(N356&lt;'PlayerGrades+'!$AF$17,"E",IF(N356&lt;'PlayerGrades+'!$AF$16,"E+",IF(N356&lt;'PlayerGrades+'!$AF$15,"D-",IF(N356&lt;'PlayerGrades+'!$AF$14,"D",IF(N356&lt;'PlayerGrades+'!$AF$13,"D+",IF(N356&lt;'PlayerGrades+'!$AF$12,"C-",IF(N356&lt;'PlayerGrades+'!$AF$11,"C",IF(N356&lt;'PlayerGrades+'!$AF$10,"C+",IF(N356&lt;'PlayerGrades+'!$AF$9,"B-",IF(N356&lt;'PlayerGrades+'!$AF$8,"B",IF(N356&lt;'PlayerGrades+'!$AF$7,"B+",IF(N356&lt;'PlayerGrades+'!$AF$6,"A-",IF(N356&lt;'PlayerGrades+'!$AF$5,"A",IF(N356&lt;'PlayerGrades+'!$AF$4,"A+",IF(N356&lt;'PlayerGrades+'!$AF$3,"S-",IF(N356&lt;'PlayerGrades+'!$AF$2,"S","S+"))))))))))))))))))))</f>
        <v>#DIV/0!</v>
      </c>
      <c r="P356" s="961" t="str">
        <f t="shared" si="7"/>
        <v>#DIV/0!</v>
      </c>
      <c r="Q356" s="961" t="str">
        <f>IF(P356&lt;'PlayerGrades+'!$AG$21,"F-",IF(P356&lt;'PlayerGrades+'!$AG$20,"F",IF(P356&lt;'PlayerGrades+'!$AG$19,"F+",IF(P356&lt;'PlayerGrades+'!$AG$18,"E-",IF(P356&lt;'PlayerGrades+'!$AG$17,"E",IF(P356&lt;'PlayerGrades+'!$AG$16,"E+",IF(P356&lt;'PlayerGrades+'!$AG$15,"D-",IF(P356&lt;'PlayerGrades+'!$AG$14,"D",IF(P356&lt;'PlayerGrades+'!$AG$13,"D+",IF(P356&lt;'PlayerGrades+'!$AG$12,"C-",IF(P356&lt;'PlayerGrades+'!$AG$11,"C",IF(P356&lt;'PlayerGrades+'!$AG$10,"C+",IF(P356&lt;'PlayerGrades+'!$AG$9,"B-",IF(P356&lt;'PlayerGrades+'!$AG$8,"B",IF(P356&lt;'PlayerGrades+'!$AG$7,"B+",IF(P356&lt;'PlayerGrades+'!$AG$6,"A-",IF(P356&lt;'PlayerGrades+'!$AG$5,"A",IF(P356&lt;'PlayerGrades+'!$AG$4,"A+",IF(P356&lt;'PlayerGrades+'!$AG$3,"S-",IF(P356&lt;'PlayerGrades+'!$AG$2,"S","S+"))))))))))))))))))))</f>
        <v>#DIV/0!</v>
      </c>
      <c r="R356" s="961" t="str">
        <f t="shared" si="8"/>
        <v>#DIV/0!</v>
      </c>
      <c r="S356" s="961" t="str">
        <f>IF(R356&lt;'PlayerGrades+'!$AH$21,"F-",IF(R356&lt;'PlayerGrades+'!$AH$20,"F",IF(R356&lt;'PlayerGrades+'!$AH$19,"F+",IF(R356&lt;'PlayerGrades+'!$AH$18,"E-",IF(R356&lt;'PlayerGrades+'!$AH$17,"E",IF(R356&lt;'PlayerGrades+'!$AH$16,"E+",IF(R356&lt;'PlayerGrades+'!$AH$15,"D-",IF(R356&lt;'PlayerGrades+'!$AH$14,"D",IF(R356&lt;'PlayerGrades+'!$AH$13,"D+",IF(R356&lt;'PlayerGrades+'!$AH$12,"C-",IF(R356&lt;'PlayerGrades+'!$AH$11,"C",IF(R356&lt;'PlayerGrades+'!$AH$10,"C+",IF(R356&lt;'PlayerGrades+'!$AH$9,"B-",IF(R356&lt;'PlayerGrades+'!$AH$8,"B",IF(R356&lt;'PlayerGrades+'!$AH$7,"B+",IF(R356&lt;'PlayerGrades+'!$AH$6,"A-",IF(R356&lt;'PlayerGrades+'!$AH$5,"A",IF(R356&lt;'PlayerGrades+'!$AH$4,"A+",IF(R356&lt;'PlayerGrades+'!$AH$3,"S-",IF(R356&lt;'PlayerGrades+'!$AH$2,"S","S+"))))))))))))))))))))</f>
        <v>#DIV/0!</v>
      </c>
      <c r="T356" s="961">
        <f t="shared" si="9"/>
        <v>0</v>
      </c>
      <c r="U356" s="961" t="str">
        <f>IF(T356&lt;'PlayerGrades+'!$AI$21,"F-",IF(T356&lt;'PlayerGrades+'!$AI$20,"F",IF(T356&lt;'PlayerGrades+'!$AI$19,"F+",IF(T356&lt;'PlayerGrades+'!$AI$18,"E-",IF(T356&lt;'PlayerGrades+'!$AI$17,"E",IF(T356&lt;'PlayerGrades+'!$AI$16,"E+",IF(T356&lt;'PlayerGrades+'!$AI$15,"D-",IF(T356&lt;'PlayerGrades+'!$AI$14,"D",IF(T356&lt;'PlayerGrades+'!$AI$13,"D+",IF(T356&lt;'PlayerGrades+'!$AI$12,"C-",IF(T356&lt;'PlayerGrades+'!$AI$11,"C",IF(T356&lt;'PlayerGrades+'!$AI$10,"C+",IF(T356&lt;'PlayerGrades+'!$AI$9,"B-",IF(T356&lt;'PlayerGrades+'!$AI$8,"B",IF(T356&lt;'PlayerGrades+'!$AI$7,"B+",IF(T356&lt;'PlayerGrades+'!$AI$6,"A-",IF(T356&lt;'PlayerGrades+'!$AI$5,"A",IF(T356&lt;'PlayerGrades+'!$AI$4,"A+",IF(T356&lt;'PlayerGrades+'!$AI$3,"S-",IF(T356&lt;'PlayerGrades+'!$AI$2,"S","S+"))))))))))))))))))))</f>
        <v>F-</v>
      </c>
      <c r="AC356" s="1392"/>
    </row>
    <row r="357">
      <c r="A357" s="1391"/>
      <c r="B357" s="611" t="str">
        <f>IF(C357&lt;'PlayerGrades+'!$Y$44,"F-",IF(C357&lt;'PlayerGrades+'!$Y$43,"F",IF(C357&lt;'PlayerGrades+'!$Y$42,"F+",IF(C357&lt;'PlayerGrades+'!$Y$41,"E-",IF(C357&lt;'PlayerGrades+'!$Y$40,"E",IF(C357&lt;'PlayerGrades+'!$Y$39,"E+",IF(C357&lt;'PlayerGrades+'!$Y$38,"D-",IF(C357&lt;'PlayerGrades+'!$Y$37,"D",IF(C357&lt;'PlayerGrades+'!$Y$36,"D+",IF(C357&lt;'PlayerGrades+'!$Y$35,"C-",IF(C357&lt;'PlayerGrades+'!$Y$34,"C",IF(C357&lt;'PlayerGrades+'!$Y$33,"C+",IF(C357&lt;'PlayerGrades+'!$Y$32,"B-",IF(C357&lt;'PlayerGrades+'!$Y$31,"B",IF(C357&lt;'PlayerGrades+'!$Y$30,"B+",IF(C357&lt;'PlayerGrades+'!$Y$29,"A-",IF(C357&lt;'PlayerGrades+'!$Y$28,"A",IF(C357&lt;'PlayerGrades+'!$Y$27,"A+",IF(C357&lt;'PlayerGrades+'!$Y$26,"S-",IF(C357&lt;'PlayerGrades+'!$Y$25,"S","S+"))))))))))))))))))))</f>
        <v>#DIV/0!</v>
      </c>
      <c r="C357" s="1378" t="str">
        <f>('PlayerGrades+'!$Y$47*(VLOOKUP(E357, 'PlayerGrades+'!$X$3:$Y$23, 2, FALSE)))+('PlayerGrades+'!$Y$48*(VLOOKUP(G357, 'PlayerGrades+'!$X$3:$Y$23, 2, FALSE)))+('PlayerGrades+'!$Y$49*(VLOOKUP(I357, 'PlayerGrades+'!$X$3:$Y$23, 2, FALSE)))+('PlayerGrades+'!$Y$50*(VLOOKUP(K357, 'PlayerGrades+'!$X$3:$Y$23, 2, FALSE)))+('PlayerGrades+'!$Y$51*(VLOOKUP(M357, 'PlayerGrades+'!$X$3:$Y$23, 2, FALSE)))+('PlayerGrades+'!$Y$52*(VLOOKUP(O357, 'PlayerGrades+'!$X$3:$Y$23, 2, FALSE)))+('PlayerGrades+'!$Y$53*(VLOOKUP(Q357, 'PlayerGrades+'!$X$3:$Y$23, 2, FALSE)))+('PlayerGrades+'!$Y$54*(VLOOKUP(S357, 'PlayerGrades+'!$X$3:$Y$23, 2, FALSE)))+('PlayerGrades+'!$Y$55*(VLOOKUP(U357, 'PlayerGrades+'!$X$3:$Y$23, 2, FALSE)))</f>
        <v>#DIV/0!</v>
      </c>
      <c r="D357" s="961" t="str">
        <f t="shared" si="1"/>
        <v>#DIV/0!</v>
      </c>
      <c r="E357" s="961" t="str">
        <f>IF(D357&lt;'PlayerGrades+'!$AA$21,"F-",IF(D357&lt;'PlayerGrades+'!$AA$20,"F",IF(D357&lt;'PlayerGrades+'!$AA$19,"F+",IF(D357&lt;'PlayerGrades+'!$AA$18,"E-",IF(D357&lt;'PlayerGrades+'!$AA$17,"E",IF(D357&lt;'PlayerGrades+'!$AA$16,"E+",IF(D357&lt;'PlayerGrades+'!$AA$15,"D-",IF(D357&lt;'PlayerGrades+'!$AA$14,"D",IF(D357&lt;'PlayerGrades+'!$AA$13,"D+",IF(D357&lt;'PlayerGrades+'!$AA$12,"C-",IF(D357&lt;'PlayerGrades+'!$AA$11,"C",IF(D357&lt;'PlayerGrades+'!$AA$10,"C+",IF(D357&lt;'PlayerGrades+'!$AA$9,"B-",IF(D357&lt;'PlayerGrades+'!$AA$8,"B",IF(D357&lt;'PlayerGrades+'!$AA$7,"B+",IF(D357&lt;'PlayerGrades+'!$AA$6,"A-",IF(D357&lt;'PlayerGrades+'!$AA$5,"A",IF(D357&lt;'PlayerGrades+'!$AA$4,"A+",IF(D357&lt;'PlayerGrades+'!$AA$3,"S-",IF(D357&lt;'PlayerGrades+'!$AA$2,"S","S+"))))))))))))))))))))</f>
        <v>#DIV/0!</v>
      </c>
      <c r="F357" s="961" t="str">
        <f t="shared" si="2"/>
        <v>#DIV/0!</v>
      </c>
      <c r="G357" s="961" t="str">
        <f>IF(F357&lt;'PlayerGrades+'!$AB$21,"F-",IF(F357&lt;'PlayerGrades+'!$AB$20,"F",IF(F357&lt;'PlayerGrades+'!$AB$19,"F+",IF(F357&lt;'PlayerGrades+'!$AB$18,"E-",IF(F357&lt;'PlayerGrades+'!$AB$17,"E",IF(F357&lt;'PlayerGrades+'!$AB$16,"E+",IF(F357&lt;'PlayerGrades+'!$AB$15,"D-",IF(F357&lt;'PlayerGrades+'!$AB$14,"D",IF(F357&lt;'PlayerGrades+'!$AB$13,"D+",IF(F357&lt;'PlayerGrades+'!$AB$12,"C-",IF(F357&lt;'PlayerGrades+'!$AB$11,"C",IF(F357&lt;'PlayerGrades+'!$AB$10,"C+",IF(F357&lt;'PlayerGrades+'!$AB$9,"B-",IF(F357&lt;'PlayerGrades+'!$AB$8,"B",IF(F357&lt;'PlayerGrades+'!$AB$7,"B+",IF(F357&lt;'PlayerGrades+'!$AB$6,"A-",IF(F357&lt;'PlayerGrades+'!$AB$5,"A",IF(F357&lt;'PlayerGrades+'!$AB$4,"A+",IF(F357&lt;'PlayerGrades+'!$AB$3,"S-",IF(F357&lt;'PlayerGrades+'!$AB$2,"S","S+"))))))))))))))))))))</f>
        <v>#DIV/0!</v>
      </c>
      <c r="H357" s="961" t="str">
        <f t="shared" si="3"/>
        <v>#DIV/0!</v>
      </c>
      <c r="I357" s="961" t="str">
        <f>IF(H357&lt;'PlayerGrades+'!$AC$21,"F-",IF(H357&lt;'PlayerGrades+'!$AC$20,"F",IF(H357&lt;'PlayerGrades+'!$AC$19,"F+",IF(H357&lt;'PlayerGrades+'!$AC$18,"E-",IF(H357&lt;'PlayerGrades+'!$AC$17,"E",IF(H357&lt;'PlayerGrades+'!$AC$16,"E+",IF(H357&lt;'PlayerGrades+'!$AC$15,"D-",IF(H357&lt;'PlayerGrades+'!$AC$14,"D",IF(H357&lt;'PlayerGrades+'!$AC$13,"D+",IF(H357&lt;'PlayerGrades+'!$AC$12,"C-",IF(H357&lt;'PlayerGrades+'!$AC$11,"C",IF(H357&lt;'PlayerGrades+'!$AC$10,"C+",IF(H357&lt;'PlayerGrades+'!$AC$9,"B-",IF(H357&lt;'PlayerGrades+'!$AC$8,"B",IF(H357&lt;'PlayerGrades+'!$AC$7,"B+",IF(H357&lt;'PlayerGrades+'!$AC$6,"A-",IF(H357&lt;'PlayerGrades+'!$AC$5,"A",IF(H357&lt;'PlayerGrades+'!$AC$4,"A+",IF(H357&lt;'PlayerGrades+'!$AC$3,"S-",IF(H357&lt;'PlayerGrades+'!$AC$2,"S","S+"))))))))))))))))))))</f>
        <v>#DIV/0!</v>
      </c>
      <c r="J357" s="961" t="str">
        <f t="shared" si="4"/>
        <v>#DIV/0!</v>
      </c>
      <c r="K357" s="961" t="str">
        <f>IF(J357&lt;'PlayerGrades+'!$AD$21,"F-",IF(J357&lt;'PlayerGrades+'!$AD$20,"F",IF(J357&lt;'PlayerGrades+'!$AD$19,"F+",IF(J357&lt;'PlayerGrades+'!$AD$18,"E-",IF(J357&lt;'PlayerGrades+'!$AD$17,"E",IF(J357&lt;'PlayerGrades+'!$AD$16,"E+",IF(J357&lt;'PlayerGrades+'!$AD$15,"D-",IF(J357&lt;'PlayerGrades+'!$AD$14,"D",IF(J357&lt;'PlayerGrades+'!$AD$13,"D+",IF(J357&lt;'PlayerGrades+'!$AD$12,"C-",IF(J357&lt;'PlayerGrades+'!$AD$11,"C",IF(J357&lt;'PlayerGrades+'!$AD$10,"C+",IF(J357&lt;'PlayerGrades+'!$AD$9,"B-",IF(J357&lt;'PlayerGrades+'!$AD$8,"B",IF(J357&lt;'PlayerGrades+'!$AD$7,"B+",IF(J357&lt;'PlayerGrades+'!$AD$6,"A-",IF(J357&lt;'PlayerGrades+'!$AD$5,"A",IF(J357&lt;'PlayerGrades+'!$AD$4,"A+",IF(J357&lt;'PlayerGrades+'!$AD$3,"S-",IF(J357&lt;'PlayerGrades+'!$AD$2,"S","S+"))))))))))))))))))))</f>
        <v>#DIV/0!</v>
      </c>
      <c r="L357" s="1176" t="str">
        <f t="shared" si="5"/>
        <v>#DIV/0!</v>
      </c>
      <c r="M357" s="992" t="str">
        <f>IF(L357&lt;'PlayerGrades+'!$AE$21,"F-",IF(L357&lt;'PlayerGrades+'!$AE$20,"F",IF(L357&lt;'PlayerGrades+'!$AE$19,"F+",IF(L357&lt;'PlayerGrades+'!$AE$18,"E-",IF(L357&lt;'PlayerGrades+'!$AE$17,"E",IF(L357&lt;'PlayerGrades+'!$AE$16,"E+",IF(L357&lt;'PlayerGrades+'!$AE$15,"D-",IF(L357&lt;'PlayerGrades+'!$AE$14,"D",IF(L357&lt;'PlayerGrades+'!$AE$13,"D+",IF(L357&lt;'PlayerGrades+'!$AE$12,"C-",IF(L357&lt;'PlayerGrades+'!$AE$11,"C",IF(L357&lt;'PlayerGrades+'!$AE$10,"C+",IF(L357&lt;'PlayerGrades+'!$AE$9,"B-",IF(L357&lt;'PlayerGrades+'!$AE$8,"B",IF(L357&lt;'PlayerGrades+'!$AE$7,"B+",IF(L357&lt;'PlayerGrades+'!$AE$6,"A-",IF(L357&lt;'PlayerGrades+'!$AE$5,"A",IF(L357&lt;'PlayerGrades+'!$AE$4,"A+",IF(L357&lt;'PlayerGrades+'!$AE$3,"S-",IF(L357&lt;'PlayerGrades+'!$AE$2,"S","S+"))))))))))))))))))))</f>
        <v>#DIV/0!</v>
      </c>
      <c r="N357" s="961" t="str">
        <f t="shared" si="6"/>
        <v>#DIV/0!</v>
      </c>
      <c r="O357" s="961" t="str">
        <f>IF(N357&lt;'PlayerGrades+'!$AF$21,"F-",IF(N357&lt;'PlayerGrades+'!$AF$20,"F",IF(N357&lt;'PlayerGrades+'!$AF$19,"F+",IF(N357&lt;'PlayerGrades+'!$AF$18,"E-",IF(N357&lt;'PlayerGrades+'!$AF$17,"E",IF(N357&lt;'PlayerGrades+'!$AF$16,"E+",IF(N357&lt;'PlayerGrades+'!$AF$15,"D-",IF(N357&lt;'PlayerGrades+'!$AF$14,"D",IF(N357&lt;'PlayerGrades+'!$AF$13,"D+",IF(N357&lt;'PlayerGrades+'!$AF$12,"C-",IF(N357&lt;'PlayerGrades+'!$AF$11,"C",IF(N357&lt;'PlayerGrades+'!$AF$10,"C+",IF(N357&lt;'PlayerGrades+'!$AF$9,"B-",IF(N357&lt;'PlayerGrades+'!$AF$8,"B",IF(N357&lt;'PlayerGrades+'!$AF$7,"B+",IF(N357&lt;'PlayerGrades+'!$AF$6,"A-",IF(N357&lt;'PlayerGrades+'!$AF$5,"A",IF(N357&lt;'PlayerGrades+'!$AF$4,"A+",IF(N357&lt;'PlayerGrades+'!$AF$3,"S-",IF(N357&lt;'PlayerGrades+'!$AF$2,"S","S+"))))))))))))))))))))</f>
        <v>#DIV/0!</v>
      </c>
      <c r="P357" s="961" t="str">
        <f t="shared" si="7"/>
        <v>#DIV/0!</v>
      </c>
      <c r="Q357" s="961" t="str">
        <f>IF(P357&lt;'PlayerGrades+'!$AG$21,"F-",IF(P357&lt;'PlayerGrades+'!$AG$20,"F",IF(P357&lt;'PlayerGrades+'!$AG$19,"F+",IF(P357&lt;'PlayerGrades+'!$AG$18,"E-",IF(P357&lt;'PlayerGrades+'!$AG$17,"E",IF(P357&lt;'PlayerGrades+'!$AG$16,"E+",IF(P357&lt;'PlayerGrades+'!$AG$15,"D-",IF(P357&lt;'PlayerGrades+'!$AG$14,"D",IF(P357&lt;'PlayerGrades+'!$AG$13,"D+",IF(P357&lt;'PlayerGrades+'!$AG$12,"C-",IF(P357&lt;'PlayerGrades+'!$AG$11,"C",IF(P357&lt;'PlayerGrades+'!$AG$10,"C+",IF(P357&lt;'PlayerGrades+'!$AG$9,"B-",IF(P357&lt;'PlayerGrades+'!$AG$8,"B",IF(P357&lt;'PlayerGrades+'!$AG$7,"B+",IF(P357&lt;'PlayerGrades+'!$AG$6,"A-",IF(P357&lt;'PlayerGrades+'!$AG$5,"A",IF(P357&lt;'PlayerGrades+'!$AG$4,"A+",IF(P357&lt;'PlayerGrades+'!$AG$3,"S-",IF(P357&lt;'PlayerGrades+'!$AG$2,"S","S+"))))))))))))))))))))</f>
        <v>#DIV/0!</v>
      </c>
      <c r="R357" s="961" t="str">
        <f t="shared" si="8"/>
        <v>#DIV/0!</v>
      </c>
      <c r="S357" s="961" t="str">
        <f>IF(R357&lt;'PlayerGrades+'!$AH$21,"F-",IF(R357&lt;'PlayerGrades+'!$AH$20,"F",IF(R357&lt;'PlayerGrades+'!$AH$19,"F+",IF(R357&lt;'PlayerGrades+'!$AH$18,"E-",IF(R357&lt;'PlayerGrades+'!$AH$17,"E",IF(R357&lt;'PlayerGrades+'!$AH$16,"E+",IF(R357&lt;'PlayerGrades+'!$AH$15,"D-",IF(R357&lt;'PlayerGrades+'!$AH$14,"D",IF(R357&lt;'PlayerGrades+'!$AH$13,"D+",IF(R357&lt;'PlayerGrades+'!$AH$12,"C-",IF(R357&lt;'PlayerGrades+'!$AH$11,"C",IF(R357&lt;'PlayerGrades+'!$AH$10,"C+",IF(R357&lt;'PlayerGrades+'!$AH$9,"B-",IF(R357&lt;'PlayerGrades+'!$AH$8,"B",IF(R357&lt;'PlayerGrades+'!$AH$7,"B+",IF(R357&lt;'PlayerGrades+'!$AH$6,"A-",IF(R357&lt;'PlayerGrades+'!$AH$5,"A",IF(R357&lt;'PlayerGrades+'!$AH$4,"A+",IF(R357&lt;'PlayerGrades+'!$AH$3,"S-",IF(R357&lt;'PlayerGrades+'!$AH$2,"S","S+"))))))))))))))))))))</f>
        <v>#DIV/0!</v>
      </c>
      <c r="T357" s="961">
        <f t="shared" si="9"/>
        <v>0</v>
      </c>
      <c r="U357" s="961" t="str">
        <f>IF(T357&lt;'PlayerGrades+'!$AI$21,"F-",IF(T357&lt;'PlayerGrades+'!$AI$20,"F",IF(T357&lt;'PlayerGrades+'!$AI$19,"F+",IF(T357&lt;'PlayerGrades+'!$AI$18,"E-",IF(T357&lt;'PlayerGrades+'!$AI$17,"E",IF(T357&lt;'PlayerGrades+'!$AI$16,"E+",IF(T357&lt;'PlayerGrades+'!$AI$15,"D-",IF(T357&lt;'PlayerGrades+'!$AI$14,"D",IF(T357&lt;'PlayerGrades+'!$AI$13,"D+",IF(T357&lt;'PlayerGrades+'!$AI$12,"C-",IF(T357&lt;'PlayerGrades+'!$AI$11,"C",IF(T357&lt;'PlayerGrades+'!$AI$10,"C+",IF(T357&lt;'PlayerGrades+'!$AI$9,"B-",IF(T357&lt;'PlayerGrades+'!$AI$8,"B",IF(T357&lt;'PlayerGrades+'!$AI$7,"B+",IF(T357&lt;'PlayerGrades+'!$AI$6,"A-",IF(T357&lt;'PlayerGrades+'!$AI$5,"A",IF(T357&lt;'PlayerGrades+'!$AI$4,"A+",IF(T357&lt;'PlayerGrades+'!$AI$3,"S-",IF(T357&lt;'PlayerGrades+'!$AI$2,"S","S+"))))))))))))))))))))</f>
        <v>F-</v>
      </c>
      <c r="AC357" s="1392"/>
    </row>
    <row r="358">
      <c r="A358" s="1391"/>
      <c r="B358" s="611" t="str">
        <f>IF(C358&lt;'PlayerGrades+'!$Y$44,"F-",IF(C358&lt;'PlayerGrades+'!$Y$43,"F",IF(C358&lt;'PlayerGrades+'!$Y$42,"F+",IF(C358&lt;'PlayerGrades+'!$Y$41,"E-",IF(C358&lt;'PlayerGrades+'!$Y$40,"E",IF(C358&lt;'PlayerGrades+'!$Y$39,"E+",IF(C358&lt;'PlayerGrades+'!$Y$38,"D-",IF(C358&lt;'PlayerGrades+'!$Y$37,"D",IF(C358&lt;'PlayerGrades+'!$Y$36,"D+",IF(C358&lt;'PlayerGrades+'!$Y$35,"C-",IF(C358&lt;'PlayerGrades+'!$Y$34,"C",IF(C358&lt;'PlayerGrades+'!$Y$33,"C+",IF(C358&lt;'PlayerGrades+'!$Y$32,"B-",IF(C358&lt;'PlayerGrades+'!$Y$31,"B",IF(C358&lt;'PlayerGrades+'!$Y$30,"B+",IF(C358&lt;'PlayerGrades+'!$Y$29,"A-",IF(C358&lt;'PlayerGrades+'!$Y$28,"A",IF(C358&lt;'PlayerGrades+'!$Y$27,"A+",IF(C358&lt;'PlayerGrades+'!$Y$26,"S-",IF(C358&lt;'PlayerGrades+'!$Y$25,"S","S+"))))))))))))))))))))</f>
        <v>#DIV/0!</v>
      </c>
      <c r="C358" s="1378" t="str">
        <f>('PlayerGrades+'!$Y$47*(VLOOKUP(E358, 'PlayerGrades+'!$X$3:$Y$23, 2, FALSE)))+('PlayerGrades+'!$Y$48*(VLOOKUP(G358, 'PlayerGrades+'!$X$3:$Y$23, 2, FALSE)))+('PlayerGrades+'!$Y$49*(VLOOKUP(I358, 'PlayerGrades+'!$X$3:$Y$23, 2, FALSE)))+('PlayerGrades+'!$Y$50*(VLOOKUP(K358, 'PlayerGrades+'!$X$3:$Y$23, 2, FALSE)))+('PlayerGrades+'!$Y$51*(VLOOKUP(M358, 'PlayerGrades+'!$X$3:$Y$23, 2, FALSE)))+('PlayerGrades+'!$Y$52*(VLOOKUP(O358, 'PlayerGrades+'!$X$3:$Y$23, 2, FALSE)))+('PlayerGrades+'!$Y$53*(VLOOKUP(Q358, 'PlayerGrades+'!$X$3:$Y$23, 2, FALSE)))+('PlayerGrades+'!$Y$54*(VLOOKUP(S358, 'PlayerGrades+'!$X$3:$Y$23, 2, FALSE)))+('PlayerGrades+'!$Y$55*(VLOOKUP(U358, 'PlayerGrades+'!$X$3:$Y$23, 2, FALSE)))</f>
        <v>#DIV/0!</v>
      </c>
      <c r="D358" s="961" t="str">
        <f t="shared" si="1"/>
        <v>#DIV/0!</v>
      </c>
      <c r="E358" s="961" t="str">
        <f>IF(D358&lt;'PlayerGrades+'!$AA$21,"F-",IF(D358&lt;'PlayerGrades+'!$AA$20,"F",IF(D358&lt;'PlayerGrades+'!$AA$19,"F+",IF(D358&lt;'PlayerGrades+'!$AA$18,"E-",IF(D358&lt;'PlayerGrades+'!$AA$17,"E",IF(D358&lt;'PlayerGrades+'!$AA$16,"E+",IF(D358&lt;'PlayerGrades+'!$AA$15,"D-",IF(D358&lt;'PlayerGrades+'!$AA$14,"D",IF(D358&lt;'PlayerGrades+'!$AA$13,"D+",IF(D358&lt;'PlayerGrades+'!$AA$12,"C-",IF(D358&lt;'PlayerGrades+'!$AA$11,"C",IF(D358&lt;'PlayerGrades+'!$AA$10,"C+",IF(D358&lt;'PlayerGrades+'!$AA$9,"B-",IF(D358&lt;'PlayerGrades+'!$AA$8,"B",IF(D358&lt;'PlayerGrades+'!$AA$7,"B+",IF(D358&lt;'PlayerGrades+'!$AA$6,"A-",IF(D358&lt;'PlayerGrades+'!$AA$5,"A",IF(D358&lt;'PlayerGrades+'!$AA$4,"A+",IF(D358&lt;'PlayerGrades+'!$AA$3,"S-",IF(D358&lt;'PlayerGrades+'!$AA$2,"S","S+"))))))))))))))))))))</f>
        <v>#DIV/0!</v>
      </c>
      <c r="F358" s="961" t="str">
        <f t="shared" si="2"/>
        <v>#DIV/0!</v>
      </c>
      <c r="G358" s="961" t="str">
        <f>IF(F358&lt;'PlayerGrades+'!$AB$21,"F-",IF(F358&lt;'PlayerGrades+'!$AB$20,"F",IF(F358&lt;'PlayerGrades+'!$AB$19,"F+",IF(F358&lt;'PlayerGrades+'!$AB$18,"E-",IF(F358&lt;'PlayerGrades+'!$AB$17,"E",IF(F358&lt;'PlayerGrades+'!$AB$16,"E+",IF(F358&lt;'PlayerGrades+'!$AB$15,"D-",IF(F358&lt;'PlayerGrades+'!$AB$14,"D",IF(F358&lt;'PlayerGrades+'!$AB$13,"D+",IF(F358&lt;'PlayerGrades+'!$AB$12,"C-",IF(F358&lt;'PlayerGrades+'!$AB$11,"C",IF(F358&lt;'PlayerGrades+'!$AB$10,"C+",IF(F358&lt;'PlayerGrades+'!$AB$9,"B-",IF(F358&lt;'PlayerGrades+'!$AB$8,"B",IF(F358&lt;'PlayerGrades+'!$AB$7,"B+",IF(F358&lt;'PlayerGrades+'!$AB$6,"A-",IF(F358&lt;'PlayerGrades+'!$AB$5,"A",IF(F358&lt;'PlayerGrades+'!$AB$4,"A+",IF(F358&lt;'PlayerGrades+'!$AB$3,"S-",IF(F358&lt;'PlayerGrades+'!$AB$2,"S","S+"))))))))))))))))))))</f>
        <v>#DIV/0!</v>
      </c>
      <c r="H358" s="961" t="str">
        <f t="shared" si="3"/>
        <v>#DIV/0!</v>
      </c>
      <c r="I358" s="961" t="str">
        <f>IF(H358&lt;'PlayerGrades+'!$AC$21,"F-",IF(H358&lt;'PlayerGrades+'!$AC$20,"F",IF(H358&lt;'PlayerGrades+'!$AC$19,"F+",IF(H358&lt;'PlayerGrades+'!$AC$18,"E-",IF(H358&lt;'PlayerGrades+'!$AC$17,"E",IF(H358&lt;'PlayerGrades+'!$AC$16,"E+",IF(H358&lt;'PlayerGrades+'!$AC$15,"D-",IF(H358&lt;'PlayerGrades+'!$AC$14,"D",IF(H358&lt;'PlayerGrades+'!$AC$13,"D+",IF(H358&lt;'PlayerGrades+'!$AC$12,"C-",IF(H358&lt;'PlayerGrades+'!$AC$11,"C",IF(H358&lt;'PlayerGrades+'!$AC$10,"C+",IF(H358&lt;'PlayerGrades+'!$AC$9,"B-",IF(H358&lt;'PlayerGrades+'!$AC$8,"B",IF(H358&lt;'PlayerGrades+'!$AC$7,"B+",IF(H358&lt;'PlayerGrades+'!$AC$6,"A-",IF(H358&lt;'PlayerGrades+'!$AC$5,"A",IF(H358&lt;'PlayerGrades+'!$AC$4,"A+",IF(H358&lt;'PlayerGrades+'!$AC$3,"S-",IF(H358&lt;'PlayerGrades+'!$AC$2,"S","S+"))))))))))))))))))))</f>
        <v>#DIV/0!</v>
      </c>
      <c r="J358" s="961" t="str">
        <f t="shared" si="4"/>
        <v>#DIV/0!</v>
      </c>
      <c r="K358" s="961" t="str">
        <f>IF(J358&lt;'PlayerGrades+'!$AD$21,"F-",IF(J358&lt;'PlayerGrades+'!$AD$20,"F",IF(J358&lt;'PlayerGrades+'!$AD$19,"F+",IF(J358&lt;'PlayerGrades+'!$AD$18,"E-",IF(J358&lt;'PlayerGrades+'!$AD$17,"E",IF(J358&lt;'PlayerGrades+'!$AD$16,"E+",IF(J358&lt;'PlayerGrades+'!$AD$15,"D-",IF(J358&lt;'PlayerGrades+'!$AD$14,"D",IF(J358&lt;'PlayerGrades+'!$AD$13,"D+",IF(J358&lt;'PlayerGrades+'!$AD$12,"C-",IF(J358&lt;'PlayerGrades+'!$AD$11,"C",IF(J358&lt;'PlayerGrades+'!$AD$10,"C+",IF(J358&lt;'PlayerGrades+'!$AD$9,"B-",IF(J358&lt;'PlayerGrades+'!$AD$8,"B",IF(J358&lt;'PlayerGrades+'!$AD$7,"B+",IF(J358&lt;'PlayerGrades+'!$AD$6,"A-",IF(J358&lt;'PlayerGrades+'!$AD$5,"A",IF(J358&lt;'PlayerGrades+'!$AD$4,"A+",IF(J358&lt;'PlayerGrades+'!$AD$3,"S-",IF(J358&lt;'PlayerGrades+'!$AD$2,"S","S+"))))))))))))))))))))</f>
        <v>#DIV/0!</v>
      </c>
      <c r="L358" s="1176" t="str">
        <f t="shared" si="5"/>
        <v>#DIV/0!</v>
      </c>
      <c r="M358" s="992" t="str">
        <f>IF(L358&lt;'PlayerGrades+'!$AE$21,"F-",IF(L358&lt;'PlayerGrades+'!$AE$20,"F",IF(L358&lt;'PlayerGrades+'!$AE$19,"F+",IF(L358&lt;'PlayerGrades+'!$AE$18,"E-",IF(L358&lt;'PlayerGrades+'!$AE$17,"E",IF(L358&lt;'PlayerGrades+'!$AE$16,"E+",IF(L358&lt;'PlayerGrades+'!$AE$15,"D-",IF(L358&lt;'PlayerGrades+'!$AE$14,"D",IF(L358&lt;'PlayerGrades+'!$AE$13,"D+",IF(L358&lt;'PlayerGrades+'!$AE$12,"C-",IF(L358&lt;'PlayerGrades+'!$AE$11,"C",IF(L358&lt;'PlayerGrades+'!$AE$10,"C+",IF(L358&lt;'PlayerGrades+'!$AE$9,"B-",IF(L358&lt;'PlayerGrades+'!$AE$8,"B",IF(L358&lt;'PlayerGrades+'!$AE$7,"B+",IF(L358&lt;'PlayerGrades+'!$AE$6,"A-",IF(L358&lt;'PlayerGrades+'!$AE$5,"A",IF(L358&lt;'PlayerGrades+'!$AE$4,"A+",IF(L358&lt;'PlayerGrades+'!$AE$3,"S-",IF(L358&lt;'PlayerGrades+'!$AE$2,"S","S+"))))))))))))))))))))</f>
        <v>#DIV/0!</v>
      </c>
      <c r="N358" s="961" t="str">
        <f t="shared" si="6"/>
        <v>#DIV/0!</v>
      </c>
      <c r="O358" s="961" t="str">
        <f>IF(N358&lt;'PlayerGrades+'!$AF$21,"F-",IF(N358&lt;'PlayerGrades+'!$AF$20,"F",IF(N358&lt;'PlayerGrades+'!$AF$19,"F+",IF(N358&lt;'PlayerGrades+'!$AF$18,"E-",IF(N358&lt;'PlayerGrades+'!$AF$17,"E",IF(N358&lt;'PlayerGrades+'!$AF$16,"E+",IF(N358&lt;'PlayerGrades+'!$AF$15,"D-",IF(N358&lt;'PlayerGrades+'!$AF$14,"D",IF(N358&lt;'PlayerGrades+'!$AF$13,"D+",IF(N358&lt;'PlayerGrades+'!$AF$12,"C-",IF(N358&lt;'PlayerGrades+'!$AF$11,"C",IF(N358&lt;'PlayerGrades+'!$AF$10,"C+",IF(N358&lt;'PlayerGrades+'!$AF$9,"B-",IF(N358&lt;'PlayerGrades+'!$AF$8,"B",IF(N358&lt;'PlayerGrades+'!$AF$7,"B+",IF(N358&lt;'PlayerGrades+'!$AF$6,"A-",IF(N358&lt;'PlayerGrades+'!$AF$5,"A",IF(N358&lt;'PlayerGrades+'!$AF$4,"A+",IF(N358&lt;'PlayerGrades+'!$AF$3,"S-",IF(N358&lt;'PlayerGrades+'!$AF$2,"S","S+"))))))))))))))))))))</f>
        <v>#DIV/0!</v>
      </c>
      <c r="P358" s="961" t="str">
        <f t="shared" si="7"/>
        <v>#DIV/0!</v>
      </c>
      <c r="Q358" s="961" t="str">
        <f>IF(P358&lt;'PlayerGrades+'!$AG$21,"F-",IF(P358&lt;'PlayerGrades+'!$AG$20,"F",IF(P358&lt;'PlayerGrades+'!$AG$19,"F+",IF(P358&lt;'PlayerGrades+'!$AG$18,"E-",IF(P358&lt;'PlayerGrades+'!$AG$17,"E",IF(P358&lt;'PlayerGrades+'!$AG$16,"E+",IF(P358&lt;'PlayerGrades+'!$AG$15,"D-",IF(P358&lt;'PlayerGrades+'!$AG$14,"D",IF(P358&lt;'PlayerGrades+'!$AG$13,"D+",IF(P358&lt;'PlayerGrades+'!$AG$12,"C-",IF(P358&lt;'PlayerGrades+'!$AG$11,"C",IF(P358&lt;'PlayerGrades+'!$AG$10,"C+",IF(P358&lt;'PlayerGrades+'!$AG$9,"B-",IF(P358&lt;'PlayerGrades+'!$AG$8,"B",IF(P358&lt;'PlayerGrades+'!$AG$7,"B+",IF(P358&lt;'PlayerGrades+'!$AG$6,"A-",IF(P358&lt;'PlayerGrades+'!$AG$5,"A",IF(P358&lt;'PlayerGrades+'!$AG$4,"A+",IF(P358&lt;'PlayerGrades+'!$AG$3,"S-",IF(P358&lt;'PlayerGrades+'!$AG$2,"S","S+"))))))))))))))))))))</f>
        <v>#DIV/0!</v>
      </c>
      <c r="R358" s="961" t="str">
        <f t="shared" si="8"/>
        <v>#DIV/0!</v>
      </c>
      <c r="S358" s="961" t="str">
        <f>IF(R358&lt;'PlayerGrades+'!$AH$21,"F-",IF(R358&lt;'PlayerGrades+'!$AH$20,"F",IF(R358&lt;'PlayerGrades+'!$AH$19,"F+",IF(R358&lt;'PlayerGrades+'!$AH$18,"E-",IF(R358&lt;'PlayerGrades+'!$AH$17,"E",IF(R358&lt;'PlayerGrades+'!$AH$16,"E+",IF(R358&lt;'PlayerGrades+'!$AH$15,"D-",IF(R358&lt;'PlayerGrades+'!$AH$14,"D",IF(R358&lt;'PlayerGrades+'!$AH$13,"D+",IF(R358&lt;'PlayerGrades+'!$AH$12,"C-",IF(R358&lt;'PlayerGrades+'!$AH$11,"C",IF(R358&lt;'PlayerGrades+'!$AH$10,"C+",IF(R358&lt;'PlayerGrades+'!$AH$9,"B-",IF(R358&lt;'PlayerGrades+'!$AH$8,"B",IF(R358&lt;'PlayerGrades+'!$AH$7,"B+",IF(R358&lt;'PlayerGrades+'!$AH$6,"A-",IF(R358&lt;'PlayerGrades+'!$AH$5,"A",IF(R358&lt;'PlayerGrades+'!$AH$4,"A+",IF(R358&lt;'PlayerGrades+'!$AH$3,"S-",IF(R358&lt;'PlayerGrades+'!$AH$2,"S","S+"))))))))))))))))))))</f>
        <v>#DIV/0!</v>
      </c>
      <c r="T358" s="961">
        <f t="shared" si="9"/>
        <v>0</v>
      </c>
      <c r="U358" s="961" t="str">
        <f>IF(T358&lt;'PlayerGrades+'!$AI$21,"F-",IF(T358&lt;'PlayerGrades+'!$AI$20,"F",IF(T358&lt;'PlayerGrades+'!$AI$19,"F+",IF(T358&lt;'PlayerGrades+'!$AI$18,"E-",IF(T358&lt;'PlayerGrades+'!$AI$17,"E",IF(T358&lt;'PlayerGrades+'!$AI$16,"E+",IF(T358&lt;'PlayerGrades+'!$AI$15,"D-",IF(T358&lt;'PlayerGrades+'!$AI$14,"D",IF(T358&lt;'PlayerGrades+'!$AI$13,"D+",IF(T358&lt;'PlayerGrades+'!$AI$12,"C-",IF(T358&lt;'PlayerGrades+'!$AI$11,"C",IF(T358&lt;'PlayerGrades+'!$AI$10,"C+",IF(T358&lt;'PlayerGrades+'!$AI$9,"B-",IF(T358&lt;'PlayerGrades+'!$AI$8,"B",IF(T358&lt;'PlayerGrades+'!$AI$7,"B+",IF(T358&lt;'PlayerGrades+'!$AI$6,"A-",IF(T358&lt;'PlayerGrades+'!$AI$5,"A",IF(T358&lt;'PlayerGrades+'!$AI$4,"A+",IF(T358&lt;'PlayerGrades+'!$AI$3,"S-",IF(T358&lt;'PlayerGrades+'!$AI$2,"S","S+"))))))))))))))))))))</f>
        <v>F-</v>
      </c>
      <c r="AC358" s="1392"/>
    </row>
    <row r="359">
      <c r="A359" s="1391"/>
      <c r="B359" s="611" t="str">
        <f>IF(C359&lt;'PlayerGrades+'!$Y$44,"F-",IF(C359&lt;'PlayerGrades+'!$Y$43,"F",IF(C359&lt;'PlayerGrades+'!$Y$42,"F+",IF(C359&lt;'PlayerGrades+'!$Y$41,"E-",IF(C359&lt;'PlayerGrades+'!$Y$40,"E",IF(C359&lt;'PlayerGrades+'!$Y$39,"E+",IF(C359&lt;'PlayerGrades+'!$Y$38,"D-",IF(C359&lt;'PlayerGrades+'!$Y$37,"D",IF(C359&lt;'PlayerGrades+'!$Y$36,"D+",IF(C359&lt;'PlayerGrades+'!$Y$35,"C-",IF(C359&lt;'PlayerGrades+'!$Y$34,"C",IF(C359&lt;'PlayerGrades+'!$Y$33,"C+",IF(C359&lt;'PlayerGrades+'!$Y$32,"B-",IF(C359&lt;'PlayerGrades+'!$Y$31,"B",IF(C359&lt;'PlayerGrades+'!$Y$30,"B+",IF(C359&lt;'PlayerGrades+'!$Y$29,"A-",IF(C359&lt;'PlayerGrades+'!$Y$28,"A",IF(C359&lt;'PlayerGrades+'!$Y$27,"A+",IF(C359&lt;'PlayerGrades+'!$Y$26,"S-",IF(C359&lt;'PlayerGrades+'!$Y$25,"S","S+"))))))))))))))))))))</f>
        <v>#DIV/0!</v>
      </c>
      <c r="C359" s="1378" t="str">
        <f>('PlayerGrades+'!$Y$47*(VLOOKUP(E359, 'PlayerGrades+'!$X$3:$Y$23, 2, FALSE)))+('PlayerGrades+'!$Y$48*(VLOOKUP(G359, 'PlayerGrades+'!$X$3:$Y$23, 2, FALSE)))+('PlayerGrades+'!$Y$49*(VLOOKUP(I359, 'PlayerGrades+'!$X$3:$Y$23, 2, FALSE)))+('PlayerGrades+'!$Y$50*(VLOOKUP(K359, 'PlayerGrades+'!$X$3:$Y$23, 2, FALSE)))+('PlayerGrades+'!$Y$51*(VLOOKUP(M359, 'PlayerGrades+'!$X$3:$Y$23, 2, FALSE)))+('PlayerGrades+'!$Y$52*(VLOOKUP(O359, 'PlayerGrades+'!$X$3:$Y$23, 2, FALSE)))+('PlayerGrades+'!$Y$53*(VLOOKUP(Q359, 'PlayerGrades+'!$X$3:$Y$23, 2, FALSE)))+('PlayerGrades+'!$Y$54*(VLOOKUP(S359, 'PlayerGrades+'!$X$3:$Y$23, 2, FALSE)))+('PlayerGrades+'!$Y$55*(VLOOKUP(U359, 'PlayerGrades+'!$X$3:$Y$23, 2, FALSE)))</f>
        <v>#DIV/0!</v>
      </c>
      <c r="D359" s="961" t="str">
        <f t="shared" si="1"/>
        <v>#DIV/0!</v>
      </c>
      <c r="E359" s="961" t="str">
        <f>IF(D359&lt;'PlayerGrades+'!$AA$21,"F-",IF(D359&lt;'PlayerGrades+'!$AA$20,"F",IF(D359&lt;'PlayerGrades+'!$AA$19,"F+",IF(D359&lt;'PlayerGrades+'!$AA$18,"E-",IF(D359&lt;'PlayerGrades+'!$AA$17,"E",IF(D359&lt;'PlayerGrades+'!$AA$16,"E+",IF(D359&lt;'PlayerGrades+'!$AA$15,"D-",IF(D359&lt;'PlayerGrades+'!$AA$14,"D",IF(D359&lt;'PlayerGrades+'!$AA$13,"D+",IF(D359&lt;'PlayerGrades+'!$AA$12,"C-",IF(D359&lt;'PlayerGrades+'!$AA$11,"C",IF(D359&lt;'PlayerGrades+'!$AA$10,"C+",IF(D359&lt;'PlayerGrades+'!$AA$9,"B-",IF(D359&lt;'PlayerGrades+'!$AA$8,"B",IF(D359&lt;'PlayerGrades+'!$AA$7,"B+",IF(D359&lt;'PlayerGrades+'!$AA$6,"A-",IF(D359&lt;'PlayerGrades+'!$AA$5,"A",IF(D359&lt;'PlayerGrades+'!$AA$4,"A+",IF(D359&lt;'PlayerGrades+'!$AA$3,"S-",IF(D359&lt;'PlayerGrades+'!$AA$2,"S","S+"))))))))))))))))))))</f>
        <v>#DIV/0!</v>
      </c>
      <c r="F359" s="961" t="str">
        <f t="shared" si="2"/>
        <v>#DIV/0!</v>
      </c>
      <c r="G359" s="961" t="str">
        <f>IF(F359&lt;'PlayerGrades+'!$AB$21,"F-",IF(F359&lt;'PlayerGrades+'!$AB$20,"F",IF(F359&lt;'PlayerGrades+'!$AB$19,"F+",IF(F359&lt;'PlayerGrades+'!$AB$18,"E-",IF(F359&lt;'PlayerGrades+'!$AB$17,"E",IF(F359&lt;'PlayerGrades+'!$AB$16,"E+",IF(F359&lt;'PlayerGrades+'!$AB$15,"D-",IF(F359&lt;'PlayerGrades+'!$AB$14,"D",IF(F359&lt;'PlayerGrades+'!$AB$13,"D+",IF(F359&lt;'PlayerGrades+'!$AB$12,"C-",IF(F359&lt;'PlayerGrades+'!$AB$11,"C",IF(F359&lt;'PlayerGrades+'!$AB$10,"C+",IF(F359&lt;'PlayerGrades+'!$AB$9,"B-",IF(F359&lt;'PlayerGrades+'!$AB$8,"B",IF(F359&lt;'PlayerGrades+'!$AB$7,"B+",IF(F359&lt;'PlayerGrades+'!$AB$6,"A-",IF(F359&lt;'PlayerGrades+'!$AB$5,"A",IF(F359&lt;'PlayerGrades+'!$AB$4,"A+",IF(F359&lt;'PlayerGrades+'!$AB$3,"S-",IF(F359&lt;'PlayerGrades+'!$AB$2,"S","S+"))))))))))))))))))))</f>
        <v>#DIV/0!</v>
      </c>
      <c r="H359" s="961" t="str">
        <f t="shared" si="3"/>
        <v>#DIV/0!</v>
      </c>
      <c r="I359" s="961" t="str">
        <f>IF(H359&lt;'PlayerGrades+'!$AC$21,"F-",IF(H359&lt;'PlayerGrades+'!$AC$20,"F",IF(H359&lt;'PlayerGrades+'!$AC$19,"F+",IF(H359&lt;'PlayerGrades+'!$AC$18,"E-",IF(H359&lt;'PlayerGrades+'!$AC$17,"E",IF(H359&lt;'PlayerGrades+'!$AC$16,"E+",IF(H359&lt;'PlayerGrades+'!$AC$15,"D-",IF(H359&lt;'PlayerGrades+'!$AC$14,"D",IF(H359&lt;'PlayerGrades+'!$AC$13,"D+",IF(H359&lt;'PlayerGrades+'!$AC$12,"C-",IF(H359&lt;'PlayerGrades+'!$AC$11,"C",IF(H359&lt;'PlayerGrades+'!$AC$10,"C+",IF(H359&lt;'PlayerGrades+'!$AC$9,"B-",IF(H359&lt;'PlayerGrades+'!$AC$8,"B",IF(H359&lt;'PlayerGrades+'!$AC$7,"B+",IF(H359&lt;'PlayerGrades+'!$AC$6,"A-",IF(H359&lt;'PlayerGrades+'!$AC$5,"A",IF(H359&lt;'PlayerGrades+'!$AC$4,"A+",IF(H359&lt;'PlayerGrades+'!$AC$3,"S-",IF(H359&lt;'PlayerGrades+'!$AC$2,"S","S+"))))))))))))))))))))</f>
        <v>#DIV/0!</v>
      </c>
      <c r="J359" s="961" t="str">
        <f t="shared" si="4"/>
        <v>#DIV/0!</v>
      </c>
      <c r="K359" s="961" t="str">
        <f>IF(J359&lt;'PlayerGrades+'!$AD$21,"F-",IF(J359&lt;'PlayerGrades+'!$AD$20,"F",IF(J359&lt;'PlayerGrades+'!$AD$19,"F+",IF(J359&lt;'PlayerGrades+'!$AD$18,"E-",IF(J359&lt;'PlayerGrades+'!$AD$17,"E",IF(J359&lt;'PlayerGrades+'!$AD$16,"E+",IF(J359&lt;'PlayerGrades+'!$AD$15,"D-",IF(J359&lt;'PlayerGrades+'!$AD$14,"D",IF(J359&lt;'PlayerGrades+'!$AD$13,"D+",IF(J359&lt;'PlayerGrades+'!$AD$12,"C-",IF(J359&lt;'PlayerGrades+'!$AD$11,"C",IF(J359&lt;'PlayerGrades+'!$AD$10,"C+",IF(J359&lt;'PlayerGrades+'!$AD$9,"B-",IF(J359&lt;'PlayerGrades+'!$AD$8,"B",IF(J359&lt;'PlayerGrades+'!$AD$7,"B+",IF(J359&lt;'PlayerGrades+'!$AD$6,"A-",IF(J359&lt;'PlayerGrades+'!$AD$5,"A",IF(J359&lt;'PlayerGrades+'!$AD$4,"A+",IF(J359&lt;'PlayerGrades+'!$AD$3,"S-",IF(J359&lt;'PlayerGrades+'!$AD$2,"S","S+"))))))))))))))))))))</f>
        <v>#DIV/0!</v>
      </c>
      <c r="L359" s="1176" t="str">
        <f t="shared" si="5"/>
        <v>#DIV/0!</v>
      </c>
      <c r="M359" s="992" t="str">
        <f>IF(L359&lt;'PlayerGrades+'!$AE$21,"F-",IF(L359&lt;'PlayerGrades+'!$AE$20,"F",IF(L359&lt;'PlayerGrades+'!$AE$19,"F+",IF(L359&lt;'PlayerGrades+'!$AE$18,"E-",IF(L359&lt;'PlayerGrades+'!$AE$17,"E",IF(L359&lt;'PlayerGrades+'!$AE$16,"E+",IF(L359&lt;'PlayerGrades+'!$AE$15,"D-",IF(L359&lt;'PlayerGrades+'!$AE$14,"D",IF(L359&lt;'PlayerGrades+'!$AE$13,"D+",IF(L359&lt;'PlayerGrades+'!$AE$12,"C-",IF(L359&lt;'PlayerGrades+'!$AE$11,"C",IF(L359&lt;'PlayerGrades+'!$AE$10,"C+",IF(L359&lt;'PlayerGrades+'!$AE$9,"B-",IF(L359&lt;'PlayerGrades+'!$AE$8,"B",IF(L359&lt;'PlayerGrades+'!$AE$7,"B+",IF(L359&lt;'PlayerGrades+'!$AE$6,"A-",IF(L359&lt;'PlayerGrades+'!$AE$5,"A",IF(L359&lt;'PlayerGrades+'!$AE$4,"A+",IF(L359&lt;'PlayerGrades+'!$AE$3,"S-",IF(L359&lt;'PlayerGrades+'!$AE$2,"S","S+"))))))))))))))))))))</f>
        <v>#DIV/0!</v>
      </c>
      <c r="N359" s="961" t="str">
        <f t="shared" si="6"/>
        <v>#DIV/0!</v>
      </c>
      <c r="O359" s="961" t="str">
        <f>IF(N359&lt;'PlayerGrades+'!$AF$21,"F-",IF(N359&lt;'PlayerGrades+'!$AF$20,"F",IF(N359&lt;'PlayerGrades+'!$AF$19,"F+",IF(N359&lt;'PlayerGrades+'!$AF$18,"E-",IF(N359&lt;'PlayerGrades+'!$AF$17,"E",IF(N359&lt;'PlayerGrades+'!$AF$16,"E+",IF(N359&lt;'PlayerGrades+'!$AF$15,"D-",IF(N359&lt;'PlayerGrades+'!$AF$14,"D",IF(N359&lt;'PlayerGrades+'!$AF$13,"D+",IF(N359&lt;'PlayerGrades+'!$AF$12,"C-",IF(N359&lt;'PlayerGrades+'!$AF$11,"C",IF(N359&lt;'PlayerGrades+'!$AF$10,"C+",IF(N359&lt;'PlayerGrades+'!$AF$9,"B-",IF(N359&lt;'PlayerGrades+'!$AF$8,"B",IF(N359&lt;'PlayerGrades+'!$AF$7,"B+",IF(N359&lt;'PlayerGrades+'!$AF$6,"A-",IF(N359&lt;'PlayerGrades+'!$AF$5,"A",IF(N359&lt;'PlayerGrades+'!$AF$4,"A+",IF(N359&lt;'PlayerGrades+'!$AF$3,"S-",IF(N359&lt;'PlayerGrades+'!$AF$2,"S","S+"))))))))))))))))))))</f>
        <v>#DIV/0!</v>
      </c>
      <c r="P359" s="961" t="str">
        <f t="shared" si="7"/>
        <v>#DIV/0!</v>
      </c>
      <c r="Q359" s="961" t="str">
        <f>IF(P359&lt;'PlayerGrades+'!$AG$21,"F-",IF(P359&lt;'PlayerGrades+'!$AG$20,"F",IF(P359&lt;'PlayerGrades+'!$AG$19,"F+",IF(P359&lt;'PlayerGrades+'!$AG$18,"E-",IF(P359&lt;'PlayerGrades+'!$AG$17,"E",IF(P359&lt;'PlayerGrades+'!$AG$16,"E+",IF(P359&lt;'PlayerGrades+'!$AG$15,"D-",IF(P359&lt;'PlayerGrades+'!$AG$14,"D",IF(P359&lt;'PlayerGrades+'!$AG$13,"D+",IF(P359&lt;'PlayerGrades+'!$AG$12,"C-",IF(P359&lt;'PlayerGrades+'!$AG$11,"C",IF(P359&lt;'PlayerGrades+'!$AG$10,"C+",IF(P359&lt;'PlayerGrades+'!$AG$9,"B-",IF(P359&lt;'PlayerGrades+'!$AG$8,"B",IF(P359&lt;'PlayerGrades+'!$AG$7,"B+",IF(P359&lt;'PlayerGrades+'!$AG$6,"A-",IF(P359&lt;'PlayerGrades+'!$AG$5,"A",IF(P359&lt;'PlayerGrades+'!$AG$4,"A+",IF(P359&lt;'PlayerGrades+'!$AG$3,"S-",IF(P359&lt;'PlayerGrades+'!$AG$2,"S","S+"))))))))))))))))))))</f>
        <v>#DIV/0!</v>
      </c>
      <c r="R359" s="961" t="str">
        <f t="shared" si="8"/>
        <v>#DIV/0!</v>
      </c>
      <c r="S359" s="961" t="str">
        <f>IF(R359&lt;'PlayerGrades+'!$AH$21,"F-",IF(R359&lt;'PlayerGrades+'!$AH$20,"F",IF(R359&lt;'PlayerGrades+'!$AH$19,"F+",IF(R359&lt;'PlayerGrades+'!$AH$18,"E-",IF(R359&lt;'PlayerGrades+'!$AH$17,"E",IF(R359&lt;'PlayerGrades+'!$AH$16,"E+",IF(R359&lt;'PlayerGrades+'!$AH$15,"D-",IF(R359&lt;'PlayerGrades+'!$AH$14,"D",IF(R359&lt;'PlayerGrades+'!$AH$13,"D+",IF(R359&lt;'PlayerGrades+'!$AH$12,"C-",IF(R359&lt;'PlayerGrades+'!$AH$11,"C",IF(R359&lt;'PlayerGrades+'!$AH$10,"C+",IF(R359&lt;'PlayerGrades+'!$AH$9,"B-",IF(R359&lt;'PlayerGrades+'!$AH$8,"B",IF(R359&lt;'PlayerGrades+'!$AH$7,"B+",IF(R359&lt;'PlayerGrades+'!$AH$6,"A-",IF(R359&lt;'PlayerGrades+'!$AH$5,"A",IF(R359&lt;'PlayerGrades+'!$AH$4,"A+",IF(R359&lt;'PlayerGrades+'!$AH$3,"S-",IF(R359&lt;'PlayerGrades+'!$AH$2,"S","S+"))))))))))))))))))))</f>
        <v>#DIV/0!</v>
      </c>
      <c r="T359" s="961">
        <f t="shared" si="9"/>
        <v>0</v>
      </c>
      <c r="U359" s="961" t="str">
        <f>IF(T359&lt;'PlayerGrades+'!$AI$21,"F-",IF(T359&lt;'PlayerGrades+'!$AI$20,"F",IF(T359&lt;'PlayerGrades+'!$AI$19,"F+",IF(T359&lt;'PlayerGrades+'!$AI$18,"E-",IF(T359&lt;'PlayerGrades+'!$AI$17,"E",IF(T359&lt;'PlayerGrades+'!$AI$16,"E+",IF(T359&lt;'PlayerGrades+'!$AI$15,"D-",IF(T359&lt;'PlayerGrades+'!$AI$14,"D",IF(T359&lt;'PlayerGrades+'!$AI$13,"D+",IF(T359&lt;'PlayerGrades+'!$AI$12,"C-",IF(T359&lt;'PlayerGrades+'!$AI$11,"C",IF(T359&lt;'PlayerGrades+'!$AI$10,"C+",IF(T359&lt;'PlayerGrades+'!$AI$9,"B-",IF(T359&lt;'PlayerGrades+'!$AI$8,"B",IF(T359&lt;'PlayerGrades+'!$AI$7,"B+",IF(T359&lt;'PlayerGrades+'!$AI$6,"A-",IF(T359&lt;'PlayerGrades+'!$AI$5,"A",IF(T359&lt;'PlayerGrades+'!$AI$4,"A+",IF(T359&lt;'PlayerGrades+'!$AI$3,"S-",IF(T359&lt;'PlayerGrades+'!$AI$2,"S","S+"))))))))))))))))))))</f>
        <v>F-</v>
      </c>
      <c r="AC359" s="1392"/>
    </row>
    <row r="360">
      <c r="A360" s="1391"/>
      <c r="B360" s="611" t="str">
        <f>IF(C360&lt;'PlayerGrades+'!$Y$44,"F-",IF(C360&lt;'PlayerGrades+'!$Y$43,"F",IF(C360&lt;'PlayerGrades+'!$Y$42,"F+",IF(C360&lt;'PlayerGrades+'!$Y$41,"E-",IF(C360&lt;'PlayerGrades+'!$Y$40,"E",IF(C360&lt;'PlayerGrades+'!$Y$39,"E+",IF(C360&lt;'PlayerGrades+'!$Y$38,"D-",IF(C360&lt;'PlayerGrades+'!$Y$37,"D",IF(C360&lt;'PlayerGrades+'!$Y$36,"D+",IF(C360&lt;'PlayerGrades+'!$Y$35,"C-",IF(C360&lt;'PlayerGrades+'!$Y$34,"C",IF(C360&lt;'PlayerGrades+'!$Y$33,"C+",IF(C360&lt;'PlayerGrades+'!$Y$32,"B-",IF(C360&lt;'PlayerGrades+'!$Y$31,"B",IF(C360&lt;'PlayerGrades+'!$Y$30,"B+",IF(C360&lt;'PlayerGrades+'!$Y$29,"A-",IF(C360&lt;'PlayerGrades+'!$Y$28,"A",IF(C360&lt;'PlayerGrades+'!$Y$27,"A+",IF(C360&lt;'PlayerGrades+'!$Y$26,"S-",IF(C360&lt;'PlayerGrades+'!$Y$25,"S","S+"))))))))))))))))))))</f>
        <v>#DIV/0!</v>
      </c>
      <c r="C360" s="1378" t="str">
        <f>('PlayerGrades+'!$Y$47*(VLOOKUP(E360, 'PlayerGrades+'!$X$3:$Y$23, 2, FALSE)))+('PlayerGrades+'!$Y$48*(VLOOKUP(G360, 'PlayerGrades+'!$X$3:$Y$23, 2, FALSE)))+('PlayerGrades+'!$Y$49*(VLOOKUP(I360, 'PlayerGrades+'!$X$3:$Y$23, 2, FALSE)))+('PlayerGrades+'!$Y$50*(VLOOKUP(K360, 'PlayerGrades+'!$X$3:$Y$23, 2, FALSE)))+('PlayerGrades+'!$Y$51*(VLOOKUP(M360, 'PlayerGrades+'!$X$3:$Y$23, 2, FALSE)))+('PlayerGrades+'!$Y$52*(VLOOKUP(O360, 'PlayerGrades+'!$X$3:$Y$23, 2, FALSE)))+('PlayerGrades+'!$Y$53*(VLOOKUP(Q360, 'PlayerGrades+'!$X$3:$Y$23, 2, FALSE)))+('PlayerGrades+'!$Y$54*(VLOOKUP(S360, 'PlayerGrades+'!$X$3:$Y$23, 2, FALSE)))+('PlayerGrades+'!$Y$55*(VLOOKUP(U360, 'PlayerGrades+'!$X$3:$Y$23, 2, FALSE)))</f>
        <v>#DIV/0!</v>
      </c>
      <c r="D360" s="961" t="str">
        <f t="shared" si="1"/>
        <v>#DIV/0!</v>
      </c>
      <c r="E360" s="961" t="str">
        <f>IF(D360&lt;'PlayerGrades+'!$AA$21,"F-",IF(D360&lt;'PlayerGrades+'!$AA$20,"F",IF(D360&lt;'PlayerGrades+'!$AA$19,"F+",IF(D360&lt;'PlayerGrades+'!$AA$18,"E-",IF(D360&lt;'PlayerGrades+'!$AA$17,"E",IF(D360&lt;'PlayerGrades+'!$AA$16,"E+",IF(D360&lt;'PlayerGrades+'!$AA$15,"D-",IF(D360&lt;'PlayerGrades+'!$AA$14,"D",IF(D360&lt;'PlayerGrades+'!$AA$13,"D+",IF(D360&lt;'PlayerGrades+'!$AA$12,"C-",IF(D360&lt;'PlayerGrades+'!$AA$11,"C",IF(D360&lt;'PlayerGrades+'!$AA$10,"C+",IF(D360&lt;'PlayerGrades+'!$AA$9,"B-",IF(D360&lt;'PlayerGrades+'!$AA$8,"B",IF(D360&lt;'PlayerGrades+'!$AA$7,"B+",IF(D360&lt;'PlayerGrades+'!$AA$6,"A-",IF(D360&lt;'PlayerGrades+'!$AA$5,"A",IF(D360&lt;'PlayerGrades+'!$AA$4,"A+",IF(D360&lt;'PlayerGrades+'!$AA$3,"S-",IF(D360&lt;'PlayerGrades+'!$AA$2,"S","S+"))))))))))))))))))))</f>
        <v>#DIV/0!</v>
      </c>
      <c r="F360" s="961" t="str">
        <f t="shared" si="2"/>
        <v>#DIV/0!</v>
      </c>
      <c r="G360" s="961" t="str">
        <f>IF(F360&lt;'PlayerGrades+'!$AB$21,"F-",IF(F360&lt;'PlayerGrades+'!$AB$20,"F",IF(F360&lt;'PlayerGrades+'!$AB$19,"F+",IF(F360&lt;'PlayerGrades+'!$AB$18,"E-",IF(F360&lt;'PlayerGrades+'!$AB$17,"E",IF(F360&lt;'PlayerGrades+'!$AB$16,"E+",IF(F360&lt;'PlayerGrades+'!$AB$15,"D-",IF(F360&lt;'PlayerGrades+'!$AB$14,"D",IF(F360&lt;'PlayerGrades+'!$AB$13,"D+",IF(F360&lt;'PlayerGrades+'!$AB$12,"C-",IF(F360&lt;'PlayerGrades+'!$AB$11,"C",IF(F360&lt;'PlayerGrades+'!$AB$10,"C+",IF(F360&lt;'PlayerGrades+'!$AB$9,"B-",IF(F360&lt;'PlayerGrades+'!$AB$8,"B",IF(F360&lt;'PlayerGrades+'!$AB$7,"B+",IF(F360&lt;'PlayerGrades+'!$AB$6,"A-",IF(F360&lt;'PlayerGrades+'!$AB$5,"A",IF(F360&lt;'PlayerGrades+'!$AB$4,"A+",IF(F360&lt;'PlayerGrades+'!$AB$3,"S-",IF(F360&lt;'PlayerGrades+'!$AB$2,"S","S+"))))))))))))))))))))</f>
        <v>#DIV/0!</v>
      </c>
      <c r="H360" s="961" t="str">
        <f t="shared" si="3"/>
        <v>#DIV/0!</v>
      </c>
      <c r="I360" s="961" t="str">
        <f>IF(H360&lt;'PlayerGrades+'!$AC$21,"F-",IF(H360&lt;'PlayerGrades+'!$AC$20,"F",IF(H360&lt;'PlayerGrades+'!$AC$19,"F+",IF(H360&lt;'PlayerGrades+'!$AC$18,"E-",IF(H360&lt;'PlayerGrades+'!$AC$17,"E",IF(H360&lt;'PlayerGrades+'!$AC$16,"E+",IF(H360&lt;'PlayerGrades+'!$AC$15,"D-",IF(H360&lt;'PlayerGrades+'!$AC$14,"D",IF(H360&lt;'PlayerGrades+'!$AC$13,"D+",IF(H360&lt;'PlayerGrades+'!$AC$12,"C-",IF(H360&lt;'PlayerGrades+'!$AC$11,"C",IF(H360&lt;'PlayerGrades+'!$AC$10,"C+",IF(H360&lt;'PlayerGrades+'!$AC$9,"B-",IF(H360&lt;'PlayerGrades+'!$AC$8,"B",IF(H360&lt;'PlayerGrades+'!$AC$7,"B+",IF(H360&lt;'PlayerGrades+'!$AC$6,"A-",IF(H360&lt;'PlayerGrades+'!$AC$5,"A",IF(H360&lt;'PlayerGrades+'!$AC$4,"A+",IF(H360&lt;'PlayerGrades+'!$AC$3,"S-",IF(H360&lt;'PlayerGrades+'!$AC$2,"S","S+"))))))))))))))))))))</f>
        <v>#DIV/0!</v>
      </c>
      <c r="J360" s="961" t="str">
        <f t="shared" si="4"/>
        <v>#DIV/0!</v>
      </c>
      <c r="K360" s="961" t="str">
        <f>IF(J360&lt;'PlayerGrades+'!$AD$21,"F-",IF(J360&lt;'PlayerGrades+'!$AD$20,"F",IF(J360&lt;'PlayerGrades+'!$AD$19,"F+",IF(J360&lt;'PlayerGrades+'!$AD$18,"E-",IF(J360&lt;'PlayerGrades+'!$AD$17,"E",IF(J360&lt;'PlayerGrades+'!$AD$16,"E+",IF(J360&lt;'PlayerGrades+'!$AD$15,"D-",IF(J360&lt;'PlayerGrades+'!$AD$14,"D",IF(J360&lt;'PlayerGrades+'!$AD$13,"D+",IF(J360&lt;'PlayerGrades+'!$AD$12,"C-",IF(J360&lt;'PlayerGrades+'!$AD$11,"C",IF(J360&lt;'PlayerGrades+'!$AD$10,"C+",IF(J360&lt;'PlayerGrades+'!$AD$9,"B-",IF(J360&lt;'PlayerGrades+'!$AD$8,"B",IF(J360&lt;'PlayerGrades+'!$AD$7,"B+",IF(J360&lt;'PlayerGrades+'!$AD$6,"A-",IF(J360&lt;'PlayerGrades+'!$AD$5,"A",IF(J360&lt;'PlayerGrades+'!$AD$4,"A+",IF(J360&lt;'PlayerGrades+'!$AD$3,"S-",IF(J360&lt;'PlayerGrades+'!$AD$2,"S","S+"))))))))))))))))))))</f>
        <v>#DIV/0!</v>
      </c>
      <c r="L360" s="1176" t="str">
        <f t="shared" si="5"/>
        <v>#DIV/0!</v>
      </c>
      <c r="M360" s="992" t="str">
        <f>IF(L360&lt;'PlayerGrades+'!$AE$21,"F-",IF(L360&lt;'PlayerGrades+'!$AE$20,"F",IF(L360&lt;'PlayerGrades+'!$AE$19,"F+",IF(L360&lt;'PlayerGrades+'!$AE$18,"E-",IF(L360&lt;'PlayerGrades+'!$AE$17,"E",IF(L360&lt;'PlayerGrades+'!$AE$16,"E+",IF(L360&lt;'PlayerGrades+'!$AE$15,"D-",IF(L360&lt;'PlayerGrades+'!$AE$14,"D",IF(L360&lt;'PlayerGrades+'!$AE$13,"D+",IF(L360&lt;'PlayerGrades+'!$AE$12,"C-",IF(L360&lt;'PlayerGrades+'!$AE$11,"C",IF(L360&lt;'PlayerGrades+'!$AE$10,"C+",IF(L360&lt;'PlayerGrades+'!$AE$9,"B-",IF(L360&lt;'PlayerGrades+'!$AE$8,"B",IF(L360&lt;'PlayerGrades+'!$AE$7,"B+",IF(L360&lt;'PlayerGrades+'!$AE$6,"A-",IF(L360&lt;'PlayerGrades+'!$AE$5,"A",IF(L360&lt;'PlayerGrades+'!$AE$4,"A+",IF(L360&lt;'PlayerGrades+'!$AE$3,"S-",IF(L360&lt;'PlayerGrades+'!$AE$2,"S","S+"))))))))))))))))))))</f>
        <v>#DIV/0!</v>
      </c>
      <c r="N360" s="961" t="str">
        <f t="shared" si="6"/>
        <v>#DIV/0!</v>
      </c>
      <c r="O360" s="961" t="str">
        <f>IF(N360&lt;'PlayerGrades+'!$AF$21,"F-",IF(N360&lt;'PlayerGrades+'!$AF$20,"F",IF(N360&lt;'PlayerGrades+'!$AF$19,"F+",IF(N360&lt;'PlayerGrades+'!$AF$18,"E-",IF(N360&lt;'PlayerGrades+'!$AF$17,"E",IF(N360&lt;'PlayerGrades+'!$AF$16,"E+",IF(N360&lt;'PlayerGrades+'!$AF$15,"D-",IF(N360&lt;'PlayerGrades+'!$AF$14,"D",IF(N360&lt;'PlayerGrades+'!$AF$13,"D+",IF(N360&lt;'PlayerGrades+'!$AF$12,"C-",IF(N360&lt;'PlayerGrades+'!$AF$11,"C",IF(N360&lt;'PlayerGrades+'!$AF$10,"C+",IF(N360&lt;'PlayerGrades+'!$AF$9,"B-",IF(N360&lt;'PlayerGrades+'!$AF$8,"B",IF(N360&lt;'PlayerGrades+'!$AF$7,"B+",IF(N360&lt;'PlayerGrades+'!$AF$6,"A-",IF(N360&lt;'PlayerGrades+'!$AF$5,"A",IF(N360&lt;'PlayerGrades+'!$AF$4,"A+",IF(N360&lt;'PlayerGrades+'!$AF$3,"S-",IF(N360&lt;'PlayerGrades+'!$AF$2,"S","S+"))))))))))))))))))))</f>
        <v>#DIV/0!</v>
      </c>
      <c r="P360" s="961" t="str">
        <f t="shared" si="7"/>
        <v>#DIV/0!</v>
      </c>
      <c r="Q360" s="961" t="str">
        <f>IF(P360&lt;'PlayerGrades+'!$AG$21,"F-",IF(P360&lt;'PlayerGrades+'!$AG$20,"F",IF(P360&lt;'PlayerGrades+'!$AG$19,"F+",IF(P360&lt;'PlayerGrades+'!$AG$18,"E-",IF(P360&lt;'PlayerGrades+'!$AG$17,"E",IF(P360&lt;'PlayerGrades+'!$AG$16,"E+",IF(P360&lt;'PlayerGrades+'!$AG$15,"D-",IF(P360&lt;'PlayerGrades+'!$AG$14,"D",IF(P360&lt;'PlayerGrades+'!$AG$13,"D+",IF(P360&lt;'PlayerGrades+'!$AG$12,"C-",IF(P360&lt;'PlayerGrades+'!$AG$11,"C",IF(P360&lt;'PlayerGrades+'!$AG$10,"C+",IF(P360&lt;'PlayerGrades+'!$AG$9,"B-",IF(P360&lt;'PlayerGrades+'!$AG$8,"B",IF(P360&lt;'PlayerGrades+'!$AG$7,"B+",IF(P360&lt;'PlayerGrades+'!$AG$6,"A-",IF(P360&lt;'PlayerGrades+'!$AG$5,"A",IF(P360&lt;'PlayerGrades+'!$AG$4,"A+",IF(P360&lt;'PlayerGrades+'!$AG$3,"S-",IF(P360&lt;'PlayerGrades+'!$AG$2,"S","S+"))))))))))))))))))))</f>
        <v>#DIV/0!</v>
      </c>
      <c r="R360" s="961" t="str">
        <f t="shared" si="8"/>
        <v>#DIV/0!</v>
      </c>
      <c r="S360" s="961" t="str">
        <f>IF(R360&lt;'PlayerGrades+'!$AH$21,"F-",IF(R360&lt;'PlayerGrades+'!$AH$20,"F",IF(R360&lt;'PlayerGrades+'!$AH$19,"F+",IF(R360&lt;'PlayerGrades+'!$AH$18,"E-",IF(R360&lt;'PlayerGrades+'!$AH$17,"E",IF(R360&lt;'PlayerGrades+'!$AH$16,"E+",IF(R360&lt;'PlayerGrades+'!$AH$15,"D-",IF(R360&lt;'PlayerGrades+'!$AH$14,"D",IF(R360&lt;'PlayerGrades+'!$AH$13,"D+",IF(R360&lt;'PlayerGrades+'!$AH$12,"C-",IF(R360&lt;'PlayerGrades+'!$AH$11,"C",IF(R360&lt;'PlayerGrades+'!$AH$10,"C+",IF(R360&lt;'PlayerGrades+'!$AH$9,"B-",IF(R360&lt;'PlayerGrades+'!$AH$8,"B",IF(R360&lt;'PlayerGrades+'!$AH$7,"B+",IF(R360&lt;'PlayerGrades+'!$AH$6,"A-",IF(R360&lt;'PlayerGrades+'!$AH$5,"A",IF(R360&lt;'PlayerGrades+'!$AH$4,"A+",IF(R360&lt;'PlayerGrades+'!$AH$3,"S-",IF(R360&lt;'PlayerGrades+'!$AH$2,"S","S+"))))))))))))))))))))</f>
        <v>#DIV/0!</v>
      </c>
      <c r="T360" s="961">
        <f t="shared" si="9"/>
        <v>0</v>
      </c>
      <c r="U360" s="961" t="str">
        <f>IF(T360&lt;'PlayerGrades+'!$AI$21,"F-",IF(T360&lt;'PlayerGrades+'!$AI$20,"F",IF(T360&lt;'PlayerGrades+'!$AI$19,"F+",IF(T360&lt;'PlayerGrades+'!$AI$18,"E-",IF(T360&lt;'PlayerGrades+'!$AI$17,"E",IF(T360&lt;'PlayerGrades+'!$AI$16,"E+",IF(T360&lt;'PlayerGrades+'!$AI$15,"D-",IF(T360&lt;'PlayerGrades+'!$AI$14,"D",IF(T360&lt;'PlayerGrades+'!$AI$13,"D+",IF(T360&lt;'PlayerGrades+'!$AI$12,"C-",IF(T360&lt;'PlayerGrades+'!$AI$11,"C",IF(T360&lt;'PlayerGrades+'!$AI$10,"C+",IF(T360&lt;'PlayerGrades+'!$AI$9,"B-",IF(T360&lt;'PlayerGrades+'!$AI$8,"B",IF(T360&lt;'PlayerGrades+'!$AI$7,"B+",IF(T360&lt;'PlayerGrades+'!$AI$6,"A-",IF(T360&lt;'PlayerGrades+'!$AI$5,"A",IF(T360&lt;'PlayerGrades+'!$AI$4,"A+",IF(T360&lt;'PlayerGrades+'!$AI$3,"S-",IF(T360&lt;'PlayerGrades+'!$AI$2,"S","S+"))))))))))))))))))))</f>
        <v>F-</v>
      </c>
      <c r="AC360" s="1392"/>
    </row>
    <row r="361">
      <c r="A361" s="1393"/>
      <c r="B361" s="611" t="str">
        <f>IF(C361&lt;'PlayerGrades+'!$Y$44,"F-",IF(C361&lt;'PlayerGrades+'!$Y$43,"F",IF(C361&lt;'PlayerGrades+'!$Y$42,"F+",IF(C361&lt;'PlayerGrades+'!$Y$41,"E-",IF(C361&lt;'PlayerGrades+'!$Y$40,"E",IF(C361&lt;'PlayerGrades+'!$Y$39,"E+",IF(C361&lt;'PlayerGrades+'!$Y$38,"D-",IF(C361&lt;'PlayerGrades+'!$Y$37,"D",IF(C361&lt;'PlayerGrades+'!$Y$36,"D+",IF(C361&lt;'PlayerGrades+'!$Y$35,"C-",IF(C361&lt;'PlayerGrades+'!$Y$34,"C",IF(C361&lt;'PlayerGrades+'!$Y$33,"C+",IF(C361&lt;'PlayerGrades+'!$Y$32,"B-",IF(C361&lt;'PlayerGrades+'!$Y$31,"B",IF(C361&lt;'PlayerGrades+'!$Y$30,"B+",IF(C361&lt;'PlayerGrades+'!$Y$29,"A-",IF(C361&lt;'PlayerGrades+'!$Y$28,"A",IF(C361&lt;'PlayerGrades+'!$Y$27,"A+",IF(C361&lt;'PlayerGrades+'!$Y$26,"S-",IF(C361&lt;'PlayerGrades+'!$Y$25,"S","S+"))))))))))))))))))))</f>
        <v>#DIV/0!</v>
      </c>
      <c r="C361" s="1378" t="str">
        <f>('PlayerGrades+'!$Y$47*(VLOOKUP(E361, 'PlayerGrades+'!$X$3:$Y$23, 2, FALSE)))+('PlayerGrades+'!$Y$48*(VLOOKUP(G361, 'PlayerGrades+'!$X$3:$Y$23, 2, FALSE)))+('PlayerGrades+'!$Y$49*(VLOOKUP(I361, 'PlayerGrades+'!$X$3:$Y$23, 2, FALSE)))+('PlayerGrades+'!$Y$50*(VLOOKUP(K361, 'PlayerGrades+'!$X$3:$Y$23, 2, FALSE)))+('PlayerGrades+'!$Y$51*(VLOOKUP(M361, 'PlayerGrades+'!$X$3:$Y$23, 2, FALSE)))+('PlayerGrades+'!$Y$52*(VLOOKUP(O361, 'PlayerGrades+'!$X$3:$Y$23, 2, FALSE)))+('PlayerGrades+'!$Y$53*(VLOOKUP(Q361, 'PlayerGrades+'!$X$3:$Y$23, 2, FALSE)))+('PlayerGrades+'!$Y$54*(VLOOKUP(S361, 'PlayerGrades+'!$X$3:$Y$23, 2, FALSE)))+('PlayerGrades+'!$Y$55*(VLOOKUP(U361, 'PlayerGrades+'!$X$3:$Y$23, 2, FALSE)))</f>
        <v>#DIV/0!</v>
      </c>
      <c r="D361" s="961" t="str">
        <f t="shared" si="1"/>
        <v>#DIV/0!</v>
      </c>
      <c r="E361" s="961" t="str">
        <f>IF(D361&lt;'PlayerGrades+'!$AA$21,"F-",IF(D361&lt;'PlayerGrades+'!$AA$20,"F",IF(D361&lt;'PlayerGrades+'!$AA$19,"F+",IF(D361&lt;'PlayerGrades+'!$AA$18,"E-",IF(D361&lt;'PlayerGrades+'!$AA$17,"E",IF(D361&lt;'PlayerGrades+'!$AA$16,"E+",IF(D361&lt;'PlayerGrades+'!$AA$15,"D-",IF(D361&lt;'PlayerGrades+'!$AA$14,"D",IF(D361&lt;'PlayerGrades+'!$AA$13,"D+",IF(D361&lt;'PlayerGrades+'!$AA$12,"C-",IF(D361&lt;'PlayerGrades+'!$AA$11,"C",IF(D361&lt;'PlayerGrades+'!$AA$10,"C+",IF(D361&lt;'PlayerGrades+'!$AA$9,"B-",IF(D361&lt;'PlayerGrades+'!$AA$8,"B",IF(D361&lt;'PlayerGrades+'!$AA$7,"B+",IF(D361&lt;'PlayerGrades+'!$AA$6,"A-",IF(D361&lt;'PlayerGrades+'!$AA$5,"A",IF(D361&lt;'PlayerGrades+'!$AA$4,"A+",IF(D361&lt;'PlayerGrades+'!$AA$3,"S-",IF(D361&lt;'PlayerGrades+'!$AA$2,"S","S+"))))))))))))))))))))</f>
        <v>#DIV/0!</v>
      </c>
      <c r="F361" s="961" t="str">
        <f t="shared" si="2"/>
        <v>#DIV/0!</v>
      </c>
      <c r="G361" s="961" t="str">
        <f>IF(F361&lt;'PlayerGrades+'!$AB$21,"F-",IF(F361&lt;'PlayerGrades+'!$AB$20,"F",IF(F361&lt;'PlayerGrades+'!$AB$19,"F+",IF(F361&lt;'PlayerGrades+'!$AB$18,"E-",IF(F361&lt;'PlayerGrades+'!$AB$17,"E",IF(F361&lt;'PlayerGrades+'!$AB$16,"E+",IF(F361&lt;'PlayerGrades+'!$AB$15,"D-",IF(F361&lt;'PlayerGrades+'!$AB$14,"D",IF(F361&lt;'PlayerGrades+'!$AB$13,"D+",IF(F361&lt;'PlayerGrades+'!$AB$12,"C-",IF(F361&lt;'PlayerGrades+'!$AB$11,"C",IF(F361&lt;'PlayerGrades+'!$AB$10,"C+",IF(F361&lt;'PlayerGrades+'!$AB$9,"B-",IF(F361&lt;'PlayerGrades+'!$AB$8,"B",IF(F361&lt;'PlayerGrades+'!$AB$7,"B+",IF(F361&lt;'PlayerGrades+'!$AB$6,"A-",IF(F361&lt;'PlayerGrades+'!$AB$5,"A",IF(F361&lt;'PlayerGrades+'!$AB$4,"A+",IF(F361&lt;'PlayerGrades+'!$AB$3,"S-",IF(F361&lt;'PlayerGrades+'!$AB$2,"S","S+"))))))))))))))))))))</f>
        <v>#DIV/0!</v>
      </c>
      <c r="H361" s="961" t="str">
        <f t="shared" si="3"/>
        <v>#DIV/0!</v>
      </c>
      <c r="I361" s="961" t="str">
        <f>IF(H361&lt;'PlayerGrades+'!$AC$21,"F-",IF(H361&lt;'PlayerGrades+'!$AC$20,"F",IF(H361&lt;'PlayerGrades+'!$AC$19,"F+",IF(H361&lt;'PlayerGrades+'!$AC$18,"E-",IF(H361&lt;'PlayerGrades+'!$AC$17,"E",IF(H361&lt;'PlayerGrades+'!$AC$16,"E+",IF(H361&lt;'PlayerGrades+'!$AC$15,"D-",IF(H361&lt;'PlayerGrades+'!$AC$14,"D",IF(H361&lt;'PlayerGrades+'!$AC$13,"D+",IF(H361&lt;'PlayerGrades+'!$AC$12,"C-",IF(H361&lt;'PlayerGrades+'!$AC$11,"C",IF(H361&lt;'PlayerGrades+'!$AC$10,"C+",IF(H361&lt;'PlayerGrades+'!$AC$9,"B-",IF(H361&lt;'PlayerGrades+'!$AC$8,"B",IF(H361&lt;'PlayerGrades+'!$AC$7,"B+",IF(H361&lt;'PlayerGrades+'!$AC$6,"A-",IF(H361&lt;'PlayerGrades+'!$AC$5,"A",IF(H361&lt;'PlayerGrades+'!$AC$4,"A+",IF(H361&lt;'PlayerGrades+'!$AC$3,"S-",IF(H361&lt;'PlayerGrades+'!$AC$2,"S","S+"))))))))))))))))))))</f>
        <v>#DIV/0!</v>
      </c>
      <c r="J361" s="961" t="str">
        <f t="shared" si="4"/>
        <v>#DIV/0!</v>
      </c>
      <c r="K361" s="961" t="str">
        <f>IF(J361&lt;'PlayerGrades+'!$AD$21,"F-",IF(J361&lt;'PlayerGrades+'!$AD$20,"F",IF(J361&lt;'PlayerGrades+'!$AD$19,"F+",IF(J361&lt;'PlayerGrades+'!$AD$18,"E-",IF(J361&lt;'PlayerGrades+'!$AD$17,"E",IF(J361&lt;'PlayerGrades+'!$AD$16,"E+",IF(J361&lt;'PlayerGrades+'!$AD$15,"D-",IF(J361&lt;'PlayerGrades+'!$AD$14,"D",IF(J361&lt;'PlayerGrades+'!$AD$13,"D+",IF(J361&lt;'PlayerGrades+'!$AD$12,"C-",IF(J361&lt;'PlayerGrades+'!$AD$11,"C",IF(J361&lt;'PlayerGrades+'!$AD$10,"C+",IF(J361&lt;'PlayerGrades+'!$AD$9,"B-",IF(J361&lt;'PlayerGrades+'!$AD$8,"B",IF(J361&lt;'PlayerGrades+'!$AD$7,"B+",IF(J361&lt;'PlayerGrades+'!$AD$6,"A-",IF(J361&lt;'PlayerGrades+'!$AD$5,"A",IF(J361&lt;'PlayerGrades+'!$AD$4,"A+",IF(J361&lt;'PlayerGrades+'!$AD$3,"S-",IF(J361&lt;'PlayerGrades+'!$AD$2,"S","S+"))))))))))))))))))))</f>
        <v>#DIV/0!</v>
      </c>
      <c r="L361" s="1176" t="str">
        <f t="shared" si="5"/>
        <v>#DIV/0!</v>
      </c>
      <c r="M361" s="992" t="str">
        <f>IF(L361&lt;'PlayerGrades+'!$AE$21,"F-",IF(L361&lt;'PlayerGrades+'!$AE$20,"F",IF(L361&lt;'PlayerGrades+'!$AE$19,"F+",IF(L361&lt;'PlayerGrades+'!$AE$18,"E-",IF(L361&lt;'PlayerGrades+'!$AE$17,"E",IF(L361&lt;'PlayerGrades+'!$AE$16,"E+",IF(L361&lt;'PlayerGrades+'!$AE$15,"D-",IF(L361&lt;'PlayerGrades+'!$AE$14,"D",IF(L361&lt;'PlayerGrades+'!$AE$13,"D+",IF(L361&lt;'PlayerGrades+'!$AE$12,"C-",IF(L361&lt;'PlayerGrades+'!$AE$11,"C",IF(L361&lt;'PlayerGrades+'!$AE$10,"C+",IF(L361&lt;'PlayerGrades+'!$AE$9,"B-",IF(L361&lt;'PlayerGrades+'!$AE$8,"B",IF(L361&lt;'PlayerGrades+'!$AE$7,"B+",IF(L361&lt;'PlayerGrades+'!$AE$6,"A-",IF(L361&lt;'PlayerGrades+'!$AE$5,"A",IF(L361&lt;'PlayerGrades+'!$AE$4,"A+",IF(L361&lt;'PlayerGrades+'!$AE$3,"S-",IF(L361&lt;'PlayerGrades+'!$AE$2,"S","S+"))))))))))))))))))))</f>
        <v>#DIV/0!</v>
      </c>
      <c r="N361" s="961" t="str">
        <f t="shared" si="6"/>
        <v>#DIV/0!</v>
      </c>
      <c r="O361" s="961" t="str">
        <f>IF(N361&lt;'PlayerGrades+'!$AF$21,"F-",IF(N361&lt;'PlayerGrades+'!$AF$20,"F",IF(N361&lt;'PlayerGrades+'!$AF$19,"F+",IF(N361&lt;'PlayerGrades+'!$AF$18,"E-",IF(N361&lt;'PlayerGrades+'!$AF$17,"E",IF(N361&lt;'PlayerGrades+'!$AF$16,"E+",IF(N361&lt;'PlayerGrades+'!$AF$15,"D-",IF(N361&lt;'PlayerGrades+'!$AF$14,"D",IF(N361&lt;'PlayerGrades+'!$AF$13,"D+",IF(N361&lt;'PlayerGrades+'!$AF$12,"C-",IF(N361&lt;'PlayerGrades+'!$AF$11,"C",IF(N361&lt;'PlayerGrades+'!$AF$10,"C+",IF(N361&lt;'PlayerGrades+'!$AF$9,"B-",IF(N361&lt;'PlayerGrades+'!$AF$8,"B",IF(N361&lt;'PlayerGrades+'!$AF$7,"B+",IF(N361&lt;'PlayerGrades+'!$AF$6,"A-",IF(N361&lt;'PlayerGrades+'!$AF$5,"A",IF(N361&lt;'PlayerGrades+'!$AF$4,"A+",IF(N361&lt;'PlayerGrades+'!$AF$3,"S-",IF(N361&lt;'PlayerGrades+'!$AF$2,"S","S+"))))))))))))))))))))</f>
        <v>#DIV/0!</v>
      </c>
      <c r="P361" s="961" t="str">
        <f t="shared" si="7"/>
        <v>#DIV/0!</v>
      </c>
      <c r="Q361" s="961" t="str">
        <f>IF(P361&lt;'PlayerGrades+'!$AG$21,"F-",IF(P361&lt;'PlayerGrades+'!$AG$20,"F",IF(P361&lt;'PlayerGrades+'!$AG$19,"F+",IF(P361&lt;'PlayerGrades+'!$AG$18,"E-",IF(P361&lt;'PlayerGrades+'!$AG$17,"E",IF(P361&lt;'PlayerGrades+'!$AG$16,"E+",IF(P361&lt;'PlayerGrades+'!$AG$15,"D-",IF(P361&lt;'PlayerGrades+'!$AG$14,"D",IF(P361&lt;'PlayerGrades+'!$AG$13,"D+",IF(P361&lt;'PlayerGrades+'!$AG$12,"C-",IF(P361&lt;'PlayerGrades+'!$AG$11,"C",IF(P361&lt;'PlayerGrades+'!$AG$10,"C+",IF(P361&lt;'PlayerGrades+'!$AG$9,"B-",IF(P361&lt;'PlayerGrades+'!$AG$8,"B",IF(P361&lt;'PlayerGrades+'!$AG$7,"B+",IF(P361&lt;'PlayerGrades+'!$AG$6,"A-",IF(P361&lt;'PlayerGrades+'!$AG$5,"A",IF(P361&lt;'PlayerGrades+'!$AG$4,"A+",IF(P361&lt;'PlayerGrades+'!$AG$3,"S-",IF(P361&lt;'PlayerGrades+'!$AG$2,"S","S+"))))))))))))))))))))</f>
        <v>#DIV/0!</v>
      </c>
      <c r="R361" s="961" t="str">
        <f t="shared" si="8"/>
        <v>#DIV/0!</v>
      </c>
      <c r="S361" s="961" t="str">
        <f>IF(R361&lt;'PlayerGrades+'!$AH$21,"F-",IF(R361&lt;'PlayerGrades+'!$AH$20,"F",IF(R361&lt;'PlayerGrades+'!$AH$19,"F+",IF(R361&lt;'PlayerGrades+'!$AH$18,"E-",IF(R361&lt;'PlayerGrades+'!$AH$17,"E",IF(R361&lt;'PlayerGrades+'!$AH$16,"E+",IF(R361&lt;'PlayerGrades+'!$AH$15,"D-",IF(R361&lt;'PlayerGrades+'!$AH$14,"D",IF(R361&lt;'PlayerGrades+'!$AH$13,"D+",IF(R361&lt;'PlayerGrades+'!$AH$12,"C-",IF(R361&lt;'PlayerGrades+'!$AH$11,"C",IF(R361&lt;'PlayerGrades+'!$AH$10,"C+",IF(R361&lt;'PlayerGrades+'!$AH$9,"B-",IF(R361&lt;'PlayerGrades+'!$AH$8,"B",IF(R361&lt;'PlayerGrades+'!$AH$7,"B+",IF(R361&lt;'PlayerGrades+'!$AH$6,"A-",IF(R361&lt;'PlayerGrades+'!$AH$5,"A",IF(R361&lt;'PlayerGrades+'!$AH$4,"A+",IF(R361&lt;'PlayerGrades+'!$AH$3,"S-",IF(R361&lt;'PlayerGrades+'!$AH$2,"S","S+"))))))))))))))))))))</f>
        <v>#DIV/0!</v>
      </c>
      <c r="T361" s="961">
        <f t="shared" si="9"/>
        <v>0</v>
      </c>
      <c r="U361" s="961" t="str">
        <f>IF(T361&lt;'PlayerGrades+'!$AI$21,"F-",IF(T361&lt;'PlayerGrades+'!$AI$20,"F",IF(T361&lt;'PlayerGrades+'!$AI$19,"F+",IF(T361&lt;'PlayerGrades+'!$AI$18,"E-",IF(T361&lt;'PlayerGrades+'!$AI$17,"E",IF(T361&lt;'PlayerGrades+'!$AI$16,"E+",IF(T361&lt;'PlayerGrades+'!$AI$15,"D-",IF(T361&lt;'PlayerGrades+'!$AI$14,"D",IF(T361&lt;'PlayerGrades+'!$AI$13,"D+",IF(T361&lt;'PlayerGrades+'!$AI$12,"C-",IF(T361&lt;'PlayerGrades+'!$AI$11,"C",IF(T361&lt;'PlayerGrades+'!$AI$10,"C+",IF(T361&lt;'PlayerGrades+'!$AI$9,"B-",IF(T361&lt;'PlayerGrades+'!$AI$8,"B",IF(T361&lt;'PlayerGrades+'!$AI$7,"B+",IF(T361&lt;'PlayerGrades+'!$AI$6,"A-",IF(T361&lt;'PlayerGrades+'!$AI$5,"A",IF(T361&lt;'PlayerGrades+'!$AI$4,"A+",IF(T361&lt;'PlayerGrades+'!$AI$3,"S-",IF(T361&lt;'PlayerGrades+'!$AI$2,"S","S+"))))))))))))))))))))</f>
        <v>F-</v>
      </c>
      <c r="V361" s="1386"/>
      <c r="W361" s="1386"/>
      <c r="X361" s="1386"/>
      <c r="Y361" s="1386"/>
      <c r="Z361" s="1386"/>
      <c r="AA361" s="1386"/>
      <c r="AB361" s="1386"/>
      <c r="AC361" s="1397"/>
      <c r="AD361" s="1386"/>
      <c r="AE361" s="1386"/>
      <c r="AF361" s="1386"/>
      <c r="AG361" s="1386"/>
      <c r="AH361" s="1386"/>
      <c r="AI361" s="1386"/>
      <c r="AJ361" s="1386"/>
      <c r="AK361" s="1386"/>
      <c r="AL361" s="1386"/>
      <c r="AM361" s="1386"/>
      <c r="AN361" s="1386"/>
      <c r="AO361" s="1386"/>
      <c r="AP361" s="1386"/>
      <c r="AQ361" s="1386"/>
      <c r="AR361" s="1386"/>
      <c r="AS361" s="1386"/>
      <c r="AT361" s="1386"/>
      <c r="AU361" s="1386"/>
      <c r="AV361" s="1386"/>
      <c r="AW361" s="1386"/>
      <c r="AX361" s="1386"/>
      <c r="AY361" s="1386"/>
      <c r="AZ361" s="1386"/>
    </row>
    <row r="362">
      <c r="B362" s="611" t="str">
        <f>IF(C362&lt;'PlayerGrades+'!$Y$44,"F-",IF(C362&lt;'PlayerGrades+'!$Y$43,"F",IF(C362&lt;'PlayerGrades+'!$Y$42,"F+",IF(C362&lt;'PlayerGrades+'!$Y$41,"E-",IF(C362&lt;'PlayerGrades+'!$Y$40,"E",IF(C362&lt;'PlayerGrades+'!$Y$39,"E+",IF(C362&lt;'PlayerGrades+'!$Y$38,"D-",IF(C362&lt;'PlayerGrades+'!$Y$37,"D",IF(C362&lt;'PlayerGrades+'!$Y$36,"D+",IF(C362&lt;'PlayerGrades+'!$Y$35,"C-",IF(C362&lt;'PlayerGrades+'!$Y$34,"C",IF(C362&lt;'PlayerGrades+'!$Y$33,"C+",IF(C362&lt;'PlayerGrades+'!$Y$32,"B-",IF(C362&lt;'PlayerGrades+'!$Y$31,"B",IF(C362&lt;'PlayerGrades+'!$Y$30,"B+",IF(C362&lt;'PlayerGrades+'!$Y$29,"A-",IF(C362&lt;'PlayerGrades+'!$Y$28,"A",IF(C362&lt;'PlayerGrades+'!$Y$27,"A+",IF(C362&lt;'PlayerGrades+'!$Y$26,"S-",IF(C362&lt;'PlayerGrades+'!$Y$25,"S","S+"))))))))))))))))))))</f>
        <v>#DIV/0!</v>
      </c>
      <c r="C362" s="1378" t="str">
        <f>('PlayerGrades+'!$Y$47*(VLOOKUP(E362, 'PlayerGrades+'!$X$3:$Y$23, 2, FALSE)))+('PlayerGrades+'!$Y$48*(VLOOKUP(G362, 'PlayerGrades+'!$X$3:$Y$23, 2, FALSE)))+('PlayerGrades+'!$Y$49*(VLOOKUP(I362, 'PlayerGrades+'!$X$3:$Y$23, 2, FALSE)))+('PlayerGrades+'!$Y$50*(VLOOKUP(K362, 'PlayerGrades+'!$X$3:$Y$23, 2, FALSE)))+('PlayerGrades+'!$Y$51*(VLOOKUP(M362, 'PlayerGrades+'!$X$3:$Y$23, 2, FALSE)))+('PlayerGrades+'!$Y$52*(VLOOKUP(O362, 'PlayerGrades+'!$X$3:$Y$23, 2, FALSE)))+('PlayerGrades+'!$Y$53*(VLOOKUP(Q362, 'PlayerGrades+'!$X$3:$Y$23, 2, FALSE)))+('PlayerGrades+'!$Y$54*(VLOOKUP(S362, 'PlayerGrades+'!$X$3:$Y$23, 2, FALSE)))+('PlayerGrades+'!$Y$55*(VLOOKUP(U362, 'PlayerGrades+'!$X$3:$Y$23, 2, FALSE)))</f>
        <v>#DIV/0!</v>
      </c>
      <c r="D362" s="961" t="str">
        <f t="shared" si="1"/>
        <v>#DIV/0!</v>
      </c>
      <c r="E362" s="961" t="str">
        <f>IF(D362&lt;'PlayerGrades+'!$AA$21,"F-",IF(D362&lt;'PlayerGrades+'!$AA$20,"F",IF(D362&lt;'PlayerGrades+'!$AA$19,"F+",IF(D362&lt;'PlayerGrades+'!$AA$18,"E-",IF(D362&lt;'PlayerGrades+'!$AA$17,"E",IF(D362&lt;'PlayerGrades+'!$AA$16,"E+",IF(D362&lt;'PlayerGrades+'!$AA$15,"D-",IF(D362&lt;'PlayerGrades+'!$AA$14,"D",IF(D362&lt;'PlayerGrades+'!$AA$13,"D+",IF(D362&lt;'PlayerGrades+'!$AA$12,"C-",IF(D362&lt;'PlayerGrades+'!$AA$11,"C",IF(D362&lt;'PlayerGrades+'!$AA$10,"C+",IF(D362&lt;'PlayerGrades+'!$AA$9,"B-",IF(D362&lt;'PlayerGrades+'!$AA$8,"B",IF(D362&lt;'PlayerGrades+'!$AA$7,"B+",IF(D362&lt;'PlayerGrades+'!$AA$6,"A-",IF(D362&lt;'PlayerGrades+'!$AA$5,"A",IF(D362&lt;'PlayerGrades+'!$AA$4,"A+",IF(D362&lt;'PlayerGrades+'!$AA$3,"S-",IF(D362&lt;'PlayerGrades+'!$AA$2,"S","S+"))))))))))))))))))))</f>
        <v>#DIV/0!</v>
      </c>
      <c r="F362" s="961" t="str">
        <f t="shared" si="2"/>
        <v>#DIV/0!</v>
      </c>
      <c r="G362" s="961" t="str">
        <f>IF(F362&lt;'PlayerGrades+'!$AB$21,"F-",IF(F362&lt;'PlayerGrades+'!$AB$20,"F",IF(F362&lt;'PlayerGrades+'!$AB$19,"F+",IF(F362&lt;'PlayerGrades+'!$AB$18,"E-",IF(F362&lt;'PlayerGrades+'!$AB$17,"E",IF(F362&lt;'PlayerGrades+'!$AB$16,"E+",IF(F362&lt;'PlayerGrades+'!$AB$15,"D-",IF(F362&lt;'PlayerGrades+'!$AB$14,"D",IF(F362&lt;'PlayerGrades+'!$AB$13,"D+",IF(F362&lt;'PlayerGrades+'!$AB$12,"C-",IF(F362&lt;'PlayerGrades+'!$AB$11,"C",IF(F362&lt;'PlayerGrades+'!$AB$10,"C+",IF(F362&lt;'PlayerGrades+'!$AB$9,"B-",IF(F362&lt;'PlayerGrades+'!$AB$8,"B",IF(F362&lt;'PlayerGrades+'!$AB$7,"B+",IF(F362&lt;'PlayerGrades+'!$AB$6,"A-",IF(F362&lt;'PlayerGrades+'!$AB$5,"A",IF(F362&lt;'PlayerGrades+'!$AB$4,"A+",IF(F362&lt;'PlayerGrades+'!$AB$3,"S-",IF(F362&lt;'PlayerGrades+'!$AB$2,"S","S+"))))))))))))))))))))</f>
        <v>#DIV/0!</v>
      </c>
      <c r="H362" s="961" t="str">
        <f t="shared" si="3"/>
        <v>#DIV/0!</v>
      </c>
      <c r="I362" s="961" t="str">
        <f>IF(H362&lt;'PlayerGrades+'!$AC$21,"F-",IF(H362&lt;'PlayerGrades+'!$AC$20,"F",IF(H362&lt;'PlayerGrades+'!$AC$19,"F+",IF(H362&lt;'PlayerGrades+'!$AC$18,"E-",IF(H362&lt;'PlayerGrades+'!$AC$17,"E",IF(H362&lt;'PlayerGrades+'!$AC$16,"E+",IF(H362&lt;'PlayerGrades+'!$AC$15,"D-",IF(H362&lt;'PlayerGrades+'!$AC$14,"D",IF(H362&lt;'PlayerGrades+'!$AC$13,"D+",IF(H362&lt;'PlayerGrades+'!$AC$12,"C-",IF(H362&lt;'PlayerGrades+'!$AC$11,"C",IF(H362&lt;'PlayerGrades+'!$AC$10,"C+",IF(H362&lt;'PlayerGrades+'!$AC$9,"B-",IF(H362&lt;'PlayerGrades+'!$AC$8,"B",IF(H362&lt;'PlayerGrades+'!$AC$7,"B+",IF(H362&lt;'PlayerGrades+'!$AC$6,"A-",IF(H362&lt;'PlayerGrades+'!$AC$5,"A",IF(H362&lt;'PlayerGrades+'!$AC$4,"A+",IF(H362&lt;'PlayerGrades+'!$AC$3,"S-",IF(H362&lt;'PlayerGrades+'!$AC$2,"S","S+"))))))))))))))))))))</f>
        <v>#DIV/0!</v>
      </c>
      <c r="J362" s="961" t="str">
        <f t="shared" si="4"/>
        <v>#DIV/0!</v>
      </c>
      <c r="K362" s="961" t="str">
        <f>IF(J362&lt;'PlayerGrades+'!$AD$21,"F-",IF(J362&lt;'PlayerGrades+'!$AD$20,"F",IF(J362&lt;'PlayerGrades+'!$AD$19,"F+",IF(J362&lt;'PlayerGrades+'!$AD$18,"E-",IF(J362&lt;'PlayerGrades+'!$AD$17,"E",IF(J362&lt;'PlayerGrades+'!$AD$16,"E+",IF(J362&lt;'PlayerGrades+'!$AD$15,"D-",IF(J362&lt;'PlayerGrades+'!$AD$14,"D",IF(J362&lt;'PlayerGrades+'!$AD$13,"D+",IF(J362&lt;'PlayerGrades+'!$AD$12,"C-",IF(J362&lt;'PlayerGrades+'!$AD$11,"C",IF(J362&lt;'PlayerGrades+'!$AD$10,"C+",IF(J362&lt;'PlayerGrades+'!$AD$9,"B-",IF(J362&lt;'PlayerGrades+'!$AD$8,"B",IF(J362&lt;'PlayerGrades+'!$AD$7,"B+",IF(J362&lt;'PlayerGrades+'!$AD$6,"A-",IF(J362&lt;'PlayerGrades+'!$AD$5,"A",IF(J362&lt;'PlayerGrades+'!$AD$4,"A+",IF(J362&lt;'PlayerGrades+'!$AD$3,"S-",IF(J362&lt;'PlayerGrades+'!$AD$2,"S","S+"))))))))))))))))))))</f>
        <v>#DIV/0!</v>
      </c>
      <c r="L362" s="1176" t="str">
        <f t="shared" si="5"/>
        <v>#DIV/0!</v>
      </c>
      <c r="M362" s="992" t="str">
        <f>IF(L362&lt;'PlayerGrades+'!$AE$21,"F-",IF(L362&lt;'PlayerGrades+'!$AE$20,"F",IF(L362&lt;'PlayerGrades+'!$AE$19,"F+",IF(L362&lt;'PlayerGrades+'!$AE$18,"E-",IF(L362&lt;'PlayerGrades+'!$AE$17,"E",IF(L362&lt;'PlayerGrades+'!$AE$16,"E+",IF(L362&lt;'PlayerGrades+'!$AE$15,"D-",IF(L362&lt;'PlayerGrades+'!$AE$14,"D",IF(L362&lt;'PlayerGrades+'!$AE$13,"D+",IF(L362&lt;'PlayerGrades+'!$AE$12,"C-",IF(L362&lt;'PlayerGrades+'!$AE$11,"C",IF(L362&lt;'PlayerGrades+'!$AE$10,"C+",IF(L362&lt;'PlayerGrades+'!$AE$9,"B-",IF(L362&lt;'PlayerGrades+'!$AE$8,"B",IF(L362&lt;'PlayerGrades+'!$AE$7,"B+",IF(L362&lt;'PlayerGrades+'!$AE$6,"A-",IF(L362&lt;'PlayerGrades+'!$AE$5,"A",IF(L362&lt;'PlayerGrades+'!$AE$4,"A+",IF(L362&lt;'PlayerGrades+'!$AE$3,"S-",IF(L362&lt;'PlayerGrades+'!$AE$2,"S","S+"))))))))))))))))))))</f>
        <v>#DIV/0!</v>
      </c>
      <c r="N362" s="961" t="str">
        <f t="shared" si="6"/>
        <v>#DIV/0!</v>
      </c>
      <c r="O362" s="961" t="str">
        <f>IF(N362&lt;'PlayerGrades+'!$AF$21,"F-",IF(N362&lt;'PlayerGrades+'!$AF$20,"F",IF(N362&lt;'PlayerGrades+'!$AF$19,"F+",IF(N362&lt;'PlayerGrades+'!$AF$18,"E-",IF(N362&lt;'PlayerGrades+'!$AF$17,"E",IF(N362&lt;'PlayerGrades+'!$AF$16,"E+",IF(N362&lt;'PlayerGrades+'!$AF$15,"D-",IF(N362&lt;'PlayerGrades+'!$AF$14,"D",IF(N362&lt;'PlayerGrades+'!$AF$13,"D+",IF(N362&lt;'PlayerGrades+'!$AF$12,"C-",IF(N362&lt;'PlayerGrades+'!$AF$11,"C",IF(N362&lt;'PlayerGrades+'!$AF$10,"C+",IF(N362&lt;'PlayerGrades+'!$AF$9,"B-",IF(N362&lt;'PlayerGrades+'!$AF$8,"B",IF(N362&lt;'PlayerGrades+'!$AF$7,"B+",IF(N362&lt;'PlayerGrades+'!$AF$6,"A-",IF(N362&lt;'PlayerGrades+'!$AF$5,"A",IF(N362&lt;'PlayerGrades+'!$AF$4,"A+",IF(N362&lt;'PlayerGrades+'!$AF$3,"S-",IF(N362&lt;'PlayerGrades+'!$AF$2,"S","S+"))))))))))))))))))))</f>
        <v>#DIV/0!</v>
      </c>
      <c r="P362" s="961" t="str">
        <f t="shared" si="7"/>
        <v>#DIV/0!</v>
      </c>
      <c r="Q362" s="961" t="str">
        <f>IF(P362&lt;'PlayerGrades+'!$AG$21,"F-",IF(P362&lt;'PlayerGrades+'!$AG$20,"F",IF(P362&lt;'PlayerGrades+'!$AG$19,"F+",IF(P362&lt;'PlayerGrades+'!$AG$18,"E-",IF(P362&lt;'PlayerGrades+'!$AG$17,"E",IF(P362&lt;'PlayerGrades+'!$AG$16,"E+",IF(P362&lt;'PlayerGrades+'!$AG$15,"D-",IF(P362&lt;'PlayerGrades+'!$AG$14,"D",IF(P362&lt;'PlayerGrades+'!$AG$13,"D+",IF(P362&lt;'PlayerGrades+'!$AG$12,"C-",IF(P362&lt;'PlayerGrades+'!$AG$11,"C",IF(P362&lt;'PlayerGrades+'!$AG$10,"C+",IF(P362&lt;'PlayerGrades+'!$AG$9,"B-",IF(P362&lt;'PlayerGrades+'!$AG$8,"B",IF(P362&lt;'PlayerGrades+'!$AG$7,"B+",IF(P362&lt;'PlayerGrades+'!$AG$6,"A-",IF(P362&lt;'PlayerGrades+'!$AG$5,"A",IF(P362&lt;'PlayerGrades+'!$AG$4,"A+",IF(P362&lt;'PlayerGrades+'!$AG$3,"S-",IF(P362&lt;'PlayerGrades+'!$AG$2,"S","S+"))))))))))))))))))))</f>
        <v>#DIV/0!</v>
      </c>
      <c r="R362" s="961" t="str">
        <f t="shared" si="8"/>
        <v>#DIV/0!</v>
      </c>
      <c r="S362" s="961" t="str">
        <f>IF(R362&lt;'PlayerGrades+'!$AH$21,"F-",IF(R362&lt;'PlayerGrades+'!$AH$20,"F",IF(R362&lt;'PlayerGrades+'!$AH$19,"F+",IF(R362&lt;'PlayerGrades+'!$AH$18,"E-",IF(R362&lt;'PlayerGrades+'!$AH$17,"E",IF(R362&lt;'PlayerGrades+'!$AH$16,"E+",IF(R362&lt;'PlayerGrades+'!$AH$15,"D-",IF(R362&lt;'PlayerGrades+'!$AH$14,"D",IF(R362&lt;'PlayerGrades+'!$AH$13,"D+",IF(R362&lt;'PlayerGrades+'!$AH$12,"C-",IF(R362&lt;'PlayerGrades+'!$AH$11,"C",IF(R362&lt;'PlayerGrades+'!$AH$10,"C+",IF(R362&lt;'PlayerGrades+'!$AH$9,"B-",IF(R362&lt;'PlayerGrades+'!$AH$8,"B",IF(R362&lt;'PlayerGrades+'!$AH$7,"B+",IF(R362&lt;'PlayerGrades+'!$AH$6,"A-",IF(R362&lt;'PlayerGrades+'!$AH$5,"A",IF(R362&lt;'PlayerGrades+'!$AH$4,"A+",IF(R362&lt;'PlayerGrades+'!$AH$3,"S-",IF(R362&lt;'PlayerGrades+'!$AH$2,"S","S+"))))))))))))))))))))</f>
        <v>#DIV/0!</v>
      </c>
      <c r="T362" s="961">
        <f t="shared" si="9"/>
        <v>0</v>
      </c>
      <c r="U362" s="961" t="str">
        <f>IF(T362&lt;'PlayerGrades+'!$AI$21,"F-",IF(T362&lt;'PlayerGrades+'!$AI$20,"F",IF(T362&lt;'PlayerGrades+'!$AI$19,"F+",IF(T362&lt;'PlayerGrades+'!$AI$18,"E-",IF(T362&lt;'PlayerGrades+'!$AI$17,"E",IF(T362&lt;'PlayerGrades+'!$AI$16,"E+",IF(T362&lt;'PlayerGrades+'!$AI$15,"D-",IF(T362&lt;'PlayerGrades+'!$AI$14,"D",IF(T362&lt;'PlayerGrades+'!$AI$13,"D+",IF(T362&lt;'PlayerGrades+'!$AI$12,"C-",IF(T362&lt;'PlayerGrades+'!$AI$11,"C",IF(T362&lt;'PlayerGrades+'!$AI$10,"C+",IF(T362&lt;'PlayerGrades+'!$AI$9,"B-",IF(T362&lt;'PlayerGrades+'!$AI$8,"B",IF(T362&lt;'PlayerGrades+'!$AI$7,"B+",IF(T362&lt;'PlayerGrades+'!$AI$6,"A-",IF(T362&lt;'PlayerGrades+'!$AI$5,"A",IF(T362&lt;'PlayerGrades+'!$AI$4,"A+",IF(T362&lt;'PlayerGrades+'!$AI$3,"S-",IF(T362&lt;'PlayerGrades+'!$AI$2,"S","S+"))))))))))))))))))))</f>
        <v>F-</v>
      </c>
      <c r="AC362" s="1392"/>
    </row>
    <row r="363">
      <c r="B363" s="611" t="str">
        <f>IF(C363&lt;'PlayerGrades+'!$Y$44,"F-",IF(C363&lt;'PlayerGrades+'!$Y$43,"F",IF(C363&lt;'PlayerGrades+'!$Y$42,"F+",IF(C363&lt;'PlayerGrades+'!$Y$41,"E-",IF(C363&lt;'PlayerGrades+'!$Y$40,"E",IF(C363&lt;'PlayerGrades+'!$Y$39,"E+",IF(C363&lt;'PlayerGrades+'!$Y$38,"D-",IF(C363&lt;'PlayerGrades+'!$Y$37,"D",IF(C363&lt;'PlayerGrades+'!$Y$36,"D+",IF(C363&lt;'PlayerGrades+'!$Y$35,"C-",IF(C363&lt;'PlayerGrades+'!$Y$34,"C",IF(C363&lt;'PlayerGrades+'!$Y$33,"C+",IF(C363&lt;'PlayerGrades+'!$Y$32,"B-",IF(C363&lt;'PlayerGrades+'!$Y$31,"B",IF(C363&lt;'PlayerGrades+'!$Y$30,"B+",IF(C363&lt;'PlayerGrades+'!$Y$29,"A-",IF(C363&lt;'PlayerGrades+'!$Y$28,"A",IF(C363&lt;'PlayerGrades+'!$Y$27,"A+",IF(C363&lt;'PlayerGrades+'!$Y$26,"S-",IF(C363&lt;'PlayerGrades+'!$Y$25,"S","S+"))))))))))))))))))))</f>
        <v>#DIV/0!</v>
      </c>
      <c r="C363" s="1378" t="str">
        <f>('PlayerGrades+'!$Y$47*(VLOOKUP(E363, 'PlayerGrades+'!$X$3:$Y$23, 2, FALSE)))+('PlayerGrades+'!$Y$48*(VLOOKUP(G363, 'PlayerGrades+'!$X$3:$Y$23, 2, FALSE)))+('PlayerGrades+'!$Y$49*(VLOOKUP(I363, 'PlayerGrades+'!$X$3:$Y$23, 2, FALSE)))+('PlayerGrades+'!$Y$50*(VLOOKUP(K363, 'PlayerGrades+'!$X$3:$Y$23, 2, FALSE)))+('PlayerGrades+'!$Y$51*(VLOOKUP(M363, 'PlayerGrades+'!$X$3:$Y$23, 2, FALSE)))+('PlayerGrades+'!$Y$52*(VLOOKUP(O363, 'PlayerGrades+'!$X$3:$Y$23, 2, FALSE)))+('PlayerGrades+'!$Y$53*(VLOOKUP(Q363, 'PlayerGrades+'!$X$3:$Y$23, 2, FALSE)))+('PlayerGrades+'!$Y$54*(VLOOKUP(S363, 'PlayerGrades+'!$X$3:$Y$23, 2, FALSE)))+('PlayerGrades+'!$Y$55*(VLOOKUP(U363, 'PlayerGrades+'!$X$3:$Y$23, 2, FALSE)))</f>
        <v>#DIV/0!</v>
      </c>
      <c r="D363" s="961" t="str">
        <f t="shared" si="1"/>
        <v>#DIV/0!</v>
      </c>
      <c r="E363" s="961" t="str">
        <f>IF(D363&lt;'PlayerGrades+'!$AA$21,"F-",IF(D363&lt;'PlayerGrades+'!$AA$20,"F",IF(D363&lt;'PlayerGrades+'!$AA$19,"F+",IF(D363&lt;'PlayerGrades+'!$AA$18,"E-",IF(D363&lt;'PlayerGrades+'!$AA$17,"E",IF(D363&lt;'PlayerGrades+'!$AA$16,"E+",IF(D363&lt;'PlayerGrades+'!$AA$15,"D-",IF(D363&lt;'PlayerGrades+'!$AA$14,"D",IF(D363&lt;'PlayerGrades+'!$AA$13,"D+",IF(D363&lt;'PlayerGrades+'!$AA$12,"C-",IF(D363&lt;'PlayerGrades+'!$AA$11,"C",IF(D363&lt;'PlayerGrades+'!$AA$10,"C+",IF(D363&lt;'PlayerGrades+'!$AA$9,"B-",IF(D363&lt;'PlayerGrades+'!$AA$8,"B",IF(D363&lt;'PlayerGrades+'!$AA$7,"B+",IF(D363&lt;'PlayerGrades+'!$AA$6,"A-",IF(D363&lt;'PlayerGrades+'!$AA$5,"A",IF(D363&lt;'PlayerGrades+'!$AA$4,"A+",IF(D363&lt;'PlayerGrades+'!$AA$3,"S-",IF(D363&lt;'PlayerGrades+'!$AA$2,"S","S+"))))))))))))))))))))</f>
        <v>#DIV/0!</v>
      </c>
      <c r="F363" s="961" t="str">
        <f t="shared" si="2"/>
        <v>#DIV/0!</v>
      </c>
      <c r="G363" s="961" t="str">
        <f>IF(F363&lt;'PlayerGrades+'!$AB$21,"F-",IF(F363&lt;'PlayerGrades+'!$AB$20,"F",IF(F363&lt;'PlayerGrades+'!$AB$19,"F+",IF(F363&lt;'PlayerGrades+'!$AB$18,"E-",IF(F363&lt;'PlayerGrades+'!$AB$17,"E",IF(F363&lt;'PlayerGrades+'!$AB$16,"E+",IF(F363&lt;'PlayerGrades+'!$AB$15,"D-",IF(F363&lt;'PlayerGrades+'!$AB$14,"D",IF(F363&lt;'PlayerGrades+'!$AB$13,"D+",IF(F363&lt;'PlayerGrades+'!$AB$12,"C-",IF(F363&lt;'PlayerGrades+'!$AB$11,"C",IF(F363&lt;'PlayerGrades+'!$AB$10,"C+",IF(F363&lt;'PlayerGrades+'!$AB$9,"B-",IF(F363&lt;'PlayerGrades+'!$AB$8,"B",IF(F363&lt;'PlayerGrades+'!$AB$7,"B+",IF(F363&lt;'PlayerGrades+'!$AB$6,"A-",IF(F363&lt;'PlayerGrades+'!$AB$5,"A",IF(F363&lt;'PlayerGrades+'!$AB$4,"A+",IF(F363&lt;'PlayerGrades+'!$AB$3,"S-",IF(F363&lt;'PlayerGrades+'!$AB$2,"S","S+"))))))))))))))))))))</f>
        <v>#DIV/0!</v>
      </c>
      <c r="H363" s="961" t="str">
        <f t="shared" si="3"/>
        <v>#DIV/0!</v>
      </c>
      <c r="I363" s="961" t="str">
        <f>IF(H363&lt;'PlayerGrades+'!$AC$21,"F-",IF(H363&lt;'PlayerGrades+'!$AC$20,"F",IF(H363&lt;'PlayerGrades+'!$AC$19,"F+",IF(H363&lt;'PlayerGrades+'!$AC$18,"E-",IF(H363&lt;'PlayerGrades+'!$AC$17,"E",IF(H363&lt;'PlayerGrades+'!$AC$16,"E+",IF(H363&lt;'PlayerGrades+'!$AC$15,"D-",IF(H363&lt;'PlayerGrades+'!$AC$14,"D",IF(H363&lt;'PlayerGrades+'!$AC$13,"D+",IF(H363&lt;'PlayerGrades+'!$AC$12,"C-",IF(H363&lt;'PlayerGrades+'!$AC$11,"C",IF(H363&lt;'PlayerGrades+'!$AC$10,"C+",IF(H363&lt;'PlayerGrades+'!$AC$9,"B-",IF(H363&lt;'PlayerGrades+'!$AC$8,"B",IF(H363&lt;'PlayerGrades+'!$AC$7,"B+",IF(H363&lt;'PlayerGrades+'!$AC$6,"A-",IF(H363&lt;'PlayerGrades+'!$AC$5,"A",IF(H363&lt;'PlayerGrades+'!$AC$4,"A+",IF(H363&lt;'PlayerGrades+'!$AC$3,"S-",IF(H363&lt;'PlayerGrades+'!$AC$2,"S","S+"))))))))))))))))))))</f>
        <v>#DIV/0!</v>
      </c>
      <c r="J363" s="961" t="str">
        <f t="shared" si="4"/>
        <v>#DIV/0!</v>
      </c>
      <c r="K363" s="961" t="str">
        <f>IF(J363&lt;'PlayerGrades+'!$AD$21,"F-",IF(J363&lt;'PlayerGrades+'!$AD$20,"F",IF(J363&lt;'PlayerGrades+'!$AD$19,"F+",IF(J363&lt;'PlayerGrades+'!$AD$18,"E-",IF(J363&lt;'PlayerGrades+'!$AD$17,"E",IF(J363&lt;'PlayerGrades+'!$AD$16,"E+",IF(J363&lt;'PlayerGrades+'!$AD$15,"D-",IF(J363&lt;'PlayerGrades+'!$AD$14,"D",IF(J363&lt;'PlayerGrades+'!$AD$13,"D+",IF(J363&lt;'PlayerGrades+'!$AD$12,"C-",IF(J363&lt;'PlayerGrades+'!$AD$11,"C",IF(J363&lt;'PlayerGrades+'!$AD$10,"C+",IF(J363&lt;'PlayerGrades+'!$AD$9,"B-",IF(J363&lt;'PlayerGrades+'!$AD$8,"B",IF(J363&lt;'PlayerGrades+'!$AD$7,"B+",IF(J363&lt;'PlayerGrades+'!$AD$6,"A-",IF(J363&lt;'PlayerGrades+'!$AD$5,"A",IF(J363&lt;'PlayerGrades+'!$AD$4,"A+",IF(J363&lt;'PlayerGrades+'!$AD$3,"S-",IF(J363&lt;'PlayerGrades+'!$AD$2,"S","S+"))))))))))))))))))))</f>
        <v>#DIV/0!</v>
      </c>
      <c r="L363" s="1176" t="str">
        <f t="shared" si="5"/>
        <v>#DIV/0!</v>
      </c>
      <c r="M363" s="992" t="str">
        <f>IF(L363&lt;'PlayerGrades+'!$AE$21,"F-",IF(L363&lt;'PlayerGrades+'!$AE$20,"F",IF(L363&lt;'PlayerGrades+'!$AE$19,"F+",IF(L363&lt;'PlayerGrades+'!$AE$18,"E-",IF(L363&lt;'PlayerGrades+'!$AE$17,"E",IF(L363&lt;'PlayerGrades+'!$AE$16,"E+",IF(L363&lt;'PlayerGrades+'!$AE$15,"D-",IF(L363&lt;'PlayerGrades+'!$AE$14,"D",IF(L363&lt;'PlayerGrades+'!$AE$13,"D+",IF(L363&lt;'PlayerGrades+'!$AE$12,"C-",IF(L363&lt;'PlayerGrades+'!$AE$11,"C",IF(L363&lt;'PlayerGrades+'!$AE$10,"C+",IF(L363&lt;'PlayerGrades+'!$AE$9,"B-",IF(L363&lt;'PlayerGrades+'!$AE$8,"B",IF(L363&lt;'PlayerGrades+'!$AE$7,"B+",IF(L363&lt;'PlayerGrades+'!$AE$6,"A-",IF(L363&lt;'PlayerGrades+'!$AE$5,"A",IF(L363&lt;'PlayerGrades+'!$AE$4,"A+",IF(L363&lt;'PlayerGrades+'!$AE$3,"S-",IF(L363&lt;'PlayerGrades+'!$AE$2,"S","S+"))))))))))))))))))))</f>
        <v>#DIV/0!</v>
      </c>
      <c r="N363" s="961" t="str">
        <f t="shared" si="6"/>
        <v>#DIV/0!</v>
      </c>
      <c r="O363" s="961" t="str">
        <f>IF(N363&lt;'PlayerGrades+'!$AF$21,"F-",IF(N363&lt;'PlayerGrades+'!$AF$20,"F",IF(N363&lt;'PlayerGrades+'!$AF$19,"F+",IF(N363&lt;'PlayerGrades+'!$AF$18,"E-",IF(N363&lt;'PlayerGrades+'!$AF$17,"E",IF(N363&lt;'PlayerGrades+'!$AF$16,"E+",IF(N363&lt;'PlayerGrades+'!$AF$15,"D-",IF(N363&lt;'PlayerGrades+'!$AF$14,"D",IF(N363&lt;'PlayerGrades+'!$AF$13,"D+",IF(N363&lt;'PlayerGrades+'!$AF$12,"C-",IF(N363&lt;'PlayerGrades+'!$AF$11,"C",IF(N363&lt;'PlayerGrades+'!$AF$10,"C+",IF(N363&lt;'PlayerGrades+'!$AF$9,"B-",IF(N363&lt;'PlayerGrades+'!$AF$8,"B",IF(N363&lt;'PlayerGrades+'!$AF$7,"B+",IF(N363&lt;'PlayerGrades+'!$AF$6,"A-",IF(N363&lt;'PlayerGrades+'!$AF$5,"A",IF(N363&lt;'PlayerGrades+'!$AF$4,"A+",IF(N363&lt;'PlayerGrades+'!$AF$3,"S-",IF(N363&lt;'PlayerGrades+'!$AF$2,"S","S+"))))))))))))))))))))</f>
        <v>#DIV/0!</v>
      </c>
      <c r="P363" s="961" t="str">
        <f t="shared" si="7"/>
        <v>#DIV/0!</v>
      </c>
      <c r="Q363" s="961" t="str">
        <f>IF(P363&lt;'PlayerGrades+'!$AG$21,"F-",IF(P363&lt;'PlayerGrades+'!$AG$20,"F",IF(P363&lt;'PlayerGrades+'!$AG$19,"F+",IF(P363&lt;'PlayerGrades+'!$AG$18,"E-",IF(P363&lt;'PlayerGrades+'!$AG$17,"E",IF(P363&lt;'PlayerGrades+'!$AG$16,"E+",IF(P363&lt;'PlayerGrades+'!$AG$15,"D-",IF(P363&lt;'PlayerGrades+'!$AG$14,"D",IF(P363&lt;'PlayerGrades+'!$AG$13,"D+",IF(P363&lt;'PlayerGrades+'!$AG$12,"C-",IF(P363&lt;'PlayerGrades+'!$AG$11,"C",IF(P363&lt;'PlayerGrades+'!$AG$10,"C+",IF(P363&lt;'PlayerGrades+'!$AG$9,"B-",IF(P363&lt;'PlayerGrades+'!$AG$8,"B",IF(P363&lt;'PlayerGrades+'!$AG$7,"B+",IF(P363&lt;'PlayerGrades+'!$AG$6,"A-",IF(P363&lt;'PlayerGrades+'!$AG$5,"A",IF(P363&lt;'PlayerGrades+'!$AG$4,"A+",IF(P363&lt;'PlayerGrades+'!$AG$3,"S-",IF(P363&lt;'PlayerGrades+'!$AG$2,"S","S+"))))))))))))))))))))</f>
        <v>#DIV/0!</v>
      </c>
      <c r="R363" s="961" t="str">
        <f t="shared" si="8"/>
        <v>#DIV/0!</v>
      </c>
      <c r="S363" s="961" t="str">
        <f>IF(R363&lt;'PlayerGrades+'!$AH$21,"F-",IF(R363&lt;'PlayerGrades+'!$AH$20,"F",IF(R363&lt;'PlayerGrades+'!$AH$19,"F+",IF(R363&lt;'PlayerGrades+'!$AH$18,"E-",IF(R363&lt;'PlayerGrades+'!$AH$17,"E",IF(R363&lt;'PlayerGrades+'!$AH$16,"E+",IF(R363&lt;'PlayerGrades+'!$AH$15,"D-",IF(R363&lt;'PlayerGrades+'!$AH$14,"D",IF(R363&lt;'PlayerGrades+'!$AH$13,"D+",IF(R363&lt;'PlayerGrades+'!$AH$12,"C-",IF(R363&lt;'PlayerGrades+'!$AH$11,"C",IF(R363&lt;'PlayerGrades+'!$AH$10,"C+",IF(R363&lt;'PlayerGrades+'!$AH$9,"B-",IF(R363&lt;'PlayerGrades+'!$AH$8,"B",IF(R363&lt;'PlayerGrades+'!$AH$7,"B+",IF(R363&lt;'PlayerGrades+'!$AH$6,"A-",IF(R363&lt;'PlayerGrades+'!$AH$5,"A",IF(R363&lt;'PlayerGrades+'!$AH$4,"A+",IF(R363&lt;'PlayerGrades+'!$AH$3,"S-",IF(R363&lt;'PlayerGrades+'!$AH$2,"S","S+"))))))))))))))))))))</f>
        <v>#DIV/0!</v>
      </c>
      <c r="T363" s="961">
        <f t="shared" si="9"/>
        <v>0</v>
      </c>
      <c r="U363" s="961" t="str">
        <f>IF(T363&lt;'PlayerGrades+'!$AI$21,"F-",IF(T363&lt;'PlayerGrades+'!$AI$20,"F",IF(T363&lt;'PlayerGrades+'!$AI$19,"F+",IF(T363&lt;'PlayerGrades+'!$AI$18,"E-",IF(T363&lt;'PlayerGrades+'!$AI$17,"E",IF(T363&lt;'PlayerGrades+'!$AI$16,"E+",IF(T363&lt;'PlayerGrades+'!$AI$15,"D-",IF(T363&lt;'PlayerGrades+'!$AI$14,"D",IF(T363&lt;'PlayerGrades+'!$AI$13,"D+",IF(T363&lt;'PlayerGrades+'!$AI$12,"C-",IF(T363&lt;'PlayerGrades+'!$AI$11,"C",IF(T363&lt;'PlayerGrades+'!$AI$10,"C+",IF(T363&lt;'PlayerGrades+'!$AI$9,"B-",IF(T363&lt;'PlayerGrades+'!$AI$8,"B",IF(T363&lt;'PlayerGrades+'!$AI$7,"B+",IF(T363&lt;'PlayerGrades+'!$AI$6,"A-",IF(T363&lt;'PlayerGrades+'!$AI$5,"A",IF(T363&lt;'PlayerGrades+'!$AI$4,"A+",IF(T363&lt;'PlayerGrades+'!$AI$3,"S-",IF(T363&lt;'PlayerGrades+'!$AI$2,"S","S+"))))))))))))))))))))</f>
        <v>F-</v>
      </c>
      <c r="AC363" s="1392"/>
    </row>
    <row r="364">
      <c r="B364" s="611" t="str">
        <f>IF(C364&lt;'PlayerGrades+'!$Y$44,"F-",IF(C364&lt;'PlayerGrades+'!$Y$43,"F",IF(C364&lt;'PlayerGrades+'!$Y$42,"F+",IF(C364&lt;'PlayerGrades+'!$Y$41,"E-",IF(C364&lt;'PlayerGrades+'!$Y$40,"E",IF(C364&lt;'PlayerGrades+'!$Y$39,"E+",IF(C364&lt;'PlayerGrades+'!$Y$38,"D-",IF(C364&lt;'PlayerGrades+'!$Y$37,"D",IF(C364&lt;'PlayerGrades+'!$Y$36,"D+",IF(C364&lt;'PlayerGrades+'!$Y$35,"C-",IF(C364&lt;'PlayerGrades+'!$Y$34,"C",IF(C364&lt;'PlayerGrades+'!$Y$33,"C+",IF(C364&lt;'PlayerGrades+'!$Y$32,"B-",IF(C364&lt;'PlayerGrades+'!$Y$31,"B",IF(C364&lt;'PlayerGrades+'!$Y$30,"B+",IF(C364&lt;'PlayerGrades+'!$Y$29,"A-",IF(C364&lt;'PlayerGrades+'!$Y$28,"A",IF(C364&lt;'PlayerGrades+'!$Y$27,"A+",IF(C364&lt;'PlayerGrades+'!$Y$26,"S-",IF(C364&lt;'PlayerGrades+'!$Y$25,"S","S+"))))))))))))))))))))</f>
        <v>#DIV/0!</v>
      </c>
      <c r="C364" s="1378" t="str">
        <f>('PlayerGrades+'!$Y$47*(VLOOKUP(E364, 'PlayerGrades+'!$X$3:$Y$23, 2, FALSE)))+('PlayerGrades+'!$Y$48*(VLOOKUP(G364, 'PlayerGrades+'!$X$3:$Y$23, 2, FALSE)))+('PlayerGrades+'!$Y$49*(VLOOKUP(I364, 'PlayerGrades+'!$X$3:$Y$23, 2, FALSE)))+('PlayerGrades+'!$Y$50*(VLOOKUP(K364, 'PlayerGrades+'!$X$3:$Y$23, 2, FALSE)))+('PlayerGrades+'!$Y$51*(VLOOKUP(M364, 'PlayerGrades+'!$X$3:$Y$23, 2, FALSE)))+('PlayerGrades+'!$Y$52*(VLOOKUP(O364, 'PlayerGrades+'!$X$3:$Y$23, 2, FALSE)))+('PlayerGrades+'!$Y$53*(VLOOKUP(Q364, 'PlayerGrades+'!$X$3:$Y$23, 2, FALSE)))+('PlayerGrades+'!$Y$54*(VLOOKUP(S364, 'PlayerGrades+'!$X$3:$Y$23, 2, FALSE)))+('PlayerGrades+'!$Y$55*(VLOOKUP(U364, 'PlayerGrades+'!$X$3:$Y$23, 2, FALSE)))</f>
        <v>#DIV/0!</v>
      </c>
      <c r="D364" s="961" t="str">
        <f t="shared" si="1"/>
        <v>#DIV/0!</v>
      </c>
      <c r="E364" s="961" t="str">
        <f>IF(D364&lt;'PlayerGrades+'!$AA$21,"F-",IF(D364&lt;'PlayerGrades+'!$AA$20,"F",IF(D364&lt;'PlayerGrades+'!$AA$19,"F+",IF(D364&lt;'PlayerGrades+'!$AA$18,"E-",IF(D364&lt;'PlayerGrades+'!$AA$17,"E",IF(D364&lt;'PlayerGrades+'!$AA$16,"E+",IF(D364&lt;'PlayerGrades+'!$AA$15,"D-",IF(D364&lt;'PlayerGrades+'!$AA$14,"D",IF(D364&lt;'PlayerGrades+'!$AA$13,"D+",IF(D364&lt;'PlayerGrades+'!$AA$12,"C-",IF(D364&lt;'PlayerGrades+'!$AA$11,"C",IF(D364&lt;'PlayerGrades+'!$AA$10,"C+",IF(D364&lt;'PlayerGrades+'!$AA$9,"B-",IF(D364&lt;'PlayerGrades+'!$AA$8,"B",IF(D364&lt;'PlayerGrades+'!$AA$7,"B+",IF(D364&lt;'PlayerGrades+'!$AA$6,"A-",IF(D364&lt;'PlayerGrades+'!$AA$5,"A",IF(D364&lt;'PlayerGrades+'!$AA$4,"A+",IF(D364&lt;'PlayerGrades+'!$AA$3,"S-",IF(D364&lt;'PlayerGrades+'!$AA$2,"S","S+"))))))))))))))))))))</f>
        <v>#DIV/0!</v>
      </c>
      <c r="F364" s="961" t="str">
        <f t="shared" si="2"/>
        <v>#DIV/0!</v>
      </c>
      <c r="G364" s="961" t="str">
        <f>IF(F364&lt;'PlayerGrades+'!$AB$21,"F-",IF(F364&lt;'PlayerGrades+'!$AB$20,"F",IF(F364&lt;'PlayerGrades+'!$AB$19,"F+",IF(F364&lt;'PlayerGrades+'!$AB$18,"E-",IF(F364&lt;'PlayerGrades+'!$AB$17,"E",IF(F364&lt;'PlayerGrades+'!$AB$16,"E+",IF(F364&lt;'PlayerGrades+'!$AB$15,"D-",IF(F364&lt;'PlayerGrades+'!$AB$14,"D",IF(F364&lt;'PlayerGrades+'!$AB$13,"D+",IF(F364&lt;'PlayerGrades+'!$AB$12,"C-",IF(F364&lt;'PlayerGrades+'!$AB$11,"C",IF(F364&lt;'PlayerGrades+'!$AB$10,"C+",IF(F364&lt;'PlayerGrades+'!$AB$9,"B-",IF(F364&lt;'PlayerGrades+'!$AB$8,"B",IF(F364&lt;'PlayerGrades+'!$AB$7,"B+",IF(F364&lt;'PlayerGrades+'!$AB$6,"A-",IF(F364&lt;'PlayerGrades+'!$AB$5,"A",IF(F364&lt;'PlayerGrades+'!$AB$4,"A+",IF(F364&lt;'PlayerGrades+'!$AB$3,"S-",IF(F364&lt;'PlayerGrades+'!$AB$2,"S","S+"))))))))))))))))))))</f>
        <v>#DIV/0!</v>
      </c>
      <c r="H364" s="961" t="str">
        <f t="shared" si="3"/>
        <v>#DIV/0!</v>
      </c>
      <c r="I364" s="961" t="str">
        <f>IF(H364&lt;'PlayerGrades+'!$AC$21,"F-",IF(H364&lt;'PlayerGrades+'!$AC$20,"F",IF(H364&lt;'PlayerGrades+'!$AC$19,"F+",IF(H364&lt;'PlayerGrades+'!$AC$18,"E-",IF(H364&lt;'PlayerGrades+'!$AC$17,"E",IF(H364&lt;'PlayerGrades+'!$AC$16,"E+",IF(H364&lt;'PlayerGrades+'!$AC$15,"D-",IF(H364&lt;'PlayerGrades+'!$AC$14,"D",IF(H364&lt;'PlayerGrades+'!$AC$13,"D+",IF(H364&lt;'PlayerGrades+'!$AC$12,"C-",IF(H364&lt;'PlayerGrades+'!$AC$11,"C",IF(H364&lt;'PlayerGrades+'!$AC$10,"C+",IF(H364&lt;'PlayerGrades+'!$AC$9,"B-",IF(H364&lt;'PlayerGrades+'!$AC$8,"B",IF(H364&lt;'PlayerGrades+'!$AC$7,"B+",IF(H364&lt;'PlayerGrades+'!$AC$6,"A-",IF(H364&lt;'PlayerGrades+'!$AC$5,"A",IF(H364&lt;'PlayerGrades+'!$AC$4,"A+",IF(H364&lt;'PlayerGrades+'!$AC$3,"S-",IF(H364&lt;'PlayerGrades+'!$AC$2,"S","S+"))))))))))))))))))))</f>
        <v>#DIV/0!</v>
      </c>
      <c r="J364" s="961" t="str">
        <f t="shared" si="4"/>
        <v>#DIV/0!</v>
      </c>
      <c r="K364" s="961" t="str">
        <f>IF(J364&lt;'PlayerGrades+'!$AD$21,"F-",IF(J364&lt;'PlayerGrades+'!$AD$20,"F",IF(J364&lt;'PlayerGrades+'!$AD$19,"F+",IF(J364&lt;'PlayerGrades+'!$AD$18,"E-",IF(J364&lt;'PlayerGrades+'!$AD$17,"E",IF(J364&lt;'PlayerGrades+'!$AD$16,"E+",IF(J364&lt;'PlayerGrades+'!$AD$15,"D-",IF(J364&lt;'PlayerGrades+'!$AD$14,"D",IF(J364&lt;'PlayerGrades+'!$AD$13,"D+",IF(J364&lt;'PlayerGrades+'!$AD$12,"C-",IF(J364&lt;'PlayerGrades+'!$AD$11,"C",IF(J364&lt;'PlayerGrades+'!$AD$10,"C+",IF(J364&lt;'PlayerGrades+'!$AD$9,"B-",IF(J364&lt;'PlayerGrades+'!$AD$8,"B",IF(J364&lt;'PlayerGrades+'!$AD$7,"B+",IF(J364&lt;'PlayerGrades+'!$AD$6,"A-",IF(J364&lt;'PlayerGrades+'!$AD$5,"A",IF(J364&lt;'PlayerGrades+'!$AD$4,"A+",IF(J364&lt;'PlayerGrades+'!$AD$3,"S-",IF(J364&lt;'PlayerGrades+'!$AD$2,"S","S+"))))))))))))))))))))</f>
        <v>#DIV/0!</v>
      </c>
      <c r="L364" s="1176" t="str">
        <f t="shared" si="5"/>
        <v>#DIV/0!</v>
      </c>
      <c r="M364" s="992" t="str">
        <f>IF(L364&lt;'PlayerGrades+'!$AE$21,"F-",IF(L364&lt;'PlayerGrades+'!$AE$20,"F",IF(L364&lt;'PlayerGrades+'!$AE$19,"F+",IF(L364&lt;'PlayerGrades+'!$AE$18,"E-",IF(L364&lt;'PlayerGrades+'!$AE$17,"E",IF(L364&lt;'PlayerGrades+'!$AE$16,"E+",IF(L364&lt;'PlayerGrades+'!$AE$15,"D-",IF(L364&lt;'PlayerGrades+'!$AE$14,"D",IF(L364&lt;'PlayerGrades+'!$AE$13,"D+",IF(L364&lt;'PlayerGrades+'!$AE$12,"C-",IF(L364&lt;'PlayerGrades+'!$AE$11,"C",IF(L364&lt;'PlayerGrades+'!$AE$10,"C+",IF(L364&lt;'PlayerGrades+'!$AE$9,"B-",IF(L364&lt;'PlayerGrades+'!$AE$8,"B",IF(L364&lt;'PlayerGrades+'!$AE$7,"B+",IF(L364&lt;'PlayerGrades+'!$AE$6,"A-",IF(L364&lt;'PlayerGrades+'!$AE$5,"A",IF(L364&lt;'PlayerGrades+'!$AE$4,"A+",IF(L364&lt;'PlayerGrades+'!$AE$3,"S-",IF(L364&lt;'PlayerGrades+'!$AE$2,"S","S+"))))))))))))))))))))</f>
        <v>#DIV/0!</v>
      </c>
      <c r="N364" s="961" t="str">
        <f t="shared" si="6"/>
        <v>#DIV/0!</v>
      </c>
      <c r="O364" s="961" t="str">
        <f>IF(N364&lt;'PlayerGrades+'!$AF$21,"F-",IF(N364&lt;'PlayerGrades+'!$AF$20,"F",IF(N364&lt;'PlayerGrades+'!$AF$19,"F+",IF(N364&lt;'PlayerGrades+'!$AF$18,"E-",IF(N364&lt;'PlayerGrades+'!$AF$17,"E",IF(N364&lt;'PlayerGrades+'!$AF$16,"E+",IF(N364&lt;'PlayerGrades+'!$AF$15,"D-",IF(N364&lt;'PlayerGrades+'!$AF$14,"D",IF(N364&lt;'PlayerGrades+'!$AF$13,"D+",IF(N364&lt;'PlayerGrades+'!$AF$12,"C-",IF(N364&lt;'PlayerGrades+'!$AF$11,"C",IF(N364&lt;'PlayerGrades+'!$AF$10,"C+",IF(N364&lt;'PlayerGrades+'!$AF$9,"B-",IF(N364&lt;'PlayerGrades+'!$AF$8,"B",IF(N364&lt;'PlayerGrades+'!$AF$7,"B+",IF(N364&lt;'PlayerGrades+'!$AF$6,"A-",IF(N364&lt;'PlayerGrades+'!$AF$5,"A",IF(N364&lt;'PlayerGrades+'!$AF$4,"A+",IF(N364&lt;'PlayerGrades+'!$AF$3,"S-",IF(N364&lt;'PlayerGrades+'!$AF$2,"S","S+"))))))))))))))))))))</f>
        <v>#DIV/0!</v>
      </c>
      <c r="P364" s="961" t="str">
        <f t="shared" si="7"/>
        <v>#DIV/0!</v>
      </c>
      <c r="Q364" s="961" t="str">
        <f>IF(P364&lt;'PlayerGrades+'!$AG$21,"F-",IF(P364&lt;'PlayerGrades+'!$AG$20,"F",IF(P364&lt;'PlayerGrades+'!$AG$19,"F+",IF(P364&lt;'PlayerGrades+'!$AG$18,"E-",IF(P364&lt;'PlayerGrades+'!$AG$17,"E",IF(P364&lt;'PlayerGrades+'!$AG$16,"E+",IF(P364&lt;'PlayerGrades+'!$AG$15,"D-",IF(P364&lt;'PlayerGrades+'!$AG$14,"D",IF(P364&lt;'PlayerGrades+'!$AG$13,"D+",IF(P364&lt;'PlayerGrades+'!$AG$12,"C-",IF(P364&lt;'PlayerGrades+'!$AG$11,"C",IF(P364&lt;'PlayerGrades+'!$AG$10,"C+",IF(P364&lt;'PlayerGrades+'!$AG$9,"B-",IF(P364&lt;'PlayerGrades+'!$AG$8,"B",IF(P364&lt;'PlayerGrades+'!$AG$7,"B+",IF(P364&lt;'PlayerGrades+'!$AG$6,"A-",IF(P364&lt;'PlayerGrades+'!$AG$5,"A",IF(P364&lt;'PlayerGrades+'!$AG$4,"A+",IF(P364&lt;'PlayerGrades+'!$AG$3,"S-",IF(P364&lt;'PlayerGrades+'!$AG$2,"S","S+"))))))))))))))))))))</f>
        <v>#DIV/0!</v>
      </c>
      <c r="R364" s="961" t="str">
        <f t="shared" si="8"/>
        <v>#DIV/0!</v>
      </c>
      <c r="S364" s="961" t="str">
        <f>IF(R364&lt;'PlayerGrades+'!$AH$21,"F-",IF(R364&lt;'PlayerGrades+'!$AH$20,"F",IF(R364&lt;'PlayerGrades+'!$AH$19,"F+",IF(R364&lt;'PlayerGrades+'!$AH$18,"E-",IF(R364&lt;'PlayerGrades+'!$AH$17,"E",IF(R364&lt;'PlayerGrades+'!$AH$16,"E+",IF(R364&lt;'PlayerGrades+'!$AH$15,"D-",IF(R364&lt;'PlayerGrades+'!$AH$14,"D",IF(R364&lt;'PlayerGrades+'!$AH$13,"D+",IF(R364&lt;'PlayerGrades+'!$AH$12,"C-",IF(R364&lt;'PlayerGrades+'!$AH$11,"C",IF(R364&lt;'PlayerGrades+'!$AH$10,"C+",IF(R364&lt;'PlayerGrades+'!$AH$9,"B-",IF(R364&lt;'PlayerGrades+'!$AH$8,"B",IF(R364&lt;'PlayerGrades+'!$AH$7,"B+",IF(R364&lt;'PlayerGrades+'!$AH$6,"A-",IF(R364&lt;'PlayerGrades+'!$AH$5,"A",IF(R364&lt;'PlayerGrades+'!$AH$4,"A+",IF(R364&lt;'PlayerGrades+'!$AH$3,"S-",IF(R364&lt;'PlayerGrades+'!$AH$2,"S","S+"))))))))))))))))))))</f>
        <v>#DIV/0!</v>
      </c>
      <c r="T364" s="961">
        <f t="shared" si="9"/>
        <v>0</v>
      </c>
      <c r="U364" s="961" t="str">
        <f>IF(T364&lt;'PlayerGrades+'!$AI$21,"F-",IF(T364&lt;'PlayerGrades+'!$AI$20,"F",IF(T364&lt;'PlayerGrades+'!$AI$19,"F+",IF(T364&lt;'PlayerGrades+'!$AI$18,"E-",IF(T364&lt;'PlayerGrades+'!$AI$17,"E",IF(T364&lt;'PlayerGrades+'!$AI$16,"E+",IF(T364&lt;'PlayerGrades+'!$AI$15,"D-",IF(T364&lt;'PlayerGrades+'!$AI$14,"D",IF(T364&lt;'PlayerGrades+'!$AI$13,"D+",IF(T364&lt;'PlayerGrades+'!$AI$12,"C-",IF(T364&lt;'PlayerGrades+'!$AI$11,"C",IF(T364&lt;'PlayerGrades+'!$AI$10,"C+",IF(T364&lt;'PlayerGrades+'!$AI$9,"B-",IF(T364&lt;'PlayerGrades+'!$AI$8,"B",IF(T364&lt;'PlayerGrades+'!$AI$7,"B+",IF(T364&lt;'PlayerGrades+'!$AI$6,"A-",IF(T364&lt;'PlayerGrades+'!$AI$5,"A",IF(T364&lt;'PlayerGrades+'!$AI$4,"A+",IF(T364&lt;'PlayerGrades+'!$AI$3,"S-",IF(T364&lt;'PlayerGrades+'!$AI$2,"S","S+"))))))))))))))))))))</f>
        <v>F-</v>
      </c>
      <c r="AC364" s="1392"/>
    </row>
    <row r="365">
      <c r="B365" s="611" t="str">
        <f>IF(C365&lt;'PlayerGrades+'!$Y$44,"F-",IF(C365&lt;'PlayerGrades+'!$Y$43,"F",IF(C365&lt;'PlayerGrades+'!$Y$42,"F+",IF(C365&lt;'PlayerGrades+'!$Y$41,"E-",IF(C365&lt;'PlayerGrades+'!$Y$40,"E",IF(C365&lt;'PlayerGrades+'!$Y$39,"E+",IF(C365&lt;'PlayerGrades+'!$Y$38,"D-",IF(C365&lt;'PlayerGrades+'!$Y$37,"D",IF(C365&lt;'PlayerGrades+'!$Y$36,"D+",IF(C365&lt;'PlayerGrades+'!$Y$35,"C-",IF(C365&lt;'PlayerGrades+'!$Y$34,"C",IF(C365&lt;'PlayerGrades+'!$Y$33,"C+",IF(C365&lt;'PlayerGrades+'!$Y$32,"B-",IF(C365&lt;'PlayerGrades+'!$Y$31,"B",IF(C365&lt;'PlayerGrades+'!$Y$30,"B+",IF(C365&lt;'PlayerGrades+'!$Y$29,"A-",IF(C365&lt;'PlayerGrades+'!$Y$28,"A",IF(C365&lt;'PlayerGrades+'!$Y$27,"A+",IF(C365&lt;'PlayerGrades+'!$Y$26,"S-",IF(C365&lt;'PlayerGrades+'!$Y$25,"S","S+"))))))))))))))))))))</f>
        <v>#DIV/0!</v>
      </c>
      <c r="C365" s="1378" t="str">
        <f>('PlayerGrades+'!$Y$47*(VLOOKUP(E365, 'PlayerGrades+'!$X$3:$Y$23, 2, FALSE)))+('PlayerGrades+'!$Y$48*(VLOOKUP(G365, 'PlayerGrades+'!$X$3:$Y$23, 2, FALSE)))+('PlayerGrades+'!$Y$49*(VLOOKUP(I365, 'PlayerGrades+'!$X$3:$Y$23, 2, FALSE)))+('PlayerGrades+'!$Y$50*(VLOOKUP(K365, 'PlayerGrades+'!$X$3:$Y$23, 2, FALSE)))+('PlayerGrades+'!$Y$51*(VLOOKUP(M365, 'PlayerGrades+'!$X$3:$Y$23, 2, FALSE)))+('PlayerGrades+'!$Y$52*(VLOOKUP(O365, 'PlayerGrades+'!$X$3:$Y$23, 2, FALSE)))+('PlayerGrades+'!$Y$53*(VLOOKUP(Q365, 'PlayerGrades+'!$X$3:$Y$23, 2, FALSE)))+('PlayerGrades+'!$Y$54*(VLOOKUP(S365, 'PlayerGrades+'!$X$3:$Y$23, 2, FALSE)))+('PlayerGrades+'!$Y$55*(VLOOKUP(U365, 'PlayerGrades+'!$X$3:$Y$23, 2, FALSE)))</f>
        <v>#DIV/0!</v>
      </c>
      <c r="D365" s="961" t="str">
        <f t="shared" si="1"/>
        <v>#DIV/0!</v>
      </c>
      <c r="E365" s="961" t="str">
        <f>IF(D365&lt;'PlayerGrades+'!$AA$21,"F-",IF(D365&lt;'PlayerGrades+'!$AA$20,"F",IF(D365&lt;'PlayerGrades+'!$AA$19,"F+",IF(D365&lt;'PlayerGrades+'!$AA$18,"E-",IF(D365&lt;'PlayerGrades+'!$AA$17,"E",IF(D365&lt;'PlayerGrades+'!$AA$16,"E+",IF(D365&lt;'PlayerGrades+'!$AA$15,"D-",IF(D365&lt;'PlayerGrades+'!$AA$14,"D",IF(D365&lt;'PlayerGrades+'!$AA$13,"D+",IF(D365&lt;'PlayerGrades+'!$AA$12,"C-",IF(D365&lt;'PlayerGrades+'!$AA$11,"C",IF(D365&lt;'PlayerGrades+'!$AA$10,"C+",IF(D365&lt;'PlayerGrades+'!$AA$9,"B-",IF(D365&lt;'PlayerGrades+'!$AA$8,"B",IF(D365&lt;'PlayerGrades+'!$AA$7,"B+",IF(D365&lt;'PlayerGrades+'!$AA$6,"A-",IF(D365&lt;'PlayerGrades+'!$AA$5,"A",IF(D365&lt;'PlayerGrades+'!$AA$4,"A+",IF(D365&lt;'PlayerGrades+'!$AA$3,"S-",IF(D365&lt;'PlayerGrades+'!$AA$2,"S","S+"))))))))))))))))))))</f>
        <v>#DIV/0!</v>
      </c>
      <c r="F365" s="961" t="str">
        <f t="shared" si="2"/>
        <v>#DIV/0!</v>
      </c>
      <c r="G365" s="961" t="str">
        <f>IF(F365&lt;'PlayerGrades+'!$AB$21,"F-",IF(F365&lt;'PlayerGrades+'!$AB$20,"F",IF(F365&lt;'PlayerGrades+'!$AB$19,"F+",IF(F365&lt;'PlayerGrades+'!$AB$18,"E-",IF(F365&lt;'PlayerGrades+'!$AB$17,"E",IF(F365&lt;'PlayerGrades+'!$AB$16,"E+",IF(F365&lt;'PlayerGrades+'!$AB$15,"D-",IF(F365&lt;'PlayerGrades+'!$AB$14,"D",IF(F365&lt;'PlayerGrades+'!$AB$13,"D+",IF(F365&lt;'PlayerGrades+'!$AB$12,"C-",IF(F365&lt;'PlayerGrades+'!$AB$11,"C",IF(F365&lt;'PlayerGrades+'!$AB$10,"C+",IF(F365&lt;'PlayerGrades+'!$AB$9,"B-",IF(F365&lt;'PlayerGrades+'!$AB$8,"B",IF(F365&lt;'PlayerGrades+'!$AB$7,"B+",IF(F365&lt;'PlayerGrades+'!$AB$6,"A-",IF(F365&lt;'PlayerGrades+'!$AB$5,"A",IF(F365&lt;'PlayerGrades+'!$AB$4,"A+",IF(F365&lt;'PlayerGrades+'!$AB$3,"S-",IF(F365&lt;'PlayerGrades+'!$AB$2,"S","S+"))))))))))))))))))))</f>
        <v>#DIV/0!</v>
      </c>
      <c r="H365" s="961" t="str">
        <f t="shared" si="3"/>
        <v>#DIV/0!</v>
      </c>
      <c r="I365" s="961" t="str">
        <f>IF(H365&lt;'PlayerGrades+'!$AC$21,"F-",IF(H365&lt;'PlayerGrades+'!$AC$20,"F",IF(H365&lt;'PlayerGrades+'!$AC$19,"F+",IF(H365&lt;'PlayerGrades+'!$AC$18,"E-",IF(H365&lt;'PlayerGrades+'!$AC$17,"E",IF(H365&lt;'PlayerGrades+'!$AC$16,"E+",IF(H365&lt;'PlayerGrades+'!$AC$15,"D-",IF(H365&lt;'PlayerGrades+'!$AC$14,"D",IF(H365&lt;'PlayerGrades+'!$AC$13,"D+",IF(H365&lt;'PlayerGrades+'!$AC$12,"C-",IF(H365&lt;'PlayerGrades+'!$AC$11,"C",IF(H365&lt;'PlayerGrades+'!$AC$10,"C+",IF(H365&lt;'PlayerGrades+'!$AC$9,"B-",IF(H365&lt;'PlayerGrades+'!$AC$8,"B",IF(H365&lt;'PlayerGrades+'!$AC$7,"B+",IF(H365&lt;'PlayerGrades+'!$AC$6,"A-",IF(H365&lt;'PlayerGrades+'!$AC$5,"A",IF(H365&lt;'PlayerGrades+'!$AC$4,"A+",IF(H365&lt;'PlayerGrades+'!$AC$3,"S-",IF(H365&lt;'PlayerGrades+'!$AC$2,"S","S+"))))))))))))))))))))</f>
        <v>#DIV/0!</v>
      </c>
      <c r="J365" s="961" t="str">
        <f t="shared" si="4"/>
        <v>#DIV/0!</v>
      </c>
      <c r="K365" s="961" t="str">
        <f>IF(J365&lt;'PlayerGrades+'!$AD$21,"F-",IF(J365&lt;'PlayerGrades+'!$AD$20,"F",IF(J365&lt;'PlayerGrades+'!$AD$19,"F+",IF(J365&lt;'PlayerGrades+'!$AD$18,"E-",IF(J365&lt;'PlayerGrades+'!$AD$17,"E",IF(J365&lt;'PlayerGrades+'!$AD$16,"E+",IF(J365&lt;'PlayerGrades+'!$AD$15,"D-",IF(J365&lt;'PlayerGrades+'!$AD$14,"D",IF(J365&lt;'PlayerGrades+'!$AD$13,"D+",IF(J365&lt;'PlayerGrades+'!$AD$12,"C-",IF(J365&lt;'PlayerGrades+'!$AD$11,"C",IF(J365&lt;'PlayerGrades+'!$AD$10,"C+",IF(J365&lt;'PlayerGrades+'!$AD$9,"B-",IF(J365&lt;'PlayerGrades+'!$AD$8,"B",IF(J365&lt;'PlayerGrades+'!$AD$7,"B+",IF(J365&lt;'PlayerGrades+'!$AD$6,"A-",IF(J365&lt;'PlayerGrades+'!$AD$5,"A",IF(J365&lt;'PlayerGrades+'!$AD$4,"A+",IF(J365&lt;'PlayerGrades+'!$AD$3,"S-",IF(J365&lt;'PlayerGrades+'!$AD$2,"S","S+"))))))))))))))))))))</f>
        <v>#DIV/0!</v>
      </c>
      <c r="L365" s="1176" t="str">
        <f t="shared" si="5"/>
        <v>#DIV/0!</v>
      </c>
      <c r="M365" s="992" t="str">
        <f>IF(L365&lt;'PlayerGrades+'!$AE$21,"F-",IF(L365&lt;'PlayerGrades+'!$AE$20,"F",IF(L365&lt;'PlayerGrades+'!$AE$19,"F+",IF(L365&lt;'PlayerGrades+'!$AE$18,"E-",IF(L365&lt;'PlayerGrades+'!$AE$17,"E",IF(L365&lt;'PlayerGrades+'!$AE$16,"E+",IF(L365&lt;'PlayerGrades+'!$AE$15,"D-",IF(L365&lt;'PlayerGrades+'!$AE$14,"D",IF(L365&lt;'PlayerGrades+'!$AE$13,"D+",IF(L365&lt;'PlayerGrades+'!$AE$12,"C-",IF(L365&lt;'PlayerGrades+'!$AE$11,"C",IF(L365&lt;'PlayerGrades+'!$AE$10,"C+",IF(L365&lt;'PlayerGrades+'!$AE$9,"B-",IF(L365&lt;'PlayerGrades+'!$AE$8,"B",IF(L365&lt;'PlayerGrades+'!$AE$7,"B+",IF(L365&lt;'PlayerGrades+'!$AE$6,"A-",IF(L365&lt;'PlayerGrades+'!$AE$5,"A",IF(L365&lt;'PlayerGrades+'!$AE$4,"A+",IF(L365&lt;'PlayerGrades+'!$AE$3,"S-",IF(L365&lt;'PlayerGrades+'!$AE$2,"S","S+"))))))))))))))))))))</f>
        <v>#DIV/0!</v>
      </c>
      <c r="N365" s="961" t="str">
        <f t="shared" si="6"/>
        <v>#DIV/0!</v>
      </c>
      <c r="O365" s="961" t="str">
        <f>IF(N365&lt;'PlayerGrades+'!$AF$21,"F-",IF(N365&lt;'PlayerGrades+'!$AF$20,"F",IF(N365&lt;'PlayerGrades+'!$AF$19,"F+",IF(N365&lt;'PlayerGrades+'!$AF$18,"E-",IF(N365&lt;'PlayerGrades+'!$AF$17,"E",IF(N365&lt;'PlayerGrades+'!$AF$16,"E+",IF(N365&lt;'PlayerGrades+'!$AF$15,"D-",IF(N365&lt;'PlayerGrades+'!$AF$14,"D",IF(N365&lt;'PlayerGrades+'!$AF$13,"D+",IF(N365&lt;'PlayerGrades+'!$AF$12,"C-",IF(N365&lt;'PlayerGrades+'!$AF$11,"C",IF(N365&lt;'PlayerGrades+'!$AF$10,"C+",IF(N365&lt;'PlayerGrades+'!$AF$9,"B-",IF(N365&lt;'PlayerGrades+'!$AF$8,"B",IF(N365&lt;'PlayerGrades+'!$AF$7,"B+",IF(N365&lt;'PlayerGrades+'!$AF$6,"A-",IF(N365&lt;'PlayerGrades+'!$AF$5,"A",IF(N365&lt;'PlayerGrades+'!$AF$4,"A+",IF(N365&lt;'PlayerGrades+'!$AF$3,"S-",IF(N365&lt;'PlayerGrades+'!$AF$2,"S","S+"))))))))))))))))))))</f>
        <v>#DIV/0!</v>
      </c>
      <c r="P365" s="961" t="str">
        <f t="shared" si="7"/>
        <v>#DIV/0!</v>
      </c>
      <c r="Q365" s="961" t="str">
        <f>IF(P365&lt;'PlayerGrades+'!$AG$21,"F-",IF(P365&lt;'PlayerGrades+'!$AG$20,"F",IF(P365&lt;'PlayerGrades+'!$AG$19,"F+",IF(P365&lt;'PlayerGrades+'!$AG$18,"E-",IF(P365&lt;'PlayerGrades+'!$AG$17,"E",IF(P365&lt;'PlayerGrades+'!$AG$16,"E+",IF(P365&lt;'PlayerGrades+'!$AG$15,"D-",IF(P365&lt;'PlayerGrades+'!$AG$14,"D",IF(P365&lt;'PlayerGrades+'!$AG$13,"D+",IF(P365&lt;'PlayerGrades+'!$AG$12,"C-",IF(P365&lt;'PlayerGrades+'!$AG$11,"C",IF(P365&lt;'PlayerGrades+'!$AG$10,"C+",IF(P365&lt;'PlayerGrades+'!$AG$9,"B-",IF(P365&lt;'PlayerGrades+'!$AG$8,"B",IF(P365&lt;'PlayerGrades+'!$AG$7,"B+",IF(P365&lt;'PlayerGrades+'!$AG$6,"A-",IF(P365&lt;'PlayerGrades+'!$AG$5,"A",IF(P365&lt;'PlayerGrades+'!$AG$4,"A+",IF(P365&lt;'PlayerGrades+'!$AG$3,"S-",IF(P365&lt;'PlayerGrades+'!$AG$2,"S","S+"))))))))))))))))))))</f>
        <v>#DIV/0!</v>
      </c>
      <c r="R365" s="961" t="str">
        <f t="shared" si="8"/>
        <v>#DIV/0!</v>
      </c>
      <c r="S365" s="961" t="str">
        <f>IF(R365&lt;'PlayerGrades+'!$AH$21,"F-",IF(R365&lt;'PlayerGrades+'!$AH$20,"F",IF(R365&lt;'PlayerGrades+'!$AH$19,"F+",IF(R365&lt;'PlayerGrades+'!$AH$18,"E-",IF(R365&lt;'PlayerGrades+'!$AH$17,"E",IF(R365&lt;'PlayerGrades+'!$AH$16,"E+",IF(R365&lt;'PlayerGrades+'!$AH$15,"D-",IF(R365&lt;'PlayerGrades+'!$AH$14,"D",IF(R365&lt;'PlayerGrades+'!$AH$13,"D+",IF(R365&lt;'PlayerGrades+'!$AH$12,"C-",IF(R365&lt;'PlayerGrades+'!$AH$11,"C",IF(R365&lt;'PlayerGrades+'!$AH$10,"C+",IF(R365&lt;'PlayerGrades+'!$AH$9,"B-",IF(R365&lt;'PlayerGrades+'!$AH$8,"B",IF(R365&lt;'PlayerGrades+'!$AH$7,"B+",IF(R365&lt;'PlayerGrades+'!$AH$6,"A-",IF(R365&lt;'PlayerGrades+'!$AH$5,"A",IF(R365&lt;'PlayerGrades+'!$AH$4,"A+",IF(R365&lt;'PlayerGrades+'!$AH$3,"S-",IF(R365&lt;'PlayerGrades+'!$AH$2,"S","S+"))))))))))))))))))))</f>
        <v>#DIV/0!</v>
      </c>
      <c r="T365" s="961">
        <f t="shared" si="9"/>
        <v>0</v>
      </c>
      <c r="U365" s="961" t="str">
        <f>IF(T365&lt;'PlayerGrades+'!$AI$21,"F-",IF(T365&lt;'PlayerGrades+'!$AI$20,"F",IF(T365&lt;'PlayerGrades+'!$AI$19,"F+",IF(T365&lt;'PlayerGrades+'!$AI$18,"E-",IF(T365&lt;'PlayerGrades+'!$AI$17,"E",IF(T365&lt;'PlayerGrades+'!$AI$16,"E+",IF(T365&lt;'PlayerGrades+'!$AI$15,"D-",IF(T365&lt;'PlayerGrades+'!$AI$14,"D",IF(T365&lt;'PlayerGrades+'!$AI$13,"D+",IF(T365&lt;'PlayerGrades+'!$AI$12,"C-",IF(T365&lt;'PlayerGrades+'!$AI$11,"C",IF(T365&lt;'PlayerGrades+'!$AI$10,"C+",IF(T365&lt;'PlayerGrades+'!$AI$9,"B-",IF(T365&lt;'PlayerGrades+'!$AI$8,"B",IF(T365&lt;'PlayerGrades+'!$AI$7,"B+",IF(T365&lt;'PlayerGrades+'!$AI$6,"A-",IF(T365&lt;'PlayerGrades+'!$AI$5,"A",IF(T365&lt;'PlayerGrades+'!$AI$4,"A+",IF(T365&lt;'PlayerGrades+'!$AI$3,"S-",IF(T365&lt;'PlayerGrades+'!$AI$2,"S","S+"))))))))))))))))))))</f>
        <v>F-</v>
      </c>
      <c r="AC365" s="1392"/>
    </row>
    <row r="366">
      <c r="B366" s="611" t="str">
        <f>IF(C366&lt;'PlayerGrades+'!$Y$44,"F-",IF(C366&lt;'PlayerGrades+'!$Y$43,"F",IF(C366&lt;'PlayerGrades+'!$Y$42,"F+",IF(C366&lt;'PlayerGrades+'!$Y$41,"E-",IF(C366&lt;'PlayerGrades+'!$Y$40,"E",IF(C366&lt;'PlayerGrades+'!$Y$39,"E+",IF(C366&lt;'PlayerGrades+'!$Y$38,"D-",IF(C366&lt;'PlayerGrades+'!$Y$37,"D",IF(C366&lt;'PlayerGrades+'!$Y$36,"D+",IF(C366&lt;'PlayerGrades+'!$Y$35,"C-",IF(C366&lt;'PlayerGrades+'!$Y$34,"C",IF(C366&lt;'PlayerGrades+'!$Y$33,"C+",IF(C366&lt;'PlayerGrades+'!$Y$32,"B-",IF(C366&lt;'PlayerGrades+'!$Y$31,"B",IF(C366&lt;'PlayerGrades+'!$Y$30,"B+",IF(C366&lt;'PlayerGrades+'!$Y$29,"A-",IF(C366&lt;'PlayerGrades+'!$Y$28,"A",IF(C366&lt;'PlayerGrades+'!$Y$27,"A+",IF(C366&lt;'PlayerGrades+'!$Y$26,"S-",IF(C366&lt;'PlayerGrades+'!$Y$25,"S","S+"))))))))))))))))))))</f>
        <v>#DIV/0!</v>
      </c>
      <c r="C366" s="1378" t="str">
        <f>('PlayerGrades+'!$Y$47*(VLOOKUP(E366, 'PlayerGrades+'!$X$3:$Y$23, 2, FALSE)))+('PlayerGrades+'!$Y$48*(VLOOKUP(G366, 'PlayerGrades+'!$X$3:$Y$23, 2, FALSE)))+('PlayerGrades+'!$Y$49*(VLOOKUP(I366, 'PlayerGrades+'!$X$3:$Y$23, 2, FALSE)))+('PlayerGrades+'!$Y$50*(VLOOKUP(K366, 'PlayerGrades+'!$X$3:$Y$23, 2, FALSE)))+('PlayerGrades+'!$Y$51*(VLOOKUP(M366, 'PlayerGrades+'!$X$3:$Y$23, 2, FALSE)))+('PlayerGrades+'!$Y$52*(VLOOKUP(O366, 'PlayerGrades+'!$X$3:$Y$23, 2, FALSE)))+('PlayerGrades+'!$Y$53*(VLOOKUP(Q366, 'PlayerGrades+'!$X$3:$Y$23, 2, FALSE)))+('PlayerGrades+'!$Y$54*(VLOOKUP(S366, 'PlayerGrades+'!$X$3:$Y$23, 2, FALSE)))+('PlayerGrades+'!$Y$55*(VLOOKUP(U366, 'PlayerGrades+'!$X$3:$Y$23, 2, FALSE)))</f>
        <v>#DIV/0!</v>
      </c>
      <c r="D366" s="961" t="str">
        <f t="shared" si="1"/>
        <v>#DIV/0!</v>
      </c>
      <c r="E366" s="961" t="str">
        <f>IF(D366&lt;'PlayerGrades+'!$AA$21,"F-",IF(D366&lt;'PlayerGrades+'!$AA$20,"F",IF(D366&lt;'PlayerGrades+'!$AA$19,"F+",IF(D366&lt;'PlayerGrades+'!$AA$18,"E-",IF(D366&lt;'PlayerGrades+'!$AA$17,"E",IF(D366&lt;'PlayerGrades+'!$AA$16,"E+",IF(D366&lt;'PlayerGrades+'!$AA$15,"D-",IF(D366&lt;'PlayerGrades+'!$AA$14,"D",IF(D366&lt;'PlayerGrades+'!$AA$13,"D+",IF(D366&lt;'PlayerGrades+'!$AA$12,"C-",IF(D366&lt;'PlayerGrades+'!$AA$11,"C",IF(D366&lt;'PlayerGrades+'!$AA$10,"C+",IF(D366&lt;'PlayerGrades+'!$AA$9,"B-",IF(D366&lt;'PlayerGrades+'!$AA$8,"B",IF(D366&lt;'PlayerGrades+'!$AA$7,"B+",IF(D366&lt;'PlayerGrades+'!$AA$6,"A-",IF(D366&lt;'PlayerGrades+'!$AA$5,"A",IF(D366&lt;'PlayerGrades+'!$AA$4,"A+",IF(D366&lt;'PlayerGrades+'!$AA$3,"S-",IF(D366&lt;'PlayerGrades+'!$AA$2,"S","S+"))))))))))))))))))))</f>
        <v>#DIV/0!</v>
      </c>
      <c r="F366" s="961" t="str">
        <f t="shared" si="2"/>
        <v>#DIV/0!</v>
      </c>
      <c r="G366" s="961" t="str">
        <f>IF(F366&lt;'PlayerGrades+'!$AB$21,"F-",IF(F366&lt;'PlayerGrades+'!$AB$20,"F",IF(F366&lt;'PlayerGrades+'!$AB$19,"F+",IF(F366&lt;'PlayerGrades+'!$AB$18,"E-",IF(F366&lt;'PlayerGrades+'!$AB$17,"E",IF(F366&lt;'PlayerGrades+'!$AB$16,"E+",IF(F366&lt;'PlayerGrades+'!$AB$15,"D-",IF(F366&lt;'PlayerGrades+'!$AB$14,"D",IF(F366&lt;'PlayerGrades+'!$AB$13,"D+",IF(F366&lt;'PlayerGrades+'!$AB$12,"C-",IF(F366&lt;'PlayerGrades+'!$AB$11,"C",IF(F366&lt;'PlayerGrades+'!$AB$10,"C+",IF(F366&lt;'PlayerGrades+'!$AB$9,"B-",IF(F366&lt;'PlayerGrades+'!$AB$8,"B",IF(F366&lt;'PlayerGrades+'!$AB$7,"B+",IF(F366&lt;'PlayerGrades+'!$AB$6,"A-",IF(F366&lt;'PlayerGrades+'!$AB$5,"A",IF(F366&lt;'PlayerGrades+'!$AB$4,"A+",IF(F366&lt;'PlayerGrades+'!$AB$3,"S-",IF(F366&lt;'PlayerGrades+'!$AB$2,"S","S+"))))))))))))))))))))</f>
        <v>#DIV/0!</v>
      </c>
      <c r="H366" s="961" t="str">
        <f t="shared" si="3"/>
        <v>#DIV/0!</v>
      </c>
      <c r="I366" s="961" t="str">
        <f>IF(H366&lt;'PlayerGrades+'!$AC$21,"F-",IF(H366&lt;'PlayerGrades+'!$AC$20,"F",IF(H366&lt;'PlayerGrades+'!$AC$19,"F+",IF(H366&lt;'PlayerGrades+'!$AC$18,"E-",IF(H366&lt;'PlayerGrades+'!$AC$17,"E",IF(H366&lt;'PlayerGrades+'!$AC$16,"E+",IF(H366&lt;'PlayerGrades+'!$AC$15,"D-",IF(H366&lt;'PlayerGrades+'!$AC$14,"D",IF(H366&lt;'PlayerGrades+'!$AC$13,"D+",IF(H366&lt;'PlayerGrades+'!$AC$12,"C-",IF(H366&lt;'PlayerGrades+'!$AC$11,"C",IF(H366&lt;'PlayerGrades+'!$AC$10,"C+",IF(H366&lt;'PlayerGrades+'!$AC$9,"B-",IF(H366&lt;'PlayerGrades+'!$AC$8,"B",IF(H366&lt;'PlayerGrades+'!$AC$7,"B+",IF(H366&lt;'PlayerGrades+'!$AC$6,"A-",IF(H366&lt;'PlayerGrades+'!$AC$5,"A",IF(H366&lt;'PlayerGrades+'!$AC$4,"A+",IF(H366&lt;'PlayerGrades+'!$AC$3,"S-",IF(H366&lt;'PlayerGrades+'!$AC$2,"S","S+"))))))))))))))))))))</f>
        <v>#DIV/0!</v>
      </c>
      <c r="J366" s="961" t="str">
        <f t="shared" si="4"/>
        <v>#DIV/0!</v>
      </c>
      <c r="K366" s="961" t="str">
        <f>IF(J366&lt;'PlayerGrades+'!$AD$21,"F-",IF(J366&lt;'PlayerGrades+'!$AD$20,"F",IF(J366&lt;'PlayerGrades+'!$AD$19,"F+",IF(J366&lt;'PlayerGrades+'!$AD$18,"E-",IF(J366&lt;'PlayerGrades+'!$AD$17,"E",IF(J366&lt;'PlayerGrades+'!$AD$16,"E+",IF(J366&lt;'PlayerGrades+'!$AD$15,"D-",IF(J366&lt;'PlayerGrades+'!$AD$14,"D",IF(J366&lt;'PlayerGrades+'!$AD$13,"D+",IF(J366&lt;'PlayerGrades+'!$AD$12,"C-",IF(J366&lt;'PlayerGrades+'!$AD$11,"C",IF(J366&lt;'PlayerGrades+'!$AD$10,"C+",IF(J366&lt;'PlayerGrades+'!$AD$9,"B-",IF(J366&lt;'PlayerGrades+'!$AD$8,"B",IF(J366&lt;'PlayerGrades+'!$AD$7,"B+",IF(J366&lt;'PlayerGrades+'!$AD$6,"A-",IF(J366&lt;'PlayerGrades+'!$AD$5,"A",IF(J366&lt;'PlayerGrades+'!$AD$4,"A+",IF(J366&lt;'PlayerGrades+'!$AD$3,"S-",IF(J366&lt;'PlayerGrades+'!$AD$2,"S","S+"))))))))))))))))))))</f>
        <v>#DIV/0!</v>
      </c>
      <c r="L366" s="1176" t="str">
        <f t="shared" si="5"/>
        <v>#DIV/0!</v>
      </c>
      <c r="M366" s="992" t="str">
        <f>IF(L366&lt;'PlayerGrades+'!$AE$21,"F-",IF(L366&lt;'PlayerGrades+'!$AE$20,"F",IF(L366&lt;'PlayerGrades+'!$AE$19,"F+",IF(L366&lt;'PlayerGrades+'!$AE$18,"E-",IF(L366&lt;'PlayerGrades+'!$AE$17,"E",IF(L366&lt;'PlayerGrades+'!$AE$16,"E+",IF(L366&lt;'PlayerGrades+'!$AE$15,"D-",IF(L366&lt;'PlayerGrades+'!$AE$14,"D",IF(L366&lt;'PlayerGrades+'!$AE$13,"D+",IF(L366&lt;'PlayerGrades+'!$AE$12,"C-",IF(L366&lt;'PlayerGrades+'!$AE$11,"C",IF(L366&lt;'PlayerGrades+'!$AE$10,"C+",IF(L366&lt;'PlayerGrades+'!$AE$9,"B-",IF(L366&lt;'PlayerGrades+'!$AE$8,"B",IF(L366&lt;'PlayerGrades+'!$AE$7,"B+",IF(L366&lt;'PlayerGrades+'!$AE$6,"A-",IF(L366&lt;'PlayerGrades+'!$AE$5,"A",IF(L366&lt;'PlayerGrades+'!$AE$4,"A+",IF(L366&lt;'PlayerGrades+'!$AE$3,"S-",IF(L366&lt;'PlayerGrades+'!$AE$2,"S","S+"))))))))))))))))))))</f>
        <v>#DIV/0!</v>
      </c>
      <c r="N366" s="961" t="str">
        <f t="shared" si="6"/>
        <v>#DIV/0!</v>
      </c>
      <c r="O366" s="961" t="str">
        <f>IF(N366&lt;'PlayerGrades+'!$AF$21,"F-",IF(N366&lt;'PlayerGrades+'!$AF$20,"F",IF(N366&lt;'PlayerGrades+'!$AF$19,"F+",IF(N366&lt;'PlayerGrades+'!$AF$18,"E-",IF(N366&lt;'PlayerGrades+'!$AF$17,"E",IF(N366&lt;'PlayerGrades+'!$AF$16,"E+",IF(N366&lt;'PlayerGrades+'!$AF$15,"D-",IF(N366&lt;'PlayerGrades+'!$AF$14,"D",IF(N366&lt;'PlayerGrades+'!$AF$13,"D+",IF(N366&lt;'PlayerGrades+'!$AF$12,"C-",IF(N366&lt;'PlayerGrades+'!$AF$11,"C",IF(N366&lt;'PlayerGrades+'!$AF$10,"C+",IF(N366&lt;'PlayerGrades+'!$AF$9,"B-",IF(N366&lt;'PlayerGrades+'!$AF$8,"B",IF(N366&lt;'PlayerGrades+'!$AF$7,"B+",IF(N366&lt;'PlayerGrades+'!$AF$6,"A-",IF(N366&lt;'PlayerGrades+'!$AF$5,"A",IF(N366&lt;'PlayerGrades+'!$AF$4,"A+",IF(N366&lt;'PlayerGrades+'!$AF$3,"S-",IF(N366&lt;'PlayerGrades+'!$AF$2,"S","S+"))))))))))))))))))))</f>
        <v>#DIV/0!</v>
      </c>
      <c r="P366" s="961" t="str">
        <f t="shared" si="7"/>
        <v>#DIV/0!</v>
      </c>
      <c r="Q366" s="961" t="str">
        <f>IF(P366&lt;'PlayerGrades+'!$AG$21,"F-",IF(P366&lt;'PlayerGrades+'!$AG$20,"F",IF(P366&lt;'PlayerGrades+'!$AG$19,"F+",IF(P366&lt;'PlayerGrades+'!$AG$18,"E-",IF(P366&lt;'PlayerGrades+'!$AG$17,"E",IF(P366&lt;'PlayerGrades+'!$AG$16,"E+",IF(P366&lt;'PlayerGrades+'!$AG$15,"D-",IF(P366&lt;'PlayerGrades+'!$AG$14,"D",IF(P366&lt;'PlayerGrades+'!$AG$13,"D+",IF(P366&lt;'PlayerGrades+'!$AG$12,"C-",IF(P366&lt;'PlayerGrades+'!$AG$11,"C",IF(P366&lt;'PlayerGrades+'!$AG$10,"C+",IF(P366&lt;'PlayerGrades+'!$AG$9,"B-",IF(P366&lt;'PlayerGrades+'!$AG$8,"B",IF(P366&lt;'PlayerGrades+'!$AG$7,"B+",IF(P366&lt;'PlayerGrades+'!$AG$6,"A-",IF(P366&lt;'PlayerGrades+'!$AG$5,"A",IF(P366&lt;'PlayerGrades+'!$AG$4,"A+",IF(P366&lt;'PlayerGrades+'!$AG$3,"S-",IF(P366&lt;'PlayerGrades+'!$AG$2,"S","S+"))))))))))))))))))))</f>
        <v>#DIV/0!</v>
      </c>
      <c r="R366" s="961" t="str">
        <f t="shared" si="8"/>
        <v>#DIV/0!</v>
      </c>
      <c r="S366" s="961" t="str">
        <f>IF(R366&lt;'PlayerGrades+'!$AH$21,"F-",IF(R366&lt;'PlayerGrades+'!$AH$20,"F",IF(R366&lt;'PlayerGrades+'!$AH$19,"F+",IF(R366&lt;'PlayerGrades+'!$AH$18,"E-",IF(R366&lt;'PlayerGrades+'!$AH$17,"E",IF(R366&lt;'PlayerGrades+'!$AH$16,"E+",IF(R366&lt;'PlayerGrades+'!$AH$15,"D-",IF(R366&lt;'PlayerGrades+'!$AH$14,"D",IF(R366&lt;'PlayerGrades+'!$AH$13,"D+",IF(R366&lt;'PlayerGrades+'!$AH$12,"C-",IF(R366&lt;'PlayerGrades+'!$AH$11,"C",IF(R366&lt;'PlayerGrades+'!$AH$10,"C+",IF(R366&lt;'PlayerGrades+'!$AH$9,"B-",IF(R366&lt;'PlayerGrades+'!$AH$8,"B",IF(R366&lt;'PlayerGrades+'!$AH$7,"B+",IF(R366&lt;'PlayerGrades+'!$AH$6,"A-",IF(R366&lt;'PlayerGrades+'!$AH$5,"A",IF(R366&lt;'PlayerGrades+'!$AH$4,"A+",IF(R366&lt;'PlayerGrades+'!$AH$3,"S-",IF(R366&lt;'PlayerGrades+'!$AH$2,"S","S+"))))))))))))))))))))</f>
        <v>#DIV/0!</v>
      </c>
      <c r="T366" s="961">
        <f t="shared" si="9"/>
        <v>0</v>
      </c>
      <c r="U366" s="961" t="str">
        <f>IF(T366&lt;'PlayerGrades+'!$AI$21,"F-",IF(T366&lt;'PlayerGrades+'!$AI$20,"F",IF(T366&lt;'PlayerGrades+'!$AI$19,"F+",IF(T366&lt;'PlayerGrades+'!$AI$18,"E-",IF(T366&lt;'PlayerGrades+'!$AI$17,"E",IF(T366&lt;'PlayerGrades+'!$AI$16,"E+",IF(T366&lt;'PlayerGrades+'!$AI$15,"D-",IF(T366&lt;'PlayerGrades+'!$AI$14,"D",IF(T366&lt;'PlayerGrades+'!$AI$13,"D+",IF(T366&lt;'PlayerGrades+'!$AI$12,"C-",IF(T366&lt;'PlayerGrades+'!$AI$11,"C",IF(T366&lt;'PlayerGrades+'!$AI$10,"C+",IF(T366&lt;'PlayerGrades+'!$AI$9,"B-",IF(T366&lt;'PlayerGrades+'!$AI$8,"B",IF(T366&lt;'PlayerGrades+'!$AI$7,"B+",IF(T366&lt;'PlayerGrades+'!$AI$6,"A-",IF(T366&lt;'PlayerGrades+'!$AI$5,"A",IF(T366&lt;'PlayerGrades+'!$AI$4,"A+",IF(T366&lt;'PlayerGrades+'!$AI$3,"S-",IF(T366&lt;'PlayerGrades+'!$AI$2,"S","S+"))))))))))))))))))))</f>
        <v>F-</v>
      </c>
      <c r="AC366" s="1392"/>
    </row>
    <row r="367">
      <c r="B367" s="611" t="str">
        <f>IF(C367&lt;'PlayerGrades+'!$Y$44,"F-",IF(C367&lt;'PlayerGrades+'!$Y$43,"F",IF(C367&lt;'PlayerGrades+'!$Y$42,"F+",IF(C367&lt;'PlayerGrades+'!$Y$41,"E-",IF(C367&lt;'PlayerGrades+'!$Y$40,"E",IF(C367&lt;'PlayerGrades+'!$Y$39,"E+",IF(C367&lt;'PlayerGrades+'!$Y$38,"D-",IF(C367&lt;'PlayerGrades+'!$Y$37,"D",IF(C367&lt;'PlayerGrades+'!$Y$36,"D+",IF(C367&lt;'PlayerGrades+'!$Y$35,"C-",IF(C367&lt;'PlayerGrades+'!$Y$34,"C",IF(C367&lt;'PlayerGrades+'!$Y$33,"C+",IF(C367&lt;'PlayerGrades+'!$Y$32,"B-",IF(C367&lt;'PlayerGrades+'!$Y$31,"B",IF(C367&lt;'PlayerGrades+'!$Y$30,"B+",IF(C367&lt;'PlayerGrades+'!$Y$29,"A-",IF(C367&lt;'PlayerGrades+'!$Y$28,"A",IF(C367&lt;'PlayerGrades+'!$Y$27,"A+",IF(C367&lt;'PlayerGrades+'!$Y$26,"S-",IF(C367&lt;'PlayerGrades+'!$Y$25,"S","S+"))))))))))))))))))))</f>
        <v>#DIV/0!</v>
      </c>
      <c r="C367" s="1378" t="str">
        <f>('PlayerGrades+'!$Y$47*(VLOOKUP(E367, 'PlayerGrades+'!$X$3:$Y$23, 2, FALSE)))+('PlayerGrades+'!$Y$48*(VLOOKUP(G367, 'PlayerGrades+'!$X$3:$Y$23, 2, FALSE)))+('PlayerGrades+'!$Y$49*(VLOOKUP(I367, 'PlayerGrades+'!$X$3:$Y$23, 2, FALSE)))+('PlayerGrades+'!$Y$50*(VLOOKUP(K367, 'PlayerGrades+'!$X$3:$Y$23, 2, FALSE)))+('PlayerGrades+'!$Y$51*(VLOOKUP(M367, 'PlayerGrades+'!$X$3:$Y$23, 2, FALSE)))+('PlayerGrades+'!$Y$52*(VLOOKUP(O367, 'PlayerGrades+'!$X$3:$Y$23, 2, FALSE)))+('PlayerGrades+'!$Y$53*(VLOOKUP(Q367, 'PlayerGrades+'!$X$3:$Y$23, 2, FALSE)))+('PlayerGrades+'!$Y$54*(VLOOKUP(S367, 'PlayerGrades+'!$X$3:$Y$23, 2, FALSE)))+('PlayerGrades+'!$Y$55*(VLOOKUP(U367, 'PlayerGrades+'!$X$3:$Y$23, 2, FALSE)))</f>
        <v>#DIV/0!</v>
      </c>
      <c r="D367" s="961" t="str">
        <f t="shared" si="1"/>
        <v>#DIV/0!</v>
      </c>
      <c r="E367" s="961" t="str">
        <f>IF(D367&lt;'PlayerGrades+'!$AA$21,"F-",IF(D367&lt;'PlayerGrades+'!$AA$20,"F",IF(D367&lt;'PlayerGrades+'!$AA$19,"F+",IF(D367&lt;'PlayerGrades+'!$AA$18,"E-",IF(D367&lt;'PlayerGrades+'!$AA$17,"E",IF(D367&lt;'PlayerGrades+'!$AA$16,"E+",IF(D367&lt;'PlayerGrades+'!$AA$15,"D-",IF(D367&lt;'PlayerGrades+'!$AA$14,"D",IF(D367&lt;'PlayerGrades+'!$AA$13,"D+",IF(D367&lt;'PlayerGrades+'!$AA$12,"C-",IF(D367&lt;'PlayerGrades+'!$AA$11,"C",IF(D367&lt;'PlayerGrades+'!$AA$10,"C+",IF(D367&lt;'PlayerGrades+'!$AA$9,"B-",IF(D367&lt;'PlayerGrades+'!$AA$8,"B",IF(D367&lt;'PlayerGrades+'!$AA$7,"B+",IF(D367&lt;'PlayerGrades+'!$AA$6,"A-",IF(D367&lt;'PlayerGrades+'!$AA$5,"A",IF(D367&lt;'PlayerGrades+'!$AA$4,"A+",IF(D367&lt;'PlayerGrades+'!$AA$3,"S-",IF(D367&lt;'PlayerGrades+'!$AA$2,"S","S+"))))))))))))))))))))</f>
        <v>#DIV/0!</v>
      </c>
      <c r="F367" s="961" t="str">
        <f t="shared" si="2"/>
        <v>#DIV/0!</v>
      </c>
      <c r="G367" s="961" t="str">
        <f>IF(F367&lt;'PlayerGrades+'!$AB$21,"F-",IF(F367&lt;'PlayerGrades+'!$AB$20,"F",IF(F367&lt;'PlayerGrades+'!$AB$19,"F+",IF(F367&lt;'PlayerGrades+'!$AB$18,"E-",IF(F367&lt;'PlayerGrades+'!$AB$17,"E",IF(F367&lt;'PlayerGrades+'!$AB$16,"E+",IF(F367&lt;'PlayerGrades+'!$AB$15,"D-",IF(F367&lt;'PlayerGrades+'!$AB$14,"D",IF(F367&lt;'PlayerGrades+'!$AB$13,"D+",IF(F367&lt;'PlayerGrades+'!$AB$12,"C-",IF(F367&lt;'PlayerGrades+'!$AB$11,"C",IF(F367&lt;'PlayerGrades+'!$AB$10,"C+",IF(F367&lt;'PlayerGrades+'!$AB$9,"B-",IF(F367&lt;'PlayerGrades+'!$AB$8,"B",IF(F367&lt;'PlayerGrades+'!$AB$7,"B+",IF(F367&lt;'PlayerGrades+'!$AB$6,"A-",IF(F367&lt;'PlayerGrades+'!$AB$5,"A",IF(F367&lt;'PlayerGrades+'!$AB$4,"A+",IF(F367&lt;'PlayerGrades+'!$AB$3,"S-",IF(F367&lt;'PlayerGrades+'!$AB$2,"S","S+"))))))))))))))))))))</f>
        <v>#DIV/0!</v>
      </c>
      <c r="H367" s="961" t="str">
        <f t="shared" si="3"/>
        <v>#DIV/0!</v>
      </c>
      <c r="I367" s="961" t="str">
        <f>IF(H367&lt;'PlayerGrades+'!$AC$21,"F-",IF(H367&lt;'PlayerGrades+'!$AC$20,"F",IF(H367&lt;'PlayerGrades+'!$AC$19,"F+",IF(H367&lt;'PlayerGrades+'!$AC$18,"E-",IF(H367&lt;'PlayerGrades+'!$AC$17,"E",IF(H367&lt;'PlayerGrades+'!$AC$16,"E+",IF(H367&lt;'PlayerGrades+'!$AC$15,"D-",IF(H367&lt;'PlayerGrades+'!$AC$14,"D",IF(H367&lt;'PlayerGrades+'!$AC$13,"D+",IF(H367&lt;'PlayerGrades+'!$AC$12,"C-",IF(H367&lt;'PlayerGrades+'!$AC$11,"C",IF(H367&lt;'PlayerGrades+'!$AC$10,"C+",IF(H367&lt;'PlayerGrades+'!$AC$9,"B-",IF(H367&lt;'PlayerGrades+'!$AC$8,"B",IF(H367&lt;'PlayerGrades+'!$AC$7,"B+",IF(H367&lt;'PlayerGrades+'!$AC$6,"A-",IF(H367&lt;'PlayerGrades+'!$AC$5,"A",IF(H367&lt;'PlayerGrades+'!$AC$4,"A+",IF(H367&lt;'PlayerGrades+'!$AC$3,"S-",IF(H367&lt;'PlayerGrades+'!$AC$2,"S","S+"))))))))))))))))))))</f>
        <v>#DIV/0!</v>
      </c>
      <c r="J367" s="961" t="str">
        <f t="shared" si="4"/>
        <v>#DIV/0!</v>
      </c>
      <c r="K367" s="961" t="str">
        <f>IF(J367&lt;'PlayerGrades+'!$AD$21,"F-",IF(J367&lt;'PlayerGrades+'!$AD$20,"F",IF(J367&lt;'PlayerGrades+'!$AD$19,"F+",IF(J367&lt;'PlayerGrades+'!$AD$18,"E-",IF(J367&lt;'PlayerGrades+'!$AD$17,"E",IF(J367&lt;'PlayerGrades+'!$AD$16,"E+",IF(J367&lt;'PlayerGrades+'!$AD$15,"D-",IF(J367&lt;'PlayerGrades+'!$AD$14,"D",IF(J367&lt;'PlayerGrades+'!$AD$13,"D+",IF(J367&lt;'PlayerGrades+'!$AD$12,"C-",IF(J367&lt;'PlayerGrades+'!$AD$11,"C",IF(J367&lt;'PlayerGrades+'!$AD$10,"C+",IF(J367&lt;'PlayerGrades+'!$AD$9,"B-",IF(J367&lt;'PlayerGrades+'!$AD$8,"B",IF(J367&lt;'PlayerGrades+'!$AD$7,"B+",IF(J367&lt;'PlayerGrades+'!$AD$6,"A-",IF(J367&lt;'PlayerGrades+'!$AD$5,"A",IF(J367&lt;'PlayerGrades+'!$AD$4,"A+",IF(J367&lt;'PlayerGrades+'!$AD$3,"S-",IF(J367&lt;'PlayerGrades+'!$AD$2,"S","S+"))))))))))))))))))))</f>
        <v>#DIV/0!</v>
      </c>
      <c r="L367" s="1176" t="str">
        <f t="shared" si="5"/>
        <v>#DIV/0!</v>
      </c>
      <c r="M367" s="992" t="str">
        <f>IF(L367&lt;'PlayerGrades+'!$AE$21,"F-",IF(L367&lt;'PlayerGrades+'!$AE$20,"F",IF(L367&lt;'PlayerGrades+'!$AE$19,"F+",IF(L367&lt;'PlayerGrades+'!$AE$18,"E-",IF(L367&lt;'PlayerGrades+'!$AE$17,"E",IF(L367&lt;'PlayerGrades+'!$AE$16,"E+",IF(L367&lt;'PlayerGrades+'!$AE$15,"D-",IF(L367&lt;'PlayerGrades+'!$AE$14,"D",IF(L367&lt;'PlayerGrades+'!$AE$13,"D+",IF(L367&lt;'PlayerGrades+'!$AE$12,"C-",IF(L367&lt;'PlayerGrades+'!$AE$11,"C",IF(L367&lt;'PlayerGrades+'!$AE$10,"C+",IF(L367&lt;'PlayerGrades+'!$AE$9,"B-",IF(L367&lt;'PlayerGrades+'!$AE$8,"B",IF(L367&lt;'PlayerGrades+'!$AE$7,"B+",IF(L367&lt;'PlayerGrades+'!$AE$6,"A-",IF(L367&lt;'PlayerGrades+'!$AE$5,"A",IF(L367&lt;'PlayerGrades+'!$AE$4,"A+",IF(L367&lt;'PlayerGrades+'!$AE$3,"S-",IF(L367&lt;'PlayerGrades+'!$AE$2,"S","S+"))))))))))))))))))))</f>
        <v>#DIV/0!</v>
      </c>
      <c r="N367" s="961" t="str">
        <f t="shared" si="6"/>
        <v>#DIV/0!</v>
      </c>
      <c r="O367" s="961" t="str">
        <f>IF(N367&lt;'PlayerGrades+'!$AF$21,"F-",IF(N367&lt;'PlayerGrades+'!$AF$20,"F",IF(N367&lt;'PlayerGrades+'!$AF$19,"F+",IF(N367&lt;'PlayerGrades+'!$AF$18,"E-",IF(N367&lt;'PlayerGrades+'!$AF$17,"E",IF(N367&lt;'PlayerGrades+'!$AF$16,"E+",IF(N367&lt;'PlayerGrades+'!$AF$15,"D-",IF(N367&lt;'PlayerGrades+'!$AF$14,"D",IF(N367&lt;'PlayerGrades+'!$AF$13,"D+",IF(N367&lt;'PlayerGrades+'!$AF$12,"C-",IF(N367&lt;'PlayerGrades+'!$AF$11,"C",IF(N367&lt;'PlayerGrades+'!$AF$10,"C+",IF(N367&lt;'PlayerGrades+'!$AF$9,"B-",IF(N367&lt;'PlayerGrades+'!$AF$8,"B",IF(N367&lt;'PlayerGrades+'!$AF$7,"B+",IF(N367&lt;'PlayerGrades+'!$AF$6,"A-",IF(N367&lt;'PlayerGrades+'!$AF$5,"A",IF(N367&lt;'PlayerGrades+'!$AF$4,"A+",IF(N367&lt;'PlayerGrades+'!$AF$3,"S-",IF(N367&lt;'PlayerGrades+'!$AF$2,"S","S+"))))))))))))))))))))</f>
        <v>#DIV/0!</v>
      </c>
      <c r="P367" s="961" t="str">
        <f t="shared" si="7"/>
        <v>#DIV/0!</v>
      </c>
      <c r="Q367" s="961" t="str">
        <f>IF(P367&lt;'PlayerGrades+'!$AG$21,"F-",IF(P367&lt;'PlayerGrades+'!$AG$20,"F",IF(P367&lt;'PlayerGrades+'!$AG$19,"F+",IF(P367&lt;'PlayerGrades+'!$AG$18,"E-",IF(P367&lt;'PlayerGrades+'!$AG$17,"E",IF(P367&lt;'PlayerGrades+'!$AG$16,"E+",IF(P367&lt;'PlayerGrades+'!$AG$15,"D-",IF(P367&lt;'PlayerGrades+'!$AG$14,"D",IF(P367&lt;'PlayerGrades+'!$AG$13,"D+",IF(P367&lt;'PlayerGrades+'!$AG$12,"C-",IF(P367&lt;'PlayerGrades+'!$AG$11,"C",IF(P367&lt;'PlayerGrades+'!$AG$10,"C+",IF(P367&lt;'PlayerGrades+'!$AG$9,"B-",IF(P367&lt;'PlayerGrades+'!$AG$8,"B",IF(P367&lt;'PlayerGrades+'!$AG$7,"B+",IF(P367&lt;'PlayerGrades+'!$AG$6,"A-",IF(P367&lt;'PlayerGrades+'!$AG$5,"A",IF(P367&lt;'PlayerGrades+'!$AG$4,"A+",IF(P367&lt;'PlayerGrades+'!$AG$3,"S-",IF(P367&lt;'PlayerGrades+'!$AG$2,"S","S+"))))))))))))))))))))</f>
        <v>#DIV/0!</v>
      </c>
      <c r="R367" s="961" t="str">
        <f t="shared" si="8"/>
        <v>#DIV/0!</v>
      </c>
      <c r="S367" s="961" t="str">
        <f>IF(R367&lt;'PlayerGrades+'!$AH$21,"F-",IF(R367&lt;'PlayerGrades+'!$AH$20,"F",IF(R367&lt;'PlayerGrades+'!$AH$19,"F+",IF(R367&lt;'PlayerGrades+'!$AH$18,"E-",IF(R367&lt;'PlayerGrades+'!$AH$17,"E",IF(R367&lt;'PlayerGrades+'!$AH$16,"E+",IF(R367&lt;'PlayerGrades+'!$AH$15,"D-",IF(R367&lt;'PlayerGrades+'!$AH$14,"D",IF(R367&lt;'PlayerGrades+'!$AH$13,"D+",IF(R367&lt;'PlayerGrades+'!$AH$12,"C-",IF(R367&lt;'PlayerGrades+'!$AH$11,"C",IF(R367&lt;'PlayerGrades+'!$AH$10,"C+",IF(R367&lt;'PlayerGrades+'!$AH$9,"B-",IF(R367&lt;'PlayerGrades+'!$AH$8,"B",IF(R367&lt;'PlayerGrades+'!$AH$7,"B+",IF(R367&lt;'PlayerGrades+'!$AH$6,"A-",IF(R367&lt;'PlayerGrades+'!$AH$5,"A",IF(R367&lt;'PlayerGrades+'!$AH$4,"A+",IF(R367&lt;'PlayerGrades+'!$AH$3,"S-",IF(R367&lt;'PlayerGrades+'!$AH$2,"S","S+"))))))))))))))))))))</f>
        <v>#DIV/0!</v>
      </c>
      <c r="T367" s="961">
        <f t="shared" si="9"/>
        <v>0</v>
      </c>
      <c r="U367" s="961" t="str">
        <f>IF(T367&lt;'PlayerGrades+'!$AI$21,"F-",IF(T367&lt;'PlayerGrades+'!$AI$20,"F",IF(T367&lt;'PlayerGrades+'!$AI$19,"F+",IF(T367&lt;'PlayerGrades+'!$AI$18,"E-",IF(T367&lt;'PlayerGrades+'!$AI$17,"E",IF(T367&lt;'PlayerGrades+'!$AI$16,"E+",IF(T367&lt;'PlayerGrades+'!$AI$15,"D-",IF(T367&lt;'PlayerGrades+'!$AI$14,"D",IF(T367&lt;'PlayerGrades+'!$AI$13,"D+",IF(T367&lt;'PlayerGrades+'!$AI$12,"C-",IF(T367&lt;'PlayerGrades+'!$AI$11,"C",IF(T367&lt;'PlayerGrades+'!$AI$10,"C+",IF(T367&lt;'PlayerGrades+'!$AI$9,"B-",IF(T367&lt;'PlayerGrades+'!$AI$8,"B",IF(T367&lt;'PlayerGrades+'!$AI$7,"B+",IF(T367&lt;'PlayerGrades+'!$AI$6,"A-",IF(T367&lt;'PlayerGrades+'!$AI$5,"A",IF(T367&lt;'PlayerGrades+'!$AI$4,"A+",IF(T367&lt;'PlayerGrades+'!$AI$3,"S-",IF(T367&lt;'PlayerGrades+'!$AI$2,"S","S+"))))))))))))))))))))</f>
        <v>F-</v>
      </c>
      <c r="AC367" s="1392"/>
    </row>
    <row r="368">
      <c r="B368" s="611" t="str">
        <f>IF(C368&lt;'PlayerGrades+'!$Y$44,"F-",IF(C368&lt;'PlayerGrades+'!$Y$43,"F",IF(C368&lt;'PlayerGrades+'!$Y$42,"F+",IF(C368&lt;'PlayerGrades+'!$Y$41,"E-",IF(C368&lt;'PlayerGrades+'!$Y$40,"E",IF(C368&lt;'PlayerGrades+'!$Y$39,"E+",IF(C368&lt;'PlayerGrades+'!$Y$38,"D-",IF(C368&lt;'PlayerGrades+'!$Y$37,"D",IF(C368&lt;'PlayerGrades+'!$Y$36,"D+",IF(C368&lt;'PlayerGrades+'!$Y$35,"C-",IF(C368&lt;'PlayerGrades+'!$Y$34,"C",IF(C368&lt;'PlayerGrades+'!$Y$33,"C+",IF(C368&lt;'PlayerGrades+'!$Y$32,"B-",IF(C368&lt;'PlayerGrades+'!$Y$31,"B",IF(C368&lt;'PlayerGrades+'!$Y$30,"B+",IF(C368&lt;'PlayerGrades+'!$Y$29,"A-",IF(C368&lt;'PlayerGrades+'!$Y$28,"A",IF(C368&lt;'PlayerGrades+'!$Y$27,"A+",IF(C368&lt;'PlayerGrades+'!$Y$26,"S-",IF(C368&lt;'PlayerGrades+'!$Y$25,"S","S+"))))))))))))))))))))</f>
        <v>#DIV/0!</v>
      </c>
      <c r="C368" s="1378" t="str">
        <f>('PlayerGrades+'!$Y$47*(VLOOKUP(E368, 'PlayerGrades+'!$X$3:$Y$23, 2, FALSE)))+('PlayerGrades+'!$Y$48*(VLOOKUP(G368, 'PlayerGrades+'!$X$3:$Y$23, 2, FALSE)))+('PlayerGrades+'!$Y$49*(VLOOKUP(I368, 'PlayerGrades+'!$X$3:$Y$23, 2, FALSE)))+('PlayerGrades+'!$Y$50*(VLOOKUP(K368, 'PlayerGrades+'!$X$3:$Y$23, 2, FALSE)))+('PlayerGrades+'!$Y$51*(VLOOKUP(M368, 'PlayerGrades+'!$X$3:$Y$23, 2, FALSE)))+('PlayerGrades+'!$Y$52*(VLOOKUP(O368, 'PlayerGrades+'!$X$3:$Y$23, 2, FALSE)))+('PlayerGrades+'!$Y$53*(VLOOKUP(Q368, 'PlayerGrades+'!$X$3:$Y$23, 2, FALSE)))+('PlayerGrades+'!$Y$54*(VLOOKUP(S368, 'PlayerGrades+'!$X$3:$Y$23, 2, FALSE)))+('PlayerGrades+'!$Y$55*(VLOOKUP(U368, 'PlayerGrades+'!$X$3:$Y$23, 2, FALSE)))</f>
        <v>#DIV/0!</v>
      </c>
      <c r="D368" s="961" t="str">
        <f t="shared" si="1"/>
        <v>#DIV/0!</v>
      </c>
      <c r="E368" s="961" t="str">
        <f>IF(D368&lt;'PlayerGrades+'!$AA$21,"F-",IF(D368&lt;'PlayerGrades+'!$AA$20,"F",IF(D368&lt;'PlayerGrades+'!$AA$19,"F+",IF(D368&lt;'PlayerGrades+'!$AA$18,"E-",IF(D368&lt;'PlayerGrades+'!$AA$17,"E",IF(D368&lt;'PlayerGrades+'!$AA$16,"E+",IF(D368&lt;'PlayerGrades+'!$AA$15,"D-",IF(D368&lt;'PlayerGrades+'!$AA$14,"D",IF(D368&lt;'PlayerGrades+'!$AA$13,"D+",IF(D368&lt;'PlayerGrades+'!$AA$12,"C-",IF(D368&lt;'PlayerGrades+'!$AA$11,"C",IF(D368&lt;'PlayerGrades+'!$AA$10,"C+",IF(D368&lt;'PlayerGrades+'!$AA$9,"B-",IF(D368&lt;'PlayerGrades+'!$AA$8,"B",IF(D368&lt;'PlayerGrades+'!$AA$7,"B+",IF(D368&lt;'PlayerGrades+'!$AA$6,"A-",IF(D368&lt;'PlayerGrades+'!$AA$5,"A",IF(D368&lt;'PlayerGrades+'!$AA$4,"A+",IF(D368&lt;'PlayerGrades+'!$AA$3,"S-",IF(D368&lt;'PlayerGrades+'!$AA$2,"S","S+"))))))))))))))))))))</f>
        <v>#DIV/0!</v>
      </c>
      <c r="F368" s="961" t="str">
        <f t="shared" si="2"/>
        <v>#DIV/0!</v>
      </c>
      <c r="G368" s="961" t="str">
        <f>IF(F368&lt;'PlayerGrades+'!$AB$21,"F-",IF(F368&lt;'PlayerGrades+'!$AB$20,"F",IF(F368&lt;'PlayerGrades+'!$AB$19,"F+",IF(F368&lt;'PlayerGrades+'!$AB$18,"E-",IF(F368&lt;'PlayerGrades+'!$AB$17,"E",IF(F368&lt;'PlayerGrades+'!$AB$16,"E+",IF(F368&lt;'PlayerGrades+'!$AB$15,"D-",IF(F368&lt;'PlayerGrades+'!$AB$14,"D",IF(F368&lt;'PlayerGrades+'!$AB$13,"D+",IF(F368&lt;'PlayerGrades+'!$AB$12,"C-",IF(F368&lt;'PlayerGrades+'!$AB$11,"C",IF(F368&lt;'PlayerGrades+'!$AB$10,"C+",IF(F368&lt;'PlayerGrades+'!$AB$9,"B-",IF(F368&lt;'PlayerGrades+'!$AB$8,"B",IF(F368&lt;'PlayerGrades+'!$AB$7,"B+",IF(F368&lt;'PlayerGrades+'!$AB$6,"A-",IF(F368&lt;'PlayerGrades+'!$AB$5,"A",IF(F368&lt;'PlayerGrades+'!$AB$4,"A+",IF(F368&lt;'PlayerGrades+'!$AB$3,"S-",IF(F368&lt;'PlayerGrades+'!$AB$2,"S","S+"))))))))))))))))))))</f>
        <v>#DIV/0!</v>
      </c>
      <c r="H368" s="961" t="str">
        <f t="shared" si="3"/>
        <v>#DIV/0!</v>
      </c>
      <c r="I368" s="961" t="str">
        <f>IF(H368&lt;'PlayerGrades+'!$AC$21,"F-",IF(H368&lt;'PlayerGrades+'!$AC$20,"F",IF(H368&lt;'PlayerGrades+'!$AC$19,"F+",IF(H368&lt;'PlayerGrades+'!$AC$18,"E-",IF(H368&lt;'PlayerGrades+'!$AC$17,"E",IF(H368&lt;'PlayerGrades+'!$AC$16,"E+",IF(H368&lt;'PlayerGrades+'!$AC$15,"D-",IF(H368&lt;'PlayerGrades+'!$AC$14,"D",IF(H368&lt;'PlayerGrades+'!$AC$13,"D+",IF(H368&lt;'PlayerGrades+'!$AC$12,"C-",IF(H368&lt;'PlayerGrades+'!$AC$11,"C",IF(H368&lt;'PlayerGrades+'!$AC$10,"C+",IF(H368&lt;'PlayerGrades+'!$AC$9,"B-",IF(H368&lt;'PlayerGrades+'!$AC$8,"B",IF(H368&lt;'PlayerGrades+'!$AC$7,"B+",IF(H368&lt;'PlayerGrades+'!$AC$6,"A-",IF(H368&lt;'PlayerGrades+'!$AC$5,"A",IF(H368&lt;'PlayerGrades+'!$AC$4,"A+",IF(H368&lt;'PlayerGrades+'!$AC$3,"S-",IF(H368&lt;'PlayerGrades+'!$AC$2,"S","S+"))))))))))))))))))))</f>
        <v>#DIV/0!</v>
      </c>
      <c r="J368" s="961" t="str">
        <f t="shared" si="4"/>
        <v>#DIV/0!</v>
      </c>
      <c r="K368" s="961" t="str">
        <f>IF(J368&lt;'PlayerGrades+'!$AD$21,"F-",IF(J368&lt;'PlayerGrades+'!$AD$20,"F",IF(J368&lt;'PlayerGrades+'!$AD$19,"F+",IF(J368&lt;'PlayerGrades+'!$AD$18,"E-",IF(J368&lt;'PlayerGrades+'!$AD$17,"E",IF(J368&lt;'PlayerGrades+'!$AD$16,"E+",IF(J368&lt;'PlayerGrades+'!$AD$15,"D-",IF(J368&lt;'PlayerGrades+'!$AD$14,"D",IF(J368&lt;'PlayerGrades+'!$AD$13,"D+",IF(J368&lt;'PlayerGrades+'!$AD$12,"C-",IF(J368&lt;'PlayerGrades+'!$AD$11,"C",IF(J368&lt;'PlayerGrades+'!$AD$10,"C+",IF(J368&lt;'PlayerGrades+'!$AD$9,"B-",IF(J368&lt;'PlayerGrades+'!$AD$8,"B",IF(J368&lt;'PlayerGrades+'!$AD$7,"B+",IF(J368&lt;'PlayerGrades+'!$AD$6,"A-",IF(J368&lt;'PlayerGrades+'!$AD$5,"A",IF(J368&lt;'PlayerGrades+'!$AD$4,"A+",IF(J368&lt;'PlayerGrades+'!$AD$3,"S-",IF(J368&lt;'PlayerGrades+'!$AD$2,"S","S+"))))))))))))))))))))</f>
        <v>#DIV/0!</v>
      </c>
      <c r="L368" s="1176" t="str">
        <f t="shared" si="5"/>
        <v>#DIV/0!</v>
      </c>
      <c r="M368" s="992" t="str">
        <f>IF(L368&lt;'PlayerGrades+'!$AE$21,"F-",IF(L368&lt;'PlayerGrades+'!$AE$20,"F",IF(L368&lt;'PlayerGrades+'!$AE$19,"F+",IF(L368&lt;'PlayerGrades+'!$AE$18,"E-",IF(L368&lt;'PlayerGrades+'!$AE$17,"E",IF(L368&lt;'PlayerGrades+'!$AE$16,"E+",IF(L368&lt;'PlayerGrades+'!$AE$15,"D-",IF(L368&lt;'PlayerGrades+'!$AE$14,"D",IF(L368&lt;'PlayerGrades+'!$AE$13,"D+",IF(L368&lt;'PlayerGrades+'!$AE$12,"C-",IF(L368&lt;'PlayerGrades+'!$AE$11,"C",IF(L368&lt;'PlayerGrades+'!$AE$10,"C+",IF(L368&lt;'PlayerGrades+'!$AE$9,"B-",IF(L368&lt;'PlayerGrades+'!$AE$8,"B",IF(L368&lt;'PlayerGrades+'!$AE$7,"B+",IF(L368&lt;'PlayerGrades+'!$AE$6,"A-",IF(L368&lt;'PlayerGrades+'!$AE$5,"A",IF(L368&lt;'PlayerGrades+'!$AE$4,"A+",IF(L368&lt;'PlayerGrades+'!$AE$3,"S-",IF(L368&lt;'PlayerGrades+'!$AE$2,"S","S+"))))))))))))))))))))</f>
        <v>#DIV/0!</v>
      </c>
      <c r="N368" s="961" t="str">
        <f t="shared" si="6"/>
        <v>#DIV/0!</v>
      </c>
      <c r="O368" s="961" t="str">
        <f>IF(N368&lt;'PlayerGrades+'!$AF$21,"F-",IF(N368&lt;'PlayerGrades+'!$AF$20,"F",IF(N368&lt;'PlayerGrades+'!$AF$19,"F+",IF(N368&lt;'PlayerGrades+'!$AF$18,"E-",IF(N368&lt;'PlayerGrades+'!$AF$17,"E",IF(N368&lt;'PlayerGrades+'!$AF$16,"E+",IF(N368&lt;'PlayerGrades+'!$AF$15,"D-",IF(N368&lt;'PlayerGrades+'!$AF$14,"D",IF(N368&lt;'PlayerGrades+'!$AF$13,"D+",IF(N368&lt;'PlayerGrades+'!$AF$12,"C-",IF(N368&lt;'PlayerGrades+'!$AF$11,"C",IF(N368&lt;'PlayerGrades+'!$AF$10,"C+",IF(N368&lt;'PlayerGrades+'!$AF$9,"B-",IF(N368&lt;'PlayerGrades+'!$AF$8,"B",IF(N368&lt;'PlayerGrades+'!$AF$7,"B+",IF(N368&lt;'PlayerGrades+'!$AF$6,"A-",IF(N368&lt;'PlayerGrades+'!$AF$5,"A",IF(N368&lt;'PlayerGrades+'!$AF$4,"A+",IF(N368&lt;'PlayerGrades+'!$AF$3,"S-",IF(N368&lt;'PlayerGrades+'!$AF$2,"S","S+"))))))))))))))))))))</f>
        <v>#DIV/0!</v>
      </c>
      <c r="P368" s="961" t="str">
        <f t="shared" si="7"/>
        <v>#DIV/0!</v>
      </c>
      <c r="Q368" s="961" t="str">
        <f>IF(P368&lt;'PlayerGrades+'!$AG$21,"F-",IF(P368&lt;'PlayerGrades+'!$AG$20,"F",IF(P368&lt;'PlayerGrades+'!$AG$19,"F+",IF(P368&lt;'PlayerGrades+'!$AG$18,"E-",IF(P368&lt;'PlayerGrades+'!$AG$17,"E",IF(P368&lt;'PlayerGrades+'!$AG$16,"E+",IF(P368&lt;'PlayerGrades+'!$AG$15,"D-",IF(P368&lt;'PlayerGrades+'!$AG$14,"D",IF(P368&lt;'PlayerGrades+'!$AG$13,"D+",IF(P368&lt;'PlayerGrades+'!$AG$12,"C-",IF(P368&lt;'PlayerGrades+'!$AG$11,"C",IF(P368&lt;'PlayerGrades+'!$AG$10,"C+",IF(P368&lt;'PlayerGrades+'!$AG$9,"B-",IF(P368&lt;'PlayerGrades+'!$AG$8,"B",IF(P368&lt;'PlayerGrades+'!$AG$7,"B+",IF(P368&lt;'PlayerGrades+'!$AG$6,"A-",IF(P368&lt;'PlayerGrades+'!$AG$5,"A",IF(P368&lt;'PlayerGrades+'!$AG$4,"A+",IF(P368&lt;'PlayerGrades+'!$AG$3,"S-",IF(P368&lt;'PlayerGrades+'!$AG$2,"S","S+"))))))))))))))))))))</f>
        <v>#DIV/0!</v>
      </c>
      <c r="R368" s="961" t="str">
        <f t="shared" si="8"/>
        <v>#DIV/0!</v>
      </c>
      <c r="S368" s="961" t="str">
        <f>IF(R368&lt;'PlayerGrades+'!$AH$21,"F-",IF(R368&lt;'PlayerGrades+'!$AH$20,"F",IF(R368&lt;'PlayerGrades+'!$AH$19,"F+",IF(R368&lt;'PlayerGrades+'!$AH$18,"E-",IF(R368&lt;'PlayerGrades+'!$AH$17,"E",IF(R368&lt;'PlayerGrades+'!$AH$16,"E+",IF(R368&lt;'PlayerGrades+'!$AH$15,"D-",IF(R368&lt;'PlayerGrades+'!$AH$14,"D",IF(R368&lt;'PlayerGrades+'!$AH$13,"D+",IF(R368&lt;'PlayerGrades+'!$AH$12,"C-",IF(R368&lt;'PlayerGrades+'!$AH$11,"C",IF(R368&lt;'PlayerGrades+'!$AH$10,"C+",IF(R368&lt;'PlayerGrades+'!$AH$9,"B-",IF(R368&lt;'PlayerGrades+'!$AH$8,"B",IF(R368&lt;'PlayerGrades+'!$AH$7,"B+",IF(R368&lt;'PlayerGrades+'!$AH$6,"A-",IF(R368&lt;'PlayerGrades+'!$AH$5,"A",IF(R368&lt;'PlayerGrades+'!$AH$4,"A+",IF(R368&lt;'PlayerGrades+'!$AH$3,"S-",IF(R368&lt;'PlayerGrades+'!$AH$2,"S","S+"))))))))))))))))))))</f>
        <v>#DIV/0!</v>
      </c>
      <c r="T368" s="961">
        <f t="shared" si="9"/>
        <v>0</v>
      </c>
      <c r="U368" s="961" t="str">
        <f>IF(T368&lt;'PlayerGrades+'!$AI$21,"F-",IF(T368&lt;'PlayerGrades+'!$AI$20,"F",IF(T368&lt;'PlayerGrades+'!$AI$19,"F+",IF(T368&lt;'PlayerGrades+'!$AI$18,"E-",IF(T368&lt;'PlayerGrades+'!$AI$17,"E",IF(T368&lt;'PlayerGrades+'!$AI$16,"E+",IF(T368&lt;'PlayerGrades+'!$AI$15,"D-",IF(T368&lt;'PlayerGrades+'!$AI$14,"D",IF(T368&lt;'PlayerGrades+'!$AI$13,"D+",IF(T368&lt;'PlayerGrades+'!$AI$12,"C-",IF(T368&lt;'PlayerGrades+'!$AI$11,"C",IF(T368&lt;'PlayerGrades+'!$AI$10,"C+",IF(T368&lt;'PlayerGrades+'!$AI$9,"B-",IF(T368&lt;'PlayerGrades+'!$AI$8,"B",IF(T368&lt;'PlayerGrades+'!$AI$7,"B+",IF(T368&lt;'PlayerGrades+'!$AI$6,"A-",IF(T368&lt;'PlayerGrades+'!$AI$5,"A",IF(T368&lt;'PlayerGrades+'!$AI$4,"A+",IF(T368&lt;'PlayerGrades+'!$AI$3,"S-",IF(T368&lt;'PlayerGrades+'!$AI$2,"S","S+"))))))))))))))))))))</f>
        <v>F-</v>
      </c>
      <c r="AC368" s="1392"/>
    </row>
    <row r="369">
      <c r="A369" s="1411"/>
      <c r="B369" s="611" t="str">
        <f>IF(C369&lt;'PlayerGrades+'!$Y$44,"F-",IF(C369&lt;'PlayerGrades+'!$Y$43,"F",IF(C369&lt;'PlayerGrades+'!$Y$42,"F+",IF(C369&lt;'PlayerGrades+'!$Y$41,"E-",IF(C369&lt;'PlayerGrades+'!$Y$40,"E",IF(C369&lt;'PlayerGrades+'!$Y$39,"E+",IF(C369&lt;'PlayerGrades+'!$Y$38,"D-",IF(C369&lt;'PlayerGrades+'!$Y$37,"D",IF(C369&lt;'PlayerGrades+'!$Y$36,"D+",IF(C369&lt;'PlayerGrades+'!$Y$35,"C-",IF(C369&lt;'PlayerGrades+'!$Y$34,"C",IF(C369&lt;'PlayerGrades+'!$Y$33,"C+",IF(C369&lt;'PlayerGrades+'!$Y$32,"B-",IF(C369&lt;'PlayerGrades+'!$Y$31,"B",IF(C369&lt;'PlayerGrades+'!$Y$30,"B+",IF(C369&lt;'PlayerGrades+'!$Y$29,"A-",IF(C369&lt;'PlayerGrades+'!$Y$28,"A",IF(C369&lt;'PlayerGrades+'!$Y$27,"A+",IF(C369&lt;'PlayerGrades+'!$Y$26,"S-",IF(C369&lt;'PlayerGrades+'!$Y$25,"S","S+"))))))))))))))))))))</f>
        <v>#DIV/0!</v>
      </c>
      <c r="C369" s="1378" t="str">
        <f>('PlayerGrades+'!$Y$47*(VLOOKUP(E369, 'PlayerGrades+'!$X$3:$Y$23, 2, FALSE)))+('PlayerGrades+'!$Y$48*(VLOOKUP(G369, 'PlayerGrades+'!$X$3:$Y$23, 2, FALSE)))+('PlayerGrades+'!$Y$49*(VLOOKUP(I369, 'PlayerGrades+'!$X$3:$Y$23, 2, FALSE)))+('PlayerGrades+'!$Y$50*(VLOOKUP(K369, 'PlayerGrades+'!$X$3:$Y$23, 2, FALSE)))+('PlayerGrades+'!$Y$51*(VLOOKUP(M369, 'PlayerGrades+'!$X$3:$Y$23, 2, FALSE)))+('PlayerGrades+'!$Y$52*(VLOOKUP(O369, 'PlayerGrades+'!$X$3:$Y$23, 2, FALSE)))+('PlayerGrades+'!$Y$53*(VLOOKUP(Q369, 'PlayerGrades+'!$X$3:$Y$23, 2, FALSE)))+('PlayerGrades+'!$Y$54*(VLOOKUP(S369, 'PlayerGrades+'!$X$3:$Y$23, 2, FALSE)))+('PlayerGrades+'!$Y$55*(VLOOKUP(U369, 'PlayerGrades+'!$X$3:$Y$23, 2, FALSE)))</f>
        <v>#DIV/0!</v>
      </c>
      <c r="D369" s="961" t="str">
        <f t="shared" si="1"/>
        <v>#DIV/0!</v>
      </c>
      <c r="E369" s="961" t="str">
        <f>IF(D369&lt;'PlayerGrades+'!$AA$21,"F-",IF(D369&lt;'PlayerGrades+'!$AA$20,"F",IF(D369&lt;'PlayerGrades+'!$AA$19,"F+",IF(D369&lt;'PlayerGrades+'!$AA$18,"E-",IF(D369&lt;'PlayerGrades+'!$AA$17,"E",IF(D369&lt;'PlayerGrades+'!$AA$16,"E+",IF(D369&lt;'PlayerGrades+'!$AA$15,"D-",IF(D369&lt;'PlayerGrades+'!$AA$14,"D",IF(D369&lt;'PlayerGrades+'!$AA$13,"D+",IF(D369&lt;'PlayerGrades+'!$AA$12,"C-",IF(D369&lt;'PlayerGrades+'!$AA$11,"C",IF(D369&lt;'PlayerGrades+'!$AA$10,"C+",IF(D369&lt;'PlayerGrades+'!$AA$9,"B-",IF(D369&lt;'PlayerGrades+'!$AA$8,"B",IF(D369&lt;'PlayerGrades+'!$AA$7,"B+",IF(D369&lt;'PlayerGrades+'!$AA$6,"A-",IF(D369&lt;'PlayerGrades+'!$AA$5,"A",IF(D369&lt;'PlayerGrades+'!$AA$4,"A+",IF(D369&lt;'PlayerGrades+'!$AA$3,"S-",IF(D369&lt;'PlayerGrades+'!$AA$2,"S","S+"))))))))))))))))))))</f>
        <v>#DIV/0!</v>
      </c>
      <c r="F369" s="961" t="str">
        <f t="shared" si="2"/>
        <v>#DIV/0!</v>
      </c>
      <c r="G369" s="961" t="str">
        <f>IF(F369&lt;'PlayerGrades+'!$AB$21,"F-",IF(F369&lt;'PlayerGrades+'!$AB$20,"F",IF(F369&lt;'PlayerGrades+'!$AB$19,"F+",IF(F369&lt;'PlayerGrades+'!$AB$18,"E-",IF(F369&lt;'PlayerGrades+'!$AB$17,"E",IF(F369&lt;'PlayerGrades+'!$AB$16,"E+",IF(F369&lt;'PlayerGrades+'!$AB$15,"D-",IF(F369&lt;'PlayerGrades+'!$AB$14,"D",IF(F369&lt;'PlayerGrades+'!$AB$13,"D+",IF(F369&lt;'PlayerGrades+'!$AB$12,"C-",IF(F369&lt;'PlayerGrades+'!$AB$11,"C",IF(F369&lt;'PlayerGrades+'!$AB$10,"C+",IF(F369&lt;'PlayerGrades+'!$AB$9,"B-",IF(F369&lt;'PlayerGrades+'!$AB$8,"B",IF(F369&lt;'PlayerGrades+'!$AB$7,"B+",IF(F369&lt;'PlayerGrades+'!$AB$6,"A-",IF(F369&lt;'PlayerGrades+'!$AB$5,"A",IF(F369&lt;'PlayerGrades+'!$AB$4,"A+",IF(F369&lt;'PlayerGrades+'!$AB$3,"S-",IF(F369&lt;'PlayerGrades+'!$AB$2,"S","S+"))))))))))))))))))))</f>
        <v>#DIV/0!</v>
      </c>
      <c r="H369" s="961" t="str">
        <f t="shared" si="3"/>
        <v>#DIV/0!</v>
      </c>
      <c r="I369" s="961" t="str">
        <f>IF(H369&lt;'PlayerGrades+'!$AC$21,"F-",IF(H369&lt;'PlayerGrades+'!$AC$20,"F",IF(H369&lt;'PlayerGrades+'!$AC$19,"F+",IF(H369&lt;'PlayerGrades+'!$AC$18,"E-",IF(H369&lt;'PlayerGrades+'!$AC$17,"E",IF(H369&lt;'PlayerGrades+'!$AC$16,"E+",IF(H369&lt;'PlayerGrades+'!$AC$15,"D-",IF(H369&lt;'PlayerGrades+'!$AC$14,"D",IF(H369&lt;'PlayerGrades+'!$AC$13,"D+",IF(H369&lt;'PlayerGrades+'!$AC$12,"C-",IF(H369&lt;'PlayerGrades+'!$AC$11,"C",IF(H369&lt;'PlayerGrades+'!$AC$10,"C+",IF(H369&lt;'PlayerGrades+'!$AC$9,"B-",IF(H369&lt;'PlayerGrades+'!$AC$8,"B",IF(H369&lt;'PlayerGrades+'!$AC$7,"B+",IF(H369&lt;'PlayerGrades+'!$AC$6,"A-",IF(H369&lt;'PlayerGrades+'!$AC$5,"A",IF(H369&lt;'PlayerGrades+'!$AC$4,"A+",IF(H369&lt;'PlayerGrades+'!$AC$3,"S-",IF(H369&lt;'PlayerGrades+'!$AC$2,"S","S+"))))))))))))))))))))</f>
        <v>#DIV/0!</v>
      </c>
      <c r="J369" s="961" t="str">
        <f t="shared" si="4"/>
        <v>#DIV/0!</v>
      </c>
      <c r="K369" s="961" t="str">
        <f>IF(J369&lt;'PlayerGrades+'!$AD$21,"F-",IF(J369&lt;'PlayerGrades+'!$AD$20,"F",IF(J369&lt;'PlayerGrades+'!$AD$19,"F+",IF(J369&lt;'PlayerGrades+'!$AD$18,"E-",IF(J369&lt;'PlayerGrades+'!$AD$17,"E",IF(J369&lt;'PlayerGrades+'!$AD$16,"E+",IF(J369&lt;'PlayerGrades+'!$AD$15,"D-",IF(J369&lt;'PlayerGrades+'!$AD$14,"D",IF(J369&lt;'PlayerGrades+'!$AD$13,"D+",IF(J369&lt;'PlayerGrades+'!$AD$12,"C-",IF(J369&lt;'PlayerGrades+'!$AD$11,"C",IF(J369&lt;'PlayerGrades+'!$AD$10,"C+",IF(J369&lt;'PlayerGrades+'!$AD$9,"B-",IF(J369&lt;'PlayerGrades+'!$AD$8,"B",IF(J369&lt;'PlayerGrades+'!$AD$7,"B+",IF(J369&lt;'PlayerGrades+'!$AD$6,"A-",IF(J369&lt;'PlayerGrades+'!$AD$5,"A",IF(J369&lt;'PlayerGrades+'!$AD$4,"A+",IF(J369&lt;'PlayerGrades+'!$AD$3,"S-",IF(J369&lt;'PlayerGrades+'!$AD$2,"S","S+"))))))))))))))))))))</f>
        <v>#DIV/0!</v>
      </c>
      <c r="L369" s="1176" t="str">
        <f t="shared" si="5"/>
        <v>#DIV/0!</v>
      </c>
      <c r="M369" s="992" t="str">
        <f>IF(L369&lt;'PlayerGrades+'!$AE$21,"F-",IF(L369&lt;'PlayerGrades+'!$AE$20,"F",IF(L369&lt;'PlayerGrades+'!$AE$19,"F+",IF(L369&lt;'PlayerGrades+'!$AE$18,"E-",IF(L369&lt;'PlayerGrades+'!$AE$17,"E",IF(L369&lt;'PlayerGrades+'!$AE$16,"E+",IF(L369&lt;'PlayerGrades+'!$AE$15,"D-",IF(L369&lt;'PlayerGrades+'!$AE$14,"D",IF(L369&lt;'PlayerGrades+'!$AE$13,"D+",IF(L369&lt;'PlayerGrades+'!$AE$12,"C-",IF(L369&lt;'PlayerGrades+'!$AE$11,"C",IF(L369&lt;'PlayerGrades+'!$AE$10,"C+",IF(L369&lt;'PlayerGrades+'!$AE$9,"B-",IF(L369&lt;'PlayerGrades+'!$AE$8,"B",IF(L369&lt;'PlayerGrades+'!$AE$7,"B+",IF(L369&lt;'PlayerGrades+'!$AE$6,"A-",IF(L369&lt;'PlayerGrades+'!$AE$5,"A",IF(L369&lt;'PlayerGrades+'!$AE$4,"A+",IF(L369&lt;'PlayerGrades+'!$AE$3,"S-",IF(L369&lt;'PlayerGrades+'!$AE$2,"S","S+"))))))))))))))))))))</f>
        <v>#DIV/0!</v>
      </c>
      <c r="N369" s="961" t="str">
        <f t="shared" si="6"/>
        <v>#DIV/0!</v>
      </c>
      <c r="O369" s="961" t="str">
        <f>IF(N369&lt;'PlayerGrades+'!$AF$21,"F-",IF(N369&lt;'PlayerGrades+'!$AF$20,"F",IF(N369&lt;'PlayerGrades+'!$AF$19,"F+",IF(N369&lt;'PlayerGrades+'!$AF$18,"E-",IF(N369&lt;'PlayerGrades+'!$AF$17,"E",IF(N369&lt;'PlayerGrades+'!$AF$16,"E+",IF(N369&lt;'PlayerGrades+'!$AF$15,"D-",IF(N369&lt;'PlayerGrades+'!$AF$14,"D",IF(N369&lt;'PlayerGrades+'!$AF$13,"D+",IF(N369&lt;'PlayerGrades+'!$AF$12,"C-",IF(N369&lt;'PlayerGrades+'!$AF$11,"C",IF(N369&lt;'PlayerGrades+'!$AF$10,"C+",IF(N369&lt;'PlayerGrades+'!$AF$9,"B-",IF(N369&lt;'PlayerGrades+'!$AF$8,"B",IF(N369&lt;'PlayerGrades+'!$AF$7,"B+",IF(N369&lt;'PlayerGrades+'!$AF$6,"A-",IF(N369&lt;'PlayerGrades+'!$AF$5,"A",IF(N369&lt;'PlayerGrades+'!$AF$4,"A+",IF(N369&lt;'PlayerGrades+'!$AF$3,"S-",IF(N369&lt;'PlayerGrades+'!$AF$2,"S","S+"))))))))))))))))))))</f>
        <v>#DIV/0!</v>
      </c>
      <c r="P369" s="961" t="str">
        <f t="shared" si="7"/>
        <v>#DIV/0!</v>
      </c>
      <c r="Q369" s="961" t="str">
        <f>IF(P369&lt;'PlayerGrades+'!$AG$21,"F-",IF(P369&lt;'PlayerGrades+'!$AG$20,"F",IF(P369&lt;'PlayerGrades+'!$AG$19,"F+",IF(P369&lt;'PlayerGrades+'!$AG$18,"E-",IF(P369&lt;'PlayerGrades+'!$AG$17,"E",IF(P369&lt;'PlayerGrades+'!$AG$16,"E+",IF(P369&lt;'PlayerGrades+'!$AG$15,"D-",IF(P369&lt;'PlayerGrades+'!$AG$14,"D",IF(P369&lt;'PlayerGrades+'!$AG$13,"D+",IF(P369&lt;'PlayerGrades+'!$AG$12,"C-",IF(P369&lt;'PlayerGrades+'!$AG$11,"C",IF(P369&lt;'PlayerGrades+'!$AG$10,"C+",IF(P369&lt;'PlayerGrades+'!$AG$9,"B-",IF(P369&lt;'PlayerGrades+'!$AG$8,"B",IF(P369&lt;'PlayerGrades+'!$AG$7,"B+",IF(P369&lt;'PlayerGrades+'!$AG$6,"A-",IF(P369&lt;'PlayerGrades+'!$AG$5,"A",IF(P369&lt;'PlayerGrades+'!$AG$4,"A+",IF(P369&lt;'PlayerGrades+'!$AG$3,"S-",IF(P369&lt;'PlayerGrades+'!$AG$2,"S","S+"))))))))))))))))))))</f>
        <v>#DIV/0!</v>
      </c>
      <c r="R369" s="961" t="str">
        <f t="shared" si="8"/>
        <v>#DIV/0!</v>
      </c>
      <c r="S369" s="961" t="str">
        <f>IF(R369&lt;'PlayerGrades+'!$AH$21,"F-",IF(R369&lt;'PlayerGrades+'!$AH$20,"F",IF(R369&lt;'PlayerGrades+'!$AH$19,"F+",IF(R369&lt;'PlayerGrades+'!$AH$18,"E-",IF(R369&lt;'PlayerGrades+'!$AH$17,"E",IF(R369&lt;'PlayerGrades+'!$AH$16,"E+",IF(R369&lt;'PlayerGrades+'!$AH$15,"D-",IF(R369&lt;'PlayerGrades+'!$AH$14,"D",IF(R369&lt;'PlayerGrades+'!$AH$13,"D+",IF(R369&lt;'PlayerGrades+'!$AH$12,"C-",IF(R369&lt;'PlayerGrades+'!$AH$11,"C",IF(R369&lt;'PlayerGrades+'!$AH$10,"C+",IF(R369&lt;'PlayerGrades+'!$AH$9,"B-",IF(R369&lt;'PlayerGrades+'!$AH$8,"B",IF(R369&lt;'PlayerGrades+'!$AH$7,"B+",IF(R369&lt;'PlayerGrades+'!$AH$6,"A-",IF(R369&lt;'PlayerGrades+'!$AH$5,"A",IF(R369&lt;'PlayerGrades+'!$AH$4,"A+",IF(R369&lt;'PlayerGrades+'!$AH$3,"S-",IF(R369&lt;'PlayerGrades+'!$AH$2,"S","S+"))))))))))))))))))))</f>
        <v>#DIV/0!</v>
      </c>
      <c r="T369" s="961">
        <f t="shared" si="9"/>
        <v>0</v>
      </c>
      <c r="U369" s="961" t="str">
        <f>IF(T369&lt;'PlayerGrades+'!$AI$21,"F-",IF(T369&lt;'PlayerGrades+'!$AI$20,"F",IF(T369&lt;'PlayerGrades+'!$AI$19,"F+",IF(T369&lt;'PlayerGrades+'!$AI$18,"E-",IF(T369&lt;'PlayerGrades+'!$AI$17,"E",IF(T369&lt;'PlayerGrades+'!$AI$16,"E+",IF(T369&lt;'PlayerGrades+'!$AI$15,"D-",IF(T369&lt;'PlayerGrades+'!$AI$14,"D",IF(T369&lt;'PlayerGrades+'!$AI$13,"D+",IF(T369&lt;'PlayerGrades+'!$AI$12,"C-",IF(T369&lt;'PlayerGrades+'!$AI$11,"C",IF(T369&lt;'PlayerGrades+'!$AI$10,"C+",IF(T369&lt;'PlayerGrades+'!$AI$9,"B-",IF(T369&lt;'PlayerGrades+'!$AI$8,"B",IF(T369&lt;'PlayerGrades+'!$AI$7,"B+",IF(T369&lt;'PlayerGrades+'!$AI$6,"A-",IF(T369&lt;'PlayerGrades+'!$AI$5,"A",IF(T369&lt;'PlayerGrades+'!$AI$4,"A+",IF(T369&lt;'PlayerGrades+'!$AI$3,"S-",IF(T369&lt;'PlayerGrades+'!$AI$2,"S","S+"))))))))))))))))))))</f>
        <v>F-</v>
      </c>
      <c r="V369" s="1386"/>
      <c r="W369" s="1386"/>
      <c r="X369" s="1386"/>
      <c r="Y369" s="1386"/>
      <c r="Z369" s="1386"/>
      <c r="AA369" s="1386"/>
      <c r="AB369" s="1386"/>
      <c r="AC369" s="1397"/>
      <c r="AD369" s="1386"/>
      <c r="AE369" s="1386"/>
      <c r="AF369" s="1386"/>
      <c r="AG369" s="1386"/>
      <c r="AH369" s="1386"/>
      <c r="AI369" s="1386"/>
      <c r="AJ369" s="1386"/>
      <c r="AK369" s="1386"/>
      <c r="AL369" s="1386"/>
      <c r="AM369" s="1386"/>
      <c r="AN369" s="1386"/>
      <c r="AO369" s="1386"/>
      <c r="AP369" s="1386"/>
      <c r="AQ369" s="1386"/>
      <c r="AR369" s="1386"/>
      <c r="AS369" s="1386"/>
      <c r="AT369" s="1386"/>
      <c r="AU369" s="1386"/>
      <c r="AV369" s="1386"/>
      <c r="AW369" s="1386"/>
      <c r="AX369" s="1386"/>
      <c r="AY369" s="1386"/>
      <c r="AZ369" s="1386"/>
    </row>
    <row r="370">
      <c r="A370" s="1389"/>
      <c r="B370" s="611" t="str">
        <f>IF(C370&lt;'PlayerGrades+'!$Y$44,"F-",IF(C370&lt;'PlayerGrades+'!$Y$43,"F",IF(C370&lt;'PlayerGrades+'!$Y$42,"F+",IF(C370&lt;'PlayerGrades+'!$Y$41,"E-",IF(C370&lt;'PlayerGrades+'!$Y$40,"E",IF(C370&lt;'PlayerGrades+'!$Y$39,"E+",IF(C370&lt;'PlayerGrades+'!$Y$38,"D-",IF(C370&lt;'PlayerGrades+'!$Y$37,"D",IF(C370&lt;'PlayerGrades+'!$Y$36,"D+",IF(C370&lt;'PlayerGrades+'!$Y$35,"C-",IF(C370&lt;'PlayerGrades+'!$Y$34,"C",IF(C370&lt;'PlayerGrades+'!$Y$33,"C+",IF(C370&lt;'PlayerGrades+'!$Y$32,"B-",IF(C370&lt;'PlayerGrades+'!$Y$31,"B",IF(C370&lt;'PlayerGrades+'!$Y$30,"B+",IF(C370&lt;'PlayerGrades+'!$Y$29,"A-",IF(C370&lt;'PlayerGrades+'!$Y$28,"A",IF(C370&lt;'PlayerGrades+'!$Y$27,"A+",IF(C370&lt;'PlayerGrades+'!$Y$26,"S-",IF(C370&lt;'PlayerGrades+'!$Y$25,"S","S+"))))))))))))))))))))</f>
        <v>#DIV/0!</v>
      </c>
      <c r="C370" s="1378" t="str">
        <f>('PlayerGrades+'!$Y$47*(VLOOKUP(E370, 'PlayerGrades+'!$X$3:$Y$23, 2, FALSE)))+('PlayerGrades+'!$Y$48*(VLOOKUP(G370, 'PlayerGrades+'!$X$3:$Y$23, 2, FALSE)))+('PlayerGrades+'!$Y$49*(VLOOKUP(I370, 'PlayerGrades+'!$X$3:$Y$23, 2, FALSE)))+('PlayerGrades+'!$Y$50*(VLOOKUP(K370, 'PlayerGrades+'!$X$3:$Y$23, 2, FALSE)))+('PlayerGrades+'!$Y$51*(VLOOKUP(M370, 'PlayerGrades+'!$X$3:$Y$23, 2, FALSE)))+('PlayerGrades+'!$Y$52*(VLOOKUP(O370, 'PlayerGrades+'!$X$3:$Y$23, 2, FALSE)))+('PlayerGrades+'!$Y$53*(VLOOKUP(Q370, 'PlayerGrades+'!$X$3:$Y$23, 2, FALSE)))+('PlayerGrades+'!$Y$54*(VLOOKUP(S370, 'PlayerGrades+'!$X$3:$Y$23, 2, FALSE)))+('PlayerGrades+'!$Y$55*(VLOOKUP(U370, 'PlayerGrades+'!$X$3:$Y$23, 2, FALSE)))</f>
        <v>#DIV/0!</v>
      </c>
      <c r="D370" s="961" t="str">
        <f t="shared" si="1"/>
        <v>#DIV/0!</v>
      </c>
      <c r="E370" s="961" t="str">
        <f>IF(D370&lt;'PlayerGrades+'!$AA$21,"F-",IF(D370&lt;'PlayerGrades+'!$AA$20,"F",IF(D370&lt;'PlayerGrades+'!$AA$19,"F+",IF(D370&lt;'PlayerGrades+'!$AA$18,"E-",IF(D370&lt;'PlayerGrades+'!$AA$17,"E",IF(D370&lt;'PlayerGrades+'!$AA$16,"E+",IF(D370&lt;'PlayerGrades+'!$AA$15,"D-",IF(D370&lt;'PlayerGrades+'!$AA$14,"D",IF(D370&lt;'PlayerGrades+'!$AA$13,"D+",IF(D370&lt;'PlayerGrades+'!$AA$12,"C-",IF(D370&lt;'PlayerGrades+'!$AA$11,"C",IF(D370&lt;'PlayerGrades+'!$AA$10,"C+",IF(D370&lt;'PlayerGrades+'!$AA$9,"B-",IF(D370&lt;'PlayerGrades+'!$AA$8,"B",IF(D370&lt;'PlayerGrades+'!$AA$7,"B+",IF(D370&lt;'PlayerGrades+'!$AA$6,"A-",IF(D370&lt;'PlayerGrades+'!$AA$5,"A",IF(D370&lt;'PlayerGrades+'!$AA$4,"A+",IF(D370&lt;'PlayerGrades+'!$AA$3,"S-",IF(D370&lt;'PlayerGrades+'!$AA$2,"S","S+"))))))))))))))))))))</f>
        <v>#DIV/0!</v>
      </c>
      <c r="F370" s="961" t="str">
        <f t="shared" si="2"/>
        <v>#DIV/0!</v>
      </c>
      <c r="G370" s="961" t="str">
        <f>IF(F370&lt;'PlayerGrades+'!$AB$21,"F-",IF(F370&lt;'PlayerGrades+'!$AB$20,"F",IF(F370&lt;'PlayerGrades+'!$AB$19,"F+",IF(F370&lt;'PlayerGrades+'!$AB$18,"E-",IF(F370&lt;'PlayerGrades+'!$AB$17,"E",IF(F370&lt;'PlayerGrades+'!$AB$16,"E+",IF(F370&lt;'PlayerGrades+'!$AB$15,"D-",IF(F370&lt;'PlayerGrades+'!$AB$14,"D",IF(F370&lt;'PlayerGrades+'!$AB$13,"D+",IF(F370&lt;'PlayerGrades+'!$AB$12,"C-",IF(F370&lt;'PlayerGrades+'!$AB$11,"C",IF(F370&lt;'PlayerGrades+'!$AB$10,"C+",IF(F370&lt;'PlayerGrades+'!$AB$9,"B-",IF(F370&lt;'PlayerGrades+'!$AB$8,"B",IF(F370&lt;'PlayerGrades+'!$AB$7,"B+",IF(F370&lt;'PlayerGrades+'!$AB$6,"A-",IF(F370&lt;'PlayerGrades+'!$AB$5,"A",IF(F370&lt;'PlayerGrades+'!$AB$4,"A+",IF(F370&lt;'PlayerGrades+'!$AB$3,"S-",IF(F370&lt;'PlayerGrades+'!$AB$2,"S","S+"))))))))))))))))))))</f>
        <v>#DIV/0!</v>
      </c>
      <c r="H370" s="961" t="str">
        <f t="shared" si="3"/>
        <v>#DIV/0!</v>
      </c>
      <c r="I370" s="961" t="str">
        <f>IF(H370&lt;'PlayerGrades+'!$AC$21,"F-",IF(H370&lt;'PlayerGrades+'!$AC$20,"F",IF(H370&lt;'PlayerGrades+'!$AC$19,"F+",IF(H370&lt;'PlayerGrades+'!$AC$18,"E-",IF(H370&lt;'PlayerGrades+'!$AC$17,"E",IF(H370&lt;'PlayerGrades+'!$AC$16,"E+",IF(H370&lt;'PlayerGrades+'!$AC$15,"D-",IF(H370&lt;'PlayerGrades+'!$AC$14,"D",IF(H370&lt;'PlayerGrades+'!$AC$13,"D+",IF(H370&lt;'PlayerGrades+'!$AC$12,"C-",IF(H370&lt;'PlayerGrades+'!$AC$11,"C",IF(H370&lt;'PlayerGrades+'!$AC$10,"C+",IF(H370&lt;'PlayerGrades+'!$AC$9,"B-",IF(H370&lt;'PlayerGrades+'!$AC$8,"B",IF(H370&lt;'PlayerGrades+'!$AC$7,"B+",IF(H370&lt;'PlayerGrades+'!$AC$6,"A-",IF(H370&lt;'PlayerGrades+'!$AC$5,"A",IF(H370&lt;'PlayerGrades+'!$AC$4,"A+",IF(H370&lt;'PlayerGrades+'!$AC$3,"S-",IF(H370&lt;'PlayerGrades+'!$AC$2,"S","S+"))))))))))))))))))))</f>
        <v>#DIV/0!</v>
      </c>
      <c r="J370" s="961" t="str">
        <f t="shared" si="4"/>
        <v>#DIV/0!</v>
      </c>
      <c r="K370" s="961" t="str">
        <f>IF(J370&lt;'PlayerGrades+'!$AD$21,"F-",IF(J370&lt;'PlayerGrades+'!$AD$20,"F",IF(J370&lt;'PlayerGrades+'!$AD$19,"F+",IF(J370&lt;'PlayerGrades+'!$AD$18,"E-",IF(J370&lt;'PlayerGrades+'!$AD$17,"E",IF(J370&lt;'PlayerGrades+'!$AD$16,"E+",IF(J370&lt;'PlayerGrades+'!$AD$15,"D-",IF(J370&lt;'PlayerGrades+'!$AD$14,"D",IF(J370&lt;'PlayerGrades+'!$AD$13,"D+",IF(J370&lt;'PlayerGrades+'!$AD$12,"C-",IF(J370&lt;'PlayerGrades+'!$AD$11,"C",IF(J370&lt;'PlayerGrades+'!$AD$10,"C+",IF(J370&lt;'PlayerGrades+'!$AD$9,"B-",IF(J370&lt;'PlayerGrades+'!$AD$8,"B",IF(J370&lt;'PlayerGrades+'!$AD$7,"B+",IF(J370&lt;'PlayerGrades+'!$AD$6,"A-",IF(J370&lt;'PlayerGrades+'!$AD$5,"A",IF(J370&lt;'PlayerGrades+'!$AD$4,"A+",IF(J370&lt;'PlayerGrades+'!$AD$3,"S-",IF(J370&lt;'PlayerGrades+'!$AD$2,"S","S+"))))))))))))))))))))</f>
        <v>#DIV/0!</v>
      </c>
      <c r="L370" s="1176" t="str">
        <f t="shared" si="5"/>
        <v>#DIV/0!</v>
      </c>
      <c r="M370" s="992" t="str">
        <f>IF(L370&lt;'PlayerGrades+'!$AE$21,"F-",IF(L370&lt;'PlayerGrades+'!$AE$20,"F",IF(L370&lt;'PlayerGrades+'!$AE$19,"F+",IF(L370&lt;'PlayerGrades+'!$AE$18,"E-",IF(L370&lt;'PlayerGrades+'!$AE$17,"E",IF(L370&lt;'PlayerGrades+'!$AE$16,"E+",IF(L370&lt;'PlayerGrades+'!$AE$15,"D-",IF(L370&lt;'PlayerGrades+'!$AE$14,"D",IF(L370&lt;'PlayerGrades+'!$AE$13,"D+",IF(L370&lt;'PlayerGrades+'!$AE$12,"C-",IF(L370&lt;'PlayerGrades+'!$AE$11,"C",IF(L370&lt;'PlayerGrades+'!$AE$10,"C+",IF(L370&lt;'PlayerGrades+'!$AE$9,"B-",IF(L370&lt;'PlayerGrades+'!$AE$8,"B",IF(L370&lt;'PlayerGrades+'!$AE$7,"B+",IF(L370&lt;'PlayerGrades+'!$AE$6,"A-",IF(L370&lt;'PlayerGrades+'!$AE$5,"A",IF(L370&lt;'PlayerGrades+'!$AE$4,"A+",IF(L370&lt;'PlayerGrades+'!$AE$3,"S-",IF(L370&lt;'PlayerGrades+'!$AE$2,"S","S+"))))))))))))))))))))</f>
        <v>#DIV/0!</v>
      </c>
      <c r="N370" s="961" t="str">
        <f t="shared" si="6"/>
        <v>#DIV/0!</v>
      </c>
      <c r="O370" s="961" t="str">
        <f>IF(N370&lt;'PlayerGrades+'!$AF$21,"F-",IF(N370&lt;'PlayerGrades+'!$AF$20,"F",IF(N370&lt;'PlayerGrades+'!$AF$19,"F+",IF(N370&lt;'PlayerGrades+'!$AF$18,"E-",IF(N370&lt;'PlayerGrades+'!$AF$17,"E",IF(N370&lt;'PlayerGrades+'!$AF$16,"E+",IF(N370&lt;'PlayerGrades+'!$AF$15,"D-",IF(N370&lt;'PlayerGrades+'!$AF$14,"D",IF(N370&lt;'PlayerGrades+'!$AF$13,"D+",IF(N370&lt;'PlayerGrades+'!$AF$12,"C-",IF(N370&lt;'PlayerGrades+'!$AF$11,"C",IF(N370&lt;'PlayerGrades+'!$AF$10,"C+",IF(N370&lt;'PlayerGrades+'!$AF$9,"B-",IF(N370&lt;'PlayerGrades+'!$AF$8,"B",IF(N370&lt;'PlayerGrades+'!$AF$7,"B+",IF(N370&lt;'PlayerGrades+'!$AF$6,"A-",IF(N370&lt;'PlayerGrades+'!$AF$5,"A",IF(N370&lt;'PlayerGrades+'!$AF$4,"A+",IF(N370&lt;'PlayerGrades+'!$AF$3,"S-",IF(N370&lt;'PlayerGrades+'!$AF$2,"S","S+"))))))))))))))))))))</f>
        <v>#DIV/0!</v>
      </c>
      <c r="P370" s="961" t="str">
        <f t="shared" si="7"/>
        <v>#DIV/0!</v>
      </c>
      <c r="Q370" s="961" t="str">
        <f>IF(P370&lt;'PlayerGrades+'!$AG$21,"F-",IF(P370&lt;'PlayerGrades+'!$AG$20,"F",IF(P370&lt;'PlayerGrades+'!$AG$19,"F+",IF(P370&lt;'PlayerGrades+'!$AG$18,"E-",IF(P370&lt;'PlayerGrades+'!$AG$17,"E",IF(P370&lt;'PlayerGrades+'!$AG$16,"E+",IF(P370&lt;'PlayerGrades+'!$AG$15,"D-",IF(P370&lt;'PlayerGrades+'!$AG$14,"D",IF(P370&lt;'PlayerGrades+'!$AG$13,"D+",IF(P370&lt;'PlayerGrades+'!$AG$12,"C-",IF(P370&lt;'PlayerGrades+'!$AG$11,"C",IF(P370&lt;'PlayerGrades+'!$AG$10,"C+",IF(P370&lt;'PlayerGrades+'!$AG$9,"B-",IF(P370&lt;'PlayerGrades+'!$AG$8,"B",IF(P370&lt;'PlayerGrades+'!$AG$7,"B+",IF(P370&lt;'PlayerGrades+'!$AG$6,"A-",IF(P370&lt;'PlayerGrades+'!$AG$5,"A",IF(P370&lt;'PlayerGrades+'!$AG$4,"A+",IF(P370&lt;'PlayerGrades+'!$AG$3,"S-",IF(P370&lt;'PlayerGrades+'!$AG$2,"S","S+"))))))))))))))))))))</f>
        <v>#DIV/0!</v>
      </c>
      <c r="R370" s="961" t="str">
        <f t="shared" si="8"/>
        <v>#DIV/0!</v>
      </c>
      <c r="S370" s="961" t="str">
        <f>IF(R370&lt;'PlayerGrades+'!$AH$21,"F-",IF(R370&lt;'PlayerGrades+'!$AH$20,"F",IF(R370&lt;'PlayerGrades+'!$AH$19,"F+",IF(R370&lt;'PlayerGrades+'!$AH$18,"E-",IF(R370&lt;'PlayerGrades+'!$AH$17,"E",IF(R370&lt;'PlayerGrades+'!$AH$16,"E+",IF(R370&lt;'PlayerGrades+'!$AH$15,"D-",IF(R370&lt;'PlayerGrades+'!$AH$14,"D",IF(R370&lt;'PlayerGrades+'!$AH$13,"D+",IF(R370&lt;'PlayerGrades+'!$AH$12,"C-",IF(R370&lt;'PlayerGrades+'!$AH$11,"C",IF(R370&lt;'PlayerGrades+'!$AH$10,"C+",IF(R370&lt;'PlayerGrades+'!$AH$9,"B-",IF(R370&lt;'PlayerGrades+'!$AH$8,"B",IF(R370&lt;'PlayerGrades+'!$AH$7,"B+",IF(R370&lt;'PlayerGrades+'!$AH$6,"A-",IF(R370&lt;'PlayerGrades+'!$AH$5,"A",IF(R370&lt;'PlayerGrades+'!$AH$4,"A+",IF(R370&lt;'PlayerGrades+'!$AH$3,"S-",IF(R370&lt;'PlayerGrades+'!$AH$2,"S","S+"))))))))))))))))))))</f>
        <v>#DIV/0!</v>
      </c>
      <c r="T370" s="961">
        <f t="shared" si="9"/>
        <v>0</v>
      </c>
      <c r="U370" s="961" t="str">
        <f>IF(T370&lt;'PlayerGrades+'!$AI$21,"F-",IF(T370&lt;'PlayerGrades+'!$AI$20,"F",IF(T370&lt;'PlayerGrades+'!$AI$19,"F+",IF(T370&lt;'PlayerGrades+'!$AI$18,"E-",IF(T370&lt;'PlayerGrades+'!$AI$17,"E",IF(T370&lt;'PlayerGrades+'!$AI$16,"E+",IF(T370&lt;'PlayerGrades+'!$AI$15,"D-",IF(T370&lt;'PlayerGrades+'!$AI$14,"D",IF(T370&lt;'PlayerGrades+'!$AI$13,"D+",IF(T370&lt;'PlayerGrades+'!$AI$12,"C-",IF(T370&lt;'PlayerGrades+'!$AI$11,"C",IF(T370&lt;'PlayerGrades+'!$AI$10,"C+",IF(T370&lt;'PlayerGrades+'!$AI$9,"B-",IF(T370&lt;'PlayerGrades+'!$AI$8,"B",IF(T370&lt;'PlayerGrades+'!$AI$7,"B+",IF(T370&lt;'PlayerGrades+'!$AI$6,"A-",IF(T370&lt;'PlayerGrades+'!$AI$5,"A",IF(T370&lt;'PlayerGrades+'!$AI$4,"A+",IF(T370&lt;'PlayerGrades+'!$AI$3,"S-",IF(T370&lt;'PlayerGrades+'!$AI$2,"S","S+"))))))))))))))))))))</f>
        <v>F-</v>
      </c>
      <c r="V370" s="1379"/>
      <c r="W370" s="1379"/>
      <c r="X370" s="1379"/>
      <c r="Y370" s="1379"/>
      <c r="Z370" s="1379"/>
      <c r="AA370" s="1379"/>
      <c r="AB370" s="1379"/>
      <c r="AC370" s="1390"/>
      <c r="AD370" s="1379"/>
      <c r="AE370" s="1379"/>
      <c r="AF370" s="1379"/>
      <c r="AG370" s="1379"/>
      <c r="AH370" s="1379"/>
      <c r="AI370" s="1379"/>
      <c r="AJ370" s="1379"/>
      <c r="AK370" s="1379"/>
      <c r="AL370" s="1379"/>
      <c r="AM370" s="1379"/>
      <c r="AN370" s="1379"/>
      <c r="AO370" s="1379"/>
      <c r="AP370" s="1379"/>
      <c r="AQ370" s="1379"/>
      <c r="AR370" s="1379"/>
      <c r="AS370" s="1379"/>
      <c r="AT370" s="1379"/>
      <c r="AU370" s="1379"/>
      <c r="AV370" s="1379"/>
      <c r="AW370" s="1379"/>
      <c r="AX370" s="1379"/>
      <c r="AY370" s="1379"/>
      <c r="AZ370" s="1379"/>
    </row>
    <row r="371">
      <c r="A371" s="1391"/>
      <c r="B371" s="611" t="str">
        <f>IF(C371&lt;'PlayerGrades+'!$Y$44,"F-",IF(C371&lt;'PlayerGrades+'!$Y$43,"F",IF(C371&lt;'PlayerGrades+'!$Y$42,"F+",IF(C371&lt;'PlayerGrades+'!$Y$41,"E-",IF(C371&lt;'PlayerGrades+'!$Y$40,"E",IF(C371&lt;'PlayerGrades+'!$Y$39,"E+",IF(C371&lt;'PlayerGrades+'!$Y$38,"D-",IF(C371&lt;'PlayerGrades+'!$Y$37,"D",IF(C371&lt;'PlayerGrades+'!$Y$36,"D+",IF(C371&lt;'PlayerGrades+'!$Y$35,"C-",IF(C371&lt;'PlayerGrades+'!$Y$34,"C",IF(C371&lt;'PlayerGrades+'!$Y$33,"C+",IF(C371&lt;'PlayerGrades+'!$Y$32,"B-",IF(C371&lt;'PlayerGrades+'!$Y$31,"B",IF(C371&lt;'PlayerGrades+'!$Y$30,"B+",IF(C371&lt;'PlayerGrades+'!$Y$29,"A-",IF(C371&lt;'PlayerGrades+'!$Y$28,"A",IF(C371&lt;'PlayerGrades+'!$Y$27,"A+",IF(C371&lt;'PlayerGrades+'!$Y$26,"S-",IF(C371&lt;'PlayerGrades+'!$Y$25,"S","S+"))))))))))))))))))))</f>
        <v>#DIV/0!</v>
      </c>
      <c r="C371" s="1378" t="str">
        <f>('PlayerGrades+'!$Y$47*(VLOOKUP(E371, 'PlayerGrades+'!$X$3:$Y$23, 2, FALSE)))+('PlayerGrades+'!$Y$48*(VLOOKUP(G371, 'PlayerGrades+'!$X$3:$Y$23, 2, FALSE)))+('PlayerGrades+'!$Y$49*(VLOOKUP(I371, 'PlayerGrades+'!$X$3:$Y$23, 2, FALSE)))+('PlayerGrades+'!$Y$50*(VLOOKUP(K371, 'PlayerGrades+'!$X$3:$Y$23, 2, FALSE)))+('PlayerGrades+'!$Y$51*(VLOOKUP(M371, 'PlayerGrades+'!$X$3:$Y$23, 2, FALSE)))+('PlayerGrades+'!$Y$52*(VLOOKUP(O371, 'PlayerGrades+'!$X$3:$Y$23, 2, FALSE)))+('PlayerGrades+'!$Y$53*(VLOOKUP(Q371, 'PlayerGrades+'!$X$3:$Y$23, 2, FALSE)))+('PlayerGrades+'!$Y$54*(VLOOKUP(S371, 'PlayerGrades+'!$X$3:$Y$23, 2, FALSE)))+('PlayerGrades+'!$Y$55*(VLOOKUP(U371, 'PlayerGrades+'!$X$3:$Y$23, 2, FALSE)))</f>
        <v>#DIV/0!</v>
      </c>
      <c r="D371" s="961" t="str">
        <f t="shared" si="1"/>
        <v>#DIV/0!</v>
      </c>
      <c r="E371" s="961" t="str">
        <f>IF(D371&lt;'PlayerGrades+'!$AA$21,"F-",IF(D371&lt;'PlayerGrades+'!$AA$20,"F",IF(D371&lt;'PlayerGrades+'!$AA$19,"F+",IF(D371&lt;'PlayerGrades+'!$AA$18,"E-",IF(D371&lt;'PlayerGrades+'!$AA$17,"E",IF(D371&lt;'PlayerGrades+'!$AA$16,"E+",IF(D371&lt;'PlayerGrades+'!$AA$15,"D-",IF(D371&lt;'PlayerGrades+'!$AA$14,"D",IF(D371&lt;'PlayerGrades+'!$AA$13,"D+",IF(D371&lt;'PlayerGrades+'!$AA$12,"C-",IF(D371&lt;'PlayerGrades+'!$AA$11,"C",IF(D371&lt;'PlayerGrades+'!$AA$10,"C+",IF(D371&lt;'PlayerGrades+'!$AA$9,"B-",IF(D371&lt;'PlayerGrades+'!$AA$8,"B",IF(D371&lt;'PlayerGrades+'!$AA$7,"B+",IF(D371&lt;'PlayerGrades+'!$AA$6,"A-",IF(D371&lt;'PlayerGrades+'!$AA$5,"A",IF(D371&lt;'PlayerGrades+'!$AA$4,"A+",IF(D371&lt;'PlayerGrades+'!$AA$3,"S-",IF(D371&lt;'PlayerGrades+'!$AA$2,"S","S+"))))))))))))))))))))</f>
        <v>#DIV/0!</v>
      </c>
      <c r="F371" s="961" t="str">
        <f t="shared" si="2"/>
        <v>#DIV/0!</v>
      </c>
      <c r="G371" s="961" t="str">
        <f>IF(F371&lt;'PlayerGrades+'!$AB$21,"F-",IF(F371&lt;'PlayerGrades+'!$AB$20,"F",IF(F371&lt;'PlayerGrades+'!$AB$19,"F+",IF(F371&lt;'PlayerGrades+'!$AB$18,"E-",IF(F371&lt;'PlayerGrades+'!$AB$17,"E",IF(F371&lt;'PlayerGrades+'!$AB$16,"E+",IF(F371&lt;'PlayerGrades+'!$AB$15,"D-",IF(F371&lt;'PlayerGrades+'!$AB$14,"D",IF(F371&lt;'PlayerGrades+'!$AB$13,"D+",IF(F371&lt;'PlayerGrades+'!$AB$12,"C-",IF(F371&lt;'PlayerGrades+'!$AB$11,"C",IF(F371&lt;'PlayerGrades+'!$AB$10,"C+",IF(F371&lt;'PlayerGrades+'!$AB$9,"B-",IF(F371&lt;'PlayerGrades+'!$AB$8,"B",IF(F371&lt;'PlayerGrades+'!$AB$7,"B+",IF(F371&lt;'PlayerGrades+'!$AB$6,"A-",IF(F371&lt;'PlayerGrades+'!$AB$5,"A",IF(F371&lt;'PlayerGrades+'!$AB$4,"A+",IF(F371&lt;'PlayerGrades+'!$AB$3,"S-",IF(F371&lt;'PlayerGrades+'!$AB$2,"S","S+"))))))))))))))))))))</f>
        <v>#DIV/0!</v>
      </c>
      <c r="H371" s="961" t="str">
        <f t="shared" si="3"/>
        <v>#DIV/0!</v>
      </c>
      <c r="I371" s="961" t="str">
        <f>IF(H371&lt;'PlayerGrades+'!$AC$21,"F-",IF(H371&lt;'PlayerGrades+'!$AC$20,"F",IF(H371&lt;'PlayerGrades+'!$AC$19,"F+",IF(H371&lt;'PlayerGrades+'!$AC$18,"E-",IF(H371&lt;'PlayerGrades+'!$AC$17,"E",IF(H371&lt;'PlayerGrades+'!$AC$16,"E+",IF(H371&lt;'PlayerGrades+'!$AC$15,"D-",IF(H371&lt;'PlayerGrades+'!$AC$14,"D",IF(H371&lt;'PlayerGrades+'!$AC$13,"D+",IF(H371&lt;'PlayerGrades+'!$AC$12,"C-",IF(H371&lt;'PlayerGrades+'!$AC$11,"C",IF(H371&lt;'PlayerGrades+'!$AC$10,"C+",IF(H371&lt;'PlayerGrades+'!$AC$9,"B-",IF(H371&lt;'PlayerGrades+'!$AC$8,"B",IF(H371&lt;'PlayerGrades+'!$AC$7,"B+",IF(H371&lt;'PlayerGrades+'!$AC$6,"A-",IF(H371&lt;'PlayerGrades+'!$AC$5,"A",IF(H371&lt;'PlayerGrades+'!$AC$4,"A+",IF(H371&lt;'PlayerGrades+'!$AC$3,"S-",IF(H371&lt;'PlayerGrades+'!$AC$2,"S","S+"))))))))))))))))))))</f>
        <v>#DIV/0!</v>
      </c>
      <c r="J371" s="961" t="str">
        <f t="shared" si="4"/>
        <v>#DIV/0!</v>
      </c>
      <c r="K371" s="961" t="str">
        <f>IF(J371&lt;'PlayerGrades+'!$AD$21,"F-",IF(J371&lt;'PlayerGrades+'!$AD$20,"F",IF(J371&lt;'PlayerGrades+'!$AD$19,"F+",IF(J371&lt;'PlayerGrades+'!$AD$18,"E-",IF(J371&lt;'PlayerGrades+'!$AD$17,"E",IF(J371&lt;'PlayerGrades+'!$AD$16,"E+",IF(J371&lt;'PlayerGrades+'!$AD$15,"D-",IF(J371&lt;'PlayerGrades+'!$AD$14,"D",IF(J371&lt;'PlayerGrades+'!$AD$13,"D+",IF(J371&lt;'PlayerGrades+'!$AD$12,"C-",IF(J371&lt;'PlayerGrades+'!$AD$11,"C",IF(J371&lt;'PlayerGrades+'!$AD$10,"C+",IF(J371&lt;'PlayerGrades+'!$AD$9,"B-",IF(J371&lt;'PlayerGrades+'!$AD$8,"B",IF(J371&lt;'PlayerGrades+'!$AD$7,"B+",IF(J371&lt;'PlayerGrades+'!$AD$6,"A-",IF(J371&lt;'PlayerGrades+'!$AD$5,"A",IF(J371&lt;'PlayerGrades+'!$AD$4,"A+",IF(J371&lt;'PlayerGrades+'!$AD$3,"S-",IF(J371&lt;'PlayerGrades+'!$AD$2,"S","S+"))))))))))))))))))))</f>
        <v>#DIV/0!</v>
      </c>
      <c r="L371" s="1176" t="str">
        <f t="shared" si="5"/>
        <v>#DIV/0!</v>
      </c>
      <c r="M371" s="992" t="str">
        <f>IF(L371&lt;'PlayerGrades+'!$AE$21,"F-",IF(L371&lt;'PlayerGrades+'!$AE$20,"F",IF(L371&lt;'PlayerGrades+'!$AE$19,"F+",IF(L371&lt;'PlayerGrades+'!$AE$18,"E-",IF(L371&lt;'PlayerGrades+'!$AE$17,"E",IF(L371&lt;'PlayerGrades+'!$AE$16,"E+",IF(L371&lt;'PlayerGrades+'!$AE$15,"D-",IF(L371&lt;'PlayerGrades+'!$AE$14,"D",IF(L371&lt;'PlayerGrades+'!$AE$13,"D+",IF(L371&lt;'PlayerGrades+'!$AE$12,"C-",IF(L371&lt;'PlayerGrades+'!$AE$11,"C",IF(L371&lt;'PlayerGrades+'!$AE$10,"C+",IF(L371&lt;'PlayerGrades+'!$AE$9,"B-",IF(L371&lt;'PlayerGrades+'!$AE$8,"B",IF(L371&lt;'PlayerGrades+'!$AE$7,"B+",IF(L371&lt;'PlayerGrades+'!$AE$6,"A-",IF(L371&lt;'PlayerGrades+'!$AE$5,"A",IF(L371&lt;'PlayerGrades+'!$AE$4,"A+",IF(L371&lt;'PlayerGrades+'!$AE$3,"S-",IF(L371&lt;'PlayerGrades+'!$AE$2,"S","S+"))))))))))))))))))))</f>
        <v>#DIV/0!</v>
      </c>
      <c r="N371" s="961" t="str">
        <f t="shared" si="6"/>
        <v>#DIV/0!</v>
      </c>
      <c r="O371" s="961" t="str">
        <f>IF(N371&lt;'PlayerGrades+'!$AF$21,"F-",IF(N371&lt;'PlayerGrades+'!$AF$20,"F",IF(N371&lt;'PlayerGrades+'!$AF$19,"F+",IF(N371&lt;'PlayerGrades+'!$AF$18,"E-",IF(N371&lt;'PlayerGrades+'!$AF$17,"E",IF(N371&lt;'PlayerGrades+'!$AF$16,"E+",IF(N371&lt;'PlayerGrades+'!$AF$15,"D-",IF(N371&lt;'PlayerGrades+'!$AF$14,"D",IF(N371&lt;'PlayerGrades+'!$AF$13,"D+",IF(N371&lt;'PlayerGrades+'!$AF$12,"C-",IF(N371&lt;'PlayerGrades+'!$AF$11,"C",IF(N371&lt;'PlayerGrades+'!$AF$10,"C+",IF(N371&lt;'PlayerGrades+'!$AF$9,"B-",IF(N371&lt;'PlayerGrades+'!$AF$8,"B",IF(N371&lt;'PlayerGrades+'!$AF$7,"B+",IF(N371&lt;'PlayerGrades+'!$AF$6,"A-",IF(N371&lt;'PlayerGrades+'!$AF$5,"A",IF(N371&lt;'PlayerGrades+'!$AF$4,"A+",IF(N371&lt;'PlayerGrades+'!$AF$3,"S-",IF(N371&lt;'PlayerGrades+'!$AF$2,"S","S+"))))))))))))))))))))</f>
        <v>#DIV/0!</v>
      </c>
      <c r="P371" s="961" t="str">
        <f t="shared" si="7"/>
        <v>#DIV/0!</v>
      </c>
      <c r="Q371" s="961" t="str">
        <f>IF(P371&lt;'PlayerGrades+'!$AG$21,"F-",IF(P371&lt;'PlayerGrades+'!$AG$20,"F",IF(P371&lt;'PlayerGrades+'!$AG$19,"F+",IF(P371&lt;'PlayerGrades+'!$AG$18,"E-",IF(P371&lt;'PlayerGrades+'!$AG$17,"E",IF(P371&lt;'PlayerGrades+'!$AG$16,"E+",IF(P371&lt;'PlayerGrades+'!$AG$15,"D-",IF(P371&lt;'PlayerGrades+'!$AG$14,"D",IF(P371&lt;'PlayerGrades+'!$AG$13,"D+",IF(P371&lt;'PlayerGrades+'!$AG$12,"C-",IF(P371&lt;'PlayerGrades+'!$AG$11,"C",IF(P371&lt;'PlayerGrades+'!$AG$10,"C+",IF(P371&lt;'PlayerGrades+'!$AG$9,"B-",IF(P371&lt;'PlayerGrades+'!$AG$8,"B",IF(P371&lt;'PlayerGrades+'!$AG$7,"B+",IF(P371&lt;'PlayerGrades+'!$AG$6,"A-",IF(P371&lt;'PlayerGrades+'!$AG$5,"A",IF(P371&lt;'PlayerGrades+'!$AG$4,"A+",IF(P371&lt;'PlayerGrades+'!$AG$3,"S-",IF(P371&lt;'PlayerGrades+'!$AG$2,"S","S+"))))))))))))))))))))</f>
        <v>#DIV/0!</v>
      </c>
      <c r="R371" s="961" t="str">
        <f t="shared" si="8"/>
        <v>#DIV/0!</v>
      </c>
      <c r="S371" s="961" t="str">
        <f>IF(R371&lt;'PlayerGrades+'!$AH$21,"F-",IF(R371&lt;'PlayerGrades+'!$AH$20,"F",IF(R371&lt;'PlayerGrades+'!$AH$19,"F+",IF(R371&lt;'PlayerGrades+'!$AH$18,"E-",IF(R371&lt;'PlayerGrades+'!$AH$17,"E",IF(R371&lt;'PlayerGrades+'!$AH$16,"E+",IF(R371&lt;'PlayerGrades+'!$AH$15,"D-",IF(R371&lt;'PlayerGrades+'!$AH$14,"D",IF(R371&lt;'PlayerGrades+'!$AH$13,"D+",IF(R371&lt;'PlayerGrades+'!$AH$12,"C-",IF(R371&lt;'PlayerGrades+'!$AH$11,"C",IF(R371&lt;'PlayerGrades+'!$AH$10,"C+",IF(R371&lt;'PlayerGrades+'!$AH$9,"B-",IF(R371&lt;'PlayerGrades+'!$AH$8,"B",IF(R371&lt;'PlayerGrades+'!$AH$7,"B+",IF(R371&lt;'PlayerGrades+'!$AH$6,"A-",IF(R371&lt;'PlayerGrades+'!$AH$5,"A",IF(R371&lt;'PlayerGrades+'!$AH$4,"A+",IF(R371&lt;'PlayerGrades+'!$AH$3,"S-",IF(R371&lt;'PlayerGrades+'!$AH$2,"S","S+"))))))))))))))))))))</f>
        <v>#DIV/0!</v>
      </c>
      <c r="T371" s="961">
        <f t="shared" si="9"/>
        <v>0</v>
      </c>
      <c r="U371" s="961" t="str">
        <f>IF(T371&lt;'PlayerGrades+'!$AI$21,"F-",IF(T371&lt;'PlayerGrades+'!$AI$20,"F",IF(T371&lt;'PlayerGrades+'!$AI$19,"F+",IF(T371&lt;'PlayerGrades+'!$AI$18,"E-",IF(T371&lt;'PlayerGrades+'!$AI$17,"E",IF(T371&lt;'PlayerGrades+'!$AI$16,"E+",IF(T371&lt;'PlayerGrades+'!$AI$15,"D-",IF(T371&lt;'PlayerGrades+'!$AI$14,"D",IF(T371&lt;'PlayerGrades+'!$AI$13,"D+",IF(T371&lt;'PlayerGrades+'!$AI$12,"C-",IF(T371&lt;'PlayerGrades+'!$AI$11,"C",IF(T371&lt;'PlayerGrades+'!$AI$10,"C+",IF(T371&lt;'PlayerGrades+'!$AI$9,"B-",IF(T371&lt;'PlayerGrades+'!$AI$8,"B",IF(T371&lt;'PlayerGrades+'!$AI$7,"B+",IF(T371&lt;'PlayerGrades+'!$AI$6,"A-",IF(T371&lt;'PlayerGrades+'!$AI$5,"A",IF(T371&lt;'PlayerGrades+'!$AI$4,"A+",IF(T371&lt;'PlayerGrades+'!$AI$3,"S-",IF(T371&lt;'PlayerGrades+'!$AI$2,"S","S+"))))))))))))))))))))</f>
        <v>F-</v>
      </c>
      <c r="AC371" s="1392"/>
    </row>
    <row r="372">
      <c r="A372" s="1391"/>
      <c r="B372" s="611" t="str">
        <f>IF(C372&lt;'PlayerGrades+'!$Y$44,"F-",IF(C372&lt;'PlayerGrades+'!$Y$43,"F",IF(C372&lt;'PlayerGrades+'!$Y$42,"F+",IF(C372&lt;'PlayerGrades+'!$Y$41,"E-",IF(C372&lt;'PlayerGrades+'!$Y$40,"E",IF(C372&lt;'PlayerGrades+'!$Y$39,"E+",IF(C372&lt;'PlayerGrades+'!$Y$38,"D-",IF(C372&lt;'PlayerGrades+'!$Y$37,"D",IF(C372&lt;'PlayerGrades+'!$Y$36,"D+",IF(C372&lt;'PlayerGrades+'!$Y$35,"C-",IF(C372&lt;'PlayerGrades+'!$Y$34,"C",IF(C372&lt;'PlayerGrades+'!$Y$33,"C+",IF(C372&lt;'PlayerGrades+'!$Y$32,"B-",IF(C372&lt;'PlayerGrades+'!$Y$31,"B",IF(C372&lt;'PlayerGrades+'!$Y$30,"B+",IF(C372&lt;'PlayerGrades+'!$Y$29,"A-",IF(C372&lt;'PlayerGrades+'!$Y$28,"A",IF(C372&lt;'PlayerGrades+'!$Y$27,"A+",IF(C372&lt;'PlayerGrades+'!$Y$26,"S-",IF(C372&lt;'PlayerGrades+'!$Y$25,"S","S+"))))))))))))))))))))</f>
        <v>#DIV/0!</v>
      </c>
      <c r="C372" s="1378" t="str">
        <f>('PlayerGrades+'!$Y$47*(VLOOKUP(E372, 'PlayerGrades+'!$X$3:$Y$23, 2, FALSE)))+('PlayerGrades+'!$Y$48*(VLOOKUP(G372, 'PlayerGrades+'!$X$3:$Y$23, 2, FALSE)))+('PlayerGrades+'!$Y$49*(VLOOKUP(I372, 'PlayerGrades+'!$X$3:$Y$23, 2, FALSE)))+('PlayerGrades+'!$Y$50*(VLOOKUP(K372, 'PlayerGrades+'!$X$3:$Y$23, 2, FALSE)))+('PlayerGrades+'!$Y$51*(VLOOKUP(M372, 'PlayerGrades+'!$X$3:$Y$23, 2, FALSE)))+('PlayerGrades+'!$Y$52*(VLOOKUP(O372, 'PlayerGrades+'!$X$3:$Y$23, 2, FALSE)))+('PlayerGrades+'!$Y$53*(VLOOKUP(Q372, 'PlayerGrades+'!$X$3:$Y$23, 2, FALSE)))+('PlayerGrades+'!$Y$54*(VLOOKUP(S372, 'PlayerGrades+'!$X$3:$Y$23, 2, FALSE)))+('PlayerGrades+'!$Y$55*(VLOOKUP(U372, 'PlayerGrades+'!$X$3:$Y$23, 2, FALSE)))</f>
        <v>#DIV/0!</v>
      </c>
      <c r="D372" s="961" t="str">
        <f t="shared" si="1"/>
        <v>#DIV/0!</v>
      </c>
      <c r="E372" s="961" t="str">
        <f>IF(D372&lt;'PlayerGrades+'!$AA$21,"F-",IF(D372&lt;'PlayerGrades+'!$AA$20,"F",IF(D372&lt;'PlayerGrades+'!$AA$19,"F+",IF(D372&lt;'PlayerGrades+'!$AA$18,"E-",IF(D372&lt;'PlayerGrades+'!$AA$17,"E",IF(D372&lt;'PlayerGrades+'!$AA$16,"E+",IF(D372&lt;'PlayerGrades+'!$AA$15,"D-",IF(D372&lt;'PlayerGrades+'!$AA$14,"D",IF(D372&lt;'PlayerGrades+'!$AA$13,"D+",IF(D372&lt;'PlayerGrades+'!$AA$12,"C-",IF(D372&lt;'PlayerGrades+'!$AA$11,"C",IF(D372&lt;'PlayerGrades+'!$AA$10,"C+",IF(D372&lt;'PlayerGrades+'!$AA$9,"B-",IF(D372&lt;'PlayerGrades+'!$AA$8,"B",IF(D372&lt;'PlayerGrades+'!$AA$7,"B+",IF(D372&lt;'PlayerGrades+'!$AA$6,"A-",IF(D372&lt;'PlayerGrades+'!$AA$5,"A",IF(D372&lt;'PlayerGrades+'!$AA$4,"A+",IF(D372&lt;'PlayerGrades+'!$AA$3,"S-",IF(D372&lt;'PlayerGrades+'!$AA$2,"S","S+"))))))))))))))))))))</f>
        <v>#DIV/0!</v>
      </c>
      <c r="F372" s="961" t="str">
        <f t="shared" si="2"/>
        <v>#DIV/0!</v>
      </c>
      <c r="G372" s="961" t="str">
        <f>IF(F372&lt;'PlayerGrades+'!$AB$21,"F-",IF(F372&lt;'PlayerGrades+'!$AB$20,"F",IF(F372&lt;'PlayerGrades+'!$AB$19,"F+",IF(F372&lt;'PlayerGrades+'!$AB$18,"E-",IF(F372&lt;'PlayerGrades+'!$AB$17,"E",IF(F372&lt;'PlayerGrades+'!$AB$16,"E+",IF(F372&lt;'PlayerGrades+'!$AB$15,"D-",IF(F372&lt;'PlayerGrades+'!$AB$14,"D",IF(F372&lt;'PlayerGrades+'!$AB$13,"D+",IF(F372&lt;'PlayerGrades+'!$AB$12,"C-",IF(F372&lt;'PlayerGrades+'!$AB$11,"C",IF(F372&lt;'PlayerGrades+'!$AB$10,"C+",IF(F372&lt;'PlayerGrades+'!$AB$9,"B-",IF(F372&lt;'PlayerGrades+'!$AB$8,"B",IF(F372&lt;'PlayerGrades+'!$AB$7,"B+",IF(F372&lt;'PlayerGrades+'!$AB$6,"A-",IF(F372&lt;'PlayerGrades+'!$AB$5,"A",IF(F372&lt;'PlayerGrades+'!$AB$4,"A+",IF(F372&lt;'PlayerGrades+'!$AB$3,"S-",IF(F372&lt;'PlayerGrades+'!$AB$2,"S","S+"))))))))))))))))))))</f>
        <v>#DIV/0!</v>
      </c>
      <c r="H372" s="961" t="str">
        <f t="shared" si="3"/>
        <v>#DIV/0!</v>
      </c>
      <c r="I372" s="961" t="str">
        <f>IF(H372&lt;'PlayerGrades+'!$AC$21,"F-",IF(H372&lt;'PlayerGrades+'!$AC$20,"F",IF(H372&lt;'PlayerGrades+'!$AC$19,"F+",IF(H372&lt;'PlayerGrades+'!$AC$18,"E-",IF(H372&lt;'PlayerGrades+'!$AC$17,"E",IF(H372&lt;'PlayerGrades+'!$AC$16,"E+",IF(H372&lt;'PlayerGrades+'!$AC$15,"D-",IF(H372&lt;'PlayerGrades+'!$AC$14,"D",IF(H372&lt;'PlayerGrades+'!$AC$13,"D+",IF(H372&lt;'PlayerGrades+'!$AC$12,"C-",IF(H372&lt;'PlayerGrades+'!$AC$11,"C",IF(H372&lt;'PlayerGrades+'!$AC$10,"C+",IF(H372&lt;'PlayerGrades+'!$AC$9,"B-",IF(H372&lt;'PlayerGrades+'!$AC$8,"B",IF(H372&lt;'PlayerGrades+'!$AC$7,"B+",IF(H372&lt;'PlayerGrades+'!$AC$6,"A-",IF(H372&lt;'PlayerGrades+'!$AC$5,"A",IF(H372&lt;'PlayerGrades+'!$AC$4,"A+",IF(H372&lt;'PlayerGrades+'!$AC$3,"S-",IF(H372&lt;'PlayerGrades+'!$AC$2,"S","S+"))))))))))))))))))))</f>
        <v>#DIV/0!</v>
      </c>
      <c r="J372" s="961" t="str">
        <f t="shared" si="4"/>
        <v>#DIV/0!</v>
      </c>
      <c r="K372" s="961" t="str">
        <f>IF(J372&lt;'PlayerGrades+'!$AD$21,"F-",IF(J372&lt;'PlayerGrades+'!$AD$20,"F",IF(J372&lt;'PlayerGrades+'!$AD$19,"F+",IF(J372&lt;'PlayerGrades+'!$AD$18,"E-",IF(J372&lt;'PlayerGrades+'!$AD$17,"E",IF(J372&lt;'PlayerGrades+'!$AD$16,"E+",IF(J372&lt;'PlayerGrades+'!$AD$15,"D-",IF(J372&lt;'PlayerGrades+'!$AD$14,"D",IF(J372&lt;'PlayerGrades+'!$AD$13,"D+",IF(J372&lt;'PlayerGrades+'!$AD$12,"C-",IF(J372&lt;'PlayerGrades+'!$AD$11,"C",IF(J372&lt;'PlayerGrades+'!$AD$10,"C+",IF(J372&lt;'PlayerGrades+'!$AD$9,"B-",IF(J372&lt;'PlayerGrades+'!$AD$8,"B",IF(J372&lt;'PlayerGrades+'!$AD$7,"B+",IF(J372&lt;'PlayerGrades+'!$AD$6,"A-",IF(J372&lt;'PlayerGrades+'!$AD$5,"A",IF(J372&lt;'PlayerGrades+'!$AD$4,"A+",IF(J372&lt;'PlayerGrades+'!$AD$3,"S-",IF(J372&lt;'PlayerGrades+'!$AD$2,"S","S+"))))))))))))))))))))</f>
        <v>#DIV/0!</v>
      </c>
      <c r="L372" s="1176" t="str">
        <f t="shared" si="5"/>
        <v>#DIV/0!</v>
      </c>
      <c r="M372" s="992" t="str">
        <f>IF(L372&lt;'PlayerGrades+'!$AE$21,"F-",IF(L372&lt;'PlayerGrades+'!$AE$20,"F",IF(L372&lt;'PlayerGrades+'!$AE$19,"F+",IF(L372&lt;'PlayerGrades+'!$AE$18,"E-",IF(L372&lt;'PlayerGrades+'!$AE$17,"E",IF(L372&lt;'PlayerGrades+'!$AE$16,"E+",IF(L372&lt;'PlayerGrades+'!$AE$15,"D-",IF(L372&lt;'PlayerGrades+'!$AE$14,"D",IF(L372&lt;'PlayerGrades+'!$AE$13,"D+",IF(L372&lt;'PlayerGrades+'!$AE$12,"C-",IF(L372&lt;'PlayerGrades+'!$AE$11,"C",IF(L372&lt;'PlayerGrades+'!$AE$10,"C+",IF(L372&lt;'PlayerGrades+'!$AE$9,"B-",IF(L372&lt;'PlayerGrades+'!$AE$8,"B",IF(L372&lt;'PlayerGrades+'!$AE$7,"B+",IF(L372&lt;'PlayerGrades+'!$AE$6,"A-",IF(L372&lt;'PlayerGrades+'!$AE$5,"A",IF(L372&lt;'PlayerGrades+'!$AE$4,"A+",IF(L372&lt;'PlayerGrades+'!$AE$3,"S-",IF(L372&lt;'PlayerGrades+'!$AE$2,"S","S+"))))))))))))))))))))</f>
        <v>#DIV/0!</v>
      </c>
      <c r="N372" s="961" t="str">
        <f t="shared" si="6"/>
        <v>#DIV/0!</v>
      </c>
      <c r="O372" s="961" t="str">
        <f>IF(N372&lt;'PlayerGrades+'!$AF$21,"F-",IF(N372&lt;'PlayerGrades+'!$AF$20,"F",IF(N372&lt;'PlayerGrades+'!$AF$19,"F+",IF(N372&lt;'PlayerGrades+'!$AF$18,"E-",IF(N372&lt;'PlayerGrades+'!$AF$17,"E",IF(N372&lt;'PlayerGrades+'!$AF$16,"E+",IF(N372&lt;'PlayerGrades+'!$AF$15,"D-",IF(N372&lt;'PlayerGrades+'!$AF$14,"D",IF(N372&lt;'PlayerGrades+'!$AF$13,"D+",IF(N372&lt;'PlayerGrades+'!$AF$12,"C-",IF(N372&lt;'PlayerGrades+'!$AF$11,"C",IF(N372&lt;'PlayerGrades+'!$AF$10,"C+",IF(N372&lt;'PlayerGrades+'!$AF$9,"B-",IF(N372&lt;'PlayerGrades+'!$AF$8,"B",IF(N372&lt;'PlayerGrades+'!$AF$7,"B+",IF(N372&lt;'PlayerGrades+'!$AF$6,"A-",IF(N372&lt;'PlayerGrades+'!$AF$5,"A",IF(N372&lt;'PlayerGrades+'!$AF$4,"A+",IF(N372&lt;'PlayerGrades+'!$AF$3,"S-",IF(N372&lt;'PlayerGrades+'!$AF$2,"S","S+"))))))))))))))))))))</f>
        <v>#DIV/0!</v>
      </c>
      <c r="P372" s="961" t="str">
        <f t="shared" si="7"/>
        <v>#DIV/0!</v>
      </c>
      <c r="Q372" s="961" t="str">
        <f>IF(P372&lt;'PlayerGrades+'!$AG$21,"F-",IF(P372&lt;'PlayerGrades+'!$AG$20,"F",IF(P372&lt;'PlayerGrades+'!$AG$19,"F+",IF(P372&lt;'PlayerGrades+'!$AG$18,"E-",IF(P372&lt;'PlayerGrades+'!$AG$17,"E",IF(P372&lt;'PlayerGrades+'!$AG$16,"E+",IF(P372&lt;'PlayerGrades+'!$AG$15,"D-",IF(P372&lt;'PlayerGrades+'!$AG$14,"D",IF(P372&lt;'PlayerGrades+'!$AG$13,"D+",IF(P372&lt;'PlayerGrades+'!$AG$12,"C-",IF(P372&lt;'PlayerGrades+'!$AG$11,"C",IF(P372&lt;'PlayerGrades+'!$AG$10,"C+",IF(P372&lt;'PlayerGrades+'!$AG$9,"B-",IF(P372&lt;'PlayerGrades+'!$AG$8,"B",IF(P372&lt;'PlayerGrades+'!$AG$7,"B+",IF(P372&lt;'PlayerGrades+'!$AG$6,"A-",IF(P372&lt;'PlayerGrades+'!$AG$5,"A",IF(P372&lt;'PlayerGrades+'!$AG$4,"A+",IF(P372&lt;'PlayerGrades+'!$AG$3,"S-",IF(P372&lt;'PlayerGrades+'!$AG$2,"S","S+"))))))))))))))))))))</f>
        <v>#DIV/0!</v>
      </c>
      <c r="R372" s="961" t="str">
        <f t="shared" si="8"/>
        <v>#DIV/0!</v>
      </c>
      <c r="S372" s="961" t="str">
        <f>IF(R372&lt;'PlayerGrades+'!$AH$21,"F-",IF(R372&lt;'PlayerGrades+'!$AH$20,"F",IF(R372&lt;'PlayerGrades+'!$AH$19,"F+",IF(R372&lt;'PlayerGrades+'!$AH$18,"E-",IF(R372&lt;'PlayerGrades+'!$AH$17,"E",IF(R372&lt;'PlayerGrades+'!$AH$16,"E+",IF(R372&lt;'PlayerGrades+'!$AH$15,"D-",IF(R372&lt;'PlayerGrades+'!$AH$14,"D",IF(R372&lt;'PlayerGrades+'!$AH$13,"D+",IF(R372&lt;'PlayerGrades+'!$AH$12,"C-",IF(R372&lt;'PlayerGrades+'!$AH$11,"C",IF(R372&lt;'PlayerGrades+'!$AH$10,"C+",IF(R372&lt;'PlayerGrades+'!$AH$9,"B-",IF(R372&lt;'PlayerGrades+'!$AH$8,"B",IF(R372&lt;'PlayerGrades+'!$AH$7,"B+",IF(R372&lt;'PlayerGrades+'!$AH$6,"A-",IF(R372&lt;'PlayerGrades+'!$AH$5,"A",IF(R372&lt;'PlayerGrades+'!$AH$4,"A+",IF(R372&lt;'PlayerGrades+'!$AH$3,"S-",IF(R372&lt;'PlayerGrades+'!$AH$2,"S","S+"))))))))))))))))))))</f>
        <v>#DIV/0!</v>
      </c>
      <c r="T372" s="961">
        <f t="shared" si="9"/>
        <v>0</v>
      </c>
      <c r="U372" s="961" t="str">
        <f>IF(T372&lt;'PlayerGrades+'!$AI$21,"F-",IF(T372&lt;'PlayerGrades+'!$AI$20,"F",IF(T372&lt;'PlayerGrades+'!$AI$19,"F+",IF(T372&lt;'PlayerGrades+'!$AI$18,"E-",IF(T372&lt;'PlayerGrades+'!$AI$17,"E",IF(T372&lt;'PlayerGrades+'!$AI$16,"E+",IF(T372&lt;'PlayerGrades+'!$AI$15,"D-",IF(T372&lt;'PlayerGrades+'!$AI$14,"D",IF(T372&lt;'PlayerGrades+'!$AI$13,"D+",IF(T372&lt;'PlayerGrades+'!$AI$12,"C-",IF(T372&lt;'PlayerGrades+'!$AI$11,"C",IF(T372&lt;'PlayerGrades+'!$AI$10,"C+",IF(T372&lt;'PlayerGrades+'!$AI$9,"B-",IF(T372&lt;'PlayerGrades+'!$AI$8,"B",IF(T372&lt;'PlayerGrades+'!$AI$7,"B+",IF(T372&lt;'PlayerGrades+'!$AI$6,"A-",IF(T372&lt;'PlayerGrades+'!$AI$5,"A",IF(T372&lt;'PlayerGrades+'!$AI$4,"A+",IF(T372&lt;'PlayerGrades+'!$AI$3,"S-",IF(T372&lt;'PlayerGrades+'!$AI$2,"S","S+"))))))))))))))))))))</f>
        <v>F-</v>
      </c>
      <c r="AC372" s="1392"/>
    </row>
    <row r="373">
      <c r="A373" s="1391"/>
      <c r="B373" s="611" t="str">
        <f>IF(C373&lt;'PlayerGrades+'!$Y$44,"F-",IF(C373&lt;'PlayerGrades+'!$Y$43,"F",IF(C373&lt;'PlayerGrades+'!$Y$42,"F+",IF(C373&lt;'PlayerGrades+'!$Y$41,"E-",IF(C373&lt;'PlayerGrades+'!$Y$40,"E",IF(C373&lt;'PlayerGrades+'!$Y$39,"E+",IF(C373&lt;'PlayerGrades+'!$Y$38,"D-",IF(C373&lt;'PlayerGrades+'!$Y$37,"D",IF(C373&lt;'PlayerGrades+'!$Y$36,"D+",IF(C373&lt;'PlayerGrades+'!$Y$35,"C-",IF(C373&lt;'PlayerGrades+'!$Y$34,"C",IF(C373&lt;'PlayerGrades+'!$Y$33,"C+",IF(C373&lt;'PlayerGrades+'!$Y$32,"B-",IF(C373&lt;'PlayerGrades+'!$Y$31,"B",IF(C373&lt;'PlayerGrades+'!$Y$30,"B+",IF(C373&lt;'PlayerGrades+'!$Y$29,"A-",IF(C373&lt;'PlayerGrades+'!$Y$28,"A",IF(C373&lt;'PlayerGrades+'!$Y$27,"A+",IF(C373&lt;'PlayerGrades+'!$Y$26,"S-",IF(C373&lt;'PlayerGrades+'!$Y$25,"S","S+"))))))))))))))))))))</f>
        <v>#DIV/0!</v>
      </c>
      <c r="C373" s="1378" t="str">
        <f>('PlayerGrades+'!$Y$47*(VLOOKUP(E373, 'PlayerGrades+'!$X$3:$Y$23, 2, FALSE)))+('PlayerGrades+'!$Y$48*(VLOOKUP(G373, 'PlayerGrades+'!$X$3:$Y$23, 2, FALSE)))+('PlayerGrades+'!$Y$49*(VLOOKUP(I373, 'PlayerGrades+'!$X$3:$Y$23, 2, FALSE)))+('PlayerGrades+'!$Y$50*(VLOOKUP(K373, 'PlayerGrades+'!$X$3:$Y$23, 2, FALSE)))+('PlayerGrades+'!$Y$51*(VLOOKUP(M373, 'PlayerGrades+'!$X$3:$Y$23, 2, FALSE)))+('PlayerGrades+'!$Y$52*(VLOOKUP(O373, 'PlayerGrades+'!$X$3:$Y$23, 2, FALSE)))+('PlayerGrades+'!$Y$53*(VLOOKUP(Q373, 'PlayerGrades+'!$X$3:$Y$23, 2, FALSE)))+('PlayerGrades+'!$Y$54*(VLOOKUP(S373, 'PlayerGrades+'!$X$3:$Y$23, 2, FALSE)))+('PlayerGrades+'!$Y$55*(VLOOKUP(U373, 'PlayerGrades+'!$X$3:$Y$23, 2, FALSE)))</f>
        <v>#DIV/0!</v>
      </c>
      <c r="D373" s="961" t="str">
        <f t="shared" si="1"/>
        <v>#DIV/0!</v>
      </c>
      <c r="E373" s="961" t="str">
        <f>IF(D373&lt;'PlayerGrades+'!$AA$21,"F-",IF(D373&lt;'PlayerGrades+'!$AA$20,"F",IF(D373&lt;'PlayerGrades+'!$AA$19,"F+",IF(D373&lt;'PlayerGrades+'!$AA$18,"E-",IF(D373&lt;'PlayerGrades+'!$AA$17,"E",IF(D373&lt;'PlayerGrades+'!$AA$16,"E+",IF(D373&lt;'PlayerGrades+'!$AA$15,"D-",IF(D373&lt;'PlayerGrades+'!$AA$14,"D",IF(D373&lt;'PlayerGrades+'!$AA$13,"D+",IF(D373&lt;'PlayerGrades+'!$AA$12,"C-",IF(D373&lt;'PlayerGrades+'!$AA$11,"C",IF(D373&lt;'PlayerGrades+'!$AA$10,"C+",IF(D373&lt;'PlayerGrades+'!$AA$9,"B-",IF(D373&lt;'PlayerGrades+'!$AA$8,"B",IF(D373&lt;'PlayerGrades+'!$AA$7,"B+",IF(D373&lt;'PlayerGrades+'!$AA$6,"A-",IF(D373&lt;'PlayerGrades+'!$AA$5,"A",IF(D373&lt;'PlayerGrades+'!$AA$4,"A+",IF(D373&lt;'PlayerGrades+'!$AA$3,"S-",IF(D373&lt;'PlayerGrades+'!$AA$2,"S","S+"))))))))))))))))))))</f>
        <v>#DIV/0!</v>
      </c>
      <c r="F373" s="961" t="str">
        <f t="shared" si="2"/>
        <v>#DIV/0!</v>
      </c>
      <c r="G373" s="961" t="str">
        <f>IF(F373&lt;'PlayerGrades+'!$AB$21,"F-",IF(F373&lt;'PlayerGrades+'!$AB$20,"F",IF(F373&lt;'PlayerGrades+'!$AB$19,"F+",IF(F373&lt;'PlayerGrades+'!$AB$18,"E-",IF(F373&lt;'PlayerGrades+'!$AB$17,"E",IF(F373&lt;'PlayerGrades+'!$AB$16,"E+",IF(F373&lt;'PlayerGrades+'!$AB$15,"D-",IF(F373&lt;'PlayerGrades+'!$AB$14,"D",IF(F373&lt;'PlayerGrades+'!$AB$13,"D+",IF(F373&lt;'PlayerGrades+'!$AB$12,"C-",IF(F373&lt;'PlayerGrades+'!$AB$11,"C",IF(F373&lt;'PlayerGrades+'!$AB$10,"C+",IF(F373&lt;'PlayerGrades+'!$AB$9,"B-",IF(F373&lt;'PlayerGrades+'!$AB$8,"B",IF(F373&lt;'PlayerGrades+'!$AB$7,"B+",IF(F373&lt;'PlayerGrades+'!$AB$6,"A-",IF(F373&lt;'PlayerGrades+'!$AB$5,"A",IF(F373&lt;'PlayerGrades+'!$AB$4,"A+",IF(F373&lt;'PlayerGrades+'!$AB$3,"S-",IF(F373&lt;'PlayerGrades+'!$AB$2,"S","S+"))))))))))))))))))))</f>
        <v>#DIV/0!</v>
      </c>
      <c r="H373" s="961" t="str">
        <f t="shared" si="3"/>
        <v>#DIV/0!</v>
      </c>
      <c r="I373" s="961" t="str">
        <f>IF(H373&lt;'PlayerGrades+'!$AC$21,"F-",IF(H373&lt;'PlayerGrades+'!$AC$20,"F",IF(H373&lt;'PlayerGrades+'!$AC$19,"F+",IF(H373&lt;'PlayerGrades+'!$AC$18,"E-",IF(H373&lt;'PlayerGrades+'!$AC$17,"E",IF(H373&lt;'PlayerGrades+'!$AC$16,"E+",IF(H373&lt;'PlayerGrades+'!$AC$15,"D-",IF(H373&lt;'PlayerGrades+'!$AC$14,"D",IF(H373&lt;'PlayerGrades+'!$AC$13,"D+",IF(H373&lt;'PlayerGrades+'!$AC$12,"C-",IF(H373&lt;'PlayerGrades+'!$AC$11,"C",IF(H373&lt;'PlayerGrades+'!$AC$10,"C+",IF(H373&lt;'PlayerGrades+'!$AC$9,"B-",IF(H373&lt;'PlayerGrades+'!$AC$8,"B",IF(H373&lt;'PlayerGrades+'!$AC$7,"B+",IF(H373&lt;'PlayerGrades+'!$AC$6,"A-",IF(H373&lt;'PlayerGrades+'!$AC$5,"A",IF(H373&lt;'PlayerGrades+'!$AC$4,"A+",IF(H373&lt;'PlayerGrades+'!$AC$3,"S-",IF(H373&lt;'PlayerGrades+'!$AC$2,"S","S+"))))))))))))))))))))</f>
        <v>#DIV/0!</v>
      </c>
      <c r="J373" s="961" t="str">
        <f t="shared" si="4"/>
        <v>#DIV/0!</v>
      </c>
      <c r="K373" s="961" t="str">
        <f>IF(J373&lt;'PlayerGrades+'!$AD$21,"F-",IF(J373&lt;'PlayerGrades+'!$AD$20,"F",IF(J373&lt;'PlayerGrades+'!$AD$19,"F+",IF(J373&lt;'PlayerGrades+'!$AD$18,"E-",IF(J373&lt;'PlayerGrades+'!$AD$17,"E",IF(J373&lt;'PlayerGrades+'!$AD$16,"E+",IF(J373&lt;'PlayerGrades+'!$AD$15,"D-",IF(J373&lt;'PlayerGrades+'!$AD$14,"D",IF(J373&lt;'PlayerGrades+'!$AD$13,"D+",IF(J373&lt;'PlayerGrades+'!$AD$12,"C-",IF(J373&lt;'PlayerGrades+'!$AD$11,"C",IF(J373&lt;'PlayerGrades+'!$AD$10,"C+",IF(J373&lt;'PlayerGrades+'!$AD$9,"B-",IF(J373&lt;'PlayerGrades+'!$AD$8,"B",IF(J373&lt;'PlayerGrades+'!$AD$7,"B+",IF(J373&lt;'PlayerGrades+'!$AD$6,"A-",IF(J373&lt;'PlayerGrades+'!$AD$5,"A",IF(J373&lt;'PlayerGrades+'!$AD$4,"A+",IF(J373&lt;'PlayerGrades+'!$AD$3,"S-",IF(J373&lt;'PlayerGrades+'!$AD$2,"S","S+"))))))))))))))))))))</f>
        <v>#DIV/0!</v>
      </c>
      <c r="L373" s="1176" t="str">
        <f t="shared" si="5"/>
        <v>#DIV/0!</v>
      </c>
      <c r="M373" s="992" t="str">
        <f>IF(L373&lt;'PlayerGrades+'!$AE$21,"F-",IF(L373&lt;'PlayerGrades+'!$AE$20,"F",IF(L373&lt;'PlayerGrades+'!$AE$19,"F+",IF(L373&lt;'PlayerGrades+'!$AE$18,"E-",IF(L373&lt;'PlayerGrades+'!$AE$17,"E",IF(L373&lt;'PlayerGrades+'!$AE$16,"E+",IF(L373&lt;'PlayerGrades+'!$AE$15,"D-",IF(L373&lt;'PlayerGrades+'!$AE$14,"D",IF(L373&lt;'PlayerGrades+'!$AE$13,"D+",IF(L373&lt;'PlayerGrades+'!$AE$12,"C-",IF(L373&lt;'PlayerGrades+'!$AE$11,"C",IF(L373&lt;'PlayerGrades+'!$AE$10,"C+",IF(L373&lt;'PlayerGrades+'!$AE$9,"B-",IF(L373&lt;'PlayerGrades+'!$AE$8,"B",IF(L373&lt;'PlayerGrades+'!$AE$7,"B+",IF(L373&lt;'PlayerGrades+'!$AE$6,"A-",IF(L373&lt;'PlayerGrades+'!$AE$5,"A",IF(L373&lt;'PlayerGrades+'!$AE$4,"A+",IF(L373&lt;'PlayerGrades+'!$AE$3,"S-",IF(L373&lt;'PlayerGrades+'!$AE$2,"S","S+"))))))))))))))))))))</f>
        <v>#DIV/0!</v>
      </c>
      <c r="N373" s="961" t="str">
        <f t="shared" si="6"/>
        <v>#DIV/0!</v>
      </c>
      <c r="O373" s="961" t="str">
        <f>IF(N373&lt;'PlayerGrades+'!$AF$21,"F-",IF(N373&lt;'PlayerGrades+'!$AF$20,"F",IF(N373&lt;'PlayerGrades+'!$AF$19,"F+",IF(N373&lt;'PlayerGrades+'!$AF$18,"E-",IF(N373&lt;'PlayerGrades+'!$AF$17,"E",IF(N373&lt;'PlayerGrades+'!$AF$16,"E+",IF(N373&lt;'PlayerGrades+'!$AF$15,"D-",IF(N373&lt;'PlayerGrades+'!$AF$14,"D",IF(N373&lt;'PlayerGrades+'!$AF$13,"D+",IF(N373&lt;'PlayerGrades+'!$AF$12,"C-",IF(N373&lt;'PlayerGrades+'!$AF$11,"C",IF(N373&lt;'PlayerGrades+'!$AF$10,"C+",IF(N373&lt;'PlayerGrades+'!$AF$9,"B-",IF(N373&lt;'PlayerGrades+'!$AF$8,"B",IF(N373&lt;'PlayerGrades+'!$AF$7,"B+",IF(N373&lt;'PlayerGrades+'!$AF$6,"A-",IF(N373&lt;'PlayerGrades+'!$AF$5,"A",IF(N373&lt;'PlayerGrades+'!$AF$4,"A+",IF(N373&lt;'PlayerGrades+'!$AF$3,"S-",IF(N373&lt;'PlayerGrades+'!$AF$2,"S","S+"))))))))))))))))))))</f>
        <v>#DIV/0!</v>
      </c>
      <c r="P373" s="961" t="str">
        <f t="shared" si="7"/>
        <v>#DIV/0!</v>
      </c>
      <c r="Q373" s="961" t="str">
        <f>IF(P373&lt;'PlayerGrades+'!$AG$21,"F-",IF(P373&lt;'PlayerGrades+'!$AG$20,"F",IF(P373&lt;'PlayerGrades+'!$AG$19,"F+",IF(P373&lt;'PlayerGrades+'!$AG$18,"E-",IF(P373&lt;'PlayerGrades+'!$AG$17,"E",IF(P373&lt;'PlayerGrades+'!$AG$16,"E+",IF(P373&lt;'PlayerGrades+'!$AG$15,"D-",IF(P373&lt;'PlayerGrades+'!$AG$14,"D",IF(P373&lt;'PlayerGrades+'!$AG$13,"D+",IF(P373&lt;'PlayerGrades+'!$AG$12,"C-",IF(P373&lt;'PlayerGrades+'!$AG$11,"C",IF(P373&lt;'PlayerGrades+'!$AG$10,"C+",IF(P373&lt;'PlayerGrades+'!$AG$9,"B-",IF(P373&lt;'PlayerGrades+'!$AG$8,"B",IF(P373&lt;'PlayerGrades+'!$AG$7,"B+",IF(P373&lt;'PlayerGrades+'!$AG$6,"A-",IF(P373&lt;'PlayerGrades+'!$AG$5,"A",IF(P373&lt;'PlayerGrades+'!$AG$4,"A+",IF(P373&lt;'PlayerGrades+'!$AG$3,"S-",IF(P373&lt;'PlayerGrades+'!$AG$2,"S","S+"))))))))))))))))))))</f>
        <v>#DIV/0!</v>
      </c>
      <c r="R373" s="961" t="str">
        <f t="shared" si="8"/>
        <v>#DIV/0!</v>
      </c>
      <c r="S373" s="961" t="str">
        <f>IF(R373&lt;'PlayerGrades+'!$AH$21,"F-",IF(R373&lt;'PlayerGrades+'!$AH$20,"F",IF(R373&lt;'PlayerGrades+'!$AH$19,"F+",IF(R373&lt;'PlayerGrades+'!$AH$18,"E-",IF(R373&lt;'PlayerGrades+'!$AH$17,"E",IF(R373&lt;'PlayerGrades+'!$AH$16,"E+",IF(R373&lt;'PlayerGrades+'!$AH$15,"D-",IF(R373&lt;'PlayerGrades+'!$AH$14,"D",IF(R373&lt;'PlayerGrades+'!$AH$13,"D+",IF(R373&lt;'PlayerGrades+'!$AH$12,"C-",IF(R373&lt;'PlayerGrades+'!$AH$11,"C",IF(R373&lt;'PlayerGrades+'!$AH$10,"C+",IF(R373&lt;'PlayerGrades+'!$AH$9,"B-",IF(R373&lt;'PlayerGrades+'!$AH$8,"B",IF(R373&lt;'PlayerGrades+'!$AH$7,"B+",IF(R373&lt;'PlayerGrades+'!$AH$6,"A-",IF(R373&lt;'PlayerGrades+'!$AH$5,"A",IF(R373&lt;'PlayerGrades+'!$AH$4,"A+",IF(R373&lt;'PlayerGrades+'!$AH$3,"S-",IF(R373&lt;'PlayerGrades+'!$AH$2,"S","S+"))))))))))))))))))))</f>
        <v>#DIV/0!</v>
      </c>
      <c r="T373" s="961">
        <f t="shared" si="9"/>
        <v>0</v>
      </c>
      <c r="U373" s="961" t="str">
        <f>IF(T373&lt;'PlayerGrades+'!$AI$21,"F-",IF(T373&lt;'PlayerGrades+'!$AI$20,"F",IF(T373&lt;'PlayerGrades+'!$AI$19,"F+",IF(T373&lt;'PlayerGrades+'!$AI$18,"E-",IF(T373&lt;'PlayerGrades+'!$AI$17,"E",IF(T373&lt;'PlayerGrades+'!$AI$16,"E+",IF(T373&lt;'PlayerGrades+'!$AI$15,"D-",IF(T373&lt;'PlayerGrades+'!$AI$14,"D",IF(T373&lt;'PlayerGrades+'!$AI$13,"D+",IF(T373&lt;'PlayerGrades+'!$AI$12,"C-",IF(T373&lt;'PlayerGrades+'!$AI$11,"C",IF(T373&lt;'PlayerGrades+'!$AI$10,"C+",IF(T373&lt;'PlayerGrades+'!$AI$9,"B-",IF(T373&lt;'PlayerGrades+'!$AI$8,"B",IF(T373&lt;'PlayerGrades+'!$AI$7,"B+",IF(T373&lt;'PlayerGrades+'!$AI$6,"A-",IF(T373&lt;'PlayerGrades+'!$AI$5,"A",IF(T373&lt;'PlayerGrades+'!$AI$4,"A+",IF(T373&lt;'PlayerGrades+'!$AI$3,"S-",IF(T373&lt;'PlayerGrades+'!$AI$2,"S","S+"))))))))))))))))))))</f>
        <v>F-</v>
      </c>
      <c r="AC373" s="1392"/>
    </row>
    <row r="374">
      <c r="A374" s="1391"/>
      <c r="B374" s="611" t="str">
        <f>IF(C374&lt;'PlayerGrades+'!$Y$44,"F-",IF(C374&lt;'PlayerGrades+'!$Y$43,"F",IF(C374&lt;'PlayerGrades+'!$Y$42,"F+",IF(C374&lt;'PlayerGrades+'!$Y$41,"E-",IF(C374&lt;'PlayerGrades+'!$Y$40,"E",IF(C374&lt;'PlayerGrades+'!$Y$39,"E+",IF(C374&lt;'PlayerGrades+'!$Y$38,"D-",IF(C374&lt;'PlayerGrades+'!$Y$37,"D",IF(C374&lt;'PlayerGrades+'!$Y$36,"D+",IF(C374&lt;'PlayerGrades+'!$Y$35,"C-",IF(C374&lt;'PlayerGrades+'!$Y$34,"C",IF(C374&lt;'PlayerGrades+'!$Y$33,"C+",IF(C374&lt;'PlayerGrades+'!$Y$32,"B-",IF(C374&lt;'PlayerGrades+'!$Y$31,"B",IF(C374&lt;'PlayerGrades+'!$Y$30,"B+",IF(C374&lt;'PlayerGrades+'!$Y$29,"A-",IF(C374&lt;'PlayerGrades+'!$Y$28,"A",IF(C374&lt;'PlayerGrades+'!$Y$27,"A+",IF(C374&lt;'PlayerGrades+'!$Y$26,"S-",IF(C374&lt;'PlayerGrades+'!$Y$25,"S","S+"))))))))))))))))))))</f>
        <v>#DIV/0!</v>
      </c>
      <c r="C374" s="1378" t="str">
        <f>('PlayerGrades+'!$Y$47*(VLOOKUP(E374, 'PlayerGrades+'!$X$3:$Y$23, 2, FALSE)))+('PlayerGrades+'!$Y$48*(VLOOKUP(G374, 'PlayerGrades+'!$X$3:$Y$23, 2, FALSE)))+('PlayerGrades+'!$Y$49*(VLOOKUP(I374, 'PlayerGrades+'!$X$3:$Y$23, 2, FALSE)))+('PlayerGrades+'!$Y$50*(VLOOKUP(K374, 'PlayerGrades+'!$X$3:$Y$23, 2, FALSE)))+('PlayerGrades+'!$Y$51*(VLOOKUP(M374, 'PlayerGrades+'!$X$3:$Y$23, 2, FALSE)))+('PlayerGrades+'!$Y$52*(VLOOKUP(O374, 'PlayerGrades+'!$X$3:$Y$23, 2, FALSE)))+('PlayerGrades+'!$Y$53*(VLOOKUP(Q374, 'PlayerGrades+'!$X$3:$Y$23, 2, FALSE)))+('PlayerGrades+'!$Y$54*(VLOOKUP(S374, 'PlayerGrades+'!$X$3:$Y$23, 2, FALSE)))+('PlayerGrades+'!$Y$55*(VLOOKUP(U374, 'PlayerGrades+'!$X$3:$Y$23, 2, FALSE)))</f>
        <v>#DIV/0!</v>
      </c>
      <c r="D374" s="961" t="str">
        <f t="shared" si="1"/>
        <v>#DIV/0!</v>
      </c>
      <c r="E374" s="961" t="str">
        <f>IF(D374&lt;'PlayerGrades+'!$AA$21,"F-",IF(D374&lt;'PlayerGrades+'!$AA$20,"F",IF(D374&lt;'PlayerGrades+'!$AA$19,"F+",IF(D374&lt;'PlayerGrades+'!$AA$18,"E-",IF(D374&lt;'PlayerGrades+'!$AA$17,"E",IF(D374&lt;'PlayerGrades+'!$AA$16,"E+",IF(D374&lt;'PlayerGrades+'!$AA$15,"D-",IF(D374&lt;'PlayerGrades+'!$AA$14,"D",IF(D374&lt;'PlayerGrades+'!$AA$13,"D+",IF(D374&lt;'PlayerGrades+'!$AA$12,"C-",IF(D374&lt;'PlayerGrades+'!$AA$11,"C",IF(D374&lt;'PlayerGrades+'!$AA$10,"C+",IF(D374&lt;'PlayerGrades+'!$AA$9,"B-",IF(D374&lt;'PlayerGrades+'!$AA$8,"B",IF(D374&lt;'PlayerGrades+'!$AA$7,"B+",IF(D374&lt;'PlayerGrades+'!$AA$6,"A-",IF(D374&lt;'PlayerGrades+'!$AA$5,"A",IF(D374&lt;'PlayerGrades+'!$AA$4,"A+",IF(D374&lt;'PlayerGrades+'!$AA$3,"S-",IF(D374&lt;'PlayerGrades+'!$AA$2,"S","S+"))))))))))))))))))))</f>
        <v>#DIV/0!</v>
      </c>
      <c r="F374" s="961" t="str">
        <f t="shared" si="2"/>
        <v>#DIV/0!</v>
      </c>
      <c r="G374" s="961" t="str">
        <f>IF(F374&lt;'PlayerGrades+'!$AB$21,"F-",IF(F374&lt;'PlayerGrades+'!$AB$20,"F",IF(F374&lt;'PlayerGrades+'!$AB$19,"F+",IF(F374&lt;'PlayerGrades+'!$AB$18,"E-",IF(F374&lt;'PlayerGrades+'!$AB$17,"E",IF(F374&lt;'PlayerGrades+'!$AB$16,"E+",IF(F374&lt;'PlayerGrades+'!$AB$15,"D-",IF(F374&lt;'PlayerGrades+'!$AB$14,"D",IF(F374&lt;'PlayerGrades+'!$AB$13,"D+",IF(F374&lt;'PlayerGrades+'!$AB$12,"C-",IF(F374&lt;'PlayerGrades+'!$AB$11,"C",IF(F374&lt;'PlayerGrades+'!$AB$10,"C+",IF(F374&lt;'PlayerGrades+'!$AB$9,"B-",IF(F374&lt;'PlayerGrades+'!$AB$8,"B",IF(F374&lt;'PlayerGrades+'!$AB$7,"B+",IF(F374&lt;'PlayerGrades+'!$AB$6,"A-",IF(F374&lt;'PlayerGrades+'!$AB$5,"A",IF(F374&lt;'PlayerGrades+'!$AB$4,"A+",IF(F374&lt;'PlayerGrades+'!$AB$3,"S-",IF(F374&lt;'PlayerGrades+'!$AB$2,"S","S+"))))))))))))))))))))</f>
        <v>#DIV/0!</v>
      </c>
      <c r="H374" s="961" t="str">
        <f t="shared" si="3"/>
        <v>#DIV/0!</v>
      </c>
      <c r="I374" s="961" t="str">
        <f>IF(H374&lt;'PlayerGrades+'!$AC$21,"F-",IF(H374&lt;'PlayerGrades+'!$AC$20,"F",IF(H374&lt;'PlayerGrades+'!$AC$19,"F+",IF(H374&lt;'PlayerGrades+'!$AC$18,"E-",IF(H374&lt;'PlayerGrades+'!$AC$17,"E",IF(H374&lt;'PlayerGrades+'!$AC$16,"E+",IF(H374&lt;'PlayerGrades+'!$AC$15,"D-",IF(H374&lt;'PlayerGrades+'!$AC$14,"D",IF(H374&lt;'PlayerGrades+'!$AC$13,"D+",IF(H374&lt;'PlayerGrades+'!$AC$12,"C-",IF(H374&lt;'PlayerGrades+'!$AC$11,"C",IF(H374&lt;'PlayerGrades+'!$AC$10,"C+",IF(H374&lt;'PlayerGrades+'!$AC$9,"B-",IF(H374&lt;'PlayerGrades+'!$AC$8,"B",IF(H374&lt;'PlayerGrades+'!$AC$7,"B+",IF(H374&lt;'PlayerGrades+'!$AC$6,"A-",IF(H374&lt;'PlayerGrades+'!$AC$5,"A",IF(H374&lt;'PlayerGrades+'!$AC$4,"A+",IF(H374&lt;'PlayerGrades+'!$AC$3,"S-",IF(H374&lt;'PlayerGrades+'!$AC$2,"S","S+"))))))))))))))))))))</f>
        <v>#DIV/0!</v>
      </c>
      <c r="J374" s="961" t="str">
        <f t="shared" si="4"/>
        <v>#DIV/0!</v>
      </c>
      <c r="K374" s="961" t="str">
        <f>IF(J374&lt;'PlayerGrades+'!$AD$21,"F-",IF(J374&lt;'PlayerGrades+'!$AD$20,"F",IF(J374&lt;'PlayerGrades+'!$AD$19,"F+",IF(J374&lt;'PlayerGrades+'!$AD$18,"E-",IF(J374&lt;'PlayerGrades+'!$AD$17,"E",IF(J374&lt;'PlayerGrades+'!$AD$16,"E+",IF(J374&lt;'PlayerGrades+'!$AD$15,"D-",IF(J374&lt;'PlayerGrades+'!$AD$14,"D",IF(J374&lt;'PlayerGrades+'!$AD$13,"D+",IF(J374&lt;'PlayerGrades+'!$AD$12,"C-",IF(J374&lt;'PlayerGrades+'!$AD$11,"C",IF(J374&lt;'PlayerGrades+'!$AD$10,"C+",IF(J374&lt;'PlayerGrades+'!$AD$9,"B-",IF(J374&lt;'PlayerGrades+'!$AD$8,"B",IF(J374&lt;'PlayerGrades+'!$AD$7,"B+",IF(J374&lt;'PlayerGrades+'!$AD$6,"A-",IF(J374&lt;'PlayerGrades+'!$AD$5,"A",IF(J374&lt;'PlayerGrades+'!$AD$4,"A+",IF(J374&lt;'PlayerGrades+'!$AD$3,"S-",IF(J374&lt;'PlayerGrades+'!$AD$2,"S","S+"))))))))))))))))))))</f>
        <v>#DIV/0!</v>
      </c>
      <c r="L374" s="1176" t="str">
        <f t="shared" si="5"/>
        <v>#DIV/0!</v>
      </c>
      <c r="M374" s="992" t="str">
        <f>IF(L374&lt;'PlayerGrades+'!$AE$21,"F-",IF(L374&lt;'PlayerGrades+'!$AE$20,"F",IF(L374&lt;'PlayerGrades+'!$AE$19,"F+",IF(L374&lt;'PlayerGrades+'!$AE$18,"E-",IF(L374&lt;'PlayerGrades+'!$AE$17,"E",IF(L374&lt;'PlayerGrades+'!$AE$16,"E+",IF(L374&lt;'PlayerGrades+'!$AE$15,"D-",IF(L374&lt;'PlayerGrades+'!$AE$14,"D",IF(L374&lt;'PlayerGrades+'!$AE$13,"D+",IF(L374&lt;'PlayerGrades+'!$AE$12,"C-",IF(L374&lt;'PlayerGrades+'!$AE$11,"C",IF(L374&lt;'PlayerGrades+'!$AE$10,"C+",IF(L374&lt;'PlayerGrades+'!$AE$9,"B-",IF(L374&lt;'PlayerGrades+'!$AE$8,"B",IF(L374&lt;'PlayerGrades+'!$AE$7,"B+",IF(L374&lt;'PlayerGrades+'!$AE$6,"A-",IF(L374&lt;'PlayerGrades+'!$AE$5,"A",IF(L374&lt;'PlayerGrades+'!$AE$4,"A+",IF(L374&lt;'PlayerGrades+'!$AE$3,"S-",IF(L374&lt;'PlayerGrades+'!$AE$2,"S","S+"))))))))))))))))))))</f>
        <v>#DIV/0!</v>
      </c>
      <c r="N374" s="961" t="str">
        <f t="shared" si="6"/>
        <v>#DIV/0!</v>
      </c>
      <c r="O374" s="961" t="str">
        <f>IF(N374&lt;'PlayerGrades+'!$AF$21,"F-",IF(N374&lt;'PlayerGrades+'!$AF$20,"F",IF(N374&lt;'PlayerGrades+'!$AF$19,"F+",IF(N374&lt;'PlayerGrades+'!$AF$18,"E-",IF(N374&lt;'PlayerGrades+'!$AF$17,"E",IF(N374&lt;'PlayerGrades+'!$AF$16,"E+",IF(N374&lt;'PlayerGrades+'!$AF$15,"D-",IF(N374&lt;'PlayerGrades+'!$AF$14,"D",IF(N374&lt;'PlayerGrades+'!$AF$13,"D+",IF(N374&lt;'PlayerGrades+'!$AF$12,"C-",IF(N374&lt;'PlayerGrades+'!$AF$11,"C",IF(N374&lt;'PlayerGrades+'!$AF$10,"C+",IF(N374&lt;'PlayerGrades+'!$AF$9,"B-",IF(N374&lt;'PlayerGrades+'!$AF$8,"B",IF(N374&lt;'PlayerGrades+'!$AF$7,"B+",IF(N374&lt;'PlayerGrades+'!$AF$6,"A-",IF(N374&lt;'PlayerGrades+'!$AF$5,"A",IF(N374&lt;'PlayerGrades+'!$AF$4,"A+",IF(N374&lt;'PlayerGrades+'!$AF$3,"S-",IF(N374&lt;'PlayerGrades+'!$AF$2,"S","S+"))))))))))))))))))))</f>
        <v>#DIV/0!</v>
      </c>
      <c r="P374" s="961" t="str">
        <f t="shared" si="7"/>
        <v>#DIV/0!</v>
      </c>
      <c r="Q374" s="961" t="str">
        <f>IF(P374&lt;'PlayerGrades+'!$AG$21,"F-",IF(P374&lt;'PlayerGrades+'!$AG$20,"F",IF(P374&lt;'PlayerGrades+'!$AG$19,"F+",IF(P374&lt;'PlayerGrades+'!$AG$18,"E-",IF(P374&lt;'PlayerGrades+'!$AG$17,"E",IF(P374&lt;'PlayerGrades+'!$AG$16,"E+",IF(P374&lt;'PlayerGrades+'!$AG$15,"D-",IF(P374&lt;'PlayerGrades+'!$AG$14,"D",IF(P374&lt;'PlayerGrades+'!$AG$13,"D+",IF(P374&lt;'PlayerGrades+'!$AG$12,"C-",IF(P374&lt;'PlayerGrades+'!$AG$11,"C",IF(P374&lt;'PlayerGrades+'!$AG$10,"C+",IF(P374&lt;'PlayerGrades+'!$AG$9,"B-",IF(P374&lt;'PlayerGrades+'!$AG$8,"B",IF(P374&lt;'PlayerGrades+'!$AG$7,"B+",IF(P374&lt;'PlayerGrades+'!$AG$6,"A-",IF(P374&lt;'PlayerGrades+'!$AG$5,"A",IF(P374&lt;'PlayerGrades+'!$AG$4,"A+",IF(P374&lt;'PlayerGrades+'!$AG$3,"S-",IF(P374&lt;'PlayerGrades+'!$AG$2,"S","S+"))))))))))))))))))))</f>
        <v>#DIV/0!</v>
      </c>
      <c r="R374" s="961" t="str">
        <f t="shared" si="8"/>
        <v>#DIV/0!</v>
      </c>
      <c r="S374" s="961" t="str">
        <f>IF(R374&lt;'PlayerGrades+'!$AH$21,"F-",IF(R374&lt;'PlayerGrades+'!$AH$20,"F",IF(R374&lt;'PlayerGrades+'!$AH$19,"F+",IF(R374&lt;'PlayerGrades+'!$AH$18,"E-",IF(R374&lt;'PlayerGrades+'!$AH$17,"E",IF(R374&lt;'PlayerGrades+'!$AH$16,"E+",IF(R374&lt;'PlayerGrades+'!$AH$15,"D-",IF(R374&lt;'PlayerGrades+'!$AH$14,"D",IF(R374&lt;'PlayerGrades+'!$AH$13,"D+",IF(R374&lt;'PlayerGrades+'!$AH$12,"C-",IF(R374&lt;'PlayerGrades+'!$AH$11,"C",IF(R374&lt;'PlayerGrades+'!$AH$10,"C+",IF(R374&lt;'PlayerGrades+'!$AH$9,"B-",IF(R374&lt;'PlayerGrades+'!$AH$8,"B",IF(R374&lt;'PlayerGrades+'!$AH$7,"B+",IF(R374&lt;'PlayerGrades+'!$AH$6,"A-",IF(R374&lt;'PlayerGrades+'!$AH$5,"A",IF(R374&lt;'PlayerGrades+'!$AH$4,"A+",IF(R374&lt;'PlayerGrades+'!$AH$3,"S-",IF(R374&lt;'PlayerGrades+'!$AH$2,"S","S+"))))))))))))))))))))</f>
        <v>#DIV/0!</v>
      </c>
      <c r="T374" s="961">
        <f t="shared" si="9"/>
        <v>0</v>
      </c>
      <c r="U374" s="961" t="str">
        <f>IF(T374&lt;'PlayerGrades+'!$AI$21,"F-",IF(T374&lt;'PlayerGrades+'!$AI$20,"F",IF(T374&lt;'PlayerGrades+'!$AI$19,"F+",IF(T374&lt;'PlayerGrades+'!$AI$18,"E-",IF(T374&lt;'PlayerGrades+'!$AI$17,"E",IF(T374&lt;'PlayerGrades+'!$AI$16,"E+",IF(T374&lt;'PlayerGrades+'!$AI$15,"D-",IF(T374&lt;'PlayerGrades+'!$AI$14,"D",IF(T374&lt;'PlayerGrades+'!$AI$13,"D+",IF(T374&lt;'PlayerGrades+'!$AI$12,"C-",IF(T374&lt;'PlayerGrades+'!$AI$11,"C",IF(T374&lt;'PlayerGrades+'!$AI$10,"C+",IF(T374&lt;'PlayerGrades+'!$AI$9,"B-",IF(T374&lt;'PlayerGrades+'!$AI$8,"B",IF(T374&lt;'PlayerGrades+'!$AI$7,"B+",IF(T374&lt;'PlayerGrades+'!$AI$6,"A-",IF(T374&lt;'PlayerGrades+'!$AI$5,"A",IF(T374&lt;'PlayerGrades+'!$AI$4,"A+",IF(T374&lt;'PlayerGrades+'!$AI$3,"S-",IF(T374&lt;'PlayerGrades+'!$AI$2,"S","S+"))))))))))))))))))))</f>
        <v>F-</v>
      </c>
      <c r="AC374" s="1392"/>
    </row>
    <row r="375">
      <c r="A375" s="1391"/>
      <c r="B375" s="611" t="str">
        <f>IF(C375&lt;'PlayerGrades+'!$Y$44,"F-",IF(C375&lt;'PlayerGrades+'!$Y$43,"F",IF(C375&lt;'PlayerGrades+'!$Y$42,"F+",IF(C375&lt;'PlayerGrades+'!$Y$41,"E-",IF(C375&lt;'PlayerGrades+'!$Y$40,"E",IF(C375&lt;'PlayerGrades+'!$Y$39,"E+",IF(C375&lt;'PlayerGrades+'!$Y$38,"D-",IF(C375&lt;'PlayerGrades+'!$Y$37,"D",IF(C375&lt;'PlayerGrades+'!$Y$36,"D+",IF(C375&lt;'PlayerGrades+'!$Y$35,"C-",IF(C375&lt;'PlayerGrades+'!$Y$34,"C",IF(C375&lt;'PlayerGrades+'!$Y$33,"C+",IF(C375&lt;'PlayerGrades+'!$Y$32,"B-",IF(C375&lt;'PlayerGrades+'!$Y$31,"B",IF(C375&lt;'PlayerGrades+'!$Y$30,"B+",IF(C375&lt;'PlayerGrades+'!$Y$29,"A-",IF(C375&lt;'PlayerGrades+'!$Y$28,"A",IF(C375&lt;'PlayerGrades+'!$Y$27,"A+",IF(C375&lt;'PlayerGrades+'!$Y$26,"S-",IF(C375&lt;'PlayerGrades+'!$Y$25,"S","S+"))))))))))))))))))))</f>
        <v>#DIV/0!</v>
      </c>
      <c r="C375" s="1378" t="str">
        <f>('PlayerGrades+'!$Y$47*(VLOOKUP(E375, 'PlayerGrades+'!$X$3:$Y$23, 2, FALSE)))+('PlayerGrades+'!$Y$48*(VLOOKUP(G375, 'PlayerGrades+'!$X$3:$Y$23, 2, FALSE)))+('PlayerGrades+'!$Y$49*(VLOOKUP(I375, 'PlayerGrades+'!$X$3:$Y$23, 2, FALSE)))+('PlayerGrades+'!$Y$50*(VLOOKUP(K375, 'PlayerGrades+'!$X$3:$Y$23, 2, FALSE)))+('PlayerGrades+'!$Y$51*(VLOOKUP(M375, 'PlayerGrades+'!$X$3:$Y$23, 2, FALSE)))+('PlayerGrades+'!$Y$52*(VLOOKUP(O375, 'PlayerGrades+'!$X$3:$Y$23, 2, FALSE)))+('PlayerGrades+'!$Y$53*(VLOOKUP(Q375, 'PlayerGrades+'!$X$3:$Y$23, 2, FALSE)))+('PlayerGrades+'!$Y$54*(VLOOKUP(S375, 'PlayerGrades+'!$X$3:$Y$23, 2, FALSE)))+('PlayerGrades+'!$Y$55*(VLOOKUP(U375, 'PlayerGrades+'!$X$3:$Y$23, 2, FALSE)))</f>
        <v>#DIV/0!</v>
      </c>
      <c r="D375" s="961" t="str">
        <f t="shared" si="1"/>
        <v>#DIV/0!</v>
      </c>
      <c r="E375" s="961" t="str">
        <f>IF(D375&lt;'PlayerGrades+'!$AA$21,"F-",IF(D375&lt;'PlayerGrades+'!$AA$20,"F",IF(D375&lt;'PlayerGrades+'!$AA$19,"F+",IF(D375&lt;'PlayerGrades+'!$AA$18,"E-",IF(D375&lt;'PlayerGrades+'!$AA$17,"E",IF(D375&lt;'PlayerGrades+'!$AA$16,"E+",IF(D375&lt;'PlayerGrades+'!$AA$15,"D-",IF(D375&lt;'PlayerGrades+'!$AA$14,"D",IF(D375&lt;'PlayerGrades+'!$AA$13,"D+",IF(D375&lt;'PlayerGrades+'!$AA$12,"C-",IF(D375&lt;'PlayerGrades+'!$AA$11,"C",IF(D375&lt;'PlayerGrades+'!$AA$10,"C+",IF(D375&lt;'PlayerGrades+'!$AA$9,"B-",IF(D375&lt;'PlayerGrades+'!$AA$8,"B",IF(D375&lt;'PlayerGrades+'!$AA$7,"B+",IF(D375&lt;'PlayerGrades+'!$AA$6,"A-",IF(D375&lt;'PlayerGrades+'!$AA$5,"A",IF(D375&lt;'PlayerGrades+'!$AA$4,"A+",IF(D375&lt;'PlayerGrades+'!$AA$3,"S-",IF(D375&lt;'PlayerGrades+'!$AA$2,"S","S+"))))))))))))))))))))</f>
        <v>#DIV/0!</v>
      </c>
      <c r="F375" s="961" t="str">
        <f t="shared" si="2"/>
        <v>#DIV/0!</v>
      </c>
      <c r="G375" s="961" t="str">
        <f>IF(F375&lt;'PlayerGrades+'!$AB$21,"F-",IF(F375&lt;'PlayerGrades+'!$AB$20,"F",IF(F375&lt;'PlayerGrades+'!$AB$19,"F+",IF(F375&lt;'PlayerGrades+'!$AB$18,"E-",IF(F375&lt;'PlayerGrades+'!$AB$17,"E",IF(F375&lt;'PlayerGrades+'!$AB$16,"E+",IF(F375&lt;'PlayerGrades+'!$AB$15,"D-",IF(F375&lt;'PlayerGrades+'!$AB$14,"D",IF(F375&lt;'PlayerGrades+'!$AB$13,"D+",IF(F375&lt;'PlayerGrades+'!$AB$12,"C-",IF(F375&lt;'PlayerGrades+'!$AB$11,"C",IF(F375&lt;'PlayerGrades+'!$AB$10,"C+",IF(F375&lt;'PlayerGrades+'!$AB$9,"B-",IF(F375&lt;'PlayerGrades+'!$AB$8,"B",IF(F375&lt;'PlayerGrades+'!$AB$7,"B+",IF(F375&lt;'PlayerGrades+'!$AB$6,"A-",IF(F375&lt;'PlayerGrades+'!$AB$5,"A",IF(F375&lt;'PlayerGrades+'!$AB$4,"A+",IF(F375&lt;'PlayerGrades+'!$AB$3,"S-",IF(F375&lt;'PlayerGrades+'!$AB$2,"S","S+"))))))))))))))))))))</f>
        <v>#DIV/0!</v>
      </c>
      <c r="H375" s="961" t="str">
        <f t="shared" si="3"/>
        <v>#DIV/0!</v>
      </c>
      <c r="I375" s="961" t="str">
        <f>IF(H375&lt;'PlayerGrades+'!$AC$21,"F-",IF(H375&lt;'PlayerGrades+'!$AC$20,"F",IF(H375&lt;'PlayerGrades+'!$AC$19,"F+",IF(H375&lt;'PlayerGrades+'!$AC$18,"E-",IF(H375&lt;'PlayerGrades+'!$AC$17,"E",IF(H375&lt;'PlayerGrades+'!$AC$16,"E+",IF(H375&lt;'PlayerGrades+'!$AC$15,"D-",IF(H375&lt;'PlayerGrades+'!$AC$14,"D",IF(H375&lt;'PlayerGrades+'!$AC$13,"D+",IF(H375&lt;'PlayerGrades+'!$AC$12,"C-",IF(H375&lt;'PlayerGrades+'!$AC$11,"C",IF(H375&lt;'PlayerGrades+'!$AC$10,"C+",IF(H375&lt;'PlayerGrades+'!$AC$9,"B-",IF(H375&lt;'PlayerGrades+'!$AC$8,"B",IF(H375&lt;'PlayerGrades+'!$AC$7,"B+",IF(H375&lt;'PlayerGrades+'!$AC$6,"A-",IF(H375&lt;'PlayerGrades+'!$AC$5,"A",IF(H375&lt;'PlayerGrades+'!$AC$4,"A+",IF(H375&lt;'PlayerGrades+'!$AC$3,"S-",IF(H375&lt;'PlayerGrades+'!$AC$2,"S","S+"))))))))))))))))))))</f>
        <v>#DIV/0!</v>
      </c>
      <c r="J375" s="961" t="str">
        <f t="shared" si="4"/>
        <v>#DIV/0!</v>
      </c>
      <c r="K375" s="961" t="str">
        <f>IF(J375&lt;'PlayerGrades+'!$AD$21,"F-",IF(J375&lt;'PlayerGrades+'!$AD$20,"F",IF(J375&lt;'PlayerGrades+'!$AD$19,"F+",IF(J375&lt;'PlayerGrades+'!$AD$18,"E-",IF(J375&lt;'PlayerGrades+'!$AD$17,"E",IF(J375&lt;'PlayerGrades+'!$AD$16,"E+",IF(J375&lt;'PlayerGrades+'!$AD$15,"D-",IF(J375&lt;'PlayerGrades+'!$AD$14,"D",IF(J375&lt;'PlayerGrades+'!$AD$13,"D+",IF(J375&lt;'PlayerGrades+'!$AD$12,"C-",IF(J375&lt;'PlayerGrades+'!$AD$11,"C",IF(J375&lt;'PlayerGrades+'!$AD$10,"C+",IF(J375&lt;'PlayerGrades+'!$AD$9,"B-",IF(J375&lt;'PlayerGrades+'!$AD$8,"B",IF(J375&lt;'PlayerGrades+'!$AD$7,"B+",IF(J375&lt;'PlayerGrades+'!$AD$6,"A-",IF(J375&lt;'PlayerGrades+'!$AD$5,"A",IF(J375&lt;'PlayerGrades+'!$AD$4,"A+",IF(J375&lt;'PlayerGrades+'!$AD$3,"S-",IF(J375&lt;'PlayerGrades+'!$AD$2,"S","S+"))))))))))))))))))))</f>
        <v>#DIV/0!</v>
      </c>
      <c r="L375" s="1176" t="str">
        <f t="shared" si="5"/>
        <v>#DIV/0!</v>
      </c>
      <c r="M375" s="992" t="str">
        <f>IF(L375&lt;'PlayerGrades+'!$AE$21,"F-",IF(L375&lt;'PlayerGrades+'!$AE$20,"F",IF(L375&lt;'PlayerGrades+'!$AE$19,"F+",IF(L375&lt;'PlayerGrades+'!$AE$18,"E-",IF(L375&lt;'PlayerGrades+'!$AE$17,"E",IF(L375&lt;'PlayerGrades+'!$AE$16,"E+",IF(L375&lt;'PlayerGrades+'!$AE$15,"D-",IF(L375&lt;'PlayerGrades+'!$AE$14,"D",IF(L375&lt;'PlayerGrades+'!$AE$13,"D+",IF(L375&lt;'PlayerGrades+'!$AE$12,"C-",IF(L375&lt;'PlayerGrades+'!$AE$11,"C",IF(L375&lt;'PlayerGrades+'!$AE$10,"C+",IF(L375&lt;'PlayerGrades+'!$AE$9,"B-",IF(L375&lt;'PlayerGrades+'!$AE$8,"B",IF(L375&lt;'PlayerGrades+'!$AE$7,"B+",IF(L375&lt;'PlayerGrades+'!$AE$6,"A-",IF(L375&lt;'PlayerGrades+'!$AE$5,"A",IF(L375&lt;'PlayerGrades+'!$AE$4,"A+",IF(L375&lt;'PlayerGrades+'!$AE$3,"S-",IF(L375&lt;'PlayerGrades+'!$AE$2,"S","S+"))))))))))))))))))))</f>
        <v>#DIV/0!</v>
      </c>
      <c r="N375" s="961" t="str">
        <f t="shared" si="6"/>
        <v>#DIV/0!</v>
      </c>
      <c r="O375" s="961" t="str">
        <f>IF(N375&lt;'PlayerGrades+'!$AF$21,"F-",IF(N375&lt;'PlayerGrades+'!$AF$20,"F",IF(N375&lt;'PlayerGrades+'!$AF$19,"F+",IF(N375&lt;'PlayerGrades+'!$AF$18,"E-",IF(N375&lt;'PlayerGrades+'!$AF$17,"E",IF(N375&lt;'PlayerGrades+'!$AF$16,"E+",IF(N375&lt;'PlayerGrades+'!$AF$15,"D-",IF(N375&lt;'PlayerGrades+'!$AF$14,"D",IF(N375&lt;'PlayerGrades+'!$AF$13,"D+",IF(N375&lt;'PlayerGrades+'!$AF$12,"C-",IF(N375&lt;'PlayerGrades+'!$AF$11,"C",IF(N375&lt;'PlayerGrades+'!$AF$10,"C+",IF(N375&lt;'PlayerGrades+'!$AF$9,"B-",IF(N375&lt;'PlayerGrades+'!$AF$8,"B",IF(N375&lt;'PlayerGrades+'!$AF$7,"B+",IF(N375&lt;'PlayerGrades+'!$AF$6,"A-",IF(N375&lt;'PlayerGrades+'!$AF$5,"A",IF(N375&lt;'PlayerGrades+'!$AF$4,"A+",IF(N375&lt;'PlayerGrades+'!$AF$3,"S-",IF(N375&lt;'PlayerGrades+'!$AF$2,"S","S+"))))))))))))))))))))</f>
        <v>#DIV/0!</v>
      </c>
      <c r="P375" s="961" t="str">
        <f t="shared" si="7"/>
        <v>#DIV/0!</v>
      </c>
      <c r="Q375" s="961" t="str">
        <f>IF(P375&lt;'PlayerGrades+'!$AG$21,"F-",IF(P375&lt;'PlayerGrades+'!$AG$20,"F",IF(P375&lt;'PlayerGrades+'!$AG$19,"F+",IF(P375&lt;'PlayerGrades+'!$AG$18,"E-",IF(P375&lt;'PlayerGrades+'!$AG$17,"E",IF(P375&lt;'PlayerGrades+'!$AG$16,"E+",IF(P375&lt;'PlayerGrades+'!$AG$15,"D-",IF(P375&lt;'PlayerGrades+'!$AG$14,"D",IF(P375&lt;'PlayerGrades+'!$AG$13,"D+",IF(P375&lt;'PlayerGrades+'!$AG$12,"C-",IF(P375&lt;'PlayerGrades+'!$AG$11,"C",IF(P375&lt;'PlayerGrades+'!$AG$10,"C+",IF(P375&lt;'PlayerGrades+'!$AG$9,"B-",IF(P375&lt;'PlayerGrades+'!$AG$8,"B",IF(P375&lt;'PlayerGrades+'!$AG$7,"B+",IF(P375&lt;'PlayerGrades+'!$AG$6,"A-",IF(P375&lt;'PlayerGrades+'!$AG$5,"A",IF(P375&lt;'PlayerGrades+'!$AG$4,"A+",IF(P375&lt;'PlayerGrades+'!$AG$3,"S-",IF(P375&lt;'PlayerGrades+'!$AG$2,"S","S+"))))))))))))))))))))</f>
        <v>#DIV/0!</v>
      </c>
      <c r="R375" s="961" t="str">
        <f t="shared" si="8"/>
        <v>#DIV/0!</v>
      </c>
      <c r="S375" s="961" t="str">
        <f>IF(R375&lt;'PlayerGrades+'!$AH$21,"F-",IF(R375&lt;'PlayerGrades+'!$AH$20,"F",IF(R375&lt;'PlayerGrades+'!$AH$19,"F+",IF(R375&lt;'PlayerGrades+'!$AH$18,"E-",IF(R375&lt;'PlayerGrades+'!$AH$17,"E",IF(R375&lt;'PlayerGrades+'!$AH$16,"E+",IF(R375&lt;'PlayerGrades+'!$AH$15,"D-",IF(R375&lt;'PlayerGrades+'!$AH$14,"D",IF(R375&lt;'PlayerGrades+'!$AH$13,"D+",IF(R375&lt;'PlayerGrades+'!$AH$12,"C-",IF(R375&lt;'PlayerGrades+'!$AH$11,"C",IF(R375&lt;'PlayerGrades+'!$AH$10,"C+",IF(R375&lt;'PlayerGrades+'!$AH$9,"B-",IF(R375&lt;'PlayerGrades+'!$AH$8,"B",IF(R375&lt;'PlayerGrades+'!$AH$7,"B+",IF(R375&lt;'PlayerGrades+'!$AH$6,"A-",IF(R375&lt;'PlayerGrades+'!$AH$5,"A",IF(R375&lt;'PlayerGrades+'!$AH$4,"A+",IF(R375&lt;'PlayerGrades+'!$AH$3,"S-",IF(R375&lt;'PlayerGrades+'!$AH$2,"S","S+"))))))))))))))))))))</f>
        <v>#DIV/0!</v>
      </c>
      <c r="T375" s="961">
        <f t="shared" si="9"/>
        <v>0</v>
      </c>
      <c r="U375" s="961" t="str">
        <f>IF(T375&lt;'PlayerGrades+'!$AI$21,"F-",IF(T375&lt;'PlayerGrades+'!$AI$20,"F",IF(T375&lt;'PlayerGrades+'!$AI$19,"F+",IF(T375&lt;'PlayerGrades+'!$AI$18,"E-",IF(T375&lt;'PlayerGrades+'!$AI$17,"E",IF(T375&lt;'PlayerGrades+'!$AI$16,"E+",IF(T375&lt;'PlayerGrades+'!$AI$15,"D-",IF(T375&lt;'PlayerGrades+'!$AI$14,"D",IF(T375&lt;'PlayerGrades+'!$AI$13,"D+",IF(T375&lt;'PlayerGrades+'!$AI$12,"C-",IF(T375&lt;'PlayerGrades+'!$AI$11,"C",IF(T375&lt;'PlayerGrades+'!$AI$10,"C+",IF(T375&lt;'PlayerGrades+'!$AI$9,"B-",IF(T375&lt;'PlayerGrades+'!$AI$8,"B",IF(T375&lt;'PlayerGrades+'!$AI$7,"B+",IF(T375&lt;'PlayerGrades+'!$AI$6,"A-",IF(T375&lt;'PlayerGrades+'!$AI$5,"A",IF(T375&lt;'PlayerGrades+'!$AI$4,"A+",IF(T375&lt;'PlayerGrades+'!$AI$3,"S-",IF(T375&lt;'PlayerGrades+'!$AI$2,"S","S+"))))))))))))))))))))</f>
        <v>F-</v>
      </c>
      <c r="AC375" s="1392"/>
    </row>
    <row r="376">
      <c r="A376" s="1391"/>
      <c r="B376" s="611" t="str">
        <f>IF(C376&lt;'PlayerGrades+'!$Y$44,"F-",IF(C376&lt;'PlayerGrades+'!$Y$43,"F",IF(C376&lt;'PlayerGrades+'!$Y$42,"F+",IF(C376&lt;'PlayerGrades+'!$Y$41,"E-",IF(C376&lt;'PlayerGrades+'!$Y$40,"E",IF(C376&lt;'PlayerGrades+'!$Y$39,"E+",IF(C376&lt;'PlayerGrades+'!$Y$38,"D-",IF(C376&lt;'PlayerGrades+'!$Y$37,"D",IF(C376&lt;'PlayerGrades+'!$Y$36,"D+",IF(C376&lt;'PlayerGrades+'!$Y$35,"C-",IF(C376&lt;'PlayerGrades+'!$Y$34,"C",IF(C376&lt;'PlayerGrades+'!$Y$33,"C+",IF(C376&lt;'PlayerGrades+'!$Y$32,"B-",IF(C376&lt;'PlayerGrades+'!$Y$31,"B",IF(C376&lt;'PlayerGrades+'!$Y$30,"B+",IF(C376&lt;'PlayerGrades+'!$Y$29,"A-",IF(C376&lt;'PlayerGrades+'!$Y$28,"A",IF(C376&lt;'PlayerGrades+'!$Y$27,"A+",IF(C376&lt;'PlayerGrades+'!$Y$26,"S-",IF(C376&lt;'PlayerGrades+'!$Y$25,"S","S+"))))))))))))))))))))</f>
        <v>#DIV/0!</v>
      </c>
      <c r="C376" s="1378" t="str">
        <f>('PlayerGrades+'!$Y$47*(VLOOKUP(E376, 'PlayerGrades+'!$X$3:$Y$23, 2, FALSE)))+('PlayerGrades+'!$Y$48*(VLOOKUP(G376, 'PlayerGrades+'!$X$3:$Y$23, 2, FALSE)))+('PlayerGrades+'!$Y$49*(VLOOKUP(I376, 'PlayerGrades+'!$X$3:$Y$23, 2, FALSE)))+('PlayerGrades+'!$Y$50*(VLOOKUP(K376, 'PlayerGrades+'!$X$3:$Y$23, 2, FALSE)))+('PlayerGrades+'!$Y$51*(VLOOKUP(M376, 'PlayerGrades+'!$X$3:$Y$23, 2, FALSE)))+('PlayerGrades+'!$Y$52*(VLOOKUP(O376, 'PlayerGrades+'!$X$3:$Y$23, 2, FALSE)))+('PlayerGrades+'!$Y$53*(VLOOKUP(Q376, 'PlayerGrades+'!$X$3:$Y$23, 2, FALSE)))+('PlayerGrades+'!$Y$54*(VLOOKUP(S376, 'PlayerGrades+'!$X$3:$Y$23, 2, FALSE)))+('PlayerGrades+'!$Y$55*(VLOOKUP(U376, 'PlayerGrades+'!$X$3:$Y$23, 2, FALSE)))</f>
        <v>#DIV/0!</v>
      </c>
      <c r="D376" s="961" t="str">
        <f t="shared" si="1"/>
        <v>#DIV/0!</v>
      </c>
      <c r="E376" s="961" t="str">
        <f>IF(D376&lt;'PlayerGrades+'!$AA$21,"F-",IF(D376&lt;'PlayerGrades+'!$AA$20,"F",IF(D376&lt;'PlayerGrades+'!$AA$19,"F+",IF(D376&lt;'PlayerGrades+'!$AA$18,"E-",IF(D376&lt;'PlayerGrades+'!$AA$17,"E",IF(D376&lt;'PlayerGrades+'!$AA$16,"E+",IF(D376&lt;'PlayerGrades+'!$AA$15,"D-",IF(D376&lt;'PlayerGrades+'!$AA$14,"D",IF(D376&lt;'PlayerGrades+'!$AA$13,"D+",IF(D376&lt;'PlayerGrades+'!$AA$12,"C-",IF(D376&lt;'PlayerGrades+'!$AA$11,"C",IF(D376&lt;'PlayerGrades+'!$AA$10,"C+",IF(D376&lt;'PlayerGrades+'!$AA$9,"B-",IF(D376&lt;'PlayerGrades+'!$AA$8,"B",IF(D376&lt;'PlayerGrades+'!$AA$7,"B+",IF(D376&lt;'PlayerGrades+'!$AA$6,"A-",IF(D376&lt;'PlayerGrades+'!$AA$5,"A",IF(D376&lt;'PlayerGrades+'!$AA$4,"A+",IF(D376&lt;'PlayerGrades+'!$AA$3,"S-",IF(D376&lt;'PlayerGrades+'!$AA$2,"S","S+"))))))))))))))))))))</f>
        <v>#DIV/0!</v>
      </c>
      <c r="F376" s="961" t="str">
        <f t="shared" si="2"/>
        <v>#DIV/0!</v>
      </c>
      <c r="G376" s="961" t="str">
        <f>IF(F376&lt;'PlayerGrades+'!$AB$21,"F-",IF(F376&lt;'PlayerGrades+'!$AB$20,"F",IF(F376&lt;'PlayerGrades+'!$AB$19,"F+",IF(F376&lt;'PlayerGrades+'!$AB$18,"E-",IF(F376&lt;'PlayerGrades+'!$AB$17,"E",IF(F376&lt;'PlayerGrades+'!$AB$16,"E+",IF(F376&lt;'PlayerGrades+'!$AB$15,"D-",IF(F376&lt;'PlayerGrades+'!$AB$14,"D",IF(F376&lt;'PlayerGrades+'!$AB$13,"D+",IF(F376&lt;'PlayerGrades+'!$AB$12,"C-",IF(F376&lt;'PlayerGrades+'!$AB$11,"C",IF(F376&lt;'PlayerGrades+'!$AB$10,"C+",IF(F376&lt;'PlayerGrades+'!$AB$9,"B-",IF(F376&lt;'PlayerGrades+'!$AB$8,"B",IF(F376&lt;'PlayerGrades+'!$AB$7,"B+",IF(F376&lt;'PlayerGrades+'!$AB$6,"A-",IF(F376&lt;'PlayerGrades+'!$AB$5,"A",IF(F376&lt;'PlayerGrades+'!$AB$4,"A+",IF(F376&lt;'PlayerGrades+'!$AB$3,"S-",IF(F376&lt;'PlayerGrades+'!$AB$2,"S","S+"))))))))))))))))))))</f>
        <v>#DIV/0!</v>
      </c>
      <c r="H376" s="961" t="str">
        <f t="shared" si="3"/>
        <v>#DIV/0!</v>
      </c>
      <c r="I376" s="961" t="str">
        <f>IF(H376&lt;'PlayerGrades+'!$AC$21,"F-",IF(H376&lt;'PlayerGrades+'!$AC$20,"F",IF(H376&lt;'PlayerGrades+'!$AC$19,"F+",IF(H376&lt;'PlayerGrades+'!$AC$18,"E-",IF(H376&lt;'PlayerGrades+'!$AC$17,"E",IF(H376&lt;'PlayerGrades+'!$AC$16,"E+",IF(H376&lt;'PlayerGrades+'!$AC$15,"D-",IF(H376&lt;'PlayerGrades+'!$AC$14,"D",IF(H376&lt;'PlayerGrades+'!$AC$13,"D+",IF(H376&lt;'PlayerGrades+'!$AC$12,"C-",IF(H376&lt;'PlayerGrades+'!$AC$11,"C",IF(H376&lt;'PlayerGrades+'!$AC$10,"C+",IF(H376&lt;'PlayerGrades+'!$AC$9,"B-",IF(H376&lt;'PlayerGrades+'!$AC$8,"B",IF(H376&lt;'PlayerGrades+'!$AC$7,"B+",IF(H376&lt;'PlayerGrades+'!$AC$6,"A-",IF(H376&lt;'PlayerGrades+'!$AC$5,"A",IF(H376&lt;'PlayerGrades+'!$AC$4,"A+",IF(H376&lt;'PlayerGrades+'!$AC$3,"S-",IF(H376&lt;'PlayerGrades+'!$AC$2,"S","S+"))))))))))))))))))))</f>
        <v>#DIV/0!</v>
      </c>
      <c r="J376" s="961" t="str">
        <f t="shared" si="4"/>
        <v>#DIV/0!</v>
      </c>
      <c r="K376" s="961" t="str">
        <f>IF(J376&lt;'PlayerGrades+'!$AD$21,"F-",IF(J376&lt;'PlayerGrades+'!$AD$20,"F",IF(J376&lt;'PlayerGrades+'!$AD$19,"F+",IF(J376&lt;'PlayerGrades+'!$AD$18,"E-",IF(J376&lt;'PlayerGrades+'!$AD$17,"E",IF(J376&lt;'PlayerGrades+'!$AD$16,"E+",IF(J376&lt;'PlayerGrades+'!$AD$15,"D-",IF(J376&lt;'PlayerGrades+'!$AD$14,"D",IF(J376&lt;'PlayerGrades+'!$AD$13,"D+",IF(J376&lt;'PlayerGrades+'!$AD$12,"C-",IF(J376&lt;'PlayerGrades+'!$AD$11,"C",IF(J376&lt;'PlayerGrades+'!$AD$10,"C+",IF(J376&lt;'PlayerGrades+'!$AD$9,"B-",IF(J376&lt;'PlayerGrades+'!$AD$8,"B",IF(J376&lt;'PlayerGrades+'!$AD$7,"B+",IF(J376&lt;'PlayerGrades+'!$AD$6,"A-",IF(J376&lt;'PlayerGrades+'!$AD$5,"A",IF(J376&lt;'PlayerGrades+'!$AD$4,"A+",IF(J376&lt;'PlayerGrades+'!$AD$3,"S-",IF(J376&lt;'PlayerGrades+'!$AD$2,"S","S+"))))))))))))))))))))</f>
        <v>#DIV/0!</v>
      </c>
      <c r="L376" s="1176" t="str">
        <f t="shared" si="5"/>
        <v>#DIV/0!</v>
      </c>
      <c r="M376" s="992" t="str">
        <f>IF(L376&lt;'PlayerGrades+'!$AE$21,"F-",IF(L376&lt;'PlayerGrades+'!$AE$20,"F",IF(L376&lt;'PlayerGrades+'!$AE$19,"F+",IF(L376&lt;'PlayerGrades+'!$AE$18,"E-",IF(L376&lt;'PlayerGrades+'!$AE$17,"E",IF(L376&lt;'PlayerGrades+'!$AE$16,"E+",IF(L376&lt;'PlayerGrades+'!$AE$15,"D-",IF(L376&lt;'PlayerGrades+'!$AE$14,"D",IF(L376&lt;'PlayerGrades+'!$AE$13,"D+",IF(L376&lt;'PlayerGrades+'!$AE$12,"C-",IF(L376&lt;'PlayerGrades+'!$AE$11,"C",IF(L376&lt;'PlayerGrades+'!$AE$10,"C+",IF(L376&lt;'PlayerGrades+'!$AE$9,"B-",IF(L376&lt;'PlayerGrades+'!$AE$8,"B",IF(L376&lt;'PlayerGrades+'!$AE$7,"B+",IF(L376&lt;'PlayerGrades+'!$AE$6,"A-",IF(L376&lt;'PlayerGrades+'!$AE$5,"A",IF(L376&lt;'PlayerGrades+'!$AE$4,"A+",IF(L376&lt;'PlayerGrades+'!$AE$3,"S-",IF(L376&lt;'PlayerGrades+'!$AE$2,"S","S+"))))))))))))))))))))</f>
        <v>#DIV/0!</v>
      </c>
      <c r="N376" s="961" t="str">
        <f t="shared" si="6"/>
        <v>#DIV/0!</v>
      </c>
      <c r="O376" s="961" t="str">
        <f>IF(N376&lt;'PlayerGrades+'!$AF$21,"F-",IF(N376&lt;'PlayerGrades+'!$AF$20,"F",IF(N376&lt;'PlayerGrades+'!$AF$19,"F+",IF(N376&lt;'PlayerGrades+'!$AF$18,"E-",IF(N376&lt;'PlayerGrades+'!$AF$17,"E",IF(N376&lt;'PlayerGrades+'!$AF$16,"E+",IF(N376&lt;'PlayerGrades+'!$AF$15,"D-",IF(N376&lt;'PlayerGrades+'!$AF$14,"D",IF(N376&lt;'PlayerGrades+'!$AF$13,"D+",IF(N376&lt;'PlayerGrades+'!$AF$12,"C-",IF(N376&lt;'PlayerGrades+'!$AF$11,"C",IF(N376&lt;'PlayerGrades+'!$AF$10,"C+",IF(N376&lt;'PlayerGrades+'!$AF$9,"B-",IF(N376&lt;'PlayerGrades+'!$AF$8,"B",IF(N376&lt;'PlayerGrades+'!$AF$7,"B+",IF(N376&lt;'PlayerGrades+'!$AF$6,"A-",IF(N376&lt;'PlayerGrades+'!$AF$5,"A",IF(N376&lt;'PlayerGrades+'!$AF$4,"A+",IF(N376&lt;'PlayerGrades+'!$AF$3,"S-",IF(N376&lt;'PlayerGrades+'!$AF$2,"S","S+"))))))))))))))))))))</f>
        <v>#DIV/0!</v>
      </c>
      <c r="P376" s="961" t="str">
        <f t="shared" si="7"/>
        <v>#DIV/0!</v>
      </c>
      <c r="Q376" s="961" t="str">
        <f>IF(P376&lt;'PlayerGrades+'!$AG$21,"F-",IF(P376&lt;'PlayerGrades+'!$AG$20,"F",IF(P376&lt;'PlayerGrades+'!$AG$19,"F+",IF(P376&lt;'PlayerGrades+'!$AG$18,"E-",IF(P376&lt;'PlayerGrades+'!$AG$17,"E",IF(P376&lt;'PlayerGrades+'!$AG$16,"E+",IF(P376&lt;'PlayerGrades+'!$AG$15,"D-",IF(P376&lt;'PlayerGrades+'!$AG$14,"D",IF(P376&lt;'PlayerGrades+'!$AG$13,"D+",IF(P376&lt;'PlayerGrades+'!$AG$12,"C-",IF(P376&lt;'PlayerGrades+'!$AG$11,"C",IF(P376&lt;'PlayerGrades+'!$AG$10,"C+",IF(P376&lt;'PlayerGrades+'!$AG$9,"B-",IF(P376&lt;'PlayerGrades+'!$AG$8,"B",IF(P376&lt;'PlayerGrades+'!$AG$7,"B+",IF(P376&lt;'PlayerGrades+'!$AG$6,"A-",IF(P376&lt;'PlayerGrades+'!$AG$5,"A",IF(P376&lt;'PlayerGrades+'!$AG$4,"A+",IF(P376&lt;'PlayerGrades+'!$AG$3,"S-",IF(P376&lt;'PlayerGrades+'!$AG$2,"S","S+"))))))))))))))))))))</f>
        <v>#DIV/0!</v>
      </c>
      <c r="R376" s="961" t="str">
        <f t="shared" si="8"/>
        <v>#DIV/0!</v>
      </c>
      <c r="S376" s="961" t="str">
        <f>IF(R376&lt;'PlayerGrades+'!$AH$21,"F-",IF(R376&lt;'PlayerGrades+'!$AH$20,"F",IF(R376&lt;'PlayerGrades+'!$AH$19,"F+",IF(R376&lt;'PlayerGrades+'!$AH$18,"E-",IF(R376&lt;'PlayerGrades+'!$AH$17,"E",IF(R376&lt;'PlayerGrades+'!$AH$16,"E+",IF(R376&lt;'PlayerGrades+'!$AH$15,"D-",IF(R376&lt;'PlayerGrades+'!$AH$14,"D",IF(R376&lt;'PlayerGrades+'!$AH$13,"D+",IF(R376&lt;'PlayerGrades+'!$AH$12,"C-",IF(R376&lt;'PlayerGrades+'!$AH$11,"C",IF(R376&lt;'PlayerGrades+'!$AH$10,"C+",IF(R376&lt;'PlayerGrades+'!$AH$9,"B-",IF(R376&lt;'PlayerGrades+'!$AH$8,"B",IF(R376&lt;'PlayerGrades+'!$AH$7,"B+",IF(R376&lt;'PlayerGrades+'!$AH$6,"A-",IF(R376&lt;'PlayerGrades+'!$AH$5,"A",IF(R376&lt;'PlayerGrades+'!$AH$4,"A+",IF(R376&lt;'PlayerGrades+'!$AH$3,"S-",IF(R376&lt;'PlayerGrades+'!$AH$2,"S","S+"))))))))))))))))))))</f>
        <v>#DIV/0!</v>
      </c>
      <c r="T376" s="961">
        <f t="shared" si="9"/>
        <v>0</v>
      </c>
      <c r="U376" s="961" t="str">
        <f>IF(T376&lt;'PlayerGrades+'!$AI$21,"F-",IF(T376&lt;'PlayerGrades+'!$AI$20,"F",IF(T376&lt;'PlayerGrades+'!$AI$19,"F+",IF(T376&lt;'PlayerGrades+'!$AI$18,"E-",IF(T376&lt;'PlayerGrades+'!$AI$17,"E",IF(T376&lt;'PlayerGrades+'!$AI$16,"E+",IF(T376&lt;'PlayerGrades+'!$AI$15,"D-",IF(T376&lt;'PlayerGrades+'!$AI$14,"D",IF(T376&lt;'PlayerGrades+'!$AI$13,"D+",IF(T376&lt;'PlayerGrades+'!$AI$12,"C-",IF(T376&lt;'PlayerGrades+'!$AI$11,"C",IF(T376&lt;'PlayerGrades+'!$AI$10,"C+",IF(T376&lt;'PlayerGrades+'!$AI$9,"B-",IF(T376&lt;'PlayerGrades+'!$AI$8,"B",IF(T376&lt;'PlayerGrades+'!$AI$7,"B+",IF(T376&lt;'PlayerGrades+'!$AI$6,"A-",IF(T376&lt;'PlayerGrades+'!$AI$5,"A",IF(T376&lt;'PlayerGrades+'!$AI$4,"A+",IF(T376&lt;'PlayerGrades+'!$AI$3,"S-",IF(T376&lt;'PlayerGrades+'!$AI$2,"S","S+"))))))))))))))))))))</f>
        <v>F-</v>
      </c>
      <c r="AC376" s="1392"/>
    </row>
    <row r="377">
      <c r="A377" s="1393"/>
      <c r="B377" s="611" t="str">
        <f>IF(C377&lt;'PlayerGrades+'!$Y$44,"F-",IF(C377&lt;'PlayerGrades+'!$Y$43,"F",IF(C377&lt;'PlayerGrades+'!$Y$42,"F+",IF(C377&lt;'PlayerGrades+'!$Y$41,"E-",IF(C377&lt;'PlayerGrades+'!$Y$40,"E",IF(C377&lt;'PlayerGrades+'!$Y$39,"E+",IF(C377&lt;'PlayerGrades+'!$Y$38,"D-",IF(C377&lt;'PlayerGrades+'!$Y$37,"D",IF(C377&lt;'PlayerGrades+'!$Y$36,"D+",IF(C377&lt;'PlayerGrades+'!$Y$35,"C-",IF(C377&lt;'PlayerGrades+'!$Y$34,"C",IF(C377&lt;'PlayerGrades+'!$Y$33,"C+",IF(C377&lt;'PlayerGrades+'!$Y$32,"B-",IF(C377&lt;'PlayerGrades+'!$Y$31,"B",IF(C377&lt;'PlayerGrades+'!$Y$30,"B+",IF(C377&lt;'PlayerGrades+'!$Y$29,"A-",IF(C377&lt;'PlayerGrades+'!$Y$28,"A",IF(C377&lt;'PlayerGrades+'!$Y$27,"A+",IF(C377&lt;'PlayerGrades+'!$Y$26,"S-",IF(C377&lt;'PlayerGrades+'!$Y$25,"S","S+"))))))))))))))))))))</f>
        <v>#DIV/0!</v>
      </c>
      <c r="C377" s="1378" t="str">
        <f>('PlayerGrades+'!$Y$47*(VLOOKUP(E377, 'PlayerGrades+'!$X$3:$Y$23, 2, FALSE)))+('PlayerGrades+'!$Y$48*(VLOOKUP(G377, 'PlayerGrades+'!$X$3:$Y$23, 2, FALSE)))+('PlayerGrades+'!$Y$49*(VLOOKUP(I377, 'PlayerGrades+'!$X$3:$Y$23, 2, FALSE)))+('PlayerGrades+'!$Y$50*(VLOOKUP(K377, 'PlayerGrades+'!$X$3:$Y$23, 2, FALSE)))+('PlayerGrades+'!$Y$51*(VLOOKUP(M377, 'PlayerGrades+'!$X$3:$Y$23, 2, FALSE)))+('PlayerGrades+'!$Y$52*(VLOOKUP(O377, 'PlayerGrades+'!$X$3:$Y$23, 2, FALSE)))+('PlayerGrades+'!$Y$53*(VLOOKUP(Q377, 'PlayerGrades+'!$X$3:$Y$23, 2, FALSE)))+('PlayerGrades+'!$Y$54*(VLOOKUP(S377, 'PlayerGrades+'!$X$3:$Y$23, 2, FALSE)))+('PlayerGrades+'!$Y$55*(VLOOKUP(U377, 'PlayerGrades+'!$X$3:$Y$23, 2, FALSE)))</f>
        <v>#DIV/0!</v>
      </c>
      <c r="D377" s="961" t="str">
        <f t="shared" si="1"/>
        <v>#DIV/0!</v>
      </c>
      <c r="E377" s="961" t="str">
        <f>IF(D377&lt;'PlayerGrades+'!$AA$21,"F-",IF(D377&lt;'PlayerGrades+'!$AA$20,"F",IF(D377&lt;'PlayerGrades+'!$AA$19,"F+",IF(D377&lt;'PlayerGrades+'!$AA$18,"E-",IF(D377&lt;'PlayerGrades+'!$AA$17,"E",IF(D377&lt;'PlayerGrades+'!$AA$16,"E+",IF(D377&lt;'PlayerGrades+'!$AA$15,"D-",IF(D377&lt;'PlayerGrades+'!$AA$14,"D",IF(D377&lt;'PlayerGrades+'!$AA$13,"D+",IF(D377&lt;'PlayerGrades+'!$AA$12,"C-",IF(D377&lt;'PlayerGrades+'!$AA$11,"C",IF(D377&lt;'PlayerGrades+'!$AA$10,"C+",IF(D377&lt;'PlayerGrades+'!$AA$9,"B-",IF(D377&lt;'PlayerGrades+'!$AA$8,"B",IF(D377&lt;'PlayerGrades+'!$AA$7,"B+",IF(D377&lt;'PlayerGrades+'!$AA$6,"A-",IF(D377&lt;'PlayerGrades+'!$AA$5,"A",IF(D377&lt;'PlayerGrades+'!$AA$4,"A+",IF(D377&lt;'PlayerGrades+'!$AA$3,"S-",IF(D377&lt;'PlayerGrades+'!$AA$2,"S","S+"))))))))))))))))))))</f>
        <v>#DIV/0!</v>
      </c>
      <c r="F377" s="961" t="str">
        <f t="shared" si="2"/>
        <v>#DIV/0!</v>
      </c>
      <c r="G377" s="961" t="str">
        <f>IF(F377&lt;'PlayerGrades+'!$AB$21,"F-",IF(F377&lt;'PlayerGrades+'!$AB$20,"F",IF(F377&lt;'PlayerGrades+'!$AB$19,"F+",IF(F377&lt;'PlayerGrades+'!$AB$18,"E-",IF(F377&lt;'PlayerGrades+'!$AB$17,"E",IF(F377&lt;'PlayerGrades+'!$AB$16,"E+",IF(F377&lt;'PlayerGrades+'!$AB$15,"D-",IF(F377&lt;'PlayerGrades+'!$AB$14,"D",IF(F377&lt;'PlayerGrades+'!$AB$13,"D+",IF(F377&lt;'PlayerGrades+'!$AB$12,"C-",IF(F377&lt;'PlayerGrades+'!$AB$11,"C",IF(F377&lt;'PlayerGrades+'!$AB$10,"C+",IF(F377&lt;'PlayerGrades+'!$AB$9,"B-",IF(F377&lt;'PlayerGrades+'!$AB$8,"B",IF(F377&lt;'PlayerGrades+'!$AB$7,"B+",IF(F377&lt;'PlayerGrades+'!$AB$6,"A-",IF(F377&lt;'PlayerGrades+'!$AB$5,"A",IF(F377&lt;'PlayerGrades+'!$AB$4,"A+",IF(F377&lt;'PlayerGrades+'!$AB$3,"S-",IF(F377&lt;'PlayerGrades+'!$AB$2,"S","S+"))))))))))))))))))))</f>
        <v>#DIV/0!</v>
      </c>
      <c r="H377" s="961" t="str">
        <f t="shared" si="3"/>
        <v>#DIV/0!</v>
      </c>
      <c r="I377" s="961" t="str">
        <f>IF(H377&lt;'PlayerGrades+'!$AC$21,"F-",IF(H377&lt;'PlayerGrades+'!$AC$20,"F",IF(H377&lt;'PlayerGrades+'!$AC$19,"F+",IF(H377&lt;'PlayerGrades+'!$AC$18,"E-",IF(H377&lt;'PlayerGrades+'!$AC$17,"E",IF(H377&lt;'PlayerGrades+'!$AC$16,"E+",IF(H377&lt;'PlayerGrades+'!$AC$15,"D-",IF(H377&lt;'PlayerGrades+'!$AC$14,"D",IF(H377&lt;'PlayerGrades+'!$AC$13,"D+",IF(H377&lt;'PlayerGrades+'!$AC$12,"C-",IF(H377&lt;'PlayerGrades+'!$AC$11,"C",IF(H377&lt;'PlayerGrades+'!$AC$10,"C+",IF(H377&lt;'PlayerGrades+'!$AC$9,"B-",IF(H377&lt;'PlayerGrades+'!$AC$8,"B",IF(H377&lt;'PlayerGrades+'!$AC$7,"B+",IF(H377&lt;'PlayerGrades+'!$AC$6,"A-",IF(H377&lt;'PlayerGrades+'!$AC$5,"A",IF(H377&lt;'PlayerGrades+'!$AC$4,"A+",IF(H377&lt;'PlayerGrades+'!$AC$3,"S-",IF(H377&lt;'PlayerGrades+'!$AC$2,"S","S+"))))))))))))))))))))</f>
        <v>#DIV/0!</v>
      </c>
      <c r="J377" s="961" t="str">
        <f t="shared" si="4"/>
        <v>#DIV/0!</v>
      </c>
      <c r="K377" s="961" t="str">
        <f>IF(J377&lt;'PlayerGrades+'!$AD$21,"F-",IF(J377&lt;'PlayerGrades+'!$AD$20,"F",IF(J377&lt;'PlayerGrades+'!$AD$19,"F+",IF(J377&lt;'PlayerGrades+'!$AD$18,"E-",IF(J377&lt;'PlayerGrades+'!$AD$17,"E",IF(J377&lt;'PlayerGrades+'!$AD$16,"E+",IF(J377&lt;'PlayerGrades+'!$AD$15,"D-",IF(J377&lt;'PlayerGrades+'!$AD$14,"D",IF(J377&lt;'PlayerGrades+'!$AD$13,"D+",IF(J377&lt;'PlayerGrades+'!$AD$12,"C-",IF(J377&lt;'PlayerGrades+'!$AD$11,"C",IF(J377&lt;'PlayerGrades+'!$AD$10,"C+",IF(J377&lt;'PlayerGrades+'!$AD$9,"B-",IF(J377&lt;'PlayerGrades+'!$AD$8,"B",IF(J377&lt;'PlayerGrades+'!$AD$7,"B+",IF(J377&lt;'PlayerGrades+'!$AD$6,"A-",IF(J377&lt;'PlayerGrades+'!$AD$5,"A",IF(J377&lt;'PlayerGrades+'!$AD$4,"A+",IF(J377&lt;'PlayerGrades+'!$AD$3,"S-",IF(J377&lt;'PlayerGrades+'!$AD$2,"S","S+"))))))))))))))))))))</f>
        <v>#DIV/0!</v>
      </c>
      <c r="L377" s="1176" t="str">
        <f t="shared" si="5"/>
        <v>#DIV/0!</v>
      </c>
      <c r="M377" s="992" t="str">
        <f>IF(L377&lt;'PlayerGrades+'!$AE$21,"F-",IF(L377&lt;'PlayerGrades+'!$AE$20,"F",IF(L377&lt;'PlayerGrades+'!$AE$19,"F+",IF(L377&lt;'PlayerGrades+'!$AE$18,"E-",IF(L377&lt;'PlayerGrades+'!$AE$17,"E",IF(L377&lt;'PlayerGrades+'!$AE$16,"E+",IF(L377&lt;'PlayerGrades+'!$AE$15,"D-",IF(L377&lt;'PlayerGrades+'!$AE$14,"D",IF(L377&lt;'PlayerGrades+'!$AE$13,"D+",IF(L377&lt;'PlayerGrades+'!$AE$12,"C-",IF(L377&lt;'PlayerGrades+'!$AE$11,"C",IF(L377&lt;'PlayerGrades+'!$AE$10,"C+",IF(L377&lt;'PlayerGrades+'!$AE$9,"B-",IF(L377&lt;'PlayerGrades+'!$AE$8,"B",IF(L377&lt;'PlayerGrades+'!$AE$7,"B+",IF(L377&lt;'PlayerGrades+'!$AE$6,"A-",IF(L377&lt;'PlayerGrades+'!$AE$5,"A",IF(L377&lt;'PlayerGrades+'!$AE$4,"A+",IF(L377&lt;'PlayerGrades+'!$AE$3,"S-",IF(L377&lt;'PlayerGrades+'!$AE$2,"S","S+"))))))))))))))))))))</f>
        <v>#DIV/0!</v>
      </c>
      <c r="N377" s="961" t="str">
        <f t="shared" si="6"/>
        <v>#DIV/0!</v>
      </c>
      <c r="O377" s="961" t="str">
        <f>IF(N377&lt;'PlayerGrades+'!$AF$21,"F-",IF(N377&lt;'PlayerGrades+'!$AF$20,"F",IF(N377&lt;'PlayerGrades+'!$AF$19,"F+",IF(N377&lt;'PlayerGrades+'!$AF$18,"E-",IF(N377&lt;'PlayerGrades+'!$AF$17,"E",IF(N377&lt;'PlayerGrades+'!$AF$16,"E+",IF(N377&lt;'PlayerGrades+'!$AF$15,"D-",IF(N377&lt;'PlayerGrades+'!$AF$14,"D",IF(N377&lt;'PlayerGrades+'!$AF$13,"D+",IF(N377&lt;'PlayerGrades+'!$AF$12,"C-",IF(N377&lt;'PlayerGrades+'!$AF$11,"C",IF(N377&lt;'PlayerGrades+'!$AF$10,"C+",IF(N377&lt;'PlayerGrades+'!$AF$9,"B-",IF(N377&lt;'PlayerGrades+'!$AF$8,"B",IF(N377&lt;'PlayerGrades+'!$AF$7,"B+",IF(N377&lt;'PlayerGrades+'!$AF$6,"A-",IF(N377&lt;'PlayerGrades+'!$AF$5,"A",IF(N377&lt;'PlayerGrades+'!$AF$4,"A+",IF(N377&lt;'PlayerGrades+'!$AF$3,"S-",IF(N377&lt;'PlayerGrades+'!$AF$2,"S","S+"))))))))))))))))))))</f>
        <v>#DIV/0!</v>
      </c>
      <c r="P377" s="961" t="str">
        <f t="shared" si="7"/>
        <v>#DIV/0!</v>
      </c>
      <c r="Q377" s="961" t="str">
        <f>IF(P377&lt;'PlayerGrades+'!$AG$21,"F-",IF(P377&lt;'PlayerGrades+'!$AG$20,"F",IF(P377&lt;'PlayerGrades+'!$AG$19,"F+",IF(P377&lt;'PlayerGrades+'!$AG$18,"E-",IF(P377&lt;'PlayerGrades+'!$AG$17,"E",IF(P377&lt;'PlayerGrades+'!$AG$16,"E+",IF(P377&lt;'PlayerGrades+'!$AG$15,"D-",IF(P377&lt;'PlayerGrades+'!$AG$14,"D",IF(P377&lt;'PlayerGrades+'!$AG$13,"D+",IF(P377&lt;'PlayerGrades+'!$AG$12,"C-",IF(P377&lt;'PlayerGrades+'!$AG$11,"C",IF(P377&lt;'PlayerGrades+'!$AG$10,"C+",IF(P377&lt;'PlayerGrades+'!$AG$9,"B-",IF(P377&lt;'PlayerGrades+'!$AG$8,"B",IF(P377&lt;'PlayerGrades+'!$AG$7,"B+",IF(P377&lt;'PlayerGrades+'!$AG$6,"A-",IF(P377&lt;'PlayerGrades+'!$AG$5,"A",IF(P377&lt;'PlayerGrades+'!$AG$4,"A+",IF(P377&lt;'PlayerGrades+'!$AG$3,"S-",IF(P377&lt;'PlayerGrades+'!$AG$2,"S","S+"))))))))))))))))))))</f>
        <v>#DIV/0!</v>
      </c>
      <c r="R377" s="961" t="str">
        <f t="shared" si="8"/>
        <v>#DIV/0!</v>
      </c>
      <c r="S377" s="961" t="str">
        <f>IF(R377&lt;'PlayerGrades+'!$AH$21,"F-",IF(R377&lt;'PlayerGrades+'!$AH$20,"F",IF(R377&lt;'PlayerGrades+'!$AH$19,"F+",IF(R377&lt;'PlayerGrades+'!$AH$18,"E-",IF(R377&lt;'PlayerGrades+'!$AH$17,"E",IF(R377&lt;'PlayerGrades+'!$AH$16,"E+",IF(R377&lt;'PlayerGrades+'!$AH$15,"D-",IF(R377&lt;'PlayerGrades+'!$AH$14,"D",IF(R377&lt;'PlayerGrades+'!$AH$13,"D+",IF(R377&lt;'PlayerGrades+'!$AH$12,"C-",IF(R377&lt;'PlayerGrades+'!$AH$11,"C",IF(R377&lt;'PlayerGrades+'!$AH$10,"C+",IF(R377&lt;'PlayerGrades+'!$AH$9,"B-",IF(R377&lt;'PlayerGrades+'!$AH$8,"B",IF(R377&lt;'PlayerGrades+'!$AH$7,"B+",IF(R377&lt;'PlayerGrades+'!$AH$6,"A-",IF(R377&lt;'PlayerGrades+'!$AH$5,"A",IF(R377&lt;'PlayerGrades+'!$AH$4,"A+",IF(R377&lt;'PlayerGrades+'!$AH$3,"S-",IF(R377&lt;'PlayerGrades+'!$AH$2,"S","S+"))))))))))))))))))))</f>
        <v>#DIV/0!</v>
      </c>
      <c r="T377" s="961">
        <f t="shared" si="9"/>
        <v>0</v>
      </c>
      <c r="U377" s="961" t="str">
        <f>IF(T377&lt;'PlayerGrades+'!$AI$21,"F-",IF(T377&lt;'PlayerGrades+'!$AI$20,"F",IF(T377&lt;'PlayerGrades+'!$AI$19,"F+",IF(T377&lt;'PlayerGrades+'!$AI$18,"E-",IF(T377&lt;'PlayerGrades+'!$AI$17,"E",IF(T377&lt;'PlayerGrades+'!$AI$16,"E+",IF(T377&lt;'PlayerGrades+'!$AI$15,"D-",IF(T377&lt;'PlayerGrades+'!$AI$14,"D",IF(T377&lt;'PlayerGrades+'!$AI$13,"D+",IF(T377&lt;'PlayerGrades+'!$AI$12,"C-",IF(T377&lt;'PlayerGrades+'!$AI$11,"C",IF(T377&lt;'PlayerGrades+'!$AI$10,"C+",IF(T377&lt;'PlayerGrades+'!$AI$9,"B-",IF(T377&lt;'PlayerGrades+'!$AI$8,"B",IF(T377&lt;'PlayerGrades+'!$AI$7,"B+",IF(T377&lt;'PlayerGrades+'!$AI$6,"A-",IF(T377&lt;'PlayerGrades+'!$AI$5,"A",IF(T377&lt;'PlayerGrades+'!$AI$4,"A+",IF(T377&lt;'PlayerGrades+'!$AI$3,"S-",IF(T377&lt;'PlayerGrades+'!$AI$2,"S","S+"))))))))))))))))))))</f>
        <v>F-</v>
      </c>
      <c r="V377" s="1386"/>
      <c r="W377" s="1386"/>
      <c r="X377" s="1386"/>
      <c r="Y377" s="1386"/>
      <c r="Z377" s="1386"/>
      <c r="AA377" s="1386"/>
      <c r="AB377" s="1386"/>
      <c r="AC377" s="1397"/>
      <c r="AD377" s="1386"/>
      <c r="AE377" s="1386"/>
      <c r="AF377" s="1386"/>
      <c r="AG377" s="1386"/>
      <c r="AH377" s="1386"/>
      <c r="AI377" s="1386"/>
      <c r="AJ377" s="1386"/>
      <c r="AK377" s="1386"/>
      <c r="AL377" s="1386"/>
      <c r="AM377" s="1386"/>
      <c r="AN377" s="1386"/>
      <c r="AO377" s="1386"/>
      <c r="AP377" s="1386"/>
      <c r="AQ377" s="1386"/>
      <c r="AR377" s="1386"/>
      <c r="AS377" s="1386"/>
      <c r="AT377" s="1386"/>
      <c r="AU377" s="1386"/>
      <c r="AV377" s="1386"/>
      <c r="AW377" s="1386"/>
      <c r="AX377" s="1386"/>
      <c r="AY377" s="1386"/>
      <c r="AZ377" s="1386"/>
    </row>
    <row r="378">
      <c r="A378" s="1389"/>
      <c r="B378" s="611" t="str">
        <f>IF(C378&lt;'PlayerGrades+'!$Y$44,"F-",IF(C378&lt;'PlayerGrades+'!$Y$43,"F",IF(C378&lt;'PlayerGrades+'!$Y$42,"F+",IF(C378&lt;'PlayerGrades+'!$Y$41,"E-",IF(C378&lt;'PlayerGrades+'!$Y$40,"E",IF(C378&lt;'PlayerGrades+'!$Y$39,"E+",IF(C378&lt;'PlayerGrades+'!$Y$38,"D-",IF(C378&lt;'PlayerGrades+'!$Y$37,"D",IF(C378&lt;'PlayerGrades+'!$Y$36,"D+",IF(C378&lt;'PlayerGrades+'!$Y$35,"C-",IF(C378&lt;'PlayerGrades+'!$Y$34,"C",IF(C378&lt;'PlayerGrades+'!$Y$33,"C+",IF(C378&lt;'PlayerGrades+'!$Y$32,"B-",IF(C378&lt;'PlayerGrades+'!$Y$31,"B",IF(C378&lt;'PlayerGrades+'!$Y$30,"B+",IF(C378&lt;'PlayerGrades+'!$Y$29,"A-",IF(C378&lt;'PlayerGrades+'!$Y$28,"A",IF(C378&lt;'PlayerGrades+'!$Y$27,"A+",IF(C378&lt;'PlayerGrades+'!$Y$26,"S-",IF(C378&lt;'PlayerGrades+'!$Y$25,"S","S+"))))))))))))))))))))</f>
        <v>#DIV/0!</v>
      </c>
      <c r="C378" s="1378" t="str">
        <f>('PlayerGrades+'!$Y$47*(VLOOKUP(E378, 'PlayerGrades+'!$X$3:$Y$23, 2, FALSE)))+('PlayerGrades+'!$Y$48*(VLOOKUP(G378, 'PlayerGrades+'!$X$3:$Y$23, 2, FALSE)))+('PlayerGrades+'!$Y$49*(VLOOKUP(I378, 'PlayerGrades+'!$X$3:$Y$23, 2, FALSE)))+('PlayerGrades+'!$Y$50*(VLOOKUP(K378, 'PlayerGrades+'!$X$3:$Y$23, 2, FALSE)))+('PlayerGrades+'!$Y$51*(VLOOKUP(M378, 'PlayerGrades+'!$X$3:$Y$23, 2, FALSE)))+('PlayerGrades+'!$Y$52*(VLOOKUP(O378, 'PlayerGrades+'!$X$3:$Y$23, 2, FALSE)))+('PlayerGrades+'!$Y$53*(VLOOKUP(Q378, 'PlayerGrades+'!$X$3:$Y$23, 2, FALSE)))+('PlayerGrades+'!$Y$54*(VLOOKUP(S378, 'PlayerGrades+'!$X$3:$Y$23, 2, FALSE)))+('PlayerGrades+'!$Y$55*(VLOOKUP(U378, 'PlayerGrades+'!$X$3:$Y$23, 2, FALSE)))</f>
        <v>#DIV/0!</v>
      </c>
      <c r="D378" s="961" t="str">
        <f t="shared" si="1"/>
        <v>#DIV/0!</v>
      </c>
      <c r="E378" s="961" t="str">
        <f>IF(D378&lt;'PlayerGrades+'!$AA$21,"F-",IF(D378&lt;'PlayerGrades+'!$AA$20,"F",IF(D378&lt;'PlayerGrades+'!$AA$19,"F+",IF(D378&lt;'PlayerGrades+'!$AA$18,"E-",IF(D378&lt;'PlayerGrades+'!$AA$17,"E",IF(D378&lt;'PlayerGrades+'!$AA$16,"E+",IF(D378&lt;'PlayerGrades+'!$AA$15,"D-",IF(D378&lt;'PlayerGrades+'!$AA$14,"D",IF(D378&lt;'PlayerGrades+'!$AA$13,"D+",IF(D378&lt;'PlayerGrades+'!$AA$12,"C-",IF(D378&lt;'PlayerGrades+'!$AA$11,"C",IF(D378&lt;'PlayerGrades+'!$AA$10,"C+",IF(D378&lt;'PlayerGrades+'!$AA$9,"B-",IF(D378&lt;'PlayerGrades+'!$AA$8,"B",IF(D378&lt;'PlayerGrades+'!$AA$7,"B+",IF(D378&lt;'PlayerGrades+'!$AA$6,"A-",IF(D378&lt;'PlayerGrades+'!$AA$5,"A",IF(D378&lt;'PlayerGrades+'!$AA$4,"A+",IF(D378&lt;'PlayerGrades+'!$AA$3,"S-",IF(D378&lt;'PlayerGrades+'!$AA$2,"S","S+"))))))))))))))))))))</f>
        <v>#DIV/0!</v>
      </c>
      <c r="F378" s="961" t="str">
        <f t="shared" si="2"/>
        <v>#DIV/0!</v>
      </c>
      <c r="G378" s="961" t="str">
        <f>IF(F378&lt;'PlayerGrades+'!$AB$21,"F-",IF(F378&lt;'PlayerGrades+'!$AB$20,"F",IF(F378&lt;'PlayerGrades+'!$AB$19,"F+",IF(F378&lt;'PlayerGrades+'!$AB$18,"E-",IF(F378&lt;'PlayerGrades+'!$AB$17,"E",IF(F378&lt;'PlayerGrades+'!$AB$16,"E+",IF(F378&lt;'PlayerGrades+'!$AB$15,"D-",IF(F378&lt;'PlayerGrades+'!$AB$14,"D",IF(F378&lt;'PlayerGrades+'!$AB$13,"D+",IF(F378&lt;'PlayerGrades+'!$AB$12,"C-",IF(F378&lt;'PlayerGrades+'!$AB$11,"C",IF(F378&lt;'PlayerGrades+'!$AB$10,"C+",IF(F378&lt;'PlayerGrades+'!$AB$9,"B-",IF(F378&lt;'PlayerGrades+'!$AB$8,"B",IF(F378&lt;'PlayerGrades+'!$AB$7,"B+",IF(F378&lt;'PlayerGrades+'!$AB$6,"A-",IF(F378&lt;'PlayerGrades+'!$AB$5,"A",IF(F378&lt;'PlayerGrades+'!$AB$4,"A+",IF(F378&lt;'PlayerGrades+'!$AB$3,"S-",IF(F378&lt;'PlayerGrades+'!$AB$2,"S","S+"))))))))))))))))))))</f>
        <v>#DIV/0!</v>
      </c>
      <c r="H378" s="961" t="str">
        <f t="shared" si="3"/>
        <v>#DIV/0!</v>
      </c>
      <c r="I378" s="961" t="str">
        <f>IF(H378&lt;'PlayerGrades+'!$AC$21,"F-",IF(H378&lt;'PlayerGrades+'!$AC$20,"F",IF(H378&lt;'PlayerGrades+'!$AC$19,"F+",IF(H378&lt;'PlayerGrades+'!$AC$18,"E-",IF(H378&lt;'PlayerGrades+'!$AC$17,"E",IF(H378&lt;'PlayerGrades+'!$AC$16,"E+",IF(H378&lt;'PlayerGrades+'!$AC$15,"D-",IF(H378&lt;'PlayerGrades+'!$AC$14,"D",IF(H378&lt;'PlayerGrades+'!$AC$13,"D+",IF(H378&lt;'PlayerGrades+'!$AC$12,"C-",IF(H378&lt;'PlayerGrades+'!$AC$11,"C",IF(H378&lt;'PlayerGrades+'!$AC$10,"C+",IF(H378&lt;'PlayerGrades+'!$AC$9,"B-",IF(H378&lt;'PlayerGrades+'!$AC$8,"B",IF(H378&lt;'PlayerGrades+'!$AC$7,"B+",IF(H378&lt;'PlayerGrades+'!$AC$6,"A-",IF(H378&lt;'PlayerGrades+'!$AC$5,"A",IF(H378&lt;'PlayerGrades+'!$AC$4,"A+",IF(H378&lt;'PlayerGrades+'!$AC$3,"S-",IF(H378&lt;'PlayerGrades+'!$AC$2,"S","S+"))))))))))))))))))))</f>
        <v>#DIV/0!</v>
      </c>
      <c r="J378" s="961" t="str">
        <f t="shared" si="4"/>
        <v>#DIV/0!</v>
      </c>
      <c r="K378" s="961" t="str">
        <f>IF(J378&lt;'PlayerGrades+'!$AD$21,"F-",IF(J378&lt;'PlayerGrades+'!$AD$20,"F",IF(J378&lt;'PlayerGrades+'!$AD$19,"F+",IF(J378&lt;'PlayerGrades+'!$AD$18,"E-",IF(J378&lt;'PlayerGrades+'!$AD$17,"E",IF(J378&lt;'PlayerGrades+'!$AD$16,"E+",IF(J378&lt;'PlayerGrades+'!$AD$15,"D-",IF(J378&lt;'PlayerGrades+'!$AD$14,"D",IF(J378&lt;'PlayerGrades+'!$AD$13,"D+",IF(J378&lt;'PlayerGrades+'!$AD$12,"C-",IF(J378&lt;'PlayerGrades+'!$AD$11,"C",IF(J378&lt;'PlayerGrades+'!$AD$10,"C+",IF(J378&lt;'PlayerGrades+'!$AD$9,"B-",IF(J378&lt;'PlayerGrades+'!$AD$8,"B",IF(J378&lt;'PlayerGrades+'!$AD$7,"B+",IF(J378&lt;'PlayerGrades+'!$AD$6,"A-",IF(J378&lt;'PlayerGrades+'!$AD$5,"A",IF(J378&lt;'PlayerGrades+'!$AD$4,"A+",IF(J378&lt;'PlayerGrades+'!$AD$3,"S-",IF(J378&lt;'PlayerGrades+'!$AD$2,"S","S+"))))))))))))))))))))</f>
        <v>#DIV/0!</v>
      </c>
      <c r="L378" s="1176" t="str">
        <f t="shared" si="5"/>
        <v>#DIV/0!</v>
      </c>
      <c r="M378" s="992" t="str">
        <f>IF(L378&lt;'PlayerGrades+'!$AE$21,"F-",IF(L378&lt;'PlayerGrades+'!$AE$20,"F",IF(L378&lt;'PlayerGrades+'!$AE$19,"F+",IF(L378&lt;'PlayerGrades+'!$AE$18,"E-",IF(L378&lt;'PlayerGrades+'!$AE$17,"E",IF(L378&lt;'PlayerGrades+'!$AE$16,"E+",IF(L378&lt;'PlayerGrades+'!$AE$15,"D-",IF(L378&lt;'PlayerGrades+'!$AE$14,"D",IF(L378&lt;'PlayerGrades+'!$AE$13,"D+",IF(L378&lt;'PlayerGrades+'!$AE$12,"C-",IF(L378&lt;'PlayerGrades+'!$AE$11,"C",IF(L378&lt;'PlayerGrades+'!$AE$10,"C+",IF(L378&lt;'PlayerGrades+'!$AE$9,"B-",IF(L378&lt;'PlayerGrades+'!$AE$8,"B",IF(L378&lt;'PlayerGrades+'!$AE$7,"B+",IF(L378&lt;'PlayerGrades+'!$AE$6,"A-",IF(L378&lt;'PlayerGrades+'!$AE$5,"A",IF(L378&lt;'PlayerGrades+'!$AE$4,"A+",IF(L378&lt;'PlayerGrades+'!$AE$3,"S-",IF(L378&lt;'PlayerGrades+'!$AE$2,"S","S+"))))))))))))))))))))</f>
        <v>#DIV/0!</v>
      </c>
      <c r="N378" s="961" t="str">
        <f t="shared" si="6"/>
        <v>#DIV/0!</v>
      </c>
      <c r="O378" s="961" t="str">
        <f>IF(N378&lt;'PlayerGrades+'!$AF$21,"F-",IF(N378&lt;'PlayerGrades+'!$AF$20,"F",IF(N378&lt;'PlayerGrades+'!$AF$19,"F+",IF(N378&lt;'PlayerGrades+'!$AF$18,"E-",IF(N378&lt;'PlayerGrades+'!$AF$17,"E",IF(N378&lt;'PlayerGrades+'!$AF$16,"E+",IF(N378&lt;'PlayerGrades+'!$AF$15,"D-",IF(N378&lt;'PlayerGrades+'!$AF$14,"D",IF(N378&lt;'PlayerGrades+'!$AF$13,"D+",IF(N378&lt;'PlayerGrades+'!$AF$12,"C-",IF(N378&lt;'PlayerGrades+'!$AF$11,"C",IF(N378&lt;'PlayerGrades+'!$AF$10,"C+",IF(N378&lt;'PlayerGrades+'!$AF$9,"B-",IF(N378&lt;'PlayerGrades+'!$AF$8,"B",IF(N378&lt;'PlayerGrades+'!$AF$7,"B+",IF(N378&lt;'PlayerGrades+'!$AF$6,"A-",IF(N378&lt;'PlayerGrades+'!$AF$5,"A",IF(N378&lt;'PlayerGrades+'!$AF$4,"A+",IF(N378&lt;'PlayerGrades+'!$AF$3,"S-",IF(N378&lt;'PlayerGrades+'!$AF$2,"S","S+"))))))))))))))))))))</f>
        <v>#DIV/0!</v>
      </c>
      <c r="P378" s="961" t="str">
        <f t="shared" si="7"/>
        <v>#DIV/0!</v>
      </c>
      <c r="Q378" s="961" t="str">
        <f>IF(P378&lt;'PlayerGrades+'!$AG$21,"F-",IF(P378&lt;'PlayerGrades+'!$AG$20,"F",IF(P378&lt;'PlayerGrades+'!$AG$19,"F+",IF(P378&lt;'PlayerGrades+'!$AG$18,"E-",IF(P378&lt;'PlayerGrades+'!$AG$17,"E",IF(P378&lt;'PlayerGrades+'!$AG$16,"E+",IF(P378&lt;'PlayerGrades+'!$AG$15,"D-",IF(P378&lt;'PlayerGrades+'!$AG$14,"D",IF(P378&lt;'PlayerGrades+'!$AG$13,"D+",IF(P378&lt;'PlayerGrades+'!$AG$12,"C-",IF(P378&lt;'PlayerGrades+'!$AG$11,"C",IF(P378&lt;'PlayerGrades+'!$AG$10,"C+",IF(P378&lt;'PlayerGrades+'!$AG$9,"B-",IF(P378&lt;'PlayerGrades+'!$AG$8,"B",IF(P378&lt;'PlayerGrades+'!$AG$7,"B+",IF(P378&lt;'PlayerGrades+'!$AG$6,"A-",IF(P378&lt;'PlayerGrades+'!$AG$5,"A",IF(P378&lt;'PlayerGrades+'!$AG$4,"A+",IF(P378&lt;'PlayerGrades+'!$AG$3,"S-",IF(P378&lt;'PlayerGrades+'!$AG$2,"S","S+"))))))))))))))))))))</f>
        <v>#DIV/0!</v>
      </c>
      <c r="R378" s="961" t="str">
        <f t="shared" si="8"/>
        <v>#DIV/0!</v>
      </c>
      <c r="S378" s="961" t="str">
        <f>IF(R378&lt;'PlayerGrades+'!$AH$21,"F-",IF(R378&lt;'PlayerGrades+'!$AH$20,"F",IF(R378&lt;'PlayerGrades+'!$AH$19,"F+",IF(R378&lt;'PlayerGrades+'!$AH$18,"E-",IF(R378&lt;'PlayerGrades+'!$AH$17,"E",IF(R378&lt;'PlayerGrades+'!$AH$16,"E+",IF(R378&lt;'PlayerGrades+'!$AH$15,"D-",IF(R378&lt;'PlayerGrades+'!$AH$14,"D",IF(R378&lt;'PlayerGrades+'!$AH$13,"D+",IF(R378&lt;'PlayerGrades+'!$AH$12,"C-",IF(R378&lt;'PlayerGrades+'!$AH$11,"C",IF(R378&lt;'PlayerGrades+'!$AH$10,"C+",IF(R378&lt;'PlayerGrades+'!$AH$9,"B-",IF(R378&lt;'PlayerGrades+'!$AH$8,"B",IF(R378&lt;'PlayerGrades+'!$AH$7,"B+",IF(R378&lt;'PlayerGrades+'!$AH$6,"A-",IF(R378&lt;'PlayerGrades+'!$AH$5,"A",IF(R378&lt;'PlayerGrades+'!$AH$4,"A+",IF(R378&lt;'PlayerGrades+'!$AH$3,"S-",IF(R378&lt;'PlayerGrades+'!$AH$2,"S","S+"))))))))))))))))))))</f>
        <v>#DIV/0!</v>
      </c>
      <c r="T378" s="961">
        <f t="shared" si="9"/>
        <v>0</v>
      </c>
      <c r="U378" s="961" t="str">
        <f>IF(T378&lt;'PlayerGrades+'!$AI$21,"F-",IF(T378&lt;'PlayerGrades+'!$AI$20,"F",IF(T378&lt;'PlayerGrades+'!$AI$19,"F+",IF(T378&lt;'PlayerGrades+'!$AI$18,"E-",IF(T378&lt;'PlayerGrades+'!$AI$17,"E",IF(T378&lt;'PlayerGrades+'!$AI$16,"E+",IF(T378&lt;'PlayerGrades+'!$AI$15,"D-",IF(T378&lt;'PlayerGrades+'!$AI$14,"D",IF(T378&lt;'PlayerGrades+'!$AI$13,"D+",IF(T378&lt;'PlayerGrades+'!$AI$12,"C-",IF(T378&lt;'PlayerGrades+'!$AI$11,"C",IF(T378&lt;'PlayerGrades+'!$AI$10,"C+",IF(T378&lt;'PlayerGrades+'!$AI$9,"B-",IF(T378&lt;'PlayerGrades+'!$AI$8,"B",IF(T378&lt;'PlayerGrades+'!$AI$7,"B+",IF(T378&lt;'PlayerGrades+'!$AI$6,"A-",IF(T378&lt;'PlayerGrades+'!$AI$5,"A",IF(T378&lt;'PlayerGrades+'!$AI$4,"A+",IF(T378&lt;'PlayerGrades+'!$AI$3,"S-",IF(T378&lt;'PlayerGrades+'!$AI$2,"S","S+"))))))))))))))))))))</f>
        <v>F-</v>
      </c>
      <c r="V378" s="1379"/>
      <c r="W378" s="1379"/>
      <c r="X378" s="1379"/>
      <c r="Y378" s="1379"/>
      <c r="Z378" s="1379"/>
      <c r="AA378" s="1379"/>
      <c r="AB378" s="1379"/>
      <c r="AC378" s="1390"/>
      <c r="AD378" s="1379"/>
      <c r="AE378" s="1379"/>
      <c r="AF378" s="1379"/>
      <c r="AG378" s="1379"/>
      <c r="AH378" s="1379"/>
      <c r="AI378" s="1379"/>
      <c r="AJ378" s="1379"/>
      <c r="AK378" s="1379"/>
      <c r="AL378" s="1379"/>
      <c r="AM378" s="1379"/>
      <c r="AN378" s="1379"/>
      <c r="AO378" s="1379"/>
      <c r="AP378" s="1379"/>
      <c r="AQ378" s="1379"/>
      <c r="AR378" s="1379"/>
      <c r="AS378" s="1379"/>
      <c r="AT378" s="1379"/>
      <c r="AU378" s="1379"/>
      <c r="AV378" s="1379"/>
      <c r="AW378" s="1379"/>
      <c r="AX378" s="1379"/>
      <c r="AY378" s="1379"/>
      <c r="AZ378" s="1379"/>
    </row>
    <row r="379">
      <c r="A379" s="1391"/>
      <c r="B379" s="611" t="str">
        <f>IF(C379&lt;'PlayerGrades+'!$Y$44,"F-",IF(C379&lt;'PlayerGrades+'!$Y$43,"F",IF(C379&lt;'PlayerGrades+'!$Y$42,"F+",IF(C379&lt;'PlayerGrades+'!$Y$41,"E-",IF(C379&lt;'PlayerGrades+'!$Y$40,"E",IF(C379&lt;'PlayerGrades+'!$Y$39,"E+",IF(C379&lt;'PlayerGrades+'!$Y$38,"D-",IF(C379&lt;'PlayerGrades+'!$Y$37,"D",IF(C379&lt;'PlayerGrades+'!$Y$36,"D+",IF(C379&lt;'PlayerGrades+'!$Y$35,"C-",IF(C379&lt;'PlayerGrades+'!$Y$34,"C",IF(C379&lt;'PlayerGrades+'!$Y$33,"C+",IF(C379&lt;'PlayerGrades+'!$Y$32,"B-",IF(C379&lt;'PlayerGrades+'!$Y$31,"B",IF(C379&lt;'PlayerGrades+'!$Y$30,"B+",IF(C379&lt;'PlayerGrades+'!$Y$29,"A-",IF(C379&lt;'PlayerGrades+'!$Y$28,"A",IF(C379&lt;'PlayerGrades+'!$Y$27,"A+",IF(C379&lt;'PlayerGrades+'!$Y$26,"S-",IF(C379&lt;'PlayerGrades+'!$Y$25,"S","S+"))))))))))))))))))))</f>
        <v>#DIV/0!</v>
      </c>
      <c r="C379" s="1378" t="str">
        <f>('PlayerGrades+'!$Y$47*(VLOOKUP(E379, 'PlayerGrades+'!$X$3:$Y$23, 2, FALSE)))+('PlayerGrades+'!$Y$48*(VLOOKUP(G379, 'PlayerGrades+'!$X$3:$Y$23, 2, FALSE)))+('PlayerGrades+'!$Y$49*(VLOOKUP(I379, 'PlayerGrades+'!$X$3:$Y$23, 2, FALSE)))+('PlayerGrades+'!$Y$50*(VLOOKUP(K379, 'PlayerGrades+'!$X$3:$Y$23, 2, FALSE)))+('PlayerGrades+'!$Y$51*(VLOOKUP(M379, 'PlayerGrades+'!$X$3:$Y$23, 2, FALSE)))+('PlayerGrades+'!$Y$52*(VLOOKUP(O379, 'PlayerGrades+'!$X$3:$Y$23, 2, FALSE)))+('PlayerGrades+'!$Y$53*(VLOOKUP(Q379, 'PlayerGrades+'!$X$3:$Y$23, 2, FALSE)))+('PlayerGrades+'!$Y$54*(VLOOKUP(S379, 'PlayerGrades+'!$X$3:$Y$23, 2, FALSE)))+('PlayerGrades+'!$Y$55*(VLOOKUP(U379, 'PlayerGrades+'!$X$3:$Y$23, 2, FALSE)))</f>
        <v>#DIV/0!</v>
      </c>
      <c r="D379" s="961" t="str">
        <f t="shared" si="1"/>
        <v>#DIV/0!</v>
      </c>
      <c r="E379" s="961" t="str">
        <f>IF(D379&lt;'PlayerGrades+'!$AA$21,"F-",IF(D379&lt;'PlayerGrades+'!$AA$20,"F",IF(D379&lt;'PlayerGrades+'!$AA$19,"F+",IF(D379&lt;'PlayerGrades+'!$AA$18,"E-",IF(D379&lt;'PlayerGrades+'!$AA$17,"E",IF(D379&lt;'PlayerGrades+'!$AA$16,"E+",IF(D379&lt;'PlayerGrades+'!$AA$15,"D-",IF(D379&lt;'PlayerGrades+'!$AA$14,"D",IF(D379&lt;'PlayerGrades+'!$AA$13,"D+",IF(D379&lt;'PlayerGrades+'!$AA$12,"C-",IF(D379&lt;'PlayerGrades+'!$AA$11,"C",IF(D379&lt;'PlayerGrades+'!$AA$10,"C+",IF(D379&lt;'PlayerGrades+'!$AA$9,"B-",IF(D379&lt;'PlayerGrades+'!$AA$8,"B",IF(D379&lt;'PlayerGrades+'!$AA$7,"B+",IF(D379&lt;'PlayerGrades+'!$AA$6,"A-",IF(D379&lt;'PlayerGrades+'!$AA$5,"A",IF(D379&lt;'PlayerGrades+'!$AA$4,"A+",IF(D379&lt;'PlayerGrades+'!$AA$3,"S-",IF(D379&lt;'PlayerGrades+'!$AA$2,"S","S+"))))))))))))))))))))</f>
        <v>#DIV/0!</v>
      </c>
      <c r="F379" s="961" t="str">
        <f t="shared" si="2"/>
        <v>#DIV/0!</v>
      </c>
      <c r="G379" s="961" t="str">
        <f>IF(F379&lt;'PlayerGrades+'!$AB$21,"F-",IF(F379&lt;'PlayerGrades+'!$AB$20,"F",IF(F379&lt;'PlayerGrades+'!$AB$19,"F+",IF(F379&lt;'PlayerGrades+'!$AB$18,"E-",IF(F379&lt;'PlayerGrades+'!$AB$17,"E",IF(F379&lt;'PlayerGrades+'!$AB$16,"E+",IF(F379&lt;'PlayerGrades+'!$AB$15,"D-",IF(F379&lt;'PlayerGrades+'!$AB$14,"D",IF(F379&lt;'PlayerGrades+'!$AB$13,"D+",IF(F379&lt;'PlayerGrades+'!$AB$12,"C-",IF(F379&lt;'PlayerGrades+'!$AB$11,"C",IF(F379&lt;'PlayerGrades+'!$AB$10,"C+",IF(F379&lt;'PlayerGrades+'!$AB$9,"B-",IF(F379&lt;'PlayerGrades+'!$AB$8,"B",IF(F379&lt;'PlayerGrades+'!$AB$7,"B+",IF(F379&lt;'PlayerGrades+'!$AB$6,"A-",IF(F379&lt;'PlayerGrades+'!$AB$5,"A",IF(F379&lt;'PlayerGrades+'!$AB$4,"A+",IF(F379&lt;'PlayerGrades+'!$AB$3,"S-",IF(F379&lt;'PlayerGrades+'!$AB$2,"S","S+"))))))))))))))))))))</f>
        <v>#DIV/0!</v>
      </c>
      <c r="H379" s="961" t="str">
        <f t="shared" si="3"/>
        <v>#DIV/0!</v>
      </c>
      <c r="I379" s="961" t="str">
        <f>IF(H379&lt;'PlayerGrades+'!$AC$21,"F-",IF(H379&lt;'PlayerGrades+'!$AC$20,"F",IF(H379&lt;'PlayerGrades+'!$AC$19,"F+",IF(H379&lt;'PlayerGrades+'!$AC$18,"E-",IF(H379&lt;'PlayerGrades+'!$AC$17,"E",IF(H379&lt;'PlayerGrades+'!$AC$16,"E+",IF(H379&lt;'PlayerGrades+'!$AC$15,"D-",IF(H379&lt;'PlayerGrades+'!$AC$14,"D",IF(H379&lt;'PlayerGrades+'!$AC$13,"D+",IF(H379&lt;'PlayerGrades+'!$AC$12,"C-",IF(H379&lt;'PlayerGrades+'!$AC$11,"C",IF(H379&lt;'PlayerGrades+'!$AC$10,"C+",IF(H379&lt;'PlayerGrades+'!$AC$9,"B-",IF(H379&lt;'PlayerGrades+'!$AC$8,"B",IF(H379&lt;'PlayerGrades+'!$AC$7,"B+",IF(H379&lt;'PlayerGrades+'!$AC$6,"A-",IF(H379&lt;'PlayerGrades+'!$AC$5,"A",IF(H379&lt;'PlayerGrades+'!$AC$4,"A+",IF(H379&lt;'PlayerGrades+'!$AC$3,"S-",IF(H379&lt;'PlayerGrades+'!$AC$2,"S","S+"))))))))))))))))))))</f>
        <v>#DIV/0!</v>
      </c>
      <c r="J379" s="961" t="str">
        <f t="shared" si="4"/>
        <v>#DIV/0!</v>
      </c>
      <c r="K379" s="961" t="str">
        <f>IF(J379&lt;'PlayerGrades+'!$AD$21,"F-",IF(J379&lt;'PlayerGrades+'!$AD$20,"F",IF(J379&lt;'PlayerGrades+'!$AD$19,"F+",IF(J379&lt;'PlayerGrades+'!$AD$18,"E-",IF(J379&lt;'PlayerGrades+'!$AD$17,"E",IF(J379&lt;'PlayerGrades+'!$AD$16,"E+",IF(J379&lt;'PlayerGrades+'!$AD$15,"D-",IF(J379&lt;'PlayerGrades+'!$AD$14,"D",IF(J379&lt;'PlayerGrades+'!$AD$13,"D+",IF(J379&lt;'PlayerGrades+'!$AD$12,"C-",IF(J379&lt;'PlayerGrades+'!$AD$11,"C",IF(J379&lt;'PlayerGrades+'!$AD$10,"C+",IF(J379&lt;'PlayerGrades+'!$AD$9,"B-",IF(J379&lt;'PlayerGrades+'!$AD$8,"B",IF(J379&lt;'PlayerGrades+'!$AD$7,"B+",IF(J379&lt;'PlayerGrades+'!$AD$6,"A-",IF(J379&lt;'PlayerGrades+'!$AD$5,"A",IF(J379&lt;'PlayerGrades+'!$AD$4,"A+",IF(J379&lt;'PlayerGrades+'!$AD$3,"S-",IF(J379&lt;'PlayerGrades+'!$AD$2,"S","S+"))))))))))))))))))))</f>
        <v>#DIV/0!</v>
      </c>
      <c r="L379" s="1176" t="str">
        <f t="shared" si="5"/>
        <v>#DIV/0!</v>
      </c>
      <c r="M379" s="992" t="str">
        <f>IF(L379&lt;'PlayerGrades+'!$AE$21,"F-",IF(L379&lt;'PlayerGrades+'!$AE$20,"F",IF(L379&lt;'PlayerGrades+'!$AE$19,"F+",IF(L379&lt;'PlayerGrades+'!$AE$18,"E-",IF(L379&lt;'PlayerGrades+'!$AE$17,"E",IF(L379&lt;'PlayerGrades+'!$AE$16,"E+",IF(L379&lt;'PlayerGrades+'!$AE$15,"D-",IF(L379&lt;'PlayerGrades+'!$AE$14,"D",IF(L379&lt;'PlayerGrades+'!$AE$13,"D+",IF(L379&lt;'PlayerGrades+'!$AE$12,"C-",IF(L379&lt;'PlayerGrades+'!$AE$11,"C",IF(L379&lt;'PlayerGrades+'!$AE$10,"C+",IF(L379&lt;'PlayerGrades+'!$AE$9,"B-",IF(L379&lt;'PlayerGrades+'!$AE$8,"B",IF(L379&lt;'PlayerGrades+'!$AE$7,"B+",IF(L379&lt;'PlayerGrades+'!$AE$6,"A-",IF(L379&lt;'PlayerGrades+'!$AE$5,"A",IF(L379&lt;'PlayerGrades+'!$AE$4,"A+",IF(L379&lt;'PlayerGrades+'!$AE$3,"S-",IF(L379&lt;'PlayerGrades+'!$AE$2,"S","S+"))))))))))))))))))))</f>
        <v>#DIV/0!</v>
      </c>
      <c r="N379" s="961" t="str">
        <f t="shared" si="6"/>
        <v>#DIV/0!</v>
      </c>
      <c r="O379" s="961" t="str">
        <f>IF(N379&lt;'PlayerGrades+'!$AF$21,"F-",IF(N379&lt;'PlayerGrades+'!$AF$20,"F",IF(N379&lt;'PlayerGrades+'!$AF$19,"F+",IF(N379&lt;'PlayerGrades+'!$AF$18,"E-",IF(N379&lt;'PlayerGrades+'!$AF$17,"E",IF(N379&lt;'PlayerGrades+'!$AF$16,"E+",IF(N379&lt;'PlayerGrades+'!$AF$15,"D-",IF(N379&lt;'PlayerGrades+'!$AF$14,"D",IF(N379&lt;'PlayerGrades+'!$AF$13,"D+",IF(N379&lt;'PlayerGrades+'!$AF$12,"C-",IF(N379&lt;'PlayerGrades+'!$AF$11,"C",IF(N379&lt;'PlayerGrades+'!$AF$10,"C+",IF(N379&lt;'PlayerGrades+'!$AF$9,"B-",IF(N379&lt;'PlayerGrades+'!$AF$8,"B",IF(N379&lt;'PlayerGrades+'!$AF$7,"B+",IF(N379&lt;'PlayerGrades+'!$AF$6,"A-",IF(N379&lt;'PlayerGrades+'!$AF$5,"A",IF(N379&lt;'PlayerGrades+'!$AF$4,"A+",IF(N379&lt;'PlayerGrades+'!$AF$3,"S-",IF(N379&lt;'PlayerGrades+'!$AF$2,"S","S+"))))))))))))))))))))</f>
        <v>#DIV/0!</v>
      </c>
      <c r="P379" s="961" t="str">
        <f t="shared" si="7"/>
        <v>#DIV/0!</v>
      </c>
      <c r="Q379" s="961" t="str">
        <f>IF(P379&lt;'PlayerGrades+'!$AG$21,"F-",IF(P379&lt;'PlayerGrades+'!$AG$20,"F",IF(P379&lt;'PlayerGrades+'!$AG$19,"F+",IF(P379&lt;'PlayerGrades+'!$AG$18,"E-",IF(P379&lt;'PlayerGrades+'!$AG$17,"E",IF(P379&lt;'PlayerGrades+'!$AG$16,"E+",IF(P379&lt;'PlayerGrades+'!$AG$15,"D-",IF(P379&lt;'PlayerGrades+'!$AG$14,"D",IF(P379&lt;'PlayerGrades+'!$AG$13,"D+",IF(P379&lt;'PlayerGrades+'!$AG$12,"C-",IF(P379&lt;'PlayerGrades+'!$AG$11,"C",IF(P379&lt;'PlayerGrades+'!$AG$10,"C+",IF(P379&lt;'PlayerGrades+'!$AG$9,"B-",IF(P379&lt;'PlayerGrades+'!$AG$8,"B",IF(P379&lt;'PlayerGrades+'!$AG$7,"B+",IF(P379&lt;'PlayerGrades+'!$AG$6,"A-",IF(P379&lt;'PlayerGrades+'!$AG$5,"A",IF(P379&lt;'PlayerGrades+'!$AG$4,"A+",IF(P379&lt;'PlayerGrades+'!$AG$3,"S-",IF(P379&lt;'PlayerGrades+'!$AG$2,"S","S+"))))))))))))))))))))</f>
        <v>#DIV/0!</v>
      </c>
      <c r="R379" s="961" t="str">
        <f t="shared" si="8"/>
        <v>#DIV/0!</v>
      </c>
      <c r="S379" s="961" t="str">
        <f>IF(R379&lt;'PlayerGrades+'!$AH$21,"F-",IF(R379&lt;'PlayerGrades+'!$AH$20,"F",IF(R379&lt;'PlayerGrades+'!$AH$19,"F+",IF(R379&lt;'PlayerGrades+'!$AH$18,"E-",IF(R379&lt;'PlayerGrades+'!$AH$17,"E",IF(R379&lt;'PlayerGrades+'!$AH$16,"E+",IF(R379&lt;'PlayerGrades+'!$AH$15,"D-",IF(R379&lt;'PlayerGrades+'!$AH$14,"D",IF(R379&lt;'PlayerGrades+'!$AH$13,"D+",IF(R379&lt;'PlayerGrades+'!$AH$12,"C-",IF(R379&lt;'PlayerGrades+'!$AH$11,"C",IF(R379&lt;'PlayerGrades+'!$AH$10,"C+",IF(R379&lt;'PlayerGrades+'!$AH$9,"B-",IF(R379&lt;'PlayerGrades+'!$AH$8,"B",IF(R379&lt;'PlayerGrades+'!$AH$7,"B+",IF(R379&lt;'PlayerGrades+'!$AH$6,"A-",IF(R379&lt;'PlayerGrades+'!$AH$5,"A",IF(R379&lt;'PlayerGrades+'!$AH$4,"A+",IF(R379&lt;'PlayerGrades+'!$AH$3,"S-",IF(R379&lt;'PlayerGrades+'!$AH$2,"S","S+"))))))))))))))))))))</f>
        <v>#DIV/0!</v>
      </c>
      <c r="T379" s="961">
        <f t="shared" si="9"/>
        <v>0</v>
      </c>
      <c r="U379" s="961" t="str">
        <f>IF(T379&lt;'PlayerGrades+'!$AI$21,"F-",IF(T379&lt;'PlayerGrades+'!$AI$20,"F",IF(T379&lt;'PlayerGrades+'!$AI$19,"F+",IF(T379&lt;'PlayerGrades+'!$AI$18,"E-",IF(T379&lt;'PlayerGrades+'!$AI$17,"E",IF(T379&lt;'PlayerGrades+'!$AI$16,"E+",IF(T379&lt;'PlayerGrades+'!$AI$15,"D-",IF(T379&lt;'PlayerGrades+'!$AI$14,"D",IF(T379&lt;'PlayerGrades+'!$AI$13,"D+",IF(T379&lt;'PlayerGrades+'!$AI$12,"C-",IF(T379&lt;'PlayerGrades+'!$AI$11,"C",IF(T379&lt;'PlayerGrades+'!$AI$10,"C+",IF(T379&lt;'PlayerGrades+'!$AI$9,"B-",IF(T379&lt;'PlayerGrades+'!$AI$8,"B",IF(T379&lt;'PlayerGrades+'!$AI$7,"B+",IF(T379&lt;'PlayerGrades+'!$AI$6,"A-",IF(T379&lt;'PlayerGrades+'!$AI$5,"A",IF(T379&lt;'PlayerGrades+'!$AI$4,"A+",IF(T379&lt;'PlayerGrades+'!$AI$3,"S-",IF(T379&lt;'PlayerGrades+'!$AI$2,"S","S+"))))))))))))))))))))</f>
        <v>F-</v>
      </c>
      <c r="AC379" s="1392"/>
    </row>
    <row r="380">
      <c r="A380" s="1391"/>
      <c r="B380" s="611" t="str">
        <f>IF(C380&lt;'PlayerGrades+'!$Y$44,"F-",IF(C380&lt;'PlayerGrades+'!$Y$43,"F",IF(C380&lt;'PlayerGrades+'!$Y$42,"F+",IF(C380&lt;'PlayerGrades+'!$Y$41,"E-",IF(C380&lt;'PlayerGrades+'!$Y$40,"E",IF(C380&lt;'PlayerGrades+'!$Y$39,"E+",IF(C380&lt;'PlayerGrades+'!$Y$38,"D-",IF(C380&lt;'PlayerGrades+'!$Y$37,"D",IF(C380&lt;'PlayerGrades+'!$Y$36,"D+",IF(C380&lt;'PlayerGrades+'!$Y$35,"C-",IF(C380&lt;'PlayerGrades+'!$Y$34,"C",IF(C380&lt;'PlayerGrades+'!$Y$33,"C+",IF(C380&lt;'PlayerGrades+'!$Y$32,"B-",IF(C380&lt;'PlayerGrades+'!$Y$31,"B",IF(C380&lt;'PlayerGrades+'!$Y$30,"B+",IF(C380&lt;'PlayerGrades+'!$Y$29,"A-",IF(C380&lt;'PlayerGrades+'!$Y$28,"A",IF(C380&lt;'PlayerGrades+'!$Y$27,"A+",IF(C380&lt;'PlayerGrades+'!$Y$26,"S-",IF(C380&lt;'PlayerGrades+'!$Y$25,"S","S+"))))))))))))))))))))</f>
        <v>#DIV/0!</v>
      </c>
      <c r="C380" s="1378" t="str">
        <f>('PlayerGrades+'!$Y$47*(VLOOKUP(E380, 'PlayerGrades+'!$X$3:$Y$23, 2, FALSE)))+('PlayerGrades+'!$Y$48*(VLOOKUP(G380, 'PlayerGrades+'!$X$3:$Y$23, 2, FALSE)))+('PlayerGrades+'!$Y$49*(VLOOKUP(I380, 'PlayerGrades+'!$X$3:$Y$23, 2, FALSE)))+('PlayerGrades+'!$Y$50*(VLOOKUP(K380, 'PlayerGrades+'!$X$3:$Y$23, 2, FALSE)))+('PlayerGrades+'!$Y$51*(VLOOKUP(M380, 'PlayerGrades+'!$X$3:$Y$23, 2, FALSE)))+('PlayerGrades+'!$Y$52*(VLOOKUP(O380, 'PlayerGrades+'!$X$3:$Y$23, 2, FALSE)))+('PlayerGrades+'!$Y$53*(VLOOKUP(Q380, 'PlayerGrades+'!$X$3:$Y$23, 2, FALSE)))+('PlayerGrades+'!$Y$54*(VLOOKUP(S380, 'PlayerGrades+'!$X$3:$Y$23, 2, FALSE)))+('PlayerGrades+'!$Y$55*(VLOOKUP(U380, 'PlayerGrades+'!$X$3:$Y$23, 2, FALSE)))</f>
        <v>#DIV/0!</v>
      </c>
      <c r="D380" s="961" t="str">
        <f t="shared" si="1"/>
        <v>#DIV/0!</v>
      </c>
      <c r="E380" s="961" t="str">
        <f>IF(D380&lt;'PlayerGrades+'!$AA$21,"F-",IF(D380&lt;'PlayerGrades+'!$AA$20,"F",IF(D380&lt;'PlayerGrades+'!$AA$19,"F+",IF(D380&lt;'PlayerGrades+'!$AA$18,"E-",IF(D380&lt;'PlayerGrades+'!$AA$17,"E",IF(D380&lt;'PlayerGrades+'!$AA$16,"E+",IF(D380&lt;'PlayerGrades+'!$AA$15,"D-",IF(D380&lt;'PlayerGrades+'!$AA$14,"D",IF(D380&lt;'PlayerGrades+'!$AA$13,"D+",IF(D380&lt;'PlayerGrades+'!$AA$12,"C-",IF(D380&lt;'PlayerGrades+'!$AA$11,"C",IF(D380&lt;'PlayerGrades+'!$AA$10,"C+",IF(D380&lt;'PlayerGrades+'!$AA$9,"B-",IF(D380&lt;'PlayerGrades+'!$AA$8,"B",IF(D380&lt;'PlayerGrades+'!$AA$7,"B+",IF(D380&lt;'PlayerGrades+'!$AA$6,"A-",IF(D380&lt;'PlayerGrades+'!$AA$5,"A",IF(D380&lt;'PlayerGrades+'!$AA$4,"A+",IF(D380&lt;'PlayerGrades+'!$AA$3,"S-",IF(D380&lt;'PlayerGrades+'!$AA$2,"S","S+"))))))))))))))))))))</f>
        <v>#DIV/0!</v>
      </c>
      <c r="F380" s="961" t="str">
        <f t="shared" si="2"/>
        <v>#DIV/0!</v>
      </c>
      <c r="G380" s="961" t="str">
        <f>IF(F380&lt;'PlayerGrades+'!$AB$21,"F-",IF(F380&lt;'PlayerGrades+'!$AB$20,"F",IF(F380&lt;'PlayerGrades+'!$AB$19,"F+",IF(F380&lt;'PlayerGrades+'!$AB$18,"E-",IF(F380&lt;'PlayerGrades+'!$AB$17,"E",IF(F380&lt;'PlayerGrades+'!$AB$16,"E+",IF(F380&lt;'PlayerGrades+'!$AB$15,"D-",IF(F380&lt;'PlayerGrades+'!$AB$14,"D",IF(F380&lt;'PlayerGrades+'!$AB$13,"D+",IF(F380&lt;'PlayerGrades+'!$AB$12,"C-",IF(F380&lt;'PlayerGrades+'!$AB$11,"C",IF(F380&lt;'PlayerGrades+'!$AB$10,"C+",IF(F380&lt;'PlayerGrades+'!$AB$9,"B-",IF(F380&lt;'PlayerGrades+'!$AB$8,"B",IF(F380&lt;'PlayerGrades+'!$AB$7,"B+",IF(F380&lt;'PlayerGrades+'!$AB$6,"A-",IF(F380&lt;'PlayerGrades+'!$AB$5,"A",IF(F380&lt;'PlayerGrades+'!$AB$4,"A+",IF(F380&lt;'PlayerGrades+'!$AB$3,"S-",IF(F380&lt;'PlayerGrades+'!$AB$2,"S","S+"))))))))))))))))))))</f>
        <v>#DIV/0!</v>
      </c>
      <c r="H380" s="961" t="str">
        <f t="shared" si="3"/>
        <v>#DIV/0!</v>
      </c>
      <c r="I380" s="961" t="str">
        <f>IF(H380&lt;'PlayerGrades+'!$AC$21,"F-",IF(H380&lt;'PlayerGrades+'!$AC$20,"F",IF(H380&lt;'PlayerGrades+'!$AC$19,"F+",IF(H380&lt;'PlayerGrades+'!$AC$18,"E-",IF(H380&lt;'PlayerGrades+'!$AC$17,"E",IF(H380&lt;'PlayerGrades+'!$AC$16,"E+",IF(H380&lt;'PlayerGrades+'!$AC$15,"D-",IF(H380&lt;'PlayerGrades+'!$AC$14,"D",IF(H380&lt;'PlayerGrades+'!$AC$13,"D+",IF(H380&lt;'PlayerGrades+'!$AC$12,"C-",IF(H380&lt;'PlayerGrades+'!$AC$11,"C",IF(H380&lt;'PlayerGrades+'!$AC$10,"C+",IF(H380&lt;'PlayerGrades+'!$AC$9,"B-",IF(H380&lt;'PlayerGrades+'!$AC$8,"B",IF(H380&lt;'PlayerGrades+'!$AC$7,"B+",IF(H380&lt;'PlayerGrades+'!$AC$6,"A-",IF(H380&lt;'PlayerGrades+'!$AC$5,"A",IF(H380&lt;'PlayerGrades+'!$AC$4,"A+",IF(H380&lt;'PlayerGrades+'!$AC$3,"S-",IF(H380&lt;'PlayerGrades+'!$AC$2,"S","S+"))))))))))))))))))))</f>
        <v>#DIV/0!</v>
      </c>
      <c r="J380" s="961" t="str">
        <f t="shared" si="4"/>
        <v>#DIV/0!</v>
      </c>
      <c r="K380" s="961" t="str">
        <f>IF(J380&lt;'PlayerGrades+'!$AD$21,"F-",IF(J380&lt;'PlayerGrades+'!$AD$20,"F",IF(J380&lt;'PlayerGrades+'!$AD$19,"F+",IF(J380&lt;'PlayerGrades+'!$AD$18,"E-",IF(J380&lt;'PlayerGrades+'!$AD$17,"E",IF(J380&lt;'PlayerGrades+'!$AD$16,"E+",IF(J380&lt;'PlayerGrades+'!$AD$15,"D-",IF(J380&lt;'PlayerGrades+'!$AD$14,"D",IF(J380&lt;'PlayerGrades+'!$AD$13,"D+",IF(J380&lt;'PlayerGrades+'!$AD$12,"C-",IF(J380&lt;'PlayerGrades+'!$AD$11,"C",IF(J380&lt;'PlayerGrades+'!$AD$10,"C+",IF(J380&lt;'PlayerGrades+'!$AD$9,"B-",IF(J380&lt;'PlayerGrades+'!$AD$8,"B",IF(J380&lt;'PlayerGrades+'!$AD$7,"B+",IF(J380&lt;'PlayerGrades+'!$AD$6,"A-",IF(J380&lt;'PlayerGrades+'!$AD$5,"A",IF(J380&lt;'PlayerGrades+'!$AD$4,"A+",IF(J380&lt;'PlayerGrades+'!$AD$3,"S-",IF(J380&lt;'PlayerGrades+'!$AD$2,"S","S+"))))))))))))))))))))</f>
        <v>#DIV/0!</v>
      </c>
      <c r="L380" s="1176" t="str">
        <f t="shared" si="5"/>
        <v>#DIV/0!</v>
      </c>
      <c r="M380" s="992" t="str">
        <f>IF(L380&lt;'PlayerGrades+'!$AE$21,"F-",IF(L380&lt;'PlayerGrades+'!$AE$20,"F",IF(L380&lt;'PlayerGrades+'!$AE$19,"F+",IF(L380&lt;'PlayerGrades+'!$AE$18,"E-",IF(L380&lt;'PlayerGrades+'!$AE$17,"E",IF(L380&lt;'PlayerGrades+'!$AE$16,"E+",IF(L380&lt;'PlayerGrades+'!$AE$15,"D-",IF(L380&lt;'PlayerGrades+'!$AE$14,"D",IF(L380&lt;'PlayerGrades+'!$AE$13,"D+",IF(L380&lt;'PlayerGrades+'!$AE$12,"C-",IF(L380&lt;'PlayerGrades+'!$AE$11,"C",IF(L380&lt;'PlayerGrades+'!$AE$10,"C+",IF(L380&lt;'PlayerGrades+'!$AE$9,"B-",IF(L380&lt;'PlayerGrades+'!$AE$8,"B",IF(L380&lt;'PlayerGrades+'!$AE$7,"B+",IF(L380&lt;'PlayerGrades+'!$AE$6,"A-",IF(L380&lt;'PlayerGrades+'!$AE$5,"A",IF(L380&lt;'PlayerGrades+'!$AE$4,"A+",IF(L380&lt;'PlayerGrades+'!$AE$3,"S-",IF(L380&lt;'PlayerGrades+'!$AE$2,"S","S+"))))))))))))))))))))</f>
        <v>#DIV/0!</v>
      </c>
      <c r="N380" s="961" t="str">
        <f t="shared" si="6"/>
        <v>#DIV/0!</v>
      </c>
      <c r="O380" s="961" t="str">
        <f>IF(N380&lt;'PlayerGrades+'!$AF$21,"F-",IF(N380&lt;'PlayerGrades+'!$AF$20,"F",IF(N380&lt;'PlayerGrades+'!$AF$19,"F+",IF(N380&lt;'PlayerGrades+'!$AF$18,"E-",IF(N380&lt;'PlayerGrades+'!$AF$17,"E",IF(N380&lt;'PlayerGrades+'!$AF$16,"E+",IF(N380&lt;'PlayerGrades+'!$AF$15,"D-",IF(N380&lt;'PlayerGrades+'!$AF$14,"D",IF(N380&lt;'PlayerGrades+'!$AF$13,"D+",IF(N380&lt;'PlayerGrades+'!$AF$12,"C-",IF(N380&lt;'PlayerGrades+'!$AF$11,"C",IF(N380&lt;'PlayerGrades+'!$AF$10,"C+",IF(N380&lt;'PlayerGrades+'!$AF$9,"B-",IF(N380&lt;'PlayerGrades+'!$AF$8,"B",IF(N380&lt;'PlayerGrades+'!$AF$7,"B+",IF(N380&lt;'PlayerGrades+'!$AF$6,"A-",IF(N380&lt;'PlayerGrades+'!$AF$5,"A",IF(N380&lt;'PlayerGrades+'!$AF$4,"A+",IF(N380&lt;'PlayerGrades+'!$AF$3,"S-",IF(N380&lt;'PlayerGrades+'!$AF$2,"S","S+"))))))))))))))))))))</f>
        <v>#DIV/0!</v>
      </c>
      <c r="P380" s="961" t="str">
        <f t="shared" si="7"/>
        <v>#DIV/0!</v>
      </c>
      <c r="Q380" s="961" t="str">
        <f>IF(P380&lt;'PlayerGrades+'!$AG$21,"F-",IF(P380&lt;'PlayerGrades+'!$AG$20,"F",IF(P380&lt;'PlayerGrades+'!$AG$19,"F+",IF(P380&lt;'PlayerGrades+'!$AG$18,"E-",IF(P380&lt;'PlayerGrades+'!$AG$17,"E",IF(P380&lt;'PlayerGrades+'!$AG$16,"E+",IF(P380&lt;'PlayerGrades+'!$AG$15,"D-",IF(P380&lt;'PlayerGrades+'!$AG$14,"D",IF(P380&lt;'PlayerGrades+'!$AG$13,"D+",IF(P380&lt;'PlayerGrades+'!$AG$12,"C-",IF(P380&lt;'PlayerGrades+'!$AG$11,"C",IF(P380&lt;'PlayerGrades+'!$AG$10,"C+",IF(P380&lt;'PlayerGrades+'!$AG$9,"B-",IF(P380&lt;'PlayerGrades+'!$AG$8,"B",IF(P380&lt;'PlayerGrades+'!$AG$7,"B+",IF(P380&lt;'PlayerGrades+'!$AG$6,"A-",IF(P380&lt;'PlayerGrades+'!$AG$5,"A",IF(P380&lt;'PlayerGrades+'!$AG$4,"A+",IF(P380&lt;'PlayerGrades+'!$AG$3,"S-",IF(P380&lt;'PlayerGrades+'!$AG$2,"S","S+"))))))))))))))))))))</f>
        <v>#DIV/0!</v>
      </c>
      <c r="R380" s="961" t="str">
        <f t="shared" si="8"/>
        <v>#DIV/0!</v>
      </c>
      <c r="S380" s="961" t="str">
        <f>IF(R380&lt;'PlayerGrades+'!$AH$21,"F-",IF(R380&lt;'PlayerGrades+'!$AH$20,"F",IF(R380&lt;'PlayerGrades+'!$AH$19,"F+",IF(R380&lt;'PlayerGrades+'!$AH$18,"E-",IF(R380&lt;'PlayerGrades+'!$AH$17,"E",IF(R380&lt;'PlayerGrades+'!$AH$16,"E+",IF(R380&lt;'PlayerGrades+'!$AH$15,"D-",IF(R380&lt;'PlayerGrades+'!$AH$14,"D",IF(R380&lt;'PlayerGrades+'!$AH$13,"D+",IF(R380&lt;'PlayerGrades+'!$AH$12,"C-",IF(R380&lt;'PlayerGrades+'!$AH$11,"C",IF(R380&lt;'PlayerGrades+'!$AH$10,"C+",IF(R380&lt;'PlayerGrades+'!$AH$9,"B-",IF(R380&lt;'PlayerGrades+'!$AH$8,"B",IF(R380&lt;'PlayerGrades+'!$AH$7,"B+",IF(R380&lt;'PlayerGrades+'!$AH$6,"A-",IF(R380&lt;'PlayerGrades+'!$AH$5,"A",IF(R380&lt;'PlayerGrades+'!$AH$4,"A+",IF(R380&lt;'PlayerGrades+'!$AH$3,"S-",IF(R380&lt;'PlayerGrades+'!$AH$2,"S","S+"))))))))))))))))))))</f>
        <v>#DIV/0!</v>
      </c>
      <c r="T380" s="961">
        <f t="shared" si="9"/>
        <v>0</v>
      </c>
      <c r="U380" s="961" t="str">
        <f>IF(T380&lt;'PlayerGrades+'!$AI$21,"F-",IF(T380&lt;'PlayerGrades+'!$AI$20,"F",IF(T380&lt;'PlayerGrades+'!$AI$19,"F+",IF(T380&lt;'PlayerGrades+'!$AI$18,"E-",IF(T380&lt;'PlayerGrades+'!$AI$17,"E",IF(T380&lt;'PlayerGrades+'!$AI$16,"E+",IF(T380&lt;'PlayerGrades+'!$AI$15,"D-",IF(T380&lt;'PlayerGrades+'!$AI$14,"D",IF(T380&lt;'PlayerGrades+'!$AI$13,"D+",IF(T380&lt;'PlayerGrades+'!$AI$12,"C-",IF(T380&lt;'PlayerGrades+'!$AI$11,"C",IF(T380&lt;'PlayerGrades+'!$AI$10,"C+",IF(T380&lt;'PlayerGrades+'!$AI$9,"B-",IF(T380&lt;'PlayerGrades+'!$AI$8,"B",IF(T380&lt;'PlayerGrades+'!$AI$7,"B+",IF(T380&lt;'PlayerGrades+'!$AI$6,"A-",IF(T380&lt;'PlayerGrades+'!$AI$5,"A",IF(T380&lt;'PlayerGrades+'!$AI$4,"A+",IF(T380&lt;'PlayerGrades+'!$AI$3,"S-",IF(T380&lt;'PlayerGrades+'!$AI$2,"S","S+"))))))))))))))))))))</f>
        <v>F-</v>
      </c>
      <c r="AC380" s="1392"/>
    </row>
    <row r="381">
      <c r="A381" s="1391"/>
      <c r="B381" s="611" t="str">
        <f>IF(C381&lt;'PlayerGrades+'!$Y$44,"F-",IF(C381&lt;'PlayerGrades+'!$Y$43,"F",IF(C381&lt;'PlayerGrades+'!$Y$42,"F+",IF(C381&lt;'PlayerGrades+'!$Y$41,"E-",IF(C381&lt;'PlayerGrades+'!$Y$40,"E",IF(C381&lt;'PlayerGrades+'!$Y$39,"E+",IF(C381&lt;'PlayerGrades+'!$Y$38,"D-",IF(C381&lt;'PlayerGrades+'!$Y$37,"D",IF(C381&lt;'PlayerGrades+'!$Y$36,"D+",IF(C381&lt;'PlayerGrades+'!$Y$35,"C-",IF(C381&lt;'PlayerGrades+'!$Y$34,"C",IF(C381&lt;'PlayerGrades+'!$Y$33,"C+",IF(C381&lt;'PlayerGrades+'!$Y$32,"B-",IF(C381&lt;'PlayerGrades+'!$Y$31,"B",IF(C381&lt;'PlayerGrades+'!$Y$30,"B+",IF(C381&lt;'PlayerGrades+'!$Y$29,"A-",IF(C381&lt;'PlayerGrades+'!$Y$28,"A",IF(C381&lt;'PlayerGrades+'!$Y$27,"A+",IF(C381&lt;'PlayerGrades+'!$Y$26,"S-",IF(C381&lt;'PlayerGrades+'!$Y$25,"S","S+"))))))))))))))))))))</f>
        <v>#DIV/0!</v>
      </c>
      <c r="C381" s="1378" t="str">
        <f>('PlayerGrades+'!$Y$47*(VLOOKUP(E381, 'PlayerGrades+'!$X$3:$Y$23, 2, FALSE)))+('PlayerGrades+'!$Y$48*(VLOOKUP(G381, 'PlayerGrades+'!$X$3:$Y$23, 2, FALSE)))+('PlayerGrades+'!$Y$49*(VLOOKUP(I381, 'PlayerGrades+'!$X$3:$Y$23, 2, FALSE)))+('PlayerGrades+'!$Y$50*(VLOOKUP(K381, 'PlayerGrades+'!$X$3:$Y$23, 2, FALSE)))+('PlayerGrades+'!$Y$51*(VLOOKUP(M381, 'PlayerGrades+'!$X$3:$Y$23, 2, FALSE)))+('PlayerGrades+'!$Y$52*(VLOOKUP(O381, 'PlayerGrades+'!$X$3:$Y$23, 2, FALSE)))+('PlayerGrades+'!$Y$53*(VLOOKUP(Q381, 'PlayerGrades+'!$X$3:$Y$23, 2, FALSE)))+('PlayerGrades+'!$Y$54*(VLOOKUP(S381, 'PlayerGrades+'!$X$3:$Y$23, 2, FALSE)))+('PlayerGrades+'!$Y$55*(VLOOKUP(U381, 'PlayerGrades+'!$X$3:$Y$23, 2, FALSE)))</f>
        <v>#DIV/0!</v>
      </c>
      <c r="D381" s="961" t="str">
        <f t="shared" si="1"/>
        <v>#DIV/0!</v>
      </c>
      <c r="E381" s="961" t="str">
        <f>IF(D381&lt;'PlayerGrades+'!$AA$21,"F-",IF(D381&lt;'PlayerGrades+'!$AA$20,"F",IF(D381&lt;'PlayerGrades+'!$AA$19,"F+",IF(D381&lt;'PlayerGrades+'!$AA$18,"E-",IF(D381&lt;'PlayerGrades+'!$AA$17,"E",IF(D381&lt;'PlayerGrades+'!$AA$16,"E+",IF(D381&lt;'PlayerGrades+'!$AA$15,"D-",IF(D381&lt;'PlayerGrades+'!$AA$14,"D",IF(D381&lt;'PlayerGrades+'!$AA$13,"D+",IF(D381&lt;'PlayerGrades+'!$AA$12,"C-",IF(D381&lt;'PlayerGrades+'!$AA$11,"C",IF(D381&lt;'PlayerGrades+'!$AA$10,"C+",IF(D381&lt;'PlayerGrades+'!$AA$9,"B-",IF(D381&lt;'PlayerGrades+'!$AA$8,"B",IF(D381&lt;'PlayerGrades+'!$AA$7,"B+",IF(D381&lt;'PlayerGrades+'!$AA$6,"A-",IF(D381&lt;'PlayerGrades+'!$AA$5,"A",IF(D381&lt;'PlayerGrades+'!$AA$4,"A+",IF(D381&lt;'PlayerGrades+'!$AA$3,"S-",IF(D381&lt;'PlayerGrades+'!$AA$2,"S","S+"))))))))))))))))))))</f>
        <v>#DIV/0!</v>
      </c>
      <c r="F381" s="961" t="str">
        <f t="shared" si="2"/>
        <v>#DIV/0!</v>
      </c>
      <c r="G381" s="961" t="str">
        <f>IF(F381&lt;'PlayerGrades+'!$AB$21,"F-",IF(F381&lt;'PlayerGrades+'!$AB$20,"F",IF(F381&lt;'PlayerGrades+'!$AB$19,"F+",IF(F381&lt;'PlayerGrades+'!$AB$18,"E-",IF(F381&lt;'PlayerGrades+'!$AB$17,"E",IF(F381&lt;'PlayerGrades+'!$AB$16,"E+",IF(F381&lt;'PlayerGrades+'!$AB$15,"D-",IF(F381&lt;'PlayerGrades+'!$AB$14,"D",IF(F381&lt;'PlayerGrades+'!$AB$13,"D+",IF(F381&lt;'PlayerGrades+'!$AB$12,"C-",IF(F381&lt;'PlayerGrades+'!$AB$11,"C",IF(F381&lt;'PlayerGrades+'!$AB$10,"C+",IF(F381&lt;'PlayerGrades+'!$AB$9,"B-",IF(F381&lt;'PlayerGrades+'!$AB$8,"B",IF(F381&lt;'PlayerGrades+'!$AB$7,"B+",IF(F381&lt;'PlayerGrades+'!$AB$6,"A-",IF(F381&lt;'PlayerGrades+'!$AB$5,"A",IF(F381&lt;'PlayerGrades+'!$AB$4,"A+",IF(F381&lt;'PlayerGrades+'!$AB$3,"S-",IF(F381&lt;'PlayerGrades+'!$AB$2,"S","S+"))))))))))))))))))))</f>
        <v>#DIV/0!</v>
      </c>
      <c r="H381" s="961" t="str">
        <f t="shared" si="3"/>
        <v>#DIV/0!</v>
      </c>
      <c r="I381" s="961" t="str">
        <f>IF(H381&lt;'PlayerGrades+'!$AC$21,"F-",IF(H381&lt;'PlayerGrades+'!$AC$20,"F",IF(H381&lt;'PlayerGrades+'!$AC$19,"F+",IF(H381&lt;'PlayerGrades+'!$AC$18,"E-",IF(H381&lt;'PlayerGrades+'!$AC$17,"E",IF(H381&lt;'PlayerGrades+'!$AC$16,"E+",IF(H381&lt;'PlayerGrades+'!$AC$15,"D-",IF(H381&lt;'PlayerGrades+'!$AC$14,"D",IF(H381&lt;'PlayerGrades+'!$AC$13,"D+",IF(H381&lt;'PlayerGrades+'!$AC$12,"C-",IF(H381&lt;'PlayerGrades+'!$AC$11,"C",IF(H381&lt;'PlayerGrades+'!$AC$10,"C+",IF(H381&lt;'PlayerGrades+'!$AC$9,"B-",IF(H381&lt;'PlayerGrades+'!$AC$8,"B",IF(H381&lt;'PlayerGrades+'!$AC$7,"B+",IF(H381&lt;'PlayerGrades+'!$AC$6,"A-",IF(H381&lt;'PlayerGrades+'!$AC$5,"A",IF(H381&lt;'PlayerGrades+'!$AC$4,"A+",IF(H381&lt;'PlayerGrades+'!$AC$3,"S-",IF(H381&lt;'PlayerGrades+'!$AC$2,"S","S+"))))))))))))))))))))</f>
        <v>#DIV/0!</v>
      </c>
      <c r="J381" s="961" t="str">
        <f t="shared" si="4"/>
        <v>#DIV/0!</v>
      </c>
      <c r="K381" s="961" t="str">
        <f>IF(J381&lt;'PlayerGrades+'!$AD$21,"F-",IF(J381&lt;'PlayerGrades+'!$AD$20,"F",IF(J381&lt;'PlayerGrades+'!$AD$19,"F+",IF(J381&lt;'PlayerGrades+'!$AD$18,"E-",IF(J381&lt;'PlayerGrades+'!$AD$17,"E",IF(J381&lt;'PlayerGrades+'!$AD$16,"E+",IF(J381&lt;'PlayerGrades+'!$AD$15,"D-",IF(J381&lt;'PlayerGrades+'!$AD$14,"D",IF(J381&lt;'PlayerGrades+'!$AD$13,"D+",IF(J381&lt;'PlayerGrades+'!$AD$12,"C-",IF(J381&lt;'PlayerGrades+'!$AD$11,"C",IF(J381&lt;'PlayerGrades+'!$AD$10,"C+",IF(J381&lt;'PlayerGrades+'!$AD$9,"B-",IF(J381&lt;'PlayerGrades+'!$AD$8,"B",IF(J381&lt;'PlayerGrades+'!$AD$7,"B+",IF(J381&lt;'PlayerGrades+'!$AD$6,"A-",IF(J381&lt;'PlayerGrades+'!$AD$5,"A",IF(J381&lt;'PlayerGrades+'!$AD$4,"A+",IF(J381&lt;'PlayerGrades+'!$AD$3,"S-",IF(J381&lt;'PlayerGrades+'!$AD$2,"S","S+"))))))))))))))))))))</f>
        <v>#DIV/0!</v>
      </c>
      <c r="L381" s="1176" t="str">
        <f t="shared" si="5"/>
        <v>#DIV/0!</v>
      </c>
      <c r="M381" s="992" t="str">
        <f>IF(L381&lt;'PlayerGrades+'!$AE$21,"F-",IF(L381&lt;'PlayerGrades+'!$AE$20,"F",IF(L381&lt;'PlayerGrades+'!$AE$19,"F+",IF(L381&lt;'PlayerGrades+'!$AE$18,"E-",IF(L381&lt;'PlayerGrades+'!$AE$17,"E",IF(L381&lt;'PlayerGrades+'!$AE$16,"E+",IF(L381&lt;'PlayerGrades+'!$AE$15,"D-",IF(L381&lt;'PlayerGrades+'!$AE$14,"D",IF(L381&lt;'PlayerGrades+'!$AE$13,"D+",IF(L381&lt;'PlayerGrades+'!$AE$12,"C-",IF(L381&lt;'PlayerGrades+'!$AE$11,"C",IF(L381&lt;'PlayerGrades+'!$AE$10,"C+",IF(L381&lt;'PlayerGrades+'!$AE$9,"B-",IF(L381&lt;'PlayerGrades+'!$AE$8,"B",IF(L381&lt;'PlayerGrades+'!$AE$7,"B+",IF(L381&lt;'PlayerGrades+'!$AE$6,"A-",IF(L381&lt;'PlayerGrades+'!$AE$5,"A",IF(L381&lt;'PlayerGrades+'!$AE$4,"A+",IF(L381&lt;'PlayerGrades+'!$AE$3,"S-",IF(L381&lt;'PlayerGrades+'!$AE$2,"S","S+"))))))))))))))))))))</f>
        <v>#DIV/0!</v>
      </c>
      <c r="N381" s="961" t="str">
        <f t="shared" si="6"/>
        <v>#DIV/0!</v>
      </c>
      <c r="O381" s="961" t="str">
        <f>IF(N381&lt;'PlayerGrades+'!$AF$21,"F-",IF(N381&lt;'PlayerGrades+'!$AF$20,"F",IF(N381&lt;'PlayerGrades+'!$AF$19,"F+",IF(N381&lt;'PlayerGrades+'!$AF$18,"E-",IF(N381&lt;'PlayerGrades+'!$AF$17,"E",IF(N381&lt;'PlayerGrades+'!$AF$16,"E+",IF(N381&lt;'PlayerGrades+'!$AF$15,"D-",IF(N381&lt;'PlayerGrades+'!$AF$14,"D",IF(N381&lt;'PlayerGrades+'!$AF$13,"D+",IF(N381&lt;'PlayerGrades+'!$AF$12,"C-",IF(N381&lt;'PlayerGrades+'!$AF$11,"C",IF(N381&lt;'PlayerGrades+'!$AF$10,"C+",IF(N381&lt;'PlayerGrades+'!$AF$9,"B-",IF(N381&lt;'PlayerGrades+'!$AF$8,"B",IF(N381&lt;'PlayerGrades+'!$AF$7,"B+",IF(N381&lt;'PlayerGrades+'!$AF$6,"A-",IF(N381&lt;'PlayerGrades+'!$AF$5,"A",IF(N381&lt;'PlayerGrades+'!$AF$4,"A+",IF(N381&lt;'PlayerGrades+'!$AF$3,"S-",IF(N381&lt;'PlayerGrades+'!$AF$2,"S","S+"))))))))))))))))))))</f>
        <v>#DIV/0!</v>
      </c>
      <c r="P381" s="961" t="str">
        <f t="shared" si="7"/>
        <v>#DIV/0!</v>
      </c>
      <c r="Q381" s="961" t="str">
        <f>IF(P381&lt;'PlayerGrades+'!$AG$21,"F-",IF(P381&lt;'PlayerGrades+'!$AG$20,"F",IF(P381&lt;'PlayerGrades+'!$AG$19,"F+",IF(P381&lt;'PlayerGrades+'!$AG$18,"E-",IF(P381&lt;'PlayerGrades+'!$AG$17,"E",IF(P381&lt;'PlayerGrades+'!$AG$16,"E+",IF(P381&lt;'PlayerGrades+'!$AG$15,"D-",IF(P381&lt;'PlayerGrades+'!$AG$14,"D",IF(P381&lt;'PlayerGrades+'!$AG$13,"D+",IF(P381&lt;'PlayerGrades+'!$AG$12,"C-",IF(P381&lt;'PlayerGrades+'!$AG$11,"C",IF(P381&lt;'PlayerGrades+'!$AG$10,"C+",IF(P381&lt;'PlayerGrades+'!$AG$9,"B-",IF(P381&lt;'PlayerGrades+'!$AG$8,"B",IF(P381&lt;'PlayerGrades+'!$AG$7,"B+",IF(P381&lt;'PlayerGrades+'!$AG$6,"A-",IF(P381&lt;'PlayerGrades+'!$AG$5,"A",IF(P381&lt;'PlayerGrades+'!$AG$4,"A+",IF(P381&lt;'PlayerGrades+'!$AG$3,"S-",IF(P381&lt;'PlayerGrades+'!$AG$2,"S","S+"))))))))))))))))))))</f>
        <v>#DIV/0!</v>
      </c>
      <c r="R381" s="961" t="str">
        <f t="shared" si="8"/>
        <v>#DIV/0!</v>
      </c>
      <c r="S381" s="961" t="str">
        <f>IF(R381&lt;'PlayerGrades+'!$AH$21,"F-",IF(R381&lt;'PlayerGrades+'!$AH$20,"F",IF(R381&lt;'PlayerGrades+'!$AH$19,"F+",IF(R381&lt;'PlayerGrades+'!$AH$18,"E-",IF(R381&lt;'PlayerGrades+'!$AH$17,"E",IF(R381&lt;'PlayerGrades+'!$AH$16,"E+",IF(R381&lt;'PlayerGrades+'!$AH$15,"D-",IF(R381&lt;'PlayerGrades+'!$AH$14,"D",IF(R381&lt;'PlayerGrades+'!$AH$13,"D+",IF(R381&lt;'PlayerGrades+'!$AH$12,"C-",IF(R381&lt;'PlayerGrades+'!$AH$11,"C",IF(R381&lt;'PlayerGrades+'!$AH$10,"C+",IF(R381&lt;'PlayerGrades+'!$AH$9,"B-",IF(R381&lt;'PlayerGrades+'!$AH$8,"B",IF(R381&lt;'PlayerGrades+'!$AH$7,"B+",IF(R381&lt;'PlayerGrades+'!$AH$6,"A-",IF(R381&lt;'PlayerGrades+'!$AH$5,"A",IF(R381&lt;'PlayerGrades+'!$AH$4,"A+",IF(R381&lt;'PlayerGrades+'!$AH$3,"S-",IF(R381&lt;'PlayerGrades+'!$AH$2,"S","S+"))))))))))))))))))))</f>
        <v>#DIV/0!</v>
      </c>
      <c r="T381" s="961">
        <f t="shared" si="9"/>
        <v>0</v>
      </c>
      <c r="U381" s="961" t="str">
        <f>IF(T381&lt;'PlayerGrades+'!$AI$21,"F-",IF(T381&lt;'PlayerGrades+'!$AI$20,"F",IF(T381&lt;'PlayerGrades+'!$AI$19,"F+",IF(T381&lt;'PlayerGrades+'!$AI$18,"E-",IF(T381&lt;'PlayerGrades+'!$AI$17,"E",IF(T381&lt;'PlayerGrades+'!$AI$16,"E+",IF(T381&lt;'PlayerGrades+'!$AI$15,"D-",IF(T381&lt;'PlayerGrades+'!$AI$14,"D",IF(T381&lt;'PlayerGrades+'!$AI$13,"D+",IF(T381&lt;'PlayerGrades+'!$AI$12,"C-",IF(T381&lt;'PlayerGrades+'!$AI$11,"C",IF(T381&lt;'PlayerGrades+'!$AI$10,"C+",IF(T381&lt;'PlayerGrades+'!$AI$9,"B-",IF(T381&lt;'PlayerGrades+'!$AI$8,"B",IF(T381&lt;'PlayerGrades+'!$AI$7,"B+",IF(T381&lt;'PlayerGrades+'!$AI$6,"A-",IF(T381&lt;'PlayerGrades+'!$AI$5,"A",IF(T381&lt;'PlayerGrades+'!$AI$4,"A+",IF(T381&lt;'PlayerGrades+'!$AI$3,"S-",IF(T381&lt;'PlayerGrades+'!$AI$2,"S","S+"))))))))))))))))))))</f>
        <v>F-</v>
      </c>
      <c r="AC381" s="1392"/>
    </row>
    <row r="382">
      <c r="A382" s="1391"/>
      <c r="B382" s="611" t="str">
        <f>IF(C382&lt;'PlayerGrades+'!$Y$44,"F-",IF(C382&lt;'PlayerGrades+'!$Y$43,"F",IF(C382&lt;'PlayerGrades+'!$Y$42,"F+",IF(C382&lt;'PlayerGrades+'!$Y$41,"E-",IF(C382&lt;'PlayerGrades+'!$Y$40,"E",IF(C382&lt;'PlayerGrades+'!$Y$39,"E+",IF(C382&lt;'PlayerGrades+'!$Y$38,"D-",IF(C382&lt;'PlayerGrades+'!$Y$37,"D",IF(C382&lt;'PlayerGrades+'!$Y$36,"D+",IF(C382&lt;'PlayerGrades+'!$Y$35,"C-",IF(C382&lt;'PlayerGrades+'!$Y$34,"C",IF(C382&lt;'PlayerGrades+'!$Y$33,"C+",IF(C382&lt;'PlayerGrades+'!$Y$32,"B-",IF(C382&lt;'PlayerGrades+'!$Y$31,"B",IF(C382&lt;'PlayerGrades+'!$Y$30,"B+",IF(C382&lt;'PlayerGrades+'!$Y$29,"A-",IF(C382&lt;'PlayerGrades+'!$Y$28,"A",IF(C382&lt;'PlayerGrades+'!$Y$27,"A+",IF(C382&lt;'PlayerGrades+'!$Y$26,"S-",IF(C382&lt;'PlayerGrades+'!$Y$25,"S","S+"))))))))))))))))))))</f>
        <v>#DIV/0!</v>
      </c>
      <c r="C382" s="1378" t="str">
        <f>('PlayerGrades+'!$Y$47*(VLOOKUP(E382, 'PlayerGrades+'!$X$3:$Y$23, 2, FALSE)))+('PlayerGrades+'!$Y$48*(VLOOKUP(G382, 'PlayerGrades+'!$X$3:$Y$23, 2, FALSE)))+('PlayerGrades+'!$Y$49*(VLOOKUP(I382, 'PlayerGrades+'!$X$3:$Y$23, 2, FALSE)))+('PlayerGrades+'!$Y$50*(VLOOKUP(K382, 'PlayerGrades+'!$X$3:$Y$23, 2, FALSE)))+('PlayerGrades+'!$Y$51*(VLOOKUP(M382, 'PlayerGrades+'!$X$3:$Y$23, 2, FALSE)))+('PlayerGrades+'!$Y$52*(VLOOKUP(O382, 'PlayerGrades+'!$X$3:$Y$23, 2, FALSE)))+('PlayerGrades+'!$Y$53*(VLOOKUP(Q382, 'PlayerGrades+'!$X$3:$Y$23, 2, FALSE)))+('PlayerGrades+'!$Y$54*(VLOOKUP(S382, 'PlayerGrades+'!$X$3:$Y$23, 2, FALSE)))+('PlayerGrades+'!$Y$55*(VLOOKUP(U382, 'PlayerGrades+'!$X$3:$Y$23, 2, FALSE)))</f>
        <v>#DIV/0!</v>
      </c>
      <c r="D382" s="961" t="str">
        <f t="shared" si="1"/>
        <v>#DIV/0!</v>
      </c>
      <c r="E382" s="961" t="str">
        <f>IF(D382&lt;'PlayerGrades+'!$AA$21,"F-",IF(D382&lt;'PlayerGrades+'!$AA$20,"F",IF(D382&lt;'PlayerGrades+'!$AA$19,"F+",IF(D382&lt;'PlayerGrades+'!$AA$18,"E-",IF(D382&lt;'PlayerGrades+'!$AA$17,"E",IF(D382&lt;'PlayerGrades+'!$AA$16,"E+",IF(D382&lt;'PlayerGrades+'!$AA$15,"D-",IF(D382&lt;'PlayerGrades+'!$AA$14,"D",IF(D382&lt;'PlayerGrades+'!$AA$13,"D+",IF(D382&lt;'PlayerGrades+'!$AA$12,"C-",IF(D382&lt;'PlayerGrades+'!$AA$11,"C",IF(D382&lt;'PlayerGrades+'!$AA$10,"C+",IF(D382&lt;'PlayerGrades+'!$AA$9,"B-",IF(D382&lt;'PlayerGrades+'!$AA$8,"B",IF(D382&lt;'PlayerGrades+'!$AA$7,"B+",IF(D382&lt;'PlayerGrades+'!$AA$6,"A-",IF(D382&lt;'PlayerGrades+'!$AA$5,"A",IF(D382&lt;'PlayerGrades+'!$AA$4,"A+",IF(D382&lt;'PlayerGrades+'!$AA$3,"S-",IF(D382&lt;'PlayerGrades+'!$AA$2,"S","S+"))))))))))))))))))))</f>
        <v>#DIV/0!</v>
      </c>
      <c r="F382" s="961" t="str">
        <f t="shared" si="2"/>
        <v>#DIV/0!</v>
      </c>
      <c r="G382" s="961" t="str">
        <f>IF(F382&lt;'PlayerGrades+'!$AB$21,"F-",IF(F382&lt;'PlayerGrades+'!$AB$20,"F",IF(F382&lt;'PlayerGrades+'!$AB$19,"F+",IF(F382&lt;'PlayerGrades+'!$AB$18,"E-",IF(F382&lt;'PlayerGrades+'!$AB$17,"E",IF(F382&lt;'PlayerGrades+'!$AB$16,"E+",IF(F382&lt;'PlayerGrades+'!$AB$15,"D-",IF(F382&lt;'PlayerGrades+'!$AB$14,"D",IF(F382&lt;'PlayerGrades+'!$AB$13,"D+",IF(F382&lt;'PlayerGrades+'!$AB$12,"C-",IF(F382&lt;'PlayerGrades+'!$AB$11,"C",IF(F382&lt;'PlayerGrades+'!$AB$10,"C+",IF(F382&lt;'PlayerGrades+'!$AB$9,"B-",IF(F382&lt;'PlayerGrades+'!$AB$8,"B",IF(F382&lt;'PlayerGrades+'!$AB$7,"B+",IF(F382&lt;'PlayerGrades+'!$AB$6,"A-",IF(F382&lt;'PlayerGrades+'!$AB$5,"A",IF(F382&lt;'PlayerGrades+'!$AB$4,"A+",IF(F382&lt;'PlayerGrades+'!$AB$3,"S-",IF(F382&lt;'PlayerGrades+'!$AB$2,"S","S+"))))))))))))))))))))</f>
        <v>#DIV/0!</v>
      </c>
      <c r="H382" s="961" t="str">
        <f t="shared" si="3"/>
        <v>#DIV/0!</v>
      </c>
      <c r="I382" s="961" t="str">
        <f>IF(H382&lt;'PlayerGrades+'!$AC$21,"F-",IF(H382&lt;'PlayerGrades+'!$AC$20,"F",IF(H382&lt;'PlayerGrades+'!$AC$19,"F+",IF(H382&lt;'PlayerGrades+'!$AC$18,"E-",IF(H382&lt;'PlayerGrades+'!$AC$17,"E",IF(H382&lt;'PlayerGrades+'!$AC$16,"E+",IF(H382&lt;'PlayerGrades+'!$AC$15,"D-",IF(H382&lt;'PlayerGrades+'!$AC$14,"D",IF(H382&lt;'PlayerGrades+'!$AC$13,"D+",IF(H382&lt;'PlayerGrades+'!$AC$12,"C-",IF(H382&lt;'PlayerGrades+'!$AC$11,"C",IF(H382&lt;'PlayerGrades+'!$AC$10,"C+",IF(H382&lt;'PlayerGrades+'!$AC$9,"B-",IF(H382&lt;'PlayerGrades+'!$AC$8,"B",IF(H382&lt;'PlayerGrades+'!$AC$7,"B+",IF(H382&lt;'PlayerGrades+'!$AC$6,"A-",IF(H382&lt;'PlayerGrades+'!$AC$5,"A",IF(H382&lt;'PlayerGrades+'!$AC$4,"A+",IF(H382&lt;'PlayerGrades+'!$AC$3,"S-",IF(H382&lt;'PlayerGrades+'!$AC$2,"S","S+"))))))))))))))))))))</f>
        <v>#DIV/0!</v>
      </c>
      <c r="J382" s="961" t="str">
        <f t="shared" si="4"/>
        <v>#DIV/0!</v>
      </c>
      <c r="K382" s="961" t="str">
        <f>IF(J382&lt;'PlayerGrades+'!$AD$21,"F-",IF(J382&lt;'PlayerGrades+'!$AD$20,"F",IF(J382&lt;'PlayerGrades+'!$AD$19,"F+",IF(J382&lt;'PlayerGrades+'!$AD$18,"E-",IF(J382&lt;'PlayerGrades+'!$AD$17,"E",IF(J382&lt;'PlayerGrades+'!$AD$16,"E+",IF(J382&lt;'PlayerGrades+'!$AD$15,"D-",IF(J382&lt;'PlayerGrades+'!$AD$14,"D",IF(J382&lt;'PlayerGrades+'!$AD$13,"D+",IF(J382&lt;'PlayerGrades+'!$AD$12,"C-",IF(J382&lt;'PlayerGrades+'!$AD$11,"C",IF(J382&lt;'PlayerGrades+'!$AD$10,"C+",IF(J382&lt;'PlayerGrades+'!$AD$9,"B-",IF(J382&lt;'PlayerGrades+'!$AD$8,"B",IF(J382&lt;'PlayerGrades+'!$AD$7,"B+",IF(J382&lt;'PlayerGrades+'!$AD$6,"A-",IF(J382&lt;'PlayerGrades+'!$AD$5,"A",IF(J382&lt;'PlayerGrades+'!$AD$4,"A+",IF(J382&lt;'PlayerGrades+'!$AD$3,"S-",IF(J382&lt;'PlayerGrades+'!$AD$2,"S","S+"))))))))))))))))))))</f>
        <v>#DIV/0!</v>
      </c>
      <c r="L382" s="1176" t="str">
        <f t="shared" si="5"/>
        <v>#DIV/0!</v>
      </c>
      <c r="M382" s="992" t="str">
        <f>IF(L382&lt;'PlayerGrades+'!$AE$21,"F-",IF(L382&lt;'PlayerGrades+'!$AE$20,"F",IF(L382&lt;'PlayerGrades+'!$AE$19,"F+",IF(L382&lt;'PlayerGrades+'!$AE$18,"E-",IF(L382&lt;'PlayerGrades+'!$AE$17,"E",IF(L382&lt;'PlayerGrades+'!$AE$16,"E+",IF(L382&lt;'PlayerGrades+'!$AE$15,"D-",IF(L382&lt;'PlayerGrades+'!$AE$14,"D",IF(L382&lt;'PlayerGrades+'!$AE$13,"D+",IF(L382&lt;'PlayerGrades+'!$AE$12,"C-",IF(L382&lt;'PlayerGrades+'!$AE$11,"C",IF(L382&lt;'PlayerGrades+'!$AE$10,"C+",IF(L382&lt;'PlayerGrades+'!$AE$9,"B-",IF(L382&lt;'PlayerGrades+'!$AE$8,"B",IF(L382&lt;'PlayerGrades+'!$AE$7,"B+",IF(L382&lt;'PlayerGrades+'!$AE$6,"A-",IF(L382&lt;'PlayerGrades+'!$AE$5,"A",IF(L382&lt;'PlayerGrades+'!$AE$4,"A+",IF(L382&lt;'PlayerGrades+'!$AE$3,"S-",IF(L382&lt;'PlayerGrades+'!$AE$2,"S","S+"))))))))))))))))))))</f>
        <v>#DIV/0!</v>
      </c>
      <c r="N382" s="961" t="str">
        <f t="shared" si="6"/>
        <v>#DIV/0!</v>
      </c>
      <c r="O382" s="961" t="str">
        <f>IF(N382&lt;'PlayerGrades+'!$AF$21,"F-",IF(N382&lt;'PlayerGrades+'!$AF$20,"F",IF(N382&lt;'PlayerGrades+'!$AF$19,"F+",IF(N382&lt;'PlayerGrades+'!$AF$18,"E-",IF(N382&lt;'PlayerGrades+'!$AF$17,"E",IF(N382&lt;'PlayerGrades+'!$AF$16,"E+",IF(N382&lt;'PlayerGrades+'!$AF$15,"D-",IF(N382&lt;'PlayerGrades+'!$AF$14,"D",IF(N382&lt;'PlayerGrades+'!$AF$13,"D+",IF(N382&lt;'PlayerGrades+'!$AF$12,"C-",IF(N382&lt;'PlayerGrades+'!$AF$11,"C",IF(N382&lt;'PlayerGrades+'!$AF$10,"C+",IF(N382&lt;'PlayerGrades+'!$AF$9,"B-",IF(N382&lt;'PlayerGrades+'!$AF$8,"B",IF(N382&lt;'PlayerGrades+'!$AF$7,"B+",IF(N382&lt;'PlayerGrades+'!$AF$6,"A-",IF(N382&lt;'PlayerGrades+'!$AF$5,"A",IF(N382&lt;'PlayerGrades+'!$AF$4,"A+",IF(N382&lt;'PlayerGrades+'!$AF$3,"S-",IF(N382&lt;'PlayerGrades+'!$AF$2,"S","S+"))))))))))))))))))))</f>
        <v>#DIV/0!</v>
      </c>
      <c r="P382" s="961" t="str">
        <f t="shared" si="7"/>
        <v>#DIV/0!</v>
      </c>
      <c r="Q382" s="961" t="str">
        <f>IF(P382&lt;'PlayerGrades+'!$AG$21,"F-",IF(P382&lt;'PlayerGrades+'!$AG$20,"F",IF(P382&lt;'PlayerGrades+'!$AG$19,"F+",IF(P382&lt;'PlayerGrades+'!$AG$18,"E-",IF(P382&lt;'PlayerGrades+'!$AG$17,"E",IF(P382&lt;'PlayerGrades+'!$AG$16,"E+",IF(P382&lt;'PlayerGrades+'!$AG$15,"D-",IF(P382&lt;'PlayerGrades+'!$AG$14,"D",IF(P382&lt;'PlayerGrades+'!$AG$13,"D+",IF(P382&lt;'PlayerGrades+'!$AG$12,"C-",IF(P382&lt;'PlayerGrades+'!$AG$11,"C",IF(P382&lt;'PlayerGrades+'!$AG$10,"C+",IF(P382&lt;'PlayerGrades+'!$AG$9,"B-",IF(P382&lt;'PlayerGrades+'!$AG$8,"B",IF(P382&lt;'PlayerGrades+'!$AG$7,"B+",IF(P382&lt;'PlayerGrades+'!$AG$6,"A-",IF(P382&lt;'PlayerGrades+'!$AG$5,"A",IF(P382&lt;'PlayerGrades+'!$AG$4,"A+",IF(P382&lt;'PlayerGrades+'!$AG$3,"S-",IF(P382&lt;'PlayerGrades+'!$AG$2,"S","S+"))))))))))))))))))))</f>
        <v>#DIV/0!</v>
      </c>
      <c r="R382" s="961" t="str">
        <f t="shared" si="8"/>
        <v>#DIV/0!</v>
      </c>
      <c r="S382" s="961" t="str">
        <f>IF(R382&lt;'PlayerGrades+'!$AH$21,"F-",IF(R382&lt;'PlayerGrades+'!$AH$20,"F",IF(R382&lt;'PlayerGrades+'!$AH$19,"F+",IF(R382&lt;'PlayerGrades+'!$AH$18,"E-",IF(R382&lt;'PlayerGrades+'!$AH$17,"E",IF(R382&lt;'PlayerGrades+'!$AH$16,"E+",IF(R382&lt;'PlayerGrades+'!$AH$15,"D-",IF(R382&lt;'PlayerGrades+'!$AH$14,"D",IF(R382&lt;'PlayerGrades+'!$AH$13,"D+",IF(R382&lt;'PlayerGrades+'!$AH$12,"C-",IF(R382&lt;'PlayerGrades+'!$AH$11,"C",IF(R382&lt;'PlayerGrades+'!$AH$10,"C+",IF(R382&lt;'PlayerGrades+'!$AH$9,"B-",IF(R382&lt;'PlayerGrades+'!$AH$8,"B",IF(R382&lt;'PlayerGrades+'!$AH$7,"B+",IF(R382&lt;'PlayerGrades+'!$AH$6,"A-",IF(R382&lt;'PlayerGrades+'!$AH$5,"A",IF(R382&lt;'PlayerGrades+'!$AH$4,"A+",IF(R382&lt;'PlayerGrades+'!$AH$3,"S-",IF(R382&lt;'PlayerGrades+'!$AH$2,"S","S+"))))))))))))))))))))</f>
        <v>#DIV/0!</v>
      </c>
      <c r="T382" s="961">
        <f t="shared" si="9"/>
        <v>0</v>
      </c>
      <c r="U382" s="961" t="str">
        <f>IF(T382&lt;'PlayerGrades+'!$AI$21,"F-",IF(T382&lt;'PlayerGrades+'!$AI$20,"F",IF(T382&lt;'PlayerGrades+'!$AI$19,"F+",IF(T382&lt;'PlayerGrades+'!$AI$18,"E-",IF(T382&lt;'PlayerGrades+'!$AI$17,"E",IF(T382&lt;'PlayerGrades+'!$AI$16,"E+",IF(T382&lt;'PlayerGrades+'!$AI$15,"D-",IF(T382&lt;'PlayerGrades+'!$AI$14,"D",IF(T382&lt;'PlayerGrades+'!$AI$13,"D+",IF(T382&lt;'PlayerGrades+'!$AI$12,"C-",IF(T382&lt;'PlayerGrades+'!$AI$11,"C",IF(T382&lt;'PlayerGrades+'!$AI$10,"C+",IF(T382&lt;'PlayerGrades+'!$AI$9,"B-",IF(T382&lt;'PlayerGrades+'!$AI$8,"B",IF(T382&lt;'PlayerGrades+'!$AI$7,"B+",IF(T382&lt;'PlayerGrades+'!$AI$6,"A-",IF(T382&lt;'PlayerGrades+'!$AI$5,"A",IF(T382&lt;'PlayerGrades+'!$AI$4,"A+",IF(T382&lt;'PlayerGrades+'!$AI$3,"S-",IF(T382&lt;'PlayerGrades+'!$AI$2,"S","S+"))))))))))))))))))))</f>
        <v>F-</v>
      </c>
      <c r="AC382" s="1392"/>
    </row>
    <row r="383">
      <c r="A383" s="1391"/>
      <c r="B383" s="611" t="str">
        <f>IF(C383&lt;'PlayerGrades+'!$Y$44,"F-",IF(C383&lt;'PlayerGrades+'!$Y$43,"F",IF(C383&lt;'PlayerGrades+'!$Y$42,"F+",IF(C383&lt;'PlayerGrades+'!$Y$41,"E-",IF(C383&lt;'PlayerGrades+'!$Y$40,"E",IF(C383&lt;'PlayerGrades+'!$Y$39,"E+",IF(C383&lt;'PlayerGrades+'!$Y$38,"D-",IF(C383&lt;'PlayerGrades+'!$Y$37,"D",IF(C383&lt;'PlayerGrades+'!$Y$36,"D+",IF(C383&lt;'PlayerGrades+'!$Y$35,"C-",IF(C383&lt;'PlayerGrades+'!$Y$34,"C",IF(C383&lt;'PlayerGrades+'!$Y$33,"C+",IF(C383&lt;'PlayerGrades+'!$Y$32,"B-",IF(C383&lt;'PlayerGrades+'!$Y$31,"B",IF(C383&lt;'PlayerGrades+'!$Y$30,"B+",IF(C383&lt;'PlayerGrades+'!$Y$29,"A-",IF(C383&lt;'PlayerGrades+'!$Y$28,"A",IF(C383&lt;'PlayerGrades+'!$Y$27,"A+",IF(C383&lt;'PlayerGrades+'!$Y$26,"S-",IF(C383&lt;'PlayerGrades+'!$Y$25,"S","S+"))))))))))))))))))))</f>
        <v>#DIV/0!</v>
      </c>
      <c r="C383" s="1378" t="str">
        <f>('PlayerGrades+'!$Y$47*(VLOOKUP(E383, 'PlayerGrades+'!$X$3:$Y$23, 2, FALSE)))+('PlayerGrades+'!$Y$48*(VLOOKUP(G383, 'PlayerGrades+'!$X$3:$Y$23, 2, FALSE)))+('PlayerGrades+'!$Y$49*(VLOOKUP(I383, 'PlayerGrades+'!$X$3:$Y$23, 2, FALSE)))+('PlayerGrades+'!$Y$50*(VLOOKUP(K383, 'PlayerGrades+'!$X$3:$Y$23, 2, FALSE)))+('PlayerGrades+'!$Y$51*(VLOOKUP(M383, 'PlayerGrades+'!$X$3:$Y$23, 2, FALSE)))+('PlayerGrades+'!$Y$52*(VLOOKUP(O383, 'PlayerGrades+'!$X$3:$Y$23, 2, FALSE)))+('PlayerGrades+'!$Y$53*(VLOOKUP(Q383, 'PlayerGrades+'!$X$3:$Y$23, 2, FALSE)))+('PlayerGrades+'!$Y$54*(VLOOKUP(S383, 'PlayerGrades+'!$X$3:$Y$23, 2, FALSE)))+('PlayerGrades+'!$Y$55*(VLOOKUP(U383, 'PlayerGrades+'!$X$3:$Y$23, 2, FALSE)))</f>
        <v>#DIV/0!</v>
      </c>
      <c r="D383" s="961" t="str">
        <f t="shared" si="1"/>
        <v>#DIV/0!</v>
      </c>
      <c r="E383" s="961" t="str">
        <f>IF(D383&lt;'PlayerGrades+'!$AA$21,"F-",IF(D383&lt;'PlayerGrades+'!$AA$20,"F",IF(D383&lt;'PlayerGrades+'!$AA$19,"F+",IF(D383&lt;'PlayerGrades+'!$AA$18,"E-",IF(D383&lt;'PlayerGrades+'!$AA$17,"E",IF(D383&lt;'PlayerGrades+'!$AA$16,"E+",IF(D383&lt;'PlayerGrades+'!$AA$15,"D-",IF(D383&lt;'PlayerGrades+'!$AA$14,"D",IF(D383&lt;'PlayerGrades+'!$AA$13,"D+",IF(D383&lt;'PlayerGrades+'!$AA$12,"C-",IF(D383&lt;'PlayerGrades+'!$AA$11,"C",IF(D383&lt;'PlayerGrades+'!$AA$10,"C+",IF(D383&lt;'PlayerGrades+'!$AA$9,"B-",IF(D383&lt;'PlayerGrades+'!$AA$8,"B",IF(D383&lt;'PlayerGrades+'!$AA$7,"B+",IF(D383&lt;'PlayerGrades+'!$AA$6,"A-",IF(D383&lt;'PlayerGrades+'!$AA$5,"A",IF(D383&lt;'PlayerGrades+'!$AA$4,"A+",IF(D383&lt;'PlayerGrades+'!$AA$3,"S-",IF(D383&lt;'PlayerGrades+'!$AA$2,"S","S+"))))))))))))))))))))</f>
        <v>#DIV/0!</v>
      </c>
      <c r="F383" s="961" t="str">
        <f t="shared" si="2"/>
        <v>#DIV/0!</v>
      </c>
      <c r="G383" s="961" t="str">
        <f>IF(F383&lt;'PlayerGrades+'!$AB$21,"F-",IF(F383&lt;'PlayerGrades+'!$AB$20,"F",IF(F383&lt;'PlayerGrades+'!$AB$19,"F+",IF(F383&lt;'PlayerGrades+'!$AB$18,"E-",IF(F383&lt;'PlayerGrades+'!$AB$17,"E",IF(F383&lt;'PlayerGrades+'!$AB$16,"E+",IF(F383&lt;'PlayerGrades+'!$AB$15,"D-",IF(F383&lt;'PlayerGrades+'!$AB$14,"D",IF(F383&lt;'PlayerGrades+'!$AB$13,"D+",IF(F383&lt;'PlayerGrades+'!$AB$12,"C-",IF(F383&lt;'PlayerGrades+'!$AB$11,"C",IF(F383&lt;'PlayerGrades+'!$AB$10,"C+",IF(F383&lt;'PlayerGrades+'!$AB$9,"B-",IF(F383&lt;'PlayerGrades+'!$AB$8,"B",IF(F383&lt;'PlayerGrades+'!$AB$7,"B+",IF(F383&lt;'PlayerGrades+'!$AB$6,"A-",IF(F383&lt;'PlayerGrades+'!$AB$5,"A",IF(F383&lt;'PlayerGrades+'!$AB$4,"A+",IF(F383&lt;'PlayerGrades+'!$AB$3,"S-",IF(F383&lt;'PlayerGrades+'!$AB$2,"S","S+"))))))))))))))))))))</f>
        <v>#DIV/0!</v>
      </c>
      <c r="H383" s="961" t="str">
        <f t="shared" si="3"/>
        <v>#DIV/0!</v>
      </c>
      <c r="I383" s="961" t="str">
        <f>IF(H383&lt;'PlayerGrades+'!$AC$21,"F-",IF(H383&lt;'PlayerGrades+'!$AC$20,"F",IF(H383&lt;'PlayerGrades+'!$AC$19,"F+",IF(H383&lt;'PlayerGrades+'!$AC$18,"E-",IF(H383&lt;'PlayerGrades+'!$AC$17,"E",IF(H383&lt;'PlayerGrades+'!$AC$16,"E+",IF(H383&lt;'PlayerGrades+'!$AC$15,"D-",IF(H383&lt;'PlayerGrades+'!$AC$14,"D",IF(H383&lt;'PlayerGrades+'!$AC$13,"D+",IF(H383&lt;'PlayerGrades+'!$AC$12,"C-",IF(H383&lt;'PlayerGrades+'!$AC$11,"C",IF(H383&lt;'PlayerGrades+'!$AC$10,"C+",IF(H383&lt;'PlayerGrades+'!$AC$9,"B-",IF(H383&lt;'PlayerGrades+'!$AC$8,"B",IF(H383&lt;'PlayerGrades+'!$AC$7,"B+",IF(H383&lt;'PlayerGrades+'!$AC$6,"A-",IF(H383&lt;'PlayerGrades+'!$AC$5,"A",IF(H383&lt;'PlayerGrades+'!$AC$4,"A+",IF(H383&lt;'PlayerGrades+'!$AC$3,"S-",IF(H383&lt;'PlayerGrades+'!$AC$2,"S","S+"))))))))))))))))))))</f>
        <v>#DIV/0!</v>
      </c>
      <c r="J383" s="961" t="str">
        <f t="shared" si="4"/>
        <v>#DIV/0!</v>
      </c>
      <c r="K383" s="961" t="str">
        <f>IF(J383&lt;'PlayerGrades+'!$AD$21,"F-",IF(J383&lt;'PlayerGrades+'!$AD$20,"F",IF(J383&lt;'PlayerGrades+'!$AD$19,"F+",IF(J383&lt;'PlayerGrades+'!$AD$18,"E-",IF(J383&lt;'PlayerGrades+'!$AD$17,"E",IF(J383&lt;'PlayerGrades+'!$AD$16,"E+",IF(J383&lt;'PlayerGrades+'!$AD$15,"D-",IF(J383&lt;'PlayerGrades+'!$AD$14,"D",IF(J383&lt;'PlayerGrades+'!$AD$13,"D+",IF(J383&lt;'PlayerGrades+'!$AD$12,"C-",IF(J383&lt;'PlayerGrades+'!$AD$11,"C",IF(J383&lt;'PlayerGrades+'!$AD$10,"C+",IF(J383&lt;'PlayerGrades+'!$AD$9,"B-",IF(J383&lt;'PlayerGrades+'!$AD$8,"B",IF(J383&lt;'PlayerGrades+'!$AD$7,"B+",IF(J383&lt;'PlayerGrades+'!$AD$6,"A-",IF(J383&lt;'PlayerGrades+'!$AD$5,"A",IF(J383&lt;'PlayerGrades+'!$AD$4,"A+",IF(J383&lt;'PlayerGrades+'!$AD$3,"S-",IF(J383&lt;'PlayerGrades+'!$AD$2,"S","S+"))))))))))))))))))))</f>
        <v>#DIV/0!</v>
      </c>
      <c r="L383" s="1176" t="str">
        <f t="shared" si="5"/>
        <v>#DIV/0!</v>
      </c>
      <c r="M383" s="992" t="str">
        <f>IF(L383&lt;'PlayerGrades+'!$AE$21,"F-",IF(L383&lt;'PlayerGrades+'!$AE$20,"F",IF(L383&lt;'PlayerGrades+'!$AE$19,"F+",IF(L383&lt;'PlayerGrades+'!$AE$18,"E-",IF(L383&lt;'PlayerGrades+'!$AE$17,"E",IF(L383&lt;'PlayerGrades+'!$AE$16,"E+",IF(L383&lt;'PlayerGrades+'!$AE$15,"D-",IF(L383&lt;'PlayerGrades+'!$AE$14,"D",IF(L383&lt;'PlayerGrades+'!$AE$13,"D+",IF(L383&lt;'PlayerGrades+'!$AE$12,"C-",IF(L383&lt;'PlayerGrades+'!$AE$11,"C",IF(L383&lt;'PlayerGrades+'!$AE$10,"C+",IF(L383&lt;'PlayerGrades+'!$AE$9,"B-",IF(L383&lt;'PlayerGrades+'!$AE$8,"B",IF(L383&lt;'PlayerGrades+'!$AE$7,"B+",IF(L383&lt;'PlayerGrades+'!$AE$6,"A-",IF(L383&lt;'PlayerGrades+'!$AE$5,"A",IF(L383&lt;'PlayerGrades+'!$AE$4,"A+",IF(L383&lt;'PlayerGrades+'!$AE$3,"S-",IF(L383&lt;'PlayerGrades+'!$AE$2,"S","S+"))))))))))))))))))))</f>
        <v>#DIV/0!</v>
      </c>
      <c r="N383" s="961" t="str">
        <f t="shared" si="6"/>
        <v>#DIV/0!</v>
      </c>
      <c r="O383" s="961" t="str">
        <f>IF(N383&lt;'PlayerGrades+'!$AF$21,"F-",IF(N383&lt;'PlayerGrades+'!$AF$20,"F",IF(N383&lt;'PlayerGrades+'!$AF$19,"F+",IF(N383&lt;'PlayerGrades+'!$AF$18,"E-",IF(N383&lt;'PlayerGrades+'!$AF$17,"E",IF(N383&lt;'PlayerGrades+'!$AF$16,"E+",IF(N383&lt;'PlayerGrades+'!$AF$15,"D-",IF(N383&lt;'PlayerGrades+'!$AF$14,"D",IF(N383&lt;'PlayerGrades+'!$AF$13,"D+",IF(N383&lt;'PlayerGrades+'!$AF$12,"C-",IF(N383&lt;'PlayerGrades+'!$AF$11,"C",IF(N383&lt;'PlayerGrades+'!$AF$10,"C+",IF(N383&lt;'PlayerGrades+'!$AF$9,"B-",IF(N383&lt;'PlayerGrades+'!$AF$8,"B",IF(N383&lt;'PlayerGrades+'!$AF$7,"B+",IF(N383&lt;'PlayerGrades+'!$AF$6,"A-",IF(N383&lt;'PlayerGrades+'!$AF$5,"A",IF(N383&lt;'PlayerGrades+'!$AF$4,"A+",IF(N383&lt;'PlayerGrades+'!$AF$3,"S-",IF(N383&lt;'PlayerGrades+'!$AF$2,"S","S+"))))))))))))))))))))</f>
        <v>#DIV/0!</v>
      </c>
      <c r="P383" s="961" t="str">
        <f t="shared" si="7"/>
        <v>#DIV/0!</v>
      </c>
      <c r="Q383" s="961" t="str">
        <f>IF(P383&lt;'PlayerGrades+'!$AG$21,"F-",IF(P383&lt;'PlayerGrades+'!$AG$20,"F",IF(P383&lt;'PlayerGrades+'!$AG$19,"F+",IF(P383&lt;'PlayerGrades+'!$AG$18,"E-",IF(P383&lt;'PlayerGrades+'!$AG$17,"E",IF(P383&lt;'PlayerGrades+'!$AG$16,"E+",IF(P383&lt;'PlayerGrades+'!$AG$15,"D-",IF(P383&lt;'PlayerGrades+'!$AG$14,"D",IF(P383&lt;'PlayerGrades+'!$AG$13,"D+",IF(P383&lt;'PlayerGrades+'!$AG$12,"C-",IF(P383&lt;'PlayerGrades+'!$AG$11,"C",IF(P383&lt;'PlayerGrades+'!$AG$10,"C+",IF(P383&lt;'PlayerGrades+'!$AG$9,"B-",IF(P383&lt;'PlayerGrades+'!$AG$8,"B",IF(P383&lt;'PlayerGrades+'!$AG$7,"B+",IF(P383&lt;'PlayerGrades+'!$AG$6,"A-",IF(P383&lt;'PlayerGrades+'!$AG$5,"A",IF(P383&lt;'PlayerGrades+'!$AG$4,"A+",IF(P383&lt;'PlayerGrades+'!$AG$3,"S-",IF(P383&lt;'PlayerGrades+'!$AG$2,"S","S+"))))))))))))))))))))</f>
        <v>#DIV/0!</v>
      </c>
      <c r="R383" s="961" t="str">
        <f t="shared" si="8"/>
        <v>#DIV/0!</v>
      </c>
      <c r="S383" s="961" t="str">
        <f>IF(R383&lt;'PlayerGrades+'!$AH$21,"F-",IF(R383&lt;'PlayerGrades+'!$AH$20,"F",IF(R383&lt;'PlayerGrades+'!$AH$19,"F+",IF(R383&lt;'PlayerGrades+'!$AH$18,"E-",IF(R383&lt;'PlayerGrades+'!$AH$17,"E",IF(R383&lt;'PlayerGrades+'!$AH$16,"E+",IF(R383&lt;'PlayerGrades+'!$AH$15,"D-",IF(R383&lt;'PlayerGrades+'!$AH$14,"D",IF(R383&lt;'PlayerGrades+'!$AH$13,"D+",IF(R383&lt;'PlayerGrades+'!$AH$12,"C-",IF(R383&lt;'PlayerGrades+'!$AH$11,"C",IF(R383&lt;'PlayerGrades+'!$AH$10,"C+",IF(R383&lt;'PlayerGrades+'!$AH$9,"B-",IF(R383&lt;'PlayerGrades+'!$AH$8,"B",IF(R383&lt;'PlayerGrades+'!$AH$7,"B+",IF(R383&lt;'PlayerGrades+'!$AH$6,"A-",IF(R383&lt;'PlayerGrades+'!$AH$5,"A",IF(R383&lt;'PlayerGrades+'!$AH$4,"A+",IF(R383&lt;'PlayerGrades+'!$AH$3,"S-",IF(R383&lt;'PlayerGrades+'!$AH$2,"S","S+"))))))))))))))))))))</f>
        <v>#DIV/0!</v>
      </c>
      <c r="T383" s="961">
        <f t="shared" si="9"/>
        <v>0</v>
      </c>
      <c r="U383" s="961" t="str">
        <f>IF(T383&lt;'PlayerGrades+'!$AI$21,"F-",IF(T383&lt;'PlayerGrades+'!$AI$20,"F",IF(T383&lt;'PlayerGrades+'!$AI$19,"F+",IF(T383&lt;'PlayerGrades+'!$AI$18,"E-",IF(T383&lt;'PlayerGrades+'!$AI$17,"E",IF(T383&lt;'PlayerGrades+'!$AI$16,"E+",IF(T383&lt;'PlayerGrades+'!$AI$15,"D-",IF(T383&lt;'PlayerGrades+'!$AI$14,"D",IF(T383&lt;'PlayerGrades+'!$AI$13,"D+",IF(T383&lt;'PlayerGrades+'!$AI$12,"C-",IF(T383&lt;'PlayerGrades+'!$AI$11,"C",IF(T383&lt;'PlayerGrades+'!$AI$10,"C+",IF(T383&lt;'PlayerGrades+'!$AI$9,"B-",IF(T383&lt;'PlayerGrades+'!$AI$8,"B",IF(T383&lt;'PlayerGrades+'!$AI$7,"B+",IF(T383&lt;'PlayerGrades+'!$AI$6,"A-",IF(T383&lt;'PlayerGrades+'!$AI$5,"A",IF(T383&lt;'PlayerGrades+'!$AI$4,"A+",IF(T383&lt;'PlayerGrades+'!$AI$3,"S-",IF(T383&lt;'PlayerGrades+'!$AI$2,"S","S+"))))))))))))))))))))</f>
        <v>F-</v>
      </c>
      <c r="AC383" s="1392"/>
    </row>
    <row r="384">
      <c r="A384" s="1391"/>
      <c r="B384" s="611" t="str">
        <f>IF(C384&lt;'PlayerGrades+'!$Y$44,"F-",IF(C384&lt;'PlayerGrades+'!$Y$43,"F",IF(C384&lt;'PlayerGrades+'!$Y$42,"F+",IF(C384&lt;'PlayerGrades+'!$Y$41,"E-",IF(C384&lt;'PlayerGrades+'!$Y$40,"E",IF(C384&lt;'PlayerGrades+'!$Y$39,"E+",IF(C384&lt;'PlayerGrades+'!$Y$38,"D-",IF(C384&lt;'PlayerGrades+'!$Y$37,"D",IF(C384&lt;'PlayerGrades+'!$Y$36,"D+",IF(C384&lt;'PlayerGrades+'!$Y$35,"C-",IF(C384&lt;'PlayerGrades+'!$Y$34,"C",IF(C384&lt;'PlayerGrades+'!$Y$33,"C+",IF(C384&lt;'PlayerGrades+'!$Y$32,"B-",IF(C384&lt;'PlayerGrades+'!$Y$31,"B",IF(C384&lt;'PlayerGrades+'!$Y$30,"B+",IF(C384&lt;'PlayerGrades+'!$Y$29,"A-",IF(C384&lt;'PlayerGrades+'!$Y$28,"A",IF(C384&lt;'PlayerGrades+'!$Y$27,"A+",IF(C384&lt;'PlayerGrades+'!$Y$26,"S-",IF(C384&lt;'PlayerGrades+'!$Y$25,"S","S+"))))))))))))))))))))</f>
        <v>#DIV/0!</v>
      </c>
      <c r="C384" s="1378" t="str">
        <f>('PlayerGrades+'!$Y$47*(VLOOKUP(E384, 'PlayerGrades+'!$X$3:$Y$23, 2, FALSE)))+('PlayerGrades+'!$Y$48*(VLOOKUP(G384, 'PlayerGrades+'!$X$3:$Y$23, 2, FALSE)))+('PlayerGrades+'!$Y$49*(VLOOKUP(I384, 'PlayerGrades+'!$X$3:$Y$23, 2, FALSE)))+('PlayerGrades+'!$Y$50*(VLOOKUP(K384, 'PlayerGrades+'!$X$3:$Y$23, 2, FALSE)))+('PlayerGrades+'!$Y$51*(VLOOKUP(M384, 'PlayerGrades+'!$X$3:$Y$23, 2, FALSE)))+('PlayerGrades+'!$Y$52*(VLOOKUP(O384, 'PlayerGrades+'!$X$3:$Y$23, 2, FALSE)))+('PlayerGrades+'!$Y$53*(VLOOKUP(Q384, 'PlayerGrades+'!$X$3:$Y$23, 2, FALSE)))+('PlayerGrades+'!$Y$54*(VLOOKUP(S384, 'PlayerGrades+'!$X$3:$Y$23, 2, FALSE)))+('PlayerGrades+'!$Y$55*(VLOOKUP(U384, 'PlayerGrades+'!$X$3:$Y$23, 2, FALSE)))</f>
        <v>#DIV/0!</v>
      </c>
      <c r="D384" s="961" t="str">
        <f t="shared" si="1"/>
        <v>#DIV/0!</v>
      </c>
      <c r="E384" s="961" t="str">
        <f>IF(D384&lt;'PlayerGrades+'!$AA$21,"F-",IF(D384&lt;'PlayerGrades+'!$AA$20,"F",IF(D384&lt;'PlayerGrades+'!$AA$19,"F+",IF(D384&lt;'PlayerGrades+'!$AA$18,"E-",IF(D384&lt;'PlayerGrades+'!$AA$17,"E",IF(D384&lt;'PlayerGrades+'!$AA$16,"E+",IF(D384&lt;'PlayerGrades+'!$AA$15,"D-",IF(D384&lt;'PlayerGrades+'!$AA$14,"D",IF(D384&lt;'PlayerGrades+'!$AA$13,"D+",IF(D384&lt;'PlayerGrades+'!$AA$12,"C-",IF(D384&lt;'PlayerGrades+'!$AA$11,"C",IF(D384&lt;'PlayerGrades+'!$AA$10,"C+",IF(D384&lt;'PlayerGrades+'!$AA$9,"B-",IF(D384&lt;'PlayerGrades+'!$AA$8,"B",IF(D384&lt;'PlayerGrades+'!$AA$7,"B+",IF(D384&lt;'PlayerGrades+'!$AA$6,"A-",IF(D384&lt;'PlayerGrades+'!$AA$5,"A",IF(D384&lt;'PlayerGrades+'!$AA$4,"A+",IF(D384&lt;'PlayerGrades+'!$AA$3,"S-",IF(D384&lt;'PlayerGrades+'!$AA$2,"S","S+"))))))))))))))))))))</f>
        <v>#DIV/0!</v>
      </c>
      <c r="F384" s="961" t="str">
        <f t="shared" si="2"/>
        <v>#DIV/0!</v>
      </c>
      <c r="G384" s="961" t="str">
        <f>IF(F384&lt;'PlayerGrades+'!$AB$21,"F-",IF(F384&lt;'PlayerGrades+'!$AB$20,"F",IF(F384&lt;'PlayerGrades+'!$AB$19,"F+",IF(F384&lt;'PlayerGrades+'!$AB$18,"E-",IF(F384&lt;'PlayerGrades+'!$AB$17,"E",IF(F384&lt;'PlayerGrades+'!$AB$16,"E+",IF(F384&lt;'PlayerGrades+'!$AB$15,"D-",IF(F384&lt;'PlayerGrades+'!$AB$14,"D",IF(F384&lt;'PlayerGrades+'!$AB$13,"D+",IF(F384&lt;'PlayerGrades+'!$AB$12,"C-",IF(F384&lt;'PlayerGrades+'!$AB$11,"C",IF(F384&lt;'PlayerGrades+'!$AB$10,"C+",IF(F384&lt;'PlayerGrades+'!$AB$9,"B-",IF(F384&lt;'PlayerGrades+'!$AB$8,"B",IF(F384&lt;'PlayerGrades+'!$AB$7,"B+",IF(F384&lt;'PlayerGrades+'!$AB$6,"A-",IF(F384&lt;'PlayerGrades+'!$AB$5,"A",IF(F384&lt;'PlayerGrades+'!$AB$4,"A+",IF(F384&lt;'PlayerGrades+'!$AB$3,"S-",IF(F384&lt;'PlayerGrades+'!$AB$2,"S","S+"))))))))))))))))))))</f>
        <v>#DIV/0!</v>
      </c>
      <c r="H384" s="961" t="str">
        <f t="shared" si="3"/>
        <v>#DIV/0!</v>
      </c>
      <c r="I384" s="961" t="str">
        <f>IF(H384&lt;'PlayerGrades+'!$AC$21,"F-",IF(H384&lt;'PlayerGrades+'!$AC$20,"F",IF(H384&lt;'PlayerGrades+'!$AC$19,"F+",IF(H384&lt;'PlayerGrades+'!$AC$18,"E-",IF(H384&lt;'PlayerGrades+'!$AC$17,"E",IF(H384&lt;'PlayerGrades+'!$AC$16,"E+",IF(H384&lt;'PlayerGrades+'!$AC$15,"D-",IF(H384&lt;'PlayerGrades+'!$AC$14,"D",IF(H384&lt;'PlayerGrades+'!$AC$13,"D+",IF(H384&lt;'PlayerGrades+'!$AC$12,"C-",IF(H384&lt;'PlayerGrades+'!$AC$11,"C",IF(H384&lt;'PlayerGrades+'!$AC$10,"C+",IF(H384&lt;'PlayerGrades+'!$AC$9,"B-",IF(H384&lt;'PlayerGrades+'!$AC$8,"B",IF(H384&lt;'PlayerGrades+'!$AC$7,"B+",IF(H384&lt;'PlayerGrades+'!$AC$6,"A-",IF(H384&lt;'PlayerGrades+'!$AC$5,"A",IF(H384&lt;'PlayerGrades+'!$AC$4,"A+",IF(H384&lt;'PlayerGrades+'!$AC$3,"S-",IF(H384&lt;'PlayerGrades+'!$AC$2,"S","S+"))))))))))))))))))))</f>
        <v>#DIV/0!</v>
      </c>
      <c r="J384" s="961" t="str">
        <f t="shared" si="4"/>
        <v>#DIV/0!</v>
      </c>
      <c r="K384" s="961" t="str">
        <f>IF(J384&lt;'PlayerGrades+'!$AD$21,"F-",IF(J384&lt;'PlayerGrades+'!$AD$20,"F",IF(J384&lt;'PlayerGrades+'!$AD$19,"F+",IF(J384&lt;'PlayerGrades+'!$AD$18,"E-",IF(J384&lt;'PlayerGrades+'!$AD$17,"E",IF(J384&lt;'PlayerGrades+'!$AD$16,"E+",IF(J384&lt;'PlayerGrades+'!$AD$15,"D-",IF(J384&lt;'PlayerGrades+'!$AD$14,"D",IF(J384&lt;'PlayerGrades+'!$AD$13,"D+",IF(J384&lt;'PlayerGrades+'!$AD$12,"C-",IF(J384&lt;'PlayerGrades+'!$AD$11,"C",IF(J384&lt;'PlayerGrades+'!$AD$10,"C+",IF(J384&lt;'PlayerGrades+'!$AD$9,"B-",IF(J384&lt;'PlayerGrades+'!$AD$8,"B",IF(J384&lt;'PlayerGrades+'!$AD$7,"B+",IF(J384&lt;'PlayerGrades+'!$AD$6,"A-",IF(J384&lt;'PlayerGrades+'!$AD$5,"A",IF(J384&lt;'PlayerGrades+'!$AD$4,"A+",IF(J384&lt;'PlayerGrades+'!$AD$3,"S-",IF(J384&lt;'PlayerGrades+'!$AD$2,"S","S+"))))))))))))))))))))</f>
        <v>#DIV/0!</v>
      </c>
      <c r="L384" s="1176" t="str">
        <f t="shared" si="5"/>
        <v>#DIV/0!</v>
      </c>
      <c r="M384" s="992" t="str">
        <f>IF(L384&lt;'PlayerGrades+'!$AE$21,"F-",IF(L384&lt;'PlayerGrades+'!$AE$20,"F",IF(L384&lt;'PlayerGrades+'!$AE$19,"F+",IF(L384&lt;'PlayerGrades+'!$AE$18,"E-",IF(L384&lt;'PlayerGrades+'!$AE$17,"E",IF(L384&lt;'PlayerGrades+'!$AE$16,"E+",IF(L384&lt;'PlayerGrades+'!$AE$15,"D-",IF(L384&lt;'PlayerGrades+'!$AE$14,"D",IF(L384&lt;'PlayerGrades+'!$AE$13,"D+",IF(L384&lt;'PlayerGrades+'!$AE$12,"C-",IF(L384&lt;'PlayerGrades+'!$AE$11,"C",IF(L384&lt;'PlayerGrades+'!$AE$10,"C+",IF(L384&lt;'PlayerGrades+'!$AE$9,"B-",IF(L384&lt;'PlayerGrades+'!$AE$8,"B",IF(L384&lt;'PlayerGrades+'!$AE$7,"B+",IF(L384&lt;'PlayerGrades+'!$AE$6,"A-",IF(L384&lt;'PlayerGrades+'!$AE$5,"A",IF(L384&lt;'PlayerGrades+'!$AE$4,"A+",IF(L384&lt;'PlayerGrades+'!$AE$3,"S-",IF(L384&lt;'PlayerGrades+'!$AE$2,"S","S+"))))))))))))))))))))</f>
        <v>#DIV/0!</v>
      </c>
      <c r="N384" s="961" t="str">
        <f t="shared" si="6"/>
        <v>#DIV/0!</v>
      </c>
      <c r="O384" s="961" t="str">
        <f>IF(N384&lt;'PlayerGrades+'!$AF$21,"F-",IF(N384&lt;'PlayerGrades+'!$AF$20,"F",IF(N384&lt;'PlayerGrades+'!$AF$19,"F+",IF(N384&lt;'PlayerGrades+'!$AF$18,"E-",IF(N384&lt;'PlayerGrades+'!$AF$17,"E",IF(N384&lt;'PlayerGrades+'!$AF$16,"E+",IF(N384&lt;'PlayerGrades+'!$AF$15,"D-",IF(N384&lt;'PlayerGrades+'!$AF$14,"D",IF(N384&lt;'PlayerGrades+'!$AF$13,"D+",IF(N384&lt;'PlayerGrades+'!$AF$12,"C-",IF(N384&lt;'PlayerGrades+'!$AF$11,"C",IF(N384&lt;'PlayerGrades+'!$AF$10,"C+",IF(N384&lt;'PlayerGrades+'!$AF$9,"B-",IF(N384&lt;'PlayerGrades+'!$AF$8,"B",IF(N384&lt;'PlayerGrades+'!$AF$7,"B+",IF(N384&lt;'PlayerGrades+'!$AF$6,"A-",IF(N384&lt;'PlayerGrades+'!$AF$5,"A",IF(N384&lt;'PlayerGrades+'!$AF$4,"A+",IF(N384&lt;'PlayerGrades+'!$AF$3,"S-",IF(N384&lt;'PlayerGrades+'!$AF$2,"S","S+"))))))))))))))))))))</f>
        <v>#DIV/0!</v>
      </c>
      <c r="P384" s="961" t="str">
        <f t="shared" si="7"/>
        <v>#DIV/0!</v>
      </c>
      <c r="Q384" s="961" t="str">
        <f>IF(P384&lt;'PlayerGrades+'!$AG$21,"F-",IF(P384&lt;'PlayerGrades+'!$AG$20,"F",IF(P384&lt;'PlayerGrades+'!$AG$19,"F+",IF(P384&lt;'PlayerGrades+'!$AG$18,"E-",IF(P384&lt;'PlayerGrades+'!$AG$17,"E",IF(P384&lt;'PlayerGrades+'!$AG$16,"E+",IF(P384&lt;'PlayerGrades+'!$AG$15,"D-",IF(P384&lt;'PlayerGrades+'!$AG$14,"D",IF(P384&lt;'PlayerGrades+'!$AG$13,"D+",IF(P384&lt;'PlayerGrades+'!$AG$12,"C-",IF(P384&lt;'PlayerGrades+'!$AG$11,"C",IF(P384&lt;'PlayerGrades+'!$AG$10,"C+",IF(P384&lt;'PlayerGrades+'!$AG$9,"B-",IF(P384&lt;'PlayerGrades+'!$AG$8,"B",IF(P384&lt;'PlayerGrades+'!$AG$7,"B+",IF(P384&lt;'PlayerGrades+'!$AG$6,"A-",IF(P384&lt;'PlayerGrades+'!$AG$5,"A",IF(P384&lt;'PlayerGrades+'!$AG$4,"A+",IF(P384&lt;'PlayerGrades+'!$AG$3,"S-",IF(P384&lt;'PlayerGrades+'!$AG$2,"S","S+"))))))))))))))))))))</f>
        <v>#DIV/0!</v>
      </c>
      <c r="R384" s="961" t="str">
        <f t="shared" si="8"/>
        <v>#DIV/0!</v>
      </c>
      <c r="S384" s="961" t="str">
        <f>IF(R384&lt;'PlayerGrades+'!$AH$21,"F-",IF(R384&lt;'PlayerGrades+'!$AH$20,"F",IF(R384&lt;'PlayerGrades+'!$AH$19,"F+",IF(R384&lt;'PlayerGrades+'!$AH$18,"E-",IF(R384&lt;'PlayerGrades+'!$AH$17,"E",IF(R384&lt;'PlayerGrades+'!$AH$16,"E+",IF(R384&lt;'PlayerGrades+'!$AH$15,"D-",IF(R384&lt;'PlayerGrades+'!$AH$14,"D",IF(R384&lt;'PlayerGrades+'!$AH$13,"D+",IF(R384&lt;'PlayerGrades+'!$AH$12,"C-",IF(R384&lt;'PlayerGrades+'!$AH$11,"C",IF(R384&lt;'PlayerGrades+'!$AH$10,"C+",IF(R384&lt;'PlayerGrades+'!$AH$9,"B-",IF(R384&lt;'PlayerGrades+'!$AH$8,"B",IF(R384&lt;'PlayerGrades+'!$AH$7,"B+",IF(R384&lt;'PlayerGrades+'!$AH$6,"A-",IF(R384&lt;'PlayerGrades+'!$AH$5,"A",IF(R384&lt;'PlayerGrades+'!$AH$4,"A+",IF(R384&lt;'PlayerGrades+'!$AH$3,"S-",IF(R384&lt;'PlayerGrades+'!$AH$2,"S","S+"))))))))))))))))))))</f>
        <v>#DIV/0!</v>
      </c>
      <c r="T384" s="961">
        <f t="shared" si="9"/>
        <v>0</v>
      </c>
      <c r="U384" s="961" t="str">
        <f>IF(T384&lt;'PlayerGrades+'!$AI$21,"F-",IF(T384&lt;'PlayerGrades+'!$AI$20,"F",IF(T384&lt;'PlayerGrades+'!$AI$19,"F+",IF(T384&lt;'PlayerGrades+'!$AI$18,"E-",IF(T384&lt;'PlayerGrades+'!$AI$17,"E",IF(T384&lt;'PlayerGrades+'!$AI$16,"E+",IF(T384&lt;'PlayerGrades+'!$AI$15,"D-",IF(T384&lt;'PlayerGrades+'!$AI$14,"D",IF(T384&lt;'PlayerGrades+'!$AI$13,"D+",IF(T384&lt;'PlayerGrades+'!$AI$12,"C-",IF(T384&lt;'PlayerGrades+'!$AI$11,"C",IF(T384&lt;'PlayerGrades+'!$AI$10,"C+",IF(T384&lt;'PlayerGrades+'!$AI$9,"B-",IF(T384&lt;'PlayerGrades+'!$AI$8,"B",IF(T384&lt;'PlayerGrades+'!$AI$7,"B+",IF(T384&lt;'PlayerGrades+'!$AI$6,"A-",IF(T384&lt;'PlayerGrades+'!$AI$5,"A",IF(T384&lt;'PlayerGrades+'!$AI$4,"A+",IF(T384&lt;'PlayerGrades+'!$AI$3,"S-",IF(T384&lt;'PlayerGrades+'!$AI$2,"S","S+"))))))))))))))))))))</f>
        <v>F-</v>
      </c>
      <c r="AC384" s="1392"/>
    </row>
    <row r="385">
      <c r="A385" s="1393"/>
      <c r="B385" s="611" t="str">
        <f>IF(C385&lt;'PlayerGrades+'!$Y$44,"F-",IF(C385&lt;'PlayerGrades+'!$Y$43,"F",IF(C385&lt;'PlayerGrades+'!$Y$42,"F+",IF(C385&lt;'PlayerGrades+'!$Y$41,"E-",IF(C385&lt;'PlayerGrades+'!$Y$40,"E",IF(C385&lt;'PlayerGrades+'!$Y$39,"E+",IF(C385&lt;'PlayerGrades+'!$Y$38,"D-",IF(C385&lt;'PlayerGrades+'!$Y$37,"D",IF(C385&lt;'PlayerGrades+'!$Y$36,"D+",IF(C385&lt;'PlayerGrades+'!$Y$35,"C-",IF(C385&lt;'PlayerGrades+'!$Y$34,"C",IF(C385&lt;'PlayerGrades+'!$Y$33,"C+",IF(C385&lt;'PlayerGrades+'!$Y$32,"B-",IF(C385&lt;'PlayerGrades+'!$Y$31,"B",IF(C385&lt;'PlayerGrades+'!$Y$30,"B+",IF(C385&lt;'PlayerGrades+'!$Y$29,"A-",IF(C385&lt;'PlayerGrades+'!$Y$28,"A",IF(C385&lt;'PlayerGrades+'!$Y$27,"A+",IF(C385&lt;'PlayerGrades+'!$Y$26,"S-",IF(C385&lt;'PlayerGrades+'!$Y$25,"S","S+"))))))))))))))))))))</f>
        <v>#DIV/0!</v>
      </c>
      <c r="C385" s="1378" t="str">
        <f>('PlayerGrades+'!$Y$47*(VLOOKUP(E385, 'PlayerGrades+'!$X$3:$Y$23, 2, FALSE)))+('PlayerGrades+'!$Y$48*(VLOOKUP(G385, 'PlayerGrades+'!$X$3:$Y$23, 2, FALSE)))+('PlayerGrades+'!$Y$49*(VLOOKUP(I385, 'PlayerGrades+'!$X$3:$Y$23, 2, FALSE)))+('PlayerGrades+'!$Y$50*(VLOOKUP(K385, 'PlayerGrades+'!$X$3:$Y$23, 2, FALSE)))+('PlayerGrades+'!$Y$51*(VLOOKUP(M385, 'PlayerGrades+'!$X$3:$Y$23, 2, FALSE)))+('PlayerGrades+'!$Y$52*(VLOOKUP(O385, 'PlayerGrades+'!$X$3:$Y$23, 2, FALSE)))+('PlayerGrades+'!$Y$53*(VLOOKUP(Q385, 'PlayerGrades+'!$X$3:$Y$23, 2, FALSE)))+('PlayerGrades+'!$Y$54*(VLOOKUP(S385, 'PlayerGrades+'!$X$3:$Y$23, 2, FALSE)))+('PlayerGrades+'!$Y$55*(VLOOKUP(U385, 'PlayerGrades+'!$X$3:$Y$23, 2, FALSE)))</f>
        <v>#DIV/0!</v>
      </c>
      <c r="D385" s="961" t="str">
        <f t="shared" si="1"/>
        <v>#DIV/0!</v>
      </c>
      <c r="E385" s="961" t="str">
        <f>IF(D385&lt;'PlayerGrades+'!$AA$21,"F-",IF(D385&lt;'PlayerGrades+'!$AA$20,"F",IF(D385&lt;'PlayerGrades+'!$AA$19,"F+",IF(D385&lt;'PlayerGrades+'!$AA$18,"E-",IF(D385&lt;'PlayerGrades+'!$AA$17,"E",IF(D385&lt;'PlayerGrades+'!$AA$16,"E+",IF(D385&lt;'PlayerGrades+'!$AA$15,"D-",IF(D385&lt;'PlayerGrades+'!$AA$14,"D",IF(D385&lt;'PlayerGrades+'!$AA$13,"D+",IF(D385&lt;'PlayerGrades+'!$AA$12,"C-",IF(D385&lt;'PlayerGrades+'!$AA$11,"C",IF(D385&lt;'PlayerGrades+'!$AA$10,"C+",IF(D385&lt;'PlayerGrades+'!$AA$9,"B-",IF(D385&lt;'PlayerGrades+'!$AA$8,"B",IF(D385&lt;'PlayerGrades+'!$AA$7,"B+",IF(D385&lt;'PlayerGrades+'!$AA$6,"A-",IF(D385&lt;'PlayerGrades+'!$AA$5,"A",IF(D385&lt;'PlayerGrades+'!$AA$4,"A+",IF(D385&lt;'PlayerGrades+'!$AA$3,"S-",IF(D385&lt;'PlayerGrades+'!$AA$2,"S","S+"))))))))))))))))))))</f>
        <v>#DIV/0!</v>
      </c>
      <c r="F385" s="961" t="str">
        <f t="shared" si="2"/>
        <v>#DIV/0!</v>
      </c>
      <c r="G385" s="961" t="str">
        <f>IF(F385&lt;'PlayerGrades+'!$AB$21,"F-",IF(F385&lt;'PlayerGrades+'!$AB$20,"F",IF(F385&lt;'PlayerGrades+'!$AB$19,"F+",IF(F385&lt;'PlayerGrades+'!$AB$18,"E-",IF(F385&lt;'PlayerGrades+'!$AB$17,"E",IF(F385&lt;'PlayerGrades+'!$AB$16,"E+",IF(F385&lt;'PlayerGrades+'!$AB$15,"D-",IF(F385&lt;'PlayerGrades+'!$AB$14,"D",IF(F385&lt;'PlayerGrades+'!$AB$13,"D+",IF(F385&lt;'PlayerGrades+'!$AB$12,"C-",IF(F385&lt;'PlayerGrades+'!$AB$11,"C",IF(F385&lt;'PlayerGrades+'!$AB$10,"C+",IF(F385&lt;'PlayerGrades+'!$AB$9,"B-",IF(F385&lt;'PlayerGrades+'!$AB$8,"B",IF(F385&lt;'PlayerGrades+'!$AB$7,"B+",IF(F385&lt;'PlayerGrades+'!$AB$6,"A-",IF(F385&lt;'PlayerGrades+'!$AB$5,"A",IF(F385&lt;'PlayerGrades+'!$AB$4,"A+",IF(F385&lt;'PlayerGrades+'!$AB$3,"S-",IF(F385&lt;'PlayerGrades+'!$AB$2,"S","S+"))))))))))))))))))))</f>
        <v>#DIV/0!</v>
      </c>
      <c r="H385" s="961" t="str">
        <f t="shared" si="3"/>
        <v>#DIV/0!</v>
      </c>
      <c r="I385" s="961" t="str">
        <f>IF(H385&lt;'PlayerGrades+'!$AC$21,"F-",IF(H385&lt;'PlayerGrades+'!$AC$20,"F",IF(H385&lt;'PlayerGrades+'!$AC$19,"F+",IF(H385&lt;'PlayerGrades+'!$AC$18,"E-",IF(H385&lt;'PlayerGrades+'!$AC$17,"E",IF(H385&lt;'PlayerGrades+'!$AC$16,"E+",IF(H385&lt;'PlayerGrades+'!$AC$15,"D-",IF(H385&lt;'PlayerGrades+'!$AC$14,"D",IF(H385&lt;'PlayerGrades+'!$AC$13,"D+",IF(H385&lt;'PlayerGrades+'!$AC$12,"C-",IF(H385&lt;'PlayerGrades+'!$AC$11,"C",IF(H385&lt;'PlayerGrades+'!$AC$10,"C+",IF(H385&lt;'PlayerGrades+'!$AC$9,"B-",IF(H385&lt;'PlayerGrades+'!$AC$8,"B",IF(H385&lt;'PlayerGrades+'!$AC$7,"B+",IF(H385&lt;'PlayerGrades+'!$AC$6,"A-",IF(H385&lt;'PlayerGrades+'!$AC$5,"A",IF(H385&lt;'PlayerGrades+'!$AC$4,"A+",IF(H385&lt;'PlayerGrades+'!$AC$3,"S-",IF(H385&lt;'PlayerGrades+'!$AC$2,"S","S+"))))))))))))))))))))</f>
        <v>#DIV/0!</v>
      </c>
      <c r="J385" s="961" t="str">
        <f t="shared" si="4"/>
        <v>#DIV/0!</v>
      </c>
      <c r="K385" s="961" t="str">
        <f>IF(J385&lt;'PlayerGrades+'!$AD$21,"F-",IF(J385&lt;'PlayerGrades+'!$AD$20,"F",IF(J385&lt;'PlayerGrades+'!$AD$19,"F+",IF(J385&lt;'PlayerGrades+'!$AD$18,"E-",IF(J385&lt;'PlayerGrades+'!$AD$17,"E",IF(J385&lt;'PlayerGrades+'!$AD$16,"E+",IF(J385&lt;'PlayerGrades+'!$AD$15,"D-",IF(J385&lt;'PlayerGrades+'!$AD$14,"D",IF(J385&lt;'PlayerGrades+'!$AD$13,"D+",IF(J385&lt;'PlayerGrades+'!$AD$12,"C-",IF(J385&lt;'PlayerGrades+'!$AD$11,"C",IF(J385&lt;'PlayerGrades+'!$AD$10,"C+",IF(J385&lt;'PlayerGrades+'!$AD$9,"B-",IF(J385&lt;'PlayerGrades+'!$AD$8,"B",IF(J385&lt;'PlayerGrades+'!$AD$7,"B+",IF(J385&lt;'PlayerGrades+'!$AD$6,"A-",IF(J385&lt;'PlayerGrades+'!$AD$5,"A",IF(J385&lt;'PlayerGrades+'!$AD$4,"A+",IF(J385&lt;'PlayerGrades+'!$AD$3,"S-",IF(J385&lt;'PlayerGrades+'!$AD$2,"S","S+"))))))))))))))))))))</f>
        <v>#DIV/0!</v>
      </c>
      <c r="L385" s="1176" t="str">
        <f t="shared" si="5"/>
        <v>#DIV/0!</v>
      </c>
      <c r="M385" s="992" t="str">
        <f>IF(L385&lt;'PlayerGrades+'!$AE$21,"F-",IF(L385&lt;'PlayerGrades+'!$AE$20,"F",IF(L385&lt;'PlayerGrades+'!$AE$19,"F+",IF(L385&lt;'PlayerGrades+'!$AE$18,"E-",IF(L385&lt;'PlayerGrades+'!$AE$17,"E",IF(L385&lt;'PlayerGrades+'!$AE$16,"E+",IF(L385&lt;'PlayerGrades+'!$AE$15,"D-",IF(L385&lt;'PlayerGrades+'!$AE$14,"D",IF(L385&lt;'PlayerGrades+'!$AE$13,"D+",IF(L385&lt;'PlayerGrades+'!$AE$12,"C-",IF(L385&lt;'PlayerGrades+'!$AE$11,"C",IF(L385&lt;'PlayerGrades+'!$AE$10,"C+",IF(L385&lt;'PlayerGrades+'!$AE$9,"B-",IF(L385&lt;'PlayerGrades+'!$AE$8,"B",IF(L385&lt;'PlayerGrades+'!$AE$7,"B+",IF(L385&lt;'PlayerGrades+'!$AE$6,"A-",IF(L385&lt;'PlayerGrades+'!$AE$5,"A",IF(L385&lt;'PlayerGrades+'!$AE$4,"A+",IF(L385&lt;'PlayerGrades+'!$AE$3,"S-",IF(L385&lt;'PlayerGrades+'!$AE$2,"S","S+"))))))))))))))))))))</f>
        <v>#DIV/0!</v>
      </c>
      <c r="N385" s="961" t="str">
        <f t="shared" si="6"/>
        <v>#DIV/0!</v>
      </c>
      <c r="O385" s="961" t="str">
        <f>IF(N385&lt;'PlayerGrades+'!$AF$21,"F-",IF(N385&lt;'PlayerGrades+'!$AF$20,"F",IF(N385&lt;'PlayerGrades+'!$AF$19,"F+",IF(N385&lt;'PlayerGrades+'!$AF$18,"E-",IF(N385&lt;'PlayerGrades+'!$AF$17,"E",IF(N385&lt;'PlayerGrades+'!$AF$16,"E+",IF(N385&lt;'PlayerGrades+'!$AF$15,"D-",IF(N385&lt;'PlayerGrades+'!$AF$14,"D",IF(N385&lt;'PlayerGrades+'!$AF$13,"D+",IF(N385&lt;'PlayerGrades+'!$AF$12,"C-",IF(N385&lt;'PlayerGrades+'!$AF$11,"C",IF(N385&lt;'PlayerGrades+'!$AF$10,"C+",IF(N385&lt;'PlayerGrades+'!$AF$9,"B-",IF(N385&lt;'PlayerGrades+'!$AF$8,"B",IF(N385&lt;'PlayerGrades+'!$AF$7,"B+",IF(N385&lt;'PlayerGrades+'!$AF$6,"A-",IF(N385&lt;'PlayerGrades+'!$AF$5,"A",IF(N385&lt;'PlayerGrades+'!$AF$4,"A+",IF(N385&lt;'PlayerGrades+'!$AF$3,"S-",IF(N385&lt;'PlayerGrades+'!$AF$2,"S","S+"))))))))))))))))))))</f>
        <v>#DIV/0!</v>
      </c>
      <c r="P385" s="961" t="str">
        <f t="shared" si="7"/>
        <v>#DIV/0!</v>
      </c>
      <c r="Q385" s="961" t="str">
        <f>IF(P385&lt;'PlayerGrades+'!$AG$21,"F-",IF(P385&lt;'PlayerGrades+'!$AG$20,"F",IF(P385&lt;'PlayerGrades+'!$AG$19,"F+",IF(P385&lt;'PlayerGrades+'!$AG$18,"E-",IF(P385&lt;'PlayerGrades+'!$AG$17,"E",IF(P385&lt;'PlayerGrades+'!$AG$16,"E+",IF(P385&lt;'PlayerGrades+'!$AG$15,"D-",IF(P385&lt;'PlayerGrades+'!$AG$14,"D",IF(P385&lt;'PlayerGrades+'!$AG$13,"D+",IF(P385&lt;'PlayerGrades+'!$AG$12,"C-",IF(P385&lt;'PlayerGrades+'!$AG$11,"C",IF(P385&lt;'PlayerGrades+'!$AG$10,"C+",IF(P385&lt;'PlayerGrades+'!$AG$9,"B-",IF(P385&lt;'PlayerGrades+'!$AG$8,"B",IF(P385&lt;'PlayerGrades+'!$AG$7,"B+",IF(P385&lt;'PlayerGrades+'!$AG$6,"A-",IF(P385&lt;'PlayerGrades+'!$AG$5,"A",IF(P385&lt;'PlayerGrades+'!$AG$4,"A+",IF(P385&lt;'PlayerGrades+'!$AG$3,"S-",IF(P385&lt;'PlayerGrades+'!$AG$2,"S","S+"))))))))))))))))))))</f>
        <v>#DIV/0!</v>
      </c>
      <c r="R385" s="961" t="str">
        <f t="shared" si="8"/>
        <v>#DIV/0!</v>
      </c>
      <c r="S385" s="961" t="str">
        <f>IF(R385&lt;'PlayerGrades+'!$AH$21,"F-",IF(R385&lt;'PlayerGrades+'!$AH$20,"F",IF(R385&lt;'PlayerGrades+'!$AH$19,"F+",IF(R385&lt;'PlayerGrades+'!$AH$18,"E-",IF(R385&lt;'PlayerGrades+'!$AH$17,"E",IF(R385&lt;'PlayerGrades+'!$AH$16,"E+",IF(R385&lt;'PlayerGrades+'!$AH$15,"D-",IF(R385&lt;'PlayerGrades+'!$AH$14,"D",IF(R385&lt;'PlayerGrades+'!$AH$13,"D+",IF(R385&lt;'PlayerGrades+'!$AH$12,"C-",IF(R385&lt;'PlayerGrades+'!$AH$11,"C",IF(R385&lt;'PlayerGrades+'!$AH$10,"C+",IF(R385&lt;'PlayerGrades+'!$AH$9,"B-",IF(R385&lt;'PlayerGrades+'!$AH$8,"B",IF(R385&lt;'PlayerGrades+'!$AH$7,"B+",IF(R385&lt;'PlayerGrades+'!$AH$6,"A-",IF(R385&lt;'PlayerGrades+'!$AH$5,"A",IF(R385&lt;'PlayerGrades+'!$AH$4,"A+",IF(R385&lt;'PlayerGrades+'!$AH$3,"S-",IF(R385&lt;'PlayerGrades+'!$AH$2,"S","S+"))))))))))))))))))))</f>
        <v>#DIV/0!</v>
      </c>
      <c r="T385" s="961">
        <f t="shared" si="9"/>
        <v>0</v>
      </c>
      <c r="U385" s="961" t="str">
        <f>IF(T385&lt;'PlayerGrades+'!$AI$21,"F-",IF(T385&lt;'PlayerGrades+'!$AI$20,"F",IF(T385&lt;'PlayerGrades+'!$AI$19,"F+",IF(T385&lt;'PlayerGrades+'!$AI$18,"E-",IF(T385&lt;'PlayerGrades+'!$AI$17,"E",IF(T385&lt;'PlayerGrades+'!$AI$16,"E+",IF(T385&lt;'PlayerGrades+'!$AI$15,"D-",IF(T385&lt;'PlayerGrades+'!$AI$14,"D",IF(T385&lt;'PlayerGrades+'!$AI$13,"D+",IF(T385&lt;'PlayerGrades+'!$AI$12,"C-",IF(T385&lt;'PlayerGrades+'!$AI$11,"C",IF(T385&lt;'PlayerGrades+'!$AI$10,"C+",IF(T385&lt;'PlayerGrades+'!$AI$9,"B-",IF(T385&lt;'PlayerGrades+'!$AI$8,"B",IF(T385&lt;'PlayerGrades+'!$AI$7,"B+",IF(T385&lt;'PlayerGrades+'!$AI$6,"A-",IF(T385&lt;'PlayerGrades+'!$AI$5,"A",IF(T385&lt;'PlayerGrades+'!$AI$4,"A+",IF(T385&lt;'PlayerGrades+'!$AI$3,"S-",IF(T385&lt;'PlayerGrades+'!$AI$2,"S","S+"))))))))))))))))))))</f>
        <v>F-</v>
      </c>
      <c r="V385" s="1386"/>
      <c r="W385" s="1386"/>
      <c r="X385" s="1386"/>
      <c r="Y385" s="1386"/>
      <c r="Z385" s="1386"/>
      <c r="AA385" s="1386"/>
      <c r="AB385" s="1386"/>
      <c r="AC385" s="1397"/>
      <c r="AD385" s="1386"/>
      <c r="AE385" s="1386"/>
      <c r="AF385" s="1386"/>
      <c r="AG385" s="1386"/>
      <c r="AH385" s="1386"/>
      <c r="AI385" s="1386"/>
      <c r="AJ385" s="1386"/>
      <c r="AK385" s="1386"/>
      <c r="AL385" s="1386"/>
      <c r="AM385" s="1386"/>
      <c r="AN385" s="1386"/>
      <c r="AO385" s="1386"/>
      <c r="AP385" s="1386"/>
      <c r="AQ385" s="1386"/>
      <c r="AR385" s="1386"/>
      <c r="AS385" s="1386"/>
      <c r="AT385" s="1386"/>
      <c r="AU385" s="1386"/>
      <c r="AV385" s="1386"/>
      <c r="AW385" s="1386"/>
      <c r="AX385" s="1386"/>
      <c r="AY385" s="1386"/>
      <c r="AZ385" s="1386"/>
    </row>
    <row r="386">
      <c r="A386" s="1389"/>
      <c r="B386" s="611" t="str">
        <f>IF(C386&lt;'PlayerGrades+'!$Y$44,"F-",IF(C386&lt;'PlayerGrades+'!$Y$43,"F",IF(C386&lt;'PlayerGrades+'!$Y$42,"F+",IF(C386&lt;'PlayerGrades+'!$Y$41,"E-",IF(C386&lt;'PlayerGrades+'!$Y$40,"E",IF(C386&lt;'PlayerGrades+'!$Y$39,"E+",IF(C386&lt;'PlayerGrades+'!$Y$38,"D-",IF(C386&lt;'PlayerGrades+'!$Y$37,"D",IF(C386&lt;'PlayerGrades+'!$Y$36,"D+",IF(C386&lt;'PlayerGrades+'!$Y$35,"C-",IF(C386&lt;'PlayerGrades+'!$Y$34,"C",IF(C386&lt;'PlayerGrades+'!$Y$33,"C+",IF(C386&lt;'PlayerGrades+'!$Y$32,"B-",IF(C386&lt;'PlayerGrades+'!$Y$31,"B",IF(C386&lt;'PlayerGrades+'!$Y$30,"B+",IF(C386&lt;'PlayerGrades+'!$Y$29,"A-",IF(C386&lt;'PlayerGrades+'!$Y$28,"A",IF(C386&lt;'PlayerGrades+'!$Y$27,"A+",IF(C386&lt;'PlayerGrades+'!$Y$26,"S-",IF(C386&lt;'PlayerGrades+'!$Y$25,"S","S+"))))))))))))))))))))</f>
        <v>#DIV/0!</v>
      </c>
      <c r="C386" s="1378" t="str">
        <f>('PlayerGrades+'!$Y$47*(VLOOKUP(E386, 'PlayerGrades+'!$X$3:$Y$23, 2, FALSE)))+('PlayerGrades+'!$Y$48*(VLOOKUP(G386, 'PlayerGrades+'!$X$3:$Y$23, 2, FALSE)))+('PlayerGrades+'!$Y$49*(VLOOKUP(I386, 'PlayerGrades+'!$X$3:$Y$23, 2, FALSE)))+('PlayerGrades+'!$Y$50*(VLOOKUP(K386, 'PlayerGrades+'!$X$3:$Y$23, 2, FALSE)))+('PlayerGrades+'!$Y$51*(VLOOKUP(M386, 'PlayerGrades+'!$X$3:$Y$23, 2, FALSE)))+('PlayerGrades+'!$Y$52*(VLOOKUP(O386, 'PlayerGrades+'!$X$3:$Y$23, 2, FALSE)))+('PlayerGrades+'!$Y$53*(VLOOKUP(Q386, 'PlayerGrades+'!$X$3:$Y$23, 2, FALSE)))+('PlayerGrades+'!$Y$54*(VLOOKUP(S386, 'PlayerGrades+'!$X$3:$Y$23, 2, FALSE)))+('PlayerGrades+'!$Y$55*(VLOOKUP(U386, 'PlayerGrades+'!$X$3:$Y$23, 2, FALSE)))</f>
        <v>#DIV/0!</v>
      </c>
      <c r="D386" s="961" t="str">
        <f t="shared" si="1"/>
        <v>#DIV/0!</v>
      </c>
      <c r="E386" s="961" t="str">
        <f>IF(D386&lt;'PlayerGrades+'!$AA$21,"F-",IF(D386&lt;'PlayerGrades+'!$AA$20,"F",IF(D386&lt;'PlayerGrades+'!$AA$19,"F+",IF(D386&lt;'PlayerGrades+'!$AA$18,"E-",IF(D386&lt;'PlayerGrades+'!$AA$17,"E",IF(D386&lt;'PlayerGrades+'!$AA$16,"E+",IF(D386&lt;'PlayerGrades+'!$AA$15,"D-",IF(D386&lt;'PlayerGrades+'!$AA$14,"D",IF(D386&lt;'PlayerGrades+'!$AA$13,"D+",IF(D386&lt;'PlayerGrades+'!$AA$12,"C-",IF(D386&lt;'PlayerGrades+'!$AA$11,"C",IF(D386&lt;'PlayerGrades+'!$AA$10,"C+",IF(D386&lt;'PlayerGrades+'!$AA$9,"B-",IF(D386&lt;'PlayerGrades+'!$AA$8,"B",IF(D386&lt;'PlayerGrades+'!$AA$7,"B+",IF(D386&lt;'PlayerGrades+'!$AA$6,"A-",IF(D386&lt;'PlayerGrades+'!$AA$5,"A",IF(D386&lt;'PlayerGrades+'!$AA$4,"A+",IF(D386&lt;'PlayerGrades+'!$AA$3,"S-",IF(D386&lt;'PlayerGrades+'!$AA$2,"S","S+"))))))))))))))))))))</f>
        <v>#DIV/0!</v>
      </c>
      <c r="F386" s="961" t="str">
        <f t="shared" si="2"/>
        <v>#DIV/0!</v>
      </c>
      <c r="G386" s="961" t="str">
        <f>IF(F386&lt;'PlayerGrades+'!$AB$21,"F-",IF(F386&lt;'PlayerGrades+'!$AB$20,"F",IF(F386&lt;'PlayerGrades+'!$AB$19,"F+",IF(F386&lt;'PlayerGrades+'!$AB$18,"E-",IF(F386&lt;'PlayerGrades+'!$AB$17,"E",IF(F386&lt;'PlayerGrades+'!$AB$16,"E+",IF(F386&lt;'PlayerGrades+'!$AB$15,"D-",IF(F386&lt;'PlayerGrades+'!$AB$14,"D",IF(F386&lt;'PlayerGrades+'!$AB$13,"D+",IF(F386&lt;'PlayerGrades+'!$AB$12,"C-",IF(F386&lt;'PlayerGrades+'!$AB$11,"C",IF(F386&lt;'PlayerGrades+'!$AB$10,"C+",IF(F386&lt;'PlayerGrades+'!$AB$9,"B-",IF(F386&lt;'PlayerGrades+'!$AB$8,"B",IF(F386&lt;'PlayerGrades+'!$AB$7,"B+",IF(F386&lt;'PlayerGrades+'!$AB$6,"A-",IF(F386&lt;'PlayerGrades+'!$AB$5,"A",IF(F386&lt;'PlayerGrades+'!$AB$4,"A+",IF(F386&lt;'PlayerGrades+'!$AB$3,"S-",IF(F386&lt;'PlayerGrades+'!$AB$2,"S","S+"))))))))))))))))))))</f>
        <v>#DIV/0!</v>
      </c>
      <c r="H386" s="961" t="str">
        <f t="shared" si="3"/>
        <v>#DIV/0!</v>
      </c>
      <c r="I386" s="961" t="str">
        <f>IF(H386&lt;'PlayerGrades+'!$AC$21,"F-",IF(H386&lt;'PlayerGrades+'!$AC$20,"F",IF(H386&lt;'PlayerGrades+'!$AC$19,"F+",IF(H386&lt;'PlayerGrades+'!$AC$18,"E-",IF(H386&lt;'PlayerGrades+'!$AC$17,"E",IF(H386&lt;'PlayerGrades+'!$AC$16,"E+",IF(H386&lt;'PlayerGrades+'!$AC$15,"D-",IF(H386&lt;'PlayerGrades+'!$AC$14,"D",IF(H386&lt;'PlayerGrades+'!$AC$13,"D+",IF(H386&lt;'PlayerGrades+'!$AC$12,"C-",IF(H386&lt;'PlayerGrades+'!$AC$11,"C",IF(H386&lt;'PlayerGrades+'!$AC$10,"C+",IF(H386&lt;'PlayerGrades+'!$AC$9,"B-",IF(H386&lt;'PlayerGrades+'!$AC$8,"B",IF(H386&lt;'PlayerGrades+'!$AC$7,"B+",IF(H386&lt;'PlayerGrades+'!$AC$6,"A-",IF(H386&lt;'PlayerGrades+'!$AC$5,"A",IF(H386&lt;'PlayerGrades+'!$AC$4,"A+",IF(H386&lt;'PlayerGrades+'!$AC$3,"S-",IF(H386&lt;'PlayerGrades+'!$AC$2,"S","S+"))))))))))))))))))))</f>
        <v>#DIV/0!</v>
      </c>
      <c r="J386" s="961" t="str">
        <f t="shared" si="4"/>
        <v>#DIV/0!</v>
      </c>
      <c r="K386" s="961" t="str">
        <f>IF(J386&lt;'PlayerGrades+'!$AD$21,"F-",IF(J386&lt;'PlayerGrades+'!$AD$20,"F",IF(J386&lt;'PlayerGrades+'!$AD$19,"F+",IF(J386&lt;'PlayerGrades+'!$AD$18,"E-",IF(J386&lt;'PlayerGrades+'!$AD$17,"E",IF(J386&lt;'PlayerGrades+'!$AD$16,"E+",IF(J386&lt;'PlayerGrades+'!$AD$15,"D-",IF(J386&lt;'PlayerGrades+'!$AD$14,"D",IF(J386&lt;'PlayerGrades+'!$AD$13,"D+",IF(J386&lt;'PlayerGrades+'!$AD$12,"C-",IF(J386&lt;'PlayerGrades+'!$AD$11,"C",IF(J386&lt;'PlayerGrades+'!$AD$10,"C+",IF(J386&lt;'PlayerGrades+'!$AD$9,"B-",IF(J386&lt;'PlayerGrades+'!$AD$8,"B",IF(J386&lt;'PlayerGrades+'!$AD$7,"B+",IF(J386&lt;'PlayerGrades+'!$AD$6,"A-",IF(J386&lt;'PlayerGrades+'!$AD$5,"A",IF(J386&lt;'PlayerGrades+'!$AD$4,"A+",IF(J386&lt;'PlayerGrades+'!$AD$3,"S-",IF(J386&lt;'PlayerGrades+'!$AD$2,"S","S+"))))))))))))))))))))</f>
        <v>#DIV/0!</v>
      </c>
      <c r="L386" s="1176" t="str">
        <f t="shared" si="5"/>
        <v>#DIV/0!</v>
      </c>
      <c r="M386" s="992" t="str">
        <f>IF(L386&lt;'PlayerGrades+'!$AE$21,"F-",IF(L386&lt;'PlayerGrades+'!$AE$20,"F",IF(L386&lt;'PlayerGrades+'!$AE$19,"F+",IF(L386&lt;'PlayerGrades+'!$AE$18,"E-",IF(L386&lt;'PlayerGrades+'!$AE$17,"E",IF(L386&lt;'PlayerGrades+'!$AE$16,"E+",IF(L386&lt;'PlayerGrades+'!$AE$15,"D-",IF(L386&lt;'PlayerGrades+'!$AE$14,"D",IF(L386&lt;'PlayerGrades+'!$AE$13,"D+",IF(L386&lt;'PlayerGrades+'!$AE$12,"C-",IF(L386&lt;'PlayerGrades+'!$AE$11,"C",IF(L386&lt;'PlayerGrades+'!$AE$10,"C+",IF(L386&lt;'PlayerGrades+'!$AE$9,"B-",IF(L386&lt;'PlayerGrades+'!$AE$8,"B",IF(L386&lt;'PlayerGrades+'!$AE$7,"B+",IF(L386&lt;'PlayerGrades+'!$AE$6,"A-",IF(L386&lt;'PlayerGrades+'!$AE$5,"A",IF(L386&lt;'PlayerGrades+'!$AE$4,"A+",IF(L386&lt;'PlayerGrades+'!$AE$3,"S-",IF(L386&lt;'PlayerGrades+'!$AE$2,"S","S+"))))))))))))))))))))</f>
        <v>#DIV/0!</v>
      </c>
      <c r="N386" s="961" t="str">
        <f t="shared" si="6"/>
        <v>#DIV/0!</v>
      </c>
      <c r="O386" s="961" t="str">
        <f>IF(N386&lt;'PlayerGrades+'!$AF$21,"F-",IF(N386&lt;'PlayerGrades+'!$AF$20,"F",IF(N386&lt;'PlayerGrades+'!$AF$19,"F+",IF(N386&lt;'PlayerGrades+'!$AF$18,"E-",IF(N386&lt;'PlayerGrades+'!$AF$17,"E",IF(N386&lt;'PlayerGrades+'!$AF$16,"E+",IF(N386&lt;'PlayerGrades+'!$AF$15,"D-",IF(N386&lt;'PlayerGrades+'!$AF$14,"D",IF(N386&lt;'PlayerGrades+'!$AF$13,"D+",IF(N386&lt;'PlayerGrades+'!$AF$12,"C-",IF(N386&lt;'PlayerGrades+'!$AF$11,"C",IF(N386&lt;'PlayerGrades+'!$AF$10,"C+",IF(N386&lt;'PlayerGrades+'!$AF$9,"B-",IF(N386&lt;'PlayerGrades+'!$AF$8,"B",IF(N386&lt;'PlayerGrades+'!$AF$7,"B+",IF(N386&lt;'PlayerGrades+'!$AF$6,"A-",IF(N386&lt;'PlayerGrades+'!$AF$5,"A",IF(N386&lt;'PlayerGrades+'!$AF$4,"A+",IF(N386&lt;'PlayerGrades+'!$AF$3,"S-",IF(N386&lt;'PlayerGrades+'!$AF$2,"S","S+"))))))))))))))))))))</f>
        <v>#DIV/0!</v>
      </c>
      <c r="P386" s="961" t="str">
        <f t="shared" si="7"/>
        <v>#DIV/0!</v>
      </c>
      <c r="Q386" s="961" t="str">
        <f>IF(P386&lt;'PlayerGrades+'!$AG$21,"F-",IF(P386&lt;'PlayerGrades+'!$AG$20,"F",IF(P386&lt;'PlayerGrades+'!$AG$19,"F+",IF(P386&lt;'PlayerGrades+'!$AG$18,"E-",IF(P386&lt;'PlayerGrades+'!$AG$17,"E",IF(P386&lt;'PlayerGrades+'!$AG$16,"E+",IF(P386&lt;'PlayerGrades+'!$AG$15,"D-",IF(P386&lt;'PlayerGrades+'!$AG$14,"D",IF(P386&lt;'PlayerGrades+'!$AG$13,"D+",IF(P386&lt;'PlayerGrades+'!$AG$12,"C-",IF(P386&lt;'PlayerGrades+'!$AG$11,"C",IF(P386&lt;'PlayerGrades+'!$AG$10,"C+",IF(P386&lt;'PlayerGrades+'!$AG$9,"B-",IF(P386&lt;'PlayerGrades+'!$AG$8,"B",IF(P386&lt;'PlayerGrades+'!$AG$7,"B+",IF(P386&lt;'PlayerGrades+'!$AG$6,"A-",IF(P386&lt;'PlayerGrades+'!$AG$5,"A",IF(P386&lt;'PlayerGrades+'!$AG$4,"A+",IF(P386&lt;'PlayerGrades+'!$AG$3,"S-",IF(P386&lt;'PlayerGrades+'!$AG$2,"S","S+"))))))))))))))))))))</f>
        <v>#DIV/0!</v>
      </c>
      <c r="R386" s="961" t="str">
        <f t="shared" si="8"/>
        <v>#DIV/0!</v>
      </c>
      <c r="S386" s="961" t="str">
        <f>IF(R386&lt;'PlayerGrades+'!$AH$21,"F-",IF(R386&lt;'PlayerGrades+'!$AH$20,"F",IF(R386&lt;'PlayerGrades+'!$AH$19,"F+",IF(R386&lt;'PlayerGrades+'!$AH$18,"E-",IF(R386&lt;'PlayerGrades+'!$AH$17,"E",IF(R386&lt;'PlayerGrades+'!$AH$16,"E+",IF(R386&lt;'PlayerGrades+'!$AH$15,"D-",IF(R386&lt;'PlayerGrades+'!$AH$14,"D",IF(R386&lt;'PlayerGrades+'!$AH$13,"D+",IF(R386&lt;'PlayerGrades+'!$AH$12,"C-",IF(R386&lt;'PlayerGrades+'!$AH$11,"C",IF(R386&lt;'PlayerGrades+'!$AH$10,"C+",IF(R386&lt;'PlayerGrades+'!$AH$9,"B-",IF(R386&lt;'PlayerGrades+'!$AH$8,"B",IF(R386&lt;'PlayerGrades+'!$AH$7,"B+",IF(R386&lt;'PlayerGrades+'!$AH$6,"A-",IF(R386&lt;'PlayerGrades+'!$AH$5,"A",IF(R386&lt;'PlayerGrades+'!$AH$4,"A+",IF(R386&lt;'PlayerGrades+'!$AH$3,"S-",IF(R386&lt;'PlayerGrades+'!$AH$2,"S","S+"))))))))))))))))))))</f>
        <v>#DIV/0!</v>
      </c>
      <c r="T386" s="961">
        <f t="shared" si="9"/>
        <v>0</v>
      </c>
      <c r="U386" s="961" t="str">
        <f>IF(T386&lt;'PlayerGrades+'!$AI$21,"F-",IF(T386&lt;'PlayerGrades+'!$AI$20,"F",IF(T386&lt;'PlayerGrades+'!$AI$19,"F+",IF(T386&lt;'PlayerGrades+'!$AI$18,"E-",IF(T386&lt;'PlayerGrades+'!$AI$17,"E",IF(T386&lt;'PlayerGrades+'!$AI$16,"E+",IF(T386&lt;'PlayerGrades+'!$AI$15,"D-",IF(T386&lt;'PlayerGrades+'!$AI$14,"D",IF(T386&lt;'PlayerGrades+'!$AI$13,"D+",IF(T386&lt;'PlayerGrades+'!$AI$12,"C-",IF(T386&lt;'PlayerGrades+'!$AI$11,"C",IF(T386&lt;'PlayerGrades+'!$AI$10,"C+",IF(T386&lt;'PlayerGrades+'!$AI$9,"B-",IF(T386&lt;'PlayerGrades+'!$AI$8,"B",IF(T386&lt;'PlayerGrades+'!$AI$7,"B+",IF(T386&lt;'PlayerGrades+'!$AI$6,"A-",IF(T386&lt;'PlayerGrades+'!$AI$5,"A",IF(T386&lt;'PlayerGrades+'!$AI$4,"A+",IF(T386&lt;'PlayerGrades+'!$AI$3,"S-",IF(T386&lt;'PlayerGrades+'!$AI$2,"S","S+"))))))))))))))))))))</f>
        <v>F-</v>
      </c>
      <c r="V386" s="1379"/>
      <c r="W386" s="1379"/>
      <c r="X386" s="1379"/>
      <c r="Y386" s="1379"/>
      <c r="Z386" s="1379"/>
      <c r="AA386" s="1379"/>
      <c r="AB386" s="1379"/>
      <c r="AC386" s="1390"/>
      <c r="AD386" s="1379"/>
      <c r="AE386" s="1379"/>
      <c r="AF386" s="1379"/>
      <c r="AG386" s="1379"/>
      <c r="AH386" s="1379"/>
      <c r="AI386" s="1379"/>
      <c r="AJ386" s="1379"/>
      <c r="AK386" s="1379"/>
      <c r="AL386" s="1379"/>
      <c r="AM386" s="1379"/>
      <c r="AN386" s="1379"/>
      <c r="AO386" s="1379"/>
      <c r="AP386" s="1379"/>
      <c r="AQ386" s="1379"/>
      <c r="AR386" s="1379"/>
      <c r="AS386" s="1379"/>
      <c r="AT386" s="1379"/>
      <c r="AU386" s="1379"/>
      <c r="AV386" s="1379"/>
      <c r="AW386" s="1379"/>
      <c r="AX386" s="1379"/>
      <c r="AY386" s="1379"/>
      <c r="AZ386" s="1379"/>
    </row>
    <row r="387">
      <c r="A387" s="1391"/>
      <c r="B387" s="611" t="str">
        <f>IF(C387&lt;'PlayerGrades+'!$Y$44,"F-",IF(C387&lt;'PlayerGrades+'!$Y$43,"F",IF(C387&lt;'PlayerGrades+'!$Y$42,"F+",IF(C387&lt;'PlayerGrades+'!$Y$41,"E-",IF(C387&lt;'PlayerGrades+'!$Y$40,"E",IF(C387&lt;'PlayerGrades+'!$Y$39,"E+",IF(C387&lt;'PlayerGrades+'!$Y$38,"D-",IF(C387&lt;'PlayerGrades+'!$Y$37,"D",IF(C387&lt;'PlayerGrades+'!$Y$36,"D+",IF(C387&lt;'PlayerGrades+'!$Y$35,"C-",IF(C387&lt;'PlayerGrades+'!$Y$34,"C",IF(C387&lt;'PlayerGrades+'!$Y$33,"C+",IF(C387&lt;'PlayerGrades+'!$Y$32,"B-",IF(C387&lt;'PlayerGrades+'!$Y$31,"B",IF(C387&lt;'PlayerGrades+'!$Y$30,"B+",IF(C387&lt;'PlayerGrades+'!$Y$29,"A-",IF(C387&lt;'PlayerGrades+'!$Y$28,"A",IF(C387&lt;'PlayerGrades+'!$Y$27,"A+",IF(C387&lt;'PlayerGrades+'!$Y$26,"S-",IF(C387&lt;'PlayerGrades+'!$Y$25,"S","S+"))))))))))))))))))))</f>
        <v>#DIV/0!</v>
      </c>
      <c r="C387" s="1378" t="str">
        <f>('PlayerGrades+'!$Y$47*(VLOOKUP(E387, 'PlayerGrades+'!$X$3:$Y$23, 2, FALSE)))+('PlayerGrades+'!$Y$48*(VLOOKUP(G387, 'PlayerGrades+'!$X$3:$Y$23, 2, FALSE)))+('PlayerGrades+'!$Y$49*(VLOOKUP(I387, 'PlayerGrades+'!$X$3:$Y$23, 2, FALSE)))+('PlayerGrades+'!$Y$50*(VLOOKUP(K387, 'PlayerGrades+'!$X$3:$Y$23, 2, FALSE)))+('PlayerGrades+'!$Y$51*(VLOOKUP(M387, 'PlayerGrades+'!$X$3:$Y$23, 2, FALSE)))+('PlayerGrades+'!$Y$52*(VLOOKUP(O387, 'PlayerGrades+'!$X$3:$Y$23, 2, FALSE)))+('PlayerGrades+'!$Y$53*(VLOOKUP(Q387, 'PlayerGrades+'!$X$3:$Y$23, 2, FALSE)))+('PlayerGrades+'!$Y$54*(VLOOKUP(S387, 'PlayerGrades+'!$X$3:$Y$23, 2, FALSE)))+('PlayerGrades+'!$Y$55*(VLOOKUP(U387, 'PlayerGrades+'!$X$3:$Y$23, 2, FALSE)))</f>
        <v>#DIV/0!</v>
      </c>
      <c r="D387" s="961" t="str">
        <f t="shared" si="1"/>
        <v>#DIV/0!</v>
      </c>
      <c r="E387" s="961" t="str">
        <f>IF(D387&lt;'PlayerGrades+'!$AA$21,"F-",IF(D387&lt;'PlayerGrades+'!$AA$20,"F",IF(D387&lt;'PlayerGrades+'!$AA$19,"F+",IF(D387&lt;'PlayerGrades+'!$AA$18,"E-",IF(D387&lt;'PlayerGrades+'!$AA$17,"E",IF(D387&lt;'PlayerGrades+'!$AA$16,"E+",IF(D387&lt;'PlayerGrades+'!$AA$15,"D-",IF(D387&lt;'PlayerGrades+'!$AA$14,"D",IF(D387&lt;'PlayerGrades+'!$AA$13,"D+",IF(D387&lt;'PlayerGrades+'!$AA$12,"C-",IF(D387&lt;'PlayerGrades+'!$AA$11,"C",IF(D387&lt;'PlayerGrades+'!$AA$10,"C+",IF(D387&lt;'PlayerGrades+'!$AA$9,"B-",IF(D387&lt;'PlayerGrades+'!$AA$8,"B",IF(D387&lt;'PlayerGrades+'!$AA$7,"B+",IF(D387&lt;'PlayerGrades+'!$AA$6,"A-",IF(D387&lt;'PlayerGrades+'!$AA$5,"A",IF(D387&lt;'PlayerGrades+'!$AA$4,"A+",IF(D387&lt;'PlayerGrades+'!$AA$3,"S-",IF(D387&lt;'PlayerGrades+'!$AA$2,"S","S+"))))))))))))))))))))</f>
        <v>#DIV/0!</v>
      </c>
      <c r="F387" s="961" t="str">
        <f t="shared" si="2"/>
        <v>#DIV/0!</v>
      </c>
      <c r="G387" s="961" t="str">
        <f>IF(F387&lt;'PlayerGrades+'!$AB$21,"F-",IF(F387&lt;'PlayerGrades+'!$AB$20,"F",IF(F387&lt;'PlayerGrades+'!$AB$19,"F+",IF(F387&lt;'PlayerGrades+'!$AB$18,"E-",IF(F387&lt;'PlayerGrades+'!$AB$17,"E",IF(F387&lt;'PlayerGrades+'!$AB$16,"E+",IF(F387&lt;'PlayerGrades+'!$AB$15,"D-",IF(F387&lt;'PlayerGrades+'!$AB$14,"D",IF(F387&lt;'PlayerGrades+'!$AB$13,"D+",IF(F387&lt;'PlayerGrades+'!$AB$12,"C-",IF(F387&lt;'PlayerGrades+'!$AB$11,"C",IF(F387&lt;'PlayerGrades+'!$AB$10,"C+",IF(F387&lt;'PlayerGrades+'!$AB$9,"B-",IF(F387&lt;'PlayerGrades+'!$AB$8,"B",IF(F387&lt;'PlayerGrades+'!$AB$7,"B+",IF(F387&lt;'PlayerGrades+'!$AB$6,"A-",IF(F387&lt;'PlayerGrades+'!$AB$5,"A",IF(F387&lt;'PlayerGrades+'!$AB$4,"A+",IF(F387&lt;'PlayerGrades+'!$AB$3,"S-",IF(F387&lt;'PlayerGrades+'!$AB$2,"S","S+"))))))))))))))))))))</f>
        <v>#DIV/0!</v>
      </c>
      <c r="H387" s="961" t="str">
        <f t="shared" si="3"/>
        <v>#DIV/0!</v>
      </c>
      <c r="I387" s="961" t="str">
        <f>IF(H387&lt;'PlayerGrades+'!$AC$21,"F-",IF(H387&lt;'PlayerGrades+'!$AC$20,"F",IF(H387&lt;'PlayerGrades+'!$AC$19,"F+",IF(H387&lt;'PlayerGrades+'!$AC$18,"E-",IF(H387&lt;'PlayerGrades+'!$AC$17,"E",IF(H387&lt;'PlayerGrades+'!$AC$16,"E+",IF(H387&lt;'PlayerGrades+'!$AC$15,"D-",IF(H387&lt;'PlayerGrades+'!$AC$14,"D",IF(H387&lt;'PlayerGrades+'!$AC$13,"D+",IF(H387&lt;'PlayerGrades+'!$AC$12,"C-",IF(H387&lt;'PlayerGrades+'!$AC$11,"C",IF(H387&lt;'PlayerGrades+'!$AC$10,"C+",IF(H387&lt;'PlayerGrades+'!$AC$9,"B-",IF(H387&lt;'PlayerGrades+'!$AC$8,"B",IF(H387&lt;'PlayerGrades+'!$AC$7,"B+",IF(H387&lt;'PlayerGrades+'!$AC$6,"A-",IF(H387&lt;'PlayerGrades+'!$AC$5,"A",IF(H387&lt;'PlayerGrades+'!$AC$4,"A+",IF(H387&lt;'PlayerGrades+'!$AC$3,"S-",IF(H387&lt;'PlayerGrades+'!$AC$2,"S","S+"))))))))))))))))))))</f>
        <v>#DIV/0!</v>
      </c>
      <c r="J387" s="961" t="str">
        <f t="shared" si="4"/>
        <v>#DIV/0!</v>
      </c>
      <c r="K387" s="961" t="str">
        <f>IF(J387&lt;'PlayerGrades+'!$AD$21,"F-",IF(J387&lt;'PlayerGrades+'!$AD$20,"F",IF(J387&lt;'PlayerGrades+'!$AD$19,"F+",IF(J387&lt;'PlayerGrades+'!$AD$18,"E-",IF(J387&lt;'PlayerGrades+'!$AD$17,"E",IF(J387&lt;'PlayerGrades+'!$AD$16,"E+",IF(J387&lt;'PlayerGrades+'!$AD$15,"D-",IF(J387&lt;'PlayerGrades+'!$AD$14,"D",IF(J387&lt;'PlayerGrades+'!$AD$13,"D+",IF(J387&lt;'PlayerGrades+'!$AD$12,"C-",IF(J387&lt;'PlayerGrades+'!$AD$11,"C",IF(J387&lt;'PlayerGrades+'!$AD$10,"C+",IF(J387&lt;'PlayerGrades+'!$AD$9,"B-",IF(J387&lt;'PlayerGrades+'!$AD$8,"B",IF(J387&lt;'PlayerGrades+'!$AD$7,"B+",IF(J387&lt;'PlayerGrades+'!$AD$6,"A-",IF(J387&lt;'PlayerGrades+'!$AD$5,"A",IF(J387&lt;'PlayerGrades+'!$AD$4,"A+",IF(J387&lt;'PlayerGrades+'!$AD$3,"S-",IF(J387&lt;'PlayerGrades+'!$AD$2,"S","S+"))))))))))))))))))))</f>
        <v>#DIV/0!</v>
      </c>
      <c r="L387" s="1176" t="str">
        <f t="shared" si="5"/>
        <v>#DIV/0!</v>
      </c>
      <c r="M387" s="992" t="str">
        <f>IF(L387&lt;'PlayerGrades+'!$AE$21,"F-",IF(L387&lt;'PlayerGrades+'!$AE$20,"F",IF(L387&lt;'PlayerGrades+'!$AE$19,"F+",IF(L387&lt;'PlayerGrades+'!$AE$18,"E-",IF(L387&lt;'PlayerGrades+'!$AE$17,"E",IF(L387&lt;'PlayerGrades+'!$AE$16,"E+",IF(L387&lt;'PlayerGrades+'!$AE$15,"D-",IF(L387&lt;'PlayerGrades+'!$AE$14,"D",IF(L387&lt;'PlayerGrades+'!$AE$13,"D+",IF(L387&lt;'PlayerGrades+'!$AE$12,"C-",IF(L387&lt;'PlayerGrades+'!$AE$11,"C",IF(L387&lt;'PlayerGrades+'!$AE$10,"C+",IF(L387&lt;'PlayerGrades+'!$AE$9,"B-",IF(L387&lt;'PlayerGrades+'!$AE$8,"B",IF(L387&lt;'PlayerGrades+'!$AE$7,"B+",IF(L387&lt;'PlayerGrades+'!$AE$6,"A-",IF(L387&lt;'PlayerGrades+'!$AE$5,"A",IF(L387&lt;'PlayerGrades+'!$AE$4,"A+",IF(L387&lt;'PlayerGrades+'!$AE$3,"S-",IF(L387&lt;'PlayerGrades+'!$AE$2,"S","S+"))))))))))))))))))))</f>
        <v>#DIV/0!</v>
      </c>
      <c r="N387" s="961" t="str">
        <f t="shared" si="6"/>
        <v>#DIV/0!</v>
      </c>
      <c r="O387" s="961" t="str">
        <f>IF(N387&lt;'PlayerGrades+'!$AF$21,"F-",IF(N387&lt;'PlayerGrades+'!$AF$20,"F",IF(N387&lt;'PlayerGrades+'!$AF$19,"F+",IF(N387&lt;'PlayerGrades+'!$AF$18,"E-",IF(N387&lt;'PlayerGrades+'!$AF$17,"E",IF(N387&lt;'PlayerGrades+'!$AF$16,"E+",IF(N387&lt;'PlayerGrades+'!$AF$15,"D-",IF(N387&lt;'PlayerGrades+'!$AF$14,"D",IF(N387&lt;'PlayerGrades+'!$AF$13,"D+",IF(N387&lt;'PlayerGrades+'!$AF$12,"C-",IF(N387&lt;'PlayerGrades+'!$AF$11,"C",IF(N387&lt;'PlayerGrades+'!$AF$10,"C+",IF(N387&lt;'PlayerGrades+'!$AF$9,"B-",IF(N387&lt;'PlayerGrades+'!$AF$8,"B",IF(N387&lt;'PlayerGrades+'!$AF$7,"B+",IF(N387&lt;'PlayerGrades+'!$AF$6,"A-",IF(N387&lt;'PlayerGrades+'!$AF$5,"A",IF(N387&lt;'PlayerGrades+'!$AF$4,"A+",IF(N387&lt;'PlayerGrades+'!$AF$3,"S-",IF(N387&lt;'PlayerGrades+'!$AF$2,"S","S+"))))))))))))))))))))</f>
        <v>#DIV/0!</v>
      </c>
      <c r="P387" s="961" t="str">
        <f t="shared" si="7"/>
        <v>#DIV/0!</v>
      </c>
      <c r="Q387" s="961" t="str">
        <f>IF(P387&lt;'PlayerGrades+'!$AG$21,"F-",IF(P387&lt;'PlayerGrades+'!$AG$20,"F",IF(P387&lt;'PlayerGrades+'!$AG$19,"F+",IF(P387&lt;'PlayerGrades+'!$AG$18,"E-",IF(P387&lt;'PlayerGrades+'!$AG$17,"E",IF(P387&lt;'PlayerGrades+'!$AG$16,"E+",IF(P387&lt;'PlayerGrades+'!$AG$15,"D-",IF(P387&lt;'PlayerGrades+'!$AG$14,"D",IF(P387&lt;'PlayerGrades+'!$AG$13,"D+",IF(P387&lt;'PlayerGrades+'!$AG$12,"C-",IF(P387&lt;'PlayerGrades+'!$AG$11,"C",IF(P387&lt;'PlayerGrades+'!$AG$10,"C+",IF(P387&lt;'PlayerGrades+'!$AG$9,"B-",IF(P387&lt;'PlayerGrades+'!$AG$8,"B",IF(P387&lt;'PlayerGrades+'!$AG$7,"B+",IF(P387&lt;'PlayerGrades+'!$AG$6,"A-",IF(P387&lt;'PlayerGrades+'!$AG$5,"A",IF(P387&lt;'PlayerGrades+'!$AG$4,"A+",IF(P387&lt;'PlayerGrades+'!$AG$3,"S-",IF(P387&lt;'PlayerGrades+'!$AG$2,"S","S+"))))))))))))))))))))</f>
        <v>#DIV/0!</v>
      </c>
      <c r="R387" s="961" t="str">
        <f t="shared" si="8"/>
        <v>#DIV/0!</v>
      </c>
      <c r="S387" s="961" t="str">
        <f>IF(R387&lt;'PlayerGrades+'!$AH$21,"F-",IF(R387&lt;'PlayerGrades+'!$AH$20,"F",IF(R387&lt;'PlayerGrades+'!$AH$19,"F+",IF(R387&lt;'PlayerGrades+'!$AH$18,"E-",IF(R387&lt;'PlayerGrades+'!$AH$17,"E",IF(R387&lt;'PlayerGrades+'!$AH$16,"E+",IF(R387&lt;'PlayerGrades+'!$AH$15,"D-",IF(R387&lt;'PlayerGrades+'!$AH$14,"D",IF(R387&lt;'PlayerGrades+'!$AH$13,"D+",IF(R387&lt;'PlayerGrades+'!$AH$12,"C-",IF(R387&lt;'PlayerGrades+'!$AH$11,"C",IF(R387&lt;'PlayerGrades+'!$AH$10,"C+",IF(R387&lt;'PlayerGrades+'!$AH$9,"B-",IF(R387&lt;'PlayerGrades+'!$AH$8,"B",IF(R387&lt;'PlayerGrades+'!$AH$7,"B+",IF(R387&lt;'PlayerGrades+'!$AH$6,"A-",IF(R387&lt;'PlayerGrades+'!$AH$5,"A",IF(R387&lt;'PlayerGrades+'!$AH$4,"A+",IF(R387&lt;'PlayerGrades+'!$AH$3,"S-",IF(R387&lt;'PlayerGrades+'!$AH$2,"S","S+"))))))))))))))))))))</f>
        <v>#DIV/0!</v>
      </c>
      <c r="T387" s="961">
        <f t="shared" si="9"/>
        <v>0</v>
      </c>
      <c r="U387" s="961" t="str">
        <f>IF(T387&lt;'PlayerGrades+'!$AI$21,"F-",IF(T387&lt;'PlayerGrades+'!$AI$20,"F",IF(T387&lt;'PlayerGrades+'!$AI$19,"F+",IF(T387&lt;'PlayerGrades+'!$AI$18,"E-",IF(T387&lt;'PlayerGrades+'!$AI$17,"E",IF(T387&lt;'PlayerGrades+'!$AI$16,"E+",IF(T387&lt;'PlayerGrades+'!$AI$15,"D-",IF(T387&lt;'PlayerGrades+'!$AI$14,"D",IF(T387&lt;'PlayerGrades+'!$AI$13,"D+",IF(T387&lt;'PlayerGrades+'!$AI$12,"C-",IF(T387&lt;'PlayerGrades+'!$AI$11,"C",IF(T387&lt;'PlayerGrades+'!$AI$10,"C+",IF(T387&lt;'PlayerGrades+'!$AI$9,"B-",IF(T387&lt;'PlayerGrades+'!$AI$8,"B",IF(T387&lt;'PlayerGrades+'!$AI$7,"B+",IF(T387&lt;'PlayerGrades+'!$AI$6,"A-",IF(T387&lt;'PlayerGrades+'!$AI$5,"A",IF(T387&lt;'PlayerGrades+'!$AI$4,"A+",IF(T387&lt;'PlayerGrades+'!$AI$3,"S-",IF(T387&lt;'PlayerGrades+'!$AI$2,"S","S+"))))))))))))))))))))</f>
        <v>F-</v>
      </c>
      <c r="AC387" s="1392"/>
    </row>
    <row r="388">
      <c r="A388" s="1391"/>
      <c r="B388" s="611" t="str">
        <f>IF(C388&lt;'PlayerGrades+'!$Y$44,"F-",IF(C388&lt;'PlayerGrades+'!$Y$43,"F",IF(C388&lt;'PlayerGrades+'!$Y$42,"F+",IF(C388&lt;'PlayerGrades+'!$Y$41,"E-",IF(C388&lt;'PlayerGrades+'!$Y$40,"E",IF(C388&lt;'PlayerGrades+'!$Y$39,"E+",IF(C388&lt;'PlayerGrades+'!$Y$38,"D-",IF(C388&lt;'PlayerGrades+'!$Y$37,"D",IF(C388&lt;'PlayerGrades+'!$Y$36,"D+",IF(C388&lt;'PlayerGrades+'!$Y$35,"C-",IF(C388&lt;'PlayerGrades+'!$Y$34,"C",IF(C388&lt;'PlayerGrades+'!$Y$33,"C+",IF(C388&lt;'PlayerGrades+'!$Y$32,"B-",IF(C388&lt;'PlayerGrades+'!$Y$31,"B",IF(C388&lt;'PlayerGrades+'!$Y$30,"B+",IF(C388&lt;'PlayerGrades+'!$Y$29,"A-",IF(C388&lt;'PlayerGrades+'!$Y$28,"A",IF(C388&lt;'PlayerGrades+'!$Y$27,"A+",IF(C388&lt;'PlayerGrades+'!$Y$26,"S-",IF(C388&lt;'PlayerGrades+'!$Y$25,"S","S+"))))))))))))))))))))</f>
        <v>#DIV/0!</v>
      </c>
      <c r="C388" s="1378" t="str">
        <f>('PlayerGrades+'!$Y$47*(VLOOKUP(E388, 'PlayerGrades+'!$X$3:$Y$23, 2, FALSE)))+('PlayerGrades+'!$Y$48*(VLOOKUP(G388, 'PlayerGrades+'!$X$3:$Y$23, 2, FALSE)))+('PlayerGrades+'!$Y$49*(VLOOKUP(I388, 'PlayerGrades+'!$X$3:$Y$23, 2, FALSE)))+('PlayerGrades+'!$Y$50*(VLOOKUP(K388, 'PlayerGrades+'!$X$3:$Y$23, 2, FALSE)))+('PlayerGrades+'!$Y$51*(VLOOKUP(M388, 'PlayerGrades+'!$X$3:$Y$23, 2, FALSE)))+('PlayerGrades+'!$Y$52*(VLOOKUP(O388, 'PlayerGrades+'!$X$3:$Y$23, 2, FALSE)))+('PlayerGrades+'!$Y$53*(VLOOKUP(Q388, 'PlayerGrades+'!$X$3:$Y$23, 2, FALSE)))+('PlayerGrades+'!$Y$54*(VLOOKUP(S388, 'PlayerGrades+'!$X$3:$Y$23, 2, FALSE)))+('PlayerGrades+'!$Y$55*(VLOOKUP(U388, 'PlayerGrades+'!$X$3:$Y$23, 2, FALSE)))</f>
        <v>#DIV/0!</v>
      </c>
      <c r="D388" s="961" t="str">
        <f t="shared" si="1"/>
        <v>#DIV/0!</v>
      </c>
      <c r="E388" s="961" t="str">
        <f>IF(D388&lt;'PlayerGrades+'!$AA$21,"F-",IF(D388&lt;'PlayerGrades+'!$AA$20,"F",IF(D388&lt;'PlayerGrades+'!$AA$19,"F+",IF(D388&lt;'PlayerGrades+'!$AA$18,"E-",IF(D388&lt;'PlayerGrades+'!$AA$17,"E",IF(D388&lt;'PlayerGrades+'!$AA$16,"E+",IF(D388&lt;'PlayerGrades+'!$AA$15,"D-",IF(D388&lt;'PlayerGrades+'!$AA$14,"D",IF(D388&lt;'PlayerGrades+'!$AA$13,"D+",IF(D388&lt;'PlayerGrades+'!$AA$12,"C-",IF(D388&lt;'PlayerGrades+'!$AA$11,"C",IF(D388&lt;'PlayerGrades+'!$AA$10,"C+",IF(D388&lt;'PlayerGrades+'!$AA$9,"B-",IF(D388&lt;'PlayerGrades+'!$AA$8,"B",IF(D388&lt;'PlayerGrades+'!$AA$7,"B+",IF(D388&lt;'PlayerGrades+'!$AA$6,"A-",IF(D388&lt;'PlayerGrades+'!$AA$5,"A",IF(D388&lt;'PlayerGrades+'!$AA$4,"A+",IF(D388&lt;'PlayerGrades+'!$AA$3,"S-",IF(D388&lt;'PlayerGrades+'!$AA$2,"S","S+"))))))))))))))))))))</f>
        <v>#DIV/0!</v>
      </c>
      <c r="F388" s="961" t="str">
        <f t="shared" si="2"/>
        <v>#DIV/0!</v>
      </c>
      <c r="G388" s="961" t="str">
        <f>IF(F388&lt;'PlayerGrades+'!$AB$21,"F-",IF(F388&lt;'PlayerGrades+'!$AB$20,"F",IF(F388&lt;'PlayerGrades+'!$AB$19,"F+",IF(F388&lt;'PlayerGrades+'!$AB$18,"E-",IF(F388&lt;'PlayerGrades+'!$AB$17,"E",IF(F388&lt;'PlayerGrades+'!$AB$16,"E+",IF(F388&lt;'PlayerGrades+'!$AB$15,"D-",IF(F388&lt;'PlayerGrades+'!$AB$14,"D",IF(F388&lt;'PlayerGrades+'!$AB$13,"D+",IF(F388&lt;'PlayerGrades+'!$AB$12,"C-",IF(F388&lt;'PlayerGrades+'!$AB$11,"C",IF(F388&lt;'PlayerGrades+'!$AB$10,"C+",IF(F388&lt;'PlayerGrades+'!$AB$9,"B-",IF(F388&lt;'PlayerGrades+'!$AB$8,"B",IF(F388&lt;'PlayerGrades+'!$AB$7,"B+",IF(F388&lt;'PlayerGrades+'!$AB$6,"A-",IF(F388&lt;'PlayerGrades+'!$AB$5,"A",IF(F388&lt;'PlayerGrades+'!$AB$4,"A+",IF(F388&lt;'PlayerGrades+'!$AB$3,"S-",IF(F388&lt;'PlayerGrades+'!$AB$2,"S","S+"))))))))))))))))))))</f>
        <v>#DIV/0!</v>
      </c>
      <c r="H388" s="961" t="str">
        <f t="shared" si="3"/>
        <v>#DIV/0!</v>
      </c>
      <c r="I388" s="961" t="str">
        <f>IF(H388&lt;'PlayerGrades+'!$AC$21,"F-",IF(H388&lt;'PlayerGrades+'!$AC$20,"F",IF(H388&lt;'PlayerGrades+'!$AC$19,"F+",IF(H388&lt;'PlayerGrades+'!$AC$18,"E-",IF(H388&lt;'PlayerGrades+'!$AC$17,"E",IF(H388&lt;'PlayerGrades+'!$AC$16,"E+",IF(H388&lt;'PlayerGrades+'!$AC$15,"D-",IF(H388&lt;'PlayerGrades+'!$AC$14,"D",IF(H388&lt;'PlayerGrades+'!$AC$13,"D+",IF(H388&lt;'PlayerGrades+'!$AC$12,"C-",IF(H388&lt;'PlayerGrades+'!$AC$11,"C",IF(H388&lt;'PlayerGrades+'!$AC$10,"C+",IF(H388&lt;'PlayerGrades+'!$AC$9,"B-",IF(H388&lt;'PlayerGrades+'!$AC$8,"B",IF(H388&lt;'PlayerGrades+'!$AC$7,"B+",IF(H388&lt;'PlayerGrades+'!$AC$6,"A-",IF(H388&lt;'PlayerGrades+'!$AC$5,"A",IF(H388&lt;'PlayerGrades+'!$AC$4,"A+",IF(H388&lt;'PlayerGrades+'!$AC$3,"S-",IF(H388&lt;'PlayerGrades+'!$AC$2,"S","S+"))))))))))))))))))))</f>
        <v>#DIV/0!</v>
      </c>
      <c r="J388" s="961" t="str">
        <f t="shared" si="4"/>
        <v>#DIV/0!</v>
      </c>
      <c r="K388" s="961" t="str">
        <f>IF(J388&lt;'PlayerGrades+'!$AD$21,"F-",IF(J388&lt;'PlayerGrades+'!$AD$20,"F",IF(J388&lt;'PlayerGrades+'!$AD$19,"F+",IF(J388&lt;'PlayerGrades+'!$AD$18,"E-",IF(J388&lt;'PlayerGrades+'!$AD$17,"E",IF(J388&lt;'PlayerGrades+'!$AD$16,"E+",IF(J388&lt;'PlayerGrades+'!$AD$15,"D-",IF(J388&lt;'PlayerGrades+'!$AD$14,"D",IF(J388&lt;'PlayerGrades+'!$AD$13,"D+",IF(J388&lt;'PlayerGrades+'!$AD$12,"C-",IF(J388&lt;'PlayerGrades+'!$AD$11,"C",IF(J388&lt;'PlayerGrades+'!$AD$10,"C+",IF(J388&lt;'PlayerGrades+'!$AD$9,"B-",IF(J388&lt;'PlayerGrades+'!$AD$8,"B",IF(J388&lt;'PlayerGrades+'!$AD$7,"B+",IF(J388&lt;'PlayerGrades+'!$AD$6,"A-",IF(J388&lt;'PlayerGrades+'!$AD$5,"A",IF(J388&lt;'PlayerGrades+'!$AD$4,"A+",IF(J388&lt;'PlayerGrades+'!$AD$3,"S-",IF(J388&lt;'PlayerGrades+'!$AD$2,"S","S+"))))))))))))))))))))</f>
        <v>#DIV/0!</v>
      </c>
      <c r="L388" s="1176" t="str">
        <f t="shared" si="5"/>
        <v>#DIV/0!</v>
      </c>
      <c r="M388" s="992" t="str">
        <f>IF(L388&lt;'PlayerGrades+'!$AE$21,"F-",IF(L388&lt;'PlayerGrades+'!$AE$20,"F",IF(L388&lt;'PlayerGrades+'!$AE$19,"F+",IF(L388&lt;'PlayerGrades+'!$AE$18,"E-",IF(L388&lt;'PlayerGrades+'!$AE$17,"E",IF(L388&lt;'PlayerGrades+'!$AE$16,"E+",IF(L388&lt;'PlayerGrades+'!$AE$15,"D-",IF(L388&lt;'PlayerGrades+'!$AE$14,"D",IF(L388&lt;'PlayerGrades+'!$AE$13,"D+",IF(L388&lt;'PlayerGrades+'!$AE$12,"C-",IF(L388&lt;'PlayerGrades+'!$AE$11,"C",IF(L388&lt;'PlayerGrades+'!$AE$10,"C+",IF(L388&lt;'PlayerGrades+'!$AE$9,"B-",IF(L388&lt;'PlayerGrades+'!$AE$8,"B",IF(L388&lt;'PlayerGrades+'!$AE$7,"B+",IF(L388&lt;'PlayerGrades+'!$AE$6,"A-",IF(L388&lt;'PlayerGrades+'!$AE$5,"A",IF(L388&lt;'PlayerGrades+'!$AE$4,"A+",IF(L388&lt;'PlayerGrades+'!$AE$3,"S-",IF(L388&lt;'PlayerGrades+'!$AE$2,"S","S+"))))))))))))))))))))</f>
        <v>#DIV/0!</v>
      </c>
      <c r="N388" s="961" t="str">
        <f t="shared" si="6"/>
        <v>#DIV/0!</v>
      </c>
      <c r="O388" s="961" t="str">
        <f>IF(N388&lt;'PlayerGrades+'!$AF$21,"F-",IF(N388&lt;'PlayerGrades+'!$AF$20,"F",IF(N388&lt;'PlayerGrades+'!$AF$19,"F+",IF(N388&lt;'PlayerGrades+'!$AF$18,"E-",IF(N388&lt;'PlayerGrades+'!$AF$17,"E",IF(N388&lt;'PlayerGrades+'!$AF$16,"E+",IF(N388&lt;'PlayerGrades+'!$AF$15,"D-",IF(N388&lt;'PlayerGrades+'!$AF$14,"D",IF(N388&lt;'PlayerGrades+'!$AF$13,"D+",IF(N388&lt;'PlayerGrades+'!$AF$12,"C-",IF(N388&lt;'PlayerGrades+'!$AF$11,"C",IF(N388&lt;'PlayerGrades+'!$AF$10,"C+",IF(N388&lt;'PlayerGrades+'!$AF$9,"B-",IF(N388&lt;'PlayerGrades+'!$AF$8,"B",IF(N388&lt;'PlayerGrades+'!$AF$7,"B+",IF(N388&lt;'PlayerGrades+'!$AF$6,"A-",IF(N388&lt;'PlayerGrades+'!$AF$5,"A",IF(N388&lt;'PlayerGrades+'!$AF$4,"A+",IF(N388&lt;'PlayerGrades+'!$AF$3,"S-",IF(N388&lt;'PlayerGrades+'!$AF$2,"S","S+"))))))))))))))))))))</f>
        <v>#DIV/0!</v>
      </c>
      <c r="P388" s="961" t="str">
        <f t="shared" si="7"/>
        <v>#DIV/0!</v>
      </c>
      <c r="Q388" s="961" t="str">
        <f>IF(P388&lt;'PlayerGrades+'!$AG$21,"F-",IF(P388&lt;'PlayerGrades+'!$AG$20,"F",IF(P388&lt;'PlayerGrades+'!$AG$19,"F+",IF(P388&lt;'PlayerGrades+'!$AG$18,"E-",IF(P388&lt;'PlayerGrades+'!$AG$17,"E",IF(P388&lt;'PlayerGrades+'!$AG$16,"E+",IF(P388&lt;'PlayerGrades+'!$AG$15,"D-",IF(P388&lt;'PlayerGrades+'!$AG$14,"D",IF(P388&lt;'PlayerGrades+'!$AG$13,"D+",IF(P388&lt;'PlayerGrades+'!$AG$12,"C-",IF(P388&lt;'PlayerGrades+'!$AG$11,"C",IF(P388&lt;'PlayerGrades+'!$AG$10,"C+",IF(P388&lt;'PlayerGrades+'!$AG$9,"B-",IF(P388&lt;'PlayerGrades+'!$AG$8,"B",IF(P388&lt;'PlayerGrades+'!$AG$7,"B+",IF(P388&lt;'PlayerGrades+'!$AG$6,"A-",IF(P388&lt;'PlayerGrades+'!$AG$5,"A",IF(P388&lt;'PlayerGrades+'!$AG$4,"A+",IF(P388&lt;'PlayerGrades+'!$AG$3,"S-",IF(P388&lt;'PlayerGrades+'!$AG$2,"S","S+"))))))))))))))))))))</f>
        <v>#DIV/0!</v>
      </c>
      <c r="R388" s="961" t="str">
        <f t="shared" si="8"/>
        <v>#DIV/0!</v>
      </c>
      <c r="S388" s="961" t="str">
        <f>IF(R388&lt;'PlayerGrades+'!$AH$21,"F-",IF(R388&lt;'PlayerGrades+'!$AH$20,"F",IF(R388&lt;'PlayerGrades+'!$AH$19,"F+",IF(R388&lt;'PlayerGrades+'!$AH$18,"E-",IF(R388&lt;'PlayerGrades+'!$AH$17,"E",IF(R388&lt;'PlayerGrades+'!$AH$16,"E+",IF(R388&lt;'PlayerGrades+'!$AH$15,"D-",IF(R388&lt;'PlayerGrades+'!$AH$14,"D",IF(R388&lt;'PlayerGrades+'!$AH$13,"D+",IF(R388&lt;'PlayerGrades+'!$AH$12,"C-",IF(R388&lt;'PlayerGrades+'!$AH$11,"C",IF(R388&lt;'PlayerGrades+'!$AH$10,"C+",IF(R388&lt;'PlayerGrades+'!$AH$9,"B-",IF(R388&lt;'PlayerGrades+'!$AH$8,"B",IF(R388&lt;'PlayerGrades+'!$AH$7,"B+",IF(R388&lt;'PlayerGrades+'!$AH$6,"A-",IF(R388&lt;'PlayerGrades+'!$AH$5,"A",IF(R388&lt;'PlayerGrades+'!$AH$4,"A+",IF(R388&lt;'PlayerGrades+'!$AH$3,"S-",IF(R388&lt;'PlayerGrades+'!$AH$2,"S","S+"))))))))))))))))))))</f>
        <v>#DIV/0!</v>
      </c>
      <c r="T388" s="961">
        <f t="shared" si="9"/>
        <v>0</v>
      </c>
      <c r="U388" s="961" t="str">
        <f>IF(T388&lt;'PlayerGrades+'!$AI$21,"F-",IF(T388&lt;'PlayerGrades+'!$AI$20,"F",IF(T388&lt;'PlayerGrades+'!$AI$19,"F+",IF(T388&lt;'PlayerGrades+'!$AI$18,"E-",IF(T388&lt;'PlayerGrades+'!$AI$17,"E",IF(T388&lt;'PlayerGrades+'!$AI$16,"E+",IF(T388&lt;'PlayerGrades+'!$AI$15,"D-",IF(T388&lt;'PlayerGrades+'!$AI$14,"D",IF(T388&lt;'PlayerGrades+'!$AI$13,"D+",IF(T388&lt;'PlayerGrades+'!$AI$12,"C-",IF(T388&lt;'PlayerGrades+'!$AI$11,"C",IF(T388&lt;'PlayerGrades+'!$AI$10,"C+",IF(T388&lt;'PlayerGrades+'!$AI$9,"B-",IF(T388&lt;'PlayerGrades+'!$AI$8,"B",IF(T388&lt;'PlayerGrades+'!$AI$7,"B+",IF(T388&lt;'PlayerGrades+'!$AI$6,"A-",IF(T388&lt;'PlayerGrades+'!$AI$5,"A",IF(T388&lt;'PlayerGrades+'!$AI$4,"A+",IF(T388&lt;'PlayerGrades+'!$AI$3,"S-",IF(T388&lt;'PlayerGrades+'!$AI$2,"S","S+"))))))))))))))))))))</f>
        <v>F-</v>
      </c>
      <c r="AC388" s="1392"/>
    </row>
    <row r="389">
      <c r="A389" s="1391"/>
      <c r="B389" s="611" t="str">
        <f>IF(C389&lt;'PlayerGrades+'!$Y$44,"F-",IF(C389&lt;'PlayerGrades+'!$Y$43,"F",IF(C389&lt;'PlayerGrades+'!$Y$42,"F+",IF(C389&lt;'PlayerGrades+'!$Y$41,"E-",IF(C389&lt;'PlayerGrades+'!$Y$40,"E",IF(C389&lt;'PlayerGrades+'!$Y$39,"E+",IF(C389&lt;'PlayerGrades+'!$Y$38,"D-",IF(C389&lt;'PlayerGrades+'!$Y$37,"D",IF(C389&lt;'PlayerGrades+'!$Y$36,"D+",IF(C389&lt;'PlayerGrades+'!$Y$35,"C-",IF(C389&lt;'PlayerGrades+'!$Y$34,"C",IF(C389&lt;'PlayerGrades+'!$Y$33,"C+",IF(C389&lt;'PlayerGrades+'!$Y$32,"B-",IF(C389&lt;'PlayerGrades+'!$Y$31,"B",IF(C389&lt;'PlayerGrades+'!$Y$30,"B+",IF(C389&lt;'PlayerGrades+'!$Y$29,"A-",IF(C389&lt;'PlayerGrades+'!$Y$28,"A",IF(C389&lt;'PlayerGrades+'!$Y$27,"A+",IF(C389&lt;'PlayerGrades+'!$Y$26,"S-",IF(C389&lt;'PlayerGrades+'!$Y$25,"S","S+"))))))))))))))))))))</f>
        <v>#DIV/0!</v>
      </c>
      <c r="C389" s="1378" t="str">
        <f>('PlayerGrades+'!$Y$47*(VLOOKUP(E389, 'PlayerGrades+'!$X$3:$Y$23, 2, FALSE)))+('PlayerGrades+'!$Y$48*(VLOOKUP(G389, 'PlayerGrades+'!$X$3:$Y$23, 2, FALSE)))+('PlayerGrades+'!$Y$49*(VLOOKUP(I389, 'PlayerGrades+'!$X$3:$Y$23, 2, FALSE)))+('PlayerGrades+'!$Y$50*(VLOOKUP(K389, 'PlayerGrades+'!$X$3:$Y$23, 2, FALSE)))+('PlayerGrades+'!$Y$51*(VLOOKUP(M389, 'PlayerGrades+'!$X$3:$Y$23, 2, FALSE)))+('PlayerGrades+'!$Y$52*(VLOOKUP(O389, 'PlayerGrades+'!$X$3:$Y$23, 2, FALSE)))+('PlayerGrades+'!$Y$53*(VLOOKUP(Q389, 'PlayerGrades+'!$X$3:$Y$23, 2, FALSE)))+('PlayerGrades+'!$Y$54*(VLOOKUP(S389, 'PlayerGrades+'!$X$3:$Y$23, 2, FALSE)))+('PlayerGrades+'!$Y$55*(VLOOKUP(U389, 'PlayerGrades+'!$X$3:$Y$23, 2, FALSE)))</f>
        <v>#DIV/0!</v>
      </c>
      <c r="D389" s="961" t="str">
        <f t="shared" si="1"/>
        <v>#DIV/0!</v>
      </c>
      <c r="E389" s="961" t="str">
        <f>IF(D389&lt;'PlayerGrades+'!$AA$21,"F-",IF(D389&lt;'PlayerGrades+'!$AA$20,"F",IF(D389&lt;'PlayerGrades+'!$AA$19,"F+",IF(D389&lt;'PlayerGrades+'!$AA$18,"E-",IF(D389&lt;'PlayerGrades+'!$AA$17,"E",IF(D389&lt;'PlayerGrades+'!$AA$16,"E+",IF(D389&lt;'PlayerGrades+'!$AA$15,"D-",IF(D389&lt;'PlayerGrades+'!$AA$14,"D",IF(D389&lt;'PlayerGrades+'!$AA$13,"D+",IF(D389&lt;'PlayerGrades+'!$AA$12,"C-",IF(D389&lt;'PlayerGrades+'!$AA$11,"C",IF(D389&lt;'PlayerGrades+'!$AA$10,"C+",IF(D389&lt;'PlayerGrades+'!$AA$9,"B-",IF(D389&lt;'PlayerGrades+'!$AA$8,"B",IF(D389&lt;'PlayerGrades+'!$AA$7,"B+",IF(D389&lt;'PlayerGrades+'!$AA$6,"A-",IF(D389&lt;'PlayerGrades+'!$AA$5,"A",IF(D389&lt;'PlayerGrades+'!$AA$4,"A+",IF(D389&lt;'PlayerGrades+'!$AA$3,"S-",IF(D389&lt;'PlayerGrades+'!$AA$2,"S","S+"))))))))))))))))))))</f>
        <v>#DIV/0!</v>
      </c>
      <c r="F389" s="961" t="str">
        <f t="shared" si="2"/>
        <v>#DIV/0!</v>
      </c>
      <c r="G389" s="961" t="str">
        <f>IF(F389&lt;'PlayerGrades+'!$AB$21,"F-",IF(F389&lt;'PlayerGrades+'!$AB$20,"F",IF(F389&lt;'PlayerGrades+'!$AB$19,"F+",IF(F389&lt;'PlayerGrades+'!$AB$18,"E-",IF(F389&lt;'PlayerGrades+'!$AB$17,"E",IF(F389&lt;'PlayerGrades+'!$AB$16,"E+",IF(F389&lt;'PlayerGrades+'!$AB$15,"D-",IF(F389&lt;'PlayerGrades+'!$AB$14,"D",IF(F389&lt;'PlayerGrades+'!$AB$13,"D+",IF(F389&lt;'PlayerGrades+'!$AB$12,"C-",IF(F389&lt;'PlayerGrades+'!$AB$11,"C",IF(F389&lt;'PlayerGrades+'!$AB$10,"C+",IF(F389&lt;'PlayerGrades+'!$AB$9,"B-",IF(F389&lt;'PlayerGrades+'!$AB$8,"B",IF(F389&lt;'PlayerGrades+'!$AB$7,"B+",IF(F389&lt;'PlayerGrades+'!$AB$6,"A-",IF(F389&lt;'PlayerGrades+'!$AB$5,"A",IF(F389&lt;'PlayerGrades+'!$AB$4,"A+",IF(F389&lt;'PlayerGrades+'!$AB$3,"S-",IF(F389&lt;'PlayerGrades+'!$AB$2,"S","S+"))))))))))))))))))))</f>
        <v>#DIV/0!</v>
      </c>
      <c r="H389" s="961" t="str">
        <f t="shared" si="3"/>
        <v>#DIV/0!</v>
      </c>
      <c r="I389" s="961" t="str">
        <f>IF(H389&lt;'PlayerGrades+'!$AC$21,"F-",IF(H389&lt;'PlayerGrades+'!$AC$20,"F",IF(H389&lt;'PlayerGrades+'!$AC$19,"F+",IF(H389&lt;'PlayerGrades+'!$AC$18,"E-",IF(H389&lt;'PlayerGrades+'!$AC$17,"E",IF(H389&lt;'PlayerGrades+'!$AC$16,"E+",IF(H389&lt;'PlayerGrades+'!$AC$15,"D-",IF(H389&lt;'PlayerGrades+'!$AC$14,"D",IF(H389&lt;'PlayerGrades+'!$AC$13,"D+",IF(H389&lt;'PlayerGrades+'!$AC$12,"C-",IF(H389&lt;'PlayerGrades+'!$AC$11,"C",IF(H389&lt;'PlayerGrades+'!$AC$10,"C+",IF(H389&lt;'PlayerGrades+'!$AC$9,"B-",IF(H389&lt;'PlayerGrades+'!$AC$8,"B",IF(H389&lt;'PlayerGrades+'!$AC$7,"B+",IF(H389&lt;'PlayerGrades+'!$AC$6,"A-",IF(H389&lt;'PlayerGrades+'!$AC$5,"A",IF(H389&lt;'PlayerGrades+'!$AC$4,"A+",IF(H389&lt;'PlayerGrades+'!$AC$3,"S-",IF(H389&lt;'PlayerGrades+'!$AC$2,"S","S+"))))))))))))))))))))</f>
        <v>#DIV/0!</v>
      </c>
      <c r="J389" s="961" t="str">
        <f t="shared" si="4"/>
        <v>#DIV/0!</v>
      </c>
      <c r="K389" s="961" t="str">
        <f>IF(J389&lt;'PlayerGrades+'!$AD$21,"F-",IF(J389&lt;'PlayerGrades+'!$AD$20,"F",IF(J389&lt;'PlayerGrades+'!$AD$19,"F+",IF(J389&lt;'PlayerGrades+'!$AD$18,"E-",IF(J389&lt;'PlayerGrades+'!$AD$17,"E",IF(J389&lt;'PlayerGrades+'!$AD$16,"E+",IF(J389&lt;'PlayerGrades+'!$AD$15,"D-",IF(J389&lt;'PlayerGrades+'!$AD$14,"D",IF(J389&lt;'PlayerGrades+'!$AD$13,"D+",IF(J389&lt;'PlayerGrades+'!$AD$12,"C-",IF(J389&lt;'PlayerGrades+'!$AD$11,"C",IF(J389&lt;'PlayerGrades+'!$AD$10,"C+",IF(J389&lt;'PlayerGrades+'!$AD$9,"B-",IF(J389&lt;'PlayerGrades+'!$AD$8,"B",IF(J389&lt;'PlayerGrades+'!$AD$7,"B+",IF(J389&lt;'PlayerGrades+'!$AD$6,"A-",IF(J389&lt;'PlayerGrades+'!$AD$5,"A",IF(J389&lt;'PlayerGrades+'!$AD$4,"A+",IF(J389&lt;'PlayerGrades+'!$AD$3,"S-",IF(J389&lt;'PlayerGrades+'!$AD$2,"S","S+"))))))))))))))))))))</f>
        <v>#DIV/0!</v>
      </c>
      <c r="L389" s="1176" t="str">
        <f t="shared" si="5"/>
        <v>#DIV/0!</v>
      </c>
      <c r="M389" s="992" t="str">
        <f>IF(L389&lt;'PlayerGrades+'!$AE$21,"F-",IF(L389&lt;'PlayerGrades+'!$AE$20,"F",IF(L389&lt;'PlayerGrades+'!$AE$19,"F+",IF(L389&lt;'PlayerGrades+'!$AE$18,"E-",IF(L389&lt;'PlayerGrades+'!$AE$17,"E",IF(L389&lt;'PlayerGrades+'!$AE$16,"E+",IF(L389&lt;'PlayerGrades+'!$AE$15,"D-",IF(L389&lt;'PlayerGrades+'!$AE$14,"D",IF(L389&lt;'PlayerGrades+'!$AE$13,"D+",IF(L389&lt;'PlayerGrades+'!$AE$12,"C-",IF(L389&lt;'PlayerGrades+'!$AE$11,"C",IF(L389&lt;'PlayerGrades+'!$AE$10,"C+",IF(L389&lt;'PlayerGrades+'!$AE$9,"B-",IF(L389&lt;'PlayerGrades+'!$AE$8,"B",IF(L389&lt;'PlayerGrades+'!$AE$7,"B+",IF(L389&lt;'PlayerGrades+'!$AE$6,"A-",IF(L389&lt;'PlayerGrades+'!$AE$5,"A",IF(L389&lt;'PlayerGrades+'!$AE$4,"A+",IF(L389&lt;'PlayerGrades+'!$AE$3,"S-",IF(L389&lt;'PlayerGrades+'!$AE$2,"S","S+"))))))))))))))))))))</f>
        <v>#DIV/0!</v>
      </c>
      <c r="N389" s="961" t="str">
        <f t="shared" si="6"/>
        <v>#DIV/0!</v>
      </c>
      <c r="O389" s="961" t="str">
        <f>IF(N389&lt;'PlayerGrades+'!$AF$21,"F-",IF(N389&lt;'PlayerGrades+'!$AF$20,"F",IF(N389&lt;'PlayerGrades+'!$AF$19,"F+",IF(N389&lt;'PlayerGrades+'!$AF$18,"E-",IF(N389&lt;'PlayerGrades+'!$AF$17,"E",IF(N389&lt;'PlayerGrades+'!$AF$16,"E+",IF(N389&lt;'PlayerGrades+'!$AF$15,"D-",IF(N389&lt;'PlayerGrades+'!$AF$14,"D",IF(N389&lt;'PlayerGrades+'!$AF$13,"D+",IF(N389&lt;'PlayerGrades+'!$AF$12,"C-",IF(N389&lt;'PlayerGrades+'!$AF$11,"C",IF(N389&lt;'PlayerGrades+'!$AF$10,"C+",IF(N389&lt;'PlayerGrades+'!$AF$9,"B-",IF(N389&lt;'PlayerGrades+'!$AF$8,"B",IF(N389&lt;'PlayerGrades+'!$AF$7,"B+",IF(N389&lt;'PlayerGrades+'!$AF$6,"A-",IF(N389&lt;'PlayerGrades+'!$AF$5,"A",IF(N389&lt;'PlayerGrades+'!$AF$4,"A+",IF(N389&lt;'PlayerGrades+'!$AF$3,"S-",IF(N389&lt;'PlayerGrades+'!$AF$2,"S","S+"))))))))))))))))))))</f>
        <v>#DIV/0!</v>
      </c>
      <c r="P389" s="961" t="str">
        <f t="shared" si="7"/>
        <v>#DIV/0!</v>
      </c>
      <c r="Q389" s="961" t="str">
        <f>IF(P389&lt;'PlayerGrades+'!$AG$21,"F-",IF(P389&lt;'PlayerGrades+'!$AG$20,"F",IF(P389&lt;'PlayerGrades+'!$AG$19,"F+",IF(P389&lt;'PlayerGrades+'!$AG$18,"E-",IF(P389&lt;'PlayerGrades+'!$AG$17,"E",IF(P389&lt;'PlayerGrades+'!$AG$16,"E+",IF(P389&lt;'PlayerGrades+'!$AG$15,"D-",IF(P389&lt;'PlayerGrades+'!$AG$14,"D",IF(P389&lt;'PlayerGrades+'!$AG$13,"D+",IF(P389&lt;'PlayerGrades+'!$AG$12,"C-",IF(P389&lt;'PlayerGrades+'!$AG$11,"C",IF(P389&lt;'PlayerGrades+'!$AG$10,"C+",IF(P389&lt;'PlayerGrades+'!$AG$9,"B-",IF(P389&lt;'PlayerGrades+'!$AG$8,"B",IF(P389&lt;'PlayerGrades+'!$AG$7,"B+",IF(P389&lt;'PlayerGrades+'!$AG$6,"A-",IF(P389&lt;'PlayerGrades+'!$AG$5,"A",IF(P389&lt;'PlayerGrades+'!$AG$4,"A+",IF(P389&lt;'PlayerGrades+'!$AG$3,"S-",IF(P389&lt;'PlayerGrades+'!$AG$2,"S","S+"))))))))))))))))))))</f>
        <v>#DIV/0!</v>
      </c>
      <c r="R389" s="961" t="str">
        <f t="shared" si="8"/>
        <v>#DIV/0!</v>
      </c>
      <c r="S389" s="961" t="str">
        <f>IF(R389&lt;'PlayerGrades+'!$AH$21,"F-",IF(R389&lt;'PlayerGrades+'!$AH$20,"F",IF(R389&lt;'PlayerGrades+'!$AH$19,"F+",IF(R389&lt;'PlayerGrades+'!$AH$18,"E-",IF(R389&lt;'PlayerGrades+'!$AH$17,"E",IF(R389&lt;'PlayerGrades+'!$AH$16,"E+",IF(R389&lt;'PlayerGrades+'!$AH$15,"D-",IF(R389&lt;'PlayerGrades+'!$AH$14,"D",IF(R389&lt;'PlayerGrades+'!$AH$13,"D+",IF(R389&lt;'PlayerGrades+'!$AH$12,"C-",IF(R389&lt;'PlayerGrades+'!$AH$11,"C",IF(R389&lt;'PlayerGrades+'!$AH$10,"C+",IF(R389&lt;'PlayerGrades+'!$AH$9,"B-",IF(R389&lt;'PlayerGrades+'!$AH$8,"B",IF(R389&lt;'PlayerGrades+'!$AH$7,"B+",IF(R389&lt;'PlayerGrades+'!$AH$6,"A-",IF(R389&lt;'PlayerGrades+'!$AH$5,"A",IF(R389&lt;'PlayerGrades+'!$AH$4,"A+",IF(R389&lt;'PlayerGrades+'!$AH$3,"S-",IF(R389&lt;'PlayerGrades+'!$AH$2,"S","S+"))))))))))))))))))))</f>
        <v>#DIV/0!</v>
      </c>
      <c r="T389" s="961">
        <f t="shared" si="9"/>
        <v>0</v>
      </c>
      <c r="U389" s="961" t="str">
        <f>IF(T389&lt;'PlayerGrades+'!$AI$21,"F-",IF(T389&lt;'PlayerGrades+'!$AI$20,"F",IF(T389&lt;'PlayerGrades+'!$AI$19,"F+",IF(T389&lt;'PlayerGrades+'!$AI$18,"E-",IF(T389&lt;'PlayerGrades+'!$AI$17,"E",IF(T389&lt;'PlayerGrades+'!$AI$16,"E+",IF(T389&lt;'PlayerGrades+'!$AI$15,"D-",IF(T389&lt;'PlayerGrades+'!$AI$14,"D",IF(T389&lt;'PlayerGrades+'!$AI$13,"D+",IF(T389&lt;'PlayerGrades+'!$AI$12,"C-",IF(T389&lt;'PlayerGrades+'!$AI$11,"C",IF(T389&lt;'PlayerGrades+'!$AI$10,"C+",IF(T389&lt;'PlayerGrades+'!$AI$9,"B-",IF(T389&lt;'PlayerGrades+'!$AI$8,"B",IF(T389&lt;'PlayerGrades+'!$AI$7,"B+",IF(T389&lt;'PlayerGrades+'!$AI$6,"A-",IF(T389&lt;'PlayerGrades+'!$AI$5,"A",IF(T389&lt;'PlayerGrades+'!$AI$4,"A+",IF(T389&lt;'PlayerGrades+'!$AI$3,"S-",IF(T389&lt;'PlayerGrades+'!$AI$2,"S","S+"))))))))))))))))))))</f>
        <v>F-</v>
      </c>
      <c r="AC389" s="1392"/>
    </row>
    <row r="390">
      <c r="A390" s="1391"/>
      <c r="B390" s="611" t="str">
        <f>IF(C390&lt;'PlayerGrades+'!$Y$44,"F-",IF(C390&lt;'PlayerGrades+'!$Y$43,"F",IF(C390&lt;'PlayerGrades+'!$Y$42,"F+",IF(C390&lt;'PlayerGrades+'!$Y$41,"E-",IF(C390&lt;'PlayerGrades+'!$Y$40,"E",IF(C390&lt;'PlayerGrades+'!$Y$39,"E+",IF(C390&lt;'PlayerGrades+'!$Y$38,"D-",IF(C390&lt;'PlayerGrades+'!$Y$37,"D",IF(C390&lt;'PlayerGrades+'!$Y$36,"D+",IF(C390&lt;'PlayerGrades+'!$Y$35,"C-",IF(C390&lt;'PlayerGrades+'!$Y$34,"C",IF(C390&lt;'PlayerGrades+'!$Y$33,"C+",IF(C390&lt;'PlayerGrades+'!$Y$32,"B-",IF(C390&lt;'PlayerGrades+'!$Y$31,"B",IF(C390&lt;'PlayerGrades+'!$Y$30,"B+",IF(C390&lt;'PlayerGrades+'!$Y$29,"A-",IF(C390&lt;'PlayerGrades+'!$Y$28,"A",IF(C390&lt;'PlayerGrades+'!$Y$27,"A+",IF(C390&lt;'PlayerGrades+'!$Y$26,"S-",IF(C390&lt;'PlayerGrades+'!$Y$25,"S","S+"))))))))))))))))))))</f>
        <v>#DIV/0!</v>
      </c>
      <c r="C390" s="1378" t="str">
        <f>('PlayerGrades+'!$Y$47*(VLOOKUP(E390, 'PlayerGrades+'!$X$3:$Y$23, 2, FALSE)))+('PlayerGrades+'!$Y$48*(VLOOKUP(G390, 'PlayerGrades+'!$X$3:$Y$23, 2, FALSE)))+('PlayerGrades+'!$Y$49*(VLOOKUP(I390, 'PlayerGrades+'!$X$3:$Y$23, 2, FALSE)))+('PlayerGrades+'!$Y$50*(VLOOKUP(K390, 'PlayerGrades+'!$X$3:$Y$23, 2, FALSE)))+('PlayerGrades+'!$Y$51*(VLOOKUP(M390, 'PlayerGrades+'!$X$3:$Y$23, 2, FALSE)))+('PlayerGrades+'!$Y$52*(VLOOKUP(O390, 'PlayerGrades+'!$X$3:$Y$23, 2, FALSE)))+('PlayerGrades+'!$Y$53*(VLOOKUP(Q390, 'PlayerGrades+'!$X$3:$Y$23, 2, FALSE)))+('PlayerGrades+'!$Y$54*(VLOOKUP(S390, 'PlayerGrades+'!$X$3:$Y$23, 2, FALSE)))+('PlayerGrades+'!$Y$55*(VLOOKUP(U390, 'PlayerGrades+'!$X$3:$Y$23, 2, FALSE)))</f>
        <v>#DIV/0!</v>
      </c>
      <c r="D390" s="961" t="str">
        <f t="shared" si="1"/>
        <v>#DIV/0!</v>
      </c>
      <c r="E390" s="961" t="str">
        <f>IF(D390&lt;'PlayerGrades+'!$AA$21,"F-",IF(D390&lt;'PlayerGrades+'!$AA$20,"F",IF(D390&lt;'PlayerGrades+'!$AA$19,"F+",IF(D390&lt;'PlayerGrades+'!$AA$18,"E-",IF(D390&lt;'PlayerGrades+'!$AA$17,"E",IF(D390&lt;'PlayerGrades+'!$AA$16,"E+",IF(D390&lt;'PlayerGrades+'!$AA$15,"D-",IF(D390&lt;'PlayerGrades+'!$AA$14,"D",IF(D390&lt;'PlayerGrades+'!$AA$13,"D+",IF(D390&lt;'PlayerGrades+'!$AA$12,"C-",IF(D390&lt;'PlayerGrades+'!$AA$11,"C",IF(D390&lt;'PlayerGrades+'!$AA$10,"C+",IF(D390&lt;'PlayerGrades+'!$AA$9,"B-",IF(D390&lt;'PlayerGrades+'!$AA$8,"B",IF(D390&lt;'PlayerGrades+'!$AA$7,"B+",IF(D390&lt;'PlayerGrades+'!$AA$6,"A-",IF(D390&lt;'PlayerGrades+'!$AA$5,"A",IF(D390&lt;'PlayerGrades+'!$AA$4,"A+",IF(D390&lt;'PlayerGrades+'!$AA$3,"S-",IF(D390&lt;'PlayerGrades+'!$AA$2,"S","S+"))))))))))))))))))))</f>
        <v>#DIV/0!</v>
      </c>
      <c r="F390" s="961" t="str">
        <f t="shared" si="2"/>
        <v>#DIV/0!</v>
      </c>
      <c r="G390" s="961" t="str">
        <f>IF(F390&lt;'PlayerGrades+'!$AB$21,"F-",IF(F390&lt;'PlayerGrades+'!$AB$20,"F",IF(F390&lt;'PlayerGrades+'!$AB$19,"F+",IF(F390&lt;'PlayerGrades+'!$AB$18,"E-",IF(F390&lt;'PlayerGrades+'!$AB$17,"E",IF(F390&lt;'PlayerGrades+'!$AB$16,"E+",IF(F390&lt;'PlayerGrades+'!$AB$15,"D-",IF(F390&lt;'PlayerGrades+'!$AB$14,"D",IF(F390&lt;'PlayerGrades+'!$AB$13,"D+",IF(F390&lt;'PlayerGrades+'!$AB$12,"C-",IF(F390&lt;'PlayerGrades+'!$AB$11,"C",IF(F390&lt;'PlayerGrades+'!$AB$10,"C+",IF(F390&lt;'PlayerGrades+'!$AB$9,"B-",IF(F390&lt;'PlayerGrades+'!$AB$8,"B",IF(F390&lt;'PlayerGrades+'!$AB$7,"B+",IF(F390&lt;'PlayerGrades+'!$AB$6,"A-",IF(F390&lt;'PlayerGrades+'!$AB$5,"A",IF(F390&lt;'PlayerGrades+'!$AB$4,"A+",IF(F390&lt;'PlayerGrades+'!$AB$3,"S-",IF(F390&lt;'PlayerGrades+'!$AB$2,"S","S+"))))))))))))))))))))</f>
        <v>#DIV/0!</v>
      </c>
      <c r="H390" s="961" t="str">
        <f t="shared" si="3"/>
        <v>#DIV/0!</v>
      </c>
      <c r="I390" s="961" t="str">
        <f>IF(H390&lt;'PlayerGrades+'!$AC$21,"F-",IF(H390&lt;'PlayerGrades+'!$AC$20,"F",IF(H390&lt;'PlayerGrades+'!$AC$19,"F+",IF(H390&lt;'PlayerGrades+'!$AC$18,"E-",IF(H390&lt;'PlayerGrades+'!$AC$17,"E",IF(H390&lt;'PlayerGrades+'!$AC$16,"E+",IF(H390&lt;'PlayerGrades+'!$AC$15,"D-",IF(H390&lt;'PlayerGrades+'!$AC$14,"D",IF(H390&lt;'PlayerGrades+'!$AC$13,"D+",IF(H390&lt;'PlayerGrades+'!$AC$12,"C-",IF(H390&lt;'PlayerGrades+'!$AC$11,"C",IF(H390&lt;'PlayerGrades+'!$AC$10,"C+",IF(H390&lt;'PlayerGrades+'!$AC$9,"B-",IF(H390&lt;'PlayerGrades+'!$AC$8,"B",IF(H390&lt;'PlayerGrades+'!$AC$7,"B+",IF(H390&lt;'PlayerGrades+'!$AC$6,"A-",IF(H390&lt;'PlayerGrades+'!$AC$5,"A",IF(H390&lt;'PlayerGrades+'!$AC$4,"A+",IF(H390&lt;'PlayerGrades+'!$AC$3,"S-",IF(H390&lt;'PlayerGrades+'!$AC$2,"S","S+"))))))))))))))))))))</f>
        <v>#DIV/0!</v>
      </c>
      <c r="J390" s="961" t="str">
        <f t="shared" si="4"/>
        <v>#DIV/0!</v>
      </c>
      <c r="K390" s="961" t="str">
        <f>IF(J390&lt;'PlayerGrades+'!$AD$21,"F-",IF(J390&lt;'PlayerGrades+'!$AD$20,"F",IF(J390&lt;'PlayerGrades+'!$AD$19,"F+",IF(J390&lt;'PlayerGrades+'!$AD$18,"E-",IF(J390&lt;'PlayerGrades+'!$AD$17,"E",IF(J390&lt;'PlayerGrades+'!$AD$16,"E+",IF(J390&lt;'PlayerGrades+'!$AD$15,"D-",IF(J390&lt;'PlayerGrades+'!$AD$14,"D",IF(J390&lt;'PlayerGrades+'!$AD$13,"D+",IF(J390&lt;'PlayerGrades+'!$AD$12,"C-",IF(J390&lt;'PlayerGrades+'!$AD$11,"C",IF(J390&lt;'PlayerGrades+'!$AD$10,"C+",IF(J390&lt;'PlayerGrades+'!$AD$9,"B-",IF(J390&lt;'PlayerGrades+'!$AD$8,"B",IF(J390&lt;'PlayerGrades+'!$AD$7,"B+",IF(J390&lt;'PlayerGrades+'!$AD$6,"A-",IF(J390&lt;'PlayerGrades+'!$AD$5,"A",IF(J390&lt;'PlayerGrades+'!$AD$4,"A+",IF(J390&lt;'PlayerGrades+'!$AD$3,"S-",IF(J390&lt;'PlayerGrades+'!$AD$2,"S","S+"))))))))))))))))))))</f>
        <v>#DIV/0!</v>
      </c>
      <c r="L390" s="1176" t="str">
        <f t="shared" si="5"/>
        <v>#DIV/0!</v>
      </c>
      <c r="M390" s="992" t="str">
        <f>IF(L390&lt;'PlayerGrades+'!$AE$21,"F-",IF(L390&lt;'PlayerGrades+'!$AE$20,"F",IF(L390&lt;'PlayerGrades+'!$AE$19,"F+",IF(L390&lt;'PlayerGrades+'!$AE$18,"E-",IF(L390&lt;'PlayerGrades+'!$AE$17,"E",IF(L390&lt;'PlayerGrades+'!$AE$16,"E+",IF(L390&lt;'PlayerGrades+'!$AE$15,"D-",IF(L390&lt;'PlayerGrades+'!$AE$14,"D",IF(L390&lt;'PlayerGrades+'!$AE$13,"D+",IF(L390&lt;'PlayerGrades+'!$AE$12,"C-",IF(L390&lt;'PlayerGrades+'!$AE$11,"C",IF(L390&lt;'PlayerGrades+'!$AE$10,"C+",IF(L390&lt;'PlayerGrades+'!$AE$9,"B-",IF(L390&lt;'PlayerGrades+'!$AE$8,"B",IF(L390&lt;'PlayerGrades+'!$AE$7,"B+",IF(L390&lt;'PlayerGrades+'!$AE$6,"A-",IF(L390&lt;'PlayerGrades+'!$AE$5,"A",IF(L390&lt;'PlayerGrades+'!$AE$4,"A+",IF(L390&lt;'PlayerGrades+'!$AE$3,"S-",IF(L390&lt;'PlayerGrades+'!$AE$2,"S","S+"))))))))))))))))))))</f>
        <v>#DIV/0!</v>
      </c>
      <c r="N390" s="961" t="str">
        <f t="shared" si="6"/>
        <v>#DIV/0!</v>
      </c>
      <c r="O390" s="961" t="str">
        <f>IF(N390&lt;'PlayerGrades+'!$AF$21,"F-",IF(N390&lt;'PlayerGrades+'!$AF$20,"F",IF(N390&lt;'PlayerGrades+'!$AF$19,"F+",IF(N390&lt;'PlayerGrades+'!$AF$18,"E-",IF(N390&lt;'PlayerGrades+'!$AF$17,"E",IF(N390&lt;'PlayerGrades+'!$AF$16,"E+",IF(N390&lt;'PlayerGrades+'!$AF$15,"D-",IF(N390&lt;'PlayerGrades+'!$AF$14,"D",IF(N390&lt;'PlayerGrades+'!$AF$13,"D+",IF(N390&lt;'PlayerGrades+'!$AF$12,"C-",IF(N390&lt;'PlayerGrades+'!$AF$11,"C",IF(N390&lt;'PlayerGrades+'!$AF$10,"C+",IF(N390&lt;'PlayerGrades+'!$AF$9,"B-",IF(N390&lt;'PlayerGrades+'!$AF$8,"B",IF(N390&lt;'PlayerGrades+'!$AF$7,"B+",IF(N390&lt;'PlayerGrades+'!$AF$6,"A-",IF(N390&lt;'PlayerGrades+'!$AF$5,"A",IF(N390&lt;'PlayerGrades+'!$AF$4,"A+",IF(N390&lt;'PlayerGrades+'!$AF$3,"S-",IF(N390&lt;'PlayerGrades+'!$AF$2,"S","S+"))))))))))))))))))))</f>
        <v>#DIV/0!</v>
      </c>
      <c r="P390" s="961" t="str">
        <f t="shared" si="7"/>
        <v>#DIV/0!</v>
      </c>
      <c r="Q390" s="961" t="str">
        <f>IF(P390&lt;'PlayerGrades+'!$AG$21,"F-",IF(P390&lt;'PlayerGrades+'!$AG$20,"F",IF(P390&lt;'PlayerGrades+'!$AG$19,"F+",IF(P390&lt;'PlayerGrades+'!$AG$18,"E-",IF(P390&lt;'PlayerGrades+'!$AG$17,"E",IF(P390&lt;'PlayerGrades+'!$AG$16,"E+",IF(P390&lt;'PlayerGrades+'!$AG$15,"D-",IF(P390&lt;'PlayerGrades+'!$AG$14,"D",IF(P390&lt;'PlayerGrades+'!$AG$13,"D+",IF(P390&lt;'PlayerGrades+'!$AG$12,"C-",IF(P390&lt;'PlayerGrades+'!$AG$11,"C",IF(P390&lt;'PlayerGrades+'!$AG$10,"C+",IF(P390&lt;'PlayerGrades+'!$AG$9,"B-",IF(P390&lt;'PlayerGrades+'!$AG$8,"B",IF(P390&lt;'PlayerGrades+'!$AG$7,"B+",IF(P390&lt;'PlayerGrades+'!$AG$6,"A-",IF(P390&lt;'PlayerGrades+'!$AG$5,"A",IF(P390&lt;'PlayerGrades+'!$AG$4,"A+",IF(P390&lt;'PlayerGrades+'!$AG$3,"S-",IF(P390&lt;'PlayerGrades+'!$AG$2,"S","S+"))))))))))))))))))))</f>
        <v>#DIV/0!</v>
      </c>
      <c r="R390" s="961" t="str">
        <f t="shared" si="8"/>
        <v>#DIV/0!</v>
      </c>
      <c r="S390" s="961" t="str">
        <f>IF(R390&lt;'PlayerGrades+'!$AH$21,"F-",IF(R390&lt;'PlayerGrades+'!$AH$20,"F",IF(R390&lt;'PlayerGrades+'!$AH$19,"F+",IF(R390&lt;'PlayerGrades+'!$AH$18,"E-",IF(R390&lt;'PlayerGrades+'!$AH$17,"E",IF(R390&lt;'PlayerGrades+'!$AH$16,"E+",IF(R390&lt;'PlayerGrades+'!$AH$15,"D-",IF(R390&lt;'PlayerGrades+'!$AH$14,"D",IF(R390&lt;'PlayerGrades+'!$AH$13,"D+",IF(R390&lt;'PlayerGrades+'!$AH$12,"C-",IF(R390&lt;'PlayerGrades+'!$AH$11,"C",IF(R390&lt;'PlayerGrades+'!$AH$10,"C+",IF(R390&lt;'PlayerGrades+'!$AH$9,"B-",IF(R390&lt;'PlayerGrades+'!$AH$8,"B",IF(R390&lt;'PlayerGrades+'!$AH$7,"B+",IF(R390&lt;'PlayerGrades+'!$AH$6,"A-",IF(R390&lt;'PlayerGrades+'!$AH$5,"A",IF(R390&lt;'PlayerGrades+'!$AH$4,"A+",IF(R390&lt;'PlayerGrades+'!$AH$3,"S-",IF(R390&lt;'PlayerGrades+'!$AH$2,"S","S+"))))))))))))))))))))</f>
        <v>#DIV/0!</v>
      </c>
      <c r="T390" s="961">
        <f t="shared" si="9"/>
        <v>0</v>
      </c>
      <c r="U390" s="961" t="str">
        <f>IF(T390&lt;'PlayerGrades+'!$AI$21,"F-",IF(T390&lt;'PlayerGrades+'!$AI$20,"F",IF(T390&lt;'PlayerGrades+'!$AI$19,"F+",IF(T390&lt;'PlayerGrades+'!$AI$18,"E-",IF(T390&lt;'PlayerGrades+'!$AI$17,"E",IF(T390&lt;'PlayerGrades+'!$AI$16,"E+",IF(T390&lt;'PlayerGrades+'!$AI$15,"D-",IF(T390&lt;'PlayerGrades+'!$AI$14,"D",IF(T390&lt;'PlayerGrades+'!$AI$13,"D+",IF(T390&lt;'PlayerGrades+'!$AI$12,"C-",IF(T390&lt;'PlayerGrades+'!$AI$11,"C",IF(T390&lt;'PlayerGrades+'!$AI$10,"C+",IF(T390&lt;'PlayerGrades+'!$AI$9,"B-",IF(T390&lt;'PlayerGrades+'!$AI$8,"B",IF(T390&lt;'PlayerGrades+'!$AI$7,"B+",IF(T390&lt;'PlayerGrades+'!$AI$6,"A-",IF(T390&lt;'PlayerGrades+'!$AI$5,"A",IF(T390&lt;'PlayerGrades+'!$AI$4,"A+",IF(T390&lt;'PlayerGrades+'!$AI$3,"S-",IF(T390&lt;'PlayerGrades+'!$AI$2,"S","S+"))))))))))))))))))))</f>
        <v>F-</v>
      </c>
      <c r="AC390" s="1392"/>
    </row>
    <row r="391">
      <c r="A391" s="1391"/>
      <c r="B391" s="611" t="str">
        <f>IF(C391&lt;'PlayerGrades+'!$Y$44,"F-",IF(C391&lt;'PlayerGrades+'!$Y$43,"F",IF(C391&lt;'PlayerGrades+'!$Y$42,"F+",IF(C391&lt;'PlayerGrades+'!$Y$41,"E-",IF(C391&lt;'PlayerGrades+'!$Y$40,"E",IF(C391&lt;'PlayerGrades+'!$Y$39,"E+",IF(C391&lt;'PlayerGrades+'!$Y$38,"D-",IF(C391&lt;'PlayerGrades+'!$Y$37,"D",IF(C391&lt;'PlayerGrades+'!$Y$36,"D+",IF(C391&lt;'PlayerGrades+'!$Y$35,"C-",IF(C391&lt;'PlayerGrades+'!$Y$34,"C",IF(C391&lt;'PlayerGrades+'!$Y$33,"C+",IF(C391&lt;'PlayerGrades+'!$Y$32,"B-",IF(C391&lt;'PlayerGrades+'!$Y$31,"B",IF(C391&lt;'PlayerGrades+'!$Y$30,"B+",IF(C391&lt;'PlayerGrades+'!$Y$29,"A-",IF(C391&lt;'PlayerGrades+'!$Y$28,"A",IF(C391&lt;'PlayerGrades+'!$Y$27,"A+",IF(C391&lt;'PlayerGrades+'!$Y$26,"S-",IF(C391&lt;'PlayerGrades+'!$Y$25,"S","S+"))))))))))))))))))))</f>
        <v>#DIV/0!</v>
      </c>
      <c r="C391" s="1378" t="str">
        <f>('PlayerGrades+'!$Y$47*(VLOOKUP(E391, 'PlayerGrades+'!$X$3:$Y$23, 2, FALSE)))+('PlayerGrades+'!$Y$48*(VLOOKUP(G391, 'PlayerGrades+'!$X$3:$Y$23, 2, FALSE)))+('PlayerGrades+'!$Y$49*(VLOOKUP(I391, 'PlayerGrades+'!$X$3:$Y$23, 2, FALSE)))+('PlayerGrades+'!$Y$50*(VLOOKUP(K391, 'PlayerGrades+'!$X$3:$Y$23, 2, FALSE)))+('PlayerGrades+'!$Y$51*(VLOOKUP(M391, 'PlayerGrades+'!$X$3:$Y$23, 2, FALSE)))+('PlayerGrades+'!$Y$52*(VLOOKUP(O391, 'PlayerGrades+'!$X$3:$Y$23, 2, FALSE)))+('PlayerGrades+'!$Y$53*(VLOOKUP(Q391, 'PlayerGrades+'!$X$3:$Y$23, 2, FALSE)))+('PlayerGrades+'!$Y$54*(VLOOKUP(S391, 'PlayerGrades+'!$X$3:$Y$23, 2, FALSE)))+('PlayerGrades+'!$Y$55*(VLOOKUP(U391, 'PlayerGrades+'!$X$3:$Y$23, 2, FALSE)))</f>
        <v>#DIV/0!</v>
      </c>
      <c r="D391" s="961" t="str">
        <f t="shared" si="1"/>
        <v>#DIV/0!</v>
      </c>
      <c r="E391" s="961" t="str">
        <f>IF(D391&lt;'PlayerGrades+'!$AA$21,"F-",IF(D391&lt;'PlayerGrades+'!$AA$20,"F",IF(D391&lt;'PlayerGrades+'!$AA$19,"F+",IF(D391&lt;'PlayerGrades+'!$AA$18,"E-",IF(D391&lt;'PlayerGrades+'!$AA$17,"E",IF(D391&lt;'PlayerGrades+'!$AA$16,"E+",IF(D391&lt;'PlayerGrades+'!$AA$15,"D-",IF(D391&lt;'PlayerGrades+'!$AA$14,"D",IF(D391&lt;'PlayerGrades+'!$AA$13,"D+",IF(D391&lt;'PlayerGrades+'!$AA$12,"C-",IF(D391&lt;'PlayerGrades+'!$AA$11,"C",IF(D391&lt;'PlayerGrades+'!$AA$10,"C+",IF(D391&lt;'PlayerGrades+'!$AA$9,"B-",IF(D391&lt;'PlayerGrades+'!$AA$8,"B",IF(D391&lt;'PlayerGrades+'!$AA$7,"B+",IF(D391&lt;'PlayerGrades+'!$AA$6,"A-",IF(D391&lt;'PlayerGrades+'!$AA$5,"A",IF(D391&lt;'PlayerGrades+'!$AA$4,"A+",IF(D391&lt;'PlayerGrades+'!$AA$3,"S-",IF(D391&lt;'PlayerGrades+'!$AA$2,"S","S+"))))))))))))))))))))</f>
        <v>#DIV/0!</v>
      </c>
      <c r="F391" s="961" t="str">
        <f t="shared" si="2"/>
        <v>#DIV/0!</v>
      </c>
      <c r="G391" s="961" t="str">
        <f>IF(F391&lt;'PlayerGrades+'!$AB$21,"F-",IF(F391&lt;'PlayerGrades+'!$AB$20,"F",IF(F391&lt;'PlayerGrades+'!$AB$19,"F+",IF(F391&lt;'PlayerGrades+'!$AB$18,"E-",IF(F391&lt;'PlayerGrades+'!$AB$17,"E",IF(F391&lt;'PlayerGrades+'!$AB$16,"E+",IF(F391&lt;'PlayerGrades+'!$AB$15,"D-",IF(F391&lt;'PlayerGrades+'!$AB$14,"D",IF(F391&lt;'PlayerGrades+'!$AB$13,"D+",IF(F391&lt;'PlayerGrades+'!$AB$12,"C-",IF(F391&lt;'PlayerGrades+'!$AB$11,"C",IF(F391&lt;'PlayerGrades+'!$AB$10,"C+",IF(F391&lt;'PlayerGrades+'!$AB$9,"B-",IF(F391&lt;'PlayerGrades+'!$AB$8,"B",IF(F391&lt;'PlayerGrades+'!$AB$7,"B+",IF(F391&lt;'PlayerGrades+'!$AB$6,"A-",IF(F391&lt;'PlayerGrades+'!$AB$5,"A",IF(F391&lt;'PlayerGrades+'!$AB$4,"A+",IF(F391&lt;'PlayerGrades+'!$AB$3,"S-",IF(F391&lt;'PlayerGrades+'!$AB$2,"S","S+"))))))))))))))))))))</f>
        <v>#DIV/0!</v>
      </c>
      <c r="H391" s="961" t="str">
        <f t="shared" si="3"/>
        <v>#DIV/0!</v>
      </c>
      <c r="I391" s="961" t="str">
        <f>IF(H391&lt;'PlayerGrades+'!$AC$21,"F-",IF(H391&lt;'PlayerGrades+'!$AC$20,"F",IF(H391&lt;'PlayerGrades+'!$AC$19,"F+",IF(H391&lt;'PlayerGrades+'!$AC$18,"E-",IF(H391&lt;'PlayerGrades+'!$AC$17,"E",IF(H391&lt;'PlayerGrades+'!$AC$16,"E+",IF(H391&lt;'PlayerGrades+'!$AC$15,"D-",IF(H391&lt;'PlayerGrades+'!$AC$14,"D",IF(H391&lt;'PlayerGrades+'!$AC$13,"D+",IF(H391&lt;'PlayerGrades+'!$AC$12,"C-",IF(H391&lt;'PlayerGrades+'!$AC$11,"C",IF(H391&lt;'PlayerGrades+'!$AC$10,"C+",IF(H391&lt;'PlayerGrades+'!$AC$9,"B-",IF(H391&lt;'PlayerGrades+'!$AC$8,"B",IF(H391&lt;'PlayerGrades+'!$AC$7,"B+",IF(H391&lt;'PlayerGrades+'!$AC$6,"A-",IF(H391&lt;'PlayerGrades+'!$AC$5,"A",IF(H391&lt;'PlayerGrades+'!$AC$4,"A+",IF(H391&lt;'PlayerGrades+'!$AC$3,"S-",IF(H391&lt;'PlayerGrades+'!$AC$2,"S","S+"))))))))))))))))))))</f>
        <v>#DIV/0!</v>
      </c>
      <c r="J391" s="961" t="str">
        <f t="shared" si="4"/>
        <v>#DIV/0!</v>
      </c>
      <c r="K391" s="961" t="str">
        <f>IF(J391&lt;'PlayerGrades+'!$AD$21,"F-",IF(J391&lt;'PlayerGrades+'!$AD$20,"F",IF(J391&lt;'PlayerGrades+'!$AD$19,"F+",IF(J391&lt;'PlayerGrades+'!$AD$18,"E-",IF(J391&lt;'PlayerGrades+'!$AD$17,"E",IF(J391&lt;'PlayerGrades+'!$AD$16,"E+",IF(J391&lt;'PlayerGrades+'!$AD$15,"D-",IF(J391&lt;'PlayerGrades+'!$AD$14,"D",IF(J391&lt;'PlayerGrades+'!$AD$13,"D+",IF(J391&lt;'PlayerGrades+'!$AD$12,"C-",IF(J391&lt;'PlayerGrades+'!$AD$11,"C",IF(J391&lt;'PlayerGrades+'!$AD$10,"C+",IF(J391&lt;'PlayerGrades+'!$AD$9,"B-",IF(J391&lt;'PlayerGrades+'!$AD$8,"B",IF(J391&lt;'PlayerGrades+'!$AD$7,"B+",IF(J391&lt;'PlayerGrades+'!$AD$6,"A-",IF(J391&lt;'PlayerGrades+'!$AD$5,"A",IF(J391&lt;'PlayerGrades+'!$AD$4,"A+",IF(J391&lt;'PlayerGrades+'!$AD$3,"S-",IF(J391&lt;'PlayerGrades+'!$AD$2,"S","S+"))))))))))))))))))))</f>
        <v>#DIV/0!</v>
      </c>
      <c r="L391" s="1176" t="str">
        <f t="shared" si="5"/>
        <v>#DIV/0!</v>
      </c>
      <c r="M391" s="992" t="str">
        <f>IF(L391&lt;'PlayerGrades+'!$AE$21,"F-",IF(L391&lt;'PlayerGrades+'!$AE$20,"F",IF(L391&lt;'PlayerGrades+'!$AE$19,"F+",IF(L391&lt;'PlayerGrades+'!$AE$18,"E-",IF(L391&lt;'PlayerGrades+'!$AE$17,"E",IF(L391&lt;'PlayerGrades+'!$AE$16,"E+",IF(L391&lt;'PlayerGrades+'!$AE$15,"D-",IF(L391&lt;'PlayerGrades+'!$AE$14,"D",IF(L391&lt;'PlayerGrades+'!$AE$13,"D+",IF(L391&lt;'PlayerGrades+'!$AE$12,"C-",IF(L391&lt;'PlayerGrades+'!$AE$11,"C",IF(L391&lt;'PlayerGrades+'!$AE$10,"C+",IF(L391&lt;'PlayerGrades+'!$AE$9,"B-",IF(L391&lt;'PlayerGrades+'!$AE$8,"B",IF(L391&lt;'PlayerGrades+'!$AE$7,"B+",IF(L391&lt;'PlayerGrades+'!$AE$6,"A-",IF(L391&lt;'PlayerGrades+'!$AE$5,"A",IF(L391&lt;'PlayerGrades+'!$AE$4,"A+",IF(L391&lt;'PlayerGrades+'!$AE$3,"S-",IF(L391&lt;'PlayerGrades+'!$AE$2,"S","S+"))))))))))))))))))))</f>
        <v>#DIV/0!</v>
      </c>
      <c r="N391" s="961" t="str">
        <f t="shared" si="6"/>
        <v>#DIV/0!</v>
      </c>
      <c r="O391" s="961" t="str">
        <f>IF(N391&lt;'PlayerGrades+'!$AF$21,"F-",IF(N391&lt;'PlayerGrades+'!$AF$20,"F",IF(N391&lt;'PlayerGrades+'!$AF$19,"F+",IF(N391&lt;'PlayerGrades+'!$AF$18,"E-",IF(N391&lt;'PlayerGrades+'!$AF$17,"E",IF(N391&lt;'PlayerGrades+'!$AF$16,"E+",IF(N391&lt;'PlayerGrades+'!$AF$15,"D-",IF(N391&lt;'PlayerGrades+'!$AF$14,"D",IF(N391&lt;'PlayerGrades+'!$AF$13,"D+",IF(N391&lt;'PlayerGrades+'!$AF$12,"C-",IF(N391&lt;'PlayerGrades+'!$AF$11,"C",IF(N391&lt;'PlayerGrades+'!$AF$10,"C+",IF(N391&lt;'PlayerGrades+'!$AF$9,"B-",IF(N391&lt;'PlayerGrades+'!$AF$8,"B",IF(N391&lt;'PlayerGrades+'!$AF$7,"B+",IF(N391&lt;'PlayerGrades+'!$AF$6,"A-",IF(N391&lt;'PlayerGrades+'!$AF$5,"A",IF(N391&lt;'PlayerGrades+'!$AF$4,"A+",IF(N391&lt;'PlayerGrades+'!$AF$3,"S-",IF(N391&lt;'PlayerGrades+'!$AF$2,"S","S+"))))))))))))))))))))</f>
        <v>#DIV/0!</v>
      </c>
      <c r="P391" s="961" t="str">
        <f t="shared" si="7"/>
        <v>#DIV/0!</v>
      </c>
      <c r="Q391" s="961" t="str">
        <f>IF(P391&lt;'PlayerGrades+'!$AG$21,"F-",IF(P391&lt;'PlayerGrades+'!$AG$20,"F",IF(P391&lt;'PlayerGrades+'!$AG$19,"F+",IF(P391&lt;'PlayerGrades+'!$AG$18,"E-",IF(P391&lt;'PlayerGrades+'!$AG$17,"E",IF(P391&lt;'PlayerGrades+'!$AG$16,"E+",IF(P391&lt;'PlayerGrades+'!$AG$15,"D-",IF(P391&lt;'PlayerGrades+'!$AG$14,"D",IF(P391&lt;'PlayerGrades+'!$AG$13,"D+",IF(P391&lt;'PlayerGrades+'!$AG$12,"C-",IF(P391&lt;'PlayerGrades+'!$AG$11,"C",IF(P391&lt;'PlayerGrades+'!$AG$10,"C+",IF(P391&lt;'PlayerGrades+'!$AG$9,"B-",IF(P391&lt;'PlayerGrades+'!$AG$8,"B",IF(P391&lt;'PlayerGrades+'!$AG$7,"B+",IF(P391&lt;'PlayerGrades+'!$AG$6,"A-",IF(P391&lt;'PlayerGrades+'!$AG$5,"A",IF(P391&lt;'PlayerGrades+'!$AG$4,"A+",IF(P391&lt;'PlayerGrades+'!$AG$3,"S-",IF(P391&lt;'PlayerGrades+'!$AG$2,"S","S+"))))))))))))))))))))</f>
        <v>#DIV/0!</v>
      </c>
      <c r="R391" s="961" t="str">
        <f t="shared" si="8"/>
        <v>#DIV/0!</v>
      </c>
      <c r="S391" s="961" t="str">
        <f>IF(R391&lt;'PlayerGrades+'!$AH$21,"F-",IF(R391&lt;'PlayerGrades+'!$AH$20,"F",IF(R391&lt;'PlayerGrades+'!$AH$19,"F+",IF(R391&lt;'PlayerGrades+'!$AH$18,"E-",IF(R391&lt;'PlayerGrades+'!$AH$17,"E",IF(R391&lt;'PlayerGrades+'!$AH$16,"E+",IF(R391&lt;'PlayerGrades+'!$AH$15,"D-",IF(R391&lt;'PlayerGrades+'!$AH$14,"D",IF(R391&lt;'PlayerGrades+'!$AH$13,"D+",IF(R391&lt;'PlayerGrades+'!$AH$12,"C-",IF(R391&lt;'PlayerGrades+'!$AH$11,"C",IF(R391&lt;'PlayerGrades+'!$AH$10,"C+",IF(R391&lt;'PlayerGrades+'!$AH$9,"B-",IF(R391&lt;'PlayerGrades+'!$AH$8,"B",IF(R391&lt;'PlayerGrades+'!$AH$7,"B+",IF(R391&lt;'PlayerGrades+'!$AH$6,"A-",IF(R391&lt;'PlayerGrades+'!$AH$5,"A",IF(R391&lt;'PlayerGrades+'!$AH$4,"A+",IF(R391&lt;'PlayerGrades+'!$AH$3,"S-",IF(R391&lt;'PlayerGrades+'!$AH$2,"S","S+"))))))))))))))))))))</f>
        <v>#DIV/0!</v>
      </c>
      <c r="T391" s="961">
        <f t="shared" si="9"/>
        <v>0</v>
      </c>
      <c r="U391" s="961" t="str">
        <f>IF(T391&lt;'PlayerGrades+'!$AI$21,"F-",IF(T391&lt;'PlayerGrades+'!$AI$20,"F",IF(T391&lt;'PlayerGrades+'!$AI$19,"F+",IF(T391&lt;'PlayerGrades+'!$AI$18,"E-",IF(T391&lt;'PlayerGrades+'!$AI$17,"E",IF(T391&lt;'PlayerGrades+'!$AI$16,"E+",IF(T391&lt;'PlayerGrades+'!$AI$15,"D-",IF(T391&lt;'PlayerGrades+'!$AI$14,"D",IF(T391&lt;'PlayerGrades+'!$AI$13,"D+",IF(T391&lt;'PlayerGrades+'!$AI$12,"C-",IF(T391&lt;'PlayerGrades+'!$AI$11,"C",IF(T391&lt;'PlayerGrades+'!$AI$10,"C+",IF(T391&lt;'PlayerGrades+'!$AI$9,"B-",IF(T391&lt;'PlayerGrades+'!$AI$8,"B",IF(T391&lt;'PlayerGrades+'!$AI$7,"B+",IF(T391&lt;'PlayerGrades+'!$AI$6,"A-",IF(T391&lt;'PlayerGrades+'!$AI$5,"A",IF(T391&lt;'PlayerGrades+'!$AI$4,"A+",IF(T391&lt;'PlayerGrades+'!$AI$3,"S-",IF(T391&lt;'PlayerGrades+'!$AI$2,"S","S+"))))))))))))))))))))</f>
        <v>F-</v>
      </c>
      <c r="AC391" s="1392"/>
    </row>
    <row r="392">
      <c r="A392" s="1391"/>
      <c r="B392" s="611" t="str">
        <f>IF(C392&lt;'PlayerGrades+'!$Y$44,"F-",IF(C392&lt;'PlayerGrades+'!$Y$43,"F",IF(C392&lt;'PlayerGrades+'!$Y$42,"F+",IF(C392&lt;'PlayerGrades+'!$Y$41,"E-",IF(C392&lt;'PlayerGrades+'!$Y$40,"E",IF(C392&lt;'PlayerGrades+'!$Y$39,"E+",IF(C392&lt;'PlayerGrades+'!$Y$38,"D-",IF(C392&lt;'PlayerGrades+'!$Y$37,"D",IF(C392&lt;'PlayerGrades+'!$Y$36,"D+",IF(C392&lt;'PlayerGrades+'!$Y$35,"C-",IF(C392&lt;'PlayerGrades+'!$Y$34,"C",IF(C392&lt;'PlayerGrades+'!$Y$33,"C+",IF(C392&lt;'PlayerGrades+'!$Y$32,"B-",IF(C392&lt;'PlayerGrades+'!$Y$31,"B",IF(C392&lt;'PlayerGrades+'!$Y$30,"B+",IF(C392&lt;'PlayerGrades+'!$Y$29,"A-",IF(C392&lt;'PlayerGrades+'!$Y$28,"A",IF(C392&lt;'PlayerGrades+'!$Y$27,"A+",IF(C392&lt;'PlayerGrades+'!$Y$26,"S-",IF(C392&lt;'PlayerGrades+'!$Y$25,"S","S+"))))))))))))))))))))</f>
        <v>#DIV/0!</v>
      </c>
      <c r="C392" s="1378" t="str">
        <f>('PlayerGrades+'!$Y$47*(VLOOKUP(E392, 'PlayerGrades+'!$X$3:$Y$23, 2, FALSE)))+('PlayerGrades+'!$Y$48*(VLOOKUP(G392, 'PlayerGrades+'!$X$3:$Y$23, 2, FALSE)))+('PlayerGrades+'!$Y$49*(VLOOKUP(I392, 'PlayerGrades+'!$X$3:$Y$23, 2, FALSE)))+('PlayerGrades+'!$Y$50*(VLOOKUP(K392, 'PlayerGrades+'!$X$3:$Y$23, 2, FALSE)))+('PlayerGrades+'!$Y$51*(VLOOKUP(M392, 'PlayerGrades+'!$X$3:$Y$23, 2, FALSE)))+('PlayerGrades+'!$Y$52*(VLOOKUP(O392, 'PlayerGrades+'!$X$3:$Y$23, 2, FALSE)))+('PlayerGrades+'!$Y$53*(VLOOKUP(Q392, 'PlayerGrades+'!$X$3:$Y$23, 2, FALSE)))+('PlayerGrades+'!$Y$54*(VLOOKUP(S392, 'PlayerGrades+'!$X$3:$Y$23, 2, FALSE)))+('PlayerGrades+'!$Y$55*(VLOOKUP(U392, 'PlayerGrades+'!$X$3:$Y$23, 2, FALSE)))</f>
        <v>#DIV/0!</v>
      </c>
      <c r="D392" s="961" t="str">
        <f t="shared" si="1"/>
        <v>#DIV/0!</v>
      </c>
      <c r="E392" s="961" t="str">
        <f>IF(D392&lt;'PlayerGrades+'!$AA$21,"F-",IF(D392&lt;'PlayerGrades+'!$AA$20,"F",IF(D392&lt;'PlayerGrades+'!$AA$19,"F+",IF(D392&lt;'PlayerGrades+'!$AA$18,"E-",IF(D392&lt;'PlayerGrades+'!$AA$17,"E",IF(D392&lt;'PlayerGrades+'!$AA$16,"E+",IF(D392&lt;'PlayerGrades+'!$AA$15,"D-",IF(D392&lt;'PlayerGrades+'!$AA$14,"D",IF(D392&lt;'PlayerGrades+'!$AA$13,"D+",IF(D392&lt;'PlayerGrades+'!$AA$12,"C-",IF(D392&lt;'PlayerGrades+'!$AA$11,"C",IF(D392&lt;'PlayerGrades+'!$AA$10,"C+",IF(D392&lt;'PlayerGrades+'!$AA$9,"B-",IF(D392&lt;'PlayerGrades+'!$AA$8,"B",IF(D392&lt;'PlayerGrades+'!$AA$7,"B+",IF(D392&lt;'PlayerGrades+'!$AA$6,"A-",IF(D392&lt;'PlayerGrades+'!$AA$5,"A",IF(D392&lt;'PlayerGrades+'!$AA$4,"A+",IF(D392&lt;'PlayerGrades+'!$AA$3,"S-",IF(D392&lt;'PlayerGrades+'!$AA$2,"S","S+"))))))))))))))))))))</f>
        <v>#DIV/0!</v>
      </c>
      <c r="F392" s="961" t="str">
        <f t="shared" si="2"/>
        <v>#DIV/0!</v>
      </c>
      <c r="G392" s="961" t="str">
        <f>IF(F392&lt;'PlayerGrades+'!$AB$21,"F-",IF(F392&lt;'PlayerGrades+'!$AB$20,"F",IF(F392&lt;'PlayerGrades+'!$AB$19,"F+",IF(F392&lt;'PlayerGrades+'!$AB$18,"E-",IF(F392&lt;'PlayerGrades+'!$AB$17,"E",IF(F392&lt;'PlayerGrades+'!$AB$16,"E+",IF(F392&lt;'PlayerGrades+'!$AB$15,"D-",IF(F392&lt;'PlayerGrades+'!$AB$14,"D",IF(F392&lt;'PlayerGrades+'!$AB$13,"D+",IF(F392&lt;'PlayerGrades+'!$AB$12,"C-",IF(F392&lt;'PlayerGrades+'!$AB$11,"C",IF(F392&lt;'PlayerGrades+'!$AB$10,"C+",IF(F392&lt;'PlayerGrades+'!$AB$9,"B-",IF(F392&lt;'PlayerGrades+'!$AB$8,"B",IF(F392&lt;'PlayerGrades+'!$AB$7,"B+",IF(F392&lt;'PlayerGrades+'!$AB$6,"A-",IF(F392&lt;'PlayerGrades+'!$AB$5,"A",IF(F392&lt;'PlayerGrades+'!$AB$4,"A+",IF(F392&lt;'PlayerGrades+'!$AB$3,"S-",IF(F392&lt;'PlayerGrades+'!$AB$2,"S","S+"))))))))))))))))))))</f>
        <v>#DIV/0!</v>
      </c>
      <c r="H392" s="961" t="str">
        <f t="shared" si="3"/>
        <v>#DIV/0!</v>
      </c>
      <c r="I392" s="961" t="str">
        <f>IF(H392&lt;'PlayerGrades+'!$AC$21,"F-",IF(H392&lt;'PlayerGrades+'!$AC$20,"F",IF(H392&lt;'PlayerGrades+'!$AC$19,"F+",IF(H392&lt;'PlayerGrades+'!$AC$18,"E-",IF(H392&lt;'PlayerGrades+'!$AC$17,"E",IF(H392&lt;'PlayerGrades+'!$AC$16,"E+",IF(H392&lt;'PlayerGrades+'!$AC$15,"D-",IF(H392&lt;'PlayerGrades+'!$AC$14,"D",IF(H392&lt;'PlayerGrades+'!$AC$13,"D+",IF(H392&lt;'PlayerGrades+'!$AC$12,"C-",IF(H392&lt;'PlayerGrades+'!$AC$11,"C",IF(H392&lt;'PlayerGrades+'!$AC$10,"C+",IF(H392&lt;'PlayerGrades+'!$AC$9,"B-",IF(H392&lt;'PlayerGrades+'!$AC$8,"B",IF(H392&lt;'PlayerGrades+'!$AC$7,"B+",IF(H392&lt;'PlayerGrades+'!$AC$6,"A-",IF(H392&lt;'PlayerGrades+'!$AC$5,"A",IF(H392&lt;'PlayerGrades+'!$AC$4,"A+",IF(H392&lt;'PlayerGrades+'!$AC$3,"S-",IF(H392&lt;'PlayerGrades+'!$AC$2,"S","S+"))))))))))))))))))))</f>
        <v>#DIV/0!</v>
      </c>
      <c r="J392" s="961" t="str">
        <f t="shared" si="4"/>
        <v>#DIV/0!</v>
      </c>
      <c r="K392" s="961" t="str">
        <f>IF(J392&lt;'PlayerGrades+'!$AD$21,"F-",IF(J392&lt;'PlayerGrades+'!$AD$20,"F",IF(J392&lt;'PlayerGrades+'!$AD$19,"F+",IF(J392&lt;'PlayerGrades+'!$AD$18,"E-",IF(J392&lt;'PlayerGrades+'!$AD$17,"E",IF(J392&lt;'PlayerGrades+'!$AD$16,"E+",IF(J392&lt;'PlayerGrades+'!$AD$15,"D-",IF(J392&lt;'PlayerGrades+'!$AD$14,"D",IF(J392&lt;'PlayerGrades+'!$AD$13,"D+",IF(J392&lt;'PlayerGrades+'!$AD$12,"C-",IF(J392&lt;'PlayerGrades+'!$AD$11,"C",IF(J392&lt;'PlayerGrades+'!$AD$10,"C+",IF(J392&lt;'PlayerGrades+'!$AD$9,"B-",IF(J392&lt;'PlayerGrades+'!$AD$8,"B",IF(J392&lt;'PlayerGrades+'!$AD$7,"B+",IF(J392&lt;'PlayerGrades+'!$AD$6,"A-",IF(J392&lt;'PlayerGrades+'!$AD$5,"A",IF(J392&lt;'PlayerGrades+'!$AD$4,"A+",IF(J392&lt;'PlayerGrades+'!$AD$3,"S-",IF(J392&lt;'PlayerGrades+'!$AD$2,"S","S+"))))))))))))))))))))</f>
        <v>#DIV/0!</v>
      </c>
      <c r="L392" s="1176" t="str">
        <f t="shared" si="5"/>
        <v>#DIV/0!</v>
      </c>
      <c r="M392" s="992" t="str">
        <f>IF(L392&lt;'PlayerGrades+'!$AE$21,"F-",IF(L392&lt;'PlayerGrades+'!$AE$20,"F",IF(L392&lt;'PlayerGrades+'!$AE$19,"F+",IF(L392&lt;'PlayerGrades+'!$AE$18,"E-",IF(L392&lt;'PlayerGrades+'!$AE$17,"E",IF(L392&lt;'PlayerGrades+'!$AE$16,"E+",IF(L392&lt;'PlayerGrades+'!$AE$15,"D-",IF(L392&lt;'PlayerGrades+'!$AE$14,"D",IF(L392&lt;'PlayerGrades+'!$AE$13,"D+",IF(L392&lt;'PlayerGrades+'!$AE$12,"C-",IF(L392&lt;'PlayerGrades+'!$AE$11,"C",IF(L392&lt;'PlayerGrades+'!$AE$10,"C+",IF(L392&lt;'PlayerGrades+'!$AE$9,"B-",IF(L392&lt;'PlayerGrades+'!$AE$8,"B",IF(L392&lt;'PlayerGrades+'!$AE$7,"B+",IF(L392&lt;'PlayerGrades+'!$AE$6,"A-",IF(L392&lt;'PlayerGrades+'!$AE$5,"A",IF(L392&lt;'PlayerGrades+'!$AE$4,"A+",IF(L392&lt;'PlayerGrades+'!$AE$3,"S-",IF(L392&lt;'PlayerGrades+'!$AE$2,"S","S+"))))))))))))))))))))</f>
        <v>#DIV/0!</v>
      </c>
      <c r="N392" s="961" t="str">
        <f t="shared" si="6"/>
        <v>#DIV/0!</v>
      </c>
      <c r="O392" s="961" t="str">
        <f>IF(N392&lt;'PlayerGrades+'!$AF$21,"F-",IF(N392&lt;'PlayerGrades+'!$AF$20,"F",IF(N392&lt;'PlayerGrades+'!$AF$19,"F+",IF(N392&lt;'PlayerGrades+'!$AF$18,"E-",IF(N392&lt;'PlayerGrades+'!$AF$17,"E",IF(N392&lt;'PlayerGrades+'!$AF$16,"E+",IF(N392&lt;'PlayerGrades+'!$AF$15,"D-",IF(N392&lt;'PlayerGrades+'!$AF$14,"D",IF(N392&lt;'PlayerGrades+'!$AF$13,"D+",IF(N392&lt;'PlayerGrades+'!$AF$12,"C-",IF(N392&lt;'PlayerGrades+'!$AF$11,"C",IF(N392&lt;'PlayerGrades+'!$AF$10,"C+",IF(N392&lt;'PlayerGrades+'!$AF$9,"B-",IF(N392&lt;'PlayerGrades+'!$AF$8,"B",IF(N392&lt;'PlayerGrades+'!$AF$7,"B+",IF(N392&lt;'PlayerGrades+'!$AF$6,"A-",IF(N392&lt;'PlayerGrades+'!$AF$5,"A",IF(N392&lt;'PlayerGrades+'!$AF$4,"A+",IF(N392&lt;'PlayerGrades+'!$AF$3,"S-",IF(N392&lt;'PlayerGrades+'!$AF$2,"S","S+"))))))))))))))))))))</f>
        <v>#DIV/0!</v>
      </c>
      <c r="P392" s="961" t="str">
        <f t="shared" si="7"/>
        <v>#DIV/0!</v>
      </c>
      <c r="Q392" s="961" t="str">
        <f>IF(P392&lt;'PlayerGrades+'!$AG$21,"F-",IF(P392&lt;'PlayerGrades+'!$AG$20,"F",IF(P392&lt;'PlayerGrades+'!$AG$19,"F+",IF(P392&lt;'PlayerGrades+'!$AG$18,"E-",IF(P392&lt;'PlayerGrades+'!$AG$17,"E",IF(P392&lt;'PlayerGrades+'!$AG$16,"E+",IF(P392&lt;'PlayerGrades+'!$AG$15,"D-",IF(P392&lt;'PlayerGrades+'!$AG$14,"D",IF(P392&lt;'PlayerGrades+'!$AG$13,"D+",IF(P392&lt;'PlayerGrades+'!$AG$12,"C-",IF(P392&lt;'PlayerGrades+'!$AG$11,"C",IF(P392&lt;'PlayerGrades+'!$AG$10,"C+",IF(P392&lt;'PlayerGrades+'!$AG$9,"B-",IF(P392&lt;'PlayerGrades+'!$AG$8,"B",IF(P392&lt;'PlayerGrades+'!$AG$7,"B+",IF(P392&lt;'PlayerGrades+'!$AG$6,"A-",IF(P392&lt;'PlayerGrades+'!$AG$5,"A",IF(P392&lt;'PlayerGrades+'!$AG$4,"A+",IF(P392&lt;'PlayerGrades+'!$AG$3,"S-",IF(P392&lt;'PlayerGrades+'!$AG$2,"S","S+"))))))))))))))))))))</f>
        <v>#DIV/0!</v>
      </c>
      <c r="R392" s="961" t="str">
        <f t="shared" si="8"/>
        <v>#DIV/0!</v>
      </c>
      <c r="S392" s="961" t="str">
        <f>IF(R392&lt;'PlayerGrades+'!$AH$21,"F-",IF(R392&lt;'PlayerGrades+'!$AH$20,"F",IF(R392&lt;'PlayerGrades+'!$AH$19,"F+",IF(R392&lt;'PlayerGrades+'!$AH$18,"E-",IF(R392&lt;'PlayerGrades+'!$AH$17,"E",IF(R392&lt;'PlayerGrades+'!$AH$16,"E+",IF(R392&lt;'PlayerGrades+'!$AH$15,"D-",IF(R392&lt;'PlayerGrades+'!$AH$14,"D",IF(R392&lt;'PlayerGrades+'!$AH$13,"D+",IF(R392&lt;'PlayerGrades+'!$AH$12,"C-",IF(R392&lt;'PlayerGrades+'!$AH$11,"C",IF(R392&lt;'PlayerGrades+'!$AH$10,"C+",IF(R392&lt;'PlayerGrades+'!$AH$9,"B-",IF(R392&lt;'PlayerGrades+'!$AH$8,"B",IF(R392&lt;'PlayerGrades+'!$AH$7,"B+",IF(R392&lt;'PlayerGrades+'!$AH$6,"A-",IF(R392&lt;'PlayerGrades+'!$AH$5,"A",IF(R392&lt;'PlayerGrades+'!$AH$4,"A+",IF(R392&lt;'PlayerGrades+'!$AH$3,"S-",IF(R392&lt;'PlayerGrades+'!$AH$2,"S","S+"))))))))))))))))))))</f>
        <v>#DIV/0!</v>
      </c>
      <c r="T392" s="961">
        <f t="shared" si="9"/>
        <v>0</v>
      </c>
      <c r="U392" s="961" t="str">
        <f>IF(T392&lt;'PlayerGrades+'!$AI$21,"F-",IF(T392&lt;'PlayerGrades+'!$AI$20,"F",IF(T392&lt;'PlayerGrades+'!$AI$19,"F+",IF(T392&lt;'PlayerGrades+'!$AI$18,"E-",IF(T392&lt;'PlayerGrades+'!$AI$17,"E",IF(T392&lt;'PlayerGrades+'!$AI$16,"E+",IF(T392&lt;'PlayerGrades+'!$AI$15,"D-",IF(T392&lt;'PlayerGrades+'!$AI$14,"D",IF(T392&lt;'PlayerGrades+'!$AI$13,"D+",IF(T392&lt;'PlayerGrades+'!$AI$12,"C-",IF(T392&lt;'PlayerGrades+'!$AI$11,"C",IF(T392&lt;'PlayerGrades+'!$AI$10,"C+",IF(T392&lt;'PlayerGrades+'!$AI$9,"B-",IF(T392&lt;'PlayerGrades+'!$AI$8,"B",IF(T392&lt;'PlayerGrades+'!$AI$7,"B+",IF(T392&lt;'PlayerGrades+'!$AI$6,"A-",IF(T392&lt;'PlayerGrades+'!$AI$5,"A",IF(T392&lt;'PlayerGrades+'!$AI$4,"A+",IF(T392&lt;'PlayerGrades+'!$AI$3,"S-",IF(T392&lt;'PlayerGrades+'!$AI$2,"S","S+"))))))))))))))))))))</f>
        <v>F-</v>
      </c>
      <c r="AC392" s="1392"/>
    </row>
    <row r="393">
      <c r="A393" s="1393"/>
      <c r="B393" s="611" t="str">
        <f>IF(C393&lt;'PlayerGrades+'!$Y$44,"F-",IF(C393&lt;'PlayerGrades+'!$Y$43,"F",IF(C393&lt;'PlayerGrades+'!$Y$42,"F+",IF(C393&lt;'PlayerGrades+'!$Y$41,"E-",IF(C393&lt;'PlayerGrades+'!$Y$40,"E",IF(C393&lt;'PlayerGrades+'!$Y$39,"E+",IF(C393&lt;'PlayerGrades+'!$Y$38,"D-",IF(C393&lt;'PlayerGrades+'!$Y$37,"D",IF(C393&lt;'PlayerGrades+'!$Y$36,"D+",IF(C393&lt;'PlayerGrades+'!$Y$35,"C-",IF(C393&lt;'PlayerGrades+'!$Y$34,"C",IF(C393&lt;'PlayerGrades+'!$Y$33,"C+",IF(C393&lt;'PlayerGrades+'!$Y$32,"B-",IF(C393&lt;'PlayerGrades+'!$Y$31,"B",IF(C393&lt;'PlayerGrades+'!$Y$30,"B+",IF(C393&lt;'PlayerGrades+'!$Y$29,"A-",IF(C393&lt;'PlayerGrades+'!$Y$28,"A",IF(C393&lt;'PlayerGrades+'!$Y$27,"A+",IF(C393&lt;'PlayerGrades+'!$Y$26,"S-",IF(C393&lt;'PlayerGrades+'!$Y$25,"S","S+"))))))))))))))))))))</f>
        <v>#DIV/0!</v>
      </c>
      <c r="C393" s="1378" t="str">
        <f>('PlayerGrades+'!$Y$47*(VLOOKUP(E393, 'PlayerGrades+'!$X$3:$Y$23, 2, FALSE)))+('PlayerGrades+'!$Y$48*(VLOOKUP(G393, 'PlayerGrades+'!$X$3:$Y$23, 2, FALSE)))+('PlayerGrades+'!$Y$49*(VLOOKUP(I393, 'PlayerGrades+'!$X$3:$Y$23, 2, FALSE)))+('PlayerGrades+'!$Y$50*(VLOOKUP(K393, 'PlayerGrades+'!$X$3:$Y$23, 2, FALSE)))+('PlayerGrades+'!$Y$51*(VLOOKUP(M393, 'PlayerGrades+'!$X$3:$Y$23, 2, FALSE)))+('PlayerGrades+'!$Y$52*(VLOOKUP(O393, 'PlayerGrades+'!$X$3:$Y$23, 2, FALSE)))+('PlayerGrades+'!$Y$53*(VLOOKUP(Q393, 'PlayerGrades+'!$X$3:$Y$23, 2, FALSE)))+('PlayerGrades+'!$Y$54*(VLOOKUP(S393, 'PlayerGrades+'!$X$3:$Y$23, 2, FALSE)))+('PlayerGrades+'!$Y$55*(VLOOKUP(U393, 'PlayerGrades+'!$X$3:$Y$23, 2, FALSE)))</f>
        <v>#DIV/0!</v>
      </c>
      <c r="D393" s="961" t="str">
        <f t="shared" si="1"/>
        <v>#DIV/0!</v>
      </c>
      <c r="E393" s="961" t="str">
        <f>IF(D393&lt;'PlayerGrades+'!$AA$21,"F-",IF(D393&lt;'PlayerGrades+'!$AA$20,"F",IF(D393&lt;'PlayerGrades+'!$AA$19,"F+",IF(D393&lt;'PlayerGrades+'!$AA$18,"E-",IF(D393&lt;'PlayerGrades+'!$AA$17,"E",IF(D393&lt;'PlayerGrades+'!$AA$16,"E+",IF(D393&lt;'PlayerGrades+'!$AA$15,"D-",IF(D393&lt;'PlayerGrades+'!$AA$14,"D",IF(D393&lt;'PlayerGrades+'!$AA$13,"D+",IF(D393&lt;'PlayerGrades+'!$AA$12,"C-",IF(D393&lt;'PlayerGrades+'!$AA$11,"C",IF(D393&lt;'PlayerGrades+'!$AA$10,"C+",IF(D393&lt;'PlayerGrades+'!$AA$9,"B-",IF(D393&lt;'PlayerGrades+'!$AA$8,"B",IF(D393&lt;'PlayerGrades+'!$AA$7,"B+",IF(D393&lt;'PlayerGrades+'!$AA$6,"A-",IF(D393&lt;'PlayerGrades+'!$AA$5,"A",IF(D393&lt;'PlayerGrades+'!$AA$4,"A+",IF(D393&lt;'PlayerGrades+'!$AA$3,"S-",IF(D393&lt;'PlayerGrades+'!$AA$2,"S","S+"))))))))))))))))))))</f>
        <v>#DIV/0!</v>
      </c>
      <c r="F393" s="961" t="str">
        <f t="shared" si="2"/>
        <v>#DIV/0!</v>
      </c>
      <c r="G393" s="961" t="str">
        <f>IF(F393&lt;'PlayerGrades+'!$AB$21,"F-",IF(F393&lt;'PlayerGrades+'!$AB$20,"F",IF(F393&lt;'PlayerGrades+'!$AB$19,"F+",IF(F393&lt;'PlayerGrades+'!$AB$18,"E-",IF(F393&lt;'PlayerGrades+'!$AB$17,"E",IF(F393&lt;'PlayerGrades+'!$AB$16,"E+",IF(F393&lt;'PlayerGrades+'!$AB$15,"D-",IF(F393&lt;'PlayerGrades+'!$AB$14,"D",IF(F393&lt;'PlayerGrades+'!$AB$13,"D+",IF(F393&lt;'PlayerGrades+'!$AB$12,"C-",IF(F393&lt;'PlayerGrades+'!$AB$11,"C",IF(F393&lt;'PlayerGrades+'!$AB$10,"C+",IF(F393&lt;'PlayerGrades+'!$AB$9,"B-",IF(F393&lt;'PlayerGrades+'!$AB$8,"B",IF(F393&lt;'PlayerGrades+'!$AB$7,"B+",IF(F393&lt;'PlayerGrades+'!$AB$6,"A-",IF(F393&lt;'PlayerGrades+'!$AB$5,"A",IF(F393&lt;'PlayerGrades+'!$AB$4,"A+",IF(F393&lt;'PlayerGrades+'!$AB$3,"S-",IF(F393&lt;'PlayerGrades+'!$AB$2,"S","S+"))))))))))))))))))))</f>
        <v>#DIV/0!</v>
      </c>
      <c r="H393" s="961" t="str">
        <f t="shared" si="3"/>
        <v>#DIV/0!</v>
      </c>
      <c r="I393" s="961" t="str">
        <f>IF(H393&lt;'PlayerGrades+'!$AC$21,"F-",IF(H393&lt;'PlayerGrades+'!$AC$20,"F",IF(H393&lt;'PlayerGrades+'!$AC$19,"F+",IF(H393&lt;'PlayerGrades+'!$AC$18,"E-",IF(H393&lt;'PlayerGrades+'!$AC$17,"E",IF(H393&lt;'PlayerGrades+'!$AC$16,"E+",IF(H393&lt;'PlayerGrades+'!$AC$15,"D-",IF(H393&lt;'PlayerGrades+'!$AC$14,"D",IF(H393&lt;'PlayerGrades+'!$AC$13,"D+",IF(H393&lt;'PlayerGrades+'!$AC$12,"C-",IF(H393&lt;'PlayerGrades+'!$AC$11,"C",IF(H393&lt;'PlayerGrades+'!$AC$10,"C+",IF(H393&lt;'PlayerGrades+'!$AC$9,"B-",IF(H393&lt;'PlayerGrades+'!$AC$8,"B",IF(H393&lt;'PlayerGrades+'!$AC$7,"B+",IF(H393&lt;'PlayerGrades+'!$AC$6,"A-",IF(H393&lt;'PlayerGrades+'!$AC$5,"A",IF(H393&lt;'PlayerGrades+'!$AC$4,"A+",IF(H393&lt;'PlayerGrades+'!$AC$3,"S-",IF(H393&lt;'PlayerGrades+'!$AC$2,"S","S+"))))))))))))))))))))</f>
        <v>#DIV/0!</v>
      </c>
      <c r="J393" s="961" t="str">
        <f t="shared" si="4"/>
        <v>#DIV/0!</v>
      </c>
      <c r="K393" s="961" t="str">
        <f>IF(J393&lt;'PlayerGrades+'!$AD$21,"F-",IF(J393&lt;'PlayerGrades+'!$AD$20,"F",IF(J393&lt;'PlayerGrades+'!$AD$19,"F+",IF(J393&lt;'PlayerGrades+'!$AD$18,"E-",IF(J393&lt;'PlayerGrades+'!$AD$17,"E",IF(J393&lt;'PlayerGrades+'!$AD$16,"E+",IF(J393&lt;'PlayerGrades+'!$AD$15,"D-",IF(J393&lt;'PlayerGrades+'!$AD$14,"D",IF(J393&lt;'PlayerGrades+'!$AD$13,"D+",IF(J393&lt;'PlayerGrades+'!$AD$12,"C-",IF(J393&lt;'PlayerGrades+'!$AD$11,"C",IF(J393&lt;'PlayerGrades+'!$AD$10,"C+",IF(J393&lt;'PlayerGrades+'!$AD$9,"B-",IF(J393&lt;'PlayerGrades+'!$AD$8,"B",IF(J393&lt;'PlayerGrades+'!$AD$7,"B+",IF(J393&lt;'PlayerGrades+'!$AD$6,"A-",IF(J393&lt;'PlayerGrades+'!$AD$5,"A",IF(J393&lt;'PlayerGrades+'!$AD$4,"A+",IF(J393&lt;'PlayerGrades+'!$AD$3,"S-",IF(J393&lt;'PlayerGrades+'!$AD$2,"S","S+"))))))))))))))))))))</f>
        <v>#DIV/0!</v>
      </c>
      <c r="L393" s="1176" t="str">
        <f t="shared" si="5"/>
        <v>#DIV/0!</v>
      </c>
      <c r="M393" s="992" t="str">
        <f>IF(L393&lt;'PlayerGrades+'!$AE$21,"F-",IF(L393&lt;'PlayerGrades+'!$AE$20,"F",IF(L393&lt;'PlayerGrades+'!$AE$19,"F+",IF(L393&lt;'PlayerGrades+'!$AE$18,"E-",IF(L393&lt;'PlayerGrades+'!$AE$17,"E",IF(L393&lt;'PlayerGrades+'!$AE$16,"E+",IF(L393&lt;'PlayerGrades+'!$AE$15,"D-",IF(L393&lt;'PlayerGrades+'!$AE$14,"D",IF(L393&lt;'PlayerGrades+'!$AE$13,"D+",IF(L393&lt;'PlayerGrades+'!$AE$12,"C-",IF(L393&lt;'PlayerGrades+'!$AE$11,"C",IF(L393&lt;'PlayerGrades+'!$AE$10,"C+",IF(L393&lt;'PlayerGrades+'!$AE$9,"B-",IF(L393&lt;'PlayerGrades+'!$AE$8,"B",IF(L393&lt;'PlayerGrades+'!$AE$7,"B+",IF(L393&lt;'PlayerGrades+'!$AE$6,"A-",IF(L393&lt;'PlayerGrades+'!$AE$5,"A",IF(L393&lt;'PlayerGrades+'!$AE$4,"A+",IF(L393&lt;'PlayerGrades+'!$AE$3,"S-",IF(L393&lt;'PlayerGrades+'!$AE$2,"S","S+"))))))))))))))))))))</f>
        <v>#DIV/0!</v>
      </c>
      <c r="N393" s="961" t="str">
        <f t="shared" si="6"/>
        <v>#DIV/0!</v>
      </c>
      <c r="O393" s="961" t="str">
        <f>IF(N393&lt;'PlayerGrades+'!$AF$21,"F-",IF(N393&lt;'PlayerGrades+'!$AF$20,"F",IF(N393&lt;'PlayerGrades+'!$AF$19,"F+",IF(N393&lt;'PlayerGrades+'!$AF$18,"E-",IF(N393&lt;'PlayerGrades+'!$AF$17,"E",IF(N393&lt;'PlayerGrades+'!$AF$16,"E+",IF(N393&lt;'PlayerGrades+'!$AF$15,"D-",IF(N393&lt;'PlayerGrades+'!$AF$14,"D",IF(N393&lt;'PlayerGrades+'!$AF$13,"D+",IF(N393&lt;'PlayerGrades+'!$AF$12,"C-",IF(N393&lt;'PlayerGrades+'!$AF$11,"C",IF(N393&lt;'PlayerGrades+'!$AF$10,"C+",IF(N393&lt;'PlayerGrades+'!$AF$9,"B-",IF(N393&lt;'PlayerGrades+'!$AF$8,"B",IF(N393&lt;'PlayerGrades+'!$AF$7,"B+",IF(N393&lt;'PlayerGrades+'!$AF$6,"A-",IF(N393&lt;'PlayerGrades+'!$AF$5,"A",IF(N393&lt;'PlayerGrades+'!$AF$4,"A+",IF(N393&lt;'PlayerGrades+'!$AF$3,"S-",IF(N393&lt;'PlayerGrades+'!$AF$2,"S","S+"))))))))))))))))))))</f>
        <v>#DIV/0!</v>
      </c>
      <c r="P393" s="961" t="str">
        <f t="shared" si="7"/>
        <v>#DIV/0!</v>
      </c>
      <c r="Q393" s="961" t="str">
        <f>IF(P393&lt;'PlayerGrades+'!$AG$21,"F-",IF(P393&lt;'PlayerGrades+'!$AG$20,"F",IF(P393&lt;'PlayerGrades+'!$AG$19,"F+",IF(P393&lt;'PlayerGrades+'!$AG$18,"E-",IF(P393&lt;'PlayerGrades+'!$AG$17,"E",IF(P393&lt;'PlayerGrades+'!$AG$16,"E+",IF(P393&lt;'PlayerGrades+'!$AG$15,"D-",IF(P393&lt;'PlayerGrades+'!$AG$14,"D",IF(P393&lt;'PlayerGrades+'!$AG$13,"D+",IF(P393&lt;'PlayerGrades+'!$AG$12,"C-",IF(P393&lt;'PlayerGrades+'!$AG$11,"C",IF(P393&lt;'PlayerGrades+'!$AG$10,"C+",IF(P393&lt;'PlayerGrades+'!$AG$9,"B-",IF(P393&lt;'PlayerGrades+'!$AG$8,"B",IF(P393&lt;'PlayerGrades+'!$AG$7,"B+",IF(P393&lt;'PlayerGrades+'!$AG$6,"A-",IF(P393&lt;'PlayerGrades+'!$AG$5,"A",IF(P393&lt;'PlayerGrades+'!$AG$4,"A+",IF(P393&lt;'PlayerGrades+'!$AG$3,"S-",IF(P393&lt;'PlayerGrades+'!$AG$2,"S","S+"))))))))))))))))))))</f>
        <v>#DIV/0!</v>
      </c>
      <c r="R393" s="961" t="str">
        <f t="shared" si="8"/>
        <v>#DIV/0!</v>
      </c>
      <c r="S393" s="961" t="str">
        <f>IF(R393&lt;'PlayerGrades+'!$AH$21,"F-",IF(R393&lt;'PlayerGrades+'!$AH$20,"F",IF(R393&lt;'PlayerGrades+'!$AH$19,"F+",IF(R393&lt;'PlayerGrades+'!$AH$18,"E-",IF(R393&lt;'PlayerGrades+'!$AH$17,"E",IF(R393&lt;'PlayerGrades+'!$AH$16,"E+",IF(R393&lt;'PlayerGrades+'!$AH$15,"D-",IF(R393&lt;'PlayerGrades+'!$AH$14,"D",IF(R393&lt;'PlayerGrades+'!$AH$13,"D+",IF(R393&lt;'PlayerGrades+'!$AH$12,"C-",IF(R393&lt;'PlayerGrades+'!$AH$11,"C",IF(R393&lt;'PlayerGrades+'!$AH$10,"C+",IF(R393&lt;'PlayerGrades+'!$AH$9,"B-",IF(R393&lt;'PlayerGrades+'!$AH$8,"B",IF(R393&lt;'PlayerGrades+'!$AH$7,"B+",IF(R393&lt;'PlayerGrades+'!$AH$6,"A-",IF(R393&lt;'PlayerGrades+'!$AH$5,"A",IF(R393&lt;'PlayerGrades+'!$AH$4,"A+",IF(R393&lt;'PlayerGrades+'!$AH$3,"S-",IF(R393&lt;'PlayerGrades+'!$AH$2,"S","S+"))))))))))))))))))))</f>
        <v>#DIV/0!</v>
      </c>
      <c r="T393" s="961">
        <f t="shared" si="9"/>
        <v>0</v>
      </c>
      <c r="U393" s="961" t="str">
        <f>IF(T393&lt;'PlayerGrades+'!$AI$21,"F-",IF(T393&lt;'PlayerGrades+'!$AI$20,"F",IF(T393&lt;'PlayerGrades+'!$AI$19,"F+",IF(T393&lt;'PlayerGrades+'!$AI$18,"E-",IF(T393&lt;'PlayerGrades+'!$AI$17,"E",IF(T393&lt;'PlayerGrades+'!$AI$16,"E+",IF(T393&lt;'PlayerGrades+'!$AI$15,"D-",IF(T393&lt;'PlayerGrades+'!$AI$14,"D",IF(T393&lt;'PlayerGrades+'!$AI$13,"D+",IF(T393&lt;'PlayerGrades+'!$AI$12,"C-",IF(T393&lt;'PlayerGrades+'!$AI$11,"C",IF(T393&lt;'PlayerGrades+'!$AI$10,"C+",IF(T393&lt;'PlayerGrades+'!$AI$9,"B-",IF(T393&lt;'PlayerGrades+'!$AI$8,"B",IF(T393&lt;'PlayerGrades+'!$AI$7,"B+",IF(T393&lt;'PlayerGrades+'!$AI$6,"A-",IF(T393&lt;'PlayerGrades+'!$AI$5,"A",IF(T393&lt;'PlayerGrades+'!$AI$4,"A+",IF(T393&lt;'PlayerGrades+'!$AI$3,"S-",IF(T393&lt;'PlayerGrades+'!$AI$2,"S","S+"))))))))))))))))))))</f>
        <v>F-</v>
      </c>
      <c r="V393" s="1386"/>
      <c r="W393" s="1386"/>
      <c r="X393" s="1386"/>
      <c r="Y393" s="1386"/>
      <c r="Z393" s="1386"/>
      <c r="AA393" s="1386"/>
      <c r="AB393" s="1386"/>
      <c r="AC393" s="1397"/>
      <c r="AD393" s="1386"/>
      <c r="AE393" s="1386"/>
      <c r="AF393" s="1386"/>
      <c r="AG393" s="1386"/>
      <c r="AH393" s="1386"/>
      <c r="AI393" s="1386"/>
      <c r="AJ393" s="1386"/>
      <c r="AK393" s="1386"/>
      <c r="AL393" s="1386"/>
      <c r="AM393" s="1386"/>
      <c r="AN393" s="1386"/>
      <c r="AO393" s="1386"/>
      <c r="AP393" s="1386"/>
      <c r="AQ393" s="1386"/>
      <c r="AR393" s="1386"/>
      <c r="AS393" s="1386"/>
      <c r="AT393" s="1386"/>
      <c r="AU393" s="1386"/>
      <c r="AV393" s="1386"/>
      <c r="AW393" s="1386"/>
      <c r="AX393" s="1386"/>
      <c r="AY393" s="1386"/>
      <c r="AZ393" s="1386"/>
    </row>
    <row r="394">
      <c r="B394" s="611" t="str">
        <f>IF(C394&lt;'PlayerGrades+'!$Y$44,"F-",IF(C394&lt;'PlayerGrades+'!$Y$43,"F",IF(C394&lt;'PlayerGrades+'!$Y$42,"F+",IF(C394&lt;'PlayerGrades+'!$Y$41,"E-",IF(C394&lt;'PlayerGrades+'!$Y$40,"E",IF(C394&lt;'PlayerGrades+'!$Y$39,"E+",IF(C394&lt;'PlayerGrades+'!$Y$38,"D-",IF(C394&lt;'PlayerGrades+'!$Y$37,"D",IF(C394&lt;'PlayerGrades+'!$Y$36,"D+",IF(C394&lt;'PlayerGrades+'!$Y$35,"C-",IF(C394&lt;'PlayerGrades+'!$Y$34,"C",IF(C394&lt;'PlayerGrades+'!$Y$33,"C+",IF(C394&lt;'PlayerGrades+'!$Y$32,"B-",IF(C394&lt;'PlayerGrades+'!$Y$31,"B",IF(C394&lt;'PlayerGrades+'!$Y$30,"B+",IF(C394&lt;'PlayerGrades+'!$Y$29,"A-",IF(C394&lt;'PlayerGrades+'!$Y$28,"A",IF(C394&lt;'PlayerGrades+'!$Y$27,"A+",IF(C394&lt;'PlayerGrades+'!$Y$26,"S-",IF(C394&lt;'PlayerGrades+'!$Y$25,"S","S+"))))))))))))))))))))</f>
        <v>#DIV/0!</v>
      </c>
      <c r="C394" s="1378" t="str">
        <f>('PlayerGrades+'!$Y$47*(VLOOKUP(E394, 'PlayerGrades+'!$X$3:$Y$23, 2, FALSE)))+('PlayerGrades+'!$Y$48*(VLOOKUP(G394, 'PlayerGrades+'!$X$3:$Y$23, 2, FALSE)))+('PlayerGrades+'!$Y$49*(VLOOKUP(I394, 'PlayerGrades+'!$X$3:$Y$23, 2, FALSE)))+('PlayerGrades+'!$Y$50*(VLOOKUP(K394, 'PlayerGrades+'!$X$3:$Y$23, 2, FALSE)))+('PlayerGrades+'!$Y$51*(VLOOKUP(M394, 'PlayerGrades+'!$X$3:$Y$23, 2, FALSE)))+('PlayerGrades+'!$Y$52*(VLOOKUP(O394, 'PlayerGrades+'!$X$3:$Y$23, 2, FALSE)))+('PlayerGrades+'!$Y$53*(VLOOKUP(Q394, 'PlayerGrades+'!$X$3:$Y$23, 2, FALSE)))+('PlayerGrades+'!$Y$54*(VLOOKUP(S394, 'PlayerGrades+'!$X$3:$Y$23, 2, FALSE)))+('PlayerGrades+'!$Y$55*(VLOOKUP(U394, 'PlayerGrades+'!$X$3:$Y$23, 2, FALSE)))</f>
        <v>#DIV/0!</v>
      </c>
      <c r="D394" s="961" t="str">
        <f t="shared" si="1"/>
        <v>#DIV/0!</v>
      </c>
      <c r="E394" s="961" t="str">
        <f>IF(D394&lt;'PlayerGrades+'!$AA$21,"F-",IF(D394&lt;'PlayerGrades+'!$AA$20,"F",IF(D394&lt;'PlayerGrades+'!$AA$19,"F+",IF(D394&lt;'PlayerGrades+'!$AA$18,"E-",IF(D394&lt;'PlayerGrades+'!$AA$17,"E",IF(D394&lt;'PlayerGrades+'!$AA$16,"E+",IF(D394&lt;'PlayerGrades+'!$AA$15,"D-",IF(D394&lt;'PlayerGrades+'!$AA$14,"D",IF(D394&lt;'PlayerGrades+'!$AA$13,"D+",IF(D394&lt;'PlayerGrades+'!$AA$12,"C-",IF(D394&lt;'PlayerGrades+'!$AA$11,"C",IF(D394&lt;'PlayerGrades+'!$AA$10,"C+",IF(D394&lt;'PlayerGrades+'!$AA$9,"B-",IF(D394&lt;'PlayerGrades+'!$AA$8,"B",IF(D394&lt;'PlayerGrades+'!$AA$7,"B+",IF(D394&lt;'PlayerGrades+'!$AA$6,"A-",IF(D394&lt;'PlayerGrades+'!$AA$5,"A",IF(D394&lt;'PlayerGrades+'!$AA$4,"A+",IF(D394&lt;'PlayerGrades+'!$AA$3,"S-",IF(D394&lt;'PlayerGrades+'!$AA$2,"S","S+"))))))))))))))))))))</f>
        <v>#DIV/0!</v>
      </c>
      <c r="F394" s="961" t="str">
        <f t="shared" si="2"/>
        <v>#DIV/0!</v>
      </c>
      <c r="G394" s="961" t="str">
        <f>IF(F394&lt;'PlayerGrades+'!$AB$21,"F-",IF(F394&lt;'PlayerGrades+'!$AB$20,"F",IF(F394&lt;'PlayerGrades+'!$AB$19,"F+",IF(F394&lt;'PlayerGrades+'!$AB$18,"E-",IF(F394&lt;'PlayerGrades+'!$AB$17,"E",IF(F394&lt;'PlayerGrades+'!$AB$16,"E+",IF(F394&lt;'PlayerGrades+'!$AB$15,"D-",IF(F394&lt;'PlayerGrades+'!$AB$14,"D",IF(F394&lt;'PlayerGrades+'!$AB$13,"D+",IF(F394&lt;'PlayerGrades+'!$AB$12,"C-",IF(F394&lt;'PlayerGrades+'!$AB$11,"C",IF(F394&lt;'PlayerGrades+'!$AB$10,"C+",IF(F394&lt;'PlayerGrades+'!$AB$9,"B-",IF(F394&lt;'PlayerGrades+'!$AB$8,"B",IF(F394&lt;'PlayerGrades+'!$AB$7,"B+",IF(F394&lt;'PlayerGrades+'!$AB$6,"A-",IF(F394&lt;'PlayerGrades+'!$AB$5,"A",IF(F394&lt;'PlayerGrades+'!$AB$4,"A+",IF(F394&lt;'PlayerGrades+'!$AB$3,"S-",IF(F394&lt;'PlayerGrades+'!$AB$2,"S","S+"))))))))))))))))))))</f>
        <v>#DIV/0!</v>
      </c>
      <c r="H394" s="961" t="str">
        <f t="shared" si="3"/>
        <v>#DIV/0!</v>
      </c>
      <c r="I394" s="961" t="str">
        <f>IF(H394&lt;'PlayerGrades+'!$AC$21,"F-",IF(H394&lt;'PlayerGrades+'!$AC$20,"F",IF(H394&lt;'PlayerGrades+'!$AC$19,"F+",IF(H394&lt;'PlayerGrades+'!$AC$18,"E-",IF(H394&lt;'PlayerGrades+'!$AC$17,"E",IF(H394&lt;'PlayerGrades+'!$AC$16,"E+",IF(H394&lt;'PlayerGrades+'!$AC$15,"D-",IF(H394&lt;'PlayerGrades+'!$AC$14,"D",IF(H394&lt;'PlayerGrades+'!$AC$13,"D+",IF(H394&lt;'PlayerGrades+'!$AC$12,"C-",IF(H394&lt;'PlayerGrades+'!$AC$11,"C",IF(H394&lt;'PlayerGrades+'!$AC$10,"C+",IF(H394&lt;'PlayerGrades+'!$AC$9,"B-",IF(H394&lt;'PlayerGrades+'!$AC$8,"B",IF(H394&lt;'PlayerGrades+'!$AC$7,"B+",IF(H394&lt;'PlayerGrades+'!$AC$6,"A-",IF(H394&lt;'PlayerGrades+'!$AC$5,"A",IF(H394&lt;'PlayerGrades+'!$AC$4,"A+",IF(H394&lt;'PlayerGrades+'!$AC$3,"S-",IF(H394&lt;'PlayerGrades+'!$AC$2,"S","S+"))))))))))))))))))))</f>
        <v>#DIV/0!</v>
      </c>
      <c r="J394" s="961" t="str">
        <f t="shared" si="4"/>
        <v>#DIV/0!</v>
      </c>
      <c r="K394" s="961" t="str">
        <f>IF(J394&lt;'PlayerGrades+'!$AD$21,"F-",IF(J394&lt;'PlayerGrades+'!$AD$20,"F",IF(J394&lt;'PlayerGrades+'!$AD$19,"F+",IF(J394&lt;'PlayerGrades+'!$AD$18,"E-",IF(J394&lt;'PlayerGrades+'!$AD$17,"E",IF(J394&lt;'PlayerGrades+'!$AD$16,"E+",IF(J394&lt;'PlayerGrades+'!$AD$15,"D-",IF(J394&lt;'PlayerGrades+'!$AD$14,"D",IF(J394&lt;'PlayerGrades+'!$AD$13,"D+",IF(J394&lt;'PlayerGrades+'!$AD$12,"C-",IF(J394&lt;'PlayerGrades+'!$AD$11,"C",IF(J394&lt;'PlayerGrades+'!$AD$10,"C+",IF(J394&lt;'PlayerGrades+'!$AD$9,"B-",IF(J394&lt;'PlayerGrades+'!$AD$8,"B",IF(J394&lt;'PlayerGrades+'!$AD$7,"B+",IF(J394&lt;'PlayerGrades+'!$AD$6,"A-",IF(J394&lt;'PlayerGrades+'!$AD$5,"A",IF(J394&lt;'PlayerGrades+'!$AD$4,"A+",IF(J394&lt;'PlayerGrades+'!$AD$3,"S-",IF(J394&lt;'PlayerGrades+'!$AD$2,"S","S+"))))))))))))))))))))</f>
        <v>#DIV/0!</v>
      </c>
      <c r="L394" s="1176" t="str">
        <f t="shared" si="5"/>
        <v>#DIV/0!</v>
      </c>
      <c r="M394" s="992" t="str">
        <f>IF(L394&lt;'PlayerGrades+'!$AE$21,"F-",IF(L394&lt;'PlayerGrades+'!$AE$20,"F",IF(L394&lt;'PlayerGrades+'!$AE$19,"F+",IF(L394&lt;'PlayerGrades+'!$AE$18,"E-",IF(L394&lt;'PlayerGrades+'!$AE$17,"E",IF(L394&lt;'PlayerGrades+'!$AE$16,"E+",IF(L394&lt;'PlayerGrades+'!$AE$15,"D-",IF(L394&lt;'PlayerGrades+'!$AE$14,"D",IF(L394&lt;'PlayerGrades+'!$AE$13,"D+",IF(L394&lt;'PlayerGrades+'!$AE$12,"C-",IF(L394&lt;'PlayerGrades+'!$AE$11,"C",IF(L394&lt;'PlayerGrades+'!$AE$10,"C+",IF(L394&lt;'PlayerGrades+'!$AE$9,"B-",IF(L394&lt;'PlayerGrades+'!$AE$8,"B",IF(L394&lt;'PlayerGrades+'!$AE$7,"B+",IF(L394&lt;'PlayerGrades+'!$AE$6,"A-",IF(L394&lt;'PlayerGrades+'!$AE$5,"A",IF(L394&lt;'PlayerGrades+'!$AE$4,"A+",IF(L394&lt;'PlayerGrades+'!$AE$3,"S-",IF(L394&lt;'PlayerGrades+'!$AE$2,"S","S+"))))))))))))))))))))</f>
        <v>#DIV/0!</v>
      </c>
      <c r="N394" s="961" t="str">
        <f t="shared" si="6"/>
        <v>#DIV/0!</v>
      </c>
      <c r="O394" s="961" t="str">
        <f>IF(N394&lt;'PlayerGrades+'!$AF$21,"F-",IF(N394&lt;'PlayerGrades+'!$AF$20,"F",IF(N394&lt;'PlayerGrades+'!$AF$19,"F+",IF(N394&lt;'PlayerGrades+'!$AF$18,"E-",IF(N394&lt;'PlayerGrades+'!$AF$17,"E",IF(N394&lt;'PlayerGrades+'!$AF$16,"E+",IF(N394&lt;'PlayerGrades+'!$AF$15,"D-",IF(N394&lt;'PlayerGrades+'!$AF$14,"D",IF(N394&lt;'PlayerGrades+'!$AF$13,"D+",IF(N394&lt;'PlayerGrades+'!$AF$12,"C-",IF(N394&lt;'PlayerGrades+'!$AF$11,"C",IF(N394&lt;'PlayerGrades+'!$AF$10,"C+",IF(N394&lt;'PlayerGrades+'!$AF$9,"B-",IF(N394&lt;'PlayerGrades+'!$AF$8,"B",IF(N394&lt;'PlayerGrades+'!$AF$7,"B+",IF(N394&lt;'PlayerGrades+'!$AF$6,"A-",IF(N394&lt;'PlayerGrades+'!$AF$5,"A",IF(N394&lt;'PlayerGrades+'!$AF$4,"A+",IF(N394&lt;'PlayerGrades+'!$AF$3,"S-",IF(N394&lt;'PlayerGrades+'!$AF$2,"S","S+"))))))))))))))))))))</f>
        <v>#DIV/0!</v>
      </c>
      <c r="P394" s="961" t="str">
        <f t="shared" si="7"/>
        <v>#DIV/0!</v>
      </c>
      <c r="Q394" s="961" t="str">
        <f>IF(P394&lt;'PlayerGrades+'!$AG$21,"F-",IF(P394&lt;'PlayerGrades+'!$AG$20,"F",IF(P394&lt;'PlayerGrades+'!$AG$19,"F+",IF(P394&lt;'PlayerGrades+'!$AG$18,"E-",IF(P394&lt;'PlayerGrades+'!$AG$17,"E",IF(P394&lt;'PlayerGrades+'!$AG$16,"E+",IF(P394&lt;'PlayerGrades+'!$AG$15,"D-",IF(P394&lt;'PlayerGrades+'!$AG$14,"D",IF(P394&lt;'PlayerGrades+'!$AG$13,"D+",IF(P394&lt;'PlayerGrades+'!$AG$12,"C-",IF(P394&lt;'PlayerGrades+'!$AG$11,"C",IF(P394&lt;'PlayerGrades+'!$AG$10,"C+",IF(P394&lt;'PlayerGrades+'!$AG$9,"B-",IF(P394&lt;'PlayerGrades+'!$AG$8,"B",IF(P394&lt;'PlayerGrades+'!$AG$7,"B+",IF(P394&lt;'PlayerGrades+'!$AG$6,"A-",IF(P394&lt;'PlayerGrades+'!$AG$5,"A",IF(P394&lt;'PlayerGrades+'!$AG$4,"A+",IF(P394&lt;'PlayerGrades+'!$AG$3,"S-",IF(P394&lt;'PlayerGrades+'!$AG$2,"S","S+"))))))))))))))))))))</f>
        <v>#DIV/0!</v>
      </c>
      <c r="R394" s="961" t="str">
        <f t="shared" si="8"/>
        <v>#DIV/0!</v>
      </c>
      <c r="S394" s="961" t="str">
        <f>IF(R394&lt;'PlayerGrades+'!$AH$21,"F-",IF(R394&lt;'PlayerGrades+'!$AH$20,"F",IF(R394&lt;'PlayerGrades+'!$AH$19,"F+",IF(R394&lt;'PlayerGrades+'!$AH$18,"E-",IF(R394&lt;'PlayerGrades+'!$AH$17,"E",IF(R394&lt;'PlayerGrades+'!$AH$16,"E+",IF(R394&lt;'PlayerGrades+'!$AH$15,"D-",IF(R394&lt;'PlayerGrades+'!$AH$14,"D",IF(R394&lt;'PlayerGrades+'!$AH$13,"D+",IF(R394&lt;'PlayerGrades+'!$AH$12,"C-",IF(R394&lt;'PlayerGrades+'!$AH$11,"C",IF(R394&lt;'PlayerGrades+'!$AH$10,"C+",IF(R394&lt;'PlayerGrades+'!$AH$9,"B-",IF(R394&lt;'PlayerGrades+'!$AH$8,"B",IF(R394&lt;'PlayerGrades+'!$AH$7,"B+",IF(R394&lt;'PlayerGrades+'!$AH$6,"A-",IF(R394&lt;'PlayerGrades+'!$AH$5,"A",IF(R394&lt;'PlayerGrades+'!$AH$4,"A+",IF(R394&lt;'PlayerGrades+'!$AH$3,"S-",IF(R394&lt;'PlayerGrades+'!$AH$2,"S","S+"))))))))))))))))))))</f>
        <v>#DIV/0!</v>
      </c>
      <c r="T394" s="961">
        <f t="shared" si="9"/>
        <v>0</v>
      </c>
      <c r="U394" s="961" t="str">
        <f>IF(T394&lt;'PlayerGrades+'!$AI$21,"F-",IF(T394&lt;'PlayerGrades+'!$AI$20,"F",IF(T394&lt;'PlayerGrades+'!$AI$19,"F+",IF(T394&lt;'PlayerGrades+'!$AI$18,"E-",IF(T394&lt;'PlayerGrades+'!$AI$17,"E",IF(T394&lt;'PlayerGrades+'!$AI$16,"E+",IF(T394&lt;'PlayerGrades+'!$AI$15,"D-",IF(T394&lt;'PlayerGrades+'!$AI$14,"D",IF(T394&lt;'PlayerGrades+'!$AI$13,"D+",IF(T394&lt;'PlayerGrades+'!$AI$12,"C-",IF(T394&lt;'PlayerGrades+'!$AI$11,"C",IF(T394&lt;'PlayerGrades+'!$AI$10,"C+",IF(T394&lt;'PlayerGrades+'!$AI$9,"B-",IF(T394&lt;'PlayerGrades+'!$AI$8,"B",IF(T394&lt;'PlayerGrades+'!$AI$7,"B+",IF(T394&lt;'PlayerGrades+'!$AI$6,"A-",IF(T394&lt;'PlayerGrades+'!$AI$5,"A",IF(T394&lt;'PlayerGrades+'!$AI$4,"A+",IF(T394&lt;'PlayerGrades+'!$AI$3,"S-",IF(T394&lt;'PlayerGrades+'!$AI$2,"S","S+"))))))))))))))))))))</f>
        <v>F-</v>
      </c>
      <c r="AC394" s="1392"/>
    </row>
    <row r="395">
      <c r="B395" s="611" t="str">
        <f>IF(C395&lt;'PlayerGrades+'!$Y$44,"F-",IF(C395&lt;'PlayerGrades+'!$Y$43,"F",IF(C395&lt;'PlayerGrades+'!$Y$42,"F+",IF(C395&lt;'PlayerGrades+'!$Y$41,"E-",IF(C395&lt;'PlayerGrades+'!$Y$40,"E",IF(C395&lt;'PlayerGrades+'!$Y$39,"E+",IF(C395&lt;'PlayerGrades+'!$Y$38,"D-",IF(C395&lt;'PlayerGrades+'!$Y$37,"D",IF(C395&lt;'PlayerGrades+'!$Y$36,"D+",IF(C395&lt;'PlayerGrades+'!$Y$35,"C-",IF(C395&lt;'PlayerGrades+'!$Y$34,"C",IF(C395&lt;'PlayerGrades+'!$Y$33,"C+",IF(C395&lt;'PlayerGrades+'!$Y$32,"B-",IF(C395&lt;'PlayerGrades+'!$Y$31,"B",IF(C395&lt;'PlayerGrades+'!$Y$30,"B+",IF(C395&lt;'PlayerGrades+'!$Y$29,"A-",IF(C395&lt;'PlayerGrades+'!$Y$28,"A",IF(C395&lt;'PlayerGrades+'!$Y$27,"A+",IF(C395&lt;'PlayerGrades+'!$Y$26,"S-",IF(C395&lt;'PlayerGrades+'!$Y$25,"S","S+"))))))))))))))))))))</f>
        <v>#DIV/0!</v>
      </c>
      <c r="C395" s="1378" t="str">
        <f>('PlayerGrades+'!$Y$47*(VLOOKUP(E395, 'PlayerGrades+'!$X$3:$Y$23, 2, FALSE)))+('PlayerGrades+'!$Y$48*(VLOOKUP(G395, 'PlayerGrades+'!$X$3:$Y$23, 2, FALSE)))+('PlayerGrades+'!$Y$49*(VLOOKUP(I395, 'PlayerGrades+'!$X$3:$Y$23, 2, FALSE)))+('PlayerGrades+'!$Y$50*(VLOOKUP(K395, 'PlayerGrades+'!$X$3:$Y$23, 2, FALSE)))+('PlayerGrades+'!$Y$51*(VLOOKUP(M395, 'PlayerGrades+'!$X$3:$Y$23, 2, FALSE)))+('PlayerGrades+'!$Y$52*(VLOOKUP(O395, 'PlayerGrades+'!$X$3:$Y$23, 2, FALSE)))+('PlayerGrades+'!$Y$53*(VLOOKUP(Q395, 'PlayerGrades+'!$X$3:$Y$23, 2, FALSE)))+('PlayerGrades+'!$Y$54*(VLOOKUP(S395, 'PlayerGrades+'!$X$3:$Y$23, 2, FALSE)))+('PlayerGrades+'!$Y$55*(VLOOKUP(U395, 'PlayerGrades+'!$X$3:$Y$23, 2, FALSE)))</f>
        <v>#DIV/0!</v>
      </c>
      <c r="D395" s="961" t="str">
        <f t="shared" si="1"/>
        <v>#DIV/0!</v>
      </c>
      <c r="E395" s="961" t="str">
        <f>IF(D395&lt;'PlayerGrades+'!$AA$21,"F-",IF(D395&lt;'PlayerGrades+'!$AA$20,"F",IF(D395&lt;'PlayerGrades+'!$AA$19,"F+",IF(D395&lt;'PlayerGrades+'!$AA$18,"E-",IF(D395&lt;'PlayerGrades+'!$AA$17,"E",IF(D395&lt;'PlayerGrades+'!$AA$16,"E+",IF(D395&lt;'PlayerGrades+'!$AA$15,"D-",IF(D395&lt;'PlayerGrades+'!$AA$14,"D",IF(D395&lt;'PlayerGrades+'!$AA$13,"D+",IF(D395&lt;'PlayerGrades+'!$AA$12,"C-",IF(D395&lt;'PlayerGrades+'!$AA$11,"C",IF(D395&lt;'PlayerGrades+'!$AA$10,"C+",IF(D395&lt;'PlayerGrades+'!$AA$9,"B-",IF(D395&lt;'PlayerGrades+'!$AA$8,"B",IF(D395&lt;'PlayerGrades+'!$AA$7,"B+",IF(D395&lt;'PlayerGrades+'!$AA$6,"A-",IF(D395&lt;'PlayerGrades+'!$AA$5,"A",IF(D395&lt;'PlayerGrades+'!$AA$4,"A+",IF(D395&lt;'PlayerGrades+'!$AA$3,"S-",IF(D395&lt;'PlayerGrades+'!$AA$2,"S","S+"))))))))))))))))))))</f>
        <v>#DIV/0!</v>
      </c>
      <c r="F395" s="961" t="str">
        <f t="shared" si="2"/>
        <v>#DIV/0!</v>
      </c>
      <c r="G395" s="961" t="str">
        <f>IF(F395&lt;'PlayerGrades+'!$AB$21,"F-",IF(F395&lt;'PlayerGrades+'!$AB$20,"F",IF(F395&lt;'PlayerGrades+'!$AB$19,"F+",IF(F395&lt;'PlayerGrades+'!$AB$18,"E-",IF(F395&lt;'PlayerGrades+'!$AB$17,"E",IF(F395&lt;'PlayerGrades+'!$AB$16,"E+",IF(F395&lt;'PlayerGrades+'!$AB$15,"D-",IF(F395&lt;'PlayerGrades+'!$AB$14,"D",IF(F395&lt;'PlayerGrades+'!$AB$13,"D+",IF(F395&lt;'PlayerGrades+'!$AB$12,"C-",IF(F395&lt;'PlayerGrades+'!$AB$11,"C",IF(F395&lt;'PlayerGrades+'!$AB$10,"C+",IF(F395&lt;'PlayerGrades+'!$AB$9,"B-",IF(F395&lt;'PlayerGrades+'!$AB$8,"B",IF(F395&lt;'PlayerGrades+'!$AB$7,"B+",IF(F395&lt;'PlayerGrades+'!$AB$6,"A-",IF(F395&lt;'PlayerGrades+'!$AB$5,"A",IF(F395&lt;'PlayerGrades+'!$AB$4,"A+",IF(F395&lt;'PlayerGrades+'!$AB$3,"S-",IF(F395&lt;'PlayerGrades+'!$AB$2,"S","S+"))))))))))))))))))))</f>
        <v>#DIV/0!</v>
      </c>
      <c r="H395" s="961" t="str">
        <f t="shared" si="3"/>
        <v>#DIV/0!</v>
      </c>
      <c r="I395" s="961" t="str">
        <f>IF(H395&lt;'PlayerGrades+'!$AC$21,"F-",IF(H395&lt;'PlayerGrades+'!$AC$20,"F",IF(H395&lt;'PlayerGrades+'!$AC$19,"F+",IF(H395&lt;'PlayerGrades+'!$AC$18,"E-",IF(H395&lt;'PlayerGrades+'!$AC$17,"E",IF(H395&lt;'PlayerGrades+'!$AC$16,"E+",IF(H395&lt;'PlayerGrades+'!$AC$15,"D-",IF(H395&lt;'PlayerGrades+'!$AC$14,"D",IF(H395&lt;'PlayerGrades+'!$AC$13,"D+",IF(H395&lt;'PlayerGrades+'!$AC$12,"C-",IF(H395&lt;'PlayerGrades+'!$AC$11,"C",IF(H395&lt;'PlayerGrades+'!$AC$10,"C+",IF(H395&lt;'PlayerGrades+'!$AC$9,"B-",IF(H395&lt;'PlayerGrades+'!$AC$8,"B",IF(H395&lt;'PlayerGrades+'!$AC$7,"B+",IF(H395&lt;'PlayerGrades+'!$AC$6,"A-",IF(H395&lt;'PlayerGrades+'!$AC$5,"A",IF(H395&lt;'PlayerGrades+'!$AC$4,"A+",IF(H395&lt;'PlayerGrades+'!$AC$3,"S-",IF(H395&lt;'PlayerGrades+'!$AC$2,"S","S+"))))))))))))))))))))</f>
        <v>#DIV/0!</v>
      </c>
      <c r="J395" s="961" t="str">
        <f t="shared" si="4"/>
        <v>#DIV/0!</v>
      </c>
      <c r="K395" s="961" t="str">
        <f>IF(J395&lt;'PlayerGrades+'!$AD$21,"F-",IF(J395&lt;'PlayerGrades+'!$AD$20,"F",IF(J395&lt;'PlayerGrades+'!$AD$19,"F+",IF(J395&lt;'PlayerGrades+'!$AD$18,"E-",IF(J395&lt;'PlayerGrades+'!$AD$17,"E",IF(J395&lt;'PlayerGrades+'!$AD$16,"E+",IF(J395&lt;'PlayerGrades+'!$AD$15,"D-",IF(J395&lt;'PlayerGrades+'!$AD$14,"D",IF(J395&lt;'PlayerGrades+'!$AD$13,"D+",IF(J395&lt;'PlayerGrades+'!$AD$12,"C-",IF(J395&lt;'PlayerGrades+'!$AD$11,"C",IF(J395&lt;'PlayerGrades+'!$AD$10,"C+",IF(J395&lt;'PlayerGrades+'!$AD$9,"B-",IF(J395&lt;'PlayerGrades+'!$AD$8,"B",IF(J395&lt;'PlayerGrades+'!$AD$7,"B+",IF(J395&lt;'PlayerGrades+'!$AD$6,"A-",IF(J395&lt;'PlayerGrades+'!$AD$5,"A",IF(J395&lt;'PlayerGrades+'!$AD$4,"A+",IF(J395&lt;'PlayerGrades+'!$AD$3,"S-",IF(J395&lt;'PlayerGrades+'!$AD$2,"S","S+"))))))))))))))))))))</f>
        <v>#DIV/0!</v>
      </c>
      <c r="L395" s="1176" t="str">
        <f t="shared" si="5"/>
        <v>#DIV/0!</v>
      </c>
      <c r="M395" s="992" t="str">
        <f>IF(L395&lt;'PlayerGrades+'!$AE$21,"F-",IF(L395&lt;'PlayerGrades+'!$AE$20,"F",IF(L395&lt;'PlayerGrades+'!$AE$19,"F+",IF(L395&lt;'PlayerGrades+'!$AE$18,"E-",IF(L395&lt;'PlayerGrades+'!$AE$17,"E",IF(L395&lt;'PlayerGrades+'!$AE$16,"E+",IF(L395&lt;'PlayerGrades+'!$AE$15,"D-",IF(L395&lt;'PlayerGrades+'!$AE$14,"D",IF(L395&lt;'PlayerGrades+'!$AE$13,"D+",IF(L395&lt;'PlayerGrades+'!$AE$12,"C-",IF(L395&lt;'PlayerGrades+'!$AE$11,"C",IF(L395&lt;'PlayerGrades+'!$AE$10,"C+",IF(L395&lt;'PlayerGrades+'!$AE$9,"B-",IF(L395&lt;'PlayerGrades+'!$AE$8,"B",IF(L395&lt;'PlayerGrades+'!$AE$7,"B+",IF(L395&lt;'PlayerGrades+'!$AE$6,"A-",IF(L395&lt;'PlayerGrades+'!$AE$5,"A",IF(L395&lt;'PlayerGrades+'!$AE$4,"A+",IF(L395&lt;'PlayerGrades+'!$AE$3,"S-",IF(L395&lt;'PlayerGrades+'!$AE$2,"S","S+"))))))))))))))))))))</f>
        <v>#DIV/0!</v>
      </c>
      <c r="N395" s="961" t="str">
        <f t="shared" si="6"/>
        <v>#DIV/0!</v>
      </c>
      <c r="O395" s="961" t="str">
        <f>IF(N395&lt;'PlayerGrades+'!$AF$21,"F-",IF(N395&lt;'PlayerGrades+'!$AF$20,"F",IF(N395&lt;'PlayerGrades+'!$AF$19,"F+",IF(N395&lt;'PlayerGrades+'!$AF$18,"E-",IF(N395&lt;'PlayerGrades+'!$AF$17,"E",IF(N395&lt;'PlayerGrades+'!$AF$16,"E+",IF(N395&lt;'PlayerGrades+'!$AF$15,"D-",IF(N395&lt;'PlayerGrades+'!$AF$14,"D",IF(N395&lt;'PlayerGrades+'!$AF$13,"D+",IF(N395&lt;'PlayerGrades+'!$AF$12,"C-",IF(N395&lt;'PlayerGrades+'!$AF$11,"C",IF(N395&lt;'PlayerGrades+'!$AF$10,"C+",IF(N395&lt;'PlayerGrades+'!$AF$9,"B-",IF(N395&lt;'PlayerGrades+'!$AF$8,"B",IF(N395&lt;'PlayerGrades+'!$AF$7,"B+",IF(N395&lt;'PlayerGrades+'!$AF$6,"A-",IF(N395&lt;'PlayerGrades+'!$AF$5,"A",IF(N395&lt;'PlayerGrades+'!$AF$4,"A+",IF(N395&lt;'PlayerGrades+'!$AF$3,"S-",IF(N395&lt;'PlayerGrades+'!$AF$2,"S","S+"))))))))))))))))))))</f>
        <v>#DIV/0!</v>
      </c>
      <c r="P395" s="961" t="str">
        <f t="shared" si="7"/>
        <v>#DIV/0!</v>
      </c>
      <c r="Q395" s="961" t="str">
        <f>IF(P395&lt;'PlayerGrades+'!$AG$21,"F-",IF(P395&lt;'PlayerGrades+'!$AG$20,"F",IF(P395&lt;'PlayerGrades+'!$AG$19,"F+",IF(P395&lt;'PlayerGrades+'!$AG$18,"E-",IF(P395&lt;'PlayerGrades+'!$AG$17,"E",IF(P395&lt;'PlayerGrades+'!$AG$16,"E+",IF(P395&lt;'PlayerGrades+'!$AG$15,"D-",IF(P395&lt;'PlayerGrades+'!$AG$14,"D",IF(P395&lt;'PlayerGrades+'!$AG$13,"D+",IF(P395&lt;'PlayerGrades+'!$AG$12,"C-",IF(P395&lt;'PlayerGrades+'!$AG$11,"C",IF(P395&lt;'PlayerGrades+'!$AG$10,"C+",IF(P395&lt;'PlayerGrades+'!$AG$9,"B-",IF(P395&lt;'PlayerGrades+'!$AG$8,"B",IF(P395&lt;'PlayerGrades+'!$AG$7,"B+",IF(P395&lt;'PlayerGrades+'!$AG$6,"A-",IF(P395&lt;'PlayerGrades+'!$AG$5,"A",IF(P395&lt;'PlayerGrades+'!$AG$4,"A+",IF(P395&lt;'PlayerGrades+'!$AG$3,"S-",IF(P395&lt;'PlayerGrades+'!$AG$2,"S","S+"))))))))))))))))))))</f>
        <v>#DIV/0!</v>
      </c>
      <c r="R395" s="961" t="str">
        <f t="shared" si="8"/>
        <v>#DIV/0!</v>
      </c>
      <c r="S395" s="961" t="str">
        <f>IF(R395&lt;'PlayerGrades+'!$AH$21,"F-",IF(R395&lt;'PlayerGrades+'!$AH$20,"F",IF(R395&lt;'PlayerGrades+'!$AH$19,"F+",IF(R395&lt;'PlayerGrades+'!$AH$18,"E-",IF(R395&lt;'PlayerGrades+'!$AH$17,"E",IF(R395&lt;'PlayerGrades+'!$AH$16,"E+",IF(R395&lt;'PlayerGrades+'!$AH$15,"D-",IF(R395&lt;'PlayerGrades+'!$AH$14,"D",IF(R395&lt;'PlayerGrades+'!$AH$13,"D+",IF(R395&lt;'PlayerGrades+'!$AH$12,"C-",IF(R395&lt;'PlayerGrades+'!$AH$11,"C",IF(R395&lt;'PlayerGrades+'!$AH$10,"C+",IF(R395&lt;'PlayerGrades+'!$AH$9,"B-",IF(R395&lt;'PlayerGrades+'!$AH$8,"B",IF(R395&lt;'PlayerGrades+'!$AH$7,"B+",IF(R395&lt;'PlayerGrades+'!$AH$6,"A-",IF(R395&lt;'PlayerGrades+'!$AH$5,"A",IF(R395&lt;'PlayerGrades+'!$AH$4,"A+",IF(R395&lt;'PlayerGrades+'!$AH$3,"S-",IF(R395&lt;'PlayerGrades+'!$AH$2,"S","S+"))))))))))))))))))))</f>
        <v>#DIV/0!</v>
      </c>
      <c r="T395" s="961">
        <f t="shared" si="9"/>
        <v>0</v>
      </c>
      <c r="U395" s="961" t="str">
        <f>IF(T395&lt;'PlayerGrades+'!$AI$21,"F-",IF(T395&lt;'PlayerGrades+'!$AI$20,"F",IF(T395&lt;'PlayerGrades+'!$AI$19,"F+",IF(T395&lt;'PlayerGrades+'!$AI$18,"E-",IF(T395&lt;'PlayerGrades+'!$AI$17,"E",IF(T395&lt;'PlayerGrades+'!$AI$16,"E+",IF(T395&lt;'PlayerGrades+'!$AI$15,"D-",IF(T395&lt;'PlayerGrades+'!$AI$14,"D",IF(T395&lt;'PlayerGrades+'!$AI$13,"D+",IF(T395&lt;'PlayerGrades+'!$AI$12,"C-",IF(T395&lt;'PlayerGrades+'!$AI$11,"C",IF(T395&lt;'PlayerGrades+'!$AI$10,"C+",IF(T395&lt;'PlayerGrades+'!$AI$9,"B-",IF(T395&lt;'PlayerGrades+'!$AI$8,"B",IF(T395&lt;'PlayerGrades+'!$AI$7,"B+",IF(T395&lt;'PlayerGrades+'!$AI$6,"A-",IF(T395&lt;'PlayerGrades+'!$AI$5,"A",IF(T395&lt;'PlayerGrades+'!$AI$4,"A+",IF(T395&lt;'PlayerGrades+'!$AI$3,"S-",IF(T395&lt;'PlayerGrades+'!$AI$2,"S","S+"))))))))))))))))))))</f>
        <v>F-</v>
      </c>
      <c r="AC395" s="1392"/>
    </row>
    <row r="396">
      <c r="B396" s="611" t="str">
        <f>IF(C396&lt;'PlayerGrades+'!$Y$44,"F-",IF(C396&lt;'PlayerGrades+'!$Y$43,"F",IF(C396&lt;'PlayerGrades+'!$Y$42,"F+",IF(C396&lt;'PlayerGrades+'!$Y$41,"E-",IF(C396&lt;'PlayerGrades+'!$Y$40,"E",IF(C396&lt;'PlayerGrades+'!$Y$39,"E+",IF(C396&lt;'PlayerGrades+'!$Y$38,"D-",IF(C396&lt;'PlayerGrades+'!$Y$37,"D",IF(C396&lt;'PlayerGrades+'!$Y$36,"D+",IF(C396&lt;'PlayerGrades+'!$Y$35,"C-",IF(C396&lt;'PlayerGrades+'!$Y$34,"C",IF(C396&lt;'PlayerGrades+'!$Y$33,"C+",IF(C396&lt;'PlayerGrades+'!$Y$32,"B-",IF(C396&lt;'PlayerGrades+'!$Y$31,"B",IF(C396&lt;'PlayerGrades+'!$Y$30,"B+",IF(C396&lt;'PlayerGrades+'!$Y$29,"A-",IF(C396&lt;'PlayerGrades+'!$Y$28,"A",IF(C396&lt;'PlayerGrades+'!$Y$27,"A+",IF(C396&lt;'PlayerGrades+'!$Y$26,"S-",IF(C396&lt;'PlayerGrades+'!$Y$25,"S","S+"))))))))))))))))))))</f>
        <v>#DIV/0!</v>
      </c>
      <c r="C396" s="1378" t="str">
        <f>('PlayerGrades+'!$Y$47*(VLOOKUP(E396, 'PlayerGrades+'!$X$3:$Y$23, 2, FALSE)))+('PlayerGrades+'!$Y$48*(VLOOKUP(G396, 'PlayerGrades+'!$X$3:$Y$23, 2, FALSE)))+('PlayerGrades+'!$Y$49*(VLOOKUP(I396, 'PlayerGrades+'!$X$3:$Y$23, 2, FALSE)))+('PlayerGrades+'!$Y$50*(VLOOKUP(K396, 'PlayerGrades+'!$X$3:$Y$23, 2, FALSE)))+('PlayerGrades+'!$Y$51*(VLOOKUP(M396, 'PlayerGrades+'!$X$3:$Y$23, 2, FALSE)))+('PlayerGrades+'!$Y$52*(VLOOKUP(O396, 'PlayerGrades+'!$X$3:$Y$23, 2, FALSE)))+('PlayerGrades+'!$Y$53*(VLOOKUP(Q396, 'PlayerGrades+'!$X$3:$Y$23, 2, FALSE)))+('PlayerGrades+'!$Y$54*(VLOOKUP(S396, 'PlayerGrades+'!$X$3:$Y$23, 2, FALSE)))+('PlayerGrades+'!$Y$55*(VLOOKUP(U396, 'PlayerGrades+'!$X$3:$Y$23, 2, FALSE)))</f>
        <v>#DIV/0!</v>
      </c>
      <c r="D396" s="961" t="str">
        <f t="shared" si="1"/>
        <v>#DIV/0!</v>
      </c>
      <c r="E396" s="961" t="str">
        <f>IF(D396&lt;'PlayerGrades+'!$AA$21,"F-",IF(D396&lt;'PlayerGrades+'!$AA$20,"F",IF(D396&lt;'PlayerGrades+'!$AA$19,"F+",IF(D396&lt;'PlayerGrades+'!$AA$18,"E-",IF(D396&lt;'PlayerGrades+'!$AA$17,"E",IF(D396&lt;'PlayerGrades+'!$AA$16,"E+",IF(D396&lt;'PlayerGrades+'!$AA$15,"D-",IF(D396&lt;'PlayerGrades+'!$AA$14,"D",IF(D396&lt;'PlayerGrades+'!$AA$13,"D+",IF(D396&lt;'PlayerGrades+'!$AA$12,"C-",IF(D396&lt;'PlayerGrades+'!$AA$11,"C",IF(D396&lt;'PlayerGrades+'!$AA$10,"C+",IF(D396&lt;'PlayerGrades+'!$AA$9,"B-",IF(D396&lt;'PlayerGrades+'!$AA$8,"B",IF(D396&lt;'PlayerGrades+'!$AA$7,"B+",IF(D396&lt;'PlayerGrades+'!$AA$6,"A-",IF(D396&lt;'PlayerGrades+'!$AA$5,"A",IF(D396&lt;'PlayerGrades+'!$AA$4,"A+",IF(D396&lt;'PlayerGrades+'!$AA$3,"S-",IF(D396&lt;'PlayerGrades+'!$AA$2,"S","S+"))))))))))))))))))))</f>
        <v>#DIV/0!</v>
      </c>
      <c r="F396" s="961" t="str">
        <f t="shared" si="2"/>
        <v>#DIV/0!</v>
      </c>
      <c r="G396" s="961" t="str">
        <f>IF(F396&lt;'PlayerGrades+'!$AB$21,"F-",IF(F396&lt;'PlayerGrades+'!$AB$20,"F",IF(F396&lt;'PlayerGrades+'!$AB$19,"F+",IF(F396&lt;'PlayerGrades+'!$AB$18,"E-",IF(F396&lt;'PlayerGrades+'!$AB$17,"E",IF(F396&lt;'PlayerGrades+'!$AB$16,"E+",IF(F396&lt;'PlayerGrades+'!$AB$15,"D-",IF(F396&lt;'PlayerGrades+'!$AB$14,"D",IF(F396&lt;'PlayerGrades+'!$AB$13,"D+",IF(F396&lt;'PlayerGrades+'!$AB$12,"C-",IF(F396&lt;'PlayerGrades+'!$AB$11,"C",IF(F396&lt;'PlayerGrades+'!$AB$10,"C+",IF(F396&lt;'PlayerGrades+'!$AB$9,"B-",IF(F396&lt;'PlayerGrades+'!$AB$8,"B",IF(F396&lt;'PlayerGrades+'!$AB$7,"B+",IF(F396&lt;'PlayerGrades+'!$AB$6,"A-",IF(F396&lt;'PlayerGrades+'!$AB$5,"A",IF(F396&lt;'PlayerGrades+'!$AB$4,"A+",IF(F396&lt;'PlayerGrades+'!$AB$3,"S-",IF(F396&lt;'PlayerGrades+'!$AB$2,"S","S+"))))))))))))))))))))</f>
        <v>#DIV/0!</v>
      </c>
      <c r="H396" s="961" t="str">
        <f t="shared" si="3"/>
        <v>#DIV/0!</v>
      </c>
      <c r="I396" s="961" t="str">
        <f>IF(H396&lt;'PlayerGrades+'!$AC$21,"F-",IF(H396&lt;'PlayerGrades+'!$AC$20,"F",IF(H396&lt;'PlayerGrades+'!$AC$19,"F+",IF(H396&lt;'PlayerGrades+'!$AC$18,"E-",IF(H396&lt;'PlayerGrades+'!$AC$17,"E",IF(H396&lt;'PlayerGrades+'!$AC$16,"E+",IF(H396&lt;'PlayerGrades+'!$AC$15,"D-",IF(H396&lt;'PlayerGrades+'!$AC$14,"D",IF(H396&lt;'PlayerGrades+'!$AC$13,"D+",IF(H396&lt;'PlayerGrades+'!$AC$12,"C-",IF(H396&lt;'PlayerGrades+'!$AC$11,"C",IF(H396&lt;'PlayerGrades+'!$AC$10,"C+",IF(H396&lt;'PlayerGrades+'!$AC$9,"B-",IF(H396&lt;'PlayerGrades+'!$AC$8,"B",IF(H396&lt;'PlayerGrades+'!$AC$7,"B+",IF(H396&lt;'PlayerGrades+'!$AC$6,"A-",IF(H396&lt;'PlayerGrades+'!$AC$5,"A",IF(H396&lt;'PlayerGrades+'!$AC$4,"A+",IF(H396&lt;'PlayerGrades+'!$AC$3,"S-",IF(H396&lt;'PlayerGrades+'!$AC$2,"S","S+"))))))))))))))))))))</f>
        <v>#DIV/0!</v>
      </c>
      <c r="J396" s="961" t="str">
        <f t="shared" si="4"/>
        <v>#DIV/0!</v>
      </c>
      <c r="K396" s="961" t="str">
        <f>IF(J396&lt;'PlayerGrades+'!$AD$21,"F-",IF(J396&lt;'PlayerGrades+'!$AD$20,"F",IF(J396&lt;'PlayerGrades+'!$AD$19,"F+",IF(J396&lt;'PlayerGrades+'!$AD$18,"E-",IF(J396&lt;'PlayerGrades+'!$AD$17,"E",IF(J396&lt;'PlayerGrades+'!$AD$16,"E+",IF(J396&lt;'PlayerGrades+'!$AD$15,"D-",IF(J396&lt;'PlayerGrades+'!$AD$14,"D",IF(J396&lt;'PlayerGrades+'!$AD$13,"D+",IF(J396&lt;'PlayerGrades+'!$AD$12,"C-",IF(J396&lt;'PlayerGrades+'!$AD$11,"C",IF(J396&lt;'PlayerGrades+'!$AD$10,"C+",IF(J396&lt;'PlayerGrades+'!$AD$9,"B-",IF(J396&lt;'PlayerGrades+'!$AD$8,"B",IF(J396&lt;'PlayerGrades+'!$AD$7,"B+",IF(J396&lt;'PlayerGrades+'!$AD$6,"A-",IF(J396&lt;'PlayerGrades+'!$AD$5,"A",IF(J396&lt;'PlayerGrades+'!$AD$4,"A+",IF(J396&lt;'PlayerGrades+'!$AD$3,"S-",IF(J396&lt;'PlayerGrades+'!$AD$2,"S","S+"))))))))))))))))))))</f>
        <v>#DIV/0!</v>
      </c>
      <c r="L396" s="1176" t="str">
        <f t="shared" si="5"/>
        <v>#DIV/0!</v>
      </c>
      <c r="M396" s="992" t="str">
        <f>IF(L396&lt;'PlayerGrades+'!$AE$21,"F-",IF(L396&lt;'PlayerGrades+'!$AE$20,"F",IF(L396&lt;'PlayerGrades+'!$AE$19,"F+",IF(L396&lt;'PlayerGrades+'!$AE$18,"E-",IF(L396&lt;'PlayerGrades+'!$AE$17,"E",IF(L396&lt;'PlayerGrades+'!$AE$16,"E+",IF(L396&lt;'PlayerGrades+'!$AE$15,"D-",IF(L396&lt;'PlayerGrades+'!$AE$14,"D",IF(L396&lt;'PlayerGrades+'!$AE$13,"D+",IF(L396&lt;'PlayerGrades+'!$AE$12,"C-",IF(L396&lt;'PlayerGrades+'!$AE$11,"C",IF(L396&lt;'PlayerGrades+'!$AE$10,"C+",IF(L396&lt;'PlayerGrades+'!$AE$9,"B-",IF(L396&lt;'PlayerGrades+'!$AE$8,"B",IF(L396&lt;'PlayerGrades+'!$AE$7,"B+",IF(L396&lt;'PlayerGrades+'!$AE$6,"A-",IF(L396&lt;'PlayerGrades+'!$AE$5,"A",IF(L396&lt;'PlayerGrades+'!$AE$4,"A+",IF(L396&lt;'PlayerGrades+'!$AE$3,"S-",IF(L396&lt;'PlayerGrades+'!$AE$2,"S","S+"))))))))))))))))))))</f>
        <v>#DIV/0!</v>
      </c>
      <c r="N396" s="961" t="str">
        <f t="shared" si="6"/>
        <v>#DIV/0!</v>
      </c>
      <c r="O396" s="961" t="str">
        <f>IF(N396&lt;'PlayerGrades+'!$AF$21,"F-",IF(N396&lt;'PlayerGrades+'!$AF$20,"F",IF(N396&lt;'PlayerGrades+'!$AF$19,"F+",IF(N396&lt;'PlayerGrades+'!$AF$18,"E-",IF(N396&lt;'PlayerGrades+'!$AF$17,"E",IF(N396&lt;'PlayerGrades+'!$AF$16,"E+",IF(N396&lt;'PlayerGrades+'!$AF$15,"D-",IF(N396&lt;'PlayerGrades+'!$AF$14,"D",IF(N396&lt;'PlayerGrades+'!$AF$13,"D+",IF(N396&lt;'PlayerGrades+'!$AF$12,"C-",IF(N396&lt;'PlayerGrades+'!$AF$11,"C",IF(N396&lt;'PlayerGrades+'!$AF$10,"C+",IF(N396&lt;'PlayerGrades+'!$AF$9,"B-",IF(N396&lt;'PlayerGrades+'!$AF$8,"B",IF(N396&lt;'PlayerGrades+'!$AF$7,"B+",IF(N396&lt;'PlayerGrades+'!$AF$6,"A-",IF(N396&lt;'PlayerGrades+'!$AF$5,"A",IF(N396&lt;'PlayerGrades+'!$AF$4,"A+",IF(N396&lt;'PlayerGrades+'!$AF$3,"S-",IF(N396&lt;'PlayerGrades+'!$AF$2,"S","S+"))))))))))))))))))))</f>
        <v>#DIV/0!</v>
      </c>
      <c r="P396" s="961" t="str">
        <f t="shared" si="7"/>
        <v>#DIV/0!</v>
      </c>
      <c r="Q396" s="961" t="str">
        <f>IF(P396&lt;'PlayerGrades+'!$AG$21,"F-",IF(P396&lt;'PlayerGrades+'!$AG$20,"F",IF(P396&lt;'PlayerGrades+'!$AG$19,"F+",IF(P396&lt;'PlayerGrades+'!$AG$18,"E-",IF(P396&lt;'PlayerGrades+'!$AG$17,"E",IF(P396&lt;'PlayerGrades+'!$AG$16,"E+",IF(P396&lt;'PlayerGrades+'!$AG$15,"D-",IF(P396&lt;'PlayerGrades+'!$AG$14,"D",IF(P396&lt;'PlayerGrades+'!$AG$13,"D+",IF(P396&lt;'PlayerGrades+'!$AG$12,"C-",IF(P396&lt;'PlayerGrades+'!$AG$11,"C",IF(P396&lt;'PlayerGrades+'!$AG$10,"C+",IF(P396&lt;'PlayerGrades+'!$AG$9,"B-",IF(P396&lt;'PlayerGrades+'!$AG$8,"B",IF(P396&lt;'PlayerGrades+'!$AG$7,"B+",IF(P396&lt;'PlayerGrades+'!$AG$6,"A-",IF(P396&lt;'PlayerGrades+'!$AG$5,"A",IF(P396&lt;'PlayerGrades+'!$AG$4,"A+",IF(P396&lt;'PlayerGrades+'!$AG$3,"S-",IF(P396&lt;'PlayerGrades+'!$AG$2,"S","S+"))))))))))))))))))))</f>
        <v>#DIV/0!</v>
      </c>
      <c r="R396" s="961" t="str">
        <f t="shared" si="8"/>
        <v>#DIV/0!</v>
      </c>
      <c r="S396" s="961" t="str">
        <f>IF(R396&lt;'PlayerGrades+'!$AH$21,"F-",IF(R396&lt;'PlayerGrades+'!$AH$20,"F",IF(R396&lt;'PlayerGrades+'!$AH$19,"F+",IF(R396&lt;'PlayerGrades+'!$AH$18,"E-",IF(R396&lt;'PlayerGrades+'!$AH$17,"E",IF(R396&lt;'PlayerGrades+'!$AH$16,"E+",IF(R396&lt;'PlayerGrades+'!$AH$15,"D-",IF(R396&lt;'PlayerGrades+'!$AH$14,"D",IF(R396&lt;'PlayerGrades+'!$AH$13,"D+",IF(R396&lt;'PlayerGrades+'!$AH$12,"C-",IF(R396&lt;'PlayerGrades+'!$AH$11,"C",IF(R396&lt;'PlayerGrades+'!$AH$10,"C+",IF(R396&lt;'PlayerGrades+'!$AH$9,"B-",IF(R396&lt;'PlayerGrades+'!$AH$8,"B",IF(R396&lt;'PlayerGrades+'!$AH$7,"B+",IF(R396&lt;'PlayerGrades+'!$AH$6,"A-",IF(R396&lt;'PlayerGrades+'!$AH$5,"A",IF(R396&lt;'PlayerGrades+'!$AH$4,"A+",IF(R396&lt;'PlayerGrades+'!$AH$3,"S-",IF(R396&lt;'PlayerGrades+'!$AH$2,"S","S+"))))))))))))))))))))</f>
        <v>#DIV/0!</v>
      </c>
      <c r="T396" s="961">
        <f t="shared" si="9"/>
        <v>0</v>
      </c>
      <c r="U396" s="961" t="str">
        <f>IF(T396&lt;'PlayerGrades+'!$AI$21,"F-",IF(T396&lt;'PlayerGrades+'!$AI$20,"F",IF(T396&lt;'PlayerGrades+'!$AI$19,"F+",IF(T396&lt;'PlayerGrades+'!$AI$18,"E-",IF(T396&lt;'PlayerGrades+'!$AI$17,"E",IF(T396&lt;'PlayerGrades+'!$AI$16,"E+",IF(T396&lt;'PlayerGrades+'!$AI$15,"D-",IF(T396&lt;'PlayerGrades+'!$AI$14,"D",IF(T396&lt;'PlayerGrades+'!$AI$13,"D+",IF(T396&lt;'PlayerGrades+'!$AI$12,"C-",IF(T396&lt;'PlayerGrades+'!$AI$11,"C",IF(T396&lt;'PlayerGrades+'!$AI$10,"C+",IF(T396&lt;'PlayerGrades+'!$AI$9,"B-",IF(T396&lt;'PlayerGrades+'!$AI$8,"B",IF(T396&lt;'PlayerGrades+'!$AI$7,"B+",IF(T396&lt;'PlayerGrades+'!$AI$6,"A-",IF(T396&lt;'PlayerGrades+'!$AI$5,"A",IF(T396&lt;'PlayerGrades+'!$AI$4,"A+",IF(T396&lt;'PlayerGrades+'!$AI$3,"S-",IF(T396&lt;'PlayerGrades+'!$AI$2,"S","S+"))))))))))))))))))))</f>
        <v>F-</v>
      </c>
      <c r="AC396" s="1392"/>
    </row>
    <row r="397">
      <c r="B397" s="611" t="str">
        <f>IF(C397&lt;'PlayerGrades+'!$Y$44,"F-",IF(C397&lt;'PlayerGrades+'!$Y$43,"F",IF(C397&lt;'PlayerGrades+'!$Y$42,"F+",IF(C397&lt;'PlayerGrades+'!$Y$41,"E-",IF(C397&lt;'PlayerGrades+'!$Y$40,"E",IF(C397&lt;'PlayerGrades+'!$Y$39,"E+",IF(C397&lt;'PlayerGrades+'!$Y$38,"D-",IF(C397&lt;'PlayerGrades+'!$Y$37,"D",IF(C397&lt;'PlayerGrades+'!$Y$36,"D+",IF(C397&lt;'PlayerGrades+'!$Y$35,"C-",IF(C397&lt;'PlayerGrades+'!$Y$34,"C",IF(C397&lt;'PlayerGrades+'!$Y$33,"C+",IF(C397&lt;'PlayerGrades+'!$Y$32,"B-",IF(C397&lt;'PlayerGrades+'!$Y$31,"B",IF(C397&lt;'PlayerGrades+'!$Y$30,"B+",IF(C397&lt;'PlayerGrades+'!$Y$29,"A-",IF(C397&lt;'PlayerGrades+'!$Y$28,"A",IF(C397&lt;'PlayerGrades+'!$Y$27,"A+",IF(C397&lt;'PlayerGrades+'!$Y$26,"S-",IF(C397&lt;'PlayerGrades+'!$Y$25,"S","S+"))))))))))))))))))))</f>
        <v>#DIV/0!</v>
      </c>
      <c r="C397" s="1378" t="str">
        <f>('PlayerGrades+'!$Y$47*(VLOOKUP(E397, 'PlayerGrades+'!$X$3:$Y$23, 2, FALSE)))+('PlayerGrades+'!$Y$48*(VLOOKUP(G397, 'PlayerGrades+'!$X$3:$Y$23, 2, FALSE)))+('PlayerGrades+'!$Y$49*(VLOOKUP(I397, 'PlayerGrades+'!$X$3:$Y$23, 2, FALSE)))+('PlayerGrades+'!$Y$50*(VLOOKUP(K397, 'PlayerGrades+'!$X$3:$Y$23, 2, FALSE)))+('PlayerGrades+'!$Y$51*(VLOOKUP(M397, 'PlayerGrades+'!$X$3:$Y$23, 2, FALSE)))+('PlayerGrades+'!$Y$52*(VLOOKUP(O397, 'PlayerGrades+'!$X$3:$Y$23, 2, FALSE)))+('PlayerGrades+'!$Y$53*(VLOOKUP(Q397, 'PlayerGrades+'!$X$3:$Y$23, 2, FALSE)))+('PlayerGrades+'!$Y$54*(VLOOKUP(S397, 'PlayerGrades+'!$X$3:$Y$23, 2, FALSE)))+('PlayerGrades+'!$Y$55*(VLOOKUP(U397, 'PlayerGrades+'!$X$3:$Y$23, 2, FALSE)))</f>
        <v>#DIV/0!</v>
      </c>
      <c r="D397" s="961" t="str">
        <f t="shared" si="1"/>
        <v>#DIV/0!</v>
      </c>
      <c r="E397" s="961" t="str">
        <f>IF(D397&lt;'PlayerGrades+'!$AA$21,"F-",IF(D397&lt;'PlayerGrades+'!$AA$20,"F",IF(D397&lt;'PlayerGrades+'!$AA$19,"F+",IF(D397&lt;'PlayerGrades+'!$AA$18,"E-",IF(D397&lt;'PlayerGrades+'!$AA$17,"E",IF(D397&lt;'PlayerGrades+'!$AA$16,"E+",IF(D397&lt;'PlayerGrades+'!$AA$15,"D-",IF(D397&lt;'PlayerGrades+'!$AA$14,"D",IF(D397&lt;'PlayerGrades+'!$AA$13,"D+",IF(D397&lt;'PlayerGrades+'!$AA$12,"C-",IF(D397&lt;'PlayerGrades+'!$AA$11,"C",IF(D397&lt;'PlayerGrades+'!$AA$10,"C+",IF(D397&lt;'PlayerGrades+'!$AA$9,"B-",IF(D397&lt;'PlayerGrades+'!$AA$8,"B",IF(D397&lt;'PlayerGrades+'!$AA$7,"B+",IF(D397&lt;'PlayerGrades+'!$AA$6,"A-",IF(D397&lt;'PlayerGrades+'!$AA$5,"A",IF(D397&lt;'PlayerGrades+'!$AA$4,"A+",IF(D397&lt;'PlayerGrades+'!$AA$3,"S-",IF(D397&lt;'PlayerGrades+'!$AA$2,"S","S+"))))))))))))))))))))</f>
        <v>#DIV/0!</v>
      </c>
      <c r="F397" s="961" t="str">
        <f t="shared" si="2"/>
        <v>#DIV/0!</v>
      </c>
      <c r="G397" s="961" t="str">
        <f>IF(F397&lt;'PlayerGrades+'!$AB$21,"F-",IF(F397&lt;'PlayerGrades+'!$AB$20,"F",IF(F397&lt;'PlayerGrades+'!$AB$19,"F+",IF(F397&lt;'PlayerGrades+'!$AB$18,"E-",IF(F397&lt;'PlayerGrades+'!$AB$17,"E",IF(F397&lt;'PlayerGrades+'!$AB$16,"E+",IF(F397&lt;'PlayerGrades+'!$AB$15,"D-",IF(F397&lt;'PlayerGrades+'!$AB$14,"D",IF(F397&lt;'PlayerGrades+'!$AB$13,"D+",IF(F397&lt;'PlayerGrades+'!$AB$12,"C-",IF(F397&lt;'PlayerGrades+'!$AB$11,"C",IF(F397&lt;'PlayerGrades+'!$AB$10,"C+",IF(F397&lt;'PlayerGrades+'!$AB$9,"B-",IF(F397&lt;'PlayerGrades+'!$AB$8,"B",IF(F397&lt;'PlayerGrades+'!$AB$7,"B+",IF(F397&lt;'PlayerGrades+'!$AB$6,"A-",IF(F397&lt;'PlayerGrades+'!$AB$5,"A",IF(F397&lt;'PlayerGrades+'!$AB$4,"A+",IF(F397&lt;'PlayerGrades+'!$AB$3,"S-",IF(F397&lt;'PlayerGrades+'!$AB$2,"S","S+"))))))))))))))))))))</f>
        <v>#DIV/0!</v>
      </c>
      <c r="H397" s="961" t="str">
        <f t="shared" si="3"/>
        <v>#DIV/0!</v>
      </c>
      <c r="I397" s="961" t="str">
        <f>IF(H397&lt;'PlayerGrades+'!$AC$21,"F-",IF(H397&lt;'PlayerGrades+'!$AC$20,"F",IF(H397&lt;'PlayerGrades+'!$AC$19,"F+",IF(H397&lt;'PlayerGrades+'!$AC$18,"E-",IF(H397&lt;'PlayerGrades+'!$AC$17,"E",IF(H397&lt;'PlayerGrades+'!$AC$16,"E+",IF(H397&lt;'PlayerGrades+'!$AC$15,"D-",IF(H397&lt;'PlayerGrades+'!$AC$14,"D",IF(H397&lt;'PlayerGrades+'!$AC$13,"D+",IF(H397&lt;'PlayerGrades+'!$AC$12,"C-",IF(H397&lt;'PlayerGrades+'!$AC$11,"C",IF(H397&lt;'PlayerGrades+'!$AC$10,"C+",IF(H397&lt;'PlayerGrades+'!$AC$9,"B-",IF(H397&lt;'PlayerGrades+'!$AC$8,"B",IF(H397&lt;'PlayerGrades+'!$AC$7,"B+",IF(H397&lt;'PlayerGrades+'!$AC$6,"A-",IF(H397&lt;'PlayerGrades+'!$AC$5,"A",IF(H397&lt;'PlayerGrades+'!$AC$4,"A+",IF(H397&lt;'PlayerGrades+'!$AC$3,"S-",IF(H397&lt;'PlayerGrades+'!$AC$2,"S","S+"))))))))))))))))))))</f>
        <v>#DIV/0!</v>
      </c>
      <c r="J397" s="961" t="str">
        <f t="shared" si="4"/>
        <v>#DIV/0!</v>
      </c>
      <c r="K397" s="961" t="str">
        <f>IF(J397&lt;'PlayerGrades+'!$AD$21,"F-",IF(J397&lt;'PlayerGrades+'!$AD$20,"F",IF(J397&lt;'PlayerGrades+'!$AD$19,"F+",IF(J397&lt;'PlayerGrades+'!$AD$18,"E-",IF(J397&lt;'PlayerGrades+'!$AD$17,"E",IF(J397&lt;'PlayerGrades+'!$AD$16,"E+",IF(J397&lt;'PlayerGrades+'!$AD$15,"D-",IF(J397&lt;'PlayerGrades+'!$AD$14,"D",IF(J397&lt;'PlayerGrades+'!$AD$13,"D+",IF(J397&lt;'PlayerGrades+'!$AD$12,"C-",IF(J397&lt;'PlayerGrades+'!$AD$11,"C",IF(J397&lt;'PlayerGrades+'!$AD$10,"C+",IF(J397&lt;'PlayerGrades+'!$AD$9,"B-",IF(J397&lt;'PlayerGrades+'!$AD$8,"B",IF(J397&lt;'PlayerGrades+'!$AD$7,"B+",IF(J397&lt;'PlayerGrades+'!$AD$6,"A-",IF(J397&lt;'PlayerGrades+'!$AD$5,"A",IF(J397&lt;'PlayerGrades+'!$AD$4,"A+",IF(J397&lt;'PlayerGrades+'!$AD$3,"S-",IF(J397&lt;'PlayerGrades+'!$AD$2,"S","S+"))))))))))))))))))))</f>
        <v>#DIV/0!</v>
      </c>
      <c r="L397" s="1176" t="str">
        <f t="shared" si="5"/>
        <v>#DIV/0!</v>
      </c>
      <c r="M397" s="992" t="str">
        <f>IF(L397&lt;'PlayerGrades+'!$AE$21,"F-",IF(L397&lt;'PlayerGrades+'!$AE$20,"F",IF(L397&lt;'PlayerGrades+'!$AE$19,"F+",IF(L397&lt;'PlayerGrades+'!$AE$18,"E-",IF(L397&lt;'PlayerGrades+'!$AE$17,"E",IF(L397&lt;'PlayerGrades+'!$AE$16,"E+",IF(L397&lt;'PlayerGrades+'!$AE$15,"D-",IF(L397&lt;'PlayerGrades+'!$AE$14,"D",IF(L397&lt;'PlayerGrades+'!$AE$13,"D+",IF(L397&lt;'PlayerGrades+'!$AE$12,"C-",IF(L397&lt;'PlayerGrades+'!$AE$11,"C",IF(L397&lt;'PlayerGrades+'!$AE$10,"C+",IF(L397&lt;'PlayerGrades+'!$AE$9,"B-",IF(L397&lt;'PlayerGrades+'!$AE$8,"B",IF(L397&lt;'PlayerGrades+'!$AE$7,"B+",IF(L397&lt;'PlayerGrades+'!$AE$6,"A-",IF(L397&lt;'PlayerGrades+'!$AE$5,"A",IF(L397&lt;'PlayerGrades+'!$AE$4,"A+",IF(L397&lt;'PlayerGrades+'!$AE$3,"S-",IF(L397&lt;'PlayerGrades+'!$AE$2,"S","S+"))))))))))))))))))))</f>
        <v>#DIV/0!</v>
      </c>
      <c r="N397" s="961" t="str">
        <f t="shared" si="6"/>
        <v>#DIV/0!</v>
      </c>
      <c r="O397" s="961" t="str">
        <f>IF(N397&lt;'PlayerGrades+'!$AF$21,"F-",IF(N397&lt;'PlayerGrades+'!$AF$20,"F",IF(N397&lt;'PlayerGrades+'!$AF$19,"F+",IF(N397&lt;'PlayerGrades+'!$AF$18,"E-",IF(N397&lt;'PlayerGrades+'!$AF$17,"E",IF(N397&lt;'PlayerGrades+'!$AF$16,"E+",IF(N397&lt;'PlayerGrades+'!$AF$15,"D-",IF(N397&lt;'PlayerGrades+'!$AF$14,"D",IF(N397&lt;'PlayerGrades+'!$AF$13,"D+",IF(N397&lt;'PlayerGrades+'!$AF$12,"C-",IF(N397&lt;'PlayerGrades+'!$AF$11,"C",IF(N397&lt;'PlayerGrades+'!$AF$10,"C+",IF(N397&lt;'PlayerGrades+'!$AF$9,"B-",IF(N397&lt;'PlayerGrades+'!$AF$8,"B",IF(N397&lt;'PlayerGrades+'!$AF$7,"B+",IF(N397&lt;'PlayerGrades+'!$AF$6,"A-",IF(N397&lt;'PlayerGrades+'!$AF$5,"A",IF(N397&lt;'PlayerGrades+'!$AF$4,"A+",IF(N397&lt;'PlayerGrades+'!$AF$3,"S-",IF(N397&lt;'PlayerGrades+'!$AF$2,"S","S+"))))))))))))))))))))</f>
        <v>#DIV/0!</v>
      </c>
      <c r="P397" s="961" t="str">
        <f t="shared" si="7"/>
        <v>#DIV/0!</v>
      </c>
      <c r="Q397" s="961" t="str">
        <f>IF(P397&lt;'PlayerGrades+'!$AG$21,"F-",IF(P397&lt;'PlayerGrades+'!$AG$20,"F",IF(P397&lt;'PlayerGrades+'!$AG$19,"F+",IF(P397&lt;'PlayerGrades+'!$AG$18,"E-",IF(P397&lt;'PlayerGrades+'!$AG$17,"E",IF(P397&lt;'PlayerGrades+'!$AG$16,"E+",IF(P397&lt;'PlayerGrades+'!$AG$15,"D-",IF(P397&lt;'PlayerGrades+'!$AG$14,"D",IF(P397&lt;'PlayerGrades+'!$AG$13,"D+",IF(P397&lt;'PlayerGrades+'!$AG$12,"C-",IF(P397&lt;'PlayerGrades+'!$AG$11,"C",IF(P397&lt;'PlayerGrades+'!$AG$10,"C+",IF(P397&lt;'PlayerGrades+'!$AG$9,"B-",IF(P397&lt;'PlayerGrades+'!$AG$8,"B",IF(P397&lt;'PlayerGrades+'!$AG$7,"B+",IF(P397&lt;'PlayerGrades+'!$AG$6,"A-",IF(P397&lt;'PlayerGrades+'!$AG$5,"A",IF(P397&lt;'PlayerGrades+'!$AG$4,"A+",IF(P397&lt;'PlayerGrades+'!$AG$3,"S-",IF(P397&lt;'PlayerGrades+'!$AG$2,"S","S+"))))))))))))))))))))</f>
        <v>#DIV/0!</v>
      </c>
      <c r="R397" s="961" t="str">
        <f t="shared" si="8"/>
        <v>#DIV/0!</v>
      </c>
      <c r="S397" s="961" t="str">
        <f>IF(R397&lt;'PlayerGrades+'!$AH$21,"F-",IF(R397&lt;'PlayerGrades+'!$AH$20,"F",IF(R397&lt;'PlayerGrades+'!$AH$19,"F+",IF(R397&lt;'PlayerGrades+'!$AH$18,"E-",IF(R397&lt;'PlayerGrades+'!$AH$17,"E",IF(R397&lt;'PlayerGrades+'!$AH$16,"E+",IF(R397&lt;'PlayerGrades+'!$AH$15,"D-",IF(R397&lt;'PlayerGrades+'!$AH$14,"D",IF(R397&lt;'PlayerGrades+'!$AH$13,"D+",IF(R397&lt;'PlayerGrades+'!$AH$12,"C-",IF(R397&lt;'PlayerGrades+'!$AH$11,"C",IF(R397&lt;'PlayerGrades+'!$AH$10,"C+",IF(R397&lt;'PlayerGrades+'!$AH$9,"B-",IF(R397&lt;'PlayerGrades+'!$AH$8,"B",IF(R397&lt;'PlayerGrades+'!$AH$7,"B+",IF(R397&lt;'PlayerGrades+'!$AH$6,"A-",IF(R397&lt;'PlayerGrades+'!$AH$5,"A",IF(R397&lt;'PlayerGrades+'!$AH$4,"A+",IF(R397&lt;'PlayerGrades+'!$AH$3,"S-",IF(R397&lt;'PlayerGrades+'!$AH$2,"S","S+"))))))))))))))))))))</f>
        <v>#DIV/0!</v>
      </c>
      <c r="T397" s="961">
        <f t="shared" si="9"/>
        <v>0</v>
      </c>
      <c r="U397" s="961" t="str">
        <f>IF(T397&lt;'PlayerGrades+'!$AI$21,"F-",IF(T397&lt;'PlayerGrades+'!$AI$20,"F",IF(T397&lt;'PlayerGrades+'!$AI$19,"F+",IF(T397&lt;'PlayerGrades+'!$AI$18,"E-",IF(T397&lt;'PlayerGrades+'!$AI$17,"E",IF(T397&lt;'PlayerGrades+'!$AI$16,"E+",IF(T397&lt;'PlayerGrades+'!$AI$15,"D-",IF(T397&lt;'PlayerGrades+'!$AI$14,"D",IF(T397&lt;'PlayerGrades+'!$AI$13,"D+",IF(T397&lt;'PlayerGrades+'!$AI$12,"C-",IF(T397&lt;'PlayerGrades+'!$AI$11,"C",IF(T397&lt;'PlayerGrades+'!$AI$10,"C+",IF(T397&lt;'PlayerGrades+'!$AI$9,"B-",IF(T397&lt;'PlayerGrades+'!$AI$8,"B",IF(T397&lt;'PlayerGrades+'!$AI$7,"B+",IF(T397&lt;'PlayerGrades+'!$AI$6,"A-",IF(T397&lt;'PlayerGrades+'!$AI$5,"A",IF(T397&lt;'PlayerGrades+'!$AI$4,"A+",IF(T397&lt;'PlayerGrades+'!$AI$3,"S-",IF(T397&lt;'PlayerGrades+'!$AI$2,"S","S+"))))))))))))))))))))</f>
        <v>F-</v>
      </c>
      <c r="AC397" s="1392"/>
    </row>
    <row r="398">
      <c r="B398" s="611" t="str">
        <f>IF(C398&lt;'PlayerGrades+'!$Y$44,"F-",IF(C398&lt;'PlayerGrades+'!$Y$43,"F",IF(C398&lt;'PlayerGrades+'!$Y$42,"F+",IF(C398&lt;'PlayerGrades+'!$Y$41,"E-",IF(C398&lt;'PlayerGrades+'!$Y$40,"E",IF(C398&lt;'PlayerGrades+'!$Y$39,"E+",IF(C398&lt;'PlayerGrades+'!$Y$38,"D-",IF(C398&lt;'PlayerGrades+'!$Y$37,"D",IF(C398&lt;'PlayerGrades+'!$Y$36,"D+",IF(C398&lt;'PlayerGrades+'!$Y$35,"C-",IF(C398&lt;'PlayerGrades+'!$Y$34,"C",IF(C398&lt;'PlayerGrades+'!$Y$33,"C+",IF(C398&lt;'PlayerGrades+'!$Y$32,"B-",IF(C398&lt;'PlayerGrades+'!$Y$31,"B",IF(C398&lt;'PlayerGrades+'!$Y$30,"B+",IF(C398&lt;'PlayerGrades+'!$Y$29,"A-",IF(C398&lt;'PlayerGrades+'!$Y$28,"A",IF(C398&lt;'PlayerGrades+'!$Y$27,"A+",IF(C398&lt;'PlayerGrades+'!$Y$26,"S-",IF(C398&lt;'PlayerGrades+'!$Y$25,"S","S+"))))))))))))))))))))</f>
        <v>#DIV/0!</v>
      </c>
      <c r="C398" s="1378" t="str">
        <f>('PlayerGrades+'!$Y$47*(VLOOKUP(E398, 'PlayerGrades+'!$X$3:$Y$23, 2, FALSE)))+('PlayerGrades+'!$Y$48*(VLOOKUP(G398, 'PlayerGrades+'!$X$3:$Y$23, 2, FALSE)))+('PlayerGrades+'!$Y$49*(VLOOKUP(I398, 'PlayerGrades+'!$X$3:$Y$23, 2, FALSE)))+('PlayerGrades+'!$Y$50*(VLOOKUP(K398, 'PlayerGrades+'!$X$3:$Y$23, 2, FALSE)))+('PlayerGrades+'!$Y$51*(VLOOKUP(M398, 'PlayerGrades+'!$X$3:$Y$23, 2, FALSE)))+('PlayerGrades+'!$Y$52*(VLOOKUP(O398, 'PlayerGrades+'!$X$3:$Y$23, 2, FALSE)))+('PlayerGrades+'!$Y$53*(VLOOKUP(Q398, 'PlayerGrades+'!$X$3:$Y$23, 2, FALSE)))+('PlayerGrades+'!$Y$54*(VLOOKUP(S398, 'PlayerGrades+'!$X$3:$Y$23, 2, FALSE)))+('PlayerGrades+'!$Y$55*(VLOOKUP(U398, 'PlayerGrades+'!$X$3:$Y$23, 2, FALSE)))</f>
        <v>#DIV/0!</v>
      </c>
      <c r="D398" s="961" t="str">
        <f t="shared" si="1"/>
        <v>#DIV/0!</v>
      </c>
      <c r="E398" s="961" t="str">
        <f>IF(D398&lt;'PlayerGrades+'!$AA$21,"F-",IF(D398&lt;'PlayerGrades+'!$AA$20,"F",IF(D398&lt;'PlayerGrades+'!$AA$19,"F+",IF(D398&lt;'PlayerGrades+'!$AA$18,"E-",IF(D398&lt;'PlayerGrades+'!$AA$17,"E",IF(D398&lt;'PlayerGrades+'!$AA$16,"E+",IF(D398&lt;'PlayerGrades+'!$AA$15,"D-",IF(D398&lt;'PlayerGrades+'!$AA$14,"D",IF(D398&lt;'PlayerGrades+'!$AA$13,"D+",IF(D398&lt;'PlayerGrades+'!$AA$12,"C-",IF(D398&lt;'PlayerGrades+'!$AA$11,"C",IF(D398&lt;'PlayerGrades+'!$AA$10,"C+",IF(D398&lt;'PlayerGrades+'!$AA$9,"B-",IF(D398&lt;'PlayerGrades+'!$AA$8,"B",IF(D398&lt;'PlayerGrades+'!$AA$7,"B+",IF(D398&lt;'PlayerGrades+'!$AA$6,"A-",IF(D398&lt;'PlayerGrades+'!$AA$5,"A",IF(D398&lt;'PlayerGrades+'!$AA$4,"A+",IF(D398&lt;'PlayerGrades+'!$AA$3,"S-",IF(D398&lt;'PlayerGrades+'!$AA$2,"S","S+"))))))))))))))))))))</f>
        <v>#DIV/0!</v>
      </c>
      <c r="F398" s="961" t="str">
        <f t="shared" si="2"/>
        <v>#DIV/0!</v>
      </c>
      <c r="G398" s="961" t="str">
        <f>IF(F398&lt;'PlayerGrades+'!$AB$21,"F-",IF(F398&lt;'PlayerGrades+'!$AB$20,"F",IF(F398&lt;'PlayerGrades+'!$AB$19,"F+",IF(F398&lt;'PlayerGrades+'!$AB$18,"E-",IF(F398&lt;'PlayerGrades+'!$AB$17,"E",IF(F398&lt;'PlayerGrades+'!$AB$16,"E+",IF(F398&lt;'PlayerGrades+'!$AB$15,"D-",IF(F398&lt;'PlayerGrades+'!$AB$14,"D",IF(F398&lt;'PlayerGrades+'!$AB$13,"D+",IF(F398&lt;'PlayerGrades+'!$AB$12,"C-",IF(F398&lt;'PlayerGrades+'!$AB$11,"C",IF(F398&lt;'PlayerGrades+'!$AB$10,"C+",IF(F398&lt;'PlayerGrades+'!$AB$9,"B-",IF(F398&lt;'PlayerGrades+'!$AB$8,"B",IF(F398&lt;'PlayerGrades+'!$AB$7,"B+",IF(F398&lt;'PlayerGrades+'!$AB$6,"A-",IF(F398&lt;'PlayerGrades+'!$AB$5,"A",IF(F398&lt;'PlayerGrades+'!$AB$4,"A+",IF(F398&lt;'PlayerGrades+'!$AB$3,"S-",IF(F398&lt;'PlayerGrades+'!$AB$2,"S","S+"))))))))))))))))))))</f>
        <v>#DIV/0!</v>
      </c>
      <c r="H398" s="961" t="str">
        <f t="shared" si="3"/>
        <v>#DIV/0!</v>
      </c>
      <c r="I398" s="961" t="str">
        <f>IF(H398&lt;'PlayerGrades+'!$AC$21,"F-",IF(H398&lt;'PlayerGrades+'!$AC$20,"F",IF(H398&lt;'PlayerGrades+'!$AC$19,"F+",IF(H398&lt;'PlayerGrades+'!$AC$18,"E-",IF(H398&lt;'PlayerGrades+'!$AC$17,"E",IF(H398&lt;'PlayerGrades+'!$AC$16,"E+",IF(H398&lt;'PlayerGrades+'!$AC$15,"D-",IF(H398&lt;'PlayerGrades+'!$AC$14,"D",IF(H398&lt;'PlayerGrades+'!$AC$13,"D+",IF(H398&lt;'PlayerGrades+'!$AC$12,"C-",IF(H398&lt;'PlayerGrades+'!$AC$11,"C",IF(H398&lt;'PlayerGrades+'!$AC$10,"C+",IF(H398&lt;'PlayerGrades+'!$AC$9,"B-",IF(H398&lt;'PlayerGrades+'!$AC$8,"B",IF(H398&lt;'PlayerGrades+'!$AC$7,"B+",IF(H398&lt;'PlayerGrades+'!$AC$6,"A-",IF(H398&lt;'PlayerGrades+'!$AC$5,"A",IF(H398&lt;'PlayerGrades+'!$AC$4,"A+",IF(H398&lt;'PlayerGrades+'!$AC$3,"S-",IF(H398&lt;'PlayerGrades+'!$AC$2,"S","S+"))))))))))))))))))))</f>
        <v>#DIV/0!</v>
      </c>
      <c r="J398" s="961" t="str">
        <f t="shared" si="4"/>
        <v>#DIV/0!</v>
      </c>
      <c r="K398" s="961" t="str">
        <f>IF(J398&lt;'PlayerGrades+'!$AD$21,"F-",IF(J398&lt;'PlayerGrades+'!$AD$20,"F",IF(J398&lt;'PlayerGrades+'!$AD$19,"F+",IF(J398&lt;'PlayerGrades+'!$AD$18,"E-",IF(J398&lt;'PlayerGrades+'!$AD$17,"E",IF(J398&lt;'PlayerGrades+'!$AD$16,"E+",IF(J398&lt;'PlayerGrades+'!$AD$15,"D-",IF(J398&lt;'PlayerGrades+'!$AD$14,"D",IF(J398&lt;'PlayerGrades+'!$AD$13,"D+",IF(J398&lt;'PlayerGrades+'!$AD$12,"C-",IF(J398&lt;'PlayerGrades+'!$AD$11,"C",IF(J398&lt;'PlayerGrades+'!$AD$10,"C+",IF(J398&lt;'PlayerGrades+'!$AD$9,"B-",IF(J398&lt;'PlayerGrades+'!$AD$8,"B",IF(J398&lt;'PlayerGrades+'!$AD$7,"B+",IF(J398&lt;'PlayerGrades+'!$AD$6,"A-",IF(J398&lt;'PlayerGrades+'!$AD$5,"A",IF(J398&lt;'PlayerGrades+'!$AD$4,"A+",IF(J398&lt;'PlayerGrades+'!$AD$3,"S-",IF(J398&lt;'PlayerGrades+'!$AD$2,"S","S+"))))))))))))))))))))</f>
        <v>#DIV/0!</v>
      </c>
      <c r="L398" s="1176" t="str">
        <f t="shared" si="5"/>
        <v>#DIV/0!</v>
      </c>
      <c r="M398" s="992" t="str">
        <f>IF(L398&lt;'PlayerGrades+'!$AE$21,"F-",IF(L398&lt;'PlayerGrades+'!$AE$20,"F",IF(L398&lt;'PlayerGrades+'!$AE$19,"F+",IF(L398&lt;'PlayerGrades+'!$AE$18,"E-",IF(L398&lt;'PlayerGrades+'!$AE$17,"E",IF(L398&lt;'PlayerGrades+'!$AE$16,"E+",IF(L398&lt;'PlayerGrades+'!$AE$15,"D-",IF(L398&lt;'PlayerGrades+'!$AE$14,"D",IF(L398&lt;'PlayerGrades+'!$AE$13,"D+",IF(L398&lt;'PlayerGrades+'!$AE$12,"C-",IF(L398&lt;'PlayerGrades+'!$AE$11,"C",IF(L398&lt;'PlayerGrades+'!$AE$10,"C+",IF(L398&lt;'PlayerGrades+'!$AE$9,"B-",IF(L398&lt;'PlayerGrades+'!$AE$8,"B",IF(L398&lt;'PlayerGrades+'!$AE$7,"B+",IF(L398&lt;'PlayerGrades+'!$AE$6,"A-",IF(L398&lt;'PlayerGrades+'!$AE$5,"A",IF(L398&lt;'PlayerGrades+'!$AE$4,"A+",IF(L398&lt;'PlayerGrades+'!$AE$3,"S-",IF(L398&lt;'PlayerGrades+'!$AE$2,"S","S+"))))))))))))))))))))</f>
        <v>#DIV/0!</v>
      </c>
      <c r="N398" s="961" t="str">
        <f t="shared" si="6"/>
        <v>#DIV/0!</v>
      </c>
      <c r="O398" s="961" t="str">
        <f>IF(N398&lt;'PlayerGrades+'!$AF$21,"F-",IF(N398&lt;'PlayerGrades+'!$AF$20,"F",IF(N398&lt;'PlayerGrades+'!$AF$19,"F+",IF(N398&lt;'PlayerGrades+'!$AF$18,"E-",IF(N398&lt;'PlayerGrades+'!$AF$17,"E",IF(N398&lt;'PlayerGrades+'!$AF$16,"E+",IF(N398&lt;'PlayerGrades+'!$AF$15,"D-",IF(N398&lt;'PlayerGrades+'!$AF$14,"D",IF(N398&lt;'PlayerGrades+'!$AF$13,"D+",IF(N398&lt;'PlayerGrades+'!$AF$12,"C-",IF(N398&lt;'PlayerGrades+'!$AF$11,"C",IF(N398&lt;'PlayerGrades+'!$AF$10,"C+",IF(N398&lt;'PlayerGrades+'!$AF$9,"B-",IF(N398&lt;'PlayerGrades+'!$AF$8,"B",IF(N398&lt;'PlayerGrades+'!$AF$7,"B+",IF(N398&lt;'PlayerGrades+'!$AF$6,"A-",IF(N398&lt;'PlayerGrades+'!$AF$5,"A",IF(N398&lt;'PlayerGrades+'!$AF$4,"A+",IF(N398&lt;'PlayerGrades+'!$AF$3,"S-",IF(N398&lt;'PlayerGrades+'!$AF$2,"S","S+"))))))))))))))))))))</f>
        <v>#DIV/0!</v>
      </c>
      <c r="P398" s="961" t="str">
        <f t="shared" si="7"/>
        <v>#DIV/0!</v>
      </c>
      <c r="Q398" s="961" t="str">
        <f>IF(P398&lt;'PlayerGrades+'!$AG$21,"F-",IF(P398&lt;'PlayerGrades+'!$AG$20,"F",IF(P398&lt;'PlayerGrades+'!$AG$19,"F+",IF(P398&lt;'PlayerGrades+'!$AG$18,"E-",IF(P398&lt;'PlayerGrades+'!$AG$17,"E",IF(P398&lt;'PlayerGrades+'!$AG$16,"E+",IF(P398&lt;'PlayerGrades+'!$AG$15,"D-",IF(P398&lt;'PlayerGrades+'!$AG$14,"D",IF(P398&lt;'PlayerGrades+'!$AG$13,"D+",IF(P398&lt;'PlayerGrades+'!$AG$12,"C-",IF(P398&lt;'PlayerGrades+'!$AG$11,"C",IF(P398&lt;'PlayerGrades+'!$AG$10,"C+",IF(P398&lt;'PlayerGrades+'!$AG$9,"B-",IF(P398&lt;'PlayerGrades+'!$AG$8,"B",IF(P398&lt;'PlayerGrades+'!$AG$7,"B+",IF(P398&lt;'PlayerGrades+'!$AG$6,"A-",IF(P398&lt;'PlayerGrades+'!$AG$5,"A",IF(P398&lt;'PlayerGrades+'!$AG$4,"A+",IF(P398&lt;'PlayerGrades+'!$AG$3,"S-",IF(P398&lt;'PlayerGrades+'!$AG$2,"S","S+"))))))))))))))))))))</f>
        <v>#DIV/0!</v>
      </c>
      <c r="R398" s="961" t="str">
        <f t="shared" si="8"/>
        <v>#DIV/0!</v>
      </c>
      <c r="S398" s="961" t="str">
        <f>IF(R398&lt;'PlayerGrades+'!$AH$21,"F-",IF(R398&lt;'PlayerGrades+'!$AH$20,"F",IF(R398&lt;'PlayerGrades+'!$AH$19,"F+",IF(R398&lt;'PlayerGrades+'!$AH$18,"E-",IF(R398&lt;'PlayerGrades+'!$AH$17,"E",IF(R398&lt;'PlayerGrades+'!$AH$16,"E+",IF(R398&lt;'PlayerGrades+'!$AH$15,"D-",IF(R398&lt;'PlayerGrades+'!$AH$14,"D",IF(R398&lt;'PlayerGrades+'!$AH$13,"D+",IF(R398&lt;'PlayerGrades+'!$AH$12,"C-",IF(R398&lt;'PlayerGrades+'!$AH$11,"C",IF(R398&lt;'PlayerGrades+'!$AH$10,"C+",IF(R398&lt;'PlayerGrades+'!$AH$9,"B-",IF(R398&lt;'PlayerGrades+'!$AH$8,"B",IF(R398&lt;'PlayerGrades+'!$AH$7,"B+",IF(R398&lt;'PlayerGrades+'!$AH$6,"A-",IF(R398&lt;'PlayerGrades+'!$AH$5,"A",IF(R398&lt;'PlayerGrades+'!$AH$4,"A+",IF(R398&lt;'PlayerGrades+'!$AH$3,"S-",IF(R398&lt;'PlayerGrades+'!$AH$2,"S","S+"))))))))))))))))))))</f>
        <v>#DIV/0!</v>
      </c>
      <c r="T398" s="961">
        <f t="shared" si="9"/>
        <v>0</v>
      </c>
      <c r="U398" s="961" t="str">
        <f>IF(T398&lt;'PlayerGrades+'!$AI$21,"F-",IF(T398&lt;'PlayerGrades+'!$AI$20,"F",IF(T398&lt;'PlayerGrades+'!$AI$19,"F+",IF(T398&lt;'PlayerGrades+'!$AI$18,"E-",IF(T398&lt;'PlayerGrades+'!$AI$17,"E",IF(T398&lt;'PlayerGrades+'!$AI$16,"E+",IF(T398&lt;'PlayerGrades+'!$AI$15,"D-",IF(T398&lt;'PlayerGrades+'!$AI$14,"D",IF(T398&lt;'PlayerGrades+'!$AI$13,"D+",IF(T398&lt;'PlayerGrades+'!$AI$12,"C-",IF(T398&lt;'PlayerGrades+'!$AI$11,"C",IF(T398&lt;'PlayerGrades+'!$AI$10,"C+",IF(T398&lt;'PlayerGrades+'!$AI$9,"B-",IF(T398&lt;'PlayerGrades+'!$AI$8,"B",IF(T398&lt;'PlayerGrades+'!$AI$7,"B+",IF(T398&lt;'PlayerGrades+'!$AI$6,"A-",IF(T398&lt;'PlayerGrades+'!$AI$5,"A",IF(T398&lt;'PlayerGrades+'!$AI$4,"A+",IF(T398&lt;'PlayerGrades+'!$AI$3,"S-",IF(T398&lt;'PlayerGrades+'!$AI$2,"S","S+"))))))))))))))))))))</f>
        <v>F-</v>
      </c>
      <c r="AC398" s="1392"/>
    </row>
    <row r="399">
      <c r="B399" s="611" t="str">
        <f>IF(C399&lt;'PlayerGrades+'!$Y$44,"F-",IF(C399&lt;'PlayerGrades+'!$Y$43,"F",IF(C399&lt;'PlayerGrades+'!$Y$42,"F+",IF(C399&lt;'PlayerGrades+'!$Y$41,"E-",IF(C399&lt;'PlayerGrades+'!$Y$40,"E",IF(C399&lt;'PlayerGrades+'!$Y$39,"E+",IF(C399&lt;'PlayerGrades+'!$Y$38,"D-",IF(C399&lt;'PlayerGrades+'!$Y$37,"D",IF(C399&lt;'PlayerGrades+'!$Y$36,"D+",IF(C399&lt;'PlayerGrades+'!$Y$35,"C-",IF(C399&lt;'PlayerGrades+'!$Y$34,"C",IF(C399&lt;'PlayerGrades+'!$Y$33,"C+",IF(C399&lt;'PlayerGrades+'!$Y$32,"B-",IF(C399&lt;'PlayerGrades+'!$Y$31,"B",IF(C399&lt;'PlayerGrades+'!$Y$30,"B+",IF(C399&lt;'PlayerGrades+'!$Y$29,"A-",IF(C399&lt;'PlayerGrades+'!$Y$28,"A",IF(C399&lt;'PlayerGrades+'!$Y$27,"A+",IF(C399&lt;'PlayerGrades+'!$Y$26,"S-",IF(C399&lt;'PlayerGrades+'!$Y$25,"S","S+"))))))))))))))))))))</f>
        <v>#DIV/0!</v>
      </c>
      <c r="C399" s="1378" t="str">
        <f>('PlayerGrades+'!$Y$47*(VLOOKUP(E399, 'PlayerGrades+'!$X$3:$Y$23, 2, FALSE)))+('PlayerGrades+'!$Y$48*(VLOOKUP(G399, 'PlayerGrades+'!$X$3:$Y$23, 2, FALSE)))+('PlayerGrades+'!$Y$49*(VLOOKUP(I399, 'PlayerGrades+'!$X$3:$Y$23, 2, FALSE)))+('PlayerGrades+'!$Y$50*(VLOOKUP(K399, 'PlayerGrades+'!$X$3:$Y$23, 2, FALSE)))+('PlayerGrades+'!$Y$51*(VLOOKUP(M399, 'PlayerGrades+'!$X$3:$Y$23, 2, FALSE)))+('PlayerGrades+'!$Y$52*(VLOOKUP(O399, 'PlayerGrades+'!$X$3:$Y$23, 2, FALSE)))+('PlayerGrades+'!$Y$53*(VLOOKUP(Q399, 'PlayerGrades+'!$X$3:$Y$23, 2, FALSE)))+('PlayerGrades+'!$Y$54*(VLOOKUP(S399, 'PlayerGrades+'!$X$3:$Y$23, 2, FALSE)))+('PlayerGrades+'!$Y$55*(VLOOKUP(U399, 'PlayerGrades+'!$X$3:$Y$23, 2, FALSE)))</f>
        <v>#DIV/0!</v>
      </c>
      <c r="D399" s="961" t="str">
        <f t="shared" si="1"/>
        <v>#DIV/0!</v>
      </c>
      <c r="E399" s="961" t="str">
        <f>IF(D399&lt;'PlayerGrades+'!$AA$21,"F-",IF(D399&lt;'PlayerGrades+'!$AA$20,"F",IF(D399&lt;'PlayerGrades+'!$AA$19,"F+",IF(D399&lt;'PlayerGrades+'!$AA$18,"E-",IF(D399&lt;'PlayerGrades+'!$AA$17,"E",IF(D399&lt;'PlayerGrades+'!$AA$16,"E+",IF(D399&lt;'PlayerGrades+'!$AA$15,"D-",IF(D399&lt;'PlayerGrades+'!$AA$14,"D",IF(D399&lt;'PlayerGrades+'!$AA$13,"D+",IF(D399&lt;'PlayerGrades+'!$AA$12,"C-",IF(D399&lt;'PlayerGrades+'!$AA$11,"C",IF(D399&lt;'PlayerGrades+'!$AA$10,"C+",IF(D399&lt;'PlayerGrades+'!$AA$9,"B-",IF(D399&lt;'PlayerGrades+'!$AA$8,"B",IF(D399&lt;'PlayerGrades+'!$AA$7,"B+",IF(D399&lt;'PlayerGrades+'!$AA$6,"A-",IF(D399&lt;'PlayerGrades+'!$AA$5,"A",IF(D399&lt;'PlayerGrades+'!$AA$4,"A+",IF(D399&lt;'PlayerGrades+'!$AA$3,"S-",IF(D399&lt;'PlayerGrades+'!$AA$2,"S","S+"))))))))))))))))))))</f>
        <v>#DIV/0!</v>
      </c>
      <c r="F399" s="961" t="str">
        <f t="shared" si="2"/>
        <v>#DIV/0!</v>
      </c>
      <c r="G399" s="961" t="str">
        <f>IF(F399&lt;'PlayerGrades+'!$AB$21,"F-",IF(F399&lt;'PlayerGrades+'!$AB$20,"F",IF(F399&lt;'PlayerGrades+'!$AB$19,"F+",IF(F399&lt;'PlayerGrades+'!$AB$18,"E-",IF(F399&lt;'PlayerGrades+'!$AB$17,"E",IF(F399&lt;'PlayerGrades+'!$AB$16,"E+",IF(F399&lt;'PlayerGrades+'!$AB$15,"D-",IF(F399&lt;'PlayerGrades+'!$AB$14,"D",IF(F399&lt;'PlayerGrades+'!$AB$13,"D+",IF(F399&lt;'PlayerGrades+'!$AB$12,"C-",IF(F399&lt;'PlayerGrades+'!$AB$11,"C",IF(F399&lt;'PlayerGrades+'!$AB$10,"C+",IF(F399&lt;'PlayerGrades+'!$AB$9,"B-",IF(F399&lt;'PlayerGrades+'!$AB$8,"B",IF(F399&lt;'PlayerGrades+'!$AB$7,"B+",IF(F399&lt;'PlayerGrades+'!$AB$6,"A-",IF(F399&lt;'PlayerGrades+'!$AB$5,"A",IF(F399&lt;'PlayerGrades+'!$AB$4,"A+",IF(F399&lt;'PlayerGrades+'!$AB$3,"S-",IF(F399&lt;'PlayerGrades+'!$AB$2,"S","S+"))))))))))))))))))))</f>
        <v>#DIV/0!</v>
      </c>
      <c r="H399" s="961" t="str">
        <f t="shared" si="3"/>
        <v>#DIV/0!</v>
      </c>
      <c r="I399" s="961" t="str">
        <f>IF(H399&lt;'PlayerGrades+'!$AC$21,"F-",IF(H399&lt;'PlayerGrades+'!$AC$20,"F",IF(H399&lt;'PlayerGrades+'!$AC$19,"F+",IF(H399&lt;'PlayerGrades+'!$AC$18,"E-",IF(H399&lt;'PlayerGrades+'!$AC$17,"E",IF(H399&lt;'PlayerGrades+'!$AC$16,"E+",IF(H399&lt;'PlayerGrades+'!$AC$15,"D-",IF(H399&lt;'PlayerGrades+'!$AC$14,"D",IF(H399&lt;'PlayerGrades+'!$AC$13,"D+",IF(H399&lt;'PlayerGrades+'!$AC$12,"C-",IF(H399&lt;'PlayerGrades+'!$AC$11,"C",IF(H399&lt;'PlayerGrades+'!$AC$10,"C+",IF(H399&lt;'PlayerGrades+'!$AC$9,"B-",IF(H399&lt;'PlayerGrades+'!$AC$8,"B",IF(H399&lt;'PlayerGrades+'!$AC$7,"B+",IF(H399&lt;'PlayerGrades+'!$AC$6,"A-",IF(H399&lt;'PlayerGrades+'!$AC$5,"A",IF(H399&lt;'PlayerGrades+'!$AC$4,"A+",IF(H399&lt;'PlayerGrades+'!$AC$3,"S-",IF(H399&lt;'PlayerGrades+'!$AC$2,"S","S+"))))))))))))))))))))</f>
        <v>#DIV/0!</v>
      </c>
      <c r="J399" s="961" t="str">
        <f t="shared" si="4"/>
        <v>#DIV/0!</v>
      </c>
      <c r="K399" s="961" t="str">
        <f>IF(J399&lt;'PlayerGrades+'!$AD$21,"F-",IF(J399&lt;'PlayerGrades+'!$AD$20,"F",IF(J399&lt;'PlayerGrades+'!$AD$19,"F+",IF(J399&lt;'PlayerGrades+'!$AD$18,"E-",IF(J399&lt;'PlayerGrades+'!$AD$17,"E",IF(J399&lt;'PlayerGrades+'!$AD$16,"E+",IF(J399&lt;'PlayerGrades+'!$AD$15,"D-",IF(J399&lt;'PlayerGrades+'!$AD$14,"D",IF(J399&lt;'PlayerGrades+'!$AD$13,"D+",IF(J399&lt;'PlayerGrades+'!$AD$12,"C-",IF(J399&lt;'PlayerGrades+'!$AD$11,"C",IF(J399&lt;'PlayerGrades+'!$AD$10,"C+",IF(J399&lt;'PlayerGrades+'!$AD$9,"B-",IF(J399&lt;'PlayerGrades+'!$AD$8,"B",IF(J399&lt;'PlayerGrades+'!$AD$7,"B+",IF(J399&lt;'PlayerGrades+'!$AD$6,"A-",IF(J399&lt;'PlayerGrades+'!$AD$5,"A",IF(J399&lt;'PlayerGrades+'!$AD$4,"A+",IF(J399&lt;'PlayerGrades+'!$AD$3,"S-",IF(J399&lt;'PlayerGrades+'!$AD$2,"S","S+"))))))))))))))))))))</f>
        <v>#DIV/0!</v>
      </c>
      <c r="L399" s="1176" t="str">
        <f t="shared" si="5"/>
        <v>#DIV/0!</v>
      </c>
      <c r="M399" s="992" t="str">
        <f>IF(L399&lt;'PlayerGrades+'!$AE$21,"F-",IF(L399&lt;'PlayerGrades+'!$AE$20,"F",IF(L399&lt;'PlayerGrades+'!$AE$19,"F+",IF(L399&lt;'PlayerGrades+'!$AE$18,"E-",IF(L399&lt;'PlayerGrades+'!$AE$17,"E",IF(L399&lt;'PlayerGrades+'!$AE$16,"E+",IF(L399&lt;'PlayerGrades+'!$AE$15,"D-",IF(L399&lt;'PlayerGrades+'!$AE$14,"D",IF(L399&lt;'PlayerGrades+'!$AE$13,"D+",IF(L399&lt;'PlayerGrades+'!$AE$12,"C-",IF(L399&lt;'PlayerGrades+'!$AE$11,"C",IF(L399&lt;'PlayerGrades+'!$AE$10,"C+",IF(L399&lt;'PlayerGrades+'!$AE$9,"B-",IF(L399&lt;'PlayerGrades+'!$AE$8,"B",IF(L399&lt;'PlayerGrades+'!$AE$7,"B+",IF(L399&lt;'PlayerGrades+'!$AE$6,"A-",IF(L399&lt;'PlayerGrades+'!$AE$5,"A",IF(L399&lt;'PlayerGrades+'!$AE$4,"A+",IF(L399&lt;'PlayerGrades+'!$AE$3,"S-",IF(L399&lt;'PlayerGrades+'!$AE$2,"S","S+"))))))))))))))))))))</f>
        <v>#DIV/0!</v>
      </c>
      <c r="N399" s="961" t="str">
        <f t="shared" si="6"/>
        <v>#DIV/0!</v>
      </c>
      <c r="O399" s="961" t="str">
        <f>IF(N399&lt;'PlayerGrades+'!$AF$21,"F-",IF(N399&lt;'PlayerGrades+'!$AF$20,"F",IF(N399&lt;'PlayerGrades+'!$AF$19,"F+",IF(N399&lt;'PlayerGrades+'!$AF$18,"E-",IF(N399&lt;'PlayerGrades+'!$AF$17,"E",IF(N399&lt;'PlayerGrades+'!$AF$16,"E+",IF(N399&lt;'PlayerGrades+'!$AF$15,"D-",IF(N399&lt;'PlayerGrades+'!$AF$14,"D",IF(N399&lt;'PlayerGrades+'!$AF$13,"D+",IF(N399&lt;'PlayerGrades+'!$AF$12,"C-",IF(N399&lt;'PlayerGrades+'!$AF$11,"C",IF(N399&lt;'PlayerGrades+'!$AF$10,"C+",IF(N399&lt;'PlayerGrades+'!$AF$9,"B-",IF(N399&lt;'PlayerGrades+'!$AF$8,"B",IF(N399&lt;'PlayerGrades+'!$AF$7,"B+",IF(N399&lt;'PlayerGrades+'!$AF$6,"A-",IF(N399&lt;'PlayerGrades+'!$AF$5,"A",IF(N399&lt;'PlayerGrades+'!$AF$4,"A+",IF(N399&lt;'PlayerGrades+'!$AF$3,"S-",IF(N399&lt;'PlayerGrades+'!$AF$2,"S","S+"))))))))))))))))))))</f>
        <v>#DIV/0!</v>
      </c>
      <c r="P399" s="961" t="str">
        <f t="shared" si="7"/>
        <v>#DIV/0!</v>
      </c>
      <c r="Q399" s="961" t="str">
        <f>IF(P399&lt;'PlayerGrades+'!$AG$21,"F-",IF(P399&lt;'PlayerGrades+'!$AG$20,"F",IF(P399&lt;'PlayerGrades+'!$AG$19,"F+",IF(P399&lt;'PlayerGrades+'!$AG$18,"E-",IF(P399&lt;'PlayerGrades+'!$AG$17,"E",IF(P399&lt;'PlayerGrades+'!$AG$16,"E+",IF(P399&lt;'PlayerGrades+'!$AG$15,"D-",IF(P399&lt;'PlayerGrades+'!$AG$14,"D",IF(P399&lt;'PlayerGrades+'!$AG$13,"D+",IF(P399&lt;'PlayerGrades+'!$AG$12,"C-",IF(P399&lt;'PlayerGrades+'!$AG$11,"C",IF(P399&lt;'PlayerGrades+'!$AG$10,"C+",IF(P399&lt;'PlayerGrades+'!$AG$9,"B-",IF(P399&lt;'PlayerGrades+'!$AG$8,"B",IF(P399&lt;'PlayerGrades+'!$AG$7,"B+",IF(P399&lt;'PlayerGrades+'!$AG$6,"A-",IF(P399&lt;'PlayerGrades+'!$AG$5,"A",IF(P399&lt;'PlayerGrades+'!$AG$4,"A+",IF(P399&lt;'PlayerGrades+'!$AG$3,"S-",IF(P399&lt;'PlayerGrades+'!$AG$2,"S","S+"))))))))))))))))))))</f>
        <v>#DIV/0!</v>
      </c>
      <c r="R399" s="961" t="str">
        <f t="shared" si="8"/>
        <v>#DIV/0!</v>
      </c>
      <c r="S399" s="961" t="str">
        <f>IF(R399&lt;'PlayerGrades+'!$AH$21,"F-",IF(R399&lt;'PlayerGrades+'!$AH$20,"F",IF(R399&lt;'PlayerGrades+'!$AH$19,"F+",IF(R399&lt;'PlayerGrades+'!$AH$18,"E-",IF(R399&lt;'PlayerGrades+'!$AH$17,"E",IF(R399&lt;'PlayerGrades+'!$AH$16,"E+",IF(R399&lt;'PlayerGrades+'!$AH$15,"D-",IF(R399&lt;'PlayerGrades+'!$AH$14,"D",IF(R399&lt;'PlayerGrades+'!$AH$13,"D+",IF(R399&lt;'PlayerGrades+'!$AH$12,"C-",IF(R399&lt;'PlayerGrades+'!$AH$11,"C",IF(R399&lt;'PlayerGrades+'!$AH$10,"C+",IF(R399&lt;'PlayerGrades+'!$AH$9,"B-",IF(R399&lt;'PlayerGrades+'!$AH$8,"B",IF(R399&lt;'PlayerGrades+'!$AH$7,"B+",IF(R399&lt;'PlayerGrades+'!$AH$6,"A-",IF(R399&lt;'PlayerGrades+'!$AH$5,"A",IF(R399&lt;'PlayerGrades+'!$AH$4,"A+",IF(R399&lt;'PlayerGrades+'!$AH$3,"S-",IF(R399&lt;'PlayerGrades+'!$AH$2,"S","S+"))))))))))))))))))))</f>
        <v>#DIV/0!</v>
      </c>
      <c r="T399" s="961">
        <f t="shared" si="9"/>
        <v>0</v>
      </c>
      <c r="U399" s="961" t="str">
        <f>IF(T399&lt;'PlayerGrades+'!$AI$21,"F-",IF(T399&lt;'PlayerGrades+'!$AI$20,"F",IF(T399&lt;'PlayerGrades+'!$AI$19,"F+",IF(T399&lt;'PlayerGrades+'!$AI$18,"E-",IF(T399&lt;'PlayerGrades+'!$AI$17,"E",IF(T399&lt;'PlayerGrades+'!$AI$16,"E+",IF(T399&lt;'PlayerGrades+'!$AI$15,"D-",IF(T399&lt;'PlayerGrades+'!$AI$14,"D",IF(T399&lt;'PlayerGrades+'!$AI$13,"D+",IF(T399&lt;'PlayerGrades+'!$AI$12,"C-",IF(T399&lt;'PlayerGrades+'!$AI$11,"C",IF(T399&lt;'PlayerGrades+'!$AI$10,"C+",IF(T399&lt;'PlayerGrades+'!$AI$9,"B-",IF(T399&lt;'PlayerGrades+'!$AI$8,"B",IF(T399&lt;'PlayerGrades+'!$AI$7,"B+",IF(T399&lt;'PlayerGrades+'!$AI$6,"A-",IF(T399&lt;'PlayerGrades+'!$AI$5,"A",IF(T399&lt;'PlayerGrades+'!$AI$4,"A+",IF(T399&lt;'PlayerGrades+'!$AI$3,"S-",IF(T399&lt;'PlayerGrades+'!$AI$2,"S","S+"))))))))))))))))))))</f>
        <v>F-</v>
      </c>
      <c r="AC399" s="1392"/>
    </row>
    <row r="400">
      <c r="B400" s="611" t="str">
        <f>IF(C400&lt;'PlayerGrades+'!$Y$44,"F-",IF(C400&lt;'PlayerGrades+'!$Y$43,"F",IF(C400&lt;'PlayerGrades+'!$Y$42,"F+",IF(C400&lt;'PlayerGrades+'!$Y$41,"E-",IF(C400&lt;'PlayerGrades+'!$Y$40,"E",IF(C400&lt;'PlayerGrades+'!$Y$39,"E+",IF(C400&lt;'PlayerGrades+'!$Y$38,"D-",IF(C400&lt;'PlayerGrades+'!$Y$37,"D",IF(C400&lt;'PlayerGrades+'!$Y$36,"D+",IF(C400&lt;'PlayerGrades+'!$Y$35,"C-",IF(C400&lt;'PlayerGrades+'!$Y$34,"C",IF(C400&lt;'PlayerGrades+'!$Y$33,"C+",IF(C400&lt;'PlayerGrades+'!$Y$32,"B-",IF(C400&lt;'PlayerGrades+'!$Y$31,"B",IF(C400&lt;'PlayerGrades+'!$Y$30,"B+",IF(C400&lt;'PlayerGrades+'!$Y$29,"A-",IF(C400&lt;'PlayerGrades+'!$Y$28,"A",IF(C400&lt;'PlayerGrades+'!$Y$27,"A+",IF(C400&lt;'PlayerGrades+'!$Y$26,"S-",IF(C400&lt;'PlayerGrades+'!$Y$25,"S","S+"))))))))))))))))))))</f>
        <v>#DIV/0!</v>
      </c>
      <c r="C400" s="1378" t="str">
        <f>('PlayerGrades+'!$Y$47*(VLOOKUP(E400, 'PlayerGrades+'!$X$3:$Y$23, 2, FALSE)))+('PlayerGrades+'!$Y$48*(VLOOKUP(G400, 'PlayerGrades+'!$X$3:$Y$23, 2, FALSE)))+('PlayerGrades+'!$Y$49*(VLOOKUP(I400, 'PlayerGrades+'!$X$3:$Y$23, 2, FALSE)))+('PlayerGrades+'!$Y$50*(VLOOKUP(K400, 'PlayerGrades+'!$X$3:$Y$23, 2, FALSE)))+('PlayerGrades+'!$Y$51*(VLOOKUP(M400, 'PlayerGrades+'!$X$3:$Y$23, 2, FALSE)))+('PlayerGrades+'!$Y$52*(VLOOKUP(O400, 'PlayerGrades+'!$X$3:$Y$23, 2, FALSE)))+('PlayerGrades+'!$Y$53*(VLOOKUP(Q400, 'PlayerGrades+'!$X$3:$Y$23, 2, FALSE)))+('PlayerGrades+'!$Y$54*(VLOOKUP(S400, 'PlayerGrades+'!$X$3:$Y$23, 2, FALSE)))+('PlayerGrades+'!$Y$55*(VLOOKUP(U400, 'PlayerGrades+'!$X$3:$Y$23, 2, FALSE)))</f>
        <v>#DIV/0!</v>
      </c>
      <c r="D400" s="961" t="str">
        <f t="shared" si="1"/>
        <v>#DIV/0!</v>
      </c>
      <c r="E400" s="961" t="str">
        <f>IF(D400&lt;'PlayerGrades+'!$AA$21,"F-",IF(D400&lt;'PlayerGrades+'!$AA$20,"F",IF(D400&lt;'PlayerGrades+'!$AA$19,"F+",IF(D400&lt;'PlayerGrades+'!$AA$18,"E-",IF(D400&lt;'PlayerGrades+'!$AA$17,"E",IF(D400&lt;'PlayerGrades+'!$AA$16,"E+",IF(D400&lt;'PlayerGrades+'!$AA$15,"D-",IF(D400&lt;'PlayerGrades+'!$AA$14,"D",IF(D400&lt;'PlayerGrades+'!$AA$13,"D+",IF(D400&lt;'PlayerGrades+'!$AA$12,"C-",IF(D400&lt;'PlayerGrades+'!$AA$11,"C",IF(D400&lt;'PlayerGrades+'!$AA$10,"C+",IF(D400&lt;'PlayerGrades+'!$AA$9,"B-",IF(D400&lt;'PlayerGrades+'!$AA$8,"B",IF(D400&lt;'PlayerGrades+'!$AA$7,"B+",IF(D400&lt;'PlayerGrades+'!$AA$6,"A-",IF(D400&lt;'PlayerGrades+'!$AA$5,"A",IF(D400&lt;'PlayerGrades+'!$AA$4,"A+",IF(D400&lt;'PlayerGrades+'!$AA$3,"S-",IF(D400&lt;'PlayerGrades+'!$AA$2,"S","S+"))))))))))))))))))))</f>
        <v>#DIV/0!</v>
      </c>
      <c r="F400" s="961" t="str">
        <f t="shared" si="2"/>
        <v>#DIV/0!</v>
      </c>
      <c r="G400" s="961" t="str">
        <f>IF(F400&lt;'PlayerGrades+'!$AB$21,"F-",IF(F400&lt;'PlayerGrades+'!$AB$20,"F",IF(F400&lt;'PlayerGrades+'!$AB$19,"F+",IF(F400&lt;'PlayerGrades+'!$AB$18,"E-",IF(F400&lt;'PlayerGrades+'!$AB$17,"E",IF(F400&lt;'PlayerGrades+'!$AB$16,"E+",IF(F400&lt;'PlayerGrades+'!$AB$15,"D-",IF(F400&lt;'PlayerGrades+'!$AB$14,"D",IF(F400&lt;'PlayerGrades+'!$AB$13,"D+",IF(F400&lt;'PlayerGrades+'!$AB$12,"C-",IF(F400&lt;'PlayerGrades+'!$AB$11,"C",IF(F400&lt;'PlayerGrades+'!$AB$10,"C+",IF(F400&lt;'PlayerGrades+'!$AB$9,"B-",IF(F400&lt;'PlayerGrades+'!$AB$8,"B",IF(F400&lt;'PlayerGrades+'!$AB$7,"B+",IF(F400&lt;'PlayerGrades+'!$AB$6,"A-",IF(F400&lt;'PlayerGrades+'!$AB$5,"A",IF(F400&lt;'PlayerGrades+'!$AB$4,"A+",IF(F400&lt;'PlayerGrades+'!$AB$3,"S-",IF(F400&lt;'PlayerGrades+'!$AB$2,"S","S+"))))))))))))))))))))</f>
        <v>#DIV/0!</v>
      </c>
      <c r="H400" s="961" t="str">
        <f t="shared" si="3"/>
        <v>#DIV/0!</v>
      </c>
      <c r="I400" s="961" t="str">
        <f>IF(H400&lt;'PlayerGrades+'!$AC$21,"F-",IF(H400&lt;'PlayerGrades+'!$AC$20,"F",IF(H400&lt;'PlayerGrades+'!$AC$19,"F+",IF(H400&lt;'PlayerGrades+'!$AC$18,"E-",IF(H400&lt;'PlayerGrades+'!$AC$17,"E",IF(H400&lt;'PlayerGrades+'!$AC$16,"E+",IF(H400&lt;'PlayerGrades+'!$AC$15,"D-",IF(H400&lt;'PlayerGrades+'!$AC$14,"D",IF(H400&lt;'PlayerGrades+'!$AC$13,"D+",IF(H400&lt;'PlayerGrades+'!$AC$12,"C-",IF(H400&lt;'PlayerGrades+'!$AC$11,"C",IF(H400&lt;'PlayerGrades+'!$AC$10,"C+",IF(H400&lt;'PlayerGrades+'!$AC$9,"B-",IF(H400&lt;'PlayerGrades+'!$AC$8,"B",IF(H400&lt;'PlayerGrades+'!$AC$7,"B+",IF(H400&lt;'PlayerGrades+'!$AC$6,"A-",IF(H400&lt;'PlayerGrades+'!$AC$5,"A",IF(H400&lt;'PlayerGrades+'!$AC$4,"A+",IF(H400&lt;'PlayerGrades+'!$AC$3,"S-",IF(H400&lt;'PlayerGrades+'!$AC$2,"S","S+"))))))))))))))))))))</f>
        <v>#DIV/0!</v>
      </c>
      <c r="J400" s="961" t="str">
        <f t="shared" si="4"/>
        <v>#DIV/0!</v>
      </c>
      <c r="K400" s="961" t="str">
        <f>IF(J400&lt;'PlayerGrades+'!$AD$21,"F-",IF(J400&lt;'PlayerGrades+'!$AD$20,"F",IF(J400&lt;'PlayerGrades+'!$AD$19,"F+",IF(J400&lt;'PlayerGrades+'!$AD$18,"E-",IF(J400&lt;'PlayerGrades+'!$AD$17,"E",IF(J400&lt;'PlayerGrades+'!$AD$16,"E+",IF(J400&lt;'PlayerGrades+'!$AD$15,"D-",IF(J400&lt;'PlayerGrades+'!$AD$14,"D",IF(J400&lt;'PlayerGrades+'!$AD$13,"D+",IF(J400&lt;'PlayerGrades+'!$AD$12,"C-",IF(J400&lt;'PlayerGrades+'!$AD$11,"C",IF(J400&lt;'PlayerGrades+'!$AD$10,"C+",IF(J400&lt;'PlayerGrades+'!$AD$9,"B-",IF(J400&lt;'PlayerGrades+'!$AD$8,"B",IF(J400&lt;'PlayerGrades+'!$AD$7,"B+",IF(J400&lt;'PlayerGrades+'!$AD$6,"A-",IF(J400&lt;'PlayerGrades+'!$AD$5,"A",IF(J400&lt;'PlayerGrades+'!$AD$4,"A+",IF(J400&lt;'PlayerGrades+'!$AD$3,"S-",IF(J400&lt;'PlayerGrades+'!$AD$2,"S","S+"))))))))))))))))))))</f>
        <v>#DIV/0!</v>
      </c>
      <c r="L400" s="1176" t="str">
        <f t="shared" si="5"/>
        <v>#DIV/0!</v>
      </c>
      <c r="M400" s="992" t="str">
        <f>IF(L400&lt;'PlayerGrades+'!$AE$21,"F-",IF(L400&lt;'PlayerGrades+'!$AE$20,"F",IF(L400&lt;'PlayerGrades+'!$AE$19,"F+",IF(L400&lt;'PlayerGrades+'!$AE$18,"E-",IF(L400&lt;'PlayerGrades+'!$AE$17,"E",IF(L400&lt;'PlayerGrades+'!$AE$16,"E+",IF(L400&lt;'PlayerGrades+'!$AE$15,"D-",IF(L400&lt;'PlayerGrades+'!$AE$14,"D",IF(L400&lt;'PlayerGrades+'!$AE$13,"D+",IF(L400&lt;'PlayerGrades+'!$AE$12,"C-",IF(L400&lt;'PlayerGrades+'!$AE$11,"C",IF(L400&lt;'PlayerGrades+'!$AE$10,"C+",IF(L400&lt;'PlayerGrades+'!$AE$9,"B-",IF(L400&lt;'PlayerGrades+'!$AE$8,"B",IF(L400&lt;'PlayerGrades+'!$AE$7,"B+",IF(L400&lt;'PlayerGrades+'!$AE$6,"A-",IF(L400&lt;'PlayerGrades+'!$AE$5,"A",IF(L400&lt;'PlayerGrades+'!$AE$4,"A+",IF(L400&lt;'PlayerGrades+'!$AE$3,"S-",IF(L400&lt;'PlayerGrades+'!$AE$2,"S","S+"))))))))))))))))))))</f>
        <v>#DIV/0!</v>
      </c>
      <c r="N400" s="961" t="str">
        <f t="shared" si="6"/>
        <v>#DIV/0!</v>
      </c>
      <c r="O400" s="961" t="str">
        <f>IF(N400&lt;'PlayerGrades+'!$AF$21,"F-",IF(N400&lt;'PlayerGrades+'!$AF$20,"F",IF(N400&lt;'PlayerGrades+'!$AF$19,"F+",IF(N400&lt;'PlayerGrades+'!$AF$18,"E-",IF(N400&lt;'PlayerGrades+'!$AF$17,"E",IF(N400&lt;'PlayerGrades+'!$AF$16,"E+",IF(N400&lt;'PlayerGrades+'!$AF$15,"D-",IF(N400&lt;'PlayerGrades+'!$AF$14,"D",IF(N400&lt;'PlayerGrades+'!$AF$13,"D+",IF(N400&lt;'PlayerGrades+'!$AF$12,"C-",IF(N400&lt;'PlayerGrades+'!$AF$11,"C",IF(N400&lt;'PlayerGrades+'!$AF$10,"C+",IF(N400&lt;'PlayerGrades+'!$AF$9,"B-",IF(N400&lt;'PlayerGrades+'!$AF$8,"B",IF(N400&lt;'PlayerGrades+'!$AF$7,"B+",IF(N400&lt;'PlayerGrades+'!$AF$6,"A-",IF(N400&lt;'PlayerGrades+'!$AF$5,"A",IF(N400&lt;'PlayerGrades+'!$AF$4,"A+",IF(N400&lt;'PlayerGrades+'!$AF$3,"S-",IF(N400&lt;'PlayerGrades+'!$AF$2,"S","S+"))))))))))))))))))))</f>
        <v>#DIV/0!</v>
      </c>
      <c r="P400" s="961" t="str">
        <f t="shared" si="7"/>
        <v>#DIV/0!</v>
      </c>
      <c r="Q400" s="961" t="str">
        <f>IF(P400&lt;'PlayerGrades+'!$AG$21,"F-",IF(P400&lt;'PlayerGrades+'!$AG$20,"F",IF(P400&lt;'PlayerGrades+'!$AG$19,"F+",IF(P400&lt;'PlayerGrades+'!$AG$18,"E-",IF(P400&lt;'PlayerGrades+'!$AG$17,"E",IF(P400&lt;'PlayerGrades+'!$AG$16,"E+",IF(P400&lt;'PlayerGrades+'!$AG$15,"D-",IF(P400&lt;'PlayerGrades+'!$AG$14,"D",IF(P400&lt;'PlayerGrades+'!$AG$13,"D+",IF(P400&lt;'PlayerGrades+'!$AG$12,"C-",IF(P400&lt;'PlayerGrades+'!$AG$11,"C",IF(P400&lt;'PlayerGrades+'!$AG$10,"C+",IF(P400&lt;'PlayerGrades+'!$AG$9,"B-",IF(P400&lt;'PlayerGrades+'!$AG$8,"B",IF(P400&lt;'PlayerGrades+'!$AG$7,"B+",IF(P400&lt;'PlayerGrades+'!$AG$6,"A-",IF(P400&lt;'PlayerGrades+'!$AG$5,"A",IF(P400&lt;'PlayerGrades+'!$AG$4,"A+",IF(P400&lt;'PlayerGrades+'!$AG$3,"S-",IF(P400&lt;'PlayerGrades+'!$AG$2,"S","S+"))))))))))))))))))))</f>
        <v>#DIV/0!</v>
      </c>
      <c r="R400" s="961" t="str">
        <f t="shared" si="8"/>
        <v>#DIV/0!</v>
      </c>
      <c r="S400" s="961" t="str">
        <f>IF(R400&lt;'PlayerGrades+'!$AH$21,"F-",IF(R400&lt;'PlayerGrades+'!$AH$20,"F",IF(R400&lt;'PlayerGrades+'!$AH$19,"F+",IF(R400&lt;'PlayerGrades+'!$AH$18,"E-",IF(R400&lt;'PlayerGrades+'!$AH$17,"E",IF(R400&lt;'PlayerGrades+'!$AH$16,"E+",IF(R400&lt;'PlayerGrades+'!$AH$15,"D-",IF(R400&lt;'PlayerGrades+'!$AH$14,"D",IF(R400&lt;'PlayerGrades+'!$AH$13,"D+",IF(R400&lt;'PlayerGrades+'!$AH$12,"C-",IF(R400&lt;'PlayerGrades+'!$AH$11,"C",IF(R400&lt;'PlayerGrades+'!$AH$10,"C+",IF(R400&lt;'PlayerGrades+'!$AH$9,"B-",IF(R400&lt;'PlayerGrades+'!$AH$8,"B",IF(R400&lt;'PlayerGrades+'!$AH$7,"B+",IF(R400&lt;'PlayerGrades+'!$AH$6,"A-",IF(R400&lt;'PlayerGrades+'!$AH$5,"A",IF(R400&lt;'PlayerGrades+'!$AH$4,"A+",IF(R400&lt;'PlayerGrades+'!$AH$3,"S-",IF(R400&lt;'PlayerGrades+'!$AH$2,"S","S+"))))))))))))))))))))</f>
        <v>#DIV/0!</v>
      </c>
      <c r="T400" s="961">
        <f t="shared" si="9"/>
        <v>0</v>
      </c>
      <c r="U400" s="961" t="str">
        <f>IF(T400&lt;'PlayerGrades+'!$AI$21,"F-",IF(T400&lt;'PlayerGrades+'!$AI$20,"F",IF(T400&lt;'PlayerGrades+'!$AI$19,"F+",IF(T400&lt;'PlayerGrades+'!$AI$18,"E-",IF(T400&lt;'PlayerGrades+'!$AI$17,"E",IF(T400&lt;'PlayerGrades+'!$AI$16,"E+",IF(T400&lt;'PlayerGrades+'!$AI$15,"D-",IF(T400&lt;'PlayerGrades+'!$AI$14,"D",IF(T400&lt;'PlayerGrades+'!$AI$13,"D+",IF(T400&lt;'PlayerGrades+'!$AI$12,"C-",IF(T400&lt;'PlayerGrades+'!$AI$11,"C",IF(T400&lt;'PlayerGrades+'!$AI$10,"C+",IF(T400&lt;'PlayerGrades+'!$AI$9,"B-",IF(T400&lt;'PlayerGrades+'!$AI$8,"B",IF(T400&lt;'PlayerGrades+'!$AI$7,"B+",IF(T400&lt;'PlayerGrades+'!$AI$6,"A-",IF(T400&lt;'PlayerGrades+'!$AI$5,"A",IF(T400&lt;'PlayerGrades+'!$AI$4,"A+",IF(T400&lt;'PlayerGrades+'!$AI$3,"S-",IF(T400&lt;'PlayerGrades+'!$AI$2,"S","S+"))))))))))))))))))))</f>
        <v>F-</v>
      </c>
      <c r="AC400" s="1392"/>
    </row>
    <row r="401">
      <c r="B401" s="611" t="str">
        <f>IF(C401&lt;'PlayerGrades+'!$Y$44,"F-",IF(C401&lt;'PlayerGrades+'!$Y$43,"F",IF(C401&lt;'PlayerGrades+'!$Y$42,"F+",IF(C401&lt;'PlayerGrades+'!$Y$41,"E-",IF(C401&lt;'PlayerGrades+'!$Y$40,"E",IF(C401&lt;'PlayerGrades+'!$Y$39,"E+",IF(C401&lt;'PlayerGrades+'!$Y$38,"D-",IF(C401&lt;'PlayerGrades+'!$Y$37,"D",IF(C401&lt;'PlayerGrades+'!$Y$36,"D+",IF(C401&lt;'PlayerGrades+'!$Y$35,"C-",IF(C401&lt;'PlayerGrades+'!$Y$34,"C",IF(C401&lt;'PlayerGrades+'!$Y$33,"C+",IF(C401&lt;'PlayerGrades+'!$Y$32,"B-",IF(C401&lt;'PlayerGrades+'!$Y$31,"B",IF(C401&lt;'PlayerGrades+'!$Y$30,"B+",IF(C401&lt;'PlayerGrades+'!$Y$29,"A-",IF(C401&lt;'PlayerGrades+'!$Y$28,"A",IF(C401&lt;'PlayerGrades+'!$Y$27,"A+",IF(C401&lt;'PlayerGrades+'!$Y$26,"S-",IF(C401&lt;'PlayerGrades+'!$Y$25,"S","S+"))))))))))))))))))))</f>
        <v>#DIV/0!</v>
      </c>
      <c r="C401" s="1378" t="str">
        <f>('PlayerGrades+'!$Y$47*(VLOOKUP(E401, 'PlayerGrades+'!$X$3:$Y$23, 2, FALSE)))+('PlayerGrades+'!$Y$48*(VLOOKUP(G401, 'PlayerGrades+'!$X$3:$Y$23, 2, FALSE)))+('PlayerGrades+'!$Y$49*(VLOOKUP(I401, 'PlayerGrades+'!$X$3:$Y$23, 2, FALSE)))+('PlayerGrades+'!$Y$50*(VLOOKUP(K401, 'PlayerGrades+'!$X$3:$Y$23, 2, FALSE)))+('PlayerGrades+'!$Y$51*(VLOOKUP(M401, 'PlayerGrades+'!$X$3:$Y$23, 2, FALSE)))+('PlayerGrades+'!$Y$52*(VLOOKUP(O401, 'PlayerGrades+'!$X$3:$Y$23, 2, FALSE)))+('PlayerGrades+'!$Y$53*(VLOOKUP(Q401, 'PlayerGrades+'!$X$3:$Y$23, 2, FALSE)))+('PlayerGrades+'!$Y$54*(VLOOKUP(S401, 'PlayerGrades+'!$X$3:$Y$23, 2, FALSE)))+('PlayerGrades+'!$Y$55*(VLOOKUP(U401, 'PlayerGrades+'!$X$3:$Y$23, 2, FALSE)))</f>
        <v>#DIV/0!</v>
      </c>
      <c r="D401" s="961" t="str">
        <f t="shared" si="1"/>
        <v>#DIV/0!</v>
      </c>
      <c r="E401" s="961" t="str">
        <f>IF(D401&lt;'PlayerGrades+'!$AA$21,"F-",IF(D401&lt;'PlayerGrades+'!$AA$20,"F",IF(D401&lt;'PlayerGrades+'!$AA$19,"F+",IF(D401&lt;'PlayerGrades+'!$AA$18,"E-",IF(D401&lt;'PlayerGrades+'!$AA$17,"E",IF(D401&lt;'PlayerGrades+'!$AA$16,"E+",IF(D401&lt;'PlayerGrades+'!$AA$15,"D-",IF(D401&lt;'PlayerGrades+'!$AA$14,"D",IF(D401&lt;'PlayerGrades+'!$AA$13,"D+",IF(D401&lt;'PlayerGrades+'!$AA$12,"C-",IF(D401&lt;'PlayerGrades+'!$AA$11,"C",IF(D401&lt;'PlayerGrades+'!$AA$10,"C+",IF(D401&lt;'PlayerGrades+'!$AA$9,"B-",IF(D401&lt;'PlayerGrades+'!$AA$8,"B",IF(D401&lt;'PlayerGrades+'!$AA$7,"B+",IF(D401&lt;'PlayerGrades+'!$AA$6,"A-",IF(D401&lt;'PlayerGrades+'!$AA$5,"A",IF(D401&lt;'PlayerGrades+'!$AA$4,"A+",IF(D401&lt;'PlayerGrades+'!$AA$3,"S-",IF(D401&lt;'PlayerGrades+'!$AA$2,"S","S+"))))))))))))))))))))</f>
        <v>#DIV/0!</v>
      </c>
      <c r="F401" s="961" t="str">
        <f t="shared" si="2"/>
        <v>#DIV/0!</v>
      </c>
      <c r="G401" s="961" t="str">
        <f>IF(F401&lt;'PlayerGrades+'!$AB$21,"F-",IF(F401&lt;'PlayerGrades+'!$AB$20,"F",IF(F401&lt;'PlayerGrades+'!$AB$19,"F+",IF(F401&lt;'PlayerGrades+'!$AB$18,"E-",IF(F401&lt;'PlayerGrades+'!$AB$17,"E",IF(F401&lt;'PlayerGrades+'!$AB$16,"E+",IF(F401&lt;'PlayerGrades+'!$AB$15,"D-",IF(F401&lt;'PlayerGrades+'!$AB$14,"D",IF(F401&lt;'PlayerGrades+'!$AB$13,"D+",IF(F401&lt;'PlayerGrades+'!$AB$12,"C-",IF(F401&lt;'PlayerGrades+'!$AB$11,"C",IF(F401&lt;'PlayerGrades+'!$AB$10,"C+",IF(F401&lt;'PlayerGrades+'!$AB$9,"B-",IF(F401&lt;'PlayerGrades+'!$AB$8,"B",IF(F401&lt;'PlayerGrades+'!$AB$7,"B+",IF(F401&lt;'PlayerGrades+'!$AB$6,"A-",IF(F401&lt;'PlayerGrades+'!$AB$5,"A",IF(F401&lt;'PlayerGrades+'!$AB$4,"A+",IF(F401&lt;'PlayerGrades+'!$AB$3,"S-",IF(F401&lt;'PlayerGrades+'!$AB$2,"S","S+"))))))))))))))))))))</f>
        <v>#DIV/0!</v>
      </c>
      <c r="H401" s="961" t="str">
        <f t="shared" si="3"/>
        <v>#DIV/0!</v>
      </c>
      <c r="I401" s="961" t="str">
        <f>IF(H401&lt;'PlayerGrades+'!$AC$21,"F-",IF(H401&lt;'PlayerGrades+'!$AC$20,"F",IF(H401&lt;'PlayerGrades+'!$AC$19,"F+",IF(H401&lt;'PlayerGrades+'!$AC$18,"E-",IF(H401&lt;'PlayerGrades+'!$AC$17,"E",IF(H401&lt;'PlayerGrades+'!$AC$16,"E+",IF(H401&lt;'PlayerGrades+'!$AC$15,"D-",IF(H401&lt;'PlayerGrades+'!$AC$14,"D",IF(H401&lt;'PlayerGrades+'!$AC$13,"D+",IF(H401&lt;'PlayerGrades+'!$AC$12,"C-",IF(H401&lt;'PlayerGrades+'!$AC$11,"C",IF(H401&lt;'PlayerGrades+'!$AC$10,"C+",IF(H401&lt;'PlayerGrades+'!$AC$9,"B-",IF(H401&lt;'PlayerGrades+'!$AC$8,"B",IF(H401&lt;'PlayerGrades+'!$AC$7,"B+",IF(H401&lt;'PlayerGrades+'!$AC$6,"A-",IF(H401&lt;'PlayerGrades+'!$AC$5,"A",IF(H401&lt;'PlayerGrades+'!$AC$4,"A+",IF(H401&lt;'PlayerGrades+'!$AC$3,"S-",IF(H401&lt;'PlayerGrades+'!$AC$2,"S","S+"))))))))))))))))))))</f>
        <v>#DIV/0!</v>
      </c>
      <c r="J401" s="961" t="str">
        <f t="shared" si="4"/>
        <v>#DIV/0!</v>
      </c>
      <c r="K401" s="961" t="str">
        <f>IF(J401&lt;'PlayerGrades+'!$AD$21,"F-",IF(J401&lt;'PlayerGrades+'!$AD$20,"F",IF(J401&lt;'PlayerGrades+'!$AD$19,"F+",IF(J401&lt;'PlayerGrades+'!$AD$18,"E-",IF(J401&lt;'PlayerGrades+'!$AD$17,"E",IF(J401&lt;'PlayerGrades+'!$AD$16,"E+",IF(J401&lt;'PlayerGrades+'!$AD$15,"D-",IF(J401&lt;'PlayerGrades+'!$AD$14,"D",IF(J401&lt;'PlayerGrades+'!$AD$13,"D+",IF(J401&lt;'PlayerGrades+'!$AD$12,"C-",IF(J401&lt;'PlayerGrades+'!$AD$11,"C",IF(J401&lt;'PlayerGrades+'!$AD$10,"C+",IF(J401&lt;'PlayerGrades+'!$AD$9,"B-",IF(J401&lt;'PlayerGrades+'!$AD$8,"B",IF(J401&lt;'PlayerGrades+'!$AD$7,"B+",IF(J401&lt;'PlayerGrades+'!$AD$6,"A-",IF(J401&lt;'PlayerGrades+'!$AD$5,"A",IF(J401&lt;'PlayerGrades+'!$AD$4,"A+",IF(J401&lt;'PlayerGrades+'!$AD$3,"S-",IF(J401&lt;'PlayerGrades+'!$AD$2,"S","S+"))))))))))))))))))))</f>
        <v>#DIV/0!</v>
      </c>
      <c r="L401" s="1176" t="str">
        <f t="shared" si="5"/>
        <v>#DIV/0!</v>
      </c>
      <c r="M401" s="992" t="str">
        <f>IF(L401&lt;'PlayerGrades+'!$AE$21,"F-",IF(L401&lt;'PlayerGrades+'!$AE$20,"F",IF(L401&lt;'PlayerGrades+'!$AE$19,"F+",IF(L401&lt;'PlayerGrades+'!$AE$18,"E-",IF(L401&lt;'PlayerGrades+'!$AE$17,"E",IF(L401&lt;'PlayerGrades+'!$AE$16,"E+",IF(L401&lt;'PlayerGrades+'!$AE$15,"D-",IF(L401&lt;'PlayerGrades+'!$AE$14,"D",IF(L401&lt;'PlayerGrades+'!$AE$13,"D+",IF(L401&lt;'PlayerGrades+'!$AE$12,"C-",IF(L401&lt;'PlayerGrades+'!$AE$11,"C",IF(L401&lt;'PlayerGrades+'!$AE$10,"C+",IF(L401&lt;'PlayerGrades+'!$AE$9,"B-",IF(L401&lt;'PlayerGrades+'!$AE$8,"B",IF(L401&lt;'PlayerGrades+'!$AE$7,"B+",IF(L401&lt;'PlayerGrades+'!$AE$6,"A-",IF(L401&lt;'PlayerGrades+'!$AE$5,"A",IF(L401&lt;'PlayerGrades+'!$AE$4,"A+",IF(L401&lt;'PlayerGrades+'!$AE$3,"S-",IF(L401&lt;'PlayerGrades+'!$AE$2,"S","S+"))))))))))))))))))))</f>
        <v>#DIV/0!</v>
      </c>
      <c r="N401" s="961" t="str">
        <f t="shared" si="6"/>
        <v>#DIV/0!</v>
      </c>
      <c r="O401" s="961" t="str">
        <f>IF(N401&lt;'PlayerGrades+'!$AF$21,"F-",IF(N401&lt;'PlayerGrades+'!$AF$20,"F",IF(N401&lt;'PlayerGrades+'!$AF$19,"F+",IF(N401&lt;'PlayerGrades+'!$AF$18,"E-",IF(N401&lt;'PlayerGrades+'!$AF$17,"E",IF(N401&lt;'PlayerGrades+'!$AF$16,"E+",IF(N401&lt;'PlayerGrades+'!$AF$15,"D-",IF(N401&lt;'PlayerGrades+'!$AF$14,"D",IF(N401&lt;'PlayerGrades+'!$AF$13,"D+",IF(N401&lt;'PlayerGrades+'!$AF$12,"C-",IF(N401&lt;'PlayerGrades+'!$AF$11,"C",IF(N401&lt;'PlayerGrades+'!$AF$10,"C+",IF(N401&lt;'PlayerGrades+'!$AF$9,"B-",IF(N401&lt;'PlayerGrades+'!$AF$8,"B",IF(N401&lt;'PlayerGrades+'!$AF$7,"B+",IF(N401&lt;'PlayerGrades+'!$AF$6,"A-",IF(N401&lt;'PlayerGrades+'!$AF$5,"A",IF(N401&lt;'PlayerGrades+'!$AF$4,"A+",IF(N401&lt;'PlayerGrades+'!$AF$3,"S-",IF(N401&lt;'PlayerGrades+'!$AF$2,"S","S+"))))))))))))))))))))</f>
        <v>#DIV/0!</v>
      </c>
      <c r="P401" s="961" t="str">
        <f t="shared" si="7"/>
        <v>#DIV/0!</v>
      </c>
      <c r="Q401" s="961" t="str">
        <f>IF(P401&lt;'PlayerGrades+'!$AG$21,"F-",IF(P401&lt;'PlayerGrades+'!$AG$20,"F",IF(P401&lt;'PlayerGrades+'!$AG$19,"F+",IF(P401&lt;'PlayerGrades+'!$AG$18,"E-",IF(P401&lt;'PlayerGrades+'!$AG$17,"E",IF(P401&lt;'PlayerGrades+'!$AG$16,"E+",IF(P401&lt;'PlayerGrades+'!$AG$15,"D-",IF(P401&lt;'PlayerGrades+'!$AG$14,"D",IF(P401&lt;'PlayerGrades+'!$AG$13,"D+",IF(P401&lt;'PlayerGrades+'!$AG$12,"C-",IF(P401&lt;'PlayerGrades+'!$AG$11,"C",IF(P401&lt;'PlayerGrades+'!$AG$10,"C+",IF(P401&lt;'PlayerGrades+'!$AG$9,"B-",IF(P401&lt;'PlayerGrades+'!$AG$8,"B",IF(P401&lt;'PlayerGrades+'!$AG$7,"B+",IF(P401&lt;'PlayerGrades+'!$AG$6,"A-",IF(P401&lt;'PlayerGrades+'!$AG$5,"A",IF(P401&lt;'PlayerGrades+'!$AG$4,"A+",IF(P401&lt;'PlayerGrades+'!$AG$3,"S-",IF(P401&lt;'PlayerGrades+'!$AG$2,"S","S+"))))))))))))))))))))</f>
        <v>#DIV/0!</v>
      </c>
      <c r="R401" s="961" t="str">
        <f t="shared" si="8"/>
        <v>#DIV/0!</v>
      </c>
      <c r="S401" s="961" t="str">
        <f>IF(R401&lt;'PlayerGrades+'!$AH$21,"F-",IF(R401&lt;'PlayerGrades+'!$AH$20,"F",IF(R401&lt;'PlayerGrades+'!$AH$19,"F+",IF(R401&lt;'PlayerGrades+'!$AH$18,"E-",IF(R401&lt;'PlayerGrades+'!$AH$17,"E",IF(R401&lt;'PlayerGrades+'!$AH$16,"E+",IF(R401&lt;'PlayerGrades+'!$AH$15,"D-",IF(R401&lt;'PlayerGrades+'!$AH$14,"D",IF(R401&lt;'PlayerGrades+'!$AH$13,"D+",IF(R401&lt;'PlayerGrades+'!$AH$12,"C-",IF(R401&lt;'PlayerGrades+'!$AH$11,"C",IF(R401&lt;'PlayerGrades+'!$AH$10,"C+",IF(R401&lt;'PlayerGrades+'!$AH$9,"B-",IF(R401&lt;'PlayerGrades+'!$AH$8,"B",IF(R401&lt;'PlayerGrades+'!$AH$7,"B+",IF(R401&lt;'PlayerGrades+'!$AH$6,"A-",IF(R401&lt;'PlayerGrades+'!$AH$5,"A",IF(R401&lt;'PlayerGrades+'!$AH$4,"A+",IF(R401&lt;'PlayerGrades+'!$AH$3,"S-",IF(R401&lt;'PlayerGrades+'!$AH$2,"S","S+"))))))))))))))))))))</f>
        <v>#DIV/0!</v>
      </c>
      <c r="T401" s="961">
        <f t="shared" si="9"/>
        <v>0</v>
      </c>
      <c r="U401" s="961" t="str">
        <f>IF(T401&lt;'PlayerGrades+'!$AI$21,"F-",IF(T401&lt;'PlayerGrades+'!$AI$20,"F",IF(T401&lt;'PlayerGrades+'!$AI$19,"F+",IF(T401&lt;'PlayerGrades+'!$AI$18,"E-",IF(T401&lt;'PlayerGrades+'!$AI$17,"E",IF(T401&lt;'PlayerGrades+'!$AI$16,"E+",IF(T401&lt;'PlayerGrades+'!$AI$15,"D-",IF(T401&lt;'PlayerGrades+'!$AI$14,"D",IF(T401&lt;'PlayerGrades+'!$AI$13,"D+",IF(T401&lt;'PlayerGrades+'!$AI$12,"C-",IF(T401&lt;'PlayerGrades+'!$AI$11,"C",IF(T401&lt;'PlayerGrades+'!$AI$10,"C+",IF(T401&lt;'PlayerGrades+'!$AI$9,"B-",IF(T401&lt;'PlayerGrades+'!$AI$8,"B",IF(T401&lt;'PlayerGrades+'!$AI$7,"B+",IF(T401&lt;'PlayerGrades+'!$AI$6,"A-",IF(T401&lt;'PlayerGrades+'!$AI$5,"A",IF(T401&lt;'PlayerGrades+'!$AI$4,"A+",IF(T401&lt;'PlayerGrades+'!$AI$3,"S-",IF(T401&lt;'PlayerGrades+'!$AI$2,"S","S+"))))))))))))))))))))</f>
        <v>F-</v>
      </c>
      <c r="AC401" s="1392"/>
    </row>
    <row r="402">
      <c r="A402" s="1389"/>
      <c r="B402" s="611" t="str">
        <f>IF(C402&lt;'PlayerGrades+'!$Y$44,"F-",IF(C402&lt;'PlayerGrades+'!$Y$43,"F",IF(C402&lt;'PlayerGrades+'!$Y$42,"F+",IF(C402&lt;'PlayerGrades+'!$Y$41,"E-",IF(C402&lt;'PlayerGrades+'!$Y$40,"E",IF(C402&lt;'PlayerGrades+'!$Y$39,"E+",IF(C402&lt;'PlayerGrades+'!$Y$38,"D-",IF(C402&lt;'PlayerGrades+'!$Y$37,"D",IF(C402&lt;'PlayerGrades+'!$Y$36,"D+",IF(C402&lt;'PlayerGrades+'!$Y$35,"C-",IF(C402&lt;'PlayerGrades+'!$Y$34,"C",IF(C402&lt;'PlayerGrades+'!$Y$33,"C+",IF(C402&lt;'PlayerGrades+'!$Y$32,"B-",IF(C402&lt;'PlayerGrades+'!$Y$31,"B",IF(C402&lt;'PlayerGrades+'!$Y$30,"B+",IF(C402&lt;'PlayerGrades+'!$Y$29,"A-",IF(C402&lt;'PlayerGrades+'!$Y$28,"A",IF(C402&lt;'PlayerGrades+'!$Y$27,"A+",IF(C402&lt;'PlayerGrades+'!$Y$26,"S-",IF(C402&lt;'PlayerGrades+'!$Y$25,"S","S+"))))))))))))))))))))</f>
        <v>#DIV/0!</v>
      </c>
      <c r="C402" s="1378" t="str">
        <f>('PlayerGrades+'!$Y$47*(VLOOKUP(E402, 'PlayerGrades+'!$X$3:$Y$23, 2, FALSE)))+('PlayerGrades+'!$Y$48*(VLOOKUP(G402, 'PlayerGrades+'!$X$3:$Y$23, 2, FALSE)))+('PlayerGrades+'!$Y$49*(VLOOKUP(I402, 'PlayerGrades+'!$X$3:$Y$23, 2, FALSE)))+('PlayerGrades+'!$Y$50*(VLOOKUP(K402, 'PlayerGrades+'!$X$3:$Y$23, 2, FALSE)))+('PlayerGrades+'!$Y$51*(VLOOKUP(M402, 'PlayerGrades+'!$X$3:$Y$23, 2, FALSE)))+('PlayerGrades+'!$Y$52*(VLOOKUP(O402, 'PlayerGrades+'!$X$3:$Y$23, 2, FALSE)))+('PlayerGrades+'!$Y$53*(VLOOKUP(Q402, 'PlayerGrades+'!$X$3:$Y$23, 2, FALSE)))+('PlayerGrades+'!$Y$54*(VLOOKUP(S402, 'PlayerGrades+'!$X$3:$Y$23, 2, FALSE)))+('PlayerGrades+'!$Y$55*(VLOOKUP(U402, 'PlayerGrades+'!$X$3:$Y$23, 2, FALSE)))</f>
        <v>#DIV/0!</v>
      </c>
      <c r="D402" s="961" t="str">
        <f t="shared" si="1"/>
        <v>#DIV/0!</v>
      </c>
      <c r="E402" s="961" t="str">
        <f>IF(D402&lt;'PlayerGrades+'!$AA$21,"F-",IF(D402&lt;'PlayerGrades+'!$AA$20,"F",IF(D402&lt;'PlayerGrades+'!$AA$19,"F+",IF(D402&lt;'PlayerGrades+'!$AA$18,"E-",IF(D402&lt;'PlayerGrades+'!$AA$17,"E",IF(D402&lt;'PlayerGrades+'!$AA$16,"E+",IF(D402&lt;'PlayerGrades+'!$AA$15,"D-",IF(D402&lt;'PlayerGrades+'!$AA$14,"D",IF(D402&lt;'PlayerGrades+'!$AA$13,"D+",IF(D402&lt;'PlayerGrades+'!$AA$12,"C-",IF(D402&lt;'PlayerGrades+'!$AA$11,"C",IF(D402&lt;'PlayerGrades+'!$AA$10,"C+",IF(D402&lt;'PlayerGrades+'!$AA$9,"B-",IF(D402&lt;'PlayerGrades+'!$AA$8,"B",IF(D402&lt;'PlayerGrades+'!$AA$7,"B+",IF(D402&lt;'PlayerGrades+'!$AA$6,"A-",IF(D402&lt;'PlayerGrades+'!$AA$5,"A",IF(D402&lt;'PlayerGrades+'!$AA$4,"A+",IF(D402&lt;'PlayerGrades+'!$AA$3,"S-",IF(D402&lt;'PlayerGrades+'!$AA$2,"S","S+"))))))))))))))))))))</f>
        <v>#DIV/0!</v>
      </c>
      <c r="F402" s="961" t="str">
        <f t="shared" si="2"/>
        <v>#DIV/0!</v>
      </c>
      <c r="G402" s="961" t="str">
        <f>IF(F402&lt;'PlayerGrades+'!$AB$21,"F-",IF(F402&lt;'PlayerGrades+'!$AB$20,"F",IF(F402&lt;'PlayerGrades+'!$AB$19,"F+",IF(F402&lt;'PlayerGrades+'!$AB$18,"E-",IF(F402&lt;'PlayerGrades+'!$AB$17,"E",IF(F402&lt;'PlayerGrades+'!$AB$16,"E+",IF(F402&lt;'PlayerGrades+'!$AB$15,"D-",IF(F402&lt;'PlayerGrades+'!$AB$14,"D",IF(F402&lt;'PlayerGrades+'!$AB$13,"D+",IF(F402&lt;'PlayerGrades+'!$AB$12,"C-",IF(F402&lt;'PlayerGrades+'!$AB$11,"C",IF(F402&lt;'PlayerGrades+'!$AB$10,"C+",IF(F402&lt;'PlayerGrades+'!$AB$9,"B-",IF(F402&lt;'PlayerGrades+'!$AB$8,"B",IF(F402&lt;'PlayerGrades+'!$AB$7,"B+",IF(F402&lt;'PlayerGrades+'!$AB$6,"A-",IF(F402&lt;'PlayerGrades+'!$AB$5,"A",IF(F402&lt;'PlayerGrades+'!$AB$4,"A+",IF(F402&lt;'PlayerGrades+'!$AB$3,"S-",IF(F402&lt;'PlayerGrades+'!$AB$2,"S","S+"))))))))))))))))))))</f>
        <v>#DIV/0!</v>
      </c>
      <c r="H402" s="961" t="str">
        <f t="shared" si="3"/>
        <v>#DIV/0!</v>
      </c>
      <c r="I402" s="961" t="str">
        <f>IF(H402&lt;'PlayerGrades+'!$AC$21,"F-",IF(H402&lt;'PlayerGrades+'!$AC$20,"F",IF(H402&lt;'PlayerGrades+'!$AC$19,"F+",IF(H402&lt;'PlayerGrades+'!$AC$18,"E-",IF(H402&lt;'PlayerGrades+'!$AC$17,"E",IF(H402&lt;'PlayerGrades+'!$AC$16,"E+",IF(H402&lt;'PlayerGrades+'!$AC$15,"D-",IF(H402&lt;'PlayerGrades+'!$AC$14,"D",IF(H402&lt;'PlayerGrades+'!$AC$13,"D+",IF(H402&lt;'PlayerGrades+'!$AC$12,"C-",IF(H402&lt;'PlayerGrades+'!$AC$11,"C",IF(H402&lt;'PlayerGrades+'!$AC$10,"C+",IF(H402&lt;'PlayerGrades+'!$AC$9,"B-",IF(H402&lt;'PlayerGrades+'!$AC$8,"B",IF(H402&lt;'PlayerGrades+'!$AC$7,"B+",IF(H402&lt;'PlayerGrades+'!$AC$6,"A-",IF(H402&lt;'PlayerGrades+'!$AC$5,"A",IF(H402&lt;'PlayerGrades+'!$AC$4,"A+",IF(H402&lt;'PlayerGrades+'!$AC$3,"S-",IF(H402&lt;'PlayerGrades+'!$AC$2,"S","S+"))))))))))))))))))))</f>
        <v>#DIV/0!</v>
      </c>
      <c r="J402" s="961" t="str">
        <f t="shared" si="4"/>
        <v>#DIV/0!</v>
      </c>
      <c r="K402" s="961" t="str">
        <f>IF(J402&lt;'PlayerGrades+'!$AD$21,"F-",IF(J402&lt;'PlayerGrades+'!$AD$20,"F",IF(J402&lt;'PlayerGrades+'!$AD$19,"F+",IF(J402&lt;'PlayerGrades+'!$AD$18,"E-",IF(J402&lt;'PlayerGrades+'!$AD$17,"E",IF(J402&lt;'PlayerGrades+'!$AD$16,"E+",IF(J402&lt;'PlayerGrades+'!$AD$15,"D-",IF(J402&lt;'PlayerGrades+'!$AD$14,"D",IF(J402&lt;'PlayerGrades+'!$AD$13,"D+",IF(J402&lt;'PlayerGrades+'!$AD$12,"C-",IF(J402&lt;'PlayerGrades+'!$AD$11,"C",IF(J402&lt;'PlayerGrades+'!$AD$10,"C+",IF(J402&lt;'PlayerGrades+'!$AD$9,"B-",IF(J402&lt;'PlayerGrades+'!$AD$8,"B",IF(J402&lt;'PlayerGrades+'!$AD$7,"B+",IF(J402&lt;'PlayerGrades+'!$AD$6,"A-",IF(J402&lt;'PlayerGrades+'!$AD$5,"A",IF(J402&lt;'PlayerGrades+'!$AD$4,"A+",IF(J402&lt;'PlayerGrades+'!$AD$3,"S-",IF(J402&lt;'PlayerGrades+'!$AD$2,"S","S+"))))))))))))))))))))</f>
        <v>#DIV/0!</v>
      </c>
      <c r="L402" s="1176" t="str">
        <f t="shared" si="5"/>
        <v>#DIV/0!</v>
      </c>
      <c r="M402" s="992" t="str">
        <f>IF(L402&lt;'PlayerGrades+'!$AE$21,"F-",IF(L402&lt;'PlayerGrades+'!$AE$20,"F",IF(L402&lt;'PlayerGrades+'!$AE$19,"F+",IF(L402&lt;'PlayerGrades+'!$AE$18,"E-",IF(L402&lt;'PlayerGrades+'!$AE$17,"E",IF(L402&lt;'PlayerGrades+'!$AE$16,"E+",IF(L402&lt;'PlayerGrades+'!$AE$15,"D-",IF(L402&lt;'PlayerGrades+'!$AE$14,"D",IF(L402&lt;'PlayerGrades+'!$AE$13,"D+",IF(L402&lt;'PlayerGrades+'!$AE$12,"C-",IF(L402&lt;'PlayerGrades+'!$AE$11,"C",IF(L402&lt;'PlayerGrades+'!$AE$10,"C+",IF(L402&lt;'PlayerGrades+'!$AE$9,"B-",IF(L402&lt;'PlayerGrades+'!$AE$8,"B",IF(L402&lt;'PlayerGrades+'!$AE$7,"B+",IF(L402&lt;'PlayerGrades+'!$AE$6,"A-",IF(L402&lt;'PlayerGrades+'!$AE$5,"A",IF(L402&lt;'PlayerGrades+'!$AE$4,"A+",IF(L402&lt;'PlayerGrades+'!$AE$3,"S-",IF(L402&lt;'PlayerGrades+'!$AE$2,"S","S+"))))))))))))))))))))</f>
        <v>#DIV/0!</v>
      </c>
      <c r="N402" s="961" t="str">
        <f t="shared" si="6"/>
        <v>#DIV/0!</v>
      </c>
      <c r="O402" s="961" t="str">
        <f>IF(N402&lt;'PlayerGrades+'!$AF$21,"F-",IF(N402&lt;'PlayerGrades+'!$AF$20,"F",IF(N402&lt;'PlayerGrades+'!$AF$19,"F+",IF(N402&lt;'PlayerGrades+'!$AF$18,"E-",IF(N402&lt;'PlayerGrades+'!$AF$17,"E",IF(N402&lt;'PlayerGrades+'!$AF$16,"E+",IF(N402&lt;'PlayerGrades+'!$AF$15,"D-",IF(N402&lt;'PlayerGrades+'!$AF$14,"D",IF(N402&lt;'PlayerGrades+'!$AF$13,"D+",IF(N402&lt;'PlayerGrades+'!$AF$12,"C-",IF(N402&lt;'PlayerGrades+'!$AF$11,"C",IF(N402&lt;'PlayerGrades+'!$AF$10,"C+",IF(N402&lt;'PlayerGrades+'!$AF$9,"B-",IF(N402&lt;'PlayerGrades+'!$AF$8,"B",IF(N402&lt;'PlayerGrades+'!$AF$7,"B+",IF(N402&lt;'PlayerGrades+'!$AF$6,"A-",IF(N402&lt;'PlayerGrades+'!$AF$5,"A",IF(N402&lt;'PlayerGrades+'!$AF$4,"A+",IF(N402&lt;'PlayerGrades+'!$AF$3,"S-",IF(N402&lt;'PlayerGrades+'!$AF$2,"S","S+"))))))))))))))))))))</f>
        <v>#DIV/0!</v>
      </c>
      <c r="P402" s="961" t="str">
        <f t="shared" si="7"/>
        <v>#DIV/0!</v>
      </c>
      <c r="Q402" s="961" t="str">
        <f>IF(P402&lt;'PlayerGrades+'!$AG$21,"F-",IF(P402&lt;'PlayerGrades+'!$AG$20,"F",IF(P402&lt;'PlayerGrades+'!$AG$19,"F+",IF(P402&lt;'PlayerGrades+'!$AG$18,"E-",IF(P402&lt;'PlayerGrades+'!$AG$17,"E",IF(P402&lt;'PlayerGrades+'!$AG$16,"E+",IF(P402&lt;'PlayerGrades+'!$AG$15,"D-",IF(P402&lt;'PlayerGrades+'!$AG$14,"D",IF(P402&lt;'PlayerGrades+'!$AG$13,"D+",IF(P402&lt;'PlayerGrades+'!$AG$12,"C-",IF(P402&lt;'PlayerGrades+'!$AG$11,"C",IF(P402&lt;'PlayerGrades+'!$AG$10,"C+",IF(P402&lt;'PlayerGrades+'!$AG$9,"B-",IF(P402&lt;'PlayerGrades+'!$AG$8,"B",IF(P402&lt;'PlayerGrades+'!$AG$7,"B+",IF(P402&lt;'PlayerGrades+'!$AG$6,"A-",IF(P402&lt;'PlayerGrades+'!$AG$5,"A",IF(P402&lt;'PlayerGrades+'!$AG$4,"A+",IF(P402&lt;'PlayerGrades+'!$AG$3,"S-",IF(P402&lt;'PlayerGrades+'!$AG$2,"S","S+"))))))))))))))))))))</f>
        <v>#DIV/0!</v>
      </c>
      <c r="R402" s="961" t="str">
        <f t="shared" si="8"/>
        <v>#DIV/0!</v>
      </c>
      <c r="S402" s="961" t="str">
        <f>IF(R402&lt;'PlayerGrades+'!$AH$21,"F-",IF(R402&lt;'PlayerGrades+'!$AH$20,"F",IF(R402&lt;'PlayerGrades+'!$AH$19,"F+",IF(R402&lt;'PlayerGrades+'!$AH$18,"E-",IF(R402&lt;'PlayerGrades+'!$AH$17,"E",IF(R402&lt;'PlayerGrades+'!$AH$16,"E+",IF(R402&lt;'PlayerGrades+'!$AH$15,"D-",IF(R402&lt;'PlayerGrades+'!$AH$14,"D",IF(R402&lt;'PlayerGrades+'!$AH$13,"D+",IF(R402&lt;'PlayerGrades+'!$AH$12,"C-",IF(R402&lt;'PlayerGrades+'!$AH$11,"C",IF(R402&lt;'PlayerGrades+'!$AH$10,"C+",IF(R402&lt;'PlayerGrades+'!$AH$9,"B-",IF(R402&lt;'PlayerGrades+'!$AH$8,"B",IF(R402&lt;'PlayerGrades+'!$AH$7,"B+",IF(R402&lt;'PlayerGrades+'!$AH$6,"A-",IF(R402&lt;'PlayerGrades+'!$AH$5,"A",IF(R402&lt;'PlayerGrades+'!$AH$4,"A+",IF(R402&lt;'PlayerGrades+'!$AH$3,"S-",IF(R402&lt;'PlayerGrades+'!$AH$2,"S","S+"))))))))))))))))))))</f>
        <v>#DIV/0!</v>
      </c>
      <c r="T402" s="961">
        <f t="shared" si="9"/>
        <v>0</v>
      </c>
      <c r="U402" s="961" t="str">
        <f>IF(T402&lt;'PlayerGrades+'!$AI$21,"F-",IF(T402&lt;'PlayerGrades+'!$AI$20,"F",IF(T402&lt;'PlayerGrades+'!$AI$19,"F+",IF(T402&lt;'PlayerGrades+'!$AI$18,"E-",IF(T402&lt;'PlayerGrades+'!$AI$17,"E",IF(T402&lt;'PlayerGrades+'!$AI$16,"E+",IF(T402&lt;'PlayerGrades+'!$AI$15,"D-",IF(T402&lt;'PlayerGrades+'!$AI$14,"D",IF(T402&lt;'PlayerGrades+'!$AI$13,"D+",IF(T402&lt;'PlayerGrades+'!$AI$12,"C-",IF(T402&lt;'PlayerGrades+'!$AI$11,"C",IF(T402&lt;'PlayerGrades+'!$AI$10,"C+",IF(T402&lt;'PlayerGrades+'!$AI$9,"B-",IF(T402&lt;'PlayerGrades+'!$AI$8,"B",IF(T402&lt;'PlayerGrades+'!$AI$7,"B+",IF(T402&lt;'PlayerGrades+'!$AI$6,"A-",IF(T402&lt;'PlayerGrades+'!$AI$5,"A",IF(T402&lt;'PlayerGrades+'!$AI$4,"A+",IF(T402&lt;'PlayerGrades+'!$AI$3,"S-",IF(T402&lt;'PlayerGrades+'!$AI$2,"S","S+"))))))))))))))))))))</f>
        <v>F-</v>
      </c>
      <c r="V402" s="1379"/>
      <c r="W402" s="1379"/>
      <c r="X402" s="1379"/>
      <c r="Y402" s="1379"/>
      <c r="Z402" s="1379"/>
      <c r="AA402" s="1379"/>
      <c r="AB402" s="1379"/>
      <c r="AC402" s="1390"/>
      <c r="AD402" s="1379"/>
      <c r="AE402" s="1379"/>
      <c r="AF402" s="1379"/>
      <c r="AG402" s="1379"/>
      <c r="AH402" s="1379"/>
      <c r="AI402" s="1379"/>
      <c r="AJ402" s="1379"/>
      <c r="AK402" s="1379"/>
      <c r="AL402" s="1379"/>
      <c r="AM402" s="1379"/>
      <c r="AN402" s="1379"/>
      <c r="AO402" s="1379"/>
      <c r="AP402" s="1379"/>
      <c r="AQ402" s="1379"/>
      <c r="AR402" s="1379"/>
      <c r="AS402" s="1379"/>
      <c r="AT402" s="1379"/>
      <c r="AU402" s="1379"/>
      <c r="AV402" s="1379"/>
      <c r="AW402" s="1379"/>
      <c r="AX402" s="1379"/>
      <c r="AY402" s="1379"/>
      <c r="AZ402" s="1379"/>
    </row>
    <row r="403">
      <c r="A403" s="1391"/>
      <c r="B403" s="611" t="str">
        <f>IF(C403&lt;'PlayerGrades+'!$Y$44,"F-",IF(C403&lt;'PlayerGrades+'!$Y$43,"F",IF(C403&lt;'PlayerGrades+'!$Y$42,"F+",IF(C403&lt;'PlayerGrades+'!$Y$41,"E-",IF(C403&lt;'PlayerGrades+'!$Y$40,"E",IF(C403&lt;'PlayerGrades+'!$Y$39,"E+",IF(C403&lt;'PlayerGrades+'!$Y$38,"D-",IF(C403&lt;'PlayerGrades+'!$Y$37,"D",IF(C403&lt;'PlayerGrades+'!$Y$36,"D+",IF(C403&lt;'PlayerGrades+'!$Y$35,"C-",IF(C403&lt;'PlayerGrades+'!$Y$34,"C",IF(C403&lt;'PlayerGrades+'!$Y$33,"C+",IF(C403&lt;'PlayerGrades+'!$Y$32,"B-",IF(C403&lt;'PlayerGrades+'!$Y$31,"B",IF(C403&lt;'PlayerGrades+'!$Y$30,"B+",IF(C403&lt;'PlayerGrades+'!$Y$29,"A-",IF(C403&lt;'PlayerGrades+'!$Y$28,"A",IF(C403&lt;'PlayerGrades+'!$Y$27,"A+",IF(C403&lt;'PlayerGrades+'!$Y$26,"S-",IF(C403&lt;'PlayerGrades+'!$Y$25,"S","S+"))))))))))))))))))))</f>
        <v>#DIV/0!</v>
      </c>
      <c r="C403" s="1378" t="str">
        <f>('PlayerGrades+'!$Y$47*(VLOOKUP(E403, 'PlayerGrades+'!$X$3:$Y$23, 2, FALSE)))+('PlayerGrades+'!$Y$48*(VLOOKUP(G403, 'PlayerGrades+'!$X$3:$Y$23, 2, FALSE)))+('PlayerGrades+'!$Y$49*(VLOOKUP(I403, 'PlayerGrades+'!$X$3:$Y$23, 2, FALSE)))+('PlayerGrades+'!$Y$50*(VLOOKUP(K403, 'PlayerGrades+'!$X$3:$Y$23, 2, FALSE)))+('PlayerGrades+'!$Y$51*(VLOOKUP(M403, 'PlayerGrades+'!$X$3:$Y$23, 2, FALSE)))+('PlayerGrades+'!$Y$52*(VLOOKUP(O403, 'PlayerGrades+'!$X$3:$Y$23, 2, FALSE)))+('PlayerGrades+'!$Y$53*(VLOOKUP(Q403, 'PlayerGrades+'!$X$3:$Y$23, 2, FALSE)))+('PlayerGrades+'!$Y$54*(VLOOKUP(S403, 'PlayerGrades+'!$X$3:$Y$23, 2, FALSE)))+('PlayerGrades+'!$Y$55*(VLOOKUP(U403, 'PlayerGrades+'!$X$3:$Y$23, 2, FALSE)))</f>
        <v>#DIV/0!</v>
      </c>
      <c r="D403" s="961" t="str">
        <f t="shared" si="1"/>
        <v>#DIV/0!</v>
      </c>
      <c r="E403" s="961" t="str">
        <f>IF(D403&lt;'PlayerGrades+'!$AA$21,"F-",IF(D403&lt;'PlayerGrades+'!$AA$20,"F",IF(D403&lt;'PlayerGrades+'!$AA$19,"F+",IF(D403&lt;'PlayerGrades+'!$AA$18,"E-",IF(D403&lt;'PlayerGrades+'!$AA$17,"E",IF(D403&lt;'PlayerGrades+'!$AA$16,"E+",IF(D403&lt;'PlayerGrades+'!$AA$15,"D-",IF(D403&lt;'PlayerGrades+'!$AA$14,"D",IF(D403&lt;'PlayerGrades+'!$AA$13,"D+",IF(D403&lt;'PlayerGrades+'!$AA$12,"C-",IF(D403&lt;'PlayerGrades+'!$AA$11,"C",IF(D403&lt;'PlayerGrades+'!$AA$10,"C+",IF(D403&lt;'PlayerGrades+'!$AA$9,"B-",IF(D403&lt;'PlayerGrades+'!$AA$8,"B",IF(D403&lt;'PlayerGrades+'!$AA$7,"B+",IF(D403&lt;'PlayerGrades+'!$AA$6,"A-",IF(D403&lt;'PlayerGrades+'!$AA$5,"A",IF(D403&lt;'PlayerGrades+'!$AA$4,"A+",IF(D403&lt;'PlayerGrades+'!$AA$3,"S-",IF(D403&lt;'PlayerGrades+'!$AA$2,"S","S+"))))))))))))))))))))</f>
        <v>#DIV/0!</v>
      </c>
      <c r="F403" s="961" t="str">
        <f t="shared" si="2"/>
        <v>#DIV/0!</v>
      </c>
      <c r="G403" s="961" t="str">
        <f>IF(F403&lt;'PlayerGrades+'!$AB$21,"F-",IF(F403&lt;'PlayerGrades+'!$AB$20,"F",IF(F403&lt;'PlayerGrades+'!$AB$19,"F+",IF(F403&lt;'PlayerGrades+'!$AB$18,"E-",IF(F403&lt;'PlayerGrades+'!$AB$17,"E",IF(F403&lt;'PlayerGrades+'!$AB$16,"E+",IF(F403&lt;'PlayerGrades+'!$AB$15,"D-",IF(F403&lt;'PlayerGrades+'!$AB$14,"D",IF(F403&lt;'PlayerGrades+'!$AB$13,"D+",IF(F403&lt;'PlayerGrades+'!$AB$12,"C-",IF(F403&lt;'PlayerGrades+'!$AB$11,"C",IF(F403&lt;'PlayerGrades+'!$AB$10,"C+",IF(F403&lt;'PlayerGrades+'!$AB$9,"B-",IF(F403&lt;'PlayerGrades+'!$AB$8,"B",IF(F403&lt;'PlayerGrades+'!$AB$7,"B+",IF(F403&lt;'PlayerGrades+'!$AB$6,"A-",IF(F403&lt;'PlayerGrades+'!$AB$5,"A",IF(F403&lt;'PlayerGrades+'!$AB$4,"A+",IF(F403&lt;'PlayerGrades+'!$AB$3,"S-",IF(F403&lt;'PlayerGrades+'!$AB$2,"S","S+"))))))))))))))))))))</f>
        <v>#DIV/0!</v>
      </c>
      <c r="H403" s="961" t="str">
        <f t="shared" si="3"/>
        <v>#DIV/0!</v>
      </c>
      <c r="I403" s="961" t="str">
        <f>IF(H403&lt;'PlayerGrades+'!$AC$21,"F-",IF(H403&lt;'PlayerGrades+'!$AC$20,"F",IF(H403&lt;'PlayerGrades+'!$AC$19,"F+",IF(H403&lt;'PlayerGrades+'!$AC$18,"E-",IF(H403&lt;'PlayerGrades+'!$AC$17,"E",IF(H403&lt;'PlayerGrades+'!$AC$16,"E+",IF(H403&lt;'PlayerGrades+'!$AC$15,"D-",IF(H403&lt;'PlayerGrades+'!$AC$14,"D",IF(H403&lt;'PlayerGrades+'!$AC$13,"D+",IF(H403&lt;'PlayerGrades+'!$AC$12,"C-",IF(H403&lt;'PlayerGrades+'!$AC$11,"C",IF(H403&lt;'PlayerGrades+'!$AC$10,"C+",IF(H403&lt;'PlayerGrades+'!$AC$9,"B-",IF(H403&lt;'PlayerGrades+'!$AC$8,"B",IF(H403&lt;'PlayerGrades+'!$AC$7,"B+",IF(H403&lt;'PlayerGrades+'!$AC$6,"A-",IF(H403&lt;'PlayerGrades+'!$AC$5,"A",IF(H403&lt;'PlayerGrades+'!$AC$4,"A+",IF(H403&lt;'PlayerGrades+'!$AC$3,"S-",IF(H403&lt;'PlayerGrades+'!$AC$2,"S","S+"))))))))))))))))))))</f>
        <v>#DIV/0!</v>
      </c>
      <c r="J403" s="961" t="str">
        <f t="shared" si="4"/>
        <v>#DIV/0!</v>
      </c>
      <c r="K403" s="961" t="str">
        <f>IF(J403&lt;'PlayerGrades+'!$AD$21,"F-",IF(J403&lt;'PlayerGrades+'!$AD$20,"F",IF(J403&lt;'PlayerGrades+'!$AD$19,"F+",IF(J403&lt;'PlayerGrades+'!$AD$18,"E-",IF(J403&lt;'PlayerGrades+'!$AD$17,"E",IF(J403&lt;'PlayerGrades+'!$AD$16,"E+",IF(J403&lt;'PlayerGrades+'!$AD$15,"D-",IF(J403&lt;'PlayerGrades+'!$AD$14,"D",IF(J403&lt;'PlayerGrades+'!$AD$13,"D+",IF(J403&lt;'PlayerGrades+'!$AD$12,"C-",IF(J403&lt;'PlayerGrades+'!$AD$11,"C",IF(J403&lt;'PlayerGrades+'!$AD$10,"C+",IF(J403&lt;'PlayerGrades+'!$AD$9,"B-",IF(J403&lt;'PlayerGrades+'!$AD$8,"B",IF(J403&lt;'PlayerGrades+'!$AD$7,"B+",IF(J403&lt;'PlayerGrades+'!$AD$6,"A-",IF(J403&lt;'PlayerGrades+'!$AD$5,"A",IF(J403&lt;'PlayerGrades+'!$AD$4,"A+",IF(J403&lt;'PlayerGrades+'!$AD$3,"S-",IF(J403&lt;'PlayerGrades+'!$AD$2,"S","S+"))))))))))))))))))))</f>
        <v>#DIV/0!</v>
      </c>
      <c r="L403" s="1176" t="str">
        <f t="shared" si="5"/>
        <v>#DIV/0!</v>
      </c>
      <c r="M403" s="992" t="str">
        <f>IF(L403&lt;'PlayerGrades+'!$AE$21,"F-",IF(L403&lt;'PlayerGrades+'!$AE$20,"F",IF(L403&lt;'PlayerGrades+'!$AE$19,"F+",IF(L403&lt;'PlayerGrades+'!$AE$18,"E-",IF(L403&lt;'PlayerGrades+'!$AE$17,"E",IF(L403&lt;'PlayerGrades+'!$AE$16,"E+",IF(L403&lt;'PlayerGrades+'!$AE$15,"D-",IF(L403&lt;'PlayerGrades+'!$AE$14,"D",IF(L403&lt;'PlayerGrades+'!$AE$13,"D+",IF(L403&lt;'PlayerGrades+'!$AE$12,"C-",IF(L403&lt;'PlayerGrades+'!$AE$11,"C",IF(L403&lt;'PlayerGrades+'!$AE$10,"C+",IF(L403&lt;'PlayerGrades+'!$AE$9,"B-",IF(L403&lt;'PlayerGrades+'!$AE$8,"B",IF(L403&lt;'PlayerGrades+'!$AE$7,"B+",IF(L403&lt;'PlayerGrades+'!$AE$6,"A-",IF(L403&lt;'PlayerGrades+'!$AE$5,"A",IF(L403&lt;'PlayerGrades+'!$AE$4,"A+",IF(L403&lt;'PlayerGrades+'!$AE$3,"S-",IF(L403&lt;'PlayerGrades+'!$AE$2,"S","S+"))))))))))))))))))))</f>
        <v>#DIV/0!</v>
      </c>
      <c r="N403" s="961" t="str">
        <f t="shared" si="6"/>
        <v>#DIV/0!</v>
      </c>
      <c r="O403" s="961" t="str">
        <f>IF(N403&lt;'PlayerGrades+'!$AF$21,"F-",IF(N403&lt;'PlayerGrades+'!$AF$20,"F",IF(N403&lt;'PlayerGrades+'!$AF$19,"F+",IF(N403&lt;'PlayerGrades+'!$AF$18,"E-",IF(N403&lt;'PlayerGrades+'!$AF$17,"E",IF(N403&lt;'PlayerGrades+'!$AF$16,"E+",IF(N403&lt;'PlayerGrades+'!$AF$15,"D-",IF(N403&lt;'PlayerGrades+'!$AF$14,"D",IF(N403&lt;'PlayerGrades+'!$AF$13,"D+",IF(N403&lt;'PlayerGrades+'!$AF$12,"C-",IF(N403&lt;'PlayerGrades+'!$AF$11,"C",IF(N403&lt;'PlayerGrades+'!$AF$10,"C+",IF(N403&lt;'PlayerGrades+'!$AF$9,"B-",IF(N403&lt;'PlayerGrades+'!$AF$8,"B",IF(N403&lt;'PlayerGrades+'!$AF$7,"B+",IF(N403&lt;'PlayerGrades+'!$AF$6,"A-",IF(N403&lt;'PlayerGrades+'!$AF$5,"A",IF(N403&lt;'PlayerGrades+'!$AF$4,"A+",IF(N403&lt;'PlayerGrades+'!$AF$3,"S-",IF(N403&lt;'PlayerGrades+'!$AF$2,"S","S+"))))))))))))))))))))</f>
        <v>#DIV/0!</v>
      </c>
      <c r="P403" s="961" t="str">
        <f t="shared" si="7"/>
        <v>#DIV/0!</v>
      </c>
      <c r="Q403" s="961" t="str">
        <f>IF(P403&lt;'PlayerGrades+'!$AG$21,"F-",IF(P403&lt;'PlayerGrades+'!$AG$20,"F",IF(P403&lt;'PlayerGrades+'!$AG$19,"F+",IF(P403&lt;'PlayerGrades+'!$AG$18,"E-",IF(P403&lt;'PlayerGrades+'!$AG$17,"E",IF(P403&lt;'PlayerGrades+'!$AG$16,"E+",IF(P403&lt;'PlayerGrades+'!$AG$15,"D-",IF(P403&lt;'PlayerGrades+'!$AG$14,"D",IF(P403&lt;'PlayerGrades+'!$AG$13,"D+",IF(P403&lt;'PlayerGrades+'!$AG$12,"C-",IF(P403&lt;'PlayerGrades+'!$AG$11,"C",IF(P403&lt;'PlayerGrades+'!$AG$10,"C+",IF(P403&lt;'PlayerGrades+'!$AG$9,"B-",IF(P403&lt;'PlayerGrades+'!$AG$8,"B",IF(P403&lt;'PlayerGrades+'!$AG$7,"B+",IF(P403&lt;'PlayerGrades+'!$AG$6,"A-",IF(P403&lt;'PlayerGrades+'!$AG$5,"A",IF(P403&lt;'PlayerGrades+'!$AG$4,"A+",IF(P403&lt;'PlayerGrades+'!$AG$3,"S-",IF(P403&lt;'PlayerGrades+'!$AG$2,"S","S+"))))))))))))))))))))</f>
        <v>#DIV/0!</v>
      </c>
      <c r="R403" s="961" t="str">
        <f t="shared" si="8"/>
        <v>#DIV/0!</v>
      </c>
      <c r="S403" s="961" t="str">
        <f>IF(R403&lt;'PlayerGrades+'!$AH$21,"F-",IF(R403&lt;'PlayerGrades+'!$AH$20,"F",IF(R403&lt;'PlayerGrades+'!$AH$19,"F+",IF(R403&lt;'PlayerGrades+'!$AH$18,"E-",IF(R403&lt;'PlayerGrades+'!$AH$17,"E",IF(R403&lt;'PlayerGrades+'!$AH$16,"E+",IF(R403&lt;'PlayerGrades+'!$AH$15,"D-",IF(R403&lt;'PlayerGrades+'!$AH$14,"D",IF(R403&lt;'PlayerGrades+'!$AH$13,"D+",IF(R403&lt;'PlayerGrades+'!$AH$12,"C-",IF(R403&lt;'PlayerGrades+'!$AH$11,"C",IF(R403&lt;'PlayerGrades+'!$AH$10,"C+",IF(R403&lt;'PlayerGrades+'!$AH$9,"B-",IF(R403&lt;'PlayerGrades+'!$AH$8,"B",IF(R403&lt;'PlayerGrades+'!$AH$7,"B+",IF(R403&lt;'PlayerGrades+'!$AH$6,"A-",IF(R403&lt;'PlayerGrades+'!$AH$5,"A",IF(R403&lt;'PlayerGrades+'!$AH$4,"A+",IF(R403&lt;'PlayerGrades+'!$AH$3,"S-",IF(R403&lt;'PlayerGrades+'!$AH$2,"S","S+"))))))))))))))))))))</f>
        <v>#DIV/0!</v>
      </c>
      <c r="T403" s="961">
        <f t="shared" si="9"/>
        <v>0</v>
      </c>
      <c r="U403" s="961" t="str">
        <f>IF(T403&lt;'PlayerGrades+'!$AI$21,"F-",IF(T403&lt;'PlayerGrades+'!$AI$20,"F",IF(T403&lt;'PlayerGrades+'!$AI$19,"F+",IF(T403&lt;'PlayerGrades+'!$AI$18,"E-",IF(T403&lt;'PlayerGrades+'!$AI$17,"E",IF(T403&lt;'PlayerGrades+'!$AI$16,"E+",IF(T403&lt;'PlayerGrades+'!$AI$15,"D-",IF(T403&lt;'PlayerGrades+'!$AI$14,"D",IF(T403&lt;'PlayerGrades+'!$AI$13,"D+",IF(T403&lt;'PlayerGrades+'!$AI$12,"C-",IF(T403&lt;'PlayerGrades+'!$AI$11,"C",IF(T403&lt;'PlayerGrades+'!$AI$10,"C+",IF(T403&lt;'PlayerGrades+'!$AI$9,"B-",IF(T403&lt;'PlayerGrades+'!$AI$8,"B",IF(T403&lt;'PlayerGrades+'!$AI$7,"B+",IF(T403&lt;'PlayerGrades+'!$AI$6,"A-",IF(T403&lt;'PlayerGrades+'!$AI$5,"A",IF(T403&lt;'PlayerGrades+'!$AI$4,"A+",IF(T403&lt;'PlayerGrades+'!$AI$3,"S-",IF(T403&lt;'PlayerGrades+'!$AI$2,"S","S+"))))))))))))))))))))</f>
        <v>F-</v>
      </c>
      <c r="AC403" s="1392"/>
    </row>
    <row r="404">
      <c r="A404" s="1391"/>
      <c r="B404" s="611" t="str">
        <f>IF(C404&lt;'PlayerGrades+'!$Y$44,"F-",IF(C404&lt;'PlayerGrades+'!$Y$43,"F",IF(C404&lt;'PlayerGrades+'!$Y$42,"F+",IF(C404&lt;'PlayerGrades+'!$Y$41,"E-",IF(C404&lt;'PlayerGrades+'!$Y$40,"E",IF(C404&lt;'PlayerGrades+'!$Y$39,"E+",IF(C404&lt;'PlayerGrades+'!$Y$38,"D-",IF(C404&lt;'PlayerGrades+'!$Y$37,"D",IF(C404&lt;'PlayerGrades+'!$Y$36,"D+",IF(C404&lt;'PlayerGrades+'!$Y$35,"C-",IF(C404&lt;'PlayerGrades+'!$Y$34,"C",IF(C404&lt;'PlayerGrades+'!$Y$33,"C+",IF(C404&lt;'PlayerGrades+'!$Y$32,"B-",IF(C404&lt;'PlayerGrades+'!$Y$31,"B",IF(C404&lt;'PlayerGrades+'!$Y$30,"B+",IF(C404&lt;'PlayerGrades+'!$Y$29,"A-",IF(C404&lt;'PlayerGrades+'!$Y$28,"A",IF(C404&lt;'PlayerGrades+'!$Y$27,"A+",IF(C404&lt;'PlayerGrades+'!$Y$26,"S-",IF(C404&lt;'PlayerGrades+'!$Y$25,"S","S+"))))))))))))))))))))</f>
        <v>#DIV/0!</v>
      </c>
      <c r="C404" s="1378" t="str">
        <f>('PlayerGrades+'!$Y$47*(VLOOKUP(E404, 'PlayerGrades+'!$X$3:$Y$23, 2, FALSE)))+('PlayerGrades+'!$Y$48*(VLOOKUP(G404, 'PlayerGrades+'!$X$3:$Y$23, 2, FALSE)))+('PlayerGrades+'!$Y$49*(VLOOKUP(I404, 'PlayerGrades+'!$X$3:$Y$23, 2, FALSE)))+('PlayerGrades+'!$Y$50*(VLOOKUP(K404, 'PlayerGrades+'!$X$3:$Y$23, 2, FALSE)))+('PlayerGrades+'!$Y$51*(VLOOKUP(M404, 'PlayerGrades+'!$X$3:$Y$23, 2, FALSE)))+('PlayerGrades+'!$Y$52*(VLOOKUP(O404, 'PlayerGrades+'!$X$3:$Y$23, 2, FALSE)))+('PlayerGrades+'!$Y$53*(VLOOKUP(Q404, 'PlayerGrades+'!$X$3:$Y$23, 2, FALSE)))+('PlayerGrades+'!$Y$54*(VLOOKUP(S404, 'PlayerGrades+'!$X$3:$Y$23, 2, FALSE)))+('PlayerGrades+'!$Y$55*(VLOOKUP(U404, 'PlayerGrades+'!$X$3:$Y$23, 2, FALSE)))</f>
        <v>#DIV/0!</v>
      </c>
      <c r="D404" s="961" t="str">
        <f t="shared" si="1"/>
        <v>#DIV/0!</v>
      </c>
      <c r="E404" s="961" t="str">
        <f>IF(D404&lt;'PlayerGrades+'!$AA$21,"F-",IF(D404&lt;'PlayerGrades+'!$AA$20,"F",IF(D404&lt;'PlayerGrades+'!$AA$19,"F+",IF(D404&lt;'PlayerGrades+'!$AA$18,"E-",IF(D404&lt;'PlayerGrades+'!$AA$17,"E",IF(D404&lt;'PlayerGrades+'!$AA$16,"E+",IF(D404&lt;'PlayerGrades+'!$AA$15,"D-",IF(D404&lt;'PlayerGrades+'!$AA$14,"D",IF(D404&lt;'PlayerGrades+'!$AA$13,"D+",IF(D404&lt;'PlayerGrades+'!$AA$12,"C-",IF(D404&lt;'PlayerGrades+'!$AA$11,"C",IF(D404&lt;'PlayerGrades+'!$AA$10,"C+",IF(D404&lt;'PlayerGrades+'!$AA$9,"B-",IF(D404&lt;'PlayerGrades+'!$AA$8,"B",IF(D404&lt;'PlayerGrades+'!$AA$7,"B+",IF(D404&lt;'PlayerGrades+'!$AA$6,"A-",IF(D404&lt;'PlayerGrades+'!$AA$5,"A",IF(D404&lt;'PlayerGrades+'!$AA$4,"A+",IF(D404&lt;'PlayerGrades+'!$AA$3,"S-",IF(D404&lt;'PlayerGrades+'!$AA$2,"S","S+"))))))))))))))))))))</f>
        <v>#DIV/0!</v>
      </c>
      <c r="F404" s="961" t="str">
        <f t="shared" si="2"/>
        <v>#DIV/0!</v>
      </c>
      <c r="G404" s="961" t="str">
        <f>IF(F404&lt;'PlayerGrades+'!$AB$21,"F-",IF(F404&lt;'PlayerGrades+'!$AB$20,"F",IF(F404&lt;'PlayerGrades+'!$AB$19,"F+",IF(F404&lt;'PlayerGrades+'!$AB$18,"E-",IF(F404&lt;'PlayerGrades+'!$AB$17,"E",IF(F404&lt;'PlayerGrades+'!$AB$16,"E+",IF(F404&lt;'PlayerGrades+'!$AB$15,"D-",IF(F404&lt;'PlayerGrades+'!$AB$14,"D",IF(F404&lt;'PlayerGrades+'!$AB$13,"D+",IF(F404&lt;'PlayerGrades+'!$AB$12,"C-",IF(F404&lt;'PlayerGrades+'!$AB$11,"C",IF(F404&lt;'PlayerGrades+'!$AB$10,"C+",IF(F404&lt;'PlayerGrades+'!$AB$9,"B-",IF(F404&lt;'PlayerGrades+'!$AB$8,"B",IF(F404&lt;'PlayerGrades+'!$AB$7,"B+",IF(F404&lt;'PlayerGrades+'!$AB$6,"A-",IF(F404&lt;'PlayerGrades+'!$AB$5,"A",IF(F404&lt;'PlayerGrades+'!$AB$4,"A+",IF(F404&lt;'PlayerGrades+'!$AB$3,"S-",IF(F404&lt;'PlayerGrades+'!$AB$2,"S","S+"))))))))))))))))))))</f>
        <v>#DIV/0!</v>
      </c>
      <c r="H404" s="961" t="str">
        <f t="shared" si="3"/>
        <v>#DIV/0!</v>
      </c>
      <c r="I404" s="961" t="str">
        <f>IF(H404&lt;'PlayerGrades+'!$AC$21,"F-",IF(H404&lt;'PlayerGrades+'!$AC$20,"F",IF(H404&lt;'PlayerGrades+'!$AC$19,"F+",IF(H404&lt;'PlayerGrades+'!$AC$18,"E-",IF(H404&lt;'PlayerGrades+'!$AC$17,"E",IF(H404&lt;'PlayerGrades+'!$AC$16,"E+",IF(H404&lt;'PlayerGrades+'!$AC$15,"D-",IF(H404&lt;'PlayerGrades+'!$AC$14,"D",IF(H404&lt;'PlayerGrades+'!$AC$13,"D+",IF(H404&lt;'PlayerGrades+'!$AC$12,"C-",IF(H404&lt;'PlayerGrades+'!$AC$11,"C",IF(H404&lt;'PlayerGrades+'!$AC$10,"C+",IF(H404&lt;'PlayerGrades+'!$AC$9,"B-",IF(H404&lt;'PlayerGrades+'!$AC$8,"B",IF(H404&lt;'PlayerGrades+'!$AC$7,"B+",IF(H404&lt;'PlayerGrades+'!$AC$6,"A-",IF(H404&lt;'PlayerGrades+'!$AC$5,"A",IF(H404&lt;'PlayerGrades+'!$AC$4,"A+",IF(H404&lt;'PlayerGrades+'!$AC$3,"S-",IF(H404&lt;'PlayerGrades+'!$AC$2,"S","S+"))))))))))))))))))))</f>
        <v>#DIV/0!</v>
      </c>
      <c r="J404" s="961" t="str">
        <f t="shared" si="4"/>
        <v>#DIV/0!</v>
      </c>
      <c r="K404" s="961" t="str">
        <f>IF(J404&lt;'PlayerGrades+'!$AD$21,"F-",IF(J404&lt;'PlayerGrades+'!$AD$20,"F",IF(J404&lt;'PlayerGrades+'!$AD$19,"F+",IF(J404&lt;'PlayerGrades+'!$AD$18,"E-",IF(J404&lt;'PlayerGrades+'!$AD$17,"E",IF(J404&lt;'PlayerGrades+'!$AD$16,"E+",IF(J404&lt;'PlayerGrades+'!$AD$15,"D-",IF(J404&lt;'PlayerGrades+'!$AD$14,"D",IF(J404&lt;'PlayerGrades+'!$AD$13,"D+",IF(J404&lt;'PlayerGrades+'!$AD$12,"C-",IF(J404&lt;'PlayerGrades+'!$AD$11,"C",IF(J404&lt;'PlayerGrades+'!$AD$10,"C+",IF(J404&lt;'PlayerGrades+'!$AD$9,"B-",IF(J404&lt;'PlayerGrades+'!$AD$8,"B",IF(J404&lt;'PlayerGrades+'!$AD$7,"B+",IF(J404&lt;'PlayerGrades+'!$AD$6,"A-",IF(J404&lt;'PlayerGrades+'!$AD$5,"A",IF(J404&lt;'PlayerGrades+'!$AD$4,"A+",IF(J404&lt;'PlayerGrades+'!$AD$3,"S-",IF(J404&lt;'PlayerGrades+'!$AD$2,"S","S+"))))))))))))))))))))</f>
        <v>#DIV/0!</v>
      </c>
      <c r="L404" s="1176" t="str">
        <f t="shared" si="5"/>
        <v>#DIV/0!</v>
      </c>
      <c r="M404" s="992" t="str">
        <f>IF(L404&lt;'PlayerGrades+'!$AE$21,"F-",IF(L404&lt;'PlayerGrades+'!$AE$20,"F",IF(L404&lt;'PlayerGrades+'!$AE$19,"F+",IF(L404&lt;'PlayerGrades+'!$AE$18,"E-",IF(L404&lt;'PlayerGrades+'!$AE$17,"E",IF(L404&lt;'PlayerGrades+'!$AE$16,"E+",IF(L404&lt;'PlayerGrades+'!$AE$15,"D-",IF(L404&lt;'PlayerGrades+'!$AE$14,"D",IF(L404&lt;'PlayerGrades+'!$AE$13,"D+",IF(L404&lt;'PlayerGrades+'!$AE$12,"C-",IF(L404&lt;'PlayerGrades+'!$AE$11,"C",IF(L404&lt;'PlayerGrades+'!$AE$10,"C+",IF(L404&lt;'PlayerGrades+'!$AE$9,"B-",IF(L404&lt;'PlayerGrades+'!$AE$8,"B",IF(L404&lt;'PlayerGrades+'!$AE$7,"B+",IF(L404&lt;'PlayerGrades+'!$AE$6,"A-",IF(L404&lt;'PlayerGrades+'!$AE$5,"A",IF(L404&lt;'PlayerGrades+'!$AE$4,"A+",IF(L404&lt;'PlayerGrades+'!$AE$3,"S-",IF(L404&lt;'PlayerGrades+'!$AE$2,"S","S+"))))))))))))))))))))</f>
        <v>#DIV/0!</v>
      </c>
      <c r="N404" s="961" t="str">
        <f t="shared" si="6"/>
        <v>#DIV/0!</v>
      </c>
      <c r="O404" s="961" t="str">
        <f>IF(N404&lt;'PlayerGrades+'!$AF$21,"F-",IF(N404&lt;'PlayerGrades+'!$AF$20,"F",IF(N404&lt;'PlayerGrades+'!$AF$19,"F+",IF(N404&lt;'PlayerGrades+'!$AF$18,"E-",IF(N404&lt;'PlayerGrades+'!$AF$17,"E",IF(N404&lt;'PlayerGrades+'!$AF$16,"E+",IF(N404&lt;'PlayerGrades+'!$AF$15,"D-",IF(N404&lt;'PlayerGrades+'!$AF$14,"D",IF(N404&lt;'PlayerGrades+'!$AF$13,"D+",IF(N404&lt;'PlayerGrades+'!$AF$12,"C-",IF(N404&lt;'PlayerGrades+'!$AF$11,"C",IF(N404&lt;'PlayerGrades+'!$AF$10,"C+",IF(N404&lt;'PlayerGrades+'!$AF$9,"B-",IF(N404&lt;'PlayerGrades+'!$AF$8,"B",IF(N404&lt;'PlayerGrades+'!$AF$7,"B+",IF(N404&lt;'PlayerGrades+'!$AF$6,"A-",IF(N404&lt;'PlayerGrades+'!$AF$5,"A",IF(N404&lt;'PlayerGrades+'!$AF$4,"A+",IF(N404&lt;'PlayerGrades+'!$AF$3,"S-",IF(N404&lt;'PlayerGrades+'!$AF$2,"S","S+"))))))))))))))))))))</f>
        <v>#DIV/0!</v>
      </c>
      <c r="P404" s="961" t="str">
        <f t="shared" si="7"/>
        <v>#DIV/0!</v>
      </c>
      <c r="Q404" s="961" t="str">
        <f>IF(P404&lt;'PlayerGrades+'!$AG$21,"F-",IF(P404&lt;'PlayerGrades+'!$AG$20,"F",IF(P404&lt;'PlayerGrades+'!$AG$19,"F+",IF(P404&lt;'PlayerGrades+'!$AG$18,"E-",IF(P404&lt;'PlayerGrades+'!$AG$17,"E",IF(P404&lt;'PlayerGrades+'!$AG$16,"E+",IF(P404&lt;'PlayerGrades+'!$AG$15,"D-",IF(P404&lt;'PlayerGrades+'!$AG$14,"D",IF(P404&lt;'PlayerGrades+'!$AG$13,"D+",IF(P404&lt;'PlayerGrades+'!$AG$12,"C-",IF(P404&lt;'PlayerGrades+'!$AG$11,"C",IF(P404&lt;'PlayerGrades+'!$AG$10,"C+",IF(P404&lt;'PlayerGrades+'!$AG$9,"B-",IF(P404&lt;'PlayerGrades+'!$AG$8,"B",IF(P404&lt;'PlayerGrades+'!$AG$7,"B+",IF(P404&lt;'PlayerGrades+'!$AG$6,"A-",IF(P404&lt;'PlayerGrades+'!$AG$5,"A",IF(P404&lt;'PlayerGrades+'!$AG$4,"A+",IF(P404&lt;'PlayerGrades+'!$AG$3,"S-",IF(P404&lt;'PlayerGrades+'!$AG$2,"S","S+"))))))))))))))))))))</f>
        <v>#DIV/0!</v>
      </c>
      <c r="R404" s="961" t="str">
        <f t="shared" si="8"/>
        <v>#DIV/0!</v>
      </c>
      <c r="S404" s="961" t="str">
        <f>IF(R404&lt;'PlayerGrades+'!$AH$21,"F-",IF(R404&lt;'PlayerGrades+'!$AH$20,"F",IF(R404&lt;'PlayerGrades+'!$AH$19,"F+",IF(R404&lt;'PlayerGrades+'!$AH$18,"E-",IF(R404&lt;'PlayerGrades+'!$AH$17,"E",IF(R404&lt;'PlayerGrades+'!$AH$16,"E+",IF(R404&lt;'PlayerGrades+'!$AH$15,"D-",IF(R404&lt;'PlayerGrades+'!$AH$14,"D",IF(R404&lt;'PlayerGrades+'!$AH$13,"D+",IF(R404&lt;'PlayerGrades+'!$AH$12,"C-",IF(R404&lt;'PlayerGrades+'!$AH$11,"C",IF(R404&lt;'PlayerGrades+'!$AH$10,"C+",IF(R404&lt;'PlayerGrades+'!$AH$9,"B-",IF(R404&lt;'PlayerGrades+'!$AH$8,"B",IF(R404&lt;'PlayerGrades+'!$AH$7,"B+",IF(R404&lt;'PlayerGrades+'!$AH$6,"A-",IF(R404&lt;'PlayerGrades+'!$AH$5,"A",IF(R404&lt;'PlayerGrades+'!$AH$4,"A+",IF(R404&lt;'PlayerGrades+'!$AH$3,"S-",IF(R404&lt;'PlayerGrades+'!$AH$2,"S","S+"))))))))))))))))))))</f>
        <v>#DIV/0!</v>
      </c>
      <c r="T404" s="961">
        <f t="shared" si="9"/>
        <v>0</v>
      </c>
      <c r="U404" s="961" t="str">
        <f>IF(T404&lt;'PlayerGrades+'!$AI$21,"F-",IF(T404&lt;'PlayerGrades+'!$AI$20,"F",IF(T404&lt;'PlayerGrades+'!$AI$19,"F+",IF(T404&lt;'PlayerGrades+'!$AI$18,"E-",IF(T404&lt;'PlayerGrades+'!$AI$17,"E",IF(T404&lt;'PlayerGrades+'!$AI$16,"E+",IF(T404&lt;'PlayerGrades+'!$AI$15,"D-",IF(T404&lt;'PlayerGrades+'!$AI$14,"D",IF(T404&lt;'PlayerGrades+'!$AI$13,"D+",IF(T404&lt;'PlayerGrades+'!$AI$12,"C-",IF(T404&lt;'PlayerGrades+'!$AI$11,"C",IF(T404&lt;'PlayerGrades+'!$AI$10,"C+",IF(T404&lt;'PlayerGrades+'!$AI$9,"B-",IF(T404&lt;'PlayerGrades+'!$AI$8,"B",IF(T404&lt;'PlayerGrades+'!$AI$7,"B+",IF(T404&lt;'PlayerGrades+'!$AI$6,"A-",IF(T404&lt;'PlayerGrades+'!$AI$5,"A",IF(T404&lt;'PlayerGrades+'!$AI$4,"A+",IF(T404&lt;'PlayerGrades+'!$AI$3,"S-",IF(T404&lt;'PlayerGrades+'!$AI$2,"S","S+"))))))))))))))))))))</f>
        <v>F-</v>
      </c>
      <c r="AC404" s="1392"/>
    </row>
    <row r="405">
      <c r="A405" s="1391"/>
      <c r="B405" s="611" t="str">
        <f>IF(C405&lt;'PlayerGrades+'!$Y$44,"F-",IF(C405&lt;'PlayerGrades+'!$Y$43,"F",IF(C405&lt;'PlayerGrades+'!$Y$42,"F+",IF(C405&lt;'PlayerGrades+'!$Y$41,"E-",IF(C405&lt;'PlayerGrades+'!$Y$40,"E",IF(C405&lt;'PlayerGrades+'!$Y$39,"E+",IF(C405&lt;'PlayerGrades+'!$Y$38,"D-",IF(C405&lt;'PlayerGrades+'!$Y$37,"D",IF(C405&lt;'PlayerGrades+'!$Y$36,"D+",IF(C405&lt;'PlayerGrades+'!$Y$35,"C-",IF(C405&lt;'PlayerGrades+'!$Y$34,"C",IF(C405&lt;'PlayerGrades+'!$Y$33,"C+",IF(C405&lt;'PlayerGrades+'!$Y$32,"B-",IF(C405&lt;'PlayerGrades+'!$Y$31,"B",IF(C405&lt;'PlayerGrades+'!$Y$30,"B+",IF(C405&lt;'PlayerGrades+'!$Y$29,"A-",IF(C405&lt;'PlayerGrades+'!$Y$28,"A",IF(C405&lt;'PlayerGrades+'!$Y$27,"A+",IF(C405&lt;'PlayerGrades+'!$Y$26,"S-",IF(C405&lt;'PlayerGrades+'!$Y$25,"S","S+"))))))))))))))))))))</f>
        <v>#DIV/0!</v>
      </c>
      <c r="C405" s="1378" t="str">
        <f>('PlayerGrades+'!$Y$47*(VLOOKUP(E405, 'PlayerGrades+'!$X$3:$Y$23, 2, FALSE)))+('PlayerGrades+'!$Y$48*(VLOOKUP(G405, 'PlayerGrades+'!$X$3:$Y$23, 2, FALSE)))+('PlayerGrades+'!$Y$49*(VLOOKUP(I405, 'PlayerGrades+'!$X$3:$Y$23, 2, FALSE)))+('PlayerGrades+'!$Y$50*(VLOOKUP(K405, 'PlayerGrades+'!$X$3:$Y$23, 2, FALSE)))+('PlayerGrades+'!$Y$51*(VLOOKUP(M405, 'PlayerGrades+'!$X$3:$Y$23, 2, FALSE)))+('PlayerGrades+'!$Y$52*(VLOOKUP(O405, 'PlayerGrades+'!$X$3:$Y$23, 2, FALSE)))+('PlayerGrades+'!$Y$53*(VLOOKUP(Q405, 'PlayerGrades+'!$X$3:$Y$23, 2, FALSE)))+('PlayerGrades+'!$Y$54*(VLOOKUP(S405, 'PlayerGrades+'!$X$3:$Y$23, 2, FALSE)))+('PlayerGrades+'!$Y$55*(VLOOKUP(U405, 'PlayerGrades+'!$X$3:$Y$23, 2, FALSE)))</f>
        <v>#DIV/0!</v>
      </c>
      <c r="D405" s="961" t="str">
        <f t="shared" si="1"/>
        <v>#DIV/0!</v>
      </c>
      <c r="E405" s="961" t="str">
        <f>IF(D405&lt;'PlayerGrades+'!$AA$21,"F-",IF(D405&lt;'PlayerGrades+'!$AA$20,"F",IF(D405&lt;'PlayerGrades+'!$AA$19,"F+",IF(D405&lt;'PlayerGrades+'!$AA$18,"E-",IF(D405&lt;'PlayerGrades+'!$AA$17,"E",IF(D405&lt;'PlayerGrades+'!$AA$16,"E+",IF(D405&lt;'PlayerGrades+'!$AA$15,"D-",IF(D405&lt;'PlayerGrades+'!$AA$14,"D",IF(D405&lt;'PlayerGrades+'!$AA$13,"D+",IF(D405&lt;'PlayerGrades+'!$AA$12,"C-",IF(D405&lt;'PlayerGrades+'!$AA$11,"C",IF(D405&lt;'PlayerGrades+'!$AA$10,"C+",IF(D405&lt;'PlayerGrades+'!$AA$9,"B-",IF(D405&lt;'PlayerGrades+'!$AA$8,"B",IF(D405&lt;'PlayerGrades+'!$AA$7,"B+",IF(D405&lt;'PlayerGrades+'!$AA$6,"A-",IF(D405&lt;'PlayerGrades+'!$AA$5,"A",IF(D405&lt;'PlayerGrades+'!$AA$4,"A+",IF(D405&lt;'PlayerGrades+'!$AA$3,"S-",IF(D405&lt;'PlayerGrades+'!$AA$2,"S","S+"))))))))))))))))))))</f>
        <v>#DIV/0!</v>
      </c>
      <c r="F405" s="961" t="str">
        <f t="shared" si="2"/>
        <v>#DIV/0!</v>
      </c>
      <c r="G405" s="961" t="str">
        <f>IF(F405&lt;'PlayerGrades+'!$AB$21,"F-",IF(F405&lt;'PlayerGrades+'!$AB$20,"F",IF(F405&lt;'PlayerGrades+'!$AB$19,"F+",IF(F405&lt;'PlayerGrades+'!$AB$18,"E-",IF(F405&lt;'PlayerGrades+'!$AB$17,"E",IF(F405&lt;'PlayerGrades+'!$AB$16,"E+",IF(F405&lt;'PlayerGrades+'!$AB$15,"D-",IF(F405&lt;'PlayerGrades+'!$AB$14,"D",IF(F405&lt;'PlayerGrades+'!$AB$13,"D+",IF(F405&lt;'PlayerGrades+'!$AB$12,"C-",IF(F405&lt;'PlayerGrades+'!$AB$11,"C",IF(F405&lt;'PlayerGrades+'!$AB$10,"C+",IF(F405&lt;'PlayerGrades+'!$AB$9,"B-",IF(F405&lt;'PlayerGrades+'!$AB$8,"B",IF(F405&lt;'PlayerGrades+'!$AB$7,"B+",IF(F405&lt;'PlayerGrades+'!$AB$6,"A-",IF(F405&lt;'PlayerGrades+'!$AB$5,"A",IF(F405&lt;'PlayerGrades+'!$AB$4,"A+",IF(F405&lt;'PlayerGrades+'!$AB$3,"S-",IF(F405&lt;'PlayerGrades+'!$AB$2,"S","S+"))))))))))))))))))))</f>
        <v>#DIV/0!</v>
      </c>
      <c r="H405" s="961" t="str">
        <f t="shared" si="3"/>
        <v>#DIV/0!</v>
      </c>
      <c r="I405" s="961" t="str">
        <f>IF(H405&lt;'PlayerGrades+'!$AC$21,"F-",IF(H405&lt;'PlayerGrades+'!$AC$20,"F",IF(H405&lt;'PlayerGrades+'!$AC$19,"F+",IF(H405&lt;'PlayerGrades+'!$AC$18,"E-",IF(H405&lt;'PlayerGrades+'!$AC$17,"E",IF(H405&lt;'PlayerGrades+'!$AC$16,"E+",IF(H405&lt;'PlayerGrades+'!$AC$15,"D-",IF(H405&lt;'PlayerGrades+'!$AC$14,"D",IF(H405&lt;'PlayerGrades+'!$AC$13,"D+",IF(H405&lt;'PlayerGrades+'!$AC$12,"C-",IF(H405&lt;'PlayerGrades+'!$AC$11,"C",IF(H405&lt;'PlayerGrades+'!$AC$10,"C+",IF(H405&lt;'PlayerGrades+'!$AC$9,"B-",IF(H405&lt;'PlayerGrades+'!$AC$8,"B",IF(H405&lt;'PlayerGrades+'!$AC$7,"B+",IF(H405&lt;'PlayerGrades+'!$AC$6,"A-",IF(H405&lt;'PlayerGrades+'!$AC$5,"A",IF(H405&lt;'PlayerGrades+'!$AC$4,"A+",IF(H405&lt;'PlayerGrades+'!$AC$3,"S-",IF(H405&lt;'PlayerGrades+'!$AC$2,"S","S+"))))))))))))))))))))</f>
        <v>#DIV/0!</v>
      </c>
      <c r="J405" s="961" t="str">
        <f t="shared" si="4"/>
        <v>#DIV/0!</v>
      </c>
      <c r="K405" s="961" t="str">
        <f>IF(J405&lt;'PlayerGrades+'!$AD$21,"F-",IF(J405&lt;'PlayerGrades+'!$AD$20,"F",IF(J405&lt;'PlayerGrades+'!$AD$19,"F+",IF(J405&lt;'PlayerGrades+'!$AD$18,"E-",IF(J405&lt;'PlayerGrades+'!$AD$17,"E",IF(J405&lt;'PlayerGrades+'!$AD$16,"E+",IF(J405&lt;'PlayerGrades+'!$AD$15,"D-",IF(J405&lt;'PlayerGrades+'!$AD$14,"D",IF(J405&lt;'PlayerGrades+'!$AD$13,"D+",IF(J405&lt;'PlayerGrades+'!$AD$12,"C-",IF(J405&lt;'PlayerGrades+'!$AD$11,"C",IF(J405&lt;'PlayerGrades+'!$AD$10,"C+",IF(J405&lt;'PlayerGrades+'!$AD$9,"B-",IF(J405&lt;'PlayerGrades+'!$AD$8,"B",IF(J405&lt;'PlayerGrades+'!$AD$7,"B+",IF(J405&lt;'PlayerGrades+'!$AD$6,"A-",IF(J405&lt;'PlayerGrades+'!$AD$5,"A",IF(J405&lt;'PlayerGrades+'!$AD$4,"A+",IF(J405&lt;'PlayerGrades+'!$AD$3,"S-",IF(J405&lt;'PlayerGrades+'!$AD$2,"S","S+"))))))))))))))))))))</f>
        <v>#DIV/0!</v>
      </c>
      <c r="L405" s="1176" t="str">
        <f t="shared" si="5"/>
        <v>#DIV/0!</v>
      </c>
      <c r="M405" s="992" t="str">
        <f>IF(L405&lt;'PlayerGrades+'!$AE$21,"F-",IF(L405&lt;'PlayerGrades+'!$AE$20,"F",IF(L405&lt;'PlayerGrades+'!$AE$19,"F+",IF(L405&lt;'PlayerGrades+'!$AE$18,"E-",IF(L405&lt;'PlayerGrades+'!$AE$17,"E",IF(L405&lt;'PlayerGrades+'!$AE$16,"E+",IF(L405&lt;'PlayerGrades+'!$AE$15,"D-",IF(L405&lt;'PlayerGrades+'!$AE$14,"D",IF(L405&lt;'PlayerGrades+'!$AE$13,"D+",IF(L405&lt;'PlayerGrades+'!$AE$12,"C-",IF(L405&lt;'PlayerGrades+'!$AE$11,"C",IF(L405&lt;'PlayerGrades+'!$AE$10,"C+",IF(L405&lt;'PlayerGrades+'!$AE$9,"B-",IF(L405&lt;'PlayerGrades+'!$AE$8,"B",IF(L405&lt;'PlayerGrades+'!$AE$7,"B+",IF(L405&lt;'PlayerGrades+'!$AE$6,"A-",IF(L405&lt;'PlayerGrades+'!$AE$5,"A",IF(L405&lt;'PlayerGrades+'!$AE$4,"A+",IF(L405&lt;'PlayerGrades+'!$AE$3,"S-",IF(L405&lt;'PlayerGrades+'!$AE$2,"S","S+"))))))))))))))))))))</f>
        <v>#DIV/0!</v>
      </c>
      <c r="N405" s="961" t="str">
        <f t="shared" si="6"/>
        <v>#DIV/0!</v>
      </c>
      <c r="O405" s="961" t="str">
        <f>IF(N405&lt;'PlayerGrades+'!$AF$21,"F-",IF(N405&lt;'PlayerGrades+'!$AF$20,"F",IF(N405&lt;'PlayerGrades+'!$AF$19,"F+",IF(N405&lt;'PlayerGrades+'!$AF$18,"E-",IF(N405&lt;'PlayerGrades+'!$AF$17,"E",IF(N405&lt;'PlayerGrades+'!$AF$16,"E+",IF(N405&lt;'PlayerGrades+'!$AF$15,"D-",IF(N405&lt;'PlayerGrades+'!$AF$14,"D",IF(N405&lt;'PlayerGrades+'!$AF$13,"D+",IF(N405&lt;'PlayerGrades+'!$AF$12,"C-",IF(N405&lt;'PlayerGrades+'!$AF$11,"C",IF(N405&lt;'PlayerGrades+'!$AF$10,"C+",IF(N405&lt;'PlayerGrades+'!$AF$9,"B-",IF(N405&lt;'PlayerGrades+'!$AF$8,"B",IF(N405&lt;'PlayerGrades+'!$AF$7,"B+",IF(N405&lt;'PlayerGrades+'!$AF$6,"A-",IF(N405&lt;'PlayerGrades+'!$AF$5,"A",IF(N405&lt;'PlayerGrades+'!$AF$4,"A+",IF(N405&lt;'PlayerGrades+'!$AF$3,"S-",IF(N405&lt;'PlayerGrades+'!$AF$2,"S","S+"))))))))))))))))))))</f>
        <v>#DIV/0!</v>
      </c>
      <c r="P405" s="961" t="str">
        <f t="shared" si="7"/>
        <v>#DIV/0!</v>
      </c>
      <c r="Q405" s="961" t="str">
        <f>IF(P405&lt;'PlayerGrades+'!$AG$21,"F-",IF(P405&lt;'PlayerGrades+'!$AG$20,"F",IF(P405&lt;'PlayerGrades+'!$AG$19,"F+",IF(P405&lt;'PlayerGrades+'!$AG$18,"E-",IF(P405&lt;'PlayerGrades+'!$AG$17,"E",IF(P405&lt;'PlayerGrades+'!$AG$16,"E+",IF(P405&lt;'PlayerGrades+'!$AG$15,"D-",IF(P405&lt;'PlayerGrades+'!$AG$14,"D",IF(P405&lt;'PlayerGrades+'!$AG$13,"D+",IF(P405&lt;'PlayerGrades+'!$AG$12,"C-",IF(P405&lt;'PlayerGrades+'!$AG$11,"C",IF(P405&lt;'PlayerGrades+'!$AG$10,"C+",IF(P405&lt;'PlayerGrades+'!$AG$9,"B-",IF(P405&lt;'PlayerGrades+'!$AG$8,"B",IF(P405&lt;'PlayerGrades+'!$AG$7,"B+",IF(P405&lt;'PlayerGrades+'!$AG$6,"A-",IF(P405&lt;'PlayerGrades+'!$AG$5,"A",IF(P405&lt;'PlayerGrades+'!$AG$4,"A+",IF(P405&lt;'PlayerGrades+'!$AG$3,"S-",IF(P405&lt;'PlayerGrades+'!$AG$2,"S","S+"))))))))))))))))))))</f>
        <v>#DIV/0!</v>
      </c>
      <c r="R405" s="961" t="str">
        <f t="shared" si="8"/>
        <v>#DIV/0!</v>
      </c>
      <c r="S405" s="961" t="str">
        <f>IF(R405&lt;'PlayerGrades+'!$AH$21,"F-",IF(R405&lt;'PlayerGrades+'!$AH$20,"F",IF(R405&lt;'PlayerGrades+'!$AH$19,"F+",IF(R405&lt;'PlayerGrades+'!$AH$18,"E-",IF(R405&lt;'PlayerGrades+'!$AH$17,"E",IF(R405&lt;'PlayerGrades+'!$AH$16,"E+",IF(R405&lt;'PlayerGrades+'!$AH$15,"D-",IF(R405&lt;'PlayerGrades+'!$AH$14,"D",IF(R405&lt;'PlayerGrades+'!$AH$13,"D+",IF(R405&lt;'PlayerGrades+'!$AH$12,"C-",IF(R405&lt;'PlayerGrades+'!$AH$11,"C",IF(R405&lt;'PlayerGrades+'!$AH$10,"C+",IF(R405&lt;'PlayerGrades+'!$AH$9,"B-",IF(R405&lt;'PlayerGrades+'!$AH$8,"B",IF(R405&lt;'PlayerGrades+'!$AH$7,"B+",IF(R405&lt;'PlayerGrades+'!$AH$6,"A-",IF(R405&lt;'PlayerGrades+'!$AH$5,"A",IF(R405&lt;'PlayerGrades+'!$AH$4,"A+",IF(R405&lt;'PlayerGrades+'!$AH$3,"S-",IF(R405&lt;'PlayerGrades+'!$AH$2,"S","S+"))))))))))))))))))))</f>
        <v>#DIV/0!</v>
      </c>
      <c r="T405" s="961">
        <f t="shared" si="9"/>
        <v>0</v>
      </c>
      <c r="U405" s="961" t="str">
        <f>IF(T405&lt;'PlayerGrades+'!$AI$21,"F-",IF(T405&lt;'PlayerGrades+'!$AI$20,"F",IF(T405&lt;'PlayerGrades+'!$AI$19,"F+",IF(T405&lt;'PlayerGrades+'!$AI$18,"E-",IF(T405&lt;'PlayerGrades+'!$AI$17,"E",IF(T405&lt;'PlayerGrades+'!$AI$16,"E+",IF(T405&lt;'PlayerGrades+'!$AI$15,"D-",IF(T405&lt;'PlayerGrades+'!$AI$14,"D",IF(T405&lt;'PlayerGrades+'!$AI$13,"D+",IF(T405&lt;'PlayerGrades+'!$AI$12,"C-",IF(T405&lt;'PlayerGrades+'!$AI$11,"C",IF(T405&lt;'PlayerGrades+'!$AI$10,"C+",IF(T405&lt;'PlayerGrades+'!$AI$9,"B-",IF(T405&lt;'PlayerGrades+'!$AI$8,"B",IF(T405&lt;'PlayerGrades+'!$AI$7,"B+",IF(T405&lt;'PlayerGrades+'!$AI$6,"A-",IF(T405&lt;'PlayerGrades+'!$AI$5,"A",IF(T405&lt;'PlayerGrades+'!$AI$4,"A+",IF(T405&lt;'PlayerGrades+'!$AI$3,"S-",IF(T405&lt;'PlayerGrades+'!$AI$2,"S","S+"))))))))))))))))))))</f>
        <v>F-</v>
      </c>
      <c r="AC405" s="1392"/>
    </row>
    <row r="406">
      <c r="A406" s="1391"/>
      <c r="B406" s="611" t="str">
        <f>IF(C406&lt;'PlayerGrades+'!$Y$44,"F-",IF(C406&lt;'PlayerGrades+'!$Y$43,"F",IF(C406&lt;'PlayerGrades+'!$Y$42,"F+",IF(C406&lt;'PlayerGrades+'!$Y$41,"E-",IF(C406&lt;'PlayerGrades+'!$Y$40,"E",IF(C406&lt;'PlayerGrades+'!$Y$39,"E+",IF(C406&lt;'PlayerGrades+'!$Y$38,"D-",IF(C406&lt;'PlayerGrades+'!$Y$37,"D",IF(C406&lt;'PlayerGrades+'!$Y$36,"D+",IF(C406&lt;'PlayerGrades+'!$Y$35,"C-",IF(C406&lt;'PlayerGrades+'!$Y$34,"C",IF(C406&lt;'PlayerGrades+'!$Y$33,"C+",IF(C406&lt;'PlayerGrades+'!$Y$32,"B-",IF(C406&lt;'PlayerGrades+'!$Y$31,"B",IF(C406&lt;'PlayerGrades+'!$Y$30,"B+",IF(C406&lt;'PlayerGrades+'!$Y$29,"A-",IF(C406&lt;'PlayerGrades+'!$Y$28,"A",IF(C406&lt;'PlayerGrades+'!$Y$27,"A+",IF(C406&lt;'PlayerGrades+'!$Y$26,"S-",IF(C406&lt;'PlayerGrades+'!$Y$25,"S","S+"))))))))))))))))))))</f>
        <v>#DIV/0!</v>
      </c>
      <c r="C406" s="1378" t="str">
        <f>('PlayerGrades+'!$Y$47*(VLOOKUP(E406, 'PlayerGrades+'!$X$3:$Y$23, 2, FALSE)))+('PlayerGrades+'!$Y$48*(VLOOKUP(G406, 'PlayerGrades+'!$X$3:$Y$23, 2, FALSE)))+('PlayerGrades+'!$Y$49*(VLOOKUP(I406, 'PlayerGrades+'!$X$3:$Y$23, 2, FALSE)))+('PlayerGrades+'!$Y$50*(VLOOKUP(K406, 'PlayerGrades+'!$X$3:$Y$23, 2, FALSE)))+('PlayerGrades+'!$Y$51*(VLOOKUP(M406, 'PlayerGrades+'!$X$3:$Y$23, 2, FALSE)))+('PlayerGrades+'!$Y$52*(VLOOKUP(O406, 'PlayerGrades+'!$X$3:$Y$23, 2, FALSE)))+('PlayerGrades+'!$Y$53*(VLOOKUP(Q406, 'PlayerGrades+'!$X$3:$Y$23, 2, FALSE)))+('PlayerGrades+'!$Y$54*(VLOOKUP(S406, 'PlayerGrades+'!$X$3:$Y$23, 2, FALSE)))+('PlayerGrades+'!$Y$55*(VLOOKUP(U406, 'PlayerGrades+'!$X$3:$Y$23, 2, FALSE)))</f>
        <v>#DIV/0!</v>
      </c>
      <c r="D406" s="961" t="str">
        <f t="shared" si="1"/>
        <v>#DIV/0!</v>
      </c>
      <c r="E406" s="961" t="str">
        <f>IF(D406&lt;'PlayerGrades+'!$AA$21,"F-",IF(D406&lt;'PlayerGrades+'!$AA$20,"F",IF(D406&lt;'PlayerGrades+'!$AA$19,"F+",IF(D406&lt;'PlayerGrades+'!$AA$18,"E-",IF(D406&lt;'PlayerGrades+'!$AA$17,"E",IF(D406&lt;'PlayerGrades+'!$AA$16,"E+",IF(D406&lt;'PlayerGrades+'!$AA$15,"D-",IF(D406&lt;'PlayerGrades+'!$AA$14,"D",IF(D406&lt;'PlayerGrades+'!$AA$13,"D+",IF(D406&lt;'PlayerGrades+'!$AA$12,"C-",IF(D406&lt;'PlayerGrades+'!$AA$11,"C",IF(D406&lt;'PlayerGrades+'!$AA$10,"C+",IF(D406&lt;'PlayerGrades+'!$AA$9,"B-",IF(D406&lt;'PlayerGrades+'!$AA$8,"B",IF(D406&lt;'PlayerGrades+'!$AA$7,"B+",IF(D406&lt;'PlayerGrades+'!$AA$6,"A-",IF(D406&lt;'PlayerGrades+'!$AA$5,"A",IF(D406&lt;'PlayerGrades+'!$AA$4,"A+",IF(D406&lt;'PlayerGrades+'!$AA$3,"S-",IF(D406&lt;'PlayerGrades+'!$AA$2,"S","S+"))))))))))))))))))))</f>
        <v>#DIV/0!</v>
      </c>
      <c r="F406" s="961" t="str">
        <f t="shared" si="2"/>
        <v>#DIV/0!</v>
      </c>
      <c r="G406" s="961" t="str">
        <f>IF(F406&lt;'PlayerGrades+'!$AB$21,"F-",IF(F406&lt;'PlayerGrades+'!$AB$20,"F",IF(F406&lt;'PlayerGrades+'!$AB$19,"F+",IF(F406&lt;'PlayerGrades+'!$AB$18,"E-",IF(F406&lt;'PlayerGrades+'!$AB$17,"E",IF(F406&lt;'PlayerGrades+'!$AB$16,"E+",IF(F406&lt;'PlayerGrades+'!$AB$15,"D-",IF(F406&lt;'PlayerGrades+'!$AB$14,"D",IF(F406&lt;'PlayerGrades+'!$AB$13,"D+",IF(F406&lt;'PlayerGrades+'!$AB$12,"C-",IF(F406&lt;'PlayerGrades+'!$AB$11,"C",IF(F406&lt;'PlayerGrades+'!$AB$10,"C+",IF(F406&lt;'PlayerGrades+'!$AB$9,"B-",IF(F406&lt;'PlayerGrades+'!$AB$8,"B",IF(F406&lt;'PlayerGrades+'!$AB$7,"B+",IF(F406&lt;'PlayerGrades+'!$AB$6,"A-",IF(F406&lt;'PlayerGrades+'!$AB$5,"A",IF(F406&lt;'PlayerGrades+'!$AB$4,"A+",IF(F406&lt;'PlayerGrades+'!$AB$3,"S-",IF(F406&lt;'PlayerGrades+'!$AB$2,"S","S+"))))))))))))))))))))</f>
        <v>#DIV/0!</v>
      </c>
      <c r="H406" s="961" t="str">
        <f t="shared" si="3"/>
        <v>#DIV/0!</v>
      </c>
      <c r="I406" s="961" t="str">
        <f>IF(H406&lt;'PlayerGrades+'!$AC$21,"F-",IF(H406&lt;'PlayerGrades+'!$AC$20,"F",IF(H406&lt;'PlayerGrades+'!$AC$19,"F+",IF(H406&lt;'PlayerGrades+'!$AC$18,"E-",IF(H406&lt;'PlayerGrades+'!$AC$17,"E",IF(H406&lt;'PlayerGrades+'!$AC$16,"E+",IF(H406&lt;'PlayerGrades+'!$AC$15,"D-",IF(H406&lt;'PlayerGrades+'!$AC$14,"D",IF(H406&lt;'PlayerGrades+'!$AC$13,"D+",IF(H406&lt;'PlayerGrades+'!$AC$12,"C-",IF(H406&lt;'PlayerGrades+'!$AC$11,"C",IF(H406&lt;'PlayerGrades+'!$AC$10,"C+",IF(H406&lt;'PlayerGrades+'!$AC$9,"B-",IF(H406&lt;'PlayerGrades+'!$AC$8,"B",IF(H406&lt;'PlayerGrades+'!$AC$7,"B+",IF(H406&lt;'PlayerGrades+'!$AC$6,"A-",IF(H406&lt;'PlayerGrades+'!$AC$5,"A",IF(H406&lt;'PlayerGrades+'!$AC$4,"A+",IF(H406&lt;'PlayerGrades+'!$AC$3,"S-",IF(H406&lt;'PlayerGrades+'!$AC$2,"S","S+"))))))))))))))))))))</f>
        <v>#DIV/0!</v>
      </c>
      <c r="J406" s="961" t="str">
        <f t="shared" si="4"/>
        <v>#DIV/0!</v>
      </c>
      <c r="K406" s="961" t="str">
        <f>IF(J406&lt;'PlayerGrades+'!$AD$21,"F-",IF(J406&lt;'PlayerGrades+'!$AD$20,"F",IF(J406&lt;'PlayerGrades+'!$AD$19,"F+",IF(J406&lt;'PlayerGrades+'!$AD$18,"E-",IF(J406&lt;'PlayerGrades+'!$AD$17,"E",IF(J406&lt;'PlayerGrades+'!$AD$16,"E+",IF(J406&lt;'PlayerGrades+'!$AD$15,"D-",IF(J406&lt;'PlayerGrades+'!$AD$14,"D",IF(J406&lt;'PlayerGrades+'!$AD$13,"D+",IF(J406&lt;'PlayerGrades+'!$AD$12,"C-",IF(J406&lt;'PlayerGrades+'!$AD$11,"C",IF(J406&lt;'PlayerGrades+'!$AD$10,"C+",IF(J406&lt;'PlayerGrades+'!$AD$9,"B-",IF(J406&lt;'PlayerGrades+'!$AD$8,"B",IF(J406&lt;'PlayerGrades+'!$AD$7,"B+",IF(J406&lt;'PlayerGrades+'!$AD$6,"A-",IF(J406&lt;'PlayerGrades+'!$AD$5,"A",IF(J406&lt;'PlayerGrades+'!$AD$4,"A+",IF(J406&lt;'PlayerGrades+'!$AD$3,"S-",IF(J406&lt;'PlayerGrades+'!$AD$2,"S","S+"))))))))))))))))))))</f>
        <v>#DIV/0!</v>
      </c>
      <c r="L406" s="1176" t="str">
        <f t="shared" si="5"/>
        <v>#DIV/0!</v>
      </c>
      <c r="M406" s="992" t="str">
        <f>IF(L406&lt;'PlayerGrades+'!$AE$21,"F-",IF(L406&lt;'PlayerGrades+'!$AE$20,"F",IF(L406&lt;'PlayerGrades+'!$AE$19,"F+",IF(L406&lt;'PlayerGrades+'!$AE$18,"E-",IF(L406&lt;'PlayerGrades+'!$AE$17,"E",IF(L406&lt;'PlayerGrades+'!$AE$16,"E+",IF(L406&lt;'PlayerGrades+'!$AE$15,"D-",IF(L406&lt;'PlayerGrades+'!$AE$14,"D",IF(L406&lt;'PlayerGrades+'!$AE$13,"D+",IF(L406&lt;'PlayerGrades+'!$AE$12,"C-",IF(L406&lt;'PlayerGrades+'!$AE$11,"C",IF(L406&lt;'PlayerGrades+'!$AE$10,"C+",IF(L406&lt;'PlayerGrades+'!$AE$9,"B-",IF(L406&lt;'PlayerGrades+'!$AE$8,"B",IF(L406&lt;'PlayerGrades+'!$AE$7,"B+",IF(L406&lt;'PlayerGrades+'!$AE$6,"A-",IF(L406&lt;'PlayerGrades+'!$AE$5,"A",IF(L406&lt;'PlayerGrades+'!$AE$4,"A+",IF(L406&lt;'PlayerGrades+'!$AE$3,"S-",IF(L406&lt;'PlayerGrades+'!$AE$2,"S","S+"))))))))))))))))))))</f>
        <v>#DIV/0!</v>
      </c>
      <c r="N406" s="961" t="str">
        <f t="shared" si="6"/>
        <v>#DIV/0!</v>
      </c>
      <c r="O406" s="961" t="str">
        <f>IF(N406&lt;'PlayerGrades+'!$AF$21,"F-",IF(N406&lt;'PlayerGrades+'!$AF$20,"F",IF(N406&lt;'PlayerGrades+'!$AF$19,"F+",IF(N406&lt;'PlayerGrades+'!$AF$18,"E-",IF(N406&lt;'PlayerGrades+'!$AF$17,"E",IF(N406&lt;'PlayerGrades+'!$AF$16,"E+",IF(N406&lt;'PlayerGrades+'!$AF$15,"D-",IF(N406&lt;'PlayerGrades+'!$AF$14,"D",IF(N406&lt;'PlayerGrades+'!$AF$13,"D+",IF(N406&lt;'PlayerGrades+'!$AF$12,"C-",IF(N406&lt;'PlayerGrades+'!$AF$11,"C",IF(N406&lt;'PlayerGrades+'!$AF$10,"C+",IF(N406&lt;'PlayerGrades+'!$AF$9,"B-",IF(N406&lt;'PlayerGrades+'!$AF$8,"B",IF(N406&lt;'PlayerGrades+'!$AF$7,"B+",IF(N406&lt;'PlayerGrades+'!$AF$6,"A-",IF(N406&lt;'PlayerGrades+'!$AF$5,"A",IF(N406&lt;'PlayerGrades+'!$AF$4,"A+",IF(N406&lt;'PlayerGrades+'!$AF$3,"S-",IF(N406&lt;'PlayerGrades+'!$AF$2,"S","S+"))))))))))))))))))))</f>
        <v>#DIV/0!</v>
      </c>
      <c r="P406" s="961" t="str">
        <f t="shared" si="7"/>
        <v>#DIV/0!</v>
      </c>
      <c r="Q406" s="961" t="str">
        <f>IF(P406&lt;'PlayerGrades+'!$AG$21,"F-",IF(P406&lt;'PlayerGrades+'!$AG$20,"F",IF(P406&lt;'PlayerGrades+'!$AG$19,"F+",IF(P406&lt;'PlayerGrades+'!$AG$18,"E-",IF(P406&lt;'PlayerGrades+'!$AG$17,"E",IF(P406&lt;'PlayerGrades+'!$AG$16,"E+",IF(P406&lt;'PlayerGrades+'!$AG$15,"D-",IF(P406&lt;'PlayerGrades+'!$AG$14,"D",IF(P406&lt;'PlayerGrades+'!$AG$13,"D+",IF(P406&lt;'PlayerGrades+'!$AG$12,"C-",IF(P406&lt;'PlayerGrades+'!$AG$11,"C",IF(P406&lt;'PlayerGrades+'!$AG$10,"C+",IF(P406&lt;'PlayerGrades+'!$AG$9,"B-",IF(P406&lt;'PlayerGrades+'!$AG$8,"B",IF(P406&lt;'PlayerGrades+'!$AG$7,"B+",IF(P406&lt;'PlayerGrades+'!$AG$6,"A-",IF(P406&lt;'PlayerGrades+'!$AG$5,"A",IF(P406&lt;'PlayerGrades+'!$AG$4,"A+",IF(P406&lt;'PlayerGrades+'!$AG$3,"S-",IF(P406&lt;'PlayerGrades+'!$AG$2,"S","S+"))))))))))))))))))))</f>
        <v>#DIV/0!</v>
      </c>
      <c r="R406" s="961" t="str">
        <f t="shared" si="8"/>
        <v>#DIV/0!</v>
      </c>
      <c r="S406" s="961" t="str">
        <f>IF(R406&lt;'PlayerGrades+'!$AH$21,"F-",IF(R406&lt;'PlayerGrades+'!$AH$20,"F",IF(R406&lt;'PlayerGrades+'!$AH$19,"F+",IF(R406&lt;'PlayerGrades+'!$AH$18,"E-",IF(R406&lt;'PlayerGrades+'!$AH$17,"E",IF(R406&lt;'PlayerGrades+'!$AH$16,"E+",IF(R406&lt;'PlayerGrades+'!$AH$15,"D-",IF(R406&lt;'PlayerGrades+'!$AH$14,"D",IF(R406&lt;'PlayerGrades+'!$AH$13,"D+",IF(R406&lt;'PlayerGrades+'!$AH$12,"C-",IF(R406&lt;'PlayerGrades+'!$AH$11,"C",IF(R406&lt;'PlayerGrades+'!$AH$10,"C+",IF(R406&lt;'PlayerGrades+'!$AH$9,"B-",IF(R406&lt;'PlayerGrades+'!$AH$8,"B",IF(R406&lt;'PlayerGrades+'!$AH$7,"B+",IF(R406&lt;'PlayerGrades+'!$AH$6,"A-",IF(R406&lt;'PlayerGrades+'!$AH$5,"A",IF(R406&lt;'PlayerGrades+'!$AH$4,"A+",IF(R406&lt;'PlayerGrades+'!$AH$3,"S-",IF(R406&lt;'PlayerGrades+'!$AH$2,"S","S+"))))))))))))))))))))</f>
        <v>#DIV/0!</v>
      </c>
      <c r="T406" s="961">
        <f t="shared" si="9"/>
        <v>0</v>
      </c>
      <c r="U406" s="961" t="str">
        <f>IF(T406&lt;'PlayerGrades+'!$AI$21,"F-",IF(T406&lt;'PlayerGrades+'!$AI$20,"F",IF(T406&lt;'PlayerGrades+'!$AI$19,"F+",IF(T406&lt;'PlayerGrades+'!$AI$18,"E-",IF(T406&lt;'PlayerGrades+'!$AI$17,"E",IF(T406&lt;'PlayerGrades+'!$AI$16,"E+",IF(T406&lt;'PlayerGrades+'!$AI$15,"D-",IF(T406&lt;'PlayerGrades+'!$AI$14,"D",IF(T406&lt;'PlayerGrades+'!$AI$13,"D+",IF(T406&lt;'PlayerGrades+'!$AI$12,"C-",IF(T406&lt;'PlayerGrades+'!$AI$11,"C",IF(T406&lt;'PlayerGrades+'!$AI$10,"C+",IF(T406&lt;'PlayerGrades+'!$AI$9,"B-",IF(T406&lt;'PlayerGrades+'!$AI$8,"B",IF(T406&lt;'PlayerGrades+'!$AI$7,"B+",IF(T406&lt;'PlayerGrades+'!$AI$6,"A-",IF(T406&lt;'PlayerGrades+'!$AI$5,"A",IF(T406&lt;'PlayerGrades+'!$AI$4,"A+",IF(T406&lt;'PlayerGrades+'!$AI$3,"S-",IF(T406&lt;'PlayerGrades+'!$AI$2,"S","S+"))))))))))))))))))))</f>
        <v>F-</v>
      </c>
      <c r="AC406" s="1392"/>
    </row>
    <row r="407">
      <c r="A407" s="1391"/>
      <c r="B407" s="611" t="str">
        <f>IF(C407&lt;'PlayerGrades+'!$Y$44,"F-",IF(C407&lt;'PlayerGrades+'!$Y$43,"F",IF(C407&lt;'PlayerGrades+'!$Y$42,"F+",IF(C407&lt;'PlayerGrades+'!$Y$41,"E-",IF(C407&lt;'PlayerGrades+'!$Y$40,"E",IF(C407&lt;'PlayerGrades+'!$Y$39,"E+",IF(C407&lt;'PlayerGrades+'!$Y$38,"D-",IF(C407&lt;'PlayerGrades+'!$Y$37,"D",IF(C407&lt;'PlayerGrades+'!$Y$36,"D+",IF(C407&lt;'PlayerGrades+'!$Y$35,"C-",IF(C407&lt;'PlayerGrades+'!$Y$34,"C",IF(C407&lt;'PlayerGrades+'!$Y$33,"C+",IF(C407&lt;'PlayerGrades+'!$Y$32,"B-",IF(C407&lt;'PlayerGrades+'!$Y$31,"B",IF(C407&lt;'PlayerGrades+'!$Y$30,"B+",IF(C407&lt;'PlayerGrades+'!$Y$29,"A-",IF(C407&lt;'PlayerGrades+'!$Y$28,"A",IF(C407&lt;'PlayerGrades+'!$Y$27,"A+",IF(C407&lt;'PlayerGrades+'!$Y$26,"S-",IF(C407&lt;'PlayerGrades+'!$Y$25,"S","S+"))))))))))))))))))))</f>
        <v>#DIV/0!</v>
      </c>
      <c r="C407" s="1378" t="str">
        <f>('PlayerGrades+'!$Y$47*(VLOOKUP(E407, 'PlayerGrades+'!$X$3:$Y$23, 2, FALSE)))+('PlayerGrades+'!$Y$48*(VLOOKUP(G407, 'PlayerGrades+'!$X$3:$Y$23, 2, FALSE)))+('PlayerGrades+'!$Y$49*(VLOOKUP(I407, 'PlayerGrades+'!$X$3:$Y$23, 2, FALSE)))+('PlayerGrades+'!$Y$50*(VLOOKUP(K407, 'PlayerGrades+'!$X$3:$Y$23, 2, FALSE)))+('PlayerGrades+'!$Y$51*(VLOOKUP(M407, 'PlayerGrades+'!$X$3:$Y$23, 2, FALSE)))+('PlayerGrades+'!$Y$52*(VLOOKUP(O407, 'PlayerGrades+'!$X$3:$Y$23, 2, FALSE)))+('PlayerGrades+'!$Y$53*(VLOOKUP(Q407, 'PlayerGrades+'!$X$3:$Y$23, 2, FALSE)))+('PlayerGrades+'!$Y$54*(VLOOKUP(S407, 'PlayerGrades+'!$X$3:$Y$23, 2, FALSE)))+('PlayerGrades+'!$Y$55*(VLOOKUP(U407, 'PlayerGrades+'!$X$3:$Y$23, 2, FALSE)))</f>
        <v>#DIV/0!</v>
      </c>
      <c r="D407" s="961" t="str">
        <f t="shared" si="1"/>
        <v>#DIV/0!</v>
      </c>
      <c r="E407" s="961" t="str">
        <f>IF(D407&lt;'PlayerGrades+'!$AA$21,"F-",IF(D407&lt;'PlayerGrades+'!$AA$20,"F",IF(D407&lt;'PlayerGrades+'!$AA$19,"F+",IF(D407&lt;'PlayerGrades+'!$AA$18,"E-",IF(D407&lt;'PlayerGrades+'!$AA$17,"E",IF(D407&lt;'PlayerGrades+'!$AA$16,"E+",IF(D407&lt;'PlayerGrades+'!$AA$15,"D-",IF(D407&lt;'PlayerGrades+'!$AA$14,"D",IF(D407&lt;'PlayerGrades+'!$AA$13,"D+",IF(D407&lt;'PlayerGrades+'!$AA$12,"C-",IF(D407&lt;'PlayerGrades+'!$AA$11,"C",IF(D407&lt;'PlayerGrades+'!$AA$10,"C+",IF(D407&lt;'PlayerGrades+'!$AA$9,"B-",IF(D407&lt;'PlayerGrades+'!$AA$8,"B",IF(D407&lt;'PlayerGrades+'!$AA$7,"B+",IF(D407&lt;'PlayerGrades+'!$AA$6,"A-",IF(D407&lt;'PlayerGrades+'!$AA$5,"A",IF(D407&lt;'PlayerGrades+'!$AA$4,"A+",IF(D407&lt;'PlayerGrades+'!$AA$3,"S-",IF(D407&lt;'PlayerGrades+'!$AA$2,"S","S+"))))))))))))))))))))</f>
        <v>#DIV/0!</v>
      </c>
      <c r="F407" s="961" t="str">
        <f t="shared" si="2"/>
        <v>#DIV/0!</v>
      </c>
      <c r="G407" s="961" t="str">
        <f>IF(F407&lt;'PlayerGrades+'!$AB$21,"F-",IF(F407&lt;'PlayerGrades+'!$AB$20,"F",IF(F407&lt;'PlayerGrades+'!$AB$19,"F+",IF(F407&lt;'PlayerGrades+'!$AB$18,"E-",IF(F407&lt;'PlayerGrades+'!$AB$17,"E",IF(F407&lt;'PlayerGrades+'!$AB$16,"E+",IF(F407&lt;'PlayerGrades+'!$AB$15,"D-",IF(F407&lt;'PlayerGrades+'!$AB$14,"D",IF(F407&lt;'PlayerGrades+'!$AB$13,"D+",IF(F407&lt;'PlayerGrades+'!$AB$12,"C-",IF(F407&lt;'PlayerGrades+'!$AB$11,"C",IF(F407&lt;'PlayerGrades+'!$AB$10,"C+",IF(F407&lt;'PlayerGrades+'!$AB$9,"B-",IF(F407&lt;'PlayerGrades+'!$AB$8,"B",IF(F407&lt;'PlayerGrades+'!$AB$7,"B+",IF(F407&lt;'PlayerGrades+'!$AB$6,"A-",IF(F407&lt;'PlayerGrades+'!$AB$5,"A",IF(F407&lt;'PlayerGrades+'!$AB$4,"A+",IF(F407&lt;'PlayerGrades+'!$AB$3,"S-",IF(F407&lt;'PlayerGrades+'!$AB$2,"S","S+"))))))))))))))))))))</f>
        <v>#DIV/0!</v>
      </c>
      <c r="H407" s="961" t="str">
        <f t="shared" si="3"/>
        <v>#DIV/0!</v>
      </c>
      <c r="I407" s="961" t="str">
        <f>IF(H407&lt;'PlayerGrades+'!$AC$21,"F-",IF(H407&lt;'PlayerGrades+'!$AC$20,"F",IF(H407&lt;'PlayerGrades+'!$AC$19,"F+",IF(H407&lt;'PlayerGrades+'!$AC$18,"E-",IF(H407&lt;'PlayerGrades+'!$AC$17,"E",IF(H407&lt;'PlayerGrades+'!$AC$16,"E+",IF(H407&lt;'PlayerGrades+'!$AC$15,"D-",IF(H407&lt;'PlayerGrades+'!$AC$14,"D",IF(H407&lt;'PlayerGrades+'!$AC$13,"D+",IF(H407&lt;'PlayerGrades+'!$AC$12,"C-",IF(H407&lt;'PlayerGrades+'!$AC$11,"C",IF(H407&lt;'PlayerGrades+'!$AC$10,"C+",IF(H407&lt;'PlayerGrades+'!$AC$9,"B-",IF(H407&lt;'PlayerGrades+'!$AC$8,"B",IF(H407&lt;'PlayerGrades+'!$AC$7,"B+",IF(H407&lt;'PlayerGrades+'!$AC$6,"A-",IF(H407&lt;'PlayerGrades+'!$AC$5,"A",IF(H407&lt;'PlayerGrades+'!$AC$4,"A+",IF(H407&lt;'PlayerGrades+'!$AC$3,"S-",IF(H407&lt;'PlayerGrades+'!$AC$2,"S","S+"))))))))))))))))))))</f>
        <v>#DIV/0!</v>
      </c>
      <c r="J407" s="961" t="str">
        <f t="shared" si="4"/>
        <v>#DIV/0!</v>
      </c>
      <c r="K407" s="961" t="str">
        <f>IF(J407&lt;'PlayerGrades+'!$AD$21,"F-",IF(J407&lt;'PlayerGrades+'!$AD$20,"F",IF(J407&lt;'PlayerGrades+'!$AD$19,"F+",IF(J407&lt;'PlayerGrades+'!$AD$18,"E-",IF(J407&lt;'PlayerGrades+'!$AD$17,"E",IF(J407&lt;'PlayerGrades+'!$AD$16,"E+",IF(J407&lt;'PlayerGrades+'!$AD$15,"D-",IF(J407&lt;'PlayerGrades+'!$AD$14,"D",IF(J407&lt;'PlayerGrades+'!$AD$13,"D+",IF(J407&lt;'PlayerGrades+'!$AD$12,"C-",IF(J407&lt;'PlayerGrades+'!$AD$11,"C",IF(J407&lt;'PlayerGrades+'!$AD$10,"C+",IF(J407&lt;'PlayerGrades+'!$AD$9,"B-",IF(J407&lt;'PlayerGrades+'!$AD$8,"B",IF(J407&lt;'PlayerGrades+'!$AD$7,"B+",IF(J407&lt;'PlayerGrades+'!$AD$6,"A-",IF(J407&lt;'PlayerGrades+'!$AD$5,"A",IF(J407&lt;'PlayerGrades+'!$AD$4,"A+",IF(J407&lt;'PlayerGrades+'!$AD$3,"S-",IF(J407&lt;'PlayerGrades+'!$AD$2,"S","S+"))))))))))))))))))))</f>
        <v>#DIV/0!</v>
      </c>
      <c r="L407" s="1176" t="str">
        <f t="shared" si="5"/>
        <v>#DIV/0!</v>
      </c>
      <c r="M407" s="992" t="str">
        <f>IF(L407&lt;'PlayerGrades+'!$AE$21,"F-",IF(L407&lt;'PlayerGrades+'!$AE$20,"F",IF(L407&lt;'PlayerGrades+'!$AE$19,"F+",IF(L407&lt;'PlayerGrades+'!$AE$18,"E-",IF(L407&lt;'PlayerGrades+'!$AE$17,"E",IF(L407&lt;'PlayerGrades+'!$AE$16,"E+",IF(L407&lt;'PlayerGrades+'!$AE$15,"D-",IF(L407&lt;'PlayerGrades+'!$AE$14,"D",IF(L407&lt;'PlayerGrades+'!$AE$13,"D+",IF(L407&lt;'PlayerGrades+'!$AE$12,"C-",IF(L407&lt;'PlayerGrades+'!$AE$11,"C",IF(L407&lt;'PlayerGrades+'!$AE$10,"C+",IF(L407&lt;'PlayerGrades+'!$AE$9,"B-",IF(L407&lt;'PlayerGrades+'!$AE$8,"B",IF(L407&lt;'PlayerGrades+'!$AE$7,"B+",IF(L407&lt;'PlayerGrades+'!$AE$6,"A-",IF(L407&lt;'PlayerGrades+'!$AE$5,"A",IF(L407&lt;'PlayerGrades+'!$AE$4,"A+",IF(L407&lt;'PlayerGrades+'!$AE$3,"S-",IF(L407&lt;'PlayerGrades+'!$AE$2,"S","S+"))))))))))))))))))))</f>
        <v>#DIV/0!</v>
      </c>
      <c r="N407" s="961" t="str">
        <f t="shared" si="6"/>
        <v>#DIV/0!</v>
      </c>
      <c r="O407" s="961" t="str">
        <f>IF(N407&lt;'PlayerGrades+'!$AF$21,"F-",IF(N407&lt;'PlayerGrades+'!$AF$20,"F",IF(N407&lt;'PlayerGrades+'!$AF$19,"F+",IF(N407&lt;'PlayerGrades+'!$AF$18,"E-",IF(N407&lt;'PlayerGrades+'!$AF$17,"E",IF(N407&lt;'PlayerGrades+'!$AF$16,"E+",IF(N407&lt;'PlayerGrades+'!$AF$15,"D-",IF(N407&lt;'PlayerGrades+'!$AF$14,"D",IF(N407&lt;'PlayerGrades+'!$AF$13,"D+",IF(N407&lt;'PlayerGrades+'!$AF$12,"C-",IF(N407&lt;'PlayerGrades+'!$AF$11,"C",IF(N407&lt;'PlayerGrades+'!$AF$10,"C+",IF(N407&lt;'PlayerGrades+'!$AF$9,"B-",IF(N407&lt;'PlayerGrades+'!$AF$8,"B",IF(N407&lt;'PlayerGrades+'!$AF$7,"B+",IF(N407&lt;'PlayerGrades+'!$AF$6,"A-",IF(N407&lt;'PlayerGrades+'!$AF$5,"A",IF(N407&lt;'PlayerGrades+'!$AF$4,"A+",IF(N407&lt;'PlayerGrades+'!$AF$3,"S-",IF(N407&lt;'PlayerGrades+'!$AF$2,"S","S+"))))))))))))))))))))</f>
        <v>#DIV/0!</v>
      </c>
      <c r="P407" s="961" t="str">
        <f t="shared" si="7"/>
        <v>#DIV/0!</v>
      </c>
      <c r="Q407" s="961" t="str">
        <f>IF(P407&lt;'PlayerGrades+'!$AG$21,"F-",IF(P407&lt;'PlayerGrades+'!$AG$20,"F",IF(P407&lt;'PlayerGrades+'!$AG$19,"F+",IF(P407&lt;'PlayerGrades+'!$AG$18,"E-",IF(P407&lt;'PlayerGrades+'!$AG$17,"E",IF(P407&lt;'PlayerGrades+'!$AG$16,"E+",IF(P407&lt;'PlayerGrades+'!$AG$15,"D-",IF(P407&lt;'PlayerGrades+'!$AG$14,"D",IF(P407&lt;'PlayerGrades+'!$AG$13,"D+",IF(P407&lt;'PlayerGrades+'!$AG$12,"C-",IF(P407&lt;'PlayerGrades+'!$AG$11,"C",IF(P407&lt;'PlayerGrades+'!$AG$10,"C+",IF(P407&lt;'PlayerGrades+'!$AG$9,"B-",IF(P407&lt;'PlayerGrades+'!$AG$8,"B",IF(P407&lt;'PlayerGrades+'!$AG$7,"B+",IF(P407&lt;'PlayerGrades+'!$AG$6,"A-",IF(P407&lt;'PlayerGrades+'!$AG$5,"A",IF(P407&lt;'PlayerGrades+'!$AG$4,"A+",IF(P407&lt;'PlayerGrades+'!$AG$3,"S-",IF(P407&lt;'PlayerGrades+'!$AG$2,"S","S+"))))))))))))))))))))</f>
        <v>#DIV/0!</v>
      </c>
      <c r="R407" s="961" t="str">
        <f t="shared" si="8"/>
        <v>#DIV/0!</v>
      </c>
      <c r="S407" s="961" t="str">
        <f>IF(R407&lt;'PlayerGrades+'!$AH$21,"F-",IF(R407&lt;'PlayerGrades+'!$AH$20,"F",IF(R407&lt;'PlayerGrades+'!$AH$19,"F+",IF(R407&lt;'PlayerGrades+'!$AH$18,"E-",IF(R407&lt;'PlayerGrades+'!$AH$17,"E",IF(R407&lt;'PlayerGrades+'!$AH$16,"E+",IF(R407&lt;'PlayerGrades+'!$AH$15,"D-",IF(R407&lt;'PlayerGrades+'!$AH$14,"D",IF(R407&lt;'PlayerGrades+'!$AH$13,"D+",IF(R407&lt;'PlayerGrades+'!$AH$12,"C-",IF(R407&lt;'PlayerGrades+'!$AH$11,"C",IF(R407&lt;'PlayerGrades+'!$AH$10,"C+",IF(R407&lt;'PlayerGrades+'!$AH$9,"B-",IF(R407&lt;'PlayerGrades+'!$AH$8,"B",IF(R407&lt;'PlayerGrades+'!$AH$7,"B+",IF(R407&lt;'PlayerGrades+'!$AH$6,"A-",IF(R407&lt;'PlayerGrades+'!$AH$5,"A",IF(R407&lt;'PlayerGrades+'!$AH$4,"A+",IF(R407&lt;'PlayerGrades+'!$AH$3,"S-",IF(R407&lt;'PlayerGrades+'!$AH$2,"S","S+"))))))))))))))))))))</f>
        <v>#DIV/0!</v>
      </c>
      <c r="T407" s="961">
        <f t="shared" si="9"/>
        <v>0</v>
      </c>
      <c r="U407" s="961" t="str">
        <f>IF(T407&lt;'PlayerGrades+'!$AI$21,"F-",IF(T407&lt;'PlayerGrades+'!$AI$20,"F",IF(T407&lt;'PlayerGrades+'!$AI$19,"F+",IF(T407&lt;'PlayerGrades+'!$AI$18,"E-",IF(T407&lt;'PlayerGrades+'!$AI$17,"E",IF(T407&lt;'PlayerGrades+'!$AI$16,"E+",IF(T407&lt;'PlayerGrades+'!$AI$15,"D-",IF(T407&lt;'PlayerGrades+'!$AI$14,"D",IF(T407&lt;'PlayerGrades+'!$AI$13,"D+",IF(T407&lt;'PlayerGrades+'!$AI$12,"C-",IF(T407&lt;'PlayerGrades+'!$AI$11,"C",IF(T407&lt;'PlayerGrades+'!$AI$10,"C+",IF(T407&lt;'PlayerGrades+'!$AI$9,"B-",IF(T407&lt;'PlayerGrades+'!$AI$8,"B",IF(T407&lt;'PlayerGrades+'!$AI$7,"B+",IF(T407&lt;'PlayerGrades+'!$AI$6,"A-",IF(T407&lt;'PlayerGrades+'!$AI$5,"A",IF(T407&lt;'PlayerGrades+'!$AI$4,"A+",IF(T407&lt;'PlayerGrades+'!$AI$3,"S-",IF(T407&lt;'PlayerGrades+'!$AI$2,"S","S+"))))))))))))))))))))</f>
        <v>F-</v>
      </c>
      <c r="AC407" s="1392"/>
    </row>
    <row r="408">
      <c r="A408" s="1391"/>
      <c r="B408" s="611" t="str">
        <f>IF(C408&lt;'PlayerGrades+'!$Y$44,"F-",IF(C408&lt;'PlayerGrades+'!$Y$43,"F",IF(C408&lt;'PlayerGrades+'!$Y$42,"F+",IF(C408&lt;'PlayerGrades+'!$Y$41,"E-",IF(C408&lt;'PlayerGrades+'!$Y$40,"E",IF(C408&lt;'PlayerGrades+'!$Y$39,"E+",IF(C408&lt;'PlayerGrades+'!$Y$38,"D-",IF(C408&lt;'PlayerGrades+'!$Y$37,"D",IF(C408&lt;'PlayerGrades+'!$Y$36,"D+",IF(C408&lt;'PlayerGrades+'!$Y$35,"C-",IF(C408&lt;'PlayerGrades+'!$Y$34,"C",IF(C408&lt;'PlayerGrades+'!$Y$33,"C+",IF(C408&lt;'PlayerGrades+'!$Y$32,"B-",IF(C408&lt;'PlayerGrades+'!$Y$31,"B",IF(C408&lt;'PlayerGrades+'!$Y$30,"B+",IF(C408&lt;'PlayerGrades+'!$Y$29,"A-",IF(C408&lt;'PlayerGrades+'!$Y$28,"A",IF(C408&lt;'PlayerGrades+'!$Y$27,"A+",IF(C408&lt;'PlayerGrades+'!$Y$26,"S-",IF(C408&lt;'PlayerGrades+'!$Y$25,"S","S+"))))))))))))))))))))</f>
        <v>#DIV/0!</v>
      </c>
      <c r="C408" s="1378" t="str">
        <f>('PlayerGrades+'!$Y$47*(VLOOKUP(E408, 'PlayerGrades+'!$X$3:$Y$23, 2, FALSE)))+('PlayerGrades+'!$Y$48*(VLOOKUP(G408, 'PlayerGrades+'!$X$3:$Y$23, 2, FALSE)))+('PlayerGrades+'!$Y$49*(VLOOKUP(I408, 'PlayerGrades+'!$X$3:$Y$23, 2, FALSE)))+('PlayerGrades+'!$Y$50*(VLOOKUP(K408, 'PlayerGrades+'!$X$3:$Y$23, 2, FALSE)))+('PlayerGrades+'!$Y$51*(VLOOKUP(M408, 'PlayerGrades+'!$X$3:$Y$23, 2, FALSE)))+('PlayerGrades+'!$Y$52*(VLOOKUP(O408, 'PlayerGrades+'!$X$3:$Y$23, 2, FALSE)))+('PlayerGrades+'!$Y$53*(VLOOKUP(Q408, 'PlayerGrades+'!$X$3:$Y$23, 2, FALSE)))+('PlayerGrades+'!$Y$54*(VLOOKUP(S408, 'PlayerGrades+'!$X$3:$Y$23, 2, FALSE)))+('PlayerGrades+'!$Y$55*(VLOOKUP(U408, 'PlayerGrades+'!$X$3:$Y$23, 2, FALSE)))</f>
        <v>#DIV/0!</v>
      </c>
      <c r="D408" s="961" t="str">
        <f t="shared" si="1"/>
        <v>#DIV/0!</v>
      </c>
      <c r="E408" s="961" t="str">
        <f>IF(D408&lt;'PlayerGrades+'!$AA$21,"F-",IF(D408&lt;'PlayerGrades+'!$AA$20,"F",IF(D408&lt;'PlayerGrades+'!$AA$19,"F+",IF(D408&lt;'PlayerGrades+'!$AA$18,"E-",IF(D408&lt;'PlayerGrades+'!$AA$17,"E",IF(D408&lt;'PlayerGrades+'!$AA$16,"E+",IF(D408&lt;'PlayerGrades+'!$AA$15,"D-",IF(D408&lt;'PlayerGrades+'!$AA$14,"D",IF(D408&lt;'PlayerGrades+'!$AA$13,"D+",IF(D408&lt;'PlayerGrades+'!$AA$12,"C-",IF(D408&lt;'PlayerGrades+'!$AA$11,"C",IF(D408&lt;'PlayerGrades+'!$AA$10,"C+",IF(D408&lt;'PlayerGrades+'!$AA$9,"B-",IF(D408&lt;'PlayerGrades+'!$AA$8,"B",IF(D408&lt;'PlayerGrades+'!$AA$7,"B+",IF(D408&lt;'PlayerGrades+'!$AA$6,"A-",IF(D408&lt;'PlayerGrades+'!$AA$5,"A",IF(D408&lt;'PlayerGrades+'!$AA$4,"A+",IF(D408&lt;'PlayerGrades+'!$AA$3,"S-",IF(D408&lt;'PlayerGrades+'!$AA$2,"S","S+"))))))))))))))))))))</f>
        <v>#DIV/0!</v>
      </c>
      <c r="F408" s="961" t="str">
        <f t="shared" si="2"/>
        <v>#DIV/0!</v>
      </c>
      <c r="G408" s="961" t="str">
        <f>IF(F408&lt;'PlayerGrades+'!$AB$21,"F-",IF(F408&lt;'PlayerGrades+'!$AB$20,"F",IF(F408&lt;'PlayerGrades+'!$AB$19,"F+",IF(F408&lt;'PlayerGrades+'!$AB$18,"E-",IF(F408&lt;'PlayerGrades+'!$AB$17,"E",IF(F408&lt;'PlayerGrades+'!$AB$16,"E+",IF(F408&lt;'PlayerGrades+'!$AB$15,"D-",IF(F408&lt;'PlayerGrades+'!$AB$14,"D",IF(F408&lt;'PlayerGrades+'!$AB$13,"D+",IF(F408&lt;'PlayerGrades+'!$AB$12,"C-",IF(F408&lt;'PlayerGrades+'!$AB$11,"C",IF(F408&lt;'PlayerGrades+'!$AB$10,"C+",IF(F408&lt;'PlayerGrades+'!$AB$9,"B-",IF(F408&lt;'PlayerGrades+'!$AB$8,"B",IF(F408&lt;'PlayerGrades+'!$AB$7,"B+",IF(F408&lt;'PlayerGrades+'!$AB$6,"A-",IF(F408&lt;'PlayerGrades+'!$AB$5,"A",IF(F408&lt;'PlayerGrades+'!$AB$4,"A+",IF(F408&lt;'PlayerGrades+'!$AB$3,"S-",IF(F408&lt;'PlayerGrades+'!$AB$2,"S","S+"))))))))))))))))))))</f>
        <v>#DIV/0!</v>
      </c>
      <c r="H408" s="961" t="str">
        <f t="shared" si="3"/>
        <v>#DIV/0!</v>
      </c>
      <c r="I408" s="961" t="str">
        <f>IF(H408&lt;'PlayerGrades+'!$AC$21,"F-",IF(H408&lt;'PlayerGrades+'!$AC$20,"F",IF(H408&lt;'PlayerGrades+'!$AC$19,"F+",IF(H408&lt;'PlayerGrades+'!$AC$18,"E-",IF(H408&lt;'PlayerGrades+'!$AC$17,"E",IF(H408&lt;'PlayerGrades+'!$AC$16,"E+",IF(H408&lt;'PlayerGrades+'!$AC$15,"D-",IF(H408&lt;'PlayerGrades+'!$AC$14,"D",IF(H408&lt;'PlayerGrades+'!$AC$13,"D+",IF(H408&lt;'PlayerGrades+'!$AC$12,"C-",IF(H408&lt;'PlayerGrades+'!$AC$11,"C",IF(H408&lt;'PlayerGrades+'!$AC$10,"C+",IF(H408&lt;'PlayerGrades+'!$AC$9,"B-",IF(H408&lt;'PlayerGrades+'!$AC$8,"B",IF(H408&lt;'PlayerGrades+'!$AC$7,"B+",IF(H408&lt;'PlayerGrades+'!$AC$6,"A-",IF(H408&lt;'PlayerGrades+'!$AC$5,"A",IF(H408&lt;'PlayerGrades+'!$AC$4,"A+",IF(H408&lt;'PlayerGrades+'!$AC$3,"S-",IF(H408&lt;'PlayerGrades+'!$AC$2,"S","S+"))))))))))))))))))))</f>
        <v>#DIV/0!</v>
      </c>
      <c r="J408" s="961" t="str">
        <f t="shared" si="4"/>
        <v>#DIV/0!</v>
      </c>
      <c r="K408" s="961" t="str">
        <f>IF(J408&lt;'PlayerGrades+'!$AD$21,"F-",IF(J408&lt;'PlayerGrades+'!$AD$20,"F",IF(J408&lt;'PlayerGrades+'!$AD$19,"F+",IF(J408&lt;'PlayerGrades+'!$AD$18,"E-",IF(J408&lt;'PlayerGrades+'!$AD$17,"E",IF(J408&lt;'PlayerGrades+'!$AD$16,"E+",IF(J408&lt;'PlayerGrades+'!$AD$15,"D-",IF(J408&lt;'PlayerGrades+'!$AD$14,"D",IF(J408&lt;'PlayerGrades+'!$AD$13,"D+",IF(J408&lt;'PlayerGrades+'!$AD$12,"C-",IF(J408&lt;'PlayerGrades+'!$AD$11,"C",IF(J408&lt;'PlayerGrades+'!$AD$10,"C+",IF(J408&lt;'PlayerGrades+'!$AD$9,"B-",IF(J408&lt;'PlayerGrades+'!$AD$8,"B",IF(J408&lt;'PlayerGrades+'!$AD$7,"B+",IF(J408&lt;'PlayerGrades+'!$AD$6,"A-",IF(J408&lt;'PlayerGrades+'!$AD$5,"A",IF(J408&lt;'PlayerGrades+'!$AD$4,"A+",IF(J408&lt;'PlayerGrades+'!$AD$3,"S-",IF(J408&lt;'PlayerGrades+'!$AD$2,"S","S+"))))))))))))))))))))</f>
        <v>#DIV/0!</v>
      </c>
      <c r="L408" s="1176" t="str">
        <f t="shared" si="5"/>
        <v>#DIV/0!</v>
      </c>
      <c r="M408" s="992" t="str">
        <f>IF(L408&lt;'PlayerGrades+'!$AE$21,"F-",IF(L408&lt;'PlayerGrades+'!$AE$20,"F",IF(L408&lt;'PlayerGrades+'!$AE$19,"F+",IF(L408&lt;'PlayerGrades+'!$AE$18,"E-",IF(L408&lt;'PlayerGrades+'!$AE$17,"E",IF(L408&lt;'PlayerGrades+'!$AE$16,"E+",IF(L408&lt;'PlayerGrades+'!$AE$15,"D-",IF(L408&lt;'PlayerGrades+'!$AE$14,"D",IF(L408&lt;'PlayerGrades+'!$AE$13,"D+",IF(L408&lt;'PlayerGrades+'!$AE$12,"C-",IF(L408&lt;'PlayerGrades+'!$AE$11,"C",IF(L408&lt;'PlayerGrades+'!$AE$10,"C+",IF(L408&lt;'PlayerGrades+'!$AE$9,"B-",IF(L408&lt;'PlayerGrades+'!$AE$8,"B",IF(L408&lt;'PlayerGrades+'!$AE$7,"B+",IF(L408&lt;'PlayerGrades+'!$AE$6,"A-",IF(L408&lt;'PlayerGrades+'!$AE$5,"A",IF(L408&lt;'PlayerGrades+'!$AE$4,"A+",IF(L408&lt;'PlayerGrades+'!$AE$3,"S-",IF(L408&lt;'PlayerGrades+'!$AE$2,"S","S+"))))))))))))))))))))</f>
        <v>#DIV/0!</v>
      </c>
      <c r="N408" s="961" t="str">
        <f t="shared" si="6"/>
        <v>#DIV/0!</v>
      </c>
      <c r="O408" s="961" t="str">
        <f>IF(N408&lt;'PlayerGrades+'!$AF$21,"F-",IF(N408&lt;'PlayerGrades+'!$AF$20,"F",IF(N408&lt;'PlayerGrades+'!$AF$19,"F+",IF(N408&lt;'PlayerGrades+'!$AF$18,"E-",IF(N408&lt;'PlayerGrades+'!$AF$17,"E",IF(N408&lt;'PlayerGrades+'!$AF$16,"E+",IF(N408&lt;'PlayerGrades+'!$AF$15,"D-",IF(N408&lt;'PlayerGrades+'!$AF$14,"D",IF(N408&lt;'PlayerGrades+'!$AF$13,"D+",IF(N408&lt;'PlayerGrades+'!$AF$12,"C-",IF(N408&lt;'PlayerGrades+'!$AF$11,"C",IF(N408&lt;'PlayerGrades+'!$AF$10,"C+",IF(N408&lt;'PlayerGrades+'!$AF$9,"B-",IF(N408&lt;'PlayerGrades+'!$AF$8,"B",IF(N408&lt;'PlayerGrades+'!$AF$7,"B+",IF(N408&lt;'PlayerGrades+'!$AF$6,"A-",IF(N408&lt;'PlayerGrades+'!$AF$5,"A",IF(N408&lt;'PlayerGrades+'!$AF$4,"A+",IF(N408&lt;'PlayerGrades+'!$AF$3,"S-",IF(N408&lt;'PlayerGrades+'!$AF$2,"S","S+"))))))))))))))))))))</f>
        <v>#DIV/0!</v>
      </c>
      <c r="P408" s="961" t="str">
        <f t="shared" si="7"/>
        <v>#DIV/0!</v>
      </c>
      <c r="Q408" s="961" t="str">
        <f>IF(P408&lt;'PlayerGrades+'!$AG$21,"F-",IF(P408&lt;'PlayerGrades+'!$AG$20,"F",IF(P408&lt;'PlayerGrades+'!$AG$19,"F+",IF(P408&lt;'PlayerGrades+'!$AG$18,"E-",IF(P408&lt;'PlayerGrades+'!$AG$17,"E",IF(P408&lt;'PlayerGrades+'!$AG$16,"E+",IF(P408&lt;'PlayerGrades+'!$AG$15,"D-",IF(P408&lt;'PlayerGrades+'!$AG$14,"D",IF(P408&lt;'PlayerGrades+'!$AG$13,"D+",IF(P408&lt;'PlayerGrades+'!$AG$12,"C-",IF(P408&lt;'PlayerGrades+'!$AG$11,"C",IF(P408&lt;'PlayerGrades+'!$AG$10,"C+",IF(P408&lt;'PlayerGrades+'!$AG$9,"B-",IF(P408&lt;'PlayerGrades+'!$AG$8,"B",IF(P408&lt;'PlayerGrades+'!$AG$7,"B+",IF(P408&lt;'PlayerGrades+'!$AG$6,"A-",IF(P408&lt;'PlayerGrades+'!$AG$5,"A",IF(P408&lt;'PlayerGrades+'!$AG$4,"A+",IF(P408&lt;'PlayerGrades+'!$AG$3,"S-",IF(P408&lt;'PlayerGrades+'!$AG$2,"S","S+"))))))))))))))))))))</f>
        <v>#DIV/0!</v>
      </c>
      <c r="R408" s="961" t="str">
        <f t="shared" si="8"/>
        <v>#DIV/0!</v>
      </c>
      <c r="S408" s="961" t="str">
        <f>IF(R408&lt;'PlayerGrades+'!$AH$21,"F-",IF(R408&lt;'PlayerGrades+'!$AH$20,"F",IF(R408&lt;'PlayerGrades+'!$AH$19,"F+",IF(R408&lt;'PlayerGrades+'!$AH$18,"E-",IF(R408&lt;'PlayerGrades+'!$AH$17,"E",IF(R408&lt;'PlayerGrades+'!$AH$16,"E+",IF(R408&lt;'PlayerGrades+'!$AH$15,"D-",IF(R408&lt;'PlayerGrades+'!$AH$14,"D",IF(R408&lt;'PlayerGrades+'!$AH$13,"D+",IF(R408&lt;'PlayerGrades+'!$AH$12,"C-",IF(R408&lt;'PlayerGrades+'!$AH$11,"C",IF(R408&lt;'PlayerGrades+'!$AH$10,"C+",IF(R408&lt;'PlayerGrades+'!$AH$9,"B-",IF(R408&lt;'PlayerGrades+'!$AH$8,"B",IF(R408&lt;'PlayerGrades+'!$AH$7,"B+",IF(R408&lt;'PlayerGrades+'!$AH$6,"A-",IF(R408&lt;'PlayerGrades+'!$AH$5,"A",IF(R408&lt;'PlayerGrades+'!$AH$4,"A+",IF(R408&lt;'PlayerGrades+'!$AH$3,"S-",IF(R408&lt;'PlayerGrades+'!$AH$2,"S","S+"))))))))))))))))))))</f>
        <v>#DIV/0!</v>
      </c>
      <c r="T408" s="961">
        <f t="shared" si="9"/>
        <v>0</v>
      </c>
      <c r="U408" s="961" t="str">
        <f>IF(T408&lt;'PlayerGrades+'!$AI$21,"F-",IF(T408&lt;'PlayerGrades+'!$AI$20,"F",IF(T408&lt;'PlayerGrades+'!$AI$19,"F+",IF(T408&lt;'PlayerGrades+'!$AI$18,"E-",IF(T408&lt;'PlayerGrades+'!$AI$17,"E",IF(T408&lt;'PlayerGrades+'!$AI$16,"E+",IF(T408&lt;'PlayerGrades+'!$AI$15,"D-",IF(T408&lt;'PlayerGrades+'!$AI$14,"D",IF(T408&lt;'PlayerGrades+'!$AI$13,"D+",IF(T408&lt;'PlayerGrades+'!$AI$12,"C-",IF(T408&lt;'PlayerGrades+'!$AI$11,"C",IF(T408&lt;'PlayerGrades+'!$AI$10,"C+",IF(T408&lt;'PlayerGrades+'!$AI$9,"B-",IF(T408&lt;'PlayerGrades+'!$AI$8,"B",IF(T408&lt;'PlayerGrades+'!$AI$7,"B+",IF(T408&lt;'PlayerGrades+'!$AI$6,"A-",IF(T408&lt;'PlayerGrades+'!$AI$5,"A",IF(T408&lt;'PlayerGrades+'!$AI$4,"A+",IF(T408&lt;'PlayerGrades+'!$AI$3,"S-",IF(T408&lt;'PlayerGrades+'!$AI$2,"S","S+"))))))))))))))))))))</f>
        <v>F-</v>
      </c>
      <c r="AC408" s="1392"/>
    </row>
    <row r="409">
      <c r="A409" s="1393"/>
      <c r="B409" s="611" t="str">
        <f>IF(C409&lt;'PlayerGrades+'!$Y$44,"F-",IF(C409&lt;'PlayerGrades+'!$Y$43,"F",IF(C409&lt;'PlayerGrades+'!$Y$42,"F+",IF(C409&lt;'PlayerGrades+'!$Y$41,"E-",IF(C409&lt;'PlayerGrades+'!$Y$40,"E",IF(C409&lt;'PlayerGrades+'!$Y$39,"E+",IF(C409&lt;'PlayerGrades+'!$Y$38,"D-",IF(C409&lt;'PlayerGrades+'!$Y$37,"D",IF(C409&lt;'PlayerGrades+'!$Y$36,"D+",IF(C409&lt;'PlayerGrades+'!$Y$35,"C-",IF(C409&lt;'PlayerGrades+'!$Y$34,"C",IF(C409&lt;'PlayerGrades+'!$Y$33,"C+",IF(C409&lt;'PlayerGrades+'!$Y$32,"B-",IF(C409&lt;'PlayerGrades+'!$Y$31,"B",IF(C409&lt;'PlayerGrades+'!$Y$30,"B+",IF(C409&lt;'PlayerGrades+'!$Y$29,"A-",IF(C409&lt;'PlayerGrades+'!$Y$28,"A",IF(C409&lt;'PlayerGrades+'!$Y$27,"A+",IF(C409&lt;'PlayerGrades+'!$Y$26,"S-",IF(C409&lt;'PlayerGrades+'!$Y$25,"S","S+"))))))))))))))))))))</f>
        <v>#DIV/0!</v>
      </c>
      <c r="C409" s="1378" t="str">
        <f>('PlayerGrades+'!$Y$47*(VLOOKUP(E409, 'PlayerGrades+'!$X$3:$Y$23, 2, FALSE)))+('PlayerGrades+'!$Y$48*(VLOOKUP(G409, 'PlayerGrades+'!$X$3:$Y$23, 2, FALSE)))+('PlayerGrades+'!$Y$49*(VLOOKUP(I409, 'PlayerGrades+'!$X$3:$Y$23, 2, FALSE)))+('PlayerGrades+'!$Y$50*(VLOOKUP(K409, 'PlayerGrades+'!$X$3:$Y$23, 2, FALSE)))+('PlayerGrades+'!$Y$51*(VLOOKUP(M409, 'PlayerGrades+'!$X$3:$Y$23, 2, FALSE)))+('PlayerGrades+'!$Y$52*(VLOOKUP(O409, 'PlayerGrades+'!$X$3:$Y$23, 2, FALSE)))+('PlayerGrades+'!$Y$53*(VLOOKUP(Q409, 'PlayerGrades+'!$X$3:$Y$23, 2, FALSE)))+('PlayerGrades+'!$Y$54*(VLOOKUP(S409, 'PlayerGrades+'!$X$3:$Y$23, 2, FALSE)))+('PlayerGrades+'!$Y$55*(VLOOKUP(U409, 'PlayerGrades+'!$X$3:$Y$23, 2, FALSE)))</f>
        <v>#DIV/0!</v>
      </c>
      <c r="D409" s="961" t="str">
        <f t="shared" si="1"/>
        <v>#DIV/0!</v>
      </c>
      <c r="E409" s="961" t="str">
        <f>IF(D409&lt;'PlayerGrades+'!$AA$21,"F-",IF(D409&lt;'PlayerGrades+'!$AA$20,"F",IF(D409&lt;'PlayerGrades+'!$AA$19,"F+",IF(D409&lt;'PlayerGrades+'!$AA$18,"E-",IF(D409&lt;'PlayerGrades+'!$AA$17,"E",IF(D409&lt;'PlayerGrades+'!$AA$16,"E+",IF(D409&lt;'PlayerGrades+'!$AA$15,"D-",IF(D409&lt;'PlayerGrades+'!$AA$14,"D",IF(D409&lt;'PlayerGrades+'!$AA$13,"D+",IF(D409&lt;'PlayerGrades+'!$AA$12,"C-",IF(D409&lt;'PlayerGrades+'!$AA$11,"C",IF(D409&lt;'PlayerGrades+'!$AA$10,"C+",IF(D409&lt;'PlayerGrades+'!$AA$9,"B-",IF(D409&lt;'PlayerGrades+'!$AA$8,"B",IF(D409&lt;'PlayerGrades+'!$AA$7,"B+",IF(D409&lt;'PlayerGrades+'!$AA$6,"A-",IF(D409&lt;'PlayerGrades+'!$AA$5,"A",IF(D409&lt;'PlayerGrades+'!$AA$4,"A+",IF(D409&lt;'PlayerGrades+'!$AA$3,"S-",IF(D409&lt;'PlayerGrades+'!$AA$2,"S","S+"))))))))))))))))))))</f>
        <v>#DIV/0!</v>
      </c>
      <c r="F409" s="961" t="str">
        <f t="shared" si="2"/>
        <v>#DIV/0!</v>
      </c>
      <c r="G409" s="961" t="str">
        <f>IF(F409&lt;'PlayerGrades+'!$AB$21,"F-",IF(F409&lt;'PlayerGrades+'!$AB$20,"F",IF(F409&lt;'PlayerGrades+'!$AB$19,"F+",IF(F409&lt;'PlayerGrades+'!$AB$18,"E-",IF(F409&lt;'PlayerGrades+'!$AB$17,"E",IF(F409&lt;'PlayerGrades+'!$AB$16,"E+",IF(F409&lt;'PlayerGrades+'!$AB$15,"D-",IF(F409&lt;'PlayerGrades+'!$AB$14,"D",IF(F409&lt;'PlayerGrades+'!$AB$13,"D+",IF(F409&lt;'PlayerGrades+'!$AB$12,"C-",IF(F409&lt;'PlayerGrades+'!$AB$11,"C",IF(F409&lt;'PlayerGrades+'!$AB$10,"C+",IF(F409&lt;'PlayerGrades+'!$AB$9,"B-",IF(F409&lt;'PlayerGrades+'!$AB$8,"B",IF(F409&lt;'PlayerGrades+'!$AB$7,"B+",IF(F409&lt;'PlayerGrades+'!$AB$6,"A-",IF(F409&lt;'PlayerGrades+'!$AB$5,"A",IF(F409&lt;'PlayerGrades+'!$AB$4,"A+",IF(F409&lt;'PlayerGrades+'!$AB$3,"S-",IF(F409&lt;'PlayerGrades+'!$AB$2,"S","S+"))))))))))))))))))))</f>
        <v>#DIV/0!</v>
      </c>
      <c r="H409" s="961" t="str">
        <f t="shared" si="3"/>
        <v>#DIV/0!</v>
      </c>
      <c r="I409" s="961" t="str">
        <f>IF(H409&lt;'PlayerGrades+'!$AC$21,"F-",IF(H409&lt;'PlayerGrades+'!$AC$20,"F",IF(H409&lt;'PlayerGrades+'!$AC$19,"F+",IF(H409&lt;'PlayerGrades+'!$AC$18,"E-",IF(H409&lt;'PlayerGrades+'!$AC$17,"E",IF(H409&lt;'PlayerGrades+'!$AC$16,"E+",IF(H409&lt;'PlayerGrades+'!$AC$15,"D-",IF(H409&lt;'PlayerGrades+'!$AC$14,"D",IF(H409&lt;'PlayerGrades+'!$AC$13,"D+",IF(H409&lt;'PlayerGrades+'!$AC$12,"C-",IF(H409&lt;'PlayerGrades+'!$AC$11,"C",IF(H409&lt;'PlayerGrades+'!$AC$10,"C+",IF(H409&lt;'PlayerGrades+'!$AC$9,"B-",IF(H409&lt;'PlayerGrades+'!$AC$8,"B",IF(H409&lt;'PlayerGrades+'!$AC$7,"B+",IF(H409&lt;'PlayerGrades+'!$AC$6,"A-",IF(H409&lt;'PlayerGrades+'!$AC$5,"A",IF(H409&lt;'PlayerGrades+'!$AC$4,"A+",IF(H409&lt;'PlayerGrades+'!$AC$3,"S-",IF(H409&lt;'PlayerGrades+'!$AC$2,"S","S+"))))))))))))))))))))</f>
        <v>#DIV/0!</v>
      </c>
      <c r="J409" s="961" t="str">
        <f t="shared" si="4"/>
        <v>#DIV/0!</v>
      </c>
      <c r="K409" s="961" t="str">
        <f>IF(J409&lt;'PlayerGrades+'!$AD$21,"F-",IF(J409&lt;'PlayerGrades+'!$AD$20,"F",IF(J409&lt;'PlayerGrades+'!$AD$19,"F+",IF(J409&lt;'PlayerGrades+'!$AD$18,"E-",IF(J409&lt;'PlayerGrades+'!$AD$17,"E",IF(J409&lt;'PlayerGrades+'!$AD$16,"E+",IF(J409&lt;'PlayerGrades+'!$AD$15,"D-",IF(J409&lt;'PlayerGrades+'!$AD$14,"D",IF(J409&lt;'PlayerGrades+'!$AD$13,"D+",IF(J409&lt;'PlayerGrades+'!$AD$12,"C-",IF(J409&lt;'PlayerGrades+'!$AD$11,"C",IF(J409&lt;'PlayerGrades+'!$AD$10,"C+",IF(J409&lt;'PlayerGrades+'!$AD$9,"B-",IF(J409&lt;'PlayerGrades+'!$AD$8,"B",IF(J409&lt;'PlayerGrades+'!$AD$7,"B+",IF(J409&lt;'PlayerGrades+'!$AD$6,"A-",IF(J409&lt;'PlayerGrades+'!$AD$5,"A",IF(J409&lt;'PlayerGrades+'!$AD$4,"A+",IF(J409&lt;'PlayerGrades+'!$AD$3,"S-",IF(J409&lt;'PlayerGrades+'!$AD$2,"S","S+"))))))))))))))))))))</f>
        <v>#DIV/0!</v>
      </c>
      <c r="L409" s="1176" t="str">
        <f t="shared" si="5"/>
        <v>#DIV/0!</v>
      </c>
      <c r="M409" s="992" t="str">
        <f>IF(L409&lt;'PlayerGrades+'!$AE$21,"F-",IF(L409&lt;'PlayerGrades+'!$AE$20,"F",IF(L409&lt;'PlayerGrades+'!$AE$19,"F+",IF(L409&lt;'PlayerGrades+'!$AE$18,"E-",IF(L409&lt;'PlayerGrades+'!$AE$17,"E",IF(L409&lt;'PlayerGrades+'!$AE$16,"E+",IF(L409&lt;'PlayerGrades+'!$AE$15,"D-",IF(L409&lt;'PlayerGrades+'!$AE$14,"D",IF(L409&lt;'PlayerGrades+'!$AE$13,"D+",IF(L409&lt;'PlayerGrades+'!$AE$12,"C-",IF(L409&lt;'PlayerGrades+'!$AE$11,"C",IF(L409&lt;'PlayerGrades+'!$AE$10,"C+",IF(L409&lt;'PlayerGrades+'!$AE$9,"B-",IF(L409&lt;'PlayerGrades+'!$AE$8,"B",IF(L409&lt;'PlayerGrades+'!$AE$7,"B+",IF(L409&lt;'PlayerGrades+'!$AE$6,"A-",IF(L409&lt;'PlayerGrades+'!$AE$5,"A",IF(L409&lt;'PlayerGrades+'!$AE$4,"A+",IF(L409&lt;'PlayerGrades+'!$AE$3,"S-",IF(L409&lt;'PlayerGrades+'!$AE$2,"S","S+"))))))))))))))))))))</f>
        <v>#DIV/0!</v>
      </c>
      <c r="N409" s="961" t="str">
        <f t="shared" si="6"/>
        <v>#DIV/0!</v>
      </c>
      <c r="O409" s="961" t="str">
        <f>IF(N409&lt;'PlayerGrades+'!$AF$21,"F-",IF(N409&lt;'PlayerGrades+'!$AF$20,"F",IF(N409&lt;'PlayerGrades+'!$AF$19,"F+",IF(N409&lt;'PlayerGrades+'!$AF$18,"E-",IF(N409&lt;'PlayerGrades+'!$AF$17,"E",IF(N409&lt;'PlayerGrades+'!$AF$16,"E+",IF(N409&lt;'PlayerGrades+'!$AF$15,"D-",IF(N409&lt;'PlayerGrades+'!$AF$14,"D",IF(N409&lt;'PlayerGrades+'!$AF$13,"D+",IF(N409&lt;'PlayerGrades+'!$AF$12,"C-",IF(N409&lt;'PlayerGrades+'!$AF$11,"C",IF(N409&lt;'PlayerGrades+'!$AF$10,"C+",IF(N409&lt;'PlayerGrades+'!$AF$9,"B-",IF(N409&lt;'PlayerGrades+'!$AF$8,"B",IF(N409&lt;'PlayerGrades+'!$AF$7,"B+",IF(N409&lt;'PlayerGrades+'!$AF$6,"A-",IF(N409&lt;'PlayerGrades+'!$AF$5,"A",IF(N409&lt;'PlayerGrades+'!$AF$4,"A+",IF(N409&lt;'PlayerGrades+'!$AF$3,"S-",IF(N409&lt;'PlayerGrades+'!$AF$2,"S","S+"))))))))))))))))))))</f>
        <v>#DIV/0!</v>
      </c>
      <c r="P409" s="961" t="str">
        <f t="shared" si="7"/>
        <v>#DIV/0!</v>
      </c>
      <c r="Q409" s="961" t="str">
        <f>IF(P409&lt;'PlayerGrades+'!$AG$21,"F-",IF(P409&lt;'PlayerGrades+'!$AG$20,"F",IF(P409&lt;'PlayerGrades+'!$AG$19,"F+",IF(P409&lt;'PlayerGrades+'!$AG$18,"E-",IF(P409&lt;'PlayerGrades+'!$AG$17,"E",IF(P409&lt;'PlayerGrades+'!$AG$16,"E+",IF(P409&lt;'PlayerGrades+'!$AG$15,"D-",IF(P409&lt;'PlayerGrades+'!$AG$14,"D",IF(P409&lt;'PlayerGrades+'!$AG$13,"D+",IF(P409&lt;'PlayerGrades+'!$AG$12,"C-",IF(P409&lt;'PlayerGrades+'!$AG$11,"C",IF(P409&lt;'PlayerGrades+'!$AG$10,"C+",IF(P409&lt;'PlayerGrades+'!$AG$9,"B-",IF(P409&lt;'PlayerGrades+'!$AG$8,"B",IF(P409&lt;'PlayerGrades+'!$AG$7,"B+",IF(P409&lt;'PlayerGrades+'!$AG$6,"A-",IF(P409&lt;'PlayerGrades+'!$AG$5,"A",IF(P409&lt;'PlayerGrades+'!$AG$4,"A+",IF(P409&lt;'PlayerGrades+'!$AG$3,"S-",IF(P409&lt;'PlayerGrades+'!$AG$2,"S","S+"))))))))))))))))))))</f>
        <v>#DIV/0!</v>
      </c>
      <c r="R409" s="961" t="str">
        <f t="shared" si="8"/>
        <v>#DIV/0!</v>
      </c>
      <c r="S409" s="961" t="str">
        <f>IF(R409&lt;'PlayerGrades+'!$AH$21,"F-",IF(R409&lt;'PlayerGrades+'!$AH$20,"F",IF(R409&lt;'PlayerGrades+'!$AH$19,"F+",IF(R409&lt;'PlayerGrades+'!$AH$18,"E-",IF(R409&lt;'PlayerGrades+'!$AH$17,"E",IF(R409&lt;'PlayerGrades+'!$AH$16,"E+",IF(R409&lt;'PlayerGrades+'!$AH$15,"D-",IF(R409&lt;'PlayerGrades+'!$AH$14,"D",IF(R409&lt;'PlayerGrades+'!$AH$13,"D+",IF(R409&lt;'PlayerGrades+'!$AH$12,"C-",IF(R409&lt;'PlayerGrades+'!$AH$11,"C",IF(R409&lt;'PlayerGrades+'!$AH$10,"C+",IF(R409&lt;'PlayerGrades+'!$AH$9,"B-",IF(R409&lt;'PlayerGrades+'!$AH$8,"B",IF(R409&lt;'PlayerGrades+'!$AH$7,"B+",IF(R409&lt;'PlayerGrades+'!$AH$6,"A-",IF(R409&lt;'PlayerGrades+'!$AH$5,"A",IF(R409&lt;'PlayerGrades+'!$AH$4,"A+",IF(R409&lt;'PlayerGrades+'!$AH$3,"S-",IF(R409&lt;'PlayerGrades+'!$AH$2,"S","S+"))))))))))))))))))))</f>
        <v>#DIV/0!</v>
      </c>
      <c r="T409" s="961">
        <f t="shared" si="9"/>
        <v>0</v>
      </c>
      <c r="U409" s="961" t="str">
        <f>IF(T409&lt;'PlayerGrades+'!$AI$21,"F-",IF(T409&lt;'PlayerGrades+'!$AI$20,"F",IF(T409&lt;'PlayerGrades+'!$AI$19,"F+",IF(T409&lt;'PlayerGrades+'!$AI$18,"E-",IF(T409&lt;'PlayerGrades+'!$AI$17,"E",IF(T409&lt;'PlayerGrades+'!$AI$16,"E+",IF(T409&lt;'PlayerGrades+'!$AI$15,"D-",IF(T409&lt;'PlayerGrades+'!$AI$14,"D",IF(T409&lt;'PlayerGrades+'!$AI$13,"D+",IF(T409&lt;'PlayerGrades+'!$AI$12,"C-",IF(T409&lt;'PlayerGrades+'!$AI$11,"C",IF(T409&lt;'PlayerGrades+'!$AI$10,"C+",IF(T409&lt;'PlayerGrades+'!$AI$9,"B-",IF(T409&lt;'PlayerGrades+'!$AI$8,"B",IF(T409&lt;'PlayerGrades+'!$AI$7,"B+",IF(T409&lt;'PlayerGrades+'!$AI$6,"A-",IF(T409&lt;'PlayerGrades+'!$AI$5,"A",IF(T409&lt;'PlayerGrades+'!$AI$4,"A+",IF(T409&lt;'PlayerGrades+'!$AI$3,"S-",IF(T409&lt;'PlayerGrades+'!$AI$2,"S","S+"))))))))))))))))))))</f>
        <v>F-</v>
      </c>
      <c r="V409" s="1386"/>
      <c r="W409" s="1386"/>
      <c r="X409" s="1386"/>
      <c r="Y409" s="1386"/>
      <c r="Z409" s="1386"/>
      <c r="AA409" s="1386"/>
      <c r="AB409" s="1386"/>
      <c r="AC409" s="1397"/>
      <c r="AD409" s="1386"/>
      <c r="AE409" s="1386"/>
      <c r="AF409" s="1386"/>
      <c r="AG409" s="1386"/>
      <c r="AH409" s="1386"/>
      <c r="AI409" s="1386"/>
      <c r="AJ409" s="1386"/>
      <c r="AK409" s="1386"/>
      <c r="AL409" s="1386"/>
      <c r="AM409" s="1386"/>
      <c r="AN409" s="1386"/>
      <c r="AO409" s="1386"/>
      <c r="AP409" s="1386"/>
      <c r="AQ409" s="1386"/>
      <c r="AR409" s="1386"/>
      <c r="AS409" s="1386"/>
      <c r="AT409" s="1386"/>
      <c r="AU409" s="1386"/>
      <c r="AV409" s="1386"/>
      <c r="AW409" s="1386"/>
      <c r="AX409" s="1386"/>
      <c r="AY409" s="1386"/>
      <c r="AZ409" s="1386"/>
    </row>
    <row r="410">
      <c r="A410" s="1389"/>
      <c r="B410" s="611" t="str">
        <f>IF(C410&lt;'PlayerGrades+'!$Y$44,"F-",IF(C410&lt;'PlayerGrades+'!$Y$43,"F",IF(C410&lt;'PlayerGrades+'!$Y$42,"F+",IF(C410&lt;'PlayerGrades+'!$Y$41,"E-",IF(C410&lt;'PlayerGrades+'!$Y$40,"E",IF(C410&lt;'PlayerGrades+'!$Y$39,"E+",IF(C410&lt;'PlayerGrades+'!$Y$38,"D-",IF(C410&lt;'PlayerGrades+'!$Y$37,"D",IF(C410&lt;'PlayerGrades+'!$Y$36,"D+",IF(C410&lt;'PlayerGrades+'!$Y$35,"C-",IF(C410&lt;'PlayerGrades+'!$Y$34,"C",IF(C410&lt;'PlayerGrades+'!$Y$33,"C+",IF(C410&lt;'PlayerGrades+'!$Y$32,"B-",IF(C410&lt;'PlayerGrades+'!$Y$31,"B",IF(C410&lt;'PlayerGrades+'!$Y$30,"B+",IF(C410&lt;'PlayerGrades+'!$Y$29,"A-",IF(C410&lt;'PlayerGrades+'!$Y$28,"A",IF(C410&lt;'PlayerGrades+'!$Y$27,"A+",IF(C410&lt;'PlayerGrades+'!$Y$26,"S-",IF(C410&lt;'PlayerGrades+'!$Y$25,"S","S+"))))))))))))))))))))</f>
        <v>#DIV/0!</v>
      </c>
      <c r="C410" s="1378" t="str">
        <f>('PlayerGrades+'!$Y$47*(VLOOKUP(E410, 'PlayerGrades+'!$X$3:$Y$23, 2, FALSE)))+('PlayerGrades+'!$Y$48*(VLOOKUP(G410, 'PlayerGrades+'!$X$3:$Y$23, 2, FALSE)))+('PlayerGrades+'!$Y$49*(VLOOKUP(I410, 'PlayerGrades+'!$X$3:$Y$23, 2, FALSE)))+('PlayerGrades+'!$Y$50*(VLOOKUP(K410, 'PlayerGrades+'!$X$3:$Y$23, 2, FALSE)))+('PlayerGrades+'!$Y$51*(VLOOKUP(M410, 'PlayerGrades+'!$X$3:$Y$23, 2, FALSE)))+('PlayerGrades+'!$Y$52*(VLOOKUP(O410, 'PlayerGrades+'!$X$3:$Y$23, 2, FALSE)))+('PlayerGrades+'!$Y$53*(VLOOKUP(Q410, 'PlayerGrades+'!$X$3:$Y$23, 2, FALSE)))+('PlayerGrades+'!$Y$54*(VLOOKUP(S410, 'PlayerGrades+'!$X$3:$Y$23, 2, FALSE)))+('PlayerGrades+'!$Y$55*(VLOOKUP(U410, 'PlayerGrades+'!$X$3:$Y$23, 2, FALSE)))</f>
        <v>#DIV/0!</v>
      </c>
      <c r="D410" s="961" t="str">
        <f t="shared" si="1"/>
        <v>#DIV/0!</v>
      </c>
      <c r="E410" s="961" t="str">
        <f>IF(D410&lt;'PlayerGrades+'!$AA$21,"F-",IF(D410&lt;'PlayerGrades+'!$AA$20,"F",IF(D410&lt;'PlayerGrades+'!$AA$19,"F+",IF(D410&lt;'PlayerGrades+'!$AA$18,"E-",IF(D410&lt;'PlayerGrades+'!$AA$17,"E",IF(D410&lt;'PlayerGrades+'!$AA$16,"E+",IF(D410&lt;'PlayerGrades+'!$AA$15,"D-",IF(D410&lt;'PlayerGrades+'!$AA$14,"D",IF(D410&lt;'PlayerGrades+'!$AA$13,"D+",IF(D410&lt;'PlayerGrades+'!$AA$12,"C-",IF(D410&lt;'PlayerGrades+'!$AA$11,"C",IF(D410&lt;'PlayerGrades+'!$AA$10,"C+",IF(D410&lt;'PlayerGrades+'!$AA$9,"B-",IF(D410&lt;'PlayerGrades+'!$AA$8,"B",IF(D410&lt;'PlayerGrades+'!$AA$7,"B+",IF(D410&lt;'PlayerGrades+'!$AA$6,"A-",IF(D410&lt;'PlayerGrades+'!$AA$5,"A",IF(D410&lt;'PlayerGrades+'!$AA$4,"A+",IF(D410&lt;'PlayerGrades+'!$AA$3,"S-",IF(D410&lt;'PlayerGrades+'!$AA$2,"S","S+"))))))))))))))))))))</f>
        <v>#DIV/0!</v>
      </c>
      <c r="F410" s="961" t="str">
        <f t="shared" si="2"/>
        <v>#DIV/0!</v>
      </c>
      <c r="G410" s="961" t="str">
        <f>IF(F410&lt;'PlayerGrades+'!$AB$21,"F-",IF(F410&lt;'PlayerGrades+'!$AB$20,"F",IF(F410&lt;'PlayerGrades+'!$AB$19,"F+",IF(F410&lt;'PlayerGrades+'!$AB$18,"E-",IF(F410&lt;'PlayerGrades+'!$AB$17,"E",IF(F410&lt;'PlayerGrades+'!$AB$16,"E+",IF(F410&lt;'PlayerGrades+'!$AB$15,"D-",IF(F410&lt;'PlayerGrades+'!$AB$14,"D",IF(F410&lt;'PlayerGrades+'!$AB$13,"D+",IF(F410&lt;'PlayerGrades+'!$AB$12,"C-",IF(F410&lt;'PlayerGrades+'!$AB$11,"C",IF(F410&lt;'PlayerGrades+'!$AB$10,"C+",IF(F410&lt;'PlayerGrades+'!$AB$9,"B-",IF(F410&lt;'PlayerGrades+'!$AB$8,"B",IF(F410&lt;'PlayerGrades+'!$AB$7,"B+",IF(F410&lt;'PlayerGrades+'!$AB$6,"A-",IF(F410&lt;'PlayerGrades+'!$AB$5,"A",IF(F410&lt;'PlayerGrades+'!$AB$4,"A+",IF(F410&lt;'PlayerGrades+'!$AB$3,"S-",IF(F410&lt;'PlayerGrades+'!$AB$2,"S","S+"))))))))))))))))))))</f>
        <v>#DIV/0!</v>
      </c>
      <c r="H410" s="961" t="str">
        <f t="shared" si="3"/>
        <v>#DIV/0!</v>
      </c>
      <c r="I410" s="961" t="str">
        <f>IF(H410&lt;'PlayerGrades+'!$AC$21,"F-",IF(H410&lt;'PlayerGrades+'!$AC$20,"F",IF(H410&lt;'PlayerGrades+'!$AC$19,"F+",IF(H410&lt;'PlayerGrades+'!$AC$18,"E-",IF(H410&lt;'PlayerGrades+'!$AC$17,"E",IF(H410&lt;'PlayerGrades+'!$AC$16,"E+",IF(H410&lt;'PlayerGrades+'!$AC$15,"D-",IF(H410&lt;'PlayerGrades+'!$AC$14,"D",IF(H410&lt;'PlayerGrades+'!$AC$13,"D+",IF(H410&lt;'PlayerGrades+'!$AC$12,"C-",IF(H410&lt;'PlayerGrades+'!$AC$11,"C",IF(H410&lt;'PlayerGrades+'!$AC$10,"C+",IF(H410&lt;'PlayerGrades+'!$AC$9,"B-",IF(H410&lt;'PlayerGrades+'!$AC$8,"B",IF(H410&lt;'PlayerGrades+'!$AC$7,"B+",IF(H410&lt;'PlayerGrades+'!$AC$6,"A-",IF(H410&lt;'PlayerGrades+'!$AC$5,"A",IF(H410&lt;'PlayerGrades+'!$AC$4,"A+",IF(H410&lt;'PlayerGrades+'!$AC$3,"S-",IF(H410&lt;'PlayerGrades+'!$AC$2,"S","S+"))))))))))))))))))))</f>
        <v>#DIV/0!</v>
      </c>
      <c r="J410" s="961" t="str">
        <f t="shared" si="4"/>
        <v>#DIV/0!</v>
      </c>
      <c r="K410" s="961" t="str">
        <f>IF(J410&lt;'PlayerGrades+'!$AD$21,"F-",IF(J410&lt;'PlayerGrades+'!$AD$20,"F",IF(J410&lt;'PlayerGrades+'!$AD$19,"F+",IF(J410&lt;'PlayerGrades+'!$AD$18,"E-",IF(J410&lt;'PlayerGrades+'!$AD$17,"E",IF(J410&lt;'PlayerGrades+'!$AD$16,"E+",IF(J410&lt;'PlayerGrades+'!$AD$15,"D-",IF(J410&lt;'PlayerGrades+'!$AD$14,"D",IF(J410&lt;'PlayerGrades+'!$AD$13,"D+",IF(J410&lt;'PlayerGrades+'!$AD$12,"C-",IF(J410&lt;'PlayerGrades+'!$AD$11,"C",IF(J410&lt;'PlayerGrades+'!$AD$10,"C+",IF(J410&lt;'PlayerGrades+'!$AD$9,"B-",IF(J410&lt;'PlayerGrades+'!$AD$8,"B",IF(J410&lt;'PlayerGrades+'!$AD$7,"B+",IF(J410&lt;'PlayerGrades+'!$AD$6,"A-",IF(J410&lt;'PlayerGrades+'!$AD$5,"A",IF(J410&lt;'PlayerGrades+'!$AD$4,"A+",IF(J410&lt;'PlayerGrades+'!$AD$3,"S-",IF(J410&lt;'PlayerGrades+'!$AD$2,"S","S+"))))))))))))))))))))</f>
        <v>#DIV/0!</v>
      </c>
      <c r="L410" s="1176" t="str">
        <f t="shared" si="5"/>
        <v>#DIV/0!</v>
      </c>
      <c r="M410" s="992" t="str">
        <f>IF(L410&lt;'PlayerGrades+'!$AE$21,"F-",IF(L410&lt;'PlayerGrades+'!$AE$20,"F",IF(L410&lt;'PlayerGrades+'!$AE$19,"F+",IF(L410&lt;'PlayerGrades+'!$AE$18,"E-",IF(L410&lt;'PlayerGrades+'!$AE$17,"E",IF(L410&lt;'PlayerGrades+'!$AE$16,"E+",IF(L410&lt;'PlayerGrades+'!$AE$15,"D-",IF(L410&lt;'PlayerGrades+'!$AE$14,"D",IF(L410&lt;'PlayerGrades+'!$AE$13,"D+",IF(L410&lt;'PlayerGrades+'!$AE$12,"C-",IF(L410&lt;'PlayerGrades+'!$AE$11,"C",IF(L410&lt;'PlayerGrades+'!$AE$10,"C+",IF(L410&lt;'PlayerGrades+'!$AE$9,"B-",IF(L410&lt;'PlayerGrades+'!$AE$8,"B",IF(L410&lt;'PlayerGrades+'!$AE$7,"B+",IF(L410&lt;'PlayerGrades+'!$AE$6,"A-",IF(L410&lt;'PlayerGrades+'!$AE$5,"A",IF(L410&lt;'PlayerGrades+'!$AE$4,"A+",IF(L410&lt;'PlayerGrades+'!$AE$3,"S-",IF(L410&lt;'PlayerGrades+'!$AE$2,"S","S+"))))))))))))))))))))</f>
        <v>#DIV/0!</v>
      </c>
      <c r="N410" s="961" t="str">
        <f t="shared" si="6"/>
        <v>#DIV/0!</v>
      </c>
      <c r="O410" s="961" t="str">
        <f>IF(N410&lt;'PlayerGrades+'!$AF$21,"F-",IF(N410&lt;'PlayerGrades+'!$AF$20,"F",IF(N410&lt;'PlayerGrades+'!$AF$19,"F+",IF(N410&lt;'PlayerGrades+'!$AF$18,"E-",IF(N410&lt;'PlayerGrades+'!$AF$17,"E",IF(N410&lt;'PlayerGrades+'!$AF$16,"E+",IF(N410&lt;'PlayerGrades+'!$AF$15,"D-",IF(N410&lt;'PlayerGrades+'!$AF$14,"D",IF(N410&lt;'PlayerGrades+'!$AF$13,"D+",IF(N410&lt;'PlayerGrades+'!$AF$12,"C-",IF(N410&lt;'PlayerGrades+'!$AF$11,"C",IF(N410&lt;'PlayerGrades+'!$AF$10,"C+",IF(N410&lt;'PlayerGrades+'!$AF$9,"B-",IF(N410&lt;'PlayerGrades+'!$AF$8,"B",IF(N410&lt;'PlayerGrades+'!$AF$7,"B+",IF(N410&lt;'PlayerGrades+'!$AF$6,"A-",IF(N410&lt;'PlayerGrades+'!$AF$5,"A",IF(N410&lt;'PlayerGrades+'!$AF$4,"A+",IF(N410&lt;'PlayerGrades+'!$AF$3,"S-",IF(N410&lt;'PlayerGrades+'!$AF$2,"S","S+"))))))))))))))))))))</f>
        <v>#DIV/0!</v>
      </c>
      <c r="P410" s="961" t="str">
        <f t="shared" si="7"/>
        <v>#DIV/0!</v>
      </c>
      <c r="Q410" s="961" t="str">
        <f>IF(P410&lt;'PlayerGrades+'!$AG$21,"F-",IF(P410&lt;'PlayerGrades+'!$AG$20,"F",IF(P410&lt;'PlayerGrades+'!$AG$19,"F+",IF(P410&lt;'PlayerGrades+'!$AG$18,"E-",IF(P410&lt;'PlayerGrades+'!$AG$17,"E",IF(P410&lt;'PlayerGrades+'!$AG$16,"E+",IF(P410&lt;'PlayerGrades+'!$AG$15,"D-",IF(P410&lt;'PlayerGrades+'!$AG$14,"D",IF(P410&lt;'PlayerGrades+'!$AG$13,"D+",IF(P410&lt;'PlayerGrades+'!$AG$12,"C-",IF(P410&lt;'PlayerGrades+'!$AG$11,"C",IF(P410&lt;'PlayerGrades+'!$AG$10,"C+",IF(P410&lt;'PlayerGrades+'!$AG$9,"B-",IF(P410&lt;'PlayerGrades+'!$AG$8,"B",IF(P410&lt;'PlayerGrades+'!$AG$7,"B+",IF(P410&lt;'PlayerGrades+'!$AG$6,"A-",IF(P410&lt;'PlayerGrades+'!$AG$5,"A",IF(P410&lt;'PlayerGrades+'!$AG$4,"A+",IF(P410&lt;'PlayerGrades+'!$AG$3,"S-",IF(P410&lt;'PlayerGrades+'!$AG$2,"S","S+"))))))))))))))))))))</f>
        <v>#DIV/0!</v>
      </c>
      <c r="R410" s="961" t="str">
        <f t="shared" si="8"/>
        <v>#DIV/0!</v>
      </c>
      <c r="S410" s="961" t="str">
        <f>IF(R410&lt;'PlayerGrades+'!$AH$21,"F-",IF(R410&lt;'PlayerGrades+'!$AH$20,"F",IF(R410&lt;'PlayerGrades+'!$AH$19,"F+",IF(R410&lt;'PlayerGrades+'!$AH$18,"E-",IF(R410&lt;'PlayerGrades+'!$AH$17,"E",IF(R410&lt;'PlayerGrades+'!$AH$16,"E+",IF(R410&lt;'PlayerGrades+'!$AH$15,"D-",IF(R410&lt;'PlayerGrades+'!$AH$14,"D",IF(R410&lt;'PlayerGrades+'!$AH$13,"D+",IF(R410&lt;'PlayerGrades+'!$AH$12,"C-",IF(R410&lt;'PlayerGrades+'!$AH$11,"C",IF(R410&lt;'PlayerGrades+'!$AH$10,"C+",IF(R410&lt;'PlayerGrades+'!$AH$9,"B-",IF(R410&lt;'PlayerGrades+'!$AH$8,"B",IF(R410&lt;'PlayerGrades+'!$AH$7,"B+",IF(R410&lt;'PlayerGrades+'!$AH$6,"A-",IF(R410&lt;'PlayerGrades+'!$AH$5,"A",IF(R410&lt;'PlayerGrades+'!$AH$4,"A+",IF(R410&lt;'PlayerGrades+'!$AH$3,"S-",IF(R410&lt;'PlayerGrades+'!$AH$2,"S","S+"))))))))))))))))))))</f>
        <v>#DIV/0!</v>
      </c>
      <c r="T410" s="961">
        <f t="shared" si="9"/>
        <v>0</v>
      </c>
      <c r="U410" s="961" t="str">
        <f>IF(T410&lt;'PlayerGrades+'!$AI$21,"F-",IF(T410&lt;'PlayerGrades+'!$AI$20,"F",IF(T410&lt;'PlayerGrades+'!$AI$19,"F+",IF(T410&lt;'PlayerGrades+'!$AI$18,"E-",IF(T410&lt;'PlayerGrades+'!$AI$17,"E",IF(T410&lt;'PlayerGrades+'!$AI$16,"E+",IF(T410&lt;'PlayerGrades+'!$AI$15,"D-",IF(T410&lt;'PlayerGrades+'!$AI$14,"D",IF(T410&lt;'PlayerGrades+'!$AI$13,"D+",IF(T410&lt;'PlayerGrades+'!$AI$12,"C-",IF(T410&lt;'PlayerGrades+'!$AI$11,"C",IF(T410&lt;'PlayerGrades+'!$AI$10,"C+",IF(T410&lt;'PlayerGrades+'!$AI$9,"B-",IF(T410&lt;'PlayerGrades+'!$AI$8,"B",IF(T410&lt;'PlayerGrades+'!$AI$7,"B+",IF(T410&lt;'PlayerGrades+'!$AI$6,"A-",IF(T410&lt;'PlayerGrades+'!$AI$5,"A",IF(T410&lt;'PlayerGrades+'!$AI$4,"A+",IF(T410&lt;'PlayerGrades+'!$AI$3,"S-",IF(T410&lt;'PlayerGrades+'!$AI$2,"S","S+"))))))))))))))))))))</f>
        <v>F-</v>
      </c>
      <c r="V410" s="1379"/>
      <c r="W410" s="1379"/>
      <c r="X410" s="1379"/>
      <c r="Y410" s="1379"/>
      <c r="Z410" s="1379"/>
      <c r="AA410" s="1379"/>
      <c r="AB410" s="1379"/>
      <c r="AC410" s="1390"/>
      <c r="AD410" s="1379"/>
      <c r="AE410" s="1379"/>
      <c r="AF410" s="1379"/>
      <c r="AG410" s="1379"/>
      <c r="AH410" s="1379"/>
      <c r="AI410" s="1379"/>
      <c r="AJ410" s="1379"/>
      <c r="AK410" s="1379"/>
      <c r="AL410" s="1379"/>
      <c r="AM410" s="1379"/>
      <c r="AN410" s="1379"/>
      <c r="AO410" s="1379"/>
      <c r="AP410" s="1379"/>
      <c r="AQ410" s="1379"/>
      <c r="AR410" s="1379"/>
      <c r="AS410" s="1379"/>
      <c r="AT410" s="1379"/>
      <c r="AU410" s="1379"/>
      <c r="AV410" s="1379"/>
      <c r="AW410" s="1379"/>
      <c r="AX410" s="1379"/>
      <c r="AY410" s="1379"/>
      <c r="AZ410" s="1379"/>
    </row>
    <row r="411">
      <c r="A411" s="1391"/>
      <c r="B411" s="611" t="str">
        <f>IF(C411&lt;'PlayerGrades+'!$Y$44,"F-",IF(C411&lt;'PlayerGrades+'!$Y$43,"F",IF(C411&lt;'PlayerGrades+'!$Y$42,"F+",IF(C411&lt;'PlayerGrades+'!$Y$41,"E-",IF(C411&lt;'PlayerGrades+'!$Y$40,"E",IF(C411&lt;'PlayerGrades+'!$Y$39,"E+",IF(C411&lt;'PlayerGrades+'!$Y$38,"D-",IF(C411&lt;'PlayerGrades+'!$Y$37,"D",IF(C411&lt;'PlayerGrades+'!$Y$36,"D+",IF(C411&lt;'PlayerGrades+'!$Y$35,"C-",IF(C411&lt;'PlayerGrades+'!$Y$34,"C",IF(C411&lt;'PlayerGrades+'!$Y$33,"C+",IF(C411&lt;'PlayerGrades+'!$Y$32,"B-",IF(C411&lt;'PlayerGrades+'!$Y$31,"B",IF(C411&lt;'PlayerGrades+'!$Y$30,"B+",IF(C411&lt;'PlayerGrades+'!$Y$29,"A-",IF(C411&lt;'PlayerGrades+'!$Y$28,"A",IF(C411&lt;'PlayerGrades+'!$Y$27,"A+",IF(C411&lt;'PlayerGrades+'!$Y$26,"S-",IF(C411&lt;'PlayerGrades+'!$Y$25,"S","S+"))))))))))))))))))))</f>
        <v>#DIV/0!</v>
      </c>
      <c r="C411" s="1378" t="str">
        <f>('PlayerGrades+'!$Y$47*(VLOOKUP(E411, 'PlayerGrades+'!$X$3:$Y$23, 2, FALSE)))+('PlayerGrades+'!$Y$48*(VLOOKUP(G411, 'PlayerGrades+'!$X$3:$Y$23, 2, FALSE)))+('PlayerGrades+'!$Y$49*(VLOOKUP(I411, 'PlayerGrades+'!$X$3:$Y$23, 2, FALSE)))+('PlayerGrades+'!$Y$50*(VLOOKUP(K411, 'PlayerGrades+'!$X$3:$Y$23, 2, FALSE)))+('PlayerGrades+'!$Y$51*(VLOOKUP(M411, 'PlayerGrades+'!$X$3:$Y$23, 2, FALSE)))+('PlayerGrades+'!$Y$52*(VLOOKUP(O411, 'PlayerGrades+'!$X$3:$Y$23, 2, FALSE)))+('PlayerGrades+'!$Y$53*(VLOOKUP(Q411, 'PlayerGrades+'!$X$3:$Y$23, 2, FALSE)))+('PlayerGrades+'!$Y$54*(VLOOKUP(S411, 'PlayerGrades+'!$X$3:$Y$23, 2, FALSE)))+('PlayerGrades+'!$Y$55*(VLOOKUP(U411, 'PlayerGrades+'!$X$3:$Y$23, 2, FALSE)))</f>
        <v>#DIV/0!</v>
      </c>
      <c r="D411" s="961" t="str">
        <f t="shared" si="1"/>
        <v>#DIV/0!</v>
      </c>
      <c r="E411" s="961" t="str">
        <f>IF(D411&lt;'PlayerGrades+'!$AA$21,"F-",IF(D411&lt;'PlayerGrades+'!$AA$20,"F",IF(D411&lt;'PlayerGrades+'!$AA$19,"F+",IF(D411&lt;'PlayerGrades+'!$AA$18,"E-",IF(D411&lt;'PlayerGrades+'!$AA$17,"E",IF(D411&lt;'PlayerGrades+'!$AA$16,"E+",IF(D411&lt;'PlayerGrades+'!$AA$15,"D-",IF(D411&lt;'PlayerGrades+'!$AA$14,"D",IF(D411&lt;'PlayerGrades+'!$AA$13,"D+",IF(D411&lt;'PlayerGrades+'!$AA$12,"C-",IF(D411&lt;'PlayerGrades+'!$AA$11,"C",IF(D411&lt;'PlayerGrades+'!$AA$10,"C+",IF(D411&lt;'PlayerGrades+'!$AA$9,"B-",IF(D411&lt;'PlayerGrades+'!$AA$8,"B",IF(D411&lt;'PlayerGrades+'!$AA$7,"B+",IF(D411&lt;'PlayerGrades+'!$AA$6,"A-",IF(D411&lt;'PlayerGrades+'!$AA$5,"A",IF(D411&lt;'PlayerGrades+'!$AA$4,"A+",IF(D411&lt;'PlayerGrades+'!$AA$3,"S-",IF(D411&lt;'PlayerGrades+'!$AA$2,"S","S+"))))))))))))))))))))</f>
        <v>#DIV/0!</v>
      </c>
      <c r="F411" s="961" t="str">
        <f t="shared" si="2"/>
        <v>#DIV/0!</v>
      </c>
      <c r="G411" s="961" t="str">
        <f>IF(F411&lt;'PlayerGrades+'!$AB$21,"F-",IF(F411&lt;'PlayerGrades+'!$AB$20,"F",IF(F411&lt;'PlayerGrades+'!$AB$19,"F+",IF(F411&lt;'PlayerGrades+'!$AB$18,"E-",IF(F411&lt;'PlayerGrades+'!$AB$17,"E",IF(F411&lt;'PlayerGrades+'!$AB$16,"E+",IF(F411&lt;'PlayerGrades+'!$AB$15,"D-",IF(F411&lt;'PlayerGrades+'!$AB$14,"D",IF(F411&lt;'PlayerGrades+'!$AB$13,"D+",IF(F411&lt;'PlayerGrades+'!$AB$12,"C-",IF(F411&lt;'PlayerGrades+'!$AB$11,"C",IF(F411&lt;'PlayerGrades+'!$AB$10,"C+",IF(F411&lt;'PlayerGrades+'!$AB$9,"B-",IF(F411&lt;'PlayerGrades+'!$AB$8,"B",IF(F411&lt;'PlayerGrades+'!$AB$7,"B+",IF(F411&lt;'PlayerGrades+'!$AB$6,"A-",IF(F411&lt;'PlayerGrades+'!$AB$5,"A",IF(F411&lt;'PlayerGrades+'!$AB$4,"A+",IF(F411&lt;'PlayerGrades+'!$AB$3,"S-",IF(F411&lt;'PlayerGrades+'!$AB$2,"S","S+"))))))))))))))))))))</f>
        <v>#DIV/0!</v>
      </c>
      <c r="H411" s="961" t="str">
        <f t="shared" si="3"/>
        <v>#DIV/0!</v>
      </c>
      <c r="I411" s="961" t="str">
        <f>IF(H411&lt;'PlayerGrades+'!$AC$21,"F-",IF(H411&lt;'PlayerGrades+'!$AC$20,"F",IF(H411&lt;'PlayerGrades+'!$AC$19,"F+",IF(H411&lt;'PlayerGrades+'!$AC$18,"E-",IF(H411&lt;'PlayerGrades+'!$AC$17,"E",IF(H411&lt;'PlayerGrades+'!$AC$16,"E+",IF(H411&lt;'PlayerGrades+'!$AC$15,"D-",IF(H411&lt;'PlayerGrades+'!$AC$14,"D",IF(H411&lt;'PlayerGrades+'!$AC$13,"D+",IF(H411&lt;'PlayerGrades+'!$AC$12,"C-",IF(H411&lt;'PlayerGrades+'!$AC$11,"C",IF(H411&lt;'PlayerGrades+'!$AC$10,"C+",IF(H411&lt;'PlayerGrades+'!$AC$9,"B-",IF(H411&lt;'PlayerGrades+'!$AC$8,"B",IF(H411&lt;'PlayerGrades+'!$AC$7,"B+",IF(H411&lt;'PlayerGrades+'!$AC$6,"A-",IF(H411&lt;'PlayerGrades+'!$AC$5,"A",IF(H411&lt;'PlayerGrades+'!$AC$4,"A+",IF(H411&lt;'PlayerGrades+'!$AC$3,"S-",IF(H411&lt;'PlayerGrades+'!$AC$2,"S","S+"))))))))))))))))))))</f>
        <v>#DIV/0!</v>
      </c>
      <c r="J411" s="961" t="str">
        <f t="shared" si="4"/>
        <v>#DIV/0!</v>
      </c>
      <c r="K411" s="961" t="str">
        <f>IF(J411&lt;'PlayerGrades+'!$AD$21,"F-",IF(J411&lt;'PlayerGrades+'!$AD$20,"F",IF(J411&lt;'PlayerGrades+'!$AD$19,"F+",IF(J411&lt;'PlayerGrades+'!$AD$18,"E-",IF(J411&lt;'PlayerGrades+'!$AD$17,"E",IF(J411&lt;'PlayerGrades+'!$AD$16,"E+",IF(J411&lt;'PlayerGrades+'!$AD$15,"D-",IF(J411&lt;'PlayerGrades+'!$AD$14,"D",IF(J411&lt;'PlayerGrades+'!$AD$13,"D+",IF(J411&lt;'PlayerGrades+'!$AD$12,"C-",IF(J411&lt;'PlayerGrades+'!$AD$11,"C",IF(J411&lt;'PlayerGrades+'!$AD$10,"C+",IF(J411&lt;'PlayerGrades+'!$AD$9,"B-",IF(J411&lt;'PlayerGrades+'!$AD$8,"B",IF(J411&lt;'PlayerGrades+'!$AD$7,"B+",IF(J411&lt;'PlayerGrades+'!$AD$6,"A-",IF(J411&lt;'PlayerGrades+'!$AD$5,"A",IF(J411&lt;'PlayerGrades+'!$AD$4,"A+",IF(J411&lt;'PlayerGrades+'!$AD$3,"S-",IF(J411&lt;'PlayerGrades+'!$AD$2,"S","S+"))))))))))))))))))))</f>
        <v>#DIV/0!</v>
      </c>
      <c r="L411" s="1176" t="str">
        <f t="shared" si="5"/>
        <v>#DIV/0!</v>
      </c>
      <c r="M411" s="992" t="str">
        <f>IF(L411&lt;'PlayerGrades+'!$AE$21,"F-",IF(L411&lt;'PlayerGrades+'!$AE$20,"F",IF(L411&lt;'PlayerGrades+'!$AE$19,"F+",IF(L411&lt;'PlayerGrades+'!$AE$18,"E-",IF(L411&lt;'PlayerGrades+'!$AE$17,"E",IF(L411&lt;'PlayerGrades+'!$AE$16,"E+",IF(L411&lt;'PlayerGrades+'!$AE$15,"D-",IF(L411&lt;'PlayerGrades+'!$AE$14,"D",IF(L411&lt;'PlayerGrades+'!$AE$13,"D+",IF(L411&lt;'PlayerGrades+'!$AE$12,"C-",IF(L411&lt;'PlayerGrades+'!$AE$11,"C",IF(L411&lt;'PlayerGrades+'!$AE$10,"C+",IF(L411&lt;'PlayerGrades+'!$AE$9,"B-",IF(L411&lt;'PlayerGrades+'!$AE$8,"B",IF(L411&lt;'PlayerGrades+'!$AE$7,"B+",IF(L411&lt;'PlayerGrades+'!$AE$6,"A-",IF(L411&lt;'PlayerGrades+'!$AE$5,"A",IF(L411&lt;'PlayerGrades+'!$AE$4,"A+",IF(L411&lt;'PlayerGrades+'!$AE$3,"S-",IF(L411&lt;'PlayerGrades+'!$AE$2,"S","S+"))))))))))))))))))))</f>
        <v>#DIV/0!</v>
      </c>
      <c r="N411" s="961" t="str">
        <f t="shared" si="6"/>
        <v>#DIV/0!</v>
      </c>
      <c r="O411" s="961" t="str">
        <f>IF(N411&lt;'PlayerGrades+'!$AF$21,"F-",IF(N411&lt;'PlayerGrades+'!$AF$20,"F",IF(N411&lt;'PlayerGrades+'!$AF$19,"F+",IF(N411&lt;'PlayerGrades+'!$AF$18,"E-",IF(N411&lt;'PlayerGrades+'!$AF$17,"E",IF(N411&lt;'PlayerGrades+'!$AF$16,"E+",IF(N411&lt;'PlayerGrades+'!$AF$15,"D-",IF(N411&lt;'PlayerGrades+'!$AF$14,"D",IF(N411&lt;'PlayerGrades+'!$AF$13,"D+",IF(N411&lt;'PlayerGrades+'!$AF$12,"C-",IF(N411&lt;'PlayerGrades+'!$AF$11,"C",IF(N411&lt;'PlayerGrades+'!$AF$10,"C+",IF(N411&lt;'PlayerGrades+'!$AF$9,"B-",IF(N411&lt;'PlayerGrades+'!$AF$8,"B",IF(N411&lt;'PlayerGrades+'!$AF$7,"B+",IF(N411&lt;'PlayerGrades+'!$AF$6,"A-",IF(N411&lt;'PlayerGrades+'!$AF$5,"A",IF(N411&lt;'PlayerGrades+'!$AF$4,"A+",IF(N411&lt;'PlayerGrades+'!$AF$3,"S-",IF(N411&lt;'PlayerGrades+'!$AF$2,"S","S+"))))))))))))))))))))</f>
        <v>#DIV/0!</v>
      </c>
      <c r="P411" s="961" t="str">
        <f t="shared" si="7"/>
        <v>#DIV/0!</v>
      </c>
      <c r="Q411" s="961" t="str">
        <f>IF(P411&lt;'PlayerGrades+'!$AG$21,"F-",IF(P411&lt;'PlayerGrades+'!$AG$20,"F",IF(P411&lt;'PlayerGrades+'!$AG$19,"F+",IF(P411&lt;'PlayerGrades+'!$AG$18,"E-",IF(P411&lt;'PlayerGrades+'!$AG$17,"E",IF(P411&lt;'PlayerGrades+'!$AG$16,"E+",IF(P411&lt;'PlayerGrades+'!$AG$15,"D-",IF(P411&lt;'PlayerGrades+'!$AG$14,"D",IF(P411&lt;'PlayerGrades+'!$AG$13,"D+",IF(P411&lt;'PlayerGrades+'!$AG$12,"C-",IF(P411&lt;'PlayerGrades+'!$AG$11,"C",IF(P411&lt;'PlayerGrades+'!$AG$10,"C+",IF(P411&lt;'PlayerGrades+'!$AG$9,"B-",IF(P411&lt;'PlayerGrades+'!$AG$8,"B",IF(P411&lt;'PlayerGrades+'!$AG$7,"B+",IF(P411&lt;'PlayerGrades+'!$AG$6,"A-",IF(P411&lt;'PlayerGrades+'!$AG$5,"A",IF(P411&lt;'PlayerGrades+'!$AG$4,"A+",IF(P411&lt;'PlayerGrades+'!$AG$3,"S-",IF(P411&lt;'PlayerGrades+'!$AG$2,"S","S+"))))))))))))))))))))</f>
        <v>#DIV/0!</v>
      </c>
      <c r="R411" s="961" t="str">
        <f t="shared" si="8"/>
        <v>#DIV/0!</v>
      </c>
      <c r="S411" s="961" t="str">
        <f>IF(R411&lt;'PlayerGrades+'!$AH$21,"F-",IF(R411&lt;'PlayerGrades+'!$AH$20,"F",IF(R411&lt;'PlayerGrades+'!$AH$19,"F+",IF(R411&lt;'PlayerGrades+'!$AH$18,"E-",IF(R411&lt;'PlayerGrades+'!$AH$17,"E",IF(R411&lt;'PlayerGrades+'!$AH$16,"E+",IF(R411&lt;'PlayerGrades+'!$AH$15,"D-",IF(R411&lt;'PlayerGrades+'!$AH$14,"D",IF(R411&lt;'PlayerGrades+'!$AH$13,"D+",IF(R411&lt;'PlayerGrades+'!$AH$12,"C-",IF(R411&lt;'PlayerGrades+'!$AH$11,"C",IF(R411&lt;'PlayerGrades+'!$AH$10,"C+",IF(R411&lt;'PlayerGrades+'!$AH$9,"B-",IF(R411&lt;'PlayerGrades+'!$AH$8,"B",IF(R411&lt;'PlayerGrades+'!$AH$7,"B+",IF(R411&lt;'PlayerGrades+'!$AH$6,"A-",IF(R411&lt;'PlayerGrades+'!$AH$5,"A",IF(R411&lt;'PlayerGrades+'!$AH$4,"A+",IF(R411&lt;'PlayerGrades+'!$AH$3,"S-",IF(R411&lt;'PlayerGrades+'!$AH$2,"S","S+"))))))))))))))))))))</f>
        <v>#DIV/0!</v>
      </c>
      <c r="T411" s="961">
        <f t="shared" si="9"/>
        <v>0</v>
      </c>
      <c r="U411" s="961" t="str">
        <f>IF(T411&lt;'PlayerGrades+'!$AI$21,"F-",IF(T411&lt;'PlayerGrades+'!$AI$20,"F",IF(T411&lt;'PlayerGrades+'!$AI$19,"F+",IF(T411&lt;'PlayerGrades+'!$AI$18,"E-",IF(T411&lt;'PlayerGrades+'!$AI$17,"E",IF(T411&lt;'PlayerGrades+'!$AI$16,"E+",IF(T411&lt;'PlayerGrades+'!$AI$15,"D-",IF(T411&lt;'PlayerGrades+'!$AI$14,"D",IF(T411&lt;'PlayerGrades+'!$AI$13,"D+",IF(T411&lt;'PlayerGrades+'!$AI$12,"C-",IF(T411&lt;'PlayerGrades+'!$AI$11,"C",IF(T411&lt;'PlayerGrades+'!$AI$10,"C+",IF(T411&lt;'PlayerGrades+'!$AI$9,"B-",IF(T411&lt;'PlayerGrades+'!$AI$8,"B",IF(T411&lt;'PlayerGrades+'!$AI$7,"B+",IF(T411&lt;'PlayerGrades+'!$AI$6,"A-",IF(T411&lt;'PlayerGrades+'!$AI$5,"A",IF(T411&lt;'PlayerGrades+'!$AI$4,"A+",IF(T411&lt;'PlayerGrades+'!$AI$3,"S-",IF(T411&lt;'PlayerGrades+'!$AI$2,"S","S+"))))))))))))))))))))</f>
        <v>F-</v>
      </c>
      <c r="AC411" s="1392"/>
    </row>
    <row r="412">
      <c r="A412" s="1391"/>
      <c r="B412" s="611" t="str">
        <f>IF(C412&lt;'PlayerGrades+'!$Y$44,"F-",IF(C412&lt;'PlayerGrades+'!$Y$43,"F",IF(C412&lt;'PlayerGrades+'!$Y$42,"F+",IF(C412&lt;'PlayerGrades+'!$Y$41,"E-",IF(C412&lt;'PlayerGrades+'!$Y$40,"E",IF(C412&lt;'PlayerGrades+'!$Y$39,"E+",IF(C412&lt;'PlayerGrades+'!$Y$38,"D-",IF(C412&lt;'PlayerGrades+'!$Y$37,"D",IF(C412&lt;'PlayerGrades+'!$Y$36,"D+",IF(C412&lt;'PlayerGrades+'!$Y$35,"C-",IF(C412&lt;'PlayerGrades+'!$Y$34,"C",IF(C412&lt;'PlayerGrades+'!$Y$33,"C+",IF(C412&lt;'PlayerGrades+'!$Y$32,"B-",IF(C412&lt;'PlayerGrades+'!$Y$31,"B",IF(C412&lt;'PlayerGrades+'!$Y$30,"B+",IF(C412&lt;'PlayerGrades+'!$Y$29,"A-",IF(C412&lt;'PlayerGrades+'!$Y$28,"A",IF(C412&lt;'PlayerGrades+'!$Y$27,"A+",IF(C412&lt;'PlayerGrades+'!$Y$26,"S-",IF(C412&lt;'PlayerGrades+'!$Y$25,"S","S+"))))))))))))))))))))</f>
        <v>#DIV/0!</v>
      </c>
      <c r="C412" s="1378" t="str">
        <f>('PlayerGrades+'!$Y$47*(VLOOKUP(E412, 'PlayerGrades+'!$X$3:$Y$23, 2, FALSE)))+('PlayerGrades+'!$Y$48*(VLOOKUP(G412, 'PlayerGrades+'!$X$3:$Y$23, 2, FALSE)))+('PlayerGrades+'!$Y$49*(VLOOKUP(I412, 'PlayerGrades+'!$X$3:$Y$23, 2, FALSE)))+('PlayerGrades+'!$Y$50*(VLOOKUP(K412, 'PlayerGrades+'!$X$3:$Y$23, 2, FALSE)))+('PlayerGrades+'!$Y$51*(VLOOKUP(M412, 'PlayerGrades+'!$X$3:$Y$23, 2, FALSE)))+('PlayerGrades+'!$Y$52*(VLOOKUP(O412, 'PlayerGrades+'!$X$3:$Y$23, 2, FALSE)))+('PlayerGrades+'!$Y$53*(VLOOKUP(Q412, 'PlayerGrades+'!$X$3:$Y$23, 2, FALSE)))+('PlayerGrades+'!$Y$54*(VLOOKUP(S412, 'PlayerGrades+'!$X$3:$Y$23, 2, FALSE)))+('PlayerGrades+'!$Y$55*(VLOOKUP(U412, 'PlayerGrades+'!$X$3:$Y$23, 2, FALSE)))</f>
        <v>#DIV/0!</v>
      </c>
      <c r="D412" s="961" t="str">
        <f t="shared" si="1"/>
        <v>#DIV/0!</v>
      </c>
      <c r="E412" s="961" t="str">
        <f>IF(D412&lt;'PlayerGrades+'!$AA$21,"F-",IF(D412&lt;'PlayerGrades+'!$AA$20,"F",IF(D412&lt;'PlayerGrades+'!$AA$19,"F+",IF(D412&lt;'PlayerGrades+'!$AA$18,"E-",IF(D412&lt;'PlayerGrades+'!$AA$17,"E",IF(D412&lt;'PlayerGrades+'!$AA$16,"E+",IF(D412&lt;'PlayerGrades+'!$AA$15,"D-",IF(D412&lt;'PlayerGrades+'!$AA$14,"D",IF(D412&lt;'PlayerGrades+'!$AA$13,"D+",IF(D412&lt;'PlayerGrades+'!$AA$12,"C-",IF(D412&lt;'PlayerGrades+'!$AA$11,"C",IF(D412&lt;'PlayerGrades+'!$AA$10,"C+",IF(D412&lt;'PlayerGrades+'!$AA$9,"B-",IF(D412&lt;'PlayerGrades+'!$AA$8,"B",IF(D412&lt;'PlayerGrades+'!$AA$7,"B+",IF(D412&lt;'PlayerGrades+'!$AA$6,"A-",IF(D412&lt;'PlayerGrades+'!$AA$5,"A",IF(D412&lt;'PlayerGrades+'!$AA$4,"A+",IF(D412&lt;'PlayerGrades+'!$AA$3,"S-",IF(D412&lt;'PlayerGrades+'!$AA$2,"S","S+"))))))))))))))))))))</f>
        <v>#DIV/0!</v>
      </c>
      <c r="F412" s="961" t="str">
        <f t="shared" si="2"/>
        <v>#DIV/0!</v>
      </c>
      <c r="G412" s="961" t="str">
        <f>IF(F412&lt;'PlayerGrades+'!$AB$21,"F-",IF(F412&lt;'PlayerGrades+'!$AB$20,"F",IF(F412&lt;'PlayerGrades+'!$AB$19,"F+",IF(F412&lt;'PlayerGrades+'!$AB$18,"E-",IF(F412&lt;'PlayerGrades+'!$AB$17,"E",IF(F412&lt;'PlayerGrades+'!$AB$16,"E+",IF(F412&lt;'PlayerGrades+'!$AB$15,"D-",IF(F412&lt;'PlayerGrades+'!$AB$14,"D",IF(F412&lt;'PlayerGrades+'!$AB$13,"D+",IF(F412&lt;'PlayerGrades+'!$AB$12,"C-",IF(F412&lt;'PlayerGrades+'!$AB$11,"C",IF(F412&lt;'PlayerGrades+'!$AB$10,"C+",IF(F412&lt;'PlayerGrades+'!$AB$9,"B-",IF(F412&lt;'PlayerGrades+'!$AB$8,"B",IF(F412&lt;'PlayerGrades+'!$AB$7,"B+",IF(F412&lt;'PlayerGrades+'!$AB$6,"A-",IF(F412&lt;'PlayerGrades+'!$AB$5,"A",IF(F412&lt;'PlayerGrades+'!$AB$4,"A+",IF(F412&lt;'PlayerGrades+'!$AB$3,"S-",IF(F412&lt;'PlayerGrades+'!$AB$2,"S","S+"))))))))))))))))))))</f>
        <v>#DIV/0!</v>
      </c>
      <c r="H412" s="961" t="str">
        <f t="shared" si="3"/>
        <v>#DIV/0!</v>
      </c>
      <c r="I412" s="961" t="str">
        <f>IF(H412&lt;'PlayerGrades+'!$AC$21,"F-",IF(H412&lt;'PlayerGrades+'!$AC$20,"F",IF(H412&lt;'PlayerGrades+'!$AC$19,"F+",IF(H412&lt;'PlayerGrades+'!$AC$18,"E-",IF(H412&lt;'PlayerGrades+'!$AC$17,"E",IF(H412&lt;'PlayerGrades+'!$AC$16,"E+",IF(H412&lt;'PlayerGrades+'!$AC$15,"D-",IF(H412&lt;'PlayerGrades+'!$AC$14,"D",IF(H412&lt;'PlayerGrades+'!$AC$13,"D+",IF(H412&lt;'PlayerGrades+'!$AC$12,"C-",IF(H412&lt;'PlayerGrades+'!$AC$11,"C",IF(H412&lt;'PlayerGrades+'!$AC$10,"C+",IF(H412&lt;'PlayerGrades+'!$AC$9,"B-",IF(H412&lt;'PlayerGrades+'!$AC$8,"B",IF(H412&lt;'PlayerGrades+'!$AC$7,"B+",IF(H412&lt;'PlayerGrades+'!$AC$6,"A-",IF(H412&lt;'PlayerGrades+'!$AC$5,"A",IF(H412&lt;'PlayerGrades+'!$AC$4,"A+",IF(H412&lt;'PlayerGrades+'!$AC$3,"S-",IF(H412&lt;'PlayerGrades+'!$AC$2,"S","S+"))))))))))))))))))))</f>
        <v>#DIV/0!</v>
      </c>
      <c r="J412" s="961" t="str">
        <f t="shared" si="4"/>
        <v>#DIV/0!</v>
      </c>
      <c r="K412" s="961" t="str">
        <f>IF(J412&lt;'PlayerGrades+'!$AD$21,"F-",IF(J412&lt;'PlayerGrades+'!$AD$20,"F",IF(J412&lt;'PlayerGrades+'!$AD$19,"F+",IF(J412&lt;'PlayerGrades+'!$AD$18,"E-",IF(J412&lt;'PlayerGrades+'!$AD$17,"E",IF(J412&lt;'PlayerGrades+'!$AD$16,"E+",IF(J412&lt;'PlayerGrades+'!$AD$15,"D-",IF(J412&lt;'PlayerGrades+'!$AD$14,"D",IF(J412&lt;'PlayerGrades+'!$AD$13,"D+",IF(J412&lt;'PlayerGrades+'!$AD$12,"C-",IF(J412&lt;'PlayerGrades+'!$AD$11,"C",IF(J412&lt;'PlayerGrades+'!$AD$10,"C+",IF(J412&lt;'PlayerGrades+'!$AD$9,"B-",IF(J412&lt;'PlayerGrades+'!$AD$8,"B",IF(J412&lt;'PlayerGrades+'!$AD$7,"B+",IF(J412&lt;'PlayerGrades+'!$AD$6,"A-",IF(J412&lt;'PlayerGrades+'!$AD$5,"A",IF(J412&lt;'PlayerGrades+'!$AD$4,"A+",IF(J412&lt;'PlayerGrades+'!$AD$3,"S-",IF(J412&lt;'PlayerGrades+'!$AD$2,"S","S+"))))))))))))))))))))</f>
        <v>#DIV/0!</v>
      </c>
      <c r="L412" s="1176" t="str">
        <f t="shared" si="5"/>
        <v>#DIV/0!</v>
      </c>
      <c r="M412" s="992" t="str">
        <f>IF(L412&lt;'PlayerGrades+'!$AE$21,"F-",IF(L412&lt;'PlayerGrades+'!$AE$20,"F",IF(L412&lt;'PlayerGrades+'!$AE$19,"F+",IF(L412&lt;'PlayerGrades+'!$AE$18,"E-",IF(L412&lt;'PlayerGrades+'!$AE$17,"E",IF(L412&lt;'PlayerGrades+'!$AE$16,"E+",IF(L412&lt;'PlayerGrades+'!$AE$15,"D-",IF(L412&lt;'PlayerGrades+'!$AE$14,"D",IF(L412&lt;'PlayerGrades+'!$AE$13,"D+",IF(L412&lt;'PlayerGrades+'!$AE$12,"C-",IF(L412&lt;'PlayerGrades+'!$AE$11,"C",IF(L412&lt;'PlayerGrades+'!$AE$10,"C+",IF(L412&lt;'PlayerGrades+'!$AE$9,"B-",IF(L412&lt;'PlayerGrades+'!$AE$8,"B",IF(L412&lt;'PlayerGrades+'!$AE$7,"B+",IF(L412&lt;'PlayerGrades+'!$AE$6,"A-",IF(L412&lt;'PlayerGrades+'!$AE$5,"A",IF(L412&lt;'PlayerGrades+'!$AE$4,"A+",IF(L412&lt;'PlayerGrades+'!$AE$3,"S-",IF(L412&lt;'PlayerGrades+'!$AE$2,"S","S+"))))))))))))))))))))</f>
        <v>#DIV/0!</v>
      </c>
      <c r="N412" s="961" t="str">
        <f t="shared" si="6"/>
        <v>#DIV/0!</v>
      </c>
      <c r="O412" s="961" t="str">
        <f>IF(N412&lt;'PlayerGrades+'!$AF$21,"F-",IF(N412&lt;'PlayerGrades+'!$AF$20,"F",IF(N412&lt;'PlayerGrades+'!$AF$19,"F+",IF(N412&lt;'PlayerGrades+'!$AF$18,"E-",IF(N412&lt;'PlayerGrades+'!$AF$17,"E",IF(N412&lt;'PlayerGrades+'!$AF$16,"E+",IF(N412&lt;'PlayerGrades+'!$AF$15,"D-",IF(N412&lt;'PlayerGrades+'!$AF$14,"D",IF(N412&lt;'PlayerGrades+'!$AF$13,"D+",IF(N412&lt;'PlayerGrades+'!$AF$12,"C-",IF(N412&lt;'PlayerGrades+'!$AF$11,"C",IF(N412&lt;'PlayerGrades+'!$AF$10,"C+",IF(N412&lt;'PlayerGrades+'!$AF$9,"B-",IF(N412&lt;'PlayerGrades+'!$AF$8,"B",IF(N412&lt;'PlayerGrades+'!$AF$7,"B+",IF(N412&lt;'PlayerGrades+'!$AF$6,"A-",IF(N412&lt;'PlayerGrades+'!$AF$5,"A",IF(N412&lt;'PlayerGrades+'!$AF$4,"A+",IF(N412&lt;'PlayerGrades+'!$AF$3,"S-",IF(N412&lt;'PlayerGrades+'!$AF$2,"S","S+"))))))))))))))))))))</f>
        <v>#DIV/0!</v>
      </c>
      <c r="P412" s="961" t="str">
        <f t="shared" si="7"/>
        <v>#DIV/0!</v>
      </c>
      <c r="Q412" s="961" t="str">
        <f>IF(P412&lt;'PlayerGrades+'!$AG$21,"F-",IF(P412&lt;'PlayerGrades+'!$AG$20,"F",IF(P412&lt;'PlayerGrades+'!$AG$19,"F+",IF(P412&lt;'PlayerGrades+'!$AG$18,"E-",IF(P412&lt;'PlayerGrades+'!$AG$17,"E",IF(P412&lt;'PlayerGrades+'!$AG$16,"E+",IF(P412&lt;'PlayerGrades+'!$AG$15,"D-",IF(P412&lt;'PlayerGrades+'!$AG$14,"D",IF(P412&lt;'PlayerGrades+'!$AG$13,"D+",IF(P412&lt;'PlayerGrades+'!$AG$12,"C-",IF(P412&lt;'PlayerGrades+'!$AG$11,"C",IF(P412&lt;'PlayerGrades+'!$AG$10,"C+",IF(P412&lt;'PlayerGrades+'!$AG$9,"B-",IF(P412&lt;'PlayerGrades+'!$AG$8,"B",IF(P412&lt;'PlayerGrades+'!$AG$7,"B+",IF(P412&lt;'PlayerGrades+'!$AG$6,"A-",IF(P412&lt;'PlayerGrades+'!$AG$5,"A",IF(P412&lt;'PlayerGrades+'!$AG$4,"A+",IF(P412&lt;'PlayerGrades+'!$AG$3,"S-",IF(P412&lt;'PlayerGrades+'!$AG$2,"S","S+"))))))))))))))))))))</f>
        <v>#DIV/0!</v>
      </c>
      <c r="R412" s="961" t="str">
        <f t="shared" si="8"/>
        <v>#DIV/0!</v>
      </c>
      <c r="S412" s="961" t="str">
        <f>IF(R412&lt;'PlayerGrades+'!$AH$21,"F-",IF(R412&lt;'PlayerGrades+'!$AH$20,"F",IF(R412&lt;'PlayerGrades+'!$AH$19,"F+",IF(R412&lt;'PlayerGrades+'!$AH$18,"E-",IF(R412&lt;'PlayerGrades+'!$AH$17,"E",IF(R412&lt;'PlayerGrades+'!$AH$16,"E+",IF(R412&lt;'PlayerGrades+'!$AH$15,"D-",IF(R412&lt;'PlayerGrades+'!$AH$14,"D",IF(R412&lt;'PlayerGrades+'!$AH$13,"D+",IF(R412&lt;'PlayerGrades+'!$AH$12,"C-",IF(R412&lt;'PlayerGrades+'!$AH$11,"C",IF(R412&lt;'PlayerGrades+'!$AH$10,"C+",IF(R412&lt;'PlayerGrades+'!$AH$9,"B-",IF(R412&lt;'PlayerGrades+'!$AH$8,"B",IF(R412&lt;'PlayerGrades+'!$AH$7,"B+",IF(R412&lt;'PlayerGrades+'!$AH$6,"A-",IF(R412&lt;'PlayerGrades+'!$AH$5,"A",IF(R412&lt;'PlayerGrades+'!$AH$4,"A+",IF(R412&lt;'PlayerGrades+'!$AH$3,"S-",IF(R412&lt;'PlayerGrades+'!$AH$2,"S","S+"))))))))))))))))))))</f>
        <v>#DIV/0!</v>
      </c>
      <c r="T412" s="961">
        <f t="shared" si="9"/>
        <v>0</v>
      </c>
      <c r="U412" s="961" t="str">
        <f>IF(T412&lt;'PlayerGrades+'!$AI$21,"F-",IF(T412&lt;'PlayerGrades+'!$AI$20,"F",IF(T412&lt;'PlayerGrades+'!$AI$19,"F+",IF(T412&lt;'PlayerGrades+'!$AI$18,"E-",IF(T412&lt;'PlayerGrades+'!$AI$17,"E",IF(T412&lt;'PlayerGrades+'!$AI$16,"E+",IF(T412&lt;'PlayerGrades+'!$AI$15,"D-",IF(T412&lt;'PlayerGrades+'!$AI$14,"D",IF(T412&lt;'PlayerGrades+'!$AI$13,"D+",IF(T412&lt;'PlayerGrades+'!$AI$12,"C-",IF(T412&lt;'PlayerGrades+'!$AI$11,"C",IF(T412&lt;'PlayerGrades+'!$AI$10,"C+",IF(T412&lt;'PlayerGrades+'!$AI$9,"B-",IF(T412&lt;'PlayerGrades+'!$AI$8,"B",IF(T412&lt;'PlayerGrades+'!$AI$7,"B+",IF(T412&lt;'PlayerGrades+'!$AI$6,"A-",IF(T412&lt;'PlayerGrades+'!$AI$5,"A",IF(T412&lt;'PlayerGrades+'!$AI$4,"A+",IF(T412&lt;'PlayerGrades+'!$AI$3,"S-",IF(T412&lt;'PlayerGrades+'!$AI$2,"S","S+"))))))))))))))))))))</f>
        <v>F-</v>
      </c>
      <c r="AC412" s="1392"/>
    </row>
    <row r="413">
      <c r="A413" s="1391"/>
      <c r="B413" s="611" t="str">
        <f>IF(C413&lt;'PlayerGrades+'!$Y$44,"F-",IF(C413&lt;'PlayerGrades+'!$Y$43,"F",IF(C413&lt;'PlayerGrades+'!$Y$42,"F+",IF(C413&lt;'PlayerGrades+'!$Y$41,"E-",IF(C413&lt;'PlayerGrades+'!$Y$40,"E",IF(C413&lt;'PlayerGrades+'!$Y$39,"E+",IF(C413&lt;'PlayerGrades+'!$Y$38,"D-",IF(C413&lt;'PlayerGrades+'!$Y$37,"D",IF(C413&lt;'PlayerGrades+'!$Y$36,"D+",IF(C413&lt;'PlayerGrades+'!$Y$35,"C-",IF(C413&lt;'PlayerGrades+'!$Y$34,"C",IF(C413&lt;'PlayerGrades+'!$Y$33,"C+",IF(C413&lt;'PlayerGrades+'!$Y$32,"B-",IF(C413&lt;'PlayerGrades+'!$Y$31,"B",IF(C413&lt;'PlayerGrades+'!$Y$30,"B+",IF(C413&lt;'PlayerGrades+'!$Y$29,"A-",IF(C413&lt;'PlayerGrades+'!$Y$28,"A",IF(C413&lt;'PlayerGrades+'!$Y$27,"A+",IF(C413&lt;'PlayerGrades+'!$Y$26,"S-",IF(C413&lt;'PlayerGrades+'!$Y$25,"S","S+"))))))))))))))))))))</f>
        <v>#DIV/0!</v>
      </c>
      <c r="C413" s="1378" t="str">
        <f>('PlayerGrades+'!$Y$47*(VLOOKUP(E413, 'PlayerGrades+'!$X$3:$Y$23, 2, FALSE)))+('PlayerGrades+'!$Y$48*(VLOOKUP(G413, 'PlayerGrades+'!$X$3:$Y$23, 2, FALSE)))+('PlayerGrades+'!$Y$49*(VLOOKUP(I413, 'PlayerGrades+'!$X$3:$Y$23, 2, FALSE)))+('PlayerGrades+'!$Y$50*(VLOOKUP(K413, 'PlayerGrades+'!$X$3:$Y$23, 2, FALSE)))+('PlayerGrades+'!$Y$51*(VLOOKUP(M413, 'PlayerGrades+'!$X$3:$Y$23, 2, FALSE)))+('PlayerGrades+'!$Y$52*(VLOOKUP(O413, 'PlayerGrades+'!$X$3:$Y$23, 2, FALSE)))+('PlayerGrades+'!$Y$53*(VLOOKUP(Q413, 'PlayerGrades+'!$X$3:$Y$23, 2, FALSE)))+('PlayerGrades+'!$Y$54*(VLOOKUP(S413, 'PlayerGrades+'!$X$3:$Y$23, 2, FALSE)))+('PlayerGrades+'!$Y$55*(VLOOKUP(U413, 'PlayerGrades+'!$X$3:$Y$23, 2, FALSE)))</f>
        <v>#DIV/0!</v>
      </c>
      <c r="D413" s="961" t="str">
        <f t="shared" si="1"/>
        <v>#DIV/0!</v>
      </c>
      <c r="E413" s="961" t="str">
        <f>IF(D413&lt;'PlayerGrades+'!$AA$21,"F-",IF(D413&lt;'PlayerGrades+'!$AA$20,"F",IF(D413&lt;'PlayerGrades+'!$AA$19,"F+",IF(D413&lt;'PlayerGrades+'!$AA$18,"E-",IF(D413&lt;'PlayerGrades+'!$AA$17,"E",IF(D413&lt;'PlayerGrades+'!$AA$16,"E+",IF(D413&lt;'PlayerGrades+'!$AA$15,"D-",IF(D413&lt;'PlayerGrades+'!$AA$14,"D",IF(D413&lt;'PlayerGrades+'!$AA$13,"D+",IF(D413&lt;'PlayerGrades+'!$AA$12,"C-",IF(D413&lt;'PlayerGrades+'!$AA$11,"C",IF(D413&lt;'PlayerGrades+'!$AA$10,"C+",IF(D413&lt;'PlayerGrades+'!$AA$9,"B-",IF(D413&lt;'PlayerGrades+'!$AA$8,"B",IF(D413&lt;'PlayerGrades+'!$AA$7,"B+",IF(D413&lt;'PlayerGrades+'!$AA$6,"A-",IF(D413&lt;'PlayerGrades+'!$AA$5,"A",IF(D413&lt;'PlayerGrades+'!$AA$4,"A+",IF(D413&lt;'PlayerGrades+'!$AA$3,"S-",IF(D413&lt;'PlayerGrades+'!$AA$2,"S","S+"))))))))))))))))))))</f>
        <v>#DIV/0!</v>
      </c>
      <c r="F413" s="961" t="str">
        <f t="shared" si="2"/>
        <v>#DIV/0!</v>
      </c>
      <c r="G413" s="961" t="str">
        <f>IF(F413&lt;'PlayerGrades+'!$AB$21,"F-",IF(F413&lt;'PlayerGrades+'!$AB$20,"F",IF(F413&lt;'PlayerGrades+'!$AB$19,"F+",IF(F413&lt;'PlayerGrades+'!$AB$18,"E-",IF(F413&lt;'PlayerGrades+'!$AB$17,"E",IF(F413&lt;'PlayerGrades+'!$AB$16,"E+",IF(F413&lt;'PlayerGrades+'!$AB$15,"D-",IF(F413&lt;'PlayerGrades+'!$AB$14,"D",IF(F413&lt;'PlayerGrades+'!$AB$13,"D+",IF(F413&lt;'PlayerGrades+'!$AB$12,"C-",IF(F413&lt;'PlayerGrades+'!$AB$11,"C",IF(F413&lt;'PlayerGrades+'!$AB$10,"C+",IF(F413&lt;'PlayerGrades+'!$AB$9,"B-",IF(F413&lt;'PlayerGrades+'!$AB$8,"B",IF(F413&lt;'PlayerGrades+'!$AB$7,"B+",IF(F413&lt;'PlayerGrades+'!$AB$6,"A-",IF(F413&lt;'PlayerGrades+'!$AB$5,"A",IF(F413&lt;'PlayerGrades+'!$AB$4,"A+",IF(F413&lt;'PlayerGrades+'!$AB$3,"S-",IF(F413&lt;'PlayerGrades+'!$AB$2,"S","S+"))))))))))))))))))))</f>
        <v>#DIV/0!</v>
      </c>
      <c r="H413" s="961" t="str">
        <f t="shared" si="3"/>
        <v>#DIV/0!</v>
      </c>
      <c r="I413" s="961" t="str">
        <f>IF(H413&lt;'PlayerGrades+'!$AC$21,"F-",IF(H413&lt;'PlayerGrades+'!$AC$20,"F",IF(H413&lt;'PlayerGrades+'!$AC$19,"F+",IF(H413&lt;'PlayerGrades+'!$AC$18,"E-",IF(H413&lt;'PlayerGrades+'!$AC$17,"E",IF(H413&lt;'PlayerGrades+'!$AC$16,"E+",IF(H413&lt;'PlayerGrades+'!$AC$15,"D-",IF(H413&lt;'PlayerGrades+'!$AC$14,"D",IF(H413&lt;'PlayerGrades+'!$AC$13,"D+",IF(H413&lt;'PlayerGrades+'!$AC$12,"C-",IF(H413&lt;'PlayerGrades+'!$AC$11,"C",IF(H413&lt;'PlayerGrades+'!$AC$10,"C+",IF(H413&lt;'PlayerGrades+'!$AC$9,"B-",IF(H413&lt;'PlayerGrades+'!$AC$8,"B",IF(H413&lt;'PlayerGrades+'!$AC$7,"B+",IF(H413&lt;'PlayerGrades+'!$AC$6,"A-",IF(H413&lt;'PlayerGrades+'!$AC$5,"A",IF(H413&lt;'PlayerGrades+'!$AC$4,"A+",IF(H413&lt;'PlayerGrades+'!$AC$3,"S-",IF(H413&lt;'PlayerGrades+'!$AC$2,"S","S+"))))))))))))))))))))</f>
        <v>#DIV/0!</v>
      </c>
      <c r="J413" s="961" t="str">
        <f t="shared" si="4"/>
        <v>#DIV/0!</v>
      </c>
      <c r="K413" s="961" t="str">
        <f>IF(J413&lt;'PlayerGrades+'!$AD$21,"F-",IF(J413&lt;'PlayerGrades+'!$AD$20,"F",IF(J413&lt;'PlayerGrades+'!$AD$19,"F+",IF(J413&lt;'PlayerGrades+'!$AD$18,"E-",IF(J413&lt;'PlayerGrades+'!$AD$17,"E",IF(J413&lt;'PlayerGrades+'!$AD$16,"E+",IF(J413&lt;'PlayerGrades+'!$AD$15,"D-",IF(J413&lt;'PlayerGrades+'!$AD$14,"D",IF(J413&lt;'PlayerGrades+'!$AD$13,"D+",IF(J413&lt;'PlayerGrades+'!$AD$12,"C-",IF(J413&lt;'PlayerGrades+'!$AD$11,"C",IF(J413&lt;'PlayerGrades+'!$AD$10,"C+",IF(J413&lt;'PlayerGrades+'!$AD$9,"B-",IF(J413&lt;'PlayerGrades+'!$AD$8,"B",IF(J413&lt;'PlayerGrades+'!$AD$7,"B+",IF(J413&lt;'PlayerGrades+'!$AD$6,"A-",IF(J413&lt;'PlayerGrades+'!$AD$5,"A",IF(J413&lt;'PlayerGrades+'!$AD$4,"A+",IF(J413&lt;'PlayerGrades+'!$AD$3,"S-",IF(J413&lt;'PlayerGrades+'!$AD$2,"S","S+"))))))))))))))))))))</f>
        <v>#DIV/0!</v>
      </c>
      <c r="L413" s="1176" t="str">
        <f t="shared" si="5"/>
        <v>#DIV/0!</v>
      </c>
      <c r="M413" s="992" t="str">
        <f>IF(L413&lt;'PlayerGrades+'!$AE$21,"F-",IF(L413&lt;'PlayerGrades+'!$AE$20,"F",IF(L413&lt;'PlayerGrades+'!$AE$19,"F+",IF(L413&lt;'PlayerGrades+'!$AE$18,"E-",IF(L413&lt;'PlayerGrades+'!$AE$17,"E",IF(L413&lt;'PlayerGrades+'!$AE$16,"E+",IF(L413&lt;'PlayerGrades+'!$AE$15,"D-",IF(L413&lt;'PlayerGrades+'!$AE$14,"D",IF(L413&lt;'PlayerGrades+'!$AE$13,"D+",IF(L413&lt;'PlayerGrades+'!$AE$12,"C-",IF(L413&lt;'PlayerGrades+'!$AE$11,"C",IF(L413&lt;'PlayerGrades+'!$AE$10,"C+",IF(L413&lt;'PlayerGrades+'!$AE$9,"B-",IF(L413&lt;'PlayerGrades+'!$AE$8,"B",IF(L413&lt;'PlayerGrades+'!$AE$7,"B+",IF(L413&lt;'PlayerGrades+'!$AE$6,"A-",IF(L413&lt;'PlayerGrades+'!$AE$5,"A",IF(L413&lt;'PlayerGrades+'!$AE$4,"A+",IF(L413&lt;'PlayerGrades+'!$AE$3,"S-",IF(L413&lt;'PlayerGrades+'!$AE$2,"S","S+"))))))))))))))))))))</f>
        <v>#DIV/0!</v>
      </c>
      <c r="N413" s="961" t="str">
        <f t="shared" si="6"/>
        <v>#DIV/0!</v>
      </c>
      <c r="O413" s="961" t="str">
        <f>IF(N413&lt;'PlayerGrades+'!$AF$21,"F-",IF(N413&lt;'PlayerGrades+'!$AF$20,"F",IF(N413&lt;'PlayerGrades+'!$AF$19,"F+",IF(N413&lt;'PlayerGrades+'!$AF$18,"E-",IF(N413&lt;'PlayerGrades+'!$AF$17,"E",IF(N413&lt;'PlayerGrades+'!$AF$16,"E+",IF(N413&lt;'PlayerGrades+'!$AF$15,"D-",IF(N413&lt;'PlayerGrades+'!$AF$14,"D",IF(N413&lt;'PlayerGrades+'!$AF$13,"D+",IF(N413&lt;'PlayerGrades+'!$AF$12,"C-",IF(N413&lt;'PlayerGrades+'!$AF$11,"C",IF(N413&lt;'PlayerGrades+'!$AF$10,"C+",IF(N413&lt;'PlayerGrades+'!$AF$9,"B-",IF(N413&lt;'PlayerGrades+'!$AF$8,"B",IF(N413&lt;'PlayerGrades+'!$AF$7,"B+",IF(N413&lt;'PlayerGrades+'!$AF$6,"A-",IF(N413&lt;'PlayerGrades+'!$AF$5,"A",IF(N413&lt;'PlayerGrades+'!$AF$4,"A+",IF(N413&lt;'PlayerGrades+'!$AF$3,"S-",IF(N413&lt;'PlayerGrades+'!$AF$2,"S","S+"))))))))))))))))))))</f>
        <v>#DIV/0!</v>
      </c>
      <c r="P413" s="961" t="str">
        <f t="shared" si="7"/>
        <v>#DIV/0!</v>
      </c>
      <c r="Q413" s="961" t="str">
        <f>IF(P413&lt;'PlayerGrades+'!$AG$21,"F-",IF(P413&lt;'PlayerGrades+'!$AG$20,"F",IF(P413&lt;'PlayerGrades+'!$AG$19,"F+",IF(P413&lt;'PlayerGrades+'!$AG$18,"E-",IF(P413&lt;'PlayerGrades+'!$AG$17,"E",IF(P413&lt;'PlayerGrades+'!$AG$16,"E+",IF(P413&lt;'PlayerGrades+'!$AG$15,"D-",IF(P413&lt;'PlayerGrades+'!$AG$14,"D",IF(P413&lt;'PlayerGrades+'!$AG$13,"D+",IF(P413&lt;'PlayerGrades+'!$AG$12,"C-",IF(P413&lt;'PlayerGrades+'!$AG$11,"C",IF(P413&lt;'PlayerGrades+'!$AG$10,"C+",IF(P413&lt;'PlayerGrades+'!$AG$9,"B-",IF(P413&lt;'PlayerGrades+'!$AG$8,"B",IF(P413&lt;'PlayerGrades+'!$AG$7,"B+",IF(P413&lt;'PlayerGrades+'!$AG$6,"A-",IF(P413&lt;'PlayerGrades+'!$AG$5,"A",IF(P413&lt;'PlayerGrades+'!$AG$4,"A+",IF(P413&lt;'PlayerGrades+'!$AG$3,"S-",IF(P413&lt;'PlayerGrades+'!$AG$2,"S","S+"))))))))))))))))))))</f>
        <v>#DIV/0!</v>
      </c>
      <c r="R413" s="961" t="str">
        <f t="shared" si="8"/>
        <v>#DIV/0!</v>
      </c>
      <c r="S413" s="961" t="str">
        <f>IF(R413&lt;'PlayerGrades+'!$AH$21,"F-",IF(R413&lt;'PlayerGrades+'!$AH$20,"F",IF(R413&lt;'PlayerGrades+'!$AH$19,"F+",IF(R413&lt;'PlayerGrades+'!$AH$18,"E-",IF(R413&lt;'PlayerGrades+'!$AH$17,"E",IF(R413&lt;'PlayerGrades+'!$AH$16,"E+",IF(R413&lt;'PlayerGrades+'!$AH$15,"D-",IF(R413&lt;'PlayerGrades+'!$AH$14,"D",IF(R413&lt;'PlayerGrades+'!$AH$13,"D+",IF(R413&lt;'PlayerGrades+'!$AH$12,"C-",IF(R413&lt;'PlayerGrades+'!$AH$11,"C",IF(R413&lt;'PlayerGrades+'!$AH$10,"C+",IF(R413&lt;'PlayerGrades+'!$AH$9,"B-",IF(R413&lt;'PlayerGrades+'!$AH$8,"B",IF(R413&lt;'PlayerGrades+'!$AH$7,"B+",IF(R413&lt;'PlayerGrades+'!$AH$6,"A-",IF(R413&lt;'PlayerGrades+'!$AH$5,"A",IF(R413&lt;'PlayerGrades+'!$AH$4,"A+",IF(R413&lt;'PlayerGrades+'!$AH$3,"S-",IF(R413&lt;'PlayerGrades+'!$AH$2,"S","S+"))))))))))))))))))))</f>
        <v>#DIV/0!</v>
      </c>
      <c r="T413" s="961">
        <f t="shared" si="9"/>
        <v>0</v>
      </c>
      <c r="U413" s="961" t="str">
        <f>IF(T413&lt;'PlayerGrades+'!$AI$21,"F-",IF(T413&lt;'PlayerGrades+'!$AI$20,"F",IF(T413&lt;'PlayerGrades+'!$AI$19,"F+",IF(T413&lt;'PlayerGrades+'!$AI$18,"E-",IF(T413&lt;'PlayerGrades+'!$AI$17,"E",IF(T413&lt;'PlayerGrades+'!$AI$16,"E+",IF(T413&lt;'PlayerGrades+'!$AI$15,"D-",IF(T413&lt;'PlayerGrades+'!$AI$14,"D",IF(T413&lt;'PlayerGrades+'!$AI$13,"D+",IF(T413&lt;'PlayerGrades+'!$AI$12,"C-",IF(T413&lt;'PlayerGrades+'!$AI$11,"C",IF(T413&lt;'PlayerGrades+'!$AI$10,"C+",IF(T413&lt;'PlayerGrades+'!$AI$9,"B-",IF(T413&lt;'PlayerGrades+'!$AI$8,"B",IF(T413&lt;'PlayerGrades+'!$AI$7,"B+",IF(T413&lt;'PlayerGrades+'!$AI$6,"A-",IF(T413&lt;'PlayerGrades+'!$AI$5,"A",IF(T413&lt;'PlayerGrades+'!$AI$4,"A+",IF(T413&lt;'PlayerGrades+'!$AI$3,"S-",IF(T413&lt;'PlayerGrades+'!$AI$2,"S","S+"))))))))))))))))))))</f>
        <v>F-</v>
      </c>
      <c r="AC413" s="1392"/>
    </row>
    <row r="414">
      <c r="A414" s="1391"/>
      <c r="B414" s="611" t="str">
        <f>IF(C414&lt;'PlayerGrades+'!$Y$44,"F-",IF(C414&lt;'PlayerGrades+'!$Y$43,"F",IF(C414&lt;'PlayerGrades+'!$Y$42,"F+",IF(C414&lt;'PlayerGrades+'!$Y$41,"E-",IF(C414&lt;'PlayerGrades+'!$Y$40,"E",IF(C414&lt;'PlayerGrades+'!$Y$39,"E+",IF(C414&lt;'PlayerGrades+'!$Y$38,"D-",IF(C414&lt;'PlayerGrades+'!$Y$37,"D",IF(C414&lt;'PlayerGrades+'!$Y$36,"D+",IF(C414&lt;'PlayerGrades+'!$Y$35,"C-",IF(C414&lt;'PlayerGrades+'!$Y$34,"C",IF(C414&lt;'PlayerGrades+'!$Y$33,"C+",IF(C414&lt;'PlayerGrades+'!$Y$32,"B-",IF(C414&lt;'PlayerGrades+'!$Y$31,"B",IF(C414&lt;'PlayerGrades+'!$Y$30,"B+",IF(C414&lt;'PlayerGrades+'!$Y$29,"A-",IF(C414&lt;'PlayerGrades+'!$Y$28,"A",IF(C414&lt;'PlayerGrades+'!$Y$27,"A+",IF(C414&lt;'PlayerGrades+'!$Y$26,"S-",IF(C414&lt;'PlayerGrades+'!$Y$25,"S","S+"))))))))))))))))))))</f>
        <v>#DIV/0!</v>
      </c>
      <c r="C414" s="1378" t="str">
        <f>('PlayerGrades+'!$Y$47*(VLOOKUP(E414, 'PlayerGrades+'!$X$3:$Y$23, 2, FALSE)))+('PlayerGrades+'!$Y$48*(VLOOKUP(G414, 'PlayerGrades+'!$X$3:$Y$23, 2, FALSE)))+('PlayerGrades+'!$Y$49*(VLOOKUP(I414, 'PlayerGrades+'!$X$3:$Y$23, 2, FALSE)))+('PlayerGrades+'!$Y$50*(VLOOKUP(K414, 'PlayerGrades+'!$X$3:$Y$23, 2, FALSE)))+('PlayerGrades+'!$Y$51*(VLOOKUP(M414, 'PlayerGrades+'!$X$3:$Y$23, 2, FALSE)))+('PlayerGrades+'!$Y$52*(VLOOKUP(O414, 'PlayerGrades+'!$X$3:$Y$23, 2, FALSE)))+('PlayerGrades+'!$Y$53*(VLOOKUP(Q414, 'PlayerGrades+'!$X$3:$Y$23, 2, FALSE)))+('PlayerGrades+'!$Y$54*(VLOOKUP(S414, 'PlayerGrades+'!$X$3:$Y$23, 2, FALSE)))+('PlayerGrades+'!$Y$55*(VLOOKUP(U414, 'PlayerGrades+'!$X$3:$Y$23, 2, FALSE)))</f>
        <v>#DIV/0!</v>
      </c>
      <c r="D414" s="961" t="str">
        <f t="shared" si="1"/>
        <v>#DIV/0!</v>
      </c>
      <c r="E414" s="961" t="str">
        <f>IF(D414&lt;'PlayerGrades+'!$AA$21,"F-",IF(D414&lt;'PlayerGrades+'!$AA$20,"F",IF(D414&lt;'PlayerGrades+'!$AA$19,"F+",IF(D414&lt;'PlayerGrades+'!$AA$18,"E-",IF(D414&lt;'PlayerGrades+'!$AA$17,"E",IF(D414&lt;'PlayerGrades+'!$AA$16,"E+",IF(D414&lt;'PlayerGrades+'!$AA$15,"D-",IF(D414&lt;'PlayerGrades+'!$AA$14,"D",IF(D414&lt;'PlayerGrades+'!$AA$13,"D+",IF(D414&lt;'PlayerGrades+'!$AA$12,"C-",IF(D414&lt;'PlayerGrades+'!$AA$11,"C",IF(D414&lt;'PlayerGrades+'!$AA$10,"C+",IF(D414&lt;'PlayerGrades+'!$AA$9,"B-",IF(D414&lt;'PlayerGrades+'!$AA$8,"B",IF(D414&lt;'PlayerGrades+'!$AA$7,"B+",IF(D414&lt;'PlayerGrades+'!$AA$6,"A-",IF(D414&lt;'PlayerGrades+'!$AA$5,"A",IF(D414&lt;'PlayerGrades+'!$AA$4,"A+",IF(D414&lt;'PlayerGrades+'!$AA$3,"S-",IF(D414&lt;'PlayerGrades+'!$AA$2,"S","S+"))))))))))))))))))))</f>
        <v>#DIV/0!</v>
      </c>
      <c r="F414" s="961" t="str">
        <f t="shared" si="2"/>
        <v>#DIV/0!</v>
      </c>
      <c r="G414" s="961" t="str">
        <f>IF(F414&lt;'PlayerGrades+'!$AB$21,"F-",IF(F414&lt;'PlayerGrades+'!$AB$20,"F",IF(F414&lt;'PlayerGrades+'!$AB$19,"F+",IF(F414&lt;'PlayerGrades+'!$AB$18,"E-",IF(F414&lt;'PlayerGrades+'!$AB$17,"E",IF(F414&lt;'PlayerGrades+'!$AB$16,"E+",IF(F414&lt;'PlayerGrades+'!$AB$15,"D-",IF(F414&lt;'PlayerGrades+'!$AB$14,"D",IF(F414&lt;'PlayerGrades+'!$AB$13,"D+",IF(F414&lt;'PlayerGrades+'!$AB$12,"C-",IF(F414&lt;'PlayerGrades+'!$AB$11,"C",IF(F414&lt;'PlayerGrades+'!$AB$10,"C+",IF(F414&lt;'PlayerGrades+'!$AB$9,"B-",IF(F414&lt;'PlayerGrades+'!$AB$8,"B",IF(F414&lt;'PlayerGrades+'!$AB$7,"B+",IF(F414&lt;'PlayerGrades+'!$AB$6,"A-",IF(F414&lt;'PlayerGrades+'!$AB$5,"A",IF(F414&lt;'PlayerGrades+'!$AB$4,"A+",IF(F414&lt;'PlayerGrades+'!$AB$3,"S-",IF(F414&lt;'PlayerGrades+'!$AB$2,"S","S+"))))))))))))))))))))</f>
        <v>#DIV/0!</v>
      </c>
      <c r="H414" s="961" t="str">
        <f t="shared" si="3"/>
        <v>#DIV/0!</v>
      </c>
      <c r="I414" s="961" t="str">
        <f>IF(H414&lt;'PlayerGrades+'!$AC$21,"F-",IF(H414&lt;'PlayerGrades+'!$AC$20,"F",IF(H414&lt;'PlayerGrades+'!$AC$19,"F+",IF(H414&lt;'PlayerGrades+'!$AC$18,"E-",IF(H414&lt;'PlayerGrades+'!$AC$17,"E",IF(H414&lt;'PlayerGrades+'!$AC$16,"E+",IF(H414&lt;'PlayerGrades+'!$AC$15,"D-",IF(H414&lt;'PlayerGrades+'!$AC$14,"D",IF(H414&lt;'PlayerGrades+'!$AC$13,"D+",IF(H414&lt;'PlayerGrades+'!$AC$12,"C-",IF(H414&lt;'PlayerGrades+'!$AC$11,"C",IF(H414&lt;'PlayerGrades+'!$AC$10,"C+",IF(H414&lt;'PlayerGrades+'!$AC$9,"B-",IF(H414&lt;'PlayerGrades+'!$AC$8,"B",IF(H414&lt;'PlayerGrades+'!$AC$7,"B+",IF(H414&lt;'PlayerGrades+'!$AC$6,"A-",IF(H414&lt;'PlayerGrades+'!$AC$5,"A",IF(H414&lt;'PlayerGrades+'!$AC$4,"A+",IF(H414&lt;'PlayerGrades+'!$AC$3,"S-",IF(H414&lt;'PlayerGrades+'!$AC$2,"S","S+"))))))))))))))))))))</f>
        <v>#DIV/0!</v>
      </c>
      <c r="J414" s="961" t="str">
        <f t="shared" si="4"/>
        <v>#DIV/0!</v>
      </c>
      <c r="K414" s="961" t="str">
        <f>IF(J414&lt;'PlayerGrades+'!$AD$21,"F-",IF(J414&lt;'PlayerGrades+'!$AD$20,"F",IF(J414&lt;'PlayerGrades+'!$AD$19,"F+",IF(J414&lt;'PlayerGrades+'!$AD$18,"E-",IF(J414&lt;'PlayerGrades+'!$AD$17,"E",IF(J414&lt;'PlayerGrades+'!$AD$16,"E+",IF(J414&lt;'PlayerGrades+'!$AD$15,"D-",IF(J414&lt;'PlayerGrades+'!$AD$14,"D",IF(J414&lt;'PlayerGrades+'!$AD$13,"D+",IF(J414&lt;'PlayerGrades+'!$AD$12,"C-",IF(J414&lt;'PlayerGrades+'!$AD$11,"C",IF(J414&lt;'PlayerGrades+'!$AD$10,"C+",IF(J414&lt;'PlayerGrades+'!$AD$9,"B-",IF(J414&lt;'PlayerGrades+'!$AD$8,"B",IF(J414&lt;'PlayerGrades+'!$AD$7,"B+",IF(J414&lt;'PlayerGrades+'!$AD$6,"A-",IF(J414&lt;'PlayerGrades+'!$AD$5,"A",IF(J414&lt;'PlayerGrades+'!$AD$4,"A+",IF(J414&lt;'PlayerGrades+'!$AD$3,"S-",IF(J414&lt;'PlayerGrades+'!$AD$2,"S","S+"))))))))))))))))))))</f>
        <v>#DIV/0!</v>
      </c>
      <c r="L414" s="1176" t="str">
        <f t="shared" si="5"/>
        <v>#DIV/0!</v>
      </c>
      <c r="M414" s="992" t="str">
        <f>IF(L414&lt;'PlayerGrades+'!$AE$21,"F-",IF(L414&lt;'PlayerGrades+'!$AE$20,"F",IF(L414&lt;'PlayerGrades+'!$AE$19,"F+",IF(L414&lt;'PlayerGrades+'!$AE$18,"E-",IF(L414&lt;'PlayerGrades+'!$AE$17,"E",IF(L414&lt;'PlayerGrades+'!$AE$16,"E+",IF(L414&lt;'PlayerGrades+'!$AE$15,"D-",IF(L414&lt;'PlayerGrades+'!$AE$14,"D",IF(L414&lt;'PlayerGrades+'!$AE$13,"D+",IF(L414&lt;'PlayerGrades+'!$AE$12,"C-",IF(L414&lt;'PlayerGrades+'!$AE$11,"C",IF(L414&lt;'PlayerGrades+'!$AE$10,"C+",IF(L414&lt;'PlayerGrades+'!$AE$9,"B-",IF(L414&lt;'PlayerGrades+'!$AE$8,"B",IF(L414&lt;'PlayerGrades+'!$AE$7,"B+",IF(L414&lt;'PlayerGrades+'!$AE$6,"A-",IF(L414&lt;'PlayerGrades+'!$AE$5,"A",IF(L414&lt;'PlayerGrades+'!$AE$4,"A+",IF(L414&lt;'PlayerGrades+'!$AE$3,"S-",IF(L414&lt;'PlayerGrades+'!$AE$2,"S","S+"))))))))))))))))))))</f>
        <v>#DIV/0!</v>
      </c>
      <c r="N414" s="961" t="str">
        <f t="shared" si="6"/>
        <v>#DIV/0!</v>
      </c>
      <c r="O414" s="961" t="str">
        <f>IF(N414&lt;'PlayerGrades+'!$AF$21,"F-",IF(N414&lt;'PlayerGrades+'!$AF$20,"F",IF(N414&lt;'PlayerGrades+'!$AF$19,"F+",IF(N414&lt;'PlayerGrades+'!$AF$18,"E-",IF(N414&lt;'PlayerGrades+'!$AF$17,"E",IF(N414&lt;'PlayerGrades+'!$AF$16,"E+",IF(N414&lt;'PlayerGrades+'!$AF$15,"D-",IF(N414&lt;'PlayerGrades+'!$AF$14,"D",IF(N414&lt;'PlayerGrades+'!$AF$13,"D+",IF(N414&lt;'PlayerGrades+'!$AF$12,"C-",IF(N414&lt;'PlayerGrades+'!$AF$11,"C",IF(N414&lt;'PlayerGrades+'!$AF$10,"C+",IF(N414&lt;'PlayerGrades+'!$AF$9,"B-",IF(N414&lt;'PlayerGrades+'!$AF$8,"B",IF(N414&lt;'PlayerGrades+'!$AF$7,"B+",IF(N414&lt;'PlayerGrades+'!$AF$6,"A-",IF(N414&lt;'PlayerGrades+'!$AF$5,"A",IF(N414&lt;'PlayerGrades+'!$AF$4,"A+",IF(N414&lt;'PlayerGrades+'!$AF$3,"S-",IF(N414&lt;'PlayerGrades+'!$AF$2,"S","S+"))))))))))))))))))))</f>
        <v>#DIV/0!</v>
      </c>
      <c r="P414" s="961" t="str">
        <f t="shared" si="7"/>
        <v>#DIV/0!</v>
      </c>
      <c r="Q414" s="961" t="str">
        <f>IF(P414&lt;'PlayerGrades+'!$AG$21,"F-",IF(P414&lt;'PlayerGrades+'!$AG$20,"F",IF(P414&lt;'PlayerGrades+'!$AG$19,"F+",IF(P414&lt;'PlayerGrades+'!$AG$18,"E-",IF(P414&lt;'PlayerGrades+'!$AG$17,"E",IF(P414&lt;'PlayerGrades+'!$AG$16,"E+",IF(P414&lt;'PlayerGrades+'!$AG$15,"D-",IF(P414&lt;'PlayerGrades+'!$AG$14,"D",IF(P414&lt;'PlayerGrades+'!$AG$13,"D+",IF(P414&lt;'PlayerGrades+'!$AG$12,"C-",IF(P414&lt;'PlayerGrades+'!$AG$11,"C",IF(P414&lt;'PlayerGrades+'!$AG$10,"C+",IF(P414&lt;'PlayerGrades+'!$AG$9,"B-",IF(P414&lt;'PlayerGrades+'!$AG$8,"B",IF(P414&lt;'PlayerGrades+'!$AG$7,"B+",IF(P414&lt;'PlayerGrades+'!$AG$6,"A-",IF(P414&lt;'PlayerGrades+'!$AG$5,"A",IF(P414&lt;'PlayerGrades+'!$AG$4,"A+",IF(P414&lt;'PlayerGrades+'!$AG$3,"S-",IF(P414&lt;'PlayerGrades+'!$AG$2,"S","S+"))))))))))))))))))))</f>
        <v>#DIV/0!</v>
      </c>
      <c r="R414" s="961" t="str">
        <f t="shared" si="8"/>
        <v>#DIV/0!</v>
      </c>
      <c r="S414" s="961" t="str">
        <f>IF(R414&lt;'PlayerGrades+'!$AH$21,"F-",IF(R414&lt;'PlayerGrades+'!$AH$20,"F",IF(R414&lt;'PlayerGrades+'!$AH$19,"F+",IF(R414&lt;'PlayerGrades+'!$AH$18,"E-",IF(R414&lt;'PlayerGrades+'!$AH$17,"E",IF(R414&lt;'PlayerGrades+'!$AH$16,"E+",IF(R414&lt;'PlayerGrades+'!$AH$15,"D-",IF(R414&lt;'PlayerGrades+'!$AH$14,"D",IF(R414&lt;'PlayerGrades+'!$AH$13,"D+",IF(R414&lt;'PlayerGrades+'!$AH$12,"C-",IF(R414&lt;'PlayerGrades+'!$AH$11,"C",IF(R414&lt;'PlayerGrades+'!$AH$10,"C+",IF(R414&lt;'PlayerGrades+'!$AH$9,"B-",IF(R414&lt;'PlayerGrades+'!$AH$8,"B",IF(R414&lt;'PlayerGrades+'!$AH$7,"B+",IF(R414&lt;'PlayerGrades+'!$AH$6,"A-",IF(R414&lt;'PlayerGrades+'!$AH$5,"A",IF(R414&lt;'PlayerGrades+'!$AH$4,"A+",IF(R414&lt;'PlayerGrades+'!$AH$3,"S-",IF(R414&lt;'PlayerGrades+'!$AH$2,"S","S+"))))))))))))))))))))</f>
        <v>#DIV/0!</v>
      </c>
      <c r="T414" s="961">
        <f t="shared" si="9"/>
        <v>0</v>
      </c>
      <c r="U414" s="961" t="str">
        <f>IF(T414&lt;'PlayerGrades+'!$AI$21,"F-",IF(T414&lt;'PlayerGrades+'!$AI$20,"F",IF(T414&lt;'PlayerGrades+'!$AI$19,"F+",IF(T414&lt;'PlayerGrades+'!$AI$18,"E-",IF(T414&lt;'PlayerGrades+'!$AI$17,"E",IF(T414&lt;'PlayerGrades+'!$AI$16,"E+",IF(T414&lt;'PlayerGrades+'!$AI$15,"D-",IF(T414&lt;'PlayerGrades+'!$AI$14,"D",IF(T414&lt;'PlayerGrades+'!$AI$13,"D+",IF(T414&lt;'PlayerGrades+'!$AI$12,"C-",IF(T414&lt;'PlayerGrades+'!$AI$11,"C",IF(T414&lt;'PlayerGrades+'!$AI$10,"C+",IF(T414&lt;'PlayerGrades+'!$AI$9,"B-",IF(T414&lt;'PlayerGrades+'!$AI$8,"B",IF(T414&lt;'PlayerGrades+'!$AI$7,"B+",IF(T414&lt;'PlayerGrades+'!$AI$6,"A-",IF(T414&lt;'PlayerGrades+'!$AI$5,"A",IF(T414&lt;'PlayerGrades+'!$AI$4,"A+",IF(T414&lt;'PlayerGrades+'!$AI$3,"S-",IF(T414&lt;'PlayerGrades+'!$AI$2,"S","S+"))))))))))))))))))))</f>
        <v>F-</v>
      </c>
      <c r="AC414" s="1392"/>
    </row>
    <row r="415">
      <c r="A415" s="1391"/>
      <c r="B415" s="611" t="str">
        <f>IF(C415&lt;'PlayerGrades+'!$Y$44,"F-",IF(C415&lt;'PlayerGrades+'!$Y$43,"F",IF(C415&lt;'PlayerGrades+'!$Y$42,"F+",IF(C415&lt;'PlayerGrades+'!$Y$41,"E-",IF(C415&lt;'PlayerGrades+'!$Y$40,"E",IF(C415&lt;'PlayerGrades+'!$Y$39,"E+",IF(C415&lt;'PlayerGrades+'!$Y$38,"D-",IF(C415&lt;'PlayerGrades+'!$Y$37,"D",IF(C415&lt;'PlayerGrades+'!$Y$36,"D+",IF(C415&lt;'PlayerGrades+'!$Y$35,"C-",IF(C415&lt;'PlayerGrades+'!$Y$34,"C",IF(C415&lt;'PlayerGrades+'!$Y$33,"C+",IF(C415&lt;'PlayerGrades+'!$Y$32,"B-",IF(C415&lt;'PlayerGrades+'!$Y$31,"B",IF(C415&lt;'PlayerGrades+'!$Y$30,"B+",IF(C415&lt;'PlayerGrades+'!$Y$29,"A-",IF(C415&lt;'PlayerGrades+'!$Y$28,"A",IF(C415&lt;'PlayerGrades+'!$Y$27,"A+",IF(C415&lt;'PlayerGrades+'!$Y$26,"S-",IF(C415&lt;'PlayerGrades+'!$Y$25,"S","S+"))))))))))))))))))))</f>
        <v>#DIV/0!</v>
      </c>
      <c r="C415" s="1378" t="str">
        <f>('PlayerGrades+'!$Y$47*(VLOOKUP(E415, 'PlayerGrades+'!$X$3:$Y$23, 2, FALSE)))+('PlayerGrades+'!$Y$48*(VLOOKUP(G415, 'PlayerGrades+'!$X$3:$Y$23, 2, FALSE)))+('PlayerGrades+'!$Y$49*(VLOOKUP(I415, 'PlayerGrades+'!$X$3:$Y$23, 2, FALSE)))+('PlayerGrades+'!$Y$50*(VLOOKUP(K415, 'PlayerGrades+'!$X$3:$Y$23, 2, FALSE)))+('PlayerGrades+'!$Y$51*(VLOOKUP(M415, 'PlayerGrades+'!$X$3:$Y$23, 2, FALSE)))+('PlayerGrades+'!$Y$52*(VLOOKUP(O415, 'PlayerGrades+'!$X$3:$Y$23, 2, FALSE)))+('PlayerGrades+'!$Y$53*(VLOOKUP(Q415, 'PlayerGrades+'!$X$3:$Y$23, 2, FALSE)))+('PlayerGrades+'!$Y$54*(VLOOKUP(S415, 'PlayerGrades+'!$X$3:$Y$23, 2, FALSE)))+('PlayerGrades+'!$Y$55*(VLOOKUP(U415, 'PlayerGrades+'!$X$3:$Y$23, 2, FALSE)))</f>
        <v>#DIV/0!</v>
      </c>
      <c r="D415" s="961" t="str">
        <f t="shared" si="1"/>
        <v>#DIV/0!</v>
      </c>
      <c r="E415" s="961" t="str">
        <f>IF(D415&lt;'PlayerGrades+'!$AA$21,"F-",IF(D415&lt;'PlayerGrades+'!$AA$20,"F",IF(D415&lt;'PlayerGrades+'!$AA$19,"F+",IF(D415&lt;'PlayerGrades+'!$AA$18,"E-",IF(D415&lt;'PlayerGrades+'!$AA$17,"E",IF(D415&lt;'PlayerGrades+'!$AA$16,"E+",IF(D415&lt;'PlayerGrades+'!$AA$15,"D-",IF(D415&lt;'PlayerGrades+'!$AA$14,"D",IF(D415&lt;'PlayerGrades+'!$AA$13,"D+",IF(D415&lt;'PlayerGrades+'!$AA$12,"C-",IF(D415&lt;'PlayerGrades+'!$AA$11,"C",IF(D415&lt;'PlayerGrades+'!$AA$10,"C+",IF(D415&lt;'PlayerGrades+'!$AA$9,"B-",IF(D415&lt;'PlayerGrades+'!$AA$8,"B",IF(D415&lt;'PlayerGrades+'!$AA$7,"B+",IF(D415&lt;'PlayerGrades+'!$AA$6,"A-",IF(D415&lt;'PlayerGrades+'!$AA$5,"A",IF(D415&lt;'PlayerGrades+'!$AA$4,"A+",IF(D415&lt;'PlayerGrades+'!$AA$3,"S-",IF(D415&lt;'PlayerGrades+'!$AA$2,"S","S+"))))))))))))))))))))</f>
        <v>#DIV/0!</v>
      </c>
      <c r="F415" s="961" t="str">
        <f t="shared" si="2"/>
        <v>#DIV/0!</v>
      </c>
      <c r="G415" s="961" t="str">
        <f>IF(F415&lt;'PlayerGrades+'!$AB$21,"F-",IF(F415&lt;'PlayerGrades+'!$AB$20,"F",IF(F415&lt;'PlayerGrades+'!$AB$19,"F+",IF(F415&lt;'PlayerGrades+'!$AB$18,"E-",IF(F415&lt;'PlayerGrades+'!$AB$17,"E",IF(F415&lt;'PlayerGrades+'!$AB$16,"E+",IF(F415&lt;'PlayerGrades+'!$AB$15,"D-",IF(F415&lt;'PlayerGrades+'!$AB$14,"D",IF(F415&lt;'PlayerGrades+'!$AB$13,"D+",IF(F415&lt;'PlayerGrades+'!$AB$12,"C-",IF(F415&lt;'PlayerGrades+'!$AB$11,"C",IF(F415&lt;'PlayerGrades+'!$AB$10,"C+",IF(F415&lt;'PlayerGrades+'!$AB$9,"B-",IF(F415&lt;'PlayerGrades+'!$AB$8,"B",IF(F415&lt;'PlayerGrades+'!$AB$7,"B+",IF(F415&lt;'PlayerGrades+'!$AB$6,"A-",IF(F415&lt;'PlayerGrades+'!$AB$5,"A",IF(F415&lt;'PlayerGrades+'!$AB$4,"A+",IF(F415&lt;'PlayerGrades+'!$AB$3,"S-",IF(F415&lt;'PlayerGrades+'!$AB$2,"S","S+"))))))))))))))))))))</f>
        <v>#DIV/0!</v>
      </c>
      <c r="H415" s="961" t="str">
        <f t="shared" si="3"/>
        <v>#DIV/0!</v>
      </c>
      <c r="I415" s="961" t="str">
        <f>IF(H415&lt;'PlayerGrades+'!$AC$21,"F-",IF(H415&lt;'PlayerGrades+'!$AC$20,"F",IF(H415&lt;'PlayerGrades+'!$AC$19,"F+",IF(H415&lt;'PlayerGrades+'!$AC$18,"E-",IF(H415&lt;'PlayerGrades+'!$AC$17,"E",IF(H415&lt;'PlayerGrades+'!$AC$16,"E+",IF(H415&lt;'PlayerGrades+'!$AC$15,"D-",IF(H415&lt;'PlayerGrades+'!$AC$14,"D",IF(H415&lt;'PlayerGrades+'!$AC$13,"D+",IF(H415&lt;'PlayerGrades+'!$AC$12,"C-",IF(H415&lt;'PlayerGrades+'!$AC$11,"C",IF(H415&lt;'PlayerGrades+'!$AC$10,"C+",IF(H415&lt;'PlayerGrades+'!$AC$9,"B-",IF(H415&lt;'PlayerGrades+'!$AC$8,"B",IF(H415&lt;'PlayerGrades+'!$AC$7,"B+",IF(H415&lt;'PlayerGrades+'!$AC$6,"A-",IF(H415&lt;'PlayerGrades+'!$AC$5,"A",IF(H415&lt;'PlayerGrades+'!$AC$4,"A+",IF(H415&lt;'PlayerGrades+'!$AC$3,"S-",IF(H415&lt;'PlayerGrades+'!$AC$2,"S","S+"))))))))))))))))))))</f>
        <v>#DIV/0!</v>
      </c>
      <c r="J415" s="961" t="str">
        <f t="shared" si="4"/>
        <v>#DIV/0!</v>
      </c>
      <c r="K415" s="961" t="str">
        <f>IF(J415&lt;'PlayerGrades+'!$AD$21,"F-",IF(J415&lt;'PlayerGrades+'!$AD$20,"F",IF(J415&lt;'PlayerGrades+'!$AD$19,"F+",IF(J415&lt;'PlayerGrades+'!$AD$18,"E-",IF(J415&lt;'PlayerGrades+'!$AD$17,"E",IF(J415&lt;'PlayerGrades+'!$AD$16,"E+",IF(J415&lt;'PlayerGrades+'!$AD$15,"D-",IF(J415&lt;'PlayerGrades+'!$AD$14,"D",IF(J415&lt;'PlayerGrades+'!$AD$13,"D+",IF(J415&lt;'PlayerGrades+'!$AD$12,"C-",IF(J415&lt;'PlayerGrades+'!$AD$11,"C",IF(J415&lt;'PlayerGrades+'!$AD$10,"C+",IF(J415&lt;'PlayerGrades+'!$AD$9,"B-",IF(J415&lt;'PlayerGrades+'!$AD$8,"B",IF(J415&lt;'PlayerGrades+'!$AD$7,"B+",IF(J415&lt;'PlayerGrades+'!$AD$6,"A-",IF(J415&lt;'PlayerGrades+'!$AD$5,"A",IF(J415&lt;'PlayerGrades+'!$AD$4,"A+",IF(J415&lt;'PlayerGrades+'!$AD$3,"S-",IF(J415&lt;'PlayerGrades+'!$AD$2,"S","S+"))))))))))))))))))))</f>
        <v>#DIV/0!</v>
      </c>
      <c r="L415" s="1176" t="str">
        <f t="shared" si="5"/>
        <v>#DIV/0!</v>
      </c>
      <c r="M415" s="992" t="str">
        <f>IF(L415&lt;'PlayerGrades+'!$AE$21,"F-",IF(L415&lt;'PlayerGrades+'!$AE$20,"F",IF(L415&lt;'PlayerGrades+'!$AE$19,"F+",IF(L415&lt;'PlayerGrades+'!$AE$18,"E-",IF(L415&lt;'PlayerGrades+'!$AE$17,"E",IF(L415&lt;'PlayerGrades+'!$AE$16,"E+",IF(L415&lt;'PlayerGrades+'!$AE$15,"D-",IF(L415&lt;'PlayerGrades+'!$AE$14,"D",IF(L415&lt;'PlayerGrades+'!$AE$13,"D+",IF(L415&lt;'PlayerGrades+'!$AE$12,"C-",IF(L415&lt;'PlayerGrades+'!$AE$11,"C",IF(L415&lt;'PlayerGrades+'!$AE$10,"C+",IF(L415&lt;'PlayerGrades+'!$AE$9,"B-",IF(L415&lt;'PlayerGrades+'!$AE$8,"B",IF(L415&lt;'PlayerGrades+'!$AE$7,"B+",IF(L415&lt;'PlayerGrades+'!$AE$6,"A-",IF(L415&lt;'PlayerGrades+'!$AE$5,"A",IF(L415&lt;'PlayerGrades+'!$AE$4,"A+",IF(L415&lt;'PlayerGrades+'!$AE$3,"S-",IF(L415&lt;'PlayerGrades+'!$AE$2,"S","S+"))))))))))))))))))))</f>
        <v>#DIV/0!</v>
      </c>
      <c r="N415" s="961" t="str">
        <f t="shared" si="6"/>
        <v>#DIV/0!</v>
      </c>
      <c r="O415" s="961" t="str">
        <f>IF(N415&lt;'PlayerGrades+'!$AF$21,"F-",IF(N415&lt;'PlayerGrades+'!$AF$20,"F",IF(N415&lt;'PlayerGrades+'!$AF$19,"F+",IF(N415&lt;'PlayerGrades+'!$AF$18,"E-",IF(N415&lt;'PlayerGrades+'!$AF$17,"E",IF(N415&lt;'PlayerGrades+'!$AF$16,"E+",IF(N415&lt;'PlayerGrades+'!$AF$15,"D-",IF(N415&lt;'PlayerGrades+'!$AF$14,"D",IF(N415&lt;'PlayerGrades+'!$AF$13,"D+",IF(N415&lt;'PlayerGrades+'!$AF$12,"C-",IF(N415&lt;'PlayerGrades+'!$AF$11,"C",IF(N415&lt;'PlayerGrades+'!$AF$10,"C+",IF(N415&lt;'PlayerGrades+'!$AF$9,"B-",IF(N415&lt;'PlayerGrades+'!$AF$8,"B",IF(N415&lt;'PlayerGrades+'!$AF$7,"B+",IF(N415&lt;'PlayerGrades+'!$AF$6,"A-",IF(N415&lt;'PlayerGrades+'!$AF$5,"A",IF(N415&lt;'PlayerGrades+'!$AF$4,"A+",IF(N415&lt;'PlayerGrades+'!$AF$3,"S-",IF(N415&lt;'PlayerGrades+'!$AF$2,"S","S+"))))))))))))))))))))</f>
        <v>#DIV/0!</v>
      </c>
      <c r="P415" s="961" t="str">
        <f t="shared" si="7"/>
        <v>#DIV/0!</v>
      </c>
      <c r="Q415" s="961" t="str">
        <f>IF(P415&lt;'PlayerGrades+'!$AG$21,"F-",IF(P415&lt;'PlayerGrades+'!$AG$20,"F",IF(P415&lt;'PlayerGrades+'!$AG$19,"F+",IF(P415&lt;'PlayerGrades+'!$AG$18,"E-",IF(P415&lt;'PlayerGrades+'!$AG$17,"E",IF(P415&lt;'PlayerGrades+'!$AG$16,"E+",IF(P415&lt;'PlayerGrades+'!$AG$15,"D-",IF(P415&lt;'PlayerGrades+'!$AG$14,"D",IF(P415&lt;'PlayerGrades+'!$AG$13,"D+",IF(P415&lt;'PlayerGrades+'!$AG$12,"C-",IF(P415&lt;'PlayerGrades+'!$AG$11,"C",IF(P415&lt;'PlayerGrades+'!$AG$10,"C+",IF(P415&lt;'PlayerGrades+'!$AG$9,"B-",IF(P415&lt;'PlayerGrades+'!$AG$8,"B",IF(P415&lt;'PlayerGrades+'!$AG$7,"B+",IF(P415&lt;'PlayerGrades+'!$AG$6,"A-",IF(P415&lt;'PlayerGrades+'!$AG$5,"A",IF(P415&lt;'PlayerGrades+'!$AG$4,"A+",IF(P415&lt;'PlayerGrades+'!$AG$3,"S-",IF(P415&lt;'PlayerGrades+'!$AG$2,"S","S+"))))))))))))))))))))</f>
        <v>#DIV/0!</v>
      </c>
      <c r="R415" s="961" t="str">
        <f t="shared" si="8"/>
        <v>#DIV/0!</v>
      </c>
      <c r="S415" s="961" t="str">
        <f>IF(R415&lt;'PlayerGrades+'!$AH$21,"F-",IF(R415&lt;'PlayerGrades+'!$AH$20,"F",IF(R415&lt;'PlayerGrades+'!$AH$19,"F+",IF(R415&lt;'PlayerGrades+'!$AH$18,"E-",IF(R415&lt;'PlayerGrades+'!$AH$17,"E",IF(R415&lt;'PlayerGrades+'!$AH$16,"E+",IF(R415&lt;'PlayerGrades+'!$AH$15,"D-",IF(R415&lt;'PlayerGrades+'!$AH$14,"D",IF(R415&lt;'PlayerGrades+'!$AH$13,"D+",IF(R415&lt;'PlayerGrades+'!$AH$12,"C-",IF(R415&lt;'PlayerGrades+'!$AH$11,"C",IF(R415&lt;'PlayerGrades+'!$AH$10,"C+",IF(R415&lt;'PlayerGrades+'!$AH$9,"B-",IF(R415&lt;'PlayerGrades+'!$AH$8,"B",IF(R415&lt;'PlayerGrades+'!$AH$7,"B+",IF(R415&lt;'PlayerGrades+'!$AH$6,"A-",IF(R415&lt;'PlayerGrades+'!$AH$5,"A",IF(R415&lt;'PlayerGrades+'!$AH$4,"A+",IF(R415&lt;'PlayerGrades+'!$AH$3,"S-",IF(R415&lt;'PlayerGrades+'!$AH$2,"S","S+"))))))))))))))))))))</f>
        <v>#DIV/0!</v>
      </c>
      <c r="T415" s="961">
        <f t="shared" si="9"/>
        <v>0</v>
      </c>
      <c r="U415" s="961" t="str">
        <f>IF(T415&lt;'PlayerGrades+'!$AI$21,"F-",IF(T415&lt;'PlayerGrades+'!$AI$20,"F",IF(T415&lt;'PlayerGrades+'!$AI$19,"F+",IF(T415&lt;'PlayerGrades+'!$AI$18,"E-",IF(T415&lt;'PlayerGrades+'!$AI$17,"E",IF(T415&lt;'PlayerGrades+'!$AI$16,"E+",IF(T415&lt;'PlayerGrades+'!$AI$15,"D-",IF(T415&lt;'PlayerGrades+'!$AI$14,"D",IF(T415&lt;'PlayerGrades+'!$AI$13,"D+",IF(T415&lt;'PlayerGrades+'!$AI$12,"C-",IF(T415&lt;'PlayerGrades+'!$AI$11,"C",IF(T415&lt;'PlayerGrades+'!$AI$10,"C+",IF(T415&lt;'PlayerGrades+'!$AI$9,"B-",IF(T415&lt;'PlayerGrades+'!$AI$8,"B",IF(T415&lt;'PlayerGrades+'!$AI$7,"B+",IF(T415&lt;'PlayerGrades+'!$AI$6,"A-",IF(T415&lt;'PlayerGrades+'!$AI$5,"A",IF(T415&lt;'PlayerGrades+'!$AI$4,"A+",IF(T415&lt;'PlayerGrades+'!$AI$3,"S-",IF(T415&lt;'PlayerGrades+'!$AI$2,"S","S+"))))))))))))))))))))</f>
        <v>F-</v>
      </c>
      <c r="AC415" s="1392"/>
    </row>
    <row r="416">
      <c r="A416" s="1391"/>
      <c r="B416" s="611" t="str">
        <f>IF(C416&lt;'PlayerGrades+'!$Y$44,"F-",IF(C416&lt;'PlayerGrades+'!$Y$43,"F",IF(C416&lt;'PlayerGrades+'!$Y$42,"F+",IF(C416&lt;'PlayerGrades+'!$Y$41,"E-",IF(C416&lt;'PlayerGrades+'!$Y$40,"E",IF(C416&lt;'PlayerGrades+'!$Y$39,"E+",IF(C416&lt;'PlayerGrades+'!$Y$38,"D-",IF(C416&lt;'PlayerGrades+'!$Y$37,"D",IF(C416&lt;'PlayerGrades+'!$Y$36,"D+",IF(C416&lt;'PlayerGrades+'!$Y$35,"C-",IF(C416&lt;'PlayerGrades+'!$Y$34,"C",IF(C416&lt;'PlayerGrades+'!$Y$33,"C+",IF(C416&lt;'PlayerGrades+'!$Y$32,"B-",IF(C416&lt;'PlayerGrades+'!$Y$31,"B",IF(C416&lt;'PlayerGrades+'!$Y$30,"B+",IF(C416&lt;'PlayerGrades+'!$Y$29,"A-",IF(C416&lt;'PlayerGrades+'!$Y$28,"A",IF(C416&lt;'PlayerGrades+'!$Y$27,"A+",IF(C416&lt;'PlayerGrades+'!$Y$26,"S-",IF(C416&lt;'PlayerGrades+'!$Y$25,"S","S+"))))))))))))))))))))</f>
        <v>#DIV/0!</v>
      </c>
      <c r="C416" s="1378" t="str">
        <f>('PlayerGrades+'!$Y$47*(VLOOKUP(E416, 'PlayerGrades+'!$X$3:$Y$23, 2, FALSE)))+('PlayerGrades+'!$Y$48*(VLOOKUP(G416, 'PlayerGrades+'!$X$3:$Y$23, 2, FALSE)))+('PlayerGrades+'!$Y$49*(VLOOKUP(I416, 'PlayerGrades+'!$X$3:$Y$23, 2, FALSE)))+('PlayerGrades+'!$Y$50*(VLOOKUP(K416, 'PlayerGrades+'!$X$3:$Y$23, 2, FALSE)))+('PlayerGrades+'!$Y$51*(VLOOKUP(M416, 'PlayerGrades+'!$X$3:$Y$23, 2, FALSE)))+('PlayerGrades+'!$Y$52*(VLOOKUP(O416, 'PlayerGrades+'!$X$3:$Y$23, 2, FALSE)))+('PlayerGrades+'!$Y$53*(VLOOKUP(Q416, 'PlayerGrades+'!$X$3:$Y$23, 2, FALSE)))+('PlayerGrades+'!$Y$54*(VLOOKUP(S416, 'PlayerGrades+'!$X$3:$Y$23, 2, FALSE)))+('PlayerGrades+'!$Y$55*(VLOOKUP(U416, 'PlayerGrades+'!$X$3:$Y$23, 2, FALSE)))</f>
        <v>#DIV/0!</v>
      </c>
      <c r="D416" s="961" t="str">
        <f t="shared" si="1"/>
        <v>#DIV/0!</v>
      </c>
      <c r="E416" s="961" t="str">
        <f>IF(D416&lt;'PlayerGrades+'!$AA$21,"F-",IF(D416&lt;'PlayerGrades+'!$AA$20,"F",IF(D416&lt;'PlayerGrades+'!$AA$19,"F+",IF(D416&lt;'PlayerGrades+'!$AA$18,"E-",IF(D416&lt;'PlayerGrades+'!$AA$17,"E",IF(D416&lt;'PlayerGrades+'!$AA$16,"E+",IF(D416&lt;'PlayerGrades+'!$AA$15,"D-",IF(D416&lt;'PlayerGrades+'!$AA$14,"D",IF(D416&lt;'PlayerGrades+'!$AA$13,"D+",IF(D416&lt;'PlayerGrades+'!$AA$12,"C-",IF(D416&lt;'PlayerGrades+'!$AA$11,"C",IF(D416&lt;'PlayerGrades+'!$AA$10,"C+",IF(D416&lt;'PlayerGrades+'!$AA$9,"B-",IF(D416&lt;'PlayerGrades+'!$AA$8,"B",IF(D416&lt;'PlayerGrades+'!$AA$7,"B+",IF(D416&lt;'PlayerGrades+'!$AA$6,"A-",IF(D416&lt;'PlayerGrades+'!$AA$5,"A",IF(D416&lt;'PlayerGrades+'!$AA$4,"A+",IF(D416&lt;'PlayerGrades+'!$AA$3,"S-",IF(D416&lt;'PlayerGrades+'!$AA$2,"S","S+"))))))))))))))))))))</f>
        <v>#DIV/0!</v>
      </c>
      <c r="F416" s="961" t="str">
        <f t="shared" si="2"/>
        <v>#DIV/0!</v>
      </c>
      <c r="G416" s="961" t="str">
        <f>IF(F416&lt;'PlayerGrades+'!$AB$21,"F-",IF(F416&lt;'PlayerGrades+'!$AB$20,"F",IF(F416&lt;'PlayerGrades+'!$AB$19,"F+",IF(F416&lt;'PlayerGrades+'!$AB$18,"E-",IF(F416&lt;'PlayerGrades+'!$AB$17,"E",IF(F416&lt;'PlayerGrades+'!$AB$16,"E+",IF(F416&lt;'PlayerGrades+'!$AB$15,"D-",IF(F416&lt;'PlayerGrades+'!$AB$14,"D",IF(F416&lt;'PlayerGrades+'!$AB$13,"D+",IF(F416&lt;'PlayerGrades+'!$AB$12,"C-",IF(F416&lt;'PlayerGrades+'!$AB$11,"C",IF(F416&lt;'PlayerGrades+'!$AB$10,"C+",IF(F416&lt;'PlayerGrades+'!$AB$9,"B-",IF(F416&lt;'PlayerGrades+'!$AB$8,"B",IF(F416&lt;'PlayerGrades+'!$AB$7,"B+",IF(F416&lt;'PlayerGrades+'!$AB$6,"A-",IF(F416&lt;'PlayerGrades+'!$AB$5,"A",IF(F416&lt;'PlayerGrades+'!$AB$4,"A+",IF(F416&lt;'PlayerGrades+'!$AB$3,"S-",IF(F416&lt;'PlayerGrades+'!$AB$2,"S","S+"))))))))))))))))))))</f>
        <v>#DIV/0!</v>
      </c>
      <c r="H416" s="961" t="str">
        <f t="shared" si="3"/>
        <v>#DIV/0!</v>
      </c>
      <c r="I416" s="961" t="str">
        <f>IF(H416&lt;'PlayerGrades+'!$AC$21,"F-",IF(H416&lt;'PlayerGrades+'!$AC$20,"F",IF(H416&lt;'PlayerGrades+'!$AC$19,"F+",IF(H416&lt;'PlayerGrades+'!$AC$18,"E-",IF(H416&lt;'PlayerGrades+'!$AC$17,"E",IF(H416&lt;'PlayerGrades+'!$AC$16,"E+",IF(H416&lt;'PlayerGrades+'!$AC$15,"D-",IF(H416&lt;'PlayerGrades+'!$AC$14,"D",IF(H416&lt;'PlayerGrades+'!$AC$13,"D+",IF(H416&lt;'PlayerGrades+'!$AC$12,"C-",IF(H416&lt;'PlayerGrades+'!$AC$11,"C",IF(H416&lt;'PlayerGrades+'!$AC$10,"C+",IF(H416&lt;'PlayerGrades+'!$AC$9,"B-",IF(H416&lt;'PlayerGrades+'!$AC$8,"B",IF(H416&lt;'PlayerGrades+'!$AC$7,"B+",IF(H416&lt;'PlayerGrades+'!$AC$6,"A-",IF(H416&lt;'PlayerGrades+'!$AC$5,"A",IF(H416&lt;'PlayerGrades+'!$AC$4,"A+",IF(H416&lt;'PlayerGrades+'!$AC$3,"S-",IF(H416&lt;'PlayerGrades+'!$AC$2,"S","S+"))))))))))))))))))))</f>
        <v>#DIV/0!</v>
      </c>
      <c r="J416" s="961" t="str">
        <f t="shared" si="4"/>
        <v>#DIV/0!</v>
      </c>
      <c r="K416" s="961" t="str">
        <f>IF(J416&lt;'PlayerGrades+'!$AD$21,"F-",IF(J416&lt;'PlayerGrades+'!$AD$20,"F",IF(J416&lt;'PlayerGrades+'!$AD$19,"F+",IF(J416&lt;'PlayerGrades+'!$AD$18,"E-",IF(J416&lt;'PlayerGrades+'!$AD$17,"E",IF(J416&lt;'PlayerGrades+'!$AD$16,"E+",IF(J416&lt;'PlayerGrades+'!$AD$15,"D-",IF(J416&lt;'PlayerGrades+'!$AD$14,"D",IF(J416&lt;'PlayerGrades+'!$AD$13,"D+",IF(J416&lt;'PlayerGrades+'!$AD$12,"C-",IF(J416&lt;'PlayerGrades+'!$AD$11,"C",IF(J416&lt;'PlayerGrades+'!$AD$10,"C+",IF(J416&lt;'PlayerGrades+'!$AD$9,"B-",IF(J416&lt;'PlayerGrades+'!$AD$8,"B",IF(J416&lt;'PlayerGrades+'!$AD$7,"B+",IF(J416&lt;'PlayerGrades+'!$AD$6,"A-",IF(J416&lt;'PlayerGrades+'!$AD$5,"A",IF(J416&lt;'PlayerGrades+'!$AD$4,"A+",IF(J416&lt;'PlayerGrades+'!$AD$3,"S-",IF(J416&lt;'PlayerGrades+'!$AD$2,"S","S+"))))))))))))))))))))</f>
        <v>#DIV/0!</v>
      </c>
      <c r="L416" s="1176" t="str">
        <f t="shared" si="5"/>
        <v>#DIV/0!</v>
      </c>
      <c r="M416" s="992" t="str">
        <f>IF(L416&lt;'PlayerGrades+'!$AE$21,"F-",IF(L416&lt;'PlayerGrades+'!$AE$20,"F",IF(L416&lt;'PlayerGrades+'!$AE$19,"F+",IF(L416&lt;'PlayerGrades+'!$AE$18,"E-",IF(L416&lt;'PlayerGrades+'!$AE$17,"E",IF(L416&lt;'PlayerGrades+'!$AE$16,"E+",IF(L416&lt;'PlayerGrades+'!$AE$15,"D-",IF(L416&lt;'PlayerGrades+'!$AE$14,"D",IF(L416&lt;'PlayerGrades+'!$AE$13,"D+",IF(L416&lt;'PlayerGrades+'!$AE$12,"C-",IF(L416&lt;'PlayerGrades+'!$AE$11,"C",IF(L416&lt;'PlayerGrades+'!$AE$10,"C+",IF(L416&lt;'PlayerGrades+'!$AE$9,"B-",IF(L416&lt;'PlayerGrades+'!$AE$8,"B",IF(L416&lt;'PlayerGrades+'!$AE$7,"B+",IF(L416&lt;'PlayerGrades+'!$AE$6,"A-",IF(L416&lt;'PlayerGrades+'!$AE$5,"A",IF(L416&lt;'PlayerGrades+'!$AE$4,"A+",IF(L416&lt;'PlayerGrades+'!$AE$3,"S-",IF(L416&lt;'PlayerGrades+'!$AE$2,"S","S+"))))))))))))))))))))</f>
        <v>#DIV/0!</v>
      </c>
      <c r="N416" s="961" t="str">
        <f t="shared" si="6"/>
        <v>#DIV/0!</v>
      </c>
      <c r="O416" s="961" t="str">
        <f>IF(N416&lt;'PlayerGrades+'!$AF$21,"F-",IF(N416&lt;'PlayerGrades+'!$AF$20,"F",IF(N416&lt;'PlayerGrades+'!$AF$19,"F+",IF(N416&lt;'PlayerGrades+'!$AF$18,"E-",IF(N416&lt;'PlayerGrades+'!$AF$17,"E",IF(N416&lt;'PlayerGrades+'!$AF$16,"E+",IF(N416&lt;'PlayerGrades+'!$AF$15,"D-",IF(N416&lt;'PlayerGrades+'!$AF$14,"D",IF(N416&lt;'PlayerGrades+'!$AF$13,"D+",IF(N416&lt;'PlayerGrades+'!$AF$12,"C-",IF(N416&lt;'PlayerGrades+'!$AF$11,"C",IF(N416&lt;'PlayerGrades+'!$AF$10,"C+",IF(N416&lt;'PlayerGrades+'!$AF$9,"B-",IF(N416&lt;'PlayerGrades+'!$AF$8,"B",IF(N416&lt;'PlayerGrades+'!$AF$7,"B+",IF(N416&lt;'PlayerGrades+'!$AF$6,"A-",IF(N416&lt;'PlayerGrades+'!$AF$5,"A",IF(N416&lt;'PlayerGrades+'!$AF$4,"A+",IF(N416&lt;'PlayerGrades+'!$AF$3,"S-",IF(N416&lt;'PlayerGrades+'!$AF$2,"S","S+"))))))))))))))))))))</f>
        <v>#DIV/0!</v>
      </c>
      <c r="P416" s="961" t="str">
        <f t="shared" si="7"/>
        <v>#DIV/0!</v>
      </c>
      <c r="Q416" s="961" t="str">
        <f>IF(P416&lt;'PlayerGrades+'!$AG$21,"F-",IF(P416&lt;'PlayerGrades+'!$AG$20,"F",IF(P416&lt;'PlayerGrades+'!$AG$19,"F+",IF(P416&lt;'PlayerGrades+'!$AG$18,"E-",IF(P416&lt;'PlayerGrades+'!$AG$17,"E",IF(P416&lt;'PlayerGrades+'!$AG$16,"E+",IF(P416&lt;'PlayerGrades+'!$AG$15,"D-",IF(P416&lt;'PlayerGrades+'!$AG$14,"D",IF(P416&lt;'PlayerGrades+'!$AG$13,"D+",IF(P416&lt;'PlayerGrades+'!$AG$12,"C-",IF(P416&lt;'PlayerGrades+'!$AG$11,"C",IF(P416&lt;'PlayerGrades+'!$AG$10,"C+",IF(P416&lt;'PlayerGrades+'!$AG$9,"B-",IF(P416&lt;'PlayerGrades+'!$AG$8,"B",IF(P416&lt;'PlayerGrades+'!$AG$7,"B+",IF(P416&lt;'PlayerGrades+'!$AG$6,"A-",IF(P416&lt;'PlayerGrades+'!$AG$5,"A",IF(P416&lt;'PlayerGrades+'!$AG$4,"A+",IF(P416&lt;'PlayerGrades+'!$AG$3,"S-",IF(P416&lt;'PlayerGrades+'!$AG$2,"S","S+"))))))))))))))))))))</f>
        <v>#DIV/0!</v>
      </c>
      <c r="R416" s="961" t="str">
        <f t="shared" si="8"/>
        <v>#DIV/0!</v>
      </c>
      <c r="S416" s="961" t="str">
        <f>IF(R416&lt;'PlayerGrades+'!$AH$21,"F-",IF(R416&lt;'PlayerGrades+'!$AH$20,"F",IF(R416&lt;'PlayerGrades+'!$AH$19,"F+",IF(R416&lt;'PlayerGrades+'!$AH$18,"E-",IF(R416&lt;'PlayerGrades+'!$AH$17,"E",IF(R416&lt;'PlayerGrades+'!$AH$16,"E+",IF(R416&lt;'PlayerGrades+'!$AH$15,"D-",IF(R416&lt;'PlayerGrades+'!$AH$14,"D",IF(R416&lt;'PlayerGrades+'!$AH$13,"D+",IF(R416&lt;'PlayerGrades+'!$AH$12,"C-",IF(R416&lt;'PlayerGrades+'!$AH$11,"C",IF(R416&lt;'PlayerGrades+'!$AH$10,"C+",IF(R416&lt;'PlayerGrades+'!$AH$9,"B-",IF(R416&lt;'PlayerGrades+'!$AH$8,"B",IF(R416&lt;'PlayerGrades+'!$AH$7,"B+",IF(R416&lt;'PlayerGrades+'!$AH$6,"A-",IF(R416&lt;'PlayerGrades+'!$AH$5,"A",IF(R416&lt;'PlayerGrades+'!$AH$4,"A+",IF(R416&lt;'PlayerGrades+'!$AH$3,"S-",IF(R416&lt;'PlayerGrades+'!$AH$2,"S","S+"))))))))))))))))))))</f>
        <v>#DIV/0!</v>
      </c>
      <c r="T416" s="961">
        <f t="shared" si="9"/>
        <v>0</v>
      </c>
      <c r="U416" s="961" t="str">
        <f>IF(T416&lt;'PlayerGrades+'!$AI$21,"F-",IF(T416&lt;'PlayerGrades+'!$AI$20,"F",IF(T416&lt;'PlayerGrades+'!$AI$19,"F+",IF(T416&lt;'PlayerGrades+'!$AI$18,"E-",IF(T416&lt;'PlayerGrades+'!$AI$17,"E",IF(T416&lt;'PlayerGrades+'!$AI$16,"E+",IF(T416&lt;'PlayerGrades+'!$AI$15,"D-",IF(T416&lt;'PlayerGrades+'!$AI$14,"D",IF(T416&lt;'PlayerGrades+'!$AI$13,"D+",IF(T416&lt;'PlayerGrades+'!$AI$12,"C-",IF(T416&lt;'PlayerGrades+'!$AI$11,"C",IF(T416&lt;'PlayerGrades+'!$AI$10,"C+",IF(T416&lt;'PlayerGrades+'!$AI$9,"B-",IF(T416&lt;'PlayerGrades+'!$AI$8,"B",IF(T416&lt;'PlayerGrades+'!$AI$7,"B+",IF(T416&lt;'PlayerGrades+'!$AI$6,"A-",IF(T416&lt;'PlayerGrades+'!$AI$5,"A",IF(T416&lt;'PlayerGrades+'!$AI$4,"A+",IF(T416&lt;'PlayerGrades+'!$AI$3,"S-",IF(T416&lt;'PlayerGrades+'!$AI$2,"S","S+"))))))))))))))))))))</f>
        <v>F-</v>
      </c>
      <c r="AC416" s="1392"/>
    </row>
    <row r="417">
      <c r="A417" s="1393"/>
      <c r="B417" s="611" t="str">
        <f>IF(C417&lt;'PlayerGrades+'!$Y$44,"F-",IF(C417&lt;'PlayerGrades+'!$Y$43,"F",IF(C417&lt;'PlayerGrades+'!$Y$42,"F+",IF(C417&lt;'PlayerGrades+'!$Y$41,"E-",IF(C417&lt;'PlayerGrades+'!$Y$40,"E",IF(C417&lt;'PlayerGrades+'!$Y$39,"E+",IF(C417&lt;'PlayerGrades+'!$Y$38,"D-",IF(C417&lt;'PlayerGrades+'!$Y$37,"D",IF(C417&lt;'PlayerGrades+'!$Y$36,"D+",IF(C417&lt;'PlayerGrades+'!$Y$35,"C-",IF(C417&lt;'PlayerGrades+'!$Y$34,"C",IF(C417&lt;'PlayerGrades+'!$Y$33,"C+",IF(C417&lt;'PlayerGrades+'!$Y$32,"B-",IF(C417&lt;'PlayerGrades+'!$Y$31,"B",IF(C417&lt;'PlayerGrades+'!$Y$30,"B+",IF(C417&lt;'PlayerGrades+'!$Y$29,"A-",IF(C417&lt;'PlayerGrades+'!$Y$28,"A",IF(C417&lt;'PlayerGrades+'!$Y$27,"A+",IF(C417&lt;'PlayerGrades+'!$Y$26,"S-",IF(C417&lt;'PlayerGrades+'!$Y$25,"S","S+"))))))))))))))))))))</f>
        <v>#DIV/0!</v>
      </c>
      <c r="C417" s="1378" t="str">
        <f>('PlayerGrades+'!$Y$47*(VLOOKUP(E417, 'PlayerGrades+'!$X$3:$Y$23, 2, FALSE)))+('PlayerGrades+'!$Y$48*(VLOOKUP(G417, 'PlayerGrades+'!$X$3:$Y$23, 2, FALSE)))+('PlayerGrades+'!$Y$49*(VLOOKUP(I417, 'PlayerGrades+'!$X$3:$Y$23, 2, FALSE)))+('PlayerGrades+'!$Y$50*(VLOOKUP(K417, 'PlayerGrades+'!$X$3:$Y$23, 2, FALSE)))+('PlayerGrades+'!$Y$51*(VLOOKUP(M417, 'PlayerGrades+'!$X$3:$Y$23, 2, FALSE)))+('PlayerGrades+'!$Y$52*(VLOOKUP(O417, 'PlayerGrades+'!$X$3:$Y$23, 2, FALSE)))+('PlayerGrades+'!$Y$53*(VLOOKUP(Q417, 'PlayerGrades+'!$X$3:$Y$23, 2, FALSE)))+('PlayerGrades+'!$Y$54*(VLOOKUP(S417, 'PlayerGrades+'!$X$3:$Y$23, 2, FALSE)))+('PlayerGrades+'!$Y$55*(VLOOKUP(U417, 'PlayerGrades+'!$X$3:$Y$23, 2, FALSE)))</f>
        <v>#DIV/0!</v>
      </c>
      <c r="D417" s="961" t="str">
        <f t="shared" si="1"/>
        <v>#DIV/0!</v>
      </c>
      <c r="E417" s="961" t="str">
        <f>IF(D417&lt;'PlayerGrades+'!$AA$21,"F-",IF(D417&lt;'PlayerGrades+'!$AA$20,"F",IF(D417&lt;'PlayerGrades+'!$AA$19,"F+",IF(D417&lt;'PlayerGrades+'!$AA$18,"E-",IF(D417&lt;'PlayerGrades+'!$AA$17,"E",IF(D417&lt;'PlayerGrades+'!$AA$16,"E+",IF(D417&lt;'PlayerGrades+'!$AA$15,"D-",IF(D417&lt;'PlayerGrades+'!$AA$14,"D",IF(D417&lt;'PlayerGrades+'!$AA$13,"D+",IF(D417&lt;'PlayerGrades+'!$AA$12,"C-",IF(D417&lt;'PlayerGrades+'!$AA$11,"C",IF(D417&lt;'PlayerGrades+'!$AA$10,"C+",IF(D417&lt;'PlayerGrades+'!$AA$9,"B-",IF(D417&lt;'PlayerGrades+'!$AA$8,"B",IF(D417&lt;'PlayerGrades+'!$AA$7,"B+",IF(D417&lt;'PlayerGrades+'!$AA$6,"A-",IF(D417&lt;'PlayerGrades+'!$AA$5,"A",IF(D417&lt;'PlayerGrades+'!$AA$4,"A+",IF(D417&lt;'PlayerGrades+'!$AA$3,"S-",IF(D417&lt;'PlayerGrades+'!$AA$2,"S","S+"))))))))))))))))))))</f>
        <v>#DIV/0!</v>
      </c>
      <c r="F417" s="961" t="str">
        <f t="shared" si="2"/>
        <v>#DIV/0!</v>
      </c>
      <c r="G417" s="961" t="str">
        <f>IF(F417&lt;'PlayerGrades+'!$AB$21,"F-",IF(F417&lt;'PlayerGrades+'!$AB$20,"F",IF(F417&lt;'PlayerGrades+'!$AB$19,"F+",IF(F417&lt;'PlayerGrades+'!$AB$18,"E-",IF(F417&lt;'PlayerGrades+'!$AB$17,"E",IF(F417&lt;'PlayerGrades+'!$AB$16,"E+",IF(F417&lt;'PlayerGrades+'!$AB$15,"D-",IF(F417&lt;'PlayerGrades+'!$AB$14,"D",IF(F417&lt;'PlayerGrades+'!$AB$13,"D+",IF(F417&lt;'PlayerGrades+'!$AB$12,"C-",IF(F417&lt;'PlayerGrades+'!$AB$11,"C",IF(F417&lt;'PlayerGrades+'!$AB$10,"C+",IF(F417&lt;'PlayerGrades+'!$AB$9,"B-",IF(F417&lt;'PlayerGrades+'!$AB$8,"B",IF(F417&lt;'PlayerGrades+'!$AB$7,"B+",IF(F417&lt;'PlayerGrades+'!$AB$6,"A-",IF(F417&lt;'PlayerGrades+'!$AB$5,"A",IF(F417&lt;'PlayerGrades+'!$AB$4,"A+",IF(F417&lt;'PlayerGrades+'!$AB$3,"S-",IF(F417&lt;'PlayerGrades+'!$AB$2,"S","S+"))))))))))))))))))))</f>
        <v>#DIV/0!</v>
      </c>
      <c r="H417" s="961" t="str">
        <f t="shared" si="3"/>
        <v>#DIV/0!</v>
      </c>
      <c r="I417" s="961" t="str">
        <f>IF(H417&lt;'PlayerGrades+'!$AC$21,"F-",IF(H417&lt;'PlayerGrades+'!$AC$20,"F",IF(H417&lt;'PlayerGrades+'!$AC$19,"F+",IF(H417&lt;'PlayerGrades+'!$AC$18,"E-",IF(H417&lt;'PlayerGrades+'!$AC$17,"E",IF(H417&lt;'PlayerGrades+'!$AC$16,"E+",IF(H417&lt;'PlayerGrades+'!$AC$15,"D-",IF(H417&lt;'PlayerGrades+'!$AC$14,"D",IF(H417&lt;'PlayerGrades+'!$AC$13,"D+",IF(H417&lt;'PlayerGrades+'!$AC$12,"C-",IF(H417&lt;'PlayerGrades+'!$AC$11,"C",IF(H417&lt;'PlayerGrades+'!$AC$10,"C+",IF(H417&lt;'PlayerGrades+'!$AC$9,"B-",IF(H417&lt;'PlayerGrades+'!$AC$8,"B",IF(H417&lt;'PlayerGrades+'!$AC$7,"B+",IF(H417&lt;'PlayerGrades+'!$AC$6,"A-",IF(H417&lt;'PlayerGrades+'!$AC$5,"A",IF(H417&lt;'PlayerGrades+'!$AC$4,"A+",IF(H417&lt;'PlayerGrades+'!$AC$3,"S-",IF(H417&lt;'PlayerGrades+'!$AC$2,"S","S+"))))))))))))))))))))</f>
        <v>#DIV/0!</v>
      </c>
      <c r="J417" s="961" t="str">
        <f t="shared" si="4"/>
        <v>#DIV/0!</v>
      </c>
      <c r="K417" s="961" t="str">
        <f>IF(J417&lt;'PlayerGrades+'!$AD$21,"F-",IF(J417&lt;'PlayerGrades+'!$AD$20,"F",IF(J417&lt;'PlayerGrades+'!$AD$19,"F+",IF(J417&lt;'PlayerGrades+'!$AD$18,"E-",IF(J417&lt;'PlayerGrades+'!$AD$17,"E",IF(J417&lt;'PlayerGrades+'!$AD$16,"E+",IF(J417&lt;'PlayerGrades+'!$AD$15,"D-",IF(J417&lt;'PlayerGrades+'!$AD$14,"D",IF(J417&lt;'PlayerGrades+'!$AD$13,"D+",IF(J417&lt;'PlayerGrades+'!$AD$12,"C-",IF(J417&lt;'PlayerGrades+'!$AD$11,"C",IF(J417&lt;'PlayerGrades+'!$AD$10,"C+",IF(J417&lt;'PlayerGrades+'!$AD$9,"B-",IF(J417&lt;'PlayerGrades+'!$AD$8,"B",IF(J417&lt;'PlayerGrades+'!$AD$7,"B+",IF(J417&lt;'PlayerGrades+'!$AD$6,"A-",IF(J417&lt;'PlayerGrades+'!$AD$5,"A",IF(J417&lt;'PlayerGrades+'!$AD$4,"A+",IF(J417&lt;'PlayerGrades+'!$AD$3,"S-",IF(J417&lt;'PlayerGrades+'!$AD$2,"S","S+"))))))))))))))))))))</f>
        <v>#DIV/0!</v>
      </c>
      <c r="L417" s="1176" t="str">
        <f t="shared" si="5"/>
        <v>#DIV/0!</v>
      </c>
      <c r="M417" s="992" t="str">
        <f>IF(L417&lt;'PlayerGrades+'!$AE$21,"F-",IF(L417&lt;'PlayerGrades+'!$AE$20,"F",IF(L417&lt;'PlayerGrades+'!$AE$19,"F+",IF(L417&lt;'PlayerGrades+'!$AE$18,"E-",IF(L417&lt;'PlayerGrades+'!$AE$17,"E",IF(L417&lt;'PlayerGrades+'!$AE$16,"E+",IF(L417&lt;'PlayerGrades+'!$AE$15,"D-",IF(L417&lt;'PlayerGrades+'!$AE$14,"D",IF(L417&lt;'PlayerGrades+'!$AE$13,"D+",IF(L417&lt;'PlayerGrades+'!$AE$12,"C-",IF(L417&lt;'PlayerGrades+'!$AE$11,"C",IF(L417&lt;'PlayerGrades+'!$AE$10,"C+",IF(L417&lt;'PlayerGrades+'!$AE$9,"B-",IF(L417&lt;'PlayerGrades+'!$AE$8,"B",IF(L417&lt;'PlayerGrades+'!$AE$7,"B+",IF(L417&lt;'PlayerGrades+'!$AE$6,"A-",IF(L417&lt;'PlayerGrades+'!$AE$5,"A",IF(L417&lt;'PlayerGrades+'!$AE$4,"A+",IF(L417&lt;'PlayerGrades+'!$AE$3,"S-",IF(L417&lt;'PlayerGrades+'!$AE$2,"S","S+"))))))))))))))))))))</f>
        <v>#DIV/0!</v>
      </c>
      <c r="N417" s="961" t="str">
        <f t="shared" si="6"/>
        <v>#DIV/0!</v>
      </c>
      <c r="O417" s="961" t="str">
        <f>IF(N417&lt;'PlayerGrades+'!$AF$21,"F-",IF(N417&lt;'PlayerGrades+'!$AF$20,"F",IF(N417&lt;'PlayerGrades+'!$AF$19,"F+",IF(N417&lt;'PlayerGrades+'!$AF$18,"E-",IF(N417&lt;'PlayerGrades+'!$AF$17,"E",IF(N417&lt;'PlayerGrades+'!$AF$16,"E+",IF(N417&lt;'PlayerGrades+'!$AF$15,"D-",IF(N417&lt;'PlayerGrades+'!$AF$14,"D",IF(N417&lt;'PlayerGrades+'!$AF$13,"D+",IF(N417&lt;'PlayerGrades+'!$AF$12,"C-",IF(N417&lt;'PlayerGrades+'!$AF$11,"C",IF(N417&lt;'PlayerGrades+'!$AF$10,"C+",IF(N417&lt;'PlayerGrades+'!$AF$9,"B-",IF(N417&lt;'PlayerGrades+'!$AF$8,"B",IF(N417&lt;'PlayerGrades+'!$AF$7,"B+",IF(N417&lt;'PlayerGrades+'!$AF$6,"A-",IF(N417&lt;'PlayerGrades+'!$AF$5,"A",IF(N417&lt;'PlayerGrades+'!$AF$4,"A+",IF(N417&lt;'PlayerGrades+'!$AF$3,"S-",IF(N417&lt;'PlayerGrades+'!$AF$2,"S","S+"))))))))))))))))))))</f>
        <v>#DIV/0!</v>
      </c>
      <c r="P417" s="961" t="str">
        <f t="shared" si="7"/>
        <v>#DIV/0!</v>
      </c>
      <c r="Q417" s="961" t="str">
        <f>IF(P417&lt;'PlayerGrades+'!$AG$21,"F-",IF(P417&lt;'PlayerGrades+'!$AG$20,"F",IF(P417&lt;'PlayerGrades+'!$AG$19,"F+",IF(P417&lt;'PlayerGrades+'!$AG$18,"E-",IF(P417&lt;'PlayerGrades+'!$AG$17,"E",IF(P417&lt;'PlayerGrades+'!$AG$16,"E+",IF(P417&lt;'PlayerGrades+'!$AG$15,"D-",IF(P417&lt;'PlayerGrades+'!$AG$14,"D",IF(P417&lt;'PlayerGrades+'!$AG$13,"D+",IF(P417&lt;'PlayerGrades+'!$AG$12,"C-",IF(P417&lt;'PlayerGrades+'!$AG$11,"C",IF(P417&lt;'PlayerGrades+'!$AG$10,"C+",IF(P417&lt;'PlayerGrades+'!$AG$9,"B-",IF(P417&lt;'PlayerGrades+'!$AG$8,"B",IF(P417&lt;'PlayerGrades+'!$AG$7,"B+",IF(P417&lt;'PlayerGrades+'!$AG$6,"A-",IF(P417&lt;'PlayerGrades+'!$AG$5,"A",IF(P417&lt;'PlayerGrades+'!$AG$4,"A+",IF(P417&lt;'PlayerGrades+'!$AG$3,"S-",IF(P417&lt;'PlayerGrades+'!$AG$2,"S","S+"))))))))))))))))))))</f>
        <v>#DIV/0!</v>
      </c>
      <c r="R417" s="961" t="str">
        <f t="shared" si="8"/>
        <v>#DIV/0!</v>
      </c>
      <c r="S417" s="961" t="str">
        <f>IF(R417&lt;'PlayerGrades+'!$AH$21,"F-",IF(R417&lt;'PlayerGrades+'!$AH$20,"F",IF(R417&lt;'PlayerGrades+'!$AH$19,"F+",IF(R417&lt;'PlayerGrades+'!$AH$18,"E-",IF(R417&lt;'PlayerGrades+'!$AH$17,"E",IF(R417&lt;'PlayerGrades+'!$AH$16,"E+",IF(R417&lt;'PlayerGrades+'!$AH$15,"D-",IF(R417&lt;'PlayerGrades+'!$AH$14,"D",IF(R417&lt;'PlayerGrades+'!$AH$13,"D+",IF(R417&lt;'PlayerGrades+'!$AH$12,"C-",IF(R417&lt;'PlayerGrades+'!$AH$11,"C",IF(R417&lt;'PlayerGrades+'!$AH$10,"C+",IF(R417&lt;'PlayerGrades+'!$AH$9,"B-",IF(R417&lt;'PlayerGrades+'!$AH$8,"B",IF(R417&lt;'PlayerGrades+'!$AH$7,"B+",IF(R417&lt;'PlayerGrades+'!$AH$6,"A-",IF(R417&lt;'PlayerGrades+'!$AH$5,"A",IF(R417&lt;'PlayerGrades+'!$AH$4,"A+",IF(R417&lt;'PlayerGrades+'!$AH$3,"S-",IF(R417&lt;'PlayerGrades+'!$AH$2,"S","S+"))))))))))))))))))))</f>
        <v>#DIV/0!</v>
      </c>
      <c r="T417" s="961">
        <f t="shared" si="9"/>
        <v>0</v>
      </c>
      <c r="U417" s="961" t="str">
        <f>IF(T417&lt;'PlayerGrades+'!$AI$21,"F-",IF(T417&lt;'PlayerGrades+'!$AI$20,"F",IF(T417&lt;'PlayerGrades+'!$AI$19,"F+",IF(T417&lt;'PlayerGrades+'!$AI$18,"E-",IF(T417&lt;'PlayerGrades+'!$AI$17,"E",IF(T417&lt;'PlayerGrades+'!$AI$16,"E+",IF(T417&lt;'PlayerGrades+'!$AI$15,"D-",IF(T417&lt;'PlayerGrades+'!$AI$14,"D",IF(T417&lt;'PlayerGrades+'!$AI$13,"D+",IF(T417&lt;'PlayerGrades+'!$AI$12,"C-",IF(T417&lt;'PlayerGrades+'!$AI$11,"C",IF(T417&lt;'PlayerGrades+'!$AI$10,"C+",IF(T417&lt;'PlayerGrades+'!$AI$9,"B-",IF(T417&lt;'PlayerGrades+'!$AI$8,"B",IF(T417&lt;'PlayerGrades+'!$AI$7,"B+",IF(T417&lt;'PlayerGrades+'!$AI$6,"A-",IF(T417&lt;'PlayerGrades+'!$AI$5,"A",IF(T417&lt;'PlayerGrades+'!$AI$4,"A+",IF(T417&lt;'PlayerGrades+'!$AI$3,"S-",IF(T417&lt;'PlayerGrades+'!$AI$2,"S","S+"))))))))))))))))))))</f>
        <v>F-</v>
      </c>
      <c r="V417" s="1386"/>
      <c r="W417" s="1386"/>
      <c r="X417" s="1386"/>
      <c r="Y417" s="1386"/>
      <c r="Z417" s="1386"/>
      <c r="AA417" s="1386"/>
      <c r="AB417" s="1386"/>
      <c r="AC417" s="1397"/>
      <c r="AD417" s="1386"/>
      <c r="AE417" s="1386"/>
      <c r="AF417" s="1386"/>
      <c r="AG417" s="1386"/>
      <c r="AH417" s="1386"/>
      <c r="AI417" s="1386"/>
      <c r="AJ417" s="1386"/>
      <c r="AK417" s="1386"/>
      <c r="AL417" s="1386"/>
      <c r="AM417" s="1386"/>
      <c r="AN417" s="1386"/>
      <c r="AO417" s="1386"/>
      <c r="AP417" s="1386"/>
      <c r="AQ417" s="1386"/>
      <c r="AR417" s="1386"/>
      <c r="AS417" s="1386"/>
      <c r="AT417" s="1386"/>
      <c r="AU417" s="1386"/>
      <c r="AV417" s="1386"/>
      <c r="AW417" s="1386"/>
      <c r="AX417" s="1386"/>
      <c r="AY417" s="1386"/>
      <c r="AZ417" s="1386"/>
    </row>
    <row r="418">
      <c r="A418" s="1389"/>
      <c r="B418" s="611" t="str">
        <f>IF(C418&lt;'PlayerGrades+'!$Y$44,"F-",IF(C418&lt;'PlayerGrades+'!$Y$43,"F",IF(C418&lt;'PlayerGrades+'!$Y$42,"F+",IF(C418&lt;'PlayerGrades+'!$Y$41,"E-",IF(C418&lt;'PlayerGrades+'!$Y$40,"E",IF(C418&lt;'PlayerGrades+'!$Y$39,"E+",IF(C418&lt;'PlayerGrades+'!$Y$38,"D-",IF(C418&lt;'PlayerGrades+'!$Y$37,"D",IF(C418&lt;'PlayerGrades+'!$Y$36,"D+",IF(C418&lt;'PlayerGrades+'!$Y$35,"C-",IF(C418&lt;'PlayerGrades+'!$Y$34,"C",IF(C418&lt;'PlayerGrades+'!$Y$33,"C+",IF(C418&lt;'PlayerGrades+'!$Y$32,"B-",IF(C418&lt;'PlayerGrades+'!$Y$31,"B",IF(C418&lt;'PlayerGrades+'!$Y$30,"B+",IF(C418&lt;'PlayerGrades+'!$Y$29,"A-",IF(C418&lt;'PlayerGrades+'!$Y$28,"A",IF(C418&lt;'PlayerGrades+'!$Y$27,"A+",IF(C418&lt;'PlayerGrades+'!$Y$26,"S-",IF(C418&lt;'PlayerGrades+'!$Y$25,"S","S+"))))))))))))))))))))</f>
        <v>#DIV/0!</v>
      </c>
      <c r="C418" s="1378" t="str">
        <f>('PlayerGrades+'!$Y$47*(VLOOKUP(E418, 'PlayerGrades+'!$X$3:$Y$23, 2, FALSE)))+('PlayerGrades+'!$Y$48*(VLOOKUP(G418, 'PlayerGrades+'!$X$3:$Y$23, 2, FALSE)))+('PlayerGrades+'!$Y$49*(VLOOKUP(I418, 'PlayerGrades+'!$X$3:$Y$23, 2, FALSE)))+('PlayerGrades+'!$Y$50*(VLOOKUP(K418, 'PlayerGrades+'!$X$3:$Y$23, 2, FALSE)))+('PlayerGrades+'!$Y$51*(VLOOKUP(M418, 'PlayerGrades+'!$X$3:$Y$23, 2, FALSE)))+('PlayerGrades+'!$Y$52*(VLOOKUP(O418, 'PlayerGrades+'!$X$3:$Y$23, 2, FALSE)))+('PlayerGrades+'!$Y$53*(VLOOKUP(Q418, 'PlayerGrades+'!$X$3:$Y$23, 2, FALSE)))+('PlayerGrades+'!$Y$54*(VLOOKUP(S418, 'PlayerGrades+'!$X$3:$Y$23, 2, FALSE)))+('PlayerGrades+'!$Y$55*(VLOOKUP(U418, 'PlayerGrades+'!$X$3:$Y$23, 2, FALSE)))</f>
        <v>#DIV/0!</v>
      </c>
      <c r="D418" s="961" t="str">
        <f t="shared" si="1"/>
        <v>#DIV/0!</v>
      </c>
      <c r="E418" s="961" t="str">
        <f>IF(D418&lt;'PlayerGrades+'!$AA$21,"F-",IF(D418&lt;'PlayerGrades+'!$AA$20,"F",IF(D418&lt;'PlayerGrades+'!$AA$19,"F+",IF(D418&lt;'PlayerGrades+'!$AA$18,"E-",IF(D418&lt;'PlayerGrades+'!$AA$17,"E",IF(D418&lt;'PlayerGrades+'!$AA$16,"E+",IF(D418&lt;'PlayerGrades+'!$AA$15,"D-",IF(D418&lt;'PlayerGrades+'!$AA$14,"D",IF(D418&lt;'PlayerGrades+'!$AA$13,"D+",IF(D418&lt;'PlayerGrades+'!$AA$12,"C-",IF(D418&lt;'PlayerGrades+'!$AA$11,"C",IF(D418&lt;'PlayerGrades+'!$AA$10,"C+",IF(D418&lt;'PlayerGrades+'!$AA$9,"B-",IF(D418&lt;'PlayerGrades+'!$AA$8,"B",IF(D418&lt;'PlayerGrades+'!$AA$7,"B+",IF(D418&lt;'PlayerGrades+'!$AA$6,"A-",IF(D418&lt;'PlayerGrades+'!$AA$5,"A",IF(D418&lt;'PlayerGrades+'!$AA$4,"A+",IF(D418&lt;'PlayerGrades+'!$AA$3,"S-",IF(D418&lt;'PlayerGrades+'!$AA$2,"S","S+"))))))))))))))))))))</f>
        <v>#DIV/0!</v>
      </c>
      <c r="F418" s="961" t="str">
        <f t="shared" si="2"/>
        <v>#DIV/0!</v>
      </c>
      <c r="G418" s="961" t="str">
        <f>IF(F418&lt;'PlayerGrades+'!$AB$21,"F-",IF(F418&lt;'PlayerGrades+'!$AB$20,"F",IF(F418&lt;'PlayerGrades+'!$AB$19,"F+",IF(F418&lt;'PlayerGrades+'!$AB$18,"E-",IF(F418&lt;'PlayerGrades+'!$AB$17,"E",IF(F418&lt;'PlayerGrades+'!$AB$16,"E+",IF(F418&lt;'PlayerGrades+'!$AB$15,"D-",IF(F418&lt;'PlayerGrades+'!$AB$14,"D",IF(F418&lt;'PlayerGrades+'!$AB$13,"D+",IF(F418&lt;'PlayerGrades+'!$AB$12,"C-",IF(F418&lt;'PlayerGrades+'!$AB$11,"C",IF(F418&lt;'PlayerGrades+'!$AB$10,"C+",IF(F418&lt;'PlayerGrades+'!$AB$9,"B-",IF(F418&lt;'PlayerGrades+'!$AB$8,"B",IF(F418&lt;'PlayerGrades+'!$AB$7,"B+",IF(F418&lt;'PlayerGrades+'!$AB$6,"A-",IF(F418&lt;'PlayerGrades+'!$AB$5,"A",IF(F418&lt;'PlayerGrades+'!$AB$4,"A+",IF(F418&lt;'PlayerGrades+'!$AB$3,"S-",IF(F418&lt;'PlayerGrades+'!$AB$2,"S","S+"))))))))))))))))))))</f>
        <v>#DIV/0!</v>
      </c>
      <c r="H418" s="961" t="str">
        <f t="shared" si="3"/>
        <v>#DIV/0!</v>
      </c>
      <c r="I418" s="961" t="str">
        <f>IF(H418&lt;'PlayerGrades+'!$AC$21,"F-",IF(H418&lt;'PlayerGrades+'!$AC$20,"F",IF(H418&lt;'PlayerGrades+'!$AC$19,"F+",IF(H418&lt;'PlayerGrades+'!$AC$18,"E-",IF(H418&lt;'PlayerGrades+'!$AC$17,"E",IF(H418&lt;'PlayerGrades+'!$AC$16,"E+",IF(H418&lt;'PlayerGrades+'!$AC$15,"D-",IF(H418&lt;'PlayerGrades+'!$AC$14,"D",IF(H418&lt;'PlayerGrades+'!$AC$13,"D+",IF(H418&lt;'PlayerGrades+'!$AC$12,"C-",IF(H418&lt;'PlayerGrades+'!$AC$11,"C",IF(H418&lt;'PlayerGrades+'!$AC$10,"C+",IF(H418&lt;'PlayerGrades+'!$AC$9,"B-",IF(H418&lt;'PlayerGrades+'!$AC$8,"B",IF(H418&lt;'PlayerGrades+'!$AC$7,"B+",IF(H418&lt;'PlayerGrades+'!$AC$6,"A-",IF(H418&lt;'PlayerGrades+'!$AC$5,"A",IF(H418&lt;'PlayerGrades+'!$AC$4,"A+",IF(H418&lt;'PlayerGrades+'!$AC$3,"S-",IF(H418&lt;'PlayerGrades+'!$AC$2,"S","S+"))))))))))))))))))))</f>
        <v>#DIV/0!</v>
      </c>
      <c r="J418" s="961" t="str">
        <f t="shared" si="4"/>
        <v>#DIV/0!</v>
      </c>
      <c r="K418" s="961" t="str">
        <f>IF(J418&lt;'PlayerGrades+'!$AD$21,"F-",IF(J418&lt;'PlayerGrades+'!$AD$20,"F",IF(J418&lt;'PlayerGrades+'!$AD$19,"F+",IF(J418&lt;'PlayerGrades+'!$AD$18,"E-",IF(J418&lt;'PlayerGrades+'!$AD$17,"E",IF(J418&lt;'PlayerGrades+'!$AD$16,"E+",IF(J418&lt;'PlayerGrades+'!$AD$15,"D-",IF(J418&lt;'PlayerGrades+'!$AD$14,"D",IF(J418&lt;'PlayerGrades+'!$AD$13,"D+",IF(J418&lt;'PlayerGrades+'!$AD$12,"C-",IF(J418&lt;'PlayerGrades+'!$AD$11,"C",IF(J418&lt;'PlayerGrades+'!$AD$10,"C+",IF(J418&lt;'PlayerGrades+'!$AD$9,"B-",IF(J418&lt;'PlayerGrades+'!$AD$8,"B",IF(J418&lt;'PlayerGrades+'!$AD$7,"B+",IF(J418&lt;'PlayerGrades+'!$AD$6,"A-",IF(J418&lt;'PlayerGrades+'!$AD$5,"A",IF(J418&lt;'PlayerGrades+'!$AD$4,"A+",IF(J418&lt;'PlayerGrades+'!$AD$3,"S-",IF(J418&lt;'PlayerGrades+'!$AD$2,"S","S+"))))))))))))))))))))</f>
        <v>#DIV/0!</v>
      </c>
      <c r="L418" s="1176" t="str">
        <f t="shared" si="5"/>
        <v>#DIV/0!</v>
      </c>
      <c r="M418" s="992" t="str">
        <f>IF(L418&lt;'PlayerGrades+'!$AE$21,"F-",IF(L418&lt;'PlayerGrades+'!$AE$20,"F",IF(L418&lt;'PlayerGrades+'!$AE$19,"F+",IF(L418&lt;'PlayerGrades+'!$AE$18,"E-",IF(L418&lt;'PlayerGrades+'!$AE$17,"E",IF(L418&lt;'PlayerGrades+'!$AE$16,"E+",IF(L418&lt;'PlayerGrades+'!$AE$15,"D-",IF(L418&lt;'PlayerGrades+'!$AE$14,"D",IF(L418&lt;'PlayerGrades+'!$AE$13,"D+",IF(L418&lt;'PlayerGrades+'!$AE$12,"C-",IF(L418&lt;'PlayerGrades+'!$AE$11,"C",IF(L418&lt;'PlayerGrades+'!$AE$10,"C+",IF(L418&lt;'PlayerGrades+'!$AE$9,"B-",IF(L418&lt;'PlayerGrades+'!$AE$8,"B",IF(L418&lt;'PlayerGrades+'!$AE$7,"B+",IF(L418&lt;'PlayerGrades+'!$AE$6,"A-",IF(L418&lt;'PlayerGrades+'!$AE$5,"A",IF(L418&lt;'PlayerGrades+'!$AE$4,"A+",IF(L418&lt;'PlayerGrades+'!$AE$3,"S-",IF(L418&lt;'PlayerGrades+'!$AE$2,"S","S+"))))))))))))))))))))</f>
        <v>#DIV/0!</v>
      </c>
      <c r="N418" s="961" t="str">
        <f t="shared" si="6"/>
        <v>#DIV/0!</v>
      </c>
      <c r="O418" s="961" t="str">
        <f>IF(N418&lt;'PlayerGrades+'!$AF$21,"F-",IF(N418&lt;'PlayerGrades+'!$AF$20,"F",IF(N418&lt;'PlayerGrades+'!$AF$19,"F+",IF(N418&lt;'PlayerGrades+'!$AF$18,"E-",IF(N418&lt;'PlayerGrades+'!$AF$17,"E",IF(N418&lt;'PlayerGrades+'!$AF$16,"E+",IF(N418&lt;'PlayerGrades+'!$AF$15,"D-",IF(N418&lt;'PlayerGrades+'!$AF$14,"D",IF(N418&lt;'PlayerGrades+'!$AF$13,"D+",IF(N418&lt;'PlayerGrades+'!$AF$12,"C-",IF(N418&lt;'PlayerGrades+'!$AF$11,"C",IF(N418&lt;'PlayerGrades+'!$AF$10,"C+",IF(N418&lt;'PlayerGrades+'!$AF$9,"B-",IF(N418&lt;'PlayerGrades+'!$AF$8,"B",IF(N418&lt;'PlayerGrades+'!$AF$7,"B+",IF(N418&lt;'PlayerGrades+'!$AF$6,"A-",IF(N418&lt;'PlayerGrades+'!$AF$5,"A",IF(N418&lt;'PlayerGrades+'!$AF$4,"A+",IF(N418&lt;'PlayerGrades+'!$AF$3,"S-",IF(N418&lt;'PlayerGrades+'!$AF$2,"S","S+"))))))))))))))))))))</f>
        <v>#DIV/0!</v>
      </c>
      <c r="P418" s="961" t="str">
        <f t="shared" si="7"/>
        <v>#DIV/0!</v>
      </c>
      <c r="Q418" s="961" t="str">
        <f>IF(P418&lt;'PlayerGrades+'!$AG$21,"F-",IF(P418&lt;'PlayerGrades+'!$AG$20,"F",IF(P418&lt;'PlayerGrades+'!$AG$19,"F+",IF(P418&lt;'PlayerGrades+'!$AG$18,"E-",IF(P418&lt;'PlayerGrades+'!$AG$17,"E",IF(P418&lt;'PlayerGrades+'!$AG$16,"E+",IF(P418&lt;'PlayerGrades+'!$AG$15,"D-",IF(P418&lt;'PlayerGrades+'!$AG$14,"D",IF(P418&lt;'PlayerGrades+'!$AG$13,"D+",IF(P418&lt;'PlayerGrades+'!$AG$12,"C-",IF(P418&lt;'PlayerGrades+'!$AG$11,"C",IF(P418&lt;'PlayerGrades+'!$AG$10,"C+",IF(P418&lt;'PlayerGrades+'!$AG$9,"B-",IF(P418&lt;'PlayerGrades+'!$AG$8,"B",IF(P418&lt;'PlayerGrades+'!$AG$7,"B+",IF(P418&lt;'PlayerGrades+'!$AG$6,"A-",IF(P418&lt;'PlayerGrades+'!$AG$5,"A",IF(P418&lt;'PlayerGrades+'!$AG$4,"A+",IF(P418&lt;'PlayerGrades+'!$AG$3,"S-",IF(P418&lt;'PlayerGrades+'!$AG$2,"S","S+"))))))))))))))))))))</f>
        <v>#DIV/0!</v>
      </c>
      <c r="R418" s="961" t="str">
        <f t="shared" si="8"/>
        <v>#DIV/0!</v>
      </c>
      <c r="S418" s="961" t="str">
        <f>IF(R418&lt;'PlayerGrades+'!$AH$21,"F-",IF(R418&lt;'PlayerGrades+'!$AH$20,"F",IF(R418&lt;'PlayerGrades+'!$AH$19,"F+",IF(R418&lt;'PlayerGrades+'!$AH$18,"E-",IF(R418&lt;'PlayerGrades+'!$AH$17,"E",IF(R418&lt;'PlayerGrades+'!$AH$16,"E+",IF(R418&lt;'PlayerGrades+'!$AH$15,"D-",IF(R418&lt;'PlayerGrades+'!$AH$14,"D",IF(R418&lt;'PlayerGrades+'!$AH$13,"D+",IF(R418&lt;'PlayerGrades+'!$AH$12,"C-",IF(R418&lt;'PlayerGrades+'!$AH$11,"C",IF(R418&lt;'PlayerGrades+'!$AH$10,"C+",IF(R418&lt;'PlayerGrades+'!$AH$9,"B-",IF(R418&lt;'PlayerGrades+'!$AH$8,"B",IF(R418&lt;'PlayerGrades+'!$AH$7,"B+",IF(R418&lt;'PlayerGrades+'!$AH$6,"A-",IF(R418&lt;'PlayerGrades+'!$AH$5,"A",IF(R418&lt;'PlayerGrades+'!$AH$4,"A+",IF(R418&lt;'PlayerGrades+'!$AH$3,"S-",IF(R418&lt;'PlayerGrades+'!$AH$2,"S","S+"))))))))))))))))))))</f>
        <v>#DIV/0!</v>
      </c>
      <c r="T418" s="961">
        <f t="shared" si="9"/>
        <v>0</v>
      </c>
      <c r="U418" s="961" t="str">
        <f>IF(T418&lt;'PlayerGrades+'!$AI$21,"F-",IF(T418&lt;'PlayerGrades+'!$AI$20,"F",IF(T418&lt;'PlayerGrades+'!$AI$19,"F+",IF(T418&lt;'PlayerGrades+'!$AI$18,"E-",IF(T418&lt;'PlayerGrades+'!$AI$17,"E",IF(T418&lt;'PlayerGrades+'!$AI$16,"E+",IF(T418&lt;'PlayerGrades+'!$AI$15,"D-",IF(T418&lt;'PlayerGrades+'!$AI$14,"D",IF(T418&lt;'PlayerGrades+'!$AI$13,"D+",IF(T418&lt;'PlayerGrades+'!$AI$12,"C-",IF(T418&lt;'PlayerGrades+'!$AI$11,"C",IF(T418&lt;'PlayerGrades+'!$AI$10,"C+",IF(T418&lt;'PlayerGrades+'!$AI$9,"B-",IF(T418&lt;'PlayerGrades+'!$AI$8,"B",IF(T418&lt;'PlayerGrades+'!$AI$7,"B+",IF(T418&lt;'PlayerGrades+'!$AI$6,"A-",IF(T418&lt;'PlayerGrades+'!$AI$5,"A",IF(T418&lt;'PlayerGrades+'!$AI$4,"A+",IF(T418&lt;'PlayerGrades+'!$AI$3,"S-",IF(T418&lt;'PlayerGrades+'!$AI$2,"S","S+"))))))))))))))))))))</f>
        <v>F-</v>
      </c>
      <c r="V418" s="1379"/>
      <c r="W418" s="1379"/>
      <c r="X418" s="1379"/>
      <c r="Y418" s="1379"/>
      <c r="Z418" s="1379"/>
      <c r="AA418" s="1379"/>
      <c r="AB418" s="1379"/>
      <c r="AC418" s="1390"/>
      <c r="AD418" s="1379"/>
      <c r="AE418" s="1379"/>
      <c r="AF418" s="1379"/>
      <c r="AG418" s="1379"/>
      <c r="AH418" s="1379"/>
      <c r="AI418" s="1379"/>
      <c r="AJ418" s="1379"/>
      <c r="AK418" s="1379"/>
      <c r="AL418" s="1379"/>
      <c r="AM418" s="1379"/>
      <c r="AN418" s="1379"/>
      <c r="AO418" s="1379"/>
      <c r="AP418" s="1379"/>
      <c r="AQ418" s="1379"/>
      <c r="AR418" s="1379"/>
      <c r="AS418" s="1379"/>
      <c r="AT418" s="1379"/>
      <c r="AU418" s="1379"/>
      <c r="AV418" s="1379"/>
      <c r="AW418" s="1379"/>
      <c r="AX418" s="1379"/>
      <c r="AY418" s="1379"/>
      <c r="AZ418" s="1379"/>
    </row>
    <row r="419">
      <c r="A419" s="1391"/>
      <c r="B419" s="611" t="str">
        <f>IF(C419&lt;'PlayerGrades+'!$Y$44,"F-",IF(C419&lt;'PlayerGrades+'!$Y$43,"F",IF(C419&lt;'PlayerGrades+'!$Y$42,"F+",IF(C419&lt;'PlayerGrades+'!$Y$41,"E-",IF(C419&lt;'PlayerGrades+'!$Y$40,"E",IF(C419&lt;'PlayerGrades+'!$Y$39,"E+",IF(C419&lt;'PlayerGrades+'!$Y$38,"D-",IF(C419&lt;'PlayerGrades+'!$Y$37,"D",IF(C419&lt;'PlayerGrades+'!$Y$36,"D+",IF(C419&lt;'PlayerGrades+'!$Y$35,"C-",IF(C419&lt;'PlayerGrades+'!$Y$34,"C",IF(C419&lt;'PlayerGrades+'!$Y$33,"C+",IF(C419&lt;'PlayerGrades+'!$Y$32,"B-",IF(C419&lt;'PlayerGrades+'!$Y$31,"B",IF(C419&lt;'PlayerGrades+'!$Y$30,"B+",IF(C419&lt;'PlayerGrades+'!$Y$29,"A-",IF(C419&lt;'PlayerGrades+'!$Y$28,"A",IF(C419&lt;'PlayerGrades+'!$Y$27,"A+",IF(C419&lt;'PlayerGrades+'!$Y$26,"S-",IF(C419&lt;'PlayerGrades+'!$Y$25,"S","S+"))))))))))))))))))))</f>
        <v>#DIV/0!</v>
      </c>
      <c r="C419" s="1378" t="str">
        <f>('PlayerGrades+'!$Y$47*(VLOOKUP(E419, 'PlayerGrades+'!$X$3:$Y$23, 2, FALSE)))+('PlayerGrades+'!$Y$48*(VLOOKUP(G419, 'PlayerGrades+'!$X$3:$Y$23, 2, FALSE)))+('PlayerGrades+'!$Y$49*(VLOOKUP(I419, 'PlayerGrades+'!$X$3:$Y$23, 2, FALSE)))+('PlayerGrades+'!$Y$50*(VLOOKUP(K419, 'PlayerGrades+'!$X$3:$Y$23, 2, FALSE)))+('PlayerGrades+'!$Y$51*(VLOOKUP(M419, 'PlayerGrades+'!$X$3:$Y$23, 2, FALSE)))+('PlayerGrades+'!$Y$52*(VLOOKUP(O419, 'PlayerGrades+'!$X$3:$Y$23, 2, FALSE)))+('PlayerGrades+'!$Y$53*(VLOOKUP(Q419, 'PlayerGrades+'!$X$3:$Y$23, 2, FALSE)))+('PlayerGrades+'!$Y$54*(VLOOKUP(S419, 'PlayerGrades+'!$X$3:$Y$23, 2, FALSE)))+('PlayerGrades+'!$Y$55*(VLOOKUP(U419, 'PlayerGrades+'!$X$3:$Y$23, 2, FALSE)))</f>
        <v>#DIV/0!</v>
      </c>
      <c r="D419" s="961" t="str">
        <f t="shared" si="1"/>
        <v>#DIV/0!</v>
      </c>
      <c r="E419" s="961" t="str">
        <f>IF(D419&lt;'PlayerGrades+'!$AA$21,"F-",IF(D419&lt;'PlayerGrades+'!$AA$20,"F",IF(D419&lt;'PlayerGrades+'!$AA$19,"F+",IF(D419&lt;'PlayerGrades+'!$AA$18,"E-",IF(D419&lt;'PlayerGrades+'!$AA$17,"E",IF(D419&lt;'PlayerGrades+'!$AA$16,"E+",IF(D419&lt;'PlayerGrades+'!$AA$15,"D-",IF(D419&lt;'PlayerGrades+'!$AA$14,"D",IF(D419&lt;'PlayerGrades+'!$AA$13,"D+",IF(D419&lt;'PlayerGrades+'!$AA$12,"C-",IF(D419&lt;'PlayerGrades+'!$AA$11,"C",IF(D419&lt;'PlayerGrades+'!$AA$10,"C+",IF(D419&lt;'PlayerGrades+'!$AA$9,"B-",IF(D419&lt;'PlayerGrades+'!$AA$8,"B",IF(D419&lt;'PlayerGrades+'!$AA$7,"B+",IF(D419&lt;'PlayerGrades+'!$AA$6,"A-",IF(D419&lt;'PlayerGrades+'!$AA$5,"A",IF(D419&lt;'PlayerGrades+'!$AA$4,"A+",IF(D419&lt;'PlayerGrades+'!$AA$3,"S-",IF(D419&lt;'PlayerGrades+'!$AA$2,"S","S+"))))))))))))))))))))</f>
        <v>#DIV/0!</v>
      </c>
      <c r="F419" s="961" t="str">
        <f t="shared" si="2"/>
        <v>#DIV/0!</v>
      </c>
      <c r="G419" s="961" t="str">
        <f>IF(F419&lt;'PlayerGrades+'!$AB$21,"F-",IF(F419&lt;'PlayerGrades+'!$AB$20,"F",IF(F419&lt;'PlayerGrades+'!$AB$19,"F+",IF(F419&lt;'PlayerGrades+'!$AB$18,"E-",IF(F419&lt;'PlayerGrades+'!$AB$17,"E",IF(F419&lt;'PlayerGrades+'!$AB$16,"E+",IF(F419&lt;'PlayerGrades+'!$AB$15,"D-",IF(F419&lt;'PlayerGrades+'!$AB$14,"D",IF(F419&lt;'PlayerGrades+'!$AB$13,"D+",IF(F419&lt;'PlayerGrades+'!$AB$12,"C-",IF(F419&lt;'PlayerGrades+'!$AB$11,"C",IF(F419&lt;'PlayerGrades+'!$AB$10,"C+",IF(F419&lt;'PlayerGrades+'!$AB$9,"B-",IF(F419&lt;'PlayerGrades+'!$AB$8,"B",IF(F419&lt;'PlayerGrades+'!$AB$7,"B+",IF(F419&lt;'PlayerGrades+'!$AB$6,"A-",IF(F419&lt;'PlayerGrades+'!$AB$5,"A",IF(F419&lt;'PlayerGrades+'!$AB$4,"A+",IF(F419&lt;'PlayerGrades+'!$AB$3,"S-",IF(F419&lt;'PlayerGrades+'!$AB$2,"S","S+"))))))))))))))))))))</f>
        <v>#DIV/0!</v>
      </c>
      <c r="H419" s="961" t="str">
        <f t="shared" si="3"/>
        <v>#DIV/0!</v>
      </c>
      <c r="I419" s="961" t="str">
        <f>IF(H419&lt;'PlayerGrades+'!$AC$21,"F-",IF(H419&lt;'PlayerGrades+'!$AC$20,"F",IF(H419&lt;'PlayerGrades+'!$AC$19,"F+",IF(H419&lt;'PlayerGrades+'!$AC$18,"E-",IF(H419&lt;'PlayerGrades+'!$AC$17,"E",IF(H419&lt;'PlayerGrades+'!$AC$16,"E+",IF(H419&lt;'PlayerGrades+'!$AC$15,"D-",IF(H419&lt;'PlayerGrades+'!$AC$14,"D",IF(H419&lt;'PlayerGrades+'!$AC$13,"D+",IF(H419&lt;'PlayerGrades+'!$AC$12,"C-",IF(H419&lt;'PlayerGrades+'!$AC$11,"C",IF(H419&lt;'PlayerGrades+'!$AC$10,"C+",IF(H419&lt;'PlayerGrades+'!$AC$9,"B-",IF(H419&lt;'PlayerGrades+'!$AC$8,"B",IF(H419&lt;'PlayerGrades+'!$AC$7,"B+",IF(H419&lt;'PlayerGrades+'!$AC$6,"A-",IF(H419&lt;'PlayerGrades+'!$AC$5,"A",IF(H419&lt;'PlayerGrades+'!$AC$4,"A+",IF(H419&lt;'PlayerGrades+'!$AC$3,"S-",IF(H419&lt;'PlayerGrades+'!$AC$2,"S","S+"))))))))))))))))))))</f>
        <v>#DIV/0!</v>
      </c>
      <c r="J419" s="961" t="str">
        <f t="shared" si="4"/>
        <v>#DIV/0!</v>
      </c>
      <c r="K419" s="961" t="str">
        <f>IF(J419&lt;'PlayerGrades+'!$AD$21,"F-",IF(J419&lt;'PlayerGrades+'!$AD$20,"F",IF(J419&lt;'PlayerGrades+'!$AD$19,"F+",IF(J419&lt;'PlayerGrades+'!$AD$18,"E-",IF(J419&lt;'PlayerGrades+'!$AD$17,"E",IF(J419&lt;'PlayerGrades+'!$AD$16,"E+",IF(J419&lt;'PlayerGrades+'!$AD$15,"D-",IF(J419&lt;'PlayerGrades+'!$AD$14,"D",IF(J419&lt;'PlayerGrades+'!$AD$13,"D+",IF(J419&lt;'PlayerGrades+'!$AD$12,"C-",IF(J419&lt;'PlayerGrades+'!$AD$11,"C",IF(J419&lt;'PlayerGrades+'!$AD$10,"C+",IF(J419&lt;'PlayerGrades+'!$AD$9,"B-",IF(J419&lt;'PlayerGrades+'!$AD$8,"B",IF(J419&lt;'PlayerGrades+'!$AD$7,"B+",IF(J419&lt;'PlayerGrades+'!$AD$6,"A-",IF(J419&lt;'PlayerGrades+'!$AD$5,"A",IF(J419&lt;'PlayerGrades+'!$AD$4,"A+",IF(J419&lt;'PlayerGrades+'!$AD$3,"S-",IF(J419&lt;'PlayerGrades+'!$AD$2,"S","S+"))))))))))))))))))))</f>
        <v>#DIV/0!</v>
      </c>
      <c r="L419" s="1176" t="str">
        <f t="shared" si="5"/>
        <v>#DIV/0!</v>
      </c>
      <c r="M419" s="992" t="str">
        <f>IF(L419&lt;'PlayerGrades+'!$AE$21,"F-",IF(L419&lt;'PlayerGrades+'!$AE$20,"F",IF(L419&lt;'PlayerGrades+'!$AE$19,"F+",IF(L419&lt;'PlayerGrades+'!$AE$18,"E-",IF(L419&lt;'PlayerGrades+'!$AE$17,"E",IF(L419&lt;'PlayerGrades+'!$AE$16,"E+",IF(L419&lt;'PlayerGrades+'!$AE$15,"D-",IF(L419&lt;'PlayerGrades+'!$AE$14,"D",IF(L419&lt;'PlayerGrades+'!$AE$13,"D+",IF(L419&lt;'PlayerGrades+'!$AE$12,"C-",IF(L419&lt;'PlayerGrades+'!$AE$11,"C",IF(L419&lt;'PlayerGrades+'!$AE$10,"C+",IF(L419&lt;'PlayerGrades+'!$AE$9,"B-",IF(L419&lt;'PlayerGrades+'!$AE$8,"B",IF(L419&lt;'PlayerGrades+'!$AE$7,"B+",IF(L419&lt;'PlayerGrades+'!$AE$6,"A-",IF(L419&lt;'PlayerGrades+'!$AE$5,"A",IF(L419&lt;'PlayerGrades+'!$AE$4,"A+",IF(L419&lt;'PlayerGrades+'!$AE$3,"S-",IF(L419&lt;'PlayerGrades+'!$AE$2,"S","S+"))))))))))))))))))))</f>
        <v>#DIV/0!</v>
      </c>
      <c r="N419" s="961" t="str">
        <f t="shared" si="6"/>
        <v>#DIV/0!</v>
      </c>
      <c r="O419" s="961" t="str">
        <f>IF(N419&lt;'PlayerGrades+'!$AF$21,"F-",IF(N419&lt;'PlayerGrades+'!$AF$20,"F",IF(N419&lt;'PlayerGrades+'!$AF$19,"F+",IF(N419&lt;'PlayerGrades+'!$AF$18,"E-",IF(N419&lt;'PlayerGrades+'!$AF$17,"E",IF(N419&lt;'PlayerGrades+'!$AF$16,"E+",IF(N419&lt;'PlayerGrades+'!$AF$15,"D-",IF(N419&lt;'PlayerGrades+'!$AF$14,"D",IF(N419&lt;'PlayerGrades+'!$AF$13,"D+",IF(N419&lt;'PlayerGrades+'!$AF$12,"C-",IF(N419&lt;'PlayerGrades+'!$AF$11,"C",IF(N419&lt;'PlayerGrades+'!$AF$10,"C+",IF(N419&lt;'PlayerGrades+'!$AF$9,"B-",IF(N419&lt;'PlayerGrades+'!$AF$8,"B",IF(N419&lt;'PlayerGrades+'!$AF$7,"B+",IF(N419&lt;'PlayerGrades+'!$AF$6,"A-",IF(N419&lt;'PlayerGrades+'!$AF$5,"A",IF(N419&lt;'PlayerGrades+'!$AF$4,"A+",IF(N419&lt;'PlayerGrades+'!$AF$3,"S-",IF(N419&lt;'PlayerGrades+'!$AF$2,"S","S+"))))))))))))))))))))</f>
        <v>#DIV/0!</v>
      </c>
      <c r="P419" s="961" t="str">
        <f t="shared" si="7"/>
        <v>#DIV/0!</v>
      </c>
      <c r="Q419" s="961" t="str">
        <f>IF(P419&lt;'PlayerGrades+'!$AG$21,"F-",IF(P419&lt;'PlayerGrades+'!$AG$20,"F",IF(P419&lt;'PlayerGrades+'!$AG$19,"F+",IF(P419&lt;'PlayerGrades+'!$AG$18,"E-",IF(P419&lt;'PlayerGrades+'!$AG$17,"E",IF(P419&lt;'PlayerGrades+'!$AG$16,"E+",IF(P419&lt;'PlayerGrades+'!$AG$15,"D-",IF(P419&lt;'PlayerGrades+'!$AG$14,"D",IF(P419&lt;'PlayerGrades+'!$AG$13,"D+",IF(P419&lt;'PlayerGrades+'!$AG$12,"C-",IF(P419&lt;'PlayerGrades+'!$AG$11,"C",IF(P419&lt;'PlayerGrades+'!$AG$10,"C+",IF(P419&lt;'PlayerGrades+'!$AG$9,"B-",IF(P419&lt;'PlayerGrades+'!$AG$8,"B",IF(P419&lt;'PlayerGrades+'!$AG$7,"B+",IF(P419&lt;'PlayerGrades+'!$AG$6,"A-",IF(P419&lt;'PlayerGrades+'!$AG$5,"A",IF(P419&lt;'PlayerGrades+'!$AG$4,"A+",IF(P419&lt;'PlayerGrades+'!$AG$3,"S-",IF(P419&lt;'PlayerGrades+'!$AG$2,"S","S+"))))))))))))))))))))</f>
        <v>#DIV/0!</v>
      </c>
      <c r="R419" s="961" t="str">
        <f t="shared" si="8"/>
        <v>#DIV/0!</v>
      </c>
      <c r="S419" s="961" t="str">
        <f>IF(R419&lt;'PlayerGrades+'!$AH$21,"F-",IF(R419&lt;'PlayerGrades+'!$AH$20,"F",IF(R419&lt;'PlayerGrades+'!$AH$19,"F+",IF(R419&lt;'PlayerGrades+'!$AH$18,"E-",IF(R419&lt;'PlayerGrades+'!$AH$17,"E",IF(R419&lt;'PlayerGrades+'!$AH$16,"E+",IF(R419&lt;'PlayerGrades+'!$AH$15,"D-",IF(R419&lt;'PlayerGrades+'!$AH$14,"D",IF(R419&lt;'PlayerGrades+'!$AH$13,"D+",IF(R419&lt;'PlayerGrades+'!$AH$12,"C-",IF(R419&lt;'PlayerGrades+'!$AH$11,"C",IF(R419&lt;'PlayerGrades+'!$AH$10,"C+",IF(R419&lt;'PlayerGrades+'!$AH$9,"B-",IF(R419&lt;'PlayerGrades+'!$AH$8,"B",IF(R419&lt;'PlayerGrades+'!$AH$7,"B+",IF(R419&lt;'PlayerGrades+'!$AH$6,"A-",IF(R419&lt;'PlayerGrades+'!$AH$5,"A",IF(R419&lt;'PlayerGrades+'!$AH$4,"A+",IF(R419&lt;'PlayerGrades+'!$AH$3,"S-",IF(R419&lt;'PlayerGrades+'!$AH$2,"S","S+"))))))))))))))))))))</f>
        <v>#DIV/0!</v>
      </c>
      <c r="T419" s="961">
        <f t="shared" si="9"/>
        <v>0</v>
      </c>
      <c r="U419" s="961" t="str">
        <f>IF(T419&lt;'PlayerGrades+'!$AI$21,"F-",IF(T419&lt;'PlayerGrades+'!$AI$20,"F",IF(T419&lt;'PlayerGrades+'!$AI$19,"F+",IF(T419&lt;'PlayerGrades+'!$AI$18,"E-",IF(T419&lt;'PlayerGrades+'!$AI$17,"E",IF(T419&lt;'PlayerGrades+'!$AI$16,"E+",IF(T419&lt;'PlayerGrades+'!$AI$15,"D-",IF(T419&lt;'PlayerGrades+'!$AI$14,"D",IF(T419&lt;'PlayerGrades+'!$AI$13,"D+",IF(T419&lt;'PlayerGrades+'!$AI$12,"C-",IF(T419&lt;'PlayerGrades+'!$AI$11,"C",IF(T419&lt;'PlayerGrades+'!$AI$10,"C+",IF(T419&lt;'PlayerGrades+'!$AI$9,"B-",IF(T419&lt;'PlayerGrades+'!$AI$8,"B",IF(T419&lt;'PlayerGrades+'!$AI$7,"B+",IF(T419&lt;'PlayerGrades+'!$AI$6,"A-",IF(T419&lt;'PlayerGrades+'!$AI$5,"A",IF(T419&lt;'PlayerGrades+'!$AI$4,"A+",IF(T419&lt;'PlayerGrades+'!$AI$3,"S-",IF(T419&lt;'PlayerGrades+'!$AI$2,"S","S+"))))))))))))))))))))</f>
        <v>F-</v>
      </c>
      <c r="AC419" s="1392"/>
    </row>
    <row r="420">
      <c r="A420" s="1391"/>
      <c r="B420" s="611" t="str">
        <f>IF(C420&lt;'PlayerGrades+'!$Y$44,"F-",IF(C420&lt;'PlayerGrades+'!$Y$43,"F",IF(C420&lt;'PlayerGrades+'!$Y$42,"F+",IF(C420&lt;'PlayerGrades+'!$Y$41,"E-",IF(C420&lt;'PlayerGrades+'!$Y$40,"E",IF(C420&lt;'PlayerGrades+'!$Y$39,"E+",IF(C420&lt;'PlayerGrades+'!$Y$38,"D-",IF(C420&lt;'PlayerGrades+'!$Y$37,"D",IF(C420&lt;'PlayerGrades+'!$Y$36,"D+",IF(C420&lt;'PlayerGrades+'!$Y$35,"C-",IF(C420&lt;'PlayerGrades+'!$Y$34,"C",IF(C420&lt;'PlayerGrades+'!$Y$33,"C+",IF(C420&lt;'PlayerGrades+'!$Y$32,"B-",IF(C420&lt;'PlayerGrades+'!$Y$31,"B",IF(C420&lt;'PlayerGrades+'!$Y$30,"B+",IF(C420&lt;'PlayerGrades+'!$Y$29,"A-",IF(C420&lt;'PlayerGrades+'!$Y$28,"A",IF(C420&lt;'PlayerGrades+'!$Y$27,"A+",IF(C420&lt;'PlayerGrades+'!$Y$26,"S-",IF(C420&lt;'PlayerGrades+'!$Y$25,"S","S+"))))))))))))))))))))</f>
        <v>#DIV/0!</v>
      </c>
      <c r="C420" s="1378" t="str">
        <f>('PlayerGrades+'!$Y$47*(VLOOKUP(E420, 'PlayerGrades+'!$X$3:$Y$23, 2, FALSE)))+('PlayerGrades+'!$Y$48*(VLOOKUP(G420, 'PlayerGrades+'!$X$3:$Y$23, 2, FALSE)))+('PlayerGrades+'!$Y$49*(VLOOKUP(I420, 'PlayerGrades+'!$X$3:$Y$23, 2, FALSE)))+('PlayerGrades+'!$Y$50*(VLOOKUP(K420, 'PlayerGrades+'!$X$3:$Y$23, 2, FALSE)))+('PlayerGrades+'!$Y$51*(VLOOKUP(M420, 'PlayerGrades+'!$X$3:$Y$23, 2, FALSE)))+('PlayerGrades+'!$Y$52*(VLOOKUP(O420, 'PlayerGrades+'!$X$3:$Y$23, 2, FALSE)))+('PlayerGrades+'!$Y$53*(VLOOKUP(Q420, 'PlayerGrades+'!$X$3:$Y$23, 2, FALSE)))+('PlayerGrades+'!$Y$54*(VLOOKUP(S420, 'PlayerGrades+'!$X$3:$Y$23, 2, FALSE)))+('PlayerGrades+'!$Y$55*(VLOOKUP(U420, 'PlayerGrades+'!$X$3:$Y$23, 2, FALSE)))</f>
        <v>#DIV/0!</v>
      </c>
      <c r="D420" s="961" t="str">
        <f t="shared" si="1"/>
        <v>#DIV/0!</v>
      </c>
      <c r="E420" s="961" t="str">
        <f>IF(D420&lt;'PlayerGrades+'!$AA$21,"F-",IF(D420&lt;'PlayerGrades+'!$AA$20,"F",IF(D420&lt;'PlayerGrades+'!$AA$19,"F+",IF(D420&lt;'PlayerGrades+'!$AA$18,"E-",IF(D420&lt;'PlayerGrades+'!$AA$17,"E",IF(D420&lt;'PlayerGrades+'!$AA$16,"E+",IF(D420&lt;'PlayerGrades+'!$AA$15,"D-",IF(D420&lt;'PlayerGrades+'!$AA$14,"D",IF(D420&lt;'PlayerGrades+'!$AA$13,"D+",IF(D420&lt;'PlayerGrades+'!$AA$12,"C-",IF(D420&lt;'PlayerGrades+'!$AA$11,"C",IF(D420&lt;'PlayerGrades+'!$AA$10,"C+",IF(D420&lt;'PlayerGrades+'!$AA$9,"B-",IF(D420&lt;'PlayerGrades+'!$AA$8,"B",IF(D420&lt;'PlayerGrades+'!$AA$7,"B+",IF(D420&lt;'PlayerGrades+'!$AA$6,"A-",IF(D420&lt;'PlayerGrades+'!$AA$5,"A",IF(D420&lt;'PlayerGrades+'!$AA$4,"A+",IF(D420&lt;'PlayerGrades+'!$AA$3,"S-",IF(D420&lt;'PlayerGrades+'!$AA$2,"S","S+"))))))))))))))))))))</f>
        <v>#DIV/0!</v>
      </c>
      <c r="F420" s="961" t="str">
        <f t="shared" si="2"/>
        <v>#DIV/0!</v>
      </c>
      <c r="G420" s="961" t="str">
        <f>IF(F420&lt;'PlayerGrades+'!$AB$21,"F-",IF(F420&lt;'PlayerGrades+'!$AB$20,"F",IF(F420&lt;'PlayerGrades+'!$AB$19,"F+",IF(F420&lt;'PlayerGrades+'!$AB$18,"E-",IF(F420&lt;'PlayerGrades+'!$AB$17,"E",IF(F420&lt;'PlayerGrades+'!$AB$16,"E+",IF(F420&lt;'PlayerGrades+'!$AB$15,"D-",IF(F420&lt;'PlayerGrades+'!$AB$14,"D",IF(F420&lt;'PlayerGrades+'!$AB$13,"D+",IF(F420&lt;'PlayerGrades+'!$AB$12,"C-",IF(F420&lt;'PlayerGrades+'!$AB$11,"C",IF(F420&lt;'PlayerGrades+'!$AB$10,"C+",IF(F420&lt;'PlayerGrades+'!$AB$9,"B-",IF(F420&lt;'PlayerGrades+'!$AB$8,"B",IF(F420&lt;'PlayerGrades+'!$AB$7,"B+",IF(F420&lt;'PlayerGrades+'!$AB$6,"A-",IF(F420&lt;'PlayerGrades+'!$AB$5,"A",IF(F420&lt;'PlayerGrades+'!$AB$4,"A+",IF(F420&lt;'PlayerGrades+'!$AB$3,"S-",IF(F420&lt;'PlayerGrades+'!$AB$2,"S","S+"))))))))))))))))))))</f>
        <v>#DIV/0!</v>
      </c>
      <c r="H420" s="961" t="str">
        <f t="shared" si="3"/>
        <v>#DIV/0!</v>
      </c>
      <c r="I420" s="961" t="str">
        <f>IF(H420&lt;'PlayerGrades+'!$AC$21,"F-",IF(H420&lt;'PlayerGrades+'!$AC$20,"F",IF(H420&lt;'PlayerGrades+'!$AC$19,"F+",IF(H420&lt;'PlayerGrades+'!$AC$18,"E-",IF(H420&lt;'PlayerGrades+'!$AC$17,"E",IF(H420&lt;'PlayerGrades+'!$AC$16,"E+",IF(H420&lt;'PlayerGrades+'!$AC$15,"D-",IF(H420&lt;'PlayerGrades+'!$AC$14,"D",IF(H420&lt;'PlayerGrades+'!$AC$13,"D+",IF(H420&lt;'PlayerGrades+'!$AC$12,"C-",IF(H420&lt;'PlayerGrades+'!$AC$11,"C",IF(H420&lt;'PlayerGrades+'!$AC$10,"C+",IF(H420&lt;'PlayerGrades+'!$AC$9,"B-",IF(H420&lt;'PlayerGrades+'!$AC$8,"B",IF(H420&lt;'PlayerGrades+'!$AC$7,"B+",IF(H420&lt;'PlayerGrades+'!$AC$6,"A-",IF(H420&lt;'PlayerGrades+'!$AC$5,"A",IF(H420&lt;'PlayerGrades+'!$AC$4,"A+",IF(H420&lt;'PlayerGrades+'!$AC$3,"S-",IF(H420&lt;'PlayerGrades+'!$AC$2,"S","S+"))))))))))))))))))))</f>
        <v>#DIV/0!</v>
      </c>
      <c r="J420" s="961" t="str">
        <f t="shared" si="4"/>
        <v>#DIV/0!</v>
      </c>
      <c r="K420" s="961" t="str">
        <f>IF(J420&lt;'PlayerGrades+'!$AD$21,"F-",IF(J420&lt;'PlayerGrades+'!$AD$20,"F",IF(J420&lt;'PlayerGrades+'!$AD$19,"F+",IF(J420&lt;'PlayerGrades+'!$AD$18,"E-",IF(J420&lt;'PlayerGrades+'!$AD$17,"E",IF(J420&lt;'PlayerGrades+'!$AD$16,"E+",IF(J420&lt;'PlayerGrades+'!$AD$15,"D-",IF(J420&lt;'PlayerGrades+'!$AD$14,"D",IF(J420&lt;'PlayerGrades+'!$AD$13,"D+",IF(J420&lt;'PlayerGrades+'!$AD$12,"C-",IF(J420&lt;'PlayerGrades+'!$AD$11,"C",IF(J420&lt;'PlayerGrades+'!$AD$10,"C+",IF(J420&lt;'PlayerGrades+'!$AD$9,"B-",IF(J420&lt;'PlayerGrades+'!$AD$8,"B",IF(J420&lt;'PlayerGrades+'!$AD$7,"B+",IF(J420&lt;'PlayerGrades+'!$AD$6,"A-",IF(J420&lt;'PlayerGrades+'!$AD$5,"A",IF(J420&lt;'PlayerGrades+'!$AD$4,"A+",IF(J420&lt;'PlayerGrades+'!$AD$3,"S-",IF(J420&lt;'PlayerGrades+'!$AD$2,"S","S+"))))))))))))))))))))</f>
        <v>#DIV/0!</v>
      </c>
      <c r="L420" s="1176" t="str">
        <f t="shared" si="5"/>
        <v>#DIV/0!</v>
      </c>
      <c r="M420" s="992" t="str">
        <f>IF(L420&lt;'PlayerGrades+'!$AE$21,"F-",IF(L420&lt;'PlayerGrades+'!$AE$20,"F",IF(L420&lt;'PlayerGrades+'!$AE$19,"F+",IF(L420&lt;'PlayerGrades+'!$AE$18,"E-",IF(L420&lt;'PlayerGrades+'!$AE$17,"E",IF(L420&lt;'PlayerGrades+'!$AE$16,"E+",IF(L420&lt;'PlayerGrades+'!$AE$15,"D-",IF(L420&lt;'PlayerGrades+'!$AE$14,"D",IF(L420&lt;'PlayerGrades+'!$AE$13,"D+",IF(L420&lt;'PlayerGrades+'!$AE$12,"C-",IF(L420&lt;'PlayerGrades+'!$AE$11,"C",IF(L420&lt;'PlayerGrades+'!$AE$10,"C+",IF(L420&lt;'PlayerGrades+'!$AE$9,"B-",IF(L420&lt;'PlayerGrades+'!$AE$8,"B",IF(L420&lt;'PlayerGrades+'!$AE$7,"B+",IF(L420&lt;'PlayerGrades+'!$AE$6,"A-",IF(L420&lt;'PlayerGrades+'!$AE$5,"A",IF(L420&lt;'PlayerGrades+'!$AE$4,"A+",IF(L420&lt;'PlayerGrades+'!$AE$3,"S-",IF(L420&lt;'PlayerGrades+'!$AE$2,"S","S+"))))))))))))))))))))</f>
        <v>#DIV/0!</v>
      </c>
      <c r="N420" s="961" t="str">
        <f t="shared" si="6"/>
        <v>#DIV/0!</v>
      </c>
      <c r="O420" s="961" t="str">
        <f>IF(N420&lt;'PlayerGrades+'!$AF$21,"F-",IF(N420&lt;'PlayerGrades+'!$AF$20,"F",IF(N420&lt;'PlayerGrades+'!$AF$19,"F+",IF(N420&lt;'PlayerGrades+'!$AF$18,"E-",IF(N420&lt;'PlayerGrades+'!$AF$17,"E",IF(N420&lt;'PlayerGrades+'!$AF$16,"E+",IF(N420&lt;'PlayerGrades+'!$AF$15,"D-",IF(N420&lt;'PlayerGrades+'!$AF$14,"D",IF(N420&lt;'PlayerGrades+'!$AF$13,"D+",IF(N420&lt;'PlayerGrades+'!$AF$12,"C-",IF(N420&lt;'PlayerGrades+'!$AF$11,"C",IF(N420&lt;'PlayerGrades+'!$AF$10,"C+",IF(N420&lt;'PlayerGrades+'!$AF$9,"B-",IF(N420&lt;'PlayerGrades+'!$AF$8,"B",IF(N420&lt;'PlayerGrades+'!$AF$7,"B+",IF(N420&lt;'PlayerGrades+'!$AF$6,"A-",IF(N420&lt;'PlayerGrades+'!$AF$5,"A",IF(N420&lt;'PlayerGrades+'!$AF$4,"A+",IF(N420&lt;'PlayerGrades+'!$AF$3,"S-",IF(N420&lt;'PlayerGrades+'!$AF$2,"S","S+"))))))))))))))))))))</f>
        <v>#DIV/0!</v>
      </c>
      <c r="P420" s="961" t="str">
        <f t="shared" si="7"/>
        <v>#DIV/0!</v>
      </c>
      <c r="Q420" s="961" t="str">
        <f>IF(P420&lt;'PlayerGrades+'!$AG$21,"F-",IF(P420&lt;'PlayerGrades+'!$AG$20,"F",IF(P420&lt;'PlayerGrades+'!$AG$19,"F+",IF(P420&lt;'PlayerGrades+'!$AG$18,"E-",IF(P420&lt;'PlayerGrades+'!$AG$17,"E",IF(P420&lt;'PlayerGrades+'!$AG$16,"E+",IF(P420&lt;'PlayerGrades+'!$AG$15,"D-",IF(P420&lt;'PlayerGrades+'!$AG$14,"D",IF(P420&lt;'PlayerGrades+'!$AG$13,"D+",IF(P420&lt;'PlayerGrades+'!$AG$12,"C-",IF(P420&lt;'PlayerGrades+'!$AG$11,"C",IF(P420&lt;'PlayerGrades+'!$AG$10,"C+",IF(P420&lt;'PlayerGrades+'!$AG$9,"B-",IF(P420&lt;'PlayerGrades+'!$AG$8,"B",IF(P420&lt;'PlayerGrades+'!$AG$7,"B+",IF(P420&lt;'PlayerGrades+'!$AG$6,"A-",IF(P420&lt;'PlayerGrades+'!$AG$5,"A",IF(P420&lt;'PlayerGrades+'!$AG$4,"A+",IF(P420&lt;'PlayerGrades+'!$AG$3,"S-",IF(P420&lt;'PlayerGrades+'!$AG$2,"S","S+"))))))))))))))))))))</f>
        <v>#DIV/0!</v>
      </c>
      <c r="R420" s="961" t="str">
        <f t="shared" si="8"/>
        <v>#DIV/0!</v>
      </c>
      <c r="S420" s="961" t="str">
        <f>IF(R420&lt;'PlayerGrades+'!$AH$21,"F-",IF(R420&lt;'PlayerGrades+'!$AH$20,"F",IF(R420&lt;'PlayerGrades+'!$AH$19,"F+",IF(R420&lt;'PlayerGrades+'!$AH$18,"E-",IF(R420&lt;'PlayerGrades+'!$AH$17,"E",IF(R420&lt;'PlayerGrades+'!$AH$16,"E+",IF(R420&lt;'PlayerGrades+'!$AH$15,"D-",IF(R420&lt;'PlayerGrades+'!$AH$14,"D",IF(R420&lt;'PlayerGrades+'!$AH$13,"D+",IF(R420&lt;'PlayerGrades+'!$AH$12,"C-",IF(R420&lt;'PlayerGrades+'!$AH$11,"C",IF(R420&lt;'PlayerGrades+'!$AH$10,"C+",IF(R420&lt;'PlayerGrades+'!$AH$9,"B-",IF(R420&lt;'PlayerGrades+'!$AH$8,"B",IF(R420&lt;'PlayerGrades+'!$AH$7,"B+",IF(R420&lt;'PlayerGrades+'!$AH$6,"A-",IF(R420&lt;'PlayerGrades+'!$AH$5,"A",IF(R420&lt;'PlayerGrades+'!$AH$4,"A+",IF(R420&lt;'PlayerGrades+'!$AH$3,"S-",IF(R420&lt;'PlayerGrades+'!$AH$2,"S","S+"))))))))))))))))))))</f>
        <v>#DIV/0!</v>
      </c>
      <c r="T420" s="961">
        <f t="shared" si="9"/>
        <v>0</v>
      </c>
      <c r="U420" s="961" t="str">
        <f>IF(T420&lt;'PlayerGrades+'!$AI$21,"F-",IF(T420&lt;'PlayerGrades+'!$AI$20,"F",IF(T420&lt;'PlayerGrades+'!$AI$19,"F+",IF(T420&lt;'PlayerGrades+'!$AI$18,"E-",IF(T420&lt;'PlayerGrades+'!$AI$17,"E",IF(T420&lt;'PlayerGrades+'!$AI$16,"E+",IF(T420&lt;'PlayerGrades+'!$AI$15,"D-",IF(T420&lt;'PlayerGrades+'!$AI$14,"D",IF(T420&lt;'PlayerGrades+'!$AI$13,"D+",IF(T420&lt;'PlayerGrades+'!$AI$12,"C-",IF(T420&lt;'PlayerGrades+'!$AI$11,"C",IF(T420&lt;'PlayerGrades+'!$AI$10,"C+",IF(T420&lt;'PlayerGrades+'!$AI$9,"B-",IF(T420&lt;'PlayerGrades+'!$AI$8,"B",IF(T420&lt;'PlayerGrades+'!$AI$7,"B+",IF(T420&lt;'PlayerGrades+'!$AI$6,"A-",IF(T420&lt;'PlayerGrades+'!$AI$5,"A",IF(T420&lt;'PlayerGrades+'!$AI$4,"A+",IF(T420&lt;'PlayerGrades+'!$AI$3,"S-",IF(T420&lt;'PlayerGrades+'!$AI$2,"S","S+"))))))))))))))))))))</f>
        <v>F-</v>
      </c>
      <c r="AC420" s="1392"/>
    </row>
    <row r="421">
      <c r="A421" s="1391"/>
      <c r="B421" s="611" t="str">
        <f>IF(C421&lt;'PlayerGrades+'!$Y$44,"F-",IF(C421&lt;'PlayerGrades+'!$Y$43,"F",IF(C421&lt;'PlayerGrades+'!$Y$42,"F+",IF(C421&lt;'PlayerGrades+'!$Y$41,"E-",IF(C421&lt;'PlayerGrades+'!$Y$40,"E",IF(C421&lt;'PlayerGrades+'!$Y$39,"E+",IF(C421&lt;'PlayerGrades+'!$Y$38,"D-",IF(C421&lt;'PlayerGrades+'!$Y$37,"D",IF(C421&lt;'PlayerGrades+'!$Y$36,"D+",IF(C421&lt;'PlayerGrades+'!$Y$35,"C-",IF(C421&lt;'PlayerGrades+'!$Y$34,"C",IF(C421&lt;'PlayerGrades+'!$Y$33,"C+",IF(C421&lt;'PlayerGrades+'!$Y$32,"B-",IF(C421&lt;'PlayerGrades+'!$Y$31,"B",IF(C421&lt;'PlayerGrades+'!$Y$30,"B+",IF(C421&lt;'PlayerGrades+'!$Y$29,"A-",IF(C421&lt;'PlayerGrades+'!$Y$28,"A",IF(C421&lt;'PlayerGrades+'!$Y$27,"A+",IF(C421&lt;'PlayerGrades+'!$Y$26,"S-",IF(C421&lt;'PlayerGrades+'!$Y$25,"S","S+"))))))))))))))))))))</f>
        <v>#DIV/0!</v>
      </c>
      <c r="C421" s="1378" t="str">
        <f>('PlayerGrades+'!$Y$47*(VLOOKUP(E421, 'PlayerGrades+'!$X$3:$Y$23, 2, FALSE)))+('PlayerGrades+'!$Y$48*(VLOOKUP(G421, 'PlayerGrades+'!$X$3:$Y$23, 2, FALSE)))+('PlayerGrades+'!$Y$49*(VLOOKUP(I421, 'PlayerGrades+'!$X$3:$Y$23, 2, FALSE)))+('PlayerGrades+'!$Y$50*(VLOOKUP(K421, 'PlayerGrades+'!$X$3:$Y$23, 2, FALSE)))+('PlayerGrades+'!$Y$51*(VLOOKUP(M421, 'PlayerGrades+'!$X$3:$Y$23, 2, FALSE)))+('PlayerGrades+'!$Y$52*(VLOOKUP(O421, 'PlayerGrades+'!$X$3:$Y$23, 2, FALSE)))+('PlayerGrades+'!$Y$53*(VLOOKUP(Q421, 'PlayerGrades+'!$X$3:$Y$23, 2, FALSE)))+('PlayerGrades+'!$Y$54*(VLOOKUP(S421, 'PlayerGrades+'!$X$3:$Y$23, 2, FALSE)))+('PlayerGrades+'!$Y$55*(VLOOKUP(U421, 'PlayerGrades+'!$X$3:$Y$23, 2, FALSE)))</f>
        <v>#DIV/0!</v>
      </c>
      <c r="D421" s="961" t="str">
        <f t="shared" si="1"/>
        <v>#DIV/0!</v>
      </c>
      <c r="E421" s="961" t="str">
        <f>IF(D421&lt;'PlayerGrades+'!$AA$21,"F-",IF(D421&lt;'PlayerGrades+'!$AA$20,"F",IF(D421&lt;'PlayerGrades+'!$AA$19,"F+",IF(D421&lt;'PlayerGrades+'!$AA$18,"E-",IF(D421&lt;'PlayerGrades+'!$AA$17,"E",IF(D421&lt;'PlayerGrades+'!$AA$16,"E+",IF(D421&lt;'PlayerGrades+'!$AA$15,"D-",IF(D421&lt;'PlayerGrades+'!$AA$14,"D",IF(D421&lt;'PlayerGrades+'!$AA$13,"D+",IF(D421&lt;'PlayerGrades+'!$AA$12,"C-",IF(D421&lt;'PlayerGrades+'!$AA$11,"C",IF(D421&lt;'PlayerGrades+'!$AA$10,"C+",IF(D421&lt;'PlayerGrades+'!$AA$9,"B-",IF(D421&lt;'PlayerGrades+'!$AA$8,"B",IF(D421&lt;'PlayerGrades+'!$AA$7,"B+",IF(D421&lt;'PlayerGrades+'!$AA$6,"A-",IF(D421&lt;'PlayerGrades+'!$AA$5,"A",IF(D421&lt;'PlayerGrades+'!$AA$4,"A+",IF(D421&lt;'PlayerGrades+'!$AA$3,"S-",IF(D421&lt;'PlayerGrades+'!$AA$2,"S","S+"))))))))))))))))))))</f>
        <v>#DIV/0!</v>
      </c>
      <c r="F421" s="961" t="str">
        <f t="shared" si="2"/>
        <v>#DIV/0!</v>
      </c>
      <c r="G421" s="961" t="str">
        <f>IF(F421&lt;'PlayerGrades+'!$AB$21,"F-",IF(F421&lt;'PlayerGrades+'!$AB$20,"F",IF(F421&lt;'PlayerGrades+'!$AB$19,"F+",IF(F421&lt;'PlayerGrades+'!$AB$18,"E-",IF(F421&lt;'PlayerGrades+'!$AB$17,"E",IF(F421&lt;'PlayerGrades+'!$AB$16,"E+",IF(F421&lt;'PlayerGrades+'!$AB$15,"D-",IF(F421&lt;'PlayerGrades+'!$AB$14,"D",IF(F421&lt;'PlayerGrades+'!$AB$13,"D+",IF(F421&lt;'PlayerGrades+'!$AB$12,"C-",IF(F421&lt;'PlayerGrades+'!$AB$11,"C",IF(F421&lt;'PlayerGrades+'!$AB$10,"C+",IF(F421&lt;'PlayerGrades+'!$AB$9,"B-",IF(F421&lt;'PlayerGrades+'!$AB$8,"B",IF(F421&lt;'PlayerGrades+'!$AB$7,"B+",IF(F421&lt;'PlayerGrades+'!$AB$6,"A-",IF(F421&lt;'PlayerGrades+'!$AB$5,"A",IF(F421&lt;'PlayerGrades+'!$AB$4,"A+",IF(F421&lt;'PlayerGrades+'!$AB$3,"S-",IF(F421&lt;'PlayerGrades+'!$AB$2,"S","S+"))))))))))))))))))))</f>
        <v>#DIV/0!</v>
      </c>
      <c r="H421" s="961" t="str">
        <f t="shared" si="3"/>
        <v>#DIV/0!</v>
      </c>
      <c r="I421" s="961" t="str">
        <f>IF(H421&lt;'PlayerGrades+'!$AC$21,"F-",IF(H421&lt;'PlayerGrades+'!$AC$20,"F",IF(H421&lt;'PlayerGrades+'!$AC$19,"F+",IF(H421&lt;'PlayerGrades+'!$AC$18,"E-",IF(H421&lt;'PlayerGrades+'!$AC$17,"E",IF(H421&lt;'PlayerGrades+'!$AC$16,"E+",IF(H421&lt;'PlayerGrades+'!$AC$15,"D-",IF(H421&lt;'PlayerGrades+'!$AC$14,"D",IF(H421&lt;'PlayerGrades+'!$AC$13,"D+",IF(H421&lt;'PlayerGrades+'!$AC$12,"C-",IF(H421&lt;'PlayerGrades+'!$AC$11,"C",IF(H421&lt;'PlayerGrades+'!$AC$10,"C+",IF(H421&lt;'PlayerGrades+'!$AC$9,"B-",IF(H421&lt;'PlayerGrades+'!$AC$8,"B",IF(H421&lt;'PlayerGrades+'!$AC$7,"B+",IF(H421&lt;'PlayerGrades+'!$AC$6,"A-",IF(H421&lt;'PlayerGrades+'!$AC$5,"A",IF(H421&lt;'PlayerGrades+'!$AC$4,"A+",IF(H421&lt;'PlayerGrades+'!$AC$3,"S-",IF(H421&lt;'PlayerGrades+'!$AC$2,"S","S+"))))))))))))))))))))</f>
        <v>#DIV/0!</v>
      </c>
      <c r="J421" s="961" t="str">
        <f t="shared" si="4"/>
        <v>#DIV/0!</v>
      </c>
      <c r="K421" s="961" t="str">
        <f>IF(J421&lt;'PlayerGrades+'!$AD$21,"F-",IF(J421&lt;'PlayerGrades+'!$AD$20,"F",IF(J421&lt;'PlayerGrades+'!$AD$19,"F+",IF(J421&lt;'PlayerGrades+'!$AD$18,"E-",IF(J421&lt;'PlayerGrades+'!$AD$17,"E",IF(J421&lt;'PlayerGrades+'!$AD$16,"E+",IF(J421&lt;'PlayerGrades+'!$AD$15,"D-",IF(J421&lt;'PlayerGrades+'!$AD$14,"D",IF(J421&lt;'PlayerGrades+'!$AD$13,"D+",IF(J421&lt;'PlayerGrades+'!$AD$12,"C-",IF(J421&lt;'PlayerGrades+'!$AD$11,"C",IF(J421&lt;'PlayerGrades+'!$AD$10,"C+",IF(J421&lt;'PlayerGrades+'!$AD$9,"B-",IF(J421&lt;'PlayerGrades+'!$AD$8,"B",IF(J421&lt;'PlayerGrades+'!$AD$7,"B+",IF(J421&lt;'PlayerGrades+'!$AD$6,"A-",IF(J421&lt;'PlayerGrades+'!$AD$5,"A",IF(J421&lt;'PlayerGrades+'!$AD$4,"A+",IF(J421&lt;'PlayerGrades+'!$AD$3,"S-",IF(J421&lt;'PlayerGrades+'!$AD$2,"S","S+"))))))))))))))))))))</f>
        <v>#DIV/0!</v>
      </c>
      <c r="L421" s="1176" t="str">
        <f t="shared" si="5"/>
        <v>#DIV/0!</v>
      </c>
      <c r="M421" s="992" t="str">
        <f>IF(L421&lt;'PlayerGrades+'!$AE$21,"F-",IF(L421&lt;'PlayerGrades+'!$AE$20,"F",IF(L421&lt;'PlayerGrades+'!$AE$19,"F+",IF(L421&lt;'PlayerGrades+'!$AE$18,"E-",IF(L421&lt;'PlayerGrades+'!$AE$17,"E",IF(L421&lt;'PlayerGrades+'!$AE$16,"E+",IF(L421&lt;'PlayerGrades+'!$AE$15,"D-",IF(L421&lt;'PlayerGrades+'!$AE$14,"D",IF(L421&lt;'PlayerGrades+'!$AE$13,"D+",IF(L421&lt;'PlayerGrades+'!$AE$12,"C-",IF(L421&lt;'PlayerGrades+'!$AE$11,"C",IF(L421&lt;'PlayerGrades+'!$AE$10,"C+",IF(L421&lt;'PlayerGrades+'!$AE$9,"B-",IF(L421&lt;'PlayerGrades+'!$AE$8,"B",IF(L421&lt;'PlayerGrades+'!$AE$7,"B+",IF(L421&lt;'PlayerGrades+'!$AE$6,"A-",IF(L421&lt;'PlayerGrades+'!$AE$5,"A",IF(L421&lt;'PlayerGrades+'!$AE$4,"A+",IF(L421&lt;'PlayerGrades+'!$AE$3,"S-",IF(L421&lt;'PlayerGrades+'!$AE$2,"S","S+"))))))))))))))))))))</f>
        <v>#DIV/0!</v>
      </c>
      <c r="N421" s="961" t="str">
        <f t="shared" si="6"/>
        <v>#DIV/0!</v>
      </c>
      <c r="O421" s="961" t="str">
        <f>IF(N421&lt;'PlayerGrades+'!$AF$21,"F-",IF(N421&lt;'PlayerGrades+'!$AF$20,"F",IF(N421&lt;'PlayerGrades+'!$AF$19,"F+",IF(N421&lt;'PlayerGrades+'!$AF$18,"E-",IF(N421&lt;'PlayerGrades+'!$AF$17,"E",IF(N421&lt;'PlayerGrades+'!$AF$16,"E+",IF(N421&lt;'PlayerGrades+'!$AF$15,"D-",IF(N421&lt;'PlayerGrades+'!$AF$14,"D",IF(N421&lt;'PlayerGrades+'!$AF$13,"D+",IF(N421&lt;'PlayerGrades+'!$AF$12,"C-",IF(N421&lt;'PlayerGrades+'!$AF$11,"C",IF(N421&lt;'PlayerGrades+'!$AF$10,"C+",IF(N421&lt;'PlayerGrades+'!$AF$9,"B-",IF(N421&lt;'PlayerGrades+'!$AF$8,"B",IF(N421&lt;'PlayerGrades+'!$AF$7,"B+",IF(N421&lt;'PlayerGrades+'!$AF$6,"A-",IF(N421&lt;'PlayerGrades+'!$AF$5,"A",IF(N421&lt;'PlayerGrades+'!$AF$4,"A+",IF(N421&lt;'PlayerGrades+'!$AF$3,"S-",IF(N421&lt;'PlayerGrades+'!$AF$2,"S","S+"))))))))))))))))))))</f>
        <v>#DIV/0!</v>
      </c>
      <c r="P421" s="961" t="str">
        <f t="shared" si="7"/>
        <v>#DIV/0!</v>
      </c>
      <c r="Q421" s="961" t="str">
        <f>IF(P421&lt;'PlayerGrades+'!$AG$21,"F-",IF(P421&lt;'PlayerGrades+'!$AG$20,"F",IF(P421&lt;'PlayerGrades+'!$AG$19,"F+",IF(P421&lt;'PlayerGrades+'!$AG$18,"E-",IF(P421&lt;'PlayerGrades+'!$AG$17,"E",IF(P421&lt;'PlayerGrades+'!$AG$16,"E+",IF(P421&lt;'PlayerGrades+'!$AG$15,"D-",IF(P421&lt;'PlayerGrades+'!$AG$14,"D",IF(P421&lt;'PlayerGrades+'!$AG$13,"D+",IF(P421&lt;'PlayerGrades+'!$AG$12,"C-",IF(P421&lt;'PlayerGrades+'!$AG$11,"C",IF(P421&lt;'PlayerGrades+'!$AG$10,"C+",IF(P421&lt;'PlayerGrades+'!$AG$9,"B-",IF(P421&lt;'PlayerGrades+'!$AG$8,"B",IF(P421&lt;'PlayerGrades+'!$AG$7,"B+",IF(P421&lt;'PlayerGrades+'!$AG$6,"A-",IF(P421&lt;'PlayerGrades+'!$AG$5,"A",IF(P421&lt;'PlayerGrades+'!$AG$4,"A+",IF(P421&lt;'PlayerGrades+'!$AG$3,"S-",IF(P421&lt;'PlayerGrades+'!$AG$2,"S","S+"))))))))))))))))))))</f>
        <v>#DIV/0!</v>
      </c>
      <c r="R421" s="961" t="str">
        <f t="shared" si="8"/>
        <v>#DIV/0!</v>
      </c>
      <c r="S421" s="961" t="str">
        <f>IF(R421&lt;'PlayerGrades+'!$AH$21,"F-",IF(R421&lt;'PlayerGrades+'!$AH$20,"F",IF(R421&lt;'PlayerGrades+'!$AH$19,"F+",IF(R421&lt;'PlayerGrades+'!$AH$18,"E-",IF(R421&lt;'PlayerGrades+'!$AH$17,"E",IF(R421&lt;'PlayerGrades+'!$AH$16,"E+",IF(R421&lt;'PlayerGrades+'!$AH$15,"D-",IF(R421&lt;'PlayerGrades+'!$AH$14,"D",IF(R421&lt;'PlayerGrades+'!$AH$13,"D+",IF(R421&lt;'PlayerGrades+'!$AH$12,"C-",IF(R421&lt;'PlayerGrades+'!$AH$11,"C",IF(R421&lt;'PlayerGrades+'!$AH$10,"C+",IF(R421&lt;'PlayerGrades+'!$AH$9,"B-",IF(R421&lt;'PlayerGrades+'!$AH$8,"B",IF(R421&lt;'PlayerGrades+'!$AH$7,"B+",IF(R421&lt;'PlayerGrades+'!$AH$6,"A-",IF(R421&lt;'PlayerGrades+'!$AH$5,"A",IF(R421&lt;'PlayerGrades+'!$AH$4,"A+",IF(R421&lt;'PlayerGrades+'!$AH$3,"S-",IF(R421&lt;'PlayerGrades+'!$AH$2,"S","S+"))))))))))))))))))))</f>
        <v>#DIV/0!</v>
      </c>
      <c r="T421" s="961">
        <f t="shared" si="9"/>
        <v>0</v>
      </c>
      <c r="U421" s="961" t="str">
        <f>IF(T421&lt;'PlayerGrades+'!$AI$21,"F-",IF(T421&lt;'PlayerGrades+'!$AI$20,"F",IF(T421&lt;'PlayerGrades+'!$AI$19,"F+",IF(T421&lt;'PlayerGrades+'!$AI$18,"E-",IF(T421&lt;'PlayerGrades+'!$AI$17,"E",IF(T421&lt;'PlayerGrades+'!$AI$16,"E+",IF(T421&lt;'PlayerGrades+'!$AI$15,"D-",IF(T421&lt;'PlayerGrades+'!$AI$14,"D",IF(T421&lt;'PlayerGrades+'!$AI$13,"D+",IF(T421&lt;'PlayerGrades+'!$AI$12,"C-",IF(T421&lt;'PlayerGrades+'!$AI$11,"C",IF(T421&lt;'PlayerGrades+'!$AI$10,"C+",IF(T421&lt;'PlayerGrades+'!$AI$9,"B-",IF(T421&lt;'PlayerGrades+'!$AI$8,"B",IF(T421&lt;'PlayerGrades+'!$AI$7,"B+",IF(T421&lt;'PlayerGrades+'!$AI$6,"A-",IF(T421&lt;'PlayerGrades+'!$AI$5,"A",IF(T421&lt;'PlayerGrades+'!$AI$4,"A+",IF(T421&lt;'PlayerGrades+'!$AI$3,"S-",IF(T421&lt;'PlayerGrades+'!$AI$2,"S","S+"))))))))))))))))))))</f>
        <v>F-</v>
      </c>
      <c r="AC421" s="1392"/>
    </row>
    <row r="422">
      <c r="A422" s="1391"/>
      <c r="B422" s="611" t="str">
        <f>IF(C422&lt;'PlayerGrades+'!$Y$44,"F-",IF(C422&lt;'PlayerGrades+'!$Y$43,"F",IF(C422&lt;'PlayerGrades+'!$Y$42,"F+",IF(C422&lt;'PlayerGrades+'!$Y$41,"E-",IF(C422&lt;'PlayerGrades+'!$Y$40,"E",IF(C422&lt;'PlayerGrades+'!$Y$39,"E+",IF(C422&lt;'PlayerGrades+'!$Y$38,"D-",IF(C422&lt;'PlayerGrades+'!$Y$37,"D",IF(C422&lt;'PlayerGrades+'!$Y$36,"D+",IF(C422&lt;'PlayerGrades+'!$Y$35,"C-",IF(C422&lt;'PlayerGrades+'!$Y$34,"C",IF(C422&lt;'PlayerGrades+'!$Y$33,"C+",IF(C422&lt;'PlayerGrades+'!$Y$32,"B-",IF(C422&lt;'PlayerGrades+'!$Y$31,"B",IF(C422&lt;'PlayerGrades+'!$Y$30,"B+",IF(C422&lt;'PlayerGrades+'!$Y$29,"A-",IF(C422&lt;'PlayerGrades+'!$Y$28,"A",IF(C422&lt;'PlayerGrades+'!$Y$27,"A+",IF(C422&lt;'PlayerGrades+'!$Y$26,"S-",IF(C422&lt;'PlayerGrades+'!$Y$25,"S","S+"))))))))))))))))))))</f>
        <v>#DIV/0!</v>
      </c>
      <c r="C422" s="1378" t="str">
        <f>('PlayerGrades+'!$Y$47*(VLOOKUP(E422, 'PlayerGrades+'!$X$3:$Y$23, 2, FALSE)))+('PlayerGrades+'!$Y$48*(VLOOKUP(G422, 'PlayerGrades+'!$X$3:$Y$23, 2, FALSE)))+('PlayerGrades+'!$Y$49*(VLOOKUP(I422, 'PlayerGrades+'!$X$3:$Y$23, 2, FALSE)))+('PlayerGrades+'!$Y$50*(VLOOKUP(K422, 'PlayerGrades+'!$X$3:$Y$23, 2, FALSE)))+('PlayerGrades+'!$Y$51*(VLOOKUP(M422, 'PlayerGrades+'!$X$3:$Y$23, 2, FALSE)))+('PlayerGrades+'!$Y$52*(VLOOKUP(O422, 'PlayerGrades+'!$X$3:$Y$23, 2, FALSE)))+('PlayerGrades+'!$Y$53*(VLOOKUP(Q422, 'PlayerGrades+'!$X$3:$Y$23, 2, FALSE)))+('PlayerGrades+'!$Y$54*(VLOOKUP(S422, 'PlayerGrades+'!$X$3:$Y$23, 2, FALSE)))+('PlayerGrades+'!$Y$55*(VLOOKUP(U422, 'PlayerGrades+'!$X$3:$Y$23, 2, FALSE)))</f>
        <v>#DIV/0!</v>
      </c>
      <c r="D422" s="961" t="str">
        <f t="shared" si="1"/>
        <v>#DIV/0!</v>
      </c>
      <c r="E422" s="961" t="str">
        <f>IF(D422&lt;'PlayerGrades+'!$AA$21,"F-",IF(D422&lt;'PlayerGrades+'!$AA$20,"F",IF(D422&lt;'PlayerGrades+'!$AA$19,"F+",IF(D422&lt;'PlayerGrades+'!$AA$18,"E-",IF(D422&lt;'PlayerGrades+'!$AA$17,"E",IF(D422&lt;'PlayerGrades+'!$AA$16,"E+",IF(D422&lt;'PlayerGrades+'!$AA$15,"D-",IF(D422&lt;'PlayerGrades+'!$AA$14,"D",IF(D422&lt;'PlayerGrades+'!$AA$13,"D+",IF(D422&lt;'PlayerGrades+'!$AA$12,"C-",IF(D422&lt;'PlayerGrades+'!$AA$11,"C",IF(D422&lt;'PlayerGrades+'!$AA$10,"C+",IF(D422&lt;'PlayerGrades+'!$AA$9,"B-",IF(D422&lt;'PlayerGrades+'!$AA$8,"B",IF(D422&lt;'PlayerGrades+'!$AA$7,"B+",IF(D422&lt;'PlayerGrades+'!$AA$6,"A-",IF(D422&lt;'PlayerGrades+'!$AA$5,"A",IF(D422&lt;'PlayerGrades+'!$AA$4,"A+",IF(D422&lt;'PlayerGrades+'!$AA$3,"S-",IF(D422&lt;'PlayerGrades+'!$AA$2,"S","S+"))))))))))))))))))))</f>
        <v>#DIV/0!</v>
      </c>
      <c r="F422" s="961" t="str">
        <f t="shared" si="2"/>
        <v>#DIV/0!</v>
      </c>
      <c r="G422" s="961" t="str">
        <f>IF(F422&lt;'PlayerGrades+'!$AB$21,"F-",IF(F422&lt;'PlayerGrades+'!$AB$20,"F",IF(F422&lt;'PlayerGrades+'!$AB$19,"F+",IF(F422&lt;'PlayerGrades+'!$AB$18,"E-",IF(F422&lt;'PlayerGrades+'!$AB$17,"E",IF(F422&lt;'PlayerGrades+'!$AB$16,"E+",IF(F422&lt;'PlayerGrades+'!$AB$15,"D-",IF(F422&lt;'PlayerGrades+'!$AB$14,"D",IF(F422&lt;'PlayerGrades+'!$AB$13,"D+",IF(F422&lt;'PlayerGrades+'!$AB$12,"C-",IF(F422&lt;'PlayerGrades+'!$AB$11,"C",IF(F422&lt;'PlayerGrades+'!$AB$10,"C+",IF(F422&lt;'PlayerGrades+'!$AB$9,"B-",IF(F422&lt;'PlayerGrades+'!$AB$8,"B",IF(F422&lt;'PlayerGrades+'!$AB$7,"B+",IF(F422&lt;'PlayerGrades+'!$AB$6,"A-",IF(F422&lt;'PlayerGrades+'!$AB$5,"A",IF(F422&lt;'PlayerGrades+'!$AB$4,"A+",IF(F422&lt;'PlayerGrades+'!$AB$3,"S-",IF(F422&lt;'PlayerGrades+'!$AB$2,"S","S+"))))))))))))))))))))</f>
        <v>#DIV/0!</v>
      </c>
      <c r="H422" s="961" t="str">
        <f t="shared" si="3"/>
        <v>#DIV/0!</v>
      </c>
      <c r="I422" s="961" t="str">
        <f>IF(H422&lt;'PlayerGrades+'!$AC$21,"F-",IF(H422&lt;'PlayerGrades+'!$AC$20,"F",IF(H422&lt;'PlayerGrades+'!$AC$19,"F+",IF(H422&lt;'PlayerGrades+'!$AC$18,"E-",IF(H422&lt;'PlayerGrades+'!$AC$17,"E",IF(H422&lt;'PlayerGrades+'!$AC$16,"E+",IF(H422&lt;'PlayerGrades+'!$AC$15,"D-",IF(H422&lt;'PlayerGrades+'!$AC$14,"D",IF(H422&lt;'PlayerGrades+'!$AC$13,"D+",IF(H422&lt;'PlayerGrades+'!$AC$12,"C-",IF(H422&lt;'PlayerGrades+'!$AC$11,"C",IF(H422&lt;'PlayerGrades+'!$AC$10,"C+",IF(H422&lt;'PlayerGrades+'!$AC$9,"B-",IF(H422&lt;'PlayerGrades+'!$AC$8,"B",IF(H422&lt;'PlayerGrades+'!$AC$7,"B+",IF(H422&lt;'PlayerGrades+'!$AC$6,"A-",IF(H422&lt;'PlayerGrades+'!$AC$5,"A",IF(H422&lt;'PlayerGrades+'!$AC$4,"A+",IF(H422&lt;'PlayerGrades+'!$AC$3,"S-",IF(H422&lt;'PlayerGrades+'!$AC$2,"S","S+"))))))))))))))))))))</f>
        <v>#DIV/0!</v>
      </c>
      <c r="J422" s="961" t="str">
        <f t="shared" si="4"/>
        <v>#DIV/0!</v>
      </c>
      <c r="K422" s="961" t="str">
        <f>IF(J422&lt;'PlayerGrades+'!$AD$21,"F-",IF(J422&lt;'PlayerGrades+'!$AD$20,"F",IF(J422&lt;'PlayerGrades+'!$AD$19,"F+",IF(J422&lt;'PlayerGrades+'!$AD$18,"E-",IF(J422&lt;'PlayerGrades+'!$AD$17,"E",IF(J422&lt;'PlayerGrades+'!$AD$16,"E+",IF(J422&lt;'PlayerGrades+'!$AD$15,"D-",IF(J422&lt;'PlayerGrades+'!$AD$14,"D",IF(J422&lt;'PlayerGrades+'!$AD$13,"D+",IF(J422&lt;'PlayerGrades+'!$AD$12,"C-",IF(J422&lt;'PlayerGrades+'!$AD$11,"C",IF(J422&lt;'PlayerGrades+'!$AD$10,"C+",IF(J422&lt;'PlayerGrades+'!$AD$9,"B-",IF(J422&lt;'PlayerGrades+'!$AD$8,"B",IF(J422&lt;'PlayerGrades+'!$AD$7,"B+",IF(J422&lt;'PlayerGrades+'!$AD$6,"A-",IF(J422&lt;'PlayerGrades+'!$AD$5,"A",IF(J422&lt;'PlayerGrades+'!$AD$4,"A+",IF(J422&lt;'PlayerGrades+'!$AD$3,"S-",IF(J422&lt;'PlayerGrades+'!$AD$2,"S","S+"))))))))))))))))))))</f>
        <v>#DIV/0!</v>
      </c>
      <c r="L422" s="1176" t="str">
        <f t="shared" si="5"/>
        <v>#DIV/0!</v>
      </c>
      <c r="M422" s="992" t="str">
        <f>IF(L422&lt;'PlayerGrades+'!$AE$21,"F-",IF(L422&lt;'PlayerGrades+'!$AE$20,"F",IF(L422&lt;'PlayerGrades+'!$AE$19,"F+",IF(L422&lt;'PlayerGrades+'!$AE$18,"E-",IF(L422&lt;'PlayerGrades+'!$AE$17,"E",IF(L422&lt;'PlayerGrades+'!$AE$16,"E+",IF(L422&lt;'PlayerGrades+'!$AE$15,"D-",IF(L422&lt;'PlayerGrades+'!$AE$14,"D",IF(L422&lt;'PlayerGrades+'!$AE$13,"D+",IF(L422&lt;'PlayerGrades+'!$AE$12,"C-",IF(L422&lt;'PlayerGrades+'!$AE$11,"C",IF(L422&lt;'PlayerGrades+'!$AE$10,"C+",IF(L422&lt;'PlayerGrades+'!$AE$9,"B-",IF(L422&lt;'PlayerGrades+'!$AE$8,"B",IF(L422&lt;'PlayerGrades+'!$AE$7,"B+",IF(L422&lt;'PlayerGrades+'!$AE$6,"A-",IF(L422&lt;'PlayerGrades+'!$AE$5,"A",IF(L422&lt;'PlayerGrades+'!$AE$4,"A+",IF(L422&lt;'PlayerGrades+'!$AE$3,"S-",IF(L422&lt;'PlayerGrades+'!$AE$2,"S","S+"))))))))))))))))))))</f>
        <v>#DIV/0!</v>
      </c>
      <c r="N422" s="961" t="str">
        <f t="shared" si="6"/>
        <v>#DIV/0!</v>
      </c>
      <c r="O422" s="961" t="str">
        <f>IF(N422&lt;'PlayerGrades+'!$AF$21,"F-",IF(N422&lt;'PlayerGrades+'!$AF$20,"F",IF(N422&lt;'PlayerGrades+'!$AF$19,"F+",IF(N422&lt;'PlayerGrades+'!$AF$18,"E-",IF(N422&lt;'PlayerGrades+'!$AF$17,"E",IF(N422&lt;'PlayerGrades+'!$AF$16,"E+",IF(N422&lt;'PlayerGrades+'!$AF$15,"D-",IF(N422&lt;'PlayerGrades+'!$AF$14,"D",IF(N422&lt;'PlayerGrades+'!$AF$13,"D+",IF(N422&lt;'PlayerGrades+'!$AF$12,"C-",IF(N422&lt;'PlayerGrades+'!$AF$11,"C",IF(N422&lt;'PlayerGrades+'!$AF$10,"C+",IF(N422&lt;'PlayerGrades+'!$AF$9,"B-",IF(N422&lt;'PlayerGrades+'!$AF$8,"B",IF(N422&lt;'PlayerGrades+'!$AF$7,"B+",IF(N422&lt;'PlayerGrades+'!$AF$6,"A-",IF(N422&lt;'PlayerGrades+'!$AF$5,"A",IF(N422&lt;'PlayerGrades+'!$AF$4,"A+",IF(N422&lt;'PlayerGrades+'!$AF$3,"S-",IF(N422&lt;'PlayerGrades+'!$AF$2,"S","S+"))))))))))))))))))))</f>
        <v>#DIV/0!</v>
      </c>
      <c r="P422" s="961" t="str">
        <f t="shared" si="7"/>
        <v>#DIV/0!</v>
      </c>
      <c r="Q422" s="961" t="str">
        <f>IF(P422&lt;'PlayerGrades+'!$AG$21,"F-",IF(P422&lt;'PlayerGrades+'!$AG$20,"F",IF(P422&lt;'PlayerGrades+'!$AG$19,"F+",IF(P422&lt;'PlayerGrades+'!$AG$18,"E-",IF(P422&lt;'PlayerGrades+'!$AG$17,"E",IF(P422&lt;'PlayerGrades+'!$AG$16,"E+",IF(P422&lt;'PlayerGrades+'!$AG$15,"D-",IF(P422&lt;'PlayerGrades+'!$AG$14,"D",IF(P422&lt;'PlayerGrades+'!$AG$13,"D+",IF(P422&lt;'PlayerGrades+'!$AG$12,"C-",IF(P422&lt;'PlayerGrades+'!$AG$11,"C",IF(P422&lt;'PlayerGrades+'!$AG$10,"C+",IF(P422&lt;'PlayerGrades+'!$AG$9,"B-",IF(P422&lt;'PlayerGrades+'!$AG$8,"B",IF(P422&lt;'PlayerGrades+'!$AG$7,"B+",IF(P422&lt;'PlayerGrades+'!$AG$6,"A-",IF(P422&lt;'PlayerGrades+'!$AG$5,"A",IF(P422&lt;'PlayerGrades+'!$AG$4,"A+",IF(P422&lt;'PlayerGrades+'!$AG$3,"S-",IF(P422&lt;'PlayerGrades+'!$AG$2,"S","S+"))))))))))))))))))))</f>
        <v>#DIV/0!</v>
      </c>
      <c r="R422" s="961" t="str">
        <f t="shared" si="8"/>
        <v>#DIV/0!</v>
      </c>
      <c r="S422" s="961" t="str">
        <f>IF(R422&lt;'PlayerGrades+'!$AH$21,"F-",IF(R422&lt;'PlayerGrades+'!$AH$20,"F",IF(R422&lt;'PlayerGrades+'!$AH$19,"F+",IF(R422&lt;'PlayerGrades+'!$AH$18,"E-",IF(R422&lt;'PlayerGrades+'!$AH$17,"E",IF(R422&lt;'PlayerGrades+'!$AH$16,"E+",IF(R422&lt;'PlayerGrades+'!$AH$15,"D-",IF(R422&lt;'PlayerGrades+'!$AH$14,"D",IF(R422&lt;'PlayerGrades+'!$AH$13,"D+",IF(R422&lt;'PlayerGrades+'!$AH$12,"C-",IF(R422&lt;'PlayerGrades+'!$AH$11,"C",IF(R422&lt;'PlayerGrades+'!$AH$10,"C+",IF(R422&lt;'PlayerGrades+'!$AH$9,"B-",IF(R422&lt;'PlayerGrades+'!$AH$8,"B",IF(R422&lt;'PlayerGrades+'!$AH$7,"B+",IF(R422&lt;'PlayerGrades+'!$AH$6,"A-",IF(R422&lt;'PlayerGrades+'!$AH$5,"A",IF(R422&lt;'PlayerGrades+'!$AH$4,"A+",IF(R422&lt;'PlayerGrades+'!$AH$3,"S-",IF(R422&lt;'PlayerGrades+'!$AH$2,"S","S+"))))))))))))))))))))</f>
        <v>#DIV/0!</v>
      </c>
      <c r="T422" s="961">
        <f t="shared" si="9"/>
        <v>0</v>
      </c>
      <c r="U422" s="961" t="str">
        <f>IF(T422&lt;'PlayerGrades+'!$AI$21,"F-",IF(T422&lt;'PlayerGrades+'!$AI$20,"F",IF(T422&lt;'PlayerGrades+'!$AI$19,"F+",IF(T422&lt;'PlayerGrades+'!$AI$18,"E-",IF(T422&lt;'PlayerGrades+'!$AI$17,"E",IF(T422&lt;'PlayerGrades+'!$AI$16,"E+",IF(T422&lt;'PlayerGrades+'!$AI$15,"D-",IF(T422&lt;'PlayerGrades+'!$AI$14,"D",IF(T422&lt;'PlayerGrades+'!$AI$13,"D+",IF(T422&lt;'PlayerGrades+'!$AI$12,"C-",IF(T422&lt;'PlayerGrades+'!$AI$11,"C",IF(T422&lt;'PlayerGrades+'!$AI$10,"C+",IF(T422&lt;'PlayerGrades+'!$AI$9,"B-",IF(T422&lt;'PlayerGrades+'!$AI$8,"B",IF(T422&lt;'PlayerGrades+'!$AI$7,"B+",IF(T422&lt;'PlayerGrades+'!$AI$6,"A-",IF(T422&lt;'PlayerGrades+'!$AI$5,"A",IF(T422&lt;'PlayerGrades+'!$AI$4,"A+",IF(T422&lt;'PlayerGrades+'!$AI$3,"S-",IF(T422&lt;'PlayerGrades+'!$AI$2,"S","S+"))))))))))))))))))))</f>
        <v>F-</v>
      </c>
      <c r="AC422" s="1392"/>
    </row>
    <row r="423">
      <c r="A423" s="1391"/>
      <c r="B423" s="611" t="str">
        <f>IF(C423&lt;'PlayerGrades+'!$Y$44,"F-",IF(C423&lt;'PlayerGrades+'!$Y$43,"F",IF(C423&lt;'PlayerGrades+'!$Y$42,"F+",IF(C423&lt;'PlayerGrades+'!$Y$41,"E-",IF(C423&lt;'PlayerGrades+'!$Y$40,"E",IF(C423&lt;'PlayerGrades+'!$Y$39,"E+",IF(C423&lt;'PlayerGrades+'!$Y$38,"D-",IF(C423&lt;'PlayerGrades+'!$Y$37,"D",IF(C423&lt;'PlayerGrades+'!$Y$36,"D+",IF(C423&lt;'PlayerGrades+'!$Y$35,"C-",IF(C423&lt;'PlayerGrades+'!$Y$34,"C",IF(C423&lt;'PlayerGrades+'!$Y$33,"C+",IF(C423&lt;'PlayerGrades+'!$Y$32,"B-",IF(C423&lt;'PlayerGrades+'!$Y$31,"B",IF(C423&lt;'PlayerGrades+'!$Y$30,"B+",IF(C423&lt;'PlayerGrades+'!$Y$29,"A-",IF(C423&lt;'PlayerGrades+'!$Y$28,"A",IF(C423&lt;'PlayerGrades+'!$Y$27,"A+",IF(C423&lt;'PlayerGrades+'!$Y$26,"S-",IF(C423&lt;'PlayerGrades+'!$Y$25,"S","S+"))))))))))))))))))))</f>
        <v>#DIV/0!</v>
      </c>
      <c r="C423" s="1378" t="str">
        <f>('PlayerGrades+'!$Y$47*(VLOOKUP(E423, 'PlayerGrades+'!$X$3:$Y$23, 2, FALSE)))+('PlayerGrades+'!$Y$48*(VLOOKUP(G423, 'PlayerGrades+'!$X$3:$Y$23, 2, FALSE)))+('PlayerGrades+'!$Y$49*(VLOOKUP(I423, 'PlayerGrades+'!$X$3:$Y$23, 2, FALSE)))+('PlayerGrades+'!$Y$50*(VLOOKUP(K423, 'PlayerGrades+'!$X$3:$Y$23, 2, FALSE)))+('PlayerGrades+'!$Y$51*(VLOOKUP(M423, 'PlayerGrades+'!$X$3:$Y$23, 2, FALSE)))+('PlayerGrades+'!$Y$52*(VLOOKUP(O423, 'PlayerGrades+'!$X$3:$Y$23, 2, FALSE)))+('PlayerGrades+'!$Y$53*(VLOOKUP(Q423, 'PlayerGrades+'!$X$3:$Y$23, 2, FALSE)))+('PlayerGrades+'!$Y$54*(VLOOKUP(S423, 'PlayerGrades+'!$X$3:$Y$23, 2, FALSE)))+('PlayerGrades+'!$Y$55*(VLOOKUP(U423, 'PlayerGrades+'!$X$3:$Y$23, 2, FALSE)))</f>
        <v>#DIV/0!</v>
      </c>
      <c r="D423" s="961" t="str">
        <f t="shared" si="1"/>
        <v>#DIV/0!</v>
      </c>
      <c r="E423" s="961" t="str">
        <f>IF(D423&lt;'PlayerGrades+'!$AA$21,"F-",IF(D423&lt;'PlayerGrades+'!$AA$20,"F",IF(D423&lt;'PlayerGrades+'!$AA$19,"F+",IF(D423&lt;'PlayerGrades+'!$AA$18,"E-",IF(D423&lt;'PlayerGrades+'!$AA$17,"E",IF(D423&lt;'PlayerGrades+'!$AA$16,"E+",IF(D423&lt;'PlayerGrades+'!$AA$15,"D-",IF(D423&lt;'PlayerGrades+'!$AA$14,"D",IF(D423&lt;'PlayerGrades+'!$AA$13,"D+",IF(D423&lt;'PlayerGrades+'!$AA$12,"C-",IF(D423&lt;'PlayerGrades+'!$AA$11,"C",IF(D423&lt;'PlayerGrades+'!$AA$10,"C+",IF(D423&lt;'PlayerGrades+'!$AA$9,"B-",IF(D423&lt;'PlayerGrades+'!$AA$8,"B",IF(D423&lt;'PlayerGrades+'!$AA$7,"B+",IF(D423&lt;'PlayerGrades+'!$AA$6,"A-",IF(D423&lt;'PlayerGrades+'!$AA$5,"A",IF(D423&lt;'PlayerGrades+'!$AA$4,"A+",IF(D423&lt;'PlayerGrades+'!$AA$3,"S-",IF(D423&lt;'PlayerGrades+'!$AA$2,"S","S+"))))))))))))))))))))</f>
        <v>#DIV/0!</v>
      </c>
      <c r="F423" s="961" t="str">
        <f t="shared" si="2"/>
        <v>#DIV/0!</v>
      </c>
      <c r="G423" s="961" t="str">
        <f>IF(F423&lt;'PlayerGrades+'!$AB$21,"F-",IF(F423&lt;'PlayerGrades+'!$AB$20,"F",IF(F423&lt;'PlayerGrades+'!$AB$19,"F+",IF(F423&lt;'PlayerGrades+'!$AB$18,"E-",IF(F423&lt;'PlayerGrades+'!$AB$17,"E",IF(F423&lt;'PlayerGrades+'!$AB$16,"E+",IF(F423&lt;'PlayerGrades+'!$AB$15,"D-",IF(F423&lt;'PlayerGrades+'!$AB$14,"D",IF(F423&lt;'PlayerGrades+'!$AB$13,"D+",IF(F423&lt;'PlayerGrades+'!$AB$12,"C-",IF(F423&lt;'PlayerGrades+'!$AB$11,"C",IF(F423&lt;'PlayerGrades+'!$AB$10,"C+",IF(F423&lt;'PlayerGrades+'!$AB$9,"B-",IF(F423&lt;'PlayerGrades+'!$AB$8,"B",IF(F423&lt;'PlayerGrades+'!$AB$7,"B+",IF(F423&lt;'PlayerGrades+'!$AB$6,"A-",IF(F423&lt;'PlayerGrades+'!$AB$5,"A",IF(F423&lt;'PlayerGrades+'!$AB$4,"A+",IF(F423&lt;'PlayerGrades+'!$AB$3,"S-",IF(F423&lt;'PlayerGrades+'!$AB$2,"S","S+"))))))))))))))))))))</f>
        <v>#DIV/0!</v>
      </c>
      <c r="H423" s="961" t="str">
        <f t="shared" si="3"/>
        <v>#DIV/0!</v>
      </c>
      <c r="I423" s="961" t="str">
        <f>IF(H423&lt;'PlayerGrades+'!$AC$21,"F-",IF(H423&lt;'PlayerGrades+'!$AC$20,"F",IF(H423&lt;'PlayerGrades+'!$AC$19,"F+",IF(H423&lt;'PlayerGrades+'!$AC$18,"E-",IF(H423&lt;'PlayerGrades+'!$AC$17,"E",IF(H423&lt;'PlayerGrades+'!$AC$16,"E+",IF(H423&lt;'PlayerGrades+'!$AC$15,"D-",IF(H423&lt;'PlayerGrades+'!$AC$14,"D",IF(H423&lt;'PlayerGrades+'!$AC$13,"D+",IF(H423&lt;'PlayerGrades+'!$AC$12,"C-",IF(H423&lt;'PlayerGrades+'!$AC$11,"C",IF(H423&lt;'PlayerGrades+'!$AC$10,"C+",IF(H423&lt;'PlayerGrades+'!$AC$9,"B-",IF(H423&lt;'PlayerGrades+'!$AC$8,"B",IF(H423&lt;'PlayerGrades+'!$AC$7,"B+",IF(H423&lt;'PlayerGrades+'!$AC$6,"A-",IF(H423&lt;'PlayerGrades+'!$AC$5,"A",IF(H423&lt;'PlayerGrades+'!$AC$4,"A+",IF(H423&lt;'PlayerGrades+'!$AC$3,"S-",IF(H423&lt;'PlayerGrades+'!$AC$2,"S","S+"))))))))))))))))))))</f>
        <v>#DIV/0!</v>
      </c>
      <c r="J423" s="961" t="str">
        <f t="shared" si="4"/>
        <v>#DIV/0!</v>
      </c>
      <c r="K423" s="961" t="str">
        <f>IF(J423&lt;'PlayerGrades+'!$AD$21,"F-",IF(J423&lt;'PlayerGrades+'!$AD$20,"F",IF(J423&lt;'PlayerGrades+'!$AD$19,"F+",IF(J423&lt;'PlayerGrades+'!$AD$18,"E-",IF(J423&lt;'PlayerGrades+'!$AD$17,"E",IF(J423&lt;'PlayerGrades+'!$AD$16,"E+",IF(J423&lt;'PlayerGrades+'!$AD$15,"D-",IF(J423&lt;'PlayerGrades+'!$AD$14,"D",IF(J423&lt;'PlayerGrades+'!$AD$13,"D+",IF(J423&lt;'PlayerGrades+'!$AD$12,"C-",IF(J423&lt;'PlayerGrades+'!$AD$11,"C",IF(J423&lt;'PlayerGrades+'!$AD$10,"C+",IF(J423&lt;'PlayerGrades+'!$AD$9,"B-",IF(J423&lt;'PlayerGrades+'!$AD$8,"B",IF(J423&lt;'PlayerGrades+'!$AD$7,"B+",IF(J423&lt;'PlayerGrades+'!$AD$6,"A-",IF(J423&lt;'PlayerGrades+'!$AD$5,"A",IF(J423&lt;'PlayerGrades+'!$AD$4,"A+",IF(J423&lt;'PlayerGrades+'!$AD$3,"S-",IF(J423&lt;'PlayerGrades+'!$AD$2,"S","S+"))))))))))))))))))))</f>
        <v>#DIV/0!</v>
      </c>
      <c r="L423" s="1176" t="str">
        <f t="shared" si="5"/>
        <v>#DIV/0!</v>
      </c>
      <c r="M423" s="992" t="str">
        <f>IF(L423&lt;'PlayerGrades+'!$AE$21,"F-",IF(L423&lt;'PlayerGrades+'!$AE$20,"F",IF(L423&lt;'PlayerGrades+'!$AE$19,"F+",IF(L423&lt;'PlayerGrades+'!$AE$18,"E-",IF(L423&lt;'PlayerGrades+'!$AE$17,"E",IF(L423&lt;'PlayerGrades+'!$AE$16,"E+",IF(L423&lt;'PlayerGrades+'!$AE$15,"D-",IF(L423&lt;'PlayerGrades+'!$AE$14,"D",IF(L423&lt;'PlayerGrades+'!$AE$13,"D+",IF(L423&lt;'PlayerGrades+'!$AE$12,"C-",IF(L423&lt;'PlayerGrades+'!$AE$11,"C",IF(L423&lt;'PlayerGrades+'!$AE$10,"C+",IF(L423&lt;'PlayerGrades+'!$AE$9,"B-",IF(L423&lt;'PlayerGrades+'!$AE$8,"B",IF(L423&lt;'PlayerGrades+'!$AE$7,"B+",IF(L423&lt;'PlayerGrades+'!$AE$6,"A-",IF(L423&lt;'PlayerGrades+'!$AE$5,"A",IF(L423&lt;'PlayerGrades+'!$AE$4,"A+",IF(L423&lt;'PlayerGrades+'!$AE$3,"S-",IF(L423&lt;'PlayerGrades+'!$AE$2,"S","S+"))))))))))))))))))))</f>
        <v>#DIV/0!</v>
      </c>
      <c r="N423" s="961" t="str">
        <f t="shared" si="6"/>
        <v>#DIV/0!</v>
      </c>
      <c r="O423" s="961" t="str">
        <f>IF(N423&lt;'PlayerGrades+'!$AF$21,"F-",IF(N423&lt;'PlayerGrades+'!$AF$20,"F",IF(N423&lt;'PlayerGrades+'!$AF$19,"F+",IF(N423&lt;'PlayerGrades+'!$AF$18,"E-",IF(N423&lt;'PlayerGrades+'!$AF$17,"E",IF(N423&lt;'PlayerGrades+'!$AF$16,"E+",IF(N423&lt;'PlayerGrades+'!$AF$15,"D-",IF(N423&lt;'PlayerGrades+'!$AF$14,"D",IF(N423&lt;'PlayerGrades+'!$AF$13,"D+",IF(N423&lt;'PlayerGrades+'!$AF$12,"C-",IF(N423&lt;'PlayerGrades+'!$AF$11,"C",IF(N423&lt;'PlayerGrades+'!$AF$10,"C+",IF(N423&lt;'PlayerGrades+'!$AF$9,"B-",IF(N423&lt;'PlayerGrades+'!$AF$8,"B",IF(N423&lt;'PlayerGrades+'!$AF$7,"B+",IF(N423&lt;'PlayerGrades+'!$AF$6,"A-",IF(N423&lt;'PlayerGrades+'!$AF$5,"A",IF(N423&lt;'PlayerGrades+'!$AF$4,"A+",IF(N423&lt;'PlayerGrades+'!$AF$3,"S-",IF(N423&lt;'PlayerGrades+'!$AF$2,"S","S+"))))))))))))))))))))</f>
        <v>#DIV/0!</v>
      </c>
      <c r="P423" s="961" t="str">
        <f t="shared" si="7"/>
        <v>#DIV/0!</v>
      </c>
      <c r="Q423" s="961" t="str">
        <f>IF(P423&lt;'PlayerGrades+'!$AG$21,"F-",IF(P423&lt;'PlayerGrades+'!$AG$20,"F",IF(P423&lt;'PlayerGrades+'!$AG$19,"F+",IF(P423&lt;'PlayerGrades+'!$AG$18,"E-",IF(P423&lt;'PlayerGrades+'!$AG$17,"E",IF(P423&lt;'PlayerGrades+'!$AG$16,"E+",IF(P423&lt;'PlayerGrades+'!$AG$15,"D-",IF(P423&lt;'PlayerGrades+'!$AG$14,"D",IF(P423&lt;'PlayerGrades+'!$AG$13,"D+",IF(P423&lt;'PlayerGrades+'!$AG$12,"C-",IF(P423&lt;'PlayerGrades+'!$AG$11,"C",IF(P423&lt;'PlayerGrades+'!$AG$10,"C+",IF(P423&lt;'PlayerGrades+'!$AG$9,"B-",IF(P423&lt;'PlayerGrades+'!$AG$8,"B",IF(P423&lt;'PlayerGrades+'!$AG$7,"B+",IF(P423&lt;'PlayerGrades+'!$AG$6,"A-",IF(P423&lt;'PlayerGrades+'!$AG$5,"A",IF(P423&lt;'PlayerGrades+'!$AG$4,"A+",IF(P423&lt;'PlayerGrades+'!$AG$3,"S-",IF(P423&lt;'PlayerGrades+'!$AG$2,"S","S+"))))))))))))))))))))</f>
        <v>#DIV/0!</v>
      </c>
      <c r="R423" s="961" t="str">
        <f t="shared" si="8"/>
        <v>#DIV/0!</v>
      </c>
      <c r="S423" s="961" t="str">
        <f>IF(R423&lt;'PlayerGrades+'!$AH$21,"F-",IF(R423&lt;'PlayerGrades+'!$AH$20,"F",IF(R423&lt;'PlayerGrades+'!$AH$19,"F+",IF(R423&lt;'PlayerGrades+'!$AH$18,"E-",IF(R423&lt;'PlayerGrades+'!$AH$17,"E",IF(R423&lt;'PlayerGrades+'!$AH$16,"E+",IF(R423&lt;'PlayerGrades+'!$AH$15,"D-",IF(R423&lt;'PlayerGrades+'!$AH$14,"D",IF(R423&lt;'PlayerGrades+'!$AH$13,"D+",IF(R423&lt;'PlayerGrades+'!$AH$12,"C-",IF(R423&lt;'PlayerGrades+'!$AH$11,"C",IF(R423&lt;'PlayerGrades+'!$AH$10,"C+",IF(R423&lt;'PlayerGrades+'!$AH$9,"B-",IF(R423&lt;'PlayerGrades+'!$AH$8,"B",IF(R423&lt;'PlayerGrades+'!$AH$7,"B+",IF(R423&lt;'PlayerGrades+'!$AH$6,"A-",IF(R423&lt;'PlayerGrades+'!$AH$5,"A",IF(R423&lt;'PlayerGrades+'!$AH$4,"A+",IF(R423&lt;'PlayerGrades+'!$AH$3,"S-",IF(R423&lt;'PlayerGrades+'!$AH$2,"S","S+"))))))))))))))))))))</f>
        <v>#DIV/0!</v>
      </c>
      <c r="T423" s="961">
        <f t="shared" si="9"/>
        <v>0</v>
      </c>
      <c r="U423" s="961" t="str">
        <f>IF(T423&lt;'PlayerGrades+'!$AI$21,"F-",IF(T423&lt;'PlayerGrades+'!$AI$20,"F",IF(T423&lt;'PlayerGrades+'!$AI$19,"F+",IF(T423&lt;'PlayerGrades+'!$AI$18,"E-",IF(T423&lt;'PlayerGrades+'!$AI$17,"E",IF(T423&lt;'PlayerGrades+'!$AI$16,"E+",IF(T423&lt;'PlayerGrades+'!$AI$15,"D-",IF(T423&lt;'PlayerGrades+'!$AI$14,"D",IF(T423&lt;'PlayerGrades+'!$AI$13,"D+",IF(T423&lt;'PlayerGrades+'!$AI$12,"C-",IF(T423&lt;'PlayerGrades+'!$AI$11,"C",IF(T423&lt;'PlayerGrades+'!$AI$10,"C+",IF(T423&lt;'PlayerGrades+'!$AI$9,"B-",IF(T423&lt;'PlayerGrades+'!$AI$8,"B",IF(T423&lt;'PlayerGrades+'!$AI$7,"B+",IF(T423&lt;'PlayerGrades+'!$AI$6,"A-",IF(T423&lt;'PlayerGrades+'!$AI$5,"A",IF(T423&lt;'PlayerGrades+'!$AI$4,"A+",IF(T423&lt;'PlayerGrades+'!$AI$3,"S-",IF(T423&lt;'PlayerGrades+'!$AI$2,"S","S+"))))))))))))))))))))</f>
        <v>F-</v>
      </c>
      <c r="AC423" s="1392"/>
    </row>
    <row r="424">
      <c r="A424" s="1391"/>
      <c r="B424" s="611" t="str">
        <f>IF(C424&lt;'PlayerGrades+'!$Y$44,"F-",IF(C424&lt;'PlayerGrades+'!$Y$43,"F",IF(C424&lt;'PlayerGrades+'!$Y$42,"F+",IF(C424&lt;'PlayerGrades+'!$Y$41,"E-",IF(C424&lt;'PlayerGrades+'!$Y$40,"E",IF(C424&lt;'PlayerGrades+'!$Y$39,"E+",IF(C424&lt;'PlayerGrades+'!$Y$38,"D-",IF(C424&lt;'PlayerGrades+'!$Y$37,"D",IF(C424&lt;'PlayerGrades+'!$Y$36,"D+",IF(C424&lt;'PlayerGrades+'!$Y$35,"C-",IF(C424&lt;'PlayerGrades+'!$Y$34,"C",IF(C424&lt;'PlayerGrades+'!$Y$33,"C+",IF(C424&lt;'PlayerGrades+'!$Y$32,"B-",IF(C424&lt;'PlayerGrades+'!$Y$31,"B",IF(C424&lt;'PlayerGrades+'!$Y$30,"B+",IF(C424&lt;'PlayerGrades+'!$Y$29,"A-",IF(C424&lt;'PlayerGrades+'!$Y$28,"A",IF(C424&lt;'PlayerGrades+'!$Y$27,"A+",IF(C424&lt;'PlayerGrades+'!$Y$26,"S-",IF(C424&lt;'PlayerGrades+'!$Y$25,"S","S+"))))))))))))))))))))</f>
        <v>#DIV/0!</v>
      </c>
      <c r="C424" s="1378" t="str">
        <f>('PlayerGrades+'!$Y$47*(VLOOKUP(E424, 'PlayerGrades+'!$X$3:$Y$23, 2, FALSE)))+('PlayerGrades+'!$Y$48*(VLOOKUP(G424, 'PlayerGrades+'!$X$3:$Y$23, 2, FALSE)))+('PlayerGrades+'!$Y$49*(VLOOKUP(I424, 'PlayerGrades+'!$X$3:$Y$23, 2, FALSE)))+('PlayerGrades+'!$Y$50*(VLOOKUP(K424, 'PlayerGrades+'!$X$3:$Y$23, 2, FALSE)))+('PlayerGrades+'!$Y$51*(VLOOKUP(M424, 'PlayerGrades+'!$X$3:$Y$23, 2, FALSE)))+('PlayerGrades+'!$Y$52*(VLOOKUP(O424, 'PlayerGrades+'!$X$3:$Y$23, 2, FALSE)))+('PlayerGrades+'!$Y$53*(VLOOKUP(Q424, 'PlayerGrades+'!$X$3:$Y$23, 2, FALSE)))+('PlayerGrades+'!$Y$54*(VLOOKUP(S424, 'PlayerGrades+'!$X$3:$Y$23, 2, FALSE)))+('PlayerGrades+'!$Y$55*(VLOOKUP(U424, 'PlayerGrades+'!$X$3:$Y$23, 2, FALSE)))</f>
        <v>#DIV/0!</v>
      </c>
      <c r="D424" s="961" t="str">
        <f t="shared" si="1"/>
        <v>#DIV/0!</v>
      </c>
      <c r="E424" s="961" t="str">
        <f>IF(D424&lt;'PlayerGrades+'!$AA$21,"F-",IF(D424&lt;'PlayerGrades+'!$AA$20,"F",IF(D424&lt;'PlayerGrades+'!$AA$19,"F+",IF(D424&lt;'PlayerGrades+'!$AA$18,"E-",IF(D424&lt;'PlayerGrades+'!$AA$17,"E",IF(D424&lt;'PlayerGrades+'!$AA$16,"E+",IF(D424&lt;'PlayerGrades+'!$AA$15,"D-",IF(D424&lt;'PlayerGrades+'!$AA$14,"D",IF(D424&lt;'PlayerGrades+'!$AA$13,"D+",IF(D424&lt;'PlayerGrades+'!$AA$12,"C-",IF(D424&lt;'PlayerGrades+'!$AA$11,"C",IF(D424&lt;'PlayerGrades+'!$AA$10,"C+",IF(D424&lt;'PlayerGrades+'!$AA$9,"B-",IF(D424&lt;'PlayerGrades+'!$AA$8,"B",IF(D424&lt;'PlayerGrades+'!$AA$7,"B+",IF(D424&lt;'PlayerGrades+'!$AA$6,"A-",IF(D424&lt;'PlayerGrades+'!$AA$5,"A",IF(D424&lt;'PlayerGrades+'!$AA$4,"A+",IF(D424&lt;'PlayerGrades+'!$AA$3,"S-",IF(D424&lt;'PlayerGrades+'!$AA$2,"S","S+"))))))))))))))))))))</f>
        <v>#DIV/0!</v>
      </c>
      <c r="F424" s="961" t="str">
        <f t="shared" si="2"/>
        <v>#DIV/0!</v>
      </c>
      <c r="G424" s="961" t="str">
        <f>IF(F424&lt;'PlayerGrades+'!$AB$21,"F-",IF(F424&lt;'PlayerGrades+'!$AB$20,"F",IF(F424&lt;'PlayerGrades+'!$AB$19,"F+",IF(F424&lt;'PlayerGrades+'!$AB$18,"E-",IF(F424&lt;'PlayerGrades+'!$AB$17,"E",IF(F424&lt;'PlayerGrades+'!$AB$16,"E+",IF(F424&lt;'PlayerGrades+'!$AB$15,"D-",IF(F424&lt;'PlayerGrades+'!$AB$14,"D",IF(F424&lt;'PlayerGrades+'!$AB$13,"D+",IF(F424&lt;'PlayerGrades+'!$AB$12,"C-",IF(F424&lt;'PlayerGrades+'!$AB$11,"C",IF(F424&lt;'PlayerGrades+'!$AB$10,"C+",IF(F424&lt;'PlayerGrades+'!$AB$9,"B-",IF(F424&lt;'PlayerGrades+'!$AB$8,"B",IF(F424&lt;'PlayerGrades+'!$AB$7,"B+",IF(F424&lt;'PlayerGrades+'!$AB$6,"A-",IF(F424&lt;'PlayerGrades+'!$AB$5,"A",IF(F424&lt;'PlayerGrades+'!$AB$4,"A+",IF(F424&lt;'PlayerGrades+'!$AB$3,"S-",IF(F424&lt;'PlayerGrades+'!$AB$2,"S","S+"))))))))))))))))))))</f>
        <v>#DIV/0!</v>
      </c>
      <c r="H424" s="961" t="str">
        <f t="shared" si="3"/>
        <v>#DIV/0!</v>
      </c>
      <c r="I424" s="961" t="str">
        <f>IF(H424&lt;'PlayerGrades+'!$AC$21,"F-",IF(H424&lt;'PlayerGrades+'!$AC$20,"F",IF(H424&lt;'PlayerGrades+'!$AC$19,"F+",IF(H424&lt;'PlayerGrades+'!$AC$18,"E-",IF(H424&lt;'PlayerGrades+'!$AC$17,"E",IF(H424&lt;'PlayerGrades+'!$AC$16,"E+",IF(H424&lt;'PlayerGrades+'!$AC$15,"D-",IF(H424&lt;'PlayerGrades+'!$AC$14,"D",IF(H424&lt;'PlayerGrades+'!$AC$13,"D+",IF(H424&lt;'PlayerGrades+'!$AC$12,"C-",IF(H424&lt;'PlayerGrades+'!$AC$11,"C",IF(H424&lt;'PlayerGrades+'!$AC$10,"C+",IF(H424&lt;'PlayerGrades+'!$AC$9,"B-",IF(H424&lt;'PlayerGrades+'!$AC$8,"B",IF(H424&lt;'PlayerGrades+'!$AC$7,"B+",IF(H424&lt;'PlayerGrades+'!$AC$6,"A-",IF(H424&lt;'PlayerGrades+'!$AC$5,"A",IF(H424&lt;'PlayerGrades+'!$AC$4,"A+",IF(H424&lt;'PlayerGrades+'!$AC$3,"S-",IF(H424&lt;'PlayerGrades+'!$AC$2,"S","S+"))))))))))))))))))))</f>
        <v>#DIV/0!</v>
      </c>
      <c r="J424" s="961" t="str">
        <f t="shared" si="4"/>
        <v>#DIV/0!</v>
      </c>
      <c r="K424" s="961" t="str">
        <f>IF(J424&lt;'PlayerGrades+'!$AD$21,"F-",IF(J424&lt;'PlayerGrades+'!$AD$20,"F",IF(J424&lt;'PlayerGrades+'!$AD$19,"F+",IF(J424&lt;'PlayerGrades+'!$AD$18,"E-",IF(J424&lt;'PlayerGrades+'!$AD$17,"E",IF(J424&lt;'PlayerGrades+'!$AD$16,"E+",IF(J424&lt;'PlayerGrades+'!$AD$15,"D-",IF(J424&lt;'PlayerGrades+'!$AD$14,"D",IF(J424&lt;'PlayerGrades+'!$AD$13,"D+",IF(J424&lt;'PlayerGrades+'!$AD$12,"C-",IF(J424&lt;'PlayerGrades+'!$AD$11,"C",IF(J424&lt;'PlayerGrades+'!$AD$10,"C+",IF(J424&lt;'PlayerGrades+'!$AD$9,"B-",IF(J424&lt;'PlayerGrades+'!$AD$8,"B",IF(J424&lt;'PlayerGrades+'!$AD$7,"B+",IF(J424&lt;'PlayerGrades+'!$AD$6,"A-",IF(J424&lt;'PlayerGrades+'!$AD$5,"A",IF(J424&lt;'PlayerGrades+'!$AD$4,"A+",IF(J424&lt;'PlayerGrades+'!$AD$3,"S-",IF(J424&lt;'PlayerGrades+'!$AD$2,"S","S+"))))))))))))))))))))</f>
        <v>#DIV/0!</v>
      </c>
      <c r="L424" s="1176" t="str">
        <f t="shared" si="5"/>
        <v>#DIV/0!</v>
      </c>
      <c r="M424" s="992" t="str">
        <f>IF(L424&lt;'PlayerGrades+'!$AE$21,"F-",IF(L424&lt;'PlayerGrades+'!$AE$20,"F",IF(L424&lt;'PlayerGrades+'!$AE$19,"F+",IF(L424&lt;'PlayerGrades+'!$AE$18,"E-",IF(L424&lt;'PlayerGrades+'!$AE$17,"E",IF(L424&lt;'PlayerGrades+'!$AE$16,"E+",IF(L424&lt;'PlayerGrades+'!$AE$15,"D-",IF(L424&lt;'PlayerGrades+'!$AE$14,"D",IF(L424&lt;'PlayerGrades+'!$AE$13,"D+",IF(L424&lt;'PlayerGrades+'!$AE$12,"C-",IF(L424&lt;'PlayerGrades+'!$AE$11,"C",IF(L424&lt;'PlayerGrades+'!$AE$10,"C+",IF(L424&lt;'PlayerGrades+'!$AE$9,"B-",IF(L424&lt;'PlayerGrades+'!$AE$8,"B",IF(L424&lt;'PlayerGrades+'!$AE$7,"B+",IF(L424&lt;'PlayerGrades+'!$AE$6,"A-",IF(L424&lt;'PlayerGrades+'!$AE$5,"A",IF(L424&lt;'PlayerGrades+'!$AE$4,"A+",IF(L424&lt;'PlayerGrades+'!$AE$3,"S-",IF(L424&lt;'PlayerGrades+'!$AE$2,"S","S+"))))))))))))))))))))</f>
        <v>#DIV/0!</v>
      </c>
      <c r="N424" s="961" t="str">
        <f t="shared" si="6"/>
        <v>#DIV/0!</v>
      </c>
      <c r="O424" s="961" t="str">
        <f>IF(N424&lt;'PlayerGrades+'!$AF$21,"F-",IF(N424&lt;'PlayerGrades+'!$AF$20,"F",IF(N424&lt;'PlayerGrades+'!$AF$19,"F+",IF(N424&lt;'PlayerGrades+'!$AF$18,"E-",IF(N424&lt;'PlayerGrades+'!$AF$17,"E",IF(N424&lt;'PlayerGrades+'!$AF$16,"E+",IF(N424&lt;'PlayerGrades+'!$AF$15,"D-",IF(N424&lt;'PlayerGrades+'!$AF$14,"D",IF(N424&lt;'PlayerGrades+'!$AF$13,"D+",IF(N424&lt;'PlayerGrades+'!$AF$12,"C-",IF(N424&lt;'PlayerGrades+'!$AF$11,"C",IF(N424&lt;'PlayerGrades+'!$AF$10,"C+",IF(N424&lt;'PlayerGrades+'!$AF$9,"B-",IF(N424&lt;'PlayerGrades+'!$AF$8,"B",IF(N424&lt;'PlayerGrades+'!$AF$7,"B+",IF(N424&lt;'PlayerGrades+'!$AF$6,"A-",IF(N424&lt;'PlayerGrades+'!$AF$5,"A",IF(N424&lt;'PlayerGrades+'!$AF$4,"A+",IF(N424&lt;'PlayerGrades+'!$AF$3,"S-",IF(N424&lt;'PlayerGrades+'!$AF$2,"S","S+"))))))))))))))))))))</f>
        <v>#DIV/0!</v>
      </c>
      <c r="P424" s="961" t="str">
        <f t="shared" si="7"/>
        <v>#DIV/0!</v>
      </c>
      <c r="Q424" s="961" t="str">
        <f>IF(P424&lt;'PlayerGrades+'!$AG$21,"F-",IF(P424&lt;'PlayerGrades+'!$AG$20,"F",IF(P424&lt;'PlayerGrades+'!$AG$19,"F+",IF(P424&lt;'PlayerGrades+'!$AG$18,"E-",IF(P424&lt;'PlayerGrades+'!$AG$17,"E",IF(P424&lt;'PlayerGrades+'!$AG$16,"E+",IF(P424&lt;'PlayerGrades+'!$AG$15,"D-",IF(P424&lt;'PlayerGrades+'!$AG$14,"D",IF(P424&lt;'PlayerGrades+'!$AG$13,"D+",IF(P424&lt;'PlayerGrades+'!$AG$12,"C-",IF(P424&lt;'PlayerGrades+'!$AG$11,"C",IF(P424&lt;'PlayerGrades+'!$AG$10,"C+",IF(P424&lt;'PlayerGrades+'!$AG$9,"B-",IF(P424&lt;'PlayerGrades+'!$AG$8,"B",IF(P424&lt;'PlayerGrades+'!$AG$7,"B+",IF(P424&lt;'PlayerGrades+'!$AG$6,"A-",IF(P424&lt;'PlayerGrades+'!$AG$5,"A",IF(P424&lt;'PlayerGrades+'!$AG$4,"A+",IF(P424&lt;'PlayerGrades+'!$AG$3,"S-",IF(P424&lt;'PlayerGrades+'!$AG$2,"S","S+"))))))))))))))))))))</f>
        <v>#DIV/0!</v>
      </c>
      <c r="R424" s="961" t="str">
        <f t="shared" si="8"/>
        <v>#DIV/0!</v>
      </c>
      <c r="S424" s="961" t="str">
        <f>IF(R424&lt;'PlayerGrades+'!$AH$21,"F-",IF(R424&lt;'PlayerGrades+'!$AH$20,"F",IF(R424&lt;'PlayerGrades+'!$AH$19,"F+",IF(R424&lt;'PlayerGrades+'!$AH$18,"E-",IF(R424&lt;'PlayerGrades+'!$AH$17,"E",IF(R424&lt;'PlayerGrades+'!$AH$16,"E+",IF(R424&lt;'PlayerGrades+'!$AH$15,"D-",IF(R424&lt;'PlayerGrades+'!$AH$14,"D",IF(R424&lt;'PlayerGrades+'!$AH$13,"D+",IF(R424&lt;'PlayerGrades+'!$AH$12,"C-",IF(R424&lt;'PlayerGrades+'!$AH$11,"C",IF(R424&lt;'PlayerGrades+'!$AH$10,"C+",IF(R424&lt;'PlayerGrades+'!$AH$9,"B-",IF(R424&lt;'PlayerGrades+'!$AH$8,"B",IF(R424&lt;'PlayerGrades+'!$AH$7,"B+",IF(R424&lt;'PlayerGrades+'!$AH$6,"A-",IF(R424&lt;'PlayerGrades+'!$AH$5,"A",IF(R424&lt;'PlayerGrades+'!$AH$4,"A+",IF(R424&lt;'PlayerGrades+'!$AH$3,"S-",IF(R424&lt;'PlayerGrades+'!$AH$2,"S","S+"))))))))))))))))))))</f>
        <v>#DIV/0!</v>
      </c>
      <c r="T424" s="961">
        <f t="shared" si="9"/>
        <v>0</v>
      </c>
      <c r="U424" s="961" t="str">
        <f>IF(T424&lt;'PlayerGrades+'!$AI$21,"F-",IF(T424&lt;'PlayerGrades+'!$AI$20,"F",IF(T424&lt;'PlayerGrades+'!$AI$19,"F+",IF(T424&lt;'PlayerGrades+'!$AI$18,"E-",IF(T424&lt;'PlayerGrades+'!$AI$17,"E",IF(T424&lt;'PlayerGrades+'!$AI$16,"E+",IF(T424&lt;'PlayerGrades+'!$AI$15,"D-",IF(T424&lt;'PlayerGrades+'!$AI$14,"D",IF(T424&lt;'PlayerGrades+'!$AI$13,"D+",IF(T424&lt;'PlayerGrades+'!$AI$12,"C-",IF(T424&lt;'PlayerGrades+'!$AI$11,"C",IF(T424&lt;'PlayerGrades+'!$AI$10,"C+",IF(T424&lt;'PlayerGrades+'!$AI$9,"B-",IF(T424&lt;'PlayerGrades+'!$AI$8,"B",IF(T424&lt;'PlayerGrades+'!$AI$7,"B+",IF(T424&lt;'PlayerGrades+'!$AI$6,"A-",IF(T424&lt;'PlayerGrades+'!$AI$5,"A",IF(T424&lt;'PlayerGrades+'!$AI$4,"A+",IF(T424&lt;'PlayerGrades+'!$AI$3,"S-",IF(T424&lt;'PlayerGrades+'!$AI$2,"S","S+"))))))))))))))))))))</f>
        <v>F-</v>
      </c>
      <c r="AC424" s="1392"/>
    </row>
    <row r="425">
      <c r="A425" s="1393"/>
      <c r="B425" s="611" t="str">
        <f>IF(C425&lt;'PlayerGrades+'!$Y$44,"F-",IF(C425&lt;'PlayerGrades+'!$Y$43,"F",IF(C425&lt;'PlayerGrades+'!$Y$42,"F+",IF(C425&lt;'PlayerGrades+'!$Y$41,"E-",IF(C425&lt;'PlayerGrades+'!$Y$40,"E",IF(C425&lt;'PlayerGrades+'!$Y$39,"E+",IF(C425&lt;'PlayerGrades+'!$Y$38,"D-",IF(C425&lt;'PlayerGrades+'!$Y$37,"D",IF(C425&lt;'PlayerGrades+'!$Y$36,"D+",IF(C425&lt;'PlayerGrades+'!$Y$35,"C-",IF(C425&lt;'PlayerGrades+'!$Y$34,"C",IF(C425&lt;'PlayerGrades+'!$Y$33,"C+",IF(C425&lt;'PlayerGrades+'!$Y$32,"B-",IF(C425&lt;'PlayerGrades+'!$Y$31,"B",IF(C425&lt;'PlayerGrades+'!$Y$30,"B+",IF(C425&lt;'PlayerGrades+'!$Y$29,"A-",IF(C425&lt;'PlayerGrades+'!$Y$28,"A",IF(C425&lt;'PlayerGrades+'!$Y$27,"A+",IF(C425&lt;'PlayerGrades+'!$Y$26,"S-",IF(C425&lt;'PlayerGrades+'!$Y$25,"S","S+"))))))))))))))))))))</f>
        <v>#DIV/0!</v>
      </c>
      <c r="C425" s="1378" t="str">
        <f>('PlayerGrades+'!$Y$47*(VLOOKUP(E425, 'PlayerGrades+'!$X$3:$Y$23, 2, FALSE)))+('PlayerGrades+'!$Y$48*(VLOOKUP(G425, 'PlayerGrades+'!$X$3:$Y$23, 2, FALSE)))+('PlayerGrades+'!$Y$49*(VLOOKUP(I425, 'PlayerGrades+'!$X$3:$Y$23, 2, FALSE)))+('PlayerGrades+'!$Y$50*(VLOOKUP(K425, 'PlayerGrades+'!$X$3:$Y$23, 2, FALSE)))+('PlayerGrades+'!$Y$51*(VLOOKUP(M425, 'PlayerGrades+'!$X$3:$Y$23, 2, FALSE)))+('PlayerGrades+'!$Y$52*(VLOOKUP(O425, 'PlayerGrades+'!$X$3:$Y$23, 2, FALSE)))+('PlayerGrades+'!$Y$53*(VLOOKUP(Q425, 'PlayerGrades+'!$X$3:$Y$23, 2, FALSE)))+('PlayerGrades+'!$Y$54*(VLOOKUP(S425, 'PlayerGrades+'!$X$3:$Y$23, 2, FALSE)))+('PlayerGrades+'!$Y$55*(VLOOKUP(U425, 'PlayerGrades+'!$X$3:$Y$23, 2, FALSE)))</f>
        <v>#DIV/0!</v>
      </c>
      <c r="D425" s="961" t="str">
        <f t="shared" si="1"/>
        <v>#DIV/0!</v>
      </c>
      <c r="E425" s="961" t="str">
        <f>IF(D425&lt;'PlayerGrades+'!$AA$21,"F-",IF(D425&lt;'PlayerGrades+'!$AA$20,"F",IF(D425&lt;'PlayerGrades+'!$AA$19,"F+",IF(D425&lt;'PlayerGrades+'!$AA$18,"E-",IF(D425&lt;'PlayerGrades+'!$AA$17,"E",IF(D425&lt;'PlayerGrades+'!$AA$16,"E+",IF(D425&lt;'PlayerGrades+'!$AA$15,"D-",IF(D425&lt;'PlayerGrades+'!$AA$14,"D",IF(D425&lt;'PlayerGrades+'!$AA$13,"D+",IF(D425&lt;'PlayerGrades+'!$AA$12,"C-",IF(D425&lt;'PlayerGrades+'!$AA$11,"C",IF(D425&lt;'PlayerGrades+'!$AA$10,"C+",IF(D425&lt;'PlayerGrades+'!$AA$9,"B-",IF(D425&lt;'PlayerGrades+'!$AA$8,"B",IF(D425&lt;'PlayerGrades+'!$AA$7,"B+",IF(D425&lt;'PlayerGrades+'!$AA$6,"A-",IF(D425&lt;'PlayerGrades+'!$AA$5,"A",IF(D425&lt;'PlayerGrades+'!$AA$4,"A+",IF(D425&lt;'PlayerGrades+'!$AA$3,"S-",IF(D425&lt;'PlayerGrades+'!$AA$2,"S","S+"))))))))))))))))))))</f>
        <v>#DIV/0!</v>
      </c>
      <c r="F425" s="961" t="str">
        <f t="shared" si="2"/>
        <v>#DIV/0!</v>
      </c>
      <c r="G425" s="961" t="str">
        <f>IF(F425&lt;'PlayerGrades+'!$AB$21,"F-",IF(F425&lt;'PlayerGrades+'!$AB$20,"F",IF(F425&lt;'PlayerGrades+'!$AB$19,"F+",IF(F425&lt;'PlayerGrades+'!$AB$18,"E-",IF(F425&lt;'PlayerGrades+'!$AB$17,"E",IF(F425&lt;'PlayerGrades+'!$AB$16,"E+",IF(F425&lt;'PlayerGrades+'!$AB$15,"D-",IF(F425&lt;'PlayerGrades+'!$AB$14,"D",IF(F425&lt;'PlayerGrades+'!$AB$13,"D+",IF(F425&lt;'PlayerGrades+'!$AB$12,"C-",IF(F425&lt;'PlayerGrades+'!$AB$11,"C",IF(F425&lt;'PlayerGrades+'!$AB$10,"C+",IF(F425&lt;'PlayerGrades+'!$AB$9,"B-",IF(F425&lt;'PlayerGrades+'!$AB$8,"B",IF(F425&lt;'PlayerGrades+'!$AB$7,"B+",IF(F425&lt;'PlayerGrades+'!$AB$6,"A-",IF(F425&lt;'PlayerGrades+'!$AB$5,"A",IF(F425&lt;'PlayerGrades+'!$AB$4,"A+",IF(F425&lt;'PlayerGrades+'!$AB$3,"S-",IF(F425&lt;'PlayerGrades+'!$AB$2,"S","S+"))))))))))))))))))))</f>
        <v>#DIV/0!</v>
      </c>
      <c r="H425" s="961" t="str">
        <f t="shared" si="3"/>
        <v>#DIV/0!</v>
      </c>
      <c r="I425" s="961" t="str">
        <f>IF(H425&lt;'PlayerGrades+'!$AC$21,"F-",IF(H425&lt;'PlayerGrades+'!$AC$20,"F",IF(H425&lt;'PlayerGrades+'!$AC$19,"F+",IF(H425&lt;'PlayerGrades+'!$AC$18,"E-",IF(H425&lt;'PlayerGrades+'!$AC$17,"E",IF(H425&lt;'PlayerGrades+'!$AC$16,"E+",IF(H425&lt;'PlayerGrades+'!$AC$15,"D-",IF(H425&lt;'PlayerGrades+'!$AC$14,"D",IF(H425&lt;'PlayerGrades+'!$AC$13,"D+",IF(H425&lt;'PlayerGrades+'!$AC$12,"C-",IF(H425&lt;'PlayerGrades+'!$AC$11,"C",IF(H425&lt;'PlayerGrades+'!$AC$10,"C+",IF(H425&lt;'PlayerGrades+'!$AC$9,"B-",IF(H425&lt;'PlayerGrades+'!$AC$8,"B",IF(H425&lt;'PlayerGrades+'!$AC$7,"B+",IF(H425&lt;'PlayerGrades+'!$AC$6,"A-",IF(H425&lt;'PlayerGrades+'!$AC$5,"A",IF(H425&lt;'PlayerGrades+'!$AC$4,"A+",IF(H425&lt;'PlayerGrades+'!$AC$3,"S-",IF(H425&lt;'PlayerGrades+'!$AC$2,"S","S+"))))))))))))))))))))</f>
        <v>#DIV/0!</v>
      </c>
      <c r="J425" s="961" t="str">
        <f t="shared" si="4"/>
        <v>#DIV/0!</v>
      </c>
      <c r="K425" s="961" t="str">
        <f>IF(J425&lt;'PlayerGrades+'!$AD$21,"F-",IF(J425&lt;'PlayerGrades+'!$AD$20,"F",IF(J425&lt;'PlayerGrades+'!$AD$19,"F+",IF(J425&lt;'PlayerGrades+'!$AD$18,"E-",IF(J425&lt;'PlayerGrades+'!$AD$17,"E",IF(J425&lt;'PlayerGrades+'!$AD$16,"E+",IF(J425&lt;'PlayerGrades+'!$AD$15,"D-",IF(J425&lt;'PlayerGrades+'!$AD$14,"D",IF(J425&lt;'PlayerGrades+'!$AD$13,"D+",IF(J425&lt;'PlayerGrades+'!$AD$12,"C-",IF(J425&lt;'PlayerGrades+'!$AD$11,"C",IF(J425&lt;'PlayerGrades+'!$AD$10,"C+",IF(J425&lt;'PlayerGrades+'!$AD$9,"B-",IF(J425&lt;'PlayerGrades+'!$AD$8,"B",IF(J425&lt;'PlayerGrades+'!$AD$7,"B+",IF(J425&lt;'PlayerGrades+'!$AD$6,"A-",IF(J425&lt;'PlayerGrades+'!$AD$5,"A",IF(J425&lt;'PlayerGrades+'!$AD$4,"A+",IF(J425&lt;'PlayerGrades+'!$AD$3,"S-",IF(J425&lt;'PlayerGrades+'!$AD$2,"S","S+"))))))))))))))))))))</f>
        <v>#DIV/0!</v>
      </c>
      <c r="L425" s="1176" t="str">
        <f t="shared" si="5"/>
        <v>#DIV/0!</v>
      </c>
      <c r="M425" s="992" t="str">
        <f>IF(L425&lt;'PlayerGrades+'!$AE$21,"F-",IF(L425&lt;'PlayerGrades+'!$AE$20,"F",IF(L425&lt;'PlayerGrades+'!$AE$19,"F+",IF(L425&lt;'PlayerGrades+'!$AE$18,"E-",IF(L425&lt;'PlayerGrades+'!$AE$17,"E",IF(L425&lt;'PlayerGrades+'!$AE$16,"E+",IF(L425&lt;'PlayerGrades+'!$AE$15,"D-",IF(L425&lt;'PlayerGrades+'!$AE$14,"D",IF(L425&lt;'PlayerGrades+'!$AE$13,"D+",IF(L425&lt;'PlayerGrades+'!$AE$12,"C-",IF(L425&lt;'PlayerGrades+'!$AE$11,"C",IF(L425&lt;'PlayerGrades+'!$AE$10,"C+",IF(L425&lt;'PlayerGrades+'!$AE$9,"B-",IF(L425&lt;'PlayerGrades+'!$AE$8,"B",IF(L425&lt;'PlayerGrades+'!$AE$7,"B+",IF(L425&lt;'PlayerGrades+'!$AE$6,"A-",IF(L425&lt;'PlayerGrades+'!$AE$5,"A",IF(L425&lt;'PlayerGrades+'!$AE$4,"A+",IF(L425&lt;'PlayerGrades+'!$AE$3,"S-",IF(L425&lt;'PlayerGrades+'!$AE$2,"S","S+"))))))))))))))))))))</f>
        <v>#DIV/0!</v>
      </c>
      <c r="N425" s="961" t="str">
        <f t="shared" si="6"/>
        <v>#DIV/0!</v>
      </c>
      <c r="O425" s="961" t="str">
        <f>IF(N425&lt;'PlayerGrades+'!$AF$21,"F-",IF(N425&lt;'PlayerGrades+'!$AF$20,"F",IF(N425&lt;'PlayerGrades+'!$AF$19,"F+",IF(N425&lt;'PlayerGrades+'!$AF$18,"E-",IF(N425&lt;'PlayerGrades+'!$AF$17,"E",IF(N425&lt;'PlayerGrades+'!$AF$16,"E+",IF(N425&lt;'PlayerGrades+'!$AF$15,"D-",IF(N425&lt;'PlayerGrades+'!$AF$14,"D",IF(N425&lt;'PlayerGrades+'!$AF$13,"D+",IF(N425&lt;'PlayerGrades+'!$AF$12,"C-",IF(N425&lt;'PlayerGrades+'!$AF$11,"C",IF(N425&lt;'PlayerGrades+'!$AF$10,"C+",IF(N425&lt;'PlayerGrades+'!$AF$9,"B-",IF(N425&lt;'PlayerGrades+'!$AF$8,"B",IF(N425&lt;'PlayerGrades+'!$AF$7,"B+",IF(N425&lt;'PlayerGrades+'!$AF$6,"A-",IF(N425&lt;'PlayerGrades+'!$AF$5,"A",IF(N425&lt;'PlayerGrades+'!$AF$4,"A+",IF(N425&lt;'PlayerGrades+'!$AF$3,"S-",IF(N425&lt;'PlayerGrades+'!$AF$2,"S","S+"))))))))))))))))))))</f>
        <v>#DIV/0!</v>
      </c>
      <c r="P425" s="961" t="str">
        <f t="shared" si="7"/>
        <v>#DIV/0!</v>
      </c>
      <c r="Q425" s="961" t="str">
        <f>IF(P425&lt;'PlayerGrades+'!$AG$21,"F-",IF(P425&lt;'PlayerGrades+'!$AG$20,"F",IF(P425&lt;'PlayerGrades+'!$AG$19,"F+",IF(P425&lt;'PlayerGrades+'!$AG$18,"E-",IF(P425&lt;'PlayerGrades+'!$AG$17,"E",IF(P425&lt;'PlayerGrades+'!$AG$16,"E+",IF(P425&lt;'PlayerGrades+'!$AG$15,"D-",IF(P425&lt;'PlayerGrades+'!$AG$14,"D",IF(P425&lt;'PlayerGrades+'!$AG$13,"D+",IF(P425&lt;'PlayerGrades+'!$AG$12,"C-",IF(P425&lt;'PlayerGrades+'!$AG$11,"C",IF(P425&lt;'PlayerGrades+'!$AG$10,"C+",IF(P425&lt;'PlayerGrades+'!$AG$9,"B-",IF(P425&lt;'PlayerGrades+'!$AG$8,"B",IF(P425&lt;'PlayerGrades+'!$AG$7,"B+",IF(P425&lt;'PlayerGrades+'!$AG$6,"A-",IF(P425&lt;'PlayerGrades+'!$AG$5,"A",IF(P425&lt;'PlayerGrades+'!$AG$4,"A+",IF(P425&lt;'PlayerGrades+'!$AG$3,"S-",IF(P425&lt;'PlayerGrades+'!$AG$2,"S","S+"))))))))))))))))))))</f>
        <v>#DIV/0!</v>
      </c>
      <c r="R425" s="961" t="str">
        <f t="shared" si="8"/>
        <v>#DIV/0!</v>
      </c>
      <c r="S425" s="961" t="str">
        <f>IF(R425&lt;'PlayerGrades+'!$AH$21,"F-",IF(R425&lt;'PlayerGrades+'!$AH$20,"F",IF(R425&lt;'PlayerGrades+'!$AH$19,"F+",IF(R425&lt;'PlayerGrades+'!$AH$18,"E-",IF(R425&lt;'PlayerGrades+'!$AH$17,"E",IF(R425&lt;'PlayerGrades+'!$AH$16,"E+",IF(R425&lt;'PlayerGrades+'!$AH$15,"D-",IF(R425&lt;'PlayerGrades+'!$AH$14,"D",IF(R425&lt;'PlayerGrades+'!$AH$13,"D+",IF(R425&lt;'PlayerGrades+'!$AH$12,"C-",IF(R425&lt;'PlayerGrades+'!$AH$11,"C",IF(R425&lt;'PlayerGrades+'!$AH$10,"C+",IF(R425&lt;'PlayerGrades+'!$AH$9,"B-",IF(R425&lt;'PlayerGrades+'!$AH$8,"B",IF(R425&lt;'PlayerGrades+'!$AH$7,"B+",IF(R425&lt;'PlayerGrades+'!$AH$6,"A-",IF(R425&lt;'PlayerGrades+'!$AH$5,"A",IF(R425&lt;'PlayerGrades+'!$AH$4,"A+",IF(R425&lt;'PlayerGrades+'!$AH$3,"S-",IF(R425&lt;'PlayerGrades+'!$AH$2,"S","S+"))))))))))))))))))))</f>
        <v>#DIV/0!</v>
      </c>
      <c r="T425" s="961">
        <f t="shared" si="9"/>
        <v>0</v>
      </c>
      <c r="U425" s="961" t="str">
        <f>IF(T425&lt;'PlayerGrades+'!$AI$21,"F-",IF(T425&lt;'PlayerGrades+'!$AI$20,"F",IF(T425&lt;'PlayerGrades+'!$AI$19,"F+",IF(T425&lt;'PlayerGrades+'!$AI$18,"E-",IF(T425&lt;'PlayerGrades+'!$AI$17,"E",IF(T425&lt;'PlayerGrades+'!$AI$16,"E+",IF(T425&lt;'PlayerGrades+'!$AI$15,"D-",IF(T425&lt;'PlayerGrades+'!$AI$14,"D",IF(T425&lt;'PlayerGrades+'!$AI$13,"D+",IF(T425&lt;'PlayerGrades+'!$AI$12,"C-",IF(T425&lt;'PlayerGrades+'!$AI$11,"C",IF(T425&lt;'PlayerGrades+'!$AI$10,"C+",IF(T425&lt;'PlayerGrades+'!$AI$9,"B-",IF(T425&lt;'PlayerGrades+'!$AI$8,"B",IF(T425&lt;'PlayerGrades+'!$AI$7,"B+",IF(T425&lt;'PlayerGrades+'!$AI$6,"A-",IF(T425&lt;'PlayerGrades+'!$AI$5,"A",IF(T425&lt;'PlayerGrades+'!$AI$4,"A+",IF(T425&lt;'PlayerGrades+'!$AI$3,"S-",IF(T425&lt;'PlayerGrades+'!$AI$2,"S","S+"))))))))))))))))))))</f>
        <v>F-</v>
      </c>
      <c r="V425" s="1386"/>
      <c r="W425" s="1386"/>
      <c r="X425" s="1386"/>
      <c r="Y425" s="1386"/>
      <c r="Z425" s="1386"/>
      <c r="AA425" s="1386"/>
      <c r="AB425" s="1386"/>
      <c r="AC425" s="1397"/>
      <c r="AD425" s="1386"/>
      <c r="AE425" s="1386"/>
      <c r="AF425" s="1386"/>
      <c r="AG425" s="1386"/>
      <c r="AH425" s="1386"/>
      <c r="AI425" s="1386"/>
      <c r="AJ425" s="1386"/>
      <c r="AK425" s="1386"/>
      <c r="AL425" s="1386"/>
      <c r="AM425" s="1386"/>
      <c r="AN425" s="1386"/>
      <c r="AO425" s="1386"/>
      <c r="AP425" s="1386"/>
      <c r="AQ425" s="1386"/>
      <c r="AR425" s="1386"/>
      <c r="AS425" s="1386"/>
      <c r="AT425" s="1386"/>
      <c r="AU425" s="1386"/>
      <c r="AV425" s="1386"/>
      <c r="AW425" s="1386"/>
      <c r="AX425" s="1386"/>
      <c r="AY425" s="1386"/>
      <c r="AZ425" s="1386"/>
    </row>
    <row r="426">
      <c r="A426" s="1389"/>
      <c r="B426" s="611" t="str">
        <f>IF(C426&lt;'PlayerGrades+'!$Y$44,"F-",IF(C426&lt;'PlayerGrades+'!$Y$43,"F",IF(C426&lt;'PlayerGrades+'!$Y$42,"F+",IF(C426&lt;'PlayerGrades+'!$Y$41,"E-",IF(C426&lt;'PlayerGrades+'!$Y$40,"E",IF(C426&lt;'PlayerGrades+'!$Y$39,"E+",IF(C426&lt;'PlayerGrades+'!$Y$38,"D-",IF(C426&lt;'PlayerGrades+'!$Y$37,"D",IF(C426&lt;'PlayerGrades+'!$Y$36,"D+",IF(C426&lt;'PlayerGrades+'!$Y$35,"C-",IF(C426&lt;'PlayerGrades+'!$Y$34,"C",IF(C426&lt;'PlayerGrades+'!$Y$33,"C+",IF(C426&lt;'PlayerGrades+'!$Y$32,"B-",IF(C426&lt;'PlayerGrades+'!$Y$31,"B",IF(C426&lt;'PlayerGrades+'!$Y$30,"B+",IF(C426&lt;'PlayerGrades+'!$Y$29,"A-",IF(C426&lt;'PlayerGrades+'!$Y$28,"A",IF(C426&lt;'PlayerGrades+'!$Y$27,"A+",IF(C426&lt;'PlayerGrades+'!$Y$26,"S-",IF(C426&lt;'PlayerGrades+'!$Y$25,"S","S+"))))))))))))))))))))</f>
        <v>#DIV/0!</v>
      </c>
      <c r="C426" s="1378" t="str">
        <f>('PlayerGrades+'!$Y$47*(VLOOKUP(E426, 'PlayerGrades+'!$X$3:$Y$23, 2, FALSE)))+('PlayerGrades+'!$Y$48*(VLOOKUP(G426, 'PlayerGrades+'!$X$3:$Y$23, 2, FALSE)))+('PlayerGrades+'!$Y$49*(VLOOKUP(I426, 'PlayerGrades+'!$X$3:$Y$23, 2, FALSE)))+('PlayerGrades+'!$Y$50*(VLOOKUP(K426, 'PlayerGrades+'!$X$3:$Y$23, 2, FALSE)))+('PlayerGrades+'!$Y$51*(VLOOKUP(M426, 'PlayerGrades+'!$X$3:$Y$23, 2, FALSE)))+('PlayerGrades+'!$Y$52*(VLOOKUP(O426, 'PlayerGrades+'!$X$3:$Y$23, 2, FALSE)))+('PlayerGrades+'!$Y$53*(VLOOKUP(Q426, 'PlayerGrades+'!$X$3:$Y$23, 2, FALSE)))+('PlayerGrades+'!$Y$54*(VLOOKUP(S426, 'PlayerGrades+'!$X$3:$Y$23, 2, FALSE)))+('PlayerGrades+'!$Y$55*(VLOOKUP(U426, 'PlayerGrades+'!$X$3:$Y$23, 2, FALSE)))</f>
        <v>#DIV/0!</v>
      </c>
      <c r="D426" s="961" t="str">
        <f t="shared" si="1"/>
        <v>#DIV/0!</v>
      </c>
      <c r="E426" s="961" t="str">
        <f>IF(D426&lt;'PlayerGrades+'!$AA$21,"F-",IF(D426&lt;'PlayerGrades+'!$AA$20,"F",IF(D426&lt;'PlayerGrades+'!$AA$19,"F+",IF(D426&lt;'PlayerGrades+'!$AA$18,"E-",IF(D426&lt;'PlayerGrades+'!$AA$17,"E",IF(D426&lt;'PlayerGrades+'!$AA$16,"E+",IF(D426&lt;'PlayerGrades+'!$AA$15,"D-",IF(D426&lt;'PlayerGrades+'!$AA$14,"D",IF(D426&lt;'PlayerGrades+'!$AA$13,"D+",IF(D426&lt;'PlayerGrades+'!$AA$12,"C-",IF(D426&lt;'PlayerGrades+'!$AA$11,"C",IF(D426&lt;'PlayerGrades+'!$AA$10,"C+",IF(D426&lt;'PlayerGrades+'!$AA$9,"B-",IF(D426&lt;'PlayerGrades+'!$AA$8,"B",IF(D426&lt;'PlayerGrades+'!$AA$7,"B+",IF(D426&lt;'PlayerGrades+'!$AA$6,"A-",IF(D426&lt;'PlayerGrades+'!$AA$5,"A",IF(D426&lt;'PlayerGrades+'!$AA$4,"A+",IF(D426&lt;'PlayerGrades+'!$AA$3,"S-",IF(D426&lt;'PlayerGrades+'!$AA$2,"S","S+"))))))))))))))))))))</f>
        <v>#DIV/0!</v>
      </c>
      <c r="F426" s="961" t="str">
        <f t="shared" si="2"/>
        <v>#DIV/0!</v>
      </c>
      <c r="G426" s="961" t="str">
        <f>IF(F426&lt;'PlayerGrades+'!$AB$21,"F-",IF(F426&lt;'PlayerGrades+'!$AB$20,"F",IF(F426&lt;'PlayerGrades+'!$AB$19,"F+",IF(F426&lt;'PlayerGrades+'!$AB$18,"E-",IF(F426&lt;'PlayerGrades+'!$AB$17,"E",IF(F426&lt;'PlayerGrades+'!$AB$16,"E+",IF(F426&lt;'PlayerGrades+'!$AB$15,"D-",IF(F426&lt;'PlayerGrades+'!$AB$14,"D",IF(F426&lt;'PlayerGrades+'!$AB$13,"D+",IF(F426&lt;'PlayerGrades+'!$AB$12,"C-",IF(F426&lt;'PlayerGrades+'!$AB$11,"C",IF(F426&lt;'PlayerGrades+'!$AB$10,"C+",IF(F426&lt;'PlayerGrades+'!$AB$9,"B-",IF(F426&lt;'PlayerGrades+'!$AB$8,"B",IF(F426&lt;'PlayerGrades+'!$AB$7,"B+",IF(F426&lt;'PlayerGrades+'!$AB$6,"A-",IF(F426&lt;'PlayerGrades+'!$AB$5,"A",IF(F426&lt;'PlayerGrades+'!$AB$4,"A+",IF(F426&lt;'PlayerGrades+'!$AB$3,"S-",IF(F426&lt;'PlayerGrades+'!$AB$2,"S","S+"))))))))))))))))))))</f>
        <v>#DIV/0!</v>
      </c>
      <c r="H426" s="961" t="str">
        <f t="shared" si="3"/>
        <v>#DIV/0!</v>
      </c>
      <c r="I426" s="961" t="str">
        <f>IF(H426&lt;'PlayerGrades+'!$AC$21,"F-",IF(H426&lt;'PlayerGrades+'!$AC$20,"F",IF(H426&lt;'PlayerGrades+'!$AC$19,"F+",IF(H426&lt;'PlayerGrades+'!$AC$18,"E-",IF(H426&lt;'PlayerGrades+'!$AC$17,"E",IF(H426&lt;'PlayerGrades+'!$AC$16,"E+",IF(H426&lt;'PlayerGrades+'!$AC$15,"D-",IF(H426&lt;'PlayerGrades+'!$AC$14,"D",IF(H426&lt;'PlayerGrades+'!$AC$13,"D+",IF(H426&lt;'PlayerGrades+'!$AC$12,"C-",IF(H426&lt;'PlayerGrades+'!$AC$11,"C",IF(H426&lt;'PlayerGrades+'!$AC$10,"C+",IF(H426&lt;'PlayerGrades+'!$AC$9,"B-",IF(H426&lt;'PlayerGrades+'!$AC$8,"B",IF(H426&lt;'PlayerGrades+'!$AC$7,"B+",IF(H426&lt;'PlayerGrades+'!$AC$6,"A-",IF(H426&lt;'PlayerGrades+'!$AC$5,"A",IF(H426&lt;'PlayerGrades+'!$AC$4,"A+",IF(H426&lt;'PlayerGrades+'!$AC$3,"S-",IF(H426&lt;'PlayerGrades+'!$AC$2,"S","S+"))))))))))))))))))))</f>
        <v>#DIV/0!</v>
      </c>
      <c r="J426" s="961" t="str">
        <f t="shared" si="4"/>
        <v>#DIV/0!</v>
      </c>
      <c r="K426" s="961" t="str">
        <f>IF(J426&lt;'PlayerGrades+'!$AD$21,"F-",IF(J426&lt;'PlayerGrades+'!$AD$20,"F",IF(J426&lt;'PlayerGrades+'!$AD$19,"F+",IF(J426&lt;'PlayerGrades+'!$AD$18,"E-",IF(J426&lt;'PlayerGrades+'!$AD$17,"E",IF(J426&lt;'PlayerGrades+'!$AD$16,"E+",IF(J426&lt;'PlayerGrades+'!$AD$15,"D-",IF(J426&lt;'PlayerGrades+'!$AD$14,"D",IF(J426&lt;'PlayerGrades+'!$AD$13,"D+",IF(J426&lt;'PlayerGrades+'!$AD$12,"C-",IF(J426&lt;'PlayerGrades+'!$AD$11,"C",IF(J426&lt;'PlayerGrades+'!$AD$10,"C+",IF(J426&lt;'PlayerGrades+'!$AD$9,"B-",IF(J426&lt;'PlayerGrades+'!$AD$8,"B",IF(J426&lt;'PlayerGrades+'!$AD$7,"B+",IF(J426&lt;'PlayerGrades+'!$AD$6,"A-",IF(J426&lt;'PlayerGrades+'!$AD$5,"A",IF(J426&lt;'PlayerGrades+'!$AD$4,"A+",IF(J426&lt;'PlayerGrades+'!$AD$3,"S-",IF(J426&lt;'PlayerGrades+'!$AD$2,"S","S+"))))))))))))))))))))</f>
        <v>#DIV/0!</v>
      </c>
      <c r="L426" s="1176" t="str">
        <f t="shared" si="5"/>
        <v>#DIV/0!</v>
      </c>
      <c r="M426" s="992" t="str">
        <f>IF(L426&lt;'PlayerGrades+'!$AE$21,"F-",IF(L426&lt;'PlayerGrades+'!$AE$20,"F",IF(L426&lt;'PlayerGrades+'!$AE$19,"F+",IF(L426&lt;'PlayerGrades+'!$AE$18,"E-",IF(L426&lt;'PlayerGrades+'!$AE$17,"E",IF(L426&lt;'PlayerGrades+'!$AE$16,"E+",IF(L426&lt;'PlayerGrades+'!$AE$15,"D-",IF(L426&lt;'PlayerGrades+'!$AE$14,"D",IF(L426&lt;'PlayerGrades+'!$AE$13,"D+",IF(L426&lt;'PlayerGrades+'!$AE$12,"C-",IF(L426&lt;'PlayerGrades+'!$AE$11,"C",IF(L426&lt;'PlayerGrades+'!$AE$10,"C+",IF(L426&lt;'PlayerGrades+'!$AE$9,"B-",IF(L426&lt;'PlayerGrades+'!$AE$8,"B",IF(L426&lt;'PlayerGrades+'!$AE$7,"B+",IF(L426&lt;'PlayerGrades+'!$AE$6,"A-",IF(L426&lt;'PlayerGrades+'!$AE$5,"A",IF(L426&lt;'PlayerGrades+'!$AE$4,"A+",IF(L426&lt;'PlayerGrades+'!$AE$3,"S-",IF(L426&lt;'PlayerGrades+'!$AE$2,"S","S+"))))))))))))))))))))</f>
        <v>#DIV/0!</v>
      </c>
      <c r="N426" s="961" t="str">
        <f t="shared" si="6"/>
        <v>#DIV/0!</v>
      </c>
      <c r="O426" s="961" t="str">
        <f>IF(N426&lt;'PlayerGrades+'!$AF$21,"F-",IF(N426&lt;'PlayerGrades+'!$AF$20,"F",IF(N426&lt;'PlayerGrades+'!$AF$19,"F+",IF(N426&lt;'PlayerGrades+'!$AF$18,"E-",IF(N426&lt;'PlayerGrades+'!$AF$17,"E",IF(N426&lt;'PlayerGrades+'!$AF$16,"E+",IF(N426&lt;'PlayerGrades+'!$AF$15,"D-",IF(N426&lt;'PlayerGrades+'!$AF$14,"D",IF(N426&lt;'PlayerGrades+'!$AF$13,"D+",IF(N426&lt;'PlayerGrades+'!$AF$12,"C-",IF(N426&lt;'PlayerGrades+'!$AF$11,"C",IF(N426&lt;'PlayerGrades+'!$AF$10,"C+",IF(N426&lt;'PlayerGrades+'!$AF$9,"B-",IF(N426&lt;'PlayerGrades+'!$AF$8,"B",IF(N426&lt;'PlayerGrades+'!$AF$7,"B+",IF(N426&lt;'PlayerGrades+'!$AF$6,"A-",IF(N426&lt;'PlayerGrades+'!$AF$5,"A",IF(N426&lt;'PlayerGrades+'!$AF$4,"A+",IF(N426&lt;'PlayerGrades+'!$AF$3,"S-",IF(N426&lt;'PlayerGrades+'!$AF$2,"S","S+"))))))))))))))))))))</f>
        <v>#DIV/0!</v>
      </c>
      <c r="P426" s="961" t="str">
        <f t="shared" si="7"/>
        <v>#DIV/0!</v>
      </c>
      <c r="Q426" s="961" t="str">
        <f>IF(P426&lt;'PlayerGrades+'!$AG$21,"F-",IF(P426&lt;'PlayerGrades+'!$AG$20,"F",IF(P426&lt;'PlayerGrades+'!$AG$19,"F+",IF(P426&lt;'PlayerGrades+'!$AG$18,"E-",IF(P426&lt;'PlayerGrades+'!$AG$17,"E",IF(P426&lt;'PlayerGrades+'!$AG$16,"E+",IF(P426&lt;'PlayerGrades+'!$AG$15,"D-",IF(P426&lt;'PlayerGrades+'!$AG$14,"D",IF(P426&lt;'PlayerGrades+'!$AG$13,"D+",IF(P426&lt;'PlayerGrades+'!$AG$12,"C-",IF(P426&lt;'PlayerGrades+'!$AG$11,"C",IF(P426&lt;'PlayerGrades+'!$AG$10,"C+",IF(P426&lt;'PlayerGrades+'!$AG$9,"B-",IF(P426&lt;'PlayerGrades+'!$AG$8,"B",IF(P426&lt;'PlayerGrades+'!$AG$7,"B+",IF(P426&lt;'PlayerGrades+'!$AG$6,"A-",IF(P426&lt;'PlayerGrades+'!$AG$5,"A",IF(P426&lt;'PlayerGrades+'!$AG$4,"A+",IF(P426&lt;'PlayerGrades+'!$AG$3,"S-",IF(P426&lt;'PlayerGrades+'!$AG$2,"S","S+"))))))))))))))))))))</f>
        <v>#DIV/0!</v>
      </c>
      <c r="R426" s="961" t="str">
        <f t="shared" si="8"/>
        <v>#DIV/0!</v>
      </c>
      <c r="S426" s="961" t="str">
        <f>IF(R426&lt;'PlayerGrades+'!$AH$21,"F-",IF(R426&lt;'PlayerGrades+'!$AH$20,"F",IF(R426&lt;'PlayerGrades+'!$AH$19,"F+",IF(R426&lt;'PlayerGrades+'!$AH$18,"E-",IF(R426&lt;'PlayerGrades+'!$AH$17,"E",IF(R426&lt;'PlayerGrades+'!$AH$16,"E+",IF(R426&lt;'PlayerGrades+'!$AH$15,"D-",IF(R426&lt;'PlayerGrades+'!$AH$14,"D",IF(R426&lt;'PlayerGrades+'!$AH$13,"D+",IF(R426&lt;'PlayerGrades+'!$AH$12,"C-",IF(R426&lt;'PlayerGrades+'!$AH$11,"C",IF(R426&lt;'PlayerGrades+'!$AH$10,"C+",IF(R426&lt;'PlayerGrades+'!$AH$9,"B-",IF(R426&lt;'PlayerGrades+'!$AH$8,"B",IF(R426&lt;'PlayerGrades+'!$AH$7,"B+",IF(R426&lt;'PlayerGrades+'!$AH$6,"A-",IF(R426&lt;'PlayerGrades+'!$AH$5,"A",IF(R426&lt;'PlayerGrades+'!$AH$4,"A+",IF(R426&lt;'PlayerGrades+'!$AH$3,"S-",IF(R426&lt;'PlayerGrades+'!$AH$2,"S","S+"))))))))))))))))))))</f>
        <v>#DIV/0!</v>
      </c>
      <c r="T426" s="961">
        <f t="shared" si="9"/>
        <v>0</v>
      </c>
      <c r="U426" s="961" t="str">
        <f>IF(T426&lt;'PlayerGrades+'!$AI$21,"F-",IF(T426&lt;'PlayerGrades+'!$AI$20,"F",IF(T426&lt;'PlayerGrades+'!$AI$19,"F+",IF(T426&lt;'PlayerGrades+'!$AI$18,"E-",IF(T426&lt;'PlayerGrades+'!$AI$17,"E",IF(T426&lt;'PlayerGrades+'!$AI$16,"E+",IF(T426&lt;'PlayerGrades+'!$AI$15,"D-",IF(T426&lt;'PlayerGrades+'!$AI$14,"D",IF(T426&lt;'PlayerGrades+'!$AI$13,"D+",IF(T426&lt;'PlayerGrades+'!$AI$12,"C-",IF(T426&lt;'PlayerGrades+'!$AI$11,"C",IF(T426&lt;'PlayerGrades+'!$AI$10,"C+",IF(T426&lt;'PlayerGrades+'!$AI$9,"B-",IF(T426&lt;'PlayerGrades+'!$AI$8,"B",IF(T426&lt;'PlayerGrades+'!$AI$7,"B+",IF(T426&lt;'PlayerGrades+'!$AI$6,"A-",IF(T426&lt;'PlayerGrades+'!$AI$5,"A",IF(T426&lt;'PlayerGrades+'!$AI$4,"A+",IF(T426&lt;'PlayerGrades+'!$AI$3,"S-",IF(T426&lt;'PlayerGrades+'!$AI$2,"S","S+"))))))))))))))))))))</f>
        <v>F-</v>
      </c>
      <c r="V426" s="1379"/>
      <c r="W426" s="1379"/>
      <c r="X426" s="1379"/>
      <c r="Y426" s="1379"/>
      <c r="Z426" s="1379"/>
      <c r="AA426" s="1379"/>
      <c r="AB426" s="1379"/>
      <c r="AC426" s="1390"/>
      <c r="AD426" s="1379"/>
      <c r="AE426" s="1379"/>
      <c r="AF426" s="1379"/>
      <c r="AG426" s="1379"/>
      <c r="AH426" s="1379"/>
      <c r="AI426" s="1379"/>
      <c r="AJ426" s="1379"/>
      <c r="AK426" s="1379"/>
      <c r="AL426" s="1379"/>
      <c r="AM426" s="1379"/>
      <c r="AN426" s="1379"/>
      <c r="AO426" s="1379"/>
      <c r="AP426" s="1379"/>
      <c r="AQ426" s="1379"/>
      <c r="AR426" s="1379"/>
      <c r="AS426" s="1379"/>
      <c r="AT426" s="1379"/>
      <c r="AU426" s="1379"/>
      <c r="AV426" s="1379"/>
      <c r="AW426" s="1379"/>
      <c r="AX426" s="1379"/>
      <c r="AY426" s="1379"/>
      <c r="AZ426" s="1379"/>
    </row>
    <row r="427">
      <c r="A427" s="1391"/>
      <c r="B427" s="611" t="str">
        <f>IF(C427&lt;'PlayerGrades+'!$Y$44,"F-",IF(C427&lt;'PlayerGrades+'!$Y$43,"F",IF(C427&lt;'PlayerGrades+'!$Y$42,"F+",IF(C427&lt;'PlayerGrades+'!$Y$41,"E-",IF(C427&lt;'PlayerGrades+'!$Y$40,"E",IF(C427&lt;'PlayerGrades+'!$Y$39,"E+",IF(C427&lt;'PlayerGrades+'!$Y$38,"D-",IF(C427&lt;'PlayerGrades+'!$Y$37,"D",IF(C427&lt;'PlayerGrades+'!$Y$36,"D+",IF(C427&lt;'PlayerGrades+'!$Y$35,"C-",IF(C427&lt;'PlayerGrades+'!$Y$34,"C",IF(C427&lt;'PlayerGrades+'!$Y$33,"C+",IF(C427&lt;'PlayerGrades+'!$Y$32,"B-",IF(C427&lt;'PlayerGrades+'!$Y$31,"B",IF(C427&lt;'PlayerGrades+'!$Y$30,"B+",IF(C427&lt;'PlayerGrades+'!$Y$29,"A-",IF(C427&lt;'PlayerGrades+'!$Y$28,"A",IF(C427&lt;'PlayerGrades+'!$Y$27,"A+",IF(C427&lt;'PlayerGrades+'!$Y$26,"S-",IF(C427&lt;'PlayerGrades+'!$Y$25,"S","S+"))))))))))))))))))))</f>
        <v>#DIV/0!</v>
      </c>
      <c r="C427" s="1378" t="str">
        <f>('PlayerGrades+'!$Y$47*(VLOOKUP(E427, 'PlayerGrades+'!$X$3:$Y$23, 2, FALSE)))+('PlayerGrades+'!$Y$48*(VLOOKUP(G427, 'PlayerGrades+'!$X$3:$Y$23, 2, FALSE)))+('PlayerGrades+'!$Y$49*(VLOOKUP(I427, 'PlayerGrades+'!$X$3:$Y$23, 2, FALSE)))+('PlayerGrades+'!$Y$50*(VLOOKUP(K427, 'PlayerGrades+'!$X$3:$Y$23, 2, FALSE)))+('PlayerGrades+'!$Y$51*(VLOOKUP(M427, 'PlayerGrades+'!$X$3:$Y$23, 2, FALSE)))+('PlayerGrades+'!$Y$52*(VLOOKUP(O427, 'PlayerGrades+'!$X$3:$Y$23, 2, FALSE)))+('PlayerGrades+'!$Y$53*(VLOOKUP(Q427, 'PlayerGrades+'!$X$3:$Y$23, 2, FALSE)))+('PlayerGrades+'!$Y$54*(VLOOKUP(S427, 'PlayerGrades+'!$X$3:$Y$23, 2, FALSE)))+('PlayerGrades+'!$Y$55*(VLOOKUP(U427, 'PlayerGrades+'!$X$3:$Y$23, 2, FALSE)))</f>
        <v>#DIV/0!</v>
      </c>
      <c r="D427" s="961" t="str">
        <f t="shared" si="1"/>
        <v>#DIV/0!</v>
      </c>
      <c r="E427" s="961" t="str">
        <f>IF(D427&lt;'PlayerGrades+'!$AA$21,"F-",IF(D427&lt;'PlayerGrades+'!$AA$20,"F",IF(D427&lt;'PlayerGrades+'!$AA$19,"F+",IF(D427&lt;'PlayerGrades+'!$AA$18,"E-",IF(D427&lt;'PlayerGrades+'!$AA$17,"E",IF(D427&lt;'PlayerGrades+'!$AA$16,"E+",IF(D427&lt;'PlayerGrades+'!$AA$15,"D-",IF(D427&lt;'PlayerGrades+'!$AA$14,"D",IF(D427&lt;'PlayerGrades+'!$AA$13,"D+",IF(D427&lt;'PlayerGrades+'!$AA$12,"C-",IF(D427&lt;'PlayerGrades+'!$AA$11,"C",IF(D427&lt;'PlayerGrades+'!$AA$10,"C+",IF(D427&lt;'PlayerGrades+'!$AA$9,"B-",IF(D427&lt;'PlayerGrades+'!$AA$8,"B",IF(D427&lt;'PlayerGrades+'!$AA$7,"B+",IF(D427&lt;'PlayerGrades+'!$AA$6,"A-",IF(D427&lt;'PlayerGrades+'!$AA$5,"A",IF(D427&lt;'PlayerGrades+'!$AA$4,"A+",IF(D427&lt;'PlayerGrades+'!$AA$3,"S-",IF(D427&lt;'PlayerGrades+'!$AA$2,"S","S+"))))))))))))))))))))</f>
        <v>#DIV/0!</v>
      </c>
      <c r="F427" s="961" t="str">
        <f t="shared" si="2"/>
        <v>#DIV/0!</v>
      </c>
      <c r="G427" s="961" t="str">
        <f>IF(F427&lt;'PlayerGrades+'!$AB$21,"F-",IF(F427&lt;'PlayerGrades+'!$AB$20,"F",IF(F427&lt;'PlayerGrades+'!$AB$19,"F+",IF(F427&lt;'PlayerGrades+'!$AB$18,"E-",IF(F427&lt;'PlayerGrades+'!$AB$17,"E",IF(F427&lt;'PlayerGrades+'!$AB$16,"E+",IF(F427&lt;'PlayerGrades+'!$AB$15,"D-",IF(F427&lt;'PlayerGrades+'!$AB$14,"D",IF(F427&lt;'PlayerGrades+'!$AB$13,"D+",IF(F427&lt;'PlayerGrades+'!$AB$12,"C-",IF(F427&lt;'PlayerGrades+'!$AB$11,"C",IF(F427&lt;'PlayerGrades+'!$AB$10,"C+",IF(F427&lt;'PlayerGrades+'!$AB$9,"B-",IF(F427&lt;'PlayerGrades+'!$AB$8,"B",IF(F427&lt;'PlayerGrades+'!$AB$7,"B+",IF(F427&lt;'PlayerGrades+'!$AB$6,"A-",IF(F427&lt;'PlayerGrades+'!$AB$5,"A",IF(F427&lt;'PlayerGrades+'!$AB$4,"A+",IF(F427&lt;'PlayerGrades+'!$AB$3,"S-",IF(F427&lt;'PlayerGrades+'!$AB$2,"S","S+"))))))))))))))))))))</f>
        <v>#DIV/0!</v>
      </c>
      <c r="H427" s="961" t="str">
        <f t="shared" si="3"/>
        <v>#DIV/0!</v>
      </c>
      <c r="I427" s="961" t="str">
        <f>IF(H427&lt;'PlayerGrades+'!$AC$21,"F-",IF(H427&lt;'PlayerGrades+'!$AC$20,"F",IF(H427&lt;'PlayerGrades+'!$AC$19,"F+",IF(H427&lt;'PlayerGrades+'!$AC$18,"E-",IF(H427&lt;'PlayerGrades+'!$AC$17,"E",IF(H427&lt;'PlayerGrades+'!$AC$16,"E+",IF(H427&lt;'PlayerGrades+'!$AC$15,"D-",IF(H427&lt;'PlayerGrades+'!$AC$14,"D",IF(H427&lt;'PlayerGrades+'!$AC$13,"D+",IF(H427&lt;'PlayerGrades+'!$AC$12,"C-",IF(H427&lt;'PlayerGrades+'!$AC$11,"C",IF(H427&lt;'PlayerGrades+'!$AC$10,"C+",IF(H427&lt;'PlayerGrades+'!$AC$9,"B-",IF(H427&lt;'PlayerGrades+'!$AC$8,"B",IF(H427&lt;'PlayerGrades+'!$AC$7,"B+",IF(H427&lt;'PlayerGrades+'!$AC$6,"A-",IF(H427&lt;'PlayerGrades+'!$AC$5,"A",IF(H427&lt;'PlayerGrades+'!$AC$4,"A+",IF(H427&lt;'PlayerGrades+'!$AC$3,"S-",IF(H427&lt;'PlayerGrades+'!$AC$2,"S","S+"))))))))))))))))))))</f>
        <v>#DIV/0!</v>
      </c>
      <c r="J427" s="961" t="str">
        <f t="shared" si="4"/>
        <v>#DIV/0!</v>
      </c>
      <c r="K427" s="961" t="str">
        <f>IF(J427&lt;'PlayerGrades+'!$AD$21,"F-",IF(J427&lt;'PlayerGrades+'!$AD$20,"F",IF(J427&lt;'PlayerGrades+'!$AD$19,"F+",IF(J427&lt;'PlayerGrades+'!$AD$18,"E-",IF(J427&lt;'PlayerGrades+'!$AD$17,"E",IF(J427&lt;'PlayerGrades+'!$AD$16,"E+",IF(J427&lt;'PlayerGrades+'!$AD$15,"D-",IF(J427&lt;'PlayerGrades+'!$AD$14,"D",IF(J427&lt;'PlayerGrades+'!$AD$13,"D+",IF(J427&lt;'PlayerGrades+'!$AD$12,"C-",IF(J427&lt;'PlayerGrades+'!$AD$11,"C",IF(J427&lt;'PlayerGrades+'!$AD$10,"C+",IF(J427&lt;'PlayerGrades+'!$AD$9,"B-",IF(J427&lt;'PlayerGrades+'!$AD$8,"B",IF(J427&lt;'PlayerGrades+'!$AD$7,"B+",IF(J427&lt;'PlayerGrades+'!$AD$6,"A-",IF(J427&lt;'PlayerGrades+'!$AD$5,"A",IF(J427&lt;'PlayerGrades+'!$AD$4,"A+",IF(J427&lt;'PlayerGrades+'!$AD$3,"S-",IF(J427&lt;'PlayerGrades+'!$AD$2,"S","S+"))))))))))))))))))))</f>
        <v>#DIV/0!</v>
      </c>
      <c r="L427" s="1176" t="str">
        <f t="shared" si="5"/>
        <v>#DIV/0!</v>
      </c>
      <c r="M427" s="992" t="str">
        <f>IF(L427&lt;'PlayerGrades+'!$AE$21,"F-",IF(L427&lt;'PlayerGrades+'!$AE$20,"F",IF(L427&lt;'PlayerGrades+'!$AE$19,"F+",IF(L427&lt;'PlayerGrades+'!$AE$18,"E-",IF(L427&lt;'PlayerGrades+'!$AE$17,"E",IF(L427&lt;'PlayerGrades+'!$AE$16,"E+",IF(L427&lt;'PlayerGrades+'!$AE$15,"D-",IF(L427&lt;'PlayerGrades+'!$AE$14,"D",IF(L427&lt;'PlayerGrades+'!$AE$13,"D+",IF(L427&lt;'PlayerGrades+'!$AE$12,"C-",IF(L427&lt;'PlayerGrades+'!$AE$11,"C",IF(L427&lt;'PlayerGrades+'!$AE$10,"C+",IF(L427&lt;'PlayerGrades+'!$AE$9,"B-",IF(L427&lt;'PlayerGrades+'!$AE$8,"B",IF(L427&lt;'PlayerGrades+'!$AE$7,"B+",IF(L427&lt;'PlayerGrades+'!$AE$6,"A-",IF(L427&lt;'PlayerGrades+'!$AE$5,"A",IF(L427&lt;'PlayerGrades+'!$AE$4,"A+",IF(L427&lt;'PlayerGrades+'!$AE$3,"S-",IF(L427&lt;'PlayerGrades+'!$AE$2,"S","S+"))))))))))))))))))))</f>
        <v>#DIV/0!</v>
      </c>
      <c r="N427" s="961" t="str">
        <f t="shared" si="6"/>
        <v>#DIV/0!</v>
      </c>
      <c r="O427" s="961" t="str">
        <f>IF(N427&lt;'PlayerGrades+'!$AF$21,"F-",IF(N427&lt;'PlayerGrades+'!$AF$20,"F",IF(N427&lt;'PlayerGrades+'!$AF$19,"F+",IF(N427&lt;'PlayerGrades+'!$AF$18,"E-",IF(N427&lt;'PlayerGrades+'!$AF$17,"E",IF(N427&lt;'PlayerGrades+'!$AF$16,"E+",IF(N427&lt;'PlayerGrades+'!$AF$15,"D-",IF(N427&lt;'PlayerGrades+'!$AF$14,"D",IF(N427&lt;'PlayerGrades+'!$AF$13,"D+",IF(N427&lt;'PlayerGrades+'!$AF$12,"C-",IF(N427&lt;'PlayerGrades+'!$AF$11,"C",IF(N427&lt;'PlayerGrades+'!$AF$10,"C+",IF(N427&lt;'PlayerGrades+'!$AF$9,"B-",IF(N427&lt;'PlayerGrades+'!$AF$8,"B",IF(N427&lt;'PlayerGrades+'!$AF$7,"B+",IF(N427&lt;'PlayerGrades+'!$AF$6,"A-",IF(N427&lt;'PlayerGrades+'!$AF$5,"A",IF(N427&lt;'PlayerGrades+'!$AF$4,"A+",IF(N427&lt;'PlayerGrades+'!$AF$3,"S-",IF(N427&lt;'PlayerGrades+'!$AF$2,"S","S+"))))))))))))))))))))</f>
        <v>#DIV/0!</v>
      </c>
      <c r="P427" s="961" t="str">
        <f t="shared" si="7"/>
        <v>#DIV/0!</v>
      </c>
      <c r="Q427" s="961" t="str">
        <f>IF(P427&lt;'PlayerGrades+'!$AG$21,"F-",IF(P427&lt;'PlayerGrades+'!$AG$20,"F",IF(P427&lt;'PlayerGrades+'!$AG$19,"F+",IF(P427&lt;'PlayerGrades+'!$AG$18,"E-",IF(P427&lt;'PlayerGrades+'!$AG$17,"E",IF(P427&lt;'PlayerGrades+'!$AG$16,"E+",IF(P427&lt;'PlayerGrades+'!$AG$15,"D-",IF(P427&lt;'PlayerGrades+'!$AG$14,"D",IF(P427&lt;'PlayerGrades+'!$AG$13,"D+",IF(P427&lt;'PlayerGrades+'!$AG$12,"C-",IF(P427&lt;'PlayerGrades+'!$AG$11,"C",IF(P427&lt;'PlayerGrades+'!$AG$10,"C+",IF(P427&lt;'PlayerGrades+'!$AG$9,"B-",IF(P427&lt;'PlayerGrades+'!$AG$8,"B",IF(P427&lt;'PlayerGrades+'!$AG$7,"B+",IF(P427&lt;'PlayerGrades+'!$AG$6,"A-",IF(P427&lt;'PlayerGrades+'!$AG$5,"A",IF(P427&lt;'PlayerGrades+'!$AG$4,"A+",IF(P427&lt;'PlayerGrades+'!$AG$3,"S-",IF(P427&lt;'PlayerGrades+'!$AG$2,"S","S+"))))))))))))))))))))</f>
        <v>#DIV/0!</v>
      </c>
      <c r="R427" s="961" t="str">
        <f t="shared" si="8"/>
        <v>#DIV/0!</v>
      </c>
      <c r="S427" s="961" t="str">
        <f>IF(R427&lt;'PlayerGrades+'!$AH$21,"F-",IF(R427&lt;'PlayerGrades+'!$AH$20,"F",IF(R427&lt;'PlayerGrades+'!$AH$19,"F+",IF(R427&lt;'PlayerGrades+'!$AH$18,"E-",IF(R427&lt;'PlayerGrades+'!$AH$17,"E",IF(R427&lt;'PlayerGrades+'!$AH$16,"E+",IF(R427&lt;'PlayerGrades+'!$AH$15,"D-",IF(R427&lt;'PlayerGrades+'!$AH$14,"D",IF(R427&lt;'PlayerGrades+'!$AH$13,"D+",IF(R427&lt;'PlayerGrades+'!$AH$12,"C-",IF(R427&lt;'PlayerGrades+'!$AH$11,"C",IF(R427&lt;'PlayerGrades+'!$AH$10,"C+",IF(R427&lt;'PlayerGrades+'!$AH$9,"B-",IF(R427&lt;'PlayerGrades+'!$AH$8,"B",IF(R427&lt;'PlayerGrades+'!$AH$7,"B+",IF(R427&lt;'PlayerGrades+'!$AH$6,"A-",IF(R427&lt;'PlayerGrades+'!$AH$5,"A",IF(R427&lt;'PlayerGrades+'!$AH$4,"A+",IF(R427&lt;'PlayerGrades+'!$AH$3,"S-",IF(R427&lt;'PlayerGrades+'!$AH$2,"S","S+"))))))))))))))))))))</f>
        <v>#DIV/0!</v>
      </c>
      <c r="T427" s="961">
        <f t="shared" si="9"/>
        <v>0</v>
      </c>
      <c r="U427" s="961" t="str">
        <f>IF(T427&lt;'PlayerGrades+'!$AI$21,"F-",IF(T427&lt;'PlayerGrades+'!$AI$20,"F",IF(T427&lt;'PlayerGrades+'!$AI$19,"F+",IF(T427&lt;'PlayerGrades+'!$AI$18,"E-",IF(T427&lt;'PlayerGrades+'!$AI$17,"E",IF(T427&lt;'PlayerGrades+'!$AI$16,"E+",IF(T427&lt;'PlayerGrades+'!$AI$15,"D-",IF(T427&lt;'PlayerGrades+'!$AI$14,"D",IF(T427&lt;'PlayerGrades+'!$AI$13,"D+",IF(T427&lt;'PlayerGrades+'!$AI$12,"C-",IF(T427&lt;'PlayerGrades+'!$AI$11,"C",IF(T427&lt;'PlayerGrades+'!$AI$10,"C+",IF(T427&lt;'PlayerGrades+'!$AI$9,"B-",IF(T427&lt;'PlayerGrades+'!$AI$8,"B",IF(T427&lt;'PlayerGrades+'!$AI$7,"B+",IF(T427&lt;'PlayerGrades+'!$AI$6,"A-",IF(T427&lt;'PlayerGrades+'!$AI$5,"A",IF(T427&lt;'PlayerGrades+'!$AI$4,"A+",IF(T427&lt;'PlayerGrades+'!$AI$3,"S-",IF(T427&lt;'PlayerGrades+'!$AI$2,"S","S+"))))))))))))))))))))</f>
        <v>F-</v>
      </c>
      <c r="AC427" s="1392"/>
    </row>
    <row r="428">
      <c r="A428" s="1391"/>
      <c r="B428" s="611" t="str">
        <f>IF(C428&lt;'PlayerGrades+'!$Y$44,"F-",IF(C428&lt;'PlayerGrades+'!$Y$43,"F",IF(C428&lt;'PlayerGrades+'!$Y$42,"F+",IF(C428&lt;'PlayerGrades+'!$Y$41,"E-",IF(C428&lt;'PlayerGrades+'!$Y$40,"E",IF(C428&lt;'PlayerGrades+'!$Y$39,"E+",IF(C428&lt;'PlayerGrades+'!$Y$38,"D-",IF(C428&lt;'PlayerGrades+'!$Y$37,"D",IF(C428&lt;'PlayerGrades+'!$Y$36,"D+",IF(C428&lt;'PlayerGrades+'!$Y$35,"C-",IF(C428&lt;'PlayerGrades+'!$Y$34,"C",IF(C428&lt;'PlayerGrades+'!$Y$33,"C+",IF(C428&lt;'PlayerGrades+'!$Y$32,"B-",IF(C428&lt;'PlayerGrades+'!$Y$31,"B",IF(C428&lt;'PlayerGrades+'!$Y$30,"B+",IF(C428&lt;'PlayerGrades+'!$Y$29,"A-",IF(C428&lt;'PlayerGrades+'!$Y$28,"A",IF(C428&lt;'PlayerGrades+'!$Y$27,"A+",IF(C428&lt;'PlayerGrades+'!$Y$26,"S-",IF(C428&lt;'PlayerGrades+'!$Y$25,"S","S+"))))))))))))))))))))</f>
        <v>#DIV/0!</v>
      </c>
      <c r="C428" s="1378" t="str">
        <f>('PlayerGrades+'!$Y$47*(VLOOKUP(E428, 'PlayerGrades+'!$X$3:$Y$23, 2, FALSE)))+('PlayerGrades+'!$Y$48*(VLOOKUP(G428, 'PlayerGrades+'!$X$3:$Y$23, 2, FALSE)))+('PlayerGrades+'!$Y$49*(VLOOKUP(I428, 'PlayerGrades+'!$X$3:$Y$23, 2, FALSE)))+('PlayerGrades+'!$Y$50*(VLOOKUP(K428, 'PlayerGrades+'!$X$3:$Y$23, 2, FALSE)))+('PlayerGrades+'!$Y$51*(VLOOKUP(M428, 'PlayerGrades+'!$X$3:$Y$23, 2, FALSE)))+('PlayerGrades+'!$Y$52*(VLOOKUP(O428, 'PlayerGrades+'!$X$3:$Y$23, 2, FALSE)))+('PlayerGrades+'!$Y$53*(VLOOKUP(Q428, 'PlayerGrades+'!$X$3:$Y$23, 2, FALSE)))+('PlayerGrades+'!$Y$54*(VLOOKUP(S428, 'PlayerGrades+'!$X$3:$Y$23, 2, FALSE)))+('PlayerGrades+'!$Y$55*(VLOOKUP(U428, 'PlayerGrades+'!$X$3:$Y$23, 2, FALSE)))</f>
        <v>#DIV/0!</v>
      </c>
      <c r="D428" s="961" t="str">
        <f t="shared" si="1"/>
        <v>#DIV/0!</v>
      </c>
      <c r="E428" s="961" t="str">
        <f>IF(D428&lt;'PlayerGrades+'!$AA$21,"F-",IF(D428&lt;'PlayerGrades+'!$AA$20,"F",IF(D428&lt;'PlayerGrades+'!$AA$19,"F+",IF(D428&lt;'PlayerGrades+'!$AA$18,"E-",IF(D428&lt;'PlayerGrades+'!$AA$17,"E",IF(D428&lt;'PlayerGrades+'!$AA$16,"E+",IF(D428&lt;'PlayerGrades+'!$AA$15,"D-",IF(D428&lt;'PlayerGrades+'!$AA$14,"D",IF(D428&lt;'PlayerGrades+'!$AA$13,"D+",IF(D428&lt;'PlayerGrades+'!$AA$12,"C-",IF(D428&lt;'PlayerGrades+'!$AA$11,"C",IF(D428&lt;'PlayerGrades+'!$AA$10,"C+",IF(D428&lt;'PlayerGrades+'!$AA$9,"B-",IF(D428&lt;'PlayerGrades+'!$AA$8,"B",IF(D428&lt;'PlayerGrades+'!$AA$7,"B+",IF(D428&lt;'PlayerGrades+'!$AA$6,"A-",IF(D428&lt;'PlayerGrades+'!$AA$5,"A",IF(D428&lt;'PlayerGrades+'!$AA$4,"A+",IF(D428&lt;'PlayerGrades+'!$AA$3,"S-",IF(D428&lt;'PlayerGrades+'!$AA$2,"S","S+"))))))))))))))))))))</f>
        <v>#DIV/0!</v>
      </c>
      <c r="F428" s="961" t="str">
        <f t="shared" si="2"/>
        <v>#DIV/0!</v>
      </c>
      <c r="G428" s="961" t="str">
        <f>IF(F428&lt;'PlayerGrades+'!$AB$21,"F-",IF(F428&lt;'PlayerGrades+'!$AB$20,"F",IF(F428&lt;'PlayerGrades+'!$AB$19,"F+",IF(F428&lt;'PlayerGrades+'!$AB$18,"E-",IF(F428&lt;'PlayerGrades+'!$AB$17,"E",IF(F428&lt;'PlayerGrades+'!$AB$16,"E+",IF(F428&lt;'PlayerGrades+'!$AB$15,"D-",IF(F428&lt;'PlayerGrades+'!$AB$14,"D",IF(F428&lt;'PlayerGrades+'!$AB$13,"D+",IF(F428&lt;'PlayerGrades+'!$AB$12,"C-",IF(F428&lt;'PlayerGrades+'!$AB$11,"C",IF(F428&lt;'PlayerGrades+'!$AB$10,"C+",IF(F428&lt;'PlayerGrades+'!$AB$9,"B-",IF(F428&lt;'PlayerGrades+'!$AB$8,"B",IF(F428&lt;'PlayerGrades+'!$AB$7,"B+",IF(F428&lt;'PlayerGrades+'!$AB$6,"A-",IF(F428&lt;'PlayerGrades+'!$AB$5,"A",IF(F428&lt;'PlayerGrades+'!$AB$4,"A+",IF(F428&lt;'PlayerGrades+'!$AB$3,"S-",IF(F428&lt;'PlayerGrades+'!$AB$2,"S","S+"))))))))))))))))))))</f>
        <v>#DIV/0!</v>
      </c>
      <c r="H428" s="961" t="str">
        <f t="shared" si="3"/>
        <v>#DIV/0!</v>
      </c>
      <c r="I428" s="961" t="str">
        <f>IF(H428&lt;'PlayerGrades+'!$AC$21,"F-",IF(H428&lt;'PlayerGrades+'!$AC$20,"F",IF(H428&lt;'PlayerGrades+'!$AC$19,"F+",IF(H428&lt;'PlayerGrades+'!$AC$18,"E-",IF(H428&lt;'PlayerGrades+'!$AC$17,"E",IF(H428&lt;'PlayerGrades+'!$AC$16,"E+",IF(H428&lt;'PlayerGrades+'!$AC$15,"D-",IF(H428&lt;'PlayerGrades+'!$AC$14,"D",IF(H428&lt;'PlayerGrades+'!$AC$13,"D+",IF(H428&lt;'PlayerGrades+'!$AC$12,"C-",IF(H428&lt;'PlayerGrades+'!$AC$11,"C",IF(H428&lt;'PlayerGrades+'!$AC$10,"C+",IF(H428&lt;'PlayerGrades+'!$AC$9,"B-",IF(H428&lt;'PlayerGrades+'!$AC$8,"B",IF(H428&lt;'PlayerGrades+'!$AC$7,"B+",IF(H428&lt;'PlayerGrades+'!$AC$6,"A-",IF(H428&lt;'PlayerGrades+'!$AC$5,"A",IF(H428&lt;'PlayerGrades+'!$AC$4,"A+",IF(H428&lt;'PlayerGrades+'!$AC$3,"S-",IF(H428&lt;'PlayerGrades+'!$AC$2,"S","S+"))))))))))))))))))))</f>
        <v>#DIV/0!</v>
      </c>
      <c r="J428" s="961" t="str">
        <f t="shared" si="4"/>
        <v>#DIV/0!</v>
      </c>
      <c r="K428" s="961" t="str">
        <f>IF(J428&lt;'PlayerGrades+'!$AD$21,"F-",IF(J428&lt;'PlayerGrades+'!$AD$20,"F",IF(J428&lt;'PlayerGrades+'!$AD$19,"F+",IF(J428&lt;'PlayerGrades+'!$AD$18,"E-",IF(J428&lt;'PlayerGrades+'!$AD$17,"E",IF(J428&lt;'PlayerGrades+'!$AD$16,"E+",IF(J428&lt;'PlayerGrades+'!$AD$15,"D-",IF(J428&lt;'PlayerGrades+'!$AD$14,"D",IF(J428&lt;'PlayerGrades+'!$AD$13,"D+",IF(J428&lt;'PlayerGrades+'!$AD$12,"C-",IF(J428&lt;'PlayerGrades+'!$AD$11,"C",IF(J428&lt;'PlayerGrades+'!$AD$10,"C+",IF(J428&lt;'PlayerGrades+'!$AD$9,"B-",IF(J428&lt;'PlayerGrades+'!$AD$8,"B",IF(J428&lt;'PlayerGrades+'!$AD$7,"B+",IF(J428&lt;'PlayerGrades+'!$AD$6,"A-",IF(J428&lt;'PlayerGrades+'!$AD$5,"A",IF(J428&lt;'PlayerGrades+'!$AD$4,"A+",IF(J428&lt;'PlayerGrades+'!$AD$3,"S-",IF(J428&lt;'PlayerGrades+'!$AD$2,"S","S+"))))))))))))))))))))</f>
        <v>#DIV/0!</v>
      </c>
      <c r="L428" s="1176" t="str">
        <f t="shared" si="5"/>
        <v>#DIV/0!</v>
      </c>
      <c r="M428" s="992" t="str">
        <f>IF(L428&lt;'PlayerGrades+'!$AE$21,"F-",IF(L428&lt;'PlayerGrades+'!$AE$20,"F",IF(L428&lt;'PlayerGrades+'!$AE$19,"F+",IF(L428&lt;'PlayerGrades+'!$AE$18,"E-",IF(L428&lt;'PlayerGrades+'!$AE$17,"E",IF(L428&lt;'PlayerGrades+'!$AE$16,"E+",IF(L428&lt;'PlayerGrades+'!$AE$15,"D-",IF(L428&lt;'PlayerGrades+'!$AE$14,"D",IF(L428&lt;'PlayerGrades+'!$AE$13,"D+",IF(L428&lt;'PlayerGrades+'!$AE$12,"C-",IF(L428&lt;'PlayerGrades+'!$AE$11,"C",IF(L428&lt;'PlayerGrades+'!$AE$10,"C+",IF(L428&lt;'PlayerGrades+'!$AE$9,"B-",IF(L428&lt;'PlayerGrades+'!$AE$8,"B",IF(L428&lt;'PlayerGrades+'!$AE$7,"B+",IF(L428&lt;'PlayerGrades+'!$AE$6,"A-",IF(L428&lt;'PlayerGrades+'!$AE$5,"A",IF(L428&lt;'PlayerGrades+'!$AE$4,"A+",IF(L428&lt;'PlayerGrades+'!$AE$3,"S-",IF(L428&lt;'PlayerGrades+'!$AE$2,"S","S+"))))))))))))))))))))</f>
        <v>#DIV/0!</v>
      </c>
      <c r="N428" s="961" t="str">
        <f t="shared" si="6"/>
        <v>#DIV/0!</v>
      </c>
      <c r="O428" s="961" t="str">
        <f>IF(N428&lt;'PlayerGrades+'!$AF$21,"F-",IF(N428&lt;'PlayerGrades+'!$AF$20,"F",IF(N428&lt;'PlayerGrades+'!$AF$19,"F+",IF(N428&lt;'PlayerGrades+'!$AF$18,"E-",IF(N428&lt;'PlayerGrades+'!$AF$17,"E",IF(N428&lt;'PlayerGrades+'!$AF$16,"E+",IF(N428&lt;'PlayerGrades+'!$AF$15,"D-",IF(N428&lt;'PlayerGrades+'!$AF$14,"D",IF(N428&lt;'PlayerGrades+'!$AF$13,"D+",IF(N428&lt;'PlayerGrades+'!$AF$12,"C-",IF(N428&lt;'PlayerGrades+'!$AF$11,"C",IF(N428&lt;'PlayerGrades+'!$AF$10,"C+",IF(N428&lt;'PlayerGrades+'!$AF$9,"B-",IF(N428&lt;'PlayerGrades+'!$AF$8,"B",IF(N428&lt;'PlayerGrades+'!$AF$7,"B+",IF(N428&lt;'PlayerGrades+'!$AF$6,"A-",IF(N428&lt;'PlayerGrades+'!$AF$5,"A",IF(N428&lt;'PlayerGrades+'!$AF$4,"A+",IF(N428&lt;'PlayerGrades+'!$AF$3,"S-",IF(N428&lt;'PlayerGrades+'!$AF$2,"S","S+"))))))))))))))))))))</f>
        <v>#DIV/0!</v>
      </c>
      <c r="P428" s="961" t="str">
        <f t="shared" si="7"/>
        <v>#DIV/0!</v>
      </c>
      <c r="Q428" s="961" t="str">
        <f>IF(P428&lt;'PlayerGrades+'!$AG$21,"F-",IF(P428&lt;'PlayerGrades+'!$AG$20,"F",IF(P428&lt;'PlayerGrades+'!$AG$19,"F+",IF(P428&lt;'PlayerGrades+'!$AG$18,"E-",IF(P428&lt;'PlayerGrades+'!$AG$17,"E",IF(P428&lt;'PlayerGrades+'!$AG$16,"E+",IF(P428&lt;'PlayerGrades+'!$AG$15,"D-",IF(P428&lt;'PlayerGrades+'!$AG$14,"D",IF(P428&lt;'PlayerGrades+'!$AG$13,"D+",IF(P428&lt;'PlayerGrades+'!$AG$12,"C-",IF(P428&lt;'PlayerGrades+'!$AG$11,"C",IF(P428&lt;'PlayerGrades+'!$AG$10,"C+",IF(P428&lt;'PlayerGrades+'!$AG$9,"B-",IF(P428&lt;'PlayerGrades+'!$AG$8,"B",IF(P428&lt;'PlayerGrades+'!$AG$7,"B+",IF(P428&lt;'PlayerGrades+'!$AG$6,"A-",IF(P428&lt;'PlayerGrades+'!$AG$5,"A",IF(P428&lt;'PlayerGrades+'!$AG$4,"A+",IF(P428&lt;'PlayerGrades+'!$AG$3,"S-",IF(P428&lt;'PlayerGrades+'!$AG$2,"S","S+"))))))))))))))))))))</f>
        <v>#DIV/0!</v>
      </c>
      <c r="R428" s="961" t="str">
        <f t="shared" si="8"/>
        <v>#DIV/0!</v>
      </c>
      <c r="S428" s="961" t="str">
        <f>IF(R428&lt;'PlayerGrades+'!$AH$21,"F-",IF(R428&lt;'PlayerGrades+'!$AH$20,"F",IF(R428&lt;'PlayerGrades+'!$AH$19,"F+",IF(R428&lt;'PlayerGrades+'!$AH$18,"E-",IF(R428&lt;'PlayerGrades+'!$AH$17,"E",IF(R428&lt;'PlayerGrades+'!$AH$16,"E+",IF(R428&lt;'PlayerGrades+'!$AH$15,"D-",IF(R428&lt;'PlayerGrades+'!$AH$14,"D",IF(R428&lt;'PlayerGrades+'!$AH$13,"D+",IF(R428&lt;'PlayerGrades+'!$AH$12,"C-",IF(R428&lt;'PlayerGrades+'!$AH$11,"C",IF(R428&lt;'PlayerGrades+'!$AH$10,"C+",IF(R428&lt;'PlayerGrades+'!$AH$9,"B-",IF(R428&lt;'PlayerGrades+'!$AH$8,"B",IF(R428&lt;'PlayerGrades+'!$AH$7,"B+",IF(R428&lt;'PlayerGrades+'!$AH$6,"A-",IF(R428&lt;'PlayerGrades+'!$AH$5,"A",IF(R428&lt;'PlayerGrades+'!$AH$4,"A+",IF(R428&lt;'PlayerGrades+'!$AH$3,"S-",IF(R428&lt;'PlayerGrades+'!$AH$2,"S","S+"))))))))))))))))))))</f>
        <v>#DIV/0!</v>
      </c>
      <c r="T428" s="961">
        <f t="shared" si="9"/>
        <v>0</v>
      </c>
      <c r="U428" s="961" t="str">
        <f>IF(T428&lt;'PlayerGrades+'!$AI$21,"F-",IF(T428&lt;'PlayerGrades+'!$AI$20,"F",IF(T428&lt;'PlayerGrades+'!$AI$19,"F+",IF(T428&lt;'PlayerGrades+'!$AI$18,"E-",IF(T428&lt;'PlayerGrades+'!$AI$17,"E",IF(T428&lt;'PlayerGrades+'!$AI$16,"E+",IF(T428&lt;'PlayerGrades+'!$AI$15,"D-",IF(T428&lt;'PlayerGrades+'!$AI$14,"D",IF(T428&lt;'PlayerGrades+'!$AI$13,"D+",IF(T428&lt;'PlayerGrades+'!$AI$12,"C-",IF(T428&lt;'PlayerGrades+'!$AI$11,"C",IF(T428&lt;'PlayerGrades+'!$AI$10,"C+",IF(T428&lt;'PlayerGrades+'!$AI$9,"B-",IF(T428&lt;'PlayerGrades+'!$AI$8,"B",IF(T428&lt;'PlayerGrades+'!$AI$7,"B+",IF(T428&lt;'PlayerGrades+'!$AI$6,"A-",IF(T428&lt;'PlayerGrades+'!$AI$5,"A",IF(T428&lt;'PlayerGrades+'!$AI$4,"A+",IF(T428&lt;'PlayerGrades+'!$AI$3,"S-",IF(T428&lt;'PlayerGrades+'!$AI$2,"S","S+"))))))))))))))))))))</f>
        <v>F-</v>
      </c>
      <c r="AC428" s="1392"/>
    </row>
    <row r="429">
      <c r="A429" s="1391"/>
      <c r="B429" s="611" t="str">
        <f>IF(C429&lt;'PlayerGrades+'!$Y$44,"F-",IF(C429&lt;'PlayerGrades+'!$Y$43,"F",IF(C429&lt;'PlayerGrades+'!$Y$42,"F+",IF(C429&lt;'PlayerGrades+'!$Y$41,"E-",IF(C429&lt;'PlayerGrades+'!$Y$40,"E",IF(C429&lt;'PlayerGrades+'!$Y$39,"E+",IF(C429&lt;'PlayerGrades+'!$Y$38,"D-",IF(C429&lt;'PlayerGrades+'!$Y$37,"D",IF(C429&lt;'PlayerGrades+'!$Y$36,"D+",IF(C429&lt;'PlayerGrades+'!$Y$35,"C-",IF(C429&lt;'PlayerGrades+'!$Y$34,"C",IF(C429&lt;'PlayerGrades+'!$Y$33,"C+",IF(C429&lt;'PlayerGrades+'!$Y$32,"B-",IF(C429&lt;'PlayerGrades+'!$Y$31,"B",IF(C429&lt;'PlayerGrades+'!$Y$30,"B+",IF(C429&lt;'PlayerGrades+'!$Y$29,"A-",IF(C429&lt;'PlayerGrades+'!$Y$28,"A",IF(C429&lt;'PlayerGrades+'!$Y$27,"A+",IF(C429&lt;'PlayerGrades+'!$Y$26,"S-",IF(C429&lt;'PlayerGrades+'!$Y$25,"S","S+"))))))))))))))))))))</f>
        <v>#DIV/0!</v>
      </c>
      <c r="C429" s="1378" t="str">
        <f>('PlayerGrades+'!$Y$47*(VLOOKUP(E429, 'PlayerGrades+'!$X$3:$Y$23, 2, FALSE)))+('PlayerGrades+'!$Y$48*(VLOOKUP(G429, 'PlayerGrades+'!$X$3:$Y$23, 2, FALSE)))+('PlayerGrades+'!$Y$49*(VLOOKUP(I429, 'PlayerGrades+'!$X$3:$Y$23, 2, FALSE)))+('PlayerGrades+'!$Y$50*(VLOOKUP(K429, 'PlayerGrades+'!$X$3:$Y$23, 2, FALSE)))+('PlayerGrades+'!$Y$51*(VLOOKUP(M429, 'PlayerGrades+'!$X$3:$Y$23, 2, FALSE)))+('PlayerGrades+'!$Y$52*(VLOOKUP(O429, 'PlayerGrades+'!$X$3:$Y$23, 2, FALSE)))+('PlayerGrades+'!$Y$53*(VLOOKUP(Q429, 'PlayerGrades+'!$X$3:$Y$23, 2, FALSE)))+('PlayerGrades+'!$Y$54*(VLOOKUP(S429, 'PlayerGrades+'!$X$3:$Y$23, 2, FALSE)))+('PlayerGrades+'!$Y$55*(VLOOKUP(U429, 'PlayerGrades+'!$X$3:$Y$23, 2, FALSE)))</f>
        <v>#DIV/0!</v>
      </c>
      <c r="D429" s="961" t="str">
        <f t="shared" si="1"/>
        <v>#DIV/0!</v>
      </c>
      <c r="E429" s="961" t="str">
        <f>IF(D429&lt;'PlayerGrades+'!$AA$21,"F-",IF(D429&lt;'PlayerGrades+'!$AA$20,"F",IF(D429&lt;'PlayerGrades+'!$AA$19,"F+",IF(D429&lt;'PlayerGrades+'!$AA$18,"E-",IF(D429&lt;'PlayerGrades+'!$AA$17,"E",IF(D429&lt;'PlayerGrades+'!$AA$16,"E+",IF(D429&lt;'PlayerGrades+'!$AA$15,"D-",IF(D429&lt;'PlayerGrades+'!$AA$14,"D",IF(D429&lt;'PlayerGrades+'!$AA$13,"D+",IF(D429&lt;'PlayerGrades+'!$AA$12,"C-",IF(D429&lt;'PlayerGrades+'!$AA$11,"C",IF(D429&lt;'PlayerGrades+'!$AA$10,"C+",IF(D429&lt;'PlayerGrades+'!$AA$9,"B-",IF(D429&lt;'PlayerGrades+'!$AA$8,"B",IF(D429&lt;'PlayerGrades+'!$AA$7,"B+",IF(D429&lt;'PlayerGrades+'!$AA$6,"A-",IF(D429&lt;'PlayerGrades+'!$AA$5,"A",IF(D429&lt;'PlayerGrades+'!$AA$4,"A+",IF(D429&lt;'PlayerGrades+'!$AA$3,"S-",IF(D429&lt;'PlayerGrades+'!$AA$2,"S","S+"))))))))))))))))))))</f>
        <v>#DIV/0!</v>
      </c>
      <c r="F429" s="961" t="str">
        <f t="shared" si="2"/>
        <v>#DIV/0!</v>
      </c>
      <c r="G429" s="961" t="str">
        <f>IF(F429&lt;'PlayerGrades+'!$AB$21,"F-",IF(F429&lt;'PlayerGrades+'!$AB$20,"F",IF(F429&lt;'PlayerGrades+'!$AB$19,"F+",IF(F429&lt;'PlayerGrades+'!$AB$18,"E-",IF(F429&lt;'PlayerGrades+'!$AB$17,"E",IF(F429&lt;'PlayerGrades+'!$AB$16,"E+",IF(F429&lt;'PlayerGrades+'!$AB$15,"D-",IF(F429&lt;'PlayerGrades+'!$AB$14,"D",IF(F429&lt;'PlayerGrades+'!$AB$13,"D+",IF(F429&lt;'PlayerGrades+'!$AB$12,"C-",IF(F429&lt;'PlayerGrades+'!$AB$11,"C",IF(F429&lt;'PlayerGrades+'!$AB$10,"C+",IF(F429&lt;'PlayerGrades+'!$AB$9,"B-",IF(F429&lt;'PlayerGrades+'!$AB$8,"B",IF(F429&lt;'PlayerGrades+'!$AB$7,"B+",IF(F429&lt;'PlayerGrades+'!$AB$6,"A-",IF(F429&lt;'PlayerGrades+'!$AB$5,"A",IF(F429&lt;'PlayerGrades+'!$AB$4,"A+",IF(F429&lt;'PlayerGrades+'!$AB$3,"S-",IF(F429&lt;'PlayerGrades+'!$AB$2,"S","S+"))))))))))))))))))))</f>
        <v>#DIV/0!</v>
      </c>
      <c r="H429" s="961" t="str">
        <f t="shared" si="3"/>
        <v>#DIV/0!</v>
      </c>
      <c r="I429" s="961" t="str">
        <f>IF(H429&lt;'PlayerGrades+'!$AC$21,"F-",IF(H429&lt;'PlayerGrades+'!$AC$20,"F",IF(H429&lt;'PlayerGrades+'!$AC$19,"F+",IF(H429&lt;'PlayerGrades+'!$AC$18,"E-",IF(H429&lt;'PlayerGrades+'!$AC$17,"E",IF(H429&lt;'PlayerGrades+'!$AC$16,"E+",IF(H429&lt;'PlayerGrades+'!$AC$15,"D-",IF(H429&lt;'PlayerGrades+'!$AC$14,"D",IF(H429&lt;'PlayerGrades+'!$AC$13,"D+",IF(H429&lt;'PlayerGrades+'!$AC$12,"C-",IF(H429&lt;'PlayerGrades+'!$AC$11,"C",IF(H429&lt;'PlayerGrades+'!$AC$10,"C+",IF(H429&lt;'PlayerGrades+'!$AC$9,"B-",IF(H429&lt;'PlayerGrades+'!$AC$8,"B",IF(H429&lt;'PlayerGrades+'!$AC$7,"B+",IF(H429&lt;'PlayerGrades+'!$AC$6,"A-",IF(H429&lt;'PlayerGrades+'!$AC$5,"A",IF(H429&lt;'PlayerGrades+'!$AC$4,"A+",IF(H429&lt;'PlayerGrades+'!$AC$3,"S-",IF(H429&lt;'PlayerGrades+'!$AC$2,"S","S+"))))))))))))))))))))</f>
        <v>#DIV/0!</v>
      </c>
      <c r="J429" s="961" t="str">
        <f t="shared" si="4"/>
        <v>#DIV/0!</v>
      </c>
      <c r="K429" s="961" t="str">
        <f>IF(J429&lt;'PlayerGrades+'!$AD$21,"F-",IF(J429&lt;'PlayerGrades+'!$AD$20,"F",IF(J429&lt;'PlayerGrades+'!$AD$19,"F+",IF(J429&lt;'PlayerGrades+'!$AD$18,"E-",IF(J429&lt;'PlayerGrades+'!$AD$17,"E",IF(J429&lt;'PlayerGrades+'!$AD$16,"E+",IF(J429&lt;'PlayerGrades+'!$AD$15,"D-",IF(J429&lt;'PlayerGrades+'!$AD$14,"D",IF(J429&lt;'PlayerGrades+'!$AD$13,"D+",IF(J429&lt;'PlayerGrades+'!$AD$12,"C-",IF(J429&lt;'PlayerGrades+'!$AD$11,"C",IF(J429&lt;'PlayerGrades+'!$AD$10,"C+",IF(J429&lt;'PlayerGrades+'!$AD$9,"B-",IF(J429&lt;'PlayerGrades+'!$AD$8,"B",IF(J429&lt;'PlayerGrades+'!$AD$7,"B+",IF(J429&lt;'PlayerGrades+'!$AD$6,"A-",IF(J429&lt;'PlayerGrades+'!$AD$5,"A",IF(J429&lt;'PlayerGrades+'!$AD$4,"A+",IF(J429&lt;'PlayerGrades+'!$AD$3,"S-",IF(J429&lt;'PlayerGrades+'!$AD$2,"S","S+"))))))))))))))))))))</f>
        <v>#DIV/0!</v>
      </c>
      <c r="L429" s="1176" t="str">
        <f t="shared" si="5"/>
        <v>#DIV/0!</v>
      </c>
      <c r="M429" s="992" t="str">
        <f>IF(L429&lt;'PlayerGrades+'!$AE$21,"F-",IF(L429&lt;'PlayerGrades+'!$AE$20,"F",IF(L429&lt;'PlayerGrades+'!$AE$19,"F+",IF(L429&lt;'PlayerGrades+'!$AE$18,"E-",IF(L429&lt;'PlayerGrades+'!$AE$17,"E",IF(L429&lt;'PlayerGrades+'!$AE$16,"E+",IF(L429&lt;'PlayerGrades+'!$AE$15,"D-",IF(L429&lt;'PlayerGrades+'!$AE$14,"D",IF(L429&lt;'PlayerGrades+'!$AE$13,"D+",IF(L429&lt;'PlayerGrades+'!$AE$12,"C-",IF(L429&lt;'PlayerGrades+'!$AE$11,"C",IF(L429&lt;'PlayerGrades+'!$AE$10,"C+",IF(L429&lt;'PlayerGrades+'!$AE$9,"B-",IF(L429&lt;'PlayerGrades+'!$AE$8,"B",IF(L429&lt;'PlayerGrades+'!$AE$7,"B+",IF(L429&lt;'PlayerGrades+'!$AE$6,"A-",IF(L429&lt;'PlayerGrades+'!$AE$5,"A",IF(L429&lt;'PlayerGrades+'!$AE$4,"A+",IF(L429&lt;'PlayerGrades+'!$AE$3,"S-",IF(L429&lt;'PlayerGrades+'!$AE$2,"S","S+"))))))))))))))))))))</f>
        <v>#DIV/0!</v>
      </c>
      <c r="N429" s="961" t="str">
        <f t="shared" si="6"/>
        <v>#DIV/0!</v>
      </c>
      <c r="O429" s="961" t="str">
        <f>IF(N429&lt;'PlayerGrades+'!$AF$21,"F-",IF(N429&lt;'PlayerGrades+'!$AF$20,"F",IF(N429&lt;'PlayerGrades+'!$AF$19,"F+",IF(N429&lt;'PlayerGrades+'!$AF$18,"E-",IF(N429&lt;'PlayerGrades+'!$AF$17,"E",IF(N429&lt;'PlayerGrades+'!$AF$16,"E+",IF(N429&lt;'PlayerGrades+'!$AF$15,"D-",IF(N429&lt;'PlayerGrades+'!$AF$14,"D",IF(N429&lt;'PlayerGrades+'!$AF$13,"D+",IF(N429&lt;'PlayerGrades+'!$AF$12,"C-",IF(N429&lt;'PlayerGrades+'!$AF$11,"C",IF(N429&lt;'PlayerGrades+'!$AF$10,"C+",IF(N429&lt;'PlayerGrades+'!$AF$9,"B-",IF(N429&lt;'PlayerGrades+'!$AF$8,"B",IF(N429&lt;'PlayerGrades+'!$AF$7,"B+",IF(N429&lt;'PlayerGrades+'!$AF$6,"A-",IF(N429&lt;'PlayerGrades+'!$AF$5,"A",IF(N429&lt;'PlayerGrades+'!$AF$4,"A+",IF(N429&lt;'PlayerGrades+'!$AF$3,"S-",IF(N429&lt;'PlayerGrades+'!$AF$2,"S","S+"))))))))))))))))))))</f>
        <v>#DIV/0!</v>
      </c>
      <c r="P429" s="961" t="str">
        <f t="shared" si="7"/>
        <v>#DIV/0!</v>
      </c>
      <c r="Q429" s="961" t="str">
        <f>IF(P429&lt;'PlayerGrades+'!$AG$21,"F-",IF(P429&lt;'PlayerGrades+'!$AG$20,"F",IF(P429&lt;'PlayerGrades+'!$AG$19,"F+",IF(P429&lt;'PlayerGrades+'!$AG$18,"E-",IF(P429&lt;'PlayerGrades+'!$AG$17,"E",IF(P429&lt;'PlayerGrades+'!$AG$16,"E+",IF(P429&lt;'PlayerGrades+'!$AG$15,"D-",IF(P429&lt;'PlayerGrades+'!$AG$14,"D",IF(P429&lt;'PlayerGrades+'!$AG$13,"D+",IF(P429&lt;'PlayerGrades+'!$AG$12,"C-",IF(P429&lt;'PlayerGrades+'!$AG$11,"C",IF(P429&lt;'PlayerGrades+'!$AG$10,"C+",IF(P429&lt;'PlayerGrades+'!$AG$9,"B-",IF(P429&lt;'PlayerGrades+'!$AG$8,"B",IF(P429&lt;'PlayerGrades+'!$AG$7,"B+",IF(P429&lt;'PlayerGrades+'!$AG$6,"A-",IF(P429&lt;'PlayerGrades+'!$AG$5,"A",IF(P429&lt;'PlayerGrades+'!$AG$4,"A+",IF(P429&lt;'PlayerGrades+'!$AG$3,"S-",IF(P429&lt;'PlayerGrades+'!$AG$2,"S","S+"))))))))))))))))))))</f>
        <v>#DIV/0!</v>
      </c>
      <c r="R429" s="961" t="str">
        <f t="shared" si="8"/>
        <v>#DIV/0!</v>
      </c>
      <c r="S429" s="961" t="str">
        <f>IF(R429&lt;'PlayerGrades+'!$AH$21,"F-",IF(R429&lt;'PlayerGrades+'!$AH$20,"F",IF(R429&lt;'PlayerGrades+'!$AH$19,"F+",IF(R429&lt;'PlayerGrades+'!$AH$18,"E-",IF(R429&lt;'PlayerGrades+'!$AH$17,"E",IF(R429&lt;'PlayerGrades+'!$AH$16,"E+",IF(R429&lt;'PlayerGrades+'!$AH$15,"D-",IF(R429&lt;'PlayerGrades+'!$AH$14,"D",IF(R429&lt;'PlayerGrades+'!$AH$13,"D+",IF(R429&lt;'PlayerGrades+'!$AH$12,"C-",IF(R429&lt;'PlayerGrades+'!$AH$11,"C",IF(R429&lt;'PlayerGrades+'!$AH$10,"C+",IF(R429&lt;'PlayerGrades+'!$AH$9,"B-",IF(R429&lt;'PlayerGrades+'!$AH$8,"B",IF(R429&lt;'PlayerGrades+'!$AH$7,"B+",IF(R429&lt;'PlayerGrades+'!$AH$6,"A-",IF(R429&lt;'PlayerGrades+'!$AH$5,"A",IF(R429&lt;'PlayerGrades+'!$AH$4,"A+",IF(R429&lt;'PlayerGrades+'!$AH$3,"S-",IF(R429&lt;'PlayerGrades+'!$AH$2,"S","S+"))))))))))))))))))))</f>
        <v>#DIV/0!</v>
      </c>
      <c r="T429" s="961">
        <f t="shared" si="9"/>
        <v>0</v>
      </c>
      <c r="U429" s="961" t="str">
        <f>IF(T429&lt;'PlayerGrades+'!$AI$21,"F-",IF(T429&lt;'PlayerGrades+'!$AI$20,"F",IF(T429&lt;'PlayerGrades+'!$AI$19,"F+",IF(T429&lt;'PlayerGrades+'!$AI$18,"E-",IF(T429&lt;'PlayerGrades+'!$AI$17,"E",IF(T429&lt;'PlayerGrades+'!$AI$16,"E+",IF(T429&lt;'PlayerGrades+'!$AI$15,"D-",IF(T429&lt;'PlayerGrades+'!$AI$14,"D",IF(T429&lt;'PlayerGrades+'!$AI$13,"D+",IF(T429&lt;'PlayerGrades+'!$AI$12,"C-",IF(T429&lt;'PlayerGrades+'!$AI$11,"C",IF(T429&lt;'PlayerGrades+'!$AI$10,"C+",IF(T429&lt;'PlayerGrades+'!$AI$9,"B-",IF(T429&lt;'PlayerGrades+'!$AI$8,"B",IF(T429&lt;'PlayerGrades+'!$AI$7,"B+",IF(T429&lt;'PlayerGrades+'!$AI$6,"A-",IF(T429&lt;'PlayerGrades+'!$AI$5,"A",IF(T429&lt;'PlayerGrades+'!$AI$4,"A+",IF(T429&lt;'PlayerGrades+'!$AI$3,"S-",IF(T429&lt;'PlayerGrades+'!$AI$2,"S","S+"))))))))))))))))))))</f>
        <v>F-</v>
      </c>
      <c r="AC429" s="1392"/>
    </row>
    <row r="430">
      <c r="A430" s="1391"/>
      <c r="B430" s="611" t="str">
        <f>IF(C430&lt;'PlayerGrades+'!$Y$44,"F-",IF(C430&lt;'PlayerGrades+'!$Y$43,"F",IF(C430&lt;'PlayerGrades+'!$Y$42,"F+",IF(C430&lt;'PlayerGrades+'!$Y$41,"E-",IF(C430&lt;'PlayerGrades+'!$Y$40,"E",IF(C430&lt;'PlayerGrades+'!$Y$39,"E+",IF(C430&lt;'PlayerGrades+'!$Y$38,"D-",IF(C430&lt;'PlayerGrades+'!$Y$37,"D",IF(C430&lt;'PlayerGrades+'!$Y$36,"D+",IF(C430&lt;'PlayerGrades+'!$Y$35,"C-",IF(C430&lt;'PlayerGrades+'!$Y$34,"C",IF(C430&lt;'PlayerGrades+'!$Y$33,"C+",IF(C430&lt;'PlayerGrades+'!$Y$32,"B-",IF(C430&lt;'PlayerGrades+'!$Y$31,"B",IF(C430&lt;'PlayerGrades+'!$Y$30,"B+",IF(C430&lt;'PlayerGrades+'!$Y$29,"A-",IF(C430&lt;'PlayerGrades+'!$Y$28,"A",IF(C430&lt;'PlayerGrades+'!$Y$27,"A+",IF(C430&lt;'PlayerGrades+'!$Y$26,"S-",IF(C430&lt;'PlayerGrades+'!$Y$25,"S","S+"))))))))))))))))))))</f>
        <v>#DIV/0!</v>
      </c>
      <c r="C430" s="1378" t="str">
        <f>('PlayerGrades+'!$Y$47*(VLOOKUP(E430, 'PlayerGrades+'!$X$3:$Y$23, 2, FALSE)))+('PlayerGrades+'!$Y$48*(VLOOKUP(G430, 'PlayerGrades+'!$X$3:$Y$23, 2, FALSE)))+('PlayerGrades+'!$Y$49*(VLOOKUP(I430, 'PlayerGrades+'!$X$3:$Y$23, 2, FALSE)))+('PlayerGrades+'!$Y$50*(VLOOKUP(K430, 'PlayerGrades+'!$X$3:$Y$23, 2, FALSE)))+('PlayerGrades+'!$Y$51*(VLOOKUP(M430, 'PlayerGrades+'!$X$3:$Y$23, 2, FALSE)))+('PlayerGrades+'!$Y$52*(VLOOKUP(O430, 'PlayerGrades+'!$X$3:$Y$23, 2, FALSE)))+('PlayerGrades+'!$Y$53*(VLOOKUP(Q430, 'PlayerGrades+'!$X$3:$Y$23, 2, FALSE)))+('PlayerGrades+'!$Y$54*(VLOOKUP(S430, 'PlayerGrades+'!$X$3:$Y$23, 2, FALSE)))+('PlayerGrades+'!$Y$55*(VLOOKUP(U430, 'PlayerGrades+'!$X$3:$Y$23, 2, FALSE)))</f>
        <v>#DIV/0!</v>
      </c>
      <c r="D430" s="961" t="str">
        <f t="shared" si="1"/>
        <v>#DIV/0!</v>
      </c>
      <c r="E430" s="961" t="str">
        <f>IF(D430&lt;'PlayerGrades+'!$AA$21,"F-",IF(D430&lt;'PlayerGrades+'!$AA$20,"F",IF(D430&lt;'PlayerGrades+'!$AA$19,"F+",IF(D430&lt;'PlayerGrades+'!$AA$18,"E-",IF(D430&lt;'PlayerGrades+'!$AA$17,"E",IF(D430&lt;'PlayerGrades+'!$AA$16,"E+",IF(D430&lt;'PlayerGrades+'!$AA$15,"D-",IF(D430&lt;'PlayerGrades+'!$AA$14,"D",IF(D430&lt;'PlayerGrades+'!$AA$13,"D+",IF(D430&lt;'PlayerGrades+'!$AA$12,"C-",IF(D430&lt;'PlayerGrades+'!$AA$11,"C",IF(D430&lt;'PlayerGrades+'!$AA$10,"C+",IF(D430&lt;'PlayerGrades+'!$AA$9,"B-",IF(D430&lt;'PlayerGrades+'!$AA$8,"B",IF(D430&lt;'PlayerGrades+'!$AA$7,"B+",IF(D430&lt;'PlayerGrades+'!$AA$6,"A-",IF(D430&lt;'PlayerGrades+'!$AA$5,"A",IF(D430&lt;'PlayerGrades+'!$AA$4,"A+",IF(D430&lt;'PlayerGrades+'!$AA$3,"S-",IF(D430&lt;'PlayerGrades+'!$AA$2,"S","S+"))))))))))))))))))))</f>
        <v>#DIV/0!</v>
      </c>
      <c r="F430" s="961" t="str">
        <f t="shared" si="2"/>
        <v>#DIV/0!</v>
      </c>
      <c r="G430" s="961" t="str">
        <f>IF(F430&lt;'PlayerGrades+'!$AB$21,"F-",IF(F430&lt;'PlayerGrades+'!$AB$20,"F",IF(F430&lt;'PlayerGrades+'!$AB$19,"F+",IF(F430&lt;'PlayerGrades+'!$AB$18,"E-",IF(F430&lt;'PlayerGrades+'!$AB$17,"E",IF(F430&lt;'PlayerGrades+'!$AB$16,"E+",IF(F430&lt;'PlayerGrades+'!$AB$15,"D-",IF(F430&lt;'PlayerGrades+'!$AB$14,"D",IF(F430&lt;'PlayerGrades+'!$AB$13,"D+",IF(F430&lt;'PlayerGrades+'!$AB$12,"C-",IF(F430&lt;'PlayerGrades+'!$AB$11,"C",IF(F430&lt;'PlayerGrades+'!$AB$10,"C+",IF(F430&lt;'PlayerGrades+'!$AB$9,"B-",IF(F430&lt;'PlayerGrades+'!$AB$8,"B",IF(F430&lt;'PlayerGrades+'!$AB$7,"B+",IF(F430&lt;'PlayerGrades+'!$AB$6,"A-",IF(F430&lt;'PlayerGrades+'!$AB$5,"A",IF(F430&lt;'PlayerGrades+'!$AB$4,"A+",IF(F430&lt;'PlayerGrades+'!$AB$3,"S-",IF(F430&lt;'PlayerGrades+'!$AB$2,"S","S+"))))))))))))))))))))</f>
        <v>#DIV/0!</v>
      </c>
      <c r="H430" s="961" t="str">
        <f t="shared" si="3"/>
        <v>#DIV/0!</v>
      </c>
      <c r="I430" s="961" t="str">
        <f>IF(H430&lt;'PlayerGrades+'!$AC$21,"F-",IF(H430&lt;'PlayerGrades+'!$AC$20,"F",IF(H430&lt;'PlayerGrades+'!$AC$19,"F+",IF(H430&lt;'PlayerGrades+'!$AC$18,"E-",IF(H430&lt;'PlayerGrades+'!$AC$17,"E",IF(H430&lt;'PlayerGrades+'!$AC$16,"E+",IF(H430&lt;'PlayerGrades+'!$AC$15,"D-",IF(H430&lt;'PlayerGrades+'!$AC$14,"D",IF(H430&lt;'PlayerGrades+'!$AC$13,"D+",IF(H430&lt;'PlayerGrades+'!$AC$12,"C-",IF(H430&lt;'PlayerGrades+'!$AC$11,"C",IF(H430&lt;'PlayerGrades+'!$AC$10,"C+",IF(H430&lt;'PlayerGrades+'!$AC$9,"B-",IF(H430&lt;'PlayerGrades+'!$AC$8,"B",IF(H430&lt;'PlayerGrades+'!$AC$7,"B+",IF(H430&lt;'PlayerGrades+'!$AC$6,"A-",IF(H430&lt;'PlayerGrades+'!$AC$5,"A",IF(H430&lt;'PlayerGrades+'!$AC$4,"A+",IF(H430&lt;'PlayerGrades+'!$AC$3,"S-",IF(H430&lt;'PlayerGrades+'!$AC$2,"S","S+"))))))))))))))))))))</f>
        <v>#DIV/0!</v>
      </c>
      <c r="J430" s="961" t="str">
        <f t="shared" si="4"/>
        <v>#DIV/0!</v>
      </c>
      <c r="K430" s="961" t="str">
        <f>IF(J430&lt;'PlayerGrades+'!$AD$21,"F-",IF(J430&lt;'PlayerGrades+'!$AD$20,"F",IF(J430&lt;'PlayerGrades+'!$AD$19,"F+",IF(J430&lt;'PlayerGrades+'!$AD$18,"E-",IF(J430&lt;'PlayerGrades+'!$AD$17,"E",IF(J430&lt;'PlayerGrades+'!$AD$16,"E+",IF(J430&lt;'PlayerGrades+'!$AD$15,"D-",IF(J430&lt;'PlayerGrades+'!$AD$14,"D",IF(J430&lt;'PlayerGrades+'!$AD$13,"D+",IF(J430&lt;'PlayerGrades+'!$AD$12,"C-",IF(J430&lt;'PlayerGrades+'!$AD$11,"C",IF(J430&lt;'PlayerGrades+'!$AD$10,"C+",IF(J430&lt;'PlayerGrades+'!$AD$9,"B-",IF(J430&lt;'PlayerGrades+'!$AD$8,"B",IF(J430&lt;'PlayerGrades+'!$AD$7,"B+",IF(J430&lt;'PlayerGrades+'!$AD$6,"A-",IF(J430&lt;'PlayerGrades+'!$AD$5,"A",IF(J430&lt;'PlayerGrades+'!$AD$4,"A+",IF(J430&lt;'PlayerGrades+'!$AD$3,"S-",IF(J430&lt;'PlayerGrades+'!$AD$2,"S","S+"))))))))))))))))))))</f>
        <v>#DIV/0!</v>
      </c>
      <c r="L430" s="1176" t="str">
        <f t="shared" si="5"/>
        <v>#DIV/0!</v>
      </c>
      <c r="M430" s="992" t="str">
        <f>IF(L430&lt;'PlayerGrades+'!$AE$21,"F-",IF(L430&lt;'PlayerGrades+'!$AE$20,"F",IF(L430&lt;'PlayerGrades+'!$AE$19,"F+",IF(L430&lt;'PlayerGrades+'!$AE$18,"E-",IF(L430&lt;'PlayerGrades+'!$AE$17,"E",IF(L430&lt;'PlayerGrades+'!$AE$16,"E+",IF(L430&lt;'PlayerGrades+'!$AE$15,"D-",IF(L430&lt;'PlayerGrades+'!$AE$14,"D",IF(L430&lt;'PlayerGrades+'!$AE$13,"D+",IF(L430&lt;'PlayerGrades+'!$AE$12,"C-",IF(L430&lt;'PlayerGrades+'!$AE$11,"C",IF(L430&lt;'PlayerGrades+'!$AE$10,"C+",IF(L430&lt;'PlayerGrades+'!$AE$9,"B-",IF(L430&lt;'PlayerGrades+'!$AE$8,"B",IF(L430&lt;'PlayerGrades+'!$AE$7,"B+",IF(L430&lt;'PlayerGrades+'!$AE$6,"A-",IF(L430&lt;'PlayerGrades+'!$AE$5,"A",IF(L430&lt;'PlayerGrades+'!$AE$4,"A+",IF(L430&lt;'PlayerGrades+'!$AE$3,"S-",IF(L430&lt;'PlayerGrades+'!$AE$2,"S","S+"))))))))))))))))))))</f>
        <v>#DIV/0!</v>
      </c>
      <c r="N430" s="961" t="str">
        <f t="shared" si="6"/>
        <v>#DIV/0!</v>
      </c>
      <c r="O430" s="961" t="str">
        <f>IF(N430&lt;'PlayerGrades+'!$AF$21,"F-",IF(N430&lt;'PlayerGrades+'!$AF$20,"F",IF(N430&lt;'PlayerGrades+'!$AF$19,"F+",IF(N430&lt;'PlayerGrades+'!$AF$18,"E-",IF(N430&lt;'PlayerGrades+'!$AF$17,"E",IF(N430&lt;'PlayerGrades+'!$AF$16,"E+",IF(N430&lt;'PlayerGrades+'!$AF$15,"D-",IF(N430&lt;'PlayerGrades+'!$AF$14,"D",IF(N430&lt;'PlayerGrades+'!$AF$13,"D+",IF(N430&lt;'PlayerGrades+'!$AF$12,"C-",IF(N430&lt;'PlayerGrades+'!$AF$11,"C",IF(N430&lt;'PlayerGrades+'!$AF$10,"C+",IF(N430&lt;'PlayerGrades+'!$AF$9,"B-",IF(N430&lt;'PlayerGrades+'!$AF$8,"B",IF(N430&lt;'PlayerGrades+'!$AF$7,"B+",IF(N430&lt;'PlayerGrades+'!$AF$6,"A-",IF(N430&lt;'PlayerGrades+'!$AF$5,"A",IF(N430&lt;'PlayerGrades+'!$AF$4,"A+",IF(N430&lt;'PlayerGrades+'!$AF$3,"S-",IF(N430&lt;'PlayerGrades+'!$AF$2,"S","S+"))))))))))))))))))))</f>
        <v>#DIV/0!</v>
      </c>
      <c r="P430" s="961" t="str">
        <f t="shared" si="7"/>
        <v>#DIV/0!</v>
      </c>
      <c r="Q430" s="961" t="str">
        <f>IF(P430&lt;'PlayerGrades+'!$AG$21,"F-",IF(P430&lt;'PlayerGrades+'!$AG$20,"F",IF(P430&lt;'PlayerGrades+'!$AG$19,"F+",IF(P430&lt;'PlayerGrades+'!$AG$18,"E-",IF(P430&lt;'PlayerGrades+'!$AG$17,"E",IF(P430&lt;'PlayerGrades+'!$AG$16,"E+",IF(P430&lt;'PlayerGrades+'!$AG$15,"D-",IF(P430&lt;'PlayerGrades+'!$AG$14,"D",IF(P430&lt;'PlayerGrades+'!$AG$13,"D+",IF(P430&lt;'PlayerGrades+'!$AG$12,"C-",IF(P430&lt;'PlayerGrades+'!$AG$11,"C",IF(P430&lt;'PlayerGrades+'!$AG$10,"C+",IF(P430&lt;'PlayerGrades+'!$AG$9,"B-",IF(P430&lt;'PlayerGrades+'!$AG$8,"B",IF(P430&lt;'PlayerGrades+'!$AG$7,"B+",IF(P430&lt;'PlayerGrades+'!$AG$6,"A-",IF(P430&lt;'PlayerGrades+'!$AG$5,"A",IF(P430&lt;'PlayerGrades+'!$AG$4,"A+",IF(P430&lt;'PlayerGrades+'!$AG$3,"S-",IF(P430&lt;'PlayerGrades+'!$AG$2,"S","S+"))))))))))))))))))))</f>
        <v>#DIV/0!</v>
      </c>
      <c r="R430" s="961" t="str">
        <f t="shared" si="8"/>
        <v>#DIV/0!</v>
      </c>
      <c r="S430" s="961" t="str">
        <f>IF(R430&lt;'PlayerGrades+'!$AH$21,"F-",IF(R430&lt;'PlayerGrades+'!$AH$20,"F",IF(R430&lt;'PlayerGrades+'!$AH$19,"F+",IF(R430&lt;'PlayerGrades+'!$AH$18,"E-",IF(R430&lt;'PlayerGrades+'!$AH$17,"E",IF(R430&lt;'PlayerGrades+'!$AH$16,"E+",IF(R430&lt;'PlayerGrades+'!$AH$15,"D-",IF(R430&lt;'PlayerGrades+'!$AH$14,"D",IF(R430&lt;'PlayerGrades+'!$AH$13,"D+",IF(R430&lt;'PlayerGrades+'!$AH$12,"C-",IF(R430&lt;'PlayerGrades+'!$AH$11,"C",IF(R430&lt;'PlayerGrades+'!$AH$10,"C+",IF(R430&lt;'PlayerGrades+'!$AH$9,"B-",IF(R430&lt;'PlayerGrades+'!$AH$8,"B",IF(R430&lt;'PlayerGrades+'!$AH$7,"B+",IF(R430&lt;'PlayerGrades+'!$AH$6,"A-",IF(R430&lt;'PlayerGrades+'!$AH$5,"A",IF(R430&lt;'PlayerGrades+'!$AH$4,"A+",IF(R430&lt;'PlayerGrades+'!$AH$3,"S-",IF(R430&lt;'PlayerGrades+'!$AH$2,"S","S+"))))))))))))))))))))</f>
        <v>#DIV/0!</v>
      </c>
      <c r="T430" s="961">
        <f t="shared" si="9"/>
        <v>0</v>
      </c>
      <c r="U430" s="961" t="str">
        <f>IF(T430&lt;'PlayerGrades+'!$AI$21,"F-",IF(T430&lt;'PlayerGrades+'!$AI$20,"F",IF(T430&lt;'PlayerGrades+'!$AI$19,"F+",IF(T430&lt;'PlayerGrades+'!$AI$18,"E-",IF(T430&lt;'PlayerGrades+'!$AI$17,"E",IF(T430&lt;'PlayerGrades+'!$AI$16,"E+",IF(T430&lt;'PlayerGrades+'!$AI$15,"D-",IF(T430&lt;'PlayerGrades+'!$AI$14,"D",IF(T430&lt;'PlayerGrades+'!$AI$13,"D+",IF(T430&lt;'PlayerGrades+'!$AI$12,"C-",IF(T430&lt;'PlayerGrades+'!$AI$11,"C",IF(T430&lt;'PlayerGrades+'!$AI$10,"C+",IF(T430&lt;'PlayerGrades+'!$AI$9,"B-",IF(T430&lt;'PlayerGrades+'!$AI$8,"B",IF(T430&lt;'PlayerGrades+'!$AI$7,"B+",IF(T430&lt;'PlayerGrades+'!$AI$6,"A-",IF(T430&lt;'PlayerGrades+'!$AI$5,"A",IF(T430&lt;'PlayerGrades+'!$AI$4,"A+",IF(T430&lt;'PlayerGrades+'!$AI$3,"S-",IF(T430&lt;'PlayerGrades+'!$AI$2,"S","S+"))))))))))))))))))))</f>
        <v>F-</v>
      </c>
      <c r="AC430" s="1392"/>
    </row>
    <row r="431">
      <c r="A431" s="1391"/>
      <c r="B431" s="611" t="str">
        <f>IF(C431&lt;'PlayerGrades+'!$Y$44,"F-",IF(C431&lt;'PlayerGrades+'!$Y$43,"F",IF(C431&lt;'PlayerGrades+'!$Y$42,"F+",IF(C431&lt;'PlayerGrades+'!$Y$41,"E-",IF(C431&lt;'PlayerGrades+'!$Y$40,"E",IF(C431&lt;'PlayerGrades+'!$Y$39,"E+",IF(C431&lt;'PlayerGrades+'!$Y$38,"D-",IF(C431&lt;'PlayerGrades+'!$Y$37,"D",IF(C431&lt;'PlayerGrades+'!$Y$36,"D+",IF(C431&lt;'PlayerGrades+'!$Y$35,"C-",IF(C431&lt;'PlayerGrades+'!$Y$34,"C",IF(C431&lt;'PlayerGrades+'!$Y$33,"C+",IF(C431&lt;'PlayerGrades+'!$Y$32,"B-",IF(C431&lt;'PlayerGrades+'!$Y$31,"B",IF(C431&lt;'PlayerGrades+'!$Y$30,"B+",IF(C431&lt;'PlayerGrades+'!$Y$29,"A-",IF(C431&lt;'PlayerGrades+'!$Y$28,"A",IF(C431&lt;'PlayerGrades+'!$Y$27,"A+",IF(C431&lt;'PlayerGrades+'!$Y$26,"S-",IF(C431&lt;'PlayerGrades+'!$Y$25,"S","S+"))))))))))))))))))))</f>
        <v>#DIV/0!</v>
      </c>
      <c r="C431" s="1378" t="str">
        <f>('PlayerGrades+'!$Y$47*(VLOOKUP(E431, 'PlayerGrades+'!$X$3:$Y$23, 2, FALSE)))+('PlayerGrades+'!$Y$48*(VLOOKUP(G431, 'PlayerGrades+'!$X$3:$Y$23, 2, FALSE)))+('PlayerGrades+'!$Y$49*(VLOOKUP(I431, 'PlayerGrades+'!$X$3:$Y$23, 2, FALSE)))+('PlayerGrades+'!$Y$50*(VLOOKUP(K431, 'PlayerGrades+'!$X$3:$Y$23, 2, FALSE)))+('PlayerGrades+'!$Y$51*(VLOOKUP(M431, 'PlayerGrades+'!$X$3:$Y$23, 2, FALSE)))+('PlayerGrades+'!$Y$52*(VLOOKUP(O431, 'PlayerGrades+'!$X$3:$Y$23, 2, FALSE)))+('PlayerGrades+'!$Y$53*(VLOOKUP(Q431, 'PlayerGrades+'!$X$3:$Y$23, 2, FALSE)))+('PlayerGrades+'!$Y$54*(VLOOKUP(S431, 'PlayerGrades+'!$X$3:$Y$23, 2, FALSE)))+('PlayerGrades+'!$Y$55*(VLOOKUP(U431, 'PlayerGrades+'!$X$3:$Y$23, 2, FALSE)))</f>
        <v>#DIV/0!</v>
      </c>
      <c r="D431" s="961" t="str">
        <f t="shared" si="1"/>
        <v>#DIV/0!</v>
      </c>
      <c r="E431" s="961" t="str">
        <f>IF(D431&lt;'PlayerGrades+'!$AA$21,"F-",IF(D431&lt;'PlayerGrades+'!$AA$20,"F",IF(D431&lt;'PlayerGrades+'!$AA$19,"F+",IF(D431&lt;'PlayerGrades+'!$AA$18,"E-",IF(D431&lt;'PlayerGrades+'!$AA$17,"E",IF(D431&lt;'PlayerGrades+'!$AA$16,"E+",IF(D431&lt;'PlayerGrades+'!$AA$15,"D-",IF(D431&lt;'PlayerGrades+'!$AA$14,"D",IF(D431&lt;'PlayerGrades+'!$AA$13,"D+",IF(D431&lt;'PlayerGrades+'!$AA$12,"C-",IF(D431&lt;'PlayerGrades+'!$AA$11,"C",IF(D431&lt;'PlayerGrades+'!$AA$10,"C+",IF(D431&lt;'PlayerGrades+'!$AA$9,"B-",IF(D431&lt;'PlayerGrades+'!$AA$8,"B",IF(D431&lt;'PlayerGrades+'!$AA$7,"B+",IF(D431&lt;'PlayerGrades+'!$AA$6,"A-",IF(D431&lt;'PlayerGrades+'!$AA$5,"A",IF(D431&lt;'PlayerGrades+'!$AA$4,"A+",IF(D431&lt;'PlayerGrades+'!$AA$3,"S-",IF(D431&lt;'PlayerGrades+'!$AA$2,"S","S+"))))))))))))))))))))</f>
        <v>#DIV/0!</v>
      </c>
      <c r="F431" s="961" t="str">
        <f t="shared" si="2"/>
        <v>#DIV/0!</v>
      </c>
      <c r="G431" s="961" t="str">
        <f>IF(F431&lt;'PlayerGrades+'!$AB$21,"F-",IF(F431&lt;'PlayerGrades+'!$AB$20,"F",IF(F431&lt;'PlayerGrades+'!$AB$19,"F+",IF(F431&lt;'PlayerGrades+'!$AB$18,"E-",IF(F431&lt;'PlayerGrades+'!$AB$17,"E",IF(F431&lt;'PlayerGrades+'!$AB$16,"E+",IF(F431&lt;'PlayerGrades+'!$AB$15,"D-",IF(F431&lt;'PlayerGrades+'!$AB$14,"D",IF(F431&lt;'PlayerGrades+'!$AB$13,"D+",IF(F431&lt;'PlayerGrades+'!$AB$12,"C-",IF(F431&lt;'PlayerGrades+'!$AB$11,"C",IF(F431&lt;'PlayerGrades+'!$AB$10,"C+",IF(F431&lt;'PlayerGrades+'!$AB$9,"B-",IF(F431&lt;'PlayerGrades+'!$AB$8,"B",IF(F431&lt;'PlayerGrades+'!$AB$7,"B+",IF(F431&lt;'PlayerGrades+'!$AB$6,"A-",IF(F431&lt;'PlayerGrades+'!$AB$5,"A",IF(F431&lt;'PlayerGrades+'!$AB$4,"A+",IF(F431&lt;'PlayerGrades+'!$AB$3,"S-",IF(F431&lt;'PlayerGrades+'!$AB$2,"S","S+"))))))))))))))))))))</f>
        <v>#DIV/0!</v>
      </c>
      <c r="H431" s="961" t="str">
        <f t="shared" si="3"/>
        <v>#DIV/0!</v>
      </c>
      <c r="I431" s="961" t="str">
        <f>IF(H431&lt;'PlayerGrades+'!$AC$21,"F-",IF(H431&lt;'PlayerGrades+'!$AC$20,"F",IF(H431&lt;'PlayerGrades+'!$AC$19,"F+",IF(H431&lt;'PlayerGrades+'!$AC$18,"E-",IF(H431&lt;'PlayerGrades+'!$AC$17,"E",IF(H431&lt;'PlayerGrades+'!$AC$16,"E+",IF(H431&lt;'PlayerGrades+'!$AC$15,"D-",IF(H431&lt;'PlayerGrades+'!$AC$14,"D",IF(H431&lt;'PlayerGrades+'!$AC$13,"D+",IF(H431&lt;'PlayerGrades+'!$AC$12,"C-",IF(H431&lt;'PlayerGrades+'!$AC$11,"C",IF(H431&lt;'PlayerGrades+'!$AC$10,"C+",IF(H431&lt;'PlayerGrades+'!$AC$9,"B-",IF(H431&lt;'PlayerGrades+'!$AC$8,"B",IF(H431&lt;'PlayerGrades+'!$AC$7,"B+",IF(H431&lt;'PlayerGrades+'!$AC$6,"A-",IF(H431&lt;'PlayerGrades+'!$AC$5,"A",IF(H431&lt;'PlayerGrades+'!$AC$4,"A+",IF(H431&lt;'PlayerGrades+'!$AC$3,"S-",IF(H431&lt;'PlayerGrades+'!$AC$2,"S","S+"))))))))))))))))))))</f>
        <v>#DIV/0!</v>
      </c>
      <c r="J431" s="961" t="str">
        <f t="shared" si="4"/>
        <v>#DIV/0!</v>
      </c>
      <c r="K431" s="961" t="str">
        <f>IF(J431&lt;'PlayerGrades+'!$AD$21,"F-",IF(J431&lt;'PlayerGrades+'!$AD$20,"F",IF(J431&lt;'PlayerGrades+'!$AD$19,"F+",IF(J431&lt;'PlayerGrades+'!$AD$18,"E-",IF(J431&lt;'PlayerGrades+'!$AD$17,"E",IF(J431&lt;'PlayerGrades+'!$AD$16,"E+",IF(J431&lt;'PlayerGrades+'!$AD$15,"D-",IF(J431&lt;'PlayerGrades+'!$AD$14,"D",IF(J431&lt;'PlayerGrades+'!$AD$13,"D+",IF(J431&lt;'PlayerGrades+'!$AD$12,"C-",IF(J431&lt;'PlayerGrades+'!$AD$11,"C",IF(J431&lt;'PlayerGrades+'!$AD$10,"C+",IF(J431&lt;'PlayerGrades+'!$AD$9,"B-",IF(J431&lt;'PlayerGrades+'!$AD$8,"B",IF(J431&lt;'PlayerGrades+'!$AD$7,"B+",IF(J431&lt;'PlayerGrades+'!$AD$6,"A-",IF(J431&lt;'PlayerGrades+'!$AD$5,"A",IF(J431&lt;'PlayerGrades+'!$AD$4,"A+",IF(J431&lt;'PlayerGrades+'!$AD$3,"S-",IF(J431&lt;'PlayerGrades+'!$AD$2,"S","S+"))))))))))))))))))))</f>
        <v>#DIV/0!</v>
      </c>
      <c r="L431" s="1176" t="str">
        <f t="shared" si="5"/>
        <v>#DIV/0!</v>
      </c>
      <c r="M431" s="992" t="str">
        <f>IF(L431&lt;'PlayerGrades+'!$AE$21,"F-",IF(L431&lt;'PlayerGrades+'!$AE$20,"F",IF(L431&lt;'PlayerGrades+'!$AE$19,"F+",IF(L431&lt;'PlayerGrades+'!$AE$18,"E-",IF(L431&lt;'PlayerGrades+'!$AE$17,"E",IF(L431&lt;'PlayerGrades+'!$AE$16,"E+",IF(L431&lt;'PlayerGrades+'!$AE$15,"D-",IF(L431&lt;'PlayerGrades+'!$AE$14,"D",IF(L431&lt;'PlayerGrades+'!$AE$13,"D+",IF(L431&lt;'PlayerGrades+'!$AE$12,"C-",IF(L431&lt;'PlayerGrades+'!$AE$11,"C",IF(L431&lt;'PlayerGrades+'!$AE$10,"C+",IF(L431&lt;'PlayerGrades+'!$AE$9,"B-",IF(L431&lt;'PlayerGrades+'!$AE$8,"B",IF(L431&lt;'PlayerGrades+'!$AE$7,"B+",IF(L431&lt;'PlayerGrades+'!$AE$6,"A-",IF(L431&lt;'PlayerGrades+'!$AE$5,"A",IF(L431&lt;'PlayerGrades+'!$AE$4,"A+",IF(L431&lt;'PlayerGrades+'!$AE$3,"S-",IF(L431&lt;'PlayerGrades+'!$AE$2,"S","S+"))))))))))))))))))))</f>
        <v>#DIV/0!</v>
      </c>
      <c r="N431" s="961" t="str">
        <f t="shared" si="6"/>
        <v>#DIV/0!</v>
      </c>
      <c r="O431" s="961" t="str">
        <f>IF(N431&lt;'PlayerGrades+'!$AF$21,"F-",IF(N431&lt;'PlayerGrades+'!$AF$20,"F",IF(N431&lt;'PlayerGrades+'!$AF$19,"F+",IF(N431&lt;'PlayerGrades+'!$AF$18,"E-",IF(N431&lt;'PlayerGrades+'!$AF$17,"E",IF(N431&lt;'PlayerGrades+'!$AF$16,"E+",IF(N431&lt;'PlayerGrades+'!$AF$15,"D-",IF(N431&lt;'PlayerGrades+'!$AF$14,"D",IF(N431&lt;'PlayerGrades+'!$AF$13,"D+",IF(N431&lt;'PlayerGrades+'!$AF$12,"C-",IF(N431&lt;'PlayerGrades+'!$AF$11,"C",IF(N431&lt;'PlayerGrades+'!$AF$10,"C+",IF(N431&lt;'PlayerGrades+'!$AF$9,"B-",IF(N431&lt;'PlayerGrades+'!$AF$8,"B",IF(N431&lt;'PlayerGrades+'!$AF$7,"B+",IF(N431&lt;'PlayerGrades+'!$AF$6,"A-",IF(N431&lt;'PlayerGrades+'!$AF$5,"A",IF(N431&lt;'PlayerGrades+'!$AF$4,"A+",IF(N431&lt;'PlayerGrades+'!$AF$3,"S-",IF(N431&lt;'PlayerGrades+'!$AF$2,"S","S+"))))))))))))))))))))</f>
        <v>#DIV/0!</v>
      </c>
      <c r="P431" s="961" t="str">
        <f t="shared" si="7"/>
        <v>#DIV/0!</v>
      </c>
      <c r="Q431" s="961" t="str">
        <f>IF(P431&lt;'PlayerGrades+'!$AG$21,"F-",IF(P431&lt;'PlayerGrades+'!$AG$20,"F",IF(P431&lt;'PlayerGrades+'!$AG$19,"F+",IF(P431&lt;'PlayerGrades+'!$AG$18,"E-",IF(P431&lt;'PlayerGrades+'!$AG$17,"E",IF(P431&lt;'PlayerGrades+'!$AG$16,"E+",IF(P431&lt;'PlayerGrades+'!$AG$15,"D-",IF(P431&lt;'PlayerGrades+'!$AG$14,"D",IF(P431&lt;'PlayerGrades+'!$AG$13,"D+",IF(P431&lt;'PlayerGrades+'!$AG$12,"C-",IF(P431&lt;'PlayerGrades+'!$AG$11,"C",IF(P431&lt;'PlayerGrades+'!$AG$10,"C+",IF(P431&lt;'PlayerGrades+'!$AG$9,"B-",IF(P431&lt;'PlayerGrades+'!$AG$8,"B",IF(P431&lt;'PlayerGrades+'!$AG$7,"B+",IF(P431&lt;'PlayerGrades+'!$AG$6,"A-",IF(P431&lt;'PlayerGrades+'!$AG$5,"A",IF(P431&lt;'PlayerGrades+'!$AG$4,"A+",IF(P431&lt;'PlayerGrades+'!$AG$3,"S-",IF(P431&lt;'PlayerGrades+'!$AG$2,"S","S+"))))))))))))))))))))</f>
        <v>#DIV/0!</v>
      </c>
      <c r="R431" s="961" t="str">
        <f t="shared" si="8"/>
        <v>#DIV/0!</v>
      </c>
      <c r="S431" s="961" t="str">
        <f>IF(R431&lt;'PlayerGrades+'!$AH$21,"F-",IF(R431&lt;'PlayerGrades+'!$AH$20,"F",IF(R431&lt;'PlayerGrades+'!$AH$19,"F+",IF(R431&lt;'PlayerGrades+'!$AH$18,"E-",IF(R431&lt;'PlayerGrades+'!$AH$17,"E",IF(R431&lt;'PlayerGrades+'!$AH$16,"E+",IF(R431&lt;'PlayerGrades+'!$AH$15,"D-",IF(R431&lt;'PlayerGrades+'!$AH$14,"D",IF(R431&lt;'PlayerGrades+'!$AH$13,"D+",IF(R431&lt;'PlayerGrades+'!$AH$12,"C-",IF(R431&lt;'PlayerGrades+'!$AH$11,"C",IF(R431&lt;'PlayerGrades+'!$AH$10,"C+",IF(R431&lt;'PlayerGrades+'!$AH$9,"B-",IF(R431&lt;'PlayerGrades+'!$AH$8,"B",IF(R431&lt;'PlayerGrades+'!$AH$7,"B+",IF(R431&lt;'PlayerGrades+'!$AH$6,"A-",IF(R431&lt;'PlayerGrades+'!$AH$5,"A",IF(R431&lt;'PlayerGrades+'!$AH$4,"A+",IF(R431&lt;'PlayerGrades+'!$AH$3,"S-",IF(R431&lt;'PlayerGrades+'!$AH$2,"S","S+"))))))))))))))))))))</f>
        <v>#DIV/0!</v>
      </c>
      <c r="T431" s="961">
        <f t="shared" si="9"/>
        <v>0</v>
      </c>
      <c r="U431" s="961" t="str">
        <f>IF(T431&lt;'PlayerGrades+'!$AI$21,"F-",IF(T431&lt;'PlayerGrades+'!$AI$20,"F",IF(T431&lt;'PlayerGrades+'!$AI$19,"F+",IF(T431&lt;'PlayerGrades+'!$AI$18,"E-",IF(T431&lt;'PlayerGrades+'!$AI$17,"E",IF(T431&lt;'PlayerGrades+'!$AI$16,"E+",IF(T431&lt;'PlayerGrades+'!$AI$15,"D-",IF(T431&lt;'PlayerGrades+'!$AI$14,"D",IF(T431&lt;'PlayerGrades+'!$AI$13,"D+",IF(T431&lt;'PlayerGrades+'!$AI$12,"C-",IF(T431&lt;'PlayerGrades+'!$AI$11,"C",IF(T431&lt;'PlayerGrades+'!$AI$10,"C+",IF(T431&lt;'PlayerGrades+'!$AI$9,"B-",IF(T431&lt;'PlayerGrades+'!$AI$8,"B",IF(T431&lt;'PlayerGrades+'!$AI$7,"B+",IF(T431&lt;'PlayerGrades+'!$AI$6,"A-",IF(T431&lt;'PlayerGrades+'!$AI$5,"A",IF(T431&lt;'PlayerGrades+'!$AI$4,"A+",IF(T431&lt;'PlayerGrades+'!$AI$3,"S-",IF(T431&lt;'PlayerGrades+'!$AI$2,"S","S+"))))))))))))))))))))</f>
        <v>F-</v>
      </c>
      <c r="AC431" s="1392"/>
    </row>
    <row r="432">
      <c r="A432" s="1391"/>
      <c r="B432" s="611" t="str">
        <f>IF(C432&lt;'PlayerGrades+'!$Y$44,"F-",IF(C432&lt;'PlayerGrades+'!$Y$43,"F",IF(C432&lt;'PlayerGrades+'!$Y$42,"F+",IF(C432&lt;'PlayerGrades+'!$Y$41,"E-",IF(C432&lt;'PlayerGrades+'!$Y$40,"E",IF(C432&lt;'PlayerGrades+'!$Y$39,"E+",IF(C432&lt;'PlayerGrades+'!$Y$38,"D-",IF(C432&lt;'PlayerGrades+'!$Y$37,"D",IF(C432&lt;'PlayerGrades+'!$Y$36,"D+",IF(C432&lt;'PlayerGrades+'!$Y$35,"C-",IF(C432&lt;'PlayerGrades+'!$Y$34,"C",IF(C432&lt;'PlayerGrades+'!$Y$33,"C+",IF(C432&lt;'PlayerGrades+'!$Y$32,"B-",IF(C432&lt;'PlayerGrades+'!$Y$31,"B",IF(C432&lt;'PlayerGrades+'!$Y$30,"B+",IF(C432&lt;'PlayerGrades+'!$Y$29,"A-",IF(C432&lt;'PlayerGrades+'!$Y$28,"A",IF(C432&lt;'PlayerGrades+'!$Y$27,"A+",IF(C432&lt;'PlayerGrades+'!$Y$26,"S-",IF(C432&lt;'PlayerGrades+'!$Y$25,"S","S+"))))))))))))))))))))</f>
        <v>#DIV/0!</v>
      </c>
      <c r="C432" s="1378" t="str">
        <f>('PlayerGrades+'!$Y$47*(VLOOKUP(E432, 'PlayerGrades+'!$X$3:$Y$23, 2, FALSE)))+('PlayerGrades+'!$Y$48*(VLOOKUP(G432, 'PlayerGrades+'!$X$3:$Y$23, 2, FALSE)))+('PlayerGrades+'!$Y$49*(VLOOKUP(I432, 'PlayerGrades+'!$X$3:$Y$23, 2, FALSE)))+('PlayerGrades+'!$Y$50*(VLOOKUP(K432, 'PlayerGrades+'!$X$3:$Y$23, 2, FALSE)))+('PlayerGrades+'!$Y$51*(VLOOKUP(M432, 'PlayerGrades+'!$X$3:$Y$23, 2, FALSE)))+('PlayerGrades+'!$Y$52*(VLOOKUP(O432, 'PlayerGrades+'!$X$3:$Y$23, 2, FALSE)))+('PlayerGrades+'!$Y$53*(VLOOKUP(Q432, 'PlayerGrades+'!$X$3:$Y$23, 2, FALSE)))+('PlayerGrades+'!$Y$54*(VLOOKUP(S432, 'PlayerGrades+'!$X$3:$Y$23, 2, FALSE)))+('PlayerGrades+'!$Y$55*(VLOOKUP(U432, 'PlayerGrades+'!$X$3:$Y$23, 2, FALSE)))</f>
        <v>#DIV/0!</v>
      </c>
      <c r="D432" s="961" t="str">
        <f t="shared" si="1"/>
        <v>#DIV/0!</v>
      </c>
      <c r="E432" s="961" t="str">
        <f>IF(D432&lt;'PlayerGrades+'!$AA$21,"F-",IF(D432&lt;'PlayerGrades+'!$AA$20,"F",IF(D432&lt;'PlayerGrades+'!$AA$19,"F+",IF(D432&lt;'PlayerGrades+'!$AA$18,"E-",IF(D432&lt;'PlayerGrades+'!$AA$17,"E",IF(D432&lt;'PlayerGrades+'!$AA$16,"E+",IF(D432&lt;'PlayerGrades+'!$AA$15,"D-",IF(D432&lt;'PlayerGrades+'!$AA$14,"D",IF(D432&lt;'PlayerGrades+'!$AA$13,"D+",IF(D432&lt;'PlayerGrades+'!$AA$12,"C-",IF(D432&lt;'PlayerGrades+'!$AA$11,"C",IF(D432&lt;'PlayerGrades+'!$AA$10,"C+",IF(D432&lt;'PlayerGrades+'!$AA$9,"B-",IF(D432&lt;'PlayerGrades+'!$AA$8,"B",IF(D432&lt;'PlayerGrades+'!$AA$7,"B+",IF(D432&lt;'PlayerGrades+'!$AA$6,"A-",IF(D432&lt;'PlayerGrades+'!$AA$5,"A",IF(D432&lt;'PlayerGrades+'!$AA$4,"A+",IF(D432&lt;'PlayerGrades+'!$AA$3,"S-",IF(D432&lt;'PlayerGrades+'!$AA$2,"S","S+"))))))))))))))))))))</f>
        <v>#DIV/0!</v>
      </c>
      <c r="F432" s="961" t="str">
        <f t="shared" si="2"/>
        <v>#DIV/0!</v>
      </c>
      <c r="G432" s="961" t="str">
        <f>IF(F432&lt;'PlayerGrades+'!$AB$21,"F-",IF(F432&lt;'PlayerGrades+'!$AB$20,"F",IF(F432&lt;'PlayerGrades+'!$AB$19,"F+",IF(F432&lt;'PlayerGrades+'!$AB$18,"E-",IF(F432&lt;'PlayerGrades+'!$AB$17,"E",IF(F432&lt;'PlayerGrades+'!$AB$16,"E+",IF(F432&lt;'PlayerGrades+'!$AB$15,"D-",IF(F432&lt;'PlayerGrades+'!$AB$14,"D",IF(F432&lt;'PlayerGrades+'!$AB$13,"D+",IF(F432&lt;'PlayerGrades+'!$AB$12,"C-",IF(F432&lt;'PlayerGrades+'!$AB$11,"C",IF(F432&lt;'PlayerGrades+'!$AB$10,"C+",IF(F432&lt;'PlayerGrades+'!$AB$9,"B-",IF(F432&lt;'PlayerGrades+'!$AB$8,"B",IF(F432&lt;'PlayerGrades+'!$AB$7,"B+",IF(F432&lt;'PlayerGrades+'!$AB$6,"A-",IF(F432&lt;'PlayerGrades+'!$AB$5,"A",IF(F432&lt;'PlayerGrades+'!$AB$4,"A+",IF(F432&lt;'PlayerGrades+'!$AB$3,"S-",IF(F432&lt;'PlayerGrades+'!$AB$2,"S","S+"))))))))))))))))))))</f>
        <v>#DIV/0!</v>
      </c>
      <c r="H432" s="961" t="str">
        <f t="shared" si="3"/>
        <v>#DIV/0!</v>
      </c>
      <c r="I432" s="961" t="str">
        <f>IF(H432&lt;'PlayerGrades+'!$AC$21,"F-",IF(H432&lt;'PlayerGrades+'!$AC$20,"F",IF(H432&lt;'PlayerGrades+'!$AC$19,"F+",IF(H432&lt;'PlayerGrades+'!$AC$18,"E-",IF(H432&lt;'PlayerGrades+'!$AC$17,"E",IF(H432&lt;'PlayerGrades+'!$AC$16,"E+",IF(H432&lt;'PlayerGrades+'!$AC$15,"D-",IF(H432&lt;'PlayerGrades+'!$AC$14,"D",IF(H432&lt;'PlayerGrades+'!$AC$13,"D+",IF(H432&lt;'PlayerGrades+'!$AC$12,"C-",IF(H432&lt;'PlayerGrades+'!$AC$11,"C",IF(H432&lt;'PlayerGrades+'!$AC$10,"C+",IF(H432&lt;'PlayerGrades+'!$AC$9,"B-",IF(H432&lt;'PlayerGrades+'!$AC$8,"B",IF(H432&lt;'PlayerGrades+'!$AC$7,"B+",IF(H432&lt;'PlayerGrades+'!$AC$6,"A-",IF(H432&lt;'PlayerGrades+'!$AC$5,"A",IF(H432&lt;'PlayerGrades+'!$AC$4,"A+",IF(H432&lt;'PlayerGrades+'!$AC$3,"S-",IF(H432&lt;'PlayerGrades+'!$AC$2,"S","S+"))))))))))))))))))))</f>
        <v>#DIV/0!</v>
      </c>
      <c r="J432" s="961" t="str">
        <f t="shared" si="4"/>
        <v>#DIV/0!</v>
      </c>
      <c r="K432" s="961" t="str">
        <f>IF(J432&lt;'PlayerGrades+'!$AD$21,"F-",IF(J432&lt;'PlayerGrades+'!$AD$20,"F",IF(J432&lt;'PlayerGrades+'!$AD$19,"F+",IF(J432&lt;'PlayerGrades+'!$AD$18,"E-",IF(J432&lt;'PlayerGrades+'!$AD$17,"E",IF(J432&lt;'PlayerGrades+'!$AD$16,"E+",IF(J432&lt;'PlayerGrades+'!$AD$15,"D-",IF(J432&lt;'PlayerGrades+'!$AD$14,"D",IF(J432&lt;'PlayerGrades+'!$AD$13,"D+",IF(J432&lt;'PlayerGrades+'!$AD$12,"C-",IF(J432&lt;'PlayerGrades+'!$AD$11,"C",IF(J432&lt;'PlayerGrades+'!$AD$10,"C+",IF(J432&lt;'PlayerGrades+'!$AD$9,"B-",IF(J432&lt;'PlayerGrades+'!$AD$8,"B",IF(J432&lt;'PlayerGrades+'!$AD$7,"B+",IF(J432&lt;'PlayerGrades+'!$AD$6,"A-",IF(J432&lt;'PlayerGrades+'!$AD$5,"A",IF(J432&lt;'PlayerGrades+'!$AD$4,"A+",IF(J432&lt;'PlayerGrades+'!$AD$3,"S-",IF(J432&lt;'PlayerGrades+'!$AD$2,"S","S+"))))))))))))))))))))</f>
        <v>#DIV/0!</v>
      </c>
      <c r="L432" s="1176" t="str">
        <f t="shared" si="5"/>
        <v>#DIV/0!</v>
      </c>
      <c r="M432" s="992" t="str">
        <f>IF(L432&lt;'PlayerGrades+'!$AE$21,"F-",IF(L432&lt;'PlayerGrades+'!$AE$20,"F",IF(L432&lt;'PlayerGrades+'!$AE$19,"F+",IF(L432&lt;'PlayerGrades+'!$AE$18,"E-",IF(L432&lt;'PlayerGrades+'!$AE$17,"E",IF(L432&lt;'PlayerGrades+'!$AE$16,"E+",IF(L432&lt;'PlayerGrades+'!$AE$15,"D-",IF(L432&lt;'PlayerGrades+'!$AE$14,"D",IF(L432&lt;'PlayerGrades+'!$AE$13,"D+",IF(L432&lt;'PlayerGrades+'!$AE$12,"C-",IF(L432&lt;'PlayerGrades+'!$AE$11,"C",IF(L432&lt;'PlayerGrades+'!$AE$10,"C+",IF(L432&lt;'PlayerGrades+'!$AE$9,"B-",IF(L432&lt;'PlayerGrades+'!$AE$8,"B",IF(L432&lt;'PlayerGrades+'!$AE$7,"B+",IF(L432&lt;'PlayerGrades+'!$AE$6,"A-",IF(L432&lt;'PlayerGrades+'!$AE$5,"A",IF(L432&lt;'PlayerGrades+'!$AE$4,"A+",IF(L432&lt;'PlayerGrades+'!$AE$3,"S-",IF(L432&lt;'PlayerGrades+'!$AE$2,"S","S+"))))))))))))))))))))</f>
        <v>#DIV/0!</v>
      </c>
      <c r="N432" s="961" t="str">
        <f t="shared" si="6"/>
        <v>#DIV/0!</v>
      </c>
      <c r="O432" s="961" t="str">
        <f>IF(N432&lt;'PlayerGrades+'!$AF$21,"F-",IF(N432&lt;'PlayerGrades+'!$AF$20,"F",IF(N432&lt;'PlayerGrades+'!$AF$19,"F+",IF(N432&lt;'PlayerGrades+'!$AF$18,"E-",IF(N432&lt;'PlayerGrades+'!$AF$17,"E",IF(N432&lt;'PlayerGrades+'!$AF$16,"E+",IF(N432&lt;'PlayerGrades+'!$AF$15,"D-",IF(N432&lt;'PlayerGrades+'!$AF$14,"D",IF(N432&lt;'PlayerGrades+'!$AF$13,"D+",IF(N432&lt;'PlayerGrades+'!$AF$12,"C-",IF(N432&lt;'PlayerGrades+'!$AF$11,"C",IF(N432&lt;'PlayerGrades+'!$AF$10,"C+",IF(N432&lt;'PlayerGrades+'!$AF$9,"B-",IF(N432&lt;'PlayerGrades+'!$AF$8,"B",IF(N432&lt;'PlayerGrades+'!$AF$7,"B+",IF(N432&lt;'PlayerGrades+'!$AF$6,"A-",IF(N432&lt;'PlayerGrades+'!$AF$5,"A",IF(N432&lt;'PlayerGrades+'!$AF$4,"A+",IF(N432&lt;'PlayerGrades+'!$AF$3,"S-",IF(N432&lt;'PlayerGrades+'!$AF$2,"S","S+"))))))))))))))))))))</f>
        <v>#DIV/0!</v>
      </c>
      <c r="P432" s="961" t="str">
        <f t="shared" si="7"/>
        <v>#DIV/0!</v>
      </c>
      <c r="Q432" s="961" t="str">
        <f>IF(P432&lt;'PlayerGrades+'!$AG$21,"F-",IF(P432&lt;'PlayerGrades+'!$AG$20,"F",IF(P432&lt;'PlayerGrades+'!$AG$19,"F+",IF(P432&lt;'PlayerGrades+'!$AG$18,"E-",IF(P432&lt;'PlayerGrades+'!$AG$17,"E",IF(P432&lt;'PlayerGrades+'!$AG$16,"E+",IF(P432&lt;'PlayerGrades+'!$AG$15,"D-",IF(P432&lt;'PlayerGrades+'!$AG$14,"D",IF(P432&lt;'PlayerGrades+'!$AG$13,"D+",IF(P432&lt;'PlayerGrades+'!$AG$12,"C-",IF(P432&lt;'PlayerGrades+'!$AG$11,"C",IF(P432&lt;'PlayerGrades+'!$AG$10,"C+",IF(P432&lt;'PlayerGrades+'!$AG$9,"B-",IF(P432&lt;'PlayerGrades+'!$AG$8,"B",IF(P432&lt;'PlayerGrades+'!$AG$7,"B+",IF(P432&lt;'PlayerGrades+'!$AG$6,"A-",IF(P432&lt;'PlayerGrades+'!$AG$5,"A",IF(P432&lt;'PlayerGrades+'!$AG$4,"A+",IF(P432&lt;'PlayerGrades+'!$AG$3,"S-",IF(P432&lt;'PlayerGrades+'!$AG$2,"S","S+"))))))))))))))))))))</f>
        <v>#DIV/0!</v>
      </c>
      <c r="R432" s="961" t="str">
        <f t="shared" si="8"/>
        <v>#DIV/0!</v>
      </c>
      <c r="S432" s="961" t="str">
        <f>IF(R432&lt;'PlayerGrades+'!$AH$21,"F-",IF(R432&lt;'PlayerGrades+'!$AH$20,"F",IF(R432&lt;'PlayerGrades+'!$AH$19,"F+",IF(R432&lt;'PlayerGrades+'!$AH$18,"E-",IF(R432&lt;'PlayerGrades+'!$AH$17,"E",IF(R432&lt;'PlayerGrades+'!$AH$16,"E+",IF(R432&lt;'PlayerGrades+'!$AH$15,"D-",IF(R432&lt;'PlayerGrades+'!$AH$14,"D",IF(R432&lt;'PlayerGrades+'!$AH$13,"D+",IF(R432&lt;'PlayerGrades+'!$AH$12,"C-",IF(R432&lt;'PlayerGrades+'!$AH$11,"C",IF(R432&lt;'PlayerGrades+'!$AH$10,"C+",IF(R432&lt;'PlayerGrades+'!$AH$9,"B-",IF(R432&lt;'PlayerGrades+'!$AH$8,"B",IF(R432&lt;'PlayerGrades+'!$AH$7,"B+",IF(R432&lt;'PlayerGrades+'!$AH$6,"A-",IF(R432&lt;'PlayerGrades+'!$AH$5,"A",IF(R432&lt;'PlayerGrades+'!$AH$4,"A+",IF(R432&lt;'PlayerGrades+'!$AH$3,"S-",IF(R432&lt;'PlayerGrades+'!$AH$2,"S","S+"))))))))))))))))))))</f>
        <v>#DIV/0!</v>
      </c>
      <c r="T432" s="961">
        <f t="shared" si="9"/>
        <v>0</v>
      </c>
      <c r="U432" s="961" t="str">
        <f>IF(T432&lt;'PlayerGrades+'!$AI$21,"F-",IF(T432&lt;'PlayerGrades+'!$AI$20,"F",IF(T432&lt;'PlayerGrades+'!$AI$19,"F+",IF(T432&lt;'PlayerGrades+'!$AI$18,"E-",IF(T432&lt;'PlayerGrades+'!$AI$17,"E",IF(T432&lt;'PlayerGrades+'!$AI$16,"E+",IF(T432&lt;'PlayerGrades+'!$AI$15,"D-",IF(T432&lt;'PlayerGrades+'!$AI$14,"D",IF(T432&lt;'PlayerGrades+'!$AI$13,"D+",IF(T432&lt;'PlayerGrades+'!$AI$12,"C-",IF(T432&lt;'PlayerGrades+'!$AI$11,"C",IF(T432&lt;'PlayerGrades+'!$AI$10,"C+",IF(T432&lt;'PlayerGrades+'!$AI$9,"B-",IF(T432&lt;'PlayerGrades+'!$AI$8,"B",IF(T432&lt;'PlayerGrades+'!$AI$7,"B+",IF(T432&lt;'PlayerGrades+'!$AI$6,"A-",IF(T432&lt;'PlayerGrades+'!$AI$5,"A",IF(T432&lt;'PlayerGrades+'!$AI$4,"A+",IF(T432&lt;'PlayerGrades+'!$AI$3,"S-",IF(T432&lt;'PlayerGrades+'!$AI$2,"S","S+"))))))))))))))))))))</f>
        <v>F-</v>
      </c>
      <c r="AC432" s="1392"/>
    </row>
    <row r="433">
      <c r="A433" s="1393"/>
      <c r="B433" s="611" t="str">
        <f>IF(C433&lt;'PlayerGrades+'!$Y$44,"F-",IF(C433&lt;'PlayerGrades+'!$Y$43,"F",IF(C433&lt;'PlayerGrades+'!$Y$42,"F+",IF(C433&lt;'PlayerGrades+'!$Y$41,"E-",IF(C433&lt;'PlayerGrades+'!$Y$40,"E",IF(C433&lt;'PlayerGrades+'!$Y$39,"E+",IF(C433&lt;'PlayerGrades+'!$Y$38,"D-",IF(C433&lt;'PlayerGrades+'!$Y$37,"D",IF(C433&lt;'PlayerGrades+'!$Y$36,"D+",IF(C433&lt;'PlayerGrades+'!$Y$35,"C-",IF(C433&lt;'PlayerGrades+'!$Y$34,"C",IF(C433&lt;'PlayerGrades+'!$Y$33,"C+",IF(C433&lt;'PlayerGrades+'!$Y$32,"B-",IF(C433&lt;'PlayerGrades+'!$Y$31,"B",IF(C433&lt;'PlayerGrades+'!$Y$30,"B+",IF(C433&lt;'PlayerGrades+'!$Y$29,"A-",IF(C433&lt;'PlayerGrades+'!$Y$28,"A",IF(C433&lt;'PlayerGrades+'!$Y$27,"A+",IF(C433&lt;'PlayerGrades+'!$Y$26,"S-",IF(C433&lt;'PlayerGrades+'!$Y$25,"S","S+"))))))))))))))))))))</f>
        <v>#DIV/0!</v>
      </c>
      <c r="C433" s="1378" t="str">
        <f>('PlayerGrades+'!$Y$47*(VLOOKUP(E433, 'PlayerGrades+'!$X$3:$Y$23, 2, FALSE)))+('PlayerGrades+'!$Y$48*(VLOOKUP(G433, 'PlayerGrades+'!$X$3:$Y$23, 2, FALSE)))+('PlayerGrades+'!$Y$49*(VLOOKUP(I433, 'PlayerGrades+'!$X$3:$Y$23, 2, FALSE)))+('PlayerGrades+'!$Y$50*(VLOOKUP(K433, 'PlayerGrades+'!$X$3:$Y$23, 2, FALSE)))+('PlayerGrades+'!$Y$51*(VLOOKUP(M433, 'PlayerGrades+'!$X$3:$Y$23, 2, FALSE)))+('PlayerGrades+'!$Y$52*(VLOOKUP(O433, 'PlayerGrades+'!$X$3:$Y$23, 2, FALSE)))+('PlayerGrades+'!$Y$53*(VLOOKUP(Q433, 'PlayerGrades+'!$X$3:$Y$23, 2, FALSE)))+('PlayerGrades+'!$Y$54*(VLOOKUP(S433, 'PlayerGrades+'!$X$3:$Y$23, 2, FALSE)))+('PlayerGrades+'!$Y$55*(VLOOKUP(U433, 'PlayerGrades+'!$X$3:$Y$23, 2, FALSE)))</f>
        <v>#DIV/0!</v>
      </c>
      <c r="D433" s="961" t="str">
        <f t="shared" si="1"/>
        <v>#DIV/0!</v>
      </c>
      <c r="E433" s="961" t="str">
        <f>IF(D433&lt;'PlayerGrades+'!$AA$21,"F-",IF(D433&lt;'PlayerGrades+'!$AA$20,"F",IF(D433&lt;'PlayerGrades+'!$AA$19,"F+",IF(D433&lt;'PlayerGrades+'!$AA$18,"E-",IF(D433&lt;'PlayerGrades+'!$AA$17,"E",IF(D433&lt;'PlayerGrades+'!$AA$16,"E+",IF(D433&lt;'PlayerGrades+'!$AA$15,"D-",IF(D433&lt;'PlayerGrades+'!$AA$14,"D",IF(D433&lt;'PlayerGrades+'!$AA$13,"D+",IF(D433&lt;'PlayerGrades+'!$AA$12,"C-",IF(D433&lt;'PlayerGrades+'!$AA$11,"C",IF(D433&lt;'PlayerGrades+'!$AA$10,"C+",IF(D433&lt;'PlayerGrades+'!$AA$9,"B-",IF(D433&lt;'PlayerGrades+'!$AA$8,"B",IF(D433&lt;'PlayerGrades+'!$AA$7,"B+",IF(D433&lt;'PlayerGrades+'!$AA$6,"A-",IF(D433&lt;'PlayerGrades+'!$AA$5,"A",IF(D433&lt;'PlayerGrades+'!$AA$4,"A+",IF(D433&lt;'PlayerGrades+'!$AA$3,"S-",IF(D433&lt;'PlayerGrades+'!$AA$2,"S","S+"))))))))))))))))))))</f>
        <v>#DIV/0!</v>
      </c>
      <c r="F433" s="961" t="str">
        <f t="shared" si="2"/>
        <v>#DIV/0!</v>
      </c>
      <c r="G433" s="961" t="str">
        <f>IF(F433&lt;'PlayerGrades+'!$AB$21,"F-",IF(F433&lt;'PlayerGrades+'!$AB$20,"F",IF(F433&lt;'PlayerGrades+'!$AB$19,"F+",IF(F433&lt;'PlayerGrades+'!$AB$18,"E-",IF(F433&lt;'PlayerGrades+'!$AB$17,"E",IF(F433&lt;'PlayerGrades+'!$AB$16,"E+",IF(F433&lt;'PlayerGrades+'!$AB$15,"D-",IF(F433&lt;'PlayerGrades+'!$AB$14,"D",IF(F433&lt;'PlayerGrades+'!$AB$13,"D+",IF(F433&lt;'PlayerGrades+'!$AB$12,"C-",IF(F433&lt;'PlayerGrades+'!$AB$11,"C",IF(F433&lt;'PlayerGrades+'!$AB$10,"C+",IF(F433&lt;'PlayerGrades+'!$AB$9,"B-",IF(F433&lt;'PlayerGrades+'!$AB$8,"B",IF(F433&lt;'PlayerGrades+'!$AB$7,"B+",IF(F433&lt;'PlayerGrades+'!$AB$6,"A-",IF(F433&lt;'PlayerGrades+'!$AB$5,"A",IF(F433&lt;'PlayerGrades+'!$AB$4,"A+",IF(F433&lt;'PlayerGrades+'!$AB$3,"S-",IF(F433&lt;'PlayerGrades+'!$AB$2,"S","S+"))))))))))))))))))))</f>
        <v>#DIV/0!</v>
      </c>
      <c r="H433" s="961" t="str">
        <f t="shared" si="3"/>
        <v>#DIV/0!</v>
      </c>
      <c r="I433" s="961" t="str">
        <f>IF(H433&lt;'PlayerGrades+'!$AC$21,"F-",IF(H433&lt;'PlayerGrades+'!$AC$20,"F",IF(H433&lt;'PlayerGrades+'!$AC$19,"F+",IF(H433&lt;'PlayerGrades+'!$AC$18,"E-",IF(H433&lt;'PlayerGrades+'!$AC$17,"E",IF(H433&lt;'PlayerGrades+'!$AC$16,"E+",IF(H433&lt;'PlayerGrades+'!$AC$15,"D-",IF(H433&lt;'PlayerGrades+'!$AC$14,"D",IF(H433&lt;'PlayerGrades+'!$AC$13,"D+",IF(H433&lt;'PlayerGrades+'!$AC$12,"C-",IF(H433&lt;'PlayerGrades+'!$AC$11,"C",IF(H433&lt;'PlayerGrades+'!$AC$10,"C+",IF(H433&lt;'PlayerGrades+'!$AC$9,"B-",IF(H433&lt;'PlayerGrades+'!$AC$8,"B",IF(H433&lt;'PlayerGrades+'!$AC$7,"B+",IF(H433&lt;'PlayerGrades+'!$AC$6,"A-",IF(H433&lt;'PlayerGrades+'!$AC$5,"A",IF(H433&lt;'PlayerGrades+'!$AC$4,"A+",IF(H433&lt;'PlayerGrades+'!$AC$3,"S-",IF(H433&lt;'PlayerGrades+'!$AC$2,"S","S+"))))))))))))))))))))</f>
        <v>#DIV/0!</v>
      </c>
      <c r="J433" s="961" t="str">
        <f t="shared" si="4"/>
        <v>#DIV/0!</v>
      </c>
      <c r="K433" s="961" t="str">
        <f>IF(J433&lt;'PlayerGrades+'!$AD$21,"F-",IF(J433&lt;'PlayerGrades+'!$AD$20,"F",IF(J433&lt;'PlayerGrades+'!$AD$19,"F+",IF(J433&lt;'PlayerGrades+'!$AD$18,"E-",IF(J433&lt;'PlayerGrades+'!$AD$17,"E",IF(J433&lt;'PlayerGrades+'!$AD$16,"E+",IF(J433&lt;'PlayerGrades+'!$AD$15,"D-",IF(J433&lt;'PlayerGrades+'!$AD$14,"D",IF(J433&lt;'PlayerGrades+'!$AD$13,"D+",IF(J433&lt;'PlayerGrades+'!$AD$12,"C-",IF(J433&lt;'PlayerGrades+'!$AD$11,"C",IF(J433&lt;'PlayerGrades+'!$AD$10,"C+",IF(J433&lt;'PlayerGrades+'!$AD$9,"B-",IF(J433&lt;'PlayerGrades+'!$AD$8,"B",IF(J433&lt;'PlayerGrades+'!$AD$7,"B+",IF(J433&lt;'PlayerGrades+'!$AD$6,"A-",IF(J433&lt;'PlayerGrades+'!$AD$5,"A",IF(J433&lt;'PlayerGrades+'!$AD$4,"A+",IF(J433&lt;'PlayerGrades+'!$AD$3,"S-",IF(J433&lt;'PlayerGrades+'!$AD$2,"S","S+"))))))))))))))))))))</f>
        <v>#DIV/0!</v>
      </c>
      <c r="L433" s="1176" t="str">
        <f t="shared" si="5"/>
        <v>#DIV/0!</v>
      </c>
      <c r="M433" s="992" t="str">
        <f>IF(L433&lt;'PlayerGrades+'!$AE$21,"F-",IF(L433&lt;'PlayerGrades+'!$AE$20,"F",IF(L433&lt;'PlayerGrades+'!$AE$19,"F+",IF(L433&lt;'PlayerGrades+'!$AE$18,"E-",IF(L433&lt;'PlayerGrades+'!$AE$17,"E",IF(L433&lt;'PlayerGrades+'!$AE$16,"E+",IF(L433&lt;'PlayerGrades+'!$AE$15,"D-",IF(L433&lt;'PlayerGrades+'!$AE$14,"D",IF(L433&lt;'PlayerGrades+'!$AE$13,"D+",IF(L433&lt;'PlayerGrades+'!$AE$12,"C-",IF(L433&lt;'PlayerGrades+'!$AE$11,"C",IF(L433&lt;'PlayerGrades+'!$AE$10,"C+",IF(L433&lt;'PlayerGrades+'!$AE$9,"B-",IF(L433&lt;'PlayerGrades+'!$AE$8,"B",IF(L433&lt;'PlayerGrades+'!$AE$7,"B+",IF(L433&lt;'PlayerGrades+'!$AE$6,"A-",IF(L433&lt;'PlayerGrades+'!$AE$5,"A",IF(L433&lt;'PlayerGrades+'!$AE$4,"A+",IF(L433&lt;'PlayerGrades+'!$AE$3,"S-",IF(L433&lt;'PlayerGrades+'!$AE$2,"S","S+"))))))))))))))))))))</f>
        <v>#DIV/0!</v>
      </c>
      <c r="N433" s="961" t="str">
        <f t="shared" si="6"/>
        <v>#DIV/0!</v>
      </c>
      <c r="O433" s="961" t="str">
        <f>IF(N433&lt;'PlayerGrades+'!$AF$21,"F-",IF(N433&lt;'PlayerGrades+'!$AF$20,"F",IF(N433&lt;'PlayerGrades+'!$AF$19,"F+",IF(N433&lt;'PlayerGrades+'!$AF$18,"E-",IF(N433&lt;'PlayerGrades+'!$AF$17,"E",IF(N433&lt;'PlayerGrades+'!$AF$16,"E+",IF(N433&lt;'PlayerGrades+'!$AF$15,"D-",IF(N433&lt;'PlayerGrades+'!$AF$14,"D",IF(N433&lt;'PlayerGrades+'!$AF$13,"D+",IF(N433&lt;'PlayerGrades+'!$AF$12,"C-",IF(N433&lt;'PlayerGrades+'!$AF$11,"C",IF(N433&lt;'PlayerGrades+'!$AF$10,"C+",IF(N433&lt;'PlayerGrades+'!$AF$9,"B-",IF(N433&lt;'PlayerGrades+'!$AF$8,"B",IF(N433&lt;'PlayerGrades+'!$AF$7,"B+",IF(N433&lt;'PlayerGrades+'!$AF$6,"A-",IF(N433&lt;'PlayerGrades+'!$AF$5,"A",IF(N433&lt;'PlayerGrades+'!$AF$4,"A+",IF(N433&lt;'PlayerGrades+'!$AF$3,"S-",IF(N433&lt;'PlayerGrades+'!$AF$2,"S","S+"))))))))))))))))))))</f>
        <v>#DIV/0!</v>
      </c>
      <c r="P433" s="961" t="str">
        <f t="shared" si="7"/>
        <v>#DIV/0!</v>
      </c>
      <c r="Q433" s="961" t="str">
        <f>IF(P433&lt;'PlayerGrades+'!$AG$21,"F-",IF(P433&lt;'PlayerGrades+'!$AG$20,"F",IF(P433&lt;'PlayerGrades+'!$AG$19,"F+",IF(P433&lt;'PlayerGrades+'!$AG$18,"E-",IF(P433&lt;'PlayerGrades+'!$AG$17,"E",IF(P433&lt;'PlayerGrades+'!$AG$16,"E+",IF(P433&lt;'PlayerGrades+'!$AG$15,"D-",IF(P433&lt;'PlayerGrades+'!$AG$14,"D",IF(P433&lt;'PlayerGrades+'!$AG$13,"D+",IF(P433&lt;'PlayerGrades+'!$AG$12,"C-",IF(P433&lt;'PlayerGrades+'!$AG$11,"C",IF(P433&lt;'PlayerGrades+'!$AG$10,"C+",IF(P433&lt;'PlayerGrades+'!$AG$9,"B-",IF(P433&lt;'PlayerGrades+'!$AG$8,"B",IF(P433&lt;'PlayerGrades+'!$AG$7,"B+",IF(P433&lt;'PlayerGrades+'!$AG$6,"A-",IF(P433&lt;'PlayerGrades+'!$AG$5,"A",IF(P433&lt;'PlayerGrades+'!$AG$4,"A+",IF(P433&lt;'PlayerGrades+'!$AG$3,"S-",IF(P433&lt;'PlayerGrades+'!$AG$2,"S","S+"))))))))))))))))))))</f>
        <v>#DIV/0!</v>
      </c>
      <c r="R433" s="961" t="str">
        <f t="shared" si="8"/>
        <v>#DIV/0!</v>
      </c>
      <c r="S433" s="961" t="str">
        <f>IF(R433&lt;'PlayerGrades+'!$AH$21,"F-",IF(R433&lt;'PlayerGrades+'!$AH$20,"F",IF(R433&lt;'PlayerGrades+'!$AH$19,"F+",IF(R433&lt;'PlayerGrades+'!$AH$18,"E-",IF(R433&lt;'PlayerGrades+'!$AH$17,"E",IF(R433&lt;'PlayerGrades+'!$AH$16,"E+",IF(R433&lt;'PlayerGrades+'!$AH$15,"D-",IF(R433&lt;'PlayerGrades+'!$AH$14,"D",IF(R433&lt;'PlayerGrades+'!$AH$13,"D+",IF(R433&lt;'PlayerGrades+'!$AH$12,"C-",IF(R433&lt;'PlayerGrades+'!$AH$11,"C",IF(R433&lt;'PlayerGrades+'!$AH$10,"C+",IF(R433&lt;'PlayerGrades+'!$AH$9,"B-",IF(R433&lt;'PlayerGrades+'!$AH$8,"B",IF(R433&lt;'PlayerGrades+'!$AH$7,"B+",IF(R433&lt;'PlayerGrades+'!$AH$6,"A-",IF(R433&lt;'PlayerGrades+'!$AH$5,"A",IF(R433&lt;'PlayerGrades+'!$AH$4,"A+",IF(R433&lt;'PlayerGrades+'!$AH$3,"S-",IF(R433&lt;'PlayerGrades+'!$AH$2,"S","S+"))))))))))))))))))))</f>
        <v>#DIV/0!</v>
      </c>
      <c r="T433" s="961">
        <f t="shared" si="9"/>
        <v>0</v>
      </c>
      <c r="U433" s="961" t="str">
        <f>IF(T433&lt;'PlayerGrades+'!$AI$21,"F-",IF(T433&lt;'PlayerGrades+'!$AI$20,"F",IF(T433&lt;'PlayerGrades+'!$AI$19,"F+",IF(T433&lt;'PlayerGrades+'!$AI$18,"E-",IF(T433&lt;'PlayerGrades+'!$AI$17,"E",IF(T433&lt;'PlayerGrades+'!$AI$16,"E+",IF(T433&lt;'PlayerGrades+'!$AI$15,"D-",IF(T433&lt;'PlayerGrades+'!$AI$14,"D",IF(T433&lt;'PlayerGrades+'!$AI$13,"D+",IF(T433&lt;'PlayerGrades+'!$AI$12,"C-",IF(T433&lt;'PlayerGrades+'!$AI$11,"C",IF(T433&lt;'PlayerGrades+'!$AI$10,"C+",IF(T433&lt;'PlayerGrades+'!$AI$9,"B-",IF(T433&lt;'PlayerGrades+'!$AI$8,"B",IF(T433&lt;'PlayerGrades+'!$AI$7,"B+",IF(T433&lt;'PlayerGrades+'!$AI$6,"A-",IF(T433&lt;'PlayerGrades+'!$AI$5,"A",IF(T433&lt;'PlayerGrades+'!$AI$4,"A+",IF(T433&lt;'PlayerGrades+'!$AI$3,"S-",IF(T433&lt;'PlayerGrades+'!$AI$2,"S","S+"))))))))))))))))))))</f>
        <v>F-</v>
      </c>
      <c r="V433" s="1386"/>
      <c r="W433" s="1386"/>
      <c r="X433" s="1386"/>
      <c r="Y433" s="1386"/>
      <c r="Z433" s="1386"/>
      <c r="AA433" s="1386"/>
      <c r="AB433" s="1386"/>
      <c r="AC433" s="1397"/>
      <c r="AD433" s="1386"/>
      <c r="AE433" s="1386"/>
      <c r="AF433" s="1386"/>
      <c r="AG433" s="1386"/>
      <c r="AH433" s="1386"/>
      <c r="AI433" s="1386"/>
      <c r="AJ433" s="1386"/>
      <c r="AK433" s="1386"/>
      <c r="AL433" s="1386"/>
      <c r="AM433" s="1386"/>
      <c r="AN433" s="1386"/>
      <c r="AO433" s="1386"/>
      <c r="AP433" s="1386"/>
      <c r="AQ433" s="1386"/>
      <c r="AR433" s="1386"/>
      <c r="AS433" s="1386"/>
      <c r="AT433" s="1386"/>
      <c r="AU433" s="1386"/>
      <c r="AV433" s="1386"/>
      <c r="AW433" s="1386"/>
      <c r="AX433" s="1386"/>
      <c r="AY433" s="1386"/>
      <c r="AZ433" s="1386"/>
    </row>
    <row r="434">
      <c r="A434" s="1389"/>
      <c r="B434" s="611" t="str">
        <f>IF(C434&lt;'PlayerGrades+'!$Y$44,"F-",IF(C434&lt;'PlayerGrades+'!$Y$43,"F",IF(C434&lt;'PlayerGrades+'!$Y$42,"F+",IF(C434&lt;'PlayerGrades+'!$Y$41,"E-",IF(C434&lt;'PlayerGrades+'!$Y$40,"E",IF(C434&lt;'PlayerGrades+'!$Y$39,"E+",IF(C434&lt;'PlayerGrades+'!$Y$38,"D-",IF(C434&lt;'PlayerGrades+'!$Y$37,"D",IF(C434&lt;'PlayerGrades+'!$Y$36,"D+",IF(C434&lt;'PlayerGrades+'!$Y$35,"C-",IF(C434&lt;'PlayerGrades+'!$Y$34,"C",IF(C434&lt;'PlayerGrades+'!$Y$33,"C+",IF(C434&lt;'PlayerGrades+'!$Y$32,"B-",IF(C434&lt;'PlayerGrades+'!$Y$31,"B",IF(C434&lt;'PlayerGrades+'!$Y$30,"B+",IF(C434&lt;'PlayerGrades+'!$Y$29,"A-",IF(C434&lt;'PlayerGrades+'!$Y$28,"A",IF(C434&lt;'PlayerGrades+'!$Y$27,"A+",IF(C434&lt;'PlayerGrades+'!$Y$26,"S-",IF(C434&lt;'PlayerGrades+'!$Y$25,"S","S+"))))))))))))))))))))</f>
        <v>#DIV/0!</v>
      </c>
      <c r="C434" s="1378" t="str">
        <f>('PlayerGrades+'!$Y$47*(VLOOKUP(E434, 'PlayerGrades+'!$X$3:$Y$23, 2, FALSE)))+('PlayerGrades+'!$Y$48*(VLOOKUP(G434, 'PlayerGrades+'!$X$3:$Y$23, 2, FALSE)))+('PlayerGrades+'!$Y$49*(VLOOKUP(I434, 'PlayerGrades+'!$X$3:$Y$23, 2, FALSE)))+('PlayerGrades+'!$Y$50*(VLOOKUP(K434, 'PlayerGrades+'!$X$3:$Y$23, 2, FALSE)))+('PlayerGrades+'!$Y$51*(VLOOKUP(M434, 'PlayerGrades+'!$X$3:$Y$23, 2, FALSE)))+('PlayerGrades+'!$Y$52*(VLOOKUP(O434, 'PlayerGrades+'!$X$3:$Y$23, 2, FALSE)))+('PlayerGrades+'!$Y$53*(VLOOKUP(Q434, 'PlayerGrades+'!$X$3:$Y$23, 2, FALSE)))+('PlayerGrades+'!$Y$54*(VLOOKUP(S434, 'PlayerGrades+'!$X$3:$Y$23, 2, FALSE)))+('PlayerGrades+'!$Y$55*(VLOOKUP(U434, 'PlayerGrades+'!$X$3:$Y$23, 2, FALSE)))</f>
        <v>#DIV/0!</v>
      </c>
      <c r="D434" s="961" t="str">
        <f t="shared" si="1"/>
        <v>#DIV/0!</v>
      </c>
      <c r="E434" s="961" t="str">
        <f>IF(D434&lt;'PlayerGrades+'!$AA$21,"F-",IF(D434&lt;'PlayerGrades+'!$AA$20,"F",IF(D434&lt;'PlayerGrades+'!$AA$19,"F+",IF(D434&lt;'PlayerGrades+'!$AA$18,"E-",IF(D434&lt;'PlayerGrades+'!$AA$17,"E",IF(D434&lt;'PlayerGrades+'!$AA$16,"E+",IF(D434&lt;'PlayerGrades+'!$AA$15,"D-",IF(D434&lt;'PlayerGrades+'!$AA$14,"D",IF(D434&lt;'PlayerGrades+'!$AA$13,"D+",IF(D434&lt;'PlayerGrades+'!$AA$12,"C-",IF(D434&lt;'PlayerGrades+'!$AA$11,"C",IF(D434&lt;'PlayerGrades+'!$AA$10,"C+",IF(D434&lt;'PlayerGrades+'!$AA$9,"B-",IF(D434&lt;'PlayerGrades+'!$AA$8,"B",IF(D434&lt;'PlayerGrades+'!$AA$7,"B+",IF(D434&lt;'PlayerGrades+'!$AA$6,"A-",IF(D434&lt;'PlayerGrades+'!$AA$5,"A",IF(D434&lt;'PlayerGrades+'!$AA$4,"A+",IF(D434&lt;'PlayerGrades+'!$AA$3,"S-",IF(D434&lt;'PlayerGrades+'!$AA$2,"S","S+"))))))))))))))))))))</f>
        <v>#DIV/0!</v>
      </c>
      <c r="F434" s="961" t="str">
        <f t="shared" si="2"/>
        <v>#DIV/0!</v>
      </c>
      <c r="G434" s="961" t="str">
        <f>IF(F434&lt;'PlayerGrades+'!$AB$21,"F-",IF(F434&lt;'PlayerGrades+'!$AB$20,"F",IF(F434&lt;'PlayerGrades+'!$AB$19,"F+",IF(F434&lt;'PlayerGrades+'!$AB$18,"E-",IF(F434&lt;'PlayerGrades+'!$AB$17,"E",IF(F434&lt;'PlayerGrades+'!$AB$16,"E+",IF(F434&lt;'PlayerGrades+'!$AB$15,"D-",IF(F434&lt;'PlayerGrades+'!$AB$14,"D",IF(F434&lt;'PlayerGrades+'!$AB$13,"D+",IF(F434&lt;'PlayerGrades+'!$AB$12,"C-",IF(F434&lt;'PlayerGrades+'!$AB$11,"C",IF(F434&lt;'PlayerGrades+'!$AB$10,"C+",IF(F434&lt;'PlayerGrades+'!$AB$9,"B-",IF(F434&lt;'PlayerGrades+'!$AB$8,"B",IF(F434&lt;'PlayerGrades+'!$AB$7,"B+",IF(F434&lt;'PlayerGrades+'!$AB$6,"A-",IF(F434&lt;'PlayerGrades+'!$AB$5,"A",IF(F434&lt;'PlayerGrades+'!$AB$4,"A+",IF(F434&lt;'PlayerGrades+'!$AB$3,"S-",IF(F434&lt;'PlayerGrades+'!$AB$2,"S","S+"))))))))))))))))))))</f>
        <v>#DIV/0!</v>
      </c>
      <c r="H434" s="961" t="str">
        <f t="shared" si="3"/>
        <v>#DIV/0!</v>
      </c>
      <c r="I434" s="961" t="str">
        <f>IF(H434&lt;'PlayerGrades+'!$AC$21,"F-",IF(H434&lt;'PlayerGrades+'!$AC$20,"F",IF(H434&lt;'PlayerGrades+'!$AC$19,"F+",IF(H434&lt;'PlayerGrades+'!$AC$18,"E-",IF(H434&lt;'PlayerGrades+'!$AC$17,"E",IF(H434&lt;'PlayerGrades+'!$AC$16,"E+",IF(H434&lt;'PlayerGrades+'!$AC$15,"D-",IF(H434&lt;'PlayerGrades+'!$AC$14,"D",IF(H434&lt;'PlayerGrades+'!$AC$13,"D+",IF(H434&lt;'PlayerGrades+'!$AC$12,"C-",IF(H434&lt;'PlayerGrades+'!$AC$11,"C",IF(H434&lt;'PlayerGrades+'!$AC$10,"C+",IF(H434&lt;'PlayerGrades+'!$AC$9,"B-",IF(H434&lt;'PlayerGrades+'!$AC$8,"B",IF(H434&lt;'PlayerGrades+'!$AC$7,"B+",IF(H434&lt;'PlayerGrades+'!$AC$6,"A-",IF(H434&lt;'PlayerGrades+'!$AC$5,"A",IF(H434&lt;'PlayerGrades+'!$AC$4,"A+",IF(H434&lt;'PlayerGrades+'!$AC$3,"S-",IF(H434&lt;'PlayerGrades+'!$AC$2,"S","S+"))))))))))))))))))))</f>
        <v>#DIV/0!</v>
      </c>
      <c r="J434" s="961" t="str">
        <f t="shared" si="4"/>
        <v>#DIV/0!</v>
      </c>
      <c r="K434" s="961" t="str">
        <f>IF(J434&lt;'PlayerGrades+'!$AD$21,"F-",IF(J434&lt;'PlayerGrades+'!$AD$20,"F",IF(J434&lt;'PlayerGrades+'!$AD$19,"F+",IF(J434&lt;'PlayerGrades+'!$AD$18,"E-",IF(J434&lt;'PlayerGrades+'!$AD$17,"E",IF(J434&lt;'PlayerGrades+'!$AD$16,"E+",IF(J434&lt;'PlayerGrades+'!$AD$15,"D-",IF(J434&lt;'PlayerGrades+'!$AD$14,"D",IF(J434&lt;'PlayerGrades+'!$AD$13,"D+",IF(J434&lt;'PlayerGrades+'!$AD$12,"C-",IF(J434&lt;'PlayerGrades+'!$AD$11,"C",IF(J434&lt;'PlayerGrades+'!$AD$10,"C+",IF(J434&lt;'PlayerGrades+'!$AD$9,"B-",IF(J434&lt;'PlayerGrades+'!$AD$8,"B",IF(J434&lt;'PlayerGrades+'!$AD$7,"B+",IF(J434&lt;'PlayerGrades+'!$AD$6,"A-",IF(J434&lt;'PlayerGrades+'!$AD$5,"A",IF(J434&lt;'PlayerGrades+'!$AD$4,"A+",IF(J434&lt;'PlayerGrades+'!$AD$3,"S-",IF(J434&lt;'PlayerGrades+'!$AD$2,"S","S+"))))))))))))))))))))</f>
        <v>#DIV/0!</v>
      </c>
      <c r="L434" s="1176" t="str">
        <f t="shared" si="5"/>
        <v>#DIV/0!</v>
      </c>
      <c r="M434" s="992" t="str">
        <f>IF(L434&lt;'PlayerGrades+'!$AE$21,"F-",IF(L434&lt;'PlayerGrades+'!$AE$20,"F",IF(L434&lt;'PlayerGrades+'!$AE$19,"F+",IF(L434&lt;'PlayerGrades+'!$AE$18,"E-",IF(L434&lt;'PlayerGrades+'!$AE$17,"E",IF(L434&lt;'PlayerGrades+'!$AE$16,"E+",IF(L434&lt;'PlayerGrades+'!$AE$15,"D-",IF(L434&lt;'PlayerGrades+'!$AE$14,"D",IF(L434&lt;'PlayerGrades+'!$AE$13,"D+",IF(L434&lt;'PlayerGrades+'!$AE$12,"C-",IF(L434&lt;'PlayerGrades+'!$AE$11,"C",IF(L434&lt;'PlayerGrades+'!$AE$10,"C+",IF(L434&lt;'PlayerGrades+'!$AE$9,"B-",IF(L434&lt;'PlayerGrades+'!$AE$8,"B",IF(L434&lt;'PlayerGrades+'!$AE$7,"B+",IF(L434&lt;'PlayerGrades+'!$AE$6,"A-",IF(L434&lt;'PlayerGrades+'!$AE$5,"A",IF(L434&lt;'PlayerGrades+'!$AE$4,"A+",IF(L434&lt;'PlayerGrades+'!$AE$3,"S-",IF(L434&lt;'PlayerGrades+'!$AE$2,"S","S+"))))))))))))))))))))</f>
        <v>#DIV/0!</v>
      </c>
      <c r="N434" s="961" t="str">
        <f t="shared" si="6"/>
        <v>#DIV/0!</v>
      </c>
      <c r="O434" s="961" t="str">
        <f>IF(N434&lt;'PlayerGrades+'!$AF$21,"F-",IF(N434&lt;'PlayerGrades+'!$AF$20,"F",IF(N434&lt;'PlayerGrades+'!$AF$19,"F+",IF(N434&lt;'PlayerGrades+'!$AF$18,"E-",IF(N434&lt;'PlayerGrades+'!$AF$17,"E",IF(N434&lt;'PlayerGrades+'!$AF$16,"E+",IF(N434&lt;'PlayerGrades+'!$AF$15,"D-",IF(N434&lt;'PlayerGrades+'!$AF$14,"D",IF(N434&lt;'PlayerGrades+'!$AF$13,"D+",IF(N434&lt;'PlayerGrades+'!$AF$12,"C-",IF(N434&lt;'PlayerGrades+'!$AF$11,"C",IF(N434&lt;'PlayerGrades+'!$AF$10,"C+",IF(N434&lt;'PlayerGrades+'!$AF$9,"B-",IF(N434&lt;'PlayerGrades+'!$AF$8,"B",IF(N434&lt;'PlayerGrades+'!$AF$7,"B+",IF(N434&lt;'PlayerGrades+'!$AF$6,"A-",IF(N434&lt;'PlayerGrades+'!$AF$5,"A",IF(N434&lt;'PlayerGrades+'!$AF$4,"A+",IF(N434&lt;'PlayerGrades+'!$AF$3,"S-",IF(N434&lt;'PlayerGrades+'!$AF$2,"S","S+"))))))))))))))))))))</f>
        <v>#DIV/0!</v>
      </c>
      <c r="P434" s="961" t="str">
        <f t="shared" si="7"/>
        <v>#DIV/0!</v>
      </c>
      <c r="Q434" s="961" t="str">
        <f>IF(P434&lt;'PlayerGrades+'!$AG$21,"F-",IF(P434&lt;'PlayerGrades+'!$AG$20,"F",IF(P434&lt;'PlayerGrades+'!$AG$19,"F+",IF(P434&lt;'PlayerGrades+'!$AG$18,"E-",IF(P434&lt;'PlayerGrades+'!$AG$17,"E",IF(P434&lt;'PlayerGrades+'!$AG$16,"E+",IF(P434&lt;'PlayerGrades+'!$AG$15,"D-",IF(P434&lt;'PlayerGrades+'!$AG$14,"D",IF(P434&lt;'PlayerGrades+'!$AG$13,"D+",IF(P434&lt;'PlayerGrades+'!$AG$12,"C-",IF(P434&lt;'PlayerGrades+'!$AG$11,"C",IF(P434&lt;'PlayerGrades+'!$AG$10,"C+",IF(P434&lt;'PlayerGrades+'!$AG$9,"B-",IF(P434&lt;'PlayerGrades+'!$AG$8,"B",IF(P434&lt;'PlayerGrades+'!$AG$7,"B+",IF(P434&lt;'PlayerGrades+'!$AG$6,"A-",IF(P434&lt;'PlayerGrades+'!$AG$5,"A",IF(P434&lt;'PlayerGrades+'!$AG$4,"A+",IF(P434&lt;'PlayerGrades+'!$AG$3,"S-",IF(P434&lt;'PlayerGrades+'!$AG$2,"S","S+"))))))))))))))))))))</f>
        <v>#DIV/0!</v>
      </c>
      <c r="R434" s="961" t="str">
        <f t="shared" si="8"/>
        <v>#DIV/0!</v>
      </c>
      <c r="S434" s="961" t="str">
        <f>IF(R434&lt;'PlayerGrades+'!$AH$21,"F-",IF(R434&lt;'PlayerGrades+'!$AH$20,"F",IF(R434&lt;'PlayerGrades+'!$AH$19,"F+",IF(R434&lt;'PlayerGrades+'!$AH$18,"E-",IF(R434&lt;'PlayerGrades+'!$AH$17,"E",IF(R434&lt;'PlayerGrades+'!$AH$16,"E+",IF(R434&lt;'PlayerGrades+'!$AH$15,"D-",IF(R434&lt;'PlayerGrades+'!$AH$14,"D",IF(R434&lt;'PlayerGrades+'!$AH$13,"D+",IF(R434&lt;'PlayerGrades+'!$AH$12,"C-",IF(R434&lt;'PlayerGrades+'!$AH$11,"C",IF(R434&lt;'PlayerGrades+'!$AH$10,"C+",IF(R434&lt;'PlayerGrades+'!$AH$9,"B-",IF(R434&lt;'PlayerGrades+'!$AH$8,"B",IF(R434&lt;'PlayerGrades+'!$AH$7,"B+",IF(R434&lt;'PlayerGrades+'!$AH$6,"A-",IF(R434&lt;'PlayerGrades+'!$AH$5,"A",IF(R434&lt;'PlayerGrades+'!$AH$4,"A+",IF(R434&lt;'PlayerGrades+'!$AH$3,"S-",IF(R434&lt;'PlayerGrades+'!$AH$2,"S","S+"))))))))))))))))))))</f>
        <v>#DIV/0!</v>
      </c>
      <c r="T434" s="961">
        <f t="shared" si="9"/>
        <v>0</v>
      </c>
      <c r="U434" s="961" t="str">
        <f>IF(T434&lt;'PlayerGrades+'!$AI$21,"F-",IF(T434&lt;'PlayerGrades+'!$AI$20,"F",IF(T434&lt;'PlayerGrades+'!$AI$19,"F+",IF(T434&lt;'PlayerGrades+'!$AI$18,"E-",IF(T434&lt;'PlayerGrades+'!$AI$17,"E",IF(T434&lt;'PlayerGrades+'!$AI$16,"E+",IF(T434&lt;'PlayerGrades+'!$AI$15,"D-",IF(T434&lt;'PlayerGrades+'!$AI$14,"D",IF(T434&lt;'PlayerGrades+'!$AI$13,"D+",IF(T434&lt;'PlayerGrades+'!$AI$12,"C-",IF(T434&lt;'PlayerGrades+'!$AI$11,"C",IF(T434&lt;'PlayerGrades+'!$AI$10,"C+",IF(T434&lt;'PlayerGrades+'!$AI$9,"B-",IF(T434&lt;'PlayerGrades+'!$AI$8,"B",IF(T434&lt;'PlayerGrades+'!$AI$7,"B+",IF(T434&lt;'PlayerGrades+'!$AI$6,"A-",IF(T434&lt;'PlayerGrades+'!$AI$5,"A",IF(T434&lt;'PlayerGrades+'!$AI$4,"A+",IF(T434&lt;'PlayerGrades+'!$AI$3,"S-",IF(T434&lt;'PlayerGrades+'!$AI$2,"S","S+"))))))))))))))))))))</f>
        <v>F-</v>
      </c>
      <c r="V434" s="1379"/>
      <c r="W434" s="1379"/>
      <c r="X434" s="1379"/>
      <c r="Y434" s="1379"/>
      <c r="Z434" s="1379"/>
      <c r="AA434" s="1379"/>
      <c r="AB434" s="1379"/>
      <c r="AC434" s="1390"/>
      <c r="AD434" s="1379"/>
      <c r="AE434" s="1379"/>
      <c r="AF434" s="1379"/>
      <c r="AG434" s="1379"/>
      <c r="AH434" s="1379"/>
      <c r="AI434" s="1379"/>
      <c r="AJ434" s="1379"/>
      <c r="AK434" s="1379"/>
      <c r="AL434" s="1379"/>
      <c r="AM434" s="1379"/>
      <c r="AN434" s="1379"/>
      <c r="AO434" s="1379"/>
      <c r="AP434" s="1379"/>
      <c r="AQ434" s="1379"/>
      <c r="AR434" s="1379"/>
      <c r="AS434" s="1379"/>
      <c r="AT434" s="1379"/>
      <c r="AU434" s="1379"/>
      <c r="AV434" s="1379"/>
      <c r="AW434" s="1379"/>
      <c r="AX434" s="1379"/>
      <c r="AY434" s="1379"/>
      <c r="AZ434" s="1379"/>
    </row>
    <row r="435">
      <c r="A435" s="1391"/>
      <c r="B435" s="611" t="str">
        <f>IF(C435&lt;'PlayerGrades+'!$Y$44,"F-",IF(C435&lt;'PlayerGrades+'!$Y$43,"F",IF(C435&lt;'PlayerGrades+'!$Y$42,"F+",IF(C435&lt;'PlayerGrades+'!$Y$41,"E-",IF(C435&lt;'PlayerGrades+'!$Y$40,"E",IF(C435&lt;'PlayerGrades+'!$Y$39,"E+",IF(C435&lt;'PlayerGrades+'!$Y$38,"D-",IF(C435&lt;'PlayerGrades+'!$Y$37,"D",IF(C435&lt;'PlayerGrades+'!$Y$36,"D+",IF(C435&lt;'PlayerGrades+'!$Y$35,"C-",IF(C435&lt;'PlayerGrades+'!$Y$34,"C",IF(C435&lt;'PlayerGrades+'!$Y$33,"C+",IF(C435&lt;'PlayerGrades+'!$Y$32,"B-",IF(C435&lt;'PlayerGrades+'!$Y$31,"B",IF(C435&lt;'PlayerGrades+'!$Y$30,"B+",IF(C435&lt;'PlayerGrades+'!$Y$29,"A-",IF(C435&lt;'PlayerGrades+'!$Y$28,"A",IF(C435&lt;'PlayerGrades+'!$Y$27,"A+",IF(C435&lt;'PlayerGrades+'!$Y$26,"S-",IF(C435&lt;'PlayerGrades+'!$Y$25,"S","S+"))))))))))))))))))))</f>
        <v>#DIV/0!</v>
      </c>
      <c r="C435" s="1378" t="str">
        <f>('PlayerGrades+'!$Y$47*(VLOOKUP(E435, 'PlayerGrades+'!$X$3:$Y$23, 2, FALSE)))+('PlayerGrades+'!$Y$48*(VLOOKUP(G435, 'PlayerGrades+'!$X$3:$Y$23, 2, FALSE)))+('PlayerGrades+'!$Y$49*(VLOOKUP(I435, 'PlayerGrades+'!$X$3:$Y$23, 2, FALSE)))+('PlayerGrades+'!$Y$50*(VLOOKUP(K435, 'PlayerGrades+'!$X$3:$Y$23, 2, FALSE)))+('PlayerGrades+'!$Y$51*(VLOOKUP(M435, 'PlayerGrades+'!$X$3:$Y$23, 2, FALSE)))+('PlayerGrades+'!$Y$52*(VLOOKUP(O435, 'PlayerGrades+'!$X$3:$Y$23, 2, FALSE)))+('PlayerGrades+'!$Y$53*(VLOOKUP(Q435, 'PlayerGrades+'!$X$3:$Y$23, 2, FALSE)))+('PlayerGrades+'!$Y$54*(VLOOKUP(S435, 'PlayerGrades+'!$X$3:$Y$23, 2, FALSE)))+('PlayerGrades+'!$Y$55*(VLOOKUP(U435, 'PlayerGrades+'!$X$3:$Y$23, 2, FALSE)))</f>
        <v>#DIV/0!</v>
      </c>
      <c r="D435" s="961" t="str">
        <f t="shared" si="1"/>
        <v>#DIV/0!</v>
      </c>
      <c r="E435" s="961" t="str">
        <f>IF(D435&lt;'PlayerGrades+'!$AA$21,"F-",IF(D435&lt;'PlayerGrades+'!$AA$20,"F",IF(D435&lt;'PlayerGrades+'!$AA$19,"F+",IF(D435&lt;'PlayerGrades+'!$AA$18,"E-",IF(D435&lt;'PlayerGrades+'!$AA$17,"E",IF(D435&lt;'PlayerGrades+'!$AA$16,"E+",IF(D435&lt;'PlayerGrades+'!$AA$15,"D-",IF(D435&lt;'PlayerGrades+'!$AA$14,"D",IF(D435&lt;'PlayerGrades+'!$AA$13,"D+",IF(D435&lt;'PlayerGrades+'!$AA$12,"C-",IF(D435&lt;'PlayerGrades+'!$AA$11,"C",IF(D435&lt;'PlayerGrades+'!$AA$10,"C+",IF(D435&lt;'PlayerGrades+'!$AA$9,"B-",IF(D435&lt;'PlayerGrades+'!$AA$8,"B",IF(D435&lt;'PlayerGrades+'!$AA$7,"B+",IF(D435&lt;'PlayerGrades+'!$AA$6,"A-",IF(D435&lt;'PlayerGrades+'!$AA$5,"A",IF(D435&lt;'PlayerGrades+'!$AA$4,"A+",IF(D435&lt;'PlayerGrades+'!$AA$3,"S-",IF(D435&lt;'PlayerGrades+'!$AA$2,"S","S+"))))))))))))))))))))</f>
        <v>#DIV/0!</v>
      </c>
      <c r="F435" s="961" t="str">
        <f t="shared" si="2"/>
        <v>#DIV/0!</v>
      </c>
      <c r="G435" s="961" t="str">
        <f>IF(F435&lt;'PlayerGrades+'!$AB$21,"F-",IF(F435&lt;'PlayerGrades+'!$AB$20,"F",IF(F435&lt;'PlayerGrades+'!$AB$19,"F+",IF(F435&lt;'PlayerGrades+'!$AB$18,"E-",IF(F435&lt;'PlayerGrades+'!$AB$17,"E",IF(F435&lt;'PlayerGrades+'!$AB$16,"E+",IF(F435&lt;'PlayerGrades+'!$AB$15,"D-",IF(F435&lt;'PlayerGrades+'!$AB$14,"D",IF(F435&lt;'PlayerGrades+'!$AB$13,"D+",IF(F435&lt;'PlayerGrades+'!$AB$12,"C-",IF(F435&lt;'PlayerGrades+'!$AB$11,"C",IF(F435&lt;'PlayerGrades+'!$AB$10,"C+",IF(F435&lt;'PlayerGrades+'!$AB$9,"B-",IF(F435&lt;'PlayerGrades+'!$AB$8,"B",IF(F435&lt;'PlayerGrades+'!$AB$7,"B+",IF(F435&lt;'PlayerGrades+'!$AB$6,"A-",IF(F435&lt;'PlayerGrades+'!$AB$5,"A",IF(F435&lt;'PlayerGrades+'!$AB$4,"A+",IF(F435&lt;'PlayerGrades+'!$AB$3,"S-",IF(F435&lt;'PlayerGrades+'!$AB$2,"S","S+"))))))))))))))))))))</f>
        <v>#DIV/0!</v>
      </c>
      <c r="H435" s="961" t="str">
        <f t="shared" si="3"/>
        <v>#DIV/0!</v>
      </c>
      <c r="I435" s="961" t="str">
        <f>IF(H435&lt;'PlayerGrades+'!$AC$21,"F-",IF(H435&lt;'PlayerGrades+'!$AC$20,"F",IF(H435&lt;'PlayerGrades+'!$AC$19,"F+",IF(H435&lt;'PlayerGrades+'!$AC$18,"E-",IF(H435&lt;'PlayerGrades+'!$AC$17,"E",IF(H435&lt;'PlayerGrades+'!$AC$16,"E+",IF(H435&lt;'PlayerGrades+'!$AC$15,"D-",IF(H435&lt;'PlayerGrades+'!$AC$14,"D",IF(H435&lt;'PlayerGrades+'!$AC$13,"D+",IF(H435&lt;'PlayerGrades+'!$AC$12,"C-",IF(H435&lt;'PlayerGrades+'!$AC$11,"C",IF(H435&lt;'PlayerGrades+'!$AC$10,"C+",IF(H435&lt;'PlayerGrades+'!$AC$9,"B-",IF(H435&lt;'PlayerGrades+'!$AC$8,"B",IF(H435&lt;'PlayerGrades+'!$AC$7,"B+",IF(H435&lt;'PlayerGrades+'!$AC$6,"A-",IF(H435&lt;'PlayerGrades+'!$AC$5,"A",IF(H435&lt;'PlayerGrades+'!$AC$4,"A+",IF(H435&lt;'PlayerGrades+'!$AC$3,"S-",IF(H435&lt;'PlayerGrades+'!$AC$2,"S","S+"))))))))))))))))))))</f>
        <v>#DIV/0!</v>
      </c>
      <c r="J435" s="961" t="str">
        <f t="shared" si="4"/>
        <v>#DIV/0!</v>
      </c>
      <c r="K435" s="961" t="str">
        <f>IF(J435&lt;'PlayerGrades+'!$AD$21,"F-",IF(J435&lt;'PlayerGrades+'!$AD$20,"F",IF(J435&lt;'PlayerGrades+'!$AD$19,"F+",IF(J435&lt;'PlayerGrades+'!$AD$18,"E-",IF(J435&lt;'PlayerGrades+'!$AD$17,"E",IF(J435&lt;'PlayerGrades+'!$AD$16,"E+",IF(J435&lt;'PlayerGrades+'!$AD$15,"D-",IF(J435&lt;'PlayerGrades+'!$AD$14,"D",IF(J435&lt;'PlayerGrades+'!$AD$13,"D+",IF(J435&lt;'PlayerGrades+'!$AD$12,"C-",IF(J435&lt;'PlayerGrades+'!$AD$11,"C",IF(J435&lt;'PlayerGrades+'!$AD$10,"C+",IF(J435&lt;'PlayerGrades+'!$AD$9,"B-",IF(J435&lt;'PlayerGrades+'!$AD$8,"B",IF(J435&lt;'PlayerGrades+'!$AD$7,"B+",IF(J435&lt;'PlayerGrades+'!$AD$6,"A-",IF(J435&lt;'PlayerGrades+'!$AD$5,"A",IF(J435&lt;'PlayerGrades+'!$AD$4,"A+",IF(J435&lt;'PlayerGrades+'!$AD$3,"S-",IF(J435&lt;'PlayerGrades+'!$AD$2,"S","S+"))))))))))))))))))))</f>
        <v>#DIV/0!</v>
      </c>
      <c r="L435" s="1176" t="str">
        <f t="shared" si="5"/>
        <v>#DIV/0!</v>
      </c>
      <c r="M435" s="992" t="str">
        <f>IF(L435&lt;'PlayerGrades+'!$AE$21,"F-",IF(L435&lt;'PlayerGrades+'!$AE$20,"F",IF(L435&lt;'PlayerGrades+'!$AE$19,"F+",IF(L435&lt;'PlayerGrades+'!$AE$18,"E-",IF(L435&lt;'PlayerGrades+'!$AE$17,"E",IF(L435&lt;'PlayerGrades+'!$AE$16,"E+",IF(L435&lt;'PlayerGrades+'!$AE$15,"D-",IF(L435&lt;'PlayerGrades+'!$AE$14,"D",IF(L435&lt;'PlayerGrades+'!$AE$13,"D+",IF(L435&lt;'PlayerGrades+'!$AE$12,"C-",IF(L435&lt;'PlayerGrades+'!$AE$11,"C",IF(L435&lt;'PlayerGrades+'!$AE$10,"C+",IF(L435&lt;'PlayerGrades+'!$AE$9,"B-",IF(L435&lt;'PlayerGrades+'!$AE$8,"B",IF(L435&lt;'PlayerGrades+'!$AE$7,"B+",IF(L435&lt;'PlayerGrades+'!$AE$6,"A-",IF(L435&lt;'PlayerGrades+'!$AE$5,"A",IF(L435&lt;'PlayerGrades+'!$AE$4,"A+",IF(L435&lt;'PlayerGrades+'!$AE$3,"S-",IF(L435&lt;'PlayerGrades+'!$AE$2,"S","S+"))))))))))))))))))))</f>
        <v>#DIV/0!</v>
      </c>
      <c r="N435" s="961" t="str">
        <f t="shared" si="6"/>
        <v>#DIV/0!</v>
      </c>
      <c r="O435" s="961" t="str">
        <f>IF(N435&lt;'PlayerGrades+'!$AF$21,"F-",IF(N435&lt;'PlayerGrades+'!$AF$20,"F",IF(N435&lt;'PlayerGrades+'!$AF$19,"F+",IF(N435&lt;'PlayerGrades+'!$AF$18,"E-",IF(N435&lt;'PlayerGrades+'!$AF$17,"E",IF(N435&lt;'PlayerGrades+'!$AF$16,"E+",IF(N435&lt;'PlayerGrades+'!$AF$15,"D-",IF(N435&lt;'PlayerGrades+'!$AF$14,"D",IF(N435&lt;'PlayerGrades+'!$AF$13,"D+",IF(N435&lt;'PlayerGrades+'!$AF$12,"C-",IF(N435&lt;'PlayerGrades+'!$AF$11,"C",IF(N435&lt;'PlayerGrades+'!$AF$10,"C+",IF(N435&lt;'PlayerGrades+'!$AF$9,"B-",IF(N435&lt;'PlayerGrades+'!$AF$8,"B",IF(N435&lt;'PlayerGrades+'!$AF$7,"B+",IF(N435&lt;'PlayerGrades+'!$AF$6,"A-",IF(N435&lt;'PlayerGrades+'!$AF$5,"A",IF(N435&lt;'PlayerGrades+'!$AF$4,"A+",IF(N435&lt;'PlayerGrades+'!$AF$3,"S-",IF(N435&lt;'PlayerGrades+'!$AF$2,"S","S+"))))))))))))))))))))</f>
        <v>#DIV/0!</v>
      </c>
      <c r="P435" s="961" t="str">
        <f t="shared" si="7"/>
        <v>#DIV/0!</v>
      </c>
      <c r="Q435" s="961" t="str">
        <f>IF(P435&lt;'PlayerGrades+'!$AG$21,"F-",IF(P435&lt;'PlayerGrades+'!$AG$20,"F",IF(P435&lt;'PlayerGrades+'!$AG$19,"F+",IF(P435&lt;'PlayerGrades+'!$AG$18,"E-",IF(P435&lt;'PlayerGrades+'!$AG$17,"E",IF(P435&lt;'PlayerGrades+'!$AG$16,"E+",IF(P435&lt;'PlayerGrades+'!$AG$15,"D-",IF(P435&lt;'PlayerGrades+'!$AG$14,"D",IF(P435&lt;'PlayerGrades+'!$AG$13,"D+",IF(P435&lt;'PlayerGrades+'!$AG$12,"C-",IF(P435&lt;'PlayerGrades+'!$AG$11,"C",IF(P435&lt;'PlayerGrades+'!$AG$10,"C+",IF(P435&lt;'PlayerGrades+'!$AG$9,"B-",IF(P435&lt;'PlayerGrades+'!$AG$8,"B",IF(P435&lt;'PlayerGrades+'!$AG$7,"B+",IF(P435&lt;'PlayerGrades+'!$AG$6,"A-",IF(P435&lt;'PlayerGrades+'!$AG$5,"A",IF(P435&lt;'PlayerGrades+'!$AG$4,"A+",IF(P435&lt;'PlayerGrades+'!$AG$3,"S-",IF(P435&lt;'PlayerGrades+'!$AG$2,"S","S+"))))))))))))))))))))</f>
        <v>#DIV/0!</v>
      </c>
      <c r="R435" s="961" t="str">
        <f t="shared" si="8"/>
        <v>#DIV/0!</v>
      </c>
      <c r="S435" s="961" t="str">
        <f>IF(R435&lt;'PlayerGrades+'!$AH$21,"F-",IF(R435&lt;'PlayerGrades+'!$AH$20,"F",IF(R435&lt;'PlayerGrades+'!$AH$19,"F+",IF(R435&lt;'PlayerGrades+'!$AH$18,"E-",IF(R435&lt;'PlayerGrades+'!$AH$17,"E",IF(R435&lt;'PlayerGrades+'!$AH$16,"E+",IF(R435&lt;'PlayerGrades+'!$AH$15,"D-",IF(R435&lt;'PlayerGrades+'!$AH$14,"D",IF(R435&lt;'PlayerGrades+'!$AH$13,"D+",IF(R435&lt;'PlayerGrades+'!$AH$12,"C-",IF(R435&lt;'PlayerGrades+'!$AH$11,"C",IF(R435&lt;'PlayerGrades+'!$AH$10,"C+",IF(R435&lt;'PlayerGrades+'!$AH$9,"B-",IF(R435&lt;'PlayerGrades+'!$AH$8,"B",IF(R435&lt;'PlayerGrades+'!$AH$7,"B+",IF(R435&lt;'PlayerGrades+'!$AH$6,"A-",IF(R435&lt;'PlayerGrades+'!$AH$5,"A",IF(R435&lt;'PlayerGrades+'!$AH$4,"A+",IF(R435&lt;'PlayerGrades+'!$AH$3,"S-",IF(R435&lt;'PlayerGrades+'!$AH$2,"S","S+"))))))))))))))))))))</f>
        <v>#DIV/0!</v>
      </c>
      <c r="T435" s="961">
        <f t="shared" si="9"/>
        <v>0</v>
      </c>
      <c r="U435" s="961" t="str">
        <f>IF(T435&lt;'PlayerGrades+'!$AI$21,"F-",IF(T435&lt;'PlayerGrades+'!$AI$20,"F",IF(T435&lt;'PlayerGrades+'!$AI$19,"F+",IF(T435&lt;'PlayerGrades+'!$AI$18,"E-",IF(T435&lt;'PlayerGrades+'!$AI$17,"E",IF(T435&lt;'PlayerGrades+'!$AI$16,"E+",IF(T435&lt;'PlayerGrades+'!$AI$15,"D-",IF(T435&lt;'PlayerGrades+'!$AI$14,"D",IF(T435&lt;'PlayerGrades+'!$AI$13,"D+",IF(T435&lt;'PlayerGrades+'!$AI$12,"C-",IF(T435&lt;'PlayerGrades+'!$AI$11,"C",IF(T435&lt;'PlayerGrades+'!$AI$10,"C+",IF(T435&lt;'PlayerGrades+'!$AI$9,"B-",IF(T435&lt;'PlayerGrades+'!$AI$8,"B",IF(T435&lt;'PlayerGrades+'!$AI$7,"B+",IF(T435&lt;'PlayerGrades+'!$AI$6,"A-",IF(T435&lt;'PlayerGrades+'!$AI$5,"A",IF(T435&lt;'PlayerGrades+'!$AI$4,"A+",IF(T435&lt;'PlayerGrades+'!$AI$3,"S-",IF(T435&lt;'PlayerGrades+'!$AI$2,"S","S+"))))))))))))))))))))</f>
        <v>F-</v>
      </c>
      <c r="AC435" s="1392"/>
    </row>
    <row r="436">
      <c r="A436" s="1391"/>
      <c r="B436" s="611" t="str">
        <f>IF(C436&lt;'PlayerGrades+'!$Y$44,"F-",IF(C436&lt;'PlayerGrades+'!$Y$43,"F",IF(C436&lt;'PlayerGrades+'!$Y$42,"F+",IF(C436&lt;'PlayerGrades+'!$Y$41,"E-",IF(C436&lt;'PlayerGrades+'!$Y$40,"E",IF(C436&lt;'PlayerGrades+'!$Y$39,"E+",IF(C436&lt;'PlayerGrades+'!$Y$38,"D-",IF(C436&lt;'PlayerGrades+'!$Y$37,"D",IF(C436&lt;'PlayerGrades+'!$Y$36,"D+",IF(C436&lt;'PlayerGrades+'!$Y$35,"C-",IF(C436&lt;'PlayerGrades+'!$Y$34,"C",IF(C436&lt;'PlayerGrades+'!$Y$33,"C+",IF(C436&lt;'PlayerGrades+'!$Y$32,"B-",IF(C436&lt;'PlayerGrades+'!$Y$31,"B",IF(C436&lt;'PlayerGrades+'!$Y$30,"B+",IF(C436&lt;'PlayerGrades+'!$Y$29,"A-",IF(C436&lt;'PlayerGrades+'!$Y$28,"A",IF(C436&lt;'PlayerGrades+'!$Y$27,"A+",IF(C436&lt;'PlayerGrades+'!$Y$26,"S-",IF(C436&lt;'PlayerGrades+'!$Y$25,"S","S+"))))))))))))))))))))</f>
        <v>#DIV/0!</v>
      </c>
      <c r="C436" s="1378" t="str">
        <f>('PlayerGrades+'!$Y$47*(VLOOKUP(E436, 'PlayerGrades+'!$X$3:$Y$23, 2, FALSE)))+('PlayerGrades+'!$Y$48*(VLOOKUP(G436, 'PlayerGrades+'!$X$3:$Y$23, 2, FALSE)))+('PlayerGrades+'!$Y$49*(VLOOKUP(I436, 'PlayerGrades+'!$X$3:$Y$23, 2, FALSE)))+('PlayerGrades+'!$Y$50*(VLOOKUP(K436, 'PlayerGrades+'!$X$3:$Y$23, 2, FALSE)))+('PlayerGrades+'!$Y$51*(VLOOKUP(M436, 'PlayerGrades+'!$X$3:$Y$23, 2, FALSE)))+('PlayerGrades+'!$Y$52*(VLOOKUP(O436, 'PlayerGrades+'!$X$3:$Y$23, 2, FALSE)))+('PlayerGrades+'!$Y$53*(VLOOKUP(Q436, 'PlayerGrades+'!$X$3:$Y$23, 2, FALSE)))+('PlayerGrades+'!$Y$54*(VLOOKUP(S436, 'PlayerGrades+'!$X$3:$Y$23, 2, FALSE)))+('PlayerGrades+'!$Y$55*(VLOOKUP(U436, 'PlayerGrades+'!$X$3:$Y$23, 2, FALSE)))</f>
        <v>#DIV/0!</v>
      </c>
      <c r="D436" s="961" t="str">
        <f t="shared" si="1"/>
        <v>#DIV/0!</v>
      </c>
      <c r="E436" s="961" t="str">
        <f>IF(D436&lt;'PlayerGrades+'!$AA$21,"F-",IF(D436&lt;'PlayerGrades+'!$AA$20,"F",IF(D436&lt;'PlayerGrades+'!$AA$19,"F+",IF(D436&lt;'PlayerGrades+'!$AA$18,"E-",IF(D436&lt;'PlayerGrades+'!$AA$17,"E",IF(D436&lt;'PlayerGrades+'!$AA$16,"E+",IF(D436&lt;'PlayerGrades+'!$AA$15,"D-",IF(D436&lt;'PlayerGrades+'!$AA$14,"D",IF(D436&lt;'PlayerGrades+'!$AA$13,"D+",IF(D436&lt;'PlayerGrades+'!$AA$12,"C-",IF(D436&lt;'PlayerGrades+'!$AA$11,"C",IF(D436&lt;'PlayerGrades+'!$AA$10,"C+",IF(D436&lt;'PlayerGrades+'!$AA$9,"B-",IF(D436&lt;'PlayerGrades+'!$AA$8,"B",IF(D436&lt;'PlayerGrades+'!$AA$7,"B+",IF(D436&lt;'PlayerGrades+'!$AA$6,"A-",IF(D436&lt;'PlayerGrades+'!$AA$5,"A",IF(D436&lt;'PlayerGrades+'!$AA$4,"A+",IF(D436&lt;'PlayerGrades+'!$AA$3,"S-",IF(D436&lt;'PlayerGrades+'!$AA$2,"S","S+"))))))))))))))))))))</f>
        <v>#DIV/0!</v>
      </c>
      <c r="F436" s="961" t="str">
        <f t="shared" si="2"/>
        <v>#DIV/0!</v>
      </c>
      <c r="G436" s="961" t="str">
        <f>IF(F436&lt;'PlayerGrades+'!$AB$21,"F-",IF(F436&lt;'PlayerGrades+'!$AB$20,"F",IF(F436&lt;'PlayerGrades+'!$AB$19,"F+",IF(F436&lt;'PlayerGrades+'!$AB$18,"E-",IF(F436&lt;'PlayerGrades+'!$AB$17,"E",IF(F436&lt;'PlayerGrades+'!$AB$16,"E+",IF(F436&lt;'PlayerGrades+'!$AB$15,"D-",IF(F436&lt;'PlayerGrades+'!$AB$14,"D",IF(F436&lt;'PlayerGrades+'!$AB$13,"D+",IF(F436&lt;'PlayerGrades+'!$AB$12,"C-",IF(F436&lt;'PlayerGrades+'!$AB$11,"C",IF(F436&lt;'PlayerGrades+'!$AB$10,"C+",IF(F436&lt;'PlayerGrades+'!$AB$9,"B-",IF(F436&lt;'PlayerGrades+'!$AB$8,"B",IF(F436&lt;'PlayerGrades+'!$AB$7,"B+",IF(F436&lt;'PlayerGrades+'!$AB$6,"A-",IF(F436&lt;'PlayerGrades+'!$AB$5,"A",IF(F436&lt;'PlayerGrades+'!$AB$4,"A+",IF(F436&lt;'PlayerGrades+'!$AB$3,"S-",IF(F436&lt;'PlayerGrades+'!$AB$2,"S","S+"))))))))))))))))))))</f>
        <v>#DIV/0!</v>
      </c>
      <c r="H436" s="961" t="str">
        <f t="shared" si="3"/>
        <v>#DIV/0!</v>
      </c>
      <c r="I436" s="961" t="str">
        <f>IF(H436&lt;'PlayerGrades+'!$AC$21,"F-",IF(H436&lt;'PlayerGrades+'!$AC$20,"F",IF(H436&lt;'PlayerGrades+'!$AC$19,"F+",IF(H436&lt;'PlayerGrades+'!$AC$18,"E-",IF(H436&lt;'PlayerGrades+'!$AC$17,"E",IF(H436&lt;'PlayerGrades+'!$AC$16,"E+",IF(H436&lt;'PlayerGrades+'!$AC$15,"D-",IF(H436&lt;'PlayerGrades+'!$AC$14,"D",IF(H436&lt;'PlayerGrades+'!$AC$13,"D+",IF(H436&lt;'PlayerGrades+'!$AC$12,"C-",IF(H436&lt;'PlayerGrades+'!$AC$11,"C",IF(H436&lt;'PlayerGrades+'!$AC$10,"C+",IF(H436&lt;'PlayerGrades+'!$AC$9,"B-",IF(H436&lt;'PlayerGrades+'!$AC$8,"B",IF(H436&lt;'PlayerGrades+'!$AC$7,"B+",IF(H436&lt;'PlayerGrades+'!$AC$6,"A-",IF(H436&lt;'PlayerGrades+'!$AC$5,"A",IF(H436&lt;'PlayerGrades+'!$AC$4,"A+",IF(H436&lt;'PlayerGrades+'!$AC$3,"S-",IF(H436&lt;'PlayerGrades+'!$AC$2,"S","S+"))))))))))))))))))))</f>
        <v>#DIV/0!</v>
      </c>
      <c r="J436" s="961" t="str">
        <f t="shared" si="4"/>
        <v>#DIV/0!</v>
      </c>
      <c r="K436" s="961" t="str">
        <f>IF(J436&lt;'PlayerGrades+'!$AD$21,"F-",IF(J436&lt;'PlayerGrades+'!$AD$20,"F",IF(J436&lt;'PlayerGrades+'!$AD$19,"F+",IF(J436&lt;'PlayerGrades+'!$AD$18,"E-",IF(J436&lt;'PlayerGrades+'!$AD$17,"E",IF(J436&lt;'PlayerGrades+'!$AD$16,"E+",IF(J436&lt;'PlayerGrades+'!$AD$15,"D-",IF(J436&lt;'PlayerGrades+'!$AD$14,"D",IF(J436&lt;'PlayerGrades+'!$AD$13,"D+",IF(J436&lt;'PlayerGrades+'!$AD$12,"C-",IF(J436&lt;'PlayerGrades+'!$AD$11,"C",IF(J436&lt;'PlayerGrades+'!$AD$10,"C+",IF(J436&lt;'PlayerGrades+'!$AD$9,"B-",IF(J436&lt;'PlayerGrades+'!$AD$8,"B",IF(J436&lt;'PlayerGrades+'!$AD$7,"B+",IF(J436&lt;'PlayerGrades+'!$AD$6,"A-",IF(J436&lt;'PlayerGrades+'!$AD$5,"A",IF(J436&lt;'PlayerGrades+'!$AD$4,"A+",IF(J436&lt;'PlayerGrades+'!$AD$3,"S-",IF(J436&lt;'PlayerGrades+'!$AD$2,"S","S+"))))))))))))))))))))</f>
        <v>#DIV/0!</v>
      </c>
      <c r="L436" s="1176" t="str">
        <f t="shared" si="5"/>
        <v>#DIV/0!</v>
      </c>
      <c r="M436" s="992" t="str">
        <f>IF(L436&lt;'PlayerGrades+'!$AE$21,"F-",IF(L436&lt;'PlayerGrades+'!$AE$20,"F",IF(L436&lt;'PlayerGrades+'!$AE$19,"F+",IF(L436&lt;'PlayerGrades+'!$AE$18,"E-",IF(L436&lt;'PlayerGrades+'!$AE$17,"E",IF(L436&lt;'PlayerGrades+'!$AE$16,"E+",IF(L436&lt;'PlayerGrades+'!$AE$15,"D-",IF(L436&lt;'PlayerGrades+'!$AE$14,"D",IF(L436&lt;'PlayerGrades+'!$AE$13,"D+",IF(L436&lt;'PlayerGrades+'!$AE$12,"C-",IF(L436&lt;'PlayerGrades+'!$AE$11,"C",IF(L436&lt;'PlayerGrades+'!$AE$10,"C+",IF(L436&lt;'PlayerGrades+'!$AE$9,"B-",IF(L436&lt;'PlayerGrades+'!$AE$8,"B",IF(L436&lt;'PlayerGrades+'!$AE$7,"B+",IF(L436&lt;'PlayerGrades+'!$AE$6,"A-",IF(L436&lt;'PlayerGrades+'!$AE$5,"A",IF(L436&lt;'PlayerGrades+'!$AE$4,"A+",IF(L436&lt;'PlayerGrades+'!$AE$3,"S-",IF(L436&lt;'PlayerGrades+'!$AE$2,"S","S+"))))))))))))))))))))</f>
        <v>#DIV/0!</v>
      </c>
      <c r="N436" s="961" t="str">
        <f t="shared" si="6"/>
        <v>#DIV/0!</v>
      </c>
      <c r="O436" s="961" t="str">
        <f>IF(N436&lt;'PlayerGrades+'!$AF$21,"F-",IF(N436&lt;'PlayerGrades+'!$AF$20,"F",IF(N436&lt;'PlayerGrades+'!$AF$19,"F+",IF(N436&lt;'PlayerGrades+'!$AF$18,"E-",IF(N436&lt;'PlayerGrades+'!$AF$17,"E",IF(N436&lt;'PlayerGrades+'!$AF$16,"E+",IF(N436&lt;'PlayerGrades+'!$AF$15,"D-",IF(N436&lt;'PlayerGrades+'!$AF$14,"D",IF(N436&lt;'PlayerGrades+'!$AF$13,"D+",IF(N436&lt;'PlayerGrades+'!$AF$12,"C-",IF(N436&lt;'PlayerGrades+'!$AF$11,"C",IF(N436&lt;'PlayerGrades+'!$AF$10,"C+",IF(N436&lt;'PlayerGrades+'!$AF$9,"B-",IF(N436&lt;'PlayerGrades+'!$AF$8,"B",IF(N436&lt;'PlayerGrades+'!$AF$7,"B+",IF(N436&lt;'PlayerGrades+'!$AF$6,"A-",IF(N436&lt;'PlayerGrades+'!$AF$5,"A",IF(N436&lt;'PlayerGrades+'!$AF$4,"A+",IF(N436&lt;'PlayerGrades+'!$AF$3,"S-",IF(N436&lt;'PlayerGrades+'!$AF$2,"S","S+"))))))))))))))))))))</f>
        <v>#DIV/0!</v>
      </c>
      <c r="P436" s="961" t="str">
        <f t="shared" si="7"/>
        <v>#DIV/0!</v>
      </c>
      <c r="Q436" s="961" t="str">
        <f>IF(P436&lt;'PlayerGrades+'!$AG$21,"F-",IF(P436&lt;'PlayerGrades+'!$AG$20,"F",IF(P436&lt;'PlayerGrades+'!$AG$19,"F+",IF(P436&lt;'PlayerGrades+'!$AG$18,"E-",IF(P436&lt;'PlayerGrades+'!$AG$17,"E",IF(P436&lt;'PlayerGrades+'!$AG$16,"E+",IF(P436&lt;'PlayerGrades+'!$AG$15,"D-",IF(P436&lt;'PlayerGrades+'!$AG$14,"D",IF(P436&lt;'PlayerGrades+'!$AG$13,"D+",IF(P436&lt;'PlayerGrades+'!$AG$12,"C-",IF(P436&lt;'PlayerGrades+'!$AG$11,"C",IF(P436&lt;'PlayerGrades+'!$AG$10,"C+",IF(P436&lt;'PlayerGrades+'!$AG$9,"B-",IF(P436&lt;'PlayerGrades+'!$AG$8,"B",IF(P436&lt;'PlayerGrades+'!$AG$7,"B+",IF(P436&lt;'PlayerGrades+'!$AG$6,"A-",IF(P436&lt;'PlayerGrades+'!$AG$5,"A",IF(P436&lt;'PlayerGrades+'!$AG$4,"A+",IF(P436&lt;'PlayerGrades+'!$AG$3,"S-",IF(P436&lt;'PlayerGrades+'!$AG$2,"S","S+"))))))))))))))))))))</f>
        <v>#DIV/0!</v>
      </c>
      <c r="R436" s="961" t="str">
        <f t="shared" si="8"/>
        <v>#DIV/0!</v>
      </c>
      <c r="S436" s="961" t="str">
        <f>IF(R436&lt;'PlayerGrades+'!$AH$21,"F-",IF(R436&lt;'PlayerGrades+'!$AH$20,"F",IF(R436&lt;'PlayerGrades+'!$AH$19,"F+",IF(R436&lt;'PlayerGrades+'!$AH$18,"E-",IF(R436&lt;'PlayerGrades+'!$AH$17,"E",IF(R436&lt;'PlayerGrades+'!$AH$16,"E+",IF(R436&lt;'PlayerGrades+'!$AH$15,"D-",IF(R436&lt;'PlayerGrades+'!$AH$14,"D",IF(R436&lt;'PlayerGrades+'!$AH$13,"D+",IF(R436&lt;'PlayerGrades+'!$AH$12,"C-",IF(R436&lt;'PlayerGrades+'!$AH$11,"C",IF(R436&lt;'PlayerGrades+'!$AH$10,"C+",IF(R436&lt;'PlayerGrades+'!$AH$9,"B-",IF(R436&lt;'PlayerGrades+'!$AH$8,"B",IF(R436&lt;'PlayerGrades+'!$AH$7,"B+",IF(R436&lt;'PlayerGrades+'!$AH$6,"A-",IF(R436&lt;'PlayerGrades+'!$AH$5,"A",IF(R436&lt;'PlayerGrades+'!$AH$4,"A+",IF(R436&lt;'PlayerGrades+'!$AH$3,"S-",IF(R436&lt;'PlayerGrades+'!$AH$2,"S","S+"))))))))))))))))))))</f>
        <v>#DIV/0!</v>
      </c>
      <c r="T436" s="961">
        <f t="shared" si="9"/>
        <v>0</v>
      </c>
      <c r="U436" s="961" t="str">
        <f>IF(T436&lt;'PlayerGrades+'!$AI$21,"F-",IF(T436&lt;'PlayerGrades+'!$AI$20,"F",IF(T436&lt;'PlayerGrades+'!$AI$19,"F+",IF(T436&lt;'PlayerGrades+'!$AI$18,"E-",IF(T436&lt;'PlayerGrades+'!$AI$17,"E",IF(T436&lt;'PlayerGrades+'!$AI$16,"E+",IF(T436&lt;'PlayerGrades+'!$AI$15,"D-",IF(T436&lt;'PlayerGrades+'!$AI$14,"D",IF(T436&lt;'PlayerGrades+'!$AI$13,"D+",IF(T436&lt;'PlayerGrades+'!$AI$12,"C-",IF(T436&lt;'PlayerGrades+'!$AI$11,"C",IF(T436&lt;'PlayerGrades+'!$AI$10,"C+",IF(T436&lt;'PlayerGrades+'!$AI$9,"B-",IF(T436&lt;'PlayerGrades+'!$AI$8,"B",IF(T436&lt;'PlayerGrades+'!$AI$7,"B+",IF(T436&lt;'PlayerGrades+'!$AI$6,"A-",IF(T436&lt;'PlayerGrades+'!$AI$5,"A",IF(T436&lt;'PlayerGrades+'!$AI$4,"A+",IF(T436&lt;'PlayerGrades+'!$AI$3,"S-",IF(T436&lt;'PlayerGrades+'!$AI$2,"S","S+"))))))))))))))))))))</f>
        <v>F-</v>
      </c>
      <c r="AC436" s="1392"/>
    </row>
    <row r="437">
      <c r="A437" s="1391"/>
      <c r="B437" s="611" t="str">
        <f>IF(C437&lt;'PlayerGrades+'!$Y$44,"F-",IF(C437&lt;'PlayerGrades+'!$Y$43,"F",IF(C437&lt;'PlayerGrades+'!$Y$42,"F+",IF(C437&lt;'PlayerGrades+'!$Y$41,"E-",IF(C437&lt;'PlayerGrades+'!$Y$40,"E",IF(C437&lt;'PlayerGrades+'!$Y$39,"E+",IF(C437&lt;'PlayerGrades+'!$Y$38,"D-",IF(C437&lt;'PlayerGrades+'!$Y$37,"D",IF(C437&lt;'PlayerGrades+'!$Y$36,"D+",IF(C437&lt;'PlayerGrades+'!$Y$35,"C-",IF(C437&lt;'PlayerGrades+'!$Y$34,"C",IF(C437&lt;'PlayerGrades+'!$Y$33,"C+",IF(C437&lt;'PlayerGrades+'!$Y$32,"B-",IF(C437&lt;'PlayerGrades+'!$Y$31,"B",IF(C437&lt;'PlayerGrades+'!$Y$30,"B+",IF(C437&lt;'PlayerGrades+'!$Y$29,"A-",IF(C437&lt;'PlayerGrades+'!$Y$28,"A",IF(C437&lt;'PlayerGrades+'!$Y$27,"A+",IF(C437&lt;'PlayerGrades+'!$Y$26,"S-",IF(C437&lt;'PlayerGrades+'!$Y$25,"S","S+"))))))))))))))))))))</f>
        <v>#DIV/0!</v>
      </c>
      <c r="C437" s="1378" t="str">
        <f>('PlayerGrades+'!$Y$47*(VLOOKUP(E437, 'PlayerGrades+'!$X$3:$Y$23, 2, FALSE)))+('PlayerGrades+'!$Y$48*(VLOOKUP(G437, 'PlayerGrades+'!$X$3:$Y$23, 2, FALSE)))+('PlayerGrades+'!$Y$49*(VLOOKUP(I437, 'PlayerGrades+'!$X$3:$Y$23, 2, FALSE)))+('PlayerGrades+'!$Y$50*(VLOOKUP(K437, 'PlayerGrades+'!$X$3:$Y$23, 2, FALSE)))+('PlayerGrades+'!$Y$51*(VLOOKUP(M437, 'PlayerGrades+'!$X$3:$Y$23, 2, FALSE)))+('PlayerGrades+'!$Y$52*(VLOOKUP(O437, 'PlayerGrades+'!$X$3:$Y$23, 2, FALSE)))+('PlayerGrades+'!$Y$53*(VLOOKUP(Q437, 'PlayerGrades+'!$X$3:$Y$23, 2, FALSE)))+('PlayerGrades+'!$Y$54*(VLOOKUP(S437, 'PlayerGrades+'!$X$3:$Y$23, 2, FALSE)))+('PlayerGrades+'!$Y$55*(VLOOKUP(U437, 'PlayerGrades+'!$X$3:$Y$23, 2, FALSE)))</f>
        <v>#DIV/0!</v>
      </c>
      <c r="D437" s="961" t="str">
        <f t="shared" si="1"/>
        <v>#DIV/0!</v>
      </c>
      <c r="E437" s="961" t="str">
        <f>IF(D437&lt;'PlayerGrades+'!$AA$21,"F-",IF(D437&lt;'PlayerGrades+'!$AA$20,"F",IF(D437&lt;'PlayerGrades+'!$AA$19,"F+",IF(D437&lt;'PlayerGrades+'!$AA$18,"E-",IF(D437&lt;'PlayerGrades+'!$AA$17,"E",IF(D437&lt;'PlayerGrades+'!$AA$16,"E+",IF(D437&lt;'PlayerGrades+'!$AA$15,"D-",IF(D437&lt;'PlayerGrades+'!$AA$14,"D",IF(D437&lt;'PlayerGrades+'!$AA$13,"D+",IF(D437&lt;'PlayerGrades+'!$AA$12,"C-",IF(D437&lt;'PlayerGrades+'!$AA$11,"C",IF(D437&lt;'PlayerGrades+'!$AA$10,"C+",IF(D437&lt;'PlayerGrades+'!$AA$9,"B-",IF(D437&lt;'PlayerGrades+'!$AA$8,"B",IF(D437&lt;'PlayerGrades+'!$AA$7,"B+",IF(D437&lt;'PlayerGrades+'!$AA$6,"A-",IF(D437&lt;'PlayerGrades+'!$AA$5,"A",IF(D437&lt;'PlayerGrades+'!$AA$4,"A+",IF(D437&lt;'PlayerGrades+'!$AA$3,"S-",IF(D437&lt;'PlayerGrades+'!$AA$2,"S","S+"))))))))))))))))))))</f>
        <v>#DIV/0!</v>
      </c>
      <c r="F437" s="961" t="str">
        <f t="shared" si="2"/>
        <v>#DIV/0!</v>
      </c>
      <c r="G437" s="961" t="str">
        <f>IF(F437&lt;'PlayerGrades+'!$AB$21,"F-",IF(F437&lt;'PlayerGrades+'!$AB$20,"F",IF(F437&lt;'PlayerGrades+'!$AB$19,"F+",IF(F437&lt;'PlayerGrades+'!$AB$18,"E-",IF(F437&lt;'PlayerGrades+'!$AB$17,"E",IF(F437&lt;'PlayerGrades+'!$AB$16,"E+",IF(F437&lt;'PlayerGrades+'!$AB$15,"D-",IF(F437&lt;'PlayerGrades+'!$AB$14,"D",IF(F437&lt;'PlayerGrades+'!$AB$13,"D+",IF(F437&lt;'PlayerGrades+'!$AB$12,"C-",IF(F437&lt;'PlayerGrades+'!$AB$11,"C",IF(F437&lt;'PlayerGrades+'!$AB$10,"C+",IF(F437&lt;'PlayerGrades+'!$AB$9,"B-",IF(F437&lt;'PlayerGrades+'!$AB$8,"B",IF(F437&lt;'PlayerGrades+'!$AB$7,"B+",IF(F437&lt;'PlayerGrades+'!$AB$6,"A-",IF(F437&lt;'PlayerGrades+'!$AB$5,"A",IF(F437&lt;'PlayerGrades+'!$AB$4,"A+",IF(F437&lt;'PlayerGrades+'!$AB$3,"S-",IF(F437&lt;'PlayerGrades+'!$AB$2,"S","S+"))))))))))))))))))))</f>
        <v>#DIV/0!</v>
      </c>
      <c r="H437" s="961" t="str">
        <f t="shared" si="3"/>
        <v>#DIV/0!</v>
      </c>
      <c r="I437" s="961" t="str">
        <f>IF(H437&lt;'PlayerGrades+'!$AC$21,"F-",IF(H437&lt;'PlayerGrades+'!$AC$20,"F",IF(H437&lt;'PlayerGrades+'!$AC$19,"F+",IF(H437&lt;'PlayerGrades+'!$AC$18,"E-",IF(H437&lt;'PlayerGrades+'!$AC$17,"E",IF(H437&lt;'PlayerGrades+'!$AC$16,"E+",IF(H437&lt;'PlayerGrades+'!$AC$15,"D-",IF(H437&lt;'PlayerGrades+'!$AC$14,"D",IF(H437&lt;'PlayerGrades+'!$AC$13,"D+",IF(H437&lt;'PlayerGrades+'!$AC$12,"C-",IF(H437&lt;'PlayerGrades+'!$AC$11,"C",IF(H437&lt;'PlayerGrades+'!$AC$10,"C+",IF(H437&lt;'PlayerGrades+'!$AC$9,"B-",IF(H437&lt;'PlayerGrades+'!$AC$8,"B",IF(H437&lt;'PlayerGrades+'!$AC$7,"B+",IF(H437&lt;'PlayerGrades+'!$AC$6,"A-",IF(H437&lt;'PlayerGrades+'!$AC$5,"A",IF(H437&lt;'PlayerGrades+'!$AC$4,"A+",IF(H437&lt;'PlayerGrades+'!$AC$3,"S-",IF(H437&lt;'PlayerGrades+'!$AC$2,"S","S+"))))))))))))))))))))</f>
        <v>#DIV/0!</v>
      </c>
      <c r="J437" s="961" t="str">
        <f t="shared" si="4"/>
        <v>#DIV/0!</v>
      </c>
      <c r="K437" s="961" t="str">
        <f>IF(J437&lt;'PlayerGrades+'!$AD$21,"F-",IF(J437&lt;'PlayerGrades+'!$AD$20,"F",IF(J437&lt;'PlayerGrades+'!$AD$19,"F+",IF(J437&lt;'PlayerGrades+'!$AD$18,"E-",IF(J437&lt;'PlayerGrades+'!$AD$17,"E",IF(J437&lt;'PlayerGrades+'!$AD$16,"E+",IF(J437&lt;'PlayerGrades+'!$AD$15,"D-",IF(J437&lt;'PlayerGrades+'!$AD$14,"D",IF(J437&lt;'PlayerGrades+'!$AD$13,"D+",IF(J437&lt;'PlayerGrades+'!$AD$12,"C-",IF(J437&lt;'PlayerGrades+'!$AD$11,"C",IF(J437&lt;'PlayerGrades+'!$AD$10,"C+",IF(J437&lt;'PlayerGrades+'!$AD$9,"B-",IF(J437&lt;'PlayerGrades+'!$AD$8,"B",IF(J437&lt;'PlayerGrades+'!$AD$7,"B+",IF(J437&lt;'PlayerGrades+'!$AD$6,"A-",IF(J437&lt;'PlayerGrades+'!$AD$5,"A",IF(J437&lt;'PlayerGrades+'!$AD$4,"A+",IF(J437&lt;'PlayerGrades+'!$AD$3,"S-",IF(J437&lt;'PlayerGrades+'!$AD$2,"S","S+"))))))))))))))))))))</f>
        <v>#DIV/0!</v>
      </c>
      <c r="L437" s="1176" t="str">
        <f t="shared" si="5"/>
        <v>#DIV/0!</v>
      </c>
      <c r="M437" s="992" t="str">
        <f>IF(L437&lt;'PlayerGrades+'!$AE$21,"F-",IF(L437&lt;'PlayerGrades+'!$AE$20,"F",IF(L437&lt;'PlayerGrades+'!$AE$19,"F+",IF(L437&lt;'PlayerGrades+'!$AE$18,"E-",IF(L437&lt;'PlayerGrades+'!$AE$17,"E",IF(L437&lt;'PlayerGrades+'!$AE$16,"E+",IF(L437&lt;'PlayerGrades+'!$AE$15,"D-",IF(L437&lt;'PlayerGrades+'!$AE$14,"D",IF(L437&lt;'PlayerGrades+'!$AE$13,"D+",IF(L437&lt;'PlayerGrades+'!$AE$12,"C-",IF(L437&lt;'PlayerGrades+'!$AE$11,"C",IF(L437&lt;'PlayerGrades+'!$AE$10,"C+",IF(L437&lt;'PlayerGrades+'!$AE$9,"B-",IF(L437&lt;'PlayerGrades+'!$AE$8,"B",IF(L437&lt;'PlayerGrades+'!$AE$7,"B+",IF(L437&lt;'PlayerGrades+'!$AE$6,"A-",IF(L437&lt;'PlayerGrades+'!$AE$5,"A",IF(L437&lt;'PlayerGrades+'!$AE$4,"A+",IF(L437&lt;'PlayerGrades+'!$AE$3,"S-",IF(L437&lt;'PlayerGrades+'!$AE$2,"S","S+"))))))))))))))))))))</f>
        <v>#DIV/0!</v>
      </c>
      <c r="N437" s="961" t="str">
        <f t="shared" si="6"/>
        <v>#DIV/0!</v>
      </c>
      <c r="O437" s="961" t="str">
        <f>IF(N437&lt;'PlayerGrades+'!$AF$21,"F-",IF(N437&lt;'PlayerGrades+'!$AF$20,"F",IF(N437&lt;'PlayerGrades+'!$AF$19,"F+",IF(N437&lt;'PlayerGrades+'!$AF$18,"E-",IF(N437&lt;'PlayerGrades+'!$AF$17,"E",IF(N437&lt;'PlayerGrades+'!$AF$16,"E+",IF(N437&lt;'PlayerGrades+'!$AF$15,"D-",IF(N437&lt;'PlayerGrades+'!$AF$14,"D",IF(N437&lt;'PlayerGrades+'!$AF$13,"D+",IF(N437&lt;'PlayerGrades+'!$AF$12,"C-",IF(N437&lt;'PlayerGrades+'!$AF$11,"C",IF(N437&lt;'PlayerGrades+'!$AF$10,"C+",IF(N437&lt;'PlayerGrades+'!$AF$9,"B-",IF(N437&lt;'PlayerGrades+'!$AF$8,"B",IF(N437&lt;'PlayerGrades+'!$AF$7,"B+",IF(N437&lt;'PlayerGrades+'!$AF$6,"A-",IF(N437&lt;'PlayerGrades+'!$AF$5,"A",IF(N437&lt;'PlayerGrades+'!$AF$4,"A+",IF(N437&lt;'PlayerGrades+'!$AF$3,"S-",IF(N437&lt;'PlayerGrades+'!$AF$2,"S","S+"))))))))))))))))))))</f>
        <v>#DIV/0!</v>
      </c>
      <c r="P437" s="961" t="str">
        <f t="shared" si="7"/>
        <v>#DIV/0!</v>
      </c>
      <c r="Q437" s="961" t="str">
        <f>IF(P437&lt;'PlayerGrades+'!$AG$21,"F-",IF(P437&lt;'PlayerGrades+'!$AG$20,"F",IF(P437&lt;'PlayerGrades+'!$AG$19,"F+",IF(P437&lt;'PlayerGrades+'!$AG$18,"E-",IF(P437&lt;'PlayerGrades+'!$AG$17,"E",IF(P437&lt;'PlayerGrades+'!$AG$16,"E+",IF(P437&lt;'PlayerGrades+'!$AG$15,"D-",IF(P437&lt;'PlayerGrades+'!$AG$14,"D",IF(P437&lt;'PlayerGrades+'!$AG$13,"D+",IF(P437&lt;'PlayerGrades+'!$AG$12,"C-",IF(P437&lt;'PlayerGrades+'!$AG$11,"C",IF(P437&lt;'PlayerGrades+'!$AG$10,"C+",IF(P437&lt;'PlayerGrades+'!$AG$9,"B-",IF(P437&lt;'PlayerGrades+'!$AG$8,"B",IF(P437&lt;'PlayerGrades+'!$AG$7,"B+",IF(P437&lt;'PlayerGrades+'!$AG$6,"A-",IF(P437&lt;'PlayerGrades+'!$AG$5,"A",IF(P437&lt;'PlayerGrades+'!$AG$4,"A+",IF(P437&lt;'PlayerGrades+'!$AG$3,"S-",IF(P437&lt;'PlayerGrades+'!$AG$2,"S","S+"))))))))))))))))))))</f>
        <v>#DIV/0!</v>
      </c>
      <c r="R437" s="961" t="str">
        <f t="shared" si="8"/>
        <v>#DIV/0!</v>
      </c>
      <c r="S437" s="961" t="str">
        <f>IF(R437&lt;'PlayerGrades+'!$AH$21,"F-",IF(R437&lt;'PlayerGrades+'!$AH$20,"F",IF(R437&lt;'PlayerGrades+'!$AH$19,"F+",IF(R437&lt;'PlayerGrades+'!$AH$18,"E-",IF(R437&lt;'PlayerGrades+'!$AH$17,"E",IF(R437&lt;'PlayerGrades+'!$AH$16,"E+",IF(R437&lt;'PlayerGrades+'!$AH$15,"D-",IF(R437&lt;'PlayerGrades+'!$AH$14,"D",IF(R437&lt;'PlayerGrades+'!$AH$13,"D+",IF(R437&lt;'PlayerGrades+'!$AH$12,"C-",IF(R437&lt;'PlayerGrades+'!$AH$11,"C",IF(R437&lt;'PlayerGrades+'!$AH$10,"C+",IF(R437&lt;'PlayerGrades+'!$AH$9,"B-",IF(R437&lt;'PlayerGrades+'!$AH$8,"B",IF(R437&lt;'PlayerGrades+'!$AH$7,"B+",IF(R437&lt;'PlayerGrades+'!$AH$6,"A-",IF(R437&lt;'PlayerGrades+'!$AH$5,"A",IF(R437&lt;'PlayerGrades+'!$AH$4,"A+",IF(R437&lt;'PlayerGrades+'!$AH$3,"S-",IF(R437&lt;'PlayerGrades+'!$AH$2,"S","S+"))))))))))))))))))))</f>
        <v>#DIV/0!</v>
      </c>
      <c r="T437" s="961">
        <f t="shared" si="9"/>
        <v>0</v>
      </c>
      <c r="U437" s="961" t="str">
        <f>IF(T437&lt;'PlayerGrades+'!$AI$21,"F-",IF(T437&lt;'PlayerGrades+'!$AI$20,"F",IF(T437&lt;'PlayerGrades+'!$AI$19,"F+",IF(T437&lt;'PlayerGrades+'!$AI$18,"E-",IF(T437&lt;'PlayerGrades+'!$AI$17,"E",IF(T437&lt;'PlayerGrades+'!$AI$16,"E+",IF(T437&lt;'PlayerGrades+'!$AI$15,"D-",IF(T437&lt;'PlayerGrades+'!$AI$14,"D",IF(T437&lt;'PlayerGrades+'!$AI$13,"D+",IF(T437&lt;'PlayerGrades+'!$AI$12,"C-",IF(T437&lt;'PlayerGrades+'!$AI$11,"C",IF(T437&lt;'PlayerGrades+'!$AI$10,"C+",IF(T437&lt;'PlayerGrades+'!$AI$9,"B-",IF(T437&lt;'PlayerGrades+'!$AI$8,"B",IF(T437&lt;'PlayerGrades+'!$AI$7,"B+",IF(T437&lt;'PlayerGrades+'!$AI$6,"A-",IF(T437&lt;'PlayerGrades+'!$AI$5,"A",IF(T437&lt;'PlayerGrades+'!$AI$4,"A+",IF(T437&lt;'PlayerGrades+'!$AI$3,"S-",IF(T437&lt;'PlayerGrades+'!$AI$2,"S","S+"))))))))))))))))))))</f>
        <v>F-</v>
      </c>
      <c r="AC437" s="1392"/>
    </row>
    <row r="438">
      <c r="A438" s="1391"/>
      <c r="B438" s="611" t="str">
        <f>IF(C438&lt;'PlayerGrades+'!$Y$44,"F-",IF(C438&lt;'PlayerGrades+'!$Y$43,"F",IF(C438&lt;'PlayerGrades+'!$Y$42,"F+",IF(C438&lt;'PlayerGrades+'!$Y$41,"E-",IF(C438&lt;'PlayerGrades+'!$Y$40,"E",IF(C438&lt;'PlayerGrades+'!$Y$39,"E+",IF(C438&lt;'PlayerGrades+'!$Y$38,"D-",IF(C438&lt;'PlayerGrades+'!$Y$37,"D",IF(C438&lt;'PlayerGrades+'!$Y$36,"D+",IF(C438&lt;'PlayerGrades+'!$Y$35,"C-",IF(C438&lt;'PlayerGrades+'!$Y$34,"C",IF(C438&lt;'PlayerGrades+'!$Y$33,"C+",IF(C438&lt;'PlayerGrades+'!$Y$32,"B-",IF(C438&lt;'PlayerGrades+'!$Y$31,"B",IF(C438&lt;'PlayerGrades+'!$Y$30,"B+",IF(C438&lt;'PlayerGrades+'!$Y$29,"A-",IF(C438&lt;'PlayerGrades+'!$Y$28,"A",IF(C438&lt;'PlayerGrades+'!$Y$27,"A+",IF(C438&lt;'PlayerGrades+'!$Y$26,"S-",IF(C438&lt;'PlayerGrades+'!$Y$25,"S","S+"))))))))))))))))))))</f>
        <v>#DIV/0!</v>
      </c>
      <c r="C438" s="1378" t="str">
        <f>('PlayerGrades+'!$Y$47*(VLOOKUP(E438, 'PlayerGrades+'!$X$3:$Y$23, 2, FALSE)))+('PlayerGrades+'!$Y$48*(VLOOKUP(G438, 'PlayerGrades+'!$X$3:$Y$23, 2, FALSE)))+('PlayerGrades+'!$Y$49*(VLOOKUP(I438, 'PlayerGrades+'!$X$3:$Y$23, 2, FALSE)))+('PlayerGrades+'!$Y$50*(VLOOKUP(K438, 'PlayerGrades+'!$X$3:$Y$23, 2, FALSE)))+('PlayerGrades+'!$Y$51*(VLOOKUP(M438, 'PlayerGrades+'!$X$3:$Y$23, 2, FALSE)))+('PlayerGrades+'!$Y$52*(VLOOKUP(O438, 'PlayerGrades+'!$X$3:$Y$23, 2, FALSE)))+('PlayerGrades+'!$Y$53*(VLOOKUP(Q438, 'PlayerGrades+'!$X$3:$Y$23, 2, FALSE)))+('PlayerGrades+'!$Y$54*(VLOOKUP(S438, 'PlayerGrades+'!$X$3:$Y$23, 2, FALSE)))+('PlayerGrades+'!$Y$55*(VLOOKUP(U438, 'PlayerGrades+'!$X$3:$Y$23, 2, FALSE)))</f>
        <v>#DIV/0!</v>
      </c>
      <c r="D438" s="961" t="str">
        <f t="shared" si="1"/>
        <v>#DIV/0!</v>
      </c>
      <c r="E438" s="961" t="str">
        <f>IF(D438&lt;'PlayerGrades+'!$AA$21,"F-",IF(D438&lt;'PlayerGrades+'!$AA$20,"F",IF(D438&lt;'PlayerGrades+'!$AA$19,"F+",IF(D438&lt;'PlayerGrades+'!$AA$18,"E-",IF(D438&lt;'PlayerGrades+'!$AA$17,"E",IF(D438&lt;'PlayerGrades+'!$AA$16,"E+",IF(D438&lt;'PlayerGrades+'!$AA$15,"D-",IF(D438&lt;'PlayerGrades+'!$AA$14,"D",IF(D438&lt;'PlayerGrades+'!$AA$13,"D+",IF(D438&lt;'PlayerGrades+'!$AA$12,"C-",IF(D438&lt;'PlayerGrades+'!$AA$11,"C",IF(D438&lt;'PlayerGrades+'!$AA$10,"C+",IF(D438&lt;'PlayerGrades+'!$AA$9,"B-",IF(D438&lt;'PlayerGrades+'!$AA$8,"B",IF(D438&lt;'PlayerGrades+'!$AA$7,"B+",IF(D438&lt;'PlayerGrades+'!$AA$6,"A-",IF(D438&lt;'PlayerGrades+'!$AA$5,"A",IF(D438&lt;'PlayerGrades+'!$AA$4,"A+",IF(D438&lt;'PlayerGrades+'!$AA$3,"S-",IF(D438&lt;'PlayerGrades+'!$AA$2,"S","S+"))))))))))))))))))))</f>
        <v>#DIV/0!</v>
      </c>
      <c r="F438" s="961" t="str">
        <f t="shared" si="2"/>
        <v>#DIV/0!</v>
      </c>
      <c r="G438" s="961" t="str">
        <f>IF(F438&lt;'PlayerGrades+'!$AB$21,"F-",IF(F438&lt;'PlayerGrades+'!$AB$20,"F",IF(F438&lt;'PlayerGrades+'!$AB$19,"F+",IF(F438&lt;'PlayerGrades+'!$AB$18,"E-",IF(F438&lt;'PlayerGrades+'!$AB$17,"E",IF(F438&lt;'PlayerGrades+'!$AB$16,"E+",IF(F438&lt;'PlayerGrades+'!$AB$15,"D-",IF(F438&lt;'PlayerGrades+'!$AB$14,"D",IF(F438&lt;'PlayerGrades+'!$AB$13,"D+",IF(F438&lt;'PlayerGrades+'!$AB$12,"C-",IF(F438&lt;'PlayerGrades+'!$AB$11,"C",IF(F438&lt;'PlayerGrades+'!$AB$10,"C+",IF(F438&lt;'PlayerGrades+'!$AB$9,"B-",IF(F438&lt;'PlayerGrades+'!$AB$8,"B",IF(F438&lt;'PlayerGrades+'!$AB$7,"B+",IF(F438&lt;'PlayerGrades+'!$AB$6,"A-",IF(F438&lt;'PlayerGrades+'!$AB$5,"A",IF(F438&lt;'PlayerGrades+'!$AB$4,"A+",IF(F438&lt;'PlayerGrades+'!$AB$3,"S-",IF(F438&lt;'PlayerGrades+'!$AB$2,"S","S+"))))))))))))))))))))</f>
        <v>#DIV/0!</v>
      </c>
      <c r="H438" s="961" t="str">
        <f t="shared" si="3"/>
        <v>#DIV/0!</v>
      </c>
      <c r="I438" s="961" t="str">
        <f>IF(H438&lt;'PlayerGrades+'!$AC$21,"F-",IF(H438&lt;'PlayerGrades+'!$AC$20,"F",IF(H438&lt;'PlayerGrades+'!$AC$19,"F+",IF(H438&lt;'PlayerGrades+'!$AC$18,"E-",IF(H438&lt;'PlayerGrades+'!$AC$17,"E",IF(H438&lt;'PlayerGrades+'!$AC$16,"E+",IF(H438&lt;'PlayerGrades+'!$AC$15,"D-",IF(H438&lt;'PlayerGrades+'!$AC$14,"D",IF(H438&lt;'PlayerGrades+'!$AC$13,"D+",IF(H438&lt;'PlayerGrades+'!$AC$12,"C-",IF(H438&lt;'PlayerGrades+'!$AC$11,"C",IF(H438&lt;'PlayerGrades+'!$AC$10,"C+",IF(H438&lt;'PlayerGrades+'!$AC$9,"B-",IF(H438&lt;'PlayerGrades+'!$AC$8,"B",IF(H438&lt;'PlayerGrades+'!$AC$7,"B+",IF(H438&lt;'PlayerGrades+'!$AC$6,"A-",IF(H438&lt;'PlayerGrades+'!$AC$5,"A",IF(H438&lt;'PlayerGrades+'!$AC$4,"A+",IF(H438&lt;'PlayerGrades+'!$AC$3,"S-",IF(H438&lt;'PlayerGrades+'!$AC$2,"S","S+"))))))))))))))))))))</f>
        <v>#DIV/0!</v>
      </c>
      <c r="J438" s="961" t="str">
        <f t="shared" si="4"/>
        <v>#DIV/0!</v>
      </c>
      <c r="K438" s="961" t="str">
        <f>IF(J438&lt;'PlayerGrades+'!$AD$21,"F-",IF(J438&lt;'PlayerGrades+'!$AD$20,"F",IF(J438&lt;'PlayerGrades+'!$AD$19,"F+",IF(J438&lt;'PlayerGrades+'!$AD$18,"E-",IF(J438&lt;'PlayerGrades+'!$AD$17,"E",IF(J438&lt;'PlayerGrades+'!$AD$16,"E+",IF(J438&lt;'PlayerGrades+'!$AD$15,"D-",IF(J438&lt;'PlayerGrades+'!$AD$14,"D",IF(J438&lt;'PlayerGrades+'!$AD$13,"D+",IF(J438&lt;'PlayerGrades+'!$AD$12,"C-",IF(J438&lt;'PlayerGrades+'!$AD$11,"C",IF(J438&lt;'PlayerGrades+'!$AD$10,"C+",IF(J438&lt;'PlayerGrades+'!$AD$9,"B-",IF(J438&lt;'PlayerGrades+'!$AD$8,"B",IF(J438&lt;'PlayerGrades+'!$AD$7,"B+",IF(J438&lt;'PlayerGrades+'!$AD$6,"A-",IF(J438&lt;'PlayerGrades+'!$AD$5,"A",IF(J438&lt;'PlayerGrades+'!$AD$4,"A+",IF(J438&lt;'PlayerGrades+'!$AD$3,"S-",IF(J438&lt;'PlayerGrades+'!$AD$2,"S","S+"))))))))))))))))))))</f>
        <v>#DIV/0!</v>
      </c>
      <c r="L438" s="1176" t="str">
        <f t="shared" si="5"/>
        <v>#DIV/0!</v>
      </c>
      <c r="M438" s="992" t="str">
        <f>IF(L438&lt;'PlayerGrades+'!$AE$21,"F-",IF(L438&lt;'PlayerGrades+'!$AE$20,"F",IF(L438&lt;'PlayerGrades+'!$AE$19,"F+",IF(L438&lt;'PlayerGrades+'!$AE$18,"E-",IF(L438&lt;'PlayerGrades+'!$AE$17,"E",IF(L438&lt;'PlayerGrades+'!$AE$16,"E+",IF(L438&lt;'PlayerGrades+'!$AE$15,"D-",IF(L438&lt;'PlayerGrades+'!$AE$14,"D",IF(L438&lt;'PlayerGrades+'!$AE$13,"D+",IF(L438&lt;'PlayerGrades+'!$AE$12,"C-",IF(L438&lt;'PlayerGrades+'!$AE$11,"C",IF(L438&lt;'PlayerGrades+'!$AE$10,"C+",IF(L438&lt;'PlayerGrades+'!$AE$9,"B-",IF(L438&lt;'PlayerGrades+'!$AE$8,"B",IF(L438&lt;'PlayerGrades+'!$AE$7,"B+",IF(L438&lt;'PlayerGrades+'!$AE$6,"A-",IF(L438&lt;'PlayerGrades+'!$AE$5,"A",IF(L438&lt;'PlayerGrades+'!$AE$4,"A+",IF(L438&lt;'PlayerGrades+'!$AE$3,"S-",IF(L438&lt;'PlayerGrades+'!$AE$2,"S","S+"))))))))))))))))))))</f>
        <v>#DIV/0!</v>
      </c>
      <c r="N438" s="961" t="str">
        <f t="shared" si="6"/>
        <v>#DIV/0!</v>
      </c>
      <c r="O438" s="961" t="str">
        <f>IF(N438&lt;'PlayerGrades+'!$AF$21,"F-",IF(N438&lt;'PlayerGrades+'!$AF$20,"F",IF(N438&lt;'PlayerGrades+'!$AF$19,"F+",IF(N438&lt;'PlayerGrades+'!$AF$18,"E-",IF(N438&lt;'PlayerGrades+'!$AF$17,"E",IF(N438&lt;'PlayerGrades+'!$AF$16,"E+",IF(N438&lt;'PlayerGrades+'!$AF$15,"D-",IF(N438&lt;'PlayerGrades+'!$AF$14,"D",IF(N438&lt;'PlayerGrades+'!$AF$13,"D+",IF(N438&lt;'PlayerGrades+'!$AF$12,"C-",IF(N438&lt;'PlayerGrades+'!$AF$11,"C",IF(N438&lt;'PlayerGrades+'!$AF$10,"C+",IF(N438&lt;'PlayerGrades+'!$AF$9,"B-",IF(N438&lt;'PlayerGrades+'!$AF$8,"B",IF(N438&lt;'PlayerGrades+'!$AF$7,"B+",IF(N438&lt;'PlayerGrades+'!$AF$6,"A-",IF(N438&lt;'PlayerGrades+'!$AF$5,"A",IF(N438&lt;'PlayerGrades+'!$AF$4,"A+",IF(N438&lt;'PlayerGrades+'!$AF$3,"S-",IF(N438&lt;'PlayerGrades+'!$AF$2,"S","S+"))))))))))))))))))))</f>
        <v>#DIV/0!</v>
      </c>
      <c r="P438" s="961" t="str">
        <f t="shared" si="7"/>
        <v>#DIV/0!</v>
      </c>
      <c r="Q438" s="961" t="str">
        <f>IF(P438&lt;'PlayerGrades+'!$AG$21,"F-",IF(P438&lt;'PlayerGrades+'!$AG$20,"F",IF(P438&lt;'PlayerGrades+'!$AG$19,"F+",IF(P438&lt;'PlayerGrades+'!$AG$18,"E-",IF(P438&lt;'PlayerGrades+'!$AG$17,"E",IF(P438&lt;'PlayerGrades+'!$AG$16,"E+",IF(P438&lt;'PlayerGrades+'!$AG$15,"D-",IF(P438&lt;'PlayerGrades+'!$AG$14,"D",IF(P438&lt;'PlayerGrades+'!$AG$13,"D+",IF(P438&lt;'PlayerGrades+'!$AG$12,"C-",IF(P438&lt;'PlayerGrades+'!$AG$11,"C",IF(P438&lt;'PlayerGrades+'!$AG$10,"C+",IF(P438&lt;'PlayerGrades+'!$AG$9,"B-",IF(P438&lt;'PlayerGrades+'!$AG$8,"B",IF(P438&lt;'PlayerGrades+'!$AG$7,"B+",IF(P438&lt;'PlayerGrades+'!$AG$6,"A-",IF(P438&lt;'PlayerGrades+'!$AG$5,"A",IF(P438&lt;'PlayerGrades+'!$AG$4,"A+",IF(P438&lt;'PlayerGrades+'!$AG$3,"S-",IF(P438&lt;'PlayerGrades+'!$AG$2,"S","S+"))))))))))))))))))))</f>
        <v>#DIV/0!</v>
      </c>
      <c r="R438" s="961" t="str">
        <f t="shared" si="8"/>
        <v>#DIV/0!</v>
      </c>
      <c r="S438" s="961" t="str">
        <f>IF(R438&lt;'PlayerGrades+'!$AH$21,"F-",IF(R438&lt;'PlayerGrades+'!$AH$20,"F",IF(R438&lt;'PlayerGrades+'!$AH$19,"F+",IF(R438&lt;'PlayerGrades+'!$AH$18,"E-",IF(R438&lt;'PlayerGrades+'!$AH$17,"E",IF(R438&lt;'PlayerGrades+'!$AH$16,"E+",IF(R438&lt;'PlayerGrades+'!$AH$15,"D-",IF(R438&lt;'PlayerGrades+'!$AH$14,"D",IF(R438&lt;'PlayerGrades+'!$AH$13,"D+",IF(R438&lt;'PlayerGrades+'!$AH$12,"C-",IF(R438&lt;'PlayerGrades+'!$AH$11,"C",IF(R438&lt;'PlayerGrades+'!$AH$10,"C+",IF(R438&lt;'PlayerGrades+'!$AH$9,"B-",IF(R438&lt;'PlayerGrades+'!$AH$8,"B",IF(R438&lt;'PlayerGrades+'!$AH$7,"B+",IF(R438&lt;'PlayerGrades+'!$AH$6,"A-",IF(R438&lt;'PlayerGrades+'!$AH$5,"A",IF(R438&lt;'PlayerGrades+'!$AH$4,"A+",IF(R438&lt;'PlayerGrades+'!$AH$3,"S-",IF(R438&lt;'PlayerGrades+'!$AH$2,"S","S+"))))))))))))))))))))</f>
        <v>#DIV/0!</v>
      </c>
      <c r="T438" s="961">
        <f t="shared" si="9"/>
        <v>0</v>
      </c>
      <c r="U438" s="961" t="str">
        <f>IF(T438&lt;'PlayerGrades+'!$AI$21,"F-",IF(T438&lt;'PlayerGrades+'!$AI$20,"F",IF(T438&lt;'PlayerGrades+'!$AI$19,"F+",IF(T438&lt;'PlayerGrades+'!$AI$18,"E-",IF(T438&lt;'PlayerGrades+'!$AI$17,"E",IF(T438&lt;'PlayerGrades+'!$AI$16,"E+",IF(T438&lt;'PlayerGrades+'!$AI$15,"D-",IF(T438&lt;'PlayerGrades+'!$AI$14,"D",IF(T438&lt;'PlayerGrades+'!$AI$13,"D+",IF(T438&lt;'PlayerGrades+'!$AI$12,"C-",IF(T438&lt;'PlayerGrades+'!$AI$11,"C",IF(T438&lt;'PlayerGrades+'!$AI$10,"C+",IF(T438&lt;'PlayerGrades+'!$AI$9,"B-",IF(T438&lt;'PlayerGrades+'!$AI$8,"B",IF(T438&lt;'PlayerGrades+'!$AI$7,"B+",IF(T438&lt;'PlayerGrades+'!$AI$6,"A-",IF(T438&lt;'PlayerGrades+'!$AI$5,"A",IF(T438&lt;'PlayerGrades+'!$AI$4,"A+",IF(T438&lt;'PlayerGrades+'!$AI$3,"S-",IF(T438&lt;'PlayerGrades+'!$AI$2,"S","S+"))))))))))))))))))))</f>
        <v>F-</v>
      </c>
      <c r="AC438" s="1392"/>
    </row>
    <row r="439">
      <c r="A439" s="1391"/>
      <c r="B439" s="611" t="str">
        <f>IF(C439&lt;'PlayerGrades+'!$Y$44,"F-",IF(C439&lt;'PlayerGrades+'!$Y$43,"F",IF(C439&lt;'PlayerGrades+'!$Y$42,"F+",IF(C439&lt;'PlayerGrades+'!$Y$41,"E-",IF(C439&lt;'PlayerGrades+'!$Y$40,"E",IF(C439&lt;'PlayerGrades+'!$Y$39,"E+",IF(C439&lt;'PlayerGrades+'!$Y$38,"D-",IF(C439&lt;'PlayerGrades+'!$Y$37,"D",IF(C439&lt;'PlayerGrades+'!$Y$36,"D+",IF(C439&lt;'PlayerGrades+'!$Y$35,"C-",IF(C439&lt;'PlayerGrades+'!$Y$34,"C",IF(C439&lt;'PlayerGrades+'!$Y$33,"C+",IF(C439&lt;'PlayerGrades+'!$Y$32,"B-",IF(C439&lt;'PlayerGrades+'!$Y$31,"B",IF(C439&lt;'PlayerGrades+'!$Y$30,"B+",IF(C439&lt;'PlayerGrades+'!$Y$29,"A-",IF(C439&lt;'PlayerGrades+'!$Y$28,"A",IF(C439&lt;'PlayerGrades+'!$Y$27,"A+",IF(C439&lt;'PlayerGrades+'!$Y$26,"S-",IF(C439&lt;'PlayerGrades+'!$Y$25,"S","S+"))))))))))))))))))))</f>
        <v>#DIV/0!</v>
      </c>
      <c r="C439" s="1378" t="str">
        <f>('PlayerGrades+'!$Y$47*(VLOOKUP(E439, 'PlayerGrades+'!$X$3:$Y$23, 2, FALSE)))+('PlayerGrades+'!$Y$48*(VLOOKUP(G439, 'PlayerGrades+'!$X$3:$Y$23, 2, FALSE)))+('PlayerGrades+'!$Y$49*(VLOOKUP(I439, 'PlayerGrades+'!$X$3:$Y$23, 2, FALSE)))+('PlayerGrades+'!$Y$50*(VLOOKUP(K439, 'PlayerGrades+'!$X$3:$Y$23, 2, FALSE)))+('PlayerGrades+'!$Y$51*(VLOOKUP(M439, 'PlayerGrades+'!$X$3:$Y$23, 2, FALSE)))+('PlayerGrades+'!$Y$52*(VLOOKUP(O439, 'PlayerGrades+'!$X$3:$Y$23, 2, FALSE)))+('PlayerGrades+'!$Y$53*(VLOOKUP(Q439, 'PlayerGrades+'!$X$3:$Y$23, 2, FALSE)))+('PlayerGrades+'!$Y$54*(VLOOKUP(S439, 'PlayerGrades+'!$X$3:$Y$23, 2, FALSE)))+('PlayerGrades+'!$Y$55*(VLOOKUP(U439, 'PlayerGrades+'!$X$3:$Y$23, 2, FALSE)))</f>
        <v>#DIV/0!</v>
      </c>
      <c r="D439" s="961" t="str">
        <f t="shared" si="1"/>
        <v>#DIV/0!</v>
      </c>
      <c r="E439" s="961" t="str">
        <f>IF(D439&lt;'PlayerGrades+'!$AA$21,"F-",IF(D439&lt;'PlayerGrades+'!$AA$20,"F",IF(D439&lt;'PlayerGrades+'!$AA$19,"F+",IF(D439&lt;'PlayerGrades+'!$AA$18,"E-",IF(D439&lt;'PlayerGrades+'!$AA$17,"E",IF(D439&lt;'PlayerGrades+'!$AA$16,"E+",IF(D439&lt;'PlayerGrades+'!$AA$15,"D-",IF(D439&lt;'PlayerGrades+'!$AA$14,"D",IF(D439&lt;'PlayerGrades+'!$AA$13,"D+",IF(D439&lt;'PlayerGrades+'!$AA$12,"C-",IF(D439&lt;'PlayerGrades+'!$AA$11,"C",IF(D439&lt;'PlayerGrades+'!$AA$10,"C+",IF(D439&lt;'PlayerGrades+'!$AA$9,"B-",IF(D439&lt;'PlayerGrades+'!$AA$8,"B",IF(D439&lt;'PlayerGrades+'!$AA$7,"B+",IF(D439&lt;'PlayerGrades+'!$AA$6,"A-",IF(D439&lt;'PlayerGrades+'!$AA$5,"A",IF(D439&lt;'PlayerGrades+'!$AA$4,"A+",IF(D439&lt;'PlayerGrades+'!$AA$3,"S-",IF(D439&lt;'PlayerGrades+'!$AA$2,"S","S+"))))))))))))))))))))</f>
        <v>#DIV/0!</v>
      </c>
      <c r="F439" s="961" t="str">
        <f t="shared" si="2"/>
        <v>#DIV/0!</v>
      </c>
      <c r="G439" s="961" t="str">
        <f>IF(F439&lt;'PlayerGrades+'!$AB$21,"F-",IF(F439&lt;'PlayerGrades+'!$AB$20,"F",IF(F439&lt;'PlayerGrades+'!$AB$19,"F+",IF(F439&lt;'PlayerGrades+'!$AB$18,"E-",IF(F439&lt;'PlayerGrades+'!$AB$17,"E",IF(F439&lt;'PlayerGrades+'!$AB$16,"E+",IF(F439&lt;'PlayerGrades+'!$AB$15,"D-",IF(F439&lt;'PlayerGrades+'!$AB$14,"D",IF(F439&lt;'PlayerGrades+'!$AB$13,"D+",IF(F439&lt;'PlayerGrades+'!$AB$12,"C-",IF(F439&lt;'PlayerGrades+'!$AB$11,"C",IF(F439&lt;'PlayerGrades+'!$AB$10,"C+",IF(F439&lt;'PlayerGrades+'!$AB$9,"B-",IF(F439&lt;'PlayerGrades+'!$AB$8,"B",IF(F439&lt;'PlayerGrades+'!$AB$7,"B+",IF(F439&lt;'PlayerGrades+'!$AB$6,"A-",IF(F439&lt;'PlayerGrades+'!$AB$5,"A",IF(F439&lt;'PlayerGrades+'!$AB$4,"A+",IF(F439&lt;'PlayerGrades+'!$AB$3,"S-",IF(F439&lt;'PlayerGrades+'!$AB$2,"S","S+"))))))))))))))))))))</f>
        <v>#DIV/0!</v>
      </c>
      <c r="H439" s="961" t="str">
        <f t="shared" si="3"/>
        <v>#DIV/0!</v>
      </c>
      <c r="I439" s="961" t="str">
        <f>IF(H439&lt;'PlayerGrades+'!$AC$21,"F-",IF(H439&lt;'PlayerGrades+'!$AC$20,"F",IF(H439&lt;'PlayerGrades+'!$AC$19,"F+",IF(H439&lt;'PlayerGrades+'!$AC$18,"E-",IF(H439&lt;'PlayerGrades+'!$AC$17,"E",IF(H439&lt;'PlayerGrades+'!$AC$16,"E+",IF(H439&lt;'PlayerGrades+'!$AC$15,"D-",IF(H439&lt;'PlayerGrades+'!$AC$14,"D",IF(H439&lt;'PlayerGrades+'!$AC$13,"D+",IF(H439&lt;'PlayerGrades+'!$AC$12,"C-",IF(H439&lt;'PlayerGrades+'!$AC$11,"C",IF(H439&lt;'PlayerGrades+'!$AC$10,"C+",IF(H439&lt;'PlayerGrades+'!$AC$9,"B-",IF(H439&lt;'PlayerGrades+'!$AC$8,"B",IF(H439&lt;'PlayerGrades+'!$AC$7,"B+",IF(H439&lt;'PlayerGrades+'!$AC$6,"A-",IF(H439&lt;'PlayerGrades+'!$AC$5,"A",IF(H439&lt;'PlayerGrades+'!$AC$4,"A+",IF(H439&lt;'PlayerGrades+'!$AC$3,"S-",IF(H439&lt;'PlayerGrades+'!$AC$2,"S","S+"))))))))))))))))))))</f>
        <v>#DIV/0!</v>
      </c>
      <c r="J439" s="961" t="str">
        <f t="shared" si="4"/>
        <v>#DIV/0!</v>
      </c>
      <c r="K439" s="961" t="str">
        <f>IF(J439&lt;'PlayerGrades+'!$AD$21,"F-",IF(J439&lt;'PlayerGrades+'!$AD$20,"F",IF(J439&lt;'PlayerGrades+'!$AD$19,"F+",IF(J439&lt;'PlayerGrades+'!$AD$18,"E-",IF(J439&lt;'PlayerGrades+'!$AD$17,"E",IF(J439&lt;'PlayerGrades+'!$AD$16,"E+",IF(J439&lt;'PlayerGrades+'!$AD$15,"D-",IF(J439&lt;'PlayerGrades+'!$AD$14,"D",IF(J439&lt;'PlayerGrades+'!$AD$13,"D+",IF(J439&lt;'PlayerGrades+'!$AD$12,"C-",IF(J439&lt;'PlayerGrades+'!$AD$11,"C",IF(J439&lt;'PlayerGrades+'!$AD$10,"C+",IF(J439&lt;'PlayerGrades+'!$AD$9,"B-",IF(J439&lt;'PlayerGrades+'!$AD$8,"B",IF(J439&lt;'PlayerGrades+'!$AD$7,"B+",IF(J439&lt;'PlayerGrades+'!$AD$6,"A-",IF(J439&lt;'PlayerGrades+'!$AD$5,"A",IF(J439&lt;'PlayerGrades+'!$AD$4,"A+",IF(J439&lt;'PlayerGrades+'!$AD$3,"S-",IF(J439&lt;'PlayerGrades+'!$AD$2,"S","S+"))))))))))))))))))))</f>
        <v>#DIV/0!</v>
      </c>
      <c r="L439" s="1176" t="str">
        <f t="shared" si="5"/>
        <v>#DIV/0!</v>
      </c>
      <c r="M439" s="992" t="str">
        <f>IF(L439&lt;'PlayerGrades+'!$AE$21,"F-",IF(L439&lt;'PlayerGrades+'!$AE$20,"F",IF(L439&lt;'PlayerGrades+'!$AE$19,"F+",IF(L439&lt;'PlayerGrades+'!$AE$18,"E-",IF(L439&lt;'PlayerGrades+'!$AE$17,"E",IF(L439&lt;'PlayerGrades+'!$AE$16,"E+",IF(L439&lt;'PlayerGrades+'!$AE$15,"D-",IF(L439&lt;'PlayerGrades+'!$AE$14,"D",IF(L439&lt;'PlayerGrades+'!$AE$13,"D+",IF(L439&lt;'PlayerGrades+'!$AE$12,"C-",IF(L439&lt;'PlayerGrades+'!$AE$11,"C",IF(L439&lt;'PlayerGrades+'!$AE$10,"C+",IF(L439&lt;'PlayerGrades+'!$AE$9,"B-",IF(L439&lt;'PlayerGrades+'!$AE$8,"B",IF(L439&lt;'PlayerGrades+'!$AE$7,"B+",IF(L439&lt;'PlayerGrades+'!$AE$6,"A-",IF(L439&lt;'PlayerGrades+'!$AE$5,"A",IF(L439&lt;'PlayerGrades+'!$AE$4,"A+",IF(L439&lt;'PlayerGrades+'!$AE$3,"S-",IF(L439&lt;'PlayerGrades+'!$AE$2,"S","S+"))))))))))))))))))))</f>
        <v>#DIV/0!</v>
      </c>
      <c r="N439" s="961" t="str">
        <f t="shared" si="6"/>
        <v>#DIV/0!</v>
      </c>
      <c r="O439" s="961" t="str">
        <f>IF(N439&lt;'PlayerGrades+'!$AF$21,"F-",IF(N439&lt;'PlayerGrades+'!$AF$20,"F",IF(N439&lt;'PlayerGrades+'!$AF$19,"F+",IF(N439&lt;'PlayerGrades+'!$AF$18,"E-",IF(N439&lt;'PlayerGrades+'!$AF$17,"E",IF(N439&lt;'PlayerGrades+'!$AF$16,"E+",IF(N439&lt;'PlayerGrades+'!$AF$15,"D-",IF(N439&lt;'PlayerGrades+'!$AF$14,"D",IF(N439&lt;'PlayerGrades+'!$AF$13,"D+",IF(N439&lt;'PlayerGrades+'!$AF$12,"C-",IF(N439&lt;'PlayerGrades+'!$AF$11,"C",IF(N439&lt;'PlayerGrades+'!$AF$10,"C+",IF(N439&lt;'PlayerGrades+'!$AF$9,"B-",IF(N439&lt;'PlayerGrades+'!$AF$8,"B",IF(N439&lt;'PlayerGrades+'!$AF$7,"B+",IF(N439&lt;'PlayerGrades+'!$AF$6,"A-",IF(N439&lt;'PlayerGrades+'!$AF$5,"A",IF(N439&lt;'PlayerGrades+'!$AF$4,"A+",IF(N439&lt;'PlayerGrades+'!$AF$3,"S-",IF(N439&lt;'PlayerGrades+'!$AF$2,"S","S+"))))))))))))))))))))</f>
        <v>#DIV/0!</v>
      </c>
      <c r="P439" s="961" t="str">
        <f t="shared" si="7"/>
        <v>#DIV/0!</v>
      </c>
      <c r="Q439" s="961" t="str">
        <f>IF(P439&lt;'PlayerGrades+'!$AG$21,"F-",IF(P439&lt;'PlayerGrades+'!$AG$20,"F",IF(P439&lt;'PlayerGrades+'!$AG$19,"F+",IF(P439&lt;'PlayerGrades+'!$AG$18,"E-",IF(P439&lt;'PlayerGrades+'!$AG$17,"E",IF(P439&lt;'PlayerGrades+'!$AG$16,"E+",IF(P439&lt;'PlayerGrades+'!$AG$15,"D-",IF(P439&lt;'PlayerGrades+'!$AG$14,"D",IF(P439&lt;'PlayerGrades+'!$AG$13,"D+",IF(P439&lt;'PlayerGrades+'!$AG$12,"C-",IF(P439&lt;'PlayerGrades+'!$AG$11,"C",IF(P439&lt;'PlayerGrades+'!$AG$10,"C+",IF(P439&lt;'PlayerGrades+'!$AG$9,"B-",IF(P439&lt;'PlayerGrades+'!$AG$8,"B",IF(P439&lt;'PlayerGrades+'!$AG$7,"B+",IF(P439&lt;'PlayerGrades+'!$AG$6,"A-",IF(P439&lt;'PlayerGrades+'!$AG$5,"A",IF(P439&lt;'PlayerGrades+'!$AG$4,"A+",IF(P439&lt;'PlayerGrades+'!$AG$3,"S-",IF(P439&lt;'PlayerGrades+'!$AG$2,"S","S+"))))))))))))))))))))</f>
        <v>#DIV/0!</v>
      </c>
      <c r="R439" s="961" t="str">
        <f t="shared" si="8"/>
        <v>#DIV/0!</v>
      </c>
      <c r="S439" s="961" t="str">
        <f>IF(R439&lt;'PlayerGrades+'!$AH$21,"F-",IF(R439&lt;'PlayerGrades+'!$AH$20,"F",IF(R439&lt;'PlayerGrades+'!$AH$19,"F+",IF(R439&lt;'PlayerGrades+'!$AH$18,"E-",IF(R439&lt;'PlayerGrades+'!$AH$17,"E",IF(R439&lt;'PlayerGrades+'!$AH$16,"E+",IF(R439&lt;'PlayerGrades+'!$AH$15,"D-",IF(R439&lt;'PlayerGrades+'!$AH$14,"D",IF(R439&lt;'PlayerGrades+'!$AH$13,"D+",IF(R439&lt;'PlayerGrades+'!$AH$12,"C-",IF(R439&lt;'PlayerGrades+'!$AH$11,"C",IF(R439&lt;'PlayerGrades+'!$AH$10,"C+",IF(R439&lt;'PlayerGrades+'!$AH$9,"B-",IF(R439&lt;'PlayerGrades+'!$AH$8,"B",IF(R439&lt;'PlayerGrades+'!$AH$7,"B+",IF(R439&lt;'PlayerGrades+'!$AH$6,"A-",IF(R439&lt;'PlayerGrades+'!$AH$5,"A",IF(R439&lt;'PlayerGrades+'!$AH$4,"A+",IF(R439&lt;'PlayerGrades+'!$AH$3,"S-",IF(R439&lt;'PlayerGrades+'!$AH$2,"S","S+"))))))))))))))))))))</f>
        <v>#DIV/0!</v>
      </c>
      <c r="T439" s="961">
        <f t="shared" si="9"/>
        <v>0</v>
      </c>
      <c r="U439" s="961" t="str">
        <f>IF(T439&lt;'PlayerGrades+'!$AI$21,"F-",IF(T439&lt;'PlayerGrades+'!$AI$20,"F",IF(T439&lt;'PlayerGrades+'!$AI$19,"F+",IF(T439&lt;'PlayerGrades+'!$AI$18,"E-",IF(T439&lt;'PlayerGrades+'!$AI$17,"E",IF(T439&lt;'PlayerGrades+'!$AI$16,"E+",IF(T439&lt;'PlayerGrades+'!$AI$15,"D-",IF(T439&lt;'PlayerGrades+'!$AI$14,"D",IF(T439&lt;'PlayerGrades+'!$AI$13,"D+",IF(T439&lt;'PlayerGrades+'!$AI$12,"C-",IF(T439&lt;'PlayerGrades+'!$AI$11,"C",IF(T439&lt;'PlayerGrades+'!$AI$10,"C+",IF(T439&lt;'PlayerGrades+'!$AI$9,"B-",IF(T439&lt;'PlayerGrades+'!$AI$8,"B",IF(T439&lt;'PlayerGrades+'!$AI$7,"B+",IF(T439&lt;'PlayerGrades+'!$AI$6,"A-",IF(T439&lt;'PlayerGrades+'!$AI$5,"A",IF(T439&lt;'PlayerGrades+'!$AI$4,"A+",IF(T439&lt;'PlayerGrades+'!$AI$3,"S-",IF(T439&lt;'PlayerGrades+'!$AI$2,"S","S+"))))))))))))))))))))</f>
        <v>F-</v>
      </c>
      <c r="AC439" s="1392"/>
    </row>
    <row r="440">
      <c r="A440" s="1391"/>
      <c r="B440" s="611" t="str">
        <f>IF(C440&lt;'PlayerGrades+'!$Y$44,"F-",IF(C440&lt;'PlayerGrades+'!$Y$43,"F",IF(C440&lt;'PlayerGrades+'!$Y$42,"F+",IF(C440&lt;'PlayerGrades+'!$Y$41,"E-",IF(C440&lt;'PlayerGrades+'!$Y$40,"E",IF(C440&lt;'PlayerGrades+'!$Y$39,"E+",IF(C440&lt;'PlayerGrades+'!$Y$38,"D-",IF(C440&lt;'PlayerGrades+'!$Y$37,"D",IF(C440&lt;'PlayerGrades+'!$Y$36,"D+",IF(C440&lt;'PlayerGrades+'!$Y$35,"C-",IF(C440&lt;'PlayerGrades+'!$Y$34,"C",IF(C440&lt;'PlayerGrades+'!$Y$33,"C+",IF(C440&lt;'PlayerGrades+'!$Y$32,"B-",IF(C440&lt;'PlayerGrades+'!$Y$31,"B",IF(C440&lt;'PlayerGrades+'!$Y$30,"B+",IF(C440&lt;'PlayerGrades+'!$Y$29,"A-",IF(C440&lt;'PlayerGrades+'!$Y$28,"A",IF(C440&lt;'PlayerGrades+'!$Y$27,"A+",IF(C440&lt;'PlayerGrades+'!$Y$26,"S-",IF(C440&lt;'PlayerGrades+'!$Y$25,"S","S+"))))))))))))))))))))</f>
        <v>#DIV/0!</v>
      </c>
      <c r="C440" s="1378" t="str">
        <f>('PlayerGrades+'!$Y$47*(VLOOKUP(E440, 'PlayerGrades+'!$X$3:$Y$23, 2, FALSE)))+('PlayerGrades+'!$Y$48*(VLOOKUP(G440, 'PlayerGrades+'!$X$3:$Y$23, 2, FALSE)))+('PlayerGrades+'!$Y$49*(VLOOKUP(I440, 'PlayerGrades+'!$X$3:$Y$23, 2, FALSE)))+('PlayerGrades+'!$Y$50*(VLOOKUP(K440, 'PlayerGrades+'!$X$3:$Y$23, 2, FALSE)))+('PlayerGrades+'!$Y$51*(VLOOKUP(M440, 'PlayerGrades+'!$X$3:$Y$23, 2, FALSE)))+('PlayerGrades+'!$Y$52*(VLOOKUP(O440, 'PlayerGrades+'!$X$3:$Y$23, 2, FALSE)))+('PlayerGrades+'!$Y$53*(VLOOKUP(Q440, 'PlayerGrades+'!$X$3:$Y$23, 2, FALSE)))+('PlayerGrades+'!$Y$54*(VLOOKUP(S440, 'PlayerGrades+'!$X$3:$Y$23, 2, FALSE)))+('PlayerGrades+'!$Y$55*(VLOOKUP(U440, 'PlayerGrades+'!$X$3:$Y$23, 2, FALSE)))</f>
        <v>#DIV/0!</v>
      </c>
      <c r="D440" s="961" t="str">
        <f t="shared" si="1"/>
        <v>#DIV/0!</v>
      </c>
      <c r="E440" s="961" t="str">
        <f>IF(D440&lt;'PlayerGrades+'!$AA$21,"F-",IF(D440&lt;'PlayerGrades+'!$AA$20,"F",IF(D440&lt;'PlayerGrades+'!$AA$19,"F+",IF(D440&lt;'PlayerGrades+'!$AA$18,"E-",IF(D440&lt;'PlayerGrades+'!$AA$17,"E",IF(D440&lt;'PlayerGrades+'!$AA$16,"E+",IF(D440&lt;'PlayerGrades+'!$AA$15,"D-",IF(D440&lt;'PlayerGrades+'!$AA$14,"D",IF(D440&lt;'PlayerGrades+'!$AA$13,"D+",IF(D440&lt;'PlayerGrades+'!$AA$12,"C-",IF(D440&lt;'PlayerGrades+'!$AA$11,"C",IF(D440&lt;'PlayerGrades+'!$AA$10,"C+",IF(D440&lt;'PlayerGrades+'!$AA$9,"B-",IF(D440&lt;'PlayerGrades+'!$AA$8,"B",IF(D440&lt;'PlayerGrades+'!$AA$7,"B+",IF(D440&lt;'PlayerGrades+'!$AA$6,"A-",IF(D440&lt;'PlayerGrades+'!$AA$5,"A",IF(D440&lt;'PlayerGrades+'!$AA$4,"A+",IF(D440&lt;'PlayerGrades+'!$AA$3,"S-",IF(D440&lt;'PlayerGrades+'!$AA$2,"S","S+"))))))))))))))))))))</f>
        <v>#DIV/0!</v>
      </c>
      <c r="F440" s="961" t="str">
        <f t="shared" si="2"/>
        <v>#DIV/0!</v>
      </c>
      <c r="G440" s="961" t="str">
        <f>IF(F440&lt;'PlayerGrades+'!$AB$21,"F-",IF(F440&lt;'PlayerGrades+'!$AB$20,"F",IF(F440&lt;'PlayerGrades+'!$AB$19,"F+",IF(F440&lt;'PlayerGrades+'!$AB$18,"E-",IF(F440&lt;'PlayerGrades+'!$AB$17,"E",IF(F440&lt;'PlayerGrades+'!$AB$16,"E+",IF(F440&lt;'PlayerGrades+'!$AB$15,"D-",IF(F440&lt;'PlayerGrades+'!$AB$14,"D",IF(F440&lt;'PlayerGrades+'!$AB$13,"D+",IF(F440&lt;'PlayerGrades+'!$AB$12,"C-",IF(F440&lt;'PlayerGrades+'!$AB$11,"C",IF(F440&lt;'PlayerGrades+'!$AB$10,"C+",IF(F440&lt;'PlayerGrades+'!$AB$9,"B-",IF(F440&lt;'PlayerGrades+'!$AB$8,"B",IF(F440&lt;'PlayerGrades+'!$AB$7,"B+",IF(F440&lt;'PlayerGrades+'!$AB$6,"A-",IF(F440&lt;'PlayerGrades+'!$AB$5,"A",IF(F440&lt;'PlayerGrades+'!$AB$4,"A+",IF(F440&lt;'PlayerGrades+'!$AB$3,"S-",IF(F440&lt;'PlayerGrades+'!$AB$2,"S","S+"))))))))))))))))))))</f>
        <v>#DIV/0!</v>
      </c>
      <c r="H440" s="961" t="str">
        <f t="shared" si="3"/>
        <v>#DIV/0!</v>
      </c>
      <c r="I440" s="961" t="str">
        <f>IF(H440&lt;'PlayerGrades+'!$AC$21,"F-",IF(H440&lt;'PlayerGrades+'!$AC$20,"F",IF(H440&lt;'PlayerGrades+'!$AC$19,"F+",IF(H440&lt;'PlayerGrades+'!$AC$18,"E-",IF(H440&lt;'PlayerGrades+'!$AC$17,"E",IF(H440&lt;'PlayerGrades+'!$AC$16,"E+",IF(H440&lt;'PlayerGrades+'!$AC$15,"D-",IF(H440&lt;'PlayerGrades+'!$AC$14,"D",IF(H440&lt;'PlayerGrades+'!$AC$13,"D+",IF(H440&lt;'PlayerGrades+'!$AC$12,"C-",IF(H440&lt;'PlayerGrades+'!$AC$11,"C",IF(H440&lt;'PlayerGrades+'!$AC$10,"C+",IF(H440&lt;'PlayerGrades+'!$AC$9,"B-",IF(H440&lt;'PlayerGrades+'!$AC$8,"B",IF(H440&lt;'PlayerGrades+'!$AC$7,"B+",IF(H440&lt;'PlayerGrades+'!$AC$6,"A-",IF(H440&lt;'PlayerGrades+'!$AC$5,"A",IF(H440&lt;'PlayerGrades+'!$AC$4,"A+",IF(H440&lt;'PlayerGrades+'!$AC$3,"S-",IF(H440&lt;'PlayerGrades+'!$AC$2,"S","S+"))))))))))))))))))))</f>
        <v>#DIV/0!</v>
      </c>
      <c r="J440" s="961" t="str">
        <f t="shared" si="4"/>
        <v>#DIV/0!</v>
      </c>
      <c r="K440" s="961" t="str">
        <f>IF(J440&lt;'PlayerGrades+'!$AD$21,"F-",IF(J440&lt;'PlayerGrades+'!$AD$20,"F",IF(J440&lt;'PlayerGrades+'!$AD$19,"F+",IF(J440&lt;'PlayerGrades+'!$AD$18,"E-",IF(J440&lt;'PlayerGrades+'!$AD$17,"E",IF(J440&lt;'PlayerGrades+'!$AD$16,"E+",IF(J440&lt;'PlayerGrades+'!$AD$15,"D-",IF(J440&lt;'PlayerGrades+'!$AD$14,"D",IF(J440&lt;'PlayerGrades+'!$AD$13,"D+",IF(J440&lt;'PlayerGrades+'!$AD$12,"C-",IF(J440&lt;'PlayerGrades+'!$AD$11,"C",IF(J440&lt;'PlayerGrades+'!$AD$10,"C+",IF(J440&lt;'PlayerGrades+'!$AD$9,"B-",IF(J440&lt;'PlayerGrades+'!$AD$8,"B",IF(J440&lt;'PlayerGrades+'!$AD$7,"B+",IF(J440&lt;'PlayerGrades+'!$AD$6,"A-",IF(J440&lt;'PlayerGrades+'!$AD$5,"A",IF(J440&lt;'PlayerGrades+'!$AD$4,"A+",IF(J440&lt;'PlayerGrades+'!$AD$3,"S-",IF(J440&lt;'PlayerGrades+'!$AD$2,"S","S+"))))))))))))))))))))</f>
        <v>#DIV/0!</v>
      </c>
      <c r="L440" s="1176" t="str">
        <f t="shared" si="5"/>
        <v>#DIV/0!</v>
      </c>
      <c r="M440" s="992" t="str">
        <f>IF(L440&lt;'PlayerGrades+'!$AE$21,"F-",IF(L440&lt;'PlayerGrades+'!$AE$20,"F",IF(L440&lt;'PlayerGrades+'!$AE$19,"F+",IF(L440&lt;'PlayerGrades+'!$AE$18,"E-",IF(L440&lt;'PlayerGrades+'!$AE$17,"E",IF(L440&lt;'PlayerGrades+'!$AE$16,"E+",IF(L440&lt;'PlayerGrades+'!$AE$15,"D-",IF(L440&lt;'PlayerGrades+'!$AE$14,"D",IF(L440&lt;'PlayerGrades+'!$AE$13,"D+",IF(L440&lt;'PlayerGrades+'!$AE$12,"C-",IF(L440&lt;'PlayerGrades+'!$AE$11,"C",IF(L440&lt;'PlayerGrades+'!$AE$10,"C+",IF(L440&lt;'PlayerGrades+'!$AE$9,"B-",IF(L440&lt;'PlayerGrades+'!$AE$8,"B",IF(L440&lt;'PlayerGrades+'!$AE$7,"B+",IF(L440&lt;'PlayerGrades+'!$AE$6,"A-",IF(L440&lt;'PlayerGrades+'!$AE$5,"A",IF(L440&lt;'PlayerGrades+'!$AE$4,"A+",IF(L440&lt;'PlayerGrades+'!$AE$3,"S-",IF(L440&lt;'PlayerGrades+'!$AE$2,"S","S+"))))))))))))))))))))</f>
        <v>#DIV/0!</v>
      </c>
      <c r="N440" s="961" t="str">
        <f t="shared" si="6"/>
        <v>#DIV/0!</v>
      </c>
      <c r="O440" s="961" t="str">
        <f>IF(N440&lt;'PlayerGrades+'!$AF$21,"F-",IF(N440&lt;'PlayerGrades+'!$AF$20,"F",IF(N440&lt;'PlayerGrades+'!$AF$19,"F+",IF(N440&lt;'PlayerGrades+'!$AF$18,"E-",IF(N440&lt;'PlayerGrades+'!$AF$17,"E",IF(N440&lt;'PlayerGrades+'!$AF$16,"E+",IF(N440&lt;'PlayerGrades+'!$AF$15,"D-",IF(N440&lt;'PlayerGrades+'!$AF$14,"D",IF(N440&lt;'PlayerGrades+'!$AF$13,"D+",IF(N440&lt;'PlayerGrades+'!$AF$12,"C-",IF(N440&lt;'PlayerGrades+'!$AF$11,"C",IF(N440&lt;'PlayerGrades+'!$AF$10,"C+",IF(N440&lt;'PlayerGrades+'!$AF$9,"B-",IF(N440&lt;'PlayerGrades+'!$AF$8,"B",IF(N440&lt;'PlayerGrades+'!$AF$7,"B+",IF(N440&lt;'PlayerGrades+'!$AF$6,"A-",IF(N440&lt;'PlayerGrades+'!$AF$5,"A",IF(N440&lt;'PlayerGrades+'!$AF$4,"A+",IF(N440&lt;'PlayerGrades+'!$AF$3,"S-",IF(N440&lt;'PlayerGrades+'!$AF$2,"S","S+"))))))))))))))))))))</f>
        <v>#DIV/0!</v>
      </c>
      <c r="P440" s="961" t="str">
        <f t="shared" si="7"/>
        <v>#DIV/0!</v>
      </c>
      <c r="Q440" s="961" t="str">
        <f>IF(P440&lt;'PlayerGrades+'!$AG$21,"F-",IF(P440&lt;'PlayerGrades+'!$AG$20,"F",IF(P440&lt;'PlayerGrades+'!$AG$19,"F+",IF(P440&lt;'PlayerGrades+'!$AG$18,"E-",IF(P440&lt;'PlayerGrades+'!$AG$17,"E",IF(P440&lt;'PlayerGrades+'!$AG$16,"E+",IF(P440&lt;'PlayerGrades+'!$AG$15,"D-",IF(P440&lt;'PlayerGrades+'!$AG$14,"D",IF(P440&lt;'PlayerGrades+'!$AG$13,"D+",IF(P440&lt;'PlayerGrades+'!$AG$12,"C-",IF(P440&lt;'PlayerGrades+'!$AG$11,"C",IF(P440&lt;'PlayerGrades+'!$AG$10,"C+",IF(P440&lt;'PlayerGrades+'!$AG$9,"B-",IF(P440&lt;'PlayerGrades+'!$AG$8,"B",IF(P440&lt;'PlayerGrades+'!$AG$7,"B+",IF(P440&lt;'PlayerGrades+'!$AG$6,"A-",IF(P440&lt;'PlayerGrades+'!$AG$5,"A",IF(P440&lt;'PlayerGrades+'!$AG$4,"A+",IF(P440&lt;'PlayerGrades+'!$AG$3,"S-",IF(P440&lt;'PlayerGrades+'!$AG$2,"S","S+"))))))))))))))))))))</f>
        <v>#DIV/0!</v>
      </c>
      <c r="R440" s="961" t="str">
        <f t="shared" si="8"/>
        <v>#DIV/0!</v>
      </c>
      <c r="S440" s="961" t="str">
        <f>IF(R440&lt;'PlayerGrades+'!$AH$21,"F-",IF(R440&lt;'PlayerGrades+'!$AH$20,"F",IF(R440&lt;'PlayerGrades+'!$AH$19,"F+",IF(R440&lt;'PlayerGrades+'!$AH$18,"E-",IF(R440&lt;'PlayerGrades+'!$AH$17,"E",IF(R440&lt;'PlayerGrades+'!$AH$16,"E+",IF(R440&lt;'PlayerGrades+'!$AH$15,"D-",IF(R440&lt;'PlayerGrades+'!$AH$14,"D",IF(R440&lt;'PlayerGrades+'!$AH$13,"D+",IF(R440&lt;'PlayerGrades+'!$AH$12,"C-",IF(R440&lt;'PlayerGrades+'!$AH$11,"C",IF(R440&lt;'PlayerGrades+'!$AH$10,"C+",IF(R440&lt;'PlayerGrades+'!$AH$9,"B-",IF(R440&lt;'PlayerGrades+'!$AH$8,"B",IF(R440&lt;'PlayerGrades+'!$AH$7,"B+",IF(R440&lt;'PlayerGrades+'!$AH$6,"A-",IF(R440&lt;'PlayerGrades+'!$AH$5,"A",IF(R440&lt;'PlayerGrades+'!$AH$4,"A+",IF(R440&lt;'PlayerGrades+'!$AH$3,"S-",IF(R440&lt;'PlayerGrades+'!$AH$2,"S","S+"))))))))))))))))))))</f>
        <v>#DIV/0!</v>
      </c>
      <c r="T440" s="961">
        <f t="shared" si="9"/>
        <v>0</v>
      </c>
      <c r="U440" s="961" t="str">
        <f>IF(T440&lt;'PlayerGrades+'!$AI$21,"F-",IF(T440&lt;'PlayerGrades+'!$AI$20,"F",IF(T440&lt;'PlayerGrades+'!$AI$19,"F+",IF(T440&lt;'PlayerGrades+'!$AI$18,"E-",IF(T440&lt;'PlayerGrades+'!$AI$17,"E",IF(T440&lt;'PlayerGrades+'!$AI$16,"E+",IF(T440&lt;'PlayerGrades+'!$AI$15,"D-",IF(T440&lt;'PlayerGrades+'!$AI$14,"D",IF(T440&lt;'PlayerGrades+'!$AI$13,"D+",IF(T440&lt;'PlayerGrades+'!$AI$12,"C-",IF(T440&lt;'PlayerGrades+'!$AI$11,"C",IF(T440&lt;'PlayerGrades+'!$AI$10,"C+",IF(T440&lt;'PlayerGrades+'!$AI$9,"B-",IF(T440&lt;'PlayerGrades+'!$AI$8,"B",IF(T440&lt;'PlayerGrades+'!$AI$7,"B+",IF(T440&lt;'PlayerGrades+'!$AI$6,"A-",IF(T440&lt;'PlayerGrades+'!$AI$5,"A",IF(T440&lt;'PlayerGrades+'!$AI$4,"A+",IF(T440&lt;'PlayerGrades+'!$AI$3,"S-",IF(T440&lt;'PlayerGrades+'!$AI$2,"S","S+"))))))))))))))))))))</f>
        <v>F-</v>
      </c>
      <c r="AC440" s="1392"/>
    </row>
    <row r="441">
      <c r="A441" s="1393"/>
      <c r="B441" s="611" t="str">
        <f>IF(C441&lt;'PlayerGrades+'!$Y$44,"F-",IF(C441&lt;'PlayerGrades+'!$Y$43,"F",IF(C441&lt;'PlayerGrades+'!$Y$42,"F+",IF(C441&lt;'PlayerGrades+'!$Y$41,"E-",IF(C441&lt;'PlayerGrades+'!$Y$40,"E",IF(C441&lt;'PlayerGrades+'!$Y$39,"E+",IF(C441&lt;'PlayerGrades+'!$Y$38,"D-",IF(C441&lt;'PlayerGrades+'!$Y$37,"D",IF(C441&lt;'PlayerGrades+'!$Y$36,"D+",IF(C441&lt;'PlayerGrades+'!$Y$35,"C-",IF(C441&lt;'PlayerGrades+'!$Y$34,"C",IF(C441&lt;'PlayerGrades+'!$Y$33,"C+",IF(C441&lt;'PlayerGrades+'!$Y$32,"B-",IF(C441&lt;'PlayerGrades+'!$Y$31,"B",IF(C441&lt;'PlayerGrades+'!$Y$30,"B+",IF(C441&lt;'PlayerGrades+'!$Y$29,"A-",IF(C441&lt;'PlayerGrades+'!$Y$28,"A",IF(C441&lt;'PlayerGrades+'!$Y$27,"A+",IF(C441&lt;'PlayerGrades+'!$Y$26,"S-",IF(C441&lt;'PlayerGrades+'!$Y$25,"S","S+"))))))))))))))))))))</f>
        <v>#DIV/0!</v>
      </c>
      <c r="C441" s="1378" t="str">
        <f>('PlayerGrades+'!$Y$47*(VLOOKUP(E441, 'PlayerGrades+'!$X$3:$Y$23, 2, FALSE)))+('PlayerGrades+'!$Y$48*(VLOOKUP(G441, 'PlayerGrades+'!$X$3:$Y$23, 2, FALSE)))+('PlayerGrades+'!$Y$49*(VLOOKUP(I441, 'PlayerGrades+'!$X$3:$Y$23, 2, FALSE)))+('PlayerGrades+'!$Y$50*(VLOOKUP(K441, 'PlayerGrades+'!$X$3:$Y$23, 2, FALSE)))+('PlayerGrades+'!$Y$51*(VLOOKUP(M441, 'PlayerGrades+'!$X$3:$Y$23, 2, FALSE)))+('PlayerGrades+'!$Y$52*(VLOOKUP(O441, 'PlayerGrades+'!$X$3:$Y$23, 2, FALSE)))+('PlayerGrades+'!$Y$53*(VLOOKUP(Q441, 'PlayerGrades+'!$X$3:$Y$23, 2, FALSE)))+('PlayerGrades+'!$Y$54*(VLOOKUP(S441, 'PlayerGrades+'!$X$3:$Y$23, 2, FALSE)))+('PlayerGrades+'!$Y$55*(VLOOKUP(U441, 'PlayerGrades+'!$X$3:$Y$23, 2, FALSE)))</f>
        <v>#DIV/0!</v>
      </c>
      <c r="D441" s="961" t="str">
        <f t="shared" si="1"/>
        <v>#DIV/0!</v>
      </c>
      <c r="E441" s="961" t="str">
        <f>IF(D441&lt;'PlayerGrades+'!$AA$21,"F-",IF(D441&lt;'PlayerGrades+'!$AA$20,"F",IF(D441&lt;'PlayerGrades+'!$AA$19,"F+",IF(D441&lt;'PlayerGrades+'!$AA$18,"E-",IF(D441&lt;'PlayerGrades+'!$AA$17,"E",IF(D441&lt;'PlayerGrades+'!$AA$16,"E+",IF(D441&lt;'PlayerGrades+'!$AA$15,"D-",IF(D441&lt;'PlayerGrades+'!$AA$14,"D",IF(D441&lt;'PlayerGrades+'!$AA$13,"D+",IF(D441&lt;'PlayerGrades+'!$AA$12,"C-",IF(D441&lt;'PlayerGrades+'!$AA$11,"C",IF(D441&lt;'PlayerGrades+'!$AA$10,"C+",IF(D441&lt;'PlayerGrades+'!$AA$9,"B-",IF(D441&lt;'PlayerGrades+'!$AA$8,"B",IF(D441&lt;'PlayerGrades+'!$AA$7,"B+",IF(D441&lt;'PlayerGrades+'!$AA$6,"A-",IF(D441&lt;'PlayerGrades+'!$AA$5,"A",IF(D441&lt;'PlayerGrades+'!$AA$4,"A+",IF(D441&lt;'PlayerGrades+'!$AA$3,"S-",IF(D441&lt;'PlayerGrades+'!$AA$2,"S","S+"))))))))))))))))))))</f>
        <v>#DIV/0!</v>
      </c>
      <c r="F441" s="961" t="str">
        <f t="shared" si="2"/>
        <v>#DIV/0!</v>
      </c>
      <c r="G441" s="961" t="str">
        <f>IF(F441&lt;'PlayerGrades+'!$AB$21,"F-",IF(F441&lt;'PlayerGrades+'!$AB$20,"F",IF(F441&lt;'PlayerGrades+'!$AB$19,"F+",IF(F441&lt;'PlayerGrades+'!$AB$18,"E-",IF(F441&lt;'PlayerGrades+'!$AB$17,"E",IF(F441&lt;'PlayerGrades+'!$AB$16,"E+",IF(F441&lt;'PlayerGrades+'!$AB$15,"D-",IF(F441&lt;'PlayerGrades+'!$AB$14,"D",IF(F441&lt;'PlayerGrades+'!$AB$13,"D+",IF(F441&lt;'PlayerGrades+'!$AB$12,"C-",IF(F441&lt;'PlayerGrades+'!$AB$11,"C",IF(F441&lt;'PlayerGrades+'!$AB$10,"C+",IF(F441&lt;'PlayerGrades+'!$AB$9,"B-",IF(F441&lt;'PlayerGrades+'!$AB$8,"B",IF(F441&lt;'PlayerGrades+'!$AB$7,"B+",IF(F441&lt;'PlayerGrades+'!$AB$6,"A-",IF(F441&lt;'PlayerGrades+'!$AB$5,"A",IF(F441&lt;'PlayerGrades+'!$AB$4,"A+",IF(F441&lt;'PlayerGrades+'!$AB$3,"S-",IF(F441&lt;'PlayerGrades+'!$AB$2,"S","S+"))))))))))))))))))))</f>
        <v>#DIV/0!</v>
      </c>
      <c r="H441" s="961" t="str">
        <f t="shared" si="3"/>
        <v>#DIV/0!</v>
      </c>
      <c r="I441" s="961" t="str">
        <f>IF(H441&lt;'PlayerGrades+'!$AC$21,"F-",IF(H441&lt;'PlayerGrades+'!$AC$20,"F",IF(H441&lt;'PlayerGrades+'!$AC$19,"F+",IF(H441&lt;'PlayerGrades+'!$AC$18,"E-",IF(H441&lt;'PlayerGrades+'!$AC$17,"E",IF(H441&lt;'PlayerGrades+'!$AC$16,"E+",IF(H441&lt;'PlayerGrades+'!$AC$15,"D-",IF(H441&lt;'PlayerGrades+'!$AC$14,"D",IF(H441&lt;'PlayerGrades+'!$AC$13,"D+",IF(H441&lt;'PlayerGrades+'!$AC$12,"C-",IF(H441&lt;'PlayerGrades+'!$AC$11,"C",IF(H441&lt;'PlayerGrades+'!$AC$10,"C+",IF(H441&lt;'PlayerGrades+'!$AC$9,"B-",IF(H441&lt;'PlayerGrades+'!$AC$8,"B",IF(H441&lt;'PlayerGrades+'!$AC$7,"B+",IF(H441&lt;'PlayerGrades+'!$AC$6,"A-",IF(H441&lt;'PlayerGrades+'!$AC$5,"A",IF(H441&lt;'PlayerGrades+'!$AC$4,"A+",IF(H441&lt;'PlayerGrades+'!$AC$3,"S-",IF(H441&lt;'PlayerGrades+'!$AC$2,"S","S+"))))))))))))))))))))</f>
        <v>#DIV/0!</v>
      </c>
      <c r="J441" s="961" t="str">
        <f t="shared" si="4"/>
        <v>#DIV/0!</v>
      </c>
      <c r="K441" s="961" t="str">
        <f>IF(J441&lt;'PlayerGrades+'!$AD$21,"F-",IF(J441&lt;'PlayerGrades+'!$AD$20,"F",IF(J441&lt;'PlayerGrades+'!$AD$19,"F+",IF(J441&lt;'PlayerGrades+'!$AD$18,"E-",IF(J441&lt;'PlayerGrades+'!$AD$17,"E",IF(J441&lt;'PlayerGrades+'!$AD$16,"E+",IF(J441&lt;'PlayerGrades+'!$AD$15,"D-",IF(J441&lt;'PlayerGrades+'!$AD$14,"D",IF(J441&lt;'PlayerGrades+'!$AD$13,"D+",IF(J441&lt;'PlayerGrades+'!$AD$12,"C-",IF(J441&lt;'PlayerGrades+'!$AD$11,"C",IF(J441&lt;'PlayerGrades+'!$AD$10,"C+",IF(J441&lt;'PlayerGrades+'!$AD$9,"B-",IF(J441&lt;'PlayerGrades+'!$AD$8,"B",IF(J441&lt;'PlayerGrades+'!$AD$7,"B+",IF(J441&lt;'PlayerGrades+'!$AD$6,"A-",IF(J441&lt;'PlayerGrades+'!$AD$5,"A",IF(J441&lt;'PlayerGrades+'!$AD$4,"A+",IF(J441&lt;'PlayerGrades+'!$AD$3,"S-",IF(J441&lt;'PlayerGrades+'!$AD$2,"S","S+"))))))))))))))))))))</f>
        <v>#DIV/0!</v>
      </c>
      <c r="L441" s="1176" t="str">
        <f t="shared" si="5"/>
        <v>#DIV/0!</v>
      </c>
      <c r="M441" s="992" t="str">
        <f>IF(L441&lt;'PlayerGrades+'!$AE$21,"F-",IF(L441&lt;'PlayerGrades+'!$AE$20,"F",IF(L441&lt;'PlayerGrades+'!$AE$19,"F+",IF(L441&lt;'PlayerGrades+'!$AE$18,"E-",IF(L441&lt;'PlayerGrades+'!$AE$17,"E",IF(L441&lt;'PlayerGrades+'!$AE$16,"E+",IF(L441&lt;'PlayerGrades+'!$AE$15,"D-",IF(L441&lt;'PlayerGrades+'!$AE$14,"D",IF(L441&lt;'PlayerGrades+'!$AE$13,"D+",IF(L441&lt;'PlayerGrades+'!$AE$12,"C-",IF(L441&lt;'PlayerGrades+'!$AE$11,"C",IF(L441&lt;'PlayerGrades+'!$AE$10,"C+",IF(L441&lt;'PlayerGrades+'!$AE$9,"B-",IF(L441&lt;'PlayerGrades+'!$AE$8,"B",IF(L441&lt;'PlayerGrades+'!$AE$7,"B+",IF(L441&lt;'PlayerGrades+'!$AE$6,"A-",IF(L441&lt;'PlayerGrades+'!$AE$5,"A",IF(L441&lt;'PlayerGrades+'!$AE$4,"A+",IF(L441&lt;'PlayerGrades+'!$AE$3,"S-",IF(L441&lt;'PlayerGrades+'!$AE$2,"S","S+"))))))))))))))))))))</f>
        <v>#DIV/0!</v>
      </c>
      <c r="N441" s="961" t="str">
        <f t="shared" si="6"/>
        <v>#DIV/0!</v>
      </c>
      <c r="O441" s="961" t="str">
        <f>IF(N441&lt;'PlayerGrades+'!$AF$21,"F-",IF(N441&lt;'PlayerGrades+'!$AF$20,"F",IF(N441&lt;'PlayerGrades+'!$AF$19,"F+",IF(N441&lt;'PlayerGrades+'!$AF$18,"E-",IF(N441&lt;'PlayerGrades+'!$AF$17,"E",IF(N441&lt;'PlayerGrades+'!$AF$16,"E+",IF(N441&lt;'PlayerGrades+'!$AF$15,"D-",IF(N441&lt;'PlayerGrades+'!$AF$14,"D",IF(N441&lt;'PlayerGrades+'!$AF$13,"D+",IF(N441&lt;'PlayerGrades+'!$AF$12,"C-",IF(N441&lt;'PlayerGrades+'!$AF$11,"C",IF(N441&lt;'PlayerGrades+'!$AF$10,"C+",IF(N441&lt;'PlayerGrades+'!$AF$9,"B-",IF(N441&lt;'PlayerGrades+'!$AF$8,"B",IF(N441&lt;'PlayerGrades+'!$AF$7,"B+",IF(N441&lt;'PlayerGrades+'!$AF$6,"A-",IF(N441&lt;'PlayerGrades+'!$AF$5,"A",IF(N441&lt;'PlayerGrades+'!$AF$4,"A+",IF(N441&lt;'PlayerGrades+'!$AF$3,"S-",IF(N441&lt;'PlayerGrades+'!$AF$2,"S","S+"))))))))))))))))))))</f>
        <v>#DIV/0!</v>
      </c>
      <c r="P441" s="961" t="str">
        <f t="shared" si="7"/>
        <v>#DIV/0!</v>
      </c>
      <c r="Q441" s="961" t="str">
        <f>IF(P441&lt;'PlayerGrades+'!$AG$21,"F-",IF(P441&lt;'PlayerGrades+'!$AG$20,"F",IF(P441&lt;'PlayerGrades+'!$AG$19,"F+",IF(P441&lt;'PlayerGrades+'!$AG$18,"E-",IF(P441&lt;'PlayerGrades+'!$AG$17,"E",IF(P441&lt;'PlayerGrades+'!$AG$16,"E+",IF(P441&lt;'PlayerGrades+'!$AG$15,"D-",IF(P441&lt;'PlayerGrades+'!$AG$14,"D",IF(P441&lt;'PlayerGrades+'!$AG$13,"D+",IF(P441&lt;'PlayerGrades+'!$AG$12,"C-",IF(P441&lt;'PlayerGrades+'!$AG$11,"C",IF(P441&lt;'PlayerGrades+'!$AG$10,"C+",IF(P441&lt;'PlayerGrades+'!$AG$9,"B-",IF(P441&lt;'PlayerGrades+'!$AG$8,"B",IF(P441&lt;'PlayerGrades+'!$AG$7,"B+",IF(P441&lt;'PlayerGrades+'!$AG$6,"A-",IF(P441&lt;'PlayerGrades+'!$AG$5,"A",IF(P441&lt;'PlayerGrades+'!$AG$4,"A+",IF(P441&lt;'PlayerGrades+'!$AG$3,"S-",IF(P441&lt;'PlayerGrades+'!$AG$2,"S","S+"))))))))))))))))))))</f>
        <v>#DIV/0!</v>
      </c>
      <c r="R441" s="961" t="str">
        <f t="shared" si="8"/>
        <v>#DIV/0!</v>
      </c>
      <c r="S441" s="961" t="str">
        <f>IF(R441&lt;'PlayerGrades+'!$AH$21,"F-",IF(R441&lt;'PlayerGrades+'!$AH$20,"F",IF(R441&lt;'PlayerGrades+'!$AH$19,"F+",IF(R441&lt;'PlayerGrades+'!$AH$18,"E-",IF(R441&lt;'PlayerGrades+'!$AH$17,"E",IF(R441&lt;'PlayerGrades+'!$AH$16,"E+",IF(R441&lt;'PlayerGrades+'!$AH$15,"D-",IF(R441&lt;'PlayerGrades+'!$AH$14,"D",IF(R441&lt;'PlayerGrades+'!$AH$13,"D+",IF(R441&lt;'PlayerGrades+'!$AH$12,"C-",IF(R441&lt;'PlayerGrades+'!$AH$11,"C",IF(R441&lt;'PlayerGrades+'!$AH$10,"C+",IF(R441&lt;'PlayerGrades+'!$AH$9,"B-",IF(R441&lt;'PlayerGrades+'!$AH$8,"B",IF(R441&lt;'PlayerGrades+'!$AH$7,"B+",IF(R441&lt;'PlayerGrades+'!$AH$6,"A-",IF(R441&lt;'PlayerGrades+'!$AH$5,"A",IF(R441&lt;'PlayerGrades+'!$AH$4,"A+",IF(R441&lt;'PlayerGrades+'!$AH$3,"S-",IF(R441&lt;'PlayerGrades+'!$AH$2,"S","S+"))))))))))))))))))))</f>
        <v>#DIV/0!</v>
      </c>
      <c r="T441" s="961">
        <f t="shared" si="9"/>
        <v>0</v>
      </c>
      <c r="U441" s="961" t="str">
        <f>IF(T441&lt;'PlayerGrades+'!$AI$21,"F-",IF(T441&lt;'PlayerGrades+'!$AI$20,"F",IF(T441&lt;'PlayerGrades+'!$AI$19,"F+",IF(T441&lt;'PlayerGrades+'!$AI$18,"E-",IF(T441&lt;'PlayerGrades+'!$AI$17,"E",IF(T441&lt;'PlayerGrades+'!$AI$16,"E+",IF(T441&lt;'PlayerGrades+'!$AI$15,"D-",IF(T441&lt;'PlayerGrades+'!$AI$14,"D",IF(T441&lt;'PlayerGrades+'!$AI$13,"D+",IF(T441&lt;'PlayerGrades+'!$AI$12,"C-",IF(T441&lt;'PlayerGrades+'!$AI$11,"C",IF(T441&lt;'PlayerGrades+'!$AI$10,"C+",IF(T441&lt;'PlayerGrades+'!$AI$9,"B-",IF(T441&lt;'PlayerGrades+'!$AI$8,"B",IF(T441&lt;'PlayerGrades+'!$AI$7,"B+",IF(T441&lt;'PlayerGrades+'!$AI$6,"A-",IF(T441&lt;'PlayerGrades+'!$AI$5,"A",IF(T441&lt;'PlayerGrades+'!$AI$4,"A+",IF(T441&lt;'PlayerGrades+'!$AI$3,"S-",IF(T441&lt;'PlayerGrades+'!$AI$2,"S","S+"))))))))))))))))))))</f>
        <v>F-</v>
      </c>
      <c r="V441" s="1386"/>
      <c r="W441" s="1386"/>
      <c r="X441" s="1386"/>
      <c r="Y441" s="1386"/>
      <c r="Z441" s="1386"/>
      <c r="AA441" s="1386"/>
      <c r="AB441" s="1386"/>
      <c r="AC441" s="1397"/>
      <c r="AD441" s="1386"/>
      <c r="AE441" s="1386"/>
      <c r="AF441" s="1386"/>
      <c r="AG441" s="1386"/>
      <c r="AH441" s="1386"/>
      <c r="AI441" s="1386"/>
      <c r="AJ441" s="1386"/>
      <c r="AK441" s="1386"/>
      <c r="AL441" s="1386"/>
      <c r="AM441" s="1386"/>
      <c r="AN441" s="1386"/>
      <c r="AO441" s="1386"/>
      <c r="AP441" s="1386"/>
      <c r="AQ441" s="1386"/>
      <c r="AR441" s="1386"/>
      <c r="AS441" s="1386"/>
      <c r="AT441" s="1386"/>
      <c r="AU441" s="1386"/>
      <c r="AV441" s="1386"/>
      <c r="AW441" s="1386"/>
      <c r="AX441" s="1386"/>
      <c r="AY441" s="1386"/>
      <c r="AZ441" s="1386"/>
    </row>
    <row r="442">
      <c r="A442" s="1389"/>
      <c r="B442" s="611" t="str">
        <f>IF(C442&lt;'PlayerGrades+'!$Y$44,"F-",IF(C442&lt;'PlayerGrades+'!$Y$43,"F",IF(C442&lt;'PlayerGrades+'!$Y$42,"F+",IF(C442&lt;'PlayerGrades+'!$Y$41,"E-",IF(C442&lt;'PlayerGrades+'!$Y$40,"E",IF(C442&lt;'PlayerGrades+'!$Y$39,"E+",IF(C442&lt;'PlayerGrades+'!$Y$38,"D-",IF(C442&lt;'PlayerGrades+'!$Y$37,"D",IF(C442&lt;'PlayerGrades+'!$Y$36,"D+",IF(C442&lt;'PlayerGrades+'!$Y$35,"C-",IF(C442&lt;'PlayerGrades+'!$Y$34,"C",IF(C442&lt;'PlayerGrades+'!$Y$33,"C+",IF(C442&lt;'PlayerGrades+'!$Y$32,"B-",IF(C442&lt;'PlayerGrades+'!$Y$31,"B",IF(C442&lt;'PlayerGrades+'!$Y$30,"B+",IF(C442&lt;'PlayerGrades+'!$Y$29,"A-",IF(C442&lt;'PlayerGrades+'!$Y$28,"A",IF(C442&lt;'PlayerGrades+'!$Y$27,"A+",IF(C442&lt;'PlayerGrades+'!$Y$26,"S-",IF(C442&lt;'PlayerGrades+'!$Y$25,"S","S+"))))))))))))))))))))</f>
        <v>#DIV/0!</v>
      </c>
      <c r="C442" s="1378" t="str">
        <f>('PlayerGrades+'!$Y$47*(VLOOKUP(E442, 'PlayerGrades+'!$X$3:$Y$23, 2, FALSE)))+('PlayerGrades+'!$Y$48*(VLOOKUP(G442, 'PlayerGrades+'!$X$3:$Y$23, 2, FALSE)))+('PlayerGrades+'!$Y$49*(VLOOKUP(I442, 'PlayerGrades+'!$X$3:$Y$23, 2, FALSE)))+('PlayerGrades+'!$Y$50*(VLOOKUP(K442, 'PlayerGrades+'!$X$3:$Y$23, 2, FALSE)))+('PlayerGrades+'!$Y$51*(VLOOKUP(M442, 'PlayerGrades+'!$X$3:$Y$23, 2, FALSE)))+('PlayerGrades+'!$Y$52*(VLOOKUP(O442, 'PlayerGrades+'!$X$3:$Y$23, 2, FALSE)))+('PlayerGrades+'!$Y$53*(VLOOKUP(Q442, 'PlayerGrades+'!$X$3:$Y$23, 2, FALSE)))+('PlayerGrades+'!$Y$54*(VLOOKUP(S442, 'PlayerGrades+'!$X$3:$Y$23, 2, FALSE)))+('PlayerGrades+'!$Y$55*(VLOOKUP(U442, 'PlayerGrades+'!$X$3:$Y$23, 2, FALSE)))</f>
        <v>#DIV/0!</v>
      </c>
      <c r="D442" s="961" t="str">
        <f t="shared" si="1"/>
        <v>#DIV/0!</v>
      </c>
      <c r="E442" s="961" t="str">
        <f>IF(D442&lt;'PlayerGrades+'!$AA$21,"F-",IF(D442&lt;'PlayerGrades+'!$AA$20,"F",IF(D442&lt;'PlayerGrades+'!$AA$19,"F+",IF(D442&lt;'PlayerGrades+'!$AA$18,"E-",IF(D442&lt;'PlayerGrades+'!$AA$17,"E",IF(D442&lt;'PlayerGrades+'!$AA$16,"E+",IF(D442&lt;'PlayerGrades+'!$AA$15,"D-",IF(D442&lt;'PlayerGrades+'!$AA$14,"D",IF(D442&lt;'PlayerGrades+'!$AA$13,"D+",IF(D442&lt;'PlayerGrades+'!$AA$12,"C-",IF(D442&lt;'PlayerGrades+'!$AA$11,"C",IF(D442&lt;'PlayerGrades+'!$AA$10,"C+",IF(D442&lt;'PlayerGrades+'!$AA$9,"B-",IF(D442&lt;'PlayerGrades+'!$AA$8,"B",IF(D442&lt;'PlayerGrades+'!$AA$7,"B+",IF(D442&lt;'PlayerGrades+'!$AA$6,"A-",IF(D442&lt;'PlayerGrades+'!$AA$5,"A",IF(D442&lt;'PlayerGrades+'!$AA$4,"A+",IF(D442&lt;'PlayerGrades+'!$AA$3,"S-",IF(D442&lt;'PlayerGrades+'!$AA$2,"S","S+"))))))))))))))))))))</f>
        <v>#DIV/0!</v>
      </c>
      <c r="F442" s="961" t="str">
        <f t="shared" si="2"/>
        <v>#DIV/0!</v>
      </c>
      <c r="G442" s="961" t="str">
        <f>IF(F442&lt;'PlayerGrades+'!$AB$21,"F-",IF(F442&lt;'PlayerGrades+'!$AB$20,"F",IF(F442&lt;'PlayerGrades+'!$AB$19,"F+",IF(F442&lt;'PlayerGrades+'!$AB$18,"E-",IF(F442&lt;'PlayerGrades+'!$AB$17,"E",IF(F442&lt;'PlayerGrades+'!$AB$16,"E+",IF(F442&lt;'PlayerGrades+'!$AB$15,"D-",IF(F442&lt;'PlayerGrades+'!$AB$14,"D",IF(F442&lt;'PlayerGrades+'!$AB$13,"D+",IF(F442&lt;'PlayerGrades+'!$AB$12,"C-",IF(F442&lt;'PlayerGrades+'!$AB$11,"C",IF(F442&lt;'PlayerGrades+'!$AB$10,"C+",IF(F442&lt;'PlayerGrades+'!$AB$9,"B-",IF(F442&lt;'PlayerGrades+'!$AB$8,"B",IF(F442&lt;'PlayerGrades+'!$AB$7,"B+",IF(F442&lt;'PlayerGrades+'!$AB$6,"A-",IF(F442&lt;'PlayerGrades+'!$AB$5,"A",IF(F442&lt;'PlayerGrades+'!$AB$4,"A+",IF(F442&lt;'PlayerGrades+'!$AB$3,"S-",IF(F442&lt;'PlayerGrades+'!$AB$2,"S","S+"))))))))))))))))))))</f>
        <v>#DIV/0!</v>
      </c>
      <c r="H442" s="961" t="str">
        <f t="shared" si="3"/>
        <v>#DIV/0!</v>
      </c>
      <c r="I442" s="961" t="str">
        <f>IF(H442&lt;'PlayerGrades+'!$AC$21,"F-",IF(H442&lt;'PlayerGrades+'!$AC$20,"F",IF(H442&lt;'PlayerGrades+'!$AC$19,"F+",IF(H442&lt;'PlayerGrades+'!$AC$18,"E-",IF(H442&lt;'PlayerGrades+'!$AC$17,"E",IF(H442&lt;'PlayerGrades+'!$AC$16,"E+",IF(H442&lt;'PlayerGrades+'!$AC$15,"D-",IF(H442&lt;'PlayerGrades+'!$AC$14,"D",IF(H442&lt;'PlayerGrades+'!$AC$13,"D+",IF(H442&lt;'PlayerGrades+'!$AC$12,"C-",IF(H442&lt;'PlayerGrades+'!$AC$11,"C",IF(H442&lt;'PlayerGrades+'!$AC$10,"C+",IF(H442&lt;'PlayerGrades+'!$AC$9,"B-",IF(H442&lt;'PlayerGrades+'!$AC$8,"B",IF(H442&lt;'PlayerGrades+'!$AC$7,"B+",IF(H442&lt;'PlayerGrades+'!$AC$6,"A-",IF(H442&lt;'PlayerGrades+'!$AC$5,"A",IF(H442&lt;'PlayerGrades+'!$AC$4,"A+",IF(H442&lt;'PlayerGrades+'!$AC$3,"S-",IF(H442&lt;'PlayerGrades+'!$AC$2,"S","S+"))))))))))))))))))))</f>
        <v>#DIV/0!</v>
      </c>
      <c r="J442" s="961" t="str">
        <f t="shared" si="4"/>
        <v>#DIV/0!</v>
      </c>
      <c r="K442" s="961" t="str">
        <f>IF(J442&lt;'PlayerGrades+'!$AD$21,"F-",IF(J442&lt;'PlayerGrades+'!$AD$20,"F",IF(J442&lt;'PlayerGrades+'!$AD$19,"F+",IF(J442&lt;'PlayerGrades+'!$AD$18,"E-",IF(J442&lt;'PlayerGrades+'!$AD$17,"E",IF(J442&lt;'PlayerGrades+'!$AD$16,"E+",IF(J442&lt;'PlayerGrades+'!$AD$15,"D-",IF(J442&lt;'PlayerGrades+'!$AD$14,"D",IF(J442&lt;'PlayerGrades+'!$AD$13,"D+",IF(J442&lt;'PlayerGrades+'!$AD$12,"C-",IF(J442&lt;'PlayerGrades+'!$AD$11,"C",IF(J442&lt;'PlayerGrades+'!$AD$10,"C+",IF(J442&lt;'PlayerGrades+'!$AD$9,"B-",IF(J442&lt;'PlayerGrades+'!$AD$8,"B",IF(J442&lt;'PlayerGrades+'!$AD$7,"B+",IF(J442&lt;'PlayerGrades+'!$AD$6,"A-",IF(J442&lt;'PlayerGrades+'!$AD$5,"A",IF(J442&lt;'PlayerGrades+'!$AD$4,"A+",IF(J442&lt;'PlayerGrades+'!$AD$3,"S-",IF(J442&lt;'PlayerGrades+'!$AD$2,"S","S+"))))))))))))))))))))</f>
        <v>#DIV/0!</v>
      </c>
      <c r="L442" s="1176" t="str">
        <f t="shared" si="5"/>
        <v>#DIV/0!</v>
      </c>
      <c r="M442" s="992" t="str">
        <f>IF(L442&lt;'PlayerGrades+'!$AE$21,"F-",IF(L442&lt;'PlayerGrades+'!$AE$20,"F",IF(L442&lt;'PlayerGrades+'!$AE$19,"F+",IF(L442&lt;'PlayerGrades+'!$AE$18,"E-",IF(L442&lt;'PlayerGrades+'!$AE$17,"E",IF(L442&lt;'PlayerGrades+'!$AE$16,"E+",IF(L442&lt;'PlayerGrades+'!$AE$15,"D-",IF(L442&lt;'PlayerGrades+'!$AE$14,"D",IF(L442&lt;'PlayerGrades+'!$AE$13,"D+",IF(L442&lt;'PlayerGrades+'!$AE$12,"C-",IF(L442&lt;'PlayerGrades+'!$AE$11,"C",IF(L442&lt;'PlayerGrades+'!$AE$10,"C+",IF(L442&lt;'PlayerGrades+'!$AE$9,"B-",IF(L442&lt;'PlayerGrades+'!$AE$8,"B",IF(L442&lt;'PlayerGrades+'!$AE$7,"B+",IF(L442&lt;'PlayerGrades+'!$AE$6,"A-",IF(L442&lt;'PlayerGrades+'!$AE$5,"A",IF(L442&lt;'PlayerGrades+'!$AE$4,"A+",IF(L442&lt;'PlayerGrades+'!$AE$3,"S-",IF(L442&lt;'PlayerGrades+'!$AE$2,"S","S+"))))))))))))))))))))</f>
        <v>#DIV/0!</v>
      </c>
      <c r="N442" s="961" t="str">
        <f t="shared" si="6"/>
        <v>#DIV/0!</v>
      </c>
      <c r="O442" s="961" t="str">
        <f>IF(N442&lt;'PlayerGrades+'!$AF$21,"F-",IF(N442&lt;'PlayerGrades+'!$AF$20,"F",IF(N442&lt;'PlayerGrades+'!$AF$19,"F+",IF(N442&lt;'PlayerGrades+'!$AF$18,"E-",IF(N442&lt;'PlayerGrades+'!$AF$17,"E",IF(N442&lt;'PlayerGrades+'!$AF$16,"E+",IF(N442&lt;'PlayerGrades+'!$AF$15,"D-",IF(N442&lt;'PlayerGrades+'!$AF$14,"D",IF(N442&lt;'PlayerGrades+'!$AF$13,"D+",IF(N442&lt;'PlayerGrades+'!$AF$12,"C-",IF(N442&lt;'PlayerGrades+'!$AF$11,"C",IF(N442&lt;'PlayerGrades+'!$AF$10,"C+",IF(N442&lt;'PlayerGrades+'!$AF$9,"B-",IF(N442&lt;'PlayerGrades+'!$AF$8,"B",IF(N442&lt;'PlayerGrades+'!$AF$7,"B+",IF(N442&lt;'PlayerGrades+'!$AF$6,"A-",IF(N442&lt;'PlayerGrades+'!$AF$5,"A",IF(N442&lt;'PlayerGrades+'!$AF$4,"A+",IF(N442&lt;'PlayerGrades+'!$AF$3,"S-",IF(N442&lt;'PlayerGrades+'!$AF$2,"S","S+"))))))))))))))))))))</f>
        <v>#DIV/0!</v>
      </c>
      <c r="P442" s="961" t="str">
        <f t="shared" si="7"/>
        <v>#DIV/0!</v>
      </c>
      <c r="Q442" s="961" t="str">
        <f>IF(P442&lt;'PlayerGrades+'!$AG$21,"F-",IF(P442&lt;'PlayerGrades+'!$AG$20,"F",IF(P442&lt;'PlayerGrades+'!$AG$19,"F+",IF(P442&lt;'PlayerGrades+'!$AG$18,"E-",IF(P442&lt;'PlayerGrades+'!$AG$17,"E",IF(P442&lt;'PlayerGrades+'!$AG$16,"E+",IF(P442&lt;'PlayerGrades+'!$AG$15,"D-",IF(P442&lt;'PlayerGrades+'!$AG$14,"D",IF(P442&lt;'PlayerGrades+'!$AG$13,"D+",IF(P442&lt;'PlayerGrades+'!$AG$12,"C-",IF(P442&lt;'PlayerGrades+'!$AG$11,"C",IF(P442&lt;'PlayerGrades+'!$AG$10,"C+",IF(P442&lt;'PlayerGrades+'!$AG$9,"B-",IF(P442&lt;'PlayerGrades+'!$AG$8,"B",IF(P442&lt;'PlayerGrades+'!$AG$7,"B+",IF(P442&lt;'PlayerGrades+'!$AG$6,"A-",IF(P442&lt;'PlayerGrades+'!$AG$5,"A",IF(P442&lt;'PlayerGrades+'!$AG$4,"A+",IF(P442&lt;'PlayerGrades+'!$AG$3,"S-",IF(P442&lt;'PlayerGrades+'!$AG$2,"S","S+"))))))))))))))))))))</f>
        <v>#DIV/0!</v>
      </c>
      <c r="R442" s="961" t="str">
        <f t="shared" si="8"/>
        <v>#DIV/0!</v>
      </c>
      <c r="S442" s="961" t="str">
        <f>IF(R442&lt;'PlayerGrades+'!$AH$21,"F-",IF(R442&lt;'PlayerGrades+'!$AH$20,"F",IF(R442&lt;'PlayerGrades+'!$AH$19,"F+",IF(R442&lt;'PlayerGrades+'!$AH$18,"E-",IF(R442&lt;'PlayerGrades+'!$AH$17,"E",IF(R442&lt;'PlayerGrades+'!$AH$16,"E+",IF(R442&lt;'PlayerGrades+'!$AH$15,"D-",IF(R442&lt;'PlayerGrades+'!$AH$14,"D",IF(R442&lt;'PlayerGrades+'!$AH$13,"D+",IF(R442&lt;'PlayerGrades+'!$AH$12,"C-",IF(R442&lt;'PlayerGrades+'!$AH$11,"C",IF(R442&lt;'PlayerGrades+'!$AH$10,"C+",IF(R442&lt;'PlayerGrades+'!$AH$9,"B-",IF(R442&lt;'PlayerGrades+'!$AH$8,"B",IF(R442&lt;'PlayerGrades+'!$AH$7,"B+",IF(R442&lt;'PlayerGrades+'!$AH$6,"A-",IF(R442&lt;'PlayerGrades+'!$AH$5,"A",IF(R442&lt;'PlayerGrades+'!$AH$4,"A+",IF(R442&lt;'PlayerGrades+'!$AH$3,"S-",IF(R442&lt;'PlayerGrades+'!$AH$2,"S","S+"))))))))))))))))))))</f>
        <v>#DIV/0!</v>
      </c>
      <c r="T442" s="961">
        <f t="shared" si="9"/>
        <v>0</v>
      </c>
      <c r="U442" s="961" t="str">
        <f>IF(T442&lt;'PlayerGrades+'!$AI$21,"F-",IF(T442&lt;'PlayerGrades+'!$AI$20,"F",IF(T442&lt;'PlayerGrades+'!$AI$19,"F+",IF(T442&lt;'PlayerGrades+'!$AI$18,"E-",IF(T442&lt;'PlayerGrades+'!$AI$17,"E",IF(T442&lt;'PlayerGrades+'!$AI$16,"E+",IF(T442&lt;'PlayerGrades+'!$AI$15,"D-",IF(T442&lt;'PlayerGrades+'!$AI$14,"D",IF(T442&lt;'PlayerGrades+'!$AI$13,"D+",IF(T442&lt;'PlayerGrades+'!$AI$12,"C-",IF(T442&lt;'PlayerGrades+'!$AI$11,"C",IF(T442&lt;'PlayerGrades+'!$AI$10,"C+",IF(T442&lt;'PlayerGrades+'!$AI$9,"B-",IF(T442&lt;'PlayerGrades+'!$AI$8,"B",IF(T442&lt;'PlayerGrades+'!$AI$7,"B+",IF(T442&lt;'PlayerGrades+'!$AI$6,"A-",IF(T442&lt;'PlayerGrades+'!$AI$5,"A",IF(T442&lt;'PlayerGrades+'!$AI$4,"A+",IF(T442&lt;'PlayerGrades+'!$AI$3,"S-",IF(T442&lt;'PlayerGrades+'!$AI$2,"S","S+"))))))))))))))))))))</f>
        <v>F-</v>
      </c>
      <c r="V442" s="1379"/>
      <c r="W442" s="1379"/>
      <c r="X442" s="1379"/>
      <c r="Y442" s="1379"/>
      <c r="Z442" s="1379"/>
      <c r="AA442" s="1379"/>
      <c r="AB442" s="1379"/>
      <c r="AC442" s="1390"/>
      <c r="AD442" s="1379"/>
      <c r="AE442" s="1379"/>
      <c r="AF442" s="1379"/>
      <c r="AG442" s="1379"/>
      <c r="AH442" s="1379"/>
      <c r="AI442" s="1379"/>
      <c r="AJ442" s="1379"/>
      <c r="AK442" s="1379"/>
      <c r="AL442" s="1379"/>
      <c r="AM442" s="1379"/>
      <c r="AN442" s="1379"/>
      <c r="AO442" s="1379"/>
      <c r="AP442" s="1379"/>
      <c r="AQ442" s="1379"/>
      <c r="AR442" s="1379"/>
      <c r="AS442" s="1379"/>
      <c r="AT442" s="1379"/>
      <c r="AU442" s="1379"/>
      <c r="AV442" s="1379"/>
      <c r="AW442" s="1379"/>
      <c r="AX442" s="1379"/>
      <c r="AY442" s="1379"/>
      <c r="AZ442" s="1379"/>
    </row>
    <row r="443">
      <c r="A443" s="1391"/>
      <c r="B443" s="611" t="str">
        <f>IF(C443&lt;'PlayerGrades+'!$Y$44,"F-",IF(C443&lt;'PlayerGrades+'!$Y$43,"F",IF(C443&lt;'PlayerGrades+'!$Y$42,"F+",IF(C443&lt;'PlayerGrades+'!$Y$41,"E-",IF(C443&lt;'PlayerGrades+'!$Y$40,"E",IF(C443&lt;'PlayerGrades+'!$Y$39,"E+",IF(C443&lt;'PlayerGrades+'!$Y$38,"D-",IF(C443&lt;'PlayerGrades+'!$Y$37,"D",IF(C443&lt;'PlayerGrades+'!$Y$36,"D+",IF(C443&lt;'PlayerGrades+'!$Y$35,"C-",IF(C443&lt;'PlayerGrades+'!$Y$34,"C",IF(C443&lt;'PlayerGrades+'!$Y$33,"C+",IF(C443&lt;'PlayerGrades+'!$Y$32,"B-",IF(C443&lt;'PlayerGrades+'!$Y$31,"B",IF(C443&lt;'PlayerGrades+'!$Y$30,"B+",IF(C443&lt;'PlayerGrades+'!$Y$29,"A-",IF(C443&lt;'PlayerGrades+'!$Y$28,"A",IF(C443&lt;'PlayerGrades+'!$Y$27,"A+",IF(C443&lt;'PlayerGrades+'!$Y$26,"S-",IF(C443&lt;'PlayerGrades+'!$Y$25,"S","S+"))))))))))))))))))))</f>
        <v>#DIV/0!</v>
      </c>
      <c r="C443" s="1378" t="str">
        <f>('PlayerGrades+'!$Y$47*(VLOOKUP(E443, 'PlayerGrades+'!$X$3:$Y$23, 2, FALSE)))+('PlayerGrades+'!$Y$48*(VLOOKUP(G443, 'PlayerGrades+'!$X$3:$Y$23, 2, FALSE)))+('PlayerGrades+'!$Y$49*(VLOOKUP(I443, 'PlayerGrades+'!$X$3:$Y$23, 2, FALSE)))+('PlayerGrades+'!$Y$50*(VLOOKUP(K443, 'PlayerGrades+'!$X$3:$Y$23, 2, FALSE)))+('PlayerGrades+'!$Y$51*(VLOOKUP(M443, 'PlayerGrades+'!$X$3:$Y$23, 2, FALSE)))+('PlayerGrades+'!$Y$52*(VLOOKUP(O443, 'PlayerGrades+'!$X$3:$Y$23, 2, FALSE)))+('PlayerGrades+'!$Y$53*(VLOOKUP(Q443, 'PlayerGrades+'!$X$3:$Y$23, 2, FALSE)))+('PlayerGrades+'!$Y$54*(VLOOKUP(S443, 'PlayerGrades+'!$X$3:$Y$23, 2, FALSE)))+('PlayerGrades+'!$Y$55*(VLOOKUP(U443, 'PlayerGrades+'!$X$3:$Y$23, 2, FALSE)))</f>
        <v>#DIV/0!</v>
      </c>
      <c r="D443" s="961" t="str">
        <f t="shared" si="1"/>
        <v>#DIV/0!</v>
      </c>
      <c r="E443" s="961" t="str">
        <f>IF(D443&lt;'PlayerGrades+'!$AA$21,"F-",IF(D443&lt;'PlayerGrades+'!$AA$20,"F",IF(D443&lt;'PlayerGrades+'!$AA$19,"F+",IF(D443&lt;'PlayerGrades+'!$AA$18,"E-",IF(D443&lt;'PlayerGrades+'!$AA$17,"E",IF(D443&lt;'PlayerGrades+'!$AA$16,"E+",IF(D443&lt;'PlayerGrades+'!$AA$15,"D-",IF(D443&lt;'PlayerGrades+'!$AA$14,"D",IF(D443&lt;'PlayerGrades+'!$AA$13,"D+",IF(D443&lt;'PlayerGrades+'!$AA$12,"C-",IF(D443&lt;'PlayerGrades+'!$AA$11,"C",IF(D443&lt;'PlayerGrades+'!$AA$10,"C+",IF(D443&lt;'PlayerGrades+'!$AA$9,"B-",IF(D443&lt;'PlayerGrades+'!$AA$8,"B",IF(D443&lt;'PlayerGrades+'!$AA$7,"B+",IF(D443&lt;'PlayerGrades+'!$AA$6,"A-",IF(D443&lt;'PlayerGrades+'!$AA$5,"A",IF(D443&lt;'PlayerGrades+'!$AA$4,"A+",IF(D443&lt;'PlayerGrades+'!$AA$3,"S-",IF(D443&lt;'PlayerGrades+'!$AA$2,"S","S+"))))))))))))))))))))</f>
        <v>#DIV/0!</v>
      </c>
      <c r="F443" s="961" t="str">
        <f t="shared" si="2"/>
        <v>#DIV/0!</v>
      </c>
      <c r="G443" s="961" t="str">
        <f>IF(F443&lt;'PlayerGrades+'!$AB$21,"F-",IF(F443&lt;'PlayerGrades+'!$AB$20,"F",IF(F443&lt;'PlayerGrades+'!$AB$19,"F+",IF(F443&lt;'PlayerGrades+'!$AB$18,"E-",IF(F443&lt;'PlayerGrades+'!$AB$17,"E",IF(F443&lt;'PlayerGrades+'!$AB$16,"E+",IF(F443&lt;'PlayerGrades+'!$AB$15,"D-",IF(F443&lt;'PlayerGrades+'!$AB$14,"D",IF(F443&lt;'PlayerGrades+'!$AB$13,"D+",IF(F443&lt;'PlayerGrades+'!$AB$12,"C-",IF(F443&lt;'PlayerGrades+'!$AB$11,"C",IF(F443&lt;'PlayerGrades+'!$AB$10,"C+",IF(F443&lt;'PlayerGrades+'!$AB$9,"B-",IF(F443&lt;'PlayerGrades+'!$AB$8,"B",IF(F443&lt;'PlayerGrades+'!$AB$7,"B+",IF(F443&lt;'PlayerGrades+'!$AB$6,"A-",IF(F443&lt;'PlayerGrades+'!$AB$5,"A",IF(F443&lt;'PlayerGrades+'!$AB$4,"A+",IF(F443&lt;'PlayerGrades+'!$AB$3,"S-",IF(F443&lt;'PlayerGrades+'!$AB$2,"S","S+"))))))))))))))))))))</f>
        <v>#DIV/0!</v>
      </c>
      <c r="H443" s="961" t="str">
        <f t="shared" si="3"/>
        <v>#DIV/0!</v>
      </c>
      <c r="I443" s="961" t="str">
        <f>IF(H443&lt;'PlayerGrades+'!$AC$21,"F-",IF(H443&lt;'PlayerGrades+'!$AC$20,"F",IF(H443&lt;'PlayerGrades+'!$AC$19,"F+",IF(H443&lt;'PlayerGrades+'!$AC$18,"E-",IF(H443&lt;'PlayerGrades+'!$AC$17,"E",IF(H443&lt;'PlayerGrades+'!$AC$16,"E+",IF(H443&lt;'PlayerGrades+'!$AC$15,"D-",IF(H443&lt;'PlayerGrades+'!$AC$14,"D",IF(H443&lt;'PlayerGrades+'!$AC$13,"D+",IF(H443&lt;'PlayerGrades+'!$AC$12,"C-",IF(H443&lt;'PlayerGrades+'!$AC$11,"C",IF(H443&lt;'PlayerGrades+'!$AC$10,"C+",IF(H443&lt;'PlayerGrades+'!$AC$9,"B-",IF(H443&lt;'PlayerGrades+'!$AC$8,"B",IF(H443&lt;'PlayerGrades+'!$AC$7,"B+",IF(H443&lt;'PlayerGrades+'!$AC$6,"A-",IF(H443&lt;'PlayerGrades+'!$AC$5,"A",IF(H443&lt;'PlayerGrades+'!$AC$4,"A+",IF(H443&lt;'PlayerGrades+'!$AC$3,"S-",IF(H443&lt;'PlayerGrades+'!$AC$2,"S","S+"))))))))))))))))))))</f>
        <v>#DIV/0!</v>
      </c>
      <c r="J443" s="961" t="str">
        <f t="shared" si="4"/>
        <v>#DIV/0!</v>
      </c>
      <c r="K443" s="961" t="str">
        <f>IF(J443&lt;'PlayerGrades+'!$AD$21,"F-",IF(J443&lt;'PlayerGrades+'!$AD$20,"F",IF(J443&lt;'PlayerGrades+'!$AD$19,"F+",IF(J443&lt;'PlayerGrades+'!$AD$18,"E-",IF(J443&lt;'PlayerGrades+'!$AD$17,"E",IF(J443&lt;'PlayerGrades+'!$AD$16,"E+",IF(J443&lt;'PlayerGrades+'!$AD$15,"D-",IF(J443&lt;'PlayerGrades+'!$AD$14,"D",IF(J443&lt;'PlayerGrades+'!$AD$13,"D+",IF(J443&lt;'PlayerGrades+'!$AD$12,"C-",IF(J443&lt;'PlayerGrades+'!$AD$11,"C",IF(J443&lt;'PlayerGrades+'!$AD$10,"C+",IF(J443&lt;'PlayerGrades+'!$AD$9,"B-",IF(J443&lt;'PlayerGrades+'!$AD$8,"B",IF(J443&lt;'PlayerGrades+'!$AD$7,"B+",IF(J443&lt;'PlayerGrades+'!$AD$6,"A-",IF(J443&lt;'PlayerGrades+'!$AD$5,"A",IF(J443&lt;'PlayerGrades+'!$AD$4,"A+",IF(J443&lt;'PlayerGrades+'!$AD$3,"S-",IF(J443&lt;'PlayerGrades+'!$AD$2,"S","S+"))))))))))))))))))))</f>
        <v>#DIV/0!</v>
      </c>
      <c r="L443" s="1176" t="str">
        <f t="shared" si="5"/>
        <v>#DIV/0!</v>
      </c>
      <c r="M443" s="992" t="str">
        <f>IF(L443&lt;'PlayerGrades+'!$AE$21,"F-",IF(L443&lt;'PlayerGrades+'!$AE$20,"F",IF(L443&lt;'PlayerGrades+'!$AE$19,"F+",IF(L443&lt;'PlayerGrades+'!$AE$18,"E-",IF(L443&lt;'PlayerGrades+'!$AE$17,"E",IF(L443&lt;'PlayerGrades+'!$AE$16,"E+",IF(L443&lt;'PlayerGrades+'!$AE$15,"D-",IF(L443&lt;'PlayerGrades+'!$AE$14,"D",IF(L443&lt;'PlayerGrades+'!$AE$13,"D+",IF(L443&lt;'PlayerGrades+'!$AE$12,"C-",IF(L443&lt;'PlayerGrades+'!$AE$11,"C",IF(L443&lt;'PlayerGrades+'!$AE$10,"C+",IF(L443&lt;'PlayerGrades+'!$AE$9,"B-",IF(L443&lt;'PlayerGrades+'!$AE$8,"B",IF(L443&lt;'PlayerGrades+'!$AE$7,"B+",IF(L443&lt;'PlayerGrades+'!$AE$6,"A-",IF(L443&lt;'PlayerGrades+'!$AE$5,"A",IF(L443&lt;'PlayerGrades+'!$AE$4,"A+",IF(L443&lt;'PlayerGrades+'!$AE$3,"S-",IF(L443&lt;'PlayerGrades+'!$AE$2,"S","S+"))))))))))))))))))))</f>
        <v>#DIV/0!</v>
      </c>
      <c r="N443" s="961" t="str">
        <f t="shared" si="6"/>
        <v>#DIV/0!</v>
      </c>
      <c r="O443" s="961" t="str">
        <f>IF(N443&lt;'PlayerGrades+'!$AF$21,"F-",IF(N443&lt;'PlayerGrades+'!$AF$20,"F",IF(N443&lt;'PlayerGrades+'!$AF$19,"F+",IF(N443&lt;'PlayerGrades+'!$AF$18,"E-",IF(N443&lt;'PlayerGrades+'!$AF$17,"E",IF(N443&lt;'PlayerGrades+'!$AF$16,"E+",IF(N443&lt;'PlayerGrades+'!$AF$15,"D-",IF(N443&lt;'PlayerGrades+'!$AF$14,"D",IF(N443&lt;'PlayerGrades+'!$AF$13,"D+",IF(N443&lt;'PlayerGrades+'!$AF$12,"C-",IF(N443&lt;'PlayerGrades+'!$AF$11,"C",IF(N443&lt;'PlayerGrades+'!$AF$10,"C+",IF(N443&lt;'PlayerGrades+'!$AF$9,"B-",IF(N443&lt;'PlayerGrades+'!$AF$8,"B",IF(N443&lt;'PlayerGrades+'!$AF$7,"B+",IF(N443&lt;'PlayerGrades+'!$AF$6,"A-",IF(N443&lt;'PlayerGrades+'!$AF$5,"A",IF(N443&lt;'PlayerGrades+'!$AF$4,"A+",IF(N443&lt;'PlayerGrades+'!$AF$3,"S-",IF(N443&lt;'PlayerGrades+'!$AF$2,"S","S+"))))))))))))))))))))</f>
        <v>#DIV/0!</v>
      </c>
      <c r="P443" s="961" t="str">
        <f t="shared" si="7"/>
        <v>#DIV/0!</v>
      </c>
      <c r="Q443" s="961" t="str">
        <f>IF(P443&lt;'PlayerGrades+'!$AG$21,"F-",IF(P443&lt;'PlayerGrades+'!$AG$20,"F",IF(P443&lt;'PlayerGrades+'!$AG$19,"F+",IF(P443&lt;'PlayerGrades+'!$AG$18,"E-",IF(P443&lt;'PlayerGrades+'!$AG$17,"E",IF(P443&lt;'PlayerGrades+'!$AG$16,"E+",IF(P443&lt;'PlayerGrades+'!$AG$15,"D-",IF(P443&lt;'PlayerGrades+'!$AG$14,"D",IF(P443&lt;'PlayerGrades+'!$AG$13,"D+",IF(P443&lt;'PlayerGrades+'!$AG$12,"C-",IF(P443&lt;'PlayerGrades+'!$AG$11,"C",IF(P443&lt;'PlayerGrades+'!$AG$10,"C+",IF(P443&lt;'PlayerGrades+'!$AG$9,"B-",IF(P443&lt;'PlayerGrades+'!$AG$8,"B",IF(P443&lt;'PlayerGrades+'!$AG$7,"B+",IF(P443&lt;'PlayerGrades+'!$AG$6,"A-",IF(P443&lt;'PlayerGrades+'!$AG$5,"A",IF(P443&lt;'PlayerGrades+'!$AG$4,"A+",IF(P443&lt;'PlayerGrades+'!$AG$3,"S-",IF(P443&lt;'PlayerGrades+'!$AG$2,"S","S+"))))))))))))))))))))</f>
        <v>#DIV/0!</v>
      </c>
      <c r="R443" s="961" t="str">
        <f t="shared" si="8"/>
        <v>#DIV/0!</v>
      </c>
      <c r="S443" s="961" t="str">
        <f>IF(R443&lt;'PlayerGrades+'!$AH$21,"F-",IF(R443&lt;'PlayerGrades+'!$AH$20,"F",IF(R443&lt;'PlayerGrades+'!$AH$19,"F+",IF(R443&lt;'PlayerGrades+'!$AH$18,"E-",IF(R443&lt;'PlayerGrades+'!$AH$17,"E",IF(R443&lt;'PlayerGrades+'!$AH$16,"E+",IF(R443&lt;'PlayerGrades+'!$AH$15,"D-",IF(R443&lt;'PlayerGrades+'!$AH$14,"D",IF(R443&lt;'PlayerGrades+'!$AH$13,"D+",IF(R443&lt;'PlayerGrades+'!$AH$12,"C-",IF(R443&lt;'PlayerGrades+'!$AH$11,"C",IF(R443&lt;'PlayerGrades+'!$AH$10,"C+",IF(R443&lt;'PlayerGrades+'!$AH$9,"B-",IF(R443&lt;'PlayerGrades+'!$AH$8,"B",IF(R443&lt;'PlayerGrades+'!$AH$7,"B+",IF(R443&lt;'PlayerGrades+'!$AH$6,"A-",IF(R443&lt;'PlayerGrades+'!$AH$5,"A",IF(R443&lt;'PlayerGrades+'!$AH$4,"A+",IF(R443&lt;'PlayerGrades+'!$AH$3,"S-",IF(R443&lt;'PlayerGrades+'!$AH$2,"S","S+"))))))))))))))))))))</f>
        <v>#DIV/0!</v>
      </c>
      <c r="T443" s="961">
        <f t="shared" si="9"/>
        <v>0</v>
      </c>
      <c r="U443" s="961" t="str">
        <f>IF(T443&lt;'PlayerGrades+'!$AI$21,"F-",IF(T443&lt;'PlayerGrades+'!$AI$20,"F",IF(T443&lt;'PlayerGrades+'!$AI$19,"F+",IF(T443&lt;'PlayerGrades+'!$AI$18,"E-",IF(T443&lt;'PlayerGrades+'!$AI$17,"E",IF(T443&lt;'PlayerGrades+'!$AI$16,"E+",IF(T443&lt;'PlayerGrades+'!$AI$15,"D-",IF(T443&lt;'PlayerGrades+'!$AI$14,"D",IF(T443&lt;'PlayerGrades+'!$AI$13,"D+",IF(T443&lt;'PlayerGrades+'!$AI$12,"C-",IF(T443&lt;'PlayerGrades+'!$AI$11,"C",IF(T443&lt;'PlayerGrades+'!$AI$10,"C+",IF(T443&lt;'PlayerGrades+'!$AI$9,"B-",IF(T443&lt;'PlayerGrades+'!$AI$8,"B",IF(T443&lt;'PlayerGrades+'!$AI$7,"B+",IF(T443&lt;'PlayerGrades+'!$AI$6,"A-",IF(T443&lt;'PlayerGrades+'!$AI$5,"A",IF(T443&lt;'PlayerGrades+'!$AI$4,"A+",IF(T443&lt;'PlayerGrades+'!$AI$3,"S-",IF(T443&lt;'PlayerGrades+'!$AI$2,"S","S+"))))))))))))))))))))</f>
        <v>F-</v>
      </c>
      <c r="AC443" s="1392"/>
    </row>
    <row r="444">
      <c r="A444" s="1391"/>
      <c r="B444" s="611" t="str">
        <f>IF(C444&lt;'PlayerGrades+'!$Y$44,"F-",IF(C444&lt;'PlayerGrades+'!$Y$43,"F",IF(C444&lt;'PlayerGrades+'!$Y$42,"F+",IF(C444&lt;'PlayerGrades+'!$Y$41,"E-",IF(C444&lt;'PlayerGrades+'!$Y$40,"E",IF(C444&lt;'PlayerGrades+'!$Y$39,"E+",IF(C444&lt;'PlayerGrades+'!$Y$38,"D-",IF(C444&lt;'PlayerGrades+'!$Y$37,"D",IF(C444&lt;'PlayerGrades+'!$Y$36,"D+",IF(C444&lt;'PlayerGrades+'!$Y$35,"C-",IF(C444&lt;'PlayerGrades+'!$Y$34,"C",IF(C444&lt;'PlayerGrades+'!$Y$33,"C+",IF(C444&lt;'PlayerGrades+'!$Y$32,"B-",IF(C444&lt;'PlayerGrades+'!$Y$31,"B",IF(C444&lt;'PlayerGrades+'!$Y$30,"B+",IF(C444&lt;'PlayerGrades+'!$Y$29,"A-",IF(C444&lt;'PlayerGrades+'!$Y$28,"A",IF(C444&lt;'PlayerGrades+'!$Y$27,"A+",IF(C444&lt;'PlayerGrades+'!$Y$26,"S-",IF(C444&lt;'PlayerGrades+'!$Y$25,"S","S+"))))))))))))))))))))</f>
        <v>#DIV/0!</v>
      </c>
      <c r="C444" s="1378" t="str">
        <f>('PlayerGrades+'!$Y$47*(VLOOKUP(E444, 'PlayerGrades+'!$X$3:$Y$23, 2, FALSE)))+('PlayerGrades+'!$Y$48*(VLOOKUP(G444, 'PlayerGrades+'!$X$3:$Y$23, 2, FALSE)))+('PlayerGrades+'!$Y$49*(VLOOKUP(I444, 'PlayerGrades+'!$X$3:$Y$23, 2, FALSE)))+('PlayerGrades+'!$Y$50*(VLOOKUP(K444, 'PlayerGrades+'!$X$3:$Y$23, 2, FALSE)))+('PlayerGrades+'!$Y$51*(VLOOKUP(M444, 'PlayerGrades+'!$X$3:$Y$23, 2, FALSE)))+('PlayerGrades+'!$Y$52*(VLOOKUP(O444, 'PlayerGrades+'!$X$3:$Y$23, 2, FALSE)))+('PlayerGrades+'!$Y$53*(VLOOKUP(Q444, 'PlayerGrades+'!$X$3:$Y$23, 2, FALSE)))+('PlayerGrades+'!$Y$54*(VLOOKUP(S444, 'PlayerGrades+'!$X$3:$Y$23, 2, FALSE)))+('PlayerGrades+'!$Y$55*(VLOOKUP(U444, 'PlayerGrades+'!$X$3:$Y$23, 2, FALSE)))</f>
        <v>#DIV/0!</v>
      </c>
      <c r="D444" s="961" t="str">
        <f t="shared" si="1"/>
        <v>#DIV/0!</v>
      </c>
      <c r="E444" s="961" t="str">
        <f>IF(D444&lt;'PlayerGrades+'!$AA$21,"F-",IF(D444&lt;'PlayerGrades+'!$AA$20,"F",IF(D444&lt;'PlayerGrades+'!$AA$19,"F+",IF(D444&lt;'PlayerGrades+'!$AA$18,"E-",IF(D444&lt;'PlayerGrades+'!$AA$17,"E",IF(D444&lt;'PlayerGrades+'!$AA$16,"E+",IF(D444&lt;'PlayerGrades+'!$AA$15,"D-",IF(D444&lt;'PlayerGrades+'!$AA$14,"D",IF(D444&lt;'PlayerGrades+'!$AA$13,"D+",IF(D444&lt;'PlayerGrades+'!$AA$12,"C-",IF(D444&lt;'PlayerGrades+'!$AA$11,"C",IF(D444&lt;'PlayerGrades+'!$AA$10,"C+",IF(D444&lt;'PlayerGrades+'!$AA$9,"B-",IF(D444&lt;'PlayerGrades+'!$AA$8,"B",IF(D444&lt;'PlayerGrades+'!$AA$7,"B+",IF(D444&lt;'PlayerGrades+'!$AA$6,"A-",IF(D444&lt;'PlayerGrades+'!$AA$5,"A",IF(D444&lt;'PlayerGrades+'!$AA$4,"A+",IF(D444&lt;'PlayerGrades+'!$AA$3,"S-",IF(D444&lt;'PlayerGrades+'!$AA$2,"S","S+"))))))))))))))))))))</f>
        <v>#DIV/0!</v>
      </c>
      <c r="F444" s="961" t="str">
        <f t="shared" si="2"/>
        <v>#DIV/0!</v>
      </c>
      <c r="G444" s="961" t="str">
        <f>IF(F444&lt;'PlayerGrades+'!$AB$21,"F-",IF(F444&lt;'PlayerGrades+'!$AB$20,"F",IF(F444&lt;'PlayerGrades+'!$AB$19,"F+",IF(F444&lt;'PlayerGrades+'!$AB$18,"E-",IF(F444&lt;'PlayerGrades+'!$AB$17,"E",IF(F444&lt;'PlayerGrades+'!$AB$16,"E+",IF(F444&lt;'PlayerGrades+'!$AB$15,"D-",IF(F444&lt;'PlayerGrades+'!$AB$14,"D",IF(F444&lt;'PlayerGrades+'!$AB$13,"D+",IF(F444&lt;'PlayerGrades+'!$AB$12,"C-",IF(F444&lt;'PlayerGrades+'!$AB$11,"C",IF(F444&lt;'PlayerGrades+'!$AB$10,"C+",IF(F444&lt;'PlayerGrades+'!$AB$9,"B-",IF(F444&lt;'PlayerGrades+'!$AB$8,"B",IF(F444&lt;'PlayerGrades+'!$AB$7,"B+",IF(F444&lt;'PlayerGrades+'!$AB$6,"A-",IF(F444&lt;'PlayerGrades+'!$AB$5,"A",IF(F444&lt;'PlayerGrades+'!$AB$4,"A+",IF(F444&lt;'PlayerGrades+'!$AB$3,"S-",IF(F444&lt;'PlayerGrades+'!$AB$2,"S","S+"))))))))))))))))))))</f>
        <v>#DIV/0!</v>
      </c>
      <c r="H444" s="961" t="str">
        <f t="shared" si="3"/>
        <v>#DIV/0!</v>
      </c>
      <c r="I444" s="961" t="str">
        <f>IF(H444&lt;'PlayerGrades+'!$AC$21,"F-",IF(H444&lt;'PlayerGrades+'!$AC$20,"F",IF(H444&lt;'PlayerGrades+'!$AC$19,"F+",IF(H444&lt;'PlayerGrades+'!$AC$18,"E-",IF(H444&lt;'PlayerGrades+'!$AC$17,"E",IF(H444&lt;'PlayerGrades+'!$AC$16,"E+",IF(H444&lt;'PlayerGrades+'!$AC$15,"D-",IF(H444&lt;'PlayerGrades+'!$AC$14,"D",IF(H444&lt;'PlayerGrades+'!$AC$13,"D+",IF(H444&lt;'PlayerGrades+'!$AC$12,"C-",IF(H444&lt;'PlayerGrades+'!$AC$11,"C",IF(H444&lt;'PlayerGrades+'!$AC$10,"C+",IF(H444&lt;'PlayerGrades+'!$AC$9,"B-",IF(H444&lt;'PlayerGrades+'!$AC$8,"B",IF(H444&lt;'PlayerGrades+'!$AC$7,"B+",IF(H444&lt;'PlayerGrades+'!$AC$6,"A-",IF(H444&lt;'PlayerGrades+'!$AC$5,"A",IF(H444&lt;'PlayerGrades+'!$AC$4,"A+",IF(H444&lt;'PlayerGrades+'!$AC$3,"S-",IF(H444&lt;'PlayerGrades+'!$AC$2,"S","S+"))))))))))))))))))))</f>
        <v>#DIV/0!</v>
      </c>
      <c r="J444" s="961" t="str">
        <f t="shared" si="4"/>
        <v>#DIV/0!</v>
      </c>
      <c r="K444" s="961" t="str">
        <f>IF(J444&lt;'PlayerGrades+'!$AD$21,"F-",IF(J444&lt;'PlayerGrades+'!$AD$20,"F",IF(J444&lt;'PlayerGrades+'!$AD$19,"F+",IF(J444&lt;'PlayerGrades+'!$AD$18,"E-",IF(J444&lt;'PlayerGrades+'!$AD$17,"E",IF(J444&lt;'PlayerGrades+'!$AD$16,"E+",IF(J444&lt;'PlayerGrades+'!$AD$15,"D-",IF(J444&lt;'PlayerGrades+'!$AD$14,"D",IF(J444&lt;'PlayerGrades+'!$AD$13,"D+",IF(J444&lt;'PlayerGrades+'!$AD$12,"C-",IF(J444&lt;'PlayerGrades+'!$AD$11,"C",IF(J444&lt;'PlayerGrades+'!$AD$10,"C+",IF(J444&lt;'PlayerGrades+'!$AD$9,"B-",IF(J444&lt;'PlayerGrades+'!$AD$8,"B",IF(J444&lt;'PlayerGrades+'!$AD$7,"B+",IF(J444&lt;'PlayerGrades+'!$AD$6,"A-",IF(J444&lt;'PlayerGrades+'!$AD$5,"A",IF(J444&lt;'PlayerGrades+'!$AD$4,"A+",IF(J444&lt;'PlayerGrades+'!$AD$3,"S-",IF(J444&lt;'PlayerGrades+'!$AD$2,"S","S+"))))))))))))))))))))</f>
        <v>#DIV/0!</v>
      </c>
      <c r="L444" s="1176" t="str">
        <f t="shared" si="5"/>
        <v>#DIV/0!</v>
      </c>
      <c r="M444" s="992" t="str">
        <f>IF(L444&lt;'PlayerGrades+'!$AE$21,"F-",IF(L444&lt;'PlayerGrades+'!$AE$20,"F",IF(L444&lt;'PlayerGrades+'!$AE$19,"F+",IF(L444&lt;'PlayerGrades+'!$AE$18,"E-",IF(L444&lt;'PlayerGrades+'!$AE$17,"E",IF(L444&lt;'PlayerGrades+'!$AE$16,"E+",IF(L444&lt;'PlayerGrades+'!$AE$15,"D-",IF(L444&lt;'PlayerGrades+'!$AE$14,"D",IF(L444&lt;'PlayerGrades+'!$AE$13,"D+",IF(L444&lt;'PlayerGrades+'!$AE$12,"C-",IF(L444&lt;'PlayerGrades+'!$AE$11,"C",IF(L444&lt;'PlayerGrades+'!$AE$10,"C+",IF(L444&lt;'PlayerGrades+'!$AE$9,"B-",IF(L444&lt;'PlayerGrades+'!$AE$8,"B",IF(L444&lt;'PlayerGrades+'!$AE$7,"B+",IF(L444&lt;'PlayerGrades+'!$AE$6,"A-",IF(L444&lt;'PlayerGrades+'!$AE$5,"A",IF(L444&lt;'PlayerGrades+'!$AE$4,"A+",IF(L444&lt;'PlayerGrades+'!$AE$3,"S-",IF(L444&lt;'PlayerGrades+'!$AE$2,"S","S+"))))))))))))))))))))</f>
        <v>#DIV/0!</v>
      </c>
      <c r="N444" s="961" t="str">
        <f t="shared" si="6"/>
        <v>#DIV/0!</v>
      </c>
      <c r="O444" s="961" t="str">
        <f>IF(N444&lt;'PlayerGrades+'!$AF$21,"F-",IF(N444&lt;'PlayerGrades+'!$AF$20,"F",IF(N444&lt;'PlayerGrades+'!$AF$19,"F+",IF(N444&lt;'PlayerGrades+'!$AF$18,"E-",IF(N444&lt;'PlayerGrades+'!$AF$17,"E",IF(N444&lt;'PlayerGrades+'!$AF$16,"E+",IF(N444&lt;'PlayerGrades+'!$AF$15,"D-",IF(N444&lt;'PlayerGrades+'!$AF$14,"D",IF(N444&lt;'PlayerGrades+'!$AF$13,"D+",IF(N444&lt;'PlayerGrades+'!$AF$12,"C-",IF(N444&lt;'PlayerGrades+'!$AF$11,"C",IF(N444&lt;'PlayerGrades+'!$AF$10,"C+",IF(N444&lt;'PlayerGrades+'!$AF$9,"B-",IF(N444&lt;'PlayerGrades+'!$AF$8,"B",IF(N444&lt;'PlayerGrades+'!$AF$7,"B+",IF(N444&lt;'PlayerGrades+'!$AF$6,"A-",IF(N444&lt;'PlayerGrades+'!$AF$5,"A",IF(N444&lt;'PlayerGrades+'!$AF$4,"A+",IF(N444&lt;'PlayerGrades+'!$AF$3,"S-",IF(N444&lt;'PlayerGrades+'!$AF$2,"S","S+"))))))))))))))))))))</f>
        <v>#DIV/0!</v>
      </c>
      <c r="P444" s="961" t="str">
        <f t="shared" si="7"/>
        <v>#DIV/0!</v>
      </c>
      <c r="Q444" s="961" t="str">
        <f>IF(P444&lt;'PlayerGrades+'!$AG$21,"F-",IF(P444&lt;'PlayerGrades+'!$AG$20,"F",IF(P444&lt;'PlayerGrades+'!$AG$19,"F+",IF(P444&lt;'PlayerGrades+'!$AG$18,"E-",IF(P444&lt;'PlayerGrades+'!$AG$17,"E",IF(P444&lt;'PlayerGrades+'!$AG$16,"E+",IF(P444&lt;'PlayerGrades+'!$AG$15,"D-",IF(P444&lt;'PlayerGrades+'!$AG$14,"D",IF(P444&lt;'PlayerGrades+'!$AG$13,"D+",IF(P444&lt;'PlayerGrades+'!$AG$12,"C-",IF(P444&lt;'PlayerGrades+'!$AG$11,"C",IF(P444&lt;'PlayerGrades+'!$AG$10,"C+",IF(P444&lt;'PlayerGrades+'!$AG$9,"B-",IF(P444&lt;'PlayerGrades+'!$AG$8,"B",IF(P444&lt;'PlayerGrades+'!$AG$7,"B+",IF(P444&lt;'PlayerGrades+'!$AG$6,"A-",IF(P444&lt;'PlayerGrades+'!$AG$5,"A",IF(P444&lt;'PlayerGrades+'!$AG$4,"A+",IF(P444&lt;'PlayerGrades+'!$AG$3,"S-",IF(P444&lt;'PlayerGrades+'!$AG$2,"S","S+"))))))))))))))))))))</f>
        <v>#DIV/0!</v>
      </c>
      <c r="R444" s="961" t="str">
        <f t="shared" si="8"/>
        <v>#DIV/0!</v>
      </c>
      <c r="S444" s="961" t="str">
        <f>IF(R444&lt;'PlayerGrades+'!$AH$21,"F-",IF(R444&lt;'PlayerGrades+'!$AH$20,"F",IF(R444&lt;'PlayerGrades+'!$AH$19,"F+",IF(R444&lt;'PlayerGrades+'!$AH$18,"E-",IF(R444&lt;'PlayerGrades+'!$AH$17,"E",IF(R444&lt;'PlayerGrades+'!$AH$16,"E+",IF(R444&lt;'PlayerGrades+'!$AH$15,"D-",IF(R444&lt;'PlayerGrades+'!$AH$14,"D",IF(R444&lt;'PlayerGrades+'!$AH$13,"D+",IF(R444&lt;'PlayerGrades+'!$AH$12,"C-",IF(R444&lt;'PlayerGrades+'!$AH$11,"C",IF(R444&lt;'PlayerGrades+'!$AH$10,"C+",IF(R444&lt;'PlayerGrades+'!$AH$9,"B-",IF(R444&lt;'PlayerGrades+'!$AH$8,"B",IF(R444&lt;'PlayerGrades+'!$AH$7,"B+",IF(R444&lt;'PlayerGrades+'!$AH$6,"A-",IF(R444&lt;'PlayerGrades+'!$AH$5,"A",IF(R444&lt;'PlayerGrades+'!$AH$4,"A+",IF(R444&lt;'PlayerGrades+'!$AH$3,"S-",IF(R444&lt;'PlayerGrades+'!$AH$2,"S","S+"))))))))))))))))))))</f>
        <v>#DIV/0!</v>
      </c>
      <c r="T444" s="961">
        <f t="shared" si="9"/>
        <v>0</v>
      </c>
      <c r="U444" s="961" t="str">
        <f>IF(T444&lt;'PlayerGrades+'!$AI$21,"F-",IF(T444&lt;'PlayerGrades+'!$AI$20,"F",IF(T444&lt;'PlayerGrades+'!$AI$19,"F+",IF(T444&lt;'PlayerGrades+'!$AI$18,"E-",IF(T444&lt;'PlayerGrades+'!$AI$17,"E",IF(T444&lt;'PlayerGrades+'!$AI$16,"E+",IF(T444&lt;'PlayerGrades+'!$AI$15,"D-",IF(T444&lt;'PlayerGrades+'!$AI$14,"D",IF(T444&lt;'PlayerGrades+'!$AI$13,"D+",IF(T444&lt;'PlayerGrades+'!$AI$12,"C-",IF(T444&lt;'PlayerGrades+'!$AI$11,"C",IF(T444&lt;'PlayerGrades+'!$AI$10,"C+",IF(T444&lt;'PlayerGrades+'!$AI$9,"B-",IF(T444&lt;'PlayerGrades+'!$AI$8,"B",IF(T444&lt;'PlayerGrades+'!$AI$7,"B+",IF(T444&lt;'PlayerGrades+'!$AI$6,"A-",IF(T444&lt;'PlayerGrades+'!$AI$5,"A",IF(T444&lt;'PlayerGrades+'!$AI$4,"A+",IF(T444&lt;'PlayerGrades+'!$AI$3,"S-",IF(T444&lt;'PlayerGrades+'!$AI$2,"S","S+"))))))))))))))))))))</f>
        <v>F-</v>
      </c>
      <c r="AC444" s="1392"/>
    </row>
    <row r="445">
      <c r="A445" s="1391"/>
      <c r="B445" s="611" t="str">
        <f>IF(C445&lt;'PlayerGrades+'!$Y$44,"F-",IF(C445&lt;'PlayerGrades+'!$Y$43,"F",IF(C445&lt;'PlayerGrades+'!$Y$42,"F+",IF(C445&lt;'PlayerGrades+'!$Y$41,"E-",IF(C445&lt;'PlayerGrades+'!$Y$40,"E",IF(C445&lt;'PlayerGrades+'!$Y$39,"E+",IF(C445&lt;'PlayerGrades+'!$Y$38,"D-",IF(C445&lt;'PlayerGrades+'!$Y$37,"D",IF(C445&lt;'PlayerGrades+'!$Y$36,"D+",IF(C445&lt;'PlayerGrades+'!$Y$35,"C-",IF(C445&lt;'PlayerGrades+'!$Y$34,"C",IF(C445&lt;'PlayerGrades+'!$Y$33,"C+",IF(C445&lt;'PlayerGrades+'!$Y$32,"B-",IF(C445&lt;'PlayerGrades+'!$Y$31,"B",IF(C445&lt;'PlayerGrades+'!$Y$30,"B+",IF(C445&lt;'PlayerGrades+'!$Y$29,"A-",IF(C445&lt;'PlayerGrades+'!$Y$28,"A",IF(C445&lt;'PlayerGrades+'!$Y$27,"A+",IF(C445&lt;'PlayerGrades+'!$Y$26,"S-",IF(C445&lt;'PlayerGrades+'!$Y$25,"S","S+"))))))))))))))))))))</f>
        <v>#DIV/0!</v>
      </c>
      <c r="C445" s="1378" t="str">
        <f>('PlayerGrades+'!$Y$47*(VLOOKUP(E445, 'PlayerGrades+'!$X$3:$Y$23, 2, FALSE)))+('PlayerGrades+'!$Y$48*(VLOOKUP(G445, 'PlayerGrades+'!$X$3:$Y$23, 2, FALSE)))+('PlayerGrades+'!$Y$49*(VLOOKUP(I445, 'PlayerGrades+'!$X$3:$Y$23, 2, FALSE)))+('PlayerGrades+'!$Y$50*(VLOOKUP(K445, 'PlayerGrades+'!$X$3:$Y$23, 2, FALSE)))+('PlayerGrades+'!$Y$51*(VLOOKUP(M445, 'PlayerGrades+'!$X$3:$Y$23, 2, FALSE)))+('PlayerGrades+'!$Y$52*(VLOOKUP(O445, 'PlayerGrades+'!$X$3:$Y$23, 2, FALSE)))+('PlayerGrades+'!$Y$53*(VLOOKUP(Q445, 'PlayerGrades+'!$X$3:$Y$23, 2, FALSE)))+('PlayerGrades+'!$Y$54*(VLOOKUP(S445, 'PlayerGrades+'!$X$3:$Y$23, 2, FALSE)))+('PlayerGrades+'!$Y$55*(VLOOKUP(U445, 'PlayerGrades+'!$X$3:$Y$23, 2, FALSE)))</f>
        <v>#DIV/0!</v>
      </c>
      <c r="D445" s="961" t="str">
        <f t="shared" si="1"/>
        <v>#DIV/0!</v>
      </c>
      <c r="E445" s="961" t="str">
        <f>IF(D445&lt;'PlayerGrades+'!$AA$21,"F-",IF(D445&lt;'PlayerGrades+'!$AA$20,"F",IF(D445&lt;'PlayerGrades+'!$AA$19,"F+",IF(D445&lt;'PlayerGrades+'!$AA$18,"E-",IF(D445&lt;'PlayerGrades+'!$AA$17,"E",IF(D445&lt;'PlayerGrades+'!$AA$16,"E+",IF(D445&lt;'PlayerGrades+'!$AA$15,"D-",IF(D445&lt;'PlayerGrades+'!$AA$14,"D",IF(D445&lt;'PlayerGrades+'!$AA$13,"D+",IF(D445&lt;'PlayerGrades+'!$AA$12,"C-",IF(D445&lt;'PlayerGrades+'!$AA$11,"C",IF(D445&lt;'PlayerGrades+'!$AA$10,"C+",IF(D445&lt;'PlayerGrades+'!$AA$9,"B-",IF(D445&lt;'PlayerGrades+'!$AA$8,"B",IF(D445&lt;'PlayerGrades+'!$AA$7,"B+",IF(D445&lt;'PlayerGrades+'!$AA$6,"A-",IF(D445&lt;'PlayerGrades+'!$AA$5,"A",IF(D445&lt;'PlayerGrades+'!$AA$4,"A+",IF(D445&lt;'PlayerGrades+'!$AA$3,"S-",IF(D445&lt;'PlayerGrades+'!$AA$2,"S","S+"))))))))))))))))))))</f>
        <v>#DIV/0!</v>
      </c>
      <c r="F445" s="961" t="str">
        <f t="shared" si="2"/>
        <v>#DIV/0!</v>
      </c>
      <c r="G445" s="961" t="str">
        <f>IF(F445&lt;'PlayerGrades+'!$AB$21,"F-",IF(F445&lt;'PlayerGrades+'!$AB$20,"F",IF(F445&lt;'PlayerGrades+'!$AB$19,"F+",IF(F445&lt;'PlayerGrades+'!$AB$18,"E-",IF(F445&lt;'PlayerGrades+'!$AB$17,"E",IF(F445&lt;'PlayerGrades+'!$AB$16,"E+",IF(F445&lt;'PlayerGrades+'!$AB$15,"D-",IF(F445&lt;'PlayerGrades+'!$AB$14,"D",IF(F445&lt;'PlayerGrades+'!$AB$13,"D+",IF(F445&lt;'PlayerGrades+'!$AB$12,"C-",IF(F445&lt;'PlayerGrades+'!$AB$11,"C",IF(F445&lt;'PlayerGrades+'!$AB$10,"C+",IF(F445&lt;'PlayerGrades+'!$AB$9,"B-",IF(F445&lt;'PlayerGrades+'!$AB$8,"B",IF(F445&lt;'PlayerGrades+'!$AB$7,"B+",IF(F445&lt;'PlayerGrades+'!$AB$6,"A-",IF(F445&lt;'PlayerGrades+'!$AB$5,"A",IF(F445&lt;'PlayerGrades+'!$AB$4,"A+",IF(F445&lt;'PlayerGrades+'!$AB$3,"S-",IF(F445&lt;'PlayerGrades+'!$AB$2,"S","S+"))))))))))))))))))))</f>
        <v>#DIV/0!</v>
      </c>
      <c r="H445" s="961" t="str">
        <f t="shared" si="3"/>
        <v>#DIV/0!</v>
      </c>
      <c r="I445" s="961" t="str">
        <f>IF(H445&lt;'PlayerGrades+'!$AC$21,"F-",IF(H445&lt;'PlayerGrades+'!$AC$20,"F",IF(H445&lt;'PlayerGrades+'!$AC$19,"F+",IF(H445&lt;'PlayerGrades+'!$AC$18,"E-",IF(H445&lt;'PlayerGrades+'!$AC$17,"E",IF(H445&lt;'PlayerGrades+'!$AC$16,"E+",IF(H445&lt;'PlayerGrades+'!$AC$15,"D-",IF(H445&lt;'PlayerGrades+'!$AC$14,"D",IF(H445&lt;'PlayerGrades+'!$AC$13,"D+",IF(H445&lt;'PlayerGrades+'!$AC$12,"C-",IF(H445&lt;'PlayerGrades+'!$AC$11,"C",IF(H445&lt;'PlayerGrades+'!$AC$10,"C+",IF(H445&lt;'PlayerGrades+'!$AC$9,"B-",IF(H445&lt;'PlayerGrades+'!$AC$8,"B",IF(H445&lt;'PlayerGrades+'!$AC$7,"B+",IF(H445&lt;'PlayerGrades+'!$AC$6,"A-",IF(H445&lt;'PlayerGrades+'!$AC$5,"A",IF(H445&lt;'PlayerGrades+'!$AC$4,"A+",IF(H445&lt;'PlayerGrades+'!$AC$3,"S-",IF(H445&lt;'PlayerGrades+'!$AC$2,"S","S+"))))))))))))))))))))</f>
        <v>#DIV/0!</v>
      </c>
      <c r="J445" s="961" t="str">
        <f t="shared" si="4"/>
        <v>#DIV/0!</v>
      </c>
      <c r="K445" s="961" t="str">
        <f>IF(J445&lt;'PlayerGrades+'!$AD$21,"F-",IF(J445&lt;'PlayerGrades+'!$AD$20,"F",IF(J445&lt;'PlayerGrades+'!$AD$19,"F+",IF(J445&lt;'PlayerGrades+'!$AD$18,"E-",IF(J445&lt;'PlayerGrades+'!$AD$17,"E",IF(J445&lt;'PlayerGrades+'!$AD$16,"E+",IF(J445&lt;'PlayerGrades+'!$AD$15,"D-",IF(J445&lt;'PlayerGrades+'!$AD$14,"D",IF(J445&lt;'PlayerGrades+'!$AD$13,"D+",IF(J445&lt;'PlayerGrades+'!$AD$12,"C-",IF(J445&lt;'PlayerGrades+'!$AD$11,"C",IF(J445&lt;'PlayerGrades+'!$AD$10,"C+",IF(J445&lt;'PlayerGrades+'!$AD$9,"B-",IF(J445&lt;'PlayerGrades+'!$AD$8,"B",IF(J445&lt;'PlayerGrades+'!$AD$7,"B+",IF(J445&lt;'PlayerGrades+'!$AD$6,"A-",IF(J445&lt;'PlayerGrades+'!$AD$5,"A",IF(J445&lt;'PlayerGrades+'!$AD$4,"A+",IF(J445&lt;'PlayerGrades+'!$AD$3,"S-",IF(J445&lt;'PlayerGrades+'!$AD$2,"S","S+"))))))))))))))))))))</f>
        <v>#DIV/0!</v>
      </c>
      <c r="L445" s="1176" t="str">
        <f t="shared" si="5"/>
        <v>#DIV/0!</v>
      </c>
      <c r="M445" s="992" t="str">
        <f>IF(L445&lt;'PlayerGrades+'!$AE$21,"F-",IF(L445&lt;'PlayerGrades+'!$AE$20,"F",IF(L445&lt;'PlayerGrades+'!$AE$19,"F+",IF(L445&lt;'PlayerGrades+'!$AE$18,"E-",IF(L445&lt;'PlayerGrades+'!$AE$17,"E",IF(L445&lt;'PlayerGrades+'!$AE$16,"E+",IF(L445&lt;'PlayerGrades+'!$AE$15,"D-",IF(L445&lt;'PlayerGrades+'!$AE$14,"D",IF(L445&lt;'PlayerGrades+'!$AE$13,"D+",IF(L445&lt;'PlayerGrades+'!$AE$12,"C-",IF(L445&lt;'PlayerGrades+'!$AE$11,"C",IF(L445&lt;'PlayerGrades+'!$AE$10,"C+",IF(L445&lt;'PlayerGrades+'!$AE$9,"B-",IF(L445&lt;'PlayerGrades+'!$AE$8,"B",IF(L445&lt;'PlayerGrades+'!$AE$7,"B+",IF(L445&lt;'PlayerGrades+'!$AE$6,"A-",IF(L445&lt;'PlayerGrades+'!$AE$5,"A",IF(L445&lt;'PlayerGrades+'!$AE$4,"A+",IF(L445&lt;'PlayerGrades+'!$AE$3,"S-",IF(L445&lt;'PlayerGrades+'!$AE$2,"S","S+"))))))))))))))))))))</f>
        <v>#DIV/0!</v>
      </c>
      <c r="N445" s="961" t="str">
        <f t="shared" si="6"/>
        <v>#DIV/0!</v>
      </c>
      <c r="O445" s="961" t="str">
        <f>IF(N445&lt;'PlayerGrades+'!$AF$21,"F-",IF(N445&lt;'PlayerGrades+'!$AF$20,"F",IF(N445&lt;'PlayerGrades+'!$AF$19,"F+",IF(N445&lt;'PlayerGrades+'!$AF$18,"E-",IF(N445&lt;'PlayerGrades+'!$AF$17,"E",IF(N445&lt;'PlayerGrades+'!$AF$16,"E+",IF(N445&lt;'PlayerGrades+'!$AF$15,"D-",IF(N445&lt;'PlayerGrades+'!$AF$14,"D",IF(N445&lt;'PlayerGrades+'!$AF$13,"D+",IF(N445&lt;'PlayerGrades+'!$AF$12,"C-",IF(N445&lt;'PlayerGrades+'!$AF$11,"C",IF(N445&lt;'PlayerGrades+'!$AF$10,"C+",IF(N445&lt;'PlayerGrades+'!$AF$9,"B-",IF(N445&lt;'PlayerGrades+'!$AF$8,"B",IF(N445&lt;'PlayerGrades+'!$AF$7,"B+",IF(N445&lt;'PlayerGrades+'!$AF$6,"A-",IF(N445&lt;'PlayerGrades+'!$AF$5,"A",IF(N445&lt;'PlayerGrades+'!$AF$4,"A+",IF(N445&lt;'PlayerGrades+'!$AF$3,"S-",IF(N445&lt;'PlayerGrades+'!$AF$2,"S","S+"))))))))))))))))))))</f>
        <v>#DIV/0!</v>
      </c>
      <c r="P445" s="961" t="str">
        <f t="shared" si="7"/>
        <v>#DIV/0!</v>
      </c>
      <c r="Q445" s="961" t="str">
        <f>IF(P445&lt;'PlayerGrades+'!$AG$21,"F-",IF(P445&lt;'PlayerGrades+'!$AG$20,"F",IF(P445&lt;'PlayerGrades+'!$AG$19,"F+",IF(P445&lt;'PlayerGrades+'!$AG$18,"E-",IF(P445&lt;'PlayerGrades+'!$AG$17,"E",IF(P445&lt;'PlayerGrades+'!$AG$16,"E+",IF(P445&lt;'PlayerGrades+'!$AG$15,"D-",IF(P445&lt;'PlayerGrades+'!$AG$14,"D",IF(P445&lt;'PlayerGrades+'!$AG$13,"D+",IF(P445&lt;'PlayerGrades+'!$AG$12,"C-",IF(P445&lt;'PlayerGrades+'!$AG$11,"C",IF(P445&lt;'PlayerGrades+'!$AG$10,"C+",IF(P445&lt;'PlayerGrades+'!$AG$9,"B-",IF(P445&lt;'PlayerGrades+'!$AG$8,"B",IF(P445&lt;'PlayerGrades+'!$AG$7,"B+",IF(P445&lt;'PlayerGrades+'!$AG$6,"A-",IF(P445&lt;'PlayerGrades+'!$AG$5,"A",IF(P445&lt;'PlayerGrades+'!$AG$4,"A+",IF(P445&lt;'PlayerGrades+'!$AG$3,"S-",IF(P445&lt;'PlayerGrades+'!$AG$2,"S","S+"))))))))))))))))))))</f>
        <v>#DIV/0!</v>
      </c>
      <c r="R445" s="961" t="str">
        <f t="shared" si="8"/>
        <v>#DIV/0!</v>
      </c>
      <c r="S445" s="961" t="str">
        <f>IF(R445&lt;'PlayerGrades+'!$AH$21,"F-",IF(R445&lt;'PlayerGrades+'!$AH$20,"F",IF(R445&lt;'PlayerGrades+'!$AH$19,"F+",IF(R445&lt;'PlayerGrades+'!$AH$18,"E-",IF(R445&lt;'PlayerGrades+'!$AH$17,"E",IF(R445&lt;'PlayerGrades+'!$AH$16,"E+",IF(R445&lt;'PlayerGrades+'!$AH$15,"D-",IF(R445&lt;'PlayerGrades+'!$AH$14,"D",IF(R445&lt;'PlayerGrades+'!$AH$13,"D+",IF(R445&lt;'PlayerGrades+'!$AH$12,"C-",IF(R445&lt;'PlayerGrades+'!$AH$11,"C",IF(R445&lt;'PlayerGrades+'!$AH$10,"C+",IF(R445&lt;'PlayerGrades+'!$AH$9,"B-",IF(R445&lt;'PlayerGrades+'!$AH$8,"B",IF(R445&lt;'PlayerGrades+'!$AH$7,"B+",IF(R445&lt;'PlayerGrades+'!$AH$6,"A-",IF(R445&lt;'PlayerGrades+'!$AH$5,"A",IF(R445&lt;'PlayerGrades+'!$AH$4,"A+",IF(R445&lt;'PlayerGrades+'!$AH$3,"S-",IF(R445&lt;'PlayerGrades+'!$AH$2,"S","S+"))))))))))))))))))))</f>
        <v>#DIV/0!</v>
      </c>
      <c r="T445" s="961">
        <f t="shared" si="9"/>
        <v>0</v>
      </c>
      <c r="U445" s="961" t="str">
        <f>IF(T445&lt;'PlayerGrades+'!$AI$21,"F-",IF(T445&lt;'PlayerGrades+'!$AI$20,"F",IF(T445&lt;'PlayerGrades+'!$AI$19,"F+",IF(T445&lt;'PlayerGrades+'!$AI$18,"E-",IF(T445&lt;'PlayerGrades+'!$AI$17,"E",IF(T445&lt;'PlayerGrades+'!$AI$16,"E+",IF(T445&lt;'PlayerGrades+'!$AI$15,"D-",IF(T445&lt;'PlayerGrades+'!$AI$14,"D",IF(T445&lt;'PlayerGrades+'!$AI$13,"D+",IF(T445&lt;'PlayerGrades+'!$AI$12,"C-",IF(T445&lt;'PlayerGrades+'!$AI$11,"C",IF(T445&lt;'PlayerGrades+'!$AI$10,"C+",IF(T445&lt;'PlayerGrades+'!$AI$9,"B-",IF(T445&lt;'PlayerGrades+'!$AI$8,"B",IF(T445&lt;'PlayerGrades+'!$AI$7,"B+",IF(T445&lt;'PlayerGrades+'!$AI$6,"A-",IF(T445&lt;'PlayerGrades+'!$AI$5,"A",IF(T445&lt;'PlayerGrades+'!$AI$4,"A+",IF(T445&lt;'PlayerGrades+'!$AI$3,"S-",IF(T445&lt;'PlayerGrades+'!$AI$2,"S","S+"))))))))))))))))))))</f>
        <v>F-</v>
      </c>
      <c r="AC445" s="1392"/>
    </row>
    <row r="446">
      <c r="A446" s="1391"/>
      <c r="B446" s="611" t="str">
        <f>IF(C446&lt;'PlayerGrades+'!$Y$44,"F-",IF(C446&lt;'PlayerGrades+'!$Y$43,"F",IF(C446&lt;'PlayerGrades+'!$Y$42,"F+",IF(C446&lt;'PlayerGrades+'!$Y$41,"E-",IF(C446&lt;'PlayerGrades+'!$Y$40,"E",IF(C446&lt;'PlayerGrades+'!$Y$39,"E+",IF(C446&lt;'PlayerGrades+'!$Y$38,"D-",IF(C446&lt;'PlayerGrades+'!$Y$37,"D",IF(C446&lt;'PlayerGrades+'!$Y$36,"D+",IF(C446&lt;'PlayerGrades+'!$Y$35,"C-",IF(C446&lt;'PlayerGrades+'!$Y$34,"C",IF(C446&lt;'PlayerGrades+'!$Y$33,"C+",IF(C446&lt;'PlayerGrades+'!$Y$32,"B-",IF(C446&lt;'PlayerGrades+'!$Y$31,"B",IF(C446&lt;'PlayerGrades+'!$Y$30,"B+",IF(C446&lt;'PlayerGrades+'!$Y$29,"A-",IF(C446&lt;'PlayerGrades+'!$Y$28,"A",IF(C446&lt;'PlayerGrades+'!$Y$27,"A+",IF(C446&lt;'PlayerGrades+'!$Y$26,"S-",IF(C446&lt;'PlayerGrades+'!$Y$25,"S","S+"))))))))))))))))))))</f>
        <v>#DIV/0!</v>
      </c>
      <c r="C446" s="1378" t="str">
        <f>('PlayerGrades+'!$Y$47*(VLOOKUP(E446, 'PlayerGrades+'!$X$3:$Y$23, 2, FALSE)))+('PlayerGrades+'!$Y$48*(VLOOKUP(G446, 'PlayerGrades+'!$X$3:$Y$23, 2, FALSE)))+('PlayerGrades+'!$Y$49*(VLOOKUP(I446, 'PlayerGrades+'!$X$3:$Y$23, 2, FALSE)))+('PlayerGrades+'!$Y$50*(VLOOKUP(K446, 'PlayerGrades+'!$X$3:$Y$23, 2, FALSE)))+('PlayerGrades+'!$Y$51*(VLOOKUP(M446, 'PlayerGrades+'!$X$3:$Y$23, 2, FALSE)))+('PlayerGrades+'!$Y$52*(VLOOKUP(O446, 'PlayerGrades+'!$X$3:$Y$23, 2, FALSE)))+('PlayerGrades+'!$Y$53*(VLOOKUP(Q446, 'PlayerGrades+'!$X$3:$Y$23, 2, FALSE)))+('PlayerGrades+'!$Y$54*(VLOOKUP(S446, 'PlayerGrades+'!$X$3:$Y$23, 2, FALSE)))+('PlayerGrades+'!$Y$55*(VLOOKUP(U446, 'PlayerGrades+'!$X$3:$Y$23, 2, FALSE)))</f>
        <v>#DIV/0!</v>
      </c>
      <c r="D446" s="961" t="str">
        <f t="shared" si="1"/>
        <v>#DIV/0!</v>
      </c>
      <c r="E446" s="961" t="str">
        <f>IF(D446&lt;'PlayerGrades+'!$AA$21,"F-",IF(D446&lt;'PlayerGrades+'!$AA$20,"F",IF(D446&lt;'PlayerGrades+'!$AA$19,"F+",IF(D446&lt;'PlayerGrades+'!$AA$18,"E-",IF(D446&lt;'PlayerGrades+'!$AA$17,"E",IF(D446&lt;'PlayerGrades+'!$AA$16,"E+",IF(D446&lt;'PlayerGrades+'!$AA$15,"D-",IF(D446&lt;'PlayerGrades+'!$AA$14,"D",IF(D446&lt;'PlayerGrades+'!$AA$13,"D+",IF(D446&lt;'PlayerGrades+'!$AA$12,"C-",IF(D446&lt;'PlayerGrades+'!$AA$11,"C",IF(D446&lt;'PlayerGrades+'!$AA$10,"C+",IF(D446&lt;'PlayerGrades+'!$AA$9,"B-",IF(D446&lt;'PlayerGrades+'!$AA$8,"B",IF(D446&lt;'PlayerGrades+'!$AA$7,"B+",IF(D446&lt;'PlayerGrades+'!$AA$6,"A-",IF(D446&lt;'PlayerGrades+'!$AA$5,"A",IF(D446&lt;'PlayerGrades+'!$AA$4,"A+",IF(D446&lt;'PlayerGrades+'!$AA$3,"S-",IF(D446&lt;'PlayerGrades+'!$AA$2,"S","S+"))))))))))))))))))))</f>
        <v>#DIV/0!</v>
      </c>
      <c r="F446" s="961" t="str">
        <f t="shared" si="2"/>
        <v>#DIV/0!</v>
      </c>
      <c r="G446" s="961" t="str">
        <f>IF(F446&lt;'PlayerGrades+'!$AB$21,"F-",IF(F446&lt;'PlayerGrades+'!$AB$20,"F",IF(F446&lt;'PlayerGrades+'!$AB$19,"F+",IF(F446&lt;'PlayerGrades+'!$AB$18,"E-",IF(F446&lt;'PlayerGrades+'!$AB$17,"E",IF(F446&lt;'PlayerGrades+'!$AB$16,"E+",IF(F446&lt;'PlayerGrades+'!$AB$15,"D-",IF(F446&lt;'PlayerGrades+'!$AB$14,"D",IF(F446&lt;'PlayerGrades+'!$AB$13,"D+",IF(F446&lt;'PlayerGrades+'!$AB$12,"C-",IF(F446&lt;'PlayerGrades+'!$AB$11,"C",IF(F446&lt;'PlayerGrades+'!$AB$10,"C+",IF(F446&lt;'PlayerGrades+'!$AB$9,"B-",IF(F446&lt;'PlayerGrades+'!$AB$8,"B",IF(F446&lt;'PlayerGrades+'!$AB$7,"B+",IF(F446&lt;'PlayerGrades+'!$AB$6,"A-",IF(F446&lt;'PlayerGrades+'!$AB$5,"A",IF(F446&lt;'PlayerGrades+'!$AB$4,"A+",IF(F446&lt;'PlayerGrades+'!$AB$3,"S-",IF(F446&lt;'PlayerGrades+'!$AB$2,"S","S+"))))))))))))))))))))</f>
        <v>#DIV/0!</v>
      </c>
      <c r="H446" s="961" t="str">
        <f t="shared" si="3"/>
        <v>#DIV/0!</v>
      </c>
      <c r="I446" s="961" t="str">
        <f>IF(H446&lt;'PlayerGrades+'!$AC$21,"F-",IF(H446&lt;'PlayerGrades+'!$AC$20,"F",IF(H446&lt;'PlayerGrades+'!$AC$19,"F+",IF(H446&lt;'PlayerGrades+'!$AC$18,"E-",IF(H446&lt;'PlayerGrades+'!$AC$17,"E",IF(H446&lt;'PlayerGrades+'!$AC$16,"E+",IF(H446&lt;'PlayerGrades+'!$AC$15,"D-",IF(H446&lt;'PlayerGrades+'!$AC$14,"D",IF(H446&lt;'PlayerGrades+'!$AC$13,"D+",IF(H446&lt;'PlayerGrades+'!$AC$12,"C-",IF(H446&lt;'PlayerGrades+'!$AC$11,"C",IF(H446&lt;'PlayerGrades+'!$AC$10,"C+",IF(H446&lt;'PlayerGrades+'!$AC$9,"B-",IF(H446&lt;'PlayerGrades+'!$AC$8,"B",IF(H446&lt;'PlayerGrades+'!$AC$7,"B+",IF(H446&lt;'PlayerGrades+'!$AC$6,"A-",IF(H446&lt;'PlayerGrades+'!$AC$5,"A",IF(H446&lt;'PlayerGrades+'!$AC$4,"A+",IF(H446&lt;'PlayerGrades+'!$AC$3,"S-",IF(H446&lt;'PlayerGrades+'!$AC$2,"S","S+"))))))))))))))))))))</f>
        <v>#DIV/0!</v>
      </c>
      <c r="J446" s="961" t="str">
        <f t="shared" si="4"/>
        <v>#DIV/0!</v>
      </c>
      <c r="K446" s="961" t="str">
        <f>IF(J446&lt;'PlayerGrades+'!$AD$21,"F-",IF(J446&lt;'PlayerGrades+'!$AD$20,"F",IF(J446&lt;'PlayerGrades+'!$AD$19,"F+",IF(J446&lt;'PlayerGrades+'!$AD$18,"E-",IF(J446&lt;'PlayerGrades+'!$AD$17,"E",IF(J446&lt;'PlayerGrades+'!$AD$16,"E+",IF(J446&lt;'PlayerGrades+'!$AD$15,"D-",IF(J446&lt;'PlayerGrades+'!$AD$14,"D",IF(J446&lt;'PlayerGrades+'!$AD$13,"D+",IF(J446&lt;'PlayerGrades+'!$AD$12,"C-",IF(J446&lt;'PlayerGrades+'!$AD$11,"C",IF(J446&lt;'PlayerGrades+'!$AD$10,"C+",IF(J446&lt;'PlayerGrades+'!$AD$9,"B-",IF(J446&lt;'PlayerGrades+'!$AD$8,"B",IF(J446&lt;'PlayerGrades+'!$AD$7,"B+",IF(J446&lt;'PlayerGrades+'!$AD$6,"A-",IF(J446&lt;'PlayerGrades+'!$AD$5,"A",IF(J446&lt;'PlayerGrades+'!$AD$4,"A+",IF(J446&lt;'PlayerGrades+'!$AD$3,"S-",IF(J446&lt;'PlayerGrades+'!$AD$2,"S","S+"))))))))))))))))))))</f>
        <v>#DIV/0!</v>
      </c>
      <c r="L446" s="1176" t="str">
        <f t="shared" si="5"/>
        <v>#DIV/0!</v>
      </c>
      <c r="M446" s="992" t="str">
        <f>IF(L446&lt;'PlayerGrades+'!$AE$21,"F-",IF(L446&lt;'PlayerGrades+'!$AE$20,"F",IF(L446&lt;'PlayerGrades+'!$AE$19,"F+",IF(L446&lt;'PlayerGrades+'!$AE$18,"E-",IF(L446&lt;'PlayerGrades+'!$AE$17,"E",IF(L446&lt;'PlayerGrades+'!$AE$16,"E+",IF(L446&lt;'PlayerGrades+'!$AE$15,"D-",IF(L446&lt;'PlayerGrades+'!$AE$14,"D",IF(L446&lt;'PlayerGrades+'!$AE$13,"D+",IF(L446&lt;'PlayerGrades+'!$AE$12,"C-",IF(L446&lt;'PlayerGrades+'!$AE$11,"C",IF(L446&lt;'PlayerGrades+'!$AE$10,"C+",IF(L446&lt;'PlayerGrades+'!$AE$9,"B-",IF(L446&lt;'PlayerGrades+'!$AE$8,"B",IF(L446&lt;'PlayerGrades+'!$AE$7,"B+",IF(L446&lt;'PlayerGrades+'!$AE$6,"A-",IF(L446&lt;'PlayerGrades+'!$AE$5,"A",IF(L446&lt;'PlayerGrades+'!$AE$4,"A+",IF(L446&lt;'PlayerGrades+'!$AE$3,"S-",IF(L446&lt;'PlayerGrades+'!$AE$2,"S","S+"))))))))))))))))))))</f>
        <v>#DIV/0!</v>
      </c>
      <c r="N446" s="961" t="str">
        <f t="shared" si="6"/>
        <v>#DIV/0!</v>
      </c>
      <c r="O446" s="961" t="str">
        <f>IF(N446&lt;'PlayerGrades+'!$AF$21,"F-",IF(N446&lt;'PlayerGrades+'!$AF$20,"F",IF(N446&lt;'PlayerGrades+'!$AF$19,"F+",IF(N446&lt;'PlayerGrades+'!$AF$18,"E-",IF(N446&lt;'PlayerGrades+'!$AF$17,"E",IF(N446&lt;'PlayerGrades+'!$AF$16,"E+",IF(N446&lt;'PlayerGrades+'!$AF$15,"D-",IF(N446&lt;'PlayerGrades+'!$AF$14,"D",IF(N446&lt;'PlayerGrades+'!$AF$13,"D+",IF(N446&lt;'PlayerGrades+'!$AF$12,"C-",IF(N446&lt;'PlayerGrades+'!$AF$11,"C",IF(N446&lt;'PlayerGrades+'!$AF$10,"C+",IF(N446&lt;'PlayerGrades+'!$AF$9,"B-",IF(N446&lt;'PlayerGrades+'!$AF$8,"B",IF(N446&lt;'PlayerGrades+'!$AF$7,"B+",IF(N446&lt;'PlayerGrades+'!$AF$6,"A-",IF(N446&lt;'PlayerGrades+'!$AF$5,"A",IF(N446&lt;'PlayerGrades+'!$AF$4,"A+",IF(N446&lt;'PlayerGrades+'!$AF$3,"S-",IF(N446&lt;'PlayerGrades+'!$AF$2,"S","S+"))))))))))))))))))))</f>
        <v>#DIV/0!</v>
      </c>
      <c r="P446" s="961" t="str">
        <f t="shared" si="7"/>
        <v>#DIV/0!</v>
      </c>
      <c r="Q446" s="961" t="str">
        <f>IF(P446&lt;'PlayerGrades+'!$AG$21,"F-",IF(P446&lt;'PlayerGrades+'!$AG$20,"F",IF(P446&lt;'PlayerGrades+'!$AG$19,"F+",IF(P446&lt;'PlayerGrades+'!$AG$18,"E-",IF(P446&lt;'PlayerGrades+'!$AG$17,"E",IF(P446&lt;'PlayerGrades+'!$AG$16,"E+",IF(P446&lt;'PlayerGrades+'!$AG$15,"D-",IF(P446&lt;'PlayerGrades+'!$AG$14,"D",IF(P446&lt;'PlayerGrades+'!$AG$13,"D+",IF(P446&lt;'PlayerGrades+'!$AG$12,"C-",IF(P446&lt;'PlayerGrades+'!$AG$11,"C",IF(P446&lt;'PlayerGrades+'!$AG$10,"C+",IF(P446&lt;'PlayerGrades+'!$AG$9,"B-",IF(P446&lt;'PlayerGrades+'!$AG$8,"B",IF(P446&lt;'PlayerGrades+'!$AG$7,"B+",IF(P446&lt;'PlayerGrades+'!$AG$6,"A-",IF(P446&lt;'PlayerGrades+'!$AG$5,"A",IF(P446&lt;'PlayerGrades+'!$AG$4,"A+",IF(P446&lt;'PlayerGrades+'!$AG$3,"S-",IF(P446&lt;'PlayerGrades+'!$AG$2,"S","S+"))))))))))))))))))))</f>
        <v>#DIV/0!</v>
      </c>
      <c r="R446" s="961" t="str">
        <f t="shared" si="8"/>
        <v>#DIV/0!</v>
      </c>
      <c r="S446" s="961" t="str">
        <f>IF(R446&lt;'PlayerGrades+'!$AH$21,"F-",IF(R446&lt;'PlayerGrades+'!$AH$20,"F",IF(R446&lt;'PlayerGrades+'!$AH$19,"F+",IF(R446&lt;'PlayerGrades+'!$AH$18,"E-",IF(R446&lt;'PlayerGrades+'!$AH$17,"E",IF(R446&lt;'PlayerGrades+'!$AH$16,"E+",IF(R446&lt;'PlayerGrades+'!$AH$15,"D-",IF(R446&lt;'PlayerGrades+'!$AH$14,"D",IF(R446&lt;'PlayerGrades+'!$AH$13,"D+",IF(R446&lt;'PlayerGrades+'!$AH$12,"C-",IF(R446&lt;'PlayerGrades+'!$AH$11,"C",IF(R446&lt;'PlayerGrades+'!$AH$10,"C+",IF(R446&lt;'PlayerGrades+'!$AH$9,"B-",IF(R446&lt;'PlayerGrades+'!$AH$8,"B",IF(R446&lt;'PlayerGrades+'!$AH$7,"B+",IF(R446&lt;'PlayerGrades+'!$AH$6,"A-",IF(R446&lt;'PlayerGrades+'!$AH$5,"A",IF(R446&lt;'PlayerGrades+'!$AH$4,"A+",IF(R446&lt;'PlayerGrades+'!$AH$3,"S-",IF(R446&lt;'PlayerGrades+'!$AH$2,"S","S+"))))))))))))))))))))</f>
        <v>#DIV/0!</v>
      </c>
      <c r="T446" s="961">
        <f t="shared" si="9"/>
        <v>0</v>
      </c>
      <c r="U446" s="961" t="str">
        <f>IF(T446&lt;'PlayerGrades+'!$AI$21,"F-",IF(T446&lt;'PlayerGrades+'!$AI$20,"F",IF(T446&lt;'PlayerGrades+'!$AI$19,"F+",IF(T446&lt;'PlayerGrades+'!$AI$18,"E-",IF(T446&lt;'PlayerGrades+'!$AI$17,"E",IF(T446&lt;'PlayerGrades+'!$AI$16,"E+",IF(T446&lt;'PlayerGrades+'!$AI$15,"D-",IF(T446&lt;'PlayerGrades+'!$AI$14,"D",IF(T446&lt;'PlayerGrades+'!$AI$13,"D+",IF(T446&lt;'PlayerGrades+'!$AI$12,"C-",IF(T446&lt;'PlayerGrades+'!$AI$11,"C",IF(T446&lt;'PlayerGrades+'!$AI$10,"C+",IF(T446&lt;'PlayerGrades+'!$AI$9,"B-",IF(T446&lt;'PlayerGrades+'!$AI$8,"B",IF(T446&lt;'PlayerGrades+'!$AI$7,"B+",IF(T446&lt;'PlayerGrades+'!$AI$6,"A-",IF(T446&lt;'PlayerGrades+'!$AI$5,"A",IF(T446&lt;'PlayerGrades+'!$AI$4,"A+",IF(T446&lt;'PlayerGrades+'!$AI$3,"S-",IF(T446&lt;'PlayerGrades+'!$AI$2,"S","S+"))))))))))))))))))))</f>
        <v>F-</v>
      </c>
      <c r="AC446" s="1392"/>
    </row>
    <row r="447">
      <c r="A447" s="1391"/>
      <c r="B447" s="611" t="str">
        <f>IF(C447&lt;'PlayerGrades+'!$Y$44,"F-",IF(C447&lt;'PlayerGrades+'!$Y$43,"F",IF(C447&lt;'PlayerGrades+'!$Y$42,"F+",IF(C447&lt;'PlayerGrades+'!$Y$41,"E-",IF(C447&lt;'PlayerGrades+'!$Y$40,"E",IF(C447&lt;'PlayerGrades+'!$Y$39,"E+",IF(C447&lt;'PlayerGrades+'!$Y$38,"D-",IF(C447&lt;'PlayerGrades+'!$Y$37,"D",IF(C447&lt;'PlayerGrades+'!$Y$36,"D+",IF(C447&lt;'PlayerGrades+'!$Y$35,"C-",IF(C447&lt;'PlayerGrades+'!$Y$34,"C",IF(C447&lt;'PlayerGrades+'!$Y$33,"C+",IF(C447&lt;'PlayerGrades+'!$Y$32,"B-",IF(C447&lt;'PlayerGrades+'!$Y$31,"B",IF(C447&lt;'PlayerGrades+'!$Y$30,"B+",IF(C447&lt;'PlayerGrades+'!$Y$29,"A-",IF(C447&lt;'PlayerGrades+'!$Y$28,"A",IF(C447&lt;'PlayerGrades+'!$Y$27,"A+",IF(C447&lt;'PlayerGrades+'!$Y$26,"S-",IF(C447&lt;'PlayerGrades+'!$Y$25,"S","S+"))))))))))))))))))))</f>
        <v>#DIV/0!</v>
      </c>
      <c r="C447" s="1378" t="str">
        <f>('PlayerGrades+'!$Y$47*(VLOOKUP(E447, 'PlayerGrades+'!$X$3:$Y$23, 2, FALSE)))+('PlayerGrades+'!$Y$48*(VLOOKUP(G447, 'PlayerGrades+'!$X$3:$Y$23, 2, FALSE)))+('PlayerGrades+'!$Y$49*(VLOOKUP(I447, 'PlayerGrades+'!$X$3:$Y$23, 2, FALSE)))+('PlayerGrades+'!$Y$50*(VLOOKUP(K447, 'PlayerGrades+'!$X$3:$Y$23, 2, FALSE)))+('PlayerGrades+'!$Y$51*(VLOOKUP(M447, 'PlayerGrades+'!$X$3:$Y$23, 2, FALSE)))+('PlayerGrades+'!$Y$52*(VLOOKUP(O447, 'PlayerGrades+'!$X$3:$Y$23, 2, FALSE)))+('PlayerGrades+'!$Y$53*(VLOOKUP(Q447, 'PlayerGrades+'!$X$3:$Y$23, 2, FALSE)))+('PlayerGrades+'!$Y$54*(VLOOKUP(S447, 'PlayerGrades+'!$X$3:$Y$23, 2, FALSE)))+('PlayerGrades+'!$Y$55*(VLOOKUP(U447, 'PlayerGrades+'!$X$3:$Y$23, 2, FALSE)))</f>
        <v>#DIV/0!</v>
      </c>
      <c r="D447" s="961" t="str">
        <f t="shared" si="1"/>
        <v>#DIV/0!</v>
      </c>
      <c r="E447" s="961" t="str">
        <f>IF(D447&lt;'PlayerGrades+'!$AA$21,"F-",IF(D447&lt;'PlayerGrades+'!$AA$20,"F",IF(D447&lt;'PlayerGrades+'!$AA$19,"F+",IF(D447&lt;'PlayerGrades+'!$AA$18,"E-",IF(D447&lt;'PlayerGrades+'!$AA$17,"E",IF(D447&lt;'PlayerGrades+'!$AA$16,"E+",IF(D447&lt;'PlayerGrades+'!$AA$15,"D-",IF(D447&lt;'PlayerGrades+'!$AA$14,"D",IF(D447&lt;'PlayerGrades+'!$AA$13,"D+",IF(D447&lt;'PlayerGrades+'!$AA$12,"C-",IF(D447&lt;'PlayerGrades+'!$AA$11,"C",IF(D447&lt;'PlayerGrades+'!$AA$10,"C+",IF(D447&lt;'PlayerGrades+'!$AA$9,"B-",IF(D447&lt;'PlayerGrades+'!$AA$8,"B",IF(D447&lt;'PlayerGrades+'!$AA$7,"B+",IF(D447&lt;'PlayerGrades+'!$AA$6,"A-",IF(D447&lt;'PlayerGrades+'!$AA$5,"A",IF(D447&lt;'PlayerGrades+'!$AA$4,"A+",IF(D447&lt;'PlayerGrades+'!$AA$3,"S-",IF(D447&lt;'PlayerGrades+'!$AA$2,"S","S+"))))))))))))))))))))</f>
        <v>#DIV/0!</v>
      </c>
      <c r="F447" s="961" t="str">
        <f t="shared" si="2"/>
        <v>#DIV/0!</v>
      </c>
      <c r="G447" s="961" t="str">
        <f>IF(F447&lt;'PlayerGrades+'!$AB$21,"F-",IF(F447&lt;'PlayerGrades+'!$AB$20,"F",IF(F447&lt;'PlayerGrades+'!$AB$19,"F+",IF(F447&lt;'PlayerGrades+'!$AB$18,"E-",IF(F447&lt;'PlayerGrades+'!$AB$17,"E",IF(F447&lt;'PlayerGrades+'!$AB$16,"E+",IF(F447&lt;'PlayerGrades+'!$AB$15,"D-",IF(F447&lt;'PlayerGrades+'!$AB$14,"D",IF(F447&lt;'PlayerGrades+'!$AB$13,"D+",IF(F447&lt;'PlayerGrades+'!$AB$12,"C-",IF(F447&lt;'PlayerGrades+'!$AB$11,"C",IF(F447&lt;'PlayerGrades+'!$AB$10,"C+",IF(F447&lt;'PlayerGrades+'!$AB$9,"B-",IF(F447&lt;'PlayerGrades+'!$AB$8,"B",IF(F447&lt;'PlayerGrades+'!$AB$7,"B+",IF(F447&lt;'PlayerGrades+'!$AB$6,"A-",IF(F447&lt;'PlayerGrades+'!$AB$5,"A",IF(F447&lt;'PlayerGrades+'!$AB$4,"A+",IF(F447&lt;'PlayerGrades+'!$AB$3,"S-",IF(F447&lt;'PlayerGrades+'!$AB$2,"S","S+"))))))))))))))))))))</f>
        <v>#DIV/0!</v>
      </c>
      <c r="H447" s="961" t="str">
        <f t="shared" si="3"/>
        <v>#DIV/0!</v>
      </c>
      <c r="I447" s="961" t="str">
        <f>IF(H447&lt;'PlayerGrades+'!$AC$21,"F-",IF(H447&lt;'PlayerGrades+'!$AC$20,"F",IF(H447&lt;'PlayerGrades+'!$AC$19,"F+",IF(H447&lt;'PlayerGrades+'!$AC$18,"E-",IF(H447&lt;'PlayerGrades+'!$AC$17,"E",IF(H447&lt;'PlayerGrades+'!$AC$16,"E+",IF(H447&lt;'PlayerGrades+'!$AC$15,"D-",IF(H447&lt;'PlayerGrades+'!$AC$14,"D",IF(H447&lt;'PlayerGrades+'!$AC$13,"D+",IF(H447&lt;'PlayerGrades+'!$AC$12,"C-",IF(H447&lt;'PlayerGrades+'!$AC$11,"C",IF(H447&lt;'PlayerGrades+'!$AC$10,"C+",IF(H447&lt;'PlayerGrades+'!$AC$9,"B-",IF(H447&lt;'PlayerGrades+'!$AC$8,"B",IF(H447&lt;'PlayerGrades+'!$AC$7,"B+",IF(H447&lt;'PlayerGrades+'!$AC$6,"A-",IF(H447&lt;'PlayerGrades+'!$AC$5,"A",IF(H447&lt;'PlayerGrades+'!$AC$4,"A+",IF(H447&lt;'PlayerGrades+'!$AC$3,"S-",IF(H447&lt;'PlayerGrades+'!$AC$2,"S","S+"))))))))))))))))))))</f>
        <v>#DIV/0!</v>
      </c>
      <c r="J447" s="961" t="str">
        <f t="shared" si="4"/>
        <v>#DIV/0!</v>
      </c>
      <c r="K447" s="961" t="str">
        <f>IF(J447&lt;'PlayerGrades+'!$AD$21,"F-",IF(J447&lt;'PlayerGrades+'!$AD$20,"F",IF(J447&lt;'PlayerGrades+'!$AD$19,"F+",IF(J447&lt;'PlayerGrades+'!$AD$18,"E-",IF(J447&lt;'PlayerGrades+'!$AD$17,"E",IF(J447&lt;'PlayerGrades+'!$AD$16,"E+",IF(J447&lt;'PlayerGrades+'!$AD$15,"D-",IF(J447&lt;'PlayerGrades+'!$AD$14,"D",IF(J447&lt;'PlayerGrades+'!$AD$13,"D+",IF(J447&lt;'PlayerGrades+'!$AD$12,"C-",IF(J447&lt;'PlayerGrades+'!$AD$11,"C",IF(J447&lt;'PlayerGrades+'!$AD$10,"C+",IF(J447&lt;'PlayerGrades+'!$AD$9,"B-",IF(J447&lt;'PlayerGrades+'!$AD$8,"B",IF(J447&lt;'PlayerGrades+'!$AD$7,"B+",IF(J447&lt;'PlayerGrades+'!$AD$6,"A-",IF(J447&lt;'PlayerGrades+'!$AD$5,"A",IF(J447&lt;'PlayerGrades+'!$AD$4,"A+",IF(J447&lt;'PlayerGrades+'!$AD$3,"S-",IF(J447&lt;'PlayerGrades+'!$AD$2,"S","S+"))))))))))))))))))))</f>
        <v>#DIV/0!</v>
      </c>
      <c r="L447" s="1176" t="str">
        <f t="shared" si="5"/>
        <v>#DIV/0!</v>
      </c>
      <c r="M447" s="992" t="str">
        <f>IF(L447&lt;'PlayerGrades+'!$AE$21,"F-",IF(L447&lt;'PlayerGrades+'!$AE$20,"F",IF(L447&lt;'PlayerGrades+'!$AE$19,"F+",IF(L447&lt;'PlayerGrades+'!$AE$18,"E-",IF(L447&lt;'PlayerGrades+'!$AE$17,"E",IF(L447&lt;'PlayerGrades+'!$AE$16,"E+",IF(L447&lt;'PlayerGrades+'!$AE$15,"D-",IF(L447&lt;'PlayerGrades+'!$AE$14,"D",IF(L447&lt;'PlayerGrades+'!$AE$13,"D+",IF(L447&lt;'PlayerGrades+'!$AE$12,"C-",IF(L447&lt;'PlayerGrades+'!$AE$11,"C",IF(L447&lt;'PlayerGrades+'!$AE$10,"C+",IF(L447&lt;'PlayerGrades+'!$AE$9,"B-",IF(L447&lt;'PlayerGrades+'!$AE$8,"B",IF(L447&lt;'PlayerGrades+'!$AE$7,"B+",IF(L447&lt;'PlayerGrades+'!$AE$6,"A-",IF(L447&lt;'PlayerGrades+'!$AE$5,"A",IF(L447&lt;'PlayerGrades+'!$AE$4,"A+",IF(L447&lt;'PlayerGrades+'!$AE$3,"S-",IF(L447&lt;'PlayerGrades+'!$AE$2,"S","S+"))))))))))))))))))))</f>
        <v>#DIV/0!</v>
      </c>
      <c r="N447" s="961" t="str">
        <f t="shared" si="6"/>
        <v>#DIV/0!</v>
      </c>
      <c r="O447" s="961" t="str">
        <f>IF(N447&lt;'PlayerGrades+'!$AF$21,"F-",IF(N447&lt;'PlayerGrades+'!$AF$20,"F",IF(N447&lt;'PlayerGrades+'!$AF$19,"F+",IF(N447&lt;'PlayerGrades+'!$AF$18,"E-",IF(N447&lt;'PlayerGrades+'!$AF$17,"E",IF(N447&lt;'PlayerGrades+'!$AF$16,"E+",IF(N447&lt;'PlayerGrades+'!$AF$15,"D-",IF(N447&lt;'PlayerGrades+'!$AF$14,"D",IF(N447&lt;'PlayerGrades+'!$AF$13,"D+",IF(N447&lt;'PlayerGrades+'!$AF$12,"C-",IF(N447&lt;'PlayerGrades+'!$AF$11,"C",IF(N447&lt;'PlayerGrades+'!$AF$10,"C+",IF(N447&lt;'PlayerGrades+'!$AF$9,"B-",IF(N447&lt;'PlayerGrades+'!$AF$8,"B",IF(N447&lt;'PlayerGrades+'!$AF$7,"B+",IF(N447&lt;'PlayerGrades+'!$AF$6,"A-",IF(N447&lt;'PlayerGrades+'!$AF$5,"A",IF(N447&lt;'PlayerGrades+'!$AF$4,"A+",IF(N447&lt;'PlayerGrades+'!$AF$3,"S-",IF(N447&lt;'PlayerGrades+'!$AF$2,"S","S+"))))))))))))))))))))</f>
        <v>#DIV/0!</v>
      </c>
      <c r="P447" s="961" t="str">
        <f t="shared" si="7"/>
        <v>#DIV/0!</v>
      </c>
      <c r="Q447" s="961" t="str">
        <f>IF(P447&lt;'PlayerGrades+'!$AG$21,"F-",IF(P447&lt;'PlayerGrades+'!$AG$20,"F",IF(P447&lt;'PlayerGrades+'!$AG$19,"F+",IF(P447&lt;'PlayerGrades+'!$AG$18,"E-",IF(P447&lt;'PlayerGrades+'!$AG$17,"E",IF(P447&lt;'PlayerGrades+'!$AG$16,"E+",IF(P447&lt;'PlayerGrades+'!$AG$15,"D-",IF(P447&lt;'PlayerGrades+'!$AG$14,"D",IF(P447&lt;'PlayerGrades+'!$AG$13,"D+",IF(P447&lt;'PlayerGrades+'!$AG$12,"C-",IF(P447&lt;'PlayerGrades+'!$AG$11,"C",IF(P447&lt;'PlayerGrades+'!$AG$10,"C+",IF(P447&lt;'PlayerGrades+'!$AG$9,"B-",IF(P447&lt;'PlayerGrades+'!$AG$8,"B",IF(P447&lt;'PlayerGrades+'!$AG$7,"B+",IF(P447&lt;'PlayerGrades+'!$AG$6,"A-",IF(P447&lt;'PlayerGrades+'!$AG$5,"A",IF(P447&lt;'PlayerGrades+'!$AG$4,"A+",IF(P447&lt;'PlayerGrades+'!$AG$3,"S-",IF(P447&lt;'PlayerGrades+'!$AG$2,"S","S+"))))))))))))))))))))</f>
        <v>#DIV/0!</v>
      </c>
      <c r="R447" s="961" t="str">
        <f t="shared" si="8"/>
        <v>#DIV/0!</v>
      </c>
      <c r="S447" s="961" t="str">
        <f>IF(R447&lt;'PlayerGrades+'!$AH$21,"F-",IF(R447&lt;'PlayerGrades+'!$AH$20,"F",IF(R447&lt;'PlayerGrades+'!$AH$19,"F+",IF(R447&lt;'PlayerGrades+'!$AH$18,"E-",IF(R447&lt;'PlayerGrades+'!$AH$17,"E",IF(R447&lt;'PlayerGrades+'!$AH$16,"E+",IF(R447&lt;'PlayerGrades+'!$AH$15,"D-",IF(R447&lt;'PlayerGrades+'!$AH$14,"D",IF(R447&lt;'PlayerGrades+'!$AH$13,"D+",IF(R447&lt;'PlayerGrades+'!$AH$12,"C-",IF(R447&lt;'PlayerGrades+'!$AH$11,"C",IF(R447&lt;'PlayerGrades+'!$AH$10,"C+",IF(R447&lt;'PlayerGrades+'!$AH$9,"B-",IF(R447&lt;'PlayerGrades+'!$AH$8,"B",IF(R447&lt;'PlayerGrades+'!$AH$7,"B+",IF(R447&lt;'PlayerGrades+'!$AH$6,"A-",IF(R447&lt;'PlayerGrades+'!$AH$5,"A",IF(R447&lt;'PlayerGrades+'!$AH$4,"A+",IF(R447&lt;'PlayerGrades+'!$AH$3,"S-",IF(R447&lt;'PlayerGrades+'!$AH$2,"S","S+"))))))))))))))))))))</f>
        <v>#DIV/0!</v>
      </c>
      <c r="T447" s="961">
        <f t="shared" si="9"/>
        <v>0</v>
      </c>
      <c r="U447" s="961" t="str">
        <f>IF(T447&lt;'PlayerGrades+'!$AI$21,"F-",IF(T447&lt;'PlayerGrades+'!$AI$20,"F",IF(T447&lt;'PlayerGrades+'!$AI$19,"F+",IF(T447&lt;'PlayerGrades+'!$AI$18,"E-",IF(T447&lt;'PlayerGrades+'!$AI$17,"E",IF(T447&lt;'PlayerGrades+'!$AI$16,"E+",IF(T447&lt;'PlayerGrades+'!$AI$15,"D-",IF(T447&lt;'PlayerGrades+'!$AI$14,"D",IF(T447&lt;'PlayerGrades+'!$AI$13,"D+",IF(T447&lt;'PlayerGrades+'!$AI$12,"C-",IF(T447&lt;'PlayerGrades+'!$AI$11,"C",IF(T447&lt;'PlayerGrades+'!$AI$10,"C+",IF(T447&lt;'PlayerGrades+'!$AI$9,"B-",IF(T447&lt;'PlayerGrades+'!$AI$8,"B",IF(T447&lt;'PlayerGrades+'!$AI$7,"B+",IF(T447&lt;'PlayerGrades+'!$AI$6,"A-",IF(T447&lt;'PlayerGrades+'!$AI$5,"A",IF(T447&lt;'PlayerGrades+'!$AI$4,"A+",IF(T447&lt;'PlayerGrades+'!$AI$3,"S-",IF(T447&lt;'PlayerGrades+'!$AI$2,"S","S+"))))))))))))))))))))</f>
        <v>F-</v>
      </c>
      <c r="AC447" s="1392"/>
    </row>
    <row r="448">
      <c r="A448" s="1391"/>
      <c r="B448" s="611" t="str">
        <f>IF(C448&lt;'PlayerGrades+'!$Y$44,"F-",IF(C448&lt;'PlayerGrades+'!$Y$43,"F",IF(C448&lt;'PlayerGrades+'!$Y$42,"F+",IF(C448&lt;'PlayerGrades+'!$Y$41,"E-",IF(C448&lt;'PlayerGrades+'!$Y$40,"E",IF(C448&lt;'PlayerGrades+'!$Y$39,"E+",IF(C448&lt;'PlayerGrades+'!$Y$38,"D-",IF(C448&lt;'PlayerGrades+'!$Y$37,"D",IF(C448&lt;'PlayerGrades+'!$Y$36,"D+",IF(C448&lt;'PlayerGrades+'!$Y$35,"C-",IF(C448&lt;'PlayerGrades+'!$Y$34,"C",IF(C448&lt;'PlayerGrades+'!$Y$33,"C+",IF(C448&lt;'PlayerGrades+'!$Y$32,"B-",IF(C448&lt;'PlayerGrades+'!$Y$31,"B",IF(C448&lt;'PlayerGrades+'!$Y$30,"B+",IF(C448&lt;'PlayerGrades+'!$Y$29,"A-",IF(C448&lt;'PlayerGrades+'!$Y$28,"A",IF(C448&lt;'PlayerGrades+'!$Y$27,"A+",IF(C448&lt;'PlayerGrades+'!$Y$26,"S-",IF(C448&lt;'PlayerGrades+'!$Y$25,"S","S+"))))))))))))))))))))</f>
        <v>#DIV/0!</v>
      </c>
      <c r="C448" s="1378" t="str">
        <f>('PlayerGrades+'!$Y$47*(VLOOKUP(E448, 'PlayerGrades+'!$X$3:$Y$23, 2, FALSE)))+('PlayerGrades+'!$Y$48*(VLOOKUP(G448, 'PlayerGrades+'!$X$3:$Y$23, 2, FALSE)))+('PlayerGrades+'!$Y$49*(VLOOKUP(I448, 'PlayerGrades+'!$X$3:$Y$23, 2, FALSE)))+('PlayerGrades+'!$Y$50*(VLOOKUP(K448, 'PlayerGrades+'!$X$3:$Y$23, 2, FALSE)))+('PlayerGrades+'!$Y$51*(VLOOKUP(M448, 'PlayerGrades+'!$X$3:$Y$23, 2, FALSE)))+('PlayerGrades+'!$Y$52*(VLOOKUP(O448, 'PlayerGrades+'!$X$3:$Y$23, 2, FALSE)))+('PlayerGrades+'!$Y$53*(VLOOKUP(Q448, 'PlayerGrades+'!$X$3:$Y$23, 2, FALSE)))+('PlayerGrades+'!$Y$54*(VLOOKUP(S448, 'PlayerGrades+'!$X$3:$Y$23, 2, FALSE)))+('PlayerGrades+'!$Y$55*(VLOOKUP(U448, 'PlayerGrades+'!$X$3:$Y$23, 2, FALSE)))</f>
        <v>#DIV/0!</v>
      </c>
      <c r="D448" s="961" t="str">
        <f t="shared" si="1"/>
        <v>#DIV/0!</v>
      </c>
      <c r="E448" s="961" t="str">
        <f>IF(D448&lt;'PlayerGrades+'!$AA$21,"F-",IF(D448&lt;'PlayerGrades+'!$AA$20,"F",IF(D448&lt;'PlayerGrades+'!$AA$19,"F+",IF(D448&lt;'PlayerGrades+'!$AA$18,"E-",IF(D448&lt;'PlayerGrades+'!$AA$17,"E",IF(D448&lt;'PlayerGrades+'!$AA$16,"E+",IF(D448&lt;'PlayerGrades+'!$AA$15,"D-",IF(D448&lt;'PlayerGrades+'!$AA$14,"D",IF(D448&lt;'PlayerGrades+'!$AA$13,"D+",IF(D448&lt;'PlayerGrades+'!$AA$12,"C-",IF(D448&lt;'PlayerGrades+'!$AA$11,"C",IF(D448&lt;'PlayerGrades+'!$AA$10,"C+",IF(D448&lt;'PlayerGrades+'!$AA$9,"B-",IF(D448&lt;'PlayerGrades+'!$AA$8,"B",IF(D448&lt;'PlayerGrades+'!$AA$7,"B+",IF(D448&lt;'PlayerGrades+'!$AA$6,"A-",IF(D448&lt;'PlayerGrades+'!$AA$5,"A",IF(D448&lt;'PlayerGrades+'!$AA$4,"A+",IF(D448&lt;'PlayerGrades+'!$AA$3,"S-",IF(D448&lt;'PlayerGrades+'!$AA$2,"S","S+"))))))))))))))))))))</f>
        <v>#DIV/0!</v>
      </c>
      <c r="F448" s="961" t="str">
        <f t="shared" si="2"/>
        <v>#DIV/0!</v>
      </c>
      <c r="G448" s="961" t="str">
        <f>IF(F448&lt;'PlayerGrades+'!$AB$21,"F-",IF(F448&lt;'PlayerGrades+'!$AB$20,"F",IF(F448&lt;'PlayerGrades+'!$AB$19,"F+",IF(F448&lt;'PlayerGrades+'!$AB$18,"E-",IF(F448&lt;'PlayerGrades+'!$AB$17,"E",IF(F448&lt;'PlayerGrades+'!$AB$16,"E+",IF(F448&lt;'PlayerGrades+'!$AB$15,"D-",IF(F448&lt;'PlayerGrades+'!$AB$14,"D",IF(F448&lt;'PlayerGrades+'!$AB$13,"D+",IF(F448&lt;'PlayerGrades+'!$AB$12,"C-",IF(F448&lt;'PlayerGrades+'!$AB$11,"C",IF(F448&lt;'PlayerGrades+'!$AB$10,"C+",IF(F448&lt;'PlayerGrades+'!$AB$9,"B-",IF(F448&lt;'PlayerGrades+'!$AB$8,"B",IF(F448&lt;'PlayerGrades+'!$AB$7,"B+",IF(F448&lt;'PlayerGrades+'!$AB$6,"A-",IF(F448&lt;'PlayerGrades+'!$AB$5,"A",IF(F448&lt;'PlayerGrades+'!$AB$4,"A+",IF(F448&lt;'PlayerGrades+'!$AB$3,"S-",IF(F448&lt;'PlayerGrades+'!$AB$2,"S","S+"))))))))))))))))))))</f>
        <v>#DIV/0!</v>
      </c>
      <c r="H448" s="961" t="str">
        <f t="shared" si="3"/>
        <v>#DIV/0!</v>
      </c>
      <c r="I448" s="961" t="str">
        <f>IF(H448&lt;'PlayerGrades+'!$AC$21,"F-",IF(H448&lt;'PlayerGrades+'!$AC$20,"F",IF(H448&lt;'PlayerGrades+'!$AC$19,"F+",IF(H448&lt;'PlayerGrades+'!$AC$18,"E-",IF(H448&lt;'PlayerGrades+'!$AC$17,"E",IF(H448&lt;'PlayerGrades+'!$AC$16,"E+",IF(H448&lt;'PlayerGrades+'!$AC$15,"D-",IF(H448&lt;'PlayerGrades+'!$AC$14,"D",IF(H448&lt;'PlayerGrades+'!$AC$13,"D+",IF(H448&lt;'PlayerGrades+'!$AC$12,"C-",IF(H448&lt;'PlayerGrades+'!$AC$11,"C",IF(H448&lt;'PlayerGrades+'!$AC$10,"C+",IF(H448&lt;'PlayerGrades+'!$AC$9,"B-",IF(H448&lt;'PlayerGrades+'!$AC$8,"B",IF(H448&lt;'PlayerGrades+'!$AC$7,"B+",IF(H448&lt;'PlayerGrades+'!$AC$6,"A-",IF(H448&lt;'PlayerGrades+'!$AC$5,"A",IF(H448&lt;'PlayerGrades+'!$AC$4,"A+",IF(H448&lt;'PlayerGrades+'!$AC$3,"S-",IF(H448&lt;'PlayerGrades+'!$AC$2,"S","S+"))))))))))))))))))))</f>
        <v>#DIV/0!</v>
      </c>
      <c r="J448" s="961" t="str">
        <f t="shared" si="4"/>
        <v>#DIV/0!</v>
      </c>
      <c r="K448" s="961" t="str">
        <f>IF(J448&lt;'PlayerGrades+'!$AD$21,"F-",IF(J448&lt;'PlayerGrades+'!$AD$20,"F",IF(J448&lt;'PlayerGrades+'!$AD$19,"F+",IF(J448&lt;'PlayerGrades+'!$AD$18,"E-",IF(J448&lt;'PlayerGrades+'!$AD$17,"E",IF(J448&lt;'PlayerGrades+'!$AD$16,"E+",IF(J448&lt;'PlayerGrades+'!$AD$15,"D-",IF(J448&lt;'PlayerGrades+'!$AD$14,"D",IF(J448&lt;'PlayerGrades+'!$AD$13,"D+",IF(J448&lt;'PlayerGrades+'!$AD$12,"C-",IF(J448&lt;'PlayerGrades+'!$AD$11,"C",IF(J448&lt;'PlayerGrades+'!$AD$10,"C+",IF(J448&lt;'PlayerGrades+'!$AD$9,"B-",IF(J448&lt;'PlayerGrades+'!$AD$8,"B",IF(J448&lt;'PlayerGrades+'!$AD$7,"B+",IF(J448&lt;'PlayerGrades+'!$AD$6,"A-",IF(J448&lt;'PlayerGrades+'!$AD$5,"A",IF(J448&lt;'PlayerGrades+'!$AD$4,"A+",IF(J448&lt;'PlayerGrades+'!$AD$3,"S-",IF(J448&lt;'PlayerGrades+'!$AD$2,"S","S+"))))))))))))))))))))</f>
        <v>#DIV/0!</v>
      </c>
      <c r="L448" s="1176" t="str">
        <f t="shared" si="5"/>
        <v>#DIV/0!</v>
      </c>
      <c r="M448" s="992" t="str">
        <f>IF(L448&lt;'PlayerGrades+'!$AE$21,"F-",IF(L448&lt;'PlayerGrades+'!$AE$20,"F",IF(L448&lt;'PlayerGrades+'!$AE$19,"F+",IF(L448&lt;'PlayerGrades+'!$AE$18,"E-",IF(L448&lt;'PlayerGrades+'!$AE$17,"E",IF(L448&lt;'PlayerGrades+'!$AE$16,"E+",IF(L448&lt;'PlayerGrades+'!$AE$15,"D-",IF(L448&lt;'PlayerGrades+'!$AE$14,"D",IF(L448&lt;'PlayerGrades+'!$AE$13,"D+",IF(L448&lt;'PlayerGrades+'!$AE$12,"C-",IF(L448&lt;'PlayerGrades+'!$AE$11,"C",IF(L448&lt;'PlayerGrades+'!$AE$10,"C+",IF(L448&lt;'PlayerGrades+'!$AE$9,"B-",IF(L448&lt;'PlayerGrades+'!$AE$8,"B",IF(L448&lt;'PlayerGrades+'!$AE$7,"B+",IF(L448&lt;'PlayerGrades+'!$AE$6,"A-",IF(L448&lt;'PlayerGrades+'!$AE$5,"A",IF(L448&lt;'PlayerGrades+'!$AE$4,"A+",IF(L448&lt;'PlayerGrades+'!$AE$3,"S-",IF(L448&lt;'PlayerGrades+'!$AE$2,"S","S+"))))))))))))))))))))</f>
        <v>#DIV/0!</v>
      </c>
      <c r="N448" s="961" t="str">
        <f t="shared" si="6"/>
        <v>#DIV/0!</v>
      </c>
      <c r="O448" s="961" t="str">
        <f>IF(N448&lt;'PlayerGrades+'!$AF$21,"F-",IF(N448&lt;'PlayerGrades+'!$AF$20,"F",IF(N448&lt;'PlayerGrades+'!$AF$19,"F+",IF(N448&lt;'PlayerGrades+'!$AF$18,"E-",IF(N448&lt;'PlayerGrades+'!$AF$17,"E",IF(N448&lt;'PlayerGrades+'!$AF$16,"E+",IF(N448&lt;'PlayerGrades+'!$AF$15,"D-",IF(N448&lt;'PlayerGrades+'!$AF$14,"D",IF(N448&lt;'PlayerGrades+'!$AF$13,"D+",IF(N448&lt;'PlayerGrades+'!$AF$12,"C-",IF(N448&lt;'PlayerGrades+'!$AF$11,"C",IF(N448&lt;'PlayerGrades+'!$AF$10,"C+",IF(N448&lt;'PlayerGrades+'!$AF$9,"B-",IF(N448&lt;'PlayerGrades+'!$AF$8,"B",IF(N448&lt;'PlayerGrades+'!$AF$7,"B+",IF(N448&lt;'PlayerGrades+'!$AF$6,"A-",IF(N448&lt;'PlayerGrades+'!$AF$5,"A",IF(N448&lt;'PlayerGrades+'!$AF$4,"A+",IF(N448&lt;'PlayerGrades+'!$AF$3,"S-",IF(N448&lt;'PlayerGrades+'!$AF$2,"S","S+"))))))))))))))))))))</f>
        <v>#DIV/0!</v>
      </c>
      <c r="P448" s="961" t="str">
        <f t="shared" si="7"/>
        <v>#DIV/0!</v>
      </c>
      <c r="Q448" s="961" t="str">
        <f>IF(P448&lt;'PlayerGrades+'!$AG$21,"F-",IF(P448&lt;'PlayerGrades+'!$AG$20,"F",IF(P448&lt;'PlayerGrades+'!$AG$19,"F+",IF(P448&lt;'PlayerGrades+'!$AG$18,"E-",IF(P448&lt;'PlayerGrades+'!$AG$17,"E",IF(P448&lt;'PlayerGrades+'!$AG$16,"E+",IF(P448&lt;'PlayerGrades+'!$AG$15,"D-",IF(P448&lt;'PlayerGrades+'!$AG$14,"D",IF(P448&lt;'PlayerGrades+'!$AG$13,"D+",IF(P448&lt;'PlayerGrades+'!$AG$12,"C-",IF(P448&lt;'PlayerGrades+'!$AG$11,"C",IF(P448&lt;'PlayerGrades+'!$AG$10,"C+",IF(P448&lt;'PlayerGrades+'!$AG$9,"B-",IF(P448&lt;'PlayerGrades+'!$AG$8,"B",IF(P448&lt;'PlayerGrades+'!$AG$7,"B+",IF(P448&lt;'PlayerGrades+'!$AG$6,"A-",IF(P448&lt;'PlayerGrades+'!$AG$5,"A",IF(P448&lt;'PlayerGrades+'!$AG$4,"A+",IF(P448&lt;'PlayerGrades+'!$AG$3,"S-",IF(P448&lt;'PlayerGrades+'!$AG$2,"S","S+"))))))))))))))))))))</f>
        <v>#DIV/0!</v>
      </c>
      <c r="R448" s="961" t="str">
        <f t="shared" si="8"/>
        <v>#DIV/0!</v>
      </c>
      <c r="S448" s="961" t="str">
        <f>IF(R448&lt;'PlayerGrades+'!$AH$21,"F-",IF(R448&lt;'PlayerGrades+'!$AH$20,"F",IF(R448&lt;'PlayerGrades+'!$AH$19,"F+",IF(R448&lt;'PlayerGrades+'!$AH$18,"E-",IF(R448&lt;'PlayerGrades+'!$AH$17,"E",IF(R448&lt;'PlayerGrades+'!$AH$16,"E+",IF(R448&lt;'PlayerGrades+'!$AH$15,"D-",IF(R448&lt;'PlayerGrades+'!$AH$14,"D",IF(R448&lt;'PlayerGrades+'!$AH$13,"D+",IF(R448&lt;'PlayerGrades+'!$AH$12,"C-",IF(R448&lt;'PlayerGrades+'!$AH$11,"C",IF(R448&lt;'PlayerGrades+'!$AH$10,"C+",IF(R448&lt;'PlayerGrades+'!$AH$9,"B-",IF(R448&lt;'PlayerGrades+'!$AH$8,"B",IF(R448&lt;'PlayerGrades+'!$AH$7,"B+",IF(R448&lt;'PlayerGrades+'!$AH$6,"A-",IF(R448&lt;'PlayerGrades+'!$AH$5,"A",IF(R448&lt;'PlayerGrades+'!$AH$4,"A+",IF(R448&lt;'PlayerGrades+'!$AH$3,"S-",IF(R448&lt;'PlayerGrades+'!$AH$2,"S","S+"))))))))))))))))))))</f>
        <v>#DIV/0!</v>
      </c>
      <c r="T448" s="961">
        <f t="shared" si="9"/>
        <v>0</v>
      </c>
      <c r="U448" s="961" t="str">
        <f>IF(T448&lt;'PlayerGrades+'!$AI$21,"F-",IF(T448&lt;'PlayerGrades+'!$AI$20,"F",IF(T448&lt;'PlayerGrades+'!$AI$19,"F+",IF(T448&lt;'PlayerGrades+'!$AI$18,"E-",IF(T448&lt;'PlayerGrades+'!$AI$17,"E",IF(T448&lt;'PlayerGrades+'!$AI$16,"E+",IF(T448&lt;'PlayerGrades+'!$AI$15,"D-",IF(T448&lt;'PlayerGrades+'!$AI$14,"D",IF(T448&lt;'PlayerGrades+'!$AI$13,"D+",IF(T448&lt;'PlayerGrades+'!$AI$12,"C-",IF(T448&lt;'PlayerGrades+'!$AI$11,"C",IF(T448&lt;'PlayerGrades+'!$AI$10,"C+",IF(T448&lt;'PlayerGrades+'!$AI$9,"B-",IF(T448&lt;'PlayerGrades+'!$AI$8,"B",IF(T448&lt;'PlayerGrades+'!$AI$7,"B+",IF(T448&lt;'PlayerGrades+'!$AI$6,"A-",IF(T448&lt;'PlayerGrades+'!$AI$5,"A",IF(T448&lt;'PlayerGrades+'!$AI$4,"A+",IF(T448&lt;'PlayerGrades+'!$AI$3,"S-",IF(T448&lt;'PlayerGrades+'!$AI$2,"S","S+"))))))))))))))))))))</f>
        <v>F-</v>
      </c>
      <c r="AC448" s="1392"/>
    </row>
    <row r="449">
      <c r="A449" s="1391"/>
      <c r="B449" s="611" t="str">
        <f>IF(C449&lt;'PlayerGrades+'!$Y$44,"F-",IF(C449&lt;'PlayerGrades+'!$Y$43,"F",IF(C449&lt;'PlayerGrades+'!$Y$42,"F+",IF(C449&lt;'PlayerGrades+'!$Y$41,"E-",IF(C449&lt;'PlayerGrades+'!$Y$40,"E",IF(C449&lt;'PlayerGrades+'!$Y$39,"E+",IF(C449&lt;'PlayerGrades+'!$Y$38,"D-",IF(C449&lt;'PlayerGrades+'!$Y$37,"D",IF(C449&lt;'PlayerGrades+'!$Y$36,"D+",IF(C449&lt;'PlayerGrades+'!$Y$35,"C-",IF(C449&lt;'PlayerGrades+'!$Y$34,"C",IF(C449&lt;'PlayerGrades+'!$Y$33,"C+",IF(C449&lt;'PlayerGrades+'!$Y$32,"B-",IF(C449&lt;'PlayerGrades+'!$Y$31,"B",IF(C449&lt;'PlayerGrades+'!$Y$30,"B+",IF(C449&lt;'PlayerGrades+'!$Y$29,"A-",IF(C449&lt;'PlayerGrades+'!$Y$28,"A",IF(C449&lt;'PlayerGrades+'!$Y$27,"A+",IF(C449&lt;'PlayerGrades+'!$Y$26,"S-",IF(C449&lt;'PlayerGrades+'!$Y$25,"S","S+"))))))))))))))))))))</f>
        <v>#DIV/0!</v>
      </c>
      <c r="C449" s="1378" t="str">
        <f>('PlayerGrades+'!$Y$47*(VLOOKUP(E449, 'PlayerGrades+'!$X$3:$Y$23, 2, FALSE)))+('PlayerGrades+'!$Y$48*(VLOOKUP(G449, 'PlayerGrades+'!$X$3:$Y$23, 2, FALSE)))+('PlayerGrades+'!$Y$49*(VLOOKUP(I449, 'PlayerGrades+'!$X$3:$Y$23, 2, FALSE)))+('PlayerGrades+'!$Y$50*(VLOOKUP(K449, 'PlayerGrades+'!$X$3:$Y$23, 2, FALSE)))+('PlayerGrades+'!$Y$51*(VLOOKUP(M449, 'PlayerGrades+'!$X$3:$Y$23, 2, FALSE)))+('PlayerGrades+'!$Y$52*(VLOOKUP(O449, 'PlayerGrades+'!$X$3:$Y$23, 2, FALSE)))+('PlayerGrades+'!$Y$53*(VLOOKUP(Q449, 'PlayerGrades+'!$X$3:$Y$23, 2, FALSE)))+('PlayerGrades+'!$Y$54*(VLOOKUP(S449, 'PlayerGrades+'!$X$3:$Y$23, 2, FALSE)))+('PlayerGrades+'!$Y$55*(VLOOKUP(U449, 'PlayerGrades+'!$X$3:$Y$23, 2, FALSE)))</f>
        <v>#DIV/0!</v>
      </c>
      <c r="D449" s="961" t="str">
        <f t="shared" si="1"/>
        <v>#DIV/0!</v>
      </c>
      <c r="E449" s="961" t="str">
        <f>IF(D449&lt;'PlayerGrades+'!$AA$21,"F-",IF(D449&lt;'PlayerGrades+'!$AA$20,"F",IF(D449&lt;'PlayerGrades+'!$AA$19,"F+",IF(D449&lt;'PlayerGrades+'!$AA$18,"E-",IF(D449&lt;'PlayerGrades+'!$AA$17,"E",IF(D449&lt;'PlayerGrades+'!$AA$16,"E+",IF(D449&lt;'PlayerGrades+'!$AA$15,"D-",IF(D449&lt;'PlayerGrades+'!$AA$14,"D",IF(D449&lt;'PlayerGrades+'!$AA$13,"D+",IF(D449&lt;'PlayerGrades+'!$AA$12,"C-",IF(D449&lt;'PlayerGrades+'!$AA$11,"C",IF(D449&lt;'PlayerGrades+'!$AA$10,"C+",IF(D449&lt;'PlayerGrades+'!$AA$9,"B-",IF(D449&lt;'PlayerGrades+'!$AA$8,"B",IF(D449&lt;'PlayerGrades+'!$AA$7,"B+",IF(D449&lt;'PlayerGrades+'!$AA$6,"A-",IF(D449&lt;'PlayerGrades+'!$AA$5,"A",IF(D449&lt;'PlayerGrades+'!$AA$4,"A+",IF(D449&lt;'PlayerGrades+'!$AA$3,"S-",IF(D449&lt;'PlayerGrades+'!$AA$2,"S","S+"))))))))))))))))))))</f>
        <v>#DIV/0!</v>
      </c>
      <c r="F449" s="961" t="str">
        <f t="shared" si="2"/>
        <v>#DIV/0!</v>
      </c>
      <c r="G449" s="961" t="str">
        <f>IF(F449&lt;'PlayerGrades+'!$AB$21,"F-",IF(F449&lt;'PlayerGrades+'!$AB$20,"F",IF(F449&lt;'PlayerGrades+'!$AB$19,"F+",IF(F449&lt;'PlayerGrades+'!$AB$18,"E-",IF(F449&lt;'PlayerGrades+'!$AB$17,"E",IF(F449&lt;'PlayerGrades+'!$AB$16,"E+",IF(F449&lt;'PlayerGrades+'!$AB$15,"D-",IF(F449&lt;'PlayerGrades+'!$AB$14,"D",IF(F449&lt;'PlayerGrades+'!$AB$13,"D+",IF(F449&lt;'PlayerGrades+'!$AB$12,"C-",IF(F449&lt;'PlayerGrades+'!$AB$11,"C",IF(F449&lt;'PlayerGrades+'!$AB$10,"C+",IF(F449&lt;'PlayerGrades+'!$AB$9,"B-",IF(F449&lt;'PlayerGrades+'!$AB$8,"B",IF(F449&lt;'PlayerGrades+'!$AB$7,"B+",IF(F449&lt;'PlayerGrades+'!$AB$6,"A-",IF(F449&lt;'PlayerGrades+'!$AB$5,"A",IF(F449&lt;'PlayerGrades+'!$AB$4,"A+",IF(F449&lt;'PlayerGrades+'!$AB$3,"S-",IF(F449&lt;'PlayerGrades+'!$AB$2,"S","S+"))))))))))))))))))))</f>
        <v>#DIV/0!</v>
      </c>
      <c r="H449" s="961" t="str">
        <f t="shared" si="3"/>
        <v>#DIV/0!</v>
      </c>
      <c r="I449" s="961" t="str">
        <f>IF(H449&lt;'PlayerGrades+'!$AC$21,"F-",IF(H449&lt;'PlayerGrades+'!$AC$20,"F",IF(H449&lt;'PlayerGrades+'!$AC$19,"F+",IF(H449&lt;'PlayerGrades+'!$AC$18,"E-",IF(H449&lt;'PlayerGrades+'!$AC$17,"E",IF(H449&lt;'PlayerGrades+'!$AC$16,"E+",IF(H449&lt;'PlayerGrades+'!$AC$15,"D-",IF(H449&lt;'PlayerGrades+'!$AC$14,"D",IF(H449&lt;'PlayerGrades+'!$AC$13,"D+",IF(H449&lt;'PlayerGrades+'!$AC$12,"C-",IF(H449&lt;'PlayerGrades+'!$AC$11,"C",IF(H449&lt;'PlayerGrades+'!$AC$10,"C+",IF(H449&lt;'PlayerGrades+'!$AC$9,"B-",IF(H449&lt;'PlayerGrades+'!$AC$8,"B",IF(H449&lt;'PlayerGrades+'!$AC$7,"B+",IF(H449&lt;'PlayerGrades+'!$AC$6,"A-",IF(H449&lt;'PlayerGrades+'!$AC$5,"A",IF(H449&lt;'PlayerGrades+'!$AC$4,"A+",IF(H449&lt;'PlayerGrades+'!$AC$3,"S-",IF(H449&lt;'PlayerGrades+'!$AC$2,"S","S+"))))))))))))))))))))</f>
        <v>#DIV/0!</v>
      </c>
      <c r="J449" s="961" t="str">
        <f t="shared" si="4"/>
        <v>#DIV/0!</v>
      </c>
      <c r="K449" s="961" t="str">
        <f>IF(J449&lt;'PlayerGrades+'!$AD$21,"F-",IF(J449&lt;'PlayerGrades+'!$AD$20,"F",IF(J449&lt;'PlayerGrades+'!$AD$19,"F+",IF(J449&lt;'PlayerGrades+'!$AD$18,"E-",IF(J449&lt;'PlayerGrades+'!$AD$17,"E",IF(J449&lt;'PlayerGrades+'!$AD$16,"E+",IF(J449&lt;'PlayerGrades+'!$AD$15,"D-",IF(J449&lt;'PlayerGrades+'!$AD$14,"D",IF(J449&lt;'PlayerGrades+'!$AD$13,"D+",IF(J449&lt;'PlayerGrades+'!$AD$12,"C-",IF(J449&lt;'PlayerGrades+'!$AD$11,"C",IF(J449&lt;'PlayerGrades+'!$AD$10,"C+",IF(J449&lt;'PlayerGrades+'!$AD$9,"B-",IF(J449&lt;'PlayerGrades+'!$AD$8,"B",IF(J449&lt;'PlayerGrades+'!$AD$7,"B+",IF(J449&lt;'PlayerGrades+'!$AD$6,"A-",IF(J449&lt;'PlayerGrades+'!$AD$5,"A",IF(J449&lt;'PlayerGrades+'!$AD$4,"A+",IF(J449&lt;'PlayerGrades+'!$AD$3,"S-",IF(J449&lt;'PlayerGrades+'!$AD$2,"S","S+"))))))))))))))))))))</f>
        <v>#DIV/0!</v>
      </c>
      <c r="L449" s="1176" t="str">
        <f t="shared" si="5"/>
        <v>#DIV/0!</v>
      </c>
      <c r="M449" s="992" t="str">
        <f>IF(L449&lt;'PlayerGrades+'!$AE$21,"F-",IF(L449&lt;'PlayerGrades+'!$AE$20,"F",IF(L449&lt;'PlayerGrades+'!$AE$19,"F+",IF(L449&lt;'PlayerGrades+'!$AE$18,"E-",IF(L449&lt;'PlayerGrades+'!$AE$17,"E",IF(L449&lt;'PlayerGrades+'!$AE$16,"E+",IF(L449&lt;'PlayerGrades+'!$AE$15,"D-",IF(L449&lt;'PlayerGrades+'!$AE$14,"D",IF(L449&lt;'PlayerGrades+'!$AE$13,"D+",IF(L449&lt;'PlayerGrades+'!$AE$12,"C-",IF(L449&lt;'PlayerGrades+'!$AE$11,"C",IF(L449&lt;'PlayerGrades+'!$AE$10,"C+",IF(L449&lt;'PlayerGrades+'!$AE$9,"B-",IF(L449&lt;'PlayerGrades+'!$AE$8,"B",IF(L449&lt;'PlayerGrades+'!$AE$7,"B+",IF(L449&lt;'PlayerGrades+'!$AE$6,"A-",IF(L449&lt;'PlayerGrades+'!$AE$5,"A",IF(L449&lt;'PlayerGrades+'!$AE$4,"A+",IF(L449&lt;'PlayerGrades+'!$AE$3,"S-",IF(L449&lt;'PlayerGrades+'!$AE$2,"S","S+"))))))))))))))))))))</f>
        <v>#DIV/0!</v>
      </c>
      <c r="N449" s="961" t="str">
        <f t="shared" si="6"/>
        <v>#DIV/0!</v>
      </c>
      <c r="O449" s="961" t="str">
        <f>IF(N449&lt;'PlayerGrades+'!$AF$21,"F-",IF(N449&lt;'PlayerGrades+'!$AF$20,"F",IF(N449&lt;'PlayerGrades+'!$AF$19,"F+",IF(N449&lt;'PlayerGrades+'!$AF$18,"E-",IF(N449&lt;'PlayerGrades+'!$AF$17,"E",IF(N449&lt;'PlayerGrades+'!$AF$16,"E+",IF(N449&lt;'PlayerGrades+'!$AF$15,"D-",IF(N449&lt;'PlayerGrades+'!$AF$14,"D",IF(N449&lt;'PlayerGrades+'!$AF$13,"D+",IF(N449&lt;'PlayerGrades+'!$AF$12,"C-",IF(N449&lt;'PlayerGrades+'!$AF$11,"C",IF(N449&lt;'PlayerGrades+'!$AF$10,"C+",IF(N449&lt;'PlayerGrades+'!$AF$9,"B-",IF(N449&lt;'PlayerGrades+'!$AF$8,"B",IF(N449&lt;'PlayerGrades+'!$AF$7,"B+",IF(N449&lt;'PlayerGrades+'!$AF$6,"A-",IF(N449&lt;'PlayerGrades+'!$AF$5,"A",IF(N449&lt;'PlayerGrades+'!$AF$4,"A+",IF(N449&lt;'PlayerGrades+'!$AF$3,"S-",IF(N449&lt;'PlayerGrades+'!$AF$2,"S","S+"))))))))))))))))))))</f>
        <v>#DIV/0!</v>
      </c>
      <c r="P449" s="961" t="str">
        <f t="shared" si="7"/>
        <v>#DIV/0!</v>
      </c>
      <c r="Q449" s="961" t="str">
        <f>IF(P449&lt;'PlayerGrades+'!$AG$21,"F-",IF(P449&lt;'PlayerGrades+'!$AG$20,"F",IF(P449&lt;'PlayerGrades+'!$AG$19,"F+",IF(P449&lt;'PlayerGrades+'!$AG$18,"E-",IF(P449&lt;'PlayerGrades+'!$AG$17,"E",IF(P449&lt;'PlayerGrades+'!$AG$16,"E+",IF(P449&lt;'PlayerGrades+'!$AG$15,"D-",IF(P449&lt;'PlayerGrades+'!$AG$14,"D",IF(P449&lt;'PlayerGrades+'!$AG$13,"D+",IF(P449&lt;'PlayerGrades+'!$AG$12,"C-",IF(P449&lt;'PlayerGrades+'!$AG$11,"C",IF(P449&lt;'PlayerGrades+'!$AG$10,"C+",IF(P449&lt;'PlayerGrades+'!$AG$9,"B-",IF(P449&lt;'PlayerGrades+'!$AG$8,"B",IF(P449&lt;'PlayerGrades+'!$AG$7,"B+",IF(P449&lt;'PlayerGrades+'!$AG$6,"A-",IF(P449&lt;'PlayerGrades+'!$AG$5,"A",IF(P449&lt;'PlayerGrades+'!$AG$4,"A+",IF(P449&lt;'PlayerGrades+'!$AG$3,"S-",IF(P449&lt;'PlayerGrades+'!$AG$2,"S","S+"))))))))))))))))))))</f>
        <v>#DIV/0!</v>
      </c>
      <c r="R449" s="961" t="str">
        <f t="shared" si="8"/>
        <v>#DIV/0!</v>
      </c>
      <c r="S449" s="961" t="str">
        <f>IF(R449&lt;'PlayerGrades+'!$AH$21,"F-",IF(R449&lt;'PlayerGrades+'!$AH$20,"F",IF(R449&lt;'PlayerGrades+'!$AH$19,"F+",IF(R449&lt;'PlayerGrades+'!$AH$18,"E-",IF(R449&lt;'PlayerGrades+'!$AH$17,"E",IF(R449&lt;'PlayerGrades+'!$AH$16,"E+",IF(R449&lt;'PlayerGrades+'!$AH$15,"D-",IF(R449&lt;'PlayerGrades+'!$AH$14,"D",IF(R449&lt;'PlayerGrades+'!$AH$13,"D+",IF(R449&lt;'PlayerGrades+'!$AH$12,"C-",IF(R449&lt;'PlayerGrades+'!$AH$11,"C",IF(R449&lt;'PlayerGrades+'!$AH$10,"C+",IF(R449&lt;'PlayerGrades+'!$AH$9,"B-",IF(R449&lt;'PlayerGrades+'!$AH$8,"B",IF(R449&lt;'PlayerGrades+'!$AH$7,"B+",IF(R449&lt;'PlayerGrades+'!$AH$6,"A-",IF(R449&lt;'PlayerGrades+'!$AH$5,"A",IF(R449&lt;'PlayerGrades+'!$AH$4,"A+",IF(R449&lt;'PlayerGrades+'!$AH$3,"S-",IF(R449&lt;'PlayerGrades+'!$AH$2,"S","S+"))))))))))))))))))))</f>
        <v>#DIV/0!</v>
      </c>
      <c r="T449" s="961">
        <f t="shared" si="9"/>
        <v>0</v>
      </c>
      <c r="U449" s="961" t="str">
        <f>IF(T449&lt;'PlayerGrades+'!$AI$21,"F-",IF(T449&lt;'PlayerGrades+'!$AI$20,"F",IF(T449&lt;'PlayerGrades+'!$AI$19,"F+",IF(T449&lt;'PlayerGrades+'!$AI$18,"E-",IF(T449&lt;'PlayerGrades+'!$AI$17,"E",IF(T449&lt;'PlayerGrades+'!$AI$16,"E+",IF(T449&lt;'PlayerGrades+'!$AI$15,"D-",IF(T449&lt;'PlayerGrades+'!$AI$14,"D",IF(T449&lt;'PlayerGrades+'!$AI$13,"D+",IF(T449&lt;'PlayerGrades+'!$AI$12,"C-",IF(T449&lt;'PlayerGrades+'!$AI$11,"C",IF(T449&lt;'PlayerGrades+'!$AI$10,"C+",IF(T449&lt;'PlayerGrades+'!$AI$9,"B-",IF(T449&lt;'PlayerGrades+'!$AI$8,"B",IF(T449&lt;'PlayerGrades+'!$AI$7,"B+",IF(T449&lt;'PlayerGrades+'!$AI$6,"A-",IF(T449&lt;'PlayerGrades+'!$AI$5,"A",IF(T449&lt;'PlayerGrades+'!$AI$4,"A+",IF(T449&lt;'PlayerGrades+'!$AI$3,"S-",IF(T449&lt;'PlayerGrades+'!$AI$2,"S","S+"))))))))))))))))))))</f>
        <v>F-</v>
      </c>
      <c r="AC449" s="1392"/>
    </row>
    <row r="450">
      <c r="A450" s="1389"/>
      <c r="B450" s="611" t="str">
        <f>IF(C450&lt;'PlayerGrades+'!$Y$44,"F-",IF(C450&lt;'PlayerGrades+'!$Y$43,"F",IF(C450&lt;'PlayerGrades+'!$Y$42,"F+",IF(C450&lt;'PlayerGrades+'!$Y$41,"E-",IF(C450&lt;'PlayerGrades+'!$Y$40,"E",IF(C450&lt;'PlayerGrades+'!$Y$39,"E+",IF(C450&lt;'PlayerGrades+'!$Y$38,"D-",IF(C450&lt;'PlayerGrades+'!$Y$37,"D",IF(C450&lt;'PlayerGrades+'!$Y$36,"D+",IF(C450&lt;'PlayerGrades+'!$Y$35,"C-",IF(C450&lt;'PlayerGrades+'!$Y$34,"C",IF(C450&lt;'PlayerGrades+'!$Y$33,"C+",IF(C450&lt;'PlayerGrades+'!$Y$32,"B-",IF(C450&lt;'PlayerGrades+'!$Y$31,"B",IF(C450&lt;'PlayerGrades+'!$Y$30,"B+",IF(C450&lt;'PlayerGrades+'!$Y$29,"A-",IF(C450&lt;'PlayerGrades+'!$Y$28,"A",IF(C450&lt;'PlayerGrades+'!$Y$27,"A+",IF(C450&lt;'PlayerGrades+'!$Y$26,"S-",IF(C450&lt;'PlayerGrades+'!$Y$25,"S","S+"))))))))))))))))))))</f>
        <v>#DIV/0!</v>
      </c>
      <c r="C450" s="1378" t="str">
        <f>('PlayerGrades+'!$Y$47*(VLOOKUP(E450, 'PlayerGrades+'!$X$3:$Y$23, 2, FALSE)))+('PlayerGrades+'!$Y$48*(VLOOKUP(G450, 'PlayerGrades+'!$X$3:$Y$23, 2, FALSE)))+('PlayerGrades+'!$Y$49*(VLOOKUP(I450, 'PlayerGrades+'!$X$3:$Y$23, 2, FALSE)))+('PlayerGrades+'!$Y$50*(VLOOKUP(K450, 'PlayerGrades+'!$X$3:$Y$23, 2, FALSE)))+('PlayerGrades+'!$Y$51*(VLOOKUP(M450, 'PlayerGrades+'!$X$3:$Y$23, 2, FALSE)))+('PlayerGrades+'!$Y$52*(VLOOKUP(O450, 'PlayerGrades+'!$X$3:$Y$23, 2, FALSE)))+('PlayerGrades+'!$Y$53*(VLOOKUP(Q450, 'PlayerGrades+'!$X$3:$Y$23, 2, FALSE)))+('PlayerGrades+'!$Y$54*(VLOOKUP(S450, 'PlayerGrades+'!$X$3:$Y$23, 2, FALSE)))+('PlayerGrades+'!$Y$55*(VLOOKUP(U450, 'PlayerGrades+'!$X$3:$Y$23, 2, FALSE)))</f>
        <v>#DIV/0!</v>
      </c>
      <c r="D450" s="961" t="str">
        <f t="shared" si="1"/>
        <v>#DIV/0!</v>
      </c>
      <c r="E450" s="961" t="str">
        <f>IF(D450&lt;'PlayerGrades+'!$AA$21,"F-",IF(D450&lt;'PlayerGrades+'!$AA$20,"F",IF(D450&lt;'PlayerGrades+'!$AA$19,"F+",IF(D450&lt;'PlayerGrades+'!$AA$18,"E-",IF(D450&lt;'PlayerGrades+'!$AA$17,"E",IF(D450&lt;'PlayerGrades+'!$AA$16,"E+",IF(D450&lt;'PlayerGrades+'!$AA$15,"D-",IF(D450&lt;'PlayerGrades+'!$AA$14,"D",IF(D450&lt;'PlayerGrades+'!$AA$13,"D+",IF(D450&lt;'PlayerGrades+'!$AA$12,"C-",IF(D450&lt;'PlayerGrades+'!$AA$11,"C",IF(D450&lt;'PlayerGrades+'!$AA$10,"C+",IF(D450&lt;'PlayerGrades+'!$AA$9,"B-",IF(D450&lt;'PlayerGrades+'!$AA$8,"B",IF(D450&lt;'PlayerGrades+'!$AA$7,"B+",IF(D450&lt;'PlayerGrades+'!$AA$6,"A-",IF(D450&lt;'PlayerGrades+'!$AA$5,"A",IF(D450&lt;'PlayerGrades+'!$AA$4,"A+",IF(D450&lt;'PlayerGrades+'!$AA$3,"S-",IF(D450&lt;'PlayerGrades+'!$AA$2,"S","S+"))))))))))))))))))))</f>
        <v>#DIV/0!</v>
      </c>
      <c r="F450" s="961" t="str">
        <f t="shared" si="2"/>
        <v>#DIV/0!</v>
      </c>
      <c r="G450" s="961" t="str">
        <f>IF(F450&lt;'PlayerGrades+'!$AB$21,"F-",IF(F450&lt;'PlayerGrades+'!$AB$20,"F",IF(F450&lt;'PlayerGrades+'!$AB$19,"F+",IF(F450&lt;'PlayerGrades+'!$AB$18,"E-",IF(F450&lt;'PlayerGrades+'!$AB$17,"E",IF(F450&lt;'PlayerGrades+'!$AB$16,"E+",IF(F450&lt;'PlayerGrades+'!$AB$15,"D-",IF(F450&lt;'PlayerGrades+'!$AB$14,"D",IF(F450&lt;'PlayerGrades+'!$AB$13,"D+",IF(F450&lt;'PlayerGrades+'!$AB$12,"C-",IF(F450&lt;'PlayerGrades+'!$AB$11,"C",IF(F450&lt;'PlayerGrades+'!$AB$10,"C+",IF(F450&lt;'PlayerGrades+'!$AB$9,"B-",IF(F450&lt;'PlayerGrades+'!$AB$8,"B",IF(F450&lt;'PlayerGrades+'!$AB$7,"B+",IF(F450&lt;'PlayerGrades+'!$AB$6,"A-",IF(F450&lt;'PlayerGrades+'!$AB$5,"A",IF(F450&lt;'PlayerGrades+'!$AB$4,"A+",IF(F450&lt;'PlayerGrades+'!$AB$3,"S-",IF(F450&lt;'PlayerGrades+'!$AB$2,"S","S+"))))))))))))))))))))</f>
        <v>#DIV/0!</v>
      </c>
      <c r="H450" s="961" t="str">
        <f t="shared" si="3"/>
        <v>#DIV/0!</v>
      </c>
      <c r="I450" s="961" t="str">
        <f>IF(H450&lt;'PlayerGrades+'!$AC$21,"F-",IF(H450&lt;'PlayerGrades+'!$AC$20,"F",IF(H450&lt;'PlayerGrades+'!$AC$19,"F+",IF(H450&lt;'PlayerGrades+'!$AC$18,"E-",IF(H450&lt;'PlayerGrades+'!$AC$17,"E",IF(H450&lt;'PlayerGrades+'!$AC$16,"E+",IF(H450&lt;'PlayerGrades+'!$AC$15,"D-",IF(H450&lt;'PlayerGrades+'!$AC$14,"D",IF(H450&lt;'PlayerGrades+'!$AC$13,"D+",IF(H450&lt;'PlayerGrades+'!$AC$12,"C-",IF(H450&lt;'PlayerGrades+'!$AC$11,"C",IF(H450&lt;'PlayerGrades+'!$AC$10,"C+",IF(H450&lt;'PlayerGrades+'!$AC$9,"B-",IF(H450&lt;'PlayerGrades+'!$AC$8,"B",IF(H450&lt;'PlayerGrades+'!$AC$7,"B+",IF(H450&lt;'PlayerGrades+'!$AC$6,"A-",IF(H450&lt;'PlayerGrades+'!$AC$5,"A",IF(H450&lt;'PlayerGrades+'!$AC$4,"A+",IF(H450&lt;'PlayerGrades+'!$AC$3,"S-",IF(H450&lt;'PlayerGrades+'!$AC$2,"S","S+"))))))))))))))))))))</f>
        <v>#DIV/0!</v>
      </c>
      <c r="J450" s="961" t="str">
        <f t="shared" si="4"/>
        <v>#DIV/0!</v>
      </c>
      <c r="K450" s="961" t="str">
        <f>IF(J450&lt;'PlayerGrades+'!$AD$21,"F-",IF(J450&lt;'PlayerGrades+'!$AD$20,"F",IF(J450&lt;'PlayerGrades+'!$AD$19,"F+",IF(J450&lt;'PlayerGrades+'!$AD$18,"E-",IF(J450&lt;'PlayerGrades+'!$AD$17,"E",IF(J450&lt;'PlayerGrades+'!$AD$16,"E+",IF(J450&lt;'PlayerGrades+'!$AD$15,"D-",IF(J450&lt;'PlayerGrades+'!$AD$14,"D",IF(J450&lt;'PlayerGrades+'!$AD$13,"D+",IF(J450&lt;'PlayerGrades+'!$AD$12,"C-",IF(J450&lt;'PlayerGrades+'!$AD$11,"C",IF(J450&lt;'PlayerGrades+'!$AD$10,"C+",IF(J450&lt;'PlayerGrades+'!$AD$9,"B-",IF(J450&lt;'PlayerGrades+'!$AD$8,"B",IF(J450&lt;'PlayerGrades+'!$AD$7,"B+",IF(J450&lt;'PlayerGrades+'!$AD$6,"A-",IF(J450&lt;'PlayerGrades+'!$AD$5,"A",IF(J450&lt;'PlayerGrades+'!$AD$4,"A+",IF(J450&lt;'PlayerGrades+'!$AD$3,"S-",IF(J450&lt;'PlayerGrades+'!$AD$2,"S","S+"))))))))))))))))))))</f>
        <v>#DIV/0!</v>
      </c>
      <c r="L450" s="1176" t="str">
        <f t="shared" si="5"/>
        <v>#DIV/0!</v>
      </c>
      <c r="M450" s="992" t="str">
        <f>IF(L450&lt;'PlayerGrades+'!$AE$21,"F-",IF(L450&lt;'PlayerGrades+'!$AE$20,"F",IF(L450&lt;'PlayerGrades+'!$AE$19,"F+",IF(L450&lt;'PlayerGrades+'!$AE$18,"E-",IF(L450&lt;'PlayerGrades+'!$AE$17,"E",IF(L450&lt;'PlayerGrades+'!$AE$16,"E+",IF(L450&lt;'PlayerGrades+'!$AE$15,"D-",IF(L450&lt;'PlayerGrades+'!$AE$14,"D",IF(L450&lt;'PlayerGrades+'!$AE$13,"D+",IF(L450&lt;'PlayerGrades+'!$AE$12,"C-",IF(L450&lt;'PlayerGrades+'!$AE$11,"C",IF(L450&lt;'PlayerGrades+'!$AE$10,"C+",IF(L450&lt;'PlayerGrades+'!$AE$9,"B-",IF(L450&lt;'PlayerGrades+'!$AE$8,"B",IF(L450&lt;'PlayerGrades+'!$AE$7,"B+",IF(L450&lt;'PlayerGrades+'!$AE$6,"A-",IF(L450&lt;'PlayerGrades+'!$AE$5,"A",IF(L450&lt;'PlayerGrades+'!$AE$4,"A+",IF(L450&lt;'PlayerGrades+'!$AE$3,"S-",IF(L450&lt;'PlayerGrades+'!$AE$2,"S","S+"))))))))))))))))))))</f>
        <v>#DIV/0!</v>
      </c>
      <c r="N450" s="961" t="str">
        <f t="shared" si="6"/>
        <v>#DIV/0!</v>
      </c>
      <c r="O450" s="961" t="str">
        <f>IF(N450&lt;'PlayerGrades+'!$AF$21,"F-",IF(N450&lt;'PlayerGrades+'!$AF$20,"F",IF(N450&lt;'PlayerGrades+'!$AF$19,"F+",IF(N450&lt;'PlayerGrades+'!$AF$18,"E-",IF(N450&lt;'PlayerGrades+'!$AF$17,"E",IF(N450&lt;'PlayerGrades+'!$AF$16,"E+",IF(N450&lt;'PlayerGrades+'!$AF$15,"D-",IF(N450&lt;'PlayerGrades+'!$AF$14,"D",IF(N450&lt;'PlayerGrades+'!$AF$13,"D+",IF(N450&lt;'PlayerGrades+'!$AF$12,"C-",IF(N450&lt;'PlayerGrades+'!$AF$11,"C",IF(N450&lt;'PlayerGrades+'!$AF$10,"C+",IF(N450&lt;'PlayerGrades+'!$AF$9,"B-",IF(N450&lt;'PlayerGrades+'!$AF$8,"B",IF(N450&lt;'PlayerGrades+'!$AF$7,"B+",IF(N450&lt;'PlayerGrades+'!$AF$6,"A-",IF(N450&lt;'PlayerGrades+'!$AF$5,"A",IF(N450&lt;'PlayerGrades+'!$AF$4,"A+",IF(N450&lt;'PlayerGrades+'!$AF$3,"S-",IF(N450&lt;'PlayerGrades+'!$AF$2,"S","S+"))))))))))))))))))))</f>
        <v>#DIV/0!</v>
      </c>
      <c r="P450" s="961" t="str">
        <f t="shared" si="7"/>
        <v>#DIV/0!</v>
      </c>
      <c r="Q450" s="961" t="str">
        <f>IF(P450&lt;'PlayerGrades+'!$AG$21,"F-",IF(P450&lt;'PlayerGrades+'!$AG$20,"F",IF(P450&lt;'PlayerGrades+'!$AG$19,"F+",IF(P450&lt;'PlayerGrades+'!$AG$18,"E-",IF(P450&lt;'PlayerGrades+'!$AG$17,"E",IF(P450&lt;'PlayerGrades+'!$AG$16,"E+",IF(P450&lt;'PlayerGrades+'!$AG$15,"D-",IF(P450&lt;'PlayerGrades+'!$AG$14,"D",IF(P450&lt;'PlayerGrades+'!$AG$13,"D+",IF(P450&lt;'PlayerGrades+'!$AG$12,"C-",IF(P450&lt;'PlayerGrades+'!$AG$11,"C",IF(P450&lt;'PlayerGrades+'!$AG$10,"C+",IF(P450&lt;'PlayerGrades+'!$AG$9,"B-",IF(P450&lt;'PlayerGrades+'!$AG$8,"B",IF(P450&lt;'PlayerGrades+'!$AG$7,"B+",IF(P450&lt;'PlayerGrades+'!$AG$6,"A-",IF(P450&lt;'PlayerGrades+'!$AG$5,"A",IF(P450&lt;'PlayerGrades+'!$AG$4,"A+",IF(P450&lt;'PlayerGrades+'!$AG$3,"S-",IF(P450&lt;'PlayerGrades+'!$AG$2,"S","S+"))))))))))))))))))))</f>
        <v>#DIV/0!</v>
      </c>
      <c r="R450" s="961" t="str">
        <f t="shared" si="8"/>
        <v>#DIV/0!</v>
      </c>
      <c r="S450" s="961" t="str">
        <f>IF(R450&lt;'PlayerGrades+'!$AH$21,"F-",IF(R450&lt;'PlayerGrades+'!$AH$20,"F",IF(R450&lt;'PlayerGrades+'!$AH$19,"F+",IF(R450&lt;'PlayerGrades+'!$AH$18,"E-",IF(R450&lt;'PlayerGrades+'!$AH$17,"E",IF(R450&lt;'PlayerGrades+'!$AH$16,"E+",IF(R450&lt;'PlayerGrades+'!$AH$15,"D-",IF(R450&lt;'PlayerGrades+'!$AH$14,"D",IF(R450&lt;'PlayerGrades+'!$AH$13,"D+",IF(R450&lt;'PlayerGrades+'!$AH$12,"C-",IF(R450&lt;'PlayerGrades+'!$AH$11,"C",IF(R450&lt;'PlayerGrades+'!$AH$10,"C+",IF(R450&lt;'PlayerGrades+'!$AH$9,"B-",IF(R450&lt;'PlayerGrades+'!$AH$8,"B",IF(R450&lt;'PlayerGrades+'!$AH$7,"B+",IF(R450&lt;'PlayerGrades+'!$AH$6,"A-",IF(R450&lt;'PlayerGrades+'!$AH$5,"A",IF(R450&lt;'PlayerGrades+'!$AH$4,"A+",IF(R450&lt;'PlayerGrades+'!$AH$3,"S-",IF(R450&lt;'PlayerGrades+'!$AH$2,"S","S+"))))))))))))))))))))</f>
        <v>#DIV/0!</v>
      </c>
      <c r="T450" s="961">
        <f t="shared" si="9"/>
        <v>0</v>
      </c>
      <c r="U450" s="961" t="str">
        <f>IF(T450&lt;'PlayerGrades+'!$AI$21,"F-",IF(T450&lt;'PlayerGrades+'!$AI$20,"F",IF(T450&lt;'PlayerGrades+'!$AI$19,"F+",IF(T450&lt;'PlayerGrades+'!$AI$18,"E-",IF(T450&lt;'PlayerGrades+'!$AI$17,"E",IF(T450&lt;'PlayerGrades+'!$AI$16,"E+",IF(T450&lt;'PlayerGrades+'!$AI$15,"D-",IF(T450&lt;'PlayerGrades+'!$AI$14,"D",IF(T450&lt;'PlayerGrades+'!$AI$13,"D+",IF(T450&lt;'PlayerGrades+'!$AI$12,"C-",IF(T450&lt;'PlayerGrades+'!$AI$11,"C",IF(T450&lt;'PlayerGrades+'!$AI$10,"C+",IF(T450&lt;'PlayerGrades+'!$AI$9,"B-",IF(T450&lt;'PlayerGrades+'!$AI$8,"B",IF(T450&lt;'PlayerGrades+'!$AI$7,"B+",IF(T450&lt;'PlayerGrades+'!$AI$6,"A-",IF(T450&lt;'PlayerGrades+'!$AI$5,"A",IF(T450&lt;'PlayerGrades+'!$AI$4,"A+",IF(T450&lt;'PlayerGrades+'!$AI$3,"S-",IF(T450&lt;'PlayerGrades+'!$AI$2,"S","S+"))))))))))))))))))))</f>
        <v>F-</v>
      </c>
      <c r="V450" s="1379"/>
      <c r="W450" s="1379"/>
      <c r="X450" s="1379"/>
      <c r="Y450" s="1379"/>
      <c r="Z450" s="1379"/>
      <c r="AA450" s="1379"/>
      <c r="AB450" s="1379"/>
      <c r="AC450" s="1390"/>
      <c r="AD450" s="1379"/>
      <c r="AE450" s="1379"/>
      <c r="AF450" s="1379"/>
      <c r="AG450" s="1379"/>
      <c r="AH450" s="1379"/>
      <c r="AI450" s="1379"/>
      <c r="AJ450" s="1379"/>
      <c r="AK450" s="1379"/>
      <c r="AL450" s="1379"/>
      <c r="AM450" s="1379"/>
      <c r="AN450" s="1379"/>
      <c r="AO450" s="1379"/>
      <c r="AP450" s="1379"/>
      <c r="AQ450" s="1379"/>
      <c r="AR450" s="1379"/>
      <c r="AS450" s="1379"/>
      <c r="AT450" s="1379"/>
      <c r="AU450" s="1379"/>
      <c r="AV450" s="1379"/>
      <c r="AW450" s="1379"/>
      <c r="AX450" s="1379"/>
      <c r="AY450" s="1379"/>
      <c r="AZ450" s="1379"/>
    </row>
    <row r="451">
      <c r="A451" s="1391"/>
      <c r="B451" s="611" t="str">
        <f>IF(C451&lt;'PlayerGrades+'!$Y$44,"F-",IF(C451&lt;'PlayerGrades+'!$Y$43,"F",IF(C451&lt;'PlayerGrades+'!$Y$42,"F+",IF(C451&lt;'PlayerGrades+'!$Y$41,"E-",IF(C451&lt;'PlayerGrades+'!$Y$40,"E",IF(C451&lt;'PlayerGrades+'!$Y$39,"E+",IF(C451&lt;'PlayerGrades+'!$Y$38,"D-",IF(C451&lt;'PlayerGrades+'!$Y$37,"D",IF(C451&lt;'PlayerGrades+'!$Y$36,"D+",IF(C451&lt;'PlayerGrades+'!$Y$35,"C-",IF(C451&lt;'PlayerGrades+'!$Y$34,"C",IF(C451&lt;'PlayerGrades+'!$Y$33,"C+",IF(C451&lt;'PlayerGrades+'!$Y$32,"B-",IF(C451&lt;'PlayerGrades+'!$Y$31,"B",IF(C451&lt;'PlayerGrades+'!$Y$30,"B+",IF(C451&lt;'PlayerGrades+'!$Y$29,"A-",IF(C451&lt;'PlayerGrades+'!$Y$28,"A",IF(C451&lt;'PlayerGrades+'!$Y$27,"A+",IF(C451&lt;'PlayerGrades+'!$Y$26,"S-",IF(C451&lt;'PlayerGrades+'!$Y$25,"S","S+"))))))))))))))))))))</f>
        <v>#DIV/0!</v>
      </c>
      <c r="C451" s="1378" t="str">
        <f>('PlayerGrades+'!$Y$47*(VLOOKUP(E451, 'PlayerGrades+'!$X$3:$Y$23, 2, FALSE)))+('PlayerGrades+'!$Y$48*(VLOOKUP(G451, 'PlayerGrades+'!$X$3:$Y$23, 2, FALSE)))+('PlayerGrades+'!$Y$49*(VLOOKUP(I451, 'PlayerGrades+'!$X$3:$Y$23, 2, FALSE)))+('PlayerGrades+'!$Y$50*(VLOOKUP(K451, 'PlayerGrades+'!$X$3:$Y$23, 2, FALSE)))+('PlayerGrades+'!$Y$51*(VLOOKUP(M451, 'PlayerGrades+'!$X$3:$Y$23, 2, FALSE)))+('PlayerGrades+'!$Y$52*(VLOOKUP(O451, 'PlayerGrades+'!$X$3:$Y$23, 2, FALSE)))+('PlayerGrades+'!$Y$53*(VLOOKUP(Q451, 'PlayerGrades+'!$X$3:$Y$23, 2, FALSE)))+('PlayerGrades+'!$Y$54*(VLOOKUP(S451, 'PlayerGrades+'!$X$3:$Y$23, 2, FALSE)))+('PlayerGrades+'!$Y$55*(VLOOKUP(U451, 'PlayerGrades+'!$X$3:$Y$23, 2, FALSE)))</f>
        <v>#DIV/0!</v>
      </c>
      <c r="D451" s="961" t="str">
        <f t="shared" si="1"/>
        <v>#DIV/0!</v>
      </c>
      <c r="E451" s="961" t="str">
        <f>IF(D451&lt;'PlayerGrades+'!$AA$21,"F-",IF(D451&lt;'PlayerGrades+'!$AA$20,"F",IF(D451&lt;'PlayerGrades+'!$AA$19,"F+",IF(D451&lt;'PlayerGrades+'!$AA$18,"E-",IF(D451&lt;'PlayerGrades+'!$AA$17,"E",IF(D451&lt;'PlayerGrades+'!$AA$16,"E+",IF(D451&lt;'PlayerGrades+'!$AA$15,"D-",IF(D451&lt;'PlayerGrades+'!$AA$14,"D",IF(D451&lt;'PlayerGrades+'!$AA$13,"D+",IF(D451&lt;'PlayerGrades+'!$AA$12,"C-",IF(D451&lt;'PlayerGrades+'!$AA$11,"C",IF(D451&lt;'PlayerGrades+'!$AA$10,"C+",IF(D451&lt;'PlayerGrades+'!$AA$9,"B-",IF(D451&lt;'PlayerGrades+'!$AA$8,"B",IF(D451&lt;'PlayerGrades+'!$AA$7,"B+",IF(D451&lt;'PlayerGrades+'!$AA$6,"A-",IF(D451&lt;'PlayerGrades+'!$AA$5,"A",IF(D451&lt;'PlayerGrades+'!$AA$4,"A+",IF(D451&lt;'PlayerGrades+'!$AA$3,"S-",IF(D451&lt;'PlayerGrades+'!$AA$2,"S","S+"))))))))))))))))))))</f>
        <v>#DIV/0!</v>
      </c>
      <c r="F451" s="961" t="str">
        <f t="shared" si="2"/>
        <v>#DIV/0!</v>
      </c>
      <c r="G451" s="961" t="str">
        <f>IF(F451&lt;'PlayerGrades+'!$AB$21,"F-",IF(F451&lt;'PlayerGrades+'!$AB$20,"F",IF(F451&lt;'PlayerGrades+'!$AB$19,"F+",IF(F451&lt;'PlayerGrades+'!$AB$18,"E-",IF(F451&lt;'PlayerGrades+'!$AB$17,"E",IF(F451&lt;'PlayerGrades+'!$AB$16,"E+",IF(F451&lt;'PlayerGrades+'!$AB$15,"D-",IF(F451&lt;'PlayerGrades+'!$AB$14,"D",IF(F451&lt;'PlayerGrades+'!$AB$13,"D+",IF(F451&lt;'PlayerGrades+'!$AB$12,"C-",IF(F451&lt;'PlayerGrades+'!$AB$11,"C",IF(F451&lt;'PlayerGrades+'!$AB$10,"C+",IF(F451&lt;'PlayerGrades+'!$AB$9,"B-",IF(F451&lt;'PlayerGrades+'!$AB$8,"B",IF(F451&lt;'PlayerGrades+'!$AB$7,"B+",IF(F451&lt;'PlayerGrades+'!$AB$6,"A-",IF(F451&lt;'PlayerGrades+'!$AB$5,"A",IF(F451&lt;'PlayerGrades+'!$AB$4,"A+",IF(F451&lt;'PlayerGrades+'!$AB$3,"S-",IF(F451&lt;'PlayerGrades+'!$AB$2,"S","S+"))))))))))))))))))))</f>
        <v>#DIV/0!</v>
      </c>
      <c r="H451" s="961" t="str">
        <f t="shared" si="3"/>
        <v>#DIV/0!</v>
      </c>
      <c r="I451" s="961" t="str">
        <f>IF(H451&lt;'PlayerGrades+'!$AC$21,"F-",IF(H451&lt;'PlayerGrades+'!$AC$20,"F",IF(H451&lt;'PlayerGrades+'!$AC$19,"F+",IF(H451&lt;'PlayerGrades+'!$AC$18,"E-",IF(H451&lt;'PlayerGrades+'!$AC$17,"E",IF(H451&lt;'PlayerGrades+'!$AC$16,"E+",IF(H451&lt;'PlayerGrades+'!$AC$15,"D-",IF(H451&lt;'PlayerGrades+'!$AC$14,"D",IF(H451&lt;'PlayerGrades+'!$AC$13,"D+",IF(H451&lt;'PlayerGrades+'!$AC$12,"C-",IF(H451&lt;'PlayerGrades+'!$AC$11,"C",IF(H451&lt;'PlayerGrades+'!$AC$10,"C+",IF(H451&lt;'PlayerGrades+'!$AC$9,"B-",IF(H451&lt;'PlayerGrades+'!$AC$8,"B",IF(H451&lt;'PlayerGrades+'!$AC$7,"B+",IF(H451&lt;'PlayerGrades+'!$AC$6,"A-",IF(H451&lt;'PlayerGrades+'!$AC$5,"A",IF(H451&lt;'PlayerGrades+'!$AC$4,"A+",IF(H451&lt;'PlayerGrades+'!$AC$3,"S-",IF(H451&lt;'PlayerGrades+'!$AC$2,"S","S+"))))))))))))))))))))</f>
        <v>#DIV/0!</v>
      </c>
      <c r="J451" s="961" t="str">
        <f t="shared" si="4"/>
        <v>#DIV/0!</v>
      </c>
      <c r="K451" s="961" t="str">
        <f>IF(J451&lt;'PlayerGrades+'!$AD$21,"F-",IF(J451&lt;'PlayerGrades+'!$AD$20,"F",IF(J451&lt;'PlayerGrades+'!$AD$19,"F+",IF(J451&lt;'PlayerGrades+'!$AD$18,"E-",IF(J451&lt;'PlayerGrades+'!$AD$17,"E",IF(J451&lt;'PlayerGrades+'!$AD$16,"E+",IF(J451&lt;'PlayerGrades+'!$AD$15,"D-",IF(J451&lt;'PlayerGrades+'!$AD$14,"D",IF(J451&lt;'PlayerGrades+'!$AD$13,"D+",IF(J451&lt;'PlayerGrades+'!$AD$12,"C-",IF(J451&lt;'PlayerGrades+'!$AD$11,"C",IF(J451&lt;'PlayerGrades+'!$AD$10,"C+",IF(J451&lt;'PlayerGrades+'!$AD$9,"B-",IF(J451&lt;'PlayerGrades+'!$AD$8,"B",IF(J451&lt;'PlayerGrades+'!$AD$7,"B+",IF(J451&lt;'PlayerGrades+'!$AD$6,"A-",IF(J451&lt;'PlayerGrades+'!$AD$5,"A",IF(J451&lt;'PlayerGrades+'!$AD$4,"A+",IF(J451&lt;'PlayerGrades+'!$AD$3,"S-",IF(J451&lt;'PlayerGrades+'!$AD$2,"S","S+"))))))))))))))))))))</f>
        <v>#DIV/0!</v>
      </c>
      <c r="L451" s="1176" t="str">
        <f t="shared" si="5"/>
        <v>#DIV/0!</v>
      </c>
      <c r="M451" s="992" t="str">
        <f>IF(L451&lt;'PlayerGrades+'!$AE$21,"F-",IF(L451&lt;'PlayerGrades+'!$AE$20,"F",IF(L451&lt;'PlayerGrades+'!$AE$19,"F+",IF(L451&lt;'PlayerGrades+'!$AE$18,"E-",IF(L451&lt;'PlayerGrades+'!$AE$17,"E",IF(L451&lt;'PlayerGrades+'!$AE$16,"E+",IF(L451&lt;'PlayerGrades+'!$AE$15,"D-",IF(L451&lt;'PlayerGrades+'!$AE$14,"D",IF(L451&lt;'PlayerGrades+'!$AE$13,"D+",IF(L451&lt;'PlayerGrades+'!$AE$12,"C-",IF(L451&lt;'PlayerGrades+'!$AE$11,"C",IF(L451&lt;'PlayerGrades+'!$AE$10,"C+",IF(L451&lt;'PlayerGrades+'!$AE$9,"B-",IF(L451&lt;'PlayerGrades+'!$AE$8,"B",IF(L451&lt;'PlayerGrades+'!$AE$7,"B+",IF(L451&lt;'PlayerGrades+'!$AE$6,"A-",IF(L451&lt;'PlayerGrades+'!$AE$5,"A",IF(L451&lt;'PlayerGrades+'!$AE$4,"A+",IF(L451&lt;'PlayerGrades+'!$AE$3,"S-",IF(L451&lt;'PlayerGrades+'!$AE$2,"S","S+"))))))))))))))))))))</f>
        <v>#DIV/0!</v>
      </c>
      <c r="N451" s="961" t="str">
        <f t="shared" si="6"/>
        <v>#DIV/0!</v>
      </c>
      <c r="O451" s="961" t="str">
        <f>IF(N451&lt;'PlayerGrades+'!$AF$21,"F-",IF(N451&lt;'PlayerGrades+'!$AF$20,"F",IF(N451&lt;'PlayerGrades+'!$AF$19,"F+",IF(N451&lt;'PlayerGrades+'!$AF$18,"E-",IF(N451&lt;'PlayerGrades+'!$AF$17,"E",IF(N451&lt;'PlayerGrades+'!$AF$16,"E+",IF(N451&lt;'PlayerGrades+'!$AF$15,"D-",IF(N451&lt;'PlayerGrades+'!$AF$14,"D",IF(N451&lt;'PlayerGrades+'!$AF$13,"D+",IF(N451&lt;'PlayerGrades+'!$AF$12,"C-",IF(N451&lt;'PlayerGrades+'!$AF$11,"C",IF(N451&lt;'PlayerGrades+'!$AF$10,"C+",IF(N451&lt;'PlayerGrades+'!$AF$9,"B-",IF(N451&lt;'PlayerGrades+'!$AF$8,"B",IF(N451&lt;'PlayerGrades+'!$AF$7,"B+",IF(N451&lt;'PlayerGrades+'!$AF$6,"A-",IF(N451&lt;'PlayerGrades+'!$AF$5,"A",IF(N451&lt;'PlayerGrades+'!$AF$4,"A+",IF(N451&lt;'PlayerGrades+'!$AF$3,"S-",IF(N451&lt;'PlayerGrades+'!$AF$2,"S","S+"))))))))))))))))))))</f>
        <v>#DIV/0!</v>
      </c>
      <c r="P451" s="961" t="str">
        <f t="shared" si="7"/>
        <v>#DIV/0!</v>
      </c>
      <c r="Q451" s="961" t="str">
        <f>IF(P451&lt;'PlayerGrades+'!$AG$21,"F-",IF(P451&lt;'PlayerGrades+'!$AG$20,"F",IF(P451&lt;'PlayerGrades+'!$AG$19,"F+",IF(P451&lt;'PlayerGrades+'!$AG$18,"E-",IF(P451&lt;'PlayerGrades+'!$AG$17,"E",IF(P451&lt;'PlayerGrades+'!$AG$16,"E+",IF(P451&lt;'PlayerGrades+'!$AG$15,"D-",IF(P451&lt;'PlayerGrades+'!$AG$14,"D",IF(P451&lt;'PlayerGrades+'!$AG$13,"D+",IF(P451&lt;'PlayerGrades+'!$AG$12,"C-",IF(P451&lt;'PlayerGrades+'!$AG$11,"C",IF(P451&lt;'PlayerGrades+'!$AG$10,"C+",IF(P451&lt;'PlayerGrades+'!$AG$9,"B-",IF(P451&lt;'PlayerGrades+'!$AG$8,"B",IF(P451&lt;'PlayerGrades+'!$AG$7,"B+",IF(P451&lt;'PlayerGrades+'!$AG$6,"A-",IF(P451&lt;'PlayerGrades+'!$AG$5,"A",IF(P451&lt;'PlayerGrades+'!$AG$4,"A+",IF(P451&lt;'PlayerGrades+'!$AG$3,"S-",IF(P451&lt;'PlayerGrades+'!$AG$2,"S","S+"))))))))))))))))))))</f>
        <v>#DIV/0!</v>
      </c>
      <c r="R451" s="961" t="str">
        <f t="shared" si="8"/>
        <v>#DIV/0!</v>
      </c>
      <c r="S451" s="961" t="str">
        <f>IF(R451&lt;'PlayerGrades+'!$AH$21,"F-",IF(R451&lt;'PlayerGrades+'!$AH$20,"F",IF(R451&lt;'PlayerGrades+'!$AH$19,"F+",IF(R451&lt;'PlayerGrades+'!$AH$18,"E-",IF(R451&lt;'PlayerGrades+'!$AH$17,"E",IF(R451&lt;'PlayerGrades+'!$AH$16,"E+",IF(R451&lt;'PlayerGrades+'!$AH$15,"D-",IF(R451&lt;'PlayerGrades+'!$AH$14,"D",IF(R451&lt;'PlayerGrades+'!$AH$13,"D+",IF(R451&lt;'PlayerGrades+'!$AH$12,"C-",IF(R451&lt;'PlayerGrades+'!$AH$11,"C",IF(R451&lt;'PlayerGrades+'!$AH$10,"C+",IF(R451&lt;'PlayerGrades+'!$AH$9,"B-",IF(R451&lt;'PlayerGrades+'!$AH$8,"B",IF(R451&lt;'PlayerGrades+'!$AH$7,"B+",IF(R451&lt;'PlayerGrades+'!$AH$6,"A-",IF(R451&lt;'PlayerGrades+'!$AH$5,"A",IF(R451&lt;'PlayerGrades+'!$AH$4,"A+",IF(R451&lt;'PlayerGrades+'!$AH$3,"S-",IF(R451&lt;'PlayerGrades+'!$AH$2,"S","S+"))))))))))))))))))))</f>
        <v>#DIV/0!</v>
      </c>
      <c r="T451" s="961">
        <f t="shared" si="9"/>
        <v>0</v>
      </c>
      <c r="U451" s="961" t="str">
        <f>IF(T451&lt;'PlayerGrades+'!$AI$21,"F-",IF(T451&lt;'PlayerGrades+'!$AI$20,"F",IF(T451&lt;'PlayerGrades+'!$AI$19,"F+",IF(T451&lt;'PlayerGrades+'!$AI$18,"E-",IF(T451&lt;'PlayerGrades+'!$AI$17,"E",IF(T451&lt;'PlayerGrades+'!$AI$16,"E+",IF(T451&lt;'PlayerGrades+'!$AI$15,"D-",IF(T451&lt;'PlayerGrades+'!$AI$14,"D",IF(T451&lt;'PlayerGrades+'!$AI$13,"D+",IF(T451&lt;'PlayerGrades+'!$AI$12,"C-",IF(T451&lt;'PlayerGrades+'!$AI$11,"C",IF(T451&lt;'PlayerGrades+'!$AI$10,"C+",IF(T451&lt;'PlayerGrades+'!$AI$9,"B-",IF(T451&lt;'PlayerGrades+'!$AI$8,"B",IF(T451&lt;'PlayerGrades+'!$AI$7,"B+",IF(T451&lt;'PlayerGrades+'!$AI$6,"A-",IF(T451&lt;'PlayerGrades+'!$AI$5,"A",IF(T451&lt;'PlayerGrades+'!$AI$4,"A+",IF(T451&lt;'PlayerGrades+'!$AI$3,"S-",IF(T451&lt;'PlayerGrades+'!$AI$2,"S","S+"))))))))))))))))))))</f>
        <v>F-</v>
      </c>
      <c r="AC451" s="1392"/>
    </row>
    <row r="452">
      <c r="A452" s="1391"/>
      <c r="B452" s="611" t="str">
        <f>IF(C452&lt;'PlayerGrades+'!$Y$44,"F-",IF(C452&lt;'PlayerGrades+'!$Y$43,"F",IF(C452&lt;'PlayerGrades+'!$Y$42,"F+",IF(C452&lt;'PlayerGrades+'!$Y$41,"E-",IF(C452&lt;'PlayerGrades+'!$Y$40,"E",IF(C452&lt;'PlayerGrades+'!$Y$39,"E+",IF(C452&lt;'PlayerGrades+'!$Y$38,"D-",IF(C452&lt;'PlayerGrades+'!$Y$37,"D",IF(C452&lt;'PlayerGrades+'!$Y$36,"D+",IF(C452&lt;'PlayerGrades+'!$Y$35,"C-",IF(C452&lt;'PlayerGrades+'!$Y$34,"C",IF(C452&lt;'PlayerGrades+'!$Y$33,"C+",IF(C452&lt;'PlayerGrades+'!$Y$32,"B-",IF(C452&lt;'PlayerGrades+'!$Y$31,"B",IF(C452&lt;'PlayerGrades+'!$Y$30,"B+",IF(C452&lt;'PlayerGrades+'!$Y$29,"A-",IF(C452&lt;'PlayerGrades+'!$Y$28,"A",IF(C452&lt;'PlayerGrades+'!$Y$27,"A+",IF(C452&lt;'PlayerGrades+'!$Y$26,"S-",IF(C452&lt;'PlayerGrades+'!$Y$25,"S","S+"))))))))))))))))))))</f>
        <v>#DIV/0!</v>
      </c>
      <c r="C452" s="1378" t="str">
        <f>('PlayerGrades+'!$Y$47*(VLOOKUP(E452, 'PlayerGrades+'!$X$3:$Y$23, 2, FALSE)))+('PlayerGrades+'!$Y$48*(VLOOKUP(G452, 'PlayerGrades+'!$X$3:$Y$23, 2, FALSE)))+('PlayerGrades+'!$Y$49*(VLOOKUP(I452, 'PlayerGrades+'!$X$3:$Y$23, 2, FALSE)))+('PlayerGrades+'!$Y$50*(VLOOKUP(K452, 'PlayerGrades+'!$X$3:$Y$23, 2, FALSE)))+('PlayerGrades+'!$Y$51*(VLOOKUP(M452, 'PlayerGrades+'!$X$3:$Y$23, 2, FALSE)))+('PlayerGrades+'!$Y$52*(VLOOKUP(O452, 'PlayerGrades+'!$X$3:$Y$23, 2, FALSE)))+('PlayerGrades+'!$Y$53*(VLOOKUP(Q452, 'PlayerGrades+'!$X$3:$Y$23, 2, FALSE)))+('PlayerGrades+'!$Y$54*(VLOOKUP(S452, 'PlayerGrades+'!$X$3:$Y$23, 2, FALSE)))+('PlayerGrades+'!$Y$55*(VLOOKUP(U452, 'PlayerGrades+'!$X$3:$Y$23, 2, FALSE)))</f>
        <v>#DIV/0!</v>
      </c>
      <c r="D452" s="961" t="str">
        <f t="shared" si="1"/>
        <v>#DIV/0!</v>
      </c>
      <c r="E452" s="961" t="str">
        <f>IF(D452&lt;'PlayerGrades+'!$AA$21,"F-",IF(D452&lt;'PlayerGrades+'!$AA$20,"F",IF(D452&lt;'PlayerGrades+'!$AA$19,"F+",IF(D452&lt;'PlayerGrades+'!$AA$18,"E-",IF(D452&lt;'PlayerGrades+'!$AA$17,"E",IF(D452&lt;'PlayerGrades+'!$AA$16,"E+",IF(D452&lt;'PlayerGrades+'!$AA$15,"D-",IF(D452&lt;'PlayerGrades+'!$AA$14,"D",IF(D452&lt;'PlayerGrades+'!$AA$13,"D+",IF(D452&lt;'PlayerGrades+'!$AA$12,"C-",IF(D452&lt;'PlayerGrades+'!$AA$11,"C",IF(D452&lt;'PlayerGrades+'!$AA$10,"C+",IF(D452&lt;'PlayerGrades+'!$AA$9,"B-",IF(D452&lt;'PlayerGrades+'!$AA$8,"B",IF(D452&lt;'PlayerGrades+'!$AA$7,"B+",IF(D452&lt;'PlayerGrades+'!$AA$6,"A-",IF(D452&lt;'PlayerGrades+'!$AA$5,"A",IF(D452&lt;'PlayerGrades+'!$AA$4,"A+",IF(D452&lt;'PlayerGrades+'!$AA$3,"S-",IF(D452&lt;'PlayerGrades+'!$AA$2,"S","S+"))))))))))))))))))))</f>
        <v>#DIV/0!</v>
      </c>
      <c r="F452" s="961" t="str">
        <f t="shared" si="2"/>
        <v>#DIV/0!</v>
      </c>
      <c r="G452" s="961" t="str">
        <f>IF(F452&lt;'PlayerGrades+'!$AB$21,"F-",IF(F452&lt;'PlayerGrades+'!$AB$20,"F",IF(F452&lt;'PlayerGrades+'!$AB$19,"F+",IF(F452&lt;'PlayerGrades+'!$AB$18,"E-",IF(F452&lt;'PlayerGrades+'!$AB$17,"E",IF(F452&lt;'PlayerGrades+'!$AB$16,"E+",IF(F452&lt;'PlayerGrades+'!$AB$15,"D-",IF(F452&lt;'PlayerGrades+'!$AB$14,"D",IF(F452&lt;'PlayerGrades+'!$AB$13,"D+",IF(F452&lt;'PlayerGrades+'!$AB$12,"C-",IF(F452&lt;'PlayerGrades+'!$AB$11,"C",IF(F452&lt;'PlayerGrades+'!$AB$10,"C+",IF(F452&lt;'PlayerGrades+'!$AB$9,"B-",IF(F452&lt;'PlayerGrades+'!$AB$8,"B",IF(F452&lt;'PlayerGrades+'!$AB$7,"B+",IF(F452&lt;'PlayerGrades+'!$AB$6,"A-",IF(F452&lt;'PlayerGrades+'!$AB$5,"A",IF(F452&lt;'PlayerGrades+'!$AB$4,"A+",IF(F452&lt;'PlayerGrades+'!$AB$3,"S-",IF(F452&lt;'PlayerGrades+'!$AB$2,"S","S+"))))))))))))))))))))</f>
        <v>#DIV/0!</v>
      </c>
      <c r="H452" s="961" t="str">
        <f t="shared" si="3"/>
        <v>#DIV/0!</v>
      </c>
      <c r="I452" s="961" t="str">
        <f>IF(H452&lt;'PlayerGrades+'!$AC$21,"F-",IF(H452&lt;'PlayerGrades+'!$AC$20,"F",IF(H452&lt;'PlayerGrades+'!$AC$19,"F+",IF(H452&lt;'PlayerGrades+'!$AC$18,"E-",IF(H452&lt;'PlayerGrades+'!$AC$17,"E",IF(H452&lt;'PlayerGrades+'!$AC$16,"E+",IF(H452&lt;'PlayerGrades+'!$AC$15,"D-",IF(H452&lt;'PlayerGrades+'!$AC$14,"D",IF(H452&lt;'PlayerGrades+'!$AC$13,"D+",IF(H452&lt;'PlayerGrades+'!$AC$12,"C-",IF(H452&lt;'PlayerGrades+'!$AC$11,"C",IF(H452&lt;'PlayerGrades+'!$AC$10,"C+",IF(H452&lt;'PlayerGrades+'!$AC$9,"B-",IF(H452&lt;'PlayerGrades+'!$AC$8,"B",IF(H452&lt;'PlayerGrades+'!$AC$7,"B+",IF(H452&lt;'PlayerGrades+'!$AC$6,"A-",IF(H452&lt;'PlayerGrades+'!$AC$5,"A",IF(H452&lt;'PlayerGrades+'!$AC$4,"A+",IF(H452&lt;'PlayerGrades+'!$AC$3,"S-",IF(H452&lt;'PlayerGrades+'!$AC$2,"S","S+"))))))))))))))))))))</f>
        <v>#DIV/0!</v>
      </c>
      <c r="J452" s="961" t="str">
        <f t="shared" si="4"/>
        <v>#DIV/0!</v>
      </c>
      <c r="K452" s="961" t="str">
        <f>IF(J452&lt;'PlayerGrades+'!$AD$21,"F-",IF(J452&lt;'PlayerGrades+'!$AD$20,"F",IF(J452&lt;'PlayerGrades+'!$AD$19,"F+",IF(J452&lt;'PlayerGrades+'!$AD$18,"E-",IF(J452&lt;'PlayerGrades+'!$AD$17,"E",IF(J452&lt;'PlayerGrades+'!$AD$16,"E+",IF(J452&lt;'PlayerGrades+'!$AD$15,"D-",IF(J452&lt;'PlayerGrades+'!$AD$14,"D",IF(J452&lt;'PlayerGrades+'!$AD$13,"D+",IF(J452&lt;'PlayerGrades+'!$AD$12,"C-",IF(J452&lt;'PlayerGrades+'!$AD$11,"C",IF(J452&lt;'PlayerGrades+'!$AD$10,"C+",IF(J452&lt;'PlayerGrades+'!$AD$9,"B-",IF(J452&lt;'PlayerGrades+'!$AD$8,"B",IF(J452&lt;'PlayerGrades+'!$AD$7,"B+",IF(J452&lt;'PlayerGrades+'!$AD$6,"A-",IF(J452&lt;'PlayerGrades+'!$AD$5,"A",IF(J452&lt;'PlayerGrades+'!$AD$4,"A+",IF(J452&lt;'PlayerGrades+'!$AD$3,"S-",IF(J452&lt;'PlayerGrades+'!$AD$2,"S","S+"))))))))))))))))))))</f>
        <v>#DIV/0!</v>
      </c>
      <c r="L452" s="1176" t="str">
        <f t="shared" si="5"/>
        <v>#DIV/0!</v>
      </c>
      <c r="M452" s="992" t="str">
        <f>IF(L452&lt;'PlayerGrades+'!$AE$21,"F-",IF(L452&lt;'PlayerGrades+'!$AE$20,"F",IF(L452&lt;'PlayerGrades+'!$AE$19,"F+",IF(L452&lt;'PlayerGrades+'!$AE$18,"E-",IF(L452&lt;'PlayerGrades+'!$AE$17,"E",IF(L452&lt;'PlayerGrades+'!$AE$16,"E+",IF(L452&lt;'PlayerGrades+'!$AE$15,"D-",IF(L452&lt;'PlayerGrades+'!$AE$14,"D",IF(L452&lt;'PlayerGrades+'!$AE$13,"D+",IF(L452&lt;'PlayerGrades+'!$AE$12,"C-",IF(L452&lt;'PlayerGrades+'!$AE$11,"C",IF(L452&lt;'PlayerGrades+'!$AE$10,"C+",IF(L452&lt;'PlayerGrades+'!$AE$9,"B-",IF(L452&lt;'PlayerGrades+'!$AE$8,"B",IF(L452&lt;'PlayerGrades+'!$AE$7,"B+",IF(L452&lt;'PlayerGrades+'!$AE$6,"A-",IF(L452&lt;'PlayerGrades+'!$AE$5,"A",IF(L452&lt;'PlayerGrades+'!$AE$4,"A+",IF(L452&lt;'PlayerGrades+'!$AE$3,"S-",IF(L452&lt;'PlayerGrades+'!$AE$2,"S","S+"))))))))))))))))))))</f>
        <v>#DIV/0!</v>
      </c>
      <c r="N452" s="961" t="str">
        <f t="shared" si="6"/>
        <v>#DIV/0!</v>
      </c>
      <c r="O452" s="961" t="str">
        <f>IF(N452&lt;'PlayerGrades+'!$AF$21,"F-",IF(N452&lt;'PlayerGrades+'!$AF$20,"F",IF(N452&lt;'PlayerGrades+'!$AF$19,"F+",IF(N452&lt;'PlayerGrades+'!$AF$18,"E-",IF(N452&lt;'PlayerGrades+'!$AF$17,"E",IF(N452&lt;'PlayerGrades+'!$AF$16,"E+",IF(N452&lt;'PlayerGrades+'!$AF$15,"D-",IF(N452&lt;'PlayerGrades+'!$AF$14,"D",IF(N452&lt;'PlayerGrades+'!$AF$13,"D+",IF(N452&lt;'PlayerGrades+'!$AF$12,"C-",IF(N452&lt;'PlayerGrades+'!$AF$11,"C",IF(N452&lt;'PlayerGrades+'!$AF$10,"C+",IF(N452&lt;'PlayerGrades+'!$AF$9,"B-",IF(N452&lt;'PlayerGrades+'!$AF$8,"B",IF(N452&lt;'PlayerGrades+'!$AF$7,"B+",IF(N452&lt;'PlayerGrades+'!$AF$6,"A-",IF(N452&lt;'PlayerGrades+'!$AF$5,"A",IF(N452&lt;'PlayerGrades+'!$AF$4,"A+",IF(N452&lt;'PlayerGrades+'!$AF$3,"S-",IF(N452&lt;'PlayerGrades+'!$AF$2,"S","S+"))))))))))))))))))))</f>
        <v>#DIV/0!</v>
      </c>
      <c r="P452" s="961" t="str">
        <f t="shared" si="7"/>
        <v>#DIV/0!</v>
      </c>
      <c r="Q452" s="961" t="str">
        <f>IF(P452&lt;'PlayerGrades+'!$AG$21,"F-",IF(P452&lt;'PlayerGrades+'!$AG$20,"F",IF(P452&lt;'PlayerGrades+'!$AG$19,"F+",IF(P452&lt;'PlayerGrades+'!$AG$18,"E-",IF(P452&lt;'PlayerGrades+'!$AG$17,"E",IF(P452&lt;'PlayerGrades+'!$AG$16,"E+",IF(P452&lt;'PlayerGrades+'!$AG$15,"D-",IF(P452&lt;'PlayerGrades+'!$AG$14,"D",IF(P452&lt;'PlayerGrades+'!$AG$13,"D+",IF(P452&lt;'PlayerGrades+'!$AG$12,"C-",IF(P452&lt;'PlayerGrades+'!$AG$11,"C",IF(P452&lt;'PlayerGrades+'!$AG$10,"C+",IF(P452&lt;'PlayerGrades+'!$AG$9,"B-",IF(P452&lt;'PlayerGrades+'!$AG$8,"B",IF(P452&lt;'PlayerGrades+'!$AG$7,"B+",IF(P452&lt;'PlayerGrades+'!$AG$6,"A-",IF(P452&lt;'PlayerGrades+'!$AG$5,"A",IF(P452&lt;'PlayerGrades+'!$AG$4,"A+",IF(P452&lt;'PlayerGrades+'!$AG$3,"S-",IF(P452&lt;'PlayerGrades+'!$AG$2,"S","S+"))))))))))))))))))))</f>
        <v>#DIV/0!</v>
      </c>
      <c r="R452" s="961" t="str">
        <f t="shared" si="8"/>
        <v>#DIV/0!</v>
      </c>
      <c r="S452" s="961" t="str">
        <f>IF(R452&lt;'PlayerGrades+'!$AH$21,"F-",IF(R452&lt;'PlayerGrades+'!$AH$20,"F",IF(R452&lt;'PlayerGrades+'!$AH$19,"F+",IF(R452&lt;'PlayerGrades+'!$AH$18,"E-",IF(R452&lt;'PlayerGrades+'!$AH$17,"E",IF(R452&lt;'PlayerGrades+'!$AH$16,"E+",IF(R452&lt;'PlayerGrades+'!$AH$15,"D-",IF(R452&lt;'PlayerGrades+'!$AH$14,"D",IF(R452&lt;'PlayerGrades+'!$AH$13,"D+",IF(R452&lt;'PlayerGrades+'!$AH$12,"C-",IF(R452&lt;'PlayerGrades+'!$AH$11,"C",IF(R452&lt;'PlayerGrades+'!$AH$10,"C+",IF(R452&lt;'PlayerGrades+'!$AH$9,"B-",IF(R452&lt;'PlayerGrades+'!$AH$8,"B",IF(R452&lt;'PlayerGrades+'!$AH$7,"B+",IF(R452&lt;'PlayerGrades+'!$AH$6,"A-",IF(R452&lt;'PlayerGrades+'!$AH$5,"A",IF(R452&lt;'PlayerGrades+'!$AH$4,"A+",IF(R452&lt;'PlayerGrades+'!$AH$3,"S-",IF(R452&lt;'PlayerGrades+'!$AH$2,"S","S+"))))))))))))))))))))</f>
        <v>#DIV/0!</v>
      </c>
      <c r="T452" s="961">
        <f t="shared" si="9"/>
        <v>0</v>
      </c>
      <c r="U452" s="961" t="str">
        <f>IF(T452&lt;'PlayerGrades+'!$AI$21,"F-",IF(T452&lt;'PlayerGrades+'!$AI$20,"F",IF(T452&lt;'PlayerGrades+'!$AI$19,"F+",IF(T452&lt;'PlayerGrades+'!$AI$18,"E-",IF(T452&lt;'PlayerGrades+'!$AI$17,"E",IF(T452&lt;'PlayerGrades+'!$AI$16,"E+",IF(T452&lt;'PlayerGrades+'!$AI$15,"D-",IF(T452&lt;'PlayerGrades+'!$AI$14,"D",IF(T452&lt;'PlayerGrades+'!$AI$13,"D+",IF(T452&lt;'PlayerGrades+'!$AI$12,"C-",IF(T452&lt;'PlayerGrades+'!$AI$11,"C",IF(T452&lt;'PlayerGrades+'!$AI$10,"C+",IF(T452&lt;'PlayerGrades+'!$AI$9,"B-",IF(T452&lt;'PlayerGrades+'!$AI$8,"B",IF(T452&lt;'PlayerGrades+'!$AI$7,"B+",IF(T452&lt;'PlayerGrades+'!$AI$6,"A-",IF(T452&lt;'PlayerGrades+'!$AI$5,"A",IF(T452&lt;'PlayerGrades+'!$AI$4,"A+",IF(T452&lt;'PlayerGrades+'!$AI$3,"S-",IF(T452&lt;'PlayerGrades+'!$AI$2,"S","S+"))))))))))))))))))))</f>
        <v>F-</v>
      </c>
      <c r="AC452" s="1392"/>
    </row>
    <row r="453">
      <c r="A453" s="1391"/>
      <c r="B453" s="611" t="str">
        <f>IF(C453&lt;'PlayerGrades+'!$Y$44,"F-",IF(C453&lt;'PlayerGrades+'!$Y$43,"F",IF(C453&lt;'PlayerGrades+'!$Y$42,"F+",IF(C453&lt;'PlayerGrades+'!$Y$41,"E-",IF(C453&lt;'PlayerGrades+'!$Y$40,"E",IF(C453&lt;'PlayerGrades+'!$Y$39,"E+",IF(C453&lt;'PlayerGrades+'!$Y$38,"D-",IF(C453&lt;'PlayerGrades+'!$Y$37,"D",IF(C453&lt;'PlayerGrades+'!$Y$36,"D+",IF(C453&lt;'PlayerGrades+'!$Y$35,"C-",IF(C453&lt;'PlayerGrades+'!$Y$34,"C",IF(C453&lt;'PlayerGrades+'!$Y$33,"C+",IF(C453&lt;'PlayerGrades+'!$Y$32,"B-",IF(C453&lt;'PlayerGrades+'!$Y$31,"B",IF(C453&lt;'PlayerGrades+'!$Y$30,"B+",IF(C453&lt;'PlayerGrades+'!$Y$29,"A-",IF(C453&lt;'PlayerGrades+'!$Y$28,"A",IF(C453&lt;'PlayerGrades+'!$Y$27,"A+",IF(C453&lt;'PlayerGrades+'!$Y$26,"S-",IF(C453&lt;'PlayerGrades+'!$Y$25,"S","S+"))))))))))))))))))))</f>
        <v>#DIV/0!</v>
      </c>
      <c r="C453" s="1378" t="str">
        <f>('PlayerGrades+'!$Y$47*(VLOOKUP(E453, 'PlayerGrades+'!$X$3:$Y$23, 2, FALSE)))+('PlayerGrades+'!$Y$48*(VLOOKUP(G453, 'PlayerGrades+'!$X$3:$Y$23, 2, FALSE)))+('PlayerGrades+'!$Y$49*(VLOOKUP(I453, 'PlayerGrades+'!$X$3:$Y$23, 2, FALSE)))+('PlayerGrades+'!$Y$50*(VLOOKUP(K453, 'PlayerGrades+'!$X$3:$Y$23, 2, FALSE)))+('PlayerGrades+'!$Y$51*(VLOOKUP(M453, 'PlayerGrades+'!$X$3:$Y$23, 2, FALSE)))+('PlayerGrades+'!$Y$52*(VLOOKUP(O453, 'PlayerGrades+'!$X$3:$Y$23, 2, FALSE)))+('PlayerGrades+'!$Y$53*(VLOOKUP(Q453, 'PlayerGrades+'!$X$3:$Y$23, 2, FALSE)))+('PlayerGrades+'!$Y$54*(VLOOKUP(S453, 'PlayerGrades+'!$X$3:$Y$23, 2, FALSE)))+('PlayerGrades+'!$Y$55*(VLOOKUP(U453, 'PlayerGrades+'!$X$3:$Y$23, 2, FALSE)))</f>
        <v>#DIV/0!</v>
      </c>
      <c r="D453" s="961" t="str">
        <f t="shared" si="1"/>
        <v>#DIV/0!</v>
      </c>
      <c r="E453" s="961" t="str">
        <f>IF(D453&lt;'PlayerGrades+'!$AA$21,"F-",IF(D453&lt;'PlayerGrades+'!$AA$20,"F",IF(D453&lt;'PlayerGrades+'!$AA$19,"F+",IF(D453&lt;'PlayerGrades+'!$AA$18,"E-",IF(D453&lt;'PlayerGrades+'!$AA$17,"E",IF(D453&lt;'PlayerGrades+'!$AA$16,"E+",IF(D453&lt;'PlayerGrades+'!$AA$15,"D-",IF(D453&lt;'PlayerGrades+'!$AA$14,"D",IF(D453&lt;'PlayerGrades+'!$AA$13,"D+",IF(D453&lt;'PlayerGrades+'!$AA$12,"C-",IF(D453&lt;'PlayerGrades+'!$AA$11,"C",IF(D453&lt;'PlayerGrades+'!$AA$10,"C+",IF(D453&lt;'PlayerGrades+'!$AA$9,"B-",IF(D453&lt;'PlayerGrades+'!$AA$8,"B",IF(D453&lt;'PlayerGrades+'!$AA$7,"B+",IF(D453&lt;'PlayerGrades+'!$AA$6,"A-",IF(D453&lt;'PlayerGrades+'!$AA$5,"A",IF(D453&lt;'PlayerGrades+'!$AA$4,"A+",IF(D453&lt;'PlayerGrades+'!$AA$3,"S-",IF(D453&lt;'PlayerGrades+'!$AA$2,"S","S+"))))))))))))))))))))</f>
        <v>#DIV/0!</v>
      </c>
      <c r="F453" s="961" t="str">
        <f t="shared" si="2"/>
        <v>#DIV/0!</v>
      </c>
      <c r="G453" s="961" t="str">
        <f>IF(F453&lt;'PlayerGrades+'!$AB$21,"F-",IF(F453&lt;'PlayerGrades+'!$AB$20,"F",IF(F453&lt;'PlayerGrades+'!$AB$19,"F+",IF(F453&lt;'PlayerGrades+'!$AB$18,"E-",IF(F453&lt;'PlayerGrades+'!$AB$17,"E",IF(F453&lt;'PlayerGrades+'!$AB$16,"E+",IF(F453&lt;'PlayerGrades+'!$AB$15,"D-",IF(F453&lt;'PlayerGrades+'!$AB$14,"D",IF(F453&lt;'PlayerGrades+'!$AB$13,"D+",IF(F453&lt;'PlayerGrades+'!$AB$12,"C-",IF(F453&lt;'PlayerGrades+'!$AB$11,"C",IF(F453&lt;'PlayerGrades+'!$AB$10,"C+",IF(F453&lt;'PlayerGrades+'!$AB$9,"B-",IF(F453&lt;'PlayerGrades+'!$AB$8,"B",IF(F453&lt;'PlayerGrades+'!$AB$7,"B+",IF(F453&lt;'PlayerGrades+'!$AB$6,"A-",IF(F453&lt;'PlayerGrades+'!$AB$5,"A",IF(F453&lt;'PlayerGrades+'!$AB$4,"A+",IF(F453&lt;'PlayerGrades+'!$AB$3,"S-",IF(F453&lt;'PlayerGrades+'!$AB$2,"S","S+"))))))))))))))))))))</f>
        <v>#DIV/0!</v>
      </c>
      <c r="H453" s="961" t="str">
        <f t="shared" si="3"/>
        <v>#DIV/0!</v>
      </c>
      <c r="I453" s="961" t="str">
        <f>IF(H453&lt;'PlayerGrades+'!$AC$21,"F-",IF(H453&lt;'PlayerGrades+'!$AC$20,"F",IF(H453&lt;'PlayerGrades+'!$AC$19,"F+",IF(H453&lt;'PlayerGrades+'!$AC$18,"E-",IF(H453&lt;'PlayerGrades+'!$AC$17,"E",IF(H453&lt;'PlayerGrades+'!$AC$16,"E+",IF(H453&lt;'PlayerGrades+'!$AC$15,"D-",IF(H453&lt;'PlayerGrades+'!$AC$14,"D",IF(H453&lt;'PlayerGrades+'!$AC$13,"D+",IF(H453&lt;'PlayerGrades+'!$AC$12,"C-",IF(H453&lt;'PlayerGrades+'!$AC$11,"C",IF(H453&lt;'PlayerGrades+'!$AC$10,"C+",IF(H453&lt;'PlayerGrades+'!$AC$9,"B-",IF(H453&lt;'PlayerGrades+'!$AC$8,"B",IF(H453&lt;'PlayerGrades+'!$AC$7,"B+",IF(H453&lt;'PlayerGrades+'!$AC$6,"A-",IF(H453&lt;'PlayerGrades+'!$AC$5,"A",IF(H453&lt;'PlayerGrades+'!$AC$4,"A+",IF(H453&lt;'PlayerGrades+'!$AC$3,"S-",IF(H453&lt;'PlayerGrades+'!$AC$2,"S","S+"))))))))))))))))))))</f>
        <v>#DIV/0!</v>
      </c>
      <c r="J453" s="961" t="str">
        <f t="shared" si="4"/>
        <v>#DIV/0!</v>
      </c>
      <c r="K453" s="961" t="str">
        <f>IF(J453&lt;'PlayerGrades+'!$AD$21,"F-",IF(J453&lt;'PlayerGrades+'!$AD$20,"F",IF(J453&lt;'PlayerGrades+'!$AD$19,"F+",IF(J453&lt;'PlayerGrades+'!$AD$18,"E-",IF(J453&lt;'PlayerGrades+'!$AD$17,"E",IF(J453&lt;'PlayerGrades+'!$AD$16,"E+",IF(J453&lt;'PlayerGrades+'!$AD$15,"D-",IF(J453&lt;'PlayerGrades+'!$AD$14,"D",IF(J453&lt;'PlayerGrades+'!$AD$13,"D+",IF(J453&lt;'PlayerGrades+'!$AD$12,"C-",IF(J453&lt;'PlayerGrades+'!$AD$11,"C",IF(J453&lt;'PlayerGrades+'!$AD$10,"C+",IF(J453&lt;'PlayerGrades+'!$AD$9,"B-",IF(J453&lt;'PlayerGrades+'!$AD$8,"B",IF(J453&lt;'PlayerGrades+'!$AD$7,"B+",IF(J453&lt;'PlayerGrades+'!$AD$6,"A-",IF(J453&lt;'PlayerGrades+'!$AD$5,"A",IF(J453&lt;'PlayerGrades+'!$AD$4,"A+",IF(J453&lt;'PlayerGrades+'!$AD$3,"S-",IF(J453&lt;'PlayerGrades+'!$AD$2,"S","S+"))))))))))))))))))))</f>
        <v>#DIV/0!</v>
      </c>
      <c r="L453" s="1176" t="str">
        <f t="shared" si="5"/>
        <v>#DIV/0!</v>
      </c>
      <c r="M453" s="992" t="str">
        <f>IF(L453&lt;'PlayerGrades+'!$AE$21,"F-",IF(L453&lt;'PlayerGrades+'!$AE$20,"F",IF(L453&lt;'PlayerGrades+'!$AE$19,"F+",IF(L453&lt;'PlayerGrades+'!$AE$18,"E-",IF(L453&lt;'PlayerGrades+'!$AE$17,"E",IF(L453&lt;'PlayerGrades+'!$AE$16,"E+",IF(L453&lt;'PlayerGrades+'!$AE$15,"D-",IF(L453&lt;'PlayerGrades+'!$AE$14,"D",IF(L453&lt;'PlayerGrades+'!$AE$13,"D+",IF(L453&lt;'PlayerGrades+'!$AE$12,"C-",IF(L453&lt;'PlayerGrades+'!$AE$11,"C",IF(L453&lt;'PlayerGrades+'!$AE$10,"C+",IF(L453&lt;'PlayerGrades+'!$AE$9,"B-",IF(L453&lt;'PlayerGrades+'!$AE$8,"B",IF(L453&lt;'PlayerGrades+'!$AE$7,"B+",IF(L453&lt;'PlayerGrades+'!$AE$6,"A-",IF(L453&lt;'PlayerGrades+'!$AE$5,"A",IF(L453&lt;'PlayerGrades+'!$AE$4,"A+",IF(L453&lt;'PlayerGrades+'!$AE$3,"S-",IF(L453&lt;'PlayerGrades+'!$AE$2,"S","S+"))))))))))))))))))))</f>
        <v>#DIV/0!</v>
      </c>
      <c r="N453" s="961" t="str">
        <f t="shared" si="6"/>
        <v>#DIV/0!</v>
      </c>
      <c r="O453" s="961" t="str">
        <f>IF(N453&lt;'PlayerGrades+'!$AF$21,"F-",IF(N453&lt;'PlayerGrades+'!$AF$20,"F",IF(N453&lt;'PlayerGrades+'!$AF$19,"F+",IF(N453&lt;'PlayerGrades+'!$AF$18,"E-",IF(N453&lt;'PlayerGrades+'!$AF$17,"E",IF(N453&lt;'PlayerGrades+'!$AF$16,"E+",IF(N453&lt;'PlayerGrades+'!$AF$15,"D-",IF(N453&lt;'PlayerGrades+'!$AF$14,"D",IF(N453&lt;'PlayerGrades+'!$AF$13,"D+",IF(N453&lt;'PlayerGrades+'!$AF$12,"C-",IF(N453&lt;'PlayerGrades+'!$AF$11,"C",IF(N453&lt;'PlayerGrades+'!$AF$10,"C+",IF(N453&lt;'PlayerGrades+'!$AF$9,"B-",IF(N453&lt;'PlayerGrades+'!$AF$8,"B",IF(N453&lt;'PlayerGrades+'!$AF$7,"B+",IF(N453&lt;'PlayerGrades+'!$AF$6,"A-",IF(N453&lt;'PlayerGrades+'!$AF$5,"A",IF(N453&lt;'PlayerGrades+'!$AF$4,"A+",IF(N453&lt;'PlayerGrades+'!$AF$3,"S-",IF(N453&lt;'PlayerGrades+'!$AF$2,"S","S+"))))))))))))))))))))</f>
        <v>#DIV/0!</v>
      </c>
      <c r="P453" s="961" t="str">
        <f t="shared" si="7"/>
        <v>#DIV/0!</v>
      </c>
      <c r="Q453" s="961" t="str">
        <f>IF(P453&lt;'PlayerGrades+'!$AG$21,"F-",IF(P453&lt;'PlayerGrades+'!$AG$20,"F",IF(P453&lt;'PlayerGrades+'!$AG$19,"F+",IF(P453&lt;'PlayerGrades+'!$AG$18,"E-",IF(P453&lt;'PlayerGrades+'!$AG$17,"E",IF(P453&lt;'PlayerGrades+'!$AG$16,"E+",IF(P453&lt;'PlayerGrades+'!$AG$15,"D-",IF(P453&lt;'PlayerGrades+'!$AG$14,"D",IF(P453&lt;'PlayerGrades+'!$AG$13,"D+",IF(P453&lt;'PlayerGrades+'!$AG$12,"C-",IF(P453&lt;'PlayerGrades+'!$AG$11,"C",IF(P453&lt;'PlayerGrades+'!$AG$10,"C+",IF(P453&lt;'PlayerGrades+'!$AG$9,"B-",IF(P453&lt;'PlayerGrades+'!$AG$8,"B",IF(P453&lt;'PlayerGrades+'!$AG$7,"B+",IF(P453&lt;'PlayerGrades+'!$AG$6,"A-",IF(P453&lt;'PlayerGrades+'!$AG$5,"A",IF(P453&lt;'PlayerGrades+'!$AG$4,"A+",IF(P453&lt;'PlayerGrades+'!$AG$3,"S-",IF(P453&lt;'PlayerGrades+'!$AG$2,"S","S+"))))))))))))))))))))</f>
        <v>#DIV/0!</v>
      </c>
      <c r="R453" s="961" t="str">
        <f t="shared" si="8"/>
        <v>#DIV/0!</v>
      </c>
      <c r="S453" s="961" t="str">
        <f>IF(R453&lt;'PlayerGrades+'!$AH$21,"F-",IF(R453&lt;'PlayerGrades+'!$AH$20,"F",IF(R453&lt;'PlayerGrades+'!$AH$19,"F+",IF(R453&lt;'PlayerGrades+'!$AH$18,"E-",IF(R453&lt;'PlayerGrades+'!$AH$17,"E",IF(R453&lt;'PlayerGrades+'!$AH$16,"E+",IF(R453&lt;'PlayerGrades+'!$AH$15,"D-",IF(R453&lt;'PlayerGrades+'!$AH$14,"D",IF(R453&lt;'PlayerGrades+'!$AH$13,"D+",IF(R453&lt;'PlayerGrades+'!$AH$12,"C-",IF(R453&lt;'PlayerGrades+'!$AH$11,"C",IF(R453&lt;'PlayerGrades+'!$AH$10,"C+",IF(R453&lt;'PlayerGrades+'!$AH$9,"B-",IF(R453&lt;'PlayerGrades+'!$AH$8,"B",IF(R453&lt;'PlayerGrades+'!$AH$7,"B+",IF(R453&lt;'PlayerGrades+'!$AH$6,"A-",IF(R453&lt;'PlayerGrades+'!$AH$5,"A",IF(R453&lt;'PlayerGrades+'!$AH$4,"A+",IF(R453&lt;'PlayerGrades+'!$AH$3,"S-",IF(R453&lt;'PlayerGrades+'!$AH$2,"S","S+"))))))))))))))))))))</f>
        <v>#DIV/0!</v>
      </c>
      <c r="T453" s="961">
        <f t="shared" si="9"/>
        <v>0</v>
      </c>
      <c r="U453" s="961" t="str">
        <f>IF(T453&lt;'PlayerGrades+'!$AI$21,"F-",IF(T453&lt;'PlayerGrades+'!$AI$20,"F",IF(T453&lt;'PlayerGrades+'!$AI$19,"F+",IF(T453&lt;'PlayerGrades+'!$AI$18,"E-",IF(T453&lt;'PlayerGrades+'!$AI$17,"E",IF(T453&lt;'PlayerGrades+'!$AI$16,"E+",IF(T453&lt;'PlayerGrades+'!$AI$15,"D-",IF(T453&lt;'PlayerGrades+'!$AI$14,"D",IF(T453&lt;'PlayerGrades+'!$AI$13,"D+",IF(T453&lt;'PlayerGrades+'!$AI$12,"C-",IF(T453&lt;'PlayerGrades+'!$AI$11,"C",IF(T453&lt;'PlayerGrades+'!$AI$10,"C+",IF(T453&lt;'PlayerGrades+'!$AI$9,"B-",IF(T453&lt;'PlayerGrades+'!$AI$8,"B",IF(T453&lt;'PlayerGrades+'!$AI$7,"B+",IF(T453&lt;'PlayerGrades+'!$AI$6,"A-",IF(T453&lt;'PlayerGrades+'!$AI$5,"A",IF(T453&lt;'PlayerGrades+'!$AI$4,"A+",IF(T453&lt;'PlayerGrades+'!$AI$3,"S-",IF(T453&lt;'PlayerGrades+'!$AI$2,"S","S+"))))))))))))))))))))</f>
        <v>F-</v>
      </c>
      <c r="AC453" s="1392"/>
    </row>
    <row r="454">
      <c r="A454" s="1391"/>
      <c r="B454" s="611" t="str">
        <f>IF(C454&lt;'PlayerGrades+'!$Y$44,"F-",IF(C454&lt;'PlayerGrades+'!$Y$43,"F",IF(C454&lt;'PlayerGrades+'!$Y$42,"F+",IF(C454&lt;'PlayerGrades+'!$Y$41,"E-",IF(C454&lt;'PlayerGrades+'!$Y$40,"E",IF(C454&lt;'PlayerGrades+'!$Y$39,"E+",IF(C454&lt;'PlayerGrades+'!$Y$38,"D-",IF(C454&lt;'PlayerGrades+'!$Y$37,"D",IF(C454&lt;'PlayerGrades+'!$Y$36,"D+",IF(C454&lt;'PlayerGrades+'!$Y$35,"C-",IF(C454&lt;'PlayerGrades+'!$Y$34,"C",IF(C454&lt;'PlayerGrades+'!$Y$33,"C+",IF(C454&lt;'PlayerGrades+'!$Y$32,"B-",IF(C454&lt;'PlayerGrades+'!$Y$31,"B",IF(C454&lt;'PlayerGrades+'!$Y$30,"B+",IF(C454&lt;'PlayerGrades+'!$Y$29,"A-",IF(C454&lt;'PlayerGrades+'!$Y$28,"A",IF(C454&lt;'PlayerGrades+'!$Y$27,"A+",IF(C454&lt;'PlayerGrades+'!$Y$26,"S-",IF(C454&lt;'PlayerGrades+'!$Y$25,"S","S+"))))))))))))))))))))</f>
        <v>#DIV/0!</v>
      </c>
      <c r="C454" s="1378" t="str">
        <f>('PlayerGrades+'!$Y$47*(VLOOKUP(E454, 'PlayerGrades+'!$X$3:$Y$23, 2, FALSE)))+('PlayerGrades+'!$Y$48*(VLOOKUP(G454, 'PlayerGrades+'!$X$3:$Y$23, 2, FALSE)))+('PlayerGrades+'!$Y$49*(VLOOKUP(I454, 'PlayerGrades+'!$X$3:$Y$23, 2, FALSE)))+('PlayerGrades+'!$Y$50*(VLOOKUP(K454, 'PlayerGrades+'!$X$3:$Y$23, 2, FALSE)))+('PlayerGrades+'!$Y$51*(VLOOKUP(M454, 'PlayerGrades+'!$X$3:$Y$23, 2, FALSE)))+('PlayerGrades+'!$Y$52*(VLOOKUP(O454, 'PlayerGrades+'!$X$3:$Y$23, 2, FALSE)))+('PlayerGrades+'!$Y$53*(VLOOKUP(Q454, 'PlayerGrades+'!$X$3:$Y$23, 2, FALSE)))+('PlayerGrades+'!$Y$54*(VLOOKUP(S454, 'PlayerGrades+'!$X$3:$Y$23, 2, FALSE)))+('PlayerGrades+'!$Y$55*(VLOOKUP(U454, 'PlayerGrades+'!$X$3:$Y$23, 2, FALSE)))</f>
        <v>#DIV/0!</v>
      </c>
      <c r="D454" s="961" t="str">
        <f t="shared" si="1"/>
        <v>#DIV/0!</v>
      </c>
      <c r="E454" s="961" t="str">
        <f>IF(D454&lt;'PlayerGrades+'!$AA$21,"F-",IF(D454&lt;'PlayerGrades+'!$AA$20,"F",IF(D454&lt;'PlayerGrades+'!$AA$19,"F+",IF(D454&lt;'PlayerGrades+'!$AA$18,"E-",IF(D454&lt;'PlayerGrades+'!$AA$17,"E",IF(D454&lt;'PlayerGrades+'!$AA$16,"E+",IF(D454&lt;'PlayerGrades+'!$AA$15,"D-",IF(D454&lt;'PlayerGrades+'!$AA$14,"D",IF(D454&lt;'PlayerGrades+'!$AA$13,"D+",IF(D454&lt;'PlayerGrades+'!$AA$12,"C-",IF(D454&lt;'PlayerGrades+'!$AA$11,"C",IF(D454&lt;'PlayerGrades+'!$AA$10,"C+",IF(D454&lt;'PlayerGrades+'!$AA$9,"B-",IF(D454&lt;'PlayerGrades+'!$AA$8,"B",IF(D454&lt;'PlayerGrades+'!$AA$7,"B+",IF(D454&lt;'PlayerGrades+'!$AA$6,"A-",IF(D454&lt;'PlayerGrades+'!$AA$5,"A",IF(D454&lt;'PlayerGrades+'!$AA$4,"A+",IF(D454&lt;'PlayerGrades+'!$AA$3,"S-",IF(D454&lt;'PlayerGrades+'!$AA$2,"S","S+"))))))))))))))))))))</f>
        <v>#DIV/0!</v>
      </c>
      <c r="F454" s="961" t="str">
        <f t="shared" si="2"/>
        <v>#DIV/0!</v>
      </c>
      <c r="G454" s="961" t="str">
        <f>IF(F454&lt;'PlayerGrades+'!$AB$21,"F-",IF(F454&lt;'PlayerGrades+'!$AB$20,"F",IF(F454&lt;'PlayerGrades+'!$AB$19,"F+",IF(F454&lt;'PlayerGrades+'!$AB$18,"E-",IF(F454&lt;'PlayerGrades+'!$AB$17,"E",IF(F454&lt;'PlayerGrades+'!$AB$16,"E+",IF(F454&lt;'PlayerGrades+'!$AB$15,"D-",IF(F454&lt;'PlayerGrades+'!$AB$14,"D",IF(F454&lt;'PlayerGrades+'!$AB$13,"D+",IF(F454&lt;'PlayerGrades+'!$AB$12,"C-",IF(F454&lt;'PlayerGrades+'!$AB$11,"C",IF(F454&lt;'PlayerGrades+'!$AB$10,"C+",IF(F454&lt;'PlayerGrades+'!$AB$9,"B-",IF(F454&lt;'PlayerGrades+'!$AB$8,"B",IF(F454&lt;'PlayerGrades+'!$AB$7,"B+",IF(F454&lt;'PlayerGrades+'!$AB$6,"A-",IF(F454&lt;'PlayerGrades+'!$AB$5,"A",IF(F454&lt;'PlayerGrades+'!$AB$4,"A+",IF(F454&lt;'PlayerGrades+'!$AB$3,"S-",IF(F454&lt;'PlayerGrades+'!$AB$2,"S","S+"))))))))))))))))))))</f>
        <v>#DIV/0!</v>
      </c>
      <c r="H454" s="961" t="str">
        <f t="shared" si="3"/>
        <v>#DIV/0!</v>
      </c>
      <c r="I454" s="961" t="str">
        <f>IF(H454&lt;'PlayerGrades+'!$AC$21,"F-",IF(H454&lt;'PlayerGrades+'!$AC$20,"F",IF(H454&lt;'PlayerGrades+'!$AC$19,"F+",IF(H454&lt;'PlayerGrades+'!$AC$18,"E-",IF(H454&lt;'PlayerGrades+'!$AC$17,"E",IF(H454&lt;'PlayerGrades+'!$AC$16,"E+",IF(H454&lt;'PlayerGrades+'!$AC$15,"D-",IF(H454&lt;'PlayerGrades+'!$AC$14,"D",IF(H454&lt;'PlayerGrades+'!$AC$13,"D+",IF(H454&lt;'PlayerGrades+'!$AC$12,"C-",IF(H454&lt;'PlayerGrades+'!$AC$11,"C",IF(H454&lt;'PlayerGrades+'!$AC$10,"C+",IF(H454&lt;'PlayerGrades+'!$AC$9,"B-",IF(H454&lt;'PlayerGrades+'!$AC$8,"B",IF(H454&lt;'PlayerGrades+'!$AC$7,"B+",IF(H454&lt;'PlayerGrades+'!$AC$6,"A-",IF(H454&lt;'PlayerGrades+'!$AC$5,"A",IF(H454&lt;'PlayerGrades+'!$AC$4,"A+",IF(H454&lt;'PlayerGrades+'!$AC$3,"S-",IF(H454&lt;'PlayerGrades+'!$AC$2,"S","S+"))))))))))))))))))))</f>
        <v>#DIV/0!</v>
      </c>
      <c r="J454" s="961" t="str">
        <f t="shared" si="4"/>
        <v>#DIV/0!</v>
      </c>
      <c r="K454" s="961" t="str">
        <f>IF(J454&lt;'PlayerGrades+'!$AD$21,"F-",IF(J454&lt;'PlayerGrades+'!$AD$20,"F",IF(J454&lt;'PlayerGrades+'!$AD$19,"F+",IF(J454&lt;'PlayerGrades+'!$AD$18,"E-",IF(J454&lt;'PlayerGrades+'!$AD$17,"E",IF(J454&lt;'PlayerGrades+'!$AD$16,"E+",IF(J454&lt;'PlayerGrades+'!$AD$15,"D-",IF(J454&lt;'PlayerGrades+'!$AD$14,"D",IF(J454&lt;'PlayerGrades+'!$AD$13,"D+",IF(J454&lt;'PlayerGrades+'!$AD$12,"C-",IF(J454&lt;'PlayerGrades+'!$AD$11,"C",IF(J454&lt;'PlayerGrades+'!$AD$10,"C+",IF(J454&lt;'PlayerGrades+'!$AD$9,"B-",IF(J454&lt;'PlayerGrades+'!$AD$8,"B",IF(J454&lt;'PlayerGrades+'!$AD$7,"B+",IF(J454&lt;'PlayerGrades+'!$AD$6,"A-",IF(J454&lt;'PlayerGrades+'!$AD$5,"A",IF(J454&lt;'PlayerGrades+'!$AD$4,"A+",IF(J454&lt;'PlayerGrades+'!$AD$3,"S-",IF(J454&lt;'PlayerGrades+'!$AD$2,"S","S+"))))))))))))))))))))</f>
        <v>#DIV/0!</v>
      </c>
      <c r="L454" s="1176" t="str">
        <f t="shared" si="5"/>
        <v>#DIV/0!</v>
      </c>
      <c r="M454" s="992" t="str">
        <f>IF(L454&lt;'PlayerGrades+'!$AE$21,"F-",IF(L454&lt;'PlayerGrades+'!$AE$20,"F",IF(L454&lt;'PlayerGrades+'!$AE$19,"F+",IF(L454&lt;'PlayerGrades+'!$AE$18,"E-",IF(L454&lt;'PlayerGrades+'!$AE$17,"E",IF(L454&lt;'PlayerGrades+'!$AE$16,"E+",IF(L454&lt;'PlayerGrades+'!$AE$15,"D-",IF(L454&lt;'PlayerGrades+'!$AE$14,"D",IF(L454&lt;'PlayerGrades+'!$AE$13,"D+",IF(L454&lt;'PlayerGrades+'!$AE$12,"C-",IF(L454&lt;'PlayerGrades+'!$AE$11,"C",IF(L454&lt;'PlayerGrades+'!$AE$10,"C+",IF(L454&lt;'PlayerGrades+'!$AE$9,"B-",IF(L454&lt;'PlayerGrades+'!$AE$8,"B",IF(L454&lt;'PlayerGrades+'!$AE$7,"B+",IF(L454&lt;'PlayerGrades+'!$AE$6,"A-",IF(L454&lt;'PlayerGrades+'!$AE$5,"A",IF(L454&lt;'PlayerGrades+'!$AE$4,"A+",IF(L454&lt;'PlayerGrades+'!$AE$3,"S-",IF(L454&lt;'PlayerGrades+'!$AE$2,"S","S+"))))))))))))))))))))</f>
        <v>#DIV/0!</v>
      </c>
      <c r="N454" s="961" t="str">
        <f t="shared" si="6"/>
        <v>#DIV/0!</v>
      </c>
      <c r="O454" s="961" t="str">
        <f>IF(N454&lt;'PlayerGrades+'!$AF$21,"F-",IF(N454&lt;'PlayerGrades+'!$AF$20,"F",IF(N454&lt;'PlayerGrades+'!$AF$19,"F+",IF(N454&lt;'PlayerGrades+'!$AF$18,"E-",IF(N454&lt;'PlayerGrades+'!$AF$17,"E",IF(N454&lt;'PlayerGrades+'!$AF$16,"E+",IF(N454&lt;'PlayerGrades+'!$AF$15,"D-",IF(N454&lt;'PlayerGrades+'!$AF$14,"D",IF(N454&lt;'PlayerGrades+'!$AF$13,"D+",IF(N454&lt;'PlayerGrades+'!$AF$12,"C-",IF(N454&lt;'PlayerGrades+'!$AF$11,"C",IF(N454&lt;'PlayerGrades+'!$AF$10,"C+",IF(N454&lt;'PlayerGrades+'!$AF$9,"B-",IF(N454&lt;'PlayerGrades+'!$AF$8,"B",IF(N454&lt;'PlayerGrades+'!$AF$7,"B+",IF(N454&lt;'PlayerGrades+'!$AF$6,"A-",IF(N454&lt;'PlayerGrades+'!$AF$5,"A",IF(N454&lt;'PlayerGrades+'!$AF$4,"A+",IF(N454&lt;'PlayerGrades+'!$AF$3,"S-",IF(N454&lt;'PlayerGrades+'!$AF$2,"S","S+"))))))))))))))))))))</f>
        <v>#DIV/0!</v>
      </c>
      <c r="P454" s="961" t="str">
        <f t="shared" si="7"/>
        <v>#DIV/0!</v>
      </c>
      <c r="Q454" s="961" t="str">
        <f>IF(P454&lt;'PlayerGrades+'!$AG$21,"F-",IF(P454&lt;'PlayerGrades+'!$AG$20,"F",IF(P454&lt;'PlayerGrades+'!$AG$19,"F+",IF(P454&lt;'PlayerGrades+'!$AG$18,"E-",IF(P454&lt;'PlayerGrades+'!$AG$17,"E",IF(P454&lt;'PlayerGrades+'!$AG$16,"E+",IF(P454&lt;'PlayerGrades+'!$AG$15,"D-",IF(P454&lt;'PlayerGrades+'!$AG$14,"D",IF(P454&lt;'PlayerGrades+'!$AG$13,"D+",IF(P454&lt;'PlayerGrades+'!$AG$12,"C-",IF(P454&lt;'PlayerGrades+'!$AG$11,"C",IF(P454&lt;'PlayerGrades+'!$AG$10,"C+",IF(P454&lt;'PlayerGrades+'!$AG$9,"B-",IF(P454&lt;'PlayerGrades+'!$AG$8,"B",IF(P454&lt;'PlayerGrades+'!$AG$7,"B+",IF(P454&lt;'PlayerGrades+'!$AG$6,"A-",IF(P454&lt;'PlayerGrades+'!$AG$5,"A",IF(P454&lt;'PlayerGrades+'!$AG$4,"A+",IF(P454&lt;'PlayerGrades+'!$AG$3,"S-",IF(P454&lt;'PlayerGrades+'!$AG$2,"S","S+"))))))))))))))))))))</f>
        <v>#DIV/0!</v>
      </c>
      <c r="R454" s="961" t="str">
        <f t="shared" si="8"/>
        <v>#DIV/0!</v>
      </c>
      <c r="S454" s="961" t="str">
        <f>IF(R454&lt;'PlayerGrades+'!$AH$21,"F-",IF(R454&lt;'PlayerGrades+'!$AH$20,"F",IF(R454&lt;'PlayerGrades+'!$AH$19,"F+",IF(R454&lt;'PlayerGrades+'!$AH$18,"E-",IF(R454&lt;'PlayerGrades+'!$AH$17,"E",IF(R454&lt;'PlayerGrades+'!$AH$16,"E+",IF(R454&lt;'PlayerGrades+'!$AH$15,"D-",IF(R454&lt;'PlayerGrades+'!$AH$14,"D",IF(R454&lt;'PlayerGrades+'!$AH$13,"D+",IF(R454&lt;'PlayerGrades+'!$AH$12,"C-",IF(R454&lt;'PlayerGrades+'!$AH$11,"C",IF(R454&lt;'PlayerGrades+'!$AH$10,"C+",IF(R454&lt;'PlayerGrades+'!$AH$9,"B-",IF(R454&lt;'PlayerGrades+'!$AH$8,"B",IF(R454&lt;'PlayerGrades+'!$AH$7,"B+",IF(R454&lt;'PlayerGrades+'!$AH$6,"A-",IF(R454&lt;'PlayerGrades+'!$AH$5,"A",IF(R454&lt;'PlayerGrades+'!$AH$4,"A+",IF(R454&lt;'PlayerGrades+'!$AH$3,"S-",IF(R454&lt;'PlayerGrades+'!$AH$2,"S","S+"))))))))))))))))))))</f>
        <v>#DIV/0!</v>
      </c>
      <c r="T454" s="961">
        <f t="shared" si="9"/>
        <v>0</v>
      </c>
      <c r="U454" s="961" t="str">
        <f>IF(T454&lt;'PlayerGrades+'!$AI$21,"F-",IF(T454&lt;'PlayerGrades+'!$AI$20,"F",IF(T454&lt;'PlayerGrades+'!$AI$19,"F+",IF(T454&lt;'PlayerGrades+'!$AI$18,"E-",IF(T454&lt;'PlayerGrades+'!$AI$17,"E",IF(T454&lt;'PlayerGrades+'!$AI$16,"E+",IF(T454&lt;'PlayerGrades+'!$AI$15,"D-",IF(T454&lt;'PlayerGrades+'!$AI$14,"D",IF(T454&lt;'PlayerGrades+'!$AI$13,"D+",IF(T454&lt;'PlayerGrades+'!$AI$12,"C-",IF(T454&lt;'PlayerGrades+'!$AI$11,"C",IF(T454&lt;'PlayerGrades+'!$AI$10,"C+",IF(T454&lt;'PlayerGrades+'!$AI$9,"B-",IF(T454&lt;'PlayerGrades+'!$AI$8,"B",IF(T454&lt;'PlayerGrades+'!$AI$7,"B+",IF(T454&lt;'PlayerGrades+'!$AI$6,"A-",IF(T454&lt;'PlayerGrades+'!$AI$5,"A",IF(T454&lt;'PlayerGrades+'!$AI$4,"A+",IF(T454&lt;'PlayerGrades+'!$AI$3,"S-",IF(T454&lt;'PlayerGrades+'!$AI$2,"S","S+"))))))))))))))))))))</f>
        <v>F-</v>
      </c>
      <c r="AC454" s="1392"/>
    </row>
    <row r="455">
      <c r="A455" s="1391"/>
      <c r="B455" s="611" t="str">
        <f>IF(C455&lt;'PlayerGrades+'!$Y$44,"F-",IF(C455&lt;'PlayerGrades+'!$Y$43,"F",IF(C455&lt;'PlayerGrades+'!$Y$42,"F+",IF(C455&lt;'PlayerGrades+'!$Y$41,"E-",IF(C455&lt;'PlayerGrades+'!$Y$40,"E",IF(C455&lt;'PlayerGrades+'!$Y$39,"E+",IF(C455&lt;'PlayerGrades+'!$Y$38,"D-",IF(C455&lt;'PlayerGrades+'!$Y$37,"D",IF(C455&lt;'PlayerGrades+'!$Y$36,"D+",IF(C455&lt;'PlayerGrades+'!$Y$35,"C-",IF(C455&lt;'PlayerGrades+'!$Y$34,"C",IF(C455&lt;'PlayerGrades+'!$Y$33,"C+",IF(C455&lt;'PlayerGrades+'!$Y$32,"B-",IF(C455&lt;'PlayerGrades+'!$Y$31,"B",IF(C455&lt;'PlayerGrades+'!$Y$30,"B+",IF(C455&lt;'PlayerGrades+'!$Y$29,"A-",IF(C455&lt;'PlayerGrades+'!$Y$28,"A",IF(C455&lt;'PlayerGrades+'!$Y$27,"A+",IF(C455&lt;'PlayerGrades+'!$Y$26,"S-",IF(C455&lt;'PlayerGrades+'!$Y$25,"S","S+"))))))))))))))))))))</f>
        <v>#DIV/0!</v>
      </c>
      <c r="C455" s="1378" t="str">
        <f>('PlayerGrades+'!$Y$47*(VLOOKUP(E455, 'PlayerGrades+'!$X$3:$Y$23, 2, FALSE)))+('PlayerGrades+'!$Y$48*(VLOOKUP(G455, 'PlayerGrades+'!$X$3:$Y$23, 2, FALSE)))+('PlayerGrades+'!$Y$49*(VLOOKUP(I455, 'PlayerGrades+'!$X$3:$Y$23, 2, FALSE)))+('PlayerGrades+'!$Y$50*(VLOOKUP(K455, 'PlayerGrades+'!$X$3:$Y$23, 2, FALSE)))+('PlayerGrades+'!$Y$51*(VLOOKUP(M455, 'PlayerGrades+'!$X$3:$Y$23, 2, FALSE)))+('PlayerGrades+'!$Y$52*(VLOOKUP(O455, 'PlayerGrades+'!$X$3:$Y$23, 2, FALSE)))+('PlayerGrades+'!$Y$53*(VLOOKUP(Q455, 'PlayerGrades+'!$X$3:$Y$23, 2, FALSE)))+('PlayerGrades+'!$Y$54*(VLOOKUP(S455, 'PlayerGrades+'!$X$3:$Y$23, 2, FALSE)))+('PlayerGrades+'!$Y$55*(VLOOKUP(U455, 'PlayerGrades+'!$X$3:$Y$23, 2, FALSE)))</f>
        <v>#DIV/0!</v>
      </c>
      <c r="D455" s="961" t="str">
        <f t="shared" si="1"/>
        <v>#DIV/0!</v>
      </c>
      <c r="E455" s="961" t="str">
        <f>IF(D455&lt;'PlayerGrades+'!$AA$21,"F-",IF(D455&lt;'PlayerGrades+'!$AA$20,"F",IF(D455&lt;'PlayerGrades+'!$AA$19,"F+",IF(D455&lt;'PlayerGrades+'!$AA$18,"E-",IF(D455&lt;'PlayerGrades+'!$AA$17,"E",IF(D455&lt;'PlayerGrades+'!$AA$16,"E+",IF(D455&lt;'PlayerGrades+'!$AA$15,"D-",IF(D455&lt;'PlayerGrades+'!$AA$14,"D",IF(D455&lt;'PlayerGrades+'!$AA$13,"D+",IF(D455&lt;'PlayerGrades+'!$AA$12,"C-",IF(D455&lt;'PlayerGrades+'!$AA$11,"C",IF(D455&lt;'PlayerGrades+'!$AA$10,"C+",IF(D455&lt;'PlayerGrades+'!$AA$9,"B-",IF(D455&lt;'PlayerGrades+'!$AA$8,"B",IF(D455&lt;'PlayerGrades+'!$AA$7,"B+",IF(D455&lt;'PlayerGrades+'!$AA$6,"A-",IF(D455&lt;'PlayerGrades+'!$AA$5,"A",IF(D455&lt;'PlayerGrades+'!$AA$4,"A+",IF(D455&lt;'PlayerGrades+'!$AA$3,"S-",IF(D455&lt;'PlayerGrades+'!$AA$2,"S","S+"))))))))))))))))))))</f>
        <v>#DIV/0!</v>
      </c>
      <c r="F455" s="961" t="str">
        <f t="shared" si="2"/>
        <v>#DIV/0!</v>
      </c>
      <c r="G455" s="961" t="str">
        <f>IF(F455&lt;'PlayerGrades+'!$AB$21,"F-",IF(F455&lt;'PlayerGrades+'!$AB$20,"F",IF(F455&lt;'PlayerGrades+'!$AB$19,"F+",IF(F455&lt;'PlayerGrades+'!$AB$18,"E-",IF(F455&lt;'PlayerGrades+'!$AB$17,"E",IF(F455&lt;'PlayerGrades+'!$AB$16,"E+",IF(F455&lt;'PlayerGrades+'!$AB$15,"D-",IF(F455&lt;'PlayerGrades+'!$AB$14,"D",IF(F455&lt;'PlayerGrades+'!$AB$13,"D+",IF(F455&lt;'PlayerGrades+'!$AB$12,"C-",IF(F455&lt;'PlayerGrades+'!$AB$11,"C",IF(F455&lt;'PlayerGrades+'!$AB$10,"C+",IF(F455&lt;'PlayerGrades+'!$AB$9,"B-",IF(F455&lt;'PlayerGrades+'!$AB$8,"B",IF(F455&lt;'PlayerGrades+'!$AB$7,"B+",IF(F455&lt;'PlayerGrades+'!$AB$6,"A-",IF(F455&lt;'PlayerGrades+'!$AB$5,"A",IF(F455&lt;'PlayerGrades+'!$AB$4,"A+",IF(F455&lt;'PlayerGrades+'!$AB$3,"S-",IF(F455&lt;'PlayerGrades+'!$AB$2,"S","S+"))))))))))))))))))))</f>
        <v>#DIV/0!</v>
      </c>
      <c r="H455" s="961" t="str">
        <f t="shared" si="3"/>
        <v>#DIV/0!</v>
      </c>
      <c r="I455" s="961" t="str">
        <f>IF(H455&lt;'PlayerGrades+'!$AC$21,"F-",IF(H455&lt;'PlayerGrades+'!$AC$20,"F",IF(H455&lt;'PlayerGrades+'!$AC$19,"F+",IF(H455&lt;'PlayerGrades+'!$AC$18,"E-",IF(H455&lt;'PlayerGrades+'!$AC$17,"E",IF(H455&lt;'PlayerGrades+'!$AC$16,"E+",IF(H455&lt;'PlayerGrades+'!$AC$15,"D-",IF(H455&lt;'PlayerGrades+'!$AC$14,"D",IF(H455&lt;'PlayerGrades+'!$AC$13,"D+",IF(H455&lt;'PlayerGrades+'!$AC$12,"C-",IF(H455&lt;'PlayerGrades+'!$AC$11,"C",IF(H455&lt;'PlayerGrades+'!$AC$10,"C+",IF(H455&lt;'PlayerGrades+'!$AC$9,"B-",IF(H455&lt;'PlayerGrades+'!$AC$8,"B",IF(H455&lt;'PlayerGrades+'!$AC$7,"B+",IF(H455&lt;'PlayerGrades+'!$AC$6,"A-",IF(H455&lt;'PlayerGrades+'!$AC$5,"A",IF(H455&lt;'PlayerGrades+'!$AC$4,"A+",IF(H455&lt;'PlayerGrades+'!$AC$3,"S-",IF(H455&lt;'PlayerGrades+'!$AC$2,"S","S+"))))))))))))))))))))</f>
        <v>#DIV/0!</v>
      </c>
      <c r="J455" s="961" t="str">
        <f t="shared" si="4"/>
        <v>#DIV/0!</v>
      </c>
      <c r="K455" s="961" t="str">
        <f>IF(J455&lt;'PlayerGrades+'!$AD$21,"F-",IF(J455&lt;'PlayerGrades+'!$AD$20,"F",IF(J455&lt;'PlayerGrades+'!$AD$19,"F+",IF(J455&lt;'PlayerGrades+'!$AD$18,"E-",IF(J455&lt;'PlayerGrades+'!$AD$17,"E",IF(J455&lt;'PlayerGrades+'!$AD$16,"E+",IF(J455&lt;'PlayerGrades+'!$AD$15,"D-",IF(J455&lt;'PlayerGrades+'!$AD$14,"D",IF(J455&lt;'PlayerGrades+'!$AD$13,"D+",IF(J455&lt;'PlayerGrades+'!$AD$12,"C-",IF(J455&lt;'PlayerGrades+'!$AD$11,"C",IF(J455&lt;'PlayerGrades+'!$AD$10,"C+",IF(J455&lt;'PlayerGrades+'!$AD$9,"B-",IF(J455&lt;'PlayerGrades+'!$AD$8,"B",IF(J455&lt;'PlayerGrades+'!$AD$7,"B+",IF(J455&lt;'PlayerGrades+'!$AD$6,"A-",IF(J455&lt;'PlayerGrades+'!$AD$5,"A",IF(J455&lt;'PlayerGrades+'!$AD$4,"A+",IF(J455&lt;'PlayerGrades+'!$AD$3,"S-",IF(J455&lt;'PlayerGrades+'!$AD$2,"S","S+"))))))))))))))))))))</f>
        <v>#DIV/0!</v>
      </c>
      <c r="L455" s="1176" t="str">
        <f t="shared" si="5"/>
        <v>#DIV/0!</v>
      </c>
      <c r="M455" s="992" t="str">
        <f>IF(L455&lt;'PlayerGrades+'!$AE$21,"F-",IF(L455&lt;'PlayerGrades+'!$AE$20,"F",IF(L455&lt;'PlayerGrades+'!$AE$19,"F+",IF(L455&lt;'PlayerGrades+'!$AE$18,"E-",IF(L455&lt;'PlayerGrades+'!$AE$17,"E",IF(L455&lt;'PlayerGrades+'!$AE$16,"E+",IF(L455&lt;'PlayerGrades+'!$AE$15,"D-",IF(L455&lt;'PlayerGrades+'!$AE$14,"D",IF(L455&lt;'PlayerGrades+'!$AE$13,"D+",IF(L455&lt;'PlayerGrades+'!$AE$12,"C-",IF(L455&lt;'PlayerGrades+'!$AE$11,"C",IF(L455&lt;'PlayerGrades+'!$AE$10,"C+",IF(L455&lt;'PlayerGrades+'!$AE$9,"B-",IF(L455&lt;'PlayerGrades+'!$AE$8,"B",IF(L455&lt;'PlayerGrades+'!$AE$7,"B+",IF(L455&lt;'PlayerGrades+'!$AE$6,"A-",IF(L455&lt;'PlayerGrades+'!$AE$5,"A",IF(L455&lt;'PlayerGrades+'!$AE$4,"A+",IF(L455&lt;'PlayerGrades+'!$AE$3,"S-",IF(L455&lt;'PlayerGrades+'!$AE$2,"S","S+"))))))))))))))))))))</f>
        <v>#DIV/0!</v>
      </c>
      <c r="N455" s="961" t="str">
        <f t="shared" si="6"/>
        <v>#DIV/0!</v>
      </c>
      <c r="O455" s="961" t="str">
        <f>IF(N455&lt;'PlayerGrades+'!$AF$21,"F-",IF(N455&lt;'PlayerGrades+'!$AF$20,"F",IF(N455&lt;'PlayerGrades+'!$AF$19,"F+",IF(N455&lt;'PlayerGrades+'!$AF$18,"E-",IF(N455&lt;'PlayerGrades+'!$AF$17,"E",IF(N455&lt;'PlayerGrades+'!$AF$16,"E+",IF(N455&lt;'PlayerGrades+'!$AF$15,"D-",IF(N455&lt;'PlayerGrades+'!$AF$14,"D",IF(N455&lt;'PlayerGrades+'!$AF$13,"D+",IF(N455&lt;'PlayerGrades+'!$AF$12,"C-",IF(N455&lt;'PlayerGrades+'!$AF$11,"C",IF(N455&lt;'PlayerGrades+'!$AF$10,"C+",IF(N455&lt;'PlayerGrades+'!$AF$9,"B-",IF(N455&lt;'PlayerGrades+'!$AF$8,"B",IF(N455&lt;'PlayerGrades+'!$AF$7,"B+",IF(N455&lt;'PlayerGrades+'!$AF$6,"A-",IF(N455&lt;'PlayerGrades+'!$AF$5,"A",IF(N455&lt;'PlayerGrades+'!$AF$4,"A+",IF(N455&lt;'PlayerGrades+'!$AF$3,"S-",IF(N455&lt;'PlayerGrades+'!$AF$2,"S","S+"))))))))))))))))))))</f>
        <v>#DIV/0!</v>
      </c>
      <c r="P455" s="961" t="str">
        <f t="shared" si="7"/>
        <v>#DIV/0!</v>
      </c>
      <c r="Q455" s="961" t="str">
        <f>IF(P455&lt;'PlayerGrades+'!$AG$21,"F-",IF(P455&lt;'PlayerGrades+'!$AG$20,"F",IF(P455&lt;'PlayerGrades+'!$AG$19,"F+",IF(P455&lt;'PlayerGrades+'!$AG$18,"E-",IF(P455&lt;'PlayerGrades+'!$AG$17,"E",IF(P455&lt;'PlayerGrades+'!$AG$16,"E+",IF(P455&lt;'PlayerGrades+'!$AG$15,"D-",IF(P455&lt;'PlayerGrades+'!$AG$14,"D",IF(P455&lt;'PlayerGrades+'!$AG$13,"D+",IF(P455&lt;'PlayerGrades+'!$AG$12,"C-",IF(P455&lt;'PlayerGrades+'!$AG$11,"C",IF(P455&lt;'PlayerGrades+'!$AG$10,"C+",IF(P455&lt;'PlayerGrades+'!$AG$9,"B-",IF(P455&lt;'PlayerGrades+'!$AG$8,"B",IF(P455&lt;'PlayerGrades+'!$AG$7,"B+",IF(P455&lt;'PlayerGrades+'!$AG$6,"A-",IF(P455&lt;'PlayerGrades+'!$AG$5,"A",IF(P455&lt;'PlayerGrades+'!$AG$4,"A+",IF(P455&lt;'PlayerGrades+'!$AG$3,"S-",IF(P455&lt;'PlayerGrades+'!$AG$2,"S","S+"))))))))))))))))))))</f>
        <v>#DIV/0!</v>
      </c>
      <c r="R455" s="961" t="str">
        <f t="shared" si="8"/>
        <v>#DIV/0!</v>
      </c>
      <c r="S455" s="961" t="str">
        <f>IF(R455&lt;'PlayerGrades+'!$AH$21,"F-",IF(R455&lt;'PlayerGrades+'!$AH$20,"F",IF(R455&lt;'PlayerGrades+'!$AH$19,"F+",IF(R455&lt;'PlayerGrades+'!$AH$18,"E-",IF(R455&lt;'PlayerGrades+'!$AH$17,"E",IF(R455&lt;'PlayerGrades+'!$AH$16,"E+",IF(R455&lt;'PlayerGrades+'!$AH$15,"D-",IF(R455&lt;'PlayerGrades+'!$AH$14,"D",IF(R455&lt;'PlayerGrades+'!$AH$13,"D+",IF(R455&lt;'PlayerGrades+'!$AH$12,"C-",IF(R455&lt;'PlayerGrades+'!$AH$11,"C",IF(R455&lt;'PlayerGrades+'!$AH$10,"C+",IF(R455&lt;'PlayerGrades+'!$AH$9,"B-",IF(R455&lt;'PlayerGrades+'!$AH$8,"B",IF(R455&lt;'PlayerGrades+'!$AH$7,"B+",IF(R455&lt;'PlayerGrades+'!$AH$6,"A-",IF(R455&lt;'PlayerGrades+'!$AH$5,"A",IF(R455&lt;'PlayerGrades+'!$AH$4,"A+",IF(R455&lt;'PlayerGrades+'!$AH$3,"S-",IF(R455&lt;'PlayerGrades+'!$AH$2,"S","S+"))))))))))))))))))))</f>
        <v>#DIV/0!</v>
      </c>
      <c r="T455" s="961">
        <f t="shared" si="9"/>
        <v>0</v>
      </c>
      <c r="U455" s="961" t="str">
        <f>IF(T455&lt;'PlayerGrades+'!$AI$21,"F-",IF(T455&lt;'PlayerGrades+'!$AI$20,"F",IF(T455&lt;'PlayerGrades+'!$AI$19,"F+",IF(T455&lt;'PlayerGrades+'!$AI$18,"E-",IF(T455&lt;'PlayerGrades+'!$AI$17,"E",IF(T455&lt;'PlayerGrades+'!$AI$16,"E+",IF(T455&lt;'PlayerGrades+'!$AI$15,"D-",IF(T455&lt;'PlayerGrades+'!$AI$14,"D",IF(T455&lt;'PlayerGrades+'!$AI$13,"D+",IF(T455&lt;'PlayerGrades+'!$AI$12,"C-",IF(T455&lt;'PlayerGrades+'!$AI$11,"C",IF(T455&lt;'PlayerGrades+'!$AI$10,"C+",IF(T455&lt;'PlayerGrades+'!$AI$9,"B-",IF(T455&lt;'PlayerGrades+'!$AI$8,"B",IF(T455&lt;'PlayerGrades+'!$AI$7,"B+",IF(T455&lt;'PlayerGrades+'!$AI$6,"A-",IF(T455&lt;'PlayerGrades+'!$AI$5,"A",IF(T455&lt;'PlayerGrades+'!$AI$4,"A+",IF(T455&lt;'PlayerGrades+'!$AI$3,"S-",IF(T455&lt;'PlayerGrades+'!$AI$2,"S","S+"))))))))))))))))))))</f>
        <v>F-</v>
      </c>
      <c r="AC455" s="1392"/>
    </row>
    <row r="456">
      <c r="A456" s="1391"/>
      <c r="B456" s="611" t="str">
        <f>IF(C456&lt;'PlayerGrades+'!$Y$44,"F-",IF(C456&lt;'PlayerGrades+'!$Y$43,"F",IF(C456&lt;'PlayerGrades+'!$Y$42,"F+",IF(C456&lt;'PlayerGrades+'!$Y$41,"E-",IF(C456&lt;'PlayerGrades+'!$Y$40,"E",IF(C456&lt;'PlayerGrades+'!$Y$39,"E+",IF(C456&lt;'PlayerGrades+'!$Y$38,"D-",IF(C456&lt;'PlayerGrades+'!$Y$37,"D",IF(C456&lt;'PlayerGrades+'!$Y$36,"D+",IF(C456&lt;'PlayerGrades+'!$Y$35,"C-",IF(C456&lt;'PlayerGrades+'!$Y$34,"C",IF(C456&lt;'PlayerGrades+'!$Y$33,"C+",IF(C456&lt;'PlayerGrades+'!$Y$32,"B-",IF(C456&lt;'PlayerGrades+'!$Y$31,"B",IF(C456&lt;'PlayerGrades+'!$Y$30,"B+",IF(C456&lt;'PlayerGrades+'!$Y$29,"A-",IF(C456&lt;'PlayerGrades+'!$Y$28,"A",IF(C456&lt;'PlayerGrades+'!$Y$27,"A+",IF(C456&lt;'PlayerGrades+'!$Y$26,"S-",IF(C456&lt;'PlayerGrades+'!$Y$25,"S","S+"))))))))))))))))))))</f>
        <v>#DIV/0!</v>
      </c>
      <c r="C456" s="1378" t="str">
        <f>('PlayerGrades+'!$Y$47*(VLOOKUP(E456, 'PlayerGrades+'!$X$3:$Y$23, 2, FALSE)))+('PlayerGrades+'!$Y$48*(VLOOKUP(G456, 'PlayerGrades+'!$X$3:$Y$23, 2, FALSE)))+('PlayerGrades+'!$Y$49*(VLOOKUP(I456, 'PlayerGrades+'!$X$3:$Y$23, 2, FALSE)))+('PlayerGrades+'!$Y$50*(VLOOKUP(K456, 'PlayerGrades+'!$X$3:$Y$23, 2, FALSE)))+('PlayerGrades+'!$Y$51*(VLOOKUP(M456, 'PlayerGrades+'!$X$3:$Y$23, 2, FALSE)))+('PlayerGrades+'!$Y$52*(VLOOKUP(O456, 'PlayerGrades+'!$X$3:$Y$23, 2, FALSE)))+('PlayerGrades+'!$Y$53*(VLOOKUP(Q456, 'PlayerGrades+'!$X$3:$Y$23, 2, FALSE)))+('PlayerGrades+'!$Y$54*(VLOOKUP(S456, 'PlayerGrades+'!$X$3:$Y$23, 2, FALSE)))+('PlayerGrades+'!$Y$55*(VLOOKUP(U456, 'PlayerGrades+'!$X$3:$Y$23, 2, FALSE)))</f>
        <v>#DIV/0!</v>
      </c>
      <c r="D456" s="961" t="str">
        <f t="shared" si="1"/>
        <v>#DIV/0!</v>
      </c>
      <c r="E456" s="961" t="str">
        <f>IF(D456&lt;'PlayerGrades+'!$AA$21,"F-",IF(D456&lt;'PlayerGrades+'!$AA$20,"F",IF(D456&lt;'PlayerGrades+'!$AA$19,"F+",IF(D456&lt;'PlayerGrades+'!$AA$18,"E-",IF(D456&lt;'PlayerGrades+'!$AA$17,"E",IF(D456&lt;'PlayerGrades+'!$AA$16,"E+",IF(D456&lt;'PlayerGrades+'!$AA$15,"D-",IF(D456&lt;'PlayerGrades+'!$AA$14,"D",IF(D456&lt;'PlayerGrades+'!$AA$13,"D+",IF(D456&lt;'PlayerGrades+'!$AA$12,"C-",IF(D456&lt;'PlayerGrades+'!$AA$11,"C",IF(D456&lt;'PlayerGrades+'!$AA$10,"C+",IF(D456&lt;'PlayerGrades+'!$AA$9,"B-",IF(D456&lt;'PlayerGrades+'!$AA$8,"B",IF(D456&lt;'PlayerGrades+'!$AA$7,"B+",IF(D456&lt;'PlayerGrades+'!$AA$6,"A-",IF(D456&lt;'PlayerGrades+'!$AA$5,"A",IF(D456&lt;'PlayerGrades+'!$AA$4,"A+",IF(D456&lt;'PlayerGrades+'!$AA$3,"S-",IF(D456&lt;'PlayerGrades+'!$AA$2,"S","S+"))))))))))))))))))))</f>
        <v>#DIV/0!</v>
      </c>
      <c r="F456" s="961" t="str">
        <f t="shared" si="2"/>
        <v>#DIV/0!</v>
      </c>
      <c r="G456" s="961" t="str">
        <f>IF(F456&lt;'PlayerGrades+'!$AB$21,"F-",IF(F456&lt;'PlayerGrades+'!$AB$20,"F",IF(F456&lt;'PlayerGrades+'!$AB$19,"F+",IF(F456&lt;'PlayerGrades+'!$AB$18,"E-",IF(F456&lt;'PlayerGrades+'!$AB$17,"E",IF(F456&lt;'PlayerGrades+'!$AB$16,"E+",IF(F456&lt;'PlayerGrades+'!$AB$15,"D-",IF(F456&lt;'PlayerGrades+'!$AB$14,"D",IF(F456&lt;'PlayerGrades+'!$AB$13,"D+",IF(F456&lt;'PlayerGrades+'!$AB$12,"C-",IF(F456&lt;'PlayerGrades+'!$AB$11,"C",IF(F456&lt;'PlayerGrades+'!$AB$10,"C+",IF(F456&lt;'PlayerGrades+'!$AB$9,"B-",IF(F456&lt;'PlayerGrades+'!$AB$8,"B",IF(F456&lt;'PlayerGrades+'!$AB$7,"B+",IF(F456&lt;'PlayerGrades+'!$AB$6,"A-",IF(F456&lt;'PlayerGrades+'!$AB$5,"A",IF(F456&lt;'PlayerGrades+'!$AB$4,"A+",IF(F456&lt;'PlayerGrades+'!$AB$3,"S-",IF(F456&lt;'PlayerGrades+'!$AB$2,"S","S+"))))))))))))))))))))</f>
        <v>#DIV/0!</v>
      </c>
      <c r="H456" s="961" t="str">
        <f t="shared" si="3"/>
        <v>#DIV/0!</v>
      </c>
      <c r="I456" s="961" t="str">
        <f>IF(H456&lt;'PlayerGrades+'!$AC$21,"F-",IF(H456&lt;'PlayerGrades+'!$AC$20,"F",IF(H456&lt;'PlayerGrades+'!$AC$19,"F+",IF(H456&lt;'PlayerGrades+'!$AC$18,"E-",IF(H456&lt;'PlayerGrades+'!$AC$17,"E",IF(H456&lt;'PlayerGrades+'!$AC$16,"E+",IF(H456&lt;'PlayerGrades+'!$AC$15,"D-",IF(H456&lt;'PlayerGrades+'!$AC$14,"D",IF(H456&lt;'PlayerGrades+'!$AC$13,"D+",IF(H456&lt;'PlayerGrades+'!$AC$12,"C-",IF(H456&lt;'PlayerGrades+'!$AC$11,"C",IF(H456&lt;'PlayerGrades+'!$AC$10,"C+",IF(H456&lt;'PlayerGrades+'!$AC$9,"B-",IF(H456&lt;'PlayerGrades+'!$AC$8,"B",IF(H456&lt;'PlayerGrades+'!$AC$7,"B+",IF(H456&lt;'PlayerGrades+'!$AC$6,"A-",IF(H456&lt;'PlayerGrades+'!$AC$5,"A",IF(H456&lt;'PlayerGrades+'!$AC$4,"A+",IF(H456&lt;'PlayerGrades+'!$AC$3,"S-",IF(H456&lt;'PlayerGrades+'!$AC$2,"S","S+"))))))))))))))))))))</f>
        <v>#DIV/0!</v>
      </c>
      <c r="J456" s="961" t="str">
        <f t="shared" si="4"/>
        <v>#DIV/0!</v>
      </c>
      <c r="K456" s="961" t="str">
        <f>IF(J456&lt;'PlayerGrades+'!$AD$21,"F-",IF(J456&lt;'PlayerGrades+'!$AD$20,"F",IF(J456&lt;'PlayerGrades+'!$AD$19,"F+",IF(J456&lt;'PlayerGrades+'!$AD$18,"E-",IF(J456&lt;'PlayerGrades+'!$AD$17,"E",IF(J456&lt;'PlayerGrades+'!$AD$16,"E+",IF(J456&lt;'PlayerGrades+'!$AD$15,"D-",IF(J456&lt;'PlayerGrades+'!$AD$14,"D",IF(J456&lt;'PlayerGrades+'!$AD$13,"D+",IF(J456&lt;'PlayerGrades+'!$AD$12,"C-",IF(J456&lt;'PlayerGrades+'!$AD$11,"C",IF(J456&lt;'PlayerGrades+'!$AD$10,"C+",IF(J456&lt;'PlayerGrades+'!$AD$9,"B-",IF(J456&lt;'PlayerGrades+'!$AD$8,"B",IF(J456&lt;'PlayerGrades+'!$AD$7,"B+",IF(J456&lt;'PlayerGrades+'!$AD$6,"A-",IF(J456&lt;'PlayerGrades+'!$AD$5,"A",IF(J456&lt;'PlayerGrades+'!$AD$4,"A+",IF(J456&lt;'PlayerGrades+'!$AD$3,"S-",IF(J456&lt;'PlayerGrades+'!$AD$2,"S","S+"))))))))))))))))))))</f>
        <v>#DIV/0!</v>
      </c>
      <c r="L456" s="1176" t="str">
        <f t="shared" si="5"/>
        <v>#DIV/0!</v>
      </c>
      <c r="M456" s="992" t="str">
        <f>IF(L456&lt;'PlayerGrades+'!$AE$21,"F-",IF(L456&lt;'PlayerGrades+'!$AE$20,"F",IF(L456&lt;'PlayerGrades+'!$AE$19,"F+",IF(L456&lt;'PlayerGrades+'!$AE$18,"E-",IF(L456&lt;'PlayerGrades+'!$AE$17,"E",IF(L456&lt;'PlayerGrades+'!$AE$16,"E+",IF(L456&lt;'PlayerGrades+'!$AE$15,"D-",IF(L456&lt;'PlayerGrades+'!$AE$14,"D",IF(L456&lt;'PlayerGrades+'!$AE$13,"D+",IF(L456&lt;'PlayerGrades+'!$AE$12,"C-",IF(L456&lt;'PlayerGrades+'!$AE$11,"C",IF(L456&lt;'PlayerGrades+'!$AE$10,"C+",IF(L456&lt;'PlayerGrades+'!$AE$9,"B-",IF(L456&lt;'PlayerGrades+'!$AE$8,"B",IF(L456&lt;'PlayerGrades+'!$AE$7,"B+",IF(L456&lt;'PlayerGrades+'!$AE$6,"A-",IF(L456&lt;'PlayerGrades+'!$AE$5,"A",IF(L456&lt;'PlayerGrades+'!$AE$4,"A+",IF(L456&lt;'PlayerGrades+'!$AE$3,"S-",IF(L456&lt;'PlayerGrades+'!$AE$2,"S","S+"))))))))))))))))))))</f>
        <v>#DIV/0!</v>
      </c>
      <c r="N456" s="961" t="str">
        <f t="shared" si="6"/>
        <v>#DIV/0!</v>
      </c>
      <c r="O456" s="961" t="str">
        <f>IF(N456&lt;'PlayerGrades+'!$AF$21,"F-",IF(N456&lt;'PlayerGrades+'!$AF$20,"F",IF(N456&lt;'PlayerGrades+'!$AF$19,"F+",IF(N456&lt;'PlayerGrades+'!$AF$18,"E-",IF(N456&lt;'PlayerGrades+'!$AF$17,"E",IF(N456&lt;'PlayerGrades+'!$AF$16,"E+",IF(N456&lt;'PlayerGrades+'!$AF$15,"D-",IF(N456&lt;'PlayerGrades+'!$AF$14,"D",IF(N456&lt;'PlayerGrades+'!$AF$13,"D+",IF(N456&lt;'PlayerGrades+'!$AF$12,"C-",IF(N456&lt;'PlayerGrades+'!$AF$11,"C",IF(N456&lt;'PlayerGrades+'!$AF$10,"C+",IF(N456&lt;'PlayerGrades+'!$AF$9,"B-",IF(N456&lt;'PlayerGrades+'!$AF$8,"B",IF(N456&lt;'PlayerGrades+'!$AF$7,"B+",IF(N456&lt;'PlayerGrades+'!$AF$6,"A-",IF(N456&lt;'PlayerGrades+'!$AF$5,"A",IF(N456&lt;'PlayerGrades+'!$AF$4,"A+",IF(N456&lt;'PlayerGrades+'!$AF$3,"S-",IF(N456&lt;'PlayerGrades+'!$AF$2,"S","S+"))))))))))))))))))))</f>
        <v>#DIV/0!</v>
      </c>
      <c r="P456" s="961" t="str">
        <f t="shared" si="7"/>
        <v>#DIV/0!</v>
      </c>
      <c r="Q456" s="961" t="str">
        <f>IF(P456&lt;'PlayerGrades+'!$AG$21,"F-",IF(P456&lt;'PlayerGrades+'!$AG$20,"F",IF(P456&lt;'PlayerGrades+'!$AG$19,"F+",IF(P456&lt;'PlayerGrades+'!$AG$18,"E-",IF(P456&lt;'PlayerGrades+'!$AG$17,"E",IF(P456&lt;'PlayerGrades+'!$AG$16,"E+",IF(P456&lt;'PlayerGrades+'!$AG$15,"D-",IF(P456&lt;'PlayerGrades+'!$AG$14,"D",IF(P456&lt;'PlayerGrades+'!$AG$13,"D+",IF(P456&lt;'PlayerGrades+'!$AG$12,"C-",IF(P456&lt;'PlayerGrades+'!$AG$11,"C",IF(P456&lt;'PlayerGrades+'!$AG$10,"C+",IF(P456&lt;'PlayerGrades+'!$AG$9,"B-",IF(P456&lt;'PlayerGrades+'!$AG$8,"B",IF(P456&lt;'PlayerGrades+'!$AG$7,"B+",IF(P456&lt;'PlayerGrades+'!$AG$6,"A-",IF(P456&lt;'PlayerGrades+'!$AG$5,"A",IF(P456&lt;'PlayerGrades+'!$AG$4,"A+",IF(P456&lt;'PlayerGrades+'!$AG$3,"S-",IF(P456&lt;'PlayerGrades+'!$AG$2,"S","S+"))))))))))))))))))))</f>
        <v>#DIV/0!</v>
      </c>
      <c r="R456" s="961" t="str">
        <f t="shared" si="8"/>
        <v>#DIV/0!</v>
      </c>
      <c r="S456" s="961" t="str">
        <f>IF(R456&lt;'PlayerGrades+'!$AH$21,"F-",IF(R456&lt;'PlayerGrades+'!$AH$20,"F",IF(R456&lt;'PlayerGrades+'!$AH$19,"F+",IF(R456&lt;'PlayerGrades+'!$AH$18,"E-",IF(R456&lt;'PlayerGrades+'!$AH$17,"E",IF(R456&lt;'PlayerGrades+'!$AH$16,"E+",IF(R456&lt;'PlayerGrades+'!$AH$15,"D-",IF(R456&lt;'PlayerGrades+'!$AH$14,"D",IF(R456&lt;'PlayerGrades+'!$AH$13,"D+",IF(R456&lt;'PlayerGrades+'!$AH$12,"C-",IF(R456&lt;'PlayerGrades+'!$AH$11,"C",IF(R456&lt;'PlayerGrades+'!$AH$10,"C+",IF(R456&lt;'PlayerGrades+'!$AH$9,"B-",IF(R456&lt;'PlayerGrades+'!$AH$8,"B",IF(R456&lt;'PlayerGrades+'!$AH$7,"B+",IF(R456&lt;'PlayerGrades+'!$AH$6,"A-",IF(R456&lt;'PlayerGrades+'!$AH$5,"A",IF(R456&lt;'PlayerGrades+'!$AH$4,"A+",IF(R456&lt;'PlayerGrades+'!$AH$3,"S-",IF(R456&lt;'PlayerGrades+'!$AH$2,"S","S+"))))))))))))))))))))</f>
        <v>#DIV/0!</v>
      </c>
      <c r="T456" s="961">
        <f t="shared" si="9"/>
        <v>0</v>
      </c>
      <c r="U456" s="961" t="str">
        <f>IF(T456&lt;'PlayerGrades+'!$AI$21,"F-",IF(T456&lt;'PlayerGrades+'!$AI$20,"F",IF(T456&lt;'PlayerGrades+'!$AI$19,"F+",IF(T456&lt;'PlayerGrades+'!$AI$18,"E-",IF(T456&lt;'PlayerGrades+'!$AI$17,"E",IF(T456&lt;'PlayerGrades+'!$AI$16,"E+",IF(T456&lt;'PlayerGrades+'!$AI$15,"D-",IF(T456&lt;'PlayerGrades+'!$AI$14,"D",IF(T456&lt;'PlayerGrades+'!$AI$13,"D+",IF(T456&lt;'PlayerGrades+'!$AI$12,"C-",IF(T456&lt;'PlayerGrades+'!$AI$11,"C",IF(T456&lt;'PlayerGrades+'!$AI$10,"C+",IF(T456&lt;'PlayerGrades+'!$AI$9,"B-",IF(T456&lt;'PlayerGrades+'!$AI$8,"B",IF(T456&lt;'PlayerGrades+'!$AI$7,"B+",IF(T456&lt;'PlayerGrades+'!$AI$6,"A-",IF(T456&lt;'PlayerGrades+'!$AI$5,"A",IF(T456&lt;'PlayerGrades+'!$AI$4,"A+",IF(T456&lt;'PlayerGrades+'!$AI$3,"S-",IF(T456&lt;'PlayerGrades+'!$AI$2,"S","S+"))))))))))))))))))))</f>
        <v>F-</v>
      </c>
      <c r="AC456" s="1392"/>
    </row>
    <row r="457">
      <c r="A457" s="1393"/>
      <c r="B457" s="611" t="str">
        <f>IF(C457&lt;'PlayerGrades+'!$Y$44,"F-",IF(C457&lt;'PlayerGrades+'!$Y$43,"F",IF(C457&lt;'PlayerGrades+'!$Y$42,"F+",IF(C457&lt;'PlayerGrades+'!$Y$41,"E-",IF(C457&lt;'PlayerGrades+'!$Y$40,"E",IF(C457&lt;'PlayerGrades+'!$Y$39,"E+",IF(C457&lt;'PlayerGrades+'!$Y$38,"D-",IF(C457&lt;'PlayerGrades+'!$Y$37,"D",IF(C457&lt;'PlayerGrades+'!$Y$36,"D+",IF(C457&lt;'PlayerGrades+'!$Y$35,"C-",IF(C457&lt;'PlayerGrades+'!$Y$34,"C",IF(C457&lt;'PlayerGrades+'!$Y$33,"C+",IF(C457&lt;'PlayerGrades+'!$Y$32,"B-",IF(C457&lt;'PlayerGrades+'!$Y$31,"B",IF(C457&lt;'PlayerGrades+'!$Y$30,"B+",IF(C457&lt;'PlayerGrades+'!$Y$29,"A-",IF(C457&lt;'PlayerGrades+'!$Y$28,"A",IF(C457&lt;'PlayerGrades+'!$Y$27,"A+",IF(C457&lt;'PlayerGrades+'!$Y$26,"S-",IF(C457&lt;'PlayerGrades+'!$Y$25,"S","S+"))))))))))))))))))))</f>
        <v>#DIV/0!</v>
      </c>
      <c r="C457" s="1378" t="str">
        <f>('PlayerGrades+'!$Y$47*(VLOOKUP(E457, 'PlayerGrades+'!$X$3:$Y$23, 2, FALSE)))+('PlayerGrades+'!$Y$48*(VLOOKUP(G457, 'PlayerGrades+'!$X$3:$Y$23, 2, FALSE)))+('PlayerGrades+'!$Y$49*(VLOOKUP(I457, 'PlayerGrades+'!$X$3:$Y$23, 2, FALSE)))+('PlayerGrades+'!$Y$50*(VLOOKUP(K457, 'PlayerGrades+'!$X$3:$Y$23, 2, FALSE)))+('PlayerGrades+'!$Y$51*(VLOOKUP(M457, 'PlayerGrades+'!$X$3:$Y$23, 2, FALSE)))+('PlayerGrades+'!$Y$52*(VLOOKUP(O457, 'PlayerGrades+'!$X$3:$Y$23, 2, FALSE)))+('PlayerGrades+'!$Y$53*(VLOOKUP(Q457, 'PlayerGrades+'!$X$3:$Y$23, 2, FALSE)))+('PlayerGrades+'!$Y$54*(VLOOKUP(S457, 'PlayerGrades+'!$X$3:$Y$23, 2, FALSE)))+('PlayerGrades+'!$Y$55*(VLOOKUP(U457, 'PlayerGrades+'!$X$3:$Y$23, 2, FALSE)))</f>
        <v>#DIV/0!</v>
      </c>
      <c r="D457" s="961" t="str">
        <f t="shared" si="1"/>
        <v>#DIV/0!</v>
      </c>
      <c r="E457" s="961" t="str">
        <f>IF(D457&lt;'PlayerGrades+'!$AA$21,"F-",IF(D457&lt;'PlayerGrades+'!$AA$20,"F",IF(D457&lt;'PlayerGrades+'!$AA$19,"F+",IF(D457&lt;'PlayerGrades+'!$AA$18,"E-",IF(D457&lt;'PlayerGrades+'!$AA$17,"E",IF(D457&lt;'PlayerGrades+'!$AA$16,"E+",IF(D457&lt;'PlayerGrades+'!$AA$15,"D-",IF(D457&lt;'PlayerGrades+'!$AA$14,"D",IF(D457&lt;'PlayerGrades+'!$AA$13,"D+",IF(D457&lt;'PlayerGrades+'!$AA$12,"C-",IF(D457&lt;'PlayerGrades+'!$AA$11,"C",IF(D457&lt;'PlayerGrades+'!$AA$10,"C+",IF(D457&lt;'PlayerGrades+'!$AA$9,"B-",IF(D457&lt;'PlayerGrades+'!$AA$8,"B",IF(D457&lt;'PlayerGrades+'!$AA$7,"B+",IF(D457&lt;'PlayerGrades+'!$AA$6,"A-",IF(D457&lt;'PlayerGrades+'!$AA$5,"A",IF(D457&lt;'PlayerGrades+'!$AA$4,"A+",IF(D457&lt;'PlayerGrades+'!$AA$3,"S-",IF(D457&lt;'PlayerGrades+'!$AA$2,"S","S+"))))))))))))))))))))</f>
        <v>#DIV/0!</v>
      </c>
      <c r="F457" s="961" t="str">
        <f t="shared" si="2"/>
        <v>#DIV/0!</v>
      </c>
      <c r="G457" s="961" t="str">
        <f>IF(F457&lt;'PlayerGrades+'!$AB$21,"F-",IF(F457&lt;'PlayerGrades+'!$AB$20,"F",IF(F457&lt;'PlayerGrades+'!$AB$19,"F+",IF(F457&lt;'PlayerGrades+'!$AB$18,"E-",IF(F457&lt;'PlayerGrades+'!$AB$17,"E",IF(F457&lt;'PlayerGrades+'!$AB$16,"E+",IF(F457&lt;'PlayerGrades+'!$AB$15,"D-",IF(F457&lt;'PlayerGrades+'!$AB$14,"D",IF(F457&lt;'PlayerGrades+'!$AB$13,"D+",IF(F457&lt;'PlayerGrades+'!$AB$12,"C-",IF(F457&lt;'PlayerGrades+'!$AB$11,"C",IF(F457&lt;'PlayerGrades+'!$AB$10,"C+",IF(F457&lt;'PlayerGrades+'!$AB$9,"B-",IF(F457&lt;'PlayerGrades+'!$AB$8,"B",IF(F457&lt;'PlayerGrades+'!$AB$7,"B+",IF(F457&lt;'PlayerGrades+'!$AB$6,"A-",IF(F457&lt;'PlayerGrades+'!$AB$5,"A",IF(F457&lt;'PlayerGrades+'!$AB$4,"A+",IF(F457&lt;'PlayerGrades+'!$AB$3,"S-",IF(F457&lt;'PlayerGrades+'!$AB$2,"S","S+"))))))))))))))))))))</f>
        <v>#DIV/0!</v>
      </c>
      <c r="H457" s="961" t="str">
        <f t="shared" si="3"/>
        <v>#DIV/0!</v>
      </c>
      <c r="I457" s="961" t="str">
        <f>IF(H457&lt;'PlayerGrades+'!$AC$21,"F-",IF(H457&lt;'PlayerGrades+'!$AC$20,"F",IF(H457&lt;'PlayerGrades+'!$AC$19,"F+",IF(H457&lt;'PlayerGrades+'!$AC$18,"E-",IF(H457&lt;'PlayerGrades+'!$AC$17,"E",IF(H457&lt;'PlayerGrades+'!$AC$16,"E+",IF(H457&lt;'PlayerGrades+'!$AC$15,"D-",IF(H457&lt;'PlayerGrades+'!$AC$14,"D",IF(H457&lt;'PlayerGrades+'!$AC$13,"D+",IF(H457&lt;'PlayerGrades+'!$AC$12,"C-",IF(H457&lt;'PlayerGrades+'!$AC$11,"C",IF(H457&lt;'PlayerGrades+'!$AC$10,"C+",IF(H457&lt;'PlayerGrades+'!$AC$9,"B-",IF(H457&lt;'PlayerGrades+'!$AC$8,"B",IF(H457&lt;'PlayerGrades+'!$AC$7,"B+",IF(H457&lt;'PlayerGrades+'!$AC$6,"A-",IF(H457&lt;'PlayerGrades+'!$AC$5,"A",IF(H457&lt;'PlayerGrades+'!$AC$4,"A+",IF(H457&lt;'PlayerGrades+'!$AC$3,"S-",IF(H457&lt;'PlayerGrades+'!$AC$2,"S","S+"))))))))))))))))))))</f>
        <v>#DIV/0!</v>
      </c>
      <c r="J457" s="961" t="str">
        <f t="shared" si="4"/>
        <v>#DIV/0!</v>
      </c>
      <c r="K457" s="961" t="str">
        <f>IF(J457&lt;'PlayerGrades+'!$AD$21,"F-",IF(J457&lt;'PlayerGrades+'!$AD$20,"F",IF(J457&lt;'PlayerGrades+'!$AD$19,"F+",IF(J457&lt;'PlayerGrades+'!$AD$18,"E-",IF(J457&lt;'PlayerGrades+'!$AD$17,"E",IF(J457&lt;'PlayerGrades+'!$AD$16,"E+",IF(J457&lt;'PlayerGrades+'!$AD$15,"D-",IF(J457&lt;'PlayerGrades+'!$AD$14,"D",IF(J457&lt;'PlayerGrades+'!$AD$13,"D+",IF(J457&lt;'PlayerGrades+'!$AD$12,"C-",IF(J457&lt;'PlayerGrades+'!$AD$11,"C",IF(J457&lt;'PlayerGrades+'!$AD$10,"C+",IF(J457&lt;'PlayerGrades+'!$AD$9,"B-",IF(J457&lt;'PlayerGrades+'!$AD$8,"B",IF(J457&lt;'PlayerGrades+'!$AD$7,"B+",IF(J457&lt;'PlayerGrades+'!$AD$6,"A-",IF(J457&lt;'PlayerGrades+'!$AD$5,"A",IF(J457&lt;'PlayerGrades+'!$AD$4,"A+",IF(J457&lt;'PlayerGrades+'!$AD$3,"S-",IF(J457&lt;'PlayerGrades+'!$AD$2,"S","S+"))))))))))))))))))))</f>
        <v>#DIV/0!</v>
      </c>
      <c r="L457" s="1176" t="str">
        <f t="shared" si="5"/>
        <v>#DIV/0!</v>
      </c>
      <c r="M457" s="992" t="str">
        <f>IF(L457&lt;'PlayerGrades+'!$AE$21,"F-",IF(L457&lt;'PlayerGrades+'!$AE$20,"F",IF(L457&lt;'PlayerGrades+'!$AE$19,"F+",IF(L457&lt;'PlayerGrades+'!$AE$18,"E-",IF(L457&lt;'PlayerGrades+'!$AE$17,"E",IF(L457&lt;'PlayerGrades+'!$AE$16,"E+",IF(L457&lt;'PlayerGrades+'!$AE$15,"D-",IF(L457&lt;'PlayerGrades+'!$AE$14,"D",IF(L457&lt;'PlayerGrades+'!$AE$13,"D+",IF(L457&lt;'PlayerGrades+'!$AE$12,"C-",IF(L457&lt;'PlayerGrades+'!$AE$11,"C",IF(L457&lt;'PlayerGrades+'!$AE$10,"C+",IF(L457&lt;'PlayerGrades+'!$AE$9,"B-",IF(L457&lt;'PlayerGrades+'!$AE$8,"B",IF(L457&lt;'PlayerGrades+'!$AE$7,"B+",IF(L457&lt;'PlayerGrades+'!$AE$6,"A-",IF(L457&lt;'PlayerGrades+'!$AE$5,"A",IF(L457&lt;'PlayerGrades+'!$AE$4,"A+",IF(L457&lt;'PlayerGrades+'!$AE$3,"S-",IF(L457&lt;'PlayerGrades+'!$AE$2,"S","S+"))))))))))))))))))))</f>
        <v>#DIV/0!</v>
      </c>
      <c r="N457" s="961" t="str">
        <f t="shared" si="6"/>
        <v>#DIV/0!</v>
      </c>
      <c r="O457" s="961" t="str">
        <f>IF(N457&lt;'PlayerGrades+'!$AF$21,"F-",IF(N457&lt;'PlayerGrades+'!$AF$20,"F",IF(N457&lt;'PlayerGrades+'!$AF$19,"F+",IF(N457&lt;'PlayerGrades+'!$AF$18,"E-",IF(N457&lt;'PlayerGrades+'!$AF$17,"E",IF(N457&lt;'PlayerGrades+'!$AF$16,"E+",IF(N457&lt;'PlayerGrades+'!$AF$15,"D-",IF(N457&lt;'PlayerGrades+'!$AF$14,"D",IF(N457&lt;'PlayerGrades+'!$AF$13,"D+",IF(N457&lt;'PlayerGrades+'!$AF$12,"C-",IF(N457&lt;'PlayerGrades+'!$AF$11,"C",IF(N457&lt;'PlayerGrades+'!$AF$10,"C+",IF(N457&lt;'PlayerGrades+'!$AF$9,"B-",IF(N457&lt;'PlayerGrades+'!$AF$8,"B",IF(N457&lt;'PlayerGrades+'!$AF$7,"B+",IF(N457&lt;'PlayerGrades+'!$AF$6,"A-",IF(N457&lt;'PlayerGrades+'!$AF$5,"A",IF(N457&lt;'PlayerGrades+'!$AF$4,"A+",IF(N457&lt;'PlayerGrades+'!$AF$3,"S-",IF(N457&lt;'PlayerGrades+'!$AF$2,"S","S+"))))))))))))))))))))</f>
        <v>#DIV/0!</v>
      </c>
      <c r="P457" s="961" t="str">
        <f t="shared" si="7"/>
        <v>#DIV/0!</v>
      </c>
      <c r="Q457" s="961" t="str">
        <f>IF(P457&lt;'PlayerGrades+'!$AG$21,"F-",IF(P457&lt;'PlayerGrades+'!$AG$20,"F",IF(P457&lt;'PlayerGrades+'!$AG$19,"F+",IF(P457&lt;'PlayerGrades+'!$AG$18,"E-",IF(P457&lt;'PlayerGrades+'!$AG$17,"E",IF(P457&lt;'PlayerGrades+'!$AG$16,"E+",IF(P457&lt;'PlayerGrades+'!$AG$15,"D-",IF(P457&lt;'PlayerGrades+'!$AG$14,"D",IF(P457&lt;'PlayerGrades+'!$AG$13,"D+",IF(P457&lt;'PlayerGrades+'!$AG$12,"C-",IF(P457&lt;'PlayerGrades+'!$AG$11,"C",IF(P457&lt;'PlayerGrades+'!$AG$10,"C+",IF(P457&lt;'PlayerGrades+'!$AG$9,"B-",IF(P457&lt;'PlayerGrades+'!$AG$8,"B",IF(P457&lt;'PlayerGrades+'!$AG$7,"B+",IF(P457&lt;'PlayerGrades+'!$AG$6,"A-",IF(P457&lt;'PlayerGrades+'!$AG$5,"A",IF(P457&lt;'PlayerGrades+'!$AG$4,"A+",IF(P457&lt;'PlayerGrades+'!$AG$3,"S-",IF(P457&lt;'PlayerGrades+'!$AG$2,"S","S+"))))))))))))))))))))</f>
        <v>#DIV/0!</v>
      </c>
      <c r="R457" s="961" t="str">
        <f t="shared" si="8"/>
        <v>#DIV/0!</v>
      </c>
      <c r="S457" s="961" t="str">
        <f>IF(R457&lt;'PlayerGrades+'!$AH$21,"F-",IF(R457&lt;'PlayerGrades+'!$AH$20,"F",IF(R457&lt;'PlayerGrades+'!$AH$19,"F+",IF(R457&lt;'PlayerGrades+'!$AH$18,"E-",IF(R457&lt;'PlayerGrades+'!$AH$17,"E",IF(R457&lt;'PlayerGrades+'!$AH$16,"E+",IF(R457&lt;'PlayerGrades+'!$AH$15,"D-",IF(R457&lt;'PlayerGrades+'!$AH$14,"D",IF(R457&lt;'PlayerGrades+'!$AH$13,"D+",IF(R457&lt;'PlayerGrades+'!$AH$12,"C-",IF(R457&lt;'PlayerGrades+'!$AH$11,"C",IF(R457&lt;'PlayerGrades+'!$AH$10,"C+",IF(R457&lt;'PlayerGrades+'!$AH$9,"B-",IF(R457&lt;'PlayerGrades+'!$AH$8,"B",IF(R457&lt;'PlayerGrades+'!$AH$7,"B+",IF(R457&lt;'PlayerGrades+'!$AH$6,"A-",IF(R457&lt;'PlayerGrades+'!$AH$5,"A",IF(R457&lt;'PlayerGrades+'!$AH$4,"A+",IF(R457&lt;'PlayerGrades+'!$AH$3,"S-",IF(R457&lt;'PlayerGrades+'!$AH$2,"S","S+"))))))))))))))))))))</f>
        <v>#DIV/0!</v>
      </c>
      <c r="T457" s="961">
        <f t="shared" si="9"/>
        <v>0</v>
      </c>
      <c r="U457" s="961" t="str">
        <f>IF(T457&lt;'PlayerGrades+'!$AI$21,"F-",IF(T457&lt;'PlayerGrades+'!$AI$20,"F",IF(T457&lt;'PlayerGrades+'!$AI$19,"F+",IF(T457&lt;'PlayerGrades+'!$AI$18,"E-",IF(T457&lt;'PlayerGrades+'!$AI$17,"E",IF(T457&lt;'PlayerGrades+'!$AI$16,"E+",IF(T457&lt;'PlayerGrades+'!$AI$15,"D-",IF(T457&lt;'PlayerGrades+'!$AI$14,"D",IF(T457&lt;'PlayerGrades+'!$AI$13,"D+",IF(T457&lt;'PlayerGrades+'!$AI$12,"C-",IF(T457&lt;'PlayerGrades+'!$AI$11,"C",IF(T457&lt;'PlayerGrades+'!$AI$10,"C+",IF(T457&lt;'PlayerGrades+'!$AI$9,"B-",IF(T457&lt;'PlayerGrades+'!$AI$8,"B",IF(T457&lt;'PlayerGrades+'!$AI$7,"B+",IF(T457&lt;'PlayerGrades+'!$AI$6,"A-",IF(T457&lt;'PlayerGrades+'!$AI$5,"A",IF(T457&lt;'PlayerGrades+'!$AI$4,"A+",IF(T457&lt;'PlayerGrades+'!$AI$3,"S-",IF(T457&lt;'PlayerGrades+'!$AI$2,"S","S+"))))))))))))))))))))</f>
        <v>F-</v>
      </c>
      <c r="V457" s="1386"/>
      <c r="W457" s="1386"/>
      <c r="X457" s="1386"/>
      <c r="Y457" s="1386"/>
      <c r="Z457" s="1386"/>
      <c r="AA457" s="1386"/>
      <c r="AB457" s="1386"/>
      <c r="AC457" s="1397"/>
      <c r="AD457" s="1386"/>
      <c r="AE457" s="1386"/>
      <c r="AF457" s="1386"/>
      <c r="AG457" s="1386"/>
      <c r="AH457" s="1386"/>
      <c r="AI457" s="1386"/>
      <c r="AJ457" s="1386"/>
      <c r="AK457" s="1386"/>
      <c r="AL457" s="1386"/>
      <c r="AM457" s="1386"/>
      <c r="AN457" s="1386"/>
      <c r="AO457" s="1386"/>
      <c r="AP457" s="1386"/>
      <c r="AQ457" s="1386"/>
      <c r="AR457" s="1386"/>
      <c r="AS457" s="1386"/>
      <c r="AT457" s="1386"/>
      <c r="AU457" s="1386"/>
      <c r="AV457" s="1386"/>
      <c r="AW457" s="1386"/>
      <c r="AX457" s="1386"/>
      <c r="AY457" s="1386"/>
      <c r="AZ457" s="1386"/>
    </row>
    <row r="458">
      <c r="A458" s="1407"/>
      <c r="B458" s="611" t="str">
        <f>IF(C458&lt;'PlayerGrades+'!$Y$44,"F-",IF(C458&lt;'PlayerGrades+'!$Y$43,"F",IF(C458&lt;'PlayerGrades+'!$Y$42,"F+",IF(C458&lt;'PlayerGrades+'!$Y$41,"E-",IF(C458&lt;'PlayerGrades+'!$Y$40,"E",IF(C458&lt;'PlayerGrades+'!$Y$39,"E+",IF(C458&lt;'PlayerGrades+'!$Y$38,"D-",IF(C458&lt;'PlayerGrades+'!$Y$37,"D",IF(C458&lt;'PlayerGrades+'!$Y$36,"D+",IF(C458&lt;'PlayerGrades+'!$Y$35,"C-",IF(C458&lt;'PlayerGrades+'!$Y$34,"C",IF(C458&lt;'PlayerGrades+'!$Y$33,"C+",IF(C458&lt;'PlayerGrades+'!$Y$32,"B-",IF(C458&lt;'PlayerGrades+'!$Y$31,"B",IF(C458&lt;'PlayerGrades+'!$Y$30,"B+",IF(C458&lt;'PlayerGrades+'!$Y$29,"A-",IF(C458&lt;'PlayerGrades+'!$Y$28,"A",IF(C458&lt;'PlayerGrades+'!$Y$27,"A+",IF(C458&lt;'PlayerGrades+'!$Y$26,"S-",IF(C458&lt;'PlayerGrades+'!$Y$25,"S","S+"))))))))))))))))))))</f>
        <v>#DIV/0!</v>
      </c>
      <c r="C458" s="1378" t="str">
        <f>('PlayerGrades+'!$Y$47*(VLOOKUP(E458, 'PlayerGrades+'!$X$3:$Y$23, 2, FALSE)))+('PlayerGrades+'!$Y$48*(VLOOKUP(G458, 'PlayerGrades+'!$X$3:$Y$23, 2, FALSE)))+('PlayerGrades+'!$Y$49*(VLOOKUP(I458, 'PlayerGrades+'!$X$3:$Y$23, 2, FALSE)))+('PlayerGrades+'!$Y$50*(VLOOKUP(K458, 'PlayerGrades+'!$X$3:$Y$23, 2, FALSE)))+('PlayerGrades+'!$Y$51*(VLOOKUP(M458, 'PlayerGrades+'!$X$3:$Y$23, 2, FALSE)))+('PlayerGrades+'!$Y$52*(VLOOKUP(O458, 'PlayerGrades+'!$X$3:$Y$23, 2, FALSE)))+('PlayerGrades+'!$Y$53*(VLOOKUP(Q458, 'PlayerGrades+'!$X$3:$Y$23, 2, FALSE)))+('PlayerGrades+'!$Y$54*(VLOOKUP(S458, 'PlayerGrades+'!$X$3:$Y$23, 2, FALSE)))+('PlayerGrades+'!$Y$55*(VLOOKUP(U458, 'PlayerGrades+'!$X$3:$Y$23, 2, FALSE)))</f>
        <v>#DIV/0!</v>
      </c>
      <c r="D458" s="961" t="str">
        <f t="shared" si="1"/>
        <v>#DIV/0!</v>
      </c>
      <c r="E458" s="961" t="str">
        <f>IF(D458&lt;'PlayerGrades+'!$AA$21,"F-",IF(D458&lt;'PlayerGrades+'!$AA$20,"F",IF(D458&lt;'PlayerGrades+'!$AA$19,"F+",IF(D458&lt;'PlayerGrades+'!$AA$18,"E-",IF(D458&lt;'PlayerGrades+'!$AA$17,"E",IF(D458&lt;'PlayerGrades+'!$AA$16,"E+",IF(D458&lt;'PlayerGrades+'!$AA$15,"D-",IF(D458&lt;'PlayerGrades+'!$AA$14,"D",IF(D458&lt;'PlayerGrades+'!$AA$13,"D+",IF(D458&lt;'PlayerGrades+'!$AA$12,"C-",IF(D458&lt;'PlayerGrades+'!$AA$11,"C",IF(D458&lt;'PlayerGrades+'!$AA$10,"C+",IF(D458&lt;'PlayerGrades+'!$AA$9,"B-",IF(D458&lt;'PlayerGrades+'!$AA$8,"B",IF(D458&lt;'PlayerGrades+'!$AA$7,"B+",IF(D458&lt;'PlayerGrades+'!$AA$6,"A-",IF(D458&lt;'PlayerGrades+'!$AA$5,"A",IF(D458&lt;'PlayerGrades+'!$AA$4,"A+",IF(D458&lt;'PlayerGrades+'!$AA$3,"S-",IF(D458&lt;'PlayerGrades+'!$AA$2,"S","S+"))))))))))))))))))))</f>
        <v>#DIV/0!</v>
      </c>
      <c r="F458" s="961" t="str">
        <f t="shared" si="2"/>
        <v>#DIV/0!</v>
      </c>
      <c r="G458" s="961" t="str">
        <f>IF(F458&lt;'PlayerGrades+'!$AB$21,"F-",IF(F458&lt;'PlayerGrades+'!$AB$20,"F",IF(F458&lt;'PlayerGrades+'!$AB$19,"F+",IF(F458&lt;'PlayerGrades+'!$AB$18,"E-",IF(F458&lt;'PlayerGrades+'!$AB$17,"E",IF(F458&lt;'PlayerGrades+'!$AB$16,"E+",IF(F458&lt;'PlayerGrades+'!$AB$15,"D-",IF(F458&lt;'PlayerGrades+'!$AB$14,"D",IF(F458&lt;'PlayerGrades+'!$AB$13,"D+",IF(F458&lt;'PlayerGrades+'!$AB$12,"C-",IF(F458&lt;'PlayerGrades+'!$AB$11,"C",IF(F458&lt;'PlayerGrades+'!$AB$10,"C+",IF(F458&lt;'PlayerGrades+'!$AB$9,"B-",IF(F458&lt;'PlayerGrades+'!$AB$8,"B",IF(F458&lt;'PlayerGrades+'!$AB$7,"B+",IF(F458&lt;'PlayerGrades+'!$AB$6,"A-",IF(F458&lt;'PlayerGrades+'!$AB$5,"A",IF(F458&lt;'PlayerGrades+'!$AB$4,"A+",IF(F458&lt;'PlayerGrades+'!$AB$3,"S-",IF(F458&lt;'PlayerGrades+'!$AB$2,"S","S+"))))))))))))))))))))</f>
        <v>#DIV/0!</v>
      </c>
      <c r="H458" s="961" t="str">
        <f t="shared" si="3"/>
        <v>#DIV/0!</v>
      </c>
      <c r="I458" s="961" t="str">
        <f>IF(H458&lt;'PlayerGrades+'!$AC$21,"F-",IF(H458&lt;'PlayerGrades+'!$AC$20,"F",IF(H458&lt;'PlayerGrades+'!$AC$19,"F+",IF(H458&lt;'PlayerGrades+'!$AC$18,"E-",IF(H458&lt;'PlayerGrades+'!$AC$17,"E",IF(H458&lt;'PlayerGrades+'!$AC$16,"E+",IF(H458&lt;'PlayerGrades+'!$AC$15,"D-",IF(H458&lt;'PlayerGrades+'!$AC$14,"D",IF(H458&lt;'PlayerGrades+'!$AC$13,"D+",IF(H458&lt;'PlayerGrades+'!$AC$12,"C-",IF(H458&lt;'PlayerGrades+'!$AC$11,"C",IF(H458&lt;'PlayerGrades+'!$AC$10,"C+",IF(H458&lt;'PlayerGrades+'!$AC$9,"B-",IF(H458&lt;'PlayerGrades+'!$AC$8,"B",IF(H458&lt;'PlayerGrades+'!$AC$7,"B+",IF(H458&lt;'PlayerGrades+'!$AC$6,"A-",IF(H458&lt;'PlayerGrades+'!$AC$5,"A",IF(H458&lt;'PlayerGrades+'!$AC$4,"A+",IF(H458&lt;'PlayerGrades+'!$AC$3,"S-",IF(H458&lt;'PlayerGrades+'!$AC$2,"S","S+"))))))))))))))))))))</f>
        <v>#DIV/0!</v>
      </c>
      <c r="J458" s="961" t="str">
        <f t="shared" si="4"/>
        <v>#DIV/0!</v>
      </c>
      <c r="K458" s="961" t="str">
        <f>IF(J458&lt;'PlayerGrades+'!$AD$21,"F-",IF(J458&lt;'PlayerGrades+'!$AD$20,"F",IF(J458&lt;'PlayerGrades+'!$AD$19,"F+",IF(J458&lt;'PlayerGrades+'!$AD$18,"E-",IF(J458&lt;'PlayerGrades+'!$AD$17,"E",IF(J458&lt;'PlayerGrades+'!$AD$16,"E+",IF(J458&lt;'PlayerGrades+'!$AD$15,"D-",IF(J458&lt;'PlayerGrades+'!$AD$14,"D",IF(J458&lt;'PlayerGrades+'!$AD$13,"D+",IF(J458&lt;'PlayerGrades+'!$AD$12,"C-",IF(J458&lt;'PlayerGrades+'!$AD$11,"C",IF(J458&lt;'PlayerGrades+'!$AD$10,"C+",IF(J458&lt;'PlayerGrades+'!$AD$9,"B-",IF(J458&lt;'PlayerGrades+'!$AD$8,"B",IF(J458&lt;'PlayerGrades+'!$AD$7,"B+",IF(J458&lt;'PlayerGrades+'!$AD$6,"A-",IF(J458&lt;'PlayerGrades+'!$AD$5,"A",IF(J458&lt;'PlayerGrades+'!$AD$4,"A+",IF(J458&lt;'PlayerGrades+'!$AD$3,"S-",IF(J458&lt;'PlayerGrades+'!$AD$2,"S","S+"))))))))))))))))))))</f>
        <v>#DIV/0!</v>
      </c>
      <c r="L458" s="1176" t="str">
        <f t="shared" si="5"/>
        <v>#DIV/0!</v>
      </c>
      <c r="M458" s="992" t="str">
        <f>IF(L458&lt;'PlayerGrades+'!$AE$21,"F-",IF(L458&lt;'PlayerGrades+'!$AE$20,"F",IF(L458&lt;'PlayerGrades+'!$AE$19,"F+",IF(L458&lt;'PlayerGrades+'!$AE$18,"E-",IF(L458&lt;'PlayerGrades+'!$AE$17,"E",IF(L458&lt;'PlayerGrades+'!$AE$16,"E+",IF(L458&lt;'PlayerGrades+'!$AE$15,"D-",IF(L458&lt;'PlayerGrades+'!$AE$14,"D",IF(L458&lt;'PlayerGrades+'!$AE$13,"D+",IF(L458&lt;'PlayerGrades+'!$AE$12,"C-",IF(L458&lt;'PlayerGrades+'!$AE$11,"C",IF(L458&lt;'PlayerGrades+'!$AE$10,"C+",IF(L458&lt;'PlayerGrades+'!$AE$9,"B-",IF(L458&lt;'PlayerGrades+'!$AE$8,"B",IF(L458&lt;'PlayerGrades+'!$AE$7,"B+",IF(L458&lt;'PlayerGrades+'!$AE$6,"A-",IF(L458&lt;'PlayerGrades+'!$AE$5,"A",IF(L458&lt;'PlayerGrades+'!$AE$4,"A+",IF(L458&lt;'PlayerGrades+'!$AE$3,"S-",IF(L458&lt;'PlayerGrades+'!$AE$2,"S","S+"))))))))))))))))))))</f>
        <v>#DIV/0!</v>
      </c>
      <c r="N458" s="961" t="str">
        <f t="shared" si="6"/>
        <v>#DIV/0!</v>
      </c>
      <c r="O458" s="961" t="str">
        <f>IF(N458&lt;'PlayerGrades+'!$AF$21,"F-",IF(N458&lt;'PlayerGrades+'!$AF$20,"F",IF(N458&lt;'PlayerGrades+'!$AF$19,"F+",IF(N458&lt;'PlayerGrades+'!$AF$18,"E-",IF(N458&lt;'PlayerGrades+'!$AF$17,"E",IF(N458&lt;'PlayerGrades+'!$AF$16,"E+",IF(N458&lt;'PlayerGrades+'!$AF$15,"D-",IF(N458&lt;'PlayerGrades+'!$AF$14,"D",IF(N458&lt;'PlayerGrades+'!$AF$13,"D+",IF(N458&lt;'PlayerGrades+'!$AF$12,"C-",IF(N458&lt;'PlayerGrades+'!$AF$11,"C",IF(N458&lt;'PlayerGrades+'!$AF$10,"C+",IF(N458&lt;'PlayerGrades+'!$AF$9,"B-",IF(N458&lt;'PlayerGrades+'!$AF$8,"B",IF(N458&lt;'PlayerGrades+'!$AF$7,"B+",IF(N458&lt;'PlayerGrades+'!$AF$6,"A-",IF(N458&lt;'PlayerGrades+'!$AF$5,"A",IF(N458&lt;'PlayerGrades+'!$AF$4,"A+",IF(N458&lt;'PlayerGrades+'!$AF$3,"S-",IF(N458&lt;'PlayerGrades+'!$AF$2,"S","S+"))))))))))))))))))))</f>
        <v>#DIV/0!</v>
      </c>
      <c r="P458" s="961" t="str">
        <f t="shared" si="7"/>
        <v>#DIV/0!</v>
      </c>
      <c r="Q458" s="961" t="str">
        <f>IF(P458&lt;'PlayerGrades+'!$AG$21,"F-",IF(P458&lt;'PlayerGrades+'!$AG$20,"F",IF(P458&lt;'PlayerGrades+'!$AG$19,"F+",IF(P458&lt;'PlayerGrades+'!$AG$18,"E-",IF(P458&lt;'PlayerGrades+'!$AG$17,"E",IF(P458&lt;'PlayerGrades+'!$AG$16,"E+",IF(P458&lt;'PlayerGrades+'!$AG$15,"D-",IF(P458&lt;'PlayerGrades+'!$AG$14,"D",IF(P458&lt;'PlayerGrades+'!$AG$13,"D+",IF(P458&lt;'PlayerGrades+'!$AG$12,"C-",IF(P458&lt;'PlayerGrades+'!$AG$11,"C",IF(P458&lt;'PlayerGrades+'!$AG$10,"C+",IF(P458&lt;'PlayerGrades+'!$AG$9,"B-",IF(P458&lt;'PlayerGrades+'!$AG$8,"B",IF(P458&lt;'PlayerGrades+'!$AG$7,"B+",IF(P458&lt;'PlayerGrades+'!$AG$6,"A-",IF(P458&lt;'PlayerGrades+'!$AG$5,"A",IF(P458&lt;'PlayerGrades+'!$AG$4,"A+",IF(P458&lt;'PlayerGrades+'!$AG$3,"S-",IF(P458&lt;'PlayerGrades+'!$AG$2,"S","S+"))))))))))))))))))))</f>
        <v>#DIV/0!</v>
      </c>
      <c r="R458" s="961" t="str">
        <f t="shared" si="8"/>
        <v>#DIV/0!</v>
      </c>
      <c r="S458" s="961" t="str">
        <f>IF(R458&lt;'PlayerGrades+'!$AH$21,"F-",IF(R458&lt;'PlayerGrades+'!$AH$20,"F",IF(R458&lt;'PlayerGrades+'!$AH$19,"F+",IF(R458&lt;'PlayerGrades+'!$AH$18,"E-",IF(R458&lt;'PlayerGrades+'!$AH$17,"E",IF(R458&lt;'PlayerGrades+'!$AH$16,"E+",IF(R458&lt;'PlayerGrades+'!$AH$15,"D-",IF(R458&lt;'PlayerGrades+'!$AH$14,"D",IF(R458&lt;'PlayerGrades+'!$AH$13,"D+",IF(R458&lt;'PlayerGrades+'!$AH$12,"C-",IF(R458&lt;'PlayerGrades+'!$AH$11,"C",IF(R458&lt;'PlayerGrades+'!$AH$10,"C+",IF(R458&lt;'PlayerGrades+'!$AH$9,"B-",IF(R458&lt;'PlayerGrades+'!$AH$8,"B",IF(R458&lt;'PlayerGrades+'!$AH$7,"B+",IF(R458&lt;'PlayerGrades+'!$AH$6,"A-",IF(R458&lt;'PlayerGrades+'!$AH$5,"A",IF(R458&lt;'PlayerGrades+'!$AH$4,"A+",IF(R458&lt;'PlayerGrades+'!$AH$3,"S-",IF(R458&lt;'PlayerGrades+'!$AH$2,"S","S+"))))))))))))))))))))</f>
        <v>#DIV/0!</v>
      </c>
      <c r="T458" s="961">
        <f t="shared" si="9"/>
        <v>0</v>
      </c>
      <c r="U458" s="961" t="str">
        <f>IF(T458&lt;'PlayerGrades+'!$AI$21,"F-",IF(T458&lt;'PlayerGrades+'!$AI$20,"F",IF(T458&lt;'PlayerGrades+'!$AI$19,"F+",IF(T458&lt;'PlayerGrades+'!$AI$18,"E-",IF(T458&lt;'PlayerGrades+'!$AI$17,"E",IF(T458&lt;'PlayerGrades+'!$AI$16,"E+",IF(T458&lt;'PlayerGrades+'!$AI$15,"D-",IF(T458&lt;'PlayerGrades+'!$AI$14,"D",IF(T458&lt;'PlayerGrades+'!$AI$13,"D+",IF(T458&lt;'PlayerGrades+'!$AI$12,"C-",IF(T458&lt;'PlayerGrades+'!$AI$11,"C",IF(T458&lt;'PlayerGrades+'!$AI$10,"C+",IF(T458&lt;'PlayerGrades+'!$AI$9,"B-",IF(T458&lt;'PlayerGrades+'!$AI$8,"B",IF(T458&lt;'PlayerGrades+'!$AI$7,"B+",IF(T458&lt;'PlayerGrades+'!$AI$6,"A-",IF(T458&lt;'PlayerGrades+'!$AI$5,"A",IF(T458&lt;'PlayerGrades+'!$AI$4,"A+",IF(T458&lt;'PlayerGrades+'!$AI$3,"S-",IF(T458&lt;'PlayerGrades+'!$AI$2,"S","S+"))))))))))))))))))))</f>
        <v>F-</v>
      </c>
      <c r="AC458" s="1392"/>
    </row>
    <row r="459">
      <c r="A459" s="1408"/>
      <c r="B459" s="611" t="str">
        <f>IF(C459&lt;'PlayerGrades+'!$Y$44,"F-",IF(C459&lt;'PlayerGrades+'!$Y$43,"F",IF(C459&lt;'PlayerGrades+'!$Y$42,"F+",IF(C459&lt;'PlayerGrades+'!$Y$41,"E-",IF(C459&lt;'PlayerGrades+'!$Y$40,"E",IF(C459&lt;'PlayerGrades+'!$Y$39,"E+",IF(C459&lt;'PlayerGrades+'!$Y$38,"D-",IF(C459&lt;'PlayerGrades+'!$Y$37,"D",IF(C459&lt;'PlayerGrades+'!$Y$36,"D+",IF(C459&lt;'PlayerGrades+'!$Y$35,"C-",IF(C459&lt;'PlayerGrades+'!$Y$34,"C",IF(C459&lt;'PlayerGrades+'!$Y$33,"C+",IF(C459&lt;'PlayerGrades+'!$Y$32,"B-",IF(C459&lt;'PlayerGrades+'!$Y$31,"B",IF(C459&lt;'PlayerGrades+'!$Y$30,"B+",IF(C459&lt;'PlayerGrades+'!$Y$29,"A-",IF(C459&lt;'PlayerGrades+'!$Y$28,"A",IF(C459&lt;'PlayerGrades+'!$Y$27,"A+",IF(C459&lt;'PlayerGrades+'!$Y$26,"S-",IF(C459&lt;'PlayerGrades+'!$Y$25,"S","S+"))))))))))))))))))))</f>
        <v>#DIV/0!</v>
      </c>
      <c r="C459" s="1378" t="str">
        <f>('PlayerGrades+'!$Y$47*(VLOOKUP(E459, 'PlayerGrades+'!$X$3:$Y$23, 2, FALSE)))+('PlayerGrades+'!$Y$48*(VLOOKUP(G459, 'PlayerGrades+'!$X$3:$Y$23, 2, FALSE)))+('PlayerGrades+'!$Y$49*(VLOOKUP(I459, 'PlayerGrades+'!$X$3:$Y$23, 2, FALSE)))+('PlayerGrades+'!$Y$50*(VLOOKUP(K459, 'PlayerGrades+'!$X$3:$Y$23, 2, FALSE)))+('PlayerGrades+'!$Y$51*(VLOOKUP(M459, 'PlayerGrades+'!$X$3:$Y$23, 2, FALSE)))+('PlayerGrades+'!$Y$52*(VLOOKUP(O459, 'PlayerGrades+'!$X$3:$Y$23, 2, FALSE)))+('PlayerGrades+'!$Y$53*(VLOOKUP(Q459, 'PlayerGrades+'!$X$3:$Y$23, 2, FALSE)))+('PlayerGrades+'!$Y$54*(VLOOKUP(S459, 'PlayerGrades+'!$X$3:$Y$23, 2, FALSE)))+('PlayerGrades+'!$Y$55*(VLOOKUP(U459, 'PlayerGrades+'!$X$3:$Y$23, 2, FALSE)))</f>
        <v>#DIV/0!</v>
      </c>
      <c r="D459" s="961" t="str">
        <f t="shared" si="1"/>
        <v>#DIV/0!</v>
      </c>
      <c r="E459" s="961" t="str">
        <f>IF(D459&lt;'PlayerGrades+'!$AA$21,"F-",IF(D459&lt;'PlayerGrades+'!$AA$20,"F",IF(D459&lt;'PlayerGrades+'!$AA$19,"F+",IF(D459&lt;'PlayerGrades+'!$AA$18,"E-",IF(D459&lt;'PlayerGrades+'!$AA$17,"E",IF(D459&lt;'PlayerGrades+'!$AA$16,"E+",IF(D459&lt;'PlayerGrades+'!$AA$15,"D-",IF(D459&lt;'PlayerGrades+'!$AA$14,"D",IF(D459&lt;'PlayerGrades+'!$AA$13,"D+",IF(D459&lt;'PlayerGrades+'!$AA$12,"C-",IF(D459&lt;'PlayerGrades+'!$AA$11,"C",IF(D459&lt;'PlayerGrades+'!$AA$10,"C+",IF(D459&lt;'PlayerGrades+'!$AA$9,"B-",IF(D459&lt;'PlayerGrades+'!$AA$8,"B",IF(D459&lt;'PlayerGrades+'!$AA$7,"B+",IF(D459&lt;'PlayerGrades+'!$AA$6,"A-",IF(D459&lt;'PlayerGrades+'!$AA$5,"A",IF(D459&lt;'PlayerGrades+'!$AA$4,"A+",IF(D459&lt;'PlayerGrades+'!$AA$3,"S-",IF(D459&lt;'PlayerGrades+'!$AA$2,"S","S+"))))))))))))))))))))</f>
        <v>#DIV/0!</v>
      </c>
      <c r="F459" s="961" t="str">
        <f t="shared" si="2"/>
        <v>#DIV/0!</v>
      </c>
      <c r="G459" s="961" t="str">
        <f>IF(F459&lt;'PlayerGrades+'!$AB$21,"F-",IF(F459&lt;'PlayerGrades+'!$AB$20,"F",IF(F459&lt;'PlayerGrades+'!$AB$19,"F+",IF(F459&lt;'PlayerGrades+'!$AB$18,"E-",IF(F459&lt;'PlayerGrades+'!$AB$17,"E",IF(F459&lt;'PlayerGrades+'!$AB$16,"E+",IF(F459&lt;'PlayerGrades+'!$AB$15,"D-",IF(F459&lt;'PlayerGrades+'!$AB$14,"D",IF(F459&lt;'PlayerGrades+'!$AB$13,"D+",IF(F459&lt;'PlayerGrades+'!$AB$12,"C-",IF(F459&lt;'PlayerGrades+'!$AB$11,"C",IF(F459&lt;'PlayerGrades+'!$AB$10,"C+",IF(F459&lt;'PlayerGrades+'!$AB$9,"B-",IF(F459&lt;'PlayerGrades+'!$AB$8,"B",IF(F459&lt;'PlayerGrades+'!$AB$7,"B+",IF(F459&lt;'PlayerGrades+'!$AB$6,"A-",IF(F459&lt;'PlayerGrades+'!$AB$5,"A",IF(F459&lt;'PlayerGrades+'!$AB$4,"A+",IF(F459&lt;'PlayerGrades+'!$AB$3,"S-",IF(F459&lt;'PlayerGrades+'!$AB$2,"S","S+"))))))))))))))))))))</f>
        <v>#DIV/0!</v>
      </c>
      <c r="H459" s="961" t="str">
        <f t="shared" si="3"/>
        <v>#DIV/0!</v>
      </c>
      <c r="I459" s="961" t="str">
        <f>IF(H459&lt;'PlayerGrades+'!$AC$21,"F-",IF(H459&lt;'PlayerGrades+'!$AC$20,"F",IF(H459&lt;'PlayerGrades+'!$AC$19,"F+",IF(H459&lt;'PlayerGrades+'!$AC$18,"E-",IF(H459&lt;'PlayerGrades+'!$AC$17,"E",IF(H459&lt;'PlayerGrades+'!$AC$16,"E+",IF(H459&lt;'PlayerGrades+'!$AC$15,"D-",IF(H459&lt;'PlayerGrades+'!$AC$14,"D",IF(H459&lt;'PlayerGrades+'!$AC$13,"D+",IF(H459&lt;'PlayerGrades+'!$AC$12,"C-",IF(H459&lt;'PlayerGrades+'!$AC$11,"C",IF(H459&lt;'PlayerGrades+'!$AC$10,"C+",IF(H459&lt;'PlayerGrades+'!$AC$9,"B-",IF(H459&lt;'PlayerGrades+'!$AC$8,"B",IF(H459&lt;'PlayerGrades+'!$AC$7,"B+",IF(H459&lt;'PlayerGrades+'!$AC$6,"A-",IF(H459&lt;'PlayerGrades+'!$AC$5,"A",IF(H459&lt;'PlayerGrades+'!$AC$4,"A+",IF(H459&lt;'PlayerGrades+'!$AC$3,"S-",IF(H459&lt;'PlayerGrades+'!$AC$2,"S","S+"))))))))))))))))))))</f>
        <v>#DIV/0!</v>
      </c>
      <c r="J459" s="961" t="str">
        <f t="shared" si="4"/>
        <v>#DIV/0!</v>
      </c>
      <c r="K459" s="961" t="str">
        <f>IF(J459&lt;'PlayerGrades+'!$AD$21,"F-",IF(J459&lt;'PlayerGrades+'!$AD$20,"F",IF(J459&lt;'PlayerGrades+'!$AD$19,"F+",IF(J459&lt;'PlayerGrades+'!$AD$18,"E-",IF(J459&lt;'PlayerGrades+'!$AD$17,"E",IF(J459&lt;'PlayerGrades+'!$AD$16,"E+",IF(J459&lt;'PlayerGrades+'!$AD$15,"D-",IF(J459&lt;'PlayerGrades+'!$AD$14,"D",IF(J459&lt;'PlayerGrades+'!$AD$13,"D+",IF(J459&lt;'PlayerGrades+'!$AD$12,"C-",IF(J459&lt;'PlayerGrades+'!$AD$11,"C",IF(J459&lt;'PlayerGrades+'!$AD$10,"C+",IF(J459&lt;'PlayerGrades+'!$AD$9,"B-",IF(J459&lt;'PlayerGrades+'!$AD$8,"B",IF(J459&lt;'PlayerGrades+'!$AD$7,"B+",IF(J459&lt;'PlayerGrades+'!$AD$6,"A-",IF(J459&lt;'PlayerGrades+'!$AD$5,"A",IF(J459&lt;'PlayerGrades+'!$AD$4,"A+",IF(J459&lt;'PlayerGrades+'!$AD$3,"S-",IF(J459&lt;'PlayerGrades+'!$AD$2,"S","S+"))))))))))))))))))))</f>
        <v>#DIV/0!</v>
      </c>
      <c r="L459" s="1176" t="str">
        <f t="shared" si="5"/>
        <v>#DIV/0!</v>
      </c>
      <c r="M459" s="992" t="str">
        <f>IF(L459&lt;'PlayerGrades+'!$AE$21,"F-",IF(L459&lt;'PlayerGrades+'!$AE$20,"F",IF(L459&lt;'PlayerGrades+'!$AE$19,"F+",IF(L459&lt;'PlayerGrades+'!$AE$18,"E-",IF(L459&lt;'PlayerGrades+'!$AE$17,"E",IF(L459&lt;'PlayerGrades+'!$AE$16,"E+",IF(L459&lt;'PlayerGrades+'!$AE$15,"D-",IF(L459&lt;'PlayerGrades+'!$AE$14,"D",IF(L459&lt;'PlayerGrades+'!$AE$13,"D+",IF(L459&lt;'PlayerGrades+'!$AE$12,"C-",IF(L459&lt;'PlayerGrades+'!$AE$11,"C",IF(L459&lt;'PlayerGrades+'!$AE$10,"C+",IF(L459&lt;'PlayerGrades+'!$AE$9,"B-",IF(L459&lt;'PlayerGrades+'!$AE$8,"B",IF(L459&lt;'PlayerGrades+'!$AE$7,"B+",IF(L459&lt;'PlayerGrades+'!$AE$6,"A-",IF(L459&lt;'PlayerGrades+'!$AE$5,"A",IF(L459&lt;'PlayerGrades+'!$AE$4,"A+",IF(L459&lt;'PlayerGrades+'!$AE$3,"S-",IF(L459&lt;'PlayerGrades+'!$AE$2,"S","S+"))))))))))))))))))))</f>
        <v>#DIV/0!</v>
      </c>
      <c r="N459" s="961" t="str">
        <f t="shared" si="6"/>
        <v>#DIV/0!</v>
      </c>
      <c r="O459" s="961" t="str">
        <f>IF(N459&lt;'PlayerGrades+'!$AF$21,"F-",IF(N459&lt;'PlayerGrades+'!$AF$20,"F",IF(N459&lt;'PlayerGrades+'!$AF$19,"F+",IF(N459&lt;'PlayerGrades+'!$AF$18,"E-",IF(N459&lt;'PlayerGrades+'!$AF$17,"E",IF(N459&lt;'PlayerGrades+'!$AF$16,"E+",IF(N459&lt;'PlayerGrades+'!$AF$15,"D-",IF(N459&lt;'PlayerGrades+'!$AF$14,"D",IF(N459&lt;'PlayerGrades+'!$AF$13,"D+",IF(N459&lt;'PlayerGrades+'!$AF$12,"C-",IF(N459&lt;'PlayerGrades+'!$AF$11,"C",IF(N459&lt;'PlayerGrades+'!$AF$10,"C+",IF(N459&lt;'PlayerGrades+'!$AF$9,"B-",IF(N459&lt;'PlayerGrades+'!$AF$8,"B",IF(N459&lt;'PlayerGrades+'!$AF$7,"B+",IF(N459&lt;'PlayerGrades+'!$AF$6,"A-",IF(N459&lt;'PlayerGrades+'!$AF$5,"A",IF(N459&lt;'PlayerGrades+'!$AF$4,"A+",IF(N459&lt;'PlayerGrades+'!$AF$3,"S-",IF(N459&lt;'PlayerGrades+'!$AF$2,"S","S+"))))))))))))))))))))</f>
        <v>#DIV/0!</v>
      </c>
      <c r="P459" s="961" t="str">
        <f t="shared" si="7"/>
        <v>#DIV/0!</v>
      </c>
      <c r="Q459" s="961" t="str">
        <f>IF(P459&lt;'PlayerGrades+'!$AG$21,"F-",IF(P459&lt;'PlayerGrades+'!$AG$20,"F",IF(P459&lt;'PlayerGrades+'!$AG$19,"F+",IF(P459&lt;'PlayerGrades+'!$AG$18,"E-",IF(P459&lt;'PlayerGrades+'!$AG$17,"E",IF(P459&lt;'PlayerGrades+'!$AG$16,"E+",IF(P459&lt;'PlayerGrades+'!$AG$15,"D-",IF(P459&lt;'PlayerGrades+'!$AG$14,"D",IF(P459&lt;'PlayerGrades+'!$AG$13,"D+",IF(P459&lt;'PlayerGrades+'!$AG$12,"C-",IF(P459&lt;'PlayerGrades+'!$AG$11,"C",IF(P459&lt;'PlayerGrades+'!$AG$10,"C+",IF(P459&lt;'PlayerGrades+'!$AG$9,"B-",IF(P459&lt;'PlayerGrades+'!$AG$8,"B",IF(P459&lt;'PlayerGrades+'!$AG$7,"B+",IF(P459&lt;'PlayerGrades+'!$AG$6,"A-",IF(P459&lt;'PlayerGrades+'!$AG$5,"A",IF(P459&lt;'PlayerGrades+'!$AG$4,"A+",IF(P459&lt;'PlayerGrades+'!$AG$3,"S-",IF(P459&lt;'PlayerGrades+'!$AG$2,"S","S+"))))))))))))))))))))</f>
        <v>#DIV/0!</v>
      </c>
      <c r="R459" s="961" t="str">
        <f t="shared" si="8"/>
        <v>#DIV/0!</v>
      </c>
      <c r="S459" s="961" t="str">
        <f>IF(R459&lt;'PlayerGrades+'!$AH$21,"F-",IF(R459&lt;'PlayerGrades+'!$AH$20,"F",IF(R459&lt;'PlayerGrades+'!$AH$19,"F+",IF(R459&lt;'PlayerGrades+'!$AH$18,"E-",IF(R459&lt;'PlayerGrades+'!$AH$17,"E",IF(R459&lt;'PlayerGrades+'!$AH$16,"E+",IF(R459&lt;'PlayerGrades+'!$AH$15,"D-",IF(R459&lt;'PlayerGrades+'!$AH$14,"D",IF(R459&lt;'PlayerGrades+'!$AH$13,"D+",IF(R459&lt;'PlayerGrades+'!$AH$12,"C-",IF(R459&lt;'PlayerGrades+'!$AH$11,"C",IF(R459&lt;'PlayerGrades+'!$AH$10,"C+",IF(R459&lt;'PlayerGrades+'!$AH$9,"B-",IF(R459&lt;'PlayerGrades+'!$AH$8,"B",IF(R459&lt;'PlayerGrades+'!$AH$7,"B+",IF(R459&lt;'PlayerGrades+'!$AH$6,"A-",IF(R459&lt;'PlayerGrades+'!$AH$5,"A",IF(R459&lt;'PlayerGrades+'!$AH$4,"A+",IF(R459&lt;'PlayerGrades+'!$AH$3,"S-",IF(R459&lt;'PlayerGrades+'!$AH$2,"S","S+"))))))))))))))))))))</f>
        <v>#DIV/0!</v>
      </c>
      <c r="T459" s="961">
        <f t="shared" si="9"/>
        <v>0</v>
      </c>
      <c r="U459" s="961" t="str">
        <f>IF(T459&lt;'PlayerGrades+'!$AI$21,"F-",IF(T459&lt;'PlayerGrades+'!$AI$20,"F",IF(T459&lt;'PlayerGrades+'!$AI$19,"F+",IF(T459&lt;'PlayerGrades+'!$AI$18,"E-",IF(T459&lt;'PlayerGrades+'!$AI$17,"E",IF(T459&lt;'PlayerGrades+'!$AI$16,"E+",IF(T459&lt;'PlayerGrades+'!$AI$15,"D-",IF(T459&lt;'PlayerGrades+'!$AI$14,"D",IF(T459&lt;'PlayerGrades+'!$AI$13,"D+",IF(T459&lt;'PlayerGrades+'!$AI$12,"C-",IF(T459&lt;'PlayerGrades+'!$AI$11,"C",IF(T459&lt;'PlayerGrades+'!$AI$10,"C+",IF(T459&lt;'PlayerGrades+'!$AI$9,"B-",IF(T459&lt;'PlayerGrades+'!$AI$8,"B",IF(T459&lt;'PlayerGrades+'!$AI$7,"B+",IF(T459&lt;'PlayerGrades+'!$AI$6,"A-",IF(T459&lt;'PlayerGrades+'!$AI$5,"A",IF(T459&lt;'PlayerGrades+'!$AI$4,"A+",IF(T459&lt;'PlayerGrades+'!$AI$3,"S-",IF(T459&lt;'PlayerGrades+'!$AI$2,"S","S+"))))))))))))))))))))</f>
        <v>F-</v>
      </c>
      <c r="AC459" s="1392"/>
    </row>
    <row r="460">
      <c r="A460" s="1408"/>
      <c r="B460" s="611" t="str">
        <f>IF(C460&lt;'PlayerGrades+'!$Y$44,"F-",IF(C460&lt;'PlayerGrades+'!$Y$43,"F",IF(C460&lt;'PlayerGrades+'!$Y$42,"F+",IF(C460&lt;'PlayerGrades+'!$Y$41,"E-",IF(C460&lt;'PlayerGrades+'!$Y$40,"E",IF(C460&lt;'PlayerGrades+'!$Y$39,"E+",IF(C460&lt;'PlayerGrades+'!$Y$38,"D-",IF(C460&lt;'PlayerGrades+'!$Y$37,"D",IF(C460&lt;'PlayerGrades+'!$Y$36,"D+",IF(C460&lt;'PlayerGrades+'!$Y$35,"C-",IF(C460&lt;'PlayerGrades+'!$Y$34,"C",IF(C460&lt;'PlayerGrades+'!$Y$33,"C+",IF(C460&lt;'PlayerGrades+'!$Y$32,"B-",IF(C460&lt;'PlayerGrades+'!$Y$31,"B",IF(C460&lt;'PlayerGrades+'!$Y$30,"B+",IF(C460&lt;'PlayerGrades+'!$Y$29,"A-",IF(C460&lt;'PlayerGrades+'!$Y$28,"A",IF(C460&lt;'PlayerGrades+'!$Y$27,"A+",IF(C460&lt;'PlayerGrades+'!$Y$26,"S-",IF(C460&lt;'PlayerGrades+'!$Y$25,"S","S+"))))))))))))))))))))</f>
        <v>#DIV/0!</v>
      </c>
      <c r="C460" s="1378" t="str">
        <f>('PlayerGrades+'!$Y$47*(VLOOKUP(E460, 'PlayerGrades+'!$X$3:$Y$23, 2, FALSE)))+('PlayerGrades+'!$Y$48*(VLOOKUP(G460, 'PlayerGrades+'!$X$3:$Y$23, 2, FALSE)))+('PlayerGrades+'!$Y$49*(VLOOKUP(I460, 'PlayerGrades+'!$X$3:$Y$23, 2, FALSE)))+('PlayerGrades+'!$Y$50*(VLOOKUP(K460, 'PlayerGrades+'!$X$3:$Y$23, 2, FALSE)))+('PlayerGrades+'!$Y$51*(VLOOKUP(M460, 'PlayerGrades+'!$X$3:$Y$23, 2, FALSE)))+('PlayerGrades+'!$Y$52*(VLOOKUP(O460, 'PlayerGrades+'!$X$3:$Y$23, 2, FALSE)))+('PlayerGrades+'!$Y$53*(VLOOKUP(Q460, 'PlayerGrades+'!$X$3:$Y$23, 2, FALSE)))+('PlayerGrades+'!$Y$54*(VLOOKUP(S460, 'PlayerGrades+'!$X$3:$Y$23, 2, FALSE)))+('PlayerGrades+'!$Y$55*(VLOOKUP(U460, 'PlayerGrades+'!$X$3:$Y$23, 2, FALSE)))</f>
        <v>#DIV/0!</v>
      </c>
      <c r="D460" s="961" t="str">
        <f t="shared" si="1"/>
        <v>#DIV/0!</v>
      </c>
      <c r="E460" s="961" t="str">
        <f>IF(D460&lt;'PlayerGrades+'!$AA$21,"F-",IF(D460&lt;'PlayerGrades+'!$AA$20,"F",IF(D460&lt;'PlayerGrades+'!$AA$19,"F+",IF(D460&lt;'PlayerGrades+'!$AA$18,"E-",IF(D460&lt;'PlayerGrades+'!$AA$17,"E",IF(D460&lt;'PlayerGrades+'!$AA$16,"E+",IF(D460&lt;'PlayerGrades+'!$AA$15,"D-",IF(D460&lt;'PlayerGrades+'!$AA$14,"D",IF(D460&lt;'PlayerGrades+'!$AA$13,"D+",IF(D460&lt;'PlayerGrades+'!$AA$12,"C-",IF(D460&lt;'PlayerGrades+'!$AA$11,"C",IF(D460&lt;'PlayerGrades+'!$AA$10,"C+",IF(D460&lt;'PlayerGrades+'!$AA$9,"B-",IF(D460&lt;'PlayerGrades+'!$AA$8,"B",IF(D460&lt;'PlayerGrades+'!$AA$7,"B+",IF(D460&lt;'PlayerGrades+'!$AA$6,"A-",IF(D460&lt;'PlayerGrades+'!$AA$5,"A",IF(D460&lt;'PlayerGrades+'!$AA$4,"A+",IF(D460&lt;'PlayerGrades+'!$AA$3,"S-",IF(D460&lt;'PlayerGrades+'!$AA$2,"S","S+"))))))))))))))))))))</f>
        <v>#DIV/0!</v>
      </c>
      <c r="F460" s="961" t="str">
        <f t="shared" si="2"/>
        <v>#DIV/0!</v>
      </c>
      <c r="G460" s="961" t="str">
        <f>IF(F460&lt;'PlayerGrades+'!$AB$21,"F-",IF(F460&lt;'PlayerGrades+'!$AB$20,"F",IF(F460&lt;'PlayerGrades+'!$AB$19,"F+",IF(F460&lt;'PlayerGrades+'!$AB$18,"E-",IF(F460&lt;'PlayerGrades+'!$AB$17,"E",IF(F460&lt;'PlayerGrades+'!$AB$16,"E+",IF(F460&lt;'PlayerGrades+'!$AB$15,"D-",IF(F460&lt;'PlayerGrades+'!$AB$14,"D",IF(F460&lt;'PlayerGrades+'!$AB$13,"D+",IF(F460&lt;'PlayerGrades+'!$AB$12,"C-",IF(F460&lt;'PlayerGrades+'!$AB$11,"C",IF(F460&lt;'PlayerGrades+'!$AB$10,"C+",IF(F460&lt;'PlayerGrades+'!$AB$9,"B-",IF(F460&lt;'PlayerGrades+'!$AB$8,"B",IF(F460&lt;'PlayerGrades+'!$AB$7,"B+",IF(F460&lt;'PlayerGrades+'!$AB$6,"A-",IF(F460&lt;'PlayerGrades+'!$AB$5,"A",IF(F460&lt;'PlayerGrades+'!$AB$4,"A+",IF(F460&lt;'PlayerGrades+'!$AB$3,"S-",IF(F460&lt;'PlayerGrades+'!$AB$2,"S","S+"))))))))))))))))))))</f>
        <v>#DIV/0!</v>
      </c>
      <c r="H460" s="961" t="str">
        <f t="shared" si="3"/>
        <v>#DIV/0!</v>
      </c>
      <c r="I460" s="961" t="str">
        <f>IF(H460&lt;'PlayerGrades+'!$AC$21,"F-",IF(H460&lt;'PlayerGrades+'!$AC$20,"F",IF(H460&lt;'PlayerGrades+'!$AC$19,"F+",IF(H460&lt;'PlayerGrades+'!$AC$18,"E-",IF(H460&lt;'PlayerGrades+'!$AC$17,"E",IF(H460&lt;'PlayerGrades+'!$AC$16,"E+",IF(H460&lt;'PlayerGrades+'!$AC$15,"D-",IF(H460&lt;'PlayerGrades+'!$AC$14,"D",IF(H460&lt;'PlayerGrades+'!$AC$13,"D+",IF(H460&lt;'PlayerGrades+'!$AC$12,"C-",IF(H460&lt;'PlayerGrades+'!$AC$11,"C",IF(H460&lt;'PlayerGrades+'!$AC$10,"C+",IF(H460&lt;'PlayerGrades+'!$AC$9,"B-",IF(H460&lt;'PlayerGrades+'!$AC$8,"B",IF(H460&lt;'PlayerGrades+'!$AC$7,"B+",IF(H460&lt;'PlayerGrades+'!$AC$6,"A-",IF(H460&lt;'PlayerGrades+'!$AC$5,"A",IF(H460&lt;'PlayerGrades+'!$AC$4,"A+",IF(H460&lt;'PlayerGrades+'!$AC$3,"S-",IF(H460&lt;'PlayerGrades+'!$AC$2,"S","S+"))))))))))))))))))))</f>
        <v>#DIV/0!</v>
      </c>
      <c r="J460" s="961" t="str">
        <f t="shared" si="4"/>
        <v>#DIV/0!</v>
      </c>
      <c r="K460" s="961" t="str">
        <f>IF(J460&lt;'PlayerGrades+'!$AD$21,"F-",IF(J460&lt;'PlayerGrades+'!$AD$20,"F",IF(J460&lt;'PlayerGrades+'!$AD$19,"F+",IF(J460&lt;'PlayerGrades+'!$AD$18,"E-",IF(J460&lt;'PlayerGrades+'!$AD$17,"E",IF(J460&lt;'PlayerGrades+'!$AD$16,"E+",IF(J460&lt;'PlayerGrades+'!$AD$15,"D-",IF(J460&lt;'PlayerGrades+'!$AD$14,"D",IF(J460&lt;'PlayerGrades+'!$AD$13,"D+",IF(J460&lt;'PlayerGrades+'!$AD$12,"C-",IF(J460&lt;'PlayerGrades+'!$AD$11,"C",IF(J460&lt;'PlayerGrades+'!$AD$10,"C+",IF(J460&lt;'PlayerGrades+'!$AD$9,"B-",IF(J460&lt;'PlayerGrades+'!$AD$8,"B",IF(J460&lt;'PlayerGrades+'!$AD$7,"B+",IF(J460&lt;'PlayerGrades+'!$AD$6,"A-",IF(J460&lt;'PlayerGrades+'!$AD$5,"A",IF(J460&lt;'PlayerGrades+'!$AD$4,"A+",IF(J460&lt;'PlayerGrades+'!$AD$3,"S-",IF(J460&lt;'PlayerGrades+'!$AD$2,"S","S+"))))))))))))))))))))</f>
        <v>#DIV/0!</v>
      </c>
      <c r="L460" s="1176" t="str">
        <f t="shared" si="5"/>
        <v>#DIV/0!</v>
      </c>
      <c r="M460" s="992" t="str">
        <f>IF(L460&lt;'PlayerGrades+'!$AE$21,"F-",IF(L460&lt;'PlayerGrades+'!$AE$20,"F",IF(L460&lt;'PlayerGrades+'!$AE$19,"F+",IF(L460&lt;'PlayerGrades+'!$AE$18,"E-",IF(L460&lt;'PlayerGrades+'!$AE$17,"E",IF(L460&lt;'PlayerGrades+'!$AE$16,"E+",IF(L460&lt;'PlayerGrades+'!$AE$15,"D-",IF(L460&lt;'PlayerGrades+'!$AE$14,"D",IF(L460&lt;'PlayerGrades+'!$AE$13,"D+",IF(L460&lt;'PlayerGrades+'!$AE$12,"C-",IF(L460&lt;'PlayerGrades+'!$AE$11,"C",IF(L460&lt;'PlayerGrades+'!$AE$10,"C+",IF(L460&lt;'PlayerGrades+'!$AE$9,"B-",IF(L460&lt;'PlayerGrades+'!$AE$8,"B",IF(L460&lt;'PlayerGrades+'!$AE$7,"B+",IF(L460&lt;'PlayerGrades+'!$AE$6,"A-",IF(L460&lt;'PlayerGrades+'!$AE$5,"A",IF(L460&lt;'PlayerGrades+'!$AE$4,"A+",IF(L460&lt;'PlayerGrades+'!$AE$3,"S-",IF(L460&lt;'PlayerGrades+'!$AE$2,"S","S+"))))))))))))))))))))</f>
        <v>#DIV/0!</v>
      </c>
      <c r="N460" s="961" t="str">
        <f t="shared" si="6"/>
        <v>#DIV/0!</v>
      </c>
      <c r="O460" s="961" t="str">
        <f>IF(N460&lt;'PlayerGrades+'!$AF$21,"F-",IF(N460&lt;'PlayerGrades+'!$AF$20,"F",IF(N460&lt;'PlayerGrades+'!$AF$19,"F+",IF(N460&lt;'PlayerGrades+'!$AF$18,"E-",IF(N460&lt;'PlayerGrades+'!$AF$17,"E",IF(N460&lt;'PlayerGrades+'!$AF$16,"E+",IF(N460&lt;'PlayerGrades+'!$AF$15,"D-",IF(N460&lt;'PlayerGrades+'!$AF$14,"D",IF(N460&lt;'PlayerGrades+'!$AF$13,"D+",IF(N460&lt;'PlayerGrades+'!$AF$12,"C-",IF(N460&lt;'PlayerGrades+'!$AF$11,"C",IF(N460&lt;'PlayerGrades+'!$AF$10,"C+",IF(N460&lt;'PlayerGrades+'!$AF$9,"B-",IF(N460&lt;'PlayerGrades+'!$AF$8,"B",IF(N460&lt;'PlayerGrades+'!$AF$7,"B+",IF(N460&lt;'PlayerGrades+'!$AF$6,"A-",IF(N460&lt;'PlayerGrades+'!$AF$5,"A",IF(N460&lt;'PlayerGrades+'!$AF$4,"A+",IF(N460&lt;'PlayerGrades+'!$AF$3,"S-",IF(N460&lt;'PlayerGrades+'!$AF$2,"S","S+"))))))))))))))))))))</f>
        <v>#DIV/0!</v>
      </c>
      <c r="P460" s="961" t="str">
        <f t="shared" si="7"/>
        <v>#DIV/0!</v>
      </c>
      <c r="Q460" s="961" t="str">
        <f>IF(P460&lt;'PlayerGrades+'!$AG$21,"F-",IF(P460&lt;'PlayerGrades+'!$AG$20,"F",IF(P460&lt;'PlayerGrades+'!$AG$19,"F+",IF(P460&lt;'PlayerGrades+'!$AG$18,"E-",IF(P460&lt;'PlayerGrades+'!$AG$17,"E",IF(P460&lt;'PlayerGrades+'!$AG$16,"E+",IF(P460&lt;'PlayerGrades+'!$AG$15,"D-",IF(P460&lt;'PlayerGrades+'!$AG$14,"D",IF(P460&lt;'PlayerGrades+'!$AG$13,"D+",IF(P460&lt;'PlayerGrades+'!$AG$12,"C-",IF(P460&lt;'PlayerGrades+'!$AG$11,"C",IF(P460&lt;'PlayerGrades+'!$AG$10,"C+",IF(P460&lt;'PlayerGrades+'!$AG$9,"B-",IF(P460&lt;'PlayerGrades+'!$AG$8,"B",IF(P460&lt;'PlayerGrades+'!$AG$7,"B+",IF(P460&lt;'PlayerGrades+'!$AG$6,"A-",IF(P460&lt;'PlayerGrades+'!$AG$5,"A",IF(P460&lt;'PlayerGrades+'!$AG$4,"A+",IF(P460&lt;'PlayerGrades+'!$AG$3,"S-",IF(P460&lt;'PlayerGrades+'!$AG$2,"S","S+"))))))))))))))))))))</f>
        <v>#DIV/0!</v>
      </c>
      <c r="R460" s="961" t="str">
        <f t="shared" si="8"/>
        <v>#DIV/0!</v>
      </c>
      <c r="S460" s="961" t="str">
        <f>IF(R460&lt;'PlayerGrades+'!$AH$21,"F-",IF(R460&lt;'PlayerGrades+'!$AH$20,"F",IF(R460&lt;'PlayerGrades+'!$AH$19,"F+",IF(R460&lt;'PlayerGrades+'!$AH$18,"E-",IF(R460&lt;'PlayerGrades+'!$AH$17,"E",IF(R460&lt;'PlayerGrades+'!$AH$16,"E+",IF(R460&lt;'PlayerGrades+'!$AH$15,"D-",IF(R460&lt;'PlayerGrades+'!$AH$14,"D",IF(R460&lt;'PlayerGrades+'!$AH$13,"D+",IF(R460&lt;'PlayerGrades+'!$AH$12,"C-",IF(R460&lt;'PlayerGrades+'!$AH$11,"C",IF(R460&lt;'PlayerGrades+'!$AH$10,"C+",IF(R460&lt;'PlayerGrades+'!$AH$9,"B-",IF(R460&lt;'PlayerGrades+'!$AH$8,"B",IF(R460&lt;'PlayerGrades+'!$AH$7,"B+",IF(R460&lt;'PlayerGrades+'!$AH$6,"A-",IF(R460&lt;'PlayerGrades+'!$AH$5,"A",IF(R460&lt;'PlayerGrades+'!$AH$4,"A+",IF(R460&lt;'PlayerGrades+'!$AH$3,"S-",IF(R460&lt;'PlayerGrades+'!$AH$2,"S","S+"))))))))))))))))))))</f>
        <v>#DIV/0!</v>
      </c>
      <c r="T460" s="961">
        <f t="shared" si="9"/>
        <v>0</v>
      </c>
      <c r="U460" s="961" t="str">
        <f>IF(T460&lt;'PlayerGrades+'!$AI$21,"F-",IF(T460&lt;'PlayerGrades+'!$AI$20,"F",IF(T460&lt;'PlayerGrades+'!$AI$19,"F+",IF(T460&lt;'PlayerGrades+'!$AI$18,"E-",IF(T460&lt;'PlayerGrades+'!$AI$17,"E",IF(T460&lt;'PlayerGrades+'!$AI$16,"E+",IF(T460&lt;'PlayerGrades+'!$AI$15,"D-",IF(T460&lt;'PlayerGrades+'!$AI$14,"D",IF(T460&lt;'PlayerGrades+'!$AI$13,"D+",IF(T460&lt;'PlayerGrades+'!$AI$12,"C-",IF(T460&lt;'PlayerGrades+'!$AI$11,"C",IF(T460&lt;'PlayerGrades+'!$AI$10,"C+",IF(T460&lt;'PlayerGrades+'!$AI$9,"B-",IF(T460&lt;'PlayerGrades+'!$AI$8,"B",IF(T460&lt;'PlayerGrades+'!$AI$7,"B+",IF(T460&lt;'PlayerGrades+'!$AI$6,"A-",IF(T460&lt;'PlayerGrades+'!$AI$5,"A",IF(T460&lt;'PlayerGrades+'!$AI$4,"A+",IF(T460&lt;'PlayerGrades+'!$AI$3,"S-",IF(T460&lt;'PlayerGrades+'!$AI$2,"S","S+"))))))))))))))))))))</f>
        <v>F-</v>
      </c>
      <c r="AC460" s="1392"/>
    </row>
    <row r="461">
      <c r="A461" s="1408"/>
      <c r="B461" s="611" t="str">
        <f>IF(C461&lt;'PlayerGrades+'!$Y$44,"F-",IF(C461&lt;'PlayerGrades+'!$Y$43,"F",IF(C461&lt;'PlayerGrades+'!$Y$42,"F+",IF(C461&lt;'PlayerGrades+'!$Y$41,"E-",IF(C461&lt;'PlayerGrades+'!$Y$40,"E",IF(C461&lt;'PlayerGrades+'!$Y$39,"E+",IF(C461&lt;'PlayerGrades+'!$Y$38,"D-",IF(C461&lt;'PlayerGrades+'!$Y$37,"D",IF(C461&lt;'PlayerGrades+'!$Y$36,"D+",IF(C461&lt;'PlayerGrades+'!$Y$35,"C-",IF(C461&lt;'PlayerGrades+'!$Y$34,"C",IF(C461&lt;'PlayerGrades+'!$Y$33,"C+",IF(C461&lt;'PlayerGrades+'!$Y$32,"B-",IF(C461&lt;'PlayerGrades+'!$Y$31,"B",IF(C461&lt;'PlayerGrades+'!$Y$30,"B+",IF(C461&lt;'PlayerGrades+'!$Y$29,"A-",IF(C461&lt;'PlayerGrades+'!$Y$28,"A",IF(C461&lt;'PlayerGrades+'!$Y$27,"A+",IF(C461&lt;'PlayerGrades+'!$Y$26,"S-",IF(C461&lt;'PlayerGrades+'!$Y$25,"S","S+"))))))))))))))))))))</f>
        <v>#DIV/0!</v>
      </c>
      <c r="C461" s="1378" t="str">
        <f>('PlayerGrades+'!$Y$47*(VLOOKUP(E461, 'PlayerGrades+'!$X$3:$Y$23, 2, FALSE)))+('PlayerGrades+'!$Y$48*(VLOOKUP(G461, 'PlayerGrades+'!$X$3:$Y$23, 2, FALSE)))+('PlayerGrades+'!$Y$49*(VLOOKUP(I461, 'PlayerGrades+'!$X$3:$Y$23, 2, FALSE)))+('PlayerGrades+'!$Y$50*(VLOOKUP(K461, 'PlayerGrades+'!$X$3:$Y$23, 2, FALSE)))+('PlayerGrades+'!$Y$51*(VLOOKUP(M461, 'PlayerGrades+'!$X$3:$Y$23, 2, FALSE)))+('PlayerGrades+'!$Y$52*(VLOOKUP(O461, 'PlayerGrades+'!$X$3:$Y$23, 2, FALSE)))+('PlayerGrades+'!$Y$53*(VLOOKUP(Q461, 'PlayerGrades+'!$X$3:$Y$23, 2, FALSE)))+('PlayerGrades+'!$Y$54*(VLOOKUP(S461, 'PlayerGrades+'!$X$3:$Y$23, 2, FALSE)))+('PlayerGrades+'!$Y$55*(VLOOKUP(U461, 'PlayerGrades+'!$X$3:$Y$23, 2, FALSE)))</f>
        <v>#DIV/0!</v>
      </c>
      <c r="D461" s="961" t="str">
        <f t="shared" si="1"/>
        <v>#DIV/0!</v>
      </c>
      <c r="E461" s="961" t="str">
        <f>IF(D461&lt;'PlayerGrades+'!$AA$21,"F-",IF(D461&lt;'PlayerGrades+'!$AA$20,"F",IF(D461&lt;'PlayerGrades+'!$AA$19,"F+",IF(D461&lt;'PlayerGrades+'!$AA$18,"E-",IF(D461&lt;'PlayerGrades+'!$AA$17,"E",IF(D461&lt;'PlayerGrades+'!$AA$16,"E+",IF(D461&lt;'PlayerGrades+'!$AA$15,"D-",IF(D461&lt;'PlayerGrades+'!$AA$14,"D",IF(D461&lt;'PlayerGrades+'!$AA$13,"D+",IF(D461&lt;'PlayerGrades+'!$AA$12,"C-",IF(D461&lt;'PlayerGrades+'!$AA$11,"C",IF(D461&lt;'PlayerGrades+'!$AA$10,"C+",IF(D461&lt;'PlayerGrades+'!$AA$9,"B-",IF(D461&lt;'PlayerGrades+'!$AA$8,"B",IF(D461&lt;'PlayerGrades+'!$AA$7,"B+",IF(D461&lt;'PlayerGrades+'!$AA$6,"A-",IF(D461&lt;'PlayerGrades+'!$AA$5,"A",IF(D461&lt;'PlayerGrades+'!$AA$4,"A+",IF(D461&lt;'PlayerGrades+'!$AA$3,"S-",IF(D461&lt;'PlayerGrades+'!$AA$2,"S","S+"))))))))))))))))))))</f>
        <v>#DIV/0!</v>
      </c>
      <c r="F461" s="961" t="str">
        <f t="shared" si="2"/>
        <v>#DIV/0!</v>
      </c>
      <c r="G461" s="961" t="str">
        <f>IF(F461&lt;'PlayerGrades+'!$AB$21,"F-",IF(F461&lt;'PlayerGrades+'!$AB$20,"F",IF(F461&lt;'PlayerGrades+'!$AB$19,"F+",IF(F461&lt;'PlayerGrades+'!$AB$18,"E-",IF(F461&lt;'PlayerGrades+'!$AB$17,"E",IF(F461&lt;'PlayerGrades+'!$AB$16,"E+",IF(F461&lt;'PlayerGrades+'!$AB$15,"D-",IF(F461&lt;'PlayerGrades+'!$AB$14,"D",IF(F461&lt;'PlayerGrades+'!$AB$13,"D+",IF(F461&lt;'PlayerGrades+'!$AB$12,"C-",IF(F461&lt;'PlayerGrades+'!$AB$11,"C",IF(F461&lt;'PlayerGrades+'!$AB$10,"C+",IF(F461&lt;'PlayerGrades+'!$AB$9,"B-",IF(F461&lt;'PlayerGrades+'!$AB$8,"B",IF(F461&lt;'PlayerGrades+'!$AB$7,"B+",IF(F461&lt;'PlayerGrades+'!$AB$6,"A-",IF(F461&lt;'PlayerGrades+'!$AB$5,"A",IF(F461&lt;'PlayerGrades+'!$AB$4,"A+",IF(F461&lt;'PlayerGrades+'!$AB$3,"S-",IF(F461&lt;'PlayerGrades+'!$AB$2,"S","S+"))))))))))))))))))))</f>
        <v>#DIV/0!</v>
      </c>
      <c r="H461" s="961" t="str">
        <f t="shared" si="3"/>
        <v>#DIV/0!</v>
      </c>
      <c r="I461" s="961" t="str">
        <f>IF(H461&lt;'PlayerGrades+'!$AC$21,"F-",IF(H461&lt;'PlayerGrades+'!$AC$20,"F",IF(H461&lt;'PlayerGrades+'!$AC$19,"F+",IF(H461&lt;'PlayerGrades+'!$AC$18,"E-",IF(H461&lt;'PlayerGrades+'!$AC$17,"E",IF(H461&lt;'PlayerGrades+'!$AC$16,"E+",IF(H461&lt;'PlayerGrades+'!$AC$15,"D-",IF(H461&lt;'PlayerGrades+'!$AC$14,"D",IF(H461&lt;'PlayerGrades+'!$AC$13,"D+",IF(H461&lt;'PlayerGrades+'!$AC$12,"C-",IF(H461&lt;'PlayerGrades+'!$AC$11,"C",IF(H461&lt;'PlayerGrades+'!$AC$10,"C+",IF(H461&lt;'PlayerGrades+'!$AC$9,"B-",IF(H461&lt;'PlayerGrades+'!$AC$8,"B",IF(H461&lt;'PlayerGrades+'!$AC$7,"B+",IF(H461&lt;'PlayerGrades+'!$AC$6,"A-",IF(H461&lt;'PlayerGrades+'!$AC$5,"A",IF(H461&lt;'PlayerGrades+'!$AC$4,"A+",IF(H461&lt;'PlayerGrades+'!$AC$3,"S-",IF(H461&lt;'PlayerGrades+'!$AC$2,"S","S+"))))))))))))))))))))</f>
        <v>#DIV/0!</v>
      </c>
      <c r="J461" s="961" t="str">
        <f t="shared" si="4"/>
        <v>#DIV/0!</v>
      </c>
      <c r="K461" s="961" t="str">
        <f>IF(J461&lt;'PlayerGrades+'!$AD$21,"F-",IF(J461&lt;'PlayerGrades+'!$AD$20,"F",IF(J461&lt;'PlayerGrades+'!$AD$19,"F+",IF(J461&lt;'PlayerGrades+'!$AD$18,"E-",IF(J461&lt;'PlayerGrades+'!$AD$17,"E",IF(J461&lt;'PlayerGrades+'!$AD$16,"E+",IF(J461&lt;'PlayerGrades+'!$AD$15,"D-",IF(J461&lt;'PlayerGrades+'!$AD$14,"D",IF(J461&lt;'PlayerGrades+'!$AD$13,"D+",IF(J461&lt;'PlayerGrades+'!$AD$12,"C-",IF(J461&lt;'PlayerGrades+'!$AD$11,"C",IF(J461&lt;'PlayerGrades+'!$AD$10,"C+",IF(J461&lt;'PlayerGrades+'!$AD$9,"B-",IF(J461&lt;'PlayerGrades+'!$AD$8,"B",IF(J461&lt;'PlayerGrades+'!$AD$7,"B+",IF(J461&lt;'PlayerGrades+'!$AD$6,"A-",IF(J461&lt;'PlayerGrades+'!$AD$5,"A",IF(J461&lt;'PlayerGrades+'!$AD$4,"A+",IF(J461&lt;'PlayerGrades+'!$AD$3,"S-",IF(J461&lt;'PlayerGrades+'!$AD$2,"S","S+"))))))))))))))))))))</f>
        <v>#DIV/0!</v>
      </c>
      <c r="L461" s="1176" t="str">
        <f t="shared" si="5"/>
        <v>#DIV/0!</v>
      </c>
      <c r="M461" s="992" t="str">
        <f>IF(L461&lt;'PlayerGrades+'!$AE$21,"F-",IF(L461&lt;'PlayerGrades+'!$AE$20,"F",IF(L461&lt;'PlayerGrades+'!$AE$19,"F+",IF(L461&lt;'PlayerGrades+'!$AE$18,"E-",IF(L461&lt;'PlayerGrades+'!$AE$17,"E",IF(L461&lt;'PlayerGrades+'!$AE$16,"E+",IF(L461&lt;'PlayerGrades+'!$AE$15,"D-",IF(L461&lt;'PlayerGrades+'!$AE$14,"D",IF(L461&lt;'PlayerGrades+'!$AE$13,"D+",IF(L461&lt;'PlayerGrades+'!$AE$12,"C-",IF(L461&lt;'PlayerGrades+'!$AE$11,"C",IF(L461&lt;'PlayerGrades+'!$AE$10,"C+",IF(L461&lt;'PlayerGrades+'!$AE$9,"B-",IF(L461&lt;'PlayerGrades+'!$AE$8,"B",IF(L461&lt;'PlayerGrades+'!$AE$7,"B+",IF(L461&lt;'PlayerGrades+'!$AE$6,"A-",IF(L461&lt;'PlayerGrades+'!$AE$5,"A",IF(L461&lt;'PlayerGrades+'!$AE$4,"A+",IF(L461&lt;'PlayerGrades+'!$AE$3,"S-",IF(L461&lt;'PlayerGrades+'!$AE$2,"S","S+"))))))))))))))))))))</f>
        <v>#DIV/0!</v>
      </c>
      <c r="N461" s="961" t="str">
        <f t="shared" si="6"/>
        <v>#DIV/0!</v>
      </c>
      <c r="O461" s="961" t="str">
        <f>IF(N461&lt;'PlayerGrades+'!$AF$21,"F-",IF(N461&lt;'PlayerGrades+'!$AF$20,"F",IF(N461&lt;'PlayerGrades+'!$AF$19,"F+",IF(N461&lt;'PlayerGrades+'!$AF$18,"E-",IF(N461&lt;'PlayerGrades+'!$AF$17,"E",IF(N461&lt;'PlayerGrades+'!$AF$16,"E+",IF(N461&lt;'PlayerGrades+'!$AF$15,"D-",IF(N461&lt;'PlayerGrades+'!$AF$14,"D",IF(N461&lt;'PlayerGrades+'!$AF$13,"D+",IF(N461&lt;'PlayerGrades+'!$AF$12,"C-",IF(N461&lt;'PlayerGrades+'!$AF$11,"C",IF(N461&lt;'PlayerGrades+'!$AF$10,"C+",IF(N461&lt;'PlayerGrades+'!$AF$9,"B-",IF(N461&lt;'PlayerGrades+'!$AF$8,"B",IF(N461&lt;'PlayerGrades+'!$AF$7,"B+",IF(N461&lt;'PlayerGrades+'!$AF$6,"A-",IF(N461&lt;'PlayerGrades+'!$AF$5,"A",IF(N461&lt;'PlayerGrades+'!$AF$4,"A+",IF(N461&lt;'PlayerGrades+'!$AF$3,"S-",IF(N461&lt;'PlayerGrades+'!$AF$2,"S","S+"))))))))))))))))))))</f>
        <v>#DIV/0!</v>
      </c>
      <c r="P461" s="961" t="str">
        <f t="shared" si="7"/>
        <v>#DIV/0!</v>
      </c>
      <c r="Q461" s="961" t="str">
        <f>IF(P461&lt;'PlayerGrades+'!$AG$21,"F-",IF(P461&lt;'PlayerGrades+'!$AG$20,"F",IF(P461&lt;'PlayerGrades+'!$AG$19,"F+",IF(P461&lt;'PlayerGrades+'!$AG$18,"E-",IF(P461&lt;'PlayerGrades+'!$AG$17,"E",IF(P461&lt;'PlayerGrades+'!$AG$16,"E+",IF(P461&lt;'PlayerGrades+'!$AG$15,"D-",IF(P461&lt;'PlayerGrades+'!$AG$14,"D",IF(P461&lt;'PlayerGrades+'!$AG$13,"D+",IF(P461&lt;'PlayerGrades+'!$AG$12,"C-",IF(P461&lt;'PlayerGrades+'!$AG$11,"C",IF(P461&lt;'PlayerGrades+'!$AG$10,"C+",IF(P461&lt;'PlayerGrades+'!$AG$9,"B-",IF(P461&lt;'PlayerGrades+'!$AG$8,"B",IF(P461&lt;'PlayerGrades+'!$AG$7,"B+",IF(P461&lt;'PlayerGrades+'!$AG$6,"A-",IF(P461&lt;'PlayerGrades+'!$AG$5,"A",IF(P461&lt;'PlayerGrades+'!$AG$4,"A+",IF(P461&lt;'PlayerGrades+'!$AG$3,"S-",IF(P461&lt;'PlayerGrades+'!$AG$2,"S","S+"))))))))))))))))))))</f>
        <v>#DIV/0!</v>
      </c>
      <c r="R461" s="961" t="str">
        <f t="shared" si="8"/>
        <v>#DIV/0!</v>
      </c>
      <c r="S461" s="961" t="str">
        <f>IF(R461&lt;'PlayerGrades+'!$AH$21,"F-",IF(R461&lt;'PlayerGrades+'!$AH$20,"F",IF(R461&lt;'PlayerGrades+'!$AH$19,"F+",IF(R461&lt;'PlayerGrades+'!$AH$18,"E-",IF(R461&lt;'PlayerGrades+'!$AH$17,"E",IF(R461&lt;'PlayerGrades+'!$AH$16,"E+",IF(R461&lt;'PlayerGrades+'!$AH$15,"D-",IF(R461&lt;'PlayerGrades+'!$AH$14,"D",IF(R461&lt;'PlayerGrades+'!$AH$13,"D+",IF(R461&lt;'PlayerGrades+'!$AH$12,"C-",IF(R461&lt;'PlayerGrades+'!$AH$11,"C",IF(R461&lt;'PlayerGrades+'!$AH$10,"C+",IF(R461&lt;'PlayerGrades+'!$AH$9,"B-",IF(R461&lt;'PlayerGrades+'!$AH$8,"B",IF(R461&lt;'PlayerGrades+'!$AH$7,"B+",IF(R461&lt;'PlayerGrades+'!$AH$6,"A-",IF(R461&lt;'PlayerGrades+'!$AH$5,"A",IF(R461&lt;'PlayerGrades+'!$AH$4,"A+",IF(R461&lt;'PlayerGrades+'!$AH$3,"S-",IF(R461&lt;'PlayerGrades+'!$AH$2,"S","S+"))))))))))))))))))))</f>
        <v>#DIV/0!</v>
      </c>
      <c r="T461" s="961">
        <f t="shared" si="9"/>
        <v>0</v>
      </c>
      <c r="U461" s="961" t="str">
        <f>IF(T461&lt;'PlayerGrades+'!$AI$21,"F-",IF(T461&lt;'PlayerGrades+'!$AI$20,"F",IF(T461&lt;'PlayerGrades+'!$AI$19,"F+",IF(T461&lt;'PlayerGrades+'!$AI$18,"E-",IF(T461&lt;'PlayerGrades+'!$AI$17,"E",IF(T461&lt;'PlayerGrades+'!$AI$16,"E+",IF(T461&lt;'PlayerGrades+'!$AI$15,"D-",IF(T461&lt;'PlayerGrades+'!$AI$14,"D",IF(T461&lt;'PlayerGrades+'!$AI$13,"D+",IF(T461&lt;'PlayerGrades+'!$AI$12,"C-",IF(T461&lt;'PlayerGrades+'!$AI$11,"C",IF(T461&lt;'PlayerGrades+'!$AI$10,"C+",IF(T461&lt;'PlayerGrades+'!$AI$9,"B-",IF(T461&lt;'PlayerGrades+'!$AI$8,"B",IF(T461&lt;'PlayerGrades+'!$AI$7,"B+",IF(T461&lt;'PlayerGrades+'!$AI$6,"A-",IF(T461&lt;'PlayerGrades+'!$AI$5,"A",IF(T461&lt;'PlayerGrades+'!$AI$4,"A+",IF(T461&lt;'PlayerGrades+'!$AI$3,"S-",IF(T461&lt;'PlayerGrades+'!$AI$2,"S","S+"))))))))))))))))))))</f>
        <v>F-</v>
      </c>
      <c r="AC461" s="1392"/>
    </row>
    <row r="462">
      <c r="A462" s="1408"/>
      <c r="B462" s="611" t="str">
        <f>IF(C462&lt;'PlayerGrades+'!$Y$44,"F-",IF(C462&lt;'PlayerGrades+'!$Y$43,"F",IF(C462&lt;'PlayerGrades+'!$Y$42,"F+",IF(C462&lt;'PlayerGrades+'!$Y$41,"E-",IF(C462&lt;'PlayerGrades+'!$Y$40,"E",IF(C462&lt;'PlayerGrades+'!$Y$39,"E+",IF(C462&lt;'PlayerGrades+'!$Y$38,"D-",IF(C462&lt;'PlayerGrades+'!$Y$37,"D",IF(C462&lt;'PlayerGrades+'!$Y$36,"D+",IF(C462&lt;'PlayerGrades+'!$Y$35,"C-",IF(C462&lt;'PlayerGrades+'!$Y$34,"C",IF(C462&lt;'PlayerGrades+'!$Y$33,"C+",IF(C462&lt;'PlayerGrades+'!$Y$32,"B-",IF(C462&lt;'PlayerGrades+'!$Y$31,"B",IF(C462&lt;'PlayerGrades+'!$Y$30,"B+",IF(C462&lt;'PlayerGrades+'!$Y$29,"A-",IF(C462&lt;'PlayerGrades+'!$Y$28,"A",IF(C462&lt;'PlayerGrades+'!$Y$27,"A+",IF(C462&lt;'PlayerGrades+'!$Y$26,"S-",IF(C462&lt;'PlayerGrades+'!$Y$25,"S","S+"))))))))))))))))))))</f>
        <v>#DIV/0!</v>
      </c>
      <c r="C462" s="1378" t="str">
        <f>('PlayerGrades+'!$Y$47*(VLOOKUP(E462, 'PlayerGrades+'!$X$3:$Y$23, 2, FALSE)))+('PlayerGrades+'!$Y$48*(VLOOKUP(G462, 'PlayerGrades+'!$X$3:$Y$23, 2, FALSE)))+('PlayerGrades+'!$Y$49*(VLOOKUP(I462, 'PlayerGrades+'!$X$3:$Y$23, 2, FALSE)))+('PlayerGrades+'!$Y$50*(VLOOKUP(K462, 'PlayerGrades+'!$X$3:$Y$23, 2, FALSE)))+('PlayerGrades+'!$Y$51*(VLOOKUP(M462, 'PlayerGrades+'!$X$3:$Y$23, 2, FALSE)))+('PlayerGrades+'!$Y$52*(VLOOKUP(O462, 'PlayerGrades+'!$X$3:$Y$23, 2, FALSE)))+('PlayerGrades+'!$Y$53*(VLOOKUP(Q462, 'PlayerGrades+'!$X$3:$Y$23, 2, FALSE)))+('PlayerGrades+'!$Y$54*(VLOOKUP(S462, 'PlayerGrades+'!$X$3:$Y$23, 2, FALSE)))+('PlayerGrades+'!$Y$55*(VLOOKUP(U462, 'PlayerGrades+'!$X$3:$Y$23, 2, FALSE)))</f>
        <v>#DIV/0!</v>
      </c>
      <c r="D462" s="961" t="str">
        <f t="shared" si="1"/>
        <v>#DIV/0!</v>
      </c>
      <c r="E462" s="961" t="str">
        <f>IF(D462&lt;'PlayerGrades+'!$AA$21,"F-",IF(D462&lt;'PlayerGrades+'!$AA$20,"F",IF(D462&lt;'PlayerGrades+'!$AA$19,"F+",IF(D462&lt;'PlayerGrades+'!$AA$18,"E-",IF(D462&lt;'PlayerGrades+'!$AA$17,"E",IF(D462&lt;'PlayerGrades+'!$AA$16,"E+",IF(D462&lt;'PlayerGrades+'!$AA$15,"D-",IF(D462&lt;'PlayerGrades+'!$AA$14,"D",IF(D462&lt;'PlayerGrades+'!$AA$13,"D+",IF(D462&lt;'PlayerGrades+'!$AA$12,"C-",IF(D462&lt;'PlayerGrades+'!$AA$11,"C",IF(D462&lt;'PlayerGrades+'!$AA$10,"C+",IF(D462&lt;'PlayerGrades+'!$AA$9,"B-",IF(D462&lt;'PlayerGrades+'!$AA$8,"B",IF(D462&lt;'PlayerGrades+'!$AA$7,"B+",IF(D462&lt;'PlayerGrades+'!$AA$6,"A-",IF(D462&lt;'PlayerGrades+'!$AA$5,"A",IF(D462&lt;'PlayerGrades+'!$AA$4,"A+",IF(D462&lt;'PlayerGrades+'!$AA$3,"S-",IF(D462&lt;'PlayerGrades+'!$AA$2,"S","S+"))))))))))))))))))))</f>
        <v>#DIV/0!</v>
      </c>
      <c r="F462" s="961" t="str">
        <f t="shared" si="2"/>
        <v>#DIV/0!</v>
      </c>
      <c r="G462" s="961" t="str">
        <f>IF(F462&lt;'PlayerGrades+'!$AB$21,"F-",IF(F462&lt;'PlayerGrades+'!$AB$20,"F",IF(F462&lt;'PlayerGrades+'!$AB$19,"F+",IF(F462&lt;'PlayerGrades+'!$AB$18,"E-",IF(F462&lt;'PlayerGrades+'!$AB$17,"E",IF(F462&lt;'PlayerGrades+'!$AB$16,"E+",IF(F462&lt;'PlayerGrades+'!$AB$15,"D-",IF(F462&lt;'PlayerGrades+'!$AB$14,"D",IF(F462&lt;'PlayerGrades+'!$AB$13,"D+",IF(F462&lt;'PlayerGrades+'!$AB$12,"C-",IF(F462&lt;'PlayerGrades+'!$AB$11,"C",IF(F462&lt;'PlayerGrades+'!$AB$10,"C+",IF(F462&lt;'PlayerGrades+'!$AB$9,"B-",IF(F462&lt;'PlayerGrades+'!$AB$8,"B",IF(F462&lt;'PlayerGrades+'!$AB$7,"B+",IF(F462&lt;'PlayerGrades+'!$AB$6,"A-",IF(F462&lt;'PlayerGrades+'!$AB$5,"A",IF(F462&lt;'PlayerGrades+'!$AB$4,"A+",IF(F462&lt;'PlayerGrades+'!$AB$3,"S-",IF(F462&lt;'PlayerGrades+'!$AB$2,"S","S+"))))))))))))))))))))</f>
        <v>#DIV/0!</v>
      </c>
      <c r="H462" s="961" t="str">
        <f t="shared" si="3"/>
        <v>#DIV/0!</v>
      </c>
      <c r="I462" s="961" t="str">
        <f>IF(H462&lt;'PlayerGrades+'!$AC$21,"F-",IF(H462&lt;'PlayerGrades+'!$AC$20,"F",IF(H462&lt;'PlayerGrades+'!$AC$19,"F+",IF(H462&lt;'PlayerGrades+'!$AC$18,"E-",IF(H462&lt;'PlayerGrades+'!$AC$17,"E",IF(H462&lt;'PlayerGrades+'!$AC$16,"E+",IF(H462&lt;'PlayerGrades+'!$AC$15,"D-",IF(H462&lt;'PlayerGrades+'!$AC$14,"D",IF(H462&lt;'PlayerGrades+'!$AC$13,"D+",IF(H462&lt;'PlayerGrades+'!$AC$12,"C-",IF(H462&lt;'PlayerGrades+'!$AC$11,"C",IF(H462&lt;'PlayerGrades+'!$AC$10,"C+",IF(H462&lt;'PlayerGrades+'!$AC$9,"B-",IF(H462&lt;'PlayerGrades+'!$AC$8,"B",IF(H462&lt;'PlayerGrades+'!$AC$7,"B+",IF(H462&lt;'PlayerGrades+'!$AC$6,"A-",IF(H462&lt;'PlayerGrades+'!$AC$5,"A",IF(H462&lt;'PlayerGrades+'!$AC$4,"A+",IF(H462&lt;'PlayerGrades+'!$AC$3,"S-",IF(H462&lt;'PlayerGrades+'!$AC$2,"S","S+"))))))))))))))))))))</f>
        <v>#DIV/0!</v>
      </c>
      <c r="J462" s="961" t="str">
        <f t="shared" si="4"/>
        <v>#DIV/0!</v>
      </c>
      <c r="K462" s="961" t="str">
        <f>IF(J462&lt;'PlayerGrades+'!$AD$21,"F-",IF(J462&lt;'PlayerGrades+'!$AD$20,"F",IF(J462&lt;'PlayerGrades+'!$AD$19,"F+",IF(J462&lt;'PlayerGrades+'!$AD$18,"E-",IF(J462&lt;'PlayerGrades+'!$AD$17,"E",IF(J462&lt;'PlayerGrades+'!$AD$16,"E+",IF(J462&lt;'PlayerGrades+'!$AD$15,"D-",IF(J462&lt;'PlayerGrades+'!$AD$14,"D",IF(J462&lt;'PlayerGrades+'!$AD$13,"D+",IF(J462&lt;'PlayerGrades+'!$AD$12,"C-",IF(J462&lt;'PlayerGrades+'!$AD$11,"C",IF(J462&lt;'PlayerGrades+'!$AD$10,"C+",IF(J462&lt;'PlayerGrades+'!$AD$9,"B-",IF(J462&lt;'PlayerGrades+'!$AD$8,"B",IF(J462&lt;'PlayerGrades+'!$AD$7,"B+",IF(J462&lt;'PlayerGrades+'!$AD$6,"A-",IF(J462&lt;'PlayerGrades+'!$AD$5,"A",IF(J462&lt;'PlayerGrades+'!$AD$4,"A+",IF(J462&lt;'PlayerGrades+'!$AD$3,"S-",IF(J462&lt;'PlayerGrades+'!$AD$2,"S","S+"))))))))))))))))))))</f>
        <v>#DIV/0!</v>
      </c>
      <c r="L462" s="1176" t="str">
        <f t="shared" si="5"/>
        <v>#DIV/0!</v>
      </c>
      <c r="M462" s="992" t="str">
        <f>IF(L462&lt;'PlayerGrades+'!$AE$21,"F-",IF(L462&lt;'PlayerGrades+'!$AE$20,"F",IF(L462&lt;'PlayerGrades+'!$AE$19,"F+",IF(L462&lt;'PlayerGrades+'!$AE$18,"E-",IF(L462&lt;'PlayerGrades+'!$AE$17,"E",IF(L462&lt;'PlayerGrades+'!$AE$16,"E+",IF(L462&lt;'PlayerGrades+'!$AE$15,"D-",IF(L462&lt;'PlayerGrades+'!$AE$14,"D",IF(L462&lt;'PlayerGrades+'!$AE$13,"D+",IF(L462&lt;'PlayerGrades+'!$AE$12,"C-",IF(L462&lt;'PlayerGrades+'!$AE$11,"C",IF(L462&lt;'PlayerGrades+'!$AE$10,"C+",IF(L462&lt;'PlayerGrades+'!$AE$9,"B-",IF(L462&lt;'PlayerGrades+'!$AE$8,"B",IF(L462&lt;'PlayerGrades+'!$AE$7,"B+",IF(L462&lt;'PlayerGrades+'!$AE$6,"A-",IF(L462&lt;'PlayerGrades+'!$AE$5,"A",IF(L462&lt;'PlayerGrades+'!$AE$4,"A+",IF(L462&lt;'PlayerGrades+'!$AE$3,"S-",IF(L462&lt;'PlayerGrades+'!$AE$2,"S","S+"))))))))))))))))))))</f>
        <v>#DIV/0!</v>
      </c>
      <c r="N462" s="961" t="str">
        <f t="shared" si="6"/>
        <v>#DIV/0!</v>
      </c>
      <c r="O462" s="961" t="str">
        <f>IF(N462&lt;'PlayerGrades+'!$AF$21,"F-",IF(N462&lt;'PlayerGrades+'!$AF$20,"F",IF(N462&lt;'PlayerGrades+'!$AF$19,"F+",IF(N462&lt;'PlayerGrades+'!$AF$18,"E-",IF(N462&lt;'PlayerGrades+'!$AF$17,"E",IF(N462&lt;'PlayerGrades+'!$AF$16,"E+",IF(N462&lt;'PlayerGrades+'!$AF$15,"D-",IF(N462&lt;'PlayerGrades+'!$AF$14,"D",IF(N462&lt;'PlayerGrades+'!$AF$13,"D+",IF(N462&lt;'PlayerGrades+'!$AF$12,"C-",IF(N462&lt;'PlayerGrades+'!$AF$11,"C",IF(N462&lt;'PlayerGrades+'!$AF$10,"C+",IF(N462&lt;'PlayerGrades+'!$AF$9,"B-",IF(N462&lt;'PlayerGrades+'!$AF$8,"B",IF(N462&lt;'PlayerGrades+'!$AF$7,"B+",IF(N462&lt;'PlayerGrades+'!$AF$6,"A-",IF(N462&lt;'PlayerGrades+'!$AF$5,"A",IF(N462&lt;'PlayerGrades+'!$AF$4,"A+",IF(N462&lt;'PlayerGrades+'!$AF$3,"S-",IF(N462&lt;'PlayerGrades+'!$AF$2,"S","S+"))))))))))))))))))))</f>
        <v>#DIV/0!</v>
      </c>
      <c r="P462" s="961" t="str">
        <f t="shared" si="7"/>
        <v>#DIV/0!</v>
      </c>
      <c r="Q462" s="961" t="str">
        <f>IF(P462&lt;'PlayerGrades+'!$AG$21,"F-",IF(P462&lt;'PlayerGrades+'!$AG$20,"F",IF(P462&lt;'PlayerGrades+'!$AG$19,"F+",IF(P462&lt;'PlayerGrades+'!$AG$18,"E-",IF(P462&lt;'PlayerGrades+'!$AG$17,"E",IF(P462&lt;'PlayerGrades+'!$AG$16,"E+",IF(P462&lt;'PlayerGrades+'!$AG$15,"D-",IF(P462&lt;'PlayerGrades+'!$AG$14,"D",IF(P462&lt;'PlayerGrades+'!$AG$13,"D+",IF(P462&lt;'PlayerGrades+'!$AG$12,"C-",IF(P462&lt;'PlayerGrades+'!$AG$11,"C",IF(P462&lt;'PlayerGrades+'!$AG$10,"C+",IF(P462&lt;'PlayerGrades+'!$AG$9,"B-",IF(P462&lt;'PlayerGrades+'!$AG$8,"B",IF(P462&lt;'PlayerGrades+'!$AG$7,"B+",IF(P462&lt;'PlayerGrades+'!$AG$6,"A-",IF(P462&lt;'PlayerGrades+'!$AG$5,"A",IF(P462&lt;'PlayerGrades+'!$AG$4,"A+",IF(P462&lt;'PlayerGrades+'!$AG$3,"S-",IF(P462&lt;'PlayerGrades+'!$AG$2,"S","S+"))))))))))))))))))))</f>
        <v>#DIV/0!</v>
      </c>
      <c r="R462" s="961" t="str">
        <f t="shared" si="8"/>
        <v>#DIV/0!</v>
      </c>
      <c r="S462" s="961" t="str">
        <f>IF(R462&lt;'PlayerGrades+'!$AH$21,"F-",IF(R462&lt;'PlayerGrades+'!$AH$20,"F",IF(R462&lt;'PlayerGrades+'!$AH$19,"F+",IF(R462&lt;'PlayerGrades+'!$AH$18,"E-",IF(R462&lt;'PlayerGrades+'!$AH$17,"E",IF(R462&lt;'PlayerGrades+'!$AH$16,"E+",IF(R462&lt;'PlayerGrades+'!$AH$15,"D-",IF(R462&lt;'PlayerGrades+'!$AH$14,"D",IF(R462&lt;'PlayerGrades+'!$AH$13,"D+",IF(R462&lt;'PlayerGrades+'!$AH$12,"C-",IF(R462&lt;'PlayerGrades+'!$AH$11,"C",IF(R462&lt;'PlayerGrades+'!$AH$10,"C+",IF(R462&lt;'PlayerGrades+'!$AH$9,"B-",IF(R462&lt;'PlayerGrades+'!$AH$8,"B",IF(R462&lt;'PlayerGrades+'!$AH$7,"B+",IF(R462&lt;'PlayerGrades+'!$AH$6,"A-",IF(R462&lt;'PlayerGrades+'!$AH$5,"A",IF(R462&lt;'PlayerGrades+'!$AH$4,"A+",IF(R462&lt;'PlayerGrades+'!$AH$3,"S-",IF(R462&lt;'PlayerGrades+'!$AH$2,"S","S+"))))))))))))))))))))</f>
        <v>#DIV/0!</v>
      </c>
      <c r="T462" s="961">
        <f t="shared" si="9"/>
        <v>0</v>
      </c>
      <c r="U462" s="961" t="str">
        <f>IF(T462&lt;'PlayerGrades+'!$AI$21,"F-",IF(T462&lt;'PlayerGrades+'!$AI$20,"F",IF(T462&lt;'PlayerGrades+'!$AI$19,"F+",IF(T462&lt;'PlayerGrades+'!$AI$18,"E-",IF(T462&lt;'PlayerGrades+'!$AI$17,"E",IF(T462&lt;'PlayerGrades+'!$AI$16,"E+",IF(T462&lt;'PlayerGrades+'!$AI$15,"D-",IF(T462&lt;'PlayerGrades+'!$AI$14,"D",IF(T462&lt;'PlayerGrades+'!$AI$13,"D+",IF(T462&lt;'PlayerGrades+'!$AI$12,"C-",IF(T462&lt;'PlayerGrades+'!$AI$11,"C",IF(T462&lt;'PlayerGrades+'!$AI$10,"C+",IF(T462&lt;'PlayerGrades+'!$AI$9,"B-",IF(T462&lt;'PlayerGrades+'!$AI$8,"B",IF(T462&lt;'PlayerGrades+'!$AI$7,"B+",IF(T462&lt;'PlayerGrades+'!$AI$6,"A-",IF(T462&lt;'PlayerGrades+'!$AI$5,"A",IF(T462&lt;'PlayerGrades+'!$AI$4,"A+",IF(T462&lt;'PlayerGrades+'!$AI$3,"S-",IF(T462&lt;'PlayerGrades+'!$AI$2,"S","S+"))))))))))))))))))))</f>
        <v>F-</v>
      </c>
      <c r="AC462" s="1392"/>
    </row>
    <row r="463">
      <c r="A463" s="1408"/>
      <c r="B463" s="611" t="str">
        <f>IF(C463&lt;'PlayerGrades+'!$Y$44,"F-",IF(C463&lt;'PlayerGrades+'!$Y$43,"F",IF(C463&lt;'PlayerGrades+'!$Y$42,"F+",IF(C463&lt;'PlayerGrades+'!$Y$41,"E-",IF(C463&lt;'PlayerGrades+'!$Y$40,"E",IF(C463&lt;'PlayerGrades+'!$Y$39,"E+",IF(C463&lt;'PlayerGrades+'!$Y$38,"D-",IF(C463&lt;'PlayerGrades+'!$Y$37,"D",IF(C463&lt;'PlayerGrades+'!$Y$36,"D+",IF(C463&lt;'PlayerGrades+'!$Y$35,"C-",IF(C463&lt;'PlayerGrades+'!$Y$34,"C",IF(C463&lt;'PlayerGrades+'!$Y$33,"C+",IF(C463&lt;'PlayerGrades+'!$Y$32,"B-",IF(C463&lt;'PlayerGrades+'!$Y$31,"B",IF(C463&lt;'PlayerGrades+'!$Y$30,"B+",IF(C463&lt;'PlayerGrades+'!$Y$29,"A-",IF(C463&lt;'PlayerGrades+'!$Y$28,"A",IF(C463&lt;'PlayerGrades+'!$Y$27,"A+",IF(C463&lt;'PlayerGrades+'!$Y$26,"S-",IF(C463&lt;'PlayerGrades+'!$Y$25,"S","S+"))))))))))))))))))))</f>
        <v>#DIV/0!</v>
      </c>
      <c r="C463" s="1378" t="str">
        <f>('PlayerGrades+'!$Y$47*(VLOOKUP(E463, 'PlayerGrades+'!$X$3:$Y$23, 2, FALSE)))+('PlayerGrades+'!$Y$48*(VLOOKUP(G463, 'PlayerGrades+'!$X$3:$Y$23, 2, FALSE)))+('PlayerGrades+'!$Y$49*(VLOOKUP(I463, 'PlayerGrades+'!$X$3:$Y$23, 2, FALSE)))+('PlayerGrades+'!$Y$50*(VLOOKUP(K463, 'PlayerGrades+'!$X$3:$Y$23, 2, FALSE)))+('PlayerGrades+'!$Y$51*(VLOOKUP(M463, 'PlayerGrades+'!$X$3:$Y$23, 2, FALSE)))+('PlayerGrades+'!$Y$52*(VLOOKUP(O463, 'PlayerGrades+'!$X$3:$Y$23, 2, FALSE)))+('PlayerGrades+'!$Y$53*(VLOOKUP(Q463, 'PlayerGrades+'!$X$3:$Y$23, 2, FALSE)))+('PlayerGrades+'!$Y$54*(VLOOKUP(S463, 'PlayerGrades+'!$X$3:$Y$23, 2, FALSE)))+('PlayerGrades+'!$Y$55*(VLOOKUP(U463, 'PlayerGrades+'!$X$3:$Y$23, 2, FALSE)))</f>
        <v>#DIV/0!</v>
      </c>
      <c r="D463" s="961" t="str">
        <f t="shared" si="1"/>
        <v>#DIV/0!</v>
      </c>
      <c r="E463" s="961" t="str">
        <f>IF(D463&lt;'PlayerGrades+'!$AA$21,"F-",IF(D463&lt;'PlayerGrades+'!$AA$20,"F",IF(D463&lt;'PlayerGrades+'!$AA$19,"F+",IF(D463&lt;'PlayerGrades+'!$AA$18,"E-",IF(D463&lt;'PlayerGrades+'!$AA$17,"E",IF(D463&lt;'PlayerGrades+'!$AA$16,"E+",IF(D463&lt;'PlayerGrades+'!$AA$15,"D-",IF(D463&lt;'PlayerGrades+'!$AA$14,"D",IF(D463&lt;'PlayerGrades+'!$AA$13,"D+",IF(D463&lt;'PlayerGrades+'!$AA$12,"C-",IF(D463&lt;'PlayerGrades+'!$AA$11,"C",IF(D463&lt;'PlayerGrades+'!$AA$10,"C+",IF(D463&lt;'PlayerGrades+'!$AA$9,"B-",IF(D463&lt;'PlayerGrades+'!$AA$8,"B",IF(D463&lt;'PlayerGrades+'!$AA$7,"B+",IF(D463&lt;'PlayerGrades+'!$AA$6,"A-",IF(D463&lt;'PlayerGrades+'!$AA$5,"A",IF(D463&lt;'PlayerGrades+'!$AA$4,"A+",IF(D463&lt;'PlayerGrades+'!$AA$3,"S-",IF(D463&lt;'PlayerGrades+'!$AA$2,"S","S+"))))))))))))))))))))</f>
        <v>#DIV/0!</v>
      </c>
      <c r="F463" s="961" t="str">
        <f t="shared" si="2"/>
        <v>#DIV/0!</v>
      </c>
      <c r="G463" s="961" t="str">
        <f>IF(F463&lt;'PlayerGrades+'!$AB$21,"F-",IF(F463&lt;'PlayerGrades+'!$AB$20,"F",IF(F463&lt;'PlayerGrades+'!$AB$19,"F+",IF(F463&lt;'PlayerGrades+'!$AB$18,"E-",IF(F463&lt;'PlayerGrades+'!$AB$17,"E",IF(F463&lt;'PlayerGrades+'!$AB$16,"E+",IF(F463&lt;'PlayerGrades+'!$AB$15,"D-",IF(F463&lt;'PlayerGrades+'!$AB$14,"D",IF(F463&lt;'PlayerGrades+'!$AB$13,"D+",IF(F463&lt;'PlayerGrades+'!$AB$12,"C-",IF(F463&lt;'PlayerGrades+'!$AB$11,"C",IF(F463&lt;'PlayerGrades+'!$AB$10,"C+",IF(F463&lt;'PlayerGrades+'!$AB$9,"B-",IF(F463&lt;'PlayerGrades+'!$AB$8,"B",IF(F463&lt;'PlayerGrades+'!$AB$7,"B+",IF(F463&lt;'PlayerGrades+'!$AB$6,"A-",IF(F463&lt;'PlayerGrades+'!$AB$5,"A",IF(F463&lt;'PlayerGrades+'!$AB$4,"A+",IF(F463&lt;'PlayerGrades+'!$AB$3,"S-",IF(F463&lt;'PlayerGrades+'!$AB$2,"S","S+"))))))))))))))))))))</f>
        <v>#DIV/0!</v>
      </c>
      <c r="H463" s="961" t="str">
        <f t="shared" si="3"/>
        <v>#DIV/0!</v>
      </c>
      <c r="I463" s="961" t="str">
        <f>IF(H463&lt;'PlayerGrades+'!$AC$21,"F-",IF(H463&lt;'PlayerGrades+'!$AC$20,"F",IF(H463&lt;'PlayerGrades+'!$AC$19,"F+",IF(H463&lt;'PlayerGrades+'!$AC$18,"E-",IF(H463&lt;'PlayerGrades+'!$AC$17,"E",IF(H463&lt;'PlayerGrades+'!$AC$16,"E+",IF(H463&lt;'PlayerGrades+'!$AC$15,"D-",IF(H463&lt;'PlayerGrades+'!$AC$14,"D",IF(H463&lt;'PlayerGrades+'!$AC$13,"D+",IF(H463&lt;'PlayerGrades+'!$AC$12,"C-",IF(H463&lt;'PlayerGrades+'!$AC$11,"C",IF(H463&lt;'PlayerGrades+'!$AC$10,"C+",IF(H463&lt;'PlayerGrades+'!$AC$9,"B-",IF(H463&lt;'PlayerGrades+'!$AC$8,"B",IF(H463&lt;'PlayerGrades+'!$AC$7,"B+",IF(H463&lt;'PlayerGrades+'!$AC$6,"A-",IF(H463&lt;'PlayerGrades+'!$AC$5,"A",IF(H463&lt;'PlayerGrades+'!$AC$4,"A+",IF(H463&lt;'PlayerGrades+'!$AC$3,"S-",IF(H463&lt;'PlayerGrades+'!$AC$2,"S","S+"))))))))))))))))))))</f>
        <v>#DIV/0!</v>
      </c>
      <c r="J463" s="961" t="str">
        <f t="shared" si="4"/>
        <v>#DIV/0!</v>
      </c>
      <c r="K463" s="961" t="str">
        <f>IF(J463&lt;'PlayerGrades+'!$AD$21,"F-",IF(J463&lt;'PlayerGrades+'!$AD$20,"F",IF(J463&lt;'PlayerGrades+'!$AD$19,"F+",IF(J463&lt;'PlayerGrades+'!$AD$18,"E-",IF(J463&lt;'PlayerGrades+'!$AD$17,"E",IF(J463&lt;'PlayerGrades+'!$AD$16,"E+",IF(J463&lt;'PlayerGrades+'!$AD$15,"D-",IF(J463&lt;'PlayerGrades+'!$AD$14,"D",IF(J463&lt;'PlayerGrades+'!$AD$13,"D+",IF(J463&lt;'PlayerGrades+'!$AD$12,"C-",IF(J463&lt;'PlayerGrades+'!$AD$11,"C",IF(J463&lt;'PlayerGrades+'!$AD$10,"C+",IF(J463&lt;'PlayerGrades+'!$AD$9,"B-",IF(J463&lt;'PlayerGrades+'!$AD$8,"B",IF(J463&lt;'PlayerGrades+'!$AD$7,"B+",IF(J463&lt;'PlayerGrades+'!$AD$6,"A-",IF(J463&lt;'PlayerGrades+'!$AD$5,"A",IF(J463&lt;'PlayerGrades+'!$AD$4,"A+",IF(J463&lt;'PlayerGrades+'!$AD$3,"S-",IF(J463&lt;'PlayerGrades+'!$AD$2,"S","S+"))))))))))))))))))))</f>
        <v>#DIV/0!</v>
      </c>
      <c r="L463" s="1176" t="str">
        <f t="shared" si="5"/>
        <v>#DIV/0!</v>
      </c>
      <c r="M463" s="992" t="str">
        <f>IF(L463&lt;'PlayerGrades+'!$AE$21,"F-",IF(L463&lt;'PlayerGrades+'!$AE$20,"F",IF(L463&lt;'PlayerGrades+'!$AE$19,"F+",IF(L463&lt;'PlayerGrades+'!$AE$18,"E-",IF(L463&lt;'PlayerGrades+'!$AE$17,"E",IF(L463&lt;'PlayerGrades+'!$AE$16,"E+",IF(L463&lt;'PlayerGrades+'!$AE$15,"D-",IF(L463&lt;'PlayerGrades+'!$AE$14,"D",IF(L463&lt;'PlayerGrades+'!$AE$13,"D+",IF(L463&lt;'PlayerGrades+'!$AE$12,"C-",IF(L463&lt;'PlayerGrades+'!$AE$11,"C",IF(L463&lt;'PlayerGrades+'!$AE$10,"C+",IF(L463&lt;'PlayerGrades+'!$AE$9,"B-",IF(L463&lt;'PlayerGrades+'!$AE$8,"B",IF(L463&lt;'PlayerGrades+'!$AE$7,"B+",IF(L463&lt;'PlayerGrades+'!$AE$6,"A-",IF(L463&lt;'PlayerGrades+'!$AE$5,"A",IF(L463&lt;'PlayerGrades+'!$AE$4,"A+",IF(L463&lt;'PlayerGrades+'!$AE$3,"S-",IF(L463&lt;'PlayerGrades+'!$AE$2,"S","S+"))))))))))))))))))))</f>
        <v>#DIV/0!</v>
      </c>
      <c r="N463" s="961" t="str">
        <f t="shared" si="6"/>
        <v>#DIV/0!</v>
      </c>
      <c r="O463" s="961" t="str">
        <f>IF(N463&lt;'PlayerGrades+'!$AF$21,"F-",IF(N463&lt;'PlayerGrades+'!$AF$20,"F",IF(N463&lt;'PlayerGrades+'!$AF$19,"F+",IF(N463&lt;'PlayerGrades+'!$AF$18,"E-",IF(N463&lt;'PlayerGrades+'!$AF$17,"E",IF(N463&lt;'PlayerGrades+'!$AF$16,"E+",IF(N463&lt;'PlayerGrades+'!$AF$15,"D-",IF(N463&lt;'PlayerGrades+'!$AF$14,"D",IF(N463&lt;'PlayerGrades+'!$AF$13,"D+",IF(N463&lt;'PlayerGrades+'!$AF$12,"C-",IF(N463&lt;'PlayerGrades+'!$AF$11,"C",IF(N463&lt;'PlayerGrades+'!$AF$10,"C+",IF(N463&lt;'PlayerGrades+'!$AF$9,"B-",IF(N463&lt;'PlayerGrades+'!$AF$8,"B",IF(N463&lt;'PlayerGrades+'!$AF$7,"B+",IF(N463&lt;'PlayerGrades+'!$AF$6,"A-",IF(N463&lt;'PlayerGrades+'!$AF$5,"A",IF(N463&lt;'PlayerGrades+'!$AF$4,"A+",IF(N463&lt;'PlayerGrades+'!$AF$3,"S-",IF(N463&lt;'PlayerGrades+'!$AF$2,"S","S+"))))))))))))))))))))</f>
        <v>#DIV/0!</v>
      </c>
      <c r="P463" s="961" t="str">
        <f t="shared" si="7"/>
        <v>#DIV/0!</v>
      </c>
      <c r="Q463" s="961" t="str">
        <f>IF(P463&lt;'PlayerGrades+'!$AG$21,"F-",IF(P463&lt;'PlayerGrades+'!$AG$20,"F",IF(P463&lt;'PlayerGrades+'!$AG$19,"F+",IF(P463&lt;'PlayerGrades+'!$AG$18,"E-",IF(P463&lt;'PlayerGrades+'!$AG$17,"E",IF(P463&lt;'PlayerGrades+'!$AG$16,"E+",IF(P463&lt;'PlayerGrades+'!$AG$15,"D-",IF(P463&lt;'PlayerGrades+'!$AG$14,"D",IF(P463&lt;'PlayerGrades+'!$AG$13,"D+",IF(P463&lt;'PlayerGrades+'!$AG$12,"C-",IF(P463&lt;'PlayerGrades+'!$AG$11,"C",IF(P463&lt;'PlayerGrades+'!$AG$10,"C+",IF(P463&lt;'PlayerGrades+'!$AG$9,"B-",IF(P463&lt;'PlayerGrades+'!$AG$8,"B",IF(P463&lt;'PlayerGrades+'!$AG$7,"B+",IF(P463&lt;'PlayerGrades+'!$AG$6,"A-",IF(P463&lt;'PlayerGrades+'!$AG$5,"A",IF(P463&lt;'PlayerGrades+'!$AG$4,"A+",IF(P463&lt;'PlayerGrades+'!$AG$3,"S-",IF(P463&lt;'PlayerGrades+'!$AG$2,"S","S+"))))))))))))))))))))</f>
        <v>#DIV/0!</v>
      </c>
      <c r="R463" s="961" t="str">
        <f t="shared" si="8"/>
        <v>#DIV/0!</v>
      </c>
      <c r="S463" s="961" t="str">
        <f>IF(R463&lt;'PlayerGrades+'!$AH$21,"F-",IF(R463&lt;'PlayerGrades+'!$AH$20,"F",IF(R463&lt;'PlayerGrades+'!$AH$19,"F+",IF(R463&lt;'PlayerGrades+'!$AH$18,"E-",IF(R463&lt;'PlayerGrades+'!$AH$17,"E",IF(R463&lt;'PlayerGrades+'!$AH$16,"E+",IF(R463&lt;'PlayerGrades+'!$AH$15,"D-",IF(R463&lt;'PlayerGrades+'!$AH$14,"D",IF(R463&lt;'PlayerGrades+'!$AH$13,"D+",IF(R463&lt;'PlayerGrades+'!$AH$12,"C-",IF(R463&lt;'PlayerGrades+'!$AH$11,"C",IF(R463&lt;'PlayerGrades+'!$AH$10,"C+",IF(R463&lt;'PlayerGrades+'!$AH$9,"B-",IF(R463&lt;'PlayerGrades+'!$AH$8,"B",IF(R463&lt;'PlayerGrades+'!$AH$7,"B+",IF(R463&lt;'PlayerGrades+'!$AH$6,"A-",IF(R463&lt;'PlayerGrades+'!$AH$5,"A",IF(R463&lt;'PlayerGrades+'!$AH$4,"A+",IF(R463&lt;'PlayerGrades+'!$AH$3,"S-",IF(R463&lt;'PlayerGrades+'!$AH$2,"S","S+"))))))))))))))))))))</f>
        <v>#DIV/0!</v>
      </c>
      <c r="T463" s="961">
        <f t="shared" si="9"/>
        <v>0</v>
      </c>
      <c r="U463" s="961" t="str">
        <f>IF(T463&lt;'PlayerGrades+'!$AI$21,"F-",IF(T463&lt;'PlayerGrades+'!$AI$20,"F",IF(T463&lt;'PlayerGrades+'!$AI$19,"F+",IF(T463&lt;'PlayerGrades+'!$AI$18,"E-",IF(T463&lt;'PlayerGrades+'!$AI$17,"E",IF(T463&lt;'PlayerGrades+'!$AI$16,"E+",IF(T463&lt;'PlayerGrades+'!$AI$15,"D-",IF(T463&lt;'PlayerGrades+'!$AI$14,"D",IF(T463&lt;'PlayerGrades+'!$AI$13,"D+",IF(T463&lt;'PlayerGrades+'!$AI$12,"C-",IF(T463&lt;'PlayerGrades+'!$AI$11,"C",IF(T463&lt;'PlayerGrades+'!$AI$10,"C+",IF(T463&lt;'PlayerGrades+'!$AI$9,"B-",IF(T463&lt;'PlayerGrades+'!$AI$8,"B",IF(T463&lt;'PlayerGrades+'!$AI$7,"B+",IF(T463&lt;'PlayerGrades+'!$AI$6,"A-",IF(T463&lt;'PlayerGrades+'!$AI$5,"A",IF(T463&lt;'PlayerGrades+'!$AI$4,"A+",IF(T463&lt;'PlayerGrades+'!$AI$3,"S-",IF(T463&lt;'PlayerGrades+'!$AI$2,"S","S+"))))))))))))))))))))</f>
        <v>F-</v>
      </c>
      <c r="AC463" s="1392"/>
    </row>
    <row r="464">
      <c r="A464" s="1408"/>
      <c r="B464" s="611" t="str">
        <f>IF(C464&lt;'PlayerGrades+'!$Y$44,"F-",IF(C464&lt;'PlayerGrades+'!$Y$43,"F",IF(C464&lt;'PlayerGrades+'!$Y$42,"F+",IF(C464&lt;'PlayerGrades+'!$Y$41,"E-",IF(C464&lt;'PlayerGrades+'!$Y$40,"E",IF(C464&lt;'PlayerGrades+'!$Y$39,"E+",IF(C464&lt;'PlayerGrades+'!$Y$38,"D-",IF(C464&lt;'PlayerGrades+'!$Y$37,"D",IF(C464&lt;'PlayerGrades+'!$Y$36,"D+",IF(C464&lt;'PlayerGrades+'!$Y$35,"C-",IF(C464&lt;'PlayerGrades+'!$Y$34,"C",IF(C464&lt;'PlayerGrades+'!$Y$33,"C+",IF(C464&lt;'PlayerGrades+'!$Y$32,"B-",IF(C464&lt;'PlayerGrades+'!$Y$31,"B",IF(C464&lt;'PlayerGrades+'!$Y$30,"B+",IF(C464&lt;'PlayerGrades+'!$Y$29,"A-",IF(C464&lt;'PlayerGrades+'!$Y$28,"A",IF(C464&lt;'PlayerGrades+'!$Y$27,"A+",IF(C464&lt;'PlayerGrades+'!$Y$26,"S-",IF(C464&lt;'PlayerGrades+'!$Y$25,"S","S+"))))))))))))))))))))</f>
        <v>#DIV/0!</v>
      </c>
      <c r="C464" s="1378" t="str">
        <f>('PlayerGrades+'!$Y$47*(VLOOKUP(E464, 'PlayerGrades+'!$X$3:$Y$23, 2, FALSE)))+('PlayerGrades+'!$Y$48*(VLOOKUP(G464, 'PlayerGrades+'!$X$3:$Y$23, 2, FALSE)))+('PlayerGrades+'!$Y$49*(VLOOKUP(I464, 'PlayerGrades+'!$X$3:$Y$23, 2, FALSE)))+('PlayerGrades+'!$Y$50*(VLOOKUP(K464, 'PlayerGrades+'!$X$3:$Y$23, 2, FALSE)))+('PlayerGrades+'!$Y$51*(VLOOKUP(M464, 'PlayerGrades+'!$X$3:$Y$23, 2, FALSE)))+('PlayerGrades+'!$Y$52*(VLOOKUP(O464, 'PlayerGrades+'!$X$3:$Y$23, 2, FALSE)))+('PlayerGrades+'!$Y$53*(VLOOKUP(Q464, 'PlayerGrades+'!$X$3:$Y$23, 2, FALSE)))+('PlayerGrades+'!$Y$54*(VLOOKUP(S464, 'PlayerGrades+'!$X$3:$Y$23, 2, FALSE)))+('PlayerGrades+'!$Y$55*(VLOOKUP(U464, 'PlayerGrades+'!$X$3:$Y$23, 2, FALSE)))</f>
        <v>#DIV/0!</v>
      </c>
      <c r="D464" s="961" t="str">
        <f t="shared" si="1"/>
        <v>#DIV/0!</v>
      </c>
      <c r="E464" s="961" t="str">
        <f>IF(D464&lt;'PlayerGrades+'!$AA$21,"F-",IF(D464&lt;'PlayerGrades+'!$AA$20,"F",IF(D464&lt;'PlayerGrades+'!$AA$19,"F+",IF(D464&lt;'PlayerGrades+'!$AA$18,"E-",IF(D464&lt;'PlayerGrades+'!$AA$17,"E",IF(D464&lt;'PlayerGrades+'!$AA$16,"E+",IF(D464&lt;'PlayerGrades+'!$AA$15,"D-",IF(D464&lt;'PlayerGrades+'!$AA$14,"D",IF(D464&lt;'PlayerGrades+'!$AA$13,"D+",IF(D464&lt;'PlayerGrades+'!$AA$12,"C-",IF(D464&lt;'PlayerGrades+'!$AA$11,"C",IF(D464&lt;'PlayerGrades+'!$AA$10,"C+",IF(D464&lt;'PlayerGrades+'!$AA$9,"B-",IF(D464&lt;'PlayerGrades+'!$AA$8,"B",IF(D464&lt;'PlayerGrades+'!$AA$7,"B+",IF(D464&lt;'PlayerGrades+'!$AA$6,"A-",IF(D464&lt;'PlayerGrades+'!$AA$5,"A",IF(D464&lt;'PlayerGrades+'!$AA$4,"A+",IF(D464&lt;'PlayerGrades+'!$AA$3,"S-",IF(D464&lt;'PlayerGrades+'!$AA$2,"S","S+"))))))))))))))))))))</f>
        <v>#DIV/0!</v>
      </c>
      <c r="F464" s="961" t="str">
        <f t="shared" si="2"/>
        <v>#DIV/0!</v>
      </c>
      <c r="G464" s="961" t="str">
        <f>IF(F464&lt;'PlayerGrades+'!$AB$21,"F-",IF(F464&lt;'PlayerGrades+'!$AB$20,"F",IF(F464&lt;'PlayerGrades+'!$AB$19,"F+",IF(F464&lt;'PlayerGrades+'!$AB$18,"E-",IF(F464&lt;'PlayerGrades+'!$AB$17,"E",IF(F464&lt;'PlayerGrades+'!$AB$16,"E+",IF(F464&lt;'PlayerGrades+'!$AB$15,"D-",IF(F464&lt;'PlayerGrades+'!$AB$14,"D",IF(F464&lt;'PlayerGrades+'!$AB$13,"D+",IF(F464&lt;'PlayerGrades+'!$AB$12,"C-",IF(F464&lt;'PlayerGrades+'!$AB$11,"C",IF(F464&lt;'PlayerGrades+'!$AB$10,"C+",IF(F464&lt;'PlayerGrades+'!$AB$9,"B-",IF(F464&lt;'PlayerGrades+'!$AB$8,"B",IF(F464&lt;'PlayerGrades+'!$AB$7,"B+",IF(F464&lt;'PlayerGrades+'!$AB$6,"A-",IF(F464&lt;'PlayerGrades+'!$AB$5,"A",IF(F464&lt;'PlayerGrades+'!$AB$4,"A+",IF(F464&lt;'PlayerGrades+'!$AB$3,"S-",IF(F464&lt;'PlayerGrades+'!$AB$2,"S","S+"))))))))))))))))))))</f>
        <v>#DIV/0!</v>
      </c>
      <c r="H464" s="961" t="str">
        <f t="shared" si="3"/>
        <v>#DIV/0!</v>
      </c>
      <c r="I464" s="961" t="str">
        <f>IF(H464&lt;'PlayerGrades+'!$AC$21,"F-",IF(H464&lt;'PlayerGrades+'!$AC$20,"F",IF(H464&lt;'PlayerGrades+'!$AC$19,"F+",IF(H464&lt;'PlayerGrades+'!$AC$18,"E-",IF(H464&lt;'PlayerGrades+'!$AC$17,"E",IF(H464&lt;'PlayerGrades+'!$AC$16,"E+",IF(H464&lt;'PlayerGrades+'!$AC$15,"D-",IF(H464&lt;'PlayerGrades+'!$AC$14,"D",IF(H464&lt;'PlayerGrades+'!$AC$13,"D+",IF(H464&lt;'PlayerGrades+'!$AC$12,"C-",IF(H464&lt;'PlayerGrades+'!$AC$11,"C",IF(H464&lt;'PlayerGrades+'!$AC$10,"C+",IF(H464&lt;'PlayerGrades+'!$AC$9,"B-",IF(H464&lt;'PlayerGrades+'!$AC$8,"B",IF(H464&lt;'PlayerGrades+'!$AC$7,"B+",IF(H464&lt;'PlayerGrades+'!$AC$6,"A-",IF(H464&lt;'PlayerGrades+'!$AC$5,"A",IF(H464&lt;'PlayerGrades+'!$AC$4,"A+",IF(H464&lt;'PlayerGrades+'!$AC$3,"S-",IF(H464&lt;'PlayerGrades+'!$AC$2,"S","S+"))))))))))))))))))))</f>
        <v>#DIV/0!</v>
      </c>
      <c r="J464" s="961" t="str">
        <f t="shared" si="4"/>
        <v>#DIV/0!</v>
      </c>
      <c r="K464" s="961" t="str">
        <f>IF(J464&lt;'PlayerGrades+'!$AD$21,"F-",IF(J464&lt;'PlayerGrades+'!$AD$20,"F",IF(J464&lt;'PlayerGrades+'!$AD$19,"F+",IF(J464&lt;'PlayerGrades+'!$AD$18,"E-",IF(J464&lt;'PlayerGrades+'!$AD$17,"E",IF(J464&lt;'PlayerGrades+'!$AD$16,"E+",IF(J464&lt;'PlayerGrades+'!$AD$15,"D-",IF(J464&lt;'PlayerGrades+'!$AD$14,"D",IF(J464&lt;'PlayerGrades+'!$AD$13,"D+",IF(J464&lt;'PlayerGrades+'!$AD$12,"C-",IF(J464&lt;'PlayerGrades+'!$AD$11,"C",IF(J464&lt;'PlayerGrades+'!$AD$10,"C+",IF(J464&lt;'PlayerGrades+'!$AD$9,"B-",IF(J464&lt;'PlayerGrades+'!$AD$8,"B",IF(J464&lt;'PlayerGrades+'!$AD$7,"B+",IF(J464&lt;'PlayerGrades+'!$AD$6,"A-",IF(J464&lt;'PlayerGrades+'!$AD$5,"A",IF(J464&lt;'PlayerGrades+'!$AD$4,"A+",IF(J464&lt;'PlayerGrades+'!$AD$3,"S-",IF(J464&lt;'PlayerGrades+'!$AD$2,"S","S+"))))))))))))))))))))</f>
        <v>#DIV/0!</v>
      </c>
      <c r="L464" s="1176" t="str">
        <f t="shared" si="5"/>
        <v>#DIV/0!</v>
      </c>
      <c r="M464" s="992" t="str">
        <f>IF(L464&lt;'PlayerGrades+'!$AE$21,"F-",IF(L464&lt;'PlayerGrades+'!$AE$20,"F",IF(L464&lt;'PlayerGrades+'!$AE$19,"F+",IF(L464&lt;'PlayerGrades+'!$AE$18,"E-",IF(L464&lt;'PlayerGrades+'!$AE$17,"E",IF(L464&lt;'PlayerGrades+'!$AE$16,"E+",IF(L464&lt;'PlayerGrades+'!$AE$15,"D-",IF(L464&lt;'PlayerGrades+'!$AE$14,"D",IF(L464&lt;'PlayerGrades+'!$AE$13,"D+",IF(L464&lt;'PlayerGrades+'!$AE$12,"C-",IF(L464&lt;'PlayerGrades+'!$AE$11,"C",IF(L464&lt;'PlayerGrades+'!$AE$10,"C+",IF(L464&lt;'PlayerGrades+'!$AE$9,"B-",IF(L464&lt;'PlayerGrades+'!$AE$8,"B",IF(L464&lt;'PlayerGrades+'!$AE$7,"B+",IF(L464&lt;'PlayerGrades+'!$AE$6,"A-",IF(L464&lt;'PlayerGrades+'!$AE$5,"A",IF(L464&lt;'PlayerGrades+'!$AE$4,"A+",IF(L464&lt;'PlayerGrades+'!$AE$3,"S-",IF(L464&lt;'PlayerGrades+'!$AE$2,"S","S+"))))))))))))))))))))</f>
        <v>#DIV/0!</v>
      </c>
      <c r="N464" s="961" t="str">
        <f t="shared" si="6"/>
        <v>#DIV/0!</v>
      </c>
      <c r="O464" s="961" t="str">
        <f>IF(N464&lt;'PlayerGrades+'!$AF$21,"F-",IF(N464&lt;'PlayerGrades+'!$AF$20,"F",IF(N464&lt;'PlayerGrades+'!$AF$19,"F+",IF(N464&lt;'PlayerGrades+'!$AF$18,"E-",IF(N464&lt;'PlayerGrades+'!$AF$17,"E",IF(N464&lt;'PlayerGrades+'!$AF$16,"E+",IF(N464&lt;'PlayerGrades+'!$AF$15,"D-",IF(N464&lt;'PlayerGrades+'!$AF$14,"D",IF(N464&lt;'PlayerGrades+'!$AF$13,"D+",IF(N464&lt;'PlayerGrades+'!$AF$12,"C-",IF(N464&lt;'PlayerGrades+'!$AF$11,"C",IF(N464&lt;'PlayerGrades+'!$AF$10,"C+",IF(N464&lt;'PlayerGrades+'!$AF$9,"B-",IF(N464&lt;'PlayerGrades+'!$AF$8,"B",IF(N464&lt;'PlayerGrades+'!$AF$7,"B+",IF(N464&lt;'PlayerGrades+'!$AF$6,"A-",IF(N464&lt;'PlayerGrades+'!$AF$5,"A",IF(N464&lt;'PlayerGrades+'!$AF$4,"A+",IF(N464&lt;'PlayerGrades+'!$AF$3,"S-",IF(N464&lt;'PlayerGrades+'!$AF$2,"S","S+"))))))))))))))))))))</f>
        <v>#DIV/0!</v>
      </c>
      <c r="P464" s="961" t="str">
        <f t="shared" si="7"/>
        <v>#DIV/0!</v>
      </c>
      <c r="Q464" s="961" t="str">
        <f>IF(P464&lt;'PlayerGrades+'!$AG$21,"F-",IF(P464&lt;'PlayerGrades+'!$AG$20,"F",IF(P464&lt;'PlayerGrades+'!$AG$19,"F+",IF(P464&lt;'PlayerGrades+'!$AG$18,"E-",IF(P464&lt;'PlayerGrades+'!$AG$17,"E",IF(P464&lt;'PlayerGrades+'!$AG$16,"E+",IF(P464&lt;'PlayerGrades+'!$AG$15,"D-",IF(P464&lt;'PlayerGrades+'!$AG$14,"D",IF(P464&lt;'PlayerGrades+'!$AG$13,"D+",IF(P464&lt;'PlayerGrades+'!$AG$12,"C-",IF(P464&lt;'PlayerGrades+'!$AG$11,"C",IF(P464&lt;'PlayerGrades+'!$AG$10,"C+",IF(P464&lt;'PlayerGrades+'!$AG$9,"B-",IF(P464&lt;'PlayerGrades+'!$AG$8,"B",IF(P464&lt;'PlayerGrades+'!$AG$7,"B+",IF(P464&lt;'PlayerGrades+'!$AG$6,"A-",IF(P464&lt;'PlayerGrades+'!$AG$5,"A",IF(P464&lt;'PlayerGrades+'!$AG$4,"A+",IF(P464&lt;'PlayerGrades+'!$AG$3,"S-",IF(P464&lt;'PlayerGrades+'!$AG$2,"S","S+"))))))))))))))))))))</f>
        <v>#DIV/0!</v>
      </c>
      <c r="R464" s="961" t="str">
        <f t="shared" si="8"/>
        <v>#DIV/0!</v>
      </c>
      <c r="S464" s="961" t="str">
        <f>IF(R464&lt;'PlayerGrades+'!$AH$21,"F-",IF(R464&lt;'PlayerGrades+'!$AH$20,"F",IF(R464&lt;'PlayerGrades+'!$AH$19,"F+",IF(R464&lt;'PlayerGrades+'!$AH$18,"E-",IF(R464&lt;'PlayerGrades+'!$AH$17,"E",IF(R464&lt;'PlayerGrades+'!$AH$16,"E+",IF(R464&lt;'PlayerGrades+'!$AH$15,"D-",IF(R464&lt;'PlayerGrades+'!$AH$14,"D",IF(R464&lt;'PlayerGrades+'!$AH$13,"D+",IF(R464&lt;'PlayerGrades+'!$AH$12,"C-",IF(R464&lt;'PlayerGrades+'!$AH$11,"C",IF(R464&lt;'PlayerGrades+'!$AH$10,"C+",IF(R464&lt;'PlayerGrades+'!$AH$9,"B-",IF(R464&lt;'PlayerGrades+'!$AH$8,"B",IF(R464&lt;'PlayerGrades+'!$AH$7,"B+",IF(R464&lt;'PlayerGrades+'!$AH$6,"A-",IF(R464&lt;'PlayerGrades+'!$AH$5,"A",IF(R464&lt;'PlayerGrades+'!$AH$4,"A+",IF(R464&lt;'PlayerGrades+'!$AH$3,"S-",IF(R464&lt;'PlayerGrades+'!$AH$2,"S","S+"))))))))))))))))))))</f>
        <v>#DIV/0!</v>
      </c>
      <c r="T464" s="961">
        <f t="shared" si="9"/>
        <v>0</v>
      </c>
      <c r="U464" s="961" t="str">
        <f>IF(T464&lt;'PlayerGrades+'!$AI$21,"F-",IF(T464&lt;'PlayerGrades+'!$AI$20,"F",IF(T464&lt;'PlayerGrades+'!$AI$19,"F+",IF(T464&lt;'PlayerGrades+'!$AI$18,"E-",IF(T464&lt;'PlayerGrades+'!$AI$17,"E",IF(T464&lt;'PlayerGrades+'!$AI$16,"E+",IF(T464&lt;'PlayerGrades+'!$AI$15,"D-",IF(T464&lt;'PlayerGrades+'!$AI$14,"D",IF(T464&lt;'PlayerGrades+'!$AI$13,"D+",IF(T464&lt;'PlayerGrades+'!$AI$12,"C-",IF(T464&lt;'PlayerGrades+'!$AI$11,"C",IF(T464&lt;'PlayerGrades+'!$AI$10,"C+",IF(T464&lt;'PlayerGrades+'!$AI$9,"B-",IF(T464&lt;'PlayerGrades+'!$AI$8,"B",IF(T464&lt;'PlayerGrades+'!$AI$7,"B+",IF(T464&lt;'PlayerGrades+'!$AI$6,"A-",IF(T464&lt;'PlayerGrades+'!$AI$5,"A",IF(T464&lt;'PlayerGrades+'!$AI$4,"A+",IF(T464&lt;'PlayerGrades+'!$AI$3,"S-",IF(T464&lt;'PlayerGrades+'!$AI$2,"S","S+"))))))))))))))))))))</f>
        <v>F-</v>
      </c>
      <c r="AC464" s="1392"/>
    </row>
    <row r="465">
      <c r="A465" s="1409"/>
      <c r="B465" s="611" t="str">
        <f>IF(C465&lt;'PlayerGrades+'!$Y$44,"F-",IF(C465&lt;'PlayerGrades+'!$Y$43,"F",IF(C465&lt;'PlayerGrades+'!$Y$42,"F+",IF(C465&lt;'PlayerGrades+'!$Y$41,"E-",IF(C465&lt;'PlayerGrades+'!$Y$40,"E",IF(C465&lt;'PlayerGrades+'!$Y$39,"E+",IF(C465&lt;'PlayerGrades+'!$Y$38,"D-",IF(C465&lt;'PlayerGrades+'!$Y$37,"D",IF(C465&lt;'PlayerGrades+'!$Y$36,"D+",IF(C465&lt;'PlayerGrades+'!$Y$35,"C-",IF(C465&lt;'PlayerGrades+'!$Y$34,"C",IF(C465&lt;'PlayerGrades+'!$Y$33,"C+",IF(C465&lt;'PlayerGrades+'!$Y$32,"B-",IF(C465&lt;'PlayerGrades+'!$Y$31,"B",IF(C465&lt;'PlayerGrades+'!$Y$30,"B+",IF(C465&lt;'PlayerGrades+'!$Y$29,"A-",IF(C465&lt;'PlayerGrades+'!$Y$28,"A",IF(C465&lt;'PlayerGrades+'!$Y$27,"A+",IF(C465&lt;'PlayerGrades+'!$Y$26,"S-",IF(C465&lt;'PlayerGrades+'!$Y$25,"S","S+"))))))))))))))))))))</f>
        <v>#DIV/0!</v>
      </c>
      <c r="C465" s="1378" t="str">
        <f>('PlayerGrades+'!$Y$47*(VLOOKUP(E465, 'PlayerGrades+'!$X$3:$Y$23, 2, FALSE)))+('PlayerGrades+'!$Y$48*(VLOOKUP(G465, 'PlayerGrades+'!$X$3:$Y$23, 2, FALSE)))+('PlayerGrades+'!$Y$49*(VLOOKUP(I465, 'PlayerGrades+'!$X$3:$Y$23, 2, FALSE)))+('PlayerGrades+'!$Y$50*(VLOOKUP(K465, 'PlayerGrades+'!$X$3:$Y$23, 2, FALSE)))+('PlayerGrades+'!$Y$51*(VLOOKUP(M465, 'PlayerGrades+'!$X$3:$Y$23, 2, FALSE)))+('PlayerGrades+'!$Y$52*(VLOOKUP(O465, 'PlayerGrades+'!$X$3:$Y$23, 2, FALSE)))+('PlayerGrades+'!$Y$53*(VLOOKUP(Q465, 'PlayerGrades+'!$X$3:$Y$23, 2, FALSE)))+('PlayerGrades+'!$Y$54*(VLOOKUP(S465, 'PlayerGrades+'!$X$3:$Y$23, 2, FALSE)))+('PlayerGrades+'!$Y$55*(VLOOKUP(U465, 'PlayerGrades+'!$X$3:$Y$23, 2, FALSE)))</f>
        <v>#DIV/0!</v>
      </c>
      <c r="D465" s="961" t="str">
        <f t="shared" si="1"/>
        <v>#DIV/0!</v>
      </c>
      <c r="E465" s="961" t="str">
        <f>IF(D465&lt;'PlayerGrades+'!$AA$21,"F-",IF(D465&lt;'PlayerGrades+'!$AA$20,"F",IF(D465&lt;'PlayerGrades+'!$AA$19,"F+",IF(D465&lt;'PlayerGrades+'!$AA$18,"E-",IF(D465&lt;'PlayerGrades+'!$AA$17,"E",IF(D465&lt;'PlayerGrades+'!$AA$16,"E+",IF(D465&lt;'PlayerGrades+'!$AA$15,"D-",IF(D465&lt;'PlayerGrades+'!$AA$14,"D",IF(D465&lt;'PlayerGrades+'!$AA$13,"D+",IF(D465&lt;'PlayerGrades+'!$AA$12,"C-",IF(D465&lt;'PlayerGrades+'!$AA$11,"C",IF(D465&lt;'PlayerGrades+'!$AA$10,"C+",IF(D465&lt;'PlayerGrades+'!$AA$9,"B-",IF(D465&lt;'PlayerGrades+'!$AA$8,"B",IF(D465&lt;'PlayerGrades+'!$AA$7,"B+",IF(D465&lt;'PlayerGrades+'!$AA$6,"A-",IF(D465&lt;'PlayerGrades+'!$AA$5,"A",IF(D465&lt;'PlayerGrades+'!$AA$4,"A+",IF(D465&lt;'PlayerGrades+'!$AA$3,"S-",IF(D465&lt;'PlayerGrades+'!$AA$2,"S","S+"))))))))))))))))))))</f>
        <v>#DIV/0!</v>
      </c>
      <c r="F465" s="961" t="str">
        <f t="shared" si="2"/>
        <v>#DIV/0!</v>
      </c>
      <c r="G465" s="961" t="str">
        <f>IF(F465&lt;'PlayerGrades+'!$AB$21,"F-",IF(F465&lt;'PlayerGrades+'!$AB$20,"F",IF(F465&lt;'PlayerGrades+'!$AB$19,"F+",IF(F465&lt;'PlayerGrades+'!$AB$18,"E-",IF(F465&lt;'PlayerGrades+'!$AB$17,"E",IF(F465&lt;'PlayerGrades+'!$AB$16,"E+",IF(F465&lt;'PlayerGrades+'!$AB$15,"D-",IF(F465&lt;'PlayerGrades+'!$AB$14,"D",IF(F465&lt;'PlayerGrades+'!$AB$13,"D+",IF(F465&lt;'PlayerGrades+'!$AB$12,"C-",IF(F465&lt;'PlayerGrades+'!$AB$11,"C",IF(F465&lt;'PlayerGrades+'!$AB$10,"C+",IF(F465&lt;'PlayerGrades+'!$AB$9,"B-",IF(F465&lt;'PlayerGrades+'!$AB$8,"B",IF(F465&lt;'PlayerGrades+'!$AB$7,"B+",IF(F465&lt;'PlayerGrades+'!$AB$6,"A-",IF(F465&lt;'PlayerGrades+'!$AB$5,"A",IF(F465&lt;'PlayerGrades+'!$AB$4,"A+",IF(F465&lt;'PlayerGrades+'!$AB$3,"S-",IF(F465&lt;'PlayerGrades+'!$AB$2,"S","S+"))))))))))))))))))))</f>
        <v>#DIV/0!</v>
      </c>
      <c r="H465" s="961" t="str">
        <f t="shared" si="3"/>
        <v>#DIV/0!</v>
      </c>
      <c r="I465" s="961" t="str">
        <f>IF(H465&lt;'PlayerGrades+'!$AC$21,"F-",IF(H465&lt;'PlayerGrades+'!$AC$20,"F",IF(H465&lt;'PlayerGrades+'!$AC$19,"F+",IF(H465&lt;'PlayerGrades+'!$AC$18,"E-",IF(H465&lt;'PlayerGrades+'!$AC$17,"E",IF(H465&lt;'PlayerGrades+'!$AC$16,"E+",IF(H465&lt;'PlayerGrades+'!$AC$15,"D-",IF(H465&lt;'PlayerGrades+'!$AC$14,"D",IF(H465&lt;'PlayerGrades+'!$AC$13,"D+",IF(H465&lt;'PlayerGrades+'!$AC$12,"C-",IF(H465&lt;'PlayerGrades+'!$AC$11,"C",IF(H465&lt;'PlayerGrades+'!$AC$10,"C+",IF(H465&lt;'PlayerGrades+'!$AC$9,"B-",IF(H465&lt;'PlayerGrades+'!$AC$8,"B",IF(H465&lt;'PlayerGrades+'!$AC$7,"B+",IF(H465&lt;'PlayerGrades+'!$AC$6,"A-",IF(H465&lt;'PlayerGrades+'!$AC$5,"A",IF(H465&lt;'PlayerGrades+'!$AC$4,"A+",IF(H465&lt;'PlayerGrades+'!$AC$3,"S-",IF(H465&lt;'PlayerGrades+'!$AC$2,"S","S+"))))))))))))))))))))</f>
        <v>#DIV/0!</v>
      </c>
      <c r="J465" s="961" t="str">
        <f t="shared" si="4"/>
        <v>#DIV/0!</v>
      </c>
      <c r="K465" s="961" t="str">
        <f>IF(J465&lt;'PlayerGrades+'!$AD$21,"F-",IF(J465&lt;'PlayerGrades+'!$AD$20,"F",IF(J465&lt;'PlayerGrades+'!$AD$19,"F+",IF(J465&lt;'PlayerGrades+'!$AD$18,"E-",IF(J465&lt;'PlayerGrades+'!$AD$17,"E",IF(J465&lt;'PlayerGrades+'!$AD$16,"E+",IF(J465&lt;'PlayerGrades+'!$AD$15,"D-",IF(J465&lt;'PlayerGrades+'!$AD$14,"D",IF(J465&lt;'PlayerGrades+'!$AD$13,"D+",IF(J465&lt;'PlayerGrades+'!$AD$12,"C-",IF(J465&lt;'PlayerGrades+'!$AD$11,"C",IF(J465&lt;'PlayerGrades+'!$AD$10,"C+",IF(J465&lt;'PlayerGrades+'!$AD$9,"B-",IF(J465&lt;'PlayerGrades+'!$AD$8,"B",IF(J465&lt;'PlayerGrades+'!$AD$7,"B+",IF(J465&lt;'PlayerGrades+'!$AD$6,"A-",IF(J465&lt;'PlayerGrades+'!$AD$5,"A",IF(J465&lt;'PlayerGrades+'!$AD$4,"A+",IF(J465&lt;'PlayerGrades+'!$AD$3,"S-",IF(J465&lt;'PlayerGrades+'!$AD$2,"S","S+"))))))))))))))))))))</f>
        <v>#DIV/0!</v>
      </c>
      <c r="L465" s="1176" t="str">
        <f t="shared" si="5"/>
        <v>#DIV/0!</v>
      </c>
      <c r="M465" s="992" t="str">
        <f>IF(L465&lt;'PlayerGrades+'!$AE$21,"F-",IF(L465&lt;'PlayerGrades+'!$AE$20,"F",IF(L465&lt;'PlayerGrades+'!$AE$19,"F+",IF(L465&lt;'PlayerGrades+'!$AE$18,"E-",IF(L465&lt;'PlayerGrades+'!$AE$17,"E",IF(L465&lt;'PlayerGrades+'!$AE$16,"E+",IF(L465&lt;'PlayerGrades+'!$AE$15,"D-",IF(L465&lt;'PlayerGrades+'!$AE$14,"D",IF(L465&lt;'PlayerGrades+'!$AE$13,"D+",IF(L465&lt;'PlayerGrades+'!$AE$12,"C-",IF(L465&lt;'PlayerGrades+'!$AE$11,"C",IF(L465&lt;'PlayerGrades+'!$AE$10,"C+",IF(L465&lt;'PlayerGrades+'!$AE$9,"B-",IF(L465&lt;'PlayerGrades+'!$AE$8,"B",IF(L465&lt;'PlayerGrades+'!$AE$7,"B+",IF(L465&lt;'PlayerGrades+'!$AE$6,"A-",IF(L465&lt;'PlayerGrades+'!$AE$5,"A",IF(L465&lt;'PlayerGrades+'!$AE$4,"A+",IF(L465&lt;'PlayerGrades+'!$AE$3,"S-",IF(L465&lt;'PlayerGrades+'!$AE$2,"S","S+"))))))))))))))))))))</f>
        <v>#DIV/0!</v>
      </c>
      <c r="N465" s="961" t="str">
        <f t="shared" si="6"/>
        <v>#DIV/0!</v>
      </c>
      <c r="O465" s="961" t="str">
        <f>IF(N465&lt;'PlayerGrades+'!$AF$21,"F-",IF(N465&lt;'PlayerGrades+'!$AF$20,"F",IF(N465&lt;'PlayerGrades+'!$AF$19,"F+",IF(N465&lt;'PlayerGrades+'!$AF$18,"E-",IF(N465&lt;'PlayerGrades+'!$AF$17,"E",IF(N465&lt;'PlayerGrades+'!$AF$16,"E+",IF(N465&lt;'PlayerGrades+'!$AF$15,"D-",IF(N465&lt;'PlayerGrades+'!$AF$14,"D",IF(N465&lt;'PlayerGrades+'!$AF$13,"D+",IF(N465&lt;'PlayerGrades+'!$AF$12,"C-",IF(N465&lt;'PlayerGrades+'!$AF$11,"C",IF(N465&lt;'PlayerGrades+'!$AF$10,"C+",IF(N465&lt;'PlayerGrades+'!$AF$9,"B-",IF(N465&lt;'PlayerGrades+'!$AF$8,"B",IF(N465&lt;'PlayerGrades+'!$AF$7,"B+",IF(N465&lt;'PlayerGrades+'!$AF$6,"A-",IF(N465&lt;'PlayerGrades+'!$AF$5,"A",IF(N465&lt;'PlayerGrades+'!$AF$4,"A+",IF(N465&lt;'PlayerGrades+'!$AF$3,"S-",IF(N465&lt;'PlayerGrades+'!$AF$2,"S","S+"))))))))))))))))))))</f>
        <v>#DIV/0!</v>
      </c>
      <c r="P465" s="961" t="str">
        <f t="shared" si="7"/>
        <v>#DIV/0!</v>
      </c>
      <c r="Q465" s="961" t="str">
        <f>IF(P465&lt;'PlayerGrades+'!$AG$21,"F-",IF(P465&lt;'PlayerGrades+'!$AG$20,"F",IF(P465&lt;'PlayerGrades+'!$AG$19,"F+",IF(P465&lt;'PlayerGrades+'!$AG$18,"E-",IF(P465&lt;'PlayerGrades+'!$AG$17,"E",IF(P465&lt;'PlayerGrades+'!$AG$16,"E+",IF(P465&lt;'PlayerGrades+'!$AG$15,"D-",IF(P465&lt;'PlayerGrades+'!$AG$14,"D",IF(P465&lt;'PlayerGrades+'!$AG$13,"D+",IF(P465&lt;'PlayerGrades+'!$AG$12,"C-",IF(P465&lt;'PlayerGrades+'!$AG$11,"C",IF(P465&lt;'PlayerGrades+'!$AG$10,"C+",IF(P465&lt;'PlayerGrades+'!$AG$9,"B-",IF(P465&lt;'PlayerGrades+'!$AG$8,"B",IF(P465&lt;'PlayerGrades+'!$AG$7,"B+",IF(P465&lt;'PlayerGrades+'!$AG$6,"A-",IF(P465&lt;'PlayerGrades+'!$AG$5,"A",IF(P465&lt;'PlayerGrades+'!$AG$4,"A+",IF(P465&lt;'PlayerGrades+'!$AG$3,"S-",IF(P465&lt;'PlayerGrades+'!$AG$2,"S","S+"))))))))))))))))))))</f>
        <v>#DIV/0!</v>
      </c>
      <c r="R465" s="961" t="str">
        <f t="shared" si="8"/>
        <v>#DIV/0!</v>
      </c>
      <c r="S465" s="961" t="str">
        <f>IF(R465&lt;'PlayerGrades+'!$AH$21,"F-",IF(R465&lt;'PlayerGrades+'!$AH$20,"F",IF(R465&lt;'PlayerGrades+'!$AH$19,"F+",IF(R465&lt;'PlayerGrades+'!$AH$18,"E-",IF(R465&lt;'PlayerGrades+'!$AH$17,"E",IF(R465&lt;'PlayerGrades+'!$AH$16,"E+",IF(R465&lt;'PlayerGrades+'!$AH$15,"D-",IF(R465&lt;'PlayerGrades+'!$AH$14,"D",IF(R465&lt;'PlayerGrades+'!$AH$13,"D+",IF(R465&lt;'PlayerGrades+'!$AH$12,"C-",IF(R465&lt;'PlayerGrades+'!$AH$11,"C",IF(R465&lt;'PlayerGrades+'!$AH$10,"C+",IF(R465&lt;'PlayerGrades+'!$AH$9,"B-",IF(R465&lt;'PlayerGrades+'!$AH$8,"B",IF(R465&lt;'PlayerGrades+'!$AH$7,"B+",IF(R465&lt;'PlayerGrades+'!$AH$6,"A-",IF(R465&lt;'PlayerGrades+'!$AH$5,"A",IF(R465&lt;'PlayerGrades+'!$AH$4,"A+",IF(R465&lt;'PlayerGrades+'!$AH$3,"S-",IF(R465&lt;'PlayerGrades+'!$AH$2,"S","S+"))))))))))))))))))))</f>
        <v>#DIV/0!</v>
      </c>
      <c r="T465" s="961">
        <f t="shared" si="9"/>
        <v>0</v>
      </c>
      <c r="U465" s="961" t="str">
        <f>IF(T465&lt;'PlayerGrades+'!$AI$21,"F-",IF(T465&lt;'PlayerGrades+'!$AI$20,"F",IF(T465&lt;'PlayerGrades+'!$AI$19,"F+",IF(T465&lt;'PlayerGrades+'!$AI$18,"E-",IF(T465&lt;'PlayerGrades+'!$AI$17,"E",IF(T465&lt;'PlayerGrades+'!$AI$16,"E+",IF(T465&lt;'PlayerGrades+'!$AI$15,"D-",IF(T465&lt;'PlayerGrades+'!$AI$14,"D",IF(T465&lt;'PlayerGrades+'!$AI$13,"D+",IF(T465&lt;'PlayerGrades+'!$AI$12,"C-",IF(T465&lt;'PlayerGrades+'!$AI$11,"C",IF(T465&lt;'PlayerGrades+'!$AI$10,"C+",IF(T465&lt;'PlayerGrades+'!$AI$9,"B-",IF(T465&lt;'PlayerGrades+'!$AI$8,"B",IF(T465&lt;'PlayerGrades+'!$AI$7,"B+",IF(T465&lt;'PlayerGrades+'!$AI$6,"A-",IF(T465&lt;'PlayerGrades+'!$AI$5,"A",IF(T465&lt;'PlayerGrades+'!$AI$4,"A+",IF(T465&lt;'PlayerGrades+'!$AI$3,"S-",IF(T465&lt;'PlayerGrades+'!$AI$2,"S","S+"))))))))))))))))))))</f>
        <v>F-</v>
      </c>
      <c r="AC465" s="1392"/>
    </row>
    <row r="466">
      <c r="A466" s="1407"/>
      <c r="B466" s="611" t="str">
        <f>IF(C466&lt;'PlayerGrades+'!$Y$44,"F-",IF(C466&lt;'PlayerGrades+'!$Y$43,"F",IF(C466&lt;'PlayerGrades+'!$Y$42,"F+",IF(C466&lt;'PlayerGrades+'!$Y$41,"E-",IF(C466&lt;'PlayerGrades+'!$Y$40,"E",IF(C466&lt;'PlayerGrades+'!$Y$39,"E+",IF(C466&lt;'PlayerGrades+'!$Y$38,"D-",IF(C466&lt;'PlayerGrades+'!$Y$37,"D",IF(C466&lt;'PlayerGrades+'!$Y$36,"D+",IF(C466&lt;'PlayerGrades+'!$Y$35,"C-",IF(C466&lt;'PlayerGrades+'!$Y$34,"C",IF(C466&lt;'PlayerGrades+'!$Y$33,"C+",IF(C466&lt;'PlayerGrades+'!$Y$32,"B-",IF(C466&lt;'PlayerGrades+'!$Y$31,"B",IF(C466&lt;'PlayerGrades+'!$Y$30,"B+",IF(C466&lt;'PlayerGrades+'!$Y$29,"A-",IF(C466&lt;'PlayerGrades+'!$Y$28,"A",IF(C466&lt;'PlayerGrades+'!$Y$27,"A+",IF(C466&lt;'PlayerGrades+'!$Y$26,"S-",IF(C466&lt;'PlayerGrades+'!$Y$25,"S","S+"))))))))))))))))))))</f>
        <v>#DIV/0!</v>
      </c>
      <c r="C466" s="1378" t="str">
        <f>('PlayerGrades+'!$Y$47*(VLOOKUP(E466, 'PlayerGrades+'!$X$3:$Y$23, 2, FALSE)))+('PlayerGrades+'!$Y$48*(VLOOKUP(G466, 'PlayerGrades+'!$X$3:$Y$23, 2, FALSE)))+('PlayerGrades+'!$Y$49*(VLOOKUP(I466, 'PlayerGrades+'!$X$3:$Y$23, 2, FALSE)))+('PlayerGrades+'!$Y$50*(VLOOKUP(K466, 'PlayerGrades+'!$X$3:$Y$23, 2, FALSE)))+('PlayerGrades+'!$Y$51*(VLOOKUP(M466, 'PlayerGrades+'!$X$3:$Y$23, 2, FALSE)))+('PlayerGrades+'!$Y$52*(VLOOKUP(O466, 'PlayerGrades+'!$X$3:$Y$23, 2, FALSE)))+('PlayerGrades+'!$Y$53*(VLOOKUP(Q466, 'PlayerGrades+'!$X$3:$Y$23, 2, FALSE)))+('PlayerGrades+'!$Y$54*(VLOOKUP(S466, 'PlayerGrades+'!$X$3:$Y$23, 2, FALSE)))+('PlayerGrades+'!$Y$55*(VLOOKUP(U466, 'PlayerGrades+'!$X$3:$Y$23, 2, FALSE)))</f>
        <v>#DIV/0!</v>
      </c>
      <c r="D466" s="961" t="str">
        <f t="shared" si="1"/>
        <v>#DIV/0!</v>
      </c>
      <c r="E466" s="961" t="str">
        <f>IF(D466&lt;'PlayerGrades+'!$AA$21,"F-",IF(D466&lt;'PlayerGrades+'!$AA$20,"F",IF(D466&lt;'PlayerGrades+'!$AA$19,"F+",IF(D466&lt;'PlayerGrades+'!$AA$18,"E-",IF(D466&lt;'PlayerGrades+'!$AA$17,"E",IF(D466&lt;'PlayerGrades+'!$AA$16,"E+",IF(D466&lt;'PlayerGrades+'!$AA$15,"D-",IF(D466&lt;'PlayerGrades+'!$AA$14,"D",IF(D466&lt;'PlayerGrades+'!$AA$13,"D+",IF(D466&lt;'PlayerGrades+'!$AA$12,"C-",IF(D466&lt;'PlayerGrades+'!$AA$11,"C",IF(D466&lt;'PlayerGrades+'!$AA$10,"C+",IF(D466&lt;'PlayerGrades+'!$AA$9,"B-",IF(D466&lt;'PlayerGrades+'!$AA$8,"B",IF(D466&lt;'PlayerGrades+'!$AA$7,"B+",IF(D466&lt;'PlayerGrades+'!$AA$6,"A-",IF(D466&lt;'PlayerGrades+'!$AA$5,"A",IF(D466&lt;'PlayerGrades+'!$AA$4,"A+",IF(D466&lt;'PlayerGrades+'!$AA$3,"S-",IF(D466&lt;'PlayerGrades+'!$AA$2,"S","S+"))))))))))))))))))))</f>
        <v>#DIV/0!</v>
      </c>
      <c r="F466" s="961" t="str">
        <f t="shared" si="2"/>
        <v>#DIV/0!</v>
      </c>
      <c r="G466" s="961" t="str">
        <f>IF(F466&lt;'PlayerGrades+'!$AB$21,"F-",IF(F466&lt;'PlayerGrades+'!$AB$20,"F",IF(F466&lt;'PlayerGrades+'!$AB$19,"F+",IF(F466&lt;'PlayerGrades+'!$AB$18,"E-",IF(F466&lt;'PlayerGrades+'!$AB$17,"E",IF(F466&lt;'PlayerGrades+'!$AB$16,"E+",IF(F466&lt;'PlayerGrades+'!$AB$15,"D-",IF(F466&lt;'PlayerGrades+'!$AB$14,"D",IF(F466&lt;'PlayerGrades+'!$AB$13,"D+",IF(F466&lt;'PlayerGrades+'!$AB$12,"C-",IF(F466&lt;'PlayerGrades+'!$AB$11,"C",IF(F466&lt;'PlayerGrades+'!$AB$10,"C+",IF(F466&lt;'PlayerGrades+'!$AB$9,"B-",IF(F466&lt;'PlayerGrades+'!$AB$8,"B",IF(F466&lt;'PlayerGrades+'!$AB$7,"B+",IF(F466&lt;'PlayerGrades+'!$AB$6,"A-",IF(F466&lt;'PlayerGrades+'!$AB$5,"A",IF(F466&lt;'PlayerGrades+'!$AB$4,"A+",IF(F466&lt;'PlayerGrades+'!$AB$3,"S-",IF(F466&lt;'PlayerGrades+'!$AB$2,"S","S+"))))))))))))))))))))</f>
        <v>#DIV/0!</v>
      </c>
      <c r="H466" s="961" t="str">
        <f t="shared" si="3"/>
        <v>#DIV/0!</v>
      </c>
      <c r="I466" s="961" t="str">
        <f>IF(H466&lt;'PlayerGrades+'!$AC$21,"F-",IF(H466&lt;'PlayerGrades+'!$AC$20,"F",IF(H466&lt;'PlayerGrades+'!$AC$19,"F+",IF(H466&lt;'PlayerGrades+'!$AC$18,"E-",IF(H466&lt;'PlayerGrades+'!$AC$17,"E",IF(H466&lt;'PlayerGrades+'!$AC$16,"E+",IF(H466&lt;'PlayerGrades+'!$AC$15,"D-",IF(H466&lt;'PlayerGrades+'!$AC$14,"D",IF(H466&lt;'PlayerGrades+'!$AC$13,"D+",IF(H466&lt;'PlayerGrades+'!$AC$12,"C-",IF(H466&lt;'PlayerGrades+'!$AC$11,"C",IF(H466&lt;'PlayerGrades+'!$AC$10,"C+",IF(H466&lt;'PlayerGrades+'!$AC$9,"B-",IF(H466&lt;'PlayerGrades+'!$AC$8,"B",IF(H466&lt;'PlayerGrades+'!$AC$7,"B+",IF(H466&lt;'PlayerGrades+'!$AC$6,"A-",IF(H466&lt;'PlayerGrades+'!$AC$5,"A",IF(H466&lt;'PlayerGrades+'!$AC$4,"A+",IF(H466&lt;'PlayerGrades+'!$AC$3,"S-",IF(H466&lt;'PlayerGrades+'!$AC$2,"S","S+"))))))))))))))))))))</f>
        <v>#DIV/0!</v>
      </c>
      <c r="J466" s="961" t="str">
        <f t="shared" si="4"/>
        <v>#DIV/0!</v>
      </c>
      <c r="K466" s="961" t="str">
        <f>IF(J466&lt;'PlayerGrades+'!$AD$21,"F-",IF(J466&lt;'PlayerGrades+'!$AD$20,"F",IF(J466&lt;'PlayerGrades+'!$AD$19,"F+",IF(J466&lt;'PlayerGrades+'!$AD$18,"E-",IF(J466&lt;'PlayerGrades+'!$AD$17,"E",IF(J466&lt;'PlayerGrades+'!$AD$16,"E+",IF(J466&lt;'PlayerGrades+'!$AD$15,"D-",IF(J466&lt;'PlayerGrades+'!$AD$14,"D",IF(J466&lt;'PlayerGrades+'!$AD$13,"D+",IF(J466&lt;'PlayerGrades+'!$AD$12,"C-",IF(J466&lt;'PlayerGrades+'!$AD$11,"C",IF(J466&lt;'PlayerGrades+'!$AD$10,"C+",IF(J466&lt;'PlayerGrades+'!$AD$9,"B-",IF(J466&lt;'PlayerGrades+'!$AD$8,"B",IF(J466&lt;'PlayerGrades+'!$AD$7,"B+",IF(J466&lt;'PlayerGrades+'!$AD$6,"A-",IF(J466&lt;'PlayerGrades+'!$AD$5,"A",IF(J466&lt;'PlayerGrades+'!$AD$4,"A+",IF(J466&lt;'PlayerGrades+'!$AD$3,"S-",IF(J466&lt;'PlayerGrades+'!$AD$2,"S","S+"))))))))))))))))))))</f>
        <v>#DIV/0!</v>
      </c>
      <c r="L466" s="1176" t="str">
        <f t="shared" si="5"/>
        <v>#DIV/0!</v>
      </c>
      <c r="M466" s="992" t="str">
        <f>IF(L466&lt;'PlayerGrades+'!$AE$21,"F-",IF(L466&lt;'PlayerGrades+'!$AE$20,"F",IF(L466&lt;'PlayerGrades+'!$AE$19,"F+",IF(L466&lt;'PlayerGrades+'!$AE$18,"E-",IF(L466&lt;'PlayerGrades+'!$AE$17,"E",IF(L466&lt;'PlayerGrades+'!$AE$16,"E+",IF(L466&lt;'PlayerGrades+'!$AE$15,"D-",IF(L466&lt;'PlayerGrades+'!$AE$14,"D",IF(L466&lt;'PlayerGrades+'!$AE$13,"D+",IF(L466&lt;'PlayerGrades+'!$AE$12,"C-",IF(L466&lt;'PlayerGrades+'!$AE$11,"C",IF(L466&lt;'PlayerGrades+'!$AE$10,"C+",IF(L466&lt;'PlayerGrades+'!$AE$9,"B-",IF(L466&lt;'PlayerGrades+'!$AE$8,"B",IF(L466&lt;'PlayerGrades+'!$AE$7,"B+",IF(L466&lt;'PlayerGrades+'!$AE$6,"A-",IF(L466&lt;'PlayerGrades+'!$AE$5,"A",IF(L466&lt;'PlayerGrades+'!$AE$4,"A+",IF(L466&lt;'PlayerGrades+'!$AE$3,"S-",IF(L466&lt;'PlayerGrades+'!$AE$2,"S","S+"))))))))))))))))))))</f>
        <v>#DIV/0!</v>
      </c>
      <c r="N466" s="961" t="str">
        <f t="shared" si="6"/>
        <v>#DIV/0!</v>
      </c>
      <c r="O466" s="961" t="str">
        <f>IF(N466&lt;'PlayerGrades+'!$AF$21,"F-",IF(N466&lt;'PlayerGrades+'!$AF$20,"F",IF(N466&lt;'PlayerGrades+'!$AF$19,"F+",IF(N466&lt;'PlayerGrades+'!$AF$18,"E-",IF(N466&lt;'PlayerGrades+'!$AF$17,"E",IF(N466&lt;'PlayerGrades+'!$AF$16,"E+",IF(N466&lt;'PlayerGrades+'!$AF$15,"D-",IF(N466&lt;'PlayerGrades+'!$AF$14,"D",IF(N466&lt;'PlayerGrades+'!$AF$13,"D+",IF(N466&lt;'PlayerGrades+'!$AF$12,"C-",IF(N466&lt;'PlayerGrades+'!$AF$11,"C",IF(N466&lt;'PlayerGrades+'!$AF$10,"C+",IF(N466&lt;'PlayerGrades+'!$AF$9,"B-",IF(N466&lt;'PlayerGrades+'!$AF$8,"B",IF(N466&lt;'PlayerGrades+'!$AF$7,"B+",IF(N466&lt;'PlayerGrades+'!$AF$6,"A-",IF(N466&lt;'PlayerGrades+'!$AF$5,"A",IF(N466&lt;'PlayerGrades+'!$AF$4,"A+",IF(N466&lt;'PlayerGrades+'!$AF$3,"S-",IF(N466&lt;'PlayerGrades+'!$AF$2,"S","S+"))))))))))))))))))))</f>
        <v>#DIV/0!</v>
      </c>
      <c r="P466" s="961" t="str">
        <f t="shared" si="7"/>
        <v>#DIV/0!</v>
      </c>
      <c r="Q466" s="961" t="str">
        <f>IF(P466&lt;'PlayerGrades+'!$AG$21,"F-",IF(P466&lt;'PlayerGrades+'!$AG$20,"F",IF(P466&lt;'PlayerGrades+'!$AG$19,"F+",IF(P466&lt;'PlayerGrades+'!$AG$18,"E-",IF(P466&lt;'PlayerGrades+'!$AG$17,"E",IF(P466&lt;'PlayerGrades+'!$AG$16,"E+",IF(P466&lt;'PlayerGrades+'!$AG$15,"D-",IF(P466&lt;'PlayerGrades+'!$AG$14,"D",IF(P466&lt;'PlayerGrades+'!$AG$13,"D+",IF(P466&lt;'PlayerGrades+'!$AG$12,"C-",IF(P466&lt;'PlayerGrades+'!$AG$11,"C",IF(P466&lt;'PlayerGrades+'!$AG$10,"C+",IF(P466&lt;'PlayerGrades+'!$AG$9,"B-",IF(P466&lt;'PlayerGrades+'!$AG$8,"B",IF(P466&lt;'PlayerGrades+'!$AG$7,"B+",IF(P466&lt;'PlayerGrades+'!$AG$6,"A-",IF(P466&lt;'PlayerGrades+'!$AG$5,"A",IF(P466&lt;'PlayerGrades+'!$AG$4,"A+",IF(P466&lt;'PlayerGrades+'!$AG$3,"S-",IF(P466&lt;'PlayerGrades+'!$AG$2,"S","S+"))))))))))))))))))))</f>
        <v>#DIV/0!</v>
      </c>
      <c r="R466" s="961" t="str">
        <f t="shared" si="8"/>
        <v>#DIV/0!</v>
      </c>
      <c r="S466" s="961" t="str">
        <f>IF(R466&lt;'PlayerGrades+'!$AH$21,"F-",IF(R466&lt;'PlayerGrades+'!$AH$20,"F",IF(R466&lt;'PlayerGrades+'!$AH$19,"F+",IF(R466&lt;'PlayerGrades+'!$AH$18,"E-",IF(R466&lt;'PlayerGrades+'!$AH$17,"E",IF(R466&lt;'PlayerGrades+'!$AH$16,"E+",IF(R466&lt;'PlayerGrades+'!$AH$15,"D-",IF(R466&lt;'PlayerGrades+'!$AH$14,"D",IF(R466&lt;'PlayerGrades+'!$AH$13,"D+",IF(R466&lt;'PlayerGrades+'!$AH$12,"C-",IF(R466&lt;'PlayerGrades+'!$AH$11,"C",IF(R466&lt;'PlayerGrades+'!$AH$10,"C+",IF(R466&lt;'PlayerGrades+'!$AH$9,"B-",IF(R466&lt;'PlayerGrades+'!$AH$8,"B",IF(R466&lt;'PlayerGrades+'!$AH$7,"B+",IF(R466&lt;'PlayerGrades+'!$AH$6,"A-",IF(R466&lt;'PlayerGrades+'!$AH$5,"A",IF(R466&lt;'PlayerGrades+'!$AH$4,"A+",IF(R466&lt;'PlayerGrades+'!$AH$3,"S-",IF(R466&lt;'PlayerGrades+'!$AH$2,"S","S+"))))))))))))))))))))</f>
        <v>#DIV/0!</v>
      </c>
      <c r="T466" s="961">
        <f t="shared" si="9"/>
        <v>0</v>
      </c>
      <c r="U466" s="961" t="str">
        <f>IF(T466&lt;'PlayerGrades+'!$AI$21,"F-",IF(T466&lt;'PlayerGrades+'!$AI$20,"F",IF(T466&lt;'PlayerGrades+'!$AI$19,"F+",IF(T466&lt;'PlayerGrades+'!$AI$18,"E-",IF(T466&lt;'PlayerGrades+'!$AI$17,"E",IF(T466&lt;'PlayerGrades+'!$AI$16,"E+",IF(T466&lt;'PlayerGrades+'!$AI$15,"D-",IF(T466&lt;'PlayerGrades+'!$AI$14,"D",IF(T466&lt;'PlayerGrades+'!$AI$13,"D+",IF(T466&lt;'PlayerGrades+'!$AI$12,"C-",IF(T466&lt;'PlayerGrades+'!$AI$11,"C",IF(T466&lt;'PlayerGrades+'!$AI$10,"C+",IF(T466&lt;'PlayerGrades+'!$AI$9,"B-",IF(T466&lt;'PlayerGrades+'!$AI$8,"B",IF(T466&lt;'PlayerGrades+'!$AI$7,"B+",IF(T466&lt;'PlayerGrades+'!$AI$6,"A-",IF(T466&lt;'PlayerGrades+'!$AI$5,"A",IF(T466&lt;'PlayerGrades+'!$AI$4,"A+",IF(T466&lt;'PlayerGrades+'!$AI$3,"S-",IF(T466&lt;'PlayerGrades+'!$AI$2,"S","S+"))))))))))))))))))))</f>
        <v>F-</v>
      </c>
      <c r="V466" s="1379"/>
      <c r="W466" s="1379"/>
      <c r="X466" s="1379"/>
      <c r="Y466" s="1379"/>
      <c r="Z466" s="1379"/>
      <c r="AA466" s="1379"/>
      <c r="AB466" s="1379"/>
      <c r="AC466" s="1390"/>
      <c r="AD466" s="1379"/>
      <c r="AE466" s="1379"/>
      <c r="AF466" s="1379"/>
      <c r="AG466" s="1379"/>
      <c r="AH466" s="1379"/>
      <c r="AI466" s="1379"/>
      <c r="AJ466" s="1379"/>
      <c r="AK466" s="1379"/>
      <c r="AL466" s="1379"/>
      <c r="AM466" s="1379"/>
      <c r="AN466" s="1379"/>
      <c r="AO466" s="1379"/>
      <c r="AP466" s="1379"/>
      <c r="AQ466" s="1379"/>
      <c r="AR466" s="1379"/>
      <c r="AS466" s="1379"/>
      <c r="AT466" s="1379"/>
      <c r="AU466" s="1379"/>
      <c r="AV466" s="1379"/>
      <c r="AW466" s="1379"/>
      <c r="AX466" s="1379"/>
      <c r="AY466" s="1379"/>
      <c r="AZ466" s="1379"/>
    </row>
    <row r="467">
      <c r="A467" s="1408"/>
      <c r="B467" s="611" t="str">
        <f>IF(C467&lt;'PlayerGrades+'!$Y$44,"F-",IF(C467&lt;'PlayerGrades+'!$Y$43,"F",IF(C467&lt;'PlayerGrades+'!$Y$42,"F+",IF(C467&lt;'PlayerGrades+'!$Y$41,"E-",IF(C467&lt;'PlayerGrades+'!$Y$40,"E",IF(C467&lt;'PlayerGrades+'!$Y$39,"E+",IF(C467&lt;'PlayerGrades+'!$Y$38,"D-",IF(C467&lt;'PlayerGrades+'!$Y$37,"D",IF(C467&lt;'PlayerGrades+'!$Y$36,"D+",IF(C467&lt;'PlayerGrades+'!$Y$35,"C-",IF(C467&lt;'PlayerGrades+'!$Y$34,"C",IF(C467&lt;'PlayerGrades+'!$Y$33,"C+",IF(C467&lt;'PlayerGrades+'!$Y$32,"B-",IF(C467&lt;'PlayerGrades+'!$Y$31,"B",IF(C467&lt;'PlayerGrades+'!$Y$30,"B+",IF(C467&lt;'PlayerGrades+'!$Y$29,"A-",IF(C467&lt;'PlayerGrades+'!$Y$28,"A",IF(C467&lt;'PlayerGrades+'!$Y$27,"A+",IF(C467&lt;'PlayerGrades+'!$Y$26,"S-",IF(C467&lt;'PlayerGrades+'!$Y$25,"S","S+"))))))))))))))))))))</f>
        <v>#DIV/0!</v>
      </c>
      <c r="C467" s="1378" t="str">
        <f>('PlayerGrades+'!$Y$47*(VLOOKUP(E467, 'PlayerGrades+'!$X$3:$Y$23, 2, FALSE)))+('PlayerGrades+'!$Y$48*(VLOOKUP(G467, 'PlayerGrades+'!$X$3:$Y$23, 2, FALSE)))+('PlayerGrades+'!$Y$49*(VLOOKUP(I467, 'PlayerGrades+'!$X$3:$Y$23, 2, FALSE)))+('PlayerGrades+'!$Y$50*(VLOOKUP(K467, 'PlayerGrades+'!$X$3:$Y$23, 2, FALSE)))+('PlayerGrades+'!$Y$51*(VLOOKUP(M467, 'PlayerGrades+'!$X$3:$Y$23, 2, FALSE)))+('PlayerGrades+'!$Y$52*(VLOOKUP(O467, 'PlayerGrades+'!$X$3:$Y$23, 2, FALSE)))+('PlayerGrades+'!$Y$53*(VLOOKUP(Q467, 'PlayerGrades+'!$X$3:$Y$23, 2, FALSE)))+('PlayerGrades+'!$Y$54*(VLOOKUP(S467, 'PlayerGrades+'!$X$3:$Y$23, 2, FALSE)))+('PlayerGrades+'!$Y$55*(VLOOKUP(U467, 'PlayerGrades+'!$X$3:$Y$23, 2, FALSE)))</f>
        <v>#DIV/0!</v>
      </c>
      <c r="D467" s="961" t="str">
        <f t="shared" si="1"/>
        <v>#DIV/0!</v>
      </c>
      <c r="E467" s="961" t="str">
        <f>IF(D467&lt;'PlayerGrades+'!$AA$21,"F-",IF(D467&lt;'PlayerGrades+'!$AA$20,"F",IF(D467&lt;'PlayerGrades+'!$AA$19,"F+",IF(D467&lt;'PlayerGrades+'!$AA$18,"E-",IF(D467&lt;'PlayerGrades+'!$AA$17,"E",IF(D467&lt;'PlayerGrades+'!$AA$16,"E+",IF(D467&lt;'PlayerGrades+'!$AA$15,"D-",IF(D467&lt;'PlayerGrades+'!$AA$14,"D",IF(D467&lt;'PlayerGrades+'!$AA$13,"D+",IF(D467&lt;'PlayerGrades+'!$AA$12,"C-",IF(D467&lt;'PlayerGrades+'!$AA$11,"C",IF(D467&lt;'PlayerGrades+'!$AA$10,"C+",IF(D467&lt;'PlayerGrades+'!$AA$9,"B-",IF(D467&lt;'PlayerGrades+'!$AA$8,"B",IF(D467&lt;'PlayerGrades+'!$AA$7,"B+",IF(D467&lt;'PlayerGrades+'!$AA$6,"A-",IF(D467&lt;'PlayerGrades+'!$AA$5,"A",IF(D467&lt;'PlayerGrades+'!$AA$4,"A+",IF(D467&lt;'PlayerGrades+'!$AA$3,"S-",IF(D467&lt;'PlayerGrades+'!$AA$2,"S","S+"))))))))))))))))))))</f>
        <v>#DIV/0!</v>
      </c>
      <c r="F467" s="961" t="str">
        <f t="shared" si="2"/>
        <v>#DIV/0!</v>
      </c>
      <c r="G467" s="961" t="str">
        <f>IF(F467&lt;'PlayerGrades+'!$AB$21,"F-",IF(F467&lt;'PlayerGrades+'!$AB$20,"F",IF(F467&lt;'PlayerGrades+'!$AB$19,"F+",IF(F467&lt;'PlayerGrades+'!$AB$18,"E-",IF(F467&lt;'PlayerGrades+'!$AB$17,"E",IF(F467&lt;'PlayerGrades+'!$AB$16,"E+",IF(F467&lt;'PlayerGrades+'!$AB$15,"D-",IF(F467&lt;'PlayerGrades+'!$AB$14,"D",IF(F467&lt;'PlayerGrades+'!$AB$13,"D+",IF(F467&lt;'PlayerGrades+'!$AB$12,"C-",IF(F467&lt;'PlayerGrades+'!$AB$11,"C",IF(F467&lt;'PlayerGrades+'!$AB$10,"C+",IF(F467&lt;'PlayerGrades+'!$AB$9,"B-",IF(F467&lt;'PlayerGrades+'!$AB$8,"B",IF(F467&lt;'PlayerGrades+'!$AB$7,"B+",IF(F467&lt;'PlayerGrades+'!$AB$6,"A-",IF(F467&lt;'PlayerGrades+'!$AB$5,"A",IF(F467&lt;'PlayerGrades+'!$AB$4,"A+",IF(F467&lt;'PlayerGrades+'!$AB$3,"S-",IF(F467&lt;'PlayerGrades+'!$AB$2,"S","S+"))))))))))))))))))))</f>
        <v>#DIV/0!</v>
      </c>
      <c r="H467" s="961" t="str">
        <f t="shared" si="3"/>
        <v>#DIV/0!</v>
      </c>
      <c r="I467" s="961" t="str">
        <f>IF(H467&lt;'PlayerGrades+'!$AC$21,"F-",IF(H467&lt;'PlayerGrades+'!$AC$20,"F",IF(H467&lt;'PlayerGrades+'!$AC$19,"F+",IF(H467&lt;'PlayerGrades+'!$AC$18,"E-",IF(H467&lt;'PlayerGrades+'!$AC$17,"E",IF(H467&lt;'PlayerGrades+'!$AC$16,"E+",IF(H467&lt;'PlayerGrades+'!$AC$15,"D-",IF(H467&lt;'PlayerGrades+'!$AC$14,"D",IF(H467&lt;'PlayerGrades+'!$AC$13,"D+",IF(H467&lt;'PlayerGrades+'!$AC$12,"C-",IF(H467&lt;'PlayerGrades+'!$AC$11,"C",IF(H467&lt;'PlayerGrades+'!$AC$10,"C+",IF(H467&lt;'PlayerGrades+'!$AC$9,"B-",IF(H467&lt;'PlayerGrades+'!$AC$8,"B",IF(H467&lt;'PlayerGrades+'!$AC$7,"B+",IF(H467&lt;'PlayerGrades+'!$AC$6,"A-",IF(H467&lt;'PlayerGrades+'!$AC$5,"A",IF(H467&lt;'PlayerGrades+'!$AC$4,"A+",IF(H467&lt;'PlayerGrades+'!$AC$3,"S-",IF(H467&lt;'PlayerGrades+'!$AC$2,"S","S+"))))))))))))))))))))</f>
        <v>#DIV/0!</v>
      </c>
      <c r="J467" s="961" t="str">
        <f t="shared" si="4"/>
        <v>#DIV/0!</v>
      </c>
      <c r="K467" s="961" t="str">
        <f>IF(J467&lt;'PlayerGrades+'!$AD$21,"F-",IF(J467&lt;'PlayerGrades+'!$AD$20,"F",IF(J467&lt;'PlayerGrades+'!$AD$19,"F+",IF(J467&lt;'PlayerGrades+'!$AD$18,"E-",IF(J467&lt;'PlayerGrades+'!$AD$17,"E",IF(J467&lt;'PlayerGrades+'!$AD$16,"E+",IF(J467&lt;'PlayerGrades+'!$AD$15,"D-",IF(J467&lt;'PlayerGrades+'!$AD$14,"D",IF(J467&lt;'PlayerGrades+'!$AD$13,"D+",IF(J467&lt;'PlayerGrades+'!$AD$12,"C-",IF(J467&lt;'PlayerGrades+'!$AD$11,"C",IF(J467&lt;'PlayerGrades+'!$AD$10,"C+",IF(J467&lt;'PlayerGrades+'!$AD$9,"B-",IF(J467&lt;'PlayerGrades+'!$AD$8,"B",IF(J467&lt;'PlayerGrades+'!$AD$7,"B+",IF(J467&lt;'PlayerGrades+'!$AD$6,"A-",IF(J467&lt;'PlayerGrades+'!$AD$5,"A",IF(J467&lt;'PlayerGrades+'!$AD$4,"A+",IF(J467&lt;'PlayerGrades+'!$AD$3,"S-",IF(J467&lt;'PlayerGrades+'!$AD$2,"S","S+"))))))))))))))))))))</f>
        <v>#DIV/0!</v>
      </c>
      <c r="L467" s="1176" t="str">
        <f t="shared" si="5"/>
        <v>#DIV/0!</v>
      </c>
      <c r="M467" s="992" t="str">
        <f>IF(L467&lt;'PlayerGrades+'!$AE$21,"F-",IF(L467&lt;'PlayerGrades+'!$AE$20,"F",IF(L467&lt;'PlayerGrades+'!$AE$19,"F+",IF(L467&lt;'PlayerGrades+'!$AE$18,"E-",IF(L467&lt;'PlayerGrades+'!$AE$17,"E",IF(L467&lt;'PlayerGrades+'!$AE$16,"E+",IF(L467&lt;'PlayerGrades+'!$AE$15,"D-",IF(L467&lt;'PlayerGrades+'!$AE$14,"D",IF(L467&lt;'PlayerGrades+'!$AE$13,"D+",IF(L467&lt;'PlayerGrades+'!$AE$12,"C-",IF(L467&lt;'PlayerGrades+'!$AE$11,"C",IF(L467&lt;'PlayerGrades+'!$AE$10,"C+",IF(L467&lt;'PlayerGrades+'!$AE$9,"B-",IF(L467&lt;'PlayerGrades+'!$AE$8,"B",IF(L467&lt;'PlayerGrades+'!$AE$7,"B+",IF(L467&lt;'PlayerGrades+'!$AE$6,"A-",IF(L467&lt;'PlayerGrades+'!$AE$5,"A",IF(L467&lt;'PlayerGrades+'!$AE$4,"A+",IF(L467&lt;'PlayerGrades+'!$AE$3,"S-",IF(L467&lt;'PlayerGrades+'!$AE$2,"S","S+"))))))))))))))))))))</f>
        <v>#DIV/0!</v>
      </c>
      <c r="N467" s="961" t="str">
        <f t="shared" si="6"/>
        <v>#DIV/0!</v>
      </c>
      <c r="O467" s="961" t="str">
        <f>IF(N467&lt;'PlayerGrades+'!$AF$21,"F-",IF(N467&lt;'PlayerGrades+'!$AF$20,"F",IF(N467&lt;'PlayerGrades+'!$AF$19,"F+",IF(N467&lt;'PlayerGrades+'!$AF$18,"E-",IF(N467&lt;'PlayerGrades+'!$AF$17,"E",IF(N467&lt;'PlayerGrades+'!$AF$16,"E+",IF(N467&lt;'PlayerGrades+'!$AF$15,"D-",IF(N467&lt;'PlayerGrades+'!$AF$14,"D",IF(N467&lt;'PlayerGrades+'!$AF$13,"D+",IF(N467&lt;'PlayerGrades+'!$AF$12,"C-",IF(N467&lt;'PlayerGrades+'!$AF$11,"C",IF(N467&lt;'PlayerGrades+'!$AF$10,"C+",IF(N467&lt;'PlayerGrades+'!$AF$9,"B-",IF(N467&lt;'PlayerGrades+'!$AF$8,"B",IF(N467&lt;'PlayerGrades+'!$AF$7,"B+",IF(N467&lt;'PlayerGrades+'!$AF$6,"A-",IF(N467&lt;'PlayerGrades+'!$AF$5,"A",IF(N467&lt;'PlayerGrades+'!$AF$4,"A+",IF(N467&lt;'PlayerGrades+'!$AF$3,"S-",IF(N467&lt;'PlayerGrades+'!$AF$2,"S","S+"))))))))))))))))))))</f>
        <v>#DIV/0!</v>
      </c>
      <c r="P467" s="961" t="str">
        <f t="shared" si="7"/>
        <v>#DIV/0!</v>
      </c>
      <c r="Q467" s="961" t="str">
        <f>IF(P467&lt;'PlayerGrades+'!$AG$21,"F-",IF(P467&lt;'PlayerGrades+'!$AG$20,"F",IF(P467&lt;'PlayerGrades+'!$AG$19,"F+",IF(P467&lt;'PlayerGrades+'!$AG$18,"E-",IF(P467&lt;'PlayerGrades+'!$AG$17,"E",IF(P467&lt;'PlayerGrades+'!$AG$16,"E+",IF(P467&lt;'PlayerGrades+'!$AG$15,"D-",IF(P467&lt;'PlayerGrades+'!$AG$14,"D",IF(P467&lt;'PlayerGrades+'!$AG$13,"D+",IF(P467&lt;'PlayerGrades+'!$AG$12,"C-",IF(P467&lt;'PlayerGrades+'!$AG$11,"C",IF(P467&lt;'PlayerGrades+'!$AG$10,"C+",IF(P467&lt;'PlayerGrades+'!$AG$9,"B-",IF(P467&lt;'PlayerGrades+'!$AG$8,"B",IF(P467&lt;'PlayerGrades+'!$AG$7,"B+",IF(P467&lt;'PlayerGrades+'!$AG$6,"A-",IF(P467&lt;'PlayerGrades+'!$AG$5,"A",IF(P467&lt;'PlayerGrades+'!$AG$4,"A+",IF(P467&lt;'PlayerGrades+'!$AG$3,"S-",IF(P467&lt;'PlayerGrades+'!$AG$2,"S","S+"))))))))))))))))))))</f>
        <v>#DIV/0!</v>
      </c>
      <c r="R467" s="961" t="str">
        <f t="shared" si="8"/>
        <v>#DIV/0!</v>
      </c>
      <c r="S467" s="961" t="str">
        <f>IF(R467&lt;'PlayerGrades+'!$AH$21,"F-",IF(R467&lt;'PlayerGrades+'!$AH$20,"F",IF(R467&lt;'PlayerGrades+'!$AH$19,"F+",IF(R467&lt;'PlayerGrades+'!$AH$18,"E-",IF(R467&lt;'PlayerGrades+'!$AH$17,"E",IF(R467&lt;'PlayerGrades+'!$AH$16,"E+",IF(R467&lt;'PlayerGrades+'!$AH$15,"D-",IF(R467&lt;'PlayerGrades+'!$AH$14,"D",IF(R467&lt;'PlayerGrades+'!$AH$13,"D+",IF(R467&lt;'PlayerGrades+'!$AH$12,"C-",IF(R467&lt;'PlayerGrades+'!$AH$11,"C",IF(R467&lt;'PlayerGrades+'!$AH$10,"C+",IF(R467&lt;'PlayerGrades+'!$AH$9,"B-",IF(R467&lt;'PlayerGrades+'!$AH$8,"B",IF(R467&lt;'PlayerGrades+'!$AH$7,"B+",IF(R467&lt;'PlayerGrades+'!$AH$6,"A-",IF(R467&lt;'PlayerGrades+'!$AH$5,"A",IF(R467&lt;'PlayerGrades+'!$AH$4,"A+",IF(R467&lt;'PlayerGrades+'!$AH$3,"S-",IF(R467&lt;'PlayerGrades+'!$AH$2,"S","S+"))))))))))))))))))))</f>
        <v>#DIV/0!</v>
      </c>
      <c r="T467" s="961">
        <f t="shared" si="9"/>
        <v>0</v>
      </c>
      <c r="U467" s="961" t="str">
        <f>IF(T467&lt;'PlayerGrades+'!$AI$21,"F-",IF(T467&lt;'PlayerGrades+'!$AI$20,"F",IF(T467&lt;'PlayerGrades+'!$AI$19,"F+",IF(T467&lt;'PlayerGrades+'!$AI$18,"E-",IF(T467&lt;'PlayerGrades+'!$AI$17,"E",IF(T467&lt;'PlayerGrades+'!$AI$16,"E+",IF(T467&lt;'PlayerGrades+'!$AI$15,"D-",IF(T467&lt;'PlayerGrades+'!$AI$14,"D",IF(T467&lt;'PlayerGrades+'!$AI$13,"D+",IF(T467&lt;'PlayerGrades+'!$AI$12,"C-",IF(T467&lt;'PlayerGrades+'!$AI$11,"C",IF(T467&lt;'PlayerGrades+'!$AI$10,"C+",IF(T467&lt;'PlayerGrades+'!$AI$9,"B-",IF(T467&lt;'PlayerGrades+'!$AI$8,"B",IF(T467&lt;'PlayerGrades+'!$AI$7,"B+",IF(T467&lt;'PlayerGrades+'!$AI$6,"A-",IF(T467&lt;'PlayerGrades+'!$AI$5,"A",IF(T467&lt;'PlayerGrades+'!$AI$4,"A+",IF(T467&lt;'PlayerGrades+'!$AI$3,"S-",IF(T467&lt;'PlayerGrades+'!$AI$2,"S","S+"))))))))))))))))))))</f>
        <v>F-</v>
      </c>
      <c r="AC467" s="1392"/>
    </row>
    <row r="468">
      <c r="A468" s="1408"/>
      <c r="B468" s="611" t="str">
        <f>IF(C468&lt;'PlayerGrades+'!$Y$44,"F-",IF(C468&lt;'PlayerGrades+'!$Y$43,"F",IF(C468&lt;'PlayerGrades+'!$Y$42,"F+",IF(C468&lt;'PlayerGrades+'!$Y$41,"E-",IF(C468&lt;'PlayerGrades+'!$Y$40,"E",IF(C468&lt;'PlayerGrades+'!$Y$39,"E+",IF(C468&lt;'PlayerGrades+'!$Y$38,"D-",IF(C468&lt;'PlayerGrades+'!$Y$37,"D",IF(C468&lt;'PlayerGrades+'!$Y$36,"D+",IF(C468&lt;'PlayerGrades+'!$Y$35,"C-",IF(C468&lt;'PlayerGrades+'!$Y$34,"C",IF(C468&lt;'PlayerGrades+'!$Y$33,"C+",IF(C468&lt;'PlayerGrades+'!$Y$32,"B-",IF(C468&lt;'PlayerGrades+'!$Y$31,"B",IF(C468&lt;'PlayerGrades+'!$Y$30,"B+",IF(C468&lt;'PlayerGrades+'!$Y$29,"A-",IF(C468&lt;'PlayerGrades+'!$Y$28,"A",IF(C468&lt;'PlayerGrades+'!$Y$27,"A+",IF(C468&lt;'PlayerGrades+'!$Y$26,"S-",IF(C468&lt;'PlayerGrades+'!$Y$25,"S","S+"))))))))))))))))))))</f>
        <v>#DIV/0!</v>
      </c>
      <c r="C468" s="1378" t="str">
        <f>('PlayerGrades+'!$Y$47*(VLOOKUP(E468, 'PlayerGrades+'!$X$3:$Y$23, 2, FALSE)))+('PlayerGrades+'!$Y$48*(VLOOKUP(G468, 'PlayerGrades+'!$X$3:$Y$23, 2, FALSE)))+('PlayerGrades+'!$Y$49*(VLOOKUP(I468, 'PlayerGrades+'!$X$3:$Y$23, 2, FALSE)))+('PlayerGrades+'!$Y$50*(VLOOKUP(K468, 'PlayerGrades+'!$X$3:$Y$23, 2, FALSE)))+('PlayerGrades+'!$Y$51*(VLOOKUP(M468, 'PlayerGrades+'!$X$3:$Y$23, 2, FALSE)))+('PlayerGrades+'!$Y$52*(VLOOKUP(O468, 'PlayerGrades+'!$X$3:$Y$23, 2, FALSE)))+('PlayerGrades+'!$Y$53*(VLOOKUP(Q468, 'PlayerGrades+'!$X$3:$Y$23, 2, FALSE)))+('PlayerGrades+'!$Y$54*(VLOOKUP(S468, 'PlayerGrades+'!$X$3:$Y$23, 2, FALSE)))+('PlayerGrades+'!$Y$55*(VLOOKUP(U468, 'PlayerGrades+'!$X$3:$Y$23, 2, FALSE)))</f>
        <v>#DIV/0!</v>
      </c>
      <c r="D468" s="961" t="str">
        <f t="shared" si="1"/>
        <v>#DIV/0!</v>
      </c>
      <c r="E468" s="961" t="str">
        <f>IF(D468&lt;'PlayerGrades+'!$AA$21,"F-",IF(D468&lt;'PlayerGrades+'!$AA$20,"F",IF(D468&lt;'PlayerGrades+'!$AA$19,"F+",IF(D468&lt;'PlayerGrades+'!$AA$18,"E-",IF(D468&lt;'PlayerGrades+'!$AA$17,"E",IF(D468&lt;'PlayerGrades+'!$AA$16,"E+",IF(D468&lt;'PlayerGrades+'!$AA$15,"D-",IF(D468&lt;'PlayerGrades+'!$AA$14,"D",IF(D468&lt;'PlayerGrades+'!$AA$13,"D+",IF(D468&lt;'PlayerGrades+'!$AA$12,"C-",IF(D468&lt;'PlayerGrades+'!$AA$11,"C",IF(D468&lt;'PlayerGrades+'!$AA$10,"C+",IF(D468&lt;'PlayerGrades+'!$AA$9,"B-",IF(D468&lt;'PlayerGrades+'!$AA$8,"B",IF(D468&lt;'PlayerGrades+'!$AA$7,"B+",IF(D468&lt;'PlayerGrades+'!$AA$6,"A-",IF(D468&lt;'PlayerGrades+'!$AA$5,"A",IF(D468&lt;'PlayerGrades+'!$AA$4,"A+",IF(D468&lt;'PlayerGrades+'!$AA$3,"S-",IF(D468&lt;'PlayerGrades+'!$AA$2,"S","S+"))))))))))))))))))))</f>
        <v>#DIV/0!</v>
      </c>
      <c r="F468" s="961" t="str">
        <f t="shared" si="2"/>
        <v>#DIV/0!</v>
      </c>
      <c r="G468" s="961" t="str">
        <f>IF(F468&lt;'PlayerGrades+'!$AB$21,"F-",IF(F468&lt;'PlayerGrades+'!$AB$20,"F",IF(F468&lt;'PlayerGrades+'!$AB$19,"F+",IF(F468&lt;'PlayerGrades+'!$AB$18,"E-",IF(F468&lt;'PlayerGrades+'!$AB$17,"E",IF(F468&lt;'PlayerGrades+'!$AB$16,"E+",IF(F468&lt;'PlayerGrades+'!$AB$15,"D-",IF(F468&lt;'PlayerGrades+'!$AB$14,"D",IF(F468&lt;'PlayerGrades+'!$AB$13,"D+",IF(F468&lt;'PlayerGrades+'!$AB$12,"C-",IF(F468&lt;'PlayerGrades+'!$AB$11,"C",IF(F468&lt;'PlayerGrades+'!$AB$10,"C+",IF(F468&lt;'PlayerGrades+'!$AB$9,"B-",IF(F468&lt;'PlayerGrades+'!$AB$8,"B",IF(F468&lt;'PlayerGrades+'!$AB$7,"B+",IF(F468&lt;'PlayerGrades+'!$AB$6,"A-",IF(F468&lt;'PlayerGrades+'!$AB$5,"A",IF(F468&lt;'PlayerGrades+'!$AB$4,"A+",IF(F468&lt;'PlayerGrades+'!$AB$3,"S-",IF(F468&lt;'PlayerGrades+'!$AB$2,"S","S+"))))))))))))))))))))</f>
        <v>#DIV/0!</v>
      </c>
      <c r="H468" s="961" t="str">
        <f t="shared" si="3"/>
        <v>#DIV/0!</v>
      </c>
      <c r="I468" s="961" t="str">
        <f>IF(H468&lt;'PlayerGrades+'!$AC$21,"F-",IF(H468&lt;'PlayerGrades+'!$AC$20,"F",IF(H468&lt;'PlayerGrades+'!$AC$19,"F+",IF(H468&lt;'PlayerGrades+'!$AC$18,"E-",IF(H468&lt;'PlayerGrades+'!$AC$17,"E",IF(H468&lt;'PlayerGrades+'!$AC$16,"E+",IF(H468&lt;'PlayerGrades+'!$AC$15,"D-",IF(H468&lt;'PlayerGrades+'!$AC$14,"D",IF(H468&lt;'PlayerGrades+'!$AC$13,"D+",IF(H468&lt;'PlayerGrades+'!$AC$12,"C-",IF(H468&lt;'PlayerGrades+'!$AC$11,"C",IF(H468&lt;'PlayerGrades+'!$AC$10,"C+",IF(H468&lt;'PlayerGrades+'!$AC$9,"B-",IF(H468&lt;'PlayerGrades+'!$AC$8,"B",IF(H468&lt;'PlayerGrades+'!$AC$7,"B+",IF(H468&lt;'PlayerGrades+'!$AC$6,"A-",IF(H468&lt;'PlayerGrades+'!$AC$5,"A",IF(H468&lt;'PlayerGrades+'!$AC$4,"A+",IF(H468&lt;'PlayerGrades+'!$AC$3,"S-",IF(H468&lt;'PlayerGrades+'!$AC$2,"S","S+"))))))))))))))))))))</f>
        <v>#DIV/0!</v>
      </c>
      <c r="J468" s="961" t="str">
        <f t="shared" si="4"/>
        <v>#DIV/0!</v>
      </c>
      <c r="K468" s="961" t="str">
        <f>IF(J468&lt;'PlayerGrades+'!$AD$21,"F-",IF(J468&lt;'PlayerGrades+'!$AD$20,"F",IF(J468&lt;'PlayerGrades+'!$AD$19,"F+",IF(J468&lt;'PlayerGrades+'!$AD$18,"E-",IF(J468&lt;'PlayerGrades+'!$AD$17,"E",IF(J468&lt;'PlayerGrades+'!$AD$16,"E+",IF(J468&lt;'PlayerGrades+'!$AD$15,"D-",IF(J468&lt;'PlayerGrades+'!$AD$14,"D",IF(J468&lt;'PlayerGrades+'!$AD$13,"D+",IF(J468&lt;'PlayerGrades+'!$AD$12,"C-",IF(J468&lt;'PlayerGrades+'!$AD$11,"C",IF(J468&lt;'PlayerGrades+'!$AD$10,"C+",IF(J468&lt;'PlayerGrades+'!$AD$9,"B-",IF(J468&lt;'PlayerGrades+'!$AD$8,"B",IF(J468&lt;'PlayerGrades+'!$AD$7,"B+",IF(J468&lt;'PlayerGrades+'!$AD$6,"A-",IF(J468&lt;'PlayerGrades+'!$AD$5,"A",IF(J468&lt;'PlayerGrades+'!$AD$4,"A+",IF(J468&lt;'PlayerGrades+'!$AD$3,"S-",IF(J468&lt;'PlayerGrades+'!$AD$2,"S","S+"))))))))))))))))))))</f>
        <v>#DIV/0!</v>
      </c>
      <c r="L468" s="1176" t="str">
        <f t="shared" si="5"/>
        <v>#DIV/0!</v>
      </c>
      <c r="M468" s="992" t="str">
        <f>IF(L468&lt;'PlayerGrades+'!$AE$21,"F-",IF(L468&lt;'PlayerGrades+'!$AE$20,"F",IF(L468&lt;'PlayerGrades+'!$AE$19,"F+",IF(L468&lt;'PlayerGrades+'!$AE$18,"E-",IF(L468&lt;'PlayerGrades+'!$AE$17,"E",IF(L468&lt;'PlayerGrades+'!$AE$16,"E+",IF(L468&lt;'PlayerGrades+'!$AE$15,"D-",IF(L468&lt;'PlayerGrades+'!$AE$14,"D",IF(L468&lt;'PlayerGrades+'!$AE$13,"D+",IF(L468&lt;'PlayerGrades+'!$AE$12,"C-",IF(L468&lt;'PlayerGrades+'!$AE$11,"C",IF(L468&lt;'PlayerGrades+'!$AE$10,"C+",IF(L468&lt;'PlayerGrades+'!$AE$9,"B-",IF(L468&lt;'PlayerGrades+'!$AE$8,"B",IF(L468&lt;'PlayerGrades+'!$AE$7,"B+",IF(L468&lt;'PlayerGrades+'!$AE$6,"A-",IF(L468&lt;'PlayerGrades+'!$AE$5,"A",IF(L468&lt;'PlayerGrades+'!$AE$4,"A+",IF(L468&lt;'PlayerGrades+'!$AE$3,"S-",IF(L468&lt;'PlayerGrades+'!$AE$2,"S","S+"))))))))))))))))))))</f>
        <v>#DIV/0!</v>
      </c>
      <c r="N468" s="961" t="str">
        <f t="shared" si="6"/>
        <v>#DIV/0!</v>
      </c>
      <c r="O468" s="961" t="str">
        <f>IF(N468&lt;'PlayerGrades+'!$AF$21,"F-",IF(N468&lt;'PlayerGrades+'!$AF$20,"F",IF(N468&lt;'PlayerGrades+'!$AF$19,"F+",IF(N468&lt;'PlayerGrades+'!$AF$18,"E-",IF(N468&lt;'PlayerGrades+'!$AF$17,"E",IF(N468&lt;'PlayerGrades+'!$AF$16,"E+",IF(N468&lt;'PlayerGrades+'!$AF$15,"D-",IF(N468&lt;'PlayerGrades+'!$AF$14,"D",IF(N468&lt;'PlayerGrades+'!$AF$13,"D+",IF(N468&lt;'PlayerGrades+'!$AF$12,"C-",IF(N468&lt;'PlayerGrades+'!$AF$11,"C",IF(N468&lt;'PlayerGrades+'!$AF$10,"C+",IF(N468&lt;'PlayerGrades+'!$AF$9,"B-",IF(N468&lt;'PlayerGrades+'!$AF$8,"B",IF(N468&lt;'PlayerGrades+'!$AF$7,"B+",IF(N468&lt;'PlayerGrades+'!$AF$6,"A-",IF(N468&lt;'PlayerGrades+'!$AF$5,"A",IF(N468&lt;'PlayerGrades+'!$AF$4,"A+",IF(N468&lt;'PlayerGrades+'!$AF$3,"S-",IF(N468&lt;'PlayerGrades+'!$AF$2,"S","S+"))))))))))))))))))))</f>
        <v>#DIV/0!</v>
      </c>
      <c r="P468" s="961" t="str">
        <f t="shared" si="7"/>
        <v>#DIV/0!</v>
      </c>
      <c r="Q468" s="961" t="str">
        <f>IF(P468&lt;'PlayerGrades+'!$AG$21,"F-",IF(P468&lt;'PlayerGrades+'!$AG$20,"F",IF(P468&lt;'PlayerGrades+'!$AG$19,"F+",IF(P468&lt;'PlayerGrades+'!$AG$18,"E-",IF(P468&lt;'PlayerGrades+'!$AG$17,"E",IF(P468&lt;'PlayerGrades+'!$AG$16,"E+",IF(P468&lt;'PlayerGrades+'!$AG$15,"D-",IF(P468&lt;'PlayerGrades+'!$AG$14,"D",IF(P468&lt;'PlayerGrades+'!$AG$13,"D+",IF(P468&lt;'PlayerGrades+'!$AG$12,"C-",IF(P468&lt;'PlayerGrades+'!$AG$11,"C",IF(P468&lt;'PlayerGrades+'!$AG$10,"C+",IF(P468&lt;'PlayerGrades+'!$AG$9,"B-",IF(P468&lt;'PlayerGrades+'!$AG$8,"B",IF(P468&lt;'PlayerGrades+'!$AG$7,"B+",IF(P468&lt;'PlayerGrades+'!$AG$6,"A-",IF(P468&lt;'PlayerGrades+'!$AG$5,"A",IF(P468&lt;'PlayerGrades+'!$AG$4,"A+",IF(P468&lt;'PlayerGrades+'!$AG$3,"S-",IF(P468&lt;'PlayerGrades+'!$AG$2,"S","S+"))))))))))))))))))))</f>
        <v>#DIV/0!</v>
      </c>
      <c r="R468" s="961" t="str">
        <f t="shared" si="8"/>
        <v>#DIV/0!</v>
      </c>
      <c r="S468" s="961" t="str">
        <f>IF(R468&lt;'PlayerGrades+'!$AH$21,"F-",IF(R468&lt;'PlayerGrades+'!$AH$20,"F",IF(R468&lt;'PlayerGrades+'!$AH$19,"F+",IF(R468&lt;'PlayerGrades+'!$AH$18,"E-",IF(R468&lt;'PlayerGrades+'!$AH$17,"E",IF(R468&lt;'PlayerGrades+'!$AH$16,"E+",IF(R468&lt;'PlayerGrades+'!$AH$15,"D-",IF(R468&lt;'PlayerGrades+'!$AH$14,"D",IF(R468&lt;'PlayerGrades+'!$AH$13,"D+",IF(R468&lt;'PlayerGrades+'!$AH$12,"C-",IF(R468&lt;'PlayerGrades+'!$AH$11,"C",IF(R468&lt;'PlayerGrades+'!$AH$10,"C+",IF(R468&lt;'PlayerGrades+'!$AH$9,"B-",IF(R468&lt;'PlayerGrades+'!$AH$8,"B",IF(R468&lt;'PlayerGrades+'!$AH$7,"B+",IF(R468&lt;'PlayerGrades+'!$AH$6,"A-",IF(R468&lt;'PlayerGrades+'!$AH$5,"A",IF(R468&lt;'PlayerGrades+'!$AH$4,"A+",IF(R468&lt;'PlayerGrades+'!$AH$3,"S-",IF(R468&lt;'PlayerGrades+'!$AH$2,"S","S+"))))))))))))))))))))</f>
        <v>#DIV/0!</v>
      </c>
      <c r="T468" s="961">
        <f t="shared" si="9"/>
        <v>0</v>
      </c>
      <c r="U468" s="961" t="str">
        <f>IF(T468&lt;'PlayerGrades+'!$AI$21,"F-",IF(T468&lt;'PlayerGrades+'!$AI$20,"F",IF(T468&lt;'PlayerGrades+'!$AI$19,"F+",IF(T468&lt;'PlayerGrades+'!$AI$18,"E-",IF(T468&lt;'PlayerGrades+'!$AI$17,"E",IF(T468&lt;'PlayerGrades+'!$AI$16,"E+",IF(T468&lt;'PlayerGrades+'!$AI$15,"D-",IF(T468&lt;'PlayerGrades+'!$AI$14,"D",IF(T468&lt;'PlayerGrades+'!$AI$13,"D+",IF(T468&lt;'PlayerGrades+'!$AI$12,"C-",IF(T468&lt;'PlayerGrades+'!$AI$11,"C",IF(T468&lt;'PlayerGrades+'!$AI$10,"C+",IF(T468&lt;'PlayerGrades+'!$AI$9,"B-",IF(T468&lt;'PlayerGrades+'!$AI$8,"B",IF(T468&lt;'PlayerGrades+'!$AI$7,"B+",IF(T468&lt;'PlayerGrades+'!$AI$6,"A-",IF(T468&lt;'PlayerGrades+'!$AI$5,"A",IF(T468&lt;'PlayerGrades+'!$AI$4,"A+",IF(T468&lt;'PlayerGrades+'!$AI$3,"S-",IF(T468&lt;'PlayerGrades+'!$AI$2,"S","S+"))))))))))))))))))))</f>
        <v>F-</v>
      </c>
      <c r="AC468" s="1392"/>
    </row>
    <row r="469">
      <c r="A469" s="1408"/>
      <c r="B469" s="611" t="str">
        <f>IF(C469&lt;'PlayerGrades+'!$Y$44,"F-",IF(C469&lt;'PlayerGrades+'!$Y$43,"F",IF(C469&lt;'PlayerGrades+'!$Y$42,"F+",IF(C469&lt;'PlayerGrades+'!$Y$41,"E-",IF(C469&lt;'PlayerGrades+'!$Y$40,"E",IF(C469&lt;'PlayerGrades+'!$Y$39,"E+",IF(C469&lt;'PlayerGrades+'!$Y$38,"D-",IF(C469&lt;'PlayerGrades+'!$Y$37,"D",IF(C469&lt;'PlayerGrades+'!$Y$36,"D+",IF(C469&lt;'PlayerGrades+'!$Y$35,"C-",IF(C469&lt;'PlayerGrades+'!$Y$34,"C",IF(C469&lt;'PlayerGrades+'!$Y$33,"C+",IF(C469&lt;'PlayerGrades+'!$Y$32,"B-",IF(C469&lt;'PlayerGrades+'!$Y$31,"B",IF(C469&lt;'PlayerGrades+'!$Y$30,"B+",IF(C469&lt;'PlayerGrades+'!$Y$29,"A-",IF(C469&lt;'PlayerGrades+'!$Y$28,"A",IF(C469&lt;'PlayerGrades+'!$Y$27,"A+",IF(C469&lt;'PlayerGrades+'!$Y$26,"S-",IF(C469&lt;'PlayerGrades+'!$Y$25,"S","S+"))))))))))))))))))))</f>
        <v>#DIV/0!</v>
      </c>
      <c r="C469" s="1378" t="str">
        <f>('PlayerGrades+'!$Y$47*(VLOOKUP(E469, 'PlayerGrades+'!$X$3:$Y$23, 2, FALSE)))+('PlayerGrades+'!$Y$48*(VLOOKUP(G469, 'PlayerGrades+'!$X$3:$Y$23, 2, FALSE)))+('PlayerGrades+'!$Y$49*(VLOOKUP(I469, 'PlayerGrades+'!$X$3:$Y$23, 2, FALSE)))+('PlayerGrades+'!$Y$50*(VLOOKUP(K469, 'PlayerGrades+'!$X$3:$Y$23, 2, FALSE)))+('PlayerGrades+'!$Y$51*(VLOOKUP(M469, 'PlayerGrades+'!$X$3:$Y$23, 2, FALSE)))+('PlayerGrades+'!$Y$52*(VLOOKUP(O469, 'PlayerGrades+'!$X$3:$Y$23, 2, FALSE)))+('PlayerGrades+'!$Y$53*(VLOOKUP(Q469, 'PlayerGrades+'!$X$3:$Y$23, 2, FALSE)))+('PlayerGrades+'!$Y$54*(VLOOKUP(S469, 'PlayerGrades+'!$X$3:$Y$23, 2, FALSE)))+('PlayerGrades+'!$Y$55*(VLOOKUP(U469, 'PlayerGrades+'!$X$3:$Y$23, 2, FALSE)))</f>
        <v>#DIV/0!</v>
      </c>
      <c r="D469" s="961" t="str">
        <f t="shared" si="1"/>
        <v>#DIV/0!</v>
      </c>
      <c r="E469" s="961" t="str">
        <f>IF(D469&lt;'PlayerGrades+'!$AA$21,"F-",IF(D469&lt;'PlayerGrades+'!$AA$20,"F",IF(D469&lt;'PlayerGrades+'!$AA$19,"F+",IF(D469&lt;'PlayerGrades+'!$AA$18,"E-",IF(D469&lt;'PlayerGrades+'!$AA$17,"E",IF(D469&lt;'PlayerGrades+'!$AA$16,"E+",IF(D469&lt;'PlayerGrades+'!$AA$15,"D-",IF(D469&lt;'PlayerGrades+'!$AA$14,"D",IF(D469&lt;'PlayerGrades+'!$AA$13,"D+",IF(D469&lt;'PlayerGrades+'!$AA$12,"C-",IF(D469&lt;'PlayerGrades+'!$AA$11,"C",IF(D469&lt;'PlayerGrades+'!$AA$10,"C+",IF(D469&lt;'PlayerGrades+'!$AA$9,"B-",IF(D469&lt;'PlayerGrades+'!$AA$8,"B",IF(D469&lt;'PlayerGrades+'!$AA$7,"B+",IF(D469&lt;'PlayerGrades+'!$AA$6,"A-",IF(D469&lt;'PlayerGrades+'!$AA$5,"A",IF(D469&lt;'PlayerGrades+'!$AA$4,"A+",IF(D469&lt;'PlayerGrades+'!$AA$3,"S-",IF(D469&lt;'PlayerGrades+'!$AA$2,"S","S+"))))))))))))))))))))</f>
        <v>#DIV/0!</v>
      </c>
      <c r="F469" s="961" t="str">
        <f t="shared" si="2"/>
        <v>#DIV/0!</v>
      </c>
      <c r="G469" s="961" t="str">
        <f>IF(F469&lt;'PlayerGrades+'!$AB$21,"F-",IF(F469&lt;'PlayerGrades+'!$AB$20,"F",IF(F469&lt;'PlayerGrades+'!$AB$19,"F+",IF(F469&lt;'PlayerGrades+'!$AB$18,"E-",IF(F469&lt;'PlayerGrades+'!$AB$17,"E",IF(F469&lt;'PlayerGrades+'!$AB$16,"E+",IF(F469&lt;'PlayerGrades+'!$AB$15,"D-",IF(F469&lt;'PlayerGrades+'!$AB$14,"D",IF(F469&lt;'PlayerGrades+'!$AB$13,"D+",IF(F469&lt;'PlayerGrades+'!$AB$12,"C-",IF(F469&lt;'PlayerGrades+'!$AB$11,"C",IF(F469&lt;'PlayerGrades+'!$AB$10,"C+",IF(F469&lt;'PlayerGrades+'!$AB$9,"B-",IF(F469&lt;'PlayerGrades+'!$AB$8,"B",IF(F469&lt;'PlayerGrades+'!$AB$7,"B+",IF(F469&lt;'PlayerGrades+'!$AB$6,"A-",IF(F469&lt;'PlayerGrades+'!$AB$5,"A",IF(F469&lt;'PlayerGrades+'!$AB$4,"A+",IF(F469&lt;'PlayerGrades+'!$AB$3,"S-",IF(F469&lt;'PlayerGrades+'!$AB$2,"S","S+"))))))))))))))))))))</f>
        <v>#DIV/0!</v>
      </c>
      <c r="H469" s="961" t="str">
        <f t="shared" si="3"/>
        <v>#DIV/0!</v>
      </c>
      <c r="I469" s="961" t="str">
        <f>IF(H469&lt;'PlayerGrades+'!$AC$21,"F-",IF(H469&lt;'PlayerGrades+'!$AC$20,"F",IF(H469&lt;'PlayerGrades+'!$AC$19,"F+",IF(H469&lt;'PlayerGrades+'!$AC$18,"E-",IF(H469&lt;'PlayerGrades+'!$AC$17,"E",IF(H469&lt;'PlayerGrades+'!$AC$16,"E+",IF(H469&lt;'PlayerGrades+'!$AC$15,"D-",IF(H469&lt;'PlayerGrades+'!$AC$14,"D",IF(H469&lt;'PlayerGrades+'!$AC$13,"D+",IF(H469&lt;'PlayerGrades+'!$AC$12,"C-",IF(H469&lt;'PlayerGrades+'!$AC$11,"C",IF(H469&lt;'PlayerGrades+'!$AC$10,"C+",IF(H469&lt;'PlayerGrades+'!$AC$9,"B-",IF(H469&lt;'PlayerGrades+'!$AC$8,"B",IF(H469&lt;'PlayerGrades+'!$AC$7,"B+",IF(H469&lt;'PlayerGrades+'!$AC$6,"A-",IF(H469&lt;'PlayerGrades+'!$AC$5,"A",IF(H469&lt;'PlayerGrades+'!$AC$4,"A+",IF(H469&lt;'PlayerGrades+'!$AC$3,"S-",IF(H469&lt;'PlayerGrades+'!$AC$2,"S","S+"))))))))))))))))))))</f>
        <v>#DIV/0!</v>
      </c>
      <c r="J469" s="961" t="str">
        <f t="shared" si="4"/>
        <v>#DIV/0!</v>
      </c>
      <c r="K469" s="961" t="str">
        <f>IF(J469&lt;'PlayerGrades+'!$AD$21,"F-",IF(J469&lt;'PlayerGrades+'!$AD$20,"F",IF(J469&lt;'PlayerGrades+'!$AD$19,"F+",IF(J469&lt;'PlayerGrades+'!$AD$18,"E-",IF(J469&lt;'PlayerGrades+'!$AD$17,"E",IF(J469&lt;'PlayerGrades+'!$AD$16,"E+",IF(J469&lt;'PlayerGrades+'!$AD$15,"D-",IF(J469&lt;'PlayerGrades+'!$AD$14,"D",IF(J469&lt;'PlayerGrades+'!$AD$13,"D+",IF(J469&lt;'PlayerGrades+'!$AD$12,"C-",IF(J469&lt;'PlayerGrades+'!$AD$11,"C",IF(J469&lt;'PlayerGrades+'!$AD$10,"C+",IF(J469&lt;'PlayerGrades+'!$AD$9,"B-",IF(J469&lt;'PlayerGrades+'!$AD$8,"B",IF(J469&lt;'PlayerGrades+'!$AD$7,"B+",IF(J469&lt;'PlayerGrades+'!$AD$6,"A-",IF(J469&lt;'PlayerGrades+'!$AD$5,"A",IF(J469&lt;'PlayerGrades+'!$AD$4,"A+",IF(J469&lt;'PlayerGrades+'!$AD$3,"S-",IF(J469&lt;'PlayerGrades+'!$AD$2,"S","S+"))))))))))))))))))))</f>
        <v>#DIV/0!</v>
      </c>
      <c r="L469" s="1176" t="str">
        <f t="shared" si="5"/>
        <v>#DIV/0!</v>
      </c>
      <c r="M469" s="992" t="str">
        <f>IF(L469&lt;'PlayerGrades+'!$AE$21,"F-",IF(L469&lt;'PlayerGrades+'!$AE$20,"F",IF(L469&lt;'PlayerGrades+'!$AE$19,"F+",IF(L469&lt;'PlayerGrades+'!$AE$18,"E-",IF(L469&lt;'PlayerGrades+'!$AE$17,"E",IF(L469&lt;'PlayerGrades+'!$AE$16,"E+",IF(L469&lt;'PlayerGrades+'!$AE$15,"D-",IF(L469&lt;'PlayerGrades+'!$AE$14,"D",IF(L469&lt;'PlayerGrades+'!$AE$13,"D+",IF(L469&lt;'PlayerGrades+'!$AE$12,"C-",IF(L469&lt;'PlayerGrades+'!$AE$11,"C",IF(L469&lt;'PlayerGrades+'!$AE$10,"C+",IF(L469&lt;'PlayerGrades+'!$AE$9,"B-",IF(L469&lt;'PlayerGrades+'!$AE$8,"B",IF(L469&lt;'PlayerGrades+'!$AE$7,"B+",IF(L469&lt;'PlayerGrades+'!$AE$6,"A-",IF(L469&lt;'PlayerGrades+'!$AE$5,"A",IF(L469&lt;'PlayerGrades+'!$AE$4,"A+",IF(L469&lt;'PlayerGrades+'!$AE$3,"S-",IF(L469&lt;'PlayerGrades+'!$AE$2,"S","S+"))))))))))))))))))))</f>
        <v>#DIV/0!</v>
      </c>
      <c r="N469" s="961" t="str">
        <f t="shared" si="6"/>
        <v>#DIV/0!</v>
      </c>
      <c r="O469" s="961" t="str">
        <f>IF(N469&lt;'PlayerGrades+'!$AF$21,"F-",IF(N469&lt;'PlayerGrades+'!$AF$20,"F",IF(N469&lt;'PlayerGrades+'!$AF$19,"F+",IF(N469&lt;'PlayerGrades+'!$AF$18,"E-",IF(N469&lt;'PlayerGrades+'!$AF$17,"E",IF(N469&lt;'PlayerGrades+'!$AF$16,"E+",IF(N469&lt;'PlayerGrades+'!$AF$15,"D-",IF(N469&lt;'PlayerGrades+'!$AF$14,"D",IF(N469&lt;'PlayerGrades+'!$AF$13,"D+",IF(N469&lt;'PlayerGrades+'!$AF$12,"C-",IF(N469&lt;'PlayerGrades+'!$AF$11,"C",IF(N469&lt;'PlayerGrades+'!$AF$10,"C+",IF(N469&lt;'PlayerGrades+'!$AF$9,"B-",IF(N469&lt;'PlayerGrades+'!$AF$8,"B",IF(N469&lt;'PlayerGrades+'!$AF$7,"B+",IF(N469&lt;'PlayerGrades+'!$AF$6,"A-",IF(N469&lt;'PlayerGrades+'!$AF$5,"A",IF(N469&lt;'PlayerGrades+'!$AF$4,"A+",IF(N469&lt;'PlayerGrades+'!$AF$3,"S-",IF(N469&lt;'PlayerGrades+'!$AF$2,"S","S+"))))))))))))))))))))</f>
        <v>#DIV/0!</v>
      </c>
      <c r="P469" s="961" t="str">
        <f t="shared" si="7"/>
        <v>#DIV/0!</v>
      </c>
      <c r="Q469" s="961" t="str">
        <f>IF(P469&lt;'PlayerGrades+'!$AG$21,"F-",IF(P469&lt;'PlayerGrades+'!$AG$20,"F",IF(P469&lt;'PlayerGrades+'!$AG$19,"F+",IF(P469&lt;'PlayerGrades+'!$AG$18,"E-",IF(P469&lt;'PlayerGrades+'!$AG$17,"E",IF(P469&lt;'PlayerGrades+'!$AG$16,"E+",IF(P469&lt;'PlayerGrades+'!$AG$15,"D-",IF(P469&lt;'PlayerGrades+'!$AG$14,"D",IF(P469&lt;'PlayerGrades+'!$AG$13,"D+",IF(P469&lt;'PlayerGrades+'!$AG$12,"C-",IF(P469&lt;'PlayerGrades+'!$AG$11,"C",IF(P469&lt;'PlayerGrades+'!$AG$10,"C+",IF(P469&lt;'PlayerGrades+'!$AG$9,"B-",IF(P469&lt;'PlayerGrades+'!$AG$8,"B",IF(P469&lt;'PlayerGrades+'!$AG$7,"B+",IF(P469&lt;'PlayerGrades+'!$AG$6,"A-",IF(P469&lt;'PlayerGrades+'!$AG$5,"A",IF(P469&lt;'PlayerGrades+'!$AG$4,"A+",IF(P469&lt;'PlayerGrades+'!$AG$3,"S-",IF(P469&lt;'PlayerGrades+'!$AG$2,"S","S+"))))))))))))))))))))</f>
        <v>#DIV/0!</v>
      </c>
      <c r="R469" s="961" t="str">
        <f t="shared" si="8"/>
        <v>#DIV/0!</v>
      </c>
      <c r="S469" s="961" t="str">
        <f>IF(R469&lt;'PlayerGrades+'!$AH$21,"F-",IF(R469&lt;'PlayerGrades+'!$AH$20,"F",IF(R469&lt;'PlayerGrades+'!$AH$19,"F+",IF(R469&lt;'PlayerGrades+'!$AH$18,"E-",IF(R469&lt;'PlayerGrades+'!$AH$17,"E",IF(R469&lt;'PlayerGrades+'!$AH$16,"E+",IF(R469&lt;'PlayerGrades+'!$AH$15,"D-",IF(R469&lt;'PlayerGrades+'!$AH$14,"D",IF(R469&lt;'PlayerGrades+'!$AH$13,"D+",IF(R469&lt;'PlayerGrades+'!$AH$12,"C-",IF(R469&lt;'PlayerGrades+'!$AH$11,"C",IF(R469&lt;'PlayerGrades+'!$AH$10,"C+",IF(R469&lt;'PlayerGrades+'!$AH$9,"B-",IF(R469&lt;'PlayerGrades+'!$AH$8,"B",IF(R469&lt;'PlayerGrades+'!$AH$7,"B+",IF(R469&lt;'PlayerGrades+'!$AH$6,"A-",IF(R469&lt;'PlayerGrades+'!$AH$5,"A",IF(R469&lt;'PlayerGrades+'!$AH$4,"A+",IF(R469&lt;'PlayerGrades+'!$AH$3,"S-",IF(R469&lt;'PlayerGrades+'!$AH$2,"S","S+"))))))))))))))))))))</f>
        <v>#DIV/0!</v>
      </c>
      <c r="T469" s="961">
        <f t="shared" si="9"/>
        <v>0</v>
      </c>
      <c r="U469" s="961" t="str">
        <f>IF(T469&lt;'PlayerGrades+'!$AI$21,"F-",IF(T469&lt;'PlayerGrades+'!$AI$20,"F",IF(T469&lt;'PlayerGrades+'!$AI$19,"F+",IF(T469&lt;'PlayerGrades+'!$AI$18,"E-",IF(T469&lt;'PlayerGrades+'!$AI$17,"E",IF(T469&lt;'PlayerGrades+'!$AI$16,"E+",IF(T469&lt;'PlayerGrades+'!$AI$15,"D-",IF(T469&lt;'PlayerGrades+'!$AI$14,"D",IF(T469&lt;'PlayerGrades+'!$AI$13,"D+",IF(T469&lt;'PlayerGrades+'!$AI$12,"C-",IF(T469&lt;'PlayerGrades+'!$AI$11,"C",IF(T469&lt;'PlayerGrades+'!$AI$10,"C+",IF(T469&lt;'PlayerGrades+'!$AI$9,"B-",IF(T469&lt;'PlayerGrades+'!$AI$8,"B",IF(T469&lt;'PlayerGrades+'!$AI$7,"B+",IF(T469&lt;'PlayerGrades+'!$AI$6,"A-",IF(T469&lt;'PlayerGrades+'!$AI$5,"A",IF(T469&lt;'PlayerGrades+'!$AI$4,"A+",IF(T469&lt;'PlayerGrades+'!$AI$3,"S-",IF(T469&lt;'PlayerGrades+'!$AI$2,"S","S+"))))))))))))))))))))</f>
        <v>F-</v>
      </c>
      <c r="AC469" s="1392"/>
    </row>
    <row r="470">
      <c r="A470" s="1408"/>
      <c r="B470" s="611" t="str">
        <f>IF(C470&lt;'PlayerGrades+'!$Y$44,"F-",IF(C470&lt;'PlayerGrades+'!$Y$43,"F",IF(C470&lt;'PlayerGrades+'!$Y$42,"F+",IF(C470&lt;'PlayerGrades+'!$Y$41,"E-",IF(C470&lt;'PlayerGrades+'!$Y$40,"E",IF(C470&lt;'PlayerGrades+'!$Y$39,"E+",IF(C470&lt;'PlayerGrades+'!$Y$38,"D-",IF(C470&lt;'PlayerGrades+'!$Y$37,"D",IF(C470&lt;'PlayerGrades+'!$Y$36,"D+",IF(C470&lt;'PlayerGrades+'!$Y$35,"C-",IF(C470&lt;'PlayerGrades+'!$Y$34,"C",IF(C470&lt;'PlayerGrades+'!$Y$33,"C+",IF(C470&lt;'PlayerGrades+'!$Y$32,"B-",IF(C470&lt;'PlayerGrades+'!$Y$31,"B",IF(C470&lt;'PlayerGrades+'!$Y$30,"B+",IF(C470&lt;'PlayerGrades+'!$Y$29,"A-",IF(C470&lt;'PlayerGrades+'!$Y$28,"A",IF(C470&lt;'PlayerGrades+'!$Y$27,"A+",IF(C470&lt;'PlayerGrades+'!$Y$26,"S-",IF(C470&lt;'PlayerGrades+'!$Y$25,"S","S+"))))))))))))))))))))</f>
        <v>#DIV/0!</v>
      </c>
      <c r="C470" s="1378" t="str">
        <f>('PlayerGrades+'!$Y$47*(VLOOKUP(E470, 'PlayerGrades+'!$X$3:$Y$23, 2, FALSE)))+('PlayerGrades+'!$Y$48*(VLOOKUP(G470, 'PlayerGrades+'!$X$3:$Y$23, 2, FALSE)))+('PlayerGrades+'!$Y$49*(VLOOKUP(I470, 'PlayerGrades+'!$X$3:$Y$23, 2, FALSE)))+('PlayerGrades+'!$Y$50*(VLOOKUP(K470, 'PlayerGrades+'!$X$3:$Y$23, 2, FALSE)))+('PlayerGrades+'!$Y$51*(VLOOKUP(M470, 'PlayerGrades+'!$X$3:$Y$23, 2, FALSE)))+('PlayerGrades+'!$Y$52*(VLOOKUP(O470, 'PlayerGrades+'!$X$3:$Y$23, 2, FALSE)))+('PlayerGrades+'!$Y$53*(VLOOKUP(Q470, 'PlayerGrades+'!$X$3:$Y$23, 2, FALSE)))+('PlayerGrades+'!$Y$54*(VLOOKUP(S470, 'PlayerGrades+'!$X$3:$Y$23, 2, FALSE)))+('PlayerGrades+'!$Y$55*(VLOOKUP(U470, 'PlayerGrades+'!$X$3:$Y$23, 2, FALSE)))</f>
        <v>#DIV/0!</v>
      </c>
      <c r="D470" s="961" t="str">
        <f t="shared" si="1"/>
        <v>#DIV/0!</v>
      </c>
      <c r="E470" s="961" t="str">
        <f>IF(D470&lt;'PlayerGrades+'!$AA$21,"F-",IF(D470&lt;'PlayerGrades+'!$AA$20,"F",IF(D470&lt;'PlayerGrades+'!$AA$19,"F+",IF(D470&lt;'PlayerGrades+'!$AA$18,"E-",IF(D470&lt;'PlayerGrades+'!$AA$17,"E",IF(D470&lt;'PlayerGrades+'!$AA$16,"E+",IF(D470&lt;'PlayerGrades+'!$AA$15,"D-",IF(D470&lt;'PlayerGrades+'!$AA$14,"D",IF(D470&lt;'PlayerGrades+'!$AA$13,"D+",IF(D470&lt;'PlayerGrades+'!$AA$12,"C-",IF(D470&lt;'PlayerGrades+'!$AA$11,"C",IF(D470&lt;'PlayerGrades+'!$AA$10,"C+",IF(D470&lt;'PlayerGrades+'!$AA$9,"B-",IF(D470&lt;'PlayerGrades+'!$AA$8,"B",IF(D470&lt;'PlayerGrades+'!$AA$7,"B+",IF(D470&lt;'PlayerGrades+'!$AA$6,"A-",IF(D470&lt;'PlayerGrades+'!$AA$5,"A",IF(D470&lt;'PlayerGrades+'!$AA$4,"A+",IF(D470&lt;'PlayerGrades+'!$AA$3,"S-",IF(D470&lt;'PlayerGrades+'!$AA$2,"S","S+"))))))))))))))))))))</f>
        <v>#DIV/0!</v>
      </c>
      <c r="F470" s="961" t="str">
        <f t="shared" si="2"/>
        <v>#DIV/0!</v>
      </c>
      <c r="G470" s="961" t="str">
        <f>IF(F470&lt;'PlayerGrades+'!$AB$21,"F-",IF(F470&lt;'PlayerGrades+'!$AB$20,"F",IF(F470&lt;'PlayerGrades+'!$AB$19,"F+",IF(F470&lt;'PlayerGrades+'!$AB$18,"E-",IF(F470&lt;'PlayerGrades+'!$AB$17,"E",IF(F470&lt;'PlayerGrades+'!$AB$16,"E+",IF(F470&lt;'PlayerGrades+'!$AB$15,"D-",IF(F470&lt;'PlayerGrades+'!$AB$14,"D",IF(F470&lt;'PlayerGrades+'!$AB$13,"D+",IF(F470&lt;'PlayerGrades+'!$AB$12,"C-",IF(F470&lt;'PlayerGrades+'!$AB$11,"C",IF(F470&lt;'PlayerGrades+'!$AB$10,"C+",IF(F470&lt;'PlayerGrades+'!$AB$9,"B-",IF(F470&lt;'PlayerGrades+'!$AB$8,"B",IF(F470&lt;'PlayerGrades+'!$AB$7,"B+",IF(F470&lt;'PlayerGrades+'!$AB$6,"A-",IF(F470&lt;'PlayerGrades+'!$AB$5,"A",IF(F470&lt;'PlayerGrades+'!$AB$4,"A+",IF(F470&lt;'PlayerGrades+'!$AB$3,"S-",IF(F470&lt;'PlayerGrades+'!$AB$2,"S","S+"))))))))))))))))))))</f>
        <v>#DIV/0!</v>
      </c>
      <c r="H470" s="961" t="str">
        <f t="shared" si="3"/>
        <v>#DIV/0!</v>
      </c>
      <c r="I470" s="961" t="str">
        <f>IF(H470&lt;'PlayerGrades+'!$AC$21,"F-",IF(H470&lt;'PlayerGrades+'!$AC$20,"F",IF(H470&lt;'PlayerGrades+'!$AC$19,"F+",IF(H470&lt;'PlayerGrades+'!$AC$18,"E-",IF(H470&lt;'PlayerGrades+'!$AC$17,"E",IF(H470&lt;'PlayerGrades+'!$AC$16,"E+",IF(H470&lt;'PlayerGrades+'!$AC$15,"D-",IF(H470&lt;'PlayerGrades+'!$AC$14,"D",IF(H470&lt;'PlayerGrades+'!$AC$13,"D+",IF(H470&lt;'PlayerGrades+'!$AC$12,"C-",IF(H470&lt;'PlayerGrades+'!$AC$11,"C",IF(H470&lt;'PlayerGrades+'!$AC$10,"C+",IF(H470&lt;'PlayerGrades+'!$AC$9,"B-",IF(H470&lt;'PlayerGrades+'!$AC$8,"B",IF(H470&lt;'PlayerGrades+'!$AC$7,"B+",IF(H470&lt;'PlayerGrades+'!$AC$6,"A-",IF(H470&lt;'PlayerGrades+'!$AC$5,"A",IF(H470&lt;'PlayerGrades+'!$AC$4,"A+",IF(H470&lt;'PlayerGrades+'!$AC$3,"S-",IF(H470&lt;'PlayerGrades+'!$AC$2,"S","S+"))))))))))))))))))))</f>
        <v>#DIV/0!</v>
      </c>
      <c r="J470" s="961" t="str">
        <f t="shared" si="4"/>
        <v>#DIV/0!</v>
      </c>
      <c r="K470" s="961" t="str">
        <f>IF(J470&lt;'PlayerGrades+'!$AD$21,"F-",IF(J470&lt;'PlayerGrades+'!$AD$20,"F",IF(J470&lt;'PlayerGrades+'!$AD$19,"F+",IF(J470&lt;'PlayerGrades+'!$AD$18,"E-",IF(J470&lt;'PlayerGrades+'!$AD$17,"E",IF(J470&lt;'PlayerGrades+'!$AD$16,"E+",IF(J470&lt;'PlayerGrades+'!$AD$15,"D-",IF(J470&lt;'PlayerGrades+'!$AD$14,"D",IF(J470&lt;'PlayerGrades+'!$AD$13,"D+",IF(J470&lt;'PlayerGrades+'!$AD$12,"C-",IF(J470&lt;'PlayerGrades+'!$AD$11,"C",IF(J470&lt;'PlayerGrades+'!$AD$10,"C+",IF(J470&lt;'PlayerGrades+'!$AD$9,"B-",IF(J470&lt;'PlayerGrades+'!$AD$8,"B",IF(J470&lt;'PlayerGrades+'!$AD$7,"B+",IF(J470&lt;'PlayerGrades+'!$AD$6,"A-",IF(J470&lt;'PlayerGrades+'!$AD$5,"A",IF(J470&lt;'PlayerGrades+'!$AD$4,"A+",IF(J470&lt;'PlayerGrades+'!$AD$3,"S-",IF(J470&lt;'PlayerGrades+'!$AD$2,"S","S+"))))))))))))))))))))</f>
        <v>#DIV/0!</v>
      </c>
      <c r="L470" s="1176" t="str">
        <f t="shared" si="5"/>
        <v>#DIV/0!</v>
      </c>
      <c r="M470" s="992" t="str">
        <f>IF(L470&lt;'PlayerGrades+'!$AE$21,"F-",IF(L470&lt;'PlayerGrades+'!$AE$20,"F",IF(L470&lt;'PlayerGrades+'!$AE$19,"F+",IF(L470&lt;'PlayerGrades+'!$AE$18,"E-",IF(L470&lt;'PlayerGrades+'!$AE$17,"E",IF(L470&lt;'PlayerGrades+'!$AE$16,"E+",IF(L470&lt;'PlayerGrades+'!$AE$15,"D-",IF(L470&lt;'PlayerGrades+'!$AE$14,"D",IF(L470&lt;'PlayerGrades+'!$AE$13,"D+",IF(L470&lt;'PlayerGrades+'!$AE$12,"C-",IF(L470&lt;'PlayerGrades+'!$AE$11,"C",IF(L470&lt;'PlayerGrades+'!$AE$10,"C+",IF(L470&lt;'PlayerGrades+'!$AE$9,"B-",IF(L470&lt;'PlayerGrades+'!$AE$8,"B",IF(L470&lt;'PlayerGrades+'!$AE$7,"B+",IF(L470&lt;'PlayerGrades+'!$AE$6,"A-",IF(L470&lt;'PlayerGrades+'!$AE$5,"A",IF(L470&lt;'PlayerGrades+'!$AE$4,"A+",IF(L470&lt;'PlayerGrades+'!$AE$3,"S-",IF(L470&lt;'PlayerGrades+'!$AE$2,"S","S+"))))))))))))))))))))</f>
        <v>#DIV/0!</v>
      </c>
      <c r="N470" s="961" t="str">
        <f t="shared" si="6"/>
        <v>#DIV/0!</v>
      </c>
      <c r="O470" s="961" t="str">
        <f>IF(N470&lt;'PlayerGrades+'!$AF$21,"F-",IF(N470&lt;'PlayerGrades+'!$AF$20,"F",IF(N470&lt;'PlayerGrades+'!$AF$19,"F+",IF(N470&lt;'PlayerGrades+'!$AF$18,"E-",IF(N470&lt;'PlayerGrades+'!$AF$17,"E",IF(N470&lt;'PlayerGrades+'!$AF$16,"E+",IF(N470&lt;'PlayerGrades+'!$AF$15,"D-",IF(N470&lt;'PlayerGrades+'!$AF$14,"D",IF(N470&lt;'PlayerGrades+'!$AF$13,"D+",IF(N470&lt;'PlayerGrades+'!$AF$12,"C-",IF(N470&lt;'PlayerGrades+'!$AF$11,"C",IF(N470&lt;'PlayerGrades+'!$AF$10,"C+",IF(N470&lt;'PlayerGrades+'!$AF$9,"B-",IF(N470&lt;'PlayerGrades+'!$AF$8,"B",IF(N470&lt;'PlayerGrades+'!$AF$7,"B+",IF(N470&lt;'PlayerGrades+'!$AF$6,"A-",IF(N470&lt;'PlayerGrades+'!$AF$5,"A",IF(N470&lt;'PlayerGrades+'!$AF$4,"A+",IF(N470&lt;'PlayerGrades+'!$AF$3,"S-",IF(N470&lt;'PlayerGrades+'!$AF$2,"S","S+"))))))))))))))))))))</f>
        <v>#DIV/0!</v>
      </c>
      <c r="P470" s="961" t="str">
        <f t="shared" si="7"/>
        <v>#DIV/0!</v>
      </c>
      <c r="Q470" s="961" t="str">
        <f>IF(P470&lt;'PlayerGrades+'!$AG$21,"F-",IF(P470&lt;'PlayerGrades+'!$AG$20,"F",IF(P470&lt;'PlayerGrades+'!$AG$19,"F+",IF(P470&lt;'PlayerGrades+'!$AG$18,"E-",IF(P470&lt;'PlayerGrades+'!$AG$17,"E",IF(P470&lt;'PlayerGrades+'!$AG$16,"E+",IF(P470&lt;'PlayerGrades+'!$AG$15,"D-",IF(P470&lt;'PlayerGrades+'!$AG$14,"D",IF(P470&lt;'PlayerGrades+'!$AG$13,"D+",IF(P470&lt;'PlayerGrades+'!$AG$12,"C-",IF(P470&lt;'PlayerGrades+'!$AG$11,"C",IF(P470&lt;'PlayerGrades+'!$AG$10,"C+",IF(P470&lt;'PlayerGrades+'!$AG$9,"B-",IF(P470&lt;'PlayerGrades+'!$AG$8,"B",IF(P470&lt;'PlayerGrades+'!$AG$7,"B+",IF(P470&lt;'PlayerGrades+'!$AG$6,"A-",IF(P470&lt;'PlayerGrades+'!$AG$5,"A",IF(P470&lt;'PlayerGrades+'!$AG$4,"A+",IF(P470&lt;'PlayerGrades+'!$AG$3,"S-",IF(P470&lt;'PlayerGrades+'!$AG$2,"S","S+"))))))))))))))))))))</f>
        <v>#DIV/0!</v>
      </c>
      <c r="R470" s="961" t="str">
        <f t="shared" si="8"/>
        <v>#DIV/0!</v>
      </c>
      <c r="S470" s="961" t="str">
        <f>IF(R470&lt;'PlayerGrades+'!$AH$21,"F-",IF(R470&lt;'PlayerGrades+'!$AH$20,"F",IF(R470&lt;'PlayerGrades+'!$AH$19,"F+",IF(R470&lt;'PlayerGrades+'!$AH$18,"E-",IF(R470&lt;'PlayerGrades+'!$AH$17,"E",IF(R470&lt;'PlayerGrades+'!$AH$16,"E+",IF(R470&lt;'PlayerGrades+'!$AH$15,"D-",IF(R470&lt;'PlayerGrades+'!$AH$14,"D",IF(R470&lt;'PlayerGrades+'!$AH$13,"D+",IF(R470&lt;'PlayerGrades+'!$AH$12,"C-",IF(R470&lt;'PlayerGrades+'!$AH$11,"C",IF(R470&lt;'PlayerGrades+'!$AH$10,"C+",IF(R470&lt;'PlayerGrades+'!$AH$9,"B-",IF(R470&lt;'PlayerGrades+'!$AH$8,"B",IF(R470&lt;'PlayerGrades+'!$AH$7,"B+",IF(R470&lt;'PlayerGrades+'!$AH$6,"A-",IF(R470&lt;'PlayerGrades+'!$AH$5,"A",IF(R470&lt;'PlayerGrades+'!$AH$4,"A+",IF(R470&lt;'PlayerGrades+'!$AH$3,"S-",IF(R470&lt;'PlayerGrades+'!$AH$2,"S","S+"))))))))))))))))))))</f>
        <v>#DIV/0!</v>
      </c>
      <c r="T470" s="961">
        <f t="shared" si="9"/>
        <v>0</v>
      </c>
      <c r="U470" s="961" t="str">
        <f>IF(T470&lt;'PlayerGrades+'!$AI$21,"F-",IF(T470&lt;'PlayerGrades+'!$AI$20,"F",IF(T470&lt;'PlayerGrades+'!$AI$19,"F+",IF(T470&lt;'PlayerGrades+'!$AI$18,"E-",IF(T470&lt;'PlayerGrades+'!$AI$17,"E",IF(T470&lt;'PlayerGrades+'!$AI$16,"E+",IF(T470&lt;'PlayerGrades+'!$AI$15,"D-",IF(T470&lt;'PlayerGrades+'!$AI$14,"D",IF(T470&lt;'PlayerGrades+'!$AI$13,"D+",IF(T470&lt;'PlayerGrades+'!$AI$12,"C-",IF(T470&lt;'PlayerGrades+'!$AI$11,"C",IF(T470&lt;'PlayerGrades+'!$AI$10,"C+",IF(T470&lt;'PlayerGrades+'!$AI$9,"B-",IF(T470&lt;'PlayerGrades+'!$AI$8,"B",IF(T470&lt;'PlayerGrades+'!$AI$7,"B+",IF(T470&lt;'PlayerGrades+'!$AI$6,"A-",IF(T470&lt;'PlayerGrades+'!$AI$5,"A",IF(T470&lt;'PlayerGrades+'!$AI$4,"A+",IF(T470&lt;'PlayerGrades+'!$AI$3,"S-",IF(T470&lt;'PlayerGrades+'!$AI$2,"S","S+"))))))))))))))))))))</f>
        <v>F-</v>
      </c>
      <c r="AC470" s="1392"/>
    </row>
    <row r="471">
      <c r="A471" s="1408"/>
      <c r="B471" s="611" t="str">
        <f>IF(C471&lt;'PlayerGrades+'!$Y$44,"F-",IF(C471&lt;'PlayerGrades+'!$Y$43,"F",IF(C471&lt;'PlayerGrades+'!$Y$42,"F+",IF(C471&lt;'PlayerGrades+'!$Y$41,"E-",IF(C471&lt;'PlayerGrades+'!$Y$40,"E",IF(C471&lt;'PlayerGrades+'!$Y$39,"E+",IF(C471&lt;'PlayerGrades+'!$Y$38,"D-",IF(C471&lt;'PlayerGrades+'!$Y$37,"D",IF(C471&lt;'PlayerGrades+'!$Y$36,"D+",IF(C471&lt;'PlayerGrades+'!$Y$35,"C-",IF(C471&lt;'PlayerGrades+'!$Y$34,"C",IF(C471&lt;'PlayerGrades+'!$Y$33,"C+",IF(C471&lt;'PlayerGrades+'!$Y$32,"B-",IF(C471&lt;'PlayerGrades+'!$Y$31,"B",IF(C471&lt;'PlayerGrades+'!$Y$30,"B+",IF(C471&lt;'PlayerGrades+'!$Y$29,"A-",IF(C471&lt;'PlayerGrades+'!$Y$28,"A",IF(C471&lt;'PlayerGrades+'!$Y$27,"A+",IF(C471&lt;'PlayerGrades+'!$Y$26,"S-",IF(C471&lt;'PlayerGrades+'!$Y$25,"S","S+"))))))))))))))))))))</f>
        <v>#DIV/0!</v>
      </c>
      <c r="C471" s="1378" t="str">
        <f>('PlayerGrades+'!$Y$47*(VLOOKUP(E471, 'PlayerGrades+'!$X$3:$Y$23, 2, FALSE)))+('PlayerGrades+'!$Y$48*(VLOOKUP(G471, 'PlayerGrades+'!$X$3:$Y$23, 2, FALSE)))+('PlayerGrades+'!$Y$49*(VLOOKUP(I471, 'PlayerGrades+'!$X$3:$Y$23, 2, FALSE)))+('PlayerGrades+'!$Y$50*(VLOOKUP(K471, 'PlayerGrades+'!$X$3:$Y$23, 2, FALSE)))+('PlayerGrades+'!$Y$51*(VLOOKUP(M471, 'PlayerGrades+'!$X$3:$Y$23, 2, FALSE)))+('PlayerGrades+'!$Y$52*(VLOOKUP(O471, 'PlayerGrades+'!$X$3:$Y$23, 2, FALSE)))+('PlayerGrades+'!$Y$53*(VLOOKUP(Q471, 'PlayerGrades+'!$X$3:$Y$23, 2, FALSE)))+('PlayerGrades+'!$Y$54*(VLOOKUP(S471, 'PlayerGrades+'!$X$3:$Y$23, 2, FALSE)))+('PlayerGrades+'!$Y$55*(VLOOKUP(U471, 'PlayerGrades+'!$X$3:$Y$23, 2, FALSE)))</f>
        <v>#DIV/0!</v>
      </c>
      <c r="D471" s="961" t="str">
        <f t="shared" si="1"/>
        <v>#DIV/0!</v>
      </c>
      <c r="E471" s="961" t="str">
        <f>IF(D471&lt;'PlayerGrades+'!$AA$21,"F-",IF(D471&lt;'PlayerGrades+'!$AA$20,"F",IF(D471&lt;'PlayerGrades+'!$AA$19,"F+",IF(D471&lt;'PlayerGrades+'!$AA$18,"E-",IF(D471&lt;'PlayerGrades+'!$AA$17,"E",IF(D471&lt;'PlayerGrades+'!$AA$16,"E+",IF(D471&lt;'PlayerGrades+'!$AA$15,"D-",IF(D471&lt;'PlayerGrades+'!$AA$14,"D",IF(D471&lt;'PlayerGrades+'!$AA$13,"D+",IF(D471&lt;'PlayerGrades+'!$AA$12,"C-",IF(D471&lt;'PlayerGrades+'!$AA$11,"C",IF(D471&lt;'PlayerGrades+'!$AA$10,"C+",IF(D471&lt;'PlayerGrades+'!$AA$9,"B-",IF(D471&lt;'PlayerGrades+'!$AA$8,"B",IF(D471&lt;'PlayerGrades+'!$AA$7,"B+",IF(D471&lt;'PlayerGrades+'!$AA$6,"A-",IF(D471&lt;'PlayerGrades+'!$AA$5,"A",IF(D471&lt;'PlayerGrades+'!$AA$4,"A+",IF(D471&lt;'PlayerGrades+'!$AA$3,"S-",IF(D471&lt;'PlayerGrades+'!$AA$2,"S","S+"))))))))))))))))))))</f>
        <v>#DIV/0!</v>
      </c>
      <c r="F471" s="961" t="str">
        <f t="shared" si="2"/>
        <v>#DIV/0!</v>
      </c>
      <c r="G471" s="961" t="str">
        <f>IF(F471&lt;'PlayerGrades+'!$AB$21,"F-",IF(F471&lt;'PlayerGrades+'!$AB$20,"F",IF(F471&lt;'PlayerGrades+'!$AB$19,"F+",IF(F471&lt;'PlayerGrades+'!$AB$18,"E-",IF(F471&lt;'PlayerGrades+'!$AB$17,"E",IF(F471&lt;'PlayerGrades+'!$AB$16,"E+",IF(F471&lt;'PlayerGrades+'!$AB$15,"D-",IF(F471&lt;'PlayerGrades+'!$AB$14,"D",IF(F471&lt;'PlayerGrades+'!$AB$13,"D+",IF(F471&lt;'PlayerGrades+'!$AB$12,"C-",IF(F471&lt;'PlayerGrades+'!$AB$11,"C",IF(F471&lt;'PlayerGrades+'!$AB$10,"C+",IF(F471&lt;'PlayerGrades+'!$AB$9,"B-",IF(F471&lt;'PlayerGrades+'!$AB$8,"B",IF(F471&lt;'PlayerGrades+'!$AB$7,"B+",IF(F471&lt;'PlayerGrades+'!$AB$6,"A-",IF(F471&lt;'PlayerGrades+'!$AB$5,"A",IF(F471&lt;'PlayerGrades+'!$AB$4,"A+",IF(F471&lt;'PlayerGrades+'!$AB$3,"S-",IF(F471&lt;'PlayerGrades+'!$AB$2,"S","S+"))))))))))))))))))))</f>
        <v>#DIV/0!</v>
      </c>
      <c r="H471" s="961" t="str">
        <f t="shared" si="3"/>
        <v>#DIV/0!</v>
      </c>
      <c r="I471" s="961" t="str">
        <f>IF(H471&lt;'PlayerGrades+'!$AC$21,"F-",IF(H471&lt;'PlayerGrades+'!$AC$20,"F",IF(H471&lt;'PlayerGrades+'!$AC$19,"F+",IF(H471&lt;'PlayerGrades+'!$AC$18,"E-",IF(H471&lt;'PlayerGrades+'!$AC$17,"E",IF(H471&lt;'PlayerGrades+'!$AC$16,"E+",IF(H471&lt;'PlayerGrades+'!$AC$15,"D-",IF(H471&lt;'PlayerGrades+'!$AC$14,"D",IF(H471&lt;'PlayerGrades+'!$AC$13,"D+",IF(H471&lt;'PlayerGrades+'!$AC$12,"C-",IF(H471&lt;'PlayerGrades+'!$AC$11,"C",IF(H471&lt;'PlayerGrades+'!$AC$10,"C+",IF(H471&lt;'PlayerGrades+'!$AC$9,"B-",IF(H471&lt;'PlayerGrades+'!$AC$8,"B",IF(H471&lt;'PlayerGrades+'!$AC$7,"B+",IF(H471&lt;'PlayerGrades+'!$AC$6,"A-",IF(H471&lt;'PlayerGrades+'!$AC$5,"A",IF(H471&lt;'PlayerGrades+'!$AC$4,"A+",IF(H471&lt;'PlayerGrades+'!$AC$3,"S-",IF(H471&lt;'PlayerGrades+'!$AC$2,"S","S+"))))))))))))))))))))</f>
        <v>#DIV/0!</v>
      </c>
      <c r="J471" s="961" t="str">
        <f t="shared" si="4"/>
        <v>#DIV/0!</v>
      </c>
      <c r="K471" s="961" t="str">
        <f>IF(J471&lt;'PlayerGrades+'!$AD$21,"F-",IF(J471&lt;'PlayerGrades+'!$AD$20,"F",IF(J471&lt;'PlayerGrades+'!$AD$19,"F+",IF(J471&lt;'PlayerGrades+'!$AD$18,"E-",IF(J471&lt;'PlayerGrades+'!$AD$17,"E",IF(J471&lt;'PlayerGrades+'!$AD$16,"E+",IF(J471&lt;'PlayerGrades+'!$AD$15,"D-",IF(J471&lt;'PlayerGrades+'!$AD$14,"D",IF(J471&lt;'PlayerGrades+'!$AD$13,"D+",IF(J471&lt;'PlayerGrades+'!$AD$12,"C-",IF(J471&lt;'PlayerGrades+'!$AD$11,"C",IF(J471&lt;'PlayerGrades+'!$AD$10,"C+",IF(J471&lt;'PlayerGrades+'!$AD$9,"B-",IF(J471&lt;'PlayerGrades+'!$AD$8,"B",IF(J471&lt;'PlayerGrades+'!$AD$7,"B+",IF(J471&lt;'PlayerGrades+'!$AD$6,"A-",IF(J471&lt;'PlayerGrades+'!$AD$5,"A",IF(J471&lt;'PlayerGrades+'!$AD$4,"A+",IF(J471&lt;'PlayerGrades+'!$AD$3,"S-",IF(J471&lt;'PlayerGrades+'!$AD$2,"S","S+"))))))))))))))))))))</f>
        <v>#DIV/0!</v>
      </c>
      <c r="L471" s="1176" t="str">
        <f t="shared" si="5"/>
        <v>#DIV/0!</v>
      </c>
      <c r="M471" s="992" t="str">
        <f>IF(L471&lt;'PlayerGrades+'!$AE$21,"F-",IF(L471&lt;'PlayerGrades+'!$AE$20,"F",IF(L471&lt;'PlayerGrades+'!$AE$19,"F+",IF(L471&lt;'PlayerGrades+'!$AE$18,"E-",IF(L471&lt;'PlayerGrades+'!$AE$17,"E",IF(L471&lt;'PlayerGrades+'!$AE$16,"E+",IF(L471&lt;'PlayerGrades+'!$AE$15,"D-",IF(L471&lt;'PlayerGrades+'!$AE$14,"D",IF(L471&lt;'PlayerGrades+'!$AE$13,"D+",IF(L471&lt;'PlayerGrades+'!$AE$12,"C-",IF(L471&lt;'PlayerGrades+'!$AE$11,"C",IF(L471&lt;'PlayerGrades+'!$AE$10,"C+",IF(L471&lt;'PlayerGrades+'!$AE$9,"B-",IF(L471&lt;'PlayerGrades+'!$AE$8,"B",IF(L471&lt;'PlayerGrades+'!$AE$7,"B+",IF(L471&lt;'PlayerGrades+'!$AE$6,"A-",IF(L471&lt;'PlayerGrades+'!$AE$5,"A",IF(L471&lt;'PlayerGrades+'!$AE$4,"A+",IF(L471&lt;'PlayerGrades+'!$AE$3,"S-",IF(L471&lt;'PlayerGrades+'!$AE$2,"S","S+"))))))))))))))))))))</f>
        <v>#DIV/0!</v>
      </c>
      <c r="N471" s="961" t="str">
        <f t="shared" si="6"/>
        <v>#DIV/0!</v>
      </c>
      <c r="O471" s="961" t="str">
        <f>IF(N471&lt;'PlayerGrades+'!$AF$21,"F-",IF(N471&lt;'PlayerGrades+'!$AF$20,"F",IF(N471&lt;'PlayerGrades+'!$AF$19,"F+",IF(N471&lt;'PlayerGrades+'!$AF$18,"E-",IF(N471&lt;'PlayerGrades+'!$AF$17,"E",IF(N471&lt;'PlayerGrades+'!$AF$16,"E+",IF(N471&lt;'PlayerGrades+'!$AF$15,"D-",IF(N471&lt;'PlayerGrades+'!$AF$14,"D",IF(N471&lt;'PlayerGrades+'!$AF$13,"D+",IF(N471&lt;'PlayerGrades+'!$AF$12,"C-",IF(N471&lt;'PlayerGrades+'!$AF$11,"C",IF(N471&lt;'PlayerGrades+'!$AF$10,"C+",IF(N471&lt;'PlayerGrades+'!$AF$9,"B-",IF(N471&lt;'PlayerGrades+'!$AF$8,"B",IF(N471&lt;'PlayerGrades+'!$AF$7,"B+",IF(N471&lt;'PlayerGrades+'!$AF$6,"A-",IF(N471&lt;'PlayerGrades+'!$AF$5,"A",IF(N471&lt;'PlayerGrades+'!$AF$4,"A+",IF(N471&lt;'PlayerGrades+'!$AF$3,"S-",IF(N471&lt;'PlayerGrades+'!$AF$2,"S","S+"))))))))))))))))))))</f>
        <v>#DIV/0!</v>
      </c>
      <c r="P471" s="961" t="str">
        <f t="shared" si="7"/>
        <v>#DIV/0!</v>
      </c>
      <c r="Q471" s="961" t="str">
        <f>IF(P471&lt;'PlayerGrades+'!$AG$21,"F-",IF(P471&lt;'PlayerGrades+'!$AG$20,"F",IF(P471&lt;'PlayerGrades+'!$AG$19,"F+",IF(P471&lt;'PlayerGrades+'!$AG$18,"E-",IF(P471&lt;'PlayerGrades+'!$AG$17,"E",IF(P471&lt;'PlayerGrades+'!$AG$16,"E+",IF(P471&lt;'PlayerGrades+'!$AG$15,"D-",IF(P471&lt;'PlayerGrades+'!$AG$14,"D",IF(P471&lt;'PlayerGrades+'!$AG$13,"D+",IF(P471&lt;'PlayerGrades+'!$AG$12,"C-",IF(P471&lt;'PlayerGrades+'!$AG$11,"C",IF(P471&lt;'PlayerGrades+'!$AG$10,"C+",IF(P471&lt;'PlayerGrades+'!$AG$9,"B-",IF(P471&lt;'PlayerGrades+'!$AG$8,"B",IF(P471&lt;'PlayerGrades+'!$AG$7,"B+",IF(P471&lt;'PlayerGrades+'!$AG$6,"A-",IF(P471&lt;'PlayerGrades+'!$AG$5,"A",IF(P471&lt;'PlayerGrades+'!$AG$4,"A+",IF(P471&lt;'PlayerGrades+'!$AG$3,"S-",IF(P471&lt;'PlayerGrades+'!$AG$2,"S","S+"))))))))))))))))))))</f>
        <v>#DIV/0!</v>
      </c>
      <c r="R471" s="961" t="str">
        <f t="shared" si="8"/>
        <v>#DIV/0!</v>
      </c>
      <c r="S471" s="961" t="str">
        <f>IF(R471&lt;'PlayerGrades+'!$AH$21,"F-",IF(R471&lt;'PlayerGrades+'!$AH$20,"F",IF(R471&lt;'PlayerGrades+'!$AH$19,"F+",IF(R471&lt;'PlayerGrades+'!$AH$18,"E-",IF(R471&lt;'PlayerGrades+'!$AH$17,"E",IF(R471&lt;'PlayerGrades+'!$AH$16,"E+",IF(R471&lt;'PlayerGrades+'!$AH$15,"D-",IF(R471&lt;'PlayerGrades+'!$AH$14,"D",IF(R471&lt;'PlayerGrades+'!$AH$13,"D+",IF(R471&lt;'PlayerGrades+'!$AH$12,"C-",IF(R471&lt;'PlayerGrades+'!$AH$11,"C",IF(R471&lt;'PlayerGrades+'!$AH$10,"C+",IF(R471&lt;'PlayerGrades+'!$AH$9,"B-",IF(R471&lt;'PlayerGrades+'!$AH$8,"B",IF(R471&lt;'PlayerGrades+'!$AH$7,"B+",IF(R471&lt;'PlayerGrades+'!$AH$6,"A-",IF(R471&lt;'PlayerGrades+'!$AH$5,"A",IF(R471&lt;'PlayerGrades+'!$AH$4,"A+",IF(R471&lt;'PlayerGrades+'!$AH$3,"S-",IF(R471&lt;'PlayerGrades+'!$AH$2,"S","S+"))))))))))))))))))))</f>
        <v>#DIV/0!</v>
      </c>
      <c r="T471" s="961">
        <f t="shared" si="9"/>
        <v>0</v>
      </c>
      <c r="U471" s="961" t="str">
        <f>IF(T471&lt;'PlayerGrades+'!$AI$21,"F-",IF(T471&lt;'PlayerGrades+'!$AI$20,"F",IF(T471&lt;'PlayerGrades+'!$AI$19,"F+",IF(T471&lt;'PlayerGrades+'!$AI$18,"E-",IF(T471&lt;'PlayerGrades+'!$AI$17,"E",IF(T471&lt;'PlayerGrades+'!$AI$16,"E+",IF(T471&lt;'PlayerGrades+'!$AI$15,"D-",IF(T471&lt;'PlayerGrades+'!$AI$14,"D",IF(T471&lt;'PlayerGrades+'!$AI$13,"D+",IF(T471&lt;'PlayerGrades+'!$AI$12,"C-",IF(T471&lt;'PlayerGrades+'!$AI$11,"C",IF(T471&lt;'PlayerGrades+'!$AI$10,"C+",IF(T471&lt;'PlayerGrades+'!$AI$9,"B-",IF(T471&lt;'PlayerGrades+'!$AI$8,"B",IF(T471&lt;'PlayerGrades+'!$AI$7,"B+",IF(T471&lt;'PlayerGrades+'!$AI$6,"A-",IF(T471&lt;'PlayerGrades+'!$AI$5,"A",IF(T471&lt;'PlayerGrades+'!$AI$4,"A+",IF(T471&lt;'PlayerGrades+'!$AI$3,"S-",IF(T471&lt;'PlayerGrades+'!$AI$2,"S","S+"))))))))))))))))))))</f>
        <v>F-</v>
      </c>
      <c r="AC471" s="1392"/>
    </row>
    <row r="472">
      <c r="A472" s="1408"/>
      <c r="B472" s="611" t="str">
        <f>IF(C472&lt;'PlayerGrades+'!$Y$44,"F-",IF(C472&lt;'PlayerGrades+'!$Y$43,"F",IF(C472&lt;'PlayerGrades+'!$Y$42,"F+",IF(C472&lt;'PlayerGrades+'!$Y$41,"E-",IF(C472&lt;'PlayerGrades+'!$Y$40,"E",IF(C472&lt;'PlayerGrades+'!$Y$39,"E+",IF(C472&lt;'PlayerGrades+'!$Y$38,"D-",IF(C472&lt;'PlayerGrades+'!$Y$37,"D",IF(C472&lt;'PlayerGrades+'!$Y$36,"D+",IF(C472&lt;'PlayerGrades+'!$Y$35,"C-",IF(C472&lt;'PlayerGrades+'!$Y$34,"C",IF(C472&lt;'PlayerGrades+'!$Y$33,"C+",IF(C472&lt;'PlayerGrades+'!$Y$32,"B-",IF(C472&lt;'PlayerGrades+'!$Y$31,"B",IF(C472&lt;'PlayerGrades+'!$Y$30,"B+",IF(C472&lt;'PlayerGrades+'!$Y$29,"A-",IF(C472&lt;'PlayerGrades+'!$Y$28,"A",IF(C472&lt;'PlayerGrades+'!$Y$27,"A+",IF(C472&lt;'PlayerGrades+'!$Y$26,"S-",IF(C472&lt;'PlayerGrades+'!$Y$25,"S","S+"))))))))))))))))))))</f>
        <v>#DIV/0!</v>
      </c>
      <c r="C472" s="1378" t="str">
        <f>('PlayerGrades+'!$Y$47*(VLOOKUP(E472, 'PlayerGrades+'!$X$3:$Y$23, 2, FALSE)))+('PlayerGrades+'!$Y$48*(VLOOKUP(G472, 'PlayerGrades+'!$X$3:$Y$23, 2, FALSE)))+('PlayerGrades+'!$Y$49*(VLOOKUP(I472, 'PlayerGrades+'!$X$3:$Y$23, 2, FALSE)))+('PlayerGrades+'!$Y$50*(VLOOKUP(K472, 'PlayerGrades+'!$X$3:$Y$23, 2, FALSE)))+('PlayerGrades+'!$Y$51*(VLOOKUP(M472, 'PlayerGrades+'!$X$3:$Y$23, 2, FALSE)))+('PlayerGrades+'!$Y$52*(VLOOKUP(O472, 'PlayerGrades+'!$X$3:$Y$23, 2, FALSE)))+('PlayerGrades+'!$Y$53*(VLOOKUP(Q472, 'PlayerGrades+'!$X$3:$Y$23, 2, FALSE)))+('PlayerGrades+'!$Y$54*(VLOOKUP(S472, 'PlayerGrades+'!$X$3:$Y$23, 2, FALSE)))+('PlayerGrades+'!$Y$55*(VLOOKUP(U472, 'PlayerGrades+'!$X$3:$Y$23, 2, FALSE)))</f>
        <v>#DIV/0!</v>
      </c>
      <c r="D472" s="961" t="str">
        <f t="shared" si="1"/>
        <v>#DIV/0!</v>
      </c>
      <c r="E472" s="961" t="str">
        <f>IF(D472&lt;'PlayerGrades+'!$AA$21,"F-",IF(D472&lt;'PlayerGrades+'!$AA$20,"F",IF(D472&lt;'PlayerGrades+'!$AA$19,"F+",IF(D472&lt;'PlayerGrades+'!$AA$18,"E-",IF(D472&lt;'PlayerGrades+'!$AA$17,"E",IF(D472&lt;'PlayerGrades+'!$AA$16,"E+",IF(D472&lt;'PlayerGrades+'!$AA$15,"D-",IF(D472&lt;'PlayerGrades+'!$AA$14,"D",IF(D472&lt;'PlayerGrades+'!$AA$13,"D+",IF(D472&lt;'PlayerGrades+'!$AA$12,"C-",IF(D472&lt;'PlayerGrades+'!$AA$11,"C",IF(D472&lt;'PlayerGrades+'!$AA$10,"C+",IF(D472&lt;'PlayerGrades+'!$AA$9,"B-",IF(D472&lt;'PlayerGrades+'!$AA$8,"B",IF(D472&lt;'PlayerGrades+'!$AA$7,"B+",IF(D472&lt;'PlayerGrades+'!$AA$6,"A-",IF(D472&lt;'PlayerGrades+'!$AA$5,"A",IF(D472&lt;'PlayerGrades+'!$AA$4,"A+",IF(D472&lt;'PlayerGrades+'!$AA$3,"S-",IF(D472&lt;'PlayerGrades+'!$AA$2,"S","S+"))))))))))))))))))))</f>
        <v>#DIV/0!</v>
      </c>
      <c r="F472" s="961" t="str">
        <f t="shared" si="2"/>
        <v>#DIV/0!</v>
      </c>
      <c r="G472" s="961" t="str">
        <f>IF(F472&lt;'PlayerGrades+'!$AB$21,"F-",IF(F472&lt;'PlayerGrades+'!$AB$20,"F",IF(F472&lt;'PlayerGrades+'!$AB$19,"F+",IF(F472&lt;'PlayerGrades+'!$AB$18,"E-",IF(F472&lt;'PlayerGrades+'!$AB$17,"E",IF(F472&lt;'PlayerGrades+'!$AB$16,"E+",IF(F472&lt;'PlayerGrades+'!$AB$15,"D-",IF(F472&lt;'PlayerGrades+'!$AB$14,"D",IF(F472&lt;'PlayerGrades+'!$AB$13,"D+",IF(F472&lt;'PlayerGrades+'!$AB$12,"C-",IF(F472&lt;'PlayerGrades+'!$AB$11,"C",IF(F472&lt;'PlayerGrades+'!$AB$10,"C+",IF(F472&lt;'PlayerGrades+'!$AB$9,"B-",IF(F472&lt;'PlayerGrades+'!$AB$8,"B",IF(F472&lt;'PlayerGrades+'!$AB$7,"B+",IF(F472&lt;'PlayerGrades+'!$AB$6,"A-",IF(F472&lt;'PlayerGrades+'!$AB$5,"A",IF(F472&lt;'PlayerGrades+'!$AB$4,"A+",IF(F472&lt;'PlayerGrades+'!$AB$3,"S-",IF(F472&lt;'PlayerGrades+'!$AB$2,"S","S+"))))))))))))))))))))</f>
        <v>#DIV/0!</v>
      </c>
      <c r="H472" s="961" t="str">
        <f t="shared" si="3"/>
        <v>#DIV/0!</v>
      </c>
      <c r="I472" s="961" t="str">
        <f>IF(H472&lt;'PlayerGrades+'!$AC$21,"F-",IF(H472&lt;'PlayerGrades+'!$AC$20,"F",IF(H472&lt;'PlayerGrades+'!$AC$19,"F+",IF(H472&lt;'PlayerGrades+'!$AC$18,"E-",IF(H472&lt;'PlayerGrades+'!$AC$17,"E",IF(H472&lt;'PlayerGrades+'!$AC$16,"E+",IF(H472&lt;'PlayerGrades+'!$AC$15,"D-",IF(H472&lt;'PlayerGrades+'!$AC$14,"D",IF(H472&lt;'PlayerGrades+'!$AC$13,"D+",IF(H472&lt;'PlayerGrades+'!$AC$12,"C-",IF(H472&lt;'PlayerGrades+'!$AC$11,"C",IF(H472&lt;'PlayerGrades+'!$AC$10,"C+",IF(H472&lt;'PlayerGrades+'!$AC$9,"B-",IF(H472&lt;'PlayerGrades+'!$AC$8,"B",IF(H472&lt;'PlayerGrades+'!$AC$7,"B+",IF(H472&lt;'PlayerGrades+'!$AC$6,"A-",IF(H472&lt;'PlayerGrades+'!$AC$5,"A",IF(H472&lt;'PlayerGrades+'!$AC$4,"A+",IF(H472&lt;'PlayerGrades+'!$AC$3,"S-",IF(H472&lt;'PlayerGrades+'!$AC$2,"S","S+"))))))))))))))))))))</f>
        <v>#DIV/0!</v>
      </c>
      <c r="J472" s="961" t="str">
        <f t="shared" si="4"/>
        <v>#DIV/0!</v>
      </c>
      <c r="K472" s="961" t="str">
        <f>IF(J472&lt;'PlayerGrades+'!$AD$21,"F-",IF(J472&lt;'PlayerGrades+'!$AD$20,"F",IF(J472&lt;'PlayerGrades+'!$AD$19,"F+",IF(J472&lt;'PlayerGrades+'!$AD$18,"E-",IF(J472&lt;'PlayerGrades+'!$AD$17,"E",IF(J472&lt;'PlayerGrades+'!$AD$16,"E+",IF(J472&lt;'PlayerGrades+'!$AD$15,"D-",IF(J472&lt;'PlayerGrades+'!$AD$14,"D",IF(J472&lt;'PlayerGrades+'!$AD$13,"D+",IF(J472&lt;'PlayerGrades+'!$AD$12,"C-",IF(J472&lt;'PlayerGrades+'!$AD$11,"C",IF(J472&lt;'PlayerGrades+'!$AD$10,"C+",IF(J472&lt;'PlayerGrades+'!$AD$9,"B-",IF(J472&lt;'PlayerGrades+'!$AD$8,"B",IF(J472&lt;'PlayerGrades+'!$AD$7,"B+",IF(J472&lt;'PlayerGrades+'!$AD$6,"A-",IF(J472&lt;'PlayerGrades+'!$AD$5,"A",IF(J472&lt;'PlayerGrades+'!$AD$4,"A+",IF(J472&lt;'PlayerGrades+'!$AD$3,"S-",IF(J472&lt;'PlayerGrades+'!$AD$2,"S","S+"))))))))))))))))))))</f>
        <v>#DIV/0!</v>
      </c>
      <c r="L472" s="1176" t="str">
        <f t="shared" si="5"/>
        <v>#DIV/0!</v>
      </c>
      <c r="M472" s="992" t="str">
        <f>IF(L472&lt;'PlayerGrades+'!$AE$21,"F-",IF(L472&lt;'PlayerGrades+'!$AE$20,"F",IF(L472&lt;'PlayerGrades+'!$AE$19,"F+",IF(L472&lt;'PlayerGrades+'!$AE$18,"E-",IF(L472&lt;'PlayerGrades+'!$AE$17,"E",IF(L472&lt;'PlayerGrades+'!$AE$16,"E+",IF(L472&lt;'PlayerGrades+'!$AE$15,"D-",IF(L472&lt;'PlayerGrades+'!$AE$14,"D",IF(L472&lt;'PlayerGrades+'!$AE$13,"D+",IF(L472&lt;'PlayerGrades+'!$AE$12,"C-",IF(L472&lt;'PlayerGrades+'!$AE$11,"C",IF(L472&lt;'PlayerGrades+'!$AE$10,"C+",IF(L472&lt;'PlayerGrades+'!$AE$9,"B-",IF(L472&lt;'PlayerGrades+'!$AE$8,"B",IF(L472&lt;'PlayerGrades+'!$AE$7,"B+",IF(L472&lt;'PlayerGrades+'!$AE$6,"A-",IF(L472&lt;'PlayerGrades+'!$AE$5,"A",IF(L472&lt;'PlayerGrades+'!$AE$4,"A+",IF(L472&lt;'PlayerGrades+'!$AE$3,"S-",IF(L472&lt;'PlayerGrades+'!$AE$2,"S","S+"))))))))))))))))))))</f>
        <v>#DIV/0!</v>
      </c>
      <c r="N472" s="961" t="str">
        <f t="shared" si="6"/>
        <v>#DIV/0!</v>
      </c>
      <c r="O472" s="961" t="str">
        <f>IF(N472&lt;'PlayerGrades+'!$AF$21,"F-",IF(N472&lt;'PlayerGrades+'!$AF$20,"F",IF(N472&lt;'PlayerGrades+'!$AF$19,"F+",IF(N472&lt;'PlayerGrades+'!$AF$18,"E-",IF(N472&lt;'PlayerGrades+'!$AF$17,"E",IF(N472&lt;'PlayerGrades+'!$AF$16,"E+",IF(N472&lt;'PlayerGrades+'!$AF$15,"D-",IF(N472&lt;'PlayerGrades+'!$AF$14,"D",IF(N472&lt;'PlayerGrades+'!$AF$13,"D+",IF(N472&lt;'PlayerGrades+'!$AF$12,"C-",IF(N472&lt;'PlayerGrades+'!$AF$11,"C",IF(N472&lt;'PlayerGrades+'!$AF$10,"C+",IF(N472&lt;'PlayerGrades+'!$AF$9,"B-",IF(N472&lt;'PlayerGrades+'!$AF$8,"B",IF(N472&lt;'PlayerGrades+'!$AF$7,"B+",IF(N472&lt;'PlayerGrades+'!$AF$6,"A-",IF(N472&lt;'PlayerGrades+'!$AF$5,"A",IF(N472&lt;'PlayerGrades+'!$AF$4,"A+",IF(N472&lt;'PlayerGrades+'!$AF$3,"S-",IF(N472&lt;'PlayerGrades+'!$AF$2,"S","S+"))))))))))))))))))))</f>
        <v>#DIV/0!</v>
      </c>
      <c r="P472" s="961" t="str">
        <f t="shared" si="7"/>
        <v>#DIV/0!</v>
      </c>
      <c r="Q472" s="961" t="str">
        <f>IF(P472&lt;'PlayerGrades+'!$AG$21,"F-",IF(P472&lt;'PlayerGrades+'!$AG$20,"F",IF(P472&lt;'PlayerGrades+'!$AG$19,"F+",IF(P472&lt;'PlayerGrades+'!$AG$18,"E-",IF(P472&lt;'PlayerGrades+'!$AG$17,"E",IF(P472&lt;'PlayerGrades+'!$AG$16,"E+",IF(P472&lt;'PlayerGrades+'!$AG$15,"D-",IF(P472&lt;'PlayerGrades+'!$AG$14,"D",IF(P472&lt;'PlayerGrades+'!$AG$13,"D+",IF(P472&lt;'PlayerGrades+'!$AG$12,"C-",IF(P472&lt;'PlayerGrades+'!$AG$11,"C",IF(P472&lt;'PlayerGrades+'!$AG$10,"C+",IF(P472&lt;'PlayerGrades+'!$AG$9,"B-",IF(P472&lt;'PlayerGrades+'!$AG$8,"B",IF(P472&lt;'PlayerGrades+'!$AG$7,"B+",IF(P472&lt;'PlayerGrades+'!$AG$6,"A-",IF(P472&lt;'PlayerGrades+'!$AG$5,"A",IF(P472&lt;'PlayerGrades+'!$AG$4,"A+",IF(P472&lt;'PlayerGrades+'!$AG$3,"S-",IF(P472&lt;'PlayerGrades+'!$AG$2,"S","S+"))))))))))))))))))))</f>
        <v>#DIV/0!</v>
      </c>
      <c r="R472" s="961" t="str">
        <f t="shared" si="8"/>
        <v>#DIV/0!</v>
      </c>
      <c r="S472" s="961" t="str">
        <f>IF(R472&lt;'PlayerGrades+'!$AH$21,"F-",IF(R472&lt;'PlayerGrades+'!$AH$20,"F",IF(R472&lt;'PlayerGrades+'!$AH$19,"F+",IF(R472&lt;'PlayerGrades+'!$AH$18,"E-",IF(R472&lt;'PlayerGrades+'!$AH$17,"E",IF(R472&lt;'PlayerGrades+'!$AH$16,"E+",IF(R472&lt;'PlayerGrades+'!$AH$15,"D-",IF(R472&lt;'PlayerGrades+'!$AH$14,"D",IF(R472&lt;'PlayerGrades+'!$AH$13,"D+",IF(R472&lt;'PlayerGrades+'!$AH$12,"C-",IF(R472&lt;'PlayerGrades+'!$AH$11,"C",IF(R472&lt;'PlayerGrades+'!$AH$10,"C+",IF(R472&lt;'PlayerGrades+'!$AH$9,"B-",IF(R472&lt;'PlayerGrades+'!$AH$8,"B",IF(R472&lt;'PlayerGrades+'!$AH$7,"B+",IF(R472&lt;'PlayerGrades+'!$AH$6,"A-",IF(R472&lt;'PlayerGrades+'!$AH$5,"A",IF(R472&lt;'PlayerGrades+'!$AH$4,"A+",IF(R472&lt;'PlayerGrades+'!$AH$3,"S-",IF(R472&lt;'PlayerGrades+'!$AH$2,"S","S+"))))))))))))))))))))</f>
        <v>#DIV/0!</v>
      </c>
      <c r="T472" s="961">
        <f t="shared" si="9"/>
        <v>0</v>
      </c>
      <c r="U472" s="961" t="str">
        <f>IF(T472&lt;'PlayerGrades+'!$AI$21,"F-",IF(T472&lt;'PlayerGrades+'!$AI$20,"F",IF(T472&lt;'PlayerGrades+'!$AI$19,"F+",IF(T472&lt;'PlayerGrades+'!$AI$18,"E-",IF(T472&lt;'PlayerGrades+'!$AI$17,"E",IF(T472&lt;'PlayerGrades+'!$AI$16,"E+",IF(T472&lt;'PlayerGrades+'!$AI$15,"D-",IF(T472&lt;'PlayerGrades+'!$AI$14,"D",IF(T472&lt;'PlayerGrades+'!$AI$13,"D+",IF(T472&lt;'PlayerGrades+'!$AI$12,"C-",IF(T472&lt;'PlayerGrades+'!$AI$11,"C",IF(T472&lt;'PlayerGrades+'!$AI$10,"C+",IF(T472&lt;'PlayerGrades+'!$AI$9,"B-",IF(T472&lt;'PlayerGrades+'!$AI$8,"B",IF(T472&lt;'PlayerGrades+'!$AI$7,"B+",IF(T472&lt;'PlayerGrades+'!$AI$6,"A-",IF(T472&lt;'PlayerGrades+'!$AI$5,"A",IF(T472&lt;'PlayerGrades+'!$AI$4,"A+",IF(T472&lt;'PlayerGrades+'!$AI$3,"S-",IF(T472&lt;'PlayerGrades+'!$AI$2,"S","S+"))))))))))))))))))))</f>
        <v>F-</v>
      </c>
      <c r="AC472" s="1392"/>
    </row>
    <row r="473">
      <c r="A473" s="1409"/>
      <c r="B473" s="611" t="str">
        <f>IF(C473&lt;'PlayerGrades+'!$Y$44,"F-",IF(C473&lt;'PlayerGrades+'!$Y$43,"F",IF(C473&lt;'PlayerGrades+'!$Y$42,"F+",IF(C473&lt;'PlayerGrades+'!$Y$41,"E-",IF(C473&lt;'PlayerGrades+'!$Y$40,"E",IF(C473&lt;'PlayerGrades+'!$Y$39,"E+",IF(C473&lt;'PlayerGrades+'!$Y$38,"D-",IF(C473&lt;'PlayerGrades+'!$Y$37,"D",IF(C473&lt;'PlayerGrades+'!$Y$36,"D+",IF(C473&lt;'PlayerGrades+'!$Y$35,"C-",IF(C473&lt;'PlayerGrades+'!$Y$34,"C",IF(C473&lt;'PlayerGrades+'!$Y$33,"C+",IF(C473&lt;'PlayerGrades+'!$Y$32,"B-",IF(C473&lt;'PlayerGrades+'!$Y$31,"B",IF(C473&lt;'PlayerGrades+'!$Y$30,"B+",IF(C473&lt;'PlayerGrades+'!$Y$29,"A-",IF(C473&lt;'PlayerGrades+'!$Y$28,"A",IF(C473&lt;'PlayerGrades+'!$Y$27,"A+",IF(C473&lt;'PlayerGrades+'!$Y$26,"S-",IF(C473&lt;'PlayerGrades+'!$Y$25,"S","S+"))))))))))))))))))))</f>
        <v>#DIV/0!</v>
      </c>
      <c r="C473" s="1378" t="str">
        <f>('PlayerGrades+'!$Y$47*(VLOOKUP(E473, 'PlayerGrades+'!$X$3:$Y$23, 2, FALSE)))+('PlayerGrades+'!$Y$48*(VLOOKUP(G473, 'PlayerGrades+'!$X$3:$Y$23, 2, FALSE)))+('PlayerGrades+'!$Y$49*(VLOOKUP(I473, 'PlayerGrades+'!$X$3:$Y$23, 2, FALSE)))+('PlayerGrades+'!$Y$50*(VLOOKUP(K473, 'PlayerGrades+'!$X$3:$Y$23, 2, FALSE)))+('PlayerGrades+'!$Y$51*(VLOOKUP(M473, 'PlayerGrades+'!$X$3:$Y$23, 2, FALSE)))+('PlayerGrades+'!$Y$52*(VLOOKUP(O473, 'PlayerGrades+'!$X$3:$Y$23, 2, FALSE)))+('PlayerGrades+'!$Y$53*(VLOOKUP(Q473, 'PlayerGrades+'!$X$3:$Y$23, 2, FALSE)))+('PlayerGrades+'!$Y$54*(VLOOKUP(S473, 'PlayerGrades+'!$X$3:$Y$23, 2, FALSE)))+('PlayerGrades+'!$Y$55*(VLOOKUP(U473, 'PlayerGrades+'!$X$3:$Y$23, 2, FALSE)))</f>
        <v>#DIV/0!</v>
      </c>
      <c r="D473" s="961" t="str">
        <f t="shared" si="1"/>
        <v>#DIV/0!</v>
      </c>
      <c r="E473" s="961" t="str">
        <f>IF(D473&lt;'PlayerGrades+'!$AA$21,"F-",IF(D473&lt;'PlayerGrades+'!$AA$20,"F",IF(D473&lt;'PlayerGrades+'!$AA$19,"F+",IF(D473&lt;'PlayerGrades+'!$AA$18,"E-",IF(D473&lt;'PlayerGrades+'!$AA$17,"E",IF(D473&lt;'PlayerGrades+'!$AA$16,"E+",IF(D473&lt;'PlayerGrades+'!$AA$15,"D-",IF(D473&lt;'PlayerGrades+'!$AA$14,"D",IF(D473&lt;'PlayerGrades+'!$AA$13,"D+",IF(D473&lt;'PlayerGrades+'!$AA$12,"C-",IF(D473&lt;'PlayerGrades+'!$AA$11,"C",IF(D473&lt;'PlayerGrades+'!$AA$10,"C+",IF(D473&lt;'PlayerGrades+'!$AA$9,"B-",IF(D473&lt;'PlayerGrades+'!$AA$8,"B",IF(D473&lt;'PlayerGrades+'!$AA$7,"B+",IF(D473&lt;'PlayerGrades+'!$AA$6,"A-",IF(D473&lt;'PlayerGrades+'!$AA$5,"A",IF(D473&lt;'PlayerGrades+'!$AA$4,"A+",IF(D473&lt;'PlayerGrades+'!$AA$3,"S-",IF(D473&lt;'PlayerGrades+'!$AA$2,"S","S+"))))))))))))))))))))</f>
        <v>#DIV/0!</v>
      </c>
      <c r="F473" s="961" t="str">
        <f t="shared" si="2"/>
        <v>#DIV/0!</v>
      </c>
      <c r="G473" s="961" t="str">
        <f>IF(F473&lt;'PlayerGrades+'!$AB$21,"F-",IF(F473&lt;'PlayerGrades+'!$AB$20,"F",IF(F473&lt;'PlayerGrades+'!$AB$19,"F+",IF(F473&lt;'PlayerGrades+'!$AB$18,"E-",IF(F473&lt;'PlayerGrades+'!$AB$17,"E",IF(F473&lt;'PlayerGrades+'!$AB$16,"E+",IF(F473&lt;'PlayerGrades+'!$AB$15,"D-",IF(F473&lt;'PlayerGrades+'!$AB$14,"D",IF(F473&lt;'PlayerGrades+'!$AB$13,"D+",IF(F473&lt;'PlayerGrades+'!$AB$12,"C-",IF(F473&lt;'PlayerGrades+'!$AB$11,"C",IF(F473&lt;'PlayerGrades+'!$AB$10,"C+",IF(F473&lt;'PlayerGrades+'!$AB$9,"B-",IF(F473&lt;'PlayerGrades+'!$AB$8,"B",IF(F473&lt;'PlayerGrades+'!$AB$7,"B+",IF(F473&lt;'PlayerGrades+'!$AB$6,"A-",IF(F473&lt;'PlayerGrades+'!$AB$5,"A",IF(F473&lt;'PlayerGrades+'!$AB$4,"A+",IF(F473&lt;'PlayerGrades+'!$AB$3,"S-",IF(F473&lt;'PlayerGrades+'!$AB$2,"S","S+"))))))))))))))))))))</f>
        <v>#DIV/0!</v>
      </c>
      <c r="H473" s="961" t="str">
        <f t="shared" si="3"/>
        <v>#DIV/0!</v>
      </c>
      <c r="I473" s="961" t="str">
        <f>IF(H473&lt;'PlayerGrades+'!$AC$21,"F-",IF(H473&lt;'PlayerGrades+'!$AC$20,"F",IF(H473&lt;'PlayerGrades+'!$AC$19,"F+",IF(H473&lt;'PlayerGrades+'!$AC$18,"E-",IF(H473&lt;'PlayerGrades+'!$AC$17,"E",IF(H473&lt;'PlayerGrades+'!$AC$16,"E+",IF(H473&lt;'PlayerGrades+'!$AC$15,"D-",IF(H473&lt;'PlayerGrades+'!$AC$14,"D",IF(H473&lt;'PlayerGrades+'!$AC$13,"D+",IF(H473&lt;'PlayerGrades+'!$AC$12,"C-",IF(H473&lt;'PlayerGrades+'!$AC$11,"C",IF(H473&lt;'PlayerGrades+'!$AC$10,"C+",IF(H473&lt;'PlayerGrades+'!$AC$9,"B-",IF(H473&lt;'PlayerGrades+'!$AC$8,"B",IF(H473&lt;'PlayerGrades+'!$AC$7,"B+",IF(H473&lt;'PlayerGrades+'!$AC$6,"A-",IF(H473&lt;'PlayerGrades+'!$AC$5,"A",IF(H473&lt;'PlayerGrades+'!$AC$4,"A+",IF(H473&lt;'PlayerGrades+'!$AC$3,"S-",IF(H473&lt;'PlayerGrades+'!$AC$2,"S","S+"))))))))))))))))))))</f>
        <v>#DIV/0!</v>
      </c>
      <c r="J473" s="961" t="str">
        <f t="shared" si="4"/>
        <v>#DIV/0!</v>
      </c>
      <c r="K473" s="961" t="str">
        <f>IF(J473&lt;'PlayerGrades+'!$AD$21,"F-",IF(J473&lt;'PlayerGrades+'!$AD$20,"F",IF(J473&lt;'PlayerGrades+'!$AD$19,"F+",IF(J473&lt;'PlayerGrades+'!$AD$18,"E-",IF(J473&lt;'PlayerGrades+'!$AD$17,"E",IF(J473&lt;'PlayerGrades+'!$AD$16,"E+",IF(J473&lt;'PlayerGrades+'!$AD$15,"D-",IF(J473&lt;'PlayerGrades+'!$AD$14,"D",IF(J473&lt;'PlayerGrades+'!$AD$13,"D+",IF(J473&lt;'PlayerGrades+'!$AD$12,"C-",IF(J473&lt;'PlayerGrades+'!$AD$11,"C",IF(J473&lt;'PlayerGrades+'!$AD$10,"C+",IF(J473&lt;'PlayerGrades+'!$AD$9,"B-",IF(J473&lt;'PlayerGrades+'!$AD$8,"B",IF(J473&lt;'PlayerGrades+'!$AD$7,"B+",IF(J473&lt;'PlayerGrades+'!$AD$6,"A-",IF(J473&lt;'PlayerGrades+'!$AD$5,"A",IF(J473&lt;'PlayerGrades+'!$AD$4,"A+",IF(J473&lt;'PlayerGrades+'!$AD$3,"S-",IF(J473&lt;'PlayerGrades+'!$AD$2,"S","S+"))))))))))))))))))))</f>
        <v>#DIV/0!</v>
      </c>
      <c r="L473" s="1176" t="str">
        <f t="shared" si="5"/>
        <v>#DIV/0!</v>
      </c>
      <c r="M473" s="992" t="str">
        <f>IF(L473&lt;'PlayerGrades+'!$AE$21,"F-",IF(L473&lt;'PlayerGrades+'!$AE$20,"F",IF(L473&lt;'PlayerGrades+'!$AE$19,"F+",IF(L473&lt;'PlayerGrades+'!$AE$18,"E-",IF(L473&lt;'PlayerGrades+'!$AE$17,"E",IF(L473&lt;'PlayerGrades+'!$AE$16,"E+",IF(L473&lt;'PlayerGrades+'!$AE$15,"D-",IF(L473&lt;'PlayerGrades+'!$AE$14,"D",IF(L473&lt;'PlayerGrades+'!$AE$13,"D+",IF(L473&lt;'PlayerGrades+'!$AE$12,"C-",IF(L473&lt;'PlayerGrades+'!$AE$11,"C",IF(L473&lt;'PlayerGrades+'!$AE$10,"C+",IF(L473&lt;'PlayerGrades+'!$AE$9,"B-",IF(L473&lt;'PlayerGrades+'!$AE$8,"B",IF(L473&lt;'PlayerGrades+'!$AE$7,"B+",IF(L473&lt;'PlayerGrades+'!$AE$6,"A-",IF(L473&lt;'PlayerGrades+'!$AE$5,"A",IF(L473&lt;'PlayerGrades+'!$AE$4,"A+",IF(L473&lt;'PlayerGrades+'!$AE$3,"S-",IF(L473&lt;'PlayerGrades+'!$AE$2,"S","S+"))))))))))))))))))))</f>
        <v>#DIV/0!</v>
      </c>
      <c r="N473" s="961" t="str">
        <f t="shared" si="6"/>
        <v>#DIV/0!</v>
      </c>
      <c r="O473" s="961" t="str">
        <f>IF(N473&lt;'PlayerGrades+'!$AF$21,"F-",IF(N473&lt;'PlayerGrades+'!$AF$20,"F",IF(N473&lt;'PlayerGrades+'!$AF$19,"F+",IF(N473&lt;'PlayerGrades+'!$AF$18,"E-",IF(N473&lt;'PlayerGrades+'!$AF$17,"E",IF(N473&lt;'PlayerGrades+'!$AF$16,"E+",IF(N473&lt;'PlayerGrades+'!$AF$15,"D-",IF(N473&lt;'PlayerGrades+'!$AF$14,"D",IF(N473&lt;'PlayerGrades+'!$AF$13,"D+",IF(N473&lt;'PlayerGrades+'!$AF$12,"C-",IF(N473&lt;'PlayerGrades+'!$AF$11,"C",IF(N473&lt;'PlayerGrades+'!$AF$10,"C+",IF(N473&lt;'PlayerGrades+'!$AF$9,"B-",IF(N473&lt;'PlayerGrades+'!$AF$8,"B",IF(N473&lt;'PlayerGrades+'!$AF$7,"B+",IF(N473&lt;'PlayerGrades+'!$AF$6,"A-",IF(N473&lt;'PlayerGrades+'!$AF$5,"A",IF(N473&lt;'PlayerGrades+'!$AF$4,"A+",IF(N473&lt;'PlayerGrades+'!$AF$3,"S-",IF(N473&lt;'PlayerGrades+'!$AF$2,"S","S+"))))))))))))))))))))</f>
        <v>#DIV/0!</v>
      </c>
      <c r="P473" s="961" t="str">
        <f t="shared" si="7"/>
        <v>#DIV/0!</v>
      </c>
      <c r="Q473" s="961" t="str">
        <f>IF(P473&lt;'PlayerGrades+'!$AG$21,"F-",IF(P473&lt;'PlayerGrades+'!$AG$20,"F",IF(P473&lt;'PlayerGrades+'!$AG$19,"F+",IF(P473&lt;'PlayerGrades+'!$AG$18,"E-",IF(P473&lt;'PlayerGrades+'!$AG$17,"E",IF(P473&lt;'PlayerGrades+'!$AG$16,"E+",IF(P473&lt;'PlayerGrades+'!$AG$15,"D-",IF(P473&lt;'PlayerGrades+'!$AG$14,"D",IF(P473&lt;'PlayerGrades+'!$AG$13,"D+",IF(P473&lt;'PlayerGrades+'!$AG$12,"C-",IF(P473&lt;'PlayerGrades+'!$AG$11,"C",IF(P473&lt;'PlayerGrades+'!$AG$10,"C+",IF(P473&lt;'PlayerGrades+'!$AG$9,"B-",IF(P473&lt;'PlayerGrades+'!$AG$8,"B",IF(P473&lt;'PlayerGrades+'!$AG$7,"B+",IF(P473&lt;'PlayerGrades+'!$AG$6,"A-",IF(P473&lt;'PlayerGrades+'!$AG$5,"A",IF(P473&lt;'PlayerGrades+'!$AG$4,"A+",IF(P473&lt;'PlayerGrades+'!$AG$3,"S-",IF(P473&lt;'PlayerGrades+'!$AG$2,"S","S+"))))))))))))))))))))</f>
        <v>#DIV/0!</v>
      </c>
      <c r="R473" s="961" t="str">
        <f t="shared" si="8"/>
        <v>#DIV/0!</v>
      </c>
      <c r="S473" s="961" t="str">
        <f>IF(R473&lt;'PlayerGrades+'!$AH$21,"F-",IF(R473&lt;'PlayerGrades+'!$AH$20,"F",IF(R473&lt;'PlayerGrades+'!$AH$19,"F+",IF(R473&lt;'PlayerGrades+'!$AH$18,"E-",IF(R473&lt;'PlayerGrades+'!$AH$17,"E",IF(R473&lt;'PlayerGrades+'!$AH$16,"E+",IF(R473&lt;'PlayerGrades+'!$AH$15,"D-",IF(R473&lt;'PlayerGrades+'!$AH$14,"D",IF(R473&lt;'PlayerGrades+'!$AH$13,"D+",IF(R473&lt;'PlayerGrades+'!$AH$12,"C-",IF(R473&lt;'PlayerGrades+'!$AH$11,"C",IF(R473&lt;'PlayerGrades+'!$AH$10,"C+",IF(R473&lt;'PlayerGrades+'!$AH$9,"B-",IF(R473&lt;'PlayerGrades+'!$AH$8,"B",IF(R473&lt;'PlayerGrades+'!$AH$7,"B+",IF(R473&lt;'PlayerGrades+'!$AH$6,"A-",IF(R473&lt;'PlayerGrades+'!$AH$5,"A",IF(R473&lt;'PlayerGrades+'!$AH$4,"A+",IF(R473&lt;'PlayerGrades+'!$AH$3,"S-",IF(R473&lt;'PlayerGrades+'!$AH$2,"S","S+"))))))))))))))))))))</f>
        <v>#DIV/0!</v>
      </c>
      <c r="T473" s="961">
        <f t="shared" si="9"/>
        <v>0</v>
      </c>
      <c r="U473" s="961" t="str">
        <f>IF(T473&lt;'PlayerGrades+'!$AI$21,"F-",IF(T473&lt;'PlayerGrades+'!$AI$20,"F",IF(T473&lt;'PlayerGrades+'!$AI$19,"F+",IF(T473&lt;'PlayerGrades+'!$AI$18,"E-",IF(T473&lt;'PlayerGrades+'!$AI$17,"E",IF(T473&lt;'PlayerGrades+'!$AI$16,"E+",IF(T473&lt;'PlayerGrades+'!$AI$15,"D-",IF(T473&lt;'PlayerGrades+'!$AI$14,"D",IF(T473&lt;'PlayerGrades+'!$AI$13,"D+",IF(T473&lt;'PlayerGrades+'!$AI$12,"C-",IF(T473&lt;'PlayerGrades+'!$AI$11,"C",IF(T473&lt;'PlayerGrades+'!$AI$10,"C+",IF(T473&lt;'PlayerGrades+'!$AI$9,"B-",IF(T473&lt;'PlayerGrades+'!$AI$8,"B",IF(T473&lt;'PlayerGrades+'!$AI$7,"B+",IF(T473&lt;'PlayerGrades+'!$AI$6,"A-",IF(T473&lt;'PlayerGrades+'!$AI$5,"A",IF(T473&lt;'PlayerGrades+'!$AI$4,"A+",IF(T473&lt;'PlayerGrades+'!$AI$3,"S-",IF(T473&lt;'PlayerGrades+'!$AI$2,"S","S+"))))))))))))))))))))</f>
        <v>F-</v>
      </c>
      <c r="V473" s="1386"/>
      <c r="W473" s="1386"/>
      <c r="X473" s="1386"/>
      <c r="Y473" s="1386"/>
      <c r="Z473" s="1386"/>
      <c r="AA473" s="1386"/>
      <c r="AB473" s="1386"/>
      <c r="AC473" s="1397"/>
      <c r="AD473" s="1386"/>
      <c r="AE473" s="1386"/>
      <c r="AF473" s="1386"/>
      <c r="AG473" s="1386"/>
      <c r="AH473" s="1386"/>
      <c r="AI473" s="1386"/>
      <c r="AJ473" s="1386"/>
      <c r="AK473" s="1386"/>
      <c r="AL473" s="1386"/>
      <c r="AM473" s="1386"/>
      <c r="AN473" s="1386"/>
      <c r="AO473" s="1386"/>
      <c r="AP473" s="1386"/>
      <c r="AQ473" s="1386"/>
      <c r="AR473" s="1386"/>
      <c r="AS473" s="1386"/>
      <c r="AT473" s="1386"/>
      <c r="AU473" s="1386"/>
      <c r="AV473" s="1386"/>
      <c r="AW473" s="1386"/>
      <c r="AX473" s="1386"/>
      <c r="AY473" s="1386"/>
      <c r="AZ473" s="1386"/>
    </row>
    <row r="474">
      <c r="A474" s="1407"/>
      <c r="B474" s="611" t="str">
        <f>IF(C474&lt;'PlayerGrades+'!$Y$44,"F-",IF(C474&lt;'PlayerGrades+'!$Y$43,"F",IF(C474&lt;'PlayerGrades+'!$Y$42,"F+",IF(C474&lt;'PlayerGrades+'!$Y$41,"E-",IF(C474&lt;'PlayerGrades+'!$Y$40,"E",IF(C474&lt;'PlayerGrades+'!$Y$39,"E+",IF(C474&lt;'PlayerGrades+'!$Y$38,"D-",IF(C474&lt;'PlayerGrades+'!$Y$37,"D",IF(C474&lt;'PlayerGrades+'!$Y$36,"D+",IF(C474&lt;'PlayerGrades+'!$Y$35,"C-",IF(C474&lt;'PlayerGrades+'!$Y$34,"C",IF(C474&lt;'PlayerGrades+'!$Y$33,"C+",IF(C474&lt;'PlayerGrades+'!$Y$32,"B-",IF(C474&lt;'PlayerGrades+'!$Y$31,"B",IF(C474&lt;'PlayerGrades+'!$Y$30,"B+",IF(C474&lt;'PlayerGrades+'!$Y$29,"A-",IF(C474&lt;'PlayerGrades+'!$Y$28,"A",IF(C474&lt;'PlayerGrades+'!$Y$27,"A+",IF(C474&lt;'PlayerGrades+'!$Y$26,"S-",IF(C474&lt;'PlayerGrades+'!$Y$25,"S","S+"))))))))))))))))))))</f>
        <v>#DIV/0!</v>
      </c>
      <c r="C474" s="1378" t="str">
        <f>('PlayerGrades+'!$Y$47*(VLOOKUP(E474, 'PlayerGrades+'!$X$3:$Y$23, 2, FALSE)))+('PlayerGrades+'!$Y$48*(VLOOKUP(G474, 'PlayerGrades+'!$X$3:$Y$23, 2, FALSE)))+('PlayerGrades+'!$Y$49*(VLOOKUP(I474, 'PlayerGrades+'!$X$3:$Y$23, 2, FALSE)))+('PlayerGrades+'!$Y$50*(VLOOKUP(K474, 'PlayerGrades+'!$X$3:$Y$23, 2, FALSE)))+('PlayerGrades+'!$Y$51*(VLOOKUP(M474, 'PlayerGrades+'!$X$3:$Y$23, 2, FALSE)))+('PlayerGrades+'!$Y$52*(VLOOKUP(O474, 'PlayerGrades+'!$X$3:$Y$23, 2, FALSE)))+('PlayerGrades+'!$Y$53*(VLOOKUP(Q474, 'PlayerGrades+'!$X$3:$Y$23, 2, FALSE)))+('PlayerGrades+'!$Y$54*(VLOOKUP(S474, 'PlayerGrades+'!$X$3:$Y$23, 2, FALSE)))+('PlayerGrades+'!$Y$55*(VLOOKUP(U474, 'PlayerGrades+'!$X$3:$Y$23, 2, FALSE)))</f>
        <v>#DIV/0!</v>
      </c>
      <c r="D474" s="961" t="str">
        <f t="shared" si="1"/>
        <v>#DIV/0!</v>
      </c>
      <c r="E474" s="961" t="str">
        <f>IF(D474&lt;'PlayerGrades+'!$AA$21,"F-",IF(D474&lt;'PlayerGrades+'!$AA$20,"F",IF(D474&lt;'PlayerGrades+'!$AA$19,"F+",IF(D474&lt;'PlayerGrades+'!$AA$18,"E-",IF(D474&lt;'PlayerGrades+'!$AA$17,"E",IF(D474&lt;'PlayerGrades+'!$AA$16,"E+",IF(D474&lt;'PlayerGrades+'!$AA$15,"D-",IF(D474&lt;'PlayerGrades+'!$AA$14,"D",IF(D474&lt;'PlayerGrades+'!$AA$13,"D+",IF(D474&lt;'PlayerGrades+'!$AA$12,"C-",IF(D474&lt;'PlayerGrades+'!$AA$11,"C",IF(D474&lt;'PlayerGrades+'!$AA$10,"C+",IF(D474&lt;'PlayerGrades+'!$AA$9,"B-",IF(D474&lt;'PlayerGrades+'!$AA$8,"B",IF(D474&lt;'PlayerGrades+'!$AA$7,"B+",IF(D474&lt;'PlayerGrades+'!$AA$6,"A-",IF(D474&lt;'PlayerGrades+'!$AA$5,"A",IF(D474&lt;'PlayerGrades+'!$AA$4,"A+",IF(D474&lt;'PlayerGrades+'!$AA$3,"S-",IF(D474&lt;'PlayerGrades+'!$AA$2,"S","S+"))))))))))))))))))))</f>
        <v>#DIV/0!</v>
      </c>
      <c r="F474" s="961" t="str">
        <f t="shared" si="2"/>
        <v>#DIV/0!</v>
      </c>
      <c r="G474" s="961" t="str">
        <f>IF(F474&lt;'PlayerGrades+'!$AB$21,"F-",IF(F474&lt;'PlayerGrades+'!$AB$20,"F",IF(F474&lt;'PlayerGrades+'!$AB$19,"F+",IF(F474&lt;'PlayerGrades+'!$AB$18,"E-",IF(F474&lt;'PlayerGrades+'!$AB$17,"E",IF(F474&lt;'PlayerGrades+'!$AB$16,"E+",IF(F474&lt;'PlayerGrades+'!$AB$15,"D-",IF(F474&lt;'PlayerGrades+'!$AB$14,"D",IF(F474&lt;'PlayerGrades+'!$AB$13,"D+",IF(F474&lt;'PlayerGrades+'!$AB$12,"C-",IF(F474&lt;'PlayerGrades+'!$AB$11,"C",IF(F474&lt;'PlayerGrades+'!$AB$10,"C+",IF(F474&lt;'PlayerGrades+'!$AB$9,"B-",IF(F474&lt;'PlayerGrades+'!$AB$8,"B",IF(F474&lt;'PlayerGrades+'!$AB$7,"B+",IF(F474&lt;'PlayerGrades+'!$AB$6,"A-",IF(F474&lt;'PlayerGrades+'!$AB$5,"A",IF(F474&lt;'PlayerGrades+'!$AB$4,"A+",IF(F474&lt;'PlayerGrades+'!$AB$3,"S-",IF(F474&lt;'PlayerGrades+'!$AB$2,"S","S+"))))))))))))))))))))</f>
        <v>#DIV/0!</v>
      </c>
      <c r="H474" s="961" t="str">
        <f t="shared" si="3"/>
        <v>#DIV/0!</v>
      </c>
      <c r="I474" s="961" t="str">
        <f>IF(H474&lt;'PlayerGrades+'!$AC$21,"F-",IF(H474&lt;'PlayerGrades+'!$AC$20,"F",IF(H474&lt;'PlayerGrades+'!$AC$19,"F+",IF(H474&lt;'PlayerGrades+'!$AC$18,"E-",IF(H474&lt;'PlayerGrades+'!$AC$17,"E",IF(H474&lt;'PlayerGrades+'!$AC$16,"E+",IF(H474&lt;'PlayerGrades+'!$AC$15,"D-",IF(H474&lt;'PlayerGrades+'!$AC$14,"D",IF(H474&lt;'PlayerGrades+'!$AC$13,"D+",IF(H474&lt;'PlayerGrades+'!$AC$12,"C-",IF(H474&lt;'PlayerGrades+'!$AC$11,"C",IF(H474&lt;'PlayerGrades+'!$AC$10,"C+",IF(H474&lt;'PlayerGrades+'!$AC$9,"B-",IF(H474&lt;'PlayerGrades+'!$AC$8,"B",IF(H474&lt;'PlayerGrades+'!$AC$7,"B+",IF(H474&lt;'PlayerGrades+'!$AC$6,"A-",IF(H474&lt;'PlayerGrades+'!$AC$5,"A",IF(H474&lt;'PlayerGrades+'!$AC$4,"A+",IF(H474&lt;'PlayerGrades+'!$AC$3,"S-",IF(H474&lt;'PlayerGrades+'!$AC$2,"S","S+"))))))))))))))))))))</f>
        <v>#DIV/0!</v>
      </c>
      <c r="J474" s="961" t="str">
        <f t="shared" si="4"/>
        <v>#DIV/0!</v>
      </c>
      <c r="K474" s="961" t="str">
        <f>IF(J474&lt;'PlayerGrades+'!$AD$21,"F-",IF(J474&lt;'PlayerGrades+'!$AD$20,"F",IF(J474&lt;'PlayerGrades+'!$AD$19,"F+",IF(J474&lt;'PlayerGrades+'!$AD$18,"E-",IF(J474&lt;'PlayerGrades+'!$AD$17,"E",IF(J474&lt;'PlayerGrades+'!$AD$16,"E+",IF(J474&lt;'PlayerGrades+'!$AD$15,"D-",IF(J474&lt;'PlayerGrades+'!$AD$14,"D",IF(J474&lt;'PlayerGrades+'!$AD$13,"D+",IF(J474&lt;'PlayerGrades+'!$AD$12,"C-",IF(J474&lt;'PlayerGrades+'!$AD$11,"C",IF(J474&lt;'PlayerGrades+'!$AD$10,"C+",IF(J474&lt;'PlayerGrades+'!$AD$9,"B-",IF(J474&lt;'PlayerGrades+'!$AD$8,"B",IF(J474&lt;'PlayerGrades+'!$AD$7,"B+",IF(J474&lt;'PlayerGrades+'!$AD$6,"A-",IF(J474&lt;'PlayerGrades+'!$AD$5,"A",IF(J474&lt;'PlayerGrades+'!$AD$4,"A+",IF(J474&lt;'PlayerGrades+'!$AD$3,"S-",IF(J474&lt;'PlayerGrades+'!$AD$2,"S","S+"))))))))))))))))))))</f>
        <v>#DIV/0!</v>
      </c>
      <c r="L474" s="1176" t="str">
        <f t="shared" si="5"/>
        <v>#DIV/0!</v>
      </c>
      <c r="M474" s="992" t="str">
        <f>IF(L474&lt;'PlayerGrades+'!$AE$21,"F-",IF(L474&lt;'PlayerGrades+'!$AE$20,"F",IF(L474&lt;'PlayerGrades+'!$AE$19,"F+",IF(L474&lt;'PlayerGrades+'!$AE$18,"E-",IF(L474&lt;'PlayerGrades+'!$AE$17,"E",IF(L474&lt;'PlayerGrades+'!$AE$16,"E+",IF(L474&lt;'PlayerGrades+'!$AE$15,"D-",IF(L474&lt;'PlayerGrades+'!$AE$14,"D",IF(L474&lt;'PlayerGrades+'!$AE$13,"D+",IF(L474&lt;'PlayerGrades+'!$AE$12,"C-",IF(L474&lt;'PlayerGrades+'!$AE$11,"C",IF(L474&lt;'PlayerGrades+'!$AE$10,"C+",IF(L474&lt;'PlayerGrades+'!$AE$9,"B-",IF(L474&lt;'PlayerGrades+'!$AE$8,"B",IF(L474&lt;'PlayerGrades+'!$AE$7,"B+",IF(L474&lt;'PlayerGrades+'!$AE$6,"A-",IF(L474&lt;'PlayerGrades+'!$AE$5,"A",IF(L474&lt;'PlayerGrades+'!$AE$4,"A+",IF(L474&lt;'PlayerGrades+'!$AE$3,"S-",IF(L474&lt;'PlayerGrades+'!$AE$2,"S","S+"))))))))))))))))))))</f>
        <v>#DIV/0!</v>
      </c>
      <c r="N474" s="961" t="str">
        <f t="shared" si="6"/>
        <v>#DIV/0!</v>
      </c>
      <c r="O474" s="961" t="str">
        <f>IF(N474&lt;'PlayerGrades+'!$AF$21,"F-",IF(N474&lt;'PlayerGrades+'!$AF$20,"F",IF(N474&lt;'PlayerGrades+'!$AF$19,"F+",IF(N474&lt;'PlayerGrades+'!$AF$18,"E-",IF(N474&lt;'PlayerGrades+'!$AF$17,"E",IF(N474&lt;'PlayerGrades+'!$AF$16,"E+",IF(N474&lt;'PlayerGrades+'!$AF$15,"D-",IF(N474&lt;'PlayerGrades+'!$AF$14,"D",IF(N474&lt;'PlayerGrades+'!$AF$13,"D+",IF(N474&lt;'PlayerGrades+'!$AF$12,"C-",IF(N474&lt;'PlayerGrades+'!$AF$11,"C",IF(N474&lt;'PlayerGrades+'!$AF$10,"C+",IF(N474&lt;'PlayerGrades+'!$AF$9,"B-",IF(N474&lt;'PlayerGrades+'!$AF$8,"B",IF(N474&lt;'PlayerGrades+'!$AF$7,"B+",IF(N474&lt;'PlayerGrades+'!$AF$6,"A-",IF(N474&lt;'PlayerGrades+'!$AF$5,"A",IF(N474&lt;'PlayerGrades+'!$AF$4,"A+",IF(N474&lt;'PlayerGrades+'!$AF$3,"S-",IF(N474&lt;'PlayerGrades+'!$AF$2,"S","S+"))))))))))))))))))))</f>
        <v>#DIV/0!</v>
      </c>
      <c r="P474" s="961" t="str">
        <f t="shared" si="7"/>
        <v>#DIV/0!</v>
      </c>
      <c r="Q474" s="961" t="str">
        <f>IF(P474&lt;'PlayerGrades+'!$AG$21,"F-",IF(P474&lt;'PlayerGrades+'!$AG$20,"F",IF(P474&lt;'PlayerGrades+'!$AG$19,"F+",IF(P474&lt;'PlayerGrades+'!$AG$18,"E-",IF(P474&lt;'PlayerGrades+'!$AG$17,"E",IF(P474&lt;'PlayerGrades+'!$AG$16,"E+",IF(P474&lt;'PlayerGrades+'!$AG$15,"D-",IF(P474&lt;'PlayerGrades+'!$AG$14,"D",IF(P474&lt;'PlayerGrades+'!$AG$13,"D+",IF(P474&lt;'PlayerGrades+'!$AG$12,"C-",IF(P474&lt;'PlayerGrades+'!$AG$11,"C",IF(P474&lt;'PlayerGrades+'!$AG$10,"C+",IF(P474&lt;'PlayerGrades+'!$AG$9,"B-",IF(P474&lt;'PlayerGrades+'!$AG$8,"B",IF(P474&lt;'PlayerGrades+'!$AG$7,"B+",IF(P474&lt;'PlayerGrades+'!$AG$6,"A-",IF(P474&lt;'PlayerGrades+'!$AG$5,"A",IF(P474&lt;'PlayerGrades+'!$AG$4,"A+",IF(P474&lt;'PlayerGrades+'!$AG$3,"S-",IF(P474&lt;'PlayerGrades+'!$AG$2,"S","S+"))))))))))))))))))))</f>
        <v>#DIV/0!</v>
      </c>
      <c r="R474" s="961" t="str">
        <f t="shared" si="8"/>
        <v>#DIV/0!</v>
      </c>
      <c r="S474" s="961" t="str">
        <f>IF(R474&lt;'PlayerGrades+'!$AH$21,"F-",IF(R474&lt;'PlayerGrades+'!$AH$20,"F",IF(R474&lt;'PlayerGrades+'!$AH$19,"F+",IF(R474&lt;'PlayerGrades+'!$AH$18,"E-",IF(R474&lt;'PlayerGrades+'!$AH$17,"E",IF(R474&lt;'PlayerGrades+'!$AH$16,"E+",IF(R474&lt;'PlayerGrades+'!$AH$15,"D-",IF(R474&lt;'PlayerGrades+'!$AH$14,"D",IF(R474&lt;'PlayerGrades+'!$AH$13,"D+",IF(R474&lt;'PlayerGrades+'!$AH$12,"C-",IF(R474&lt;'PlayerGrades+'!$AH$11,"C",IF(R474&lt;'PlayerGrades+'!$AH$10,"C+",IF(R474&lt;'PlayerGrades+'!$AH$9,"B-",IF(R474&lt;'PlayerGrades+'!$AH$8,"B",IF(R474&lt;'PlayerGrades+'!$AH$7,"B+",IF(R474&lt;'PlayerGrades+'!$AH$6,"A-",IF(R474&lt;'PlayerGrades+'!$AH$5,"A",IF(R474&lt;'PlayerGrades+'!$AH$4,"A+",IF(R474&lt;'PlayerGrades+'!$AH$3,"S-",IF(R474&lt;'PlayerGrades+'!$AH$2,"S","S+"))))))))))))))))))))</f>
        <v>#DIV/0!</v>
      </c>
      <c r="T474" s="961">
        <f t="shared" si="9"/>
        <v>0</v>
      </c>
      <c r="U474" s="961" t="str">
        <f>IF(T474&lt;'PlayerGrades+'!$AI$21,"F-",IF(T474&lt;'PlayerGrades+'!$AI$20,"F",IF(T474&lt;'PlayerGrades+'!$AI$19,"F+",IF(T474&lt;'PlayerGrades+'!$AI$18,"E-",IF(T474&lt;'PlayerGrades+'!$AI$17,"E",IF(T474&lt;'PlayerGrades+'!$AI$16,"E+",IF(T474&lt;'PlayerGrades+'!$AI$15,"D-",IF(T474&lt;'PlayerGrades+'!$AI$14,"D",IF(T474&lt;'PlayerGrades+'!$AI$13,"D+",IF(T474&lt;'PlayerGrades+'!$AI$12,"C-",IF(T474&lt;'PlayerGrades+'!$AI$11,"C",IF(T474&lt;'PlayerGrades+'!$AI$10,"C+",IF(T474&lt;'PlayerGrades+'!$AI$9,"B-",IF(T474&lt;'PlayerGrades+'!$AI$8,"B",IF(T474&lt;'PlayerGrades+'!$AI$7,"B+",IF(T474&lt;'PlayerGrades+'!$AI$6,"A-",IF(T474&lt;'PlayerGrades+'!$AI$5,"A",IF(T474&lt;'PlayerGrades+'!$AI$4,"A+",IF(T474&lt;'PlayerGrades+'!$AI$3,"S-",IF(T474&lt;'PlayerGrades+'!$AI$2,"S","S+"))))))))))))))))))))</f>
        <v>F-</v>
      </c>
      <c r="V474" s="1379"/>
      <c r="W474" s="1379"/>
      <c r="X474" s="1379"/>
      <c r="Y474" s="1379"/>
      <c r="Z474" s="1379"/>
      <c r="AA474" s="1379"/>
      <c r="AB474" s="1379"/>
      <c r="AC474" s="1390"/>
      <c r="AD474" s="1379"/>
      <c r="AE474" s="1379"/>
      <c r="AF474" s="1379"/>
      <c r="AG474" s="1379"/>
      <c r="AH474" s="1379"/>
      <c r="AI474" s="1379"/>
      <c r="AJ474" s="1379"/>
      <c r="AK474" s="1379"/>
      <c r="AL474" s="1379"/>
      <c r="AM474" s="1379"/>
      <c r="AN474" s="1379"/>
      <c r="AO474" s="1379"/>
      <c r="AP474" s="1379"/>
      <c r="AQ474" s="1379"/>
      <c r="AR474" s="1379"/>
      <c r="AS474" s="1379"/>
      <c r="AT474" s="1379"/>
      <c r="AU474" s="1379"/>
      <c r="AV474" s="1379"/>
      <c r="AW474" s="1379"/>
      <c r="AX474" s="1379"/>
      <c r="AY474" s="1379"/>
      <c r="AZ474" s="1379"/>
    </row>
    <row r="475">
      <c r="A475" s="1408"/>
      <c r="B475" s="611" t="str">
        <f>IF(C475&lt;'PlayerGrades+'!$Y$44,"F-",IF(C475&lt;'PlayerGrades+'!$Y$43,"F",IF(C475&lt;'PlayerGrades+'!$Y$42,"F+",IF(C475&lt;'PlayerGrades+'!$Y$41,"E-",IF(C475&lt;'PlayerGrades+'!$Y$40,"E",IF(C475&lt;'PlayerGrades+'!$Y$39,"E+",IF(C475&lt;'PlayerGrades+'!$Y$38,"D-",IF(C475&lt;'PlayerGrades+'!$Y$37,"D",IF(C475&lt;'PlayerGrades+'!$Y$36,"D+",IF(C475&lt;'PlayerGrades+'!$Y$35,"C-",IF(C475&lt;'PlayerGrades+'!$Y$34,"C",IF(C475&lt;'PlayerGrades+'!$Y$33,"C+",IF(C475&lt;'PlayerGrades+'!$Y$32,"B-",IF(C475&lt;'PlayerGrades+'!$Y$31,"B",IF(C475&lt;'PlayerGrades+'!$Y$30,"B+",IF(C475&lt;'PlayerGrades+'!$Y$29,"A-",IF(C475&lt;'PlayerGrades+'!$Y$28,"A",IF(C475&lt;'PlayerGrades+'!$Y$27,"A+",IF(C475&lt;'PlayerGrades+'!$Y$26,"S-",IF(C475&lt;'PlayerGrades+'!$Y$25,"S","S+"))))))))))))))))))))</f>
        <v>#DIV/0!</v>
      </c>
      <c r="C475" s="1378" t="str">
        <f>('PlayerGrades+'!$Y$47*(VLOOKUP(E475, 'PlayerGrades+'!$X$3:$Y$23, 2, FALSE)))+('PlayerGrades+'!$Y$48*(VLOOKUP(G475, 'PlayerGrades+'!$X$3:$Y$23, 2, FALSE)))+('PlayerGrades+'!$Y$49*(VLOOKUP(I475, 'PlayerGrades+'!$X$3:$Y$23, 2, FALSE)))+('PlayerGrades+'!$Y$50*(VLOOKUP(K475, 'PlayerGrades+'!$X$3:$Y$23, 2, FALSE)))+('PlayerGrades+'!$Y$51*(VLOOKUP(M475, 'PlayerGrades+'!$X$3:$Y$23, 2, FALSE)))+('PlayerGrades+'!$Y$52*(VLOOKUP(O475, 'PlayerGrades+'!$X$3:$Y$23, 2, FALSE)))+('PlayerGrades+'!$Y$53*(VLOOKUP(Q475, 'PlayerGrades+'!$X$3:$Y$23, 2, FALSE)))+('PlayerGrades+'!$Y$54*(VLOOKUP(S475, 'PlayerGrades+'!$X$3:$Y$23, 2, FALSE)))+('PlayerGrades+'!$Y$55*(VLOOKUP(U475, 'PlayerGrades+'!$X$3:$Y$23, 2, FALSE)))</f>
        <v>#DIV/0!</v>
      </c>
      <c r="D475" s="961" t="str">
        <f t="shared" si="1"/>
        <v>#DIV/0!</v>
      </c>
      <c r="E475" s="961" t="str">
        <f>IF(D475&lt;'PlayerGrades+'!$AA$21,"F-",IF(D475&lt;'PlayerGrades+'!$AA$20,"F",IF(D475&lt;'PlayerGrades+'!$AA$19,"F+",IF(D475&lt;'PlayerGrades+'!$AA$18,"E-",IF(D475&lt;'PlayerGrades+'!$AA$17,"E",IF(D475&lt;'PlayerGrades+'!$AA$16,"E+",IF(D475&lt;'PlayerGrades+'!$AA$15,"D-",IF(D475&lt;'PlayerGrades+'!$AA$14,"D",IF(D475&lt;'PlayerGrades+'!$AA$13,"D+",IF(D475&lt;'PlayerGrades+'!$AA$12,"C-",IF(D475&lt;'PlayerGrades+'!$AA$11,"C",IF(D475&lt;'PlayerGrades+'!$AA$10,"C+",IF(D475&lt;'PlayerGrades+'!$AA$9,"B-",IF(D475&lt;'PlayerGrades+'!$AA$8,"B",IF(D475&lt;'PlayerGrades+'!$AA$7,"B+",IF(D475&lt;'PlayerGrades+'!$AA$6,"A-",IF(D475&lt;'PlayerGrades+'!$AA$5,"A",IF(D475&lt;'PlayerGrades+'!$AA$4,"A+",IF(D475&lt;'PlayerGrades+'!$AA$3,"S-",IF(D475&lt;'PlayerGrades+'!$AA$2,"S","S+"))))))))))))))))))))</f>
        <v>#DIV/0!</v>
      </c>
      <c r="F475" s="961" t="str">
        <f t="shared" si="2"/>
        <v>#DIV/0!</v>
      </c>
      <c r="G475" s="961" t="str">
        <f>IF(F475&lt;'PlayerGrades+'!$AB$21,"F-",IF(F475&lt;'PlayerGrades+'!$AB$20,"F",IF(F475&lt;'PlayerGrades+'!$AB$19,"F+",IF(F475&lt;'PlayerGrades+'!$AB$18,"E-",IF(F475&lt;'PlayerGrades+'!$AB$17,"E",IF(F475&lt;'PlayerGrades+'!$AB$16,"E+",IF(F475&lt;'PlayerGrades+'!$AB$15,"D-",IF(F475&lt;'PlayerGrades+'!$AB$14,"D",IF(F475&lt;'PlayerGrades+'!$AB$13,"D+",IF(F475&lt;'PlayerGrades+'!$AB$12,"C-",IF(F475&lt;'PlayerGrades+'!$AB$11,"C",IF(F475&lt;'PlayerGrades+'!$AB$10,"C+",IF(F475&lt;'PlayerGrades+'!$AB$9,"B-",IF(F475&lt;'PlayerGrades+'!$AB$8,"B",IF(F475&lt;'PlayerGrades+'!$AB$7,"B+",IF(F475&lt;'PlayerGrades+'!$AB$6,"A-",IF(F475&lt;'PlayerGrades+'!$AB$5,"A",IF(F475&lt;'PlayerGrades+'!$AB$4,"A+",IF(F475&lt;'PlayerGrades+'!$AB$3,"S-",IF(F475&lt;'PlayerGrades+'!$AB$2,"S","S+"))))))))))))))))))))</f>
        <v>#DIV/0!</v>
      </c>
      <c r="H475" s="961" t="str">
        <f t="shared" si="3"/>
        <v>#DIV/0!</v>
      </c>
      <c r="I475" s="961" t="str">
        <f>IF(H475&lt;'PlayerGrades+'!$AC$21,"F-",IF(H475&lt;'PlayerGrades+'!$AC$20,"F",IF(H475&lt;'PlayerGrades+'!$AC$19,"F+",IF(H475&lt;'PlayerGrades+'!$AC$18,"E-",IF(H475&lt;'PlayerGrades+'!$AC$17,"E",IF(H475&lt;'PlayerGrades+'!$AC$16,"E+",IF(H475&lt;'PlayerGrades+'!$AC$15,"D-",IF(H475&lt;'PlayerGrades+'!$AC$14,"D",IF(H475&lt;'PlayerGrades+'!$AC$13,"D+",IF(H475&lt;'PlayerGrades+'!$AC$12,"C-",IF(H475&lt;'PlayerGrades+'!$AC$11,"C",IF(H475&lt;'PlayerGrades+'!$AC$10,"C+",IF(H475&lt;'PlayerGrades+'!$AC$9,"B-",IF(H475&lt;'PlayerGrades+'!$AC$8,"B",IF(H475&lt;'PlayerGrades+'!$AC$7,"B+",IF(H475&lt;'PlayerGrades+'!$AC$6,"A-",IF(H475&lt;'PlayerGrades+'!$AC$5,"A",IF(H475&lt;'PlayerGrades+'!$AC$4,"A+",IF(H475&lt;'PlayerGrades+'!$AC$3,"S-",IF(H475&lt;'PlayerGrades+'!$AC$2,"S","S+"))))))))))))))))))))</f>
        <v>#DIV/0!</v>
      </c>
      <c r="J475" s="961" t="str">
        <f t="shared" si="4"/>
        <v>#DIV/0!</v>
      </c>
      <c r="K475" s="961" t="str">
        <f>IF(J475&lt;'PlayerGrades+'!$AD$21,"F-",IF(J475&lt;'PlayerGrades+'!$AD$20,"F",IF(J475&lt;'PlayerGrades+'!$AD$19,"F+",IF(J475&lt;'PlayerGrades+'!$AD$18,"E-",IF(J475&lt;'PlayerGrades+'!$AD$17,"E",IF(J475&lt;'PlayerGrades+'!$AD$16,"E+",IF(J475&lt;'PlayerGrades+'!$AD$15,"D-",IF(J475&lt;'PlayerGrades+'!$AD$14,"D",IF(J475&lt;'PlayerGrades+'!$AD$13,"D+",IF(J475&lt;'PlayerGrades+'!$AD$12,"C-",IF(J475&lt;'PlayerGrades+'!$AD$11,"C",IF(J475&lt;'PlayerGrades+'!$AD$10,"C+",IF(J475&lt;'PlayerGrades+'!$AD$9,"B-",IF(J475&lt;'PlayerGrades+'!$AD$8,"B",IF(J475&lt;'PlayerGrades+'!$AD$7,"B+",IF(J475&lt;'PlayerGrades+'!$AD$6,"A-",IF(J475&lt;'PlayerGrades+'!$AD$5,"A",IF(J475&lt;'PlayerGrades+'!$AD$4,"A+",IF(J475&lt;'PlayerGrades+'!$AD$3,"S-",IF(J475&lt;'PlayerGrades+'!$AD$2,"S","S+"))))))))))))))))))))</f>
        <v>#DIV/0!</v>
      </c>
      <c r="L475" s="1176" t="str">
        <f t="shared" si="5"/>
        <v>#DIV/0!</v>
      </c>
      <c r="M475" s="992" t="str">
        <f>IF(L475&lt;'PlayerGrades+'!$AE$21,"F-",IF(L475&lt;'PlayerGrades+'!$AE$20,"F",IF(L475&lt;'PlayerGrades+'!$AE$19,"F+",IF(L475&lt;'PlayerGrades+'!$AE$18,"E-",IF(L475&lt;'PlayerGrades+'!$AE$17,"E",IF(L475&lt;'PlayerGrades+'!$AE$16,"E+",IF(L475&lt;'PlayerGrades+'!$AE$15,"D-",IF(L475&lt;'PlayerGrades+'!$AE$14,"D",IF(L475&lt;'PlayerGrades+'!$AE$13,"D+",IF(L475&lt;'PlayerGrades+'!$AE$12,"C-",IF(L475&lt;'PlayerGrades+'!$AE$11,"C",IF(L475&lt;'PlayerGrades+'!$AE$10,"C+",IF(L475&lt;'PlayerGrades+'!$AE$9,"B-",IF(L475&lt;'PlayerGrades+'!$AE$8,"B",IF(L475&lt;'PlayerGrades+'!$AE$7,"B+",IF(L475&lt;'PlayerGrades+'!$AE$6,"A-",IF(L475&lt;'PlayerGrades+'!$AE$5,"A",IF(L475&lt;'PlayerGrades+'!$AE$4,"A+",IF(L475&lt;'PlayerGrades+'!$AE$3,"S-",IF(L475&lt;'PlayerGrades+'!$AE$2,"S","S+"))))))))))))))))))))</f>
        <v>#DIV/0!</v>
      </c>
      <c r="N475" s="961" t="str">
        <f t="shared" si="6"/>
        <v>#DIV/0!</v>
      </c>
      <c r="O475" s="961" t="str">
        <f>IF(N475&lt;'PlayerGrades+'!$AF$21,"F-",IF(N475&lt;'PlayerGrades+'!$AF$20,"F",IF(N475&lt;'PlayerGrades+'!$AF$19,"F+",IF(N475&lt;'PlayerGrades+'!$AF$18,"E-",IF(N475&lt;'PlayerGrades+'!$AF$17,"E",IF(N475&lt;'PlayerGrades+'!$AF$16,"E+",IF(N475&lt;'PlayerGrades+'!$AF$15,"D-",IF(N475&lt;'PlayerGrades+'!$AF$14,"D",IF(N475&lt;'PlayerGrades+'!$AF$13,"D+",IF(N475&lt;'PlayerGrades+'!$AF$12,"C-",IF(N475&lt;'PlayerGrades+'!$AF$11,"C",IF(N475&lt;'PlayerGrades+'!$AF$10,"C+",IF(N475&lt;'PlayerGrades+'!$AF$9,"B-",IF(N475&lt;'PlayerGrades+'!$AF$8,"B",IF(N475&lt;'PlayerGrades+'!$AF$7,"B+",IF(N475&lt;'PlayerGrades+'!$AF$6,"A-",IF(N475&lt;'PlayerGrades+'!$AF$5,"A",IF(N475&lt;'PlayerGrades+'!$AF$4,"A+",IF(N475&lt;'PlayerGrades+'!$AF$3,"S-",IF(N475&lt;'PlayerGrades+'!$AF$2,"S","S+"))))))))))))))))))))</f>
        <v>#DIV/0!</v>
      </c>
      <c r="P475" s="961" t="str">
        <f t="shared" si="7"/>
        <v>#DIV/0!</v>
      </c>
      <c r="Q475" s="961" t="str">
        <f>IF(P475&lt;'PlayerGrades+'!$AG$21,"F-",IF(P475&lt;'PlayerGrades+'!$AG$20,"F",IF(P475&lt;'PlayerGrades+'!$AG$19,"F+",IF(P475&lt;'PlayerGrades+'!$AG$18,"E-",IF(P475&lt;'PlayerGrades+'!$AG$17,"E",IF(P475&lt;'PlayerGrades+'!$AG$16,"E+",IF(P475&lt;'PlayerGrades+'!$AG$15,"D-",IF(P475&lt;'PlayerGrades+'!$AG$14,"D",IF(P475&lt;'PlayerGrades+'!$AG$13,"D+",IF(P475&lt;'PlayerGrades+'!$AG$12,"C-",IF(P475&lt;'PlayerGrades+'!$AG$11,"C",IF(P475&lt;'PlayerGrades+'!$AG$10,"C+",IF(P475&lt;'PlayerGrades+'!$AG$9,"B-",IF(P475&lt;'PlayerGrades+'!$AG$8,"B",IF(P475&lt;'PlayerGrades+'!$AG$7,"B+",IF(P475&lt;'PlayerGrades+'!$AG$6,"A-",IF(P475&lt;'PlayerGrades+'!$AG$5,"A",IF(P475&lt;'PlayerGrades+'!$AG$4,"A+",IF(P475&lt;'PlayerGrades+'!$AG$3,"S-",IF(P475&lt;'PlayerGrades+'!$AG$2,"S","S+"))))))))))))))))))))</f>
        <v>#DIV/0!</v>
      </c>
      <c r="R475" s="961" t="str">
        <f t="shared" si="8"/>
        <v>#DIV/0!</v>
      </c>
      <c r="S475" s="961" t="str">
        <f>IF(R475&lt;'PlayerGrades+'!$AH$21,"F-",IF(R475&lt;'PlayerGrades+'!$AH$20,"F",IF(R475&lt;'PlayerGrades+'!$AH$19,"F+",IF(R475&lt;'PlayerGrades+'!$AH$18,"E-",IF(R475&lt;'PlayerGrades+'!$AH$17,"E",IF(R475&lt;'PlayerGrades+'!$AH$16,"E+",IF(R475&lt;'PlayerGrades+'!$AH$15,"D-",IF(R475&lt;'PlayerGrades+'!$AH$14,"D",IF(R475&lt;'PlayerGrades+'!$AH$13,"D+",IF(R475&lt;'PlayerGrades+'!$AH$12,"C-",IF(R475&lt;'PlayerGrades+'!$AH$11,"C",IF(R475&lt;'PlayerGrades+'!$AH$10,"C+",IF(R475&lt;'PlayerGrades+'!$AH$9,"B-",IF(R475&lt;'PlayerGrades+'!$AH$8,"B",IF(R475&lt;'PlayerGrades+'!$AH$7,"B+",IF(R475&lt;'PlayerGrades+'!$AH$6,"A-",IF(R475&lt;'PlayerGrades+'!$AH$5,"A",IF(R475&lt;'PlayerGrades+'!$AH$4,"A+",IF(R475&lt;'PlayerGrades+'!$AH$3,"S-",IF(R475&lt;'PlayerGrades+'!$AH$2,"S","S+"))))))))))))))))))))</f>
        <v>#DIV/0!</v>
      </c>
      <c r="T475" s="961">
        <f t="shared" si="9"/>
        <v>0</v>
      </c>
      <c r="U475" s="961" t="str">
        <f>IF(T475&lt;'PlayerGrades+'!$AI$21,"F-",IF(T475&lt;'PlayerGrades+'!$AI$20,"F",IF(T475&lt;'PlayerGrades+'!$AI$19,"F+",IF(T475&lt;'PlayerGrades+'!$AI$18,"E-",IF(T475&lt;'PlayerGrades+'!$AI$17,"E",IF(T475&lt;'PlayerGrades+'!$AI$16,"E+",IF(T475&lt;'PlayerGrades+'!$AI$15,"D-",IF(T475&lt;'PlayerGrades+'!$AI$14,"D",IF(T475&lt;'PlayerGrades+'!$AI$13,"D+",IF(T475&lt;'PlayerGrades+'!$AI$12,"C-",IF(T475&lt;'PlayerGrades+'!$AI$11,"C",IF(T475&lt;'PlayerGrades+'!$AI$10,"C+",IF(T475&lt;'PlayerGrades+'!$AI$9,"B-",IF(T475&lt;'PlayerGrades+'!$AI$8,"B",IF(T475&lt;'PlayerGrades+'!$AI$7,"B+",IF(T475&lt;'PlayerGrades+'!$AI$6,"A-",IF(T475&lt;'PlayerGrades+'!$AI$5,"A",IF(T475&lt;'PlayerGrades+'!$AI$4,"A+",IF(T475&lt;'PlayerGrades+'!$AI$3,"S-",IF(T475&lt;'PlayerGrades+'!$AI$2,"S","S+"))))))))))))))))))))</f>
        <v>F-</v>
      </c>
      <c r="AC475" s="1392"/>
    </row>
    <row r="476">
      <c r="A476" s="1408"/>
      <c r="B476" s="611" t="str">
        <f>IF(C476&lt;'PlayerGrades+'!$Y$44,"F-",IF(C476&lt;'PlayerGrades+'!$Y$43,"F",IF(C476&lt;'PlayerGrades+'!$Y$42,"F+",IF(C476&lt;'PlayerGrades+'!$Y$41,"E-",IF(C476&lt;'PlayerGrades+'!$Y$40,"E",IF(C476&lt;'PlayerGrades+'!$Y$39,"E+",IF(C476&lt;'PlayerGrades+'!$Y$38,"D-",IF(C476&lt;'PlayerGrades+'!$Y$37,"D",IF(C476&lt;'PlayerGrades+'!$Y$36,"D+",IF(C476&lt;'PlayerGrades+'!$Y$35,"C-",IF(C476&lt;'PlayerGrades+'!$Y$34,"C",IF(C476&lt;'PlayerGrades+'!$Y$33,"C+",IF(C476&lt;'PlayerGrades+'!$Y$32,"B-",IF(C476&lt;'PlayerGrades+'!$Y$31,"B",IF(C476&lt;'PlayerGrades+'!$Y$30,"B+",IF(C476&lt;'PlayerGrades+'!$Y$29,"A-",IF(C476&lt;'PlayerGrades+'!$Y$28,"A",IF(C476&lt;'PlayerGrades+'!$Y$27,"A+",IF(C476&lt;'PlayerGrades+'!$Y$26,"S-",IF(C476&lt;'PlayerGrades+'!$Y$25,"S","S+"))))))))))))))))))))</f>
        <v>#DIV/0!</v>
      </c>
      <c r="C476" s="1378" t="str">
        <f>('PlayerGrades+'!$Y$47*(VLOOKUP(E476, 'PlayerGrades+'!$X$3:$Y$23, 2, FALSE)))+('PlayerGrades+'!$Y$48*(VLOOKUP(G476, 'PlayerGrades+'!$X$3:$Y$23, 2, FALSE)))+('PlayerGrades+'!$Y$49*(VLOOKUP(I476, 'PlayerGrades+'!$X$3:$Y$23, 2, FALSE)))+('PlayerGrades+'!$Y$50*(VLOOKUP(K476, 'PlayerGrades+'!$X$3:$Y$23, 2, FALSE)))+('PlayerGrades+'!$Y$51*(VLOOKUP(M476, 'PlayerGrades+'!$X$3:$Y$23, 2, FALSE)))+('PlayerGrades+'!$Y$52*(VLOOKUP(O476, 'PlayerGrades+'!$X$3:$Y$23, 2, FALSE)))+('PlayerGrades+'!$Y$53*(VLOOKUP(Q476, 'PlayerGrades+'!$X$3:$Y$23, 2, FALSE)))+('PlayerGrades+'!$Y$54*(VLOOKUP(S476, 'PlayerGrades+'!$X$3:$Y$23, 2, FALSE)))+('PlayerGrades+'!$Y$55*(VLOOKUP(U476, 'PlayerGrades+'!$X$3:$Y$23, 2, FALSE)))</f>
        <v>#DIV/0!</v>
      </c>
      <c r="D476" s="961" t="str">
        <f t="shared" si="1"/>
        <v>#DIV/0!</v>
      </c>
      <c r="E476" s="961" t="str">
        <f>IF(D476&lt;'PlayerGrades+'!$AA$21,"F-",IF(D476&lt;'PlayerGrades+'!$AA$20,"F",IF(D476&lt;'PlayerGrades+'!$AA$19,"F+",IF(D476&lt;'PlayerGrades+'!$AA$18,"E-",IF(D476&lt;'PlayerGrades+'!$AA$17,"E",IF(D476&lt;'PlayerGrades+'!$AA$16,"E+",IF(D476&lt;'PlayerGrades+'!$AA$15,"D-",IF(D476&lt;'PlayerGrades+'!$AA$14,"D",IF(D476&lt;'PlayerGrades+'!$AA$13,"D+",IF(D476&lt;'PlayerGrades+'!$AA$12,"C-",IF(D476&lt;'PlayerGrades+'!$AA$11,"C",IF(D476&lt;'PlayerGrades+'!$AA$10,"C+",IF(D476&lt;'PlayerGrades+'!$AA$9,"B-",IF(D476&lt;'PlayerGrades+'!$AA$8,"B",IF(D476&lt;'PlayerGrades+'!$AA$7,"B+",IF(D476&lt;'PlayerGrades+'!$AA$6,"A-",IF(D476&lt;'PlayerGrades+'!$AA$5,"A",IF(D476&lt;'PlayerGrades+'!$AA$4,"A+",IF(D476&lt;'PlayerGrades+'!$AA$3,"S-",IF(D476&lt;'PlayerGrades+'!$AA$2,"S","S+"))))))))))))))))))))</f>
        <v>#DIV/0!</v>
      </c>
      <c r="F476" s="961" t="str">
        <f t="shared" si="2"/>
        <v>#DIV/0!</v>
      </c>
      <c r="G476" s="961" t="str">
        <f>IF(F476&lt;'PlayerGrades+'!$AB$21,"F-",IF(F476&lt;'PlayerGrades+'!$AB$20,"F",IF(F476&lt;'PlayerGrades+'!$AB$19,"F+",IF(F476&lt;'PlayerGrades+'!$AB$18,"E-",IF(F476&lt;'PlayerGrades+'!$AB$17,"E",IF(F476&lt;'PlayerGrades+'!$AB$16,"E+",IF(F476&lt;'PlayerGrades+'!$AB$15,"D-",IF(F476&lt;'PlayerGrades+'!$AB$14,"D",IF(F476&lt;'PlayerGrades+'!$AB$13,"D+",IF(F476&lt;'PlayerGrades+'!$AB$12,"C-",IF(F476&lt;'PlayerGrades+'!$AB$11,"C",IF(F476&lt;'PlayerGrades+'!$AB$10,"C+",IF(F476&lt;'PlayerGrades+'!$AB$9,"B-",IF(F476&lt;'PlayerGrades+'!$AB$8,"B",IF(F476&lt;'PlayerGrades+'!$AB$7,"B+",IF(F476&lt;'PlayerGrades+'!$AB$6,"A-",IF(F476&lt;'PlayerGrades+'!$AB$5,"A",IF(F476&lt;'PlayerGrades+'!$AB$4,"A+",IF(F476&lt;'PlayerGrades+'!$AB$3,"S-",IF(F476&lt;'PlayerGrades+'!$AB$2,"S","S+"))))))))))))))))))))</f>
        <v>#DIV/0!</v>
      </c>
      <c r="H476" s="961" t="str">
        <f t="shared" si="3"/>
        <v>#DIV/0!</v>
      </c>
      <c r="I476" s="961" t="str">
        <f>IF(H476&lt;'PlayerGrades+'!$AC$21,"F-",IF(H476&lt;'PlayerGrades+'!$AC$20,"F",IF(H476&lt;'PlayerGrades+'!$AC$19,"F+",IF(H476&lt;'PlayerGrades+'!$AC$18,"E-",IF(H476&lt;'PlayerGrades+'!$AC$17,"E",IF(H476&lt;'PlayerGrades+'!$AC$16,"E+",IF(H476&lt;'PlayerGrades+'!$AC$15,"D-",IF(H476&lt;'PlayerGrades+'!$AC$14,"D",IF(H476&lt;'PlayerGrades+'!$AC$13,"D+",IF(H476&lt;'PlayerGrades+'!$AC$12,"C-",IF(H476&lt;'PlayerGrades+'!$AC$11,"C",IF(H476&lt;'PlayerGrades+'!$AC$10,"C+",IF(H476&lt;'PlayerGrades+'!$AC$9,"B-",IF(H476&lt;'PlayerGrades+'!$AC$8,"B",IF(H476&lt;'PlayerGrades+'!$AC$7,"B+",IF(H476&lt;'PlayerGrades+'!$AC$6,"A-",IF(H476&lt;'PlayerGrades+'!$AC$5,"A",IF(H476&lt;'PlayerGrades+'!$AC$4,"A+",IF(H476&lt;'PlayerGrades+'!$AC$3,"S-",IF(H476&lt;'PlayerGrades+'!$AC$2,"S","S+"))))))))))))))))))))</f>
        <v>#DIV/0!</v>
      </c>
      <c r="J476" s="961" t="str">
        <f t="shared" si="4"/>
        <v>#DIV/0!</v>
      </c>
      <c r="K476" s="961" t="str">
        <f>IF(J476&lt;'PlayerGrades+'!$AD$21,"F-",IF(J476&lt;'PlayerGrades+'!$AD$20,"F",IF(J476&lt;'PlayerGrades+'!$AD$19,"F+",IF(J476&lt;'PlayerGrades+'!$AD$18,"E-",IF(J476&lt;'PlayerGrades+'!$AD$17,"E",IF(J476&lt;'PlayerGrades+'!$AD$16,"E+",IF(J476&lt;'PlayerGrades+'!$AD$15,"D-",IF(J476&lt;'PlayerGrades+'!$AD$14,"D",IF(J476&lt;'PlayerGrades+'!$AD$13,"D+",IF(J476&lt;'PlayerGrades+'!$AD$12,"C-",IF(J476&lt;'PlayerGrades+'!$AD$11,"C",IF(J476&lt;'PlayerGrades+'!$AD$10,"C+",IF(J476&lt;'PlayerGrades+'!$AD$9,"B-",IF(J476&lt;'PlayerGrades+'!$AD$8,"B",IF(J476&lt;'PlayerGrades+'!$AD$7,"B+",IF(J476&lt;'PlayerGrades+'!$AD$6,"A-",IF(J476&lt;'PlayerGrades+'!$AD$5,"A",IF(J476&lt;'PlayerGrades+'!$AD$4,"A+",IF(J476&lt;'PlayerGrades+'!$AD$3,"S-",IF(J476&lt;'PlayerGrades+'!$AD$2,"S","S+"))))))))))))))))))))</f>
        <v>#DIV/0!</v>
      </c>
      <c r="L476" s="1176" t="str">
        <f t="shared" si="5"/>
        <v>#DIV/0!</v>
      </c>
      <c r="M476" s="992" t="str">
        <f>IF(L476&lt;'PlayerGrades+'!$AE$21,"F-",IF(L476&lt;'PlayerGrades+'!$AE$20,"F",IF(L476&lt;'PlayerGrades+'!$AE$19,"F+",IF(L476&lt;'PlayerGrades+'!$AE$18,"E-",IF(L476&lt;'PlayerGrades+'!$AE$17,"E",IF(L476&lt;'PlayerGrades+'!$AE$16,"E+",IF(L476&lt;'PlayerGrades+'!$AE$15,"D-",IF(L476&lt;'PlayerGrades+'!$AE$14,"D",IF(L476&lt;'PlayerGrades+'!$AE$13,"D+",IF(L476&lt;'PlayerGrades+'!$AE$12,"C-",IF(L476&lt;'PlayerGrades+'!$AE$11,"C",IF(L476&lt;'PlayerGrades+'!$AE$10,"C+",IF(L476&lt;'PlayerGrades+'!$AE$9,"B-",IF(L476&lt;'PlayerGrades+'!$AE$8,"B",IF(L476&lt;'PlayerGrades+'!$AE$7,"B+",IF(L476&lt;'PlayerGrades+'!$AE$6,"A-",IF(L476&lt;'PlayerGrades+'!$AE$5,"A",IF(L476&lt;'PlayerGrades+'!$AE$4,"A+",IF(L476&lt;'PlayerGrades+'!$AE$3,"S-",IF(L476&lt;'PlayerGrades+'!$AE$2,"S","S+"))))))))))))))))))))</f>
        <v>#DIV/0!</v>
      </c>
      <c r="N476" s="961" t="str">
        <f t="shared" si="6"/>
        <v>#DIV/0!</v>
      </c>
      <c r="O476" s="961" t="str">
        <f>IF(N476&lt;'PlayerGrades+'!$AF$21,"F-",IF(N476&lt;'PlayerGrades+'!$AF$20,"F",IF(N476&lt;'PlayerGrades+'!$AF$19,"F+",IF(N476&lt;'PlayerGrades+'!$AF$18,"E-",IF(N476&lt;'PlayerGrades+'!$AF$17,"E",IF(N476&lt;'PlayerGrades+'!$AF$16,"E+",IF(N476&lt;'PlayerGrades+'!$AF$15,"D-",IF(N476&lt;'PlayerGrades+'!$AF$14,"D",IF(N476&lt;'PlayerGrades+'!$AF$13,"D+",IF(N476&lt;'PlayerGrades+'!$AF$12,"C-",IF(N476&lt;'PlayerGrades+'!$AF$11,"C",IF(N476&lt;'PlayerGrades+'!$AF$10,"C+",IF(N476&lt;'PlayerGrades+'!$AF$9,"B-",IF(N476&lt;'PlayerGrades+'!$AF$8,"B",IF(N476&lt;'PlayerGrades+'!$AF$7,"B+",IF(N476&lt;'PlayerGrades+'!$AF$6,"A-",IF(N476&lt;'PlayerGrades+'!$AF$5,"A",IF(N476&lt;'PlayerGrades+'!$AF$4,"A+",IF(N476&lt;'PlayerGrades+'!$AF$3,"S-",IF(N476&lt;'PlayerGrades+'!$AF$2,"S","S+"))))))))))))))))))))</f>
        <v>#DIV/0!</v>
      </c>
      <c r="P476" s="961" t="str">
        <f t="shared" si="7"/>
        <v>#DIV/0!</v>
      </c>
      <c r="Q476" s="961" t="str">
        <f>IF(P476&lt;'PlayerGrades+'!$AG$21,"F-",IF(P476&lt;'PlayerGrades+'!$AG$20,"F",IF(P476&lt;'PlayerGrades+'!$AG$19,"F+",IF(P476&lt;'PlayerGrades+'!$AG$18,"E-",IF(P476&lt;'PlayerGrades+'!$AG$17,"E",IF(P476&lt;'PlayerGrades+'!$AG$16,"E+",IF(P476&lt;'PlayerGrades+'!$AG$15,"D-",IF(P476&lt;'PlayerGrades+'!$AG$14,"D",IF(P476&lt;'PlayerGrades+'!$AG$13,"D+",IF(P476&lt;'PlayerGrades+'!$AG$12,"C-",IF(P476&lt;'PlayerGrades+'!$AG$11,"C",IF(P476&lt;'PlayerGrades+'!$AG$10,"C+",IF(P476&lt;'PlayerGrades+'!$AG$9,"B-",IF(P476&lt;'PlayerGrades+'!$AG$8,"B",IF(P476&lt;'PlayerGrades+'!$AG$7,"B+",IF(P476&lt;'PlayerGrades+'!$AG$6,"A-",IF(P476&lt;'PlayerGrades+'!$AG$5,"A",IF(P476&lt;'PlayerGrades+'!$AG$4,"A+",IF(P476&lt;'PlayerGrades+'!$AG$3,"S-",IF(P476&lt;'PlayerGrades+'!$AG$2,"S","S+"))))))))))))))))))))</f>
        <v>#DIV/0!</v>
      </c>
      <c r="R476" s="961" t="str">
        <f t="shared" si="8"/>
        <v>#DIV/0!</v>
      </c>
      <c r="S476" s="961" t="str">
        <f>IF(R476&lt;'PlayerGrades+'!$AH$21,"F-",IF(R476&lt;'PlayerGrades+'!$AH$20,"F",IF(R476&lt;'PlayerGrades+'!$AH$19,"F+",IF(R476&lt;'PlayerGrades+'!$AH$18,"E-",IF(R476&lt;'PlayerGrades+'!$AH$17,"E",IF(R476&lt;'PlayerGrades+'!$AH$16,"E+",IF(R476&lt;'PlayerGrades+'!$AH$15,"D-",IF(R476&lt;'PlayerGrades+'!$AH$14,"D",IF(R476&lt;'PlayerGrades+'!$AH$13,"D+",IF(R476&lt;'PlayerGrades+'!$AH$12,"C-",IF(R476&lt;'PlayerGrades+'!$AH$11,"C",IF(R476&lt;'PlayerGrades+'!$AH$10,"C+",IF(R476&lt;'PlayerGrades+'!$AH$9,"B-",IF(R476&lt;'PlayerGrades+'!$AH$8,"B",IF(R476&lt;'PlayerGrades+'!$AH$7,"B+",IF(R476&lt;'PlayerGrades+'!$AH$6,"A-",IF(R476&lt;'PlayerGrades+'!$AH$5,"A",IF(R476&lt;'PlayerGrades+'!$AH$4,"A+",IF(R476&lt;'PlayerGrades+'!$AH$3,"S-",IF(R476&lt;'PlayerGrades+'!$AH$2,"S","S+"))))))))))))))))))))</f>
        <v>#DIV/0!</v>
      </c>
      <c r="T476" s="961">
        <f t="shared" si="9"/>
        <v>0</v>
      </c>
      <c r="U476" s="961" t="str">
        <f>IF(T476&lt;'PlayerGrades+'!$AI$21,"F-",IF(T476&lt;'PlayerGrades+'!$AI$20,"F",IF(T476&lt;'PlayerGrades+'!$AI$19,"F+",IF(T476&lt;'PlayerGrades+'!$AI$18,"E-",IF(T476&lt;'PlayerGrades+'!$AI$17,"E",IF(T476&lt;'PlayerGrades+'!$AI$16,"E+",IF(T476&lt;'PlayerGrades+'!$AI$15,"D-",IF(T476&lt;'PlayerGrades+'!$AI$14,"D",IF(T476&lt;'PlayerGrades+'!$AI$13,"D+",IF(T476&lt;'PlayerGrades+'!$AI$12,"C-",IF(T476&lt;'PlayerGrades+'!$AI$11,"C",IF(T476&lt;'PlayerGrades+'!$AI$10,"C+",IF(T476&lt;'PlayerGrades+'!$AI$9,"B-",IF(T476&lt;'PlayerGrades+'!$AI$8,"B",IF(T476&lt;'PlayerGrades+'!$AI$7,"B+",IF(T476&lt;'PlayerGrades+'!$AI$6,"A-",IF(T476&lt;'PlayerGrades+'!$AI$5,"A",IF(T476&lt;'PlayerGrades+'!$AI$4,"A+",IF(T476&lt;'PlayerGrades+'!$AI$3,"S-",IF(T476&lt;'PlayerGrades+'!$AI$2,"S","S+"))))))))))))))))))))</f>
        <v>F-</v>
      </c>
      <c r="AC476" s="1392"/>
    </row>
    <row r="477">
      <c r="A477" s="1408"/>
      <c r="B477" s="611" t="str">
        <f>IF(C477&lt;'PlayerGrades+'!$Y$44,"F-",IF(C477&lt;'PlayerGrades+'!$Y$43,"F",IF(C477&lt;'PlayerGrades+'!$Y$42,"F+",IF(C477&lt;'PlayerGrades+'!$Y$41,"E-",IF(C477&lt;'PlayerGrades+'!$Y$40,"E",IF(C477&lt;'PlayerGrades+'!$Y$39,"E+",IF(C477&lt;'PlayerGrades+'!$Y$38,"D-",IF(C477&lt;'PlayerGrades+'!$Y$37,"D",IF(C477&lt;'PlayerGrades+'!$Y$36,"D+",IF(C477&lt;'PlayerGrades+'!$Y$35,"C-",IF(C477&lt;'PlayerGrades+'!$Y$34,"C",IF(C477&lt;'PlayerGrades+'!$Y$33,"C+",IF(C477&lt;'PlayerGrades+'!$Y$32,"B-",IF(C477&lt;'PlayerGrades+'!$Y$31,"B",IF(C477&lt;'PlayerGrades+'!$Y$30,"B+",IF(C477&lt;'PlayerGrades+'!$Y$29,"A-",IF(C477&lt;'PlayerGrades+'!$Y$28,"A",IF(C477&lt;'PlayerGrades+'!$Y$27,"A+",IF(C477&lt;'PlayerGrades+'!$Y$26,"S-",IF(C477&lt;'PlayerGrades+'!$Y$25,"S","S+"))))))))))))))))))))</f>
        <v>#DIV/0!</v>
      </c>
      <c r="C477" s="1378" t="str">
        <f>('PlayerGrades+'!$Y$47*(VLOOKUP(E477, 'PlayerGrades+'!$X$3:$Y$23, 2, FALSE)))+('PlayerGrades+'!$Y$48*(VLOOKUP(G477, 'PlayerGrades+'!$X$3:$Y$23, 2, FALSE)))+('PlayerGrades+'!$Y$49*(VLOOKUP(I477, 'PlayerGrades+'!$X$3:$Y$23, 2, FALSE)))+('PlayerGrades+'!$Y$50*(VLOOKUP(K477, 'PlayerGrades+'!$X$3:$Y$23, 2, FALSE)))+('PlayerGrades+'!$Y$51*(VLOOKUP(M477, 'PlayerGrades+'!$X$3:$Y$23, 2, FALSE)))+('PlayerGrades+'!$Y$52*(VLOOKUP(O477, 'PlayerGrades+'!$X$3:$Y$23, 2, FALSE)))+('PlayerGrades+'!$Y$53*(VLOOKUP(Q477, 'PlayerGrades+'!$X$3:$Y$23, 2, FALSE)))+('PlayerGrades+'!$Y$54*(VLOOKUP(S477, 'PlayerGrades+'!$X$3:$Y$23, 2, FALSE)))+('PlayerGrades+'!$Y$55*(VLOOKUP(U477, 'PlayerGrades+'!$X$3:$Y$23, 2, FALSE)))</f>
        <v>#DIV/0!</v>
      </c>
      <c r="D477" s="961" t="str">
        <f t="shared" si="1"/>
        <v>#DIV/0!</v>
      </c>
      <c r="E477" s="961" t="str">
        <f>IF(D477&lt;'PlayerGrades+'!$AA$21,"F-",IF(D477&lt;'PlayerGrades+'!$AA$20,"F",IF(D477&lt;'PlayerGrades+'!$AA$19,"F+",IF(D477&lt;'PlayerGrades+'!$AA$18,"E-",IF(D477&lt;'PlayerGrades+'!$AA$17,"E",IF(D477&lt;'PlayerGrades+'!$AA$16,"E+",IF(D477&lt;'PlayerGrades+'!$AA$15,"D-",IF(D477&lt;'PlayerGrades+'!$AA$14,"D",IF(D477&lt;'PlayerGrades+'!$AA$13,"D+",IF(D477&lt;'PlayerGrades+'!$AA$12,"C-",IF(D477&lt;'PlayerGrades+'!$AA$11,"C",IF(D477&lt;'PlayerGrades+'!$AA$10,"C+",IF(D477&lt;'PlayerGrades+'!$AA$9,"B-",IF(D477&lt;'PlayerGrades+'!$AA$8,"B",IF(D477&lt;'PlayerGrades+'!$AA$7,"B+",IF(D477&lt;'PlayerGrades+'!$AA$6,"A-",IF(D477&lt;'PlayerGrades+'!$AA$5,"A",IF(D477&lt;'PlayerGrades+'!$AA$4,"A+",IF(D477&lt;'PlayerGrades+'!$AA$3,"S-",IF(D477&lt;'PlayerGrades+'!$AA$2,"S","S+"))))))))))))))))))))</f>
        <v>#DIV/0!</v>
      </c>
      <c r="F477" s="961" t="str">
        <f t="shared" si="2"/>
        <v>#DIV/0!</v>
      </c>
      <c r="G477" s="961" t="str">
        <f>IF(F477&lt;'PlayerGrades+'!$AB$21,"F-",IF(F477&lt;'PlayerGrades+'!$AB$20,"F",IF(F477&lt;'PlayerGrades+'!$AB$19,"F+",IF(F477&lt;'PlayerGrades+'!$AB$18,"E-",IF(F477&lt;'PlayerGrades+'!$AB$17,"E",IF(F477&lt;'PlayerGrades+'!$AB$16,"E+",IF(F477&lt;'PlayerGrades+'!$AB$15,"D-",IF(F477&lt;'PlayerGrades+'!$AB$14,"D",IF(F477&lt;'PlayerGrades+'!$AB$13,"D+",IF(F477&lt;'PlayerGrades+'!$AB$12,"C-",IF(F477&lt;'PlayerGrades+'!$AB$11,"C",IF(F477&lt;'PlayerGrades+'!$AB$10,"C+",IF(F477&lt;'PlayerGrades+'!$AB$9,"B-",IF(F477&lt;'PlayerGrades+'!$AB$8,"B",IF(F477&lt;'PlayerGrades+'!$AB$7,"B+",IF(F477&lt;'PlayerGrades+'!$AB$6,"A-",IF(F477&lt;'PlayerGrades+'!$AB$5,"A",IF(F477&lt;'PlayerGrades+'!$AB$4,"A+",IF(F477&lt;'PlayerGrades+'!$AB$3,"S-",IF(F477&lt;'PlayerGrades+'!$AB$2,"S","S+"))))))))))))))))))))</f>
        <v>#DIV/0!</v>
      </c>
      <c r="H477" s="961" t="str">
        <f t="shared" si="3"/>
        <v>#DIV/0!</v>
      </c>
      <c r="I477" s="961" t="str">
        <f>IF(H477&lt;'PlayerGrades+'!$AC$21,"F-",IF(H477&lt;'PlayerGrades+'!$AC$20,"F",IF(H477&lt;'PlayerGrades+'!$AC$19,"F+",IF(H477&lt;'PlayerGrades+'!$AC$18,"E-",IF(H477&lt;'PlayerGrades+'!$AC$17,"E",IF(H477&lt;'PlayerGrades+'!$AC$16,"E+",IF(H477&lt;'PlayerGrades+'!$AC$15,"D-",IF(H477&lt;'PlayerGrades+'!$AC$14,"D",IF(H477&lt;'PlayerGrades+'!$AC$13,"D+",IF(H477&lt;'PlayerGrades+'!$AC$12,"C-",IF(H477&lt;'PlayerGrades+'!$AC$11,"C",IF(H477&lt;'PlayerGrades+'!$AC$10,"C+",IF(H477&lt;'PlayerGrades+'!$AC$9,"B-",IF(H477&lt;'PlayerGrades+'!$AC$8,"B",IF(H477&lt;'PlayerGrades+'!$AC$7,"B+",IF(H477&lt;'PlayerGrades+'!$AC$6,"A-",IF(H477&lt;'PlayerGrades+'!$AC$5,"A",IF(H477&lt;'PlayerGrades+'!$AC$4,"A+",IF(H477&lt;'PlayerGrades+'!$AC$3,"S-",IF(H477&lt;'PlayerGrades+'!$AC$2,"S","S+"))))))))))))))))))))</f>
        <v>#DIV/0!</v>
      </c>
      <c r="J477" s="961" t="str">
        <f t="shared" si="4"/>
        <v>#DIV/0!</v>
      </c>
      <c r="K477" s="961" t="str">
        <f>IF(J477&lt;'PlayerGrades+'!$AD$21,"F-",IF(J477&lt;'PlayerGrades+'!$AD$20,"F",IF(J477&lt;'PlayerGrades+'!$AD$19,"F+",IF(J477&lt;'PlayerGrades+'!$AD$18,"E-",IF(J477&lt;'PlayerGrades+'!$AD$17,"E",IF(J477&lt;'PlayerGrades+'!$AD$16,"E+",IF(J477&lt;'PlayerGrades+'!$AD$15,"D-",IF(J477&lt;'PlayerGrades+'!$AD$14,"D",IF(J477&lt;'PlayerGrades+'!$AD$13,"D+",IF(J477&lt;'PlayerGrades+'!$AD$12,"C-",IF(J477&lt;'PlayerGrades+'!$AD$11,"C",IF(J477&lt;'PlayerGrades+'!$AD$10,"C+",IF(J477&lt;'PlayerGrades+'!$AD$9,"B-",IF(J477&lt;'PlayerGrades+'!$AD$8,"B",IF(J477&lt;'PlayerGrades+'!$AD$7,"B+",IF(J477&lt;'PlayerGrades+'!$AD$6,"A-",IF(J477&lt;'PlayerGrades+'!$AD$5,"A",IF(J477&lt;'PlayerGrades+'!$AD$4,"A+",IF(J477&lt;'PlayerGrades+'!$AD$3,"S-",IF(J477&lt;'PlayerGrades+'!$AD$2,"S","S+"))))))))))))))))))))</f>
        <v>#DIV/0!</v>
      </c>
      <c r="L477" s="1176" t="str">
        <f t="shared" si="5"/>
        <v>#DIV/0!</v>
      </c>
      <c r="M477" s="992" t="str">
        <f>IF(L477&lt;'PlayerGrades+'!$AE$21,"F-",IF(L477&lt;'PlayerGrades+'!$AE$20,"F",IF(L477&lt;'PlayerGrades+'!$AE$19,"F+",IF(L477&lt;'PlayerGrades+'!$AE$18,"E-",IF(L477&lt;'PlayerGrades+'!$AE$17,"E",IF(L477&lt;'PlayerGrades+'!$AE$16,"E+",IF(L477&lt;'PlayerGrades+'!$AE$15,"D-",IF(L477&lt;'PlayerGrades+'!$AE$14,"D",IF(L477&lt;'PlayerGrades+'!$AE$13,"D+",IF(L477&lt;'PlayerGrades+'!$AE$12,"C-",IF(L477&lt;'PlayerGrades+'!$AE$11,"C",IF(L477&lt;'PlayerGrades+'!$AE$10,"C+",IF(L477&lt;'PlayerGrades+'!$AE$9,"B-",IF(L477&lt;'PlayerGrades+'!$AE$8,"B",IF(L477&lt;'PlayerGrades+'!$AE$7,"B+",IF(L477&lt;'PlayerGrades+'!$AE$6,"A-",IF(L477&lt;'PlayerGrades+'!$AE$5,"A",IF(L477&lt;'PlayerGrades+'!$AE$4,"A+",IF(L477&lt;'PlayerGrades+'!$AE$3,"S-",IF(L477&lt;'PlayerGrades+'!$AE$2,"S","S+"))))))))))))))))))))</f>
        <v>#DIV/0!</v>
      </c>
      <c r="N477" s="961" t="str">
        <f t="shared" si="6"/>
        <v>#DIV/0!</v>
      </c>
      <c r="O477" s="961" t="str">
        <f>IF(N477&lt;'PlayerGrades+'!$AF$21,"F-",IF(N477&lt;'PlayerGrades+'!$AF$20,"F",IF(N477&lt;'PlayerGrades+'!$AF$19,"F+",IF(N477&lt;'PlayerGrades+'!$AF$18,"E-",IF(N477&lt;'PlayerGrades+'!$AF$17,"E",IF(N477&lt;'PlayerGrades+'!$AF$16,"E+",IF(N477&lt;'PlayerGrades+'!$AF$15,"D-",IF(N477&lt;'PlayerGrades+'!$AF$14,"D",IF(N477&lt;'PlayerGrades+'!$AF$13,"D+",IF(N477&lt;'PlayerGrades+'!$AF$12,"C-",IF(N477&lt;'PlayerGrades+'!$AF$11,"C",IF(N477&lt;'PlayerGrades+'!$AF$10,"C+",IF(N477&lt;'PlayerGrades+'!$AF$9,"B-",IF(N477&lt;'PlayerGrades+'!$AF$8,"B",IF(N477&lt;'PlayerGrades+'!$AF$7,"B+",IF(N477&lt;'PlayerGrades+'!$AF$6,"A-",IF(N477&lt;'PlayerGrades+'!$AF$5,"A",IF(N477&lt;'PlayerGrades+'!$AF$4,"A+",IF(N477&lt;'PlayerGrades+'!$AF$3,"S-",IF(N477&lt;'PlayerGrades+'!$AF$2,"S","S+"))))))))))))))))))))</f>
        <v>#DIV/0!</v>
      </c>
      <c r="P477" s="961" t="str">
        <f t="shared" si="7"/>
        <v>#DIV/0!</v>
      </c>
      <c r="Q477" s="961" t="str">
        <f>IF(P477&lt;'PlayerGrades+'!$AG$21,"F-",IF(P477&lt;'PlayerGrades+'!$AG$20,"F",IF(P477&lt;'PlayerGrades+'!$AG$19,"F+",IF(P477&lt;'PlayerGrades+'!$AG$18,"E-",IF(P477&lt;'PlayerGrades+'!$AG$17,"E",IF(P477&lt;'PlayerGrades+'!$AG$16,"E+",IF(P477&lt;'PlayerGrades+'!$AG$15,"D-",IF(P477&lt;'PlayerGrades+'!$AG$14,"D",IF(P477&lt;'PlayerGrades+'!$AG$13,"D+",IF(P477&lt;'PlayerGrades+'!$AG$12,"C-",IF(P477&lt;'PlayerGrades+'!$AG$11,"C",IF(P477&lt;'PlayerGrades+'!$AG$10,"C+",IF(P477&lt;'PlayerGrades+'!$AG$9,"B-",IF(P477&lt;'PlayerGrades+'!$AG$8,"B",IF(P477&lt;'PlayerGrades+'!$AG$7,"B+",IF(P477&lt;'PlayerGrades+'!$AG$6,"A-",IF(P477&lt;'PlayerGrades+'!$AG$5,"A",IF(P477&lt;'PlayerGrades+'!$AG$4,"A+",IF(P477&lt;'PlayerGrades+'!$AG$3,"S-",IF(P477&lt;'PlayerGrades+'!$AG$2,"S","S+"))))))))))))))))))))</f>
        <v>#DIV/0!</v>
      </c>
      <c r="R477" s="961" t="str">
        <f t="shared" si="8"/>
        <v>#DIV/0!</v>
      </c>
      <c r="S477" s="961" t="str">
        <f>IF(R477&lt;'PlayerGrades+'!$AH$21,"F-",IF(R477&lt;'PlayerGrades+'!$AH$20,"F",IF(R477&lt;'PlayerGrades+'!$AH$19,"F+",IF(R477&lt;'PlayerGrades+'!$AH$18,"E-",IF(R477&lt;'PlayerGrades+'!$AH$17,"E",IF(R477&lt;'PlayerGrades+'!$AH$16,"E+",IF(R477&lt;'PlayerGrades+'!$AH$15,"D-",IF(R477&lt;'PlayerGrades+'!$AH$14,"D",IF(R477&lt;'PlayerGrades+'!$AH$13,"D+",IF(R477&lt;'PlayerGrades+'!$AH$12,"C-",IF(R477&lt;'PlayerGrades+'!$AH$11,"C",IF(R477&lt;'PlayerGrades+'!$AH$10,"C+",IF(R477&lt;'PlayerGrades+'!$AH$9,"B-",IF(R477&lt;'PlayerGrades+'!$AH$8,"B",IF(R477&lt;'PlayerGrades+'!$AH$7,"B+",IF(R477&lt;'PlayerGrades+'!$AH$6,"A-",IF(R477&lt;'PlayerGrades+'!$AH$5,"A",IF(R477&lt;'PlayerGrades+'!$AH$4,"A+",IF(R477&lt;'PlayerGrades+'!$AH$3,"S-",IF(R477&lt;'PlayerGrades+'!$AH$2,"S","S+"))))))))))))))))))))</f>
        <v>#DIV/0!</v>
      </c>
      <c r="T477" s="961">
        <f t="shared" si="9"/>
        <v>0</v>
      </c>
      <c r="U477" s="961" t="str">
        <f>IF(T477&lt;'PlayerGrades+'!$AI$21,"F-",IF(T477&lt;'PlayerGrades+'!$AI$20,"F",IF(T477&lt;'PlayerGrades+'!$AI$19,"F+",IF(T477&lt;'PlayerGrades+'!$AI$18,"E-",IF(T477&lt;'PlayerGrades+'!$AI$17,"E",IF(T477&lt;'PlayerGrades+'!$AI$16,"E+",IF(T477&lt;'PlayerGrades+'!$AI$15,"D-",IF(T477&lt;'PlayerGrades+'!$AI$14,"D",IF(T477&lt;'PlayerGrades+'!$AI$13,"D+",IF(T477&lt;'PlayerGrades+'!$AI$12,"C-",IF(T477&lt;'PlayerGrades+'!$AI$11,"C",IF(T477&lt;'PlayerGrades+'!$AI$10,"C+",IF(T477&lt;'PlayerGrades+'!$AI$9,"B-",IF(T477&lt;'PlayerGrades+'!$AI$8,"B",IF(T477&lt;'PlayerGrades+'!$AI$7,"B+",IF(T477&lt;'PlayerGrades+'!$AI$6,"A-",IF(T477&lt;'PlayerGrades+'!$AI$5,"A",IF(T477&lt;'PlayerGrades+'!$AI$4,"A+",IF(T477&lt;'PlayerGrades+'!$AI$3,"S-",IF(T477&lt;'PlayerGrades+'!$AI$2,"S","S+"))))))))))))))))))))</f>
        <v>F-</v>
      </c>
      <c r="AC477" s="1392"/>
    </row>
    <row r="478">
      <c r="A478" s="1408"/>
      <c r="B478" s="611" t="str">
        <f>IF(C478&lt;'PlayerGrades+'!$Y$44,"F-",IF(C478&lt;'PlayerGrades+'!$Y$43,"F",IF(C478&lt;'PlayerGrades+'!$Y$42,"F+",IF(C478&lt;'PlayerGrades+'!$Y$41,"E-",IF(C478&lt;'PlayerGrades+'!$Y$40,"E",IF(C478&lt;'PlayerGrades+'!$Y$39,"E+",IF(C478&lt;'PlayerGrades+'!$Y$38,"D-",IF(C478&lt;'PlayerGrades+'!$Y$37,"D",IF(C478&lt;'PlayerGrades+'!$Y$36,"D+",IF(C478&lt;'PlayerGrades+'!$Y$35,"C-",IF(C478&lt;'PlayerGrades+'!$Y$34,"C",IF(C478&lt;'PlayerGrades+'!$Y$33,"C+",IF(C478&lt;'PlayerGrades+'!$Y$32,"B-",IF(C478&lt;'PlayerGrades+'!$Y$31,"B",IF(C478&lt;'PlayerGrades+'!$Y$30,"B+",IF(C478&lt;'PlayerGrades+'!$Y$29,"A-",IF(C478&lt;'PlayerGrades+'!$Y$28,"A",IF(C478&lt;'PlayerGrades+'!$Y$27,"A+",IF(C478&lt;'PlayerGrades+'!$Y$26,"S-",IF(C478&lt;'PlayerGrades+'!$Y$25,"S","S+"))))))))))))))))))))</f>
        <v>#DIV/0!</v>
      </c>
      <c r="C478" s="1378" t="str">
        <f>('PlayerGrades+'!$Y$47*(VLOOKUP(E478, 'PlayerGrades+'!$X$3:$Y$23, 2, FALSE)))+('PlayerGrades+'!$Y$48*(VLOOKUP(G478, 'PlayerGrades+'!$X$3:$Y$23, 2, FALSE)))+('PlayerGrades+'!$Y$49*(VLOOKUP(I478, 'PlayerGrades+'!$X$3:$Y$23, 2, FALSE)))+('PlayerGrades+'!$Y$50*(VLOOKUP(K478, 'PlayerGrades+'!$X$3:$Y$23, 2, FALSE)))+('PlayerGrades+'!$Y$51*(VLOOKUP(M478, 'PlayerGrades+'!$X$3:$Y$23, 2, FALSE)))+('PlayerGrades+'!$Y$52*(VLOOKUP(O478, 'PlayerGrades+'!$X$3:$Y$23, 2, FALSE)))+('PlayerGrades+'!$Y$53*(VLOOKUP(Q478, 'PlayerGrades+'!$X$3:$Y$23, 2, FALSE)))+('PlayerGrades+'!$Y$54*(VLOOKUP(S478, 'PlayerGrades+'!$X$3:$Y$23, 2, FALSE)))+('PlayerGrades+'!$Y$55*(VLOOKUP(U478, 'PlayerGrades+'!$X$3:$Y$23, 2, FALSE)))</f>
        <v>#DIV/0!</v>
      </c>
      <c r="D478" s="961" t="str">
        <f t="shared" si="1"/>
        <v>#DIV/0!</v>
      </c>
      <c r="E478" s="961" t="str">
        <f>IF(D478&lt;'PlayerGrades+'!$AA$21,"F-",IF(D478&lt;'PlayerGrades+'!$AA$20,"F",IF(D478&lt;'PlayerGrades+'!$AA$19,"F+",IF(D478&lt;'PlayerGrades+'!$AA$18,"E-",IF(D478&lt;'PlayerGrades+'!$AA$17,"E",IF(D478&lt;'PlayerGrades+'!$AA$16,"E+",IF(D478&lt;'PlayerGrades+'!$AA$15,"D-",IF(D478&lt;'PlayerGrades+'!$AA$14,"D",IF(D478&lt;'PlayerGrades+'!$AA$13,"D+",IF(D478&lt;'PlayerGrades+'!$AA$12,"C-",IF(D478&lt;'PlayerGrades+'!$AA$11,"C",IF(D478&lt;'PlayerGrades+'!$AA$10,"C+",IF(D478&lt;'PlayerGrades+'!$AA$9,"B-",IF(D478&lt;'PlayerGrades+'!$AA$8,"B",IF(D478&lt;'PlayerGrades+'!$AA$7,"B+",IF(D478&lt;'PlayerGrades+'!$AA$6,"A-",IF(D478&lt;'PlayerGrades+'!$AA$5,"A",IF(D478&lt;'PlayerGrades+'!$AA$4,"A+",IF(D478&lt;'PlayerGrades+'!$AA$3,"S-",IF(D478&lt;'PlayerGrades+'!$AA$2,"S","S+"))))))))))))))))))))</f>
        <v>#DIV/0!</v>
      </c>
      <c r="F478" s="961" t="str">
        <f t="shared" si="2"/>
        <v>#DIV/0!</v>
      </c>
      <c r="G478" s="961" t="str">
        <f>IF(F478&lt;'PlayerGrades+'!$AB$21,"F-",IF(F478&lt;'PlayerGrades+'!$AB$20,"F",IF(F478&lt;'PlayerGrades+'!$AB$19,"F+",IF(F478&lt;'PlayerGrades+'!$AB$18,"E-",IF(F478&lt;'PlayerGrades+'!$AB$17,"E",IF(F478&lt;'PlayerGrades+'!$AB$16,"E+",IF(F478&lt;'PlayerGrades+'!$AB$15,"D-",IF(F478&lt;'PlayerGrades+'!$AB$14,"D",IF(F478&lt;'PlayerGrades+'!$AB$13,"D+",IF(F478&lt;'PlayerGrades+'!$AB$12,"C-",IF(F478&lt;'PlayerGrades+'!$AB$11,"C",IF(F478&lt;'PlayerGrades+'!$AB$10,"C+",IF(F478&lt;'PlayerGrades+'!$AB$9,"B-",IF(F478&lt;'PlayerGrades+'!$AB$8,"B",IF(F478&lt;'PlayerGrades+'!$AB$7,"B+",IF(F478&lt;'PlayerGrades+'!$AB$6,"A-",IF(F478&lt;'PlayerGrades+'!$AB$5,"A",IF(F478&lt;'PlayerGrades+'!$AB$4,"A+",IF(F478&lt;'PlayerGrades+'!$AB$3,"S-",IF(F478&lt;'PlayerGrades+'!$AB$2,"S","S+"))))))))))))))))))))</f>
        <v>#DIV/0!</v>
      </c>
      <c r="H478" s="961" t="str">
        <f t="shared" si="3"/>
        <v>#DIV/0!</v>
      </c>
      <c r="I478" s="961" t="str">
        <f>IF(H478&lt;'PlayerGrades+'!$AC$21,"F-",IF(H478&lt;'PlayerGrades+'!$AC$20,"F",IF(H478&lt;'PlayerGrades+'!$AC$19,"F+",IF(H478&lt;'PlayerGrades+'!$AC$18,"E-",IF(H478&lt;'PlayerGrades+'!$AC$17,"E",IF(H478&lt;'PlayerGrades+'!$AC$16,"E+",IF(H478&lt;'PlayerGrades+'!$AC$15,"D-",IF(H478&lt;'PlayerGrades+'!$AC$14,"D",IF(H478&lt;'PlayerGrades+'!$AC$13,"D+",IF(H478&lt;'PlayerGrades+'!$AC$12,"C-",IF(H478&lt;'PlayerGrades+'!$AC$11,"C",IF(H478&lt;'PlayerGrades+'!$AC$10,"C+",IF(H478&lt;'PlayerGrades+'!$AC$9,"B-",IF(H478&lt;'PlayerGrades+'!$AC$8,"B",IF(H478&lt;'PlayerGrades+'!$AC$7,"B+",IF(H478&lt;'PlayerGrades+'!$AC$6,"A-",IF(H478&lt;'PlayerGrades+'!$AC$5,"A",IF(H478&lt;'PlayerGrades+'!$AC$4,"A+",IF(H478&lt;'PlayerGrades+'!$AC$3,"S-",IF(H478&lt;'PlayerGrades+'!$AC$2,"S","S+"))))))))))))))))))))</f>
        <v>#DIV/0!</v>
      </c>
      <c r="J478" s="961" t="str">
        <f t="shared" si="4"/>
        <v>#DIV/0!</v>
      </c>
      <c r="K478" s="961" t="str">
        <f>IF(J478&lt;'PlayerGrades+'!$AD$21,"F-",IF(J478&lt;'PlayerGrades+'!$AD$20,"F",IF(J478&lt;'PlayerGrades+'!$AD$19,"F+",IF(J478&lt;'PlayerGrades+'!$AD$18,"E-",IF(J478&lt;'PlayerGrades+'!$AD$17,"E",IF(J478&lt;'PlayerGrades+'!$AD$16,"E+",IF(J478&lt;'PlayerGrades+'!$AD$15,"D-",IF(J478&lt;'PlayerGrades+'!$AD$14,"D",IF(J478&lt;'PlayerGrades+'!$AD$13,"D+",IF(J478&lt;'PlayerGrades+'!$AD$12,"C-",IF(J478&lt;'PlayerGrades+'!$AD$11,"C",IF(J478&lt;'PlayerGrades+'!$AD$10,"C+",IF(J478&lt;'PlayerGrades+'!$AD$9,"B-",IF(J478&lt;'PlayerGrades+'!$AD$8,"B",IF(J478&lt;'PlayerGrades+'!$AD$7,"B+",IF(J478&lt;'PlayerGrades+'!$AD$6,"A-",IF(J478&lt;'PlayerGrades+'!$AD$5,"A",IF(J478&lt;'PlayerGrades+'!$AD$4,"A+",IF(J478&lt;'PlayerGrades+'!$AD$3,"S-",IF(J478&lt;'PlayerGrades+'!$AD$2,"S","S+"))))))))))))))))))))</f>
        <v>#DIV/0!</v>
      </c>
      <c r="L478" s="1176" t="str">
        <f t="shared" si="5"/>
        <v>#DIV/0!</v>
      </c>
      <c r="M478" s="992" t="str">
        <f>IF(L478&lt;'PlayerGrades+'!$AE$21,"F-",IF(L478&lt;'PlayerGrades+'!$AE$20,"F",IF(L478&lt;'PlayerGrades+'!$AE$19,"F+",IF(L478&lt;'PlayerGrades+'!$AE$18,"E-",IF(L478&lt;'PlayerGrades+'!$AE$17,"E",IF(L478&lt;'PlayerGrades+'!$AE$16,"E+",IF(L478&lt;'PlayerGrades+'!$AE$15,"D-",IF(L478&lt;'PlayerGrades+'!$AE$14,"D",IF(L478&lt;'PlayerGrades+'!$AE$13,"D+",IF(L478&lt;'PlayerGrades+'!$AE$12,"C-",IF(L478&lt;'PlayerGrades+'!$AE$11,"C",IF(L478&lt;'PlayerGrades+'!$AE$10,"C+",IF(L478&lt;'PlayerGrades+'!$AE$9,"B-",IF(L478&lt;'PlayerGrades+'!$AE$8,"B",IF(L478&lt;'PlayerGrades+'!$AE$7,"B+",IF(L478&lt;'PlayerGrades+'!$AE$6,"A-",IF(L478&lt;'PlayerGrades+'!$AE$5,"A",IF(L478&lt;'PlayerGrades+'!$AE$4,"A+",IF(L478&lt;'PlayerGrades+'!$AE$3,"S-",IF(L478&lt;'PlayerGrades+'!$AE$2,"S","S+"))))))))))))))))))))</f>
        <v>#DIV/0!</v>
      </c>
      <c r="N478" s="961" t="str">
        <f t="shared" si="6"/>
        <v>#DIV/0!</v>
      </c>
      <c r="O478" s="961" t="str">
        <f>IF(N478&lt;'PlayerGrades+'!$AF$21,"F-",IF(N478&lt;'PlayerGrades+'!$AF$20,"F",IF(N478&lt;'PlayerGrades+'!$AF$19,"F+",IF(N478&lt;'PlayerGrades+'!$AF$18,"E-",IF(N478&lt;'PlayerGrades+'!$AF$17,"E",IF(N478&lt;'PlayerGrades+'!$AF$16,"E+",IF(N478&lt;'PlayerGrades+'!$AF$15,"D-",IF(N478&lt;'PlayerGrades+'!$AF$14,"D",IF(N478&lt;'PlayerGrades+'!$AF$13,"D+",IF(N478&lt;'PlayerGrades+'!$AF$12,"C-",IF(N478&lt;'PlayerGrades+'!$AF$11,"C",IF(N478&lt;'PlayerGrades+'!$AF$10,"C+",IF(N478&lt;'PlayerGrades+'!$AF$9,"B-",IF(N478&lt;'PlayerGrades+'!$AF$8,"B",IF(N478&lt;'PlayerGrades+'!$AF$7,"B+",IF(N478&lt;'PlayerGrades+'!$AF$6,"A-",IF(N478&lt;'PlayerGrades+'!$AF$5,"A",IF(N478&lt;'PlayerGrades+'!$AF$4,"A+",IF(N478&lt;'PlayerGrades+'!$AF$3,"S-",IF(N478&lt;'PlayerGrades+'!$AF$2,"S","S+"))))))))))))))))))))</f>
        <v>#DIV/0!</v>
      </c>
      <c r="P478" s="961" t="str">
        <f t="shared" si="7"/>
        <v>#DIV/0!</v>
      </c>
      <c r="Q478" s="961" t="str">
        <f>IF(P478&lt;'PlayerGrades+'!$AG$21,"F-",IF(P478&lt;'PlayerGrades+'!$AG$20,"F",IF(P478&lt;'PlayerGrades+'!$AG$19,"F+",IF(P478&lt;'PlayerGrades+'!$AG$18,"E-",IF(P478&lt;'PlayerGrades+'!$AG$17,"E",IF(P478&lt;'PlayerGrades+'!$AG$16,"E+",IF(P478&lt;'PlayerGrades+'!$AG$15,"D-",IF(P478&lt;'PlayerGrades+'!$AG$14,"D",IF(P478&lt;'PlayerGrades+'!$AG$13,"D+",IF(P478&lt;'PlayerGrades+'!$AG$12,"C-",IF(P478&lt;'PlayerGrades+'!$AG$11,"C",IF(P478&lt;'PlayerGrades+'!$AG$10,"C+",IF(P478&lt;'PlayerGrades+'!$AG$9,"B-",IF(P478&lt;'PlayerGrades+'!$AG$8,"B",IF(P478&lt;'PlayerGrades+'!$AG$7,"B+",IF(P478&lt;'PlayerGrades+'!$AG$6,"A-",IF(P478&lt;'PlayerGrades+'!$AG$5,"A",IF(P478&lt;'PlayerGrades+'!$AG$4,"A+",IF(P478&lt;'PlayerGrades+'!$AG$3,"S-",IF(P478&lt;'PlayerGrades+'!$AG$2,"S","S+"))))))))))))))))))))</f>
        <v>#DIV/0!</v>
      </c>
      <c r="R478" s="961" t="str">
        <f t="shared" si="8"/>
        <v>#DIV/0!</v>
      </c>
      <c r="S478" s="961" t="str">
        <f>IF(R478&lt;'PlayerGrades+'!$AH$21,"F-",IF(R478&lt;'PlayerGrades+'!$AH$20,"F",IF(R478&lt;'PlayerGrades+'!$AH$19,"F+",IF(R478&lt;'PlayerGrades+'!$AH$18,"E-",IF(R478&lt;'PlayerGrades+'!$AH$17,"E",IF(R478&lt;'PlayerGrades+'!$AH$16,"E+",IF(R478&lt;'PlayerGrades+'!$AH$15,"D-",IF(R478&lt;'PlayerGrades+'!$AH$14,"D",IF(R478&lt;'PlayerGrades+'!$AH$13,"D+",IF(R478&lt;'PlayerGrades+'!$AH$12,"C-",IF(R478&lt;'PlayerGrades+'!$AH$11,"C",IF(R478&lt;'PlayerGrades+'!$AH$10,"C+",IF(R478&lt;'PlayerGrades+'!$AH$9,"B-",IF(R478&lt;'PlayerGrades+'!$AH$8,"B",IF(R478&lt;'PlayerGrades+'!$AH$7,"B+",IF(R478&lt;'PlayerGrades+'!$AH$6,"A-",IF(R478&lt;'PlayerGrades+'!$AH$5,"A",IF(R478&lt;'PlayerGrades+'!$AH$4,"A+",IF(R478&lt;'PlayerGrades+'!$AH$3,"S-",IF(R478&lt;'PlayerGrades+'!$AH$2,"S","S+"))))))))))))))))))))</f>
        <v>#DIV/0!</v>
      </c>
      <c r="T478" s="961">
        <f t="shared" si="9"/>
        <v>0</v>
      </c>
      <c r="U478" s="961" t="str">
        <f>IF(T478&lt;'PlayerGrades+'!$AI$21,"F-",IF(T478&lt;'PlayerGrades+'!$AI$20,"F",IF(T478&lt;'PlayerGrades+'!$AI$19,"F+",IF(T478&lt;'PlayerGrades+'!$AI$18,"E-",IF(T478&lt;'PlayerGrades+'!$AI$17,"E",IF(T478&lt;'PlayerGrades+'!$AI$16,"E+",IF(T478&lt;'PlayerGrades+'!$AI$15,"D-",IF(T478&lt;'PlayerGrades+'!$AI$14,"D",IF(T478&lt;'PlayerGrades+'!$AI$13,"D+",IF(T478&lt;'PlayerGrades+'!$AI$12,"C-",IF(T478&lt;'PlayerGrades+'!$AI$11,"C",IF(T478&lt;'PlayerGrades+'!$AI$10,"C+",IF(T478&lt;'PlayerGrades+'!$AI$9,"B-",IF(T478&lt;'PlayerGrades+'!$AI$8,"B",IF(T478&lt;'PlayerGrades+'!$AI$7,"B+",IF(T478&lt;'PlayerGrades+'!$AI$6,"A-",IF(T478&lt;'PlayerGrades+'!$AI$5,"A",IF(T478&lt;'PlayerGrades+'!$AI$4,"A+",IF(T478&lt;'PlayerGrades+'!$AI$3,"S-",IF(T478&lt;'PlayerGrades+'!$AI$2,"S","S+"))))))))))))))))))))</f>
        <v>F-</v>
      </c>
      <c r="AC478" s="1392"/>
    </row>
    <row r="479">
      <c r="A479" s="1408"/>
      <c r="B479" s="611" t="str">
        <f>IF(C479&lt;'PlayerGrades+'!$Y$44,"F-",IF(C479&lt;'PlayerGrades+'!$Y$43,"F",IF(C479&lt;'PlayerGrades+'!$Y$42,"F+",IF(C479&lt;'PlayerGrades+'!$Y$41,"E-",IF(C479&lt;'PlayerGrades+'!$Y$40,"E",IF(C479&lt;'PlayerGrades+'!$Y$39,"E+",IF(C479&lt;'PlayerGrades+'!$Y$38,"D-",IF(C479&lt;'PlayerGrades+'!$Y$37,"D",IF(C479&lt;'PlayerGrades+'!$Y$36,"D+",IF(C479&lt;'PlayerGrades+'!$Y$35,"C-",IF(C479&lt;'PlayerGrades+'!$Y$34,"C",IF(C479&lt;'PlayerGrades+'!$Y$33,"C+",IF(C479&lt;'PlayerGrades+'!$Y$32,"B-",IF(C479&lt;'PlayerGrades+'!$Y$31,"B",IF(C479&lt;'PlayerGrades+'!$Y$30,"B+",IF(C479&lt;'PlayerGrades+'!$Y$29,"A-",IF(C479&lt;'PlayerGrades+'!$Y$28,"A",IF(C479&lt;'PlayerGrades+'!$Y$27,"A+",IF(C479&lt;'PlayerGrades+'!$Y$26,"S-",IF(C479&lt;'PlayerGrades+'!$Y$25,"S","S+"))))))))))))))))))))</f>
        <v>#DIV/0!</v>
      </c>
      <c r="C479" s="1378" t="str">
        <f>('PlayerGrades+'!$Y$47*(VLOOKUP(E479, 'PlayerGrades+'!$X$3:$Y$23, 2, FALSE)))+('PlayerGrades+'!$Y$48*(VLOOKUP(G479, 'PlayerGrades+'!$X$3:$Y$23, 2, FALSE)))+('PlayerGrades+'!$Y$49*(VLOOKUP(I479, 'PlayerGrades+'!$X$3:$Y$23, 2, FALSE)))+('PlayerGrades+'!$Y$50*(VLOOKUP(K479, 'PlayerGrades+'!$X$3:$Y$23, 2, FALSE)))+('PlayerGrades+'!$Y$51*(VLOOKUP(M479, 'PlayerGrades+'!$X$3:$Y$23, 2, FALSE)))+('PlayerGrades+'!$Y$52*(VLOOKUP(O479, 'PlayerGrades+'!$X$3:$Y$23, 2, FALSE)))+('PlayerGrades+'!$Y$53*(VLOOKUP(Q479, 'PlayerGrades+'!$X$3:$Y$23, 2, FALSE)))+('PlayerGrades+'!$Y$54*(VLOOKUP(S479, 'PlayerGrades+'!$X$3:$Y$23, 2, FALSE)))+('PlayerGrades+'!$Y$55*(VLOOKUP(U479, 'PlayerGrades+'!$X$3:$Y$23, 2, FALSE)))</f>
        <v>#DIV/0!</v>
      </c>
      <c r="D479" s="961" t="str">
        <f t="shared" si="1"/>
        <v>#DIV/0!</v>
      </c>
      <c r="E479" s="961" t="str">
        <f>IF(D479&lt;'PlayerGrades+'!$AA$21,"F-",IF(D479&lt;'PlayerGrades+'!$AA$20,"F",IF(D479&lt;'PlayerGrades+'!$AA$19,"F+",IF(D479&lt;'PlayerGrades+'!$AA$18,"E-",IF(D479&lt;'PlayerGrades+'!$AA$17,"E",IF(D479&lt;'PlayerGrades+'!$AA$16,"E+",IF(D479&lt;'PlayerGrades+'!$AA$15,"D-",IF(D479&lt;'PlayerGrades+'!$AA$14,"D",IF(D479&lt;'PlayerGrades+'!$AA$13,"D+",IF(D479&lt;'PlayerGrades+'!$AA$12,"C-",IF(D479&lt;'PlayerGrades+'!$AA$11,"C",IF(D479&lt;'PlayerGrades+'!$AA$10,"C+",IF(D479&lt;'PlayerGrades+'!$AA$9,"B-",IF(D479&lt;'PlayerGrades+'!$AA$8,"B",IF(D479&lt;'PlayerGrades+'!$AA$7,"B+",IF(D479&lt;'PlayerGrades+'!$AA$6,"A-",IF(D479&lt;'PlayerGrades+'!$AA$5,"A",IF(D479&lt;'PlayerGrades+'!$AA$4,"A+",IF(D479&lt;'PlayerGrades+'!$AA$3,"S-",IF(D479&lt;'PlayerGrades+'!$AA$2,"S","S+"))))))))))))))))))))</f>
        <v>#DIV/0!</v>
      </c>
      <c r="F479" s="961" t="str">
        <f t="shared" si="2"/>
        <v>#DIV/0!</v>
      </c>
      <c r="G479" s="961" t="str">
        <f>IF(F479&lt;'PlayerGrades+'!$AB$21,"F-",IF(F479&lt;'PlayerGrades+'!$AB$20,"F",IF(F479&lt;'PlayerGrades+'!$AB$19,"F+",IF(F479&lt;'PlayerGrades+'!$AB$18,"E-",IF(F479&lt;'PlayerGrades+'!$AB$17,"E",IF(F479&lt;'PlayerGrades+'!$AB$16,"E+",IF(F479&lt;'PlayerGrades+'!$AB$15,"D-",IF(F479&lt;'PlayerGrades+'!$AB$14,"D",IF(F479&lt;'PlayerGrades+'!$AB$13,"D+",IF(F479&lt;'PlayerGrades+'!$AB$12,"C-",IF(F479&lt;'PlayerGrades+'!$AB$11,"C",IF(F479&lt;'PlayerGrades+'!$AB$10,"C+",IF(F479&lt;'PlayerGrades+'!$AB$9,"B-",IF(F479&lt;'PlayerGrades+'!$AB$8,"B",IF(F479&lt;'PlayerGrades+'!$AB$7,"B+",IF(F479&lt;'PlayerGrades+'!$AB$6,"A-",IF(F479&lt;'PlayerGrades+'!$AB$5,"A",IF(F479&lt;'PlayerGrades+'!$AB$4,"A+",IF(F479&lt;'PlayerGrades+'!$AB$3,"S-",IF(F479&lt;'PlayerGrades+'!$AB$2,"S","S+"))))))))))))))))))))</f>
        <v>#DIV/0!</v>
      </c>
      <c r="H479" s="961" t="str">
        <f t="shared" si="3"/>
        <v>#DIV/0!</v>
      </c>
      <c r="I479" s="961" t="str">
        <f>IF(H479&lt;'PlayerGrades+'!$AC$21,"F-",IF(H479&lt;'PlayerGrades+'!$AC$20,"F",IF(H479&lt;'PlayerGrades+'!$AC$19,"F+",IF(H479&lt;'PlayerGrades+'!$AC$18,"E-",IF(H479&lt;'PlayerGrades+'!$AC$17,"E",IF(H479&lt;'PlayerGrades+'!$AC$16,"E+",IF(H479&lt;'PlayerGrades+'!$AC$15,"D-",IF(H479&lt;'PlayerGrades+'!$AC$14,"D",IF(H479&lt;'PlayerGrades+'!$AC$13,"D+",IF(H479&lt;'PlayerGrades+'!$AC$12,"C-",IF(H479&lt;'PlayerGrades+'!$AC$11,"C",IF(H479&lt;'PlayerGrades+'!$AC$10,"C+",IF(H479&lt;'PlayerGrades+'!$AC$9,"B-",IF(H479&lt;'PlayerGrades+'!$AC$8,"B",IF(H479&lt;'PlayerGrades+'!$AC$7,"B+",IF(H479&lt;'PlayerGrades+'!$AC$6,"A-",IF(H479&lt;'PlayerGrades+'!$AC$5,"A",IF(H479&lt;'PlayerGrades+'!$AC$4,"A+",IF(H479&lt;'PlayerGrades+'!$AC$3,"S-",IF(H479&lt;'PlayerGrades+'!$AC$2,"S","S+"))))))))))))))))))))</f>
        <v>#DIV/0!</v>
      </c>
      <c r="J479" s="961" t="str">
        <f t="shared" si="4"/>
        <v>#DIV/0!</v>
      </c>
      <c r="K479" s="961" t="str">
        <f>IF(J479&lt;'PlayerGrades+'!$AD$21,"F-",IF(J479&lt;'PlayerGrades+'!$AD$20,"F",IF(J479&lt;'PlayerGrades+'!$AD$19,"F+",IF(J479&lt;'PlayerGrades+'!$AD$18,"E-",IF(J479&lt;'PlayerGrades+'!$AD$17,"E",IF(J479&lt;'PlayerGrades+'!$AD$16,"E+",IF(J479&lt;'PlayerGrades+'!$AD$15,"D-",IF(J479&lt;'PlayerGrades+'!$AD$14,"D",IF(J479&lt;'PlayerGrades+'!$AD$13,"D+",IF(J479&lt;'PlayerGrades+'!$AD$12,"C-",IF(J479&lt;'PlayerGrades+'!$AD$11,"C",IF(J479&lt;'PlayerGrades+'!$AD$10,"C+",IF(J479&lt;'PlayerGrades+'!$AD$9,"B-",IF(J479&lt;'PlayerGrades+'!$AD$8,"B",IF(J479&lt;'PlayerGrades+'!$AD$7,"B+",IF(J479&lt;'PlayerGrades+'!$AD$6,"A-",IF(J479&lt;'PlayerGrades+'!$AD$5,"A",IF(J479&lt;'PlayerGrades+'!$AD$4,"A+",IF(J479&lt;'PlayerGrades+'!$AD$3,"S-",IF(J479&lt;'PlayerGrades+'!$AD$2,"S","S+"))))))))))))))))))))</f>
        <v>#DIV/0!</v>
      </c>
      <c r="L479" s="1176" t="str">
        <f t="shared" si="5"/>
        <v>#DIV/0!</v>
      </c>
      <c r="M479" s="992" t="str">
        <f>IF(L479&lt;'PlayerGrades+'!$AE$21,"F-",IF(L479&lt;'PlayerGrades+'!$AE$20,"F",IF(L479&lt;'PlayerGrades+'!$AE$19,"F+",IF(L479&lt;'PlayerGrades+'!$AE$18,"E-",IF(L479&lt;'PlayerGrades+'!$AE$17,"E",IF(L479&lt;'PlayerGrades+'!$AE$16,"E+",IF(L479&lt;'PlayerGrades+'!$AE$15,"D-",IF(L479&lt;'PlayerGrades+'!$AE$14,"D",IF(L479&lt;'PlayerGrades+'!$AE$13,"D+",IF(L479&lt;'PlayerGrades+'!$AE$12,"C-",IF(L479&lt;'PlayerGrades+'!$AE$11,"C",IF(L479&lt;'PlayerGrades+'!$AE$10,"C+",IF(L479&lt;'PlayerGrades+'!$AE$9,"B-",IF(L479&lt;'PlayerGrades+'!$AE$8,"B",IF(L479&lt;'PlayerGrades+'!$AE$7,"B+",IF(L479&lt;'PlayerGrades+'!$AE$6,"A-",IF(L479&lt;'PlayerGrades+'!$AE$5,"A",IF(L479&lt;'PlayerGrades+'!$AE$4,"A+",IF(L479&lt;'PlayerGrades+'!$AE$3,"S-",IF(L479&lt;'PlayerGrades+'!$AE$2,"S","S+"))))))))))))))))))))</f>
        <v>#DIV/0!</v>
      </c>
      <c r="N479" s="961" t="str">
        <f t="shared" si="6"/>
        <v>#DIV/0!</v>
      </c>
      <c r="O479" s="961" t="str">
        <f>IF(N479&lt;'PlayerGrades+'!$AF$21,"F-",IF(N479&lt;'PlayerGrades+'!$AF$20,"F",IF(N479&lt;'PlayerGrades+'!$AF$19,"F+",IF(N479&lt;'PlayerGrades+'!$AF$18,"E-",IF(N479&lt;'PlayerGrades+'!$AF$17,"E",IF(N479&lt;'PlayerGrades+'!$AF$16,"E+",IF(N479&lt;'PlayerGrades+'!$AF$15,"D-",IF(N479&lt;'PlayerGrades+'!$AF$14,"D",IF(N479&lt;'PlayerGrades+'!$AF$13,"D+",IF(N479&lt;'PlayerGrades+'!$AF$12,"C-",IF(N479&lt;'PlayerGrades+'!$AF$11,"C",IF(N479&lt;'PlayerGrades+'!$AF$10,"C+",IF(N479&lt;'PlayerGrades+'!$AF$9,"B-",IF(N479&lt;'PlayerGrades+'!$AF$8,"B",IF(N479&lt;'PlayerGrades+'!$AF$7,"B+",IF(N479&lt;'PlayerGrades+'!$AF$6,"A-",IF(N479&lt;'PlayerGrades+'!$AF$5,"A",IF(N479&lt;'PlayerGrades+'!$AF$4,"A+",IF(N479&lt;'PlayerGrades+'!$AF$3,"S-",IF(N479&lt;'PlayerGrades+'!$AF$2,"S","S+"))))))))))))))))))))</f>
        <v>#DIV/0!</v>
      </c>
      <c r="P479" s="961" t="str">
        <f t="shared" si="7"/>
        <v>#DIV/0!</v>
      </c>
      <c r="Q479" s="961" t="str">
        <f>IF(P479&lt;'PlayerGrades+'!$AG$21,"F-",IF(P479&lt;'PlayerGrades+'!$AG$20,"F",IF(P479&lt;'PlayerGrades+'!$AG$19,"F+",IF(P479&lt;'PlayerGrades+'!$AG$18,"E-",IF(P479&lt;'PlayerGrades+'!$AG$17,"E",IF(P479&lt;'PlayerGrades+'!$AG$16,"E+",IF(P479&lt;'PlayerGrades+'!$AG$15,"D-",IF(P479&lt;'PlayerGrades+'!$AG$14,"D",IF(P479&lt;'PlayerGrades+'!$AG$13,"D+",IF(P479&lt;'PlayerGrades+'!$AG$12,"C-",IF(P479&lt;'PlayerGrades+'!$AG$11,"C",IF(P479&lt;'PlayerGrades+'!$AG$10,"C+",IF(P479&lt;'PlayerGrades+'!$AG$9,"B-",IF(P479&lt;'PlayerGrades+'!$AG$8,"B",IF(P479&lt;'PlayerGrades+'!$AG$7,"B+",IF(P479&lt;'PlayerGrades+'!$AG$6,"A-",IF(P479&lt;'PlayerGrades+'!$AG$5,"A",IF(P479&lt;'PlayerGrades+'!$AG$4,"A+",IF(P479&lt;'PlayerGrades+'!$AG$3,"S-",IF(P479&lt;'PlayerGrades+'!$AG$2,"S","S+"))))))))))))))))))))</f>
        <v>#DIV/0!</v>
      </c>
      <c r="R479" s="961" t="str">
        <f t="shared" si="8"/>
        <v>#DIV/0!</v>
      </c>
      <c r="S479" s="961" t="str">
        <f>IF(R479&lt;'PlayerGrades+'!$AH$21,"F-",IF(R479&lt;'PlayerGrades+'!$AH$20,"F",IF(R479&lt;'PlayerGrades+'!$AH$19,"F+",IF(R479&lt;'PlayerGrades+'!$AH$18,"E-",IF(R479&lt;'PlayerGrades+'!$AH$17,"E",IF(R479&lt;'PlayerGrades+'!$AH$16,"E+",IF(R479&lt;'PlayerGrades+'!$AH$15,"D-",IF(R479&lt;'PlayerGrades+'!$AH$14,"D",IF(R479&lt;'PlayerGrades+'!$AH$13,"D+",IF(R479&lt;'PlayerGrades+'!$AH$12,"C-",IF(R479&lt;'PlayerGrades+'!$AH$11,"C",IF(R479&lt;'PlayerGrades+'!$AH$10,"C+",IF(R479&lt;'PlayerGrades+'!$AH$9,"B-",IF(R479&lt;'PlayerGrades+'!$AH$8,"B",IF(R479&lt;'PlayerGrades+'!$AH$7,"B+",IF(R479&lt;'PlayerGrades+'!$AH$6,"A-",IF(R479&lt;'PlayerGrades+'!$AH$5,"A",IF(R479&lt;'PlayerGrades+'!$AH$4,"A+",IF(R479&lt;'PlayerGrades+'!$AH$3,"S-",IF(R479&lt;'PlayerGrades+'!$AH$2,"S","S+"))))))))))))))))))))</f>
        <v>#DIV/0!</v>
      </c>
      <c r="T479" s="961">
        <f t="shared" si="9"/>
        <v>0</v>
      </c>
      <c r="U479" s="961" t="str">
        <f>IF(T479&lt;'PlayerGrades+'!$AI$21,"F-",IF(T479&lt;'PlayerGrades+'!$AI$20,"F",IF(T479&lt;'PlayerGrades+'!$AI$19,"F+",IF(T479&lt;'PlayerGrades+'!$AI$18,"E-",IF(T479&lt;'PlayerGrades+'!$AI$17,"E",IF(T479&lt;'PlayerGrades+'!$AI$16,"E+",IF(T479&lt;'PlayerGrades+'!$AI$15,"D-",IF(T479&lt;'PlayerGrades+'!$AI$14,"D",IF(T479&lt;'PlayerGrades+'!$AI$13,"D+",IF(T479&lt;'PlayerGrades+'!$AI$12,"C-",IF(T479&lt;'PlayerGrades+'!$AI$11,"C",IF(T479&lt;'PlayerGrades+'!$AI$10,"C+",IF(T479&lt;'PlayerGrades+'!$AI$9,"B-",IF(T479&lt;'PlayerGrades+'!$AI$8,"B",IF(T479&lt;'PlayerGrades+'!$AI$7,"B+",IF(T479&lt;'PlayerGrades+'!$AI$6,"A-",IF(T479&lt;'PlayerGrades+'!$AI$5,"A",IF(T479&lt;'PlayerGrades+'!$AI$4,"A+",IF(T479&lt;'PlayerGrades+'!$AI$3,"S-",IF(T479&lt;'PlayerGrades+'!$AI$2,"S","S+"))))))))))))))))))))</f>
        <v>F-</v>
      </c>
      <c r="AC479" s="1392"/>
    </row>
    <row r="480">
      <c r="A480" s="1408"/>
      <c r="B480" s="611" t="str">
        <f>IF(C480&lt;'PlayerGrades+'!$Y$44,"F-",IF(C480&lt;'PlayerGrades+'!$Y$43,"F",IF(C480&lt;'PlayerGrades+'!$Y$42,"F+",IF(C480&lt;'PlayerGrades+'!$Y$41,"E-",IF(C480&lt;'PlayerGrades+'!$Y$40,"E",IF(C480&lt;'PlayerGrades+'!$Y$39,"E+",IF(C480&lt;'PlayerGrades+'!$Y$38,"D-",IF(C480&lt;'PlayerGrades+'!$Y$37,"D",IF(C480&lt;'PlayerGrades+'!$Y$36,"D+",IF(C480&lt;'PlayerGrades+'!$Y$35,"C-",IF(C480&lt;'PlayerGrades+'!$Y$34,"C",IF(C480&lt;'PlayerGrades+'!$Y$33,"C+",IF(C480&lt;'PlayerGrades+'!$Y$32,"B-",IF(C480&lt;'PlayerGrades+'!$Y$31,"B",IF(C480&lt;'PlayerGrades+'!$Y$30,"B+",IF(C480&lt;'PlayerGrades+'!$Y$29,"A-",IF(C480&lt;'PlayerGrades+'!$Y$28,"A",IF(C480&lt;'PlayerGrades+'!$Y$27,"A+",IF(C480&lt;'PlayerGrades+'!$Y$26,"S-",IF(C480&lt;'PlayerGrades+'!$Y$25,"S","S+"))))))))))))))))))))</f>
        <v>#DIV/0!</v>
      </c>
      <c r="C480" s="1378" t="str">
        <f>('PlayerGrades+'!$Y$47*(VLOOKUP(E480, 'PlayerGrades+'!$X$3:$Y$23, 2, FALSE)))+('PlayerGrades+'!$Y$48*(VLOOKUP(G480, 'PlayerGrades+'!$X$3:$Y$23, 2, FALSE)))+('PlayerGrades+'!$Y$49*(VLOOKUP(I480, 'PlayerGrades+'!$X$3:$Y$23, 2, FALSE)))+('PlayerGrades+'!$Y$50*(VLOOKUP(K480, 'PlayerGrades+'!$X$3:$Y$23, 2, FALSE)))+('PlayerGrades+'!$Y$51*(VLOOKUP(M480, 'PlayerGrades+'!$X$3:$Y$23, 2, FALSE)))+('PlayerGrades+'!$Y$52*(VLOOKUP(O480, 'PlayerGrades+'!$X$3:$Y$23, 2, FALSE)))+('PlayerGrades+'!$Y$53*(VLOOKUP(Q480, 'PlayerGrades+'!$X$3:$Y$23, 2, FALSE)))+('PlayerGrades+'!$Y$54*(VLOOKUP(S480, 'PlayerGrades+'!$X$3:$Y$23, 2, FALSE)))+('PlayerGrades+'!$Y$55*(VLOOKUP(U480, 'PlayerGrades+'!$X$3:$Y$23, 2, FALSE)))</f>
        <v>#DIV/0!</v>
      </c>
      <c r="D480" s="961" t="str">
        <f t="shared" si="1"/>
        <v>#DIV/0!</v>
      </c>
      <c r="E480" s="961" t="str">
        <f>IF(D480&lt;'PlayerGrades+'!$AA$21,"F-",IF(D480&lt;'PlayerGrades+'!$AA$20,"F",IF(D480&lt;'PlayerGrades+'!$AA$19,"F+",IF(D480&lt;'PlayerGrades+'!$AA$18,"E-",IF(D480&lt;'PlayerGrades+'!$AA$17,"E",IF(D480&lt;'PlayerGrades+'!$AA$16,"E+",IF(D480&lt;'PlayerGrades+'!$AA$15,"D-",IF(D480&lt;'PlayerGrades+'!$AA$14,"D",IF(D480&lt;'PlayerGrades+'!$AA$13,"D+",IF(D480&lt;'PlayerGrades+'!$AA$12,"C-",IF(D480&lt;'PlayerGrades+'!$AA$11,"C",IF(D480&lt;'PlayerGrades+'!$AA$10,"C+",IF(D480&lt;'PlayerGrades+'!$AA$9,"B-",IF(D480&lt;'PlayerGrades+'!$AA$8,"B",IF(D480&lt;'PlayerGrades+'!$AA$7,"B+",IF(D480&lt;'PlayerGrades+'!$AA$6,"A-",IF(D480&lt;'PlayerGrades+'!$AA$5,"A",IF(D480&lt;'PlayerGrades+'!$AA$4,"A+",IF(D480&lt;'PlayerGrades+'!$AA$3,"S-",IF(D480&lt;'PlayerGrades+'!$AA$2,"S","S+"))))))))))))))))))))</f>
        <v>#DIV/0!</v>
      </c>
      <c r="F480" s="961" t="str">
        <f t="shared" si="2"/>
        <v>#DIV/0!</v>
      </c>
      <c r="G480" s="961" t="str">
        <f>IF(F480&lt;'PlayerGrades+'!$AB$21,"F-",IF(F480&lt;'PlayerGrades+'!$AB$20,"F",IF(F480&lt;'PlayerGrades+'!$AB$19,"F+",IF(F480&lt;'PlayerGrades+'!$AB$18,"E-",IF(F480&lt;'PlayerGrades+'!$AB$17,"E",IF(F480&lt;'PlayerGrades+'!$AB$16,"E+",IF(F480&lt;'PlayerGrades+'!$AB$15,"D-",IF(F480&lt;'PlayerGrades+'!$AB$14,"D",IF(F480&lt;'PlayerGrades+'!$AB$13,"D+",IF(F480&lt;'PlayerGrades+'!$AB$12,"C-",IF(F480&lt;'PlayerGrades+'!$AB$11,"C",IF(F480&lt;'PlayerGrades+'!$AB$10,"C+",IF(F480&lt;'PlayerGrades+'!$AB$9,"B-",IF(F480&lt;'PlayerGrades+'!$AB$8,"B",IF(F480&lt;'PlayerGrades+'!$AB$7,"B+",IF(F480&lt;'PlayerGrades+'!$AB$6,"A-",IF(F480&lt;'PlayerGrades+'!$AB$5,"A",IF(F480&lt;'PlayerGrades+'!$AB$4,"A+",IF(F480&lt;'PlayerGrades+'!$AB$3,"S-",IF(F480&lt;'PlayerGrades+'!$AB$2,"S","S+"))))))))))))))))))))</f>
        <v>#DIV/0!</v>
      </c>
      <c r="H480" s="961" t="str">
        <f t="shared" si="3"/>
        <v>#DIV/0!</v>
      </c>
      <c r="I480" s="961" t="str">
        <f>IF(H480&lt;'PlayerGrades+'!$AC$21,"F-",IF(H480&lt;'PlayerGrades+'!$AC$20,"F",IF(H480&lt;'PlayerGrades+'!$AC$19,"F+",IF(H480&lt;'PlayerGrades+'!$AC$18,"E-",IF(H480&lt;'PlayerGrades+'!$AC$17,"E",IF(H480&lt;'PlayerGrades+'!$AC$16,"E+",IF(H480&lt;'PlayerGrades+'!$AC$15,"D-",IF(H480&lt;'PlayerGrades+'!$AC$14,"D",IF(H480&lt;'PlayerGrades+'!$AC$13,"D+",IF(H480&lt;'PlayerGrades+'!$AC$12,"C-",IF(H480&lt;'PlayerGrades+'!$AC$11,"C",IF(H480&lt;'PlayerGrades+'!$AC$10,"C+",IF(H480&lt;'PlayerGrades+'!$AC$9,"B-",IF(H480&lt;'PlayerGrades+'!$AC$8,"B",IF(H480&lt;'PlayerGrades+'!$AC$7,"B+",IF(H480&lt;'PlayerGrades+'!$AC$6,"A-",IF(H480&lt;'PlayerGrades+'!$AC$5,"A",IF(H480&lt;'PlayerGrades+'!$AC$4,"A+",IF(H480&lt;'PlayerGrades+'!$AC$3,"S-",IF(H480&lt;'PlayerGrades+'!$AC$2,"S","S+"))))))))))))))))))))</f>
        <v>#DIV/0!</v>
      </c>
      <c r="J480" s="961" t="str">
        <f t="shared" si="4"/>
        <v>#DIV/0!</v>
      </c>
      <c r="K480" s="961" t="str">
        <f>IF(J480&lt;'PlayerGrades+'!$AD$21,"F-",IF(J480&lt;'PlayerGrades+'!$AD$20,"F",IF(J480&lt;'PlayerGrades+'!$AD$19,"F+",IF(J480&lt;'PlayerGrades+'!$AD$18,"E-",IF(J480&lt;'PlayerGrades+'!$AD$17,"E",IF(J480&lt;'PlayerGrades+'!$AD$16,"E+",IF(J480&lt;'PlayerGrades+'!$AD$15,"D-",IF(J480&lt;'PlayerGrades+'!$AD$14,"D",IF(J480&lt;'PlayerGrades+'!$AD$13,"D+",IF(J480&lt;'PlayerGrades+'!$AD$12,"C-",IF(J480&lt;'PlayerGrades+'!$AD$11,"C",IF(J480&lt;'PlayerGrades+'!$AD$10,"C+",IF(J480&lt;'PlayerGrades+'!$AD$9,"B-",IF(J480&lt;'PlayerGrades+'!$AD$8,"B",IF(J480&lt;'PlayerGrades+'!$AD$7,"B+",IF(J480&lt;'PlayerGrades+'!$AD$6,"A-",IF(J480&lt;'PlayerGrades+'!$AD$5,"A",IF(J480&lt;'PlayerGrades+'!$AD$4,"A+",IF(J480&lt;'PlayerGrades+'!$AD$3,"S-",IF(J480&lt;'PlayerGrades+'!$AD$2,"S","S+"))))))))))))))))))))</f>
        <v>#DIV/0!</v>
      </c>
      <c r="L480" s="1176" t="str">
        <f t="shared" si="5"/>
        <v>#DIV/0!</v>
      </c>
      <c r="M480" s="992" t="str">
        <f>IF(L480&lt;'PlayerGrades+'!$AE$21,"F-",IF(L480&lt;'PlayerGrades+'!$AE$20,"F",IF(L480&lt;'PlayerGrades+'!$AE$19,"F+",IF(L480&lt;'PlayerGrades+'!$AE$18,"E-",IF(L480&lt;'PlayerGrades+'!$AE$17,"E",IF(L480&lt;'PlayerGrades+'!$AE$16,"E+",IF(L480&lt;'PlayerGrades+'!$AE$15,"D-",IF(L480&lt;'PlayerGrades+'!$AE$14,"D",IF(L480&lt;'PlayerGrades+'!$AE$13,"D+",IF(L480&lt;'PlayerGrades+'!$AE$12,"C-",IF(L480&lt;'PlayerGrades+'!$AE$11,"C",IF(L480&lt;'PlayerGrades+'!$AE$10,"C+",IF(L480&lt;'PlayerGrades+'!$AE$9,"B-",IF(L480&lt;'PlayerGrades+'!$AE$8,"B",IF(L480&lt;'PlayerGrades+'!$AE$7,"B+",IF(L480&lt;'PlayerGrades+'!$AE$6,"A-",IF(L480&lt;'PlayerGrades+'!$AE$5,"A",IF(L480&lt;'PlayerGrades+'!$AE$4,"A+",IF(L480&lt;'PlayerGrades+'!$AE$3,"S-",IF(L480&lt;'PlayerGrades+'!$AE$2,"S","S+"))))))))))))))))))))</f>
        <v>#DIV/0!</v>
      </c>
      <c r="N480" s="961" t="str">
        <f t="shared" si="6"/>
        <v>#DIV/0!</v>
      </c>
      <c r="O480" s="961" t="str">
        <f>IF(N480&lt;'PlayerGrades+'!$AF$21,"F-",IF(N480&lt;'PlayerGrades+'!$AF$20,"F",IF(N480&lt;'PlayerGrades+'!$AF$19,"F+",IF(N480&lt;'PlayerGrades+'!$AF$18,"E-",IF(N480&lt;'PlayerGrades+'!$AF$17,"E",IF(N480&lt;'PlayerGrades+'!$AF$16,"E+",IF(N480&lt;'PlayerGrades+'!$AF$15,"D-",IF(N480&lt;'PlayerGrades+'!$AF$14,"D",IF(N480&lt;'PlayerGrades+'!$AF$13,"D+",IF(N480&lt;'PlayerGrades+'!$AF$12,"C-",IF(N480&lt;'PlayerGrades+'!$AF$11,"C",IF(N480&lt;'PlayerGrades+'!$AF$10,"C+",IF(N480&lt;'PlayerGrades+'!$AF$9,"B-",IF(N480&lt;'PlayerGrades+'!$AF$8,"B",IF(N480&lt;'PlayerGrades+'!$AF$7,"B+",IF(N480&lt;'PlayerGrades+'!$AF$6,"A-",IF(N480&lt;'PlayerGrades+'!$AF$5,"A",IF(N480&lt;'PlayerGrades+'!$AF$4,"A+",IF(N480&lt;'PlayerGrades+'!$AF$3,"S-",IF(N480&lt;'PlayerGrades+'!$AF$2,"S","S+"))))))))))))))))))))</f>
        <v>#DIV/0!</v>
      </c>
      <c r="P480" s="961" t="str">
        <f t="shared" si="7"/>
        <v>#DIV/0!</v>
      </c>
      <c r="Q480" s="961" t="str">
        <f>IF(P480&lt;'PlayerGrades+'!$AG$21,"F-",IF(P480&lt;'PlayerGrades+'!$AG$20,"F",IF(P480&lt;'PlayerGrades+'!$AG$19,"F+",IF(P480&lt;'PlayerGrades+'!$AG$18,"E-",IF(P480&lt;'PlayerGrades+'!$AG$17,"E",IF(P480&lt;'PlayerGrades+'!$AG$16,"E+",IF(P480&lt;'PlayerGrades+'!$AG$15,"D-",IF(P480&lt;'PlayerGrades+'!$AG$14,"D",IF(P480&lt;'PlayerGrades+'!$AG$13,"D+",IF(P480&lt;'PlayerGrades+'!$AG$12,"C-",IF(P480&lt;'PlayerGrades+'!$AG$11,"C",IF(P480&lt;'PlayerGrades+'!$AG$10,"C+",IF(P480&lt;'PlayerGrades+'!$AG$9,"B-",IF(P480&lt;'PlayerGrades+'!$AG$8,"B",IF(P480&lt;'PlayerGrades+'!$AG$7,"B+",IF(P480&lt;'PlayerGrades+'!$AG$6,"A-",IF(P480&lt;'PlayerGrades+'!$AG$5,"A",IF(P480&lt;'PlayerGrades+'!$AG$4,"A+",IF(P480&lt;'PlayerGrades+'!$AG$3,"S-",IF(P480&lt;'PlayerGrades+'!$AG$2,"S","S+"))))))))))))))))))))</f>
        <v>#DIV/0!</v>
      </c>
      <c r="R480" s="961" t="str">
        <f t="shared" si="8"/>
        <v>#DIV/0!</v>
      </c>
      <c r="S480" s="961" t="str">
        <f>IF(R480&lt;'PlayerGrades+'!$AH$21,"F-",IF(R480&lt;'PlayerGrades+'!$AH$20,"F",IF(R480&lt;'PlayerGrades+'!$AH$19,"F+",IF(R480&lt;'PlayerGrades+'!$AH$18,"E-",IF(R480&lt;'PlayerGrades+'!$AH$17,"E",IF(R480&lt;'PlayerGrades+'!$AH$16,"E+",IF(R480&lt;'PlayerGrades+'!$AH$15,"D-",IF(R480&lt;'PlayerGrades+'!$AH$14,"D",IF(R480&lt;'PlayerGrades+'!$AH$13,"D+",IF(R480&lt;'PlayerGrades+'!$AH$12,"C-",IF(R480&lt;'PlayerGrades+'!$AH$11,"C",IF(R480&lt;'PlayerGrades+'!$AH$10,"C+",IF(R480&lt;'PlayerGrades+'!$AH$9,"B-",IF(R480&lt;'PlayerGrades+'!$AH$8,"B",IF(R480&lt;'PlayerGrades+'!$AH$7,"B+",IF(R480&lt;'PlayerGrades+'!$AH$6,"A-",IF(R480&lt;'PlayerGrades+'!$AH$5,"A",IF(R480&lt;'PlayerGrades+'!$AH$4,"A+",IF(R480&lt;'PlayerGrades+'!$AH$3,"S-",IF(R480&lt;'PlayerGrades+'!$AH$2,"S","S+"))))))))))))))))))))</f>
        <v>#DIV/0!</v>
      </c>
      <c r="T480" s="961">
        <f t="shared" si="9"/>
        <v>0</v>
      </c>
      <c r="U480" s="961" t="str">
        <f>IF(T480&lt;'PlayerGrades+'!$AI$21,"F-",IF(T480&lt;'PlayerGrades+'!$AI$20,"F",IF(T480&lt;'PlayerGrades+'!$AI$19,"F+",IF(T480&lt;'PlayerGrades+'!$AI$18,"E-",IF(T480&lt;'PlayerGrades+'!$AI$17,"E",IF(T480&lt;'PlayerGrades+'!$AI$16,"E+",IF(T480&lt;'PlayerGrades+'!$AI$15,"D-",IF(T480&lt;'PlayerGrades+'!$AI$14,"D",IF(T480&lt;'PlayerGrades+'!$AI$13,"D+",IF(T480&lt;'PlayerGrades+'!$AI$12,"C-",IF(T480&lt;'PlayerGrades+'!$AI$11,"C",IF(T480&lt;'PlayerGrades+'!$AI$10,"C+",IF(T480&lt;'PlayerGrades+'!$AI$9,"B-",IF(T480&lt;'PlayerGrades+'!$AI$8,"B",IF(T480&lt;'PlayerGrades+'!$AI$7,"B+",IF(T480&lt;'PlayerGrades+'!$AI$6,"A-",IF(T480&lt;'PlayerGrades+'!$AI$5,"A",IF(T480&lt;'PlayerGrades+'!$AI$4,"A+",IF(T480&lt;'PlayerGrades+'!$AI$3,"S-",IF(T480&lt;'PlayerGrades+'!$AI$2,"S","S+"))))))))))))))))))))</f>
        <v>F-</v>
      </c>
      <c r="AC480" s="1392"/>
    </row>
    <row r="481">
      <c r="A481" s="1409"/>
      <c r="B481" s="611" t="str">
        <f>IF(C481&lt;'PlayerGrades+'!$Y$44,"F-",IF(C481&lt;'PlayerGrades+'!$Y$43,"F",IF(C481&lt;'PlayerGrades+'!$Y$42,"F+",IF(C481&lt;'PlayerGrades+'!$Y$41,"E-",IF(C481&lt;'PlayerGrades+'!$Y$40,"E",IF(C481&lt;'PlayerGrades+'!$Y$39,"E+",IF(C481&lt;'PlayerGrades+'!$Y$38,"D-",IF(C481&lt;'PlayerGrades+'!$Y$37,"D",IF(C481&lt;'PlayerGrades+'!$Y$36,"D+",IF(C481&lt;'PlayerGrades+'!$Y$35,"C-",IF(C481&lt;'PlayerGrades+'!$Y$34,"C",IF(C481&lt;'PlayerGrades+'!$Y$33,"C+",IF(C481&lt;'PlayerGrades+'!$Y$32,"B-",IF(C481&lt;'PlayerGrades+'!$Y$31,"B",IF(C481&lt;'PlayerGrades+'!$Y$30,"B+",IF(C481&lt;'PlayerGrades+'!$Y$29,"A-",IF(C481&lt;'PlayerGrades+'!$Y$28,"A",IF(C481&lt;'PlayerGrades+'!$Y$27,"A+",IF(C481&lt;'PlayerGrades+'!$Y$26,"S-",IF(C481&lt;'PlayerGrades+'!$Y$25,"S","S+"))))))))))))))))))))</f>
        <v>#DIV/0!</v>
      </c>
      <c r="C481" s="1378" t="str">
        <f>('PlayerGrades+'!$Y$47*(VLOOKUP(E481, 'PlayerGrades+'!$X$3:$Y$23, 2, FALSE)))+('PlayerGrades+'!$Y$48*(VLOOKUP(G481, 'PlayerGrades+'!$X$3:$Y$23, 2, FALSE)))+('PlayerGrades+'!$Y$49*(VLOOKUP(I481, 'PlayerGrades+'!$X$3:$Y$23, 2, FALSE)))+('PlayerGrades+'!$Y$50*(VLOOKUP(K481, 'PlayerGrades+'!$X$3:$Y$23, 2, FALSE)))+('PlayerGrades+'!$Y$51*(VLOOKUP(M481, 'PlayerGrades+'!$X$3:$Y$23, 2, FALSE)))+('PlayerGrades+'!$Y$52*(VLOOKUP(O481, 'PlayerGrades+'!$X$3:$Y$23, 2, FALSE)))+('PlayerGrades+'!$Y$53*(VLOOKUP(Q481, 'PlayerGrades+'!$X$3:$Y$23, 2, FALSE)))+('PlayerGrades+'!$Y$54*(VLOOKUP(S481, 'PlayerGrades+'!$X$3:$Y$23, 2, FALSE)))+('PlayerGrades+'!$Y$55*(VLOOKUP(U481, 'PlayerGrades+'!$X$3:$Y$23, 2, FALSE)))</f>
        <v>#DIV/0!</v>
      </c>
      <c r="D481" s="961" t="str">
        <f t="shared" si="1"/>
        <v>#DIV/0!</v>
      </c>
      <c r="E481" s="961" t="str">
        <f>IF(D481&lt;'PlayerGrades+'!$AA$21,"F-",IF(D481&lt;'PlayerGrades+'!$AA$20,"F",IF(D481&lt;'PlayerGrades+'!$AA$19,"F+",IF(D481&lt;'PlayerGrades+'!$AA$18,"E-",IF(D481&lt;'PlayerGrades+'!$AA$17,"E",IF(D481&lt;'PlayerGrades+'!$AA$16,"E+",IF(D481&lt;'PlayerGrades+'!$AA$15,"D-",IF(D481&lt;'PlayerGrades+'!$AA$14,"D",IF(D481&lt;'PlayerGrades+'!$AA$13,"D+",IF(D481&lt;'PlayerGrades+'!$AA$12,"C-",IF(D481&lt;'PlayerGrades+'!$AA$11,"C",IF(D481&lt;'PlayerGrades+'!$AA$10,"C+",IF(D481&lt;'PlayerGrades+'!$AA$9,"B-",IF(D481&lt;'PlayerGrades+'!$AA$8,"B",IF(D481&lt;'PlayerGrades+'!$AA$7,"B+",IF(D481&lt;'PlayerGrades+'!$AA$6,"A-",IF(D481&lt;'PlayerGrades+'!$AA$5,"A",IF(D481&lt;'PlayerGrades+'!$AA$4,"A+",IF(D481&lt;'PlayerGrades+'!$AA$3,"S-",IF(D481&lt;'PlayerGrades+'!$AA$2,"S","S+"))))))))))))))))))))</f>
        <v>#DIV/0!</v>
      </c>
      <c r="F481" s="961" t="str">
        <f t="shared" si="2"/>
        <v>#DIV/0!</v>
      </c>
      <c r="G481" s="961" t="str">
        <f>IF(F481&lt;'PlayerGrades+'!$AB$21,"F-",IF(F481&lt;'PlayerGrades+'!$AB$20,"F",IF(F481&lt;'PlayerGrades+'!$AB$19,"F+",IF(F481&lt;'PlayerGrades+'!$AB$18,"E-",IF(F481&lt;'PlayerGrades+'!$AB$17,"E",IF(F481&lt;'PlayerGrades+'!$AB$16,"E+",IF(F481&lt;'PlayerGrades+'!$AB$15,"D-",IF(F481&lt;'PlayerGrades+'!$AB$14,"D",IF(F481&lt;'PlayerGrades+'!$AB$13,"D+",IF(F481&lt;'PlayerGrades+'!$AB$12,"C-",IF(F481&lt;'PlayerGrades+'!$AB$11,"C",IF(F481&lt;'PlayerGrades+'!$AB$10,"C+",IF(F481&lt;'PlayerGrades+'!$AB$9,"B-",IF(F481&lt;'PlayerGrades+'!$AB$8,"B",IF(F481&lt;'PlayerGrades+'!$AB$7,"B+",IF(F481&lt;'PlayerGrades+'!$AB$6,"A-",IF(F481&lt;'PlayerGrades+'!$AB$5,"A",IF(F481&lt;'PlayerGrades+'!$AB$4,"A+",IF(F481&lt;'PlayerGrades+'!$AB$3,"S-",IF(F481&lt;'PlayerGrades+'!$AB$2,"S","S+"))))))))))))))))))))</f>
        <v>#DIV/0!</v>
      </c>
      <c r="H481" s="961" t="str">
        <f t="shared" si="3"/>
        <v>#DIV/0!</v>
      </c>
      <c r="I481" s="961" t="str">
        <f>IF(H481&lt;'PlayerGrades+'!$AC$21,"F-",IF(H481&lt;'PlayerGrades+'!$AC$20,"F",IF(H481&lt;'PlayerGrades+'!$AC$19,"F+",IF(H481&lt;'PlayerGrades+'!$AC$18,"E-",IF(H481&lt;'PlayerGrades+'!$AC$17,"E",IF(H481&lt;'PlayerGrades+'!$AC$16,"E+",IF(H481&lt;'PlayerGrades+'!$AC$15,"D-",IF(H481&lt;'PlayerGrades+'!$AC$14,"D",IF(H481&lt;'PlayerGrades+'!$AC$13,"D+",IF(H481&lt;'PlayerGrades+'!$AC$12,"C-",IF(H481&lt;'PlayerGrades+'!$AC$11,"C",IF(H481&lt;'PlayerGrades+'!$AC$10,"C+",IF(H481&lt;'PlayerGrades+'!$AC$9,"B-",IF(H481&lt;'PlayerGrades+'!$AC$8,"B",IF(H481&lt;'PlayerGrades+'!$AC$7,"B+",IF(H481&lt;'PlayerGrades+'!$AC$6,"A-",IF(H481&lt;'PlayerGrades+'!$AC$5,"A",IF(H481&lt;'PlayerGrades+'!$AC$4,"A+",IF(H481&lt;'PlayerGrades+'!$AC$3,"S-",IF(H481&lt;'PlayerGrades+'!$AC$2,"S","S+"))))))))))))))))))))</f>
        <v>#DIV/0!</v>
      </c>
      <c r="J481" s="961" t="str">
        <f t="shared" si="4"/>
        <v>#DIV/0!</v>
      </c>
      <c r="K481" s="961" t="str">
        <f>IF(J481&lt;'PlayerGrades+'!$AD$21,"F-",IF(J481&lt;'PlayerGrades+'!$AD$20,"F",IF(J481&lt;'PlayerGrades+'!$AD$19,"F+",IF(J481&lt;'PlayerGrades+'!$AD$18,"E-",IF(J481&lt;'PlayerGrades+'!$AD$17,"E",IF(J481&lt;'PlayerGrades+'!$AD$16,"E+",IF(J481&lt;'PlayerGrades+'!$AD$15,"D-",IF(J481&lt;'PlayerGrades+'!$AD$14,"D",IF(J481&lt;'PlayerGrades+'!$AD$13,"D+",IF(J481&lt;'PlayerGrades+'!$AD$12,"C-",IF(J481&lt;'PlayerGrades+'!$AD$11,"C",IF(J481&lt;'PlayerGrades+'!$AD$10,"C+",IF(J481&lt;'PlayerGrades+'!$AD$9,"B-",IF(J481&lt;'PlayerGrades+'!$AD$8,"B",IF(J481&lt;'PlayerGrades+'!$AD$7,"B+",IF(J481&lt;'PlayerGrades+'!$AD$6,"A-",IF(J481&lt;'PlayerGrades+'!$AD$5,"A",IF(J481&lt;'PlayerGrades+'!$AD$4,"A+",IF(J481&lt;'PlayerGrades+'!$AD$3,"S-",IF(J481&lt;'PlayerGrades+'!$AD$2,"S","S+"))))))))))))))))))))</f>
        <v>#DIV/0!</v>
      </c>
      <c r="L481" s="1176" t="str">
        <f t="shared" si="5"/>
        <v>#DIV/0!</v>
      </c>
      <c r="M481" s="992" t="str">
        <f>IF(L481&lt;'PlayerGrades+'!$AE$21,"F-",IF(L481&lt;'PlayerGrades+'!$AE$20,"F",IF(L481&lt;'PlayerGrades+'!$AE$19,"F+",IF(L481&lt;'PlayerGrades+'!$AE$18,"E-",IF(L481&lt;'PlayerGrades+'!$AE$17,"E",IF(L481&lt;'PlayerGrades+'!$AE$16,"E+",IF(L481&lt;'PlayerGrades+'!$AE$15,"D-",IF(L481&lt;'PlayerGrades+'!$AE$14,"D",IF(L481&lt;'PlayerGrades+'!$AE$13,"D+",IF(L481&lt;'PlayerGrades+'!$AE$12,"C-",IF(L481&lt;'PlayerGrades+'!$AE$11,"C",IF(L481&lt;'PlayerGrades+'!$AE$10,"C+",IF(L481&lt;'PlayerGrades+'!$AE$9,"B-",IF(L481&lt;'PlayerGrades+'!$AE$8,"B",IF(L481&lt;'PlayerGrades+'!$AE$7,"B+",IF(L481&lt;'PlayerGrades+'!$AE$6,"A-",IF(L481&lt;'PlayerGrades+'!$AE$5,"A",IF(L481&lt;'PlayerGrades+'!$AE$4,"A+",IF(L481&lt;'PlayerGrades+'!$AE$3,"S-",IF(L481&lt;'PlayerGrades+'!$AE$2,"S","S+"))))))))))))))))))))</f>
        <v>#DIV/0!</v>
      </c>
      <c r="N481" s="961" t="str">
        <f t="shared" si="6"/>
        <v>#DIV/0!</v>
      </c>
      <c r="O481" s="961" t="str">
        <f>IF(N481&lt;'PlayerGrades+'!$AF$21,"F-",IF(N481&lt;'PlayerGrades+'!$AF$20,"F",IF(N481&lt;'PlayerGrades+'!$AF$19,"F+",IF(N481&lt;'PlayerGrades+'!$AF$18,"E-",IF(N481&lt;'PlayerGrades+'!$AF$17,"E",IF(N481&lt;'PlayerGrades+'!$AF$16,"E+",IF(N481&lt;'PlayerGrades+'!$AF$15,"D-",IF(N481&lt;'PlayerGrades+'!$AF$14,"D",IF(N481&lt;'PlayerGrades+'!$AF$13,"D+",IF(N481&lt;'PlayerGrades+'!$AF$12,"C-",IF(N481&lt;'PlayerGrades+'!$AF$11,"C",IF(N481&lt;'PlayerGrades+'!$AF$10,"C+",IF(N481&lt;'PlayerGrades+'!$AF$9,"B-",IF(N481&lt;'PlayerGrades+'!$AF$8,"B",IF(N481&lt;'PlayerGrades+'!$AF$7,"B+",IF(N481&lt;'PlayerGrades+'!$AF$6,"A-",IF(N481&lt;'PlayerGrades+'!$AF$5,"A",IF(N481&lt;'PlayerGrades+'!$AF$4,"A+",IF(N481&lt;'PlayerGrades+'!$AF$3,"S-",IF(N481&lt;'PlayerGrades+'!$AF$2,"S","S+"))))))))))))))))))))</f>
        <v>#DIV/0!</v>
      </c>
      <c r="P481" s="961" t="str">
        <f t="shared" si="7"/>
        <v>#DIV/0!</v>
      </c>
      <c r="Q481" s="961" t="str">
        <f>IF(P481&lt;'PlayerGrades+'!$AG$21,"F-",IF(P481&lt;'PlayerGrades+'!$AG$20,"F",IF(P481&lt;'PlayerGrades+'!$AG$19,"F+",IF(P481&lt;'PlayerGrades+'!$AG$18,"E-",IF(P481&lt;'PlayerGrades+'!$AG$17,"E",IF(P481&lt;'PlayerGrades+'!$AG$16,"E+",IF(P481&lt;'PlayerGrades+'!$AG$15,"D-",IF(P481&lt;'PlayerGrades+'!$AG$14,"D",IF(P481&lt;'PlayerGrades+'!$AG$13,"D+",IF(P481&lt;'PlayerGrades+'!$AG$12,"C-",IF(P481&lt;'PlayerGrades+'!$AG$11,"C",IF(P481&lt;'PlayerGrades+'!$AG$10,"C+",IF(P481&lt;'PlayerGrades+'!$AG$9,"B-",IF(P481&lt;'PlayerGrades+'!$AG$8,"B",IF(P481&lt;'PlayerGrades+'!$AG$7,"B+",IF(P481&lt;'PlayerGrades+'!$AG$6,"A-",IF(P481&lt;'PlayerGrades+'!$AG$5,"A",IF(P481&lt;'PlayerGrades+'!$AG$4,"A+",IF(P481&lt;'PlayerGrades+'!$AG$3,"S-",IF(P481&lt;'PlayerGrades+'!$AG$2,"S","S+"))))))))))))))))))))</f>
        <v>#DIV/0!</v>
      </c>
      <c r="R481" s="961" t="str">
        <f t="shared" si="8"/>
        <v>#DIV/0!</v>
      </c>
      <c r="S481" s="961" t="str">
        <f>IF(R481&lt;'PlayerGrades+'!$AH$21,"F-",IF(R481&lt;'PlayerGrades+'!$AH$20,"F",IF(R481&lt;'PlayerGrades+'!$AH$19,"F+",IF(R481&lt;'PlayerGrades+'!$AH$18,"E-",IF(R481&lt;'PlayerGrades+'!$AH$17,"E",IF(R481&lt;'PlayerGrades+'!$AH$16,"E+",IF(R481&lt;'PlayerGrades+'!$AH$15,"D-",IF(R481&lt;'PlayerGrades+'!$AH$14,"D",IF(R481&lt;'PlayerGrades+'!$AH$13,"D+",IF(R481&lt;'PlayerGrades+'!$AH$12,"C-",IF(R481&lt;'PlayerGrades+'!$AH$11,"C",IF(R481&lt;'PlayerGrades+'!$AH$10,"C+",IF(R481&lt;'PlayerGrades+'!$AH$9,"B-",IF(R481&lt;'PlayerGrades+'!$AH$8,"B",IF(R481&lt;'PlayerGrades+'!$AH$7,"B+",IF(R481&lt;'PlayerGrades+'!$AH$6,"A-",IF(R481&lt;'PlayerGrades+'!$AH$5,"A",IF(R481&lt;'PlayerGrades+'!$AH$4,"A+",IF(R481&lt;'PlayerGrades+'!$AH$3,"S-",IF(R481&lt;'PlayerGrades+'!$AH$2,"S","S+"))))))))))))))))))))</f>
        <v>#DIV/0!</v>
      </c>
      <c r="T481" s="961">
        <f t="shared" si="9"/>
        <v>0</v>
      </c>
      <c r="U481" s="961" t="str">
        <f>IF(T481&lt;'PlayerGrades+'!$AI$21,"F-",IF(T481&lt;'PlayerGrades+'!$AI$20,"F",IF(T481&lt;'PlayerGrades+'!$AI$19,"F+",IF(T481&lt;'PlayerGrades+'!$AI$18,"E-",IF(T481&lt;'PlayerGrades+'!$AI$17,"E",IF(T481&lt;'PlayerGrades+'!$AI$16,"E+",IF(T481&lt;'PlayerGrades+'!$AI$15,"D-",IF(T481&lt;'PlayerGrades+'!$AI$14,"D",IF(T481&lt;'PlayerGrades+'!$AI$13,"D+",IF(T481&lt;'PlayerGrades+'!$AI$12,"C-",IF(T481&lt;'PlayerGrades+'!$AI$11,"C",IF(T481&lt;'PlayerGrades+'!$AI$10,"C+",IF(T481&lt;'PlayerGrades+'!$AI$9,"B-",IF(T481&lt;'PlayerGrades+'!$AI$8,"B",IF(T481&lt;'PlayerGrades+'!$AI$7,"B+",IF(T481&lt;'PlayerGrades+'!$AI$6,"A-",IF(T481&lt;'PlayerGrades+'!$AI$5,"A",IF(T481&lt;'PlayerGrades+'!$AI$4,"A+",IF(T481&lt;'PlayerGrades+'!$AI$3,"S-",IF(T481&lt;'PlayerGrades+'!$AI$2,"S","S+"))))))))))))))))))))</f>
        <v>F-</v>
      </c>
      <c r="V481" s="1386"/>
      <c r="W481" s="1386"/>
      <c r="X481" s="1386"/>
      <c r="Y481" s="1386"/>
      <c r="Z481" s="1386"/>
      <c r="AA481" s="1386"/>
      <c r="AB481" s="1386"/>
      <c r="AC481" s="1397"/>
      <c r="AD481" s="1386"/>
      <c r="AE481" s="1386"/>
      <c r="AF481" s="1386"/>
      <c r="AG481" s="1386"/>
      <c r="AH481" s="1386"/>
      <c r="AI481" s="1386"/>
      <c r="AJ481" s="1386"/>
      <c r="AK481" s="1386"/>
      <c r="AL481" s="1386"/>
      <c r="AM481" s="1386"/>
      <c r="AN481" s="1386"/>
      <c r="AO481" s="1386"/>
      <c r="AP481" s="1386"/>
      <c r="AQ481" s="1386"/>
      <c r="AR481" s="1386"/>
      <c r="AS481" s="1386"/>
      <c r="AT481" s="1386"/>
      <c r="AU481" s="1386"/>
      <c r="AV481" s="1386"/>
      <c r="AW481" s="1386"/>
      <c r="AX481" s="1386"/>
      <c r="AY481" s="1386"/>
      <c r="AZ481" s="1386"/>
    </row>
    <row r="482">
      <c r="A482" s="1389"/>
      <c r="B482" s="611" t="str">
        <f>IF(C482&lt;'PlayerGrades+'!$Y$44,"F-",IF(C482&lt;'PlayerGrades+'!$Y$43,"F",IF(C482&lt;'PlayerGrades+'!$Y$42,"F+",IF(C482&lt;'PlayerGrades+'!$Y$41,"E-",IF(C482&lt;'PlayerGrades+'!$Y$40,"E",IF(C482&lt;'PlayerGrades+'!$Y$39,"E+",IF(C482&lt;'PlayerGrades+'!$Y$38,"D-",IF(C482&lt;'PlayerGrades+'!$Y$37,"D",IF(C482&lt;'PlayerGrades+'!$Y$36,"D+",IF(C482&lt;'PlayerGrades+'!$Y$35,"C-",IF(C482&lt;'PlayerGrades+'!$Y$34,"C",IF(C482&lt;'PlayerGrades+'!$Y$33,"C+",IF(C482&lt;'PlayerGrades+'!$Y$32,"B-",IF(C482&lt;'PlayerGrades+'!$Y$31,"B",IF(C482&lt;'PlayerGrades+'!$Y$30,"B+",IF(C482&lt;'PlayerGrades+'!$Y$29,"A-",IF(C482&lt;'PlayerGrades+'!$Y$28,"A",IF(C482&lt;'PlayerGrades+'!$Y$27,"A+",IF(C482&lt;'PlayerGrades+'!$Y$26,"S-",IF(C482&lt;'PlayerGrades+'!$Y$25,"S","S+"))))))))))))))))))))</f>
        <v>#DIV/0!</v>
      </c>
      <c r="C482" s="1378" t="str">
        <f>('PlayerGrades+'!$Y$47*(VLOOKUP(E482, 'PlayerGrades+'!$X$3:$Y$23, 2, FALSE)))+('PlayerGrades+'!$Y$48*(VLOOKUP(G482, 'PlayerGrades+'!$X$3:$Y$23, 2, FALSE)))+('PlayerGrades+'!$Y$49*(VLOOKUP(I482, 'PlayerGrades+'!$X$3:$Y$23, 2, FALSE)))+('PlayerGrades+'!$Y$50*(VLOOKUP(K482, 'PlayerGrades+'!$X$3:$Y$23, 2, FALSE)))+('PlayerGrades+'!$Y$51*(VLOOKUP(M482, 'PlayerGrades+'!$X$3:$Y$23, 2, FALSE)))+('PlayerGrades+'!$Y$52*(VLOOKUP(O482, 'PlayerGrades+'!$X$3:$Y$23, 2, FALSE)))+('PlayerGrades+'!$Y$53*(VLOOKUP(Q482, 'PlayerGrades+'!$X$3:$Y$23, 2, FALSE)))+('PlayerGrades+'!$Y$54*(VLOOKUP(S482, 'PlayerGrades+'!$X$3:$Y$23, 2, FALSE)))+('PlayerGrades+'!$Y$55*(VLOOKUP(U482, 'PlayerGrades+'!$X$3:$Y$23, 2, FALSE)))</f>
        <v>#DIV/0!</v>
      </c>
      <c r="D482" s="961" t="str">
        <f t="shared" si="1"/>
        <v>#DIV/0!</v>
      </c>
      <c r="E482" s="961" t="str">
        <f>IF(D482&lt;'PlayerGrades+'!$AA$21,"F-",IF(D482&lt;'PlayerGrades+'!$AA$20,"F",IF(D482&lt;'PlayerGrades+'!$AA$19,"F+",IF(D482&lt;'PlayerGrades+'!$AA$18,"E-",IF(D482&lt;'PlayerGrades+'!$AA$17,"E",IF(D482&lt;'PlayerGrades+'!$AA$16,"E+",IF(D482&lt;'PlayerGrades+'!$AA$15,"D-",IF(D482&lt;'PlayerGrades+'!$AA$14,"D",IF(D482&lt;'PlayerGrades+'!$AA$13,"D+",IF(D482&lt;'PlayerGrades+'!$AA$12,"C-",IF(D482&lt;'PlayerGrades+'!$AA$11,"C",IF(D482&lt;'PlayerGrades+'!$AA$10,"C+",IF(D482&lt;'PlayerGrades+'!$AA$9,"B-",IF(D482&lt;'PlayerGrades+'!$AA$8,"B",IF(D482&lt;'PlayerGrades+'!$AA$7,"B+",IF(D482&lt;'PlayerGrades+'!$AA$6,"A-",IF(D482&lt;'PlayerGrades+'!$AA$5,"A",IF(D482&lt;'PlayerGrades+'!$AA$4,"A+",IF(D482&lt;'PlayerGrades+'!$AA$3,"S-",IF(D482&lt;'PlayerGrades+'!$AA$2,"S","S+"))))))))))))))))))))</f>
        <v>#DIV/0!</v>
      </c>
      <c r="F482" s="961" t="str">
        <f t="shared" si="2"/>
        <v>#DIV/0!</v>
      </c>
      <c r="G482" s="961" t="str">
        <f>IF(F482&lt;'PlayerGrades+'!$AB$21,"F-",IF(F482&lt;'PlayerGrades+'!$AB$20,"F",IF(F482&lt;'PlayerGrades+'!$AB$19,"F+",IF(F482&lt;'PlayerGrades+'!$AB$18,"E-",IF(F482&lt;'PlayerGrades+'!$AB$17,"E",IF(F482&lt;'PlayerGrades+'!$AB$16,"E+",IF(F482&lt;'PlayerGrades+'!$AB$15,"D-",IF(F482&lt;'PlayerGrades+'!$AB$14,"D",IF(F482&lt;'PlayerGrades+'!$AB$13,"D+",IF(F482&lt;'PlayerGrades+'!$AB$12,"C-",IF(F482&lt;'PlayerGrades+'!$AB$11,"C",IF(F482&lt;'PlayerGrades+'!$AB$10,"C+",IF(F482&lt;'PlayerGrades+'!$AB$9,"B-",IF(F482&lt;'PlayerGrades+'!$AB$8,"B",IF(F482&lt;'PlayerGrades+'!$AB$7,"B+",IF(F482&lt;'PlayerGrades+'!$AB$6,"A-",IF(F482&lt;'PlayerGrades+'!$AB$5,"A",IF(F482&lt;'PlayerGrades+'!$AB$4,"A+",IF(F482&lt;'PlayerGrades+'!$AB$3,"S-",IF(F482&lt;'PlayerGrades+'!$AB$2,"S","S+"))))))))))))))))))))</f>
        <v>#DIV/0!</v>
      </c>
      <c r="H482" s="961" t="str">
        <f t="shared" si="3"/>
        <v>#DIV/0!</v>
      </c>
      <c r="I482" s="961" t="str">
        <f>IF(H482&lt;'PlayerGrades+'!$AC$21,"F-",IF(H482&lt;'PlayerGrades+'!$AC$20,"F",IF(H482&lt;'PlayerGrades+'!$AC$19,"F+",IF(H482&lt;'PlayerGrades+'!$AC$18,"E-",IF(H482&lt;'PlayerGrades+'!$AC$17,"E",IF(H482&lt;'PlayerGrades+'!$AC$16,"E+",IF(H482&lt;'PlayerGrades+'!$AC$15,"D-",IF(H482&lt;'PlayerGrades+'!$AC$14,"D",IF(H482&lt;'PlayerGrades+'!$AC$13,"D+",IF(H482&lt;'PlayerGrades+'!$AC$12,"C-",IF(H482&lt;'PlayerGrades+'!$AC$11,"C",IF(H482&lt;'PlayerGrades+'!$AC$10,"C+",IF(H482&lt;'PlayerGrades+'!$AC$9,"B-",IF(H482&lt;'PlayerGrades+'!$AC$8,"B",IF(H482&lt;'PlayerGrades+'!$AC$7,"B+",IF(H482&lt;'PlayerGrades+'!$AC$6,"A-",IF(H482&lt;'PlayerGrades+'!$AC$5,"A",IF(H482&lt;'PlayerGrades+'!$AC$4,"A+",IF(H482&lt;'PlayerGrades+'!$AC$3,"S-",IF(H482&lt;'PlayerGrades+'!$AC$2,"S","S+"))))))))))))))))))))</f>
        <v>#DIV/0!</v>
      </c>
      <c r="J482" s="961" t="str">
        <f t="shared" si="4"/>
        <v>#DIV/0!</v>
      </c>
      <c r="K482" s="961" t="str">
        <f>IF(J482&lt;'PlayerGrades+'!$AD$21,"F-",IF(J482&lt;'PlayerGrades+'!$AD$20,"F",IF(J482&lt;'PlayerGrades+'!$AD$19,"F+",IF(J482&lt;'PlayerGrades+'!$AD$18,"E-",IF(J482&lt;'PlayerGrades+'!$AD$17,"E",IF(J482&lt;'PlayerGrades+'!$AD$16,"E+",IF(J482&lt;'PlayerGrades+'!$AD$15,"D-",IF(J482&lt;'PlayerGrades+'!$AD$14,"D",IF(J482&lt;'PlayerGrades+'!$AD$13,"D+",IF(J482&lt;'PlayerGrades+'!$AD$12,"C-",IF(J482&lt;'PlayerGrades+'!$AD$11,"C",IF(J482&lt;'PlayerGrades+'!$AD$10,"C+",IF(J482&lt;'PlayerGrades+'!$AD$9,"B-",IF(J482&lt;'PlayerGrades+'!$AD$8,"B",IF(J482&lt;'PlayerGrades+'!$AD$7,"B+",IF(J482&lt;'PlayerGrades+'!$AD$6,"A-",IF(J482&lt;'PlayerGrades+'!$AD$5,"A",IF(J482&lt;'PlayerGrades+'!$AD$4,"A+",IF(J482&lt;'PlayerGrades+'!$AD$3,"S-",IF(J482&lt;'PlayerGrades+'!$AD$2,"S","S+"))))))))))))))))))))</f>
        <v>#DIV/0!</v>
      </c>
      <c r="L482" s="1176" t="str">
        <f t="shared" si="5"/>
        <v>#DIV/0!</v>
      </c>
      <c r="M482" s="992" t="str">
        <f>IF(L482&lt;'PlayerGrades+'!$AE$21,"F-",IF(L482&lt;'PlayerGrades+'!$AE$20,"F",IF(L482&lt;'PlayerGrades+'!$AE$19,"F+",IF(L482&lt;'PlayerGrades+'!$AE$18,"E-",IF(L482&lt;'PlayerGrades+'!$AE$17,"E",IF(L482&lt;'PlayerGrades+'!$AE$16,"E+",IF(L482&lt;'PlayerGrades+'!$AE$15,"D-",IF(L482&lt;'PlayerGrades+'!$AE$14,"D",IF(L482&lt;'PlayerGrades+'!$AE$13,"D+",IF(L482&lt;'PlayerGrades+'!$AE$12,"C-",IF(L482&lt;'PlayerGrades+'!$AE$11,"C",IF(L482&lt;'PlayerGrades+'!$AE$10,"C+",IF(L482&lt;'PlayerGrades+'!$AE$9,"B-",IF(L482&lt;'PlayerGrades+'!$AE$8,"B",IF(L482&lt;'PlayerGrades+'!$AE$7,"B+",IF(L482&lt;'PlayerGrades+'!$AE$6,"A-",IF(L482&lt;'PlayerGrades+'!$AE$5,"A",IF(L482&lt;'PlayerGrades+'!$AE$4,"A+",IF(L482&lt;'PlayerGrades+'!$AE$3,"S-",IF(L482&lt;'PlayerGrades+'!$AE$2,"S","S+"))))))))))))))))))))</f>
        <v>#DIV/0!</v>
      </c>
      <c r="N482" s="961" t="str">
        <f t="shared" si="6"/>
        <v>#DIV/0!</v>
      </c>
      <c r="O482" s="961" t="str">
        <f>IF(N482&lt;'PlayerGrades+'!$AF$21,"F-",IF(N482&lt;'PlayerGrades+'!$AF$20,"F",IF(N482&lt;'PlayerGrades+'!$AF$19,"F+",IF(N482&lt;'PlayerGrades+'!$AF$18,"E-",IF(N482&lt;'PlayerGrades+'!$AF$17,"E",IF(N482&lt;'PlayerGrades+'!$AF$16,"E+",IF(N482&lt;'PlayerGrades+'!$AF$15,"D-",IF(N482&lt;'PlayerGrades+'!$AF$14,"D",IF(N482&lt;'PlayerGrades+'!$AF$13,"D+",IF(N482&lt;'PlayerGrades+'!$AF$12,"C-",IF(N482&lt;'PlayerGrades+'!$AF$11,"C",IF(N482&lt;'PlayerGrades+'!$AF$10,"C+",IF(N482&lt;'PlayerGrades+'!$AF$9,"B-",IF(N482&lt;'PlayerGrades+'!$AF$8,"B",IF(N482&lt;'PlayerGrades+'!$AF$7,"B+",IF(N482&lt;'PlayerGrades+'!$AF$6,"A-",IF(N482&lt;'PlayerGrades+'!$AF$5,"A",IF(N482&lt;'PlayerGrades+'!$AF$4,"A+",IF(N482&lt;'PlayerGrades+'!$AF$3,"S-",IF(N482&lt;'PlayerGrades+'!$AF$2,"S","S+"))))))))))))))))))))</f>
        <v>#DIV/0!</v>
      </c>
      <c r="P482" s="961" t="str">
        <f t="shared" si="7"/>
        <v>#DIV/0!</v>
      </c>
      <c r="Q482" s="961" t="str">
        <f>IF(P482&lt;'PlayerGrades+'!$AG$21,"F-",IF(P482&lt;'PlayerGrades+'!$AG$20,"F",IF(P482&lt;'PlayerGrades+'!$AG$19,"F+",IF(P482&lt;'PlayerGrades+'!$AG$18,"E-",IF(P482&lt;'PlayerGrades+'!$AG$17,"E",IF(P482&lt;'PlayerGrades+'!$AG$16,"E+",IF(P482&lt;'PlayerGrades+'!$AG$15,"D-",IF(P482&lt;'PlayerGrades+'!$AG$14,"D",IF(P482&lt;'PlayerGrades+'!$AG$13,"D+",IF(P482&lt;'PlayerGrades+'!$AG$12,"C-",IF(P482&lt;'PlayerGrades+'!$AG$11,"C",IF(P482&lt;'PlayerGrades+'!$AG$10,"C+",IF(P482&lt;'PlayerGrades+'!$AG$9,"B-",IF(P482&lt;'PlayerGrades+'!$AG$8,"B",IF(P482&lt;'PlayerGrades+'!$AG$7,"B+",IF(P482&lt;'PlayerGrades+'!$AG$6,"A-",IF(P482&lt;'PlayerGrades+'!$AG$5,"A",IF(P482&lt;'PlayerGrades+'!$AG$4,"A+",IF(P482&lt;'PlayerGrades+'!$AG$3,"S-",IF(P482&lt;'PlayerGrades+'!$AG$2,"S","S+"))))))))))))))))))))</f>
        <v>#DIV/0!</v>
      </c>
      <c r="R482" s="961" t="str">
        <f t="shared" si="8"/>
        <v>#DIV/0!</v>
      </c>
      <c r="S482" s="961" t="str">
        <f>IF(R482&lt;'PlayerGrades+'!$AH$21,"F-",IF(R482&lt;'PlayerGrades+'!$AH$20,"F",IF(R482&lt;'PlayerGrades+'!$AH$19,"F+",IF(R482&lt;'PlayerGrades+'!$AH$18,"E-",IF(R482&lt;'PlayerGrades+'!$AH$17,"E",IF(R482&lt;'PlayerGrades+'!$AH$16,"E+",IF(R482&lt;'PlayerGrades+'!$AH$15,"D-",IF(R482&lt;'PlayerGrades+'!$AH$14,"D",IF(R482&lt;'PlayerGrades+'!$AH$13,"D+",IF(R482&lt;'PlayerGrades+'!$AH$12,"C-",IF(R482&lt;'PlayerGrades+'!$AH$11,"C",IF(R482&lt;'PlayerGrades+'!$AH$10,"C+",IF(R482&lt;'PlayerGrades+'!$AH$9,"B-",IF(R482&lt;'PlayerGrades+'!$AH$8,"B",IF(R482&lt;'PlayerGrades+'!$AH$7,"B+",IF(R482&lt;'PlayerGrades+'!$AH$6,"A-",IF(R482&lt;'PlayerGrades+'!$AH$5,"A",IF(R482&lt;'PlayerGrades+'!$AH$4,"A+",IF(R482&lt;'PlayerGrades+'!$AH$3,"S-",IF(R482&lt;'PlayerGrades+'!$AH$2,"S","S+"))))))))))))))))))))</f>
        <v>#DIV/0!</v>
      </c>
      <c r="T482" s="961">
        <f t="shared" si="9"/>
        <v>0</v>
      </c>
      <c r="U482" s="961" t="str">
        <f>IF(T482&lt;'PlayerGrades+'!$AI$21,"F-",IF(T482&lt;'PlayerGrades+'!$AI$20,"F",IF(T482&lt;'PlayerGrades+'!$AI$19,"F+",IF(T482&lt;'PlayerGrades+'!$AI$18,"E-",IF(T482&lt;'PlayerGrades+'!$AI$17,"E",IF(T482&lt;'PlayerGrades+'!$AI$16,"E+",IF(T482&lt;'PlayerGrades+'!$AI$15,"D-",IF(T482&lt;'PlayerGrades+'!$AI$14,"D",IF(T482&lt;'PlayerGrades+'!$AI$13,"D+",IF(T482&lt;'PlayerGrades+'!$AI$12,"C-",IF(T482&lt;'PlayerGrades+'!$AI$11,"C",IF(T482&lt;'PlayerGrades+'!$AI$10,"C+",IF(T482&lt;'PlayerGrades+'!$AI$9,"B-",IF(T482&lt;'PlayerGrades+'!$AI$8,"B",IF(T482&lt;'PlayerGrades+'!$AI$7,"B+",IF(T482&lt;'PlayerGrades+'!$AI$6,"A-",IF(T482&lt;'PlayerGrades+'!$AI$5,"A",IF(T482&lt;'PlayerGrades+'!$AI$4,"A+",IF(T482&lt;'PlayerGrades+'!$AI$3,"S-",IF(T482&lt;'PlayerGrades+'!$AI$2,"S","S+"))))))))))))))))))))</f>
        <v>F-</v>
      </c>
      <c r="V482" s="1379"/>
      <c r="W482" s="1379"/>
      <c r="X482" s="1379"/>
      <c r="Y482" s="1379"/>
      <c r="Z482" s="1379"/>
      <c r="AA482" s="1379"/>
      <c r="AB482" s="1379"/>
      <c r="AC482" s="1390"/>
      <c r="AD482" s="1379"/>
      <c r="AE482" s="1379"/>
      <c r="AF482" s="1379"/>
      <c r="AG482" s="1379"/>
      <c r="AH482" s="1379"/>
      <c r="AI482" s="1379"/>
      <c r="AJ482" s="1379"/>
      <c r="AK482" s="1379"/>
      <c r="AL482" s="1379"/>
      <c r="AM482" s="1379"/>
      <c r="AN482" s="1379"/>
      <c r="AO482" s="1379"/>
      <c r="AP482" s="1379"/>
      <c r="AQ482" s="1379"/>
      <c r="AR482" s="1379"/>
      <c r="AS482" s="1379"/>
      <c r="AT482" s="1379"/>
      <c r="AU482" s="1379"/>
      <c r="AV482" s="1379"/>
      <c r="AW482" s="1379"/>
      <c r="AX482" s="1379"/>
      <c r="AY482" s="1379"/>
      <c r="AZ482" s="1379"/>
    </row>
    <row r="483">
      <c r="A483" s="1391"/>
      <c r="B483" s="611" t="str">
        <f>IF(C483&lt;'PlayerGrades+'!$Y$44,"F-",IF(C483&lt;'PlayerGrades+'!$Y$43,"F",IF(C483&lt;'PlayerGrades+'!$Y$42,"F+",IF(C483&lt;'PlayerGrades+'!$Y$41,"E-",IF(C483&lt;'PlayerGrades+'!$Y$40,"E",IF(C483&lt;'PlayerGrades+'!$Y$39,"E+",IF(C483&lt;'PlayerGrades+'!$Y$38,"D-",IF(C483&lt;'PlayerGrades+'!$Y$37,"D",IF(C483&lt;'PlayerGrades+'!$Y$36,"D+",IF(C483&lt;'PlayerGrades+'!$Y$35,"C-",IF(C483&lt;'PlayerGrades+'!$Y$34,"C",IF(C483&lt;'PlayerGrades+'!$Y$33,"C+",IF(C483&lt;'PlayerGrades+'!$Y$32,"B-",IF(C483&lt;'PlayerGrades+'!$Y$31,"B",IF(C483&lt;'PlayerGrades+'!$Y$30,"B+",IF(C483&lt;'PlayerGrades+'!$Y$29,"A-",IF(C483&lt;'PlayerGrades+'!$Y$28,"A",IF(C483&lt;'PlayerGrades+'!$Y$27,"A+",IF(C483&lt;'PlayerGrades+'!$Y$26,"S-",IF(C483&lt;'PlayerGrades+'!$Y$25,"S","S+"))))))))))))))))))))</f>
        <v>#DIV/0!</v>
      </c>
      <c r="C483" s="1378" t="str">
        <f>('PlayerGrades+'!$Y$47*(VLOOKUP(E483, 'PlayerGrades+'!$X$3:$Y$23, 2, FALSE)))+('PlayerGrades+'!$Y$48*(VLOOKUP(G483, 'PlayerGrades+'!$X$3:$Y$23, 2, FALSE)))+('PlayerGrades+'!$Y$49*(VLOOKUP(I483, 'PlayerGrades+'!$X$3:$Y$23, 2, FALSE)))+('PlayerGrades+'!$Y$50*(VLOOKUP(K483, 'PlayerGrades+'!$X$3:$Y$23, 2, FALSE)))+('PlayerGrades+'!$Y$51*(VLOOKUP(M483, 'PlayerGrades+'!$X$3:$Y$23, 2, FALSE)))+('PlayerGrades+'!$Y$52*(VLOOKUP(O483, 'PlayerGrades+'!$X$3:$Y$23, 2, FALSE)))+('PlayerGrades+'!$Y$53*(VLOOKUP(Q483, 'PlayerGrades+'!$X$3:$Y$23, 2, FALSE)))+('PlayerGrades+'!$Y$54*(VLOOKUP(S483, 'PlayerGrades+'!$X$3:$Y$23, 2, FALSE)))+('PlayerGrades+'!$Y$55*(VLOOKUP(U483, 'PlayerGrades+'!$X$3:$Y$23, 2, FALSE)))</f>
        <v>#DIV/0!</v>
      </c>
      <c r="D483" s="961" t="str">
        <f t="shared" si="1"/>
        <v>#DIV/0!</v>
      </c>
      <c r="E483" s="961" t="str">
        <f>IF(D483&lt;'PlayerGrades+'!$AA$21,"F-",IF(D483&lt;'PlayerGrades+'!$AA$20,"F",IF(D483&lt;'PlayerGrades+'!$AA$19,"F+",IF(D483&lt;'PlayerGrades+'!$AA$18,"E-",IF(D483&lt;'PlayerGrades+'!$AA$17,"E",IF(D483&lt;'PlayerGrades+'!$AA$16,"E+",IF(D483&lt;'PlayerGrades+'!$AA$15,"D-",IF(D483&lt;'PlayerGrades+'!$AA$14,"D",IF(D483&lt;'PlayerGrades+'!$AA$13,"D+",IF(D483&lt;'PlayerGrades+'!$AA$12,"C-",IF(D483&lt;'PlayerGrades+'!$AA$11,"C",IF(D483&lt;'PlayerGrades+'!$AA$10,"C+",IF(D483&lt;'PlayerGrades+'!$AA$9,"B-",IF(D483&lt;'PlayerGrades+'!$AA$8,"B",IF(D483&lt;'PlayerGrades+'!$AA$7,"B+",IF(D483&lt;'PlayerGrades+'!$AA$6,"A-",IF(D483&lt;'PlayerGrades+'!$AA$5,"A",IF(D483&lt;'PlayerGrades+'!$AA$4,"A+",IF(D483&lt;'PlayerGrades+'!$AA$3,"S-",IF(D483&lt;'PlayerGrades+'!$AA$2,"S","S+"))))))))))))))))))))</f>
        <v>#DIV/0!</v>
      </c>
      <c r="F483" s="961" t="str">
        <f t="shared" si="2"/>
        <v>#DIV/0!</v>
      </c>
      <c r="G483" s="961" t="str">
        <f>IF(F483&lt;'PlayerGrades+'!$AB$21,"F-",IF(F483&lt;'PlayerGrades+'!$AB$20,"F",IF(F483&lt;'PlayerGrades+'!$AB$19,"F+",IF(F483&lt;'PlayerGrades+'!$AB$18,"E-",IF(F483&lt;'PlayerGrades+'!$AB$17,"E",IF(F483&lt;'PlayerGrades+'!$AB$16,"E+",IF(F483&lt;'PlayerGrades+'!$AB$15,"D-",IF(F483&lt;'PlayerGrades+'!$AB$14,"D",IF(F483&lt;'PlayerGrades+'!$AB$13,"D+",IF(F483&lt;'PlayerGrades+'!$AB$12,"C-",IF(F483&lt;'PlayerGrades+'!$AB$11,"C",IF(F483&lt;'PlayerGrades+'!$AB$10,"C+",IF(F483&lt;'PlayerGrades+'!$AB$9,"B-",IF(F483&lt;'PlayerGrades+'!$AB$8,"B",IF(F483&lt;'PlayerGrades+'!$AB$7,"B+",IF(F483&lt;'PlayerGrades+'!$AB$6,"A-",IF(F483&lt;'PlayerGrades+'!$AB$5,"A",IF(F483&lt;'PlayerGrades+'!$AB$4,"A+",IF(F483&lt;'PlayerGrades+'!$AB$3,"S-",IF(F483&lt;'PlayerGrades+'!$AB$2,"S","S+"))))))))))))))))))))</f>
        <v>#DIV/0!</v>
      </c>
      <c r="H483" s="961" t="str">
        <f t="shared" si="3"/>
        <v>#DIV/0!</v>
      </c>
      <c r="I483" s="961" t="str">
        <f>IF(H483&lt;'PlayerGrades+'!$AC$21,"F-",IF(H483&lt;'PlayerGrades+'!$AC$20,"F",IF(H483&lt;'PlayerGrades+'!$AC$19,"F+",IF(H483&lt;'PlayerGrades+'!$AC$18,"E-",IF(H483&lt;'PlayerGrades+'!$AC$17,"E",IF(H483&lt;'PlayerGrades+'!$AC$16,"E+",IF(H483&lt;'PlayerGrades+'!$AC$15,"D-",IF(H483&lt;'PlayerGrades+'!$AC$14,"D",IF(H483&lt;'PlayerGrades+'!$AC$13,"D+",IF(H483&lt;'PlayerGrades+'!$AC$12,"C-",IF(H483&lt;'PlayerGrades+'!$AC$11,"C",IF(H483&lt;'PlayerGrades+'!$AC$10,"C+",IF(H483&lt;'PlayerGrades+'!$AC$9,"B-",IF(H483&lt;'PlayerGrades+'!$AC$8,"B",IF(H483&lt;'PlayerGrades+'!$AC$7,"B+",IF(H483&lt;'PlayerGrades+'!$AC$6,"A-",IF(H483&lt;'PlayerGrades+'!$AC$5,"A",IF(H483&lt;'PlayerGrades+'!$AC$4,"A+",IF(H483&lt;'PlayerGrades+'!$AC$3,"S-",IF(H483&lt;'PlayerGrades+'!$AC$2,"S","S+"))))))))))))))))))))</f>
        <v>#DIV/0!</v>
      </c>
      <c r="J483" s="961" t="str">
        <f t="shared" si="4"/>
        <v>#DIV/0!</v>
      </c>
      <c r="K483" s="961" t="str">
        <f>IF(J483&lt;'PlayerGrades+'!$AD$21,"F-",IF(J483&lt;'PlayerGrades+'!$AD$20,"F",IF(J483&lt;'PlayerGrades+'!$AD$19,"F+",IF(J483&lt;'PlayerGrades+'!$AD$18,"E-",IF(J483&lt;'PlayerGrades+'!$AD$17,"E",IF(J483&lt;'PlayerGrades+'!$AD$16,"E+",IF(J483&lt;'PlayerGrades+'!$AD$15,"D-",IF(J483&lt;'PlayerGrades+'!$AD$14,"D",IF(J483&lt;'PlayerGrades+'!$AD$13,"D+",IF(J483&lt;'PlayerGrades+'!$AD$12,"C-",IF(J483&lt;'PlayerGrades+'!$AD$11,"C",IF(J483&lt;'PlayerGrades+'!$AD$10,"C+",IF(J483&lt;'PlayerGrades+'!$AD$9,"B-",IF(J483&lt;'PlayerGrades+'!$AD$8,"B",IF(J483&lt;'PlayerGrades+'!$AD$7,"B+",IF(J483&lt;'PlayerGrades+'!$AD$6,"A-",IF(J483&lt;'PlayerGrades+'!$AD$5,"A",IF(J483&lt;'PlayerGrades+'!$AD$4,"A+",IF(J483&lt;'PlayerGrades+'!$AD$3,"S-",IF(J483&lt;'PlayerGrades+'!$AD$2,"S","S+"))))))))))))))))))))</f>
        <v>#DIV/0!</v>
      </c>
      <c r="L483" s="1176" t="str">
        <f t="shared" si="5"/>
        <v>#DIV/0!</v>
      </c>
      <c r="M483" s="992" t="str">
        <f>IF(L483&lt;'PlayerGrades+'!$AE$21,"F-",IF(L483&lt;'PlayerGrades+'!$AE$20,"F",IF(L483&lt;'PlayerGrades+'!$AE$19,"F+",IF(L483&lt;'PlayerGrades+'!$AE$18,"E-",IF(L483&lt;'PlayerGrades+'!$AE$17,"E",IF(L483&lt;'PlayerGrades+'!$AE$16,"E+",IF(L483&lt;'PlayerGrades+'!$AE$15,"D-",IF(L483&lt;'PlayerGrades+'!$AE$14,"D",IF(L483&lt;'PlayerGrades+'!$AE$13,"D+",IF(L483&lt;'PlayerGrades+'!$AE$12,"C-",IF(L483&lt;'PlayerGrades+'!$AE$11,"C",IF(L483&lt;'PlayerGrades+'!$AE$10,"C+",IF(L483&lt;'PlayerGrades+'!$AE$9,"B-",IF(L483&lt;'PlayerGrades+'!$AE$8,"B",IF(L483&lt;'PlayerGrades+'!$AE$7,"B+",IF(L483&lt;'PlayerGrades+'!$AE$6,"A-",IF(L483&lt;'PlayerGrades+'!$AE$5,"A",IF(L483&lt;'PlayerGrades+'!$AE$4,"A+",IF(L483&lt;'PlayerGrades+'!$AE$3,"S-",IF(L483&lt;'PlayerGrades+'!$AE$2,"S","S+"))))))))))))))))))))</f>
        <v>#DIV/0!</v>
      </c>
      <c r="N483" s="961" t="str">
        <f t="shared" si="6"/>
        <v>#DIV/0!</v>
      </c>
      <c r="O483" s="961" t="str">
        <f>IF(N483&lt;'PlayerGrades+'!$AF$21,"F-",IF(N483&lt;'PlayerGrades+'!$AF$20,"F",IF(N483&lt;'PlayerGrades+'!$AF$19,"F+",IF(N483&lt;'PlayerGrades+'!$AF$18,"E-",IF(N483&lt;'PlayerGrades+'!$AF$17,"E",IF(N483&lt;'PlayerGrades+'!$AF$16,"E+",IF(N483&lt;'PlayerGrades+'!$AF$15,"D-",IF(N483&lt;'PlayerGrades+'!$AF$14,"D",IF(N483&lt;'PlayerGrades+'!$AF$13,"D+",IF(N483&lt;'PlayerGrades+'!$AF$12,"C-",IF(N483&lt;'PlayerGrades+'!$AF$11,"C",IF(N483&lt;'PlayerGrades+'!$AF$10,"C+",IF(N483&lt;'PlayerGrades+'!$AF$9,"B-",IF(N483&lt;'PlayerGrades+'!$AF$8,"B",IF(N483&lt;'PlayerGrades+'!$AF$7,"B+",IF(N483&lt;'PlayerGrades+'!$AF$6,"A-",IF(N483&lt;'PlayerGrades+'!$AF$5,"A",IF(N483&lt;'PlayerGrades+'!$AF$4,"A+",IF(N483&lt;'PlayerGrades+'!$AF$3,"S-",IF(N483&lt;'PlayerGrades+'!$AF$2,"S","S+"))))))))))))))))))))</f>
        <v>#DIV/0!</v>
      </c>
      <c r="P483" s="961" t="str">
        <f t="shared" si="7"/>
        <v>#DIV/0!</v>
      </c>
      <c r="Q483" s="961" t="str">
        <f>IF(P483&lt;'PlayerGrades+'!$AG$21,"F-",IF(P483&lt;'PlayerGrades+'!$AG$20,"F",IF(P483&lt;'PlayerGrades+'!$AG$19,"F+",IF(P483&lt;'PlayerGrades+'!$AG$18,"E-",IF(P483&lt;'PlayerGrades+'!$AG$17,"E",IF(P483&lt;'PlayerGrades+'!$AG$16,"E+",IF(P483&lt;'PlayerGrades+'!$AG$15,"D-",IF(P483&lt;'PlayerGrades+'!$AG$14,"D",IF(P483&lt;'PlayerGrades+'!$AG$13,"D+",IF(P483&lt;'PlayerGrades+'!$AG$12,"C-",IF(P483&lt;'PlayerGrades+'!$AG$11,"C",IF(P483&lt;'PlayerGrades+'!$AG$10,"C+",IF(P483&lt;'PlayerGrades+'!$AG$9,"B-",IF(P483&lt;'PlayerGrades+'!$AG$8,"B",IF(P483&lt;'PlayerGrades+'!$AG$7,"B+",IF(P483&lt;'PlayerGrades+'!$AG$6,"A-",IF(P483&lt;'PlayerGrades+'!$AG$5,"A",IF(P483&lt;'PlayerGrades+'!$AG$4,"A+",IF(P483&lt;'PlayerGrades+'!$AG$3,"S-",IF(P483&lt;'PlayerGrades+'!$AG$2,"S","S+"))))))))))))))))))))</f>
        <v>#DIV/0!</v>
      </c>
      <c r="R483" s="961" t="str">
        <f t="shared" si="8"/>
        <v>#DIV/0!</v>
      </c>
      <c r="S483" s="961" t="str">
        <f>IF(R483&lt;'PlayerGrades+'!$AH$21,"F-",IF(R483&lt;'PlayerGrades+'!$AH$20,"F",IF(R483&lt;'PlayerGrades+'!$AH$19,"F+",IF(R483&lt;'PlayerGrades+'!$AH$18,"E-",IF(R483&lt;'PlayerGrades+'!$AH$17,"E",IF(R483&lt;'PlayerGrades+'!$AH$16,"E+",IF(R483&lt;'PlayerGrades+'!$AH$15,"D-",IF(R483&lt;'PlayerGrades+'!$AH$14,"D",IF(R483&lt;'PlayerGrades+'!$AH$13,"D+",IF(R483&lt;'PlayerGrades+'!$AH$12,"C-",IF(R483&lt;'PlayerGrades+'!$AH$11,"C",IF(R483&lt;'PlayerGrades+'!$AH$10,"C+",IF(R483&lt;'PlayerGrades+'!$AH$9,"B-",IF(R483&lt;'PlayerGrades+'!$AH$8,"B",IF(R483&lt;'PlayerGrades+'!$AH$7,"B+",IF(R483&lt;'PlayerGrades+'!$AH$6,"A-",IF(R483&lt;'PlayerGrades+'!$AH$5,"A",IF(R483&lt;'PlayerGrades+'!$AH$4,"A+",IF(R483&lt;'PlayerGrades+'!$AH$3,"S-",IF(R483&lt;'PlayerGrades+'!$AH$2,"S","S+"))))))))))))))))))))</f>
        <v>#DIV/0!</v>
      </c>
      <c r="T483" s="961">
        <f t="shared" si="9"/>
        <v>0</v>
      </c>
      <c r="U483" s="961" t="str">
        <f>IF(T483&lt;'PlayerGrades+'!$AI$21,"F-",IF(T483&lt;'PlayerGrades+'!$AI$20,"F",IF(T483&lt;'PlayerGrades+'!$AI$19,"F+",IF(T483&lt;'PlayerGrades+'!$AI$18,"E-",IF(T483&lt;'PlayerGrades+'!$AI$17,"E",IF(T483&lt;'PlayerGrades+'!$AI$16,"E+",IF(T483&lt;'PlayerGrades+'!$AI$15,"D-",IF(T483&lt;'PlayerGrades+'!$AI$14,"D",IF(T483&lt;'PlayerGrades+'!$AI$13,"D+",IF(T483&lt;'PlayerGrades+'!$AI$12,"C-",IF(T483&lt;'PlayerGrades+'!$AI$11,"C",IF(T483&lt;'PlayerGrades+'!$AI$10,"C+",IF(T483&lt;'PlayerGrades+'!$AI$9,"B-",IF(T483&lt;'PlayerGrades+'!$AI$8,"B",IF(T483&lt;'PlayerGrades+'!$AI$7,"B+",IF(T483&lt;'PlayerGrades+'!$AI$6,"A-",IF(T483&lt;'PlayerGrades+'!$AI$5,"A",IF(T483&lt;'PlayerGrades+'!$AI$4,"A+",IF(T483&lt;'PlayerGrades+'!$AI$3,"S-",IF(T483&lt;'PlayerGrades+'!$AI$2,"S","S+"))))))))))))))))))))</f>
        <v>F-</v>
      </c>
      <c r="AC483" s="1392"/>
    </row>
    <row r="484">
      <c r="A484" s="1391"/>
      <c r="B484" s="611" t="str">
        <f>IF(C484&lt;'PlayerGrades+'!$Y$44,"F-",IF(C484&lt;'PlayerGrades+'!$Y$43,"F",IF(C484&lt;'PlayerGrades+'!$Y$42,"F+",IF(C484&lt;'PlayerGrades+'!$Y$41,"E-",IF(C484&lt;'PlayerGrades+'!$Y$40,"E",IF(C484&lt;'PlayerGrades+'!$Y$39,"E+",IF(C484&lt;'PlayerGrades+'!$Y$38,"D-",IF(C484&lt;'PlayerGrades+'!$Y$37,"D",IF(C484&lt;'PlayerGrades+'!$Y$36,"D+",IF(C484&lt;'PlayerGrades+'!$Y$35,"C-",IF(C484&lt;'PlayerGrades+'!$Y$34,"C",IF(C484&lt;'PlayerGrades+'!$Y$33,"C+",IF(C484&lt;'PlayerGrades+'!$Y$32,"B-",IF(C484&lt;'PlayerGrades+'!$Y$31,"B",IF(C484&lt;'PlayerGrades+'!$Y$30,"B+",IF(C484&lt;'PlayerGrades+'!$Y$29,"A-",IF(C484&lt;'PlayerGrades+'!$Y$28,"A",IF(C484&lt;'PlayerGrades+'!$Y$27,"A+",IF(C484&lt;'PlayerGrades+'!$Y$26,"S-",IF(C484&lt;'PlayerGrades+'!$Y$25,"S","S+"))))))))))))))))))))</f>
        <v>#DIV/0!</v>
      </c>
      <c r="C484" s="1378" t="str">
        <f>('PlayerGrades+'!$Y$47*(VLOOKUP(E484, 'PlayerGrades+'!$X$3:$Y$23, 2, FALSE)))+('PlayerGrades+'!$Y$48*(VLOOKUP(G484, 'PlayerGrades+'!$X$3:$Y$23, 2, FALSE)))+('PlayerGrades+'!$Y$49*(VLOOKUP(I484, 'PlayerGrades+'!$X$3:$Y$23, 2, FALSE)))+('PlayerGrades+'!$Y$50*(VLOOKUP(K484, 'PlayerGrades+'!$X$3:$Y$23, 2, FALSE)))+('PlayerGrades+'!$Y$51*(VLOOKUP(M484, 'PlayerGrades+'!$X$3:$Y$23, 2, FALSE)))+('PlayerGrades+'!$Y$52*(VLOOKUP(O484, 'PlayerGrades+'!$X$3:$Y$23, 2, FALSE)))+('PlayerGrades+'!$Y$53*(VLOOKUP(Q484, 'PlayerGrades+'!$X$3:$Y$23, 2, FALSE)))+('PlayerGrades+'!$Y$54*(VLOOKUP(S484, 'PlayerGrades+'!$X$3:$Y$23, 2, FALSE)))+('PlayerGrades+'!$Y$55*(VLOOKUP(U484, 'PlayerGrades+'!$X$3:$Y$23, 2, FALSE)))</f>
        <v>#DIV/0!</v>
      </c>
      <c r="D484" s="961" t="str">
        <f t="shared" si="1"/>
        <v>#DIV/0!</v>
      </c>
      <c r="E484" s="961" t="str">
        <f>IF(D484&lt;'PlayerGrades+'!$AA$21,"F-",IF(D484&lt;'PlayerGrades+'!$AA$20,"F",IF(D484&lt;'PlayerGrades+'!$AA$19,"F+",IF(D484&lt;'PlayerGrades+'!$AA$18,"E-",IF(D484&lt;'PlayerGrades+'!$AA$17,"E",IF(D484&lt;'PlayerGrades+'!$AA$16,"E+",IF(D484&lt;'PlayerGrades+'!$AA$15,"D-",IF(D484&lt;'PlayerGrades+'!$AA$14,"D",IF(D484&lt;'PlayerGrades+'!$AA$13,"D+",IF(D484&lt;'PlayerGrades+'!$AA$12,"C-",IF(D484&lt;'PlayerGrades+'!$AA$11,"C",IF(D484&lt;'PlayerGrades+'!$AA$10,"C+",IF(D484&lt;'PlayerGrades+'!$AA$9,"B-",IF(D484&lt;'PlayerGrades+'!$AA$8,"B",IF(D484&lt;'PlayerGrades+'!$AA$7,"B+",IF(D484&lt;'PlayerGrades+'!$AA$6,"A-",IF(D484&lt;'PlayerGrades+'!$AA$5,"A",IF(D484&lt;'PlayerGrades+'!$AA$4,"A+",IF(D484&lt;'PlayerGrades+'!$AA$3,"S-",IF(D484&lt;'PlayerGrades+'!$AA$2,"S","S+"))))))))))))))))))))</f>
        <v>#DIV/0!</v>
      </c>
      <c r="F484" s="961" t="str">
        <f t="shared" si="2"/>
        <v>#DIV/0!</v>
      </c>
      <c r="G484" s="961" t="str">
        <f>IF(F484&lt;'PlayerGrades+'!$AB$21,"F-",IF(F484&lt;'PlayerGrades+'!$AB$20,"F",IF(F484&lt;'PlayerGrades+'!$AB$19,"F+",IF(F484&lt;'PlayerGrades+'!$AB$18,"E-",IF(F484&lt;'PlayerGrades+'!$AB$17,"E",IF(F484&lt;'PlayerGrades+'!$AB$16,"E+",IF(F484&lt;'PlayerGrades+'!$AB$15,"D-",IF(F484&lt;'PlayerGrades+'!$AB$14,"D",IF(F484&lt;'PlayerGrades+'!$AB$13,"D+",IF(F484&lt;'PlayerGrades+'!$AB$12,"C-",IF(F484&lt;'PlayerGrades+'!$AB$11,"C",IF(F484&lt;'PlayerGrades+'!$AB$10,"C+",IF(F484&lt;'PlayerGrades+'!$AB$9,"B-",IF(F484&lt;'PlayerGrades+'!$AB$8,"B",IF(F484&lt;'PlayerGrades+'!$AB$7,"B+",IF(F484&lt;'PlayerGrades+'!$AB$6,"A-",IF(F484&lt;'PlayerGrades+'!$AB$5,"A",IF(F484&lt;'PlayerGrades+'!$AB$4,"A+",IF(F484&lt;'PlayerGrades+'!$AB$3,"S-",IF(F484&lt;'PlayerGrades+'!$AB$2,"S","S+"))))))))))))))))))))</f>
        <v>#DIV/0!</v>
      </c>
      <c r="H484" s="961" t="str">
        <f t="shared" si="3"/>
        <v>#DIV/0!</v>
      </c>
      <c r="I484" s="961" t="str">
        <f>IF(H484&lt;'PlayerGrades+'!$AC$21,"F-",IF(H484&lt;'PlayerGrades+'!$AC$20,"F",IF(H484&lt;'PlayerGrades+'!$AC$19,"F+",IF(H484&lt;'PlayerGrades+'!$AC$18,"E-",IF(H484&lt;'PlayerGrades+'!$AC$17,"E",IF(H484&lt;'PlayerGrades+'!$AC$16,"E+",IF(H484&lt;'PlayerGrades+'!$AC$15,"D-",IF(H484&lt;'PlayerGrades+'!$AC$14,"D",IF(H484&lt;'PlayerGrades+'!$AC$13,"D+",IF(H484&lt;'PlayerGrades+'!$AC$12,"C-",IF(H484&lt;'PlayerGrades+'!$AC$11,"C",IF(H484&lt;'PlayerGrades+'!$AC$10,"C+",IF(H484&lt;'PlayerGrades+'!$AC$9,"B-",IF(H484&lt;'PlayerGrades+'!$AC$8,"B",IF(H484&lt;'PlayerGrades+'!$AC$7,"B+",IF(H484&lt;'PlayerGrades+'!$AC$6,"A-",IF(H484&lt;'PlayerGrades+'!$AC$5,"A",IF(H484&lt;'PlayerGrades+'!$AC$4,"A+",IF(H484&lt;'PlayerGrades+'!$AC$3,"S-",IF(H484&lt;'PlayerGrades+'!$AC$2,"S","S+"))))))))))))))))))))</f>
        <v>#DIV/0!</v>
      </c>
      <c r="J484" s="961" t="str">
        <f t="shared" si="4"/>
        <v>#DIV/0!</v>
      </c>
      <c r="K484" s="961" t="str">
        <f>IF(J484&lt;'PlayerGrades+'!$AD$21,"F-",IF(J484&lt;'PlayerGrades+'!$AD$20,"F",IF(J484&lt;'PlayerGrades+'!$AD$19,"F+",IF(J484&lt;'PlayerGrades+'!$AD$18,"E-",IF(J484&lt;'PlayerGrades+'!$AD$17,"E",IF(J484&lt;'PlayerGrades+'!$AD$16,"E+",IF(J484&lt;'PlayerGrades+'!$AD$15,"D-",IF(J484&lt;'PlayerGrades+'!$AD$14,"D",IF(J484&lt;'PlayerGrades+'!$AD$13,"D+",IF(J484&lt;'PlayerGrades+'!$AD$12,"C-",IF(J484&lt;'PlayerGrades+'!$AD$11,"C",IF(J484&lt;'PlayerGrades+'!$AD$10,"C+",IF(J484&lt;'PlayerGrades+'!$AD$9,"B-",IF(J484&lt;'PlayerGrades+'!$AD$8,"B",IF(J484&lt;'PlayerGrades+'!$AD$7,"B+",IF(J484&lt;'PlayerGrades+'!$AD$6,"A-",IF(J484&lt;'PlayerGrades+'!$AD$5,"A",IF(J484&lt;'PlayerGrades+'!$AD$4,"A+",IF(J484&lt;'PlayerGrades+'!$AD$3,"S-",IF(J484&lt;'PlayerGrades+'!$AD$2,"S","S+"))))))))))))))))))))</f>
        <v>#DIV/0!</v>
      </c>
      <c r="L484" s="1176" t="str">
        <f t="shared" si="5"/>
        <v>#DIV/0!</v>
      </c>
      <c r="M484" s="992" t="str">
        <f>IF(L484&lt;'PlayerGrades+'!$AE$21,"F-",IF(L484&lt;'PlayerGrades+'!$AE$20,"F",IF(L484&lt;'PlayerGrades+'!$AE$19,"F+",IF(L484&lt;'PlayerGrades+'!$AE$18,"E-",IF(L484&lt;'PlayerGrades+'!$AE$17,"E",IF(L484&lt;'PlayerGrades+'!$AE$16,"E+",IF(L484&lt;'PlayerGrades+'!$AE$15,"D-",IF(L484&lt;'PlayerGrades+'!$AE$14,"D",IF(L484&lt;'PlayerGrades+'!$AE$13,"D+",IF(L484&lt;'PlayerGrades+'!$AE$12,"C-",IF(L484&lt;'PlayerGrades+'!$AE$11,"C",IF(L484&lt;'PlayerGrades+'!$AE$10,"C+",IF(L484&lt;'PlayerGrades+'!$AE$9,"B-",IF(L484&lt;'PlayerGrades+'!$AE$8,"B",IF(L484&lt;'PlayerGrades+'!$AE$7,"B+",IF(L484&lt;'PlayerGrades+'!$AE$6,"A-",IF(L484&lt;'PlayerGrades+'!$AE$5,"A",IF(L484&lt;'PlayerGrades+'!$AE$4,"A+",IF(L484&lt;'PlayerGrades+'!$AE$3,"S-",IF(L484&lt;'PlayerGrades+'!$AE$2,"S","S+"))))))))))))))))))))</f>
        <v>#DIV/0!</v>
      </c>
      <c r="N484" s="961" t="str">
        <f t="shared" si="6"/>
        <v>#DIV/0!</v>
      </c>
      <c r="O484" s="961" t="str">
        <f>IF(N484&lt;'PlayerGrades+'!$AF$21,"F-",IF(N484&lt;'PlayerGrades+'!$AF$20,"F",IF(N484&lt;'PlayerGrades+'!$AF$19,"F+",IF(N484&lt;'PlayerGrades+'!$AF$18,"E-",IF(N484&lt;'PlayerGrades+'!$AF$17,"E",IF(N484&lt;'PlayerGrades+'!$AF$16,"E+",IF(N484&lt;'PlayerGrades+'!$AF$15,"D-",IF(N484&lt;'PlayerGrades+'!$AF$14,"D",IF(N484&lt;'PlayerGrades+'!$AF$13,"D+",IF(N484&lt;'PlayerGrades+'!$AF$12,"C-",IF(N484&lt;'PlayerGrades+'!$AF$11,"C",IF(N484&lt;'PlayerGrades+'!$AF$10,"C+",IF(N484&lt;'PlayerGrades+'!$AF$9,"B-",IF(N484&lt;'PlayerGrades+'!$AF$8,"B",IF(N484&lt;'PlayerGrades+'!$AF$7,"B+",IF(N484&lt;'PlayerGrades+'!$AF$6,"A-",IF(N484&lt;'PlayerGrades+'!$AF$5,"A",IF(N484&lt;'PlayerGrades+'!$AF$4,"A+",IF(N484&lt;'PlayerGrades+'!$AF$3,"S-",IF(N484&lt;'PlayerGrades+'!$AF$2,"S","S+"))))))))))))))))))))</f>
        <v>#DIV/0!</v>
      </c>
      <c r="P484" s="961" t="str">
        <f t="shared" si="7"/>
        <v>#DIV/0!</v>
      </c>
      <c r="Q484" s="961" t="str">
        <f>IF(P484&lt;'PlayerGrades+'!$AG$21,"F-",IF(P484&lt;'PlayerGrades+'!$AG$20,"F",IF(P484&lt;'PlayerGrades+'!$AG$19,"F+",IF(P484&lt;'PlayerGrades+'!$AG$18,"E-",IF(P484&lt;'PlayerGrades+'!$AG$17,"E",IF(P484&lt;'PlayerGrades+'!$AG$16,"E+",IF(P484&lt;'PlayerGrades+'!$AG$15,"D-",IF(P484&lt;'PlayerGrades+'!$AG$14,"D",IF(P484&lt;'PlayerGrades+'!$AG$13,"D+",IF(P484&lt;'PlayerGrades+'!$AG$12,"C-",IF(P484&lt;'PlayerGrades+'!$AG$11,"C",IF(P484&lt;'PlayerGrades+'!$AG$10,"C+",IF(P484&lt;'PlayerGrades+'!$AG$9,"B-",IF(P484&lt;'PlayerGrades+'!$AG$8,"B",IF(P484&lt;'PlayerGrades+'!$AG$7,"B+",IF(P484&lt;'PlayerGrades+'!$AG$6,"A-",IF(P484&lt;'PlayerGrades+'!$AG$5,"A",IF(P484&lt;'PlayerGrades+'!$AG$4,"A+",IF(P484&lt;'PlayerGrades+'!$AG$3,"S-",IF(P484&lt;'PlayerGrades+'!$AG$2,"S","S+"))))))))))))))))))))</f>
        <v>#DIV/0!</v>
      </c>
      <c r="R484" s="961" t="str">
        <f t="shared" si="8"/>
        <v>#DIV/0!</v>
      </c>
      <c r="S484" s="961" t="str">
        <f>IF(R484&lt;'PlayerGrades+'!$AH$21,"F-",IF(R484&lt;'PlayerGrades+'!$AH$20,"F",IF(R484&lt;'PlayerGrades+'!$AH$19,"F+",IF(R484&lt;'PlayerGrades+'!$AH$18,"E-",IF(R484&lt;'PlayerGrades+'!$AH$17,"E",IF(R484&lt;'PlayerGrades+'!$AH$16,"E+",IF(R484&lt;'PlayerGrades+'!$AH$15,"D-",IF(R484&lt;'PlayerGrades+'!$AH$14,"D",IF(R484&lt;'PlayerGrades+'!$AH$13,"D+",IF(R484&lt;'PlayerGrades+'!$AH$12,"C-",IF(R484&lt;'PlayerGrades+'!$AH$11,"C",IF(R484&lt;'PlayerGrades+'!$AH$10,"C+",IF(R484&lt;'PlayerGrades+'!$AH$9,"B-",IF(R484&lt;'PlayerGrades+'!$AH$8,"B",IF(R484&lt;'PlayerGrades+'!$AH$7,"B+",IF(R484&lt;'PlayerGrades+'!$AH$6,"A-",IF(R484&lt;'PlayerGrades+'!$AH$5,"A",IF(R484&lt;'PlayerGrades+'!$AH$4,"A+",IF(R484&lt;'PlayerGrades+'!$AH$3,"S-",IF(R484&lt;'PlayerGrades+'!$AH$2,"S","S+"))))))))))))))))))))</f>
        <v>#DIV/0!</v>
      </c>
      <c r="T484" s="961">
        <f t="shared" si="9"/>
        <v>0</v>
      </c>
      <c r="U484" s="961" t="str">
        <f>IF(T484&lt;'PlayerGrades+'!$AI$21,"F-",IF(T484&lt;'PlayerGrades+'!$AI$20,"F",IF(T484&lt;'PlayerGrades+'!$AI$19,"F+",IF(T484&lt;'PlayerGrades+'!$AI$18,"E-",IF(T484&lt;'PlayerGrades+'!$AI$17,"E",IF(T484&lt;'PlayerGrades+'!$AI$16,"E+",IF(T484&lt;'PlayerGrades+'!$AI$15,"D-",IF(T484&lt;'PlayerGrades+'!$AI$14,"D",IF(T484&lt;'PlayerGrades+'!$AI$13,"D+",IF(T484&lt;'PlayerGrades+'!$AI$12,"C-",IF(T484&lt;'PlayerGrades+'!$AI$11,"C",IF(T484&lt;'PlayerGrades+'!$AI$10,"C+",IF(T484&lt;'PlayerGrades+'!$AI$9,"B-",IF(T484&lt;'PlayerGrades+'!$AI$8,"B",IF(T484&lt;'PlayerGrades+'!$AI$7,"B+",IF(T484&lt;'PlayerGrades+'!$AI$6,"A-",IF(T484&lt;'PlayerGrades+'!$AI$5,"A",IF(T484&lt;'PlayerGrades+'!$AI$4,"A+",IF(T484&lt;'PlayerGrades+'!$AI$3,"S-",IF(T484&lt;'PlayerGrades+'!$AI$2,"S","S+"))))))))))))))))))))</f>
        <v>F-</v>
      </c>
      <c r="AC484" s="1392"/>
    </row>
    <row r="485">
      <c r="A485" s="1391"/>
      <c r="B485" s="611" t="str">
        <f>IF(C485&lt;'PlayerGrades+'!$Y$44,"F-",IF(C485&lt;'PlayerGrades+'!$Y$43,"F",IF(C485&lt;'PlayerGrades+'!$Y$42,"F+",IF(C485&lt;'PlayerGrades+'!$Y$41,"E-",IF(C485&lt;'PlayerGrades+'!$Y$40,"E",IF(C485&lt;'PlayerGrades+'!$Y$39,"E+",IF(C485&lt;'PlayerGrades+'!$Y$38,"D-",IF(C485&lt;'PlayerGrades+'!$Y$37,"D",IF(C485&lt;'PlayerGrades+'!$Y$36,"D+",IF(C485&lt;'PlayerGrades+'!$Y$35,"C-",IF(C485&lt;'PlayerGrades+'!$Y$34,"C",IF(C485&lt;'PlayerGrades+'!$Y$33,"C+",IF(C485&lt;'PlayerGrades+'!$Y$32,"B-",IF(C485&lt;'PlayerGrades+'!$Y$31,"B",IF(C485&lt;'PlayerGrades+'!$Y$30,"B+",IF(C485&lt;'PlayerGrades+'!$Y$29,"A-",IF(C485&lt;'PlayerGrades+'!$Y$28,"A",IF(C485&lt;'PlayerGrades+'!$Y$27,"A+",IF(C485&lt;'PlayerGrades+'!$Y$26,"S-",IF(C485&lt;'PlayerGrades+'!$Y$25,"S","S+"))))))))))))))))))))</f>
        <v>#DIV/0!</v>
      </c>
      <c r="C485" s="1378" t="str">
        <f>('PlayerGrades+'!$Y$47*(VLOOKUP(E485, 'PlayerGrades+'!$X$3:$Y$23, 2, FALSE)))+('PlayerGrades+'!$Y$48*(VLOOKUP(G485, 'PlayerGrades+'!$X$3:$Y$23, 2, FALSE)))+('PlayerGrades+'!$Y$49*(VLOOKUP(I485, 'PlayerGrades+'!$X$3:$Y$23, 2, FALSE)))+('PlayerGrades+'!$Y$50*(VLOOKUP(K485, 'PlayerGrades+'!$X$3:$Y$23, 2, FALSE)))+('PlayerGrades+'!$Y$51*(VLOOKUP(M485, 'PlayerGrades+'!$X$3:$Y$23, 2, FALSE)))+('PlayerGrades+'!$Y$52*(VLOOKUP(O485, 'PlayerGrades+'!$X$3:$Y$23, 2, FALSE)))+('PlayerGrades+'!$Y$53*(VLOOKUP(Q485, 'PlayerGrades+'!$X$3:$Y$23, 2, FALSE)))+('PlayerGrades+'!$Y$54*(VLOOKUP(S485, 'PlayerGrades+'!$X$3:$Y$23, 2, FALSE)))+('PlayerGrades+'!$Y$55*(VLOOKUP(U485, 'PlayerGrades+'!$X$3:$Y$23, 2, FALSE)))</f>
        <v>#DIV/0!</v>
      </c>
      <c r="D485" s="961" t="str">
        <f t="shared" si="1"/>
        <v>#DIV/0!</v>
      </c>
      <c r="E485" s="961" t="str">
        <f>IF(D485&lt;'PlayerGrades+'!$AA$21,"F-",IF(D485&lt;'PlayerGrades+'!$AA$20,"F",IF(D485&lt;'PlayerGrades+'!$AA$19,"F+",IF(D485&lt;'PlayerGrades+'!$AA$18,"E-",IF(D485&lt;'PlayerGrades+'!$AA$17,"E",IF(D485&lt;'PlayerGrades+'!$AA$16,"E+",IF(D485&lt;'PlayerGrades+'!$AA$15,"D-",IF(D485&lt;'PlayerGrades+'!$AA$14,"D",IF(D485&lt;'PlayerGrades+'!$AA$13,"D+",IF(D485&lt;'PlayerGrades+'!$AA$12,"C-",IF(D485&lt;'PlayerGrades+'!$AA$11,"C",IF(D485&lt;'PlayerGrades+'!$AA$10,"C+",IF(D485&lt;'PlayerGrades+'!$AA$9,"B-",IF(D485&lt;'PlayerGrades+'!$AA$8,"B",IF(D485&lt;'PlayerGrades+'!$AA$7,"B+",IF(D485&lt;'PlayerGrades+'!$AA$6,"A-",IF(D485&lt;'PlayerGrades+'!$AA$5,"A",IF(D485&lt;'PlayerGrades+'!$AA$4,"A+",IF(D485&lt;'PlayerGrades+'!$AA$3,"S-",IF(D485&lt;'PlayerGrades+'!$AA$2,"S","S+"))))))))))))))))))))</f>
        <v>#DIV/0!</v>
      </c>
      <c r="F485" s="961" t="str">
        <f t="shared" si="2"/>
        <v>#DIV/0!</v>
      </c>
      <c r="G485" s="961" t="str">
        <f>IF(F485&lt;'PlayerGrades+'!$AB$21,"F-",IF(F485&lt;'PlayerGrades+'!$AB$20,"F",IF(F485&lt;'PlayerGrades+'!$AB$19,"F+",IF(F485&lt;'PlayerGrades+'!$AB$18,"E-",IF(F485&lt;'PlayerGrades+'!$AB$17,"E",IF(F485&lt;'PlayerGrades+'!$AB$16,"E+",IF(F485&lt;'PlayerGrades+'!$AB$15,"D-",IF(F485&lt;'PlayerGrades+'!$AB$14,"D",IF(F485&lt;'PlayerGrades+'!$AB$13,"D+",IF(F485&lt;'PlayerGrades+'!$AB$12,"C-",IF(F485&lt;'PlayerGrades+'!$AB$11,"C",IF(F485&lt;'PlayerGrades+'!$AB$10,"C+",IF(F485&lt;'PlayerGrades+'!$AB$9,"B-",IF(F485&lt;'PlayerGrades+'!$AB$8,"B",IF(F485&lt;'PlayerGrades+'!$AB$7,"B+",IF(F485&lt;'PlayerGrades+'!$AB$6,"A-",IF(F485&lt;'PlayerGrades+'!$AB$5,"A",IF(F485&lt;'PlayerGrades+'!$AB$4,"A+",IF(F485&lt;'PlayerGrades+'!$AB$3,"S-",IF(F485&lt;'PlayerGrades+'!$AB$2,"S","S+"))))))))))))))))))))</f>
        <v>#DIV/0!</v>
      </c>
      <c r="H485" s="961" t="str">
        <f t="shared" si="3"/>
        <v>#DIV/0!</v>
      </c>
      <c r="I485" s="961" t="str">
        <f>IF(H485&lt;'PlayerGrades+'!$AC$21,"F-",IF(H485&lt;'PlayerGrades+'!$AC$20,"F",IF(H485&lt;'PlayerGrades+'!$AC$19,"F+",IF(H485&lt;'PlayerGrades+'!$AC$18,"E-",IF(H485&lt;'PlayerGrades+'!$AC$17,"E",IF(H485&lt;'PlayerGrades+'!$AC$16,"E+",IF(H485&lt;'PlayerGrades+'!$AC$15,"D-",IF(H485&lt;'PlayerGrades+'!$AC$14,"D",IF(H485&lt;'PlayerGrades+'!$AC$13,"D+",IF(H485&lt;'PlayerGrades+'!$AC$12,"C-",IF(H485&lt;'PlayerGrades+'!$AC$11,"C",IF(H485&lt;'PlayerGrades+'!$AC$10,"C+",IF(H485&lt;'PlayerGrades+'!$AC$9,"B-",IF(H485&lt;'PlayerGrades+'!$AC$8,"B",IF(H485&lt;'PlayerGrades+'!$AC$7,"B+",IF(H485&lt;'PlayerGrades+'!$AC$6,"A-",IF(H485&lt;'PlayerGrades+'!$AC$5,"A",IF(H485&lt;'PlayerGrades+'!$AC$4,"A+",IF(H485&lt;'PlayerGrades+'!$AC$3,"S-",IF(H485&lt;'PlayerGrades+'!$AC$2,"S","S+"))))))))))))))))))))</f>
        <v>#DIV/0!</v>
      </c>
      <c r="J485" s="961" t="str">
        <f t="shared" si="4"/>
        <v>#DIV/0!</v>
      </c>
      <c r="K485" s="961" t="str">
        <f>IF(J485&lt;'PlayerGrades+'!$AD$21,"F-",IF(J485&lt;'PlayerGrades+'!$AD$20,"F",IF(J485&lt;'PlayerGrades+'!$AD$19,"F+",IF(J485&lt;'PlayerGrades+'!$AD$18,"E-",IF(J485&lt;'PlayerGrades+'!$AD$17,"E",IF(J485&lt;'PlayerGrades+'!$AD$16,"E+",IF(J485&lt;'PlayerGrades+'!$AD$15,"D-",IF(J485&lt;'PlayerGrades+'!$AD$14,"D",IF(J485&lt;'PlayerGrades+'!$AD$13,"D+",IF(J485&lt;'PlayerGrades+'!$AD$12,"C-",IF(J485&lt;'PlayerGrades+'!$AD$11,"C",IF(J485&lt;'PlayerGrades+'!$AD$10,"C+",IF(J485&lt;'PlayerGrades+'!$AD$9,"B-",IF(J485&lt;'PlayerGrades+'!$AD$8,"B",IF(J485&lt;'PlayerGrades+'!$AD$7,"B+",IF(J485&lt;'PlayerGrades+'!$AD$6,"A-",IF(J485&lt;'PlayerGrades+'!$AD$5,"A",IF(J485&lt;'PlayerGrades+'!$AD$4,"A+",IF(J485&lt;'PlayerGrades+'!$AD$3,"S-",IF(J485&lt;'PlayerGrades+'!$AD$2,"S","S+"))))))))))))))))))))</f>
        <v>#DIV/0!</v>
      </c>
      <c r="L485" s="1176" t="str">
        <f t="shared" si="5"/>
        <v>#DIV/0!</v>
      </c>
      <c r="M485" s="992" t="str">
        <f>IF(L485&lt;'PlayerGrades+'!$AE$21,"F-",IF(L485&lt;'PlayerGrades+'!$AE$20,"F",IF(L485&lt;'PlayerGrades+'!$AE$19,"F+",IF(L485&lt;'PlayerGrades+'!$AE$18,"E-",IF(L485&lt;'PlayerGrades+'!$AE$17,"E",IF(L485&lt;'PlayerGrades+'!$AE$16,"E+",IF(L485&lt;'PlayerGrades+'!$AE$15,"D-",IF(L485&lt;'PlayerGrades+'!$AE$14,"D",IF(L485&lt;'PlayerGrades+'!$AE$13,"D+",IF(L485&lt;'PlayerGrades+'!$AE$12,"C-",IF(L485&lt;'PlayerGrades+'!$AE$11,"C",IF(L485&lt;'PlayerGrades+'!$AE$10,"C+",IF(L485&lt;'PlayerGrades+'!$AE$9,"B-",IF(L485&lt;'PlayerGrades+'!$AE$8,"B",IF(L485&lt;'PlayerGrades+'!$AE$7,"B+",IF(L485&lt;'PlayerGrades+'!$AE$6,"A-",IF(L485&lt;'PlayerGrades+'!$AE$5,"A",IF(L485&lt;'PlayerGrades+'!$AE$4,"A+",IF(L485&lt;'PlayerGrades+'!$AE$3,"S-",IF(L485&lt;'PlayerGrades+'!$AE$2,"S","S+"))))))))))))))))))))</f>
        <v>#DIV/0!</v>
      </c>
      <c r="N485" s="961" t="str">
        <f t="shared" si="6"/>
        <v>#DIV/0!</v>
      </c>
      <c r="O485" s="961" t="str">
        <f>IF(N485&lt;'PlayerGrades+'!$AF$21,"F-",IF(N485&lt;'PlayerGrades+'!$AF$20,"F",IF(N485&lt;'PlayerGrades+'!$AF$19,"F+",IF(N485&lt;'PlayerGrades+'!$AF$18,"E-",IF(N485&lt;'PlayerGrades+'!$AF$17,"E",IF(N485&lt;'PlayerGrades+'!$AF$16,"E+",IF(N485&lt;'PlayerGrades+'!$AF$15,"D-",IF(N485&lt;'PlayerGrades+'!$AF$14,"D",IF(N485&lt;'PlayerGrades+'!$AF$13,"D+",IF(N485&lt;'PlayerGrades+'!$AF$12,"C-",IF(N485&lt;'PlayerGrades+'!$AF$11,"C",IF(N485&lt;'PlayerGrades+'!$AF$10,"C+",IF(N485&lt;'PlayerGrades+'!$AF$9,"B-",IF(N485&lt;'PlayerGrades+'!$AF$8,"B",IF(N485&lt;'PlayerGrades+'!$AF$7,"B+",IF(N485&lt;'PlayerGrades+'!$AF$6,"A-",IF(N485&lt;'PlayerGrades+'!$AF$5,"A",IF(N485&lt;'PlayerGrades+'!$AF$4,"A+",IF(N485&lt;'PlayerGrades+'!$AF$3,"S-",IF(N485&lt;'PlayerGrades+'!$AF$2,"S","S+"))))))))))))))))))))</f>
        <v>#DIV/0!</v>
      </c>
      <c r="P485" s="961" t="str">
        <f t="shared" si="7"/>
        <v>#DIV/0!</v>
      </c>
      <c r="Q485" s="961" t="str">
        <f>IF(P485&lt;'PlayerGrades+'!$AG$21,"F-",IF(P485&lt;'PlayerGrades+'!$AG$20,"F",IF(P485&lt;'PlayerGrades+'!$AG$19,"F+",IF(P485&lt;'PlayerGrades+'!$AG$18,"E-",IF(P485&lt;'PlayerGrades+'!$AG$17,"E",IF(P485&lt;'PlayerGrades+'!$AG$16,"E+",IF(P485&lt;'PlayerGrades+'!$AG$15,"D-",IF(P485&lt;'PlayerGrades+'!$AG$14,"D",IF(P485&lt;'PlayerGrades+'!$AG$13,"D+",IF(P485&lt;'PlayerGrades+'!$AG$12,"C-",IF(P485&lt;'PlayerGrades+'!$AG$11,"C",IF(P485&lt;'PlayerGrades+'!$AG$10,"C+",IF(P485&lt;'PlayerGrades+'!$AG$9,"B-",IF(P485&lt;'PlayerGrades+'!$AG$8,"B",IF(P485&lt;'PlayerGrades+'!$AG$7,"B+",IF(P485&lt;'PlayerGrades+'!$AG$6,"A-",IF(P485&lt;'PlayerGrades+'!$AG$5,"A",IF(P485&lt;'PlayerGrades+'!$AG$4,"A+",IF(P485&lt;'PlayerGrades+'!$AG$3,"S-",IF(P485&lt;'PlayerGrades+'!$AG$2,"S","S+"))))))))))))))))))))</f>
        <v>#DIV/0!</v>
      </c>
      <c r="R485" s="961" t="str">
        <f t="shared" si="8"/>
        <v>#DIV/0!</v>
      </c>
      <c r="S485" s="961" t="str">
        <f>IF(R485&lt;'PlayerGrades+'!$AH$21,"F-",IF(R485&lt;'PlayerGrades+'!$AH$20,"F",IF(R485&lt;'PlayerGrades+'!$AH$19,"F+",IF(R485&lt;'PlayerGrades+'!$AH$18,"E-",IF(R485&lt;'PlayerGrades+'!$AH$17,"E",IF(R485&lt;'PlayerGrades+'!$AH$16,"E+",IF(R485&lt;'PlayerGrades+'!$AH$15,"D-",IF(R485&lt;'PlayerGrades+'!$AH$14,"D",IF(R485&lt;'PlayerGrades+'!$AH$13,"D+",IF(R485&lt;'PlayerGrades+'!$AH$12,"C-",IF(R485&lt;'PlayerGrades+'!$AH$11,"C",IF(R485&lt;'PlayerGrades+'!$AH$10,"C+",IF(R485&lt;'PlayerGrades+'!$AH$9,"B-",IF(R485&lt;'PlayerGrades+'!$AH$8,"B",IF(R485&lt;'PlayerGrades+'!$AH$7,"B+",IF(R485&lt;'PlayerGrades+'!$AH$6,"A-",IF(R485&lt;'PlayerGrades+'!$AH$5,"A",IF(R485&lt;'PlayerGrades+'!$AH$4,"A+",IF(R485&lt;'PlayerGrades+'!$AH$3,"S-",IF(R485&lt;'PlayerGrades+'!$AH$2,"S","S+"))))))))))))))))))))</f>
        <v>#DIV/0!</v>
      </c>
      <c r="T485" s="961">
        <f t="shared" si="9"/>
        <v>0</v>
      </c>
      <c r="U485" s="961" t="str">
        <f>IF(T485&lt;'PlayerGrades+'!$AI$21,"F-",IF(T485&lt;'PlayerGrades+'!$AI$20,"F",IF(T485&lt;'PlayerGrades+'!$AI$19,"F+",IF(T485&lt;'PlayerGrades+'!$AI$18,"E-",IF(T485&lt;'PlayerGrades+'!$AI$17,"E",IF(T485&lt;'PlayerGrades+'!$AI$16,"E+",IF(T485&lt;'PlayerGrades+'!$AI$15,"D-",IF(T485&lt;'PlayerGrades+'!$AI$14,"D",IF(T485&lt;'PlayerGrades+'!$AI$13,"D+",IF(T485&lt;'PlayerGrades+'!$AI$12,"C-",IF(T485&lt;'PlayerGrades+'!$AI$11,"C",IF(T485&lt;'PlayerGrades+'!$AI$10,"C+",IF(T485&lt;'PlayerGrades+'!$AI$9,"B-",IF(T485&lt;'PlayerGrades+'!$AI$8,"B",IF(T485&lt;'PlayerGrades+'!$AI$7,"B+",IF(T485&lt;'PlayerGrades+'!$AI$6,"A-",IF(T485&lt;'PlayerGrades+'!$AI$5,"A",IF(T485&lt;'PlayerGrades+'!$AI$4,"A+",IF(T485&lt;'PlayerGrades+'!$AI$3,"S-",IF(T485&lt;'PlayerGrades+'!$AI$2,"S","S+"))))))))))))))))))))</f>
        <v>F-</v>
      </c>
      <c r="AC485" s="1392"/>
    </row>
    <row r="486">
      <c r="A486" s="1391"/>
      <c r="B486" s="611" t="str">
        <f>IF(C486&lt;'PlayerGrades+'!$Y$44,"F-",IF(C486&lt;'PlayerGrades+'!$Y$43,"F",IF(C486&lt;'PlayerGrades+'!$Y$42,"F+",IF(C486&lt;'PlayerGrades+'!$Y$41,"E-",IF(C486&lt;'PlayerGrades+'!$Y$40,"E",IF(C486&lt;'PlayerGrades+'!$Y$39,"E+",IF(C486&lt;'PlayerGrades+'!$Y$38,"D-",IF(C486&lt;'PlayerGrades+'!$Y$37,"D",IF(C486&lt;'PlayerGrades+'!$Y$36,"D+",IF(C486&lt;'PlayerGrades+'!$Y$35,"C-",IF(C486&lt;'PlayerGrades+'!$Y$34,"C",IF(C486&lt;'PlayerGrades+'!$Y$33,"C+",IF(C486&lt;'PlayerGrades+'!$Y$32,"B-",IF(C486&lt;'PlayerGrades+'!$Y$31,"B",IF(C486&lt;'PlayerGrades+'!$Y$30,"B+",IF(C486&lt;'PlayerGrades+'!$Y$29,"A-",IF(C486&lt;'PlayerGrades+'!$Y$28,"A",IF(C486&lt;'PlayerGrades+'!$Y$27,"A+",IF(C486&lt;'PlayerGrades+'!$Y$26,"S-",IF(C486&lt;'PlayerGrades+'!$Y$25,"S","S+"))))))))))))))))))))</f>
        <v>#DIV/0!</v>
      </c>
      <c r="C486" s="1378" t="str">
        <f>('PlayerGrades+'!$Y$47*(VLOOKUP(E486, 'PlayerGrades+'!$X$3:$Y$23, 2, FALSE)))+('PlayerGrades+'!$Y$48*(VLOOKUP(G486, 'PlayerGrades+'!$X$3:$Y$23, 2, FALSE)))+('PlayerGrades+'!$Y$49*(VLOOKUP(I486, 'PlayerGrades+'!$X$3:$Y$23, 2, FALSE)))+('PlayerGrades+'!$Y$50*(VLOOKUP(K486, 'PlayerGrades+'!$X$3:$Y$23, 2, FALSE)))+('PlayerGrades+'!$Y$51*(VLOOKUP(M486, 'PlayerGrades+'!$X$3:$Y$23, 2, FALSE)))+('PlayerGrades+'!$Y$52*(VLOOKUP(O486, 'PlayerGrades+'!$X$3:$Y$23, 2, FALSE)))+('PlayerGrades+'!$Y$53*(VLOOKUP(Q486, 'PlayerGrades+'!$X$3:$Y$23, 2, FALSE)))+('PlayerGrades+'!$Y$54*(VLOOKUP(S486, 'PlayerGrades+'!$X$3:$Y$23, 2, FALSE)))+('PlayerGrades+'!$Y$55*(VLOOKUP(U486, 'PlayerGrades+'!$X$3:$Y$23, 2, FALSE)))</f>
        <v>#DIV/0!</v>
      </c>
      <c r="D486" s="961" t="str">
        <f t="shared" si="1"/>
        <v>#DIV/0!</v>
      </c>
      <c r="E486" s="961" t="str">
        <f>IF(D486&lt;'PlayerGrades+'!$AA$21,"F-",IF(D486&lt;'PlayerGrades+'!$AA$20,"F",IF(D486&lt;'PlayerGrades+'!$AA$19,"F+",IF(D486&lt;'PlayerGrades+'!$AA$18,"E-",IF(D486&lt;'PlayerGrades+'!$AA$17,"E",IF(D486&lt;'PlayerGrades+'!$AA$16,"E+",IF(D486&lt;'PlayerGrades+'!$AA$15,"D-",IF(D486&lt;'PlayerGrades+'!$AA$14,"D",IF(D486&lt;'PlayerGrades+'!$AA$13,"D+",IF(D486&lt;'PlayerGrades+'!$AA$12,"C-",IF(D486&lt;'PlayerGrades+'!$AA$11,"C",IF(D486&lt;'PlayerGrades+'!$AA$10,"C+",IF(D486&lt;'PlayerGrades+'!$AA$9,"B-",IF(D486&lt;'PlayerGrades+'!$AA$8,"B",IF(D486&lt;'PlayerGrades+'!$AA$7,"B+",IF(D486&lt;'PlayerGrades+'!$AA$6,"A-",IF(D486&lt;'PlayerGrades+'!$AA$5,"A",IF(D486&lt;'PlayerGrades+'!$AA$4,"A+",IF(D486&lt;'PlayerGrades+'!$AA$3,"S-",IF(D486&lt;'PlayerGrades+'!$AA$2,"S","S+"))))))))))))))))))))</f>
        <v>#DIV/0!</v>
      </c>
      <c r="F486" s="961" t="str">
        <f t="shared" si="2"/>
        <v>#DIV/0!</v>
      </c>
      <c r="G486" s="961" t="str">
        <f>IF(F486&lt;'PlayerGrades+'!$AB$21,"F-",IF(F486&lt;'PlayerGrades+'!$AB$20,"F",IF(F486&lt;'PlayerGrades+'!$AB$19,"F+",IF(F486&lt;'PlayerGrades+'!$AB$18,"E-",IF(F486&lt;'PlayerGrades+'!$AB$17,"E",IF(F486&lt;'PlayerGrades+'!$AB$16,"E+",IF(F486&lt;'PlayerGrades+'!$AB$15,"D-",IF(F486&lt;'PlayerGrades+'!$AB$14,"D",IF(F486&lt;'PlayerGrades+'!$AB$13,"D+",IF(F486&lt;'PlayerGrades+'!$AB$12,"C-",IF(F486&lt;'PlayerGrades+'!$AB$11,"C",IF(F486&lt;'PlayerGrades+'!$AB$10,"C+",IF(F486&lt;'PlayerGrades+'!$AB$9,"B-",IF(F486&lt;'PlayerGrades+'!$AB$8,"B",IF(F486&lt;'PlayerGrades+'!$AB$7,"B+",IF(F486&lt;'PlayerGrades+'!$AB$6,"A-",IF(F486&lt;'PlayerGrades+'!$AB$5,"A",IF(F486&lt;'PlayerGrades+'!$AB$4,"A+",IF(F486&lt;'PlayerGrades+'!$AB$3,"S-",IF(F486&lt;'PlayerGrades+'!$AB$2,"S","S+"))))))))))))))))))))</f>
        <v>#DIV/0!</v>
      </c>
      <c r="H486" s="961" t="str">
        <f t="shared" si="3"/>
        <v>#DIV/0!</v>
      </c>
      <c r="I486" s="961" t="str">
        <f>IF(H486&lt;'PlayerGrades+'!$AC$21,"F-",IF(H486&lt;'PlayerGrades+'!$AC$20,"F",IF(H486&lt;'PlayerGrades+'!$AC$19,"F+",IF(H486&lt;'PlayerGrades+'!$AC$18,"E-",IF(H486&lt;'PlayerGrades+'!$AC$17,"E",IF(H486&lt;'PlayerGrades+'!$AC$16,"E+",IF(H486&lt;'PlayerGrades+'!$AC$15,"D-",IF(H486&lt;'PlayerGrades+'!$AC$14,"D",IF(H486&lt;'PlayerGrades+'!$AC$13,"D+",IF(H486&lt;'PlayerGrades+'!$AC$12,"C-",IF(H486&lt;'PlayerGrades+'!$AC$11,"C",IF(H486&lt;'PlayerGrades+'!$AC$10,"C+",IF(H486&lt;'PlayerGrades+'!$AC$9,"B-",IF(H486&lt;'PlayerGrades+'!$AC$8,"B",IF(H486&lt;'PlayerGrades+'!$AC$7,"B+",IF(H486&lt;'PlayerGrades+'!$AC$6,"A-",IF(H486&lt;'PlayerGrades+'!$AC$5,"A",IF(H486&lt;'PlayerGrades+'!$AC$4,"A+",IF(H486&lt;'PlayerGrades+'!$AC$3,"S-",IF(H486&lt;'PlayerGrades+'!$AC$2,"S","S+"))))))))))))))))))))</f>
        <v>#DIV/0!</v>
      </c>
      <c r="J486" s="961" t="str">
        <f t="shared" si="4"/>
        <v>#DIV/0!</v>
      </c>
      <c r="K486" s="961" t="str">
        <f>IF(J486&lt;'PlayerGrades+'!$AD$21,"F-",IF(J486&lt;'PlayerGrades+'!$AD$20,"F",IF(J486&lt;'PlayerGrades+'!$AD$19,"F+",IF(J486&lt;'PlayerGrades+'!$AD$18,"E-",IF(J486&lt;'PlayerGrades+'!$AD$17,"E",IF(J486&lt;'PlayerGrades+'!$AD$16,"E+",IF(J486&lt;'PlayerGrades+'!$AD$15,"D-",IF(J486&lt;'PlayerGrades+'!$AD$14,"D",IF(J486&lt;'PlayerGrades+'!$AD$13,"D+",IF(J486&lt;'PlayerGrades+'!$AD$12,"C-",IF(J486&lt;'PlayerGrades+'!$AD$11,"C",IF(J486&lt;'PlayerGrades+'!$AD$10,"C+",IF(J486&lt;'PlayerGrades+'!$AD$9,"B-",IF(J486&lt;'PlayerGrades+'!$AD$8,"B",IF(J486&lt;'PlayerGrades+'!$AD$7,"B+",IF(J486&lt;'PlayerGrades+'!$AD$6,"A-",IF(J486&lt;'PlayerGrades+'!$AD$5,"A",IF(J486&lt;'PlayerGrades+'!$AD$4,"A+",IF(J486&lt;'PlayerGrades+'!$AD$3,"S-",IF(J486&lt;'PlayerGrades+'!$AD$2,"S","S+"))))))))))))))))))))</f>
        <v>#DIV/0!</v>
      </c>
      <c r="L486" s="1176" t="str">
        <f t="shared" si="5"/>
        <v>#DIV/0!</v>
      </c>
      <c r="M486" s="992" t="str">
        <f>IF(L486&lt;'PlayerGrades+'!$AE$21,"F-",IF(L486&lt;'PlayerGrades+'!$AE$20,"F",IF(L486&lt;'PlayerGrades+'!$AE$19,"F+",IF(L486&lt;'PlayerGrades+'!$AE$18,"E-",IF(L486&lt;'PlayerGrades+'!$AE$17,"E",IF(L486&lt;'PlayerGrades+'!$AE$16,"E+",IF(L486&lt;'PlayerGrades+'!$AE$15,"D-",IF(L486&lt;'PlayerGrades+'!$AE$14,"D",IF(L486&lt;'PlayerGrades+'!$AE$13,"D+",IF(L486&lt;'PlayerGrades+'!$AE$12,"C-",IF(L486&lt;'PlayerGrades+'!$AE$11,"C",IF(L486&lt;'PlayerGrades+'!$AE$10,"C+",IF(L486&lt;'PlayerGrades+'!$AE$9,"B-",IF(L486&lt;'PlayerGrades+'!$AE$8,"B",IF(L486&lt;'PlayerGrades+'!$AE$7,"B+",IF(L486&lt;'PlayerGrades+'!$AE$6,"A-",IF(L486&lt;'PlayerGrades+'!$AE$5,"A",IF(L486&lt;'PlayerGrades+'!$AE$4,"A+",IF(L486&lt;'PlayerGrades+'!$AE$3,"S-",IF(L486&lt;'PlayerGrades+'!$AE$2,"S","S+"))))))))))))))))))))</f>
        <v>#DIV/0!</v>
      </c>
      <c r="N486" s="961" t="str">
        <f t="shared" si="6"/>
        <v>#DIV/0!</v>
      </c>
      <c r="O486" s="961" t="str">
        <f>IF(N486&lt;'PlayerGrades+'!$AF$21,"F-",IF(N486&lt;'PlayerGrades+'!$AF$20,"F",IF(N486&lt;'PlayerGrades+'!$AF$19,"F+",IF(N486&lt;'PlayerGrades+'!$AF$18,"E-",IF(N486&lt;'PlayerGrades+'!$AF$17,"E",IF(N486&lt;'PlayerGrades+'!$AF$16,"E+",IF(N486&lt;'PlayerGrades+'!$AF$15,"D-",IF(N486&lt;'PlayerGrades+'!$AF$14,"D",IF(N486&lt;'PlayerGrades+'!$AF$13,"D+",IF(N486&lt;'PlayerGrades+'!$AF$12,"C-",IF(N486&lt;'PlayerGrades+'!$AF$11,"C",IF(N486&lt;'PlayerGrades+'!$AF$10,"C+",IF(N486&lt;'PlayerGrades+'!$AF$9,"B-",IF(N486&lt;'PlayerGrades+'!$AF$8,"B",IF(N486&lt;'PlayerGrades+'!$AF$7,"B+",IF(N486&lt;'PlayerGrades+'!$AF$6,"A-",IF(N486&lt;'PlayerGrades+'!$AF$5,"A",IF(N486&lt;'PlayerGrades+'!$AF$4,"A+",IF(N486&lt;'PlayerGrades+'!$AF$3,"S-",IF(N486&lt;'PlayerGrades+'!$AF$2,"S","S+"))))))))))))))))))))</f>
        <v>#DIV/0!</v>
      </c>
      <c r="P486" s="961" t="str">
        <f t="shared" si="7"/>
        <v>#DIV/0!</v>
      </c>
      <c r="Q486" s="961" t="str">
        <f>IF(P486&lt;'PlayerGrades+'!$AG$21,"F-",IF(P486&lt;'PlayerGrades+'!$AG$20,"F",IF(P486&lt;'PlayerGrades+'!$AG$19,"F+",IF(P486&lt;'PlayerGrades+'!$AG$18,"E-",IF(P486&lt;'PlayerGrades+'!$AG$17,"E",IF(P486&lt;'PlayerGrades+'!$AG$16,"E+",IF(P486&lt;'PlayerGrades+'!$AG$15,"D-",IF(P486&lt;'PlayerGrades+'!$AG$14,"D",IF(P486&lt;'PlayerGrades+'!$AG$13,"D+",IF(P486&lt;'PlayerGrades+'!$AG$12,"C-",IF(P486&lt;'PlayerGrades+'!$AG$11,"C",IF(P486&lt;'PlayerGrades+'!$AG$10,"C+",IF(P486&lt;'PlayerGrades+'!$AG$9,"B-",IF(P486&lt;'PlayerGrades+'!$AG$8,"B",IF(P486&lt;'PlayerGrades+'!$AG$7,"B+",IF(P486&lt;'PlayerGrades+'!$AG$6,"A-",IF(P486&lt;'PlayerGrades+'!$AG$5,"A",IF(P486&lt;'PlayerGrades+'!$AG$4,"A+",IF(P486&lt;'PlayerGrades+'!$AG$3,"S-",IF(P486&lt;'PlayerGrades+'!$AG$2,"S","S+"))))))))))))))))))))</f>
        <v>#DIV/0!</v>
      </c>
      <c r="R486" s="961" t="str">
        <f t="shared" si="8"/>
        <v>#DIV/0!</v>
      </c>
      <c r="S486" s="961" t="str">
        <f>IF(R486&lt;'PlayerGrades+'!$AH$21,"F-",IF(R486&lt;'PlayerGrades+'!$AH$20,"F",IF(R486&lt;'PlayerGrades+'!$AH$19,"F+",IF(R486&lt;'PlayerGrades+'!$AH$18,"E-",IF(R486&lt;'PlayerGrades+'!$AH$17,"E",IF(R486&lt;'PlayerGrades+'!$AH$16,"E+",IF(R486&lt;'PlayerGrades+'!$AH$15,"D-",IF(R486&lt;'PlayerGrades+'!$AH$14,"D",IF(R486&lt;'PlayerGrades+'!$AH$13,"D+",IF(R486&lt;'PlayerGrades+'!$AH$12,"C-",IF(R486&lt;'PlayerGrades+'!$AH$11,"C",IF(R486&lt;'PlayerGrades+'!$AH$10,"C+",IF(R486&lt;'PlayerGrades+'!$AH$9,"B-",IF(R486&lt;'PlayerGrades+'!$AH$8,"B",IF(R486&lt;'PlayerGrades+'!$AH$7,"B+",IF(R486&lt;'PlayerGrades+'!$AH$6,"A-",IF(R486&lt;'PlayerGrades+'!$AH$5,"A",IF(R486&lt;'PlayerGrades+'!$AH$4,"A+",IF(R486&lt;'PlayerGrades+'!$AH$3,"S-",IF(R486&lt;'PlayerGrades+'!$AH$2,"S","S+"))))))))))))))))))))</f>
        <v>#DIV/0!</v>
      </c>
      <c r="T486" s="961">
        <f t="shared" si="9"/>
        <v>0</v>
      </c>
      <c r="U486" s="961" t="str">
        <f>IF(T486&lt;'PlayerGrades+'!$AI$21,"F-",IF(T486&lt;'PlayerGrades+'!$AI$20,"F",IF(T486&lt;'PlayerGrades+'!$AI$19,"F+",IF(T486&lt;'PlayerGrades+'!$AI$18,"E-",IF(T486&lt;'PlayerGrades+'!$AI$17,"E",IF(T486&lt;'PlayerGrades+'!$AI$16,"E+",IF(T486&lt;'PlayerGrades+'!$AI$15,"D-",IF(T486&lt;'PlayerGrades+'!$AI$14,"D",IF(T486&lt;'PlayerGrades+'!$AI$13,"D+",IF(T486&lt;'PlayerGrades+'!$AI$12,"C-",IF(T486&lt;'PlayerGrades+'!$AI$11,"C",IF(T486&lt;'PlayerGrades+'!$AI$10,"C+",IF(T486&lt;'PlayerGrades+'!$AI$9,"B-",IF(T486&lt;'PlayerGrades+'!$AI$8,"B",IF(T486&lt;'PlayerGrades+'!$AI$7,"B+",IF(T486&lt;'PlayerGrades+'!$AI$6,"A-",IF(T486&lt;'PlayerGrades+'!$AI$5,"A",IF(T486&lt;'PlayerGrades+'!$AI$4,"A+",IF(T486&lt;'PlayerGrades+'!$AI$3,"S-",IF(T486&lt;'PlayerGrades+'!$AI$2,"S","S+"))))))))))))))))))))</f>
        <v>F-</v>
      </c>
      <c r="AC486" s="1392"/>
    </row>
    <row r="487">
      <c r="A487" s="1391"/>
      <c r="B487" s="611" t="str">
        <f>IF(C487&lt;'PlayerGrades+'!$Y$44,"F-",IF(C487&lt;'PlayerGrades+'!$Y$43,"F",IF(C487&lt;'PlayerGrades+'!$Y$42,"F+",IF(C487&lt;'PlayerGrades+'!$Y$41,"E-",IF(C487&lt;'PlayerGrades+'!$Y$40,"E",IF(C487&lt;'PlayerGrades+'!$Y$39,"E+",IF(C487&lt;'PlayerGrades+'!$Y$38,"D-",IF(C487&lt;'PlayerGrades+'!$Y$37,"D",IF(C487&lt;'PlayerGrades+'!$Y$36,"D+",IF(C487&lt;'PlayerGrades+'!$Y$35,"C-",IF(C487&lt;'PlayerGrades+'!$Y$34,"C",IF(C487&lt;'PlayerGrades+'!$Y$33,"C+",IF(C487&lt;'PlayerGrades+'!$Y$32,"B-",IF(C487&lt;'PlayerGrades+'!$Y$31,"B",IF(C487&lt;'PlayerGrades+'!$Y$30,"B+",IF(C487&lt;'PlayerGrades+'!$Y$29,"A-",IF(C487&lt;'PlayerGrades+'!$Y$28,"A",IF(C487&lt;'PlayerGrades+'!$Y$27,"A+",IF(C487&lt;'PlayerGrades+'!$Y$26,"S-",IF(C487&lt;'PlayerGrades+'!$Y$25,"S","S+"))))))))))))))))))))</f>
        <v>#DIV/0!</v>
      </c>
      <c r="C487" s="1378" t="str">
        <f>('PlayerGrades+'!$Y$47*(VLOOKUP(E487, 'PlayerGrades+'!$X$3:$Y$23, 2, FALSE)))+('PlayerGrades+'!$Y$48*(VLOOKUP(G487, 'PlayerGrades+'!$X$3:$Y$23, 2, FALSE)))+('PlayerGrades+'!$Y$49*(VLOOKUP(I487, 'PlayerGrades+'!$X$3:$Y$23, 2, FALSE)))+('PlayerGrades+'!$Y$50*(VLOOKUP(K487, 'PlayerGrades+'!$X$3:$Y$23, 2, FALSE)))+('PlayerGrades+'!$Y$51*(VLOOKUP(M487, 'PlayerGrades+'!$X$3:$Y$23, 2, FALSE)))+('PlayerGrades+'!$Y$52*(VLOOKUP(O487, 'PlayerGrades+'!$X$3:$Y$23, 2, FALSE)))+('PlayerGrades+'!$Y$53*(VLOOKUP(Q487, 'PlayerGrades+'!$X$3:$Y$23, 2, FALSE)))+('PlayerGrades+'!$Y$54*(VLOOKUP(S487, 'PlayerGrades+'!$X$3:$Y$23, 2, FALSE)))+('PlayerGrades+'!$Y$55*(VLOOKUP(U487, 'PlayerGrades+'!$X$3:$Y$23, 2, FALSE)))</f>
        <v>#DIV/0!</v>
      </c>
      <c r="D487" s="961" t="str">
        <f t="shared" si="1"/>
        <v>#DIV/0!</v>
      </c>
      <c r="E487" s="961" t="str">
        <f>IF(D487&lt;'PlayerGrades+'!$AA$21,"F-",IF(D487&lt;'PlayerGrades+'!$AA$20,"F",IF(D487&lt;'PlayerGrades+'!$AA$19,"F+",IF(D487&lt;'PlayerGrades+'!$AA$18,"E-",IF(D487&lt;'PlayerGrades+'!$AA$17,"E",IF(D487&lt;'PlayerGrades+'!$AA$16,"E+",IF(D487&lt;'PlayerGrades+'!$AA$15,"D-",IF(D487&lt;'PlayerGrades+'!$AA$14,"D",IF(D487&lt;'PlayerGrades+'!$AA$13,"D+",IF(D487&lt;'PlayerGrades+'!$AA$12,"C-",IF(D487&lt;'PlayerGrades+'!$AA$11,"C",IF(D487&lt;'PlayerGrades+'!$AA$10,"C+",IF(D487&lt;'PlayerGrades+'!$AA$9,"B-",IF(D487&lt;'PlayerGrades+'!$AA$8,"B",IF(D487&lt;'PlayerGrades+'!$AA$7,"B+",IF(D487&lt;'PlayerGrades+'!$AA$6,"A-",IF(D487&lt;'PlayerGrades+'!$AA$5,"A",IF(D487&lt;'PlayerGrades+'!$AA$4,"A+",IF(D487&lt;'PlayerGrades+'!$AA$3,"S-",IF(D487&lt;'PlayerGrades+'!$AA$2,"S","S+"))))))))))))))))))))</f>
        <v>#DIV/0!</v>
      </c>
      <c r="F487" s="961" t="str">
        <f t="shared" si="2"/>
        <v>#DIV/0!</v>
      </c>
      <c r="G487" s="961" t="str">
        <f>IF(F487&lt;'PlayerGrades+'!$AB$21,"F-",IF(F487&lt;'PlayerGrades+'!$AB$20,"F",IF(F487&lt;'PlayerGrades+'!$AB$19,"F+",IF(F487&lt;'PlayerGrades+'!$AB$18,"E-",IF(F487&lt;'PlayerGrades+'!$AB$17,"E",IF(F487&lt;'PlayerGrades+'!$AB$16,"E+",IF(F487&lt;'PlayerGrades+'!$AB$15,"D-",IF(F487&lt;'PlayerGrades+'!$AB$14,"D",IF(F487&lt;'PlayerGrades+'!$AB$13,"D+",IF(F487&lt;'PlayerGrades+'!$AB$12,"C-",IF(F487&lt;'PlayerGrades+'!$AB$11,"C",IF(F487&lt;'PlayerGrades+'!$AB$10,"C+",IF(F487&lt;'PlayerGrades+'!$AB$9,"B-",IF(F487&lt;'PlayerGrades+'!$AB$8,"B",IF(F487&lt;'PlayerGrades+'!$AB$7,"B+",IF(F487&lt;'PlayerGrades+'!$AB$6,"A-",IF(F487&lt;'PlayerGrades+'!$AB$5,"A",IF(F487&lt;'PlayerGrades+'!$AB$4,"A+",IF(F487&lt;'PlayerGrades+'!$AB$3,"S-",IF(F487&lt;'PlayerGrades+'!$AB$2,"S","S+"))))))))))))))))))))</f>
        <v>#DIV/0!</v>
      </c>
      <c r="H487" s="961" t="str">
        <f t="shared" si="3"/>
        <v>#DIV/0!</v>
      </c>
      <c r="I487" s="961" t="str">
        <f>IF(H487&lt;'PlayerGrades+'!$AC$21,"F-",IF(H487&lt;'PlayerGrades+'!$AC$20,"F",IF(H487&lt;'PlayerGrades+'!$AC$19,"F+",IF(H487&lt;'PlayerGrades+'!$AC$18,"E-",IF(H487&lt;'PlayerGrades+'!$AC$17,"E",IF(H487&lt;'PlayerGrades+'!$AC$16,"E+",IF(H487&lt;'PlayerGrades+'!$AC$15,"D-",IF(H487&lt;'PlayerGrades+'!$AC$14,"D",IF(H487&lt;'PlayerGrades+'!$AC$13,"D+",IF(H487&lt;'PlayerGrades+'!$AC$12,"C-",IF(H487&lt;'PlayerGrades+'!$AC$11,"C",IF(H487&lt;'PlayerGrades+'!$AC$10,"C+",IF(H487&lt;'PlayerGrades+'!$AC$9,"B-",IF(H487&lt;'PlayerGrades+'!$AC$8,"B",IF(H487&lt;'PlayerGrades+'!$AC$7,"B+",IF(H487&lt;'PlayerGrades+'!$AC$6,"A-",IF(H487&lt;'PlayerGrades+'!$AC$5,"A",IF(H487&lt;'PlayerGrades+'!$AC$4,"A+",IF(H487&lt;'PlayerGrades+'!$AC$3,"S-",IF(H487&lt;'PlayerGrades+'!$AC$2,"S","S+"))))))))))))))))))))</f>
        <v>#DIV/0!</v>
      </c>
      <c r="J487" s="961" t="str">
        <f t="shared" si="4"/>
        <v>#DIV/0!</v>
      </c>
      <c r="K487" s="961" t="str">
        <f>IF(J487&lt;'PlayerGrades+'!$AD$21,"F-",IF(J487&lt;'PlayerGrades+'!$AD$20,"F",IF(J487&lt;'PlayerGrades+'!$AD$19,"F+",IF(J487&lt;'PlayerGrades+'!$AD$18,"E-",IF(J487&lt;'PlayerGrades+'!$AD$17,"E",IF(J487&lt;'PlayerGrades+'!$AD$16,"E+",IF(J487&lt;'PlayerGrades+'!$AD$15,"D-",IF(J487&lt;'PlayerGrades+'!$AD$14,"D",IF(J487&lt;'PlayerGrades+'!$AD$13,"D+",IF(J487&lt;'PlayerGrades+'!$AD$12,"C-",IF(J487&lt;'PlayerGrades+'!$AD$11,"C",IF(J487&lt;'PlayerGrades+'!$AD$10,"C+",IF(J487&lt;'PlayerGrades+'!$AD$9,"B-",IF(J487&lt;'PlayerGrades+'!$AD$8,"B",IF(J487&lt;'PlayerGrades+'!$AD$7,"B+",IF(J487&lt;'PlayerGrades+'!$AD$6,"A-",IF(J487&lt;'PlayerGrades+'!$AD$5,"A",IF(J487&lt;'PlayerGrades+'!$AD$4,"A+",IF(J487&lt;'PlayerGrades+'!$AD$3,"S-",IF(J487&lt;'PlayerGrades+'!$AD$2,"S","S+"))))))))))))))))))))</f>
        <v>#DIV/0!</v>
      </c>
      <c r="L487" s="1176" t="str">
        <f t="shared" si="5"/>
        <v>#DIV/0!</v>
      </c>
      <c r="M487" s="992" t="str">
        <f>IF(L487&lt;'PlayerGrades+'!$AE$21,"F-",IF(L487&lt;'PlayerGrades+'!$AE$20,"F",IF(L487&lt;'PlayerGrades+'!$AE$19,"F+",IF(L487&lt;'PlayerGrades+'!$AE$18,"E-",IF(L487&lt;'PlayerGrades+'!$AE$17,"E",IF(L487&lt;'PlayerGrades+'!$AE$16,"E+",IF(L487&lt;'PlayerGrades+'!$AE$15,"D-",IF(L487&lt;'PlayerGrades+'!$AE$14,"D",IF(L487&lt;'PlayerGrades+'!$AE$13,"D+",IF(L487&lt;'PlayerGrades+'!$AE$12,"C-",IF(L487&lt;'PlayerGrades+'!$AE$11,"C",IF(L487&lt;'PlayerGrades+'!$AE$10,"C+",IF(L487&lt;'PlayerGrades+'!$AE$9,"B-",IF(L487&lt;'PlayerGrades+'!$AE$8,"B",IF(L487&lt;'PlayerGrades+'!$AE$7,"B+",IF(L487&lt;'PlayerGrades+'!$AE$6,"A-",IF(L487&lt;'PlayerGrades+'!$AE$5,"A",IF(L487&lt;'PlayerGrades+'!$AE$4,"A+",IF(L487&lt;'PlayerGrades+'!$AE$3,"S-",IF(L487&lt;'PlayerGrades+'!$AE$2,"S","S+"))))))))))))))))))))</f>
        <v>#DIV/0!</v>
      </c>
      <c r="N487" s="961" t="str">
        <f t="shared" si="6"/>
        <v>#DIV/0!</v>
      </c>
      <c r="O487" s="961" t="str">
        <f>IF(N487&lt;'PlayerGrades+'!$AF$21,"F-",IF(N487&lt;'PlayerGrades+'!$AF$20,"F",IF(N487&lt;'PlayerGrades+'!$AF$19,"F+",IF(N487&lt;'PlayerGrades+'!$AF$18,"E-",IF(N487&lt;'PlayerGrades+'!$AF$17,"E",IF(N487&lt;'PlayerGrades+'!$AF$16,"E+",IF(N487&lt;'PlayerGrades+'!$AF$15,"D-",IF(N487&lt;'PlayerGrades+'!$AF$14,"D",IF(N487&lt;'PlayerGrades+'!$AF$13,"D+",IF(N487&lt;'PlayerGrades+'!$AF$12,"C-",IF(N487&lt;'PlayerGrades+'!$AF$11,"C",IF(N487&lt;'PlayerGrades+'!$AF$10,"C+",IF(N487&lt;'PlayerGrades+'!$AF$9,"B-",IF(N487&lt;'PlayerGrades+'!$AF$8,"B",IF(N487&lt;'PlayerGrades+'!$AF$7,"B+",IF(N487&lt;'PlayerGrades+'!$AF$6,"A-",IF(N487&lt;'PlayerGrades+'!$AF$5,"A",IF(N487&lt;'PlayerGrades+'!$AF$4,"A+",IF(N487&lt;'PlayerGrades+'!$AF$3,"S-",IF(N487&lt;'PlayerGrades+'!$AF$2,"S","S+"))))))))))))))))))))</f>
        <v>#DIV/0!</v>
      </c>
      <c r="P487" s="961" t="str">
        <f t="shared" si="7"/>
        <v>#DIV/0!</v>
      </c>
      <c r="Q487" s="961" t="str">
        <f>IF(P487&lt;'PlayerGrades+'!$AG$21,"F-",IF(P487&lt;'PlayerGrades+'!$AG$20,"F",IF(P487&lt;'PlayerGrades+'!$AG$19,"F+",IF(P487&lt;'PlayerGrades+'!$AG$18,"E-",IF(P487&lt;'PlayerGrades+'!$AG$17,"E",IF(P487&lt;'PlayerGrades+'!$AG$16,"E+",IF(P487&lt;'PlayerGrades+'!$AG$15,"D-",IF(P487&lt;'PlayerGrades+'!$AG$14,"D",IF(P487&lt;'PlayerGrades+'!$AG$13,"D+",IF(P487&lt;'PlayerGrades+'!$AG$12,"C-",IF(P487&lt;'PlayerGrades+'!$AG$11,"C",IF(P487&lt;'PlayerGrades+'!$AG$10,"C+",IF(P487&lt;'PlayerGrades+'!$AG$9,"B-",IF(P487&lt;'PlayerGrades+'!$AG$8,"B",IF(P487&lt;'PlayerGrades+'!$AG$7,"B+",IF(P487&lt;'PlayerGrades+'!$AG$6,"A-",IF(P487&lt;'PlayerGrades+'!$AG$5,"A",IF(P487&lt;'PlayerGrades+'!$AG$4,"A+",IF(P487&lt;'PlayerGrades+'!$AG$3,"S-",IF(P487&lt;'PlayerGrades+'!$AG$2,"S","S+"))))))))))))))))))))</f>
        <v>#DIV/0!</v>
      </c>
      <c r="R487" s="961" t="str">
        <f t="shared" si="8"/>
        <v>#DIV/0!</v>
      </c>
      <c r="S487" s="961" t="str">
        <f>IF(R487&lt;'PlayerGrades+'!$AH$21,"F-",IF(R487&lt;'PlayerGrades+'!$AH$20,"F",IF(R487&lt;'PlayerGrades+'!$AH$19,"F+",IF(R487&lt;'PlayerGrades+'!$AH$18,"E-",IF(R487&lt;'PlayerGrades+'!$AH$17,"E",IF(R487&lt;'PlayerGrades+'!$AH$16,"E+",IF(R487&lt;'PlayerGrades+'!$AH$15,"D-",IF(R487&lt;'PlayerGrades+'!$AH$14,"D",IF(R487&lt;'PlayerGrades+'!$AH$13,"D+",IF(R487&lt;'PlayerGrades+'!$AH$12,"C-",IF(R487&lt;'PlayerGrades+'!$AH$11,"C",IF(R487&lt;'PlayerGrades+'!$AH$10,"C+",IF(R487&lt;'PlayerGrades+'!$AH$9,"B-",IF(R487&lt;'PlayerGrades+'!$AH$8,"B",IF(R487&lt;'PlayerGrades+'!$AH$7,"B+",IF(R487&lt;'PlayerGrades+'!$AH$6,"A-",IF(R487&lt;'PlayerGrades+'!$AH$5,"A",IF(R487&lt;'PlayerGrades+'!$AH$4,"A+",IF(R487&lt;'PlayerGrades+'!$AH$3,"S-",IF(R487&lt;'PlayerGrades+'!$AH$2,"S","S+"))))))))))))))))))))</f>
        <v>#DIV/0!</v>
      </c>
      <c r="T487" s="961">
        <f t="shared" si="9"/>
        <v>0</v>
      </c>
      <c r="U487" s="961" t="str">
        <f>IF(T487&lt;'PlayerGrades+'!$AI$21,"F-",IF(T487&lt;'PlayerGrades+'!$AI$20,"F",IF(T487&lt;'PlayerGrades+'!$AI$19,"F+",IF(T487&lt;'PlayerGrades+'!$AI$18,"E-",IF(T487&lt;'PlayerGrades+'!$AI$17,"E",IF(T487&lt;'PlayerGrades+'!$AI$16,"E+",IF(T487&lt;'PlayerGrades+'!$AI$15,"D-",IF(T487&lt;'PlayerGrades+'!$AI$14,"D",IF(T487&lt;'PlayerGrades+'!$AI$13,"D+",IF(T487&lt;'PlayerGrades+'!$AI$12,"C-",IF(T487&lt;'PlayerGrades+'!$AI$11,"C",IF(T487&lt;'PlayerGrades+'!$AI$10,"C+",IF(T487&lt;'PlayerGrades+'!$AI$9,"B-",IF(T487&lt;'PlayerGrades+'!$AI$8,"B",IF(T487&lt;'PlayerGrades+'!$AI$7,"B+",IF(T487&lt;'PlayerGrades+'!$AI$6,"A-",IF(T487&lt;'PlayerGrades+'!$AI$5,"A",IF(T487&lt;'PlayerGrades+'!$AI$4,"A+",IF(T487&lt;'PlayerGrades+'!$AI$3,"S-",IF(T487&lt;'PlayerGrades+'!$AI$2,"S","S+"))))))))))))))))))))</f>
        <v>F-</v>
      </c>
      <c r="AC487" s="1392"/>
    </row>
    <row r="488">
      <c r="A488" s="1391"/>
      <c r="B488" s="611" t="str">
        <f>IF(C488&lt;'PlayerGrades+'!$Y$44,"F-",IF(C488&lt;'PlayerGrades+'!$Y$43,"F",IF(C488&lt;'PlayerGrades+'!$Y$42,"F+",IF(C488&lt;'PlayerGrades+'!$Y$41,"E-",IF(C488&lt;'PlayerGrades+'!$Y$40,"E",IF(C488&lt;'PlayerGrades+'!$Y$39,"E+",IF(C488&lt;'PlayerGrades+'!$Y$38,"D-",IF(C488&lt;'PlayerGrades+'!$Y$37,"D",IF(C488&lt;'PlayerGrades+'!$Y$36,"D+",IF(C488&lt;'PlayerGrades+'!$Y$35,"C-",IF(C488&lt;'PlayerGrades+'!$Y$34,"C",IF(C488&lt;'PlayerGrades+'!$Y$33,"C+",IF(C488&lt;'PlayerGrades+'!$Y$32,"B-",IF(C488&lt;'PlayerGrades+'!$Y$31,"B",IF(C488&lt;'PlayerGrades+'!$Y$30,"B+",IF(C488&lt;'PlayerGrades+'!$Y$29,"A-",IF(C488&lt;'PlayerGrades+'!$Y$28,"A",IF(C488&lt;'PlayerGrades+'!$Y$27,"A+",IF(C488&lt;'PlayerGrades+'!$Y$26,"S-",IF(C488&lt;'PlayerGrades+'!$Y$25,"S","S+"))))))))))))))))))))</f>
        <v>#DIV/0!</v>
      </c>
      <c r="C488" s="1378" t="str">
        <f>('PlayerGrades+'!$Y$47*(VLOOKUP(E488, 'PlayerGrades+'!$X$3:$Y$23, 2, FALSE)))+('PlayerGrades+'!$Y$48*(VLOOKUP(G488, 'PlayerGrades+'!$X$3:$Y$23, 2, FALSE)))+('PlayerGrades+'!$Y$49*(VLOOKUP(I488, 'PlayerGrades+'!$X$3:$Y$23, 2, FALSE)))+('PlayerGrades+'!$Y$50*(VLOOKUP(K488, 'PlayerGrades+'!$X$3:$Y$23, 2, FALSE)))+('PlayerGrades+'!$Y$51*(VLOOKUP(M488, 'PlayerGrades+'!$X$3:$Y$23, 2, FALSE)))+('PlayerGrades+'!$Y$52*(VLOOKUP(O488, 'PlayerGrades+'!$X$3:$Y$23, 2, FALSE)))+('PlayerGrades+'!$Y$53*(VLOOKUP(Q488, 'PlayerGrades+'!$X$3:$Y$23, 2, FALSE)))+('PlayerGrades+'!$Y$54*(VLOOKUP(S488, 'PlayerGrades+'!$X$3:$Y$23, 2, FALSE)))+('PlayerGrades+'!$Y$55*(VLOOKUP(U488, 'PlayerGrades+'!$X$3:$Y$23, 2, FALSE)))</f>
        <v>#DIV/0!</v>
      </c>
      <c r="D488" s="961" t="str">
        <f t="shared" si="1"/>
        <v>#DIV/0!</v>
      </c>
      <c r="E488" s="961" t="str">
        <f>IF(D488&lt;'PlayerGrades+'!$AA$21,"F-",IF(D488&lt;'PlayerGrades+'!$AA$20,"F",IF(D488&lt;'PlayerGrades+'!$AA$19,"F+",IF(D488&lt;'PlayerGrades+'!$AA$18,"E-",IF(D488&lt;'PlayerGrades+'!$AA$17,"E",IF(D488&lt;'PlayerGrades+'!$AA$16,"E+",IF(D488&lt;'PlayerGrades+'!$AA$15,"D-",IF(D488&lt;'PlayerGrades+'!$AA$14,"D",IF(D488&lt;'PlayerGrades+'!$AA$13,"D+",IF(D488&lt;'PlayerGrades+'!$AA$12,"C-",IF(D488&lt;'PlayerGrades+'!$AA$11,"C",IF(D488&lt;'PlayerGrades+'!$AA$10,"C+",IF(D488&lt;'PlayerGrades+'!$AA$9,"B-",IF(D488&lt;'PlayerGrades+'!$AA$8,"B",IF(D488&lt;'PlayerGrades+'!$AA$7,"B+",IF(D488&lt;'PlayerGrades+'!$AA$6,"A-",IF(D488&lt;'PlayerGrades+'!$AA$5,"A",IF(D488&lt;'PlayerGrades+'!$AA$4,"A+",IF(D488&lt;'PlayerGrades+'!$AA$3,"S-",IF(D488&lt;'PlayerGrades+'!$AA$2,"S","S+"))))))))))))))))))))</f>
        <v>#DIV/0!</v>
      </c>
      <c r="F488" s="961" t="str">
        <f t="shared" si="2"/>
        <v>#DIV/0!</v>
      </c>
      <c r="G488" s="961" t="str">
        <f>IF(F488&lt;'PlayerGrades+'!$AB$21,"F-",IF(F488&lt;'PlayerGrades+'!$AB$20,"F",IF(F488&lt;'PlayerGrades+'!$AB$19,"F+",IF(F488&lt;'PlayerGrades+'!$AB$18,"E-",IF(F488&lt;'PlayerGrades+'!$AB$17,"E",IF(F488&lt;'PlayerGrades+'!$AB$16,"E+",IF(F488&lt;'PlayerGrades+'!$AB$15,"D-",IF(F488&lt;'PlayerGrades+'!$AB$14,"D",IF(F488&lt;'PlayerGrades+'!$AB$13,"D+",IF(F488&lt;'PlayerGrades+'!$AB$12,"C-",IF(F488&lt;'PlayerGrades+'!$AB$11,"C",IF(F488&lt;'PlayerGrades+'!$AB$10,"C+",IF(F488&lt;'PlayerGrades+'!$AB$9,"B-",IF(F488&lt;'PlayerGrades+'!$AB$8,"B",IF(F488&lt;'PlayerGrades+'!$AB$7,"B+",IF(F488&lt;'PlayerGrades+'!$AB$6,"A-",IF(F488&lt;'PlayerGrades+'!$AB$5,"A",IF(F488&lt;'PlayerGrades+'!$AB$4,"A+",IF(F488&lt;'PlayerGrades+'!$AB$3,"S-",IF(F488&lt;'PlayerGrades+'!$AB$2,"S","S+"))))))))))))))))))))</f>
        <v>#DIV/0!</v>
      </c>
      <c r="H488" s="961" t="str">
        <f t="shared" si="3"/>
        <v>#DIV/0!</v>
      </c>
      <c r="I488" s="961" t="str">
        <f>IF(H488&lt;'PlayerGrades+'!$AC$21,"F-",IF(H488&lt;'PlayerGrades+'!$AC$20,"F",IF(H488&lt;'PlayerGrades+'!$AC$19,"F+",IF(H488&lt;'PlayerGrades+'!$AC$18,"E-",IF(H488&lt;'PlayerGrades+'!$AC$17,"E",IF(H488&lt;'PlayerGrades+'!$AC$16,"E+",IF(H488&lt;'PlayerGrades+'!$AC$15,"D-",IF(H488&lt;'PlayerGrades+'!$AC$14,"D",IF(H488&lt;'PlayerGrades+'!$AC$13,"D+",IF(H488&lt;'PlayerGrades+'!$AC$12,"C-",IF(H488&lt;'PlayerGrades+'!$AC$11,"C",IF(H488&lt;'PlayerGrades+'!$AC$10,"C+",IF(H488&lt;'PlayerGrades+'!$AC$9,"B-",IF(H488&lt;'PlayerGrades+'!$AC$8,"B",IF(H488&lt;'PlayerGrades+'!$AC$7,"B+",IF(H488&lt;'PlayerGrades+'!$AC$6,"A-",IF(H488&lt;'PlayerGrades+'!$AC$5,"A",IF(H488&lt;'PlayerGrades+'!$AC$4,"A+",IF(H488&lt;'PlayerGrades+'!$AC$3,"S-",IF(H488&lt;'PlayerGrades+'!$AC$2,"S","S+"))))))))))))))))))))</f>
        <v>#DIV/0!</v>
      </c>
      <c r="J488" s="961" t="str">
        <f t="shared" si="4"/>
        <v>#DIV/0!</v>
      </c>
      <c r="K488" s="961" t="str">
        <f>IF(J488&lt;'PlayerGrades+'!$AD$21,"F-",IF(J488&lt;'PlayerGrades+'!$AD$20,"F",IF(J488&lt;'PlayerGrades+'!$AD$19,"F+",IF(J488&lt;'PlayerGrades+'!$AD$18,"E-",IF(J488&lt;'PlayerGrades+'!$AD$17,"E",IF(J488&lt;'PlayerGrades+'!$AD$16,"E+",IF(J488&lt;'PlayerGrades+'!$AD$15,"D-",IF(J488&lt;'PlayerGrades+'!$AD$14,"D",IF(J488&lt;'PlayerGrades+'!$AD$13,"D+",IF(J488&lt;'PlayerGrades+'!$AD$12,"C-",IF(J488&lt;'PlayerGrades+'!$AD$11,"C",IF(J488&lt;'PlayerGrades+'!$AD$10,"C+",IF(J488&lt;'PlayerGrades+'!$AD$9,"B-",IF(J488&lt;'PlayerGrades+'!$AD$8,"B",IF(J488&lt;'PlayerGrades+'!$AD$7,"B+",IF(J488&lt;'PlayerGrades+'!$AD$6,"A-",IF(J488&lt;'PlayerGrades+'!$AD$5,"A",IF(J488&lt;'PlayerGrades+'!$AD$4,"A+",IF(J488&lt;'PlayerGrades+'!$AD$3,"S-",IF(J488&lt;'PlayerGrades+'!$AD$2,"S","S+"))))))))))))))))))))</f>
        <v>#DIV/0!</v>
      </c>
      <c r="L488" s="1176" t="str">
        <f t="shared" si="5"/>
        <v>#DIV/0!</v>
      </c>
      <c r="M488" s="992" t="str">
        <f>IF(L488&lt;'PlayerGrades+'!$AE$21,"F-",IF(L488&lt;'PlayerGrades+'!$AE$20,"F",IF(L488&lt;'PlayerGrades+'!$AE$19,"F+",IF(L488&lt;'PlayerGrades+'!$AE$18,"E-",IF(L488&lt;'PlayerGrades+'!$AE$17,"E",IF(L488&lt;'PlayerGrades+'!$AE$16,"E+",IF(L488&lt;'PlayerGrades+'!$AE$15,"D-",IF(L488&lt;'PlayerGrades+'!$AE$14,"D",IF(L488&lt;'PlayerGrades+'!$AE$13,"D+",IF(L488&lt;'PlayerGrades+'!$AE$12,"C-",IF(L488&lt;'PlayerGrades+'!$AE$11,"C",IF(L488&lt;'PlayerGrades+'!$AE$10,"C+",IF(L488&lt;'PlayerGrades+'!$AE$9,"B-",IF(L488&lt;'PlayerGrades+'!$AE$8,"B",IF(L488&lt;'PlayerGrades+'!$AE$7,"B+",IF(L488&lt;'PlayerGrades+'!$AE$6,"A-",IF(L488&lt;'PlayerGrades+'!$AE$5,"A",IF(L488&lt;'PlayerGrades+'!$AE$4,"A+",IF(L488&lt;'PlayerGrades+'!$AE$3,"S-",IF(L488&lt;'PlayerGrades+'!$AE$2,"S","S+"))))))))))))))))))))</f>
        <v>#DIV/0!</v>
      </c>
      <c r="N488" s="961" t="str">
        <f t="shared" si="6"/>
        <v>#DIV/0!</v>
      </c>
      <c r="O488" s="961" t="str">
        <f>IF(N488&lt;'PlayerGrades+'!$AF$21,"F-",IF(N488&lt;'PlayerGrades+'!$AF$20,"F",IF(N488&lt;'PlayerGrades+'!$AF$19,"F+",IF(N488&lt;'PlayerGrades+'!$AF$18,"E-",IF(N488&lt;'PlayerGrades+'!$AF$17,"E",IF(N488&lt;'PlayerGrades+'!$AF$16,"E+",IF(N488&lt;'PlayerGrades+'!$AF$15,"D-",IF(N488&lt;'PlayerGrades+'!$AF$14,"D",IF(N488&lt;'PlayerGrades+'!$AF$13,"D+",IF(N488&lt;'PlayerGrades+'!$AF$12,"C-",IF(N488&lt;'PlayerGrades+'!$AF$11,"C",IF(N488&lt;'PlayerGrades+'!$AF$10,"C+",IF(N488&lt;'PlayerGrades+'!$AF$9,"B-",IF(N488&lt;'PlayerGrades+'!$AF$8,"B",IF(N488&lt;'PlayerGrades+'!$AF$7,"B+",IF(N488&lt;'PlayerGrades+'!$AF$6,"A-",IF(N488&lt;'PlayerGrades+'!$AF$5,"A",IF(N488&lt;'PlayerGrades+'!$AF$4,"A+",IF(N488&lt;'PlayerGrades+'!$AF$3,"S-",IF(N488&lt;'PlayerGrades+'!$AF$2,"S","S+"))))))))))))))))))))</f>
        <v>#DIV/0!</v>
      </c>
      <c r="P488" s="961" t="str">
        <f t="shared" si="7"/>
        <v>#DIV/0!</v>
      </c>
      <c r="Q488" s="961" t="str">
        <f>IF(P488&lt;'PlayerGrades+'!$AG$21,"F-",IF(P488&lt;'PlayerGrades+'!$AG$20,"F",IF(P488&lt;'PlayerGrades+'!$AG$19,"F+",IF(P488&lt;'PlayerGrades+'!$AG$18,"E-",IF(P488&lt;'PlayerGrades+'!$AG$17,"E",IF(P488&lt;'PlayerGrades+'!$AG$16,"E+",IF(P488&lt;'PlayerGrades+'!$AG$15,"D-",IF(P488&lt;'PlayerGrades+'!$AG$14,"D",IF(P488&lt;'PlayerGrades+'!$AG$13,"D+",IF(P488&lt;'PlayerGrades+'!$AG$12,"C-",IF(P488&lt;'PlayerGrades+'!$AG$11,"C",IF(P488&lt;'PlayerGrades+'!$AG$10,"C+",IF(P488&lt;'PlayerGrades+'!$AG$9,"B-",IF(P488&lt;'PlayerGrades+'!$AG$8,"B",IF(P488&lt;'PlayerGrades+'!$AG$7,"B+",IF(P488&lt;'PlayerGrades+'!$AG$6,"A-",IF(P488&lt;'PlayerGrades+'!$AG$5,"A",IF(P488&lt;'PlayerGrades+'!$AG$4,"A+",IF(P488&lt;'PlayerGrades+'!$AG$3,"S-",IF(P488&lt;'PlayerGrades+'!$AG$2,"S","S+"))))))))))))))))))))</f>
        <v>#DIV/0!</v>
      </c>
      <c r="R488" s="961" t="str">
        <f t="shared" si="8"/>
        <v>#DIV/0!</v>
      </c>
      <c r="S488" s="961" t="str">
        <f>IF(R488&lt;'PlayerGrades+'!$AH$21,"F-",IF(R488&lt;'PlayerGrades+'!$AH$20,"F",IF(R488&lt;'PlayerGrades+'!$AH$19,"F+",IF(R488&lt;'PlayerGrades+'!$AH$18,"E-",IF(R488&lt;'PlayerGrades+'!$AH$17,"E",IF(R488&lt;'PlayerGrades+'!$AH$16,"E+",IF(R488&lt;'PlayerGrades+'!$AH$15,"D-",IF(R488&lt;'PlayerGrades+'!$AH$14,"D",IF(R488&lt;'PlayerGrades+'!$AH$13,"D+",IF(R488&lt;'PlayerGrades+'!$AH$12,"C-",IF(R488&lt;'PlayerGrades+'!$AH$11,"C",IF(R488&lt;'PlayerGrades+'!$AH$10,"C+",IF(R488&lt;'PlayerGrades+'!$AH$9,"B-",IF(R488&lt;'PlayerGrades+'!$AH$8,"B",IF(R488&lt;'PlayerGrades+'!$AH$7,"B+",IF(R488&lt;'PlayerGrades+'!$AH$6,"A-",IF(R488&lt;'PlayerGrades+'!$AH$5,"A",IF(R488&lt;'PlayerGrades+'!$AH$4,"A+",IF(R488&lt;'PlayerGrades+'!$AH$3,"S-",IF(R488&lt;'PlayerGrades+'!$AH$2,"S","S+"))))))))))))))))))))</f>
        <v>#DIV/0!</v>
      </c>
      <c r="T488" s="961">
        <f t="shared" si="9"/>
        <v>0</v>
      </c>
      <c r="U488" s="961" t="str">
        <f>IF(T488&lt;'PlayerGrades+'!$AI$21,"F-",IF(T488&lt;'PlayerGrades+'!$AI$20,"F",IF(T488&lt;'PlayerGrades+'!$AI$19,"F+",IF(T488&lt;'PlayerGrades+'!$AI$18,"E-",IF(T488&lt;'PlayerGrades+'!$AI$17,"E",IF(T488&lt;'PlayerGrades+'!$AI$16,"E+",IF(T488&lt;'PlayerGrades+'!$AI$15,"D-",IF(T488&lt;'PlayerGrades+'!$AI$14,"D",IF(T488&lt;'PlayerGrades+'!$AI$13,"D+",IF(T488&lt;'PlayerGrades+'!$AI$12,"C-",IF(T488&lt;'PlayerGrades+'!$AI$11,"C",IF(T488&lt;'PlayerGrades+'!$AI$10,"C+",IF(T488&lt;'PlayerGrades+'!$AI$9,"B-",IF(T488&lt;'PlayerGrades+'!$AI$8,"B",IF(T488&lt;'PlayerGrades+'!$AI$7,"B+",IF(T488&lt;'PlayerGrades+'!$AI$6,"A-",IF(T488&lt;'PlayerGrades+'!$AI$5,"A",IF(T488&lt;'PlayerGrades+'!$AI$4,"A+",IF(T488&lt;'PlayerGrades+'!$AI$3,"S-",IF(T488&lt;'PlayerGrades+'!$AI$2,"S","S+"))))))))))))))))))))</f>
        <v>F-</v>
      </c>
      <c r="AC488" s="1392"/>
    </row>
    <row r="489">
      <c r="A489" s="1393"/>
      <c r="B489" s="611" t="str">
        <f>IF(C489&lt;'PlayerGrades+'!$Y$44,"F-",IF(C489&lt;'PlayerGrades+'!$Y$43,"F",IF(C489&lt;'PlayerGrades+'!$Y$42,"F+",IF(C489&lt;'PlayerGrades+'!$Y$41,"E-",IF(C489&lt;'PlayerGrades+'!$Y$40,"E",IF(C489&lt;'PlayerGrades+'!$Y$39,"E+",IF(C489&lt;'PlayerGrades+'!$Y$38,"D-",IF(C489&lt;'PlayerGrades+'!$Y$37,"D",IF(C489&lt;'PlayerGrades+'!$Y$36,"D+",IF(C489&lt;'PlayerGrades+'!$Y$35,"C-",IF(C489&lt;'PlayerGrades+'!$Y$34,"C",IF(C489&lt;'PlayerGrades+'!$Y$33,"C+",IF(C489&lt;'PlayerGrades+'!$Y$32,"B-",IF(C489&lt;'PlayerGrades+'!$Y$31,"B",IF(C489&lt;'PlayerGrades+'!$Y$30,"B+",IF(C489&lt;'PlayerGrades+'!$Y$29,"A-",IF(C489&lt;'PlayerGrades+'!$Y$28,"A",IF(C489&lt;'PlayerGrades+'!$Y$27,"A+",IF(C489&lt;'PlayerGrades+'!$Y$26,"S-",IF(C489&lt;'PlayerGrades+'!$Y$25,"S","S+"))))))))))))))))))))</f>
        <v>#DIV/0!</v>
      </c>
      <c r="C489" s="1378" t="str">
        <f>('PlayerGrades+'!$Y$47*(VLOOKUP(E489, 'PlayerGrades+'!$X$3:$Y$23, 2, FALSE)))+('PlayerGrades+'!$Y$48*(VLOOKUP(G489, 'PlayerGrades+'!$X$3:$Y$23, 2, FALSE)))+('PlayerGrades+'!$Y$49*(VLOOKUP(I489, 'PlayerGrades+'!$X$3:$Y$23, 2, FALSE)))+('PlayerGrades+'!$Y$50*(VLOOKUP(K489, 'PlayerGrades+'!$X$3:$Y$23, 2, FALSE)))+('PlayerGrades+'!$Y$51*(VLOOKUP(M489, 'PlayerGrades+'!$X$3:$Y$23, 2, FALSE)))+('PlayerGrades+'!$Y$52*(VLOOKUP(O489, 'PlayerGrades+'!$X$3:$Y$23, 2, FALSE)))+('PlayerGrades+'!$Y$53*(VLOOKUP(Q489, 'PlayerGrades+'!$X$3:$Y$23, 2, FALSE)))+('PlayerGrades+'!$Y$54*(VLOOKUP(S489, 'PlayerGrades+'!$X$3:$Y$23, 2, FALSE)))+('PlayerGrades+'!$Y$55*(VLOOKUP(U489, 'PlayerGrades+'!$X$3:$Y$23, 2, FALSE)))</f>
        <v>#DIV/0!</v>
      </c>
      <c r="D489" s="961" t="str">
        <f t="shared" si="1"/>
        <v>#DIV/0!</v>
      </c>
      <c r="E489" s="961" t="str">
        <f>IF(D489&lt;'PlayerGrades+'!$AA$21,"F-",IF(D489&lt;'PlayerGrades+'!$AA$20,"F",IF(D489&lt;'PlayerGrades+'!$AA$19,"F+",IF(D489&lt;'PlayerGrades+'!$AA$18,"E-",IF(D489&lt;'PlayerGrades+'!$AA$17,"E",IF(D489&lt;'PlayerGrades+'!$AA$16,"E+",IF(D489&lt;'PlayerGrades+'!$AA$15,"D-",IF(D489&lt;'PlayerGrades+'!$AA$14,"D",IF(D489&lt;'PlayerGrades+'!$AA$13,"D+",IF(D489&lt;'PlayerGrades+'!$AA$12,"C-",IF(D489&lt;'PlayerGrades+'!$AA$11,"C",IF(D489&lt;'PlayerGrades+'!$AA$10,"C+",IF(D489&lt;'PlayerGrades+'!$AA$9,"B-",IF(D489&lt;'PlayerGrades+'!$AA$8,"B",IF(D489&lt;'PlayerGrades+'!$AA$7,"B+",IF(D489&lt;'PlayerGrades+'!$AA$6,"A-",IF(D489&lt;'PlayerGrades+'!$AA$5,"A",IF(D489&lt;'PlayerGrades+'!$AA$4,"A+",IF(D489&lt;'PlayerGrades+'!$AA$3,"S-",IF(D489&lt;'PlayerGrades+'!$AA$2,"S","S+"))))))))))))))))))))</f>
        <v>#DIV/0!</v>
      </c>
      <c r="F489" s="961" t="str">
        <f t="shared" si="2"/>
        <v>#DIV/0!</v>
      </c>
      <c r="G489" s="961" t="str">
        <f>IF(F489&lt;'PlayerGrades+'!$AB$21,"F-",IF(F489&lt;'PlayerGrades+'!$AB$20,"F",IF(F489&lt;'PlayerGrades+'!$AB$19,"F+",IF(F489&lt;'PlayerGrades+'!$AB$18,"E-",IF(F489&lt;'PlayerGrades+'!$AB$17,"E",IF(F489&lt;'PlayerGrades+'!$AB$16,"E+",IF(F489&lt;'PlayerGrades+'!$AB$15,"D-",IF(F489&lt;'PlayerGrades+'!$AB$14,"D",IF(F489&lt;'PlayerGrades+'!$AB$13,"D+",IF(F489&lt;'PlayerGrades+'!$AB$12,"C-",IF(F489&lt;'PlayerGrades+'!$AB$11,"C",IF(F489&lt;'PlayerGrades+'!$AB$10,"C+",IF(F489&lt;'PlayerGrades+'!$AB$9,"B-",IF(F489&lt;'PlayerGrades+'!$AB$8,"B",IF(F489&lt;'PlayerGrades+'!$AB$7,"B+",IF(F489&lt;'PlayerGrades+'!$AB$6,"A-",IF(F489&lt;'PlayerGrades+'!$AB$5,"A",IF(F489&lt;'PlayerGrades+'!$AB$4,"A+",IF(F489&lt;'PlayerGrades+'!$AB$3,"S-",IF(F489&lt;'PlayerGrades+'!$AB$2,"S","S+"))))))))))))))))))))</f>
        <v>#DIV/0!</v>
      </c>
      <c r="H489" s="961" t="str">
        <f t="shared" si="3"/>
        <v>#DIV/0!</v>
      </c>
      <c r="I489" s="961" t="str">
        <f>IF(H489&lt;'PlayerGrades+'!$AC$21,"F-",IF(H489&lt;'PlayerGrades+'!$AC$20,"F",IF(H489&lt;'PlayerGrades+'!$AC$19,"F+",IF(H489&lt;'PlayerGrades+'!$AC$18,"E-",IF(H489&lt;'PlayerGrades+'!$AC$17,"E",IF(H489&lt;'PlayerGrades+'!$AC$16,"E+",IF(H489&lt;'PlayerGrades+'!$AC$15,"D-",IF(H489&lt;'PlayerGrades+'!$AC$14,"D",IF(H489&lt;'PlayerGrades+'!$AC$13,"D+",IF(H489&lt;'PlayerGrades+'!$AC$12,"C-",IF(H489&lt;'PlayerGrades+'!$AC$11,"C",IF(H489&lt;'PlayerGrades+'!$AC$10,"C+",IF(H489&lt;'PlayerGrades+'!$AC$9,"B-",IF(H489&lt;'PlayerGrades+'!$AC$8,"B",IF(H489&lt;'PlayerGrades+'!$AC$7,"B+",IF(H489&lt;'PlayerGrades+'!$AC$6,"A-",IF(H489&lt;'PlayerGrades+'!$AC$5,"A",IF(H489&lt;'PlayerGrades+'!$AC$4,"A+",IF(H489&lt;'PlayerGrades+'!$AC$3,"S-",IF(H489&lt;'PlayerGrades+'!$AC$2,"S","S+"))))))))))))))))))))</f>
        <v>#DIV/0!</v>
      </c>
      <c r="J489" s="961" t="str">
        <f t="shared" si="4"/>
        <v>#DIV/0!</v>
      </c>
      <c r="K489" s="961" t="str">
        <f>IF(J489&lt;'PlayerGrades+'!$AD$21,"F-",IF(J489&lt;'PlayerGrades+'!$AD$20,"F",IF(J489&lt;'PlayerGrades+'!$AD$19,"F+",IF(J489&lt;'PlayerGrades+'!$AD$18,"E-",IF(J489&lt;'PlayerGrades+'!$AD$17,"E",IF(J489&lt;'PlayerGrades+'!$AD$16,"E+",IF(J489&lt;'PlayerGrades+'!$AD$15,"D-",IF(J489&lt;'PlayerGrades+'!$AD$14,"D",IF(J489&lt;'PlayerGrades+'!$AD$13,"D+",IF(J489&lt;'PlayerGrades+'!$AD$12,"C-",IF(J489&lt;'PlayerGrades+'!$AD$11,"C",IF(J489&lt;'PlayerGrades+'!$AD$10,"C+",IF(J489&lt;'PlayerGrades+'!$AD$9,"B-",IF(J489&lt;'PlayerGrades+'!$AD$8,"B",IF(J489&lt;'PlayerGrades+'!$AD$7,"B+",IF(J489&lt;'PlayerGrades+'!$AD$6,"A-",IF(J489&lt;'PlayerGrades+'!$AD$5,"A",IF(J489&lt;'PlayerGrades+'!$AD$4,"A+",IF(J489&lt;'PlayerGrades+'!$AD$3,"S-",IF(J489&lt;'PlayerGrades+'!$AD$2,"S","S+"))))))))))))))))))))</f>
        <v>#DIV/0!</v>
      </c>
      <c r="L489" s="1176" t="str">
        <f t="shared" si="5"/>
        <v>#DIV/0!</v>
      </c>
      <c r="M489" s="992" t="str">
        <f>IF(L489&lt;'PlayerGrades+'!$AE$21,"F-",IF(L489&lt;'PlayerGrades+'!$AE$20,"F",IF(L489&lt;'PlayerGrades+'!$AE$19,"F+",IF(L489&lt;'PlayerGrades+'!$AE$18,"E-",IF(L489&lt;'PlayerGrades+'!$AE$17,"E",IF(L489&lt;'PlayerGrades+'!$AE$16,"E+",IF(L489&lt;'PlayerGrades+'!$AE$15,"D-",IF(L489&lt;'PlayerGrades+'!$AE$14,"D",IF(L489&lt;'PlayerGrades+'!$AE$13,"D+",IF(L489&lt;'PlayerGrades+'!$AE$12,"C-",IF(L489&lt;'PlayerGrades+'!$AE$11,"C",IF(L489&lt;'PlayerGrades+'!$AE$10,"C+",IF(L489&lt;'PlayerGrades+'!$AE$9,"B-",IF(L489&lt;'PlayerGrades+'!$AE$8,"B",IF(L489&lt;'PlayerGrades+'!$AE$7,"B+",IF(L489&lt;'PlayerGrades+'!$AE$6,"A-",IF(L489&lt;'PlayerGrades+'!$AE$5,"A",IF(L489&lt;'PlayerGrades+'!$AE$4,"A+",IF(L489&lt;'PlayerGrades+'!$AE$3,"S-",IF(L489&lt;'PlayerGrades+'!$AE$2,"S","S+"))))))))))))))))))))</f>
        <v>#DIV/0!</v>
      </c>
      <c r="N489" s="961" t="str">
        <f t="shared" si="6"/>
        <v>#DIV/0!</v>
      </c>
      <c r="O489" s="961" t="str">
        <f>IF(N489&lt;'PlayerGrades+'!$AF$21,"F-",IF(N489&lt;'PlayerGrades+'!$AF$20,"F",IF(N489&lt;'PlayerGrades+'!$AF$19,"F+",IF(N489&lt;'PlayerGrades+'!$AF$18,"E-",IF(N489&lt;'PlayerGrades+'!$AF$17,"E",IF(N489&lt;'PlayerGrades+'!$AF$16,"E+",IF(N489&lt;'PlayerGrades+'!$AF$15,"D-",IF(N489&lt;'PlayerGrades+'!$AF$14,"D",IF(N489&lt;'PlayerGrades+'!$AF$13,"D+",IF(N489&lt;'PlayerGrades+'!$AF$12,"C-",IF(N489&lt;'PlayerGrades+'!$AF$11,"C",IF(N489&lt;'PlayerGrades+'!$AF$10,"C+",IF(N489&lt;'PlayerGrades+'!$AF$9,"B-",IF(N489&lt;'PlayerGrades+'!$AF$8,"B",IF(N489&lt;'PlayerGrades+'!$AF$7,"B+",IF(N489&lt;'PlayerGrades+'!$AF$6,"A-",IF(N489&lt;'PlayerGrades+'!$AF$5,"A",IF(N489&lt;'PlayerGrades+'!$AF$4,"A+",IF(N489&lt;'PlayerGrades+'!$AF$3,"S-",IF(N489&lt;'PlayerGrades+'!$AF$2,"S","S+"))))))))))))))))))))</f>
        <v>#DIV/0!</v>
      </c>
      <c r="P489" s="961" t="str">
        <f t="shared" si="7"/>
        <v>#DIV/0!</v>
      </c>
      <c r="Q489" s="961" t="str">
        <f>IF(P489&lt;'PlayerGrades+'!$AG$21,"F-",IF(P489&lt;'PlayerGrades+'!$AG$20,"F",IF(P489&lt;'PlayerGrades+'!$AG$19,"F+",IF(P489&lt;'PlayerGrades+'!$AG$18,"E-",IF(P489&lt;'PlayerGrades+'!$AG$17,"E",IF(P489&lt;'PlayerGrades+'!$AG$16,"E+",IF(P489&lt;'PlayerGrades+'!$AG$15,"D-",IF(P489&lt;'PlayerGrades+'!$AG$14,"D",IF(P489&lt;'PlayerGrades+'!$AG$13,"D+",IF(P489&lt;'PlayerGrades+'!$AG$12,"C-",IF(P489&lt;'PlayerGrades+'!$AG$11,"C",IF(P489&lt;'PlayerGrades+'!$AG$10,"C+",IF(P489&lt;'PlayerGrades+'!$AG$9,"B-",IF(P489&lt;'PlayerGrades+'!$AG$8,"B",IF(P489&lt;'PlayerGrades+'!$AG$7,"B+",IF(P489&lt;'PlayerGrades+'!$AG$6,"A-",IF(P489&lt;'PlayerGrades+'!$AG$5,"A",IF(P489&lt;'PlayerGrades+'!$AG$4,"A+",IF(P489&lt;'PlayerGrades+'!$AG$3,"S-",IF(P489&lt;'PlayerGrades+'!$AG$2,"S","S+"))))))))))))))))))))</f>
        <v>#DIV/0!</v>
      </c>
      <c r="R489" s="961" t="str">
        <f t="shared" si="8"/>
        <v>#DIV/0!</v>
      </c>
      <c r="S489" s="961" t="str">
        <f>IF(R489&lt;'PlayerGrades+'!$AH$21,"F-",IF(R489&lt;'PlayerGrades+'!$AH$20,"F",IF(R489&lt;'PlayerGrades+'!$AH$19,"F+",IF(R489&lt;'PlayerGrades+'!$AH$18,"E-",IF(R489&lt;'PlayerGrades+'!$AH$17,"E",IF(R489&lt;'PlayerGrades+'!$AH$16,"E+",IF(R489&lt;'PlayerGrades+'!$AH$15,"D-",IF(R489&lt;'PlayerGrades+'!$AH$14,"D",IF(R489&lt;'PlayerGrades+'!$AH$13,"D+",IF(R489&lt;'PlayerGrades+'!$AH$12,"C-",IF(R489&lt;'PlayerGrades+'!$AH$11,"C",IF(R489&lt;'PlayerGrades+'!$AH$10,"C+",IF(R489&lt;'PlayerGrades+'!$AH$9,"B-",IF(R489&lt;'PlayerGrades+'!$AH$8,"B",IF(R489&lt;'PlayerGrades+'!$AH$7,"B+",IF(R489&lt;'PlayerGrades+'!$AH$6,"A-",IF(R489&lt;'PlayerGrades+'!$AH$5,"A",IF(R489&lt;'PlayerGrades+'!$AH$4,"A+",IF(R489&lt;'PlayerGrades+'!$AH$3,"S-",IF(R489&lt;'PlayerGrades+'!$AH$2,"S","S+"))))))))))))))))))))</f>
        <v>#DIV/0!</v>
      </c>
      <c r="T489" s="961">
        <f t="shared" si="9"/>
        <v>0</v>
      </c>
      <c r="U489" s="961" t="str">
        <f>IF(T489&lt;'PlayerGrades+'!$AI$21,"F-",IF(T489&lt;'PlayerGrades+'!$AI$20,"F",IF(T489&lt;'PlayerGrades+'!$AI$19,"F+",IF(T489&lt;'PlayerGrades+'!$AI$18,"E-",IF(T489&lt;'PlayerGrades+'!$AI$17,"E",IF(T489&lt;'PlayerGrades+'!$AI$16,"E+",IF(T489&lt;'PlayerGrades+'!$AI$15,"D-",IF(T489&lt;'PlayerGrades+'!$AI$14,"D",IF(T489&lt;'PlayerGrades+'!$AI$13,"D+",IF(T489&lt;'PlayerGrades+'!$AI$12,"C-",IF(T489&lt;'PlayerGrades+'!$AI$11,"C",IF(T489&lt;'PlayerGrades+'!$AI$10,"C+",IF(T489&lt;'PlayerGrades+'!$AI$9,"B-",IF(T489&lt;'PlayerGrades+'!$AI$8,"B",IF(T489&lt;'PlayerGrades+'!$AI$7,"B+",IF(T489&lt;'PlayerGrades+'!$AI$6,"A-",IF(T489&lt;'PlayerGrades+'!$AI$5,"A",IF(T489&lt;'PlayerGrades+'!$AI$4,"A+",IF(T489&lt;'PlayerGrades+'!$AI$3,"S-",IF(T489&lt;'PlayerGrades+'!$AI$2,"S","S+"))))))))))))))))))))</f>
        <v>F-</v>
      </c>
      <c r="V489" s="1386"/>
      <c r="W489" s="1386"/>
      <c r="X489" s="1386"/>
      <c r="Y489" s="1386"/>
      <c r="Z489" s="1386"/>
      <c r="AA489" s="1386"/>
      <c r="AB489" s="1386"/>
      <c r="AC489" s="1397"/>
      <c r="AD489" s="1386"/>
      <c r="AE489" s="1386"/>
      <c r="AF489" s="1386"/>
      <c r="AG489" s="1386"/>
      <c r="AH489" s="1386"/>
      <c r="AI489" s="1386"/>
      <c r="AJ489" s="1386"/>
      <c r="AK489" s="1386"/>
      <c r="AL489" s="1386"/>
      <c r="AM489" s="1386"/>
      <c r="AN489" s="1386"/>
      <c r="AO489" s="1386"/>
      <c r="AP489" s="1386"/>
      <c r="AQ489" s="1386"/>
      <c r="AR489" s="1386"/>
      <c r="AS489" s="1386"/>
      <c r="AT489" s="1386"/>
      <c r="AU489" s="1386"/>
      <c r="AV489" s="1386"/>
      <c r="AW489" s="1386"/>
      <c r="AX489" s="1386"/>
      <c r="AY489" s="1386"/>
      <c r="AZ489" s="1386"/>
    </row>
    <row r="490">
      <c r="A490" s="1389"/>
      <c r="B490" s="611" t="str">
        <f>IF(C490&lt;'PlayerGrades+'!$Y$44,"F-",IF(C490&lt;'PlayerGrades+'!$Y$43,"F",IF(C490&lt;'PlayerGrades+'!$Y$42,"F+",IF(C490&lt;'PlayerGrades+'!$Y$41,"E-",IF(C490&lt;'PlayerGrades+'!$Y$40,"E",IF(C490&lt;'PlayerGrades+'!$Y$39,"E+",IF(C490&lt;'PlayerGrades+'!$Y$38,"D-",IF(C490&lt;'PlayerGrades+'!$Y$37,"D",IF(C490&lt;'PlayerGrades+'!$Y$36,"D+",IF(C490&lt;'PlayerGrades+'!$Y$35,"C-",IF(C490&lt;'PlayerGrades+'!$Y$34,"C",IF(C490&lt;'PlayerGrades+'!$Y$33,"C+",IF(C490&lt;'PlayerGrades+'!$Y$32,"B-",IF(C490&lt;'PlayerGrades+'!$Y$31,"B",IF(C490&lt;'PlayerGrades+'!$Y$30,"B+",IF(C490&lt;'PlayerGrades+'!$Y$29,"A-",IF(C490&lt;'PlayerGrades+'!$Y$28,"A",IF(C490&lt;'PlayerGrades+'!$Y$27,"A+",IF(C490&lt;'PlayerGrades+'!$Y$26,"S-",IF(C490&lt;'PlayerGrades+'!$Y$25,"S","S+"))))))))))))))))))))</f>
        <v>#DIV/0!</v>
      </c>
      <c r="C490" s="1378" t="str">
        <f>('PlayerGrades+'!$Y$47*(VLOOKUP(E490, 'PlayerGrades+'!$X$3:$Y$23, 2, FALSE)))+('PlayerGrades+'!$Y$48*(VLOOKUP(G490, 'PlayerGrades+'!$X$3:$Y$23, 2, FALSE)))+('PlayerGrades+'!$Y$49*(VLOOKUP(I490, 'PlayerGrades+'!$X$3:$Y$23, 2, FALSE)))+('PlayerGrades+'!$Y$50*(VLOOKUP(K490, 'PlayerGrades+'!$X$3:$Y$23, 2, FALSE)))+('PlayerGrades+'!$Y$51*(VLOOKUP(M490, 'PlayerGrades+'!$X$3:$Y$23, 2, FALSE)))+('PlayerGrades+'!$Y$52*(VLOOKUP(O490, 'PlayerGrades+'!$X$3:$Y$23, 2, FALSE)))+('PlayerGrades+'!$Y$53*(VLOOKUP(Q490, 'PlayerGrades+'!$X$3:$Y$23, 2, FALSE)))+('PlayerGrades+'!$Y$54*(VLOOKUP(S490, 'PlayerGrades+'!$X$3:$Y$23, 2, FALSE)))+('PlayerGrades+'!$Y$55*(VLOOKUP(U490, 'PlayerGrades+'!$X$3:$Y$23, 2, FALSE)))</f>
        <v>#DIV/0!</v>
      </c>
      <c r="D490" s="961" t="str">
        <f t="shared" si="1"/>
        <v>#DIV/0!</v>
      </c>
      <c r="E490" s="961" t="str">
        <f>IF(D490&lt;'PlayerGrades+'!$AA$21,"F-",IF(D490&lt;'PlayerGrades+'!$AA$20,"F",IF(D490&lt;'PlayerGrades+'!$AA$19,"F+",IF(D490&lt;'PlayerGrades+'!$AA$18,"E-",IF(D490&lt;'PlayerGrades+'!$AA$17,"E",IF(D490&lt;'PlayerGrades+'!$AA$16,"E+",IF(D490&lt;'PlayerGrades+'!$AA$15,"D-",IF(D490&lt;'PlayerGrades+'!$AA$14,"D",IF(D490&lt;'PlayerGrades+'!$AA$13,"D+",IF(D490&lt;'PlayerGrades+'!$AA$12,"C-",IF(D490&lt;'PlayerGrades+'!$AA$11,"C",IF(D490&lt;'PlayerGrades+'!$AA$10,"C+",IF(D490&lt;'PlayerGrades+'!$AA$9,"B-",IF(D490&lt;'PlayerGrades+'!$AA$8,"B",IF(D490&lt;'PlayerGrades+'!$AA$7,"B+",IF(D490&lt;'PlayerGrades+'!$AA$6,"A-",IF(D490&lt;'PlayerGrades+'!$AA$5,"A",IF(D490&lt;'PlayerGrades+'!$AA$4,"A+",IF(D490&lt;'PlayerGrades+'!$AA$3,"S-",IF(D490&lt;'PlayerGrades+'!$AA$2,"S","S+"))))))))))))))))))))</f>
        <v>#DIV/0!</v>
      </c>
      <c r="F490" s="961" t="str">
        <f t="shared" si="2"/>
        <v>#DIV/0!</v>
      </c>
      <c r="G490" s="961" t="str">
        <f>IF(F490&lt;'PlayerGrades+'!$AB$21,"F-",IF(F490&lt;'PlayerGrades+'!$AB$20,"F",IF(F490&lt;'PlayerGrades+'!$AB$19,"F+",IF(F490&lt;'PlayerGrades+'!$AB$18,"E-",IF(F490&lt;'PlayerGrades+'!$AB$17,"E",IF(F490&lt;'PlayerGrades+'!$AB$16,"E+",IF(F490&lt;'PlayerGrades+'!$AB$15,"D-",IF(F490&lt;'PlayerGrades+'!$AB$14,"D",IF(F490&lt;'PlayerGrades+'!$AB$13,"D+",IF(F490&lt;'PlayerGrades+'!$AB$12,"C-",IF(F490&lt;'PlayerGrades+'!$AB$11,"C",IF(F490&lt;'PlayerGrades+'!$AB$10,"C+",IF(F490&lt;'PlayerGrades+'!$AB$9,"B-",IF(F490&lt;'PlayerGrades+'!$AB$8,"B",IF(F490&lt;'PlayerGrades+'!$AB$7,"B+",IF(F490&lt;'PlayerGrades+'!$AB$6,"A-",IF(F490&lt;'PlayerGrades+'!$AB$5,"A",IF(F490&lt;'PlayerGrades+'!$AB$4,"A+",IF(F490&lt;'PlayerGrades+'!$AB$3,"S-",IF(F490&lt;'PlayerGrades+'!$AB$2,"S","S+"))))))))))))))))))))</f>
        <v>#DIV/0!</v>
      </c>
      <c r="H490" s="961" t="str">
        <f t="shared" si="3"/>
        <v>#DIV/0!</v>
      </c>
      <c r="I490" s="961" t="str">
        <f>IF(H490&lt;'PlayerGrades+'!$AC$21,"F-",IF(H490&lt;'PlayerGrades+'!$AC$20,"F",IF(H490&lt;'PlayerGrades+'!$AC$19,"F+",IF(H490&lt;'PlayerGrades+'!$AC$18,"E-",IF(H490&lt;'PlayerGrades+'!$AC$17,"E",IF(H490&lt;'PlayerGrades+'!$AC$16,"E+",IF(H490&lt;'PlayerGrades+'!$AC$15,"D-",IF(H490&lt;'PlayerGrades+'!$AC$14,"D",IF(H490&lt;'PlayerGrades+'!$AC$13,"D+",IF(H490&lt;'PlayerGrades+'!$AC$12,"C-",IF(H490&lt;'PlayerGrades+'!$AC$11,"C",IF(H490&lt;'PlayerGrades+'!$AC$10,"C+",IF(H490&lt;'PlayerGrades+'!$AC$9,"B-",IF(H490&lt;'PlayerGrades+'!$AC$8,"B",IF(H490&lt;'PlayerGrades+'!$AC$7,"B+",IF(H490&lt;'PlayerGrades+'!$AC$6,"A-",IF(H490&lt;'PlayerGrades+'!$AC$5,"A",IF(H490&lt;'PlayerGrades+'!$AC$4,"A+",IF(H490&lt;'PlayerGrades+'!$AC$3,"S-",IF(H490&lt;'PlayerGrades+'!$AC$2,"S","S+"))))))))))))))))))))</f>
        <v>#DIV/0!</v>
      </c>
      <c r="J490" s="961" t="str">
        <f t="shared" si="4"/>
        <v>#DIV/0!</v>
      </c>
      <c r="K490" s="961" t="str">
        <f>IF(J490&lt;'PlayerGrades+'!$AD$21,"F-",IF(J490&lt;'PlayerGrades+'!$AD$20,"F",IF(J490&lt;'PlayerGrades+'!$AD$19,"F+",IF(J490&lt;'PlayerGrades+'!$AD$18,"E-",IF(J490&lt;'PlayerGrades+'!$AD$17,"E",IF(J490&lt;'PlayerGrades+'!$AD$16,"E+",IF(J490&lt;'PlayerGrades+'!$AD$15,"D-",IF(J490&lt;'PlayerGrades+'!$AD$14,"D",IF(J490&lt;'PlayerGrades+'!$AD$13,"D+",IF(J490&lt;'PlayerGrades+'!$AD$12,"C-",IF(J490&lt;'PlayerGrades+'!$AD$11,"C",IF(J490&lt;'PlayerGrades+'!$AD$10,"C+",IF(J490&lt;'PlayerGrades+'!$AD$9,"B-",IF(J490&lt;'PlayerGrades+'!$AD$8,"B",IF(J490&lt;'PlayerGrades+'!$AD$7,"B+",IF(J490&lt;'PlayerGrades+'!$AD$6,"A-",IF(J490&lt;'PlayerGrades+'!$AD$5,"A",IF(J490&lt;'PlayerGrades+'!$AD$4,"A+",IF(J490&lt;'PlayerGrades+'!$AD$3,"S-",IF(J490&lt;'PlayerGrades+'!$AD$2,"S","S+"))))))))))))))))))))</f>
        <v>#DIV/0!</v>
      </c>
      <c r="L490" s="1176" t="str">
        <f t="shared" si="5"/>
        <v>#DIV/0!</v>
      </c>
      <c r="M490" s="992" t="str">
        <f>IF(L490&lt;'PlayerGrades+'!$AE$21,"F-",IF(L490&lt;'PlayerGrades+'!$AE$20,"F",IF(L490&lt;'PlayerGrades+'!$AE$19,"F+",IF(L490&lt;'PlayerGrades+'!$AE$18,"E-",IF(L490&lt;'PlayerGrades+'!$AE$17,"E",IF(L490&lt;'PlayerGrades+'!$AE$16,"E+",IF(L490&lt;'PlayerGrades+'!$AE$15,"D-",IF(L490&lt;'PlayerGrades+'!$AE$14,"D",IF(L490&lt;'PlayerGrades+'!$AE$13,"D+",IF(L490&lt;'PlayerGrades+'!$AE$12,"C-",IF(L490&lt;'PlayerGrades+'!$AE$11,"C",IF(L490&lt;'PlayerGrades+'!$AE$10,"C+",IF(L490&lt;'PlayerGrades+'!$AE$9,"B-",IF(L490&lt;'PlayerGrades+'!$AE$8,"B",IF(L490&lt;'PlayerGrades+'!$AE$7,"B+",IF(L490&lt;'PlayerGrades+'!$AE$6,"A-",IF(L490&lt;'PlayerGrades+'!$AE$5,"A",IF(L490&lt;'PlayerGrades+'!$AE$4,"A+",IF(L490&lt;'PlayerGrades+'!$AE$3,"S-",IF(L490&lt;'PlayerGrades+'!$AE$2,"S","S+"))))))))))))))))))))</f>
        <v>#DIV/0!</v>
      </c>
      <c r="N490" s="961" t="str">
        <f t="shared" si="6"/>
        <v>#DIV/0!</v>
      </c>
      <c r="O490" s="961" t="str">
        <f>IF(N490&lt;'PlayerGrades+'!$AF$21,"F-",IF(N490&lt;'PlayerGrades+'!$AF$20,"F",IF(N490&lt;'PlayerGrades+'!$AF$19,"F+",IF(N490&lt;'PlayerGrades+'!$AF$18,"E-",IF(N490&lt;'PlayerGrades+'!$AF$17,"E",IF(N490&lt;'PlayerGrades+'!$AF$16,"E+",IF(N490&lt;'PlayerGrades+'!$AF$15,"D-",IF(N490&lt;'PlayerGrades+'!$AF$14,"D",IF(N490&lt;'PlayerGrades+'!$AF$13,"D+",IF(N490&lt;'PlayerGrades+'!$AF$12,"C-",IF(N490&lt;'PlayerGrades+'!$AF$11,"C",IF(N490&lt;'PlayerGrades+'!$AF$10,"C+",IF(N490&lt;'PlayerGrades+'!$AF$9,"B-",IF(N490&lt;'PlayerGrades+'!$AF$8,"B",IF(N490&lt;'PlayerGrades+'!$AF$7,"B+",IF(N490&lt;'PlayerGrades+'!$AF$6,"A-",IF(N490&lt;'PlayerGrades+'!$AF$5,"A",IF(N490&lt;'PlayerGrades+'!$AF$4,"A+",IF(N490&lt;'PlayerGrades+'!$AF$3,"S-",IF(N490&lt;'PlayerGrades+'!$AF$2,"S","S+"))))))))))))))))))))</f>
        <v>#DIV/0!</v>
      </c>
      <c r="P490" s="961" t="str">
        <f t="shared" si="7"/>
        <v>#DIV/0!</v>
      </c>
      <c r="Q490" s="961" t="str">
        <f>IF(P490&lt;'PlayerGrades+'!$AG$21,"F-",IF(P490&lt;'PlayerGrades+'!$AG$20,"F",IF(P490&lt;'PlayerGrades+'!$AG$19,"F+",IF(P490&lt;'PlayerGrades+'!$AG$18,"E-",IF(P490&lt;'PlayerGrades+'!$AG$17,"E",IF(P490&lt;'PlayerGrades+'!$AG$16,"E+",IF(P490&lt;'PlayerGrades+'!$AG$15,"D-",IF(P490&lt;'PlayerGrades+'!$AG$14,"D",IF(P490&lt;'PlayerGrades+'!$AG$13,"D+",IF(P490&lt;'PlayerGrades+'!$AG$12,"C-",IF(P490&lt;'PlayerGrades+'!$AG$11,"C",IF(P490&lt;'PlayerGrades+'!$AG$10,"C+",IF(P490&lt;'PlayerGrades+'!$AG$9,"B-",IF(P490&lt;'PlayerGrades+'!$AG$8,"B",IF(P490&lt;'PlayerGrades+'!$AG$7,"B+",IF(P490&lt;'PlayerGrades+'!$AG$6,"A-",IF(P490&lt;'PlayerGrades+'!$AG$5,"A",IF(P490&lt;'PlayerGrades+'!$AG$4,"A+",IF(P490&lt;'PlayerGrades+'!$AG$3,"S-",IF(P490&lt;'PlayerGrades+'!$AG$2,"S","S+"))))))))))))))))))))</f>
        <v>#DIV/0!</v>
      </c>
      <c r="R490" s="961" t="str">
        <f t="shared" si="8"/>
        <v>#DIV/0!</v>
      </c>
      <c r="S490" s="961" t="str">
        <f>IF(R490&lt;'PlayerGrades+'!$AH$21,"F-",IF(R490&lt;'PlayerGrades+'!$AH$20,"F",IF(R490&lt;'PlayerGrades+'!$AH$19,"F+",IF(R490&lt;'PlayerGrades+'!$AH$18,"E-",IF(R490&lt;'PlayerGrades+'!$AH$17,"E",IF(R490&lt;'PlayerGrades+'!$AH$16,"E+",IF(R490&lt;'PlayerGrades+'!$AH$15,"D-",IF(R490&lt;'PlayerGrades+'!$AH$14,"D",IF(R490&lt;'PlayerGrades+'!$AH$13,"D+",IF(R490&lt;'PlayerGrades+'!$AH$12,"C-",IF(R490&lt;'PlayerGrades+'!$AH$11,"C",IF(R490&lt;'PlayerGrades+'!$AH$10,"C+",IF(R490&lt;'PlayerGrades+'!$AH$9,"B-",IF(R490&lt;'PlayerGrades+'!$AH$8,"B",IF(R490&lt;'PlayerGrades+'!$AH$7,"B+",IF(R490&lt;'PlayerGrades+'!$AH$6,"A-",IF(R490&lt;'PlayerGrades+'!$AH$5,"A",IF(R490&lt;'PlayerGrades+'!$AH$4,"A+",IF(R490&lt;'PlayerGrades+'!$AH$3,"S-",IF(R490&lt;'PlayerGrades+'!$AH$2,"S","S+"))))))))))))))))))))</f>
        <v>#DIV/0!</v>
      </c>
      <c r="T490" s="961">
        <f t="shared" si="9"/>
        <v>0</v>
      </c>
      <c r="U490" s="961" t="str">
        <f>IF(T490&lt;'PlayerGrades+'!$AI$21,"F-",IF(T490&lt;'PlayerGrades+'!$AI$20,"F",IF(T490&lt;'PlayerGrades+'!$AI$19,"F+",IF(T490&lt;'PlayerGrades+'!$AI$18,"E-",IF(T490&lt;'PlayerGrades+'!$AI$17,"E",IF(T490&lt;'PlayerGrades+'!$AI$16,"E+",IF(T490&lt;'PlayerGrades+'!$AI$15,"D-",IF(T490&lt;'PlayerGrades+'!$AI$14,"D",IF(T490&lt;'PlayerGrades+'!$AI$13,"D+",IF(T490&lt;'PlayerGrades+'!$AI$12,"C-",IF(T490&lt;'PlayerGrades+'!$AI$11,"C",IF(T490&lt;'PlayerGrades+'!$AI$10,"C+",IF(T490&lt;'PlayerGrades+'!$AI$9,"B-",IF(T490&lt;'PlayerGrades+'!$AI$8,"B",IF(T490&lt;'PlayerGrades+'!$AI$7,"B+",IF(T490&lt;'PlayerGrades+'!$AI$6,"A-",IF(T490&lt;'PlayerGrades+'!$AI$5,"A",IF(T490&lt;'PlayerGrades+'!$AI$4,"A+",IF(T490&lt;'PlayerGrades+'!$AI$3,"S-",IF(T490&lt;'PlayerGrades+'!$AI$2,"S","S+"))))))))))))))))))))</f>
        <v>F-</v>
      </c>
      <c r="V490" s="1379"/>
      <c r="W490" s="1379"/>
      <c r="X490" s="1379"/>
      <c r="Y490" s="1379"/>
      <c r="Z490" s="1379"/>
      <c r="AA490" s="1379"/>
      <c r="AB490" s="1379"/>
      <c r="AC490" s="1390"/>
      <c r="AD490" s="1379"/>
      <c r="AE490" s="1379"/>
      <c r="AF490" s="1379"/>
      <c r="AG490" s="1379"/>
      <c r="AH490" s="1379"/>
      <c r="AI490" s="1379"/>
      <c r="AJ490" s="1379"/>
      <c r="AK490" s="1379"/>
      <c r="AL490" s="1379"/>
      <c r="AM490" s="1379"/>
      <c r="AN490" s="1379"/>
      <c r="AO490" s="1379"/>
      <c r="AP490" s="1379"/>
      <c r="AQ490" s="1379"/>
      <c r="AR490" s="1379"/>
      <c r="AS490" s="1379"/>
      <c r="AT490" s="1379"/>
      <c r="AU490" s="1379"/>
      <c r="AV490" s="1379"/>
      <c r="AW490" s="1379"/>
      <c r="AX490" s="1379"/>
      <c r="AY490" s="1379"/>
      <c r="AZ490" s="1379"/>
    </row>
    <row r="491">
      <c r="A491" s="1391"/>
      <c r="B491" s="611" t="str">
        <f>IF(C491&lt;'PlayerGrades+'!$Y$44,"F-",IF(C491&lt;'PlayerGrades+'!$Y$43,"F",IF(C491&lt;'PlayerGrades+'!$Y$42,"F+",IF(C491&lt;'PlayerGrades+'!$Y$41,"E-",IF(C491&lt;'PlayerGrades+'!$Y$40,"E",IF(C491&lt;'PlayerGrades+'!$Y$39,"E+",IF(C491&lt;'PlayerGrades+'!$Y$38,"D-",IF(C491&lt;'PlayerGrades+'!$Y$37,"D",IF(C491&lt;'PlayerGrades+'!$Y$36,"D+",IF(C491&lt;'PlayerGrades+'!$Y$35,"C-",IF(C491&lt;'PlayerGrades+'!$Y$34,"C",IF(C491&lt;'PlayerGrades+'!$Y$33,"C+",IF(C491&lt;'PlayerGrades+'!$Y$32,"B-",IF(C491&lt;'PlayerGrades+'!$Y$31,"B",IF(C491&lt;'PlayerGrades+'!$Y$30,"B+",IF(C491&lt;'PlayerGrades+'!$Y$29,"A-",IF(C491&lt;'PlayerGrades+'!$Y$28,"A",IF(C491&lt;'PlayerGrades+'!$Y$27,"A+",IF(C491&lt;'PlayerGrades+'!$Y$26,"S-",IF(C491&lt;'PlayerGrades+'!$Y$25,"S","S+"))))))))))))))))))))</f>
        <v>#DIV/0!</v>
      </c>
      <c r="C491" s="1378" t="str">
        <f>('PlayerGrades+'!$Y$47*(VLOOKUP(E491, 'PlayerGrades+'!$X$3:$Y$23, 2, FALSE)))+('PlayerGrades+'!$Y$48*(VLOOKUP(G491, 'PlayerGrades+'!$X$3:$Y$23, 2, FALSE)))+('PlayerGrades+'!$Y$49*(VLOOKUP(I491, 'PlayerGrades+'!$X$3:$Y$23, 2, FALSE)))+('PlayerGrades+'!$Y$50*(VLOOKUP(K491, 'PlayerGrades+'!$X$3:$Y$23, 2, FALSE)))+('PlayerGrades+'!$Y$51*(VLOOKUP(M491, 'PlayerGrades+'!$X$3:$Y$23, 2, FALSE)))+('PlayerGrades+'!$Y$52*(VLOOKUP(O491, 'PlayerGrades+'!$X$3:$Y$23, 2, FALSE)))+('PlayerGrades+'!$Y$53*(VLOOKUP(Q491, 'PlayerGrades+'!$X$3:$Y$23, 2, FALSE)))+('PlayerGrades+'!$Y$54*(VLOOKUP(S491, 'PlayerGrades+'!$X$3:$Y$23, 2, FALSE)))+('PlayerGrades+'!$Y$55*(VLOOKUP(U491, 'PlayerGrades+'!$X$3:$Y$23, 2, FALSE)))</f>
        <v>#DIV/0!</v>
      </c>
      <c r="D491" s="961" t="str">
        <f t="shared" si="1"/>
        <v>#DIV/0!</v>
      </c>
      <c r="E491" s="961" t="str">
        <f>IF(D491&lt;'PlayerGrades+'!$AA$21,"F-",IF(D491&lt;'PlayerGrades+'!$AA$20,"F",IF(D491&lt;'PlayerGrades+'!$AA$19,"F+",IF(D491&lt;'PlayerGrades+'!$AA$18,"E-",IF(D491&lt;'PlayerGrades+'!$AA$17,"E",IF(D491&lt;'PlayerGrades+'!$AA$16,"E+",IF(D491&lt;'PlayerGrades+'!$AA$15,"D-",IF(D491&lt;'PlayerGrades+'!$AA$14,"D",IF(D491&lt;'PlayerGrades+'!$AA$13,"D+",IF(D491&lt;'PlayerGrades+'!$AA$12,"C-",IF(D491&lt;'PlayerGrades+'!$AA$11,"C",IF(D491&lt;'PlayerGrades+'!$AA$10,"C+",IF(D491&lt;'PlayerGrades+'!$AA$9,"B-",IF(D491&lt;'PlayerGrades+'!$AA$8,"B",IF(D491&lt;'PlayerGrades+'!$AA$7,"B+",IF(D491&lt;'PlayerGrades+'!$AA$6,"A-",IF(D491&lt;'PlayerGrades+'!$AA$5,"A",IF(D491&lt;'PlayerGrades+'!$AA$4,"A+",IF(D491&lt;'PlayerGrades+'!$AA$3,"S-",IF(D491&lt;'PlayerGrades+'!$AA$2,"S","S+"))))))))))))))))))))</f>
        <v>#DIV/0!</v>
      </c>
      <c r="F491" s="961" t="str">
        <f t="shared" si="2"/>
        <v>#DIV/0!</v>
      </c>
      <c r="G491" s="961" t="str">
        <f>IF(F491&lt;'PlayerGrades+'!$AB$21,"F-",IF(F491&lt;'PlayerGrades+'!$AB$20,"F",IF(F491&lt;'PlayerGrades+'!$AB$19,"F+",IF(F491&lt;'PlayerGrades+'!$AB$18,"E-",IF(F491&lt;'PlayerGrades+'!$AB$17,"E",IF(F491&lt;'PlayerGrades+'!$AB$16,"E+",IF(F491&lt;'PlayerGrades+'!$AB$15,"D-",IF(F491&lt;'PlayerGrades+'!$AB$14,"D",IF(F491&lt;'PlayerGrades+'!$AB$13,"D+",IF(F491&lt;'PlayerGrades+'!$AB$12,"C-",IF(F491&lt;'PlayerGrades+'!$AB$11,"C",IF(F491&lt;'PlayerGrades+'!$AB$10,"C+",IF(F491&lt;'PlayerGrades+'!$AB$9,"B-",IF(F491&lt;'PlayerGrades+'!$AB$8,"B",IF(F491&lt;'PlayerGrades+'!$AB$7,"B+",IF(F491&lt;'PlayerGrades+'!$AB$6,"A-",IF(F491&lt;'PlayerGrades+'!$AB$5,"A",IF(F491&lt;'PlayerGrades+'!$AB$4,"A+",IF(F491&lt;'PlayerGrades+'!$AB$3,"S-",IF(F491&lt;'PlayerGrades+'!$AB$2,"S","S+"))))))))))))))))))))</f>
        <v>#DIV/0!</v>
      </c>
      <c r="H491" s="961" t="str">
        <f t="shared" si="3"/>
        <v>#DIV/0!</v>
      </c>
      <c r="I491" s="961" t="str">
        <f>IF(H491&lt;'PlayerGrades+'!$AC$21,"F-",IF(H491&lt;'PlayerGrades+'!$AC$20,"F",IF(H491&lt;'PlayerGrades+'!$AC$19,"F+",IF(H491&lt;'PlayerGrades+'!$AC$18,"E-",IF(H491&lt;'PlayerGrades+'!$AC$17,"E",IF(H491&lt;'PlayerGrades+'!$AC$16,"E+",IF(H491&lt;'PlayerGrades+'!$AC$15,"D-",IF(H491&lt;'PlayerGrades+'!$AC$14,"D",IF(H491&lt;'PlayerGrades+'!$AC$13,"D+",IF(H491&lt;'PlayerGrades+'!$AC$12,"C-",IF(H491&lt;'PlayerGrades+'!$AC$11,"C",IF(H491&lt;'PlayerGrades+'!$AC$10,"C+",IF(H491&lt;'PlayerGrades+'!$AC$9,"B-",IF(H491&lt;'PlayerGrades+'!$AC$8,"B",IF(H491&lt;'PlayerGrades+'!$AC$7,"B+",IF(H491&lt;'PlayerGrades+'!$AC$6,"A-",IF(H491&lt;'PlayerGrades+'!$AC$5,"A",IF(H491&lt;'PlayerGrades+'!$AC$4,"A+",IF(H491&lt;'PlayerGrades+'!$AC$3,"S-",IF(H491&lt;'PlayerGrades+'!$AC$2,"S","S+"))))))))))))))))))))</f>
        <v>#DIV/0!</v>
      </c>
      <c r="J491" s="961" t="str">
        <f t="shared" si="4"/>
        <v>#DIV/0!</v>
      </c>
      <c r="K491" s="961" t="str">
        <f>IF(J491&lt;'PlayerGrades+'!$AD$21,"F-",IF(J491&lt;'PlayerGrades+'!$AD$20,"F",IF(J491&lt;'PlayerGrades+'!$AD$19,"F+",IF(J491&lt;'PlayerGrades+'!$AD$18,"E-",IF(J491&lt;'PlayerGrades+'!$AD$17,"E",IF(J491&lt;'PlayerGrades+'!$AD$16,"E+",IF(J491&lt;'PlayerGrades+'!$AD$15,"D-",IF(J491&lt;'PlayerGrades+'!$AD$14,"D",IF(J491&lt;'PlayerGrades+'!$AD$13,"D+",IF(J491&lt;'PlayerGrades+'!$AD$12,"C-",IF(J491&lt;'PlayerGrades+'!$AD$11,"C",IF(J491&lt;'PlayerGrades+'!$AD$10,"C+",IF(J491&lt;'PlayerGrades+'!$AD$9,"B-",IF(J491&lt;'PlayerGrades+'!$AD$8,"B",IF(J491&lt;'PlayerGrades+'!$AD$7,"B+",IF(J491&lt;'PlayerGrades+'!$AD$6,"A-",IF(J491&lt;'PlayerGrades+'!$AD$5,"A",IF(J491&lt;'PlayerGrades+'!$AD$4,"A+",IF(J491&lt;'PlayerGrades+'!$AD$3,"S-",IF(J491&lt;'PlayerGrades+'!$AD$2,"S","S+"))))))))))))))))))))</f>
        <v>#DIV/0!</v>
      </c>
      <c r="L491" s="1176" t="str">
        <f t="shared" si="5"/>
        <v>#DIV/0!</v>
      </c>
      <c r="M491" s="992" t="str">
        <f>IF(L491&lt;'PlayerGrades+'!$AE$21,"F-",IF(L491&lt;'PlayerGrades+'!$AE$20,"F",IF(L491&lt;'PlayerGrades+'!$AE$19,"F+",IF(L491&lt;'PlayerGrades+'!$AE$18,"E-",IF(L491&lt;'PlayerGrades+'!$AE$17,"E",IF(L491&lt;'PlayerGrades+'!$AE$16,"E+",IF(L491&lt;'PlayerGrades+'!$AE$15,"D-",IF(L491&lt;'PlayerGrades+'!$AE$14,"D",IF(L491&lt;'PlayerGrades+'!$AE$13,"D+",IF(L491&lt;'PlayerGrades+'!$AE$12,"C-",IF(L491&lt;'PlayerGrades+'!$AE$11,"C",IF(L491&lt;'PlayerGrades+'!$AE$10,"C+",IF(L491&lt;'PlayerGrades+'!$AE$9,"B-",IF(L491&lt;'PlayerGrades+'!$AE$8,"B",IF(L491&lt;'PlayerGrades+'!$AE$7,"B+",IF(L491&lt;'PlayerGrades+'!$AE$6,"A-",IF(L491&lt;'PlayerGrades+'!$AE$5,"A",IF(L491&lt;'PlayerGrades+'!$AE$4,"A+",IF(L491&lt;'PlayerGrades+'!$AE$3,"S-",IF(L491&lt;'PlayerGrades+'!$AE$2,"S","S+"))))))))))))))))))))</f>
        <v>#DIV/0!</v>
      </c>
      <c r="N491" s="961" t="str">
        <f t="shared" si="6"/>
        <v>#DIV/0!</v>
      </c>
      <c r="O491" s="961" t="str">
        <f>IF(N491&lt;'PlayerGrades+'!$AF$21,"F-",IF(N491&lt;'PlayerGrades+'!$AF$20,"F",IF(N491&lt;'PlayerGrades+'!$AF$19,"F+",IF(N491&lt;'PlayerGrades+'!$AF$18,"E-",IF(N491&lt;'PlayerGrades+'!$AF$17,"E",IF(N491&lt;'PlayerGrades+'!$AF$16,"E+",IF(N491&lt;'PlayerGrades+'!$AF$15,"D-",IF(N491&lt;'PlayerGrades+'!$AF$14,"D",IF(N491&lt;'PlayerGrades+'!$AF$13,"D+",IF(N491&lt;'PlayerGrades+'!$AF$12,"C-",IF(N491&lt;'PlayerGrades+'!$AF$11,"C",IF(N491&lt;'PlayerGrades+'!$AF$10,"C+",IF(N491&lt;'PlayerGrades+'!$AF$9,"B-",IF(N491&lt;'PlayerGrades+'!$AF$8,"B",IF(N491&lt;'PlayerGrades+'!$AF$7,"B+",IF(N491&lt;'PlayerGrades+'!$AF$6,"A-",IF(N491&lt;'PlayerGrades+'!$AF$5,"A",IF(N491&lt;'PlayerGrades+'!$AF$4,"A+",IF(N491&lt;'PlayerGrades+'!$AF$3,"S-",IF(N491&lt;'PlayerGrades+'!$AF$2,"S","S+"))))))))))))))))))))</f>
        <v>#DIV/0!</v>
      </c>
      <c r="P491" s="961" t="str">
        <f t="shared" si="7"/>
        <v>#DIV/0!</v>
      </c>
      <c r="Q491" s="961" t="str">
        <f>IF(P491&lt;'PlayerGrades+'!$AG$21,"F-",IF(P491&lt;'PlayerGrades+'!$AG$20,"F",IF(P491&lt;'PlayerGrades+'!$AG$19,"F+",IF(P491&lt;'PlayerGrades+'!$AG$18,"E-",IF(P491&lt;'PlayerGrades+'!$AG$17,"E",IF(P491&lt;'PlayerGrades+'!$AG$16,"E+",IF(P491&lt;'PlayerGrades+'!$AG$15,"D-",IF(P491&lt;'PlayerGrades+'!$AG$14,"D",IF(P491&lt;'PlayerGrades+'!$AG$13,"D+",IF(P491&lt;'PlayerGrades+'!$AG$12,"C-",IF(P491&lt;'PlayerGrades+'!$AG$11,"C",IF(P491&lt;'PlayerGrades+'!$AG$10,"C+",IF(P491&lt;'PlayerGrades+'!$AG$9,"B-",IF(P491&lt;'PlayerGrades+'!$AG$8,"B",IF(P491&lt;'PlayerGrades+'!$AG$7,"B+",IF(P491&lt;'PlayerGrades+'!$AG$6,"A-",IF(P491&lt;'PlayerGrades+'!$AG$5,"A",IF(P491&lt;'PlayerGrades+'!$AG$4,"A+",IF(P491&lt;'PlayerGrades+'!$AG$3,"S-",IF(P491&lt;'PlayerGrades+'!$AG$2,"S","S+"))))))))))))))))))))</f>
        <v>#DIV/0!</v>
      </c>
      <c r="R491" s="961" t="str">
        <f t="shared" si="8"/>
        <v>#DIV/0!</v>
      </c>
      <c r="S491" s="961" t="str">
        <f>IF(R491&lt;'PlayerGrades+'!$AH$21,"F-",IF(R491&lt;'PlayerGrades+'!$AH$20,"F",IF(R491&lt;'PlayerGrades+'!$AH$19,"F+",IF(R491&lt;'PlayerGrades+'!$AH$18,"E-",IF(R491&lt;'PlayerGrades+'!$AH$17,"E",IF(R491&lt;'PlayerGrades+'!$AH$16,"E+",IF(R491&lt;'PlayerGrades+'!$AH$15,"D-",IF(R491&lt;'PlayerGrades+'!$AH$14,"D",IF(R491&lt;'PlayerGrades+'!$AH$13,"D+",IF(R491&lt;'PlayerGrades+'!$AH$12,"C-",IF(R491&lt;'PlayerGrades+'!$AH$11,"C",IF(R491&lt;'PlayerGrades+'!$AH$10,"C+",IF(R491&lt;'PlayerGrades+'!$AH$9,"B-",IF(R491&lt;'PlayerGrades+'!$AH$8,"B",IF(R491&lt;'PlayerGrades+'!$AH$7,"B+",IF(R491&lt;'PlayerGrades+'!$AH$6,"A-",IF(R491&lt;'PlayerGrades+'!$AH$5,"A",IF(R491&lt;'PlayerGrades+'!$AH$4,"A+",IF(R491&lt;'PlayerGrades+'!$AH$3,"S-",IF(R491&lt;'PlayerGrades+'!$AH$2,"S","S+"))))))))))))))))))))</f>
        <v>#DIV/0!</v>
      </c>
      <c r="T491" s="961">
        <f t="shared" si="9"/>
        <v>0</v>
      </c>
      <c r="U491" s="961" t="str">
        <f>IF(T491&lt;'PlayerGrades+'!$AI$21,"F-",IF(T491&lt;'PlayerGrades+'!$AI$20,"F",IF(T491&lt;'PlayerGrades+'!$AI$19,"F+",IF(T491&lt;'PlayerGrades+'!$AI$18,"E-",IF(T491&lt;'PlayerGrades+'!$AI$17,"E",IF(T491&lt;'PlayerGrades+'!$AI$16,"E+",IF(T491&lt;'PlayerGrades+'!$AI$15,"D-",IF(T491&lt;'PlayerGrades+'!$AI$14,"D",IF(T491&lt;'PlayerGrades+'!$AI$13,"D+",IF(T491&lt;'PlayerGrades+'!$AI$12,"C-",IF(T491&lt;'PlayerGrades+'!$AI$11,"C",IF(T491&lt;'PlayerGrades+'!$AI$10,"C+",IF(T491&lt;'PlayerGrades+'!$AI$9,"B-",IF(T491&lt;'PlayerGrades+'!$AI$8,"B",IF(T491&lt;'PlayerGrades+'!$AI$7,"B+",IF(T491&lt;'PlayerGrades+'!$AI$6,"A-",IF(T491&lt;'PlayerGrades+'!$AI$5,"A",IF(T491&lt;'PlayerGrades+'!$AI$4,"A+",IF(T491&lt;'PlayerGrades+'!$AI$3,"S-",IF(T491&lt;'PlayerGrades+'!$AI$2,"S","S+"))))))))))))))))))))</f>
        <v>F-</v>
      </c>
      <c r="AC491" s="1392"/>
    </row>
    <row r="492">
      <c r="A492" s="1391"/>
      <c r="B492" s="611" t="str">
        <f>IF(C492&lt;'PlayerGrades+'!$Y$44,"F-",IF(C492&lt;'PlayerGrades+'!$Y$43,"F",IF(C492&lt;'PlayerGrades+'!$Y$42,"F+",IF(C492&lt;'PlayerGrades+'!$Y$41,"E-",IF(C492&lt;'PlayerGrades+'!$Y$40,"E",IF(C492&lt;'PlayerGrades+'!$Y$39,"E+",IF(C492&lt;'PlayerGrades+'!$Y$38,"D-",IF(C492&lt;'PlayerGrades+'!$Y$37,"D",IF(C492&lt;'PlayerGrades+'!$Y$36,"D+",IF(C492&lt;'PlayerGrades+'!$Y$35,"C-",IF(C492&lt;'PlayerGrades+'!$Y$34,"C",IF(C492&lt;'PlayerGrades+'!$Y$33,"C+",IF(C492&lt;'PlayerGrades+'!$Y$32,"B-",IF(C492&lt;'PlayerGrades+'!$Y$31,"B",IF(C492&lt;'PlayerGrades+'!$Y$30,"B+",IF(C492&lt;'PlayerGrades+'!$Y$29,"A-",IF(C492&lt;'PlayerGrades+'!$Y$28,"A",IF(C492&lt;'PlayerGrades+'!$Y$27,"A+",IF(C492&lt;'PlayerGrades+'!$Y$26,"S-",IF(C492&lt;'PlayerGrades+'!$Y$25,"S","S+"))))))))))))))))))))</f>
        <v>#DIV/0!</v>
      </c>
      <c r="C492" s="1378" t="str">
        <f>('PlayerGrades+'!$Y$47*(VLOOKUP(E492, 'PlayerGrades+'!$X$3:$Y$23, 2, FALSE)))+('PlayerGrades+'!$Y$48*(VLOOKUP(G492, 'PlayerGrades+'!$X$3:$Y$23, 2, FALSE)))+('PlayerGrades+'!$Y$49*(VLOOKUP(I492, 'PlayerGrades+'!$X$3:$Y$23, 2, FALSE)))+('PlayerGrades+'!$Y$50*(VLOOKUP(K492, 'PlayerGrades+'!$X$3:$Y$23, 2, FALSE)))+('PlayerGrades+'!$Y$51*(VLOOKUP(M492, 'PlayerGrades+'!$X$3:$Y$23, 2, FALSE)))+('PlayerGrades+'!$Y$52*(VLOOKUP(O492, 'PlayerGrades+'!$X$3:$Y$23, 2, FALSE)))+('PlayerGrades+'!$Y$53*(VLOOKUP(Q492, 'PlayerGrades+'!$X$3:$Y$23, 2, FALSE)))+('PlayerGrades+'!$Y$54*(VLOOKUP(S492, 'PlayerGrades+'!$X$3:$Y$23, 2, FALSE)))+('PlayerGrades+'!$Y$55*(VLOOKUP(U492, 'PlayerGrades+'!$X$3:$Y$23, 2, FALSE)))</f>
        <v>#DIV/0!</v>
      </c>
      <c r="D492" s="961" t="str">
        <f t="shared" si="1"/>
        <v>#DIV/0!</v>
      </c>
      <c r="E492" s="961" t="str">
        <f>IF(D492&lt;'PlayerGrades+'!$AA$21,"F-",IF(D492&lt;'PlayerGrades+'!$AA$20,"F",IF(D492&lt;'PlayerGrades+'!$AA$19,"F+",IF(D492&lt;'PlayerGrades+'!$AA$18,"E-",IF(D492&lt;'PlayerGrades+'!$AA$17,"E",IF(D492&lt;'PlayerGrades+'!$AA$16,"E+",IF(D492&lt;'PlayerGrades+'!$AA$15,"D-",IF(D492&lt;'PlayerGrades+'!$AA$14,"D",IF(D492&lt;'PlayerGrades+'!$AA$13,"D+",IF(D492&lt;'PlayerGrades+'!$AA$12,"C-",IF(D492&lt;'PlayerGrades+'!$AA$11,"C",IF(D492&lt;'PlayerGrades+'!$AA$10,"C+",IF(D492&lt;'PlayerGrades+'!$AA$9,"B-",IF(D492&lt;'PlayerGrades+'!$AA$8,"B",IF(D492&lt;'PlayerGrades+'!$AA$7,"B+",IF(D492&lt;'PlayerGrades+'!$AA$6,"A-",IF(D492&lt;'PlayerGrades+'!$AA$5,"A",IF(D492&lt;'PlayerGrades+'!$AA$4,"A+",IF(D492&lt;'PlayerGrades+'!$AA$3,"S-",IF(D492&lt;'PlayerGrades+'!$AA$2,"S","S+"))))))))))))))))))))</f>
        <v>#DIV/0!</v>
      </c>
      <c r="F492" s="961" t="str">
        <f t="shared" si="2"/>
        <v>#DIV/0!</v>
      </c>
      <c r="G492" s="961" t="str">
        <f>IF(F492&lt;'PlayerGrades+'!$AB$21,"F-",IF(F492&lt;'PlayerGrades+'!$AB$20,"F",IF(F492&lt;'PlayerGrades+'!$AB$19,"F+",IF(F492&lt;'PlayerGrades+'!$AB$18,"E-",IF(F492&lt;'PlayerGrades+'!$AB$17,"E",IF(F492&lt;'PlayerGrades+'!$AB$16,"E+",IF(F492&lt;'PlayerGrades+'!$AB$15,"D-",IF(F492&lt;'PlayerGrades+'!$AB$14,"D",IF(F492&lt;'PlayerGrades+'!$AB$13,"D+",IF(F492&lt;'PlayerGrades+'!$AB$12,"C-",IF(F492&lt;'PlayerGrades+'!$AB$11,"C",IF(F492&lt;'PlayerGrades+'!$AB$10,"C+",IF(F492&lt;'PlayerGrades+'!$AB$9,"B-",IF(F492&lt;'PlayerGrades+'!$AB$8,"B",IF(F492&lt;'PlayerGrades+'!$AB$7,"B+",IF(F492&lt;'PlayerGrades+'!$AB$6,"A-",IF(F492&lt;'PlayerGrades+'!$AB$5,"A",IF(F492&lt;'PlayerGrades+'!$AB$4,"A+",IF(F492&lt;'PlayerGrades+'!$AB$3,"S-",IF(F492&lt;'PlayerGrades+'!$AB$2,"S","S+"))))))))))))))))))))</f>
        <v>#DIV/0!</v>
      </c>
      <c r="H492" s="961" t="str">
        <f t="shared" si="3"/>
        <v>#DIV/0!</v>
      </c>
      <c r="I492" s="961" t="str">
        <f>IF(H492&lt;'PlayerGrades+'!$AC$21,"F-",IF(H492&lt;'PlayerGrades+'!$AC$20,"F",IF(H492&lt;'PlayerGrades+'!$AC$19,"F+",IF(H492&lt;'PlayerGrades+'!$AC$18,"E-",IF(H492&lt;'PlayerGrades+'!$AC$17,"E",IF(H492&lt;'PlayerGrades+'!$AC$16,"E+",IF(H492&lt;'PlayerGrades+'!$AC$15,"D-",IF(H492&lt;'PlayerGrades+'!$AC$14,"D",IF(H492&lt;'PlayerGrades+'!$AC$13,"D+",IF(H492&lt;'PlayerGrades+'!$AC$12,"C-",IF(H492&lt;'PlayerGrades+'!$AC$11,"C",IF(H492&lt;'PlayerGrades+'!$AC$10,"C+",IF(H492&lt;'PlayerGrades+'!$AC$9,"B-",IF(H492&lt;'PlayerGrades+'!$AC$8,"B",IF(H492&lt;'PlayerGrades+'!$AC$7,"B+",IF(H492&lt;'PlayerGrades+'!$AC$6,"A-",IF(H492&lt;'PlayerGrades+'!$AC$5,"A",IF(H492&lt;'PlayerGrades+'!$AC$4,"A+",IF(H492&lt;'PlayerGrades+'!$AC$3,"S-",IF(H492&lt;'PlayerGrades+'!$AC$2,"S","S+"))))))))))))))))))))</f>
        <v>#DIV/0!</v>
      </c>
      <c r="J492" s="961" t="str">
        <f t="shared" si="4"/>
        <v>#DIV/0!</v>
      </c>
      <c r="K492" s="961" t="str">
        <f>IF(J492&lt;'PlayerGrades+'!$AD$21,"F-",IF(J492&lt;'PlayerGrades+'!$AD$20,"F",IF(J492&lt;'PlayerGrades+'!$AD$19,"F+",IF(J492&lt;'PlayerGrades+'!$AD$18,"E-",IF(J492&lt;'PlayerGrades+'!$AD$17,"E",IF(J492&lt;'PlayerGrades+'!$AD$16,"E+",IF(J492&lt;'PlayerGrades+'!$AD$15,"D-",IF(J492&lt;'PlayerGrades+'!$AD$14,"D",IF(J492&lt;'PlayerGrades+'!$AD$13,"D+",IF(J492&lt;'PlayerGrades+'!$AD$12,"C-",IF(J492&lt;'PlayerGrades+'!$AD$11,"C",IF(J492&lt;'PlayerGrades+'!$AD$10,"C+",IF(J492&lt;'PlayerGrades+'!$AD$9,"B-",IF(J492&lt;'PlayerGrades+'!$AD$8,"B",IF(J492&lt;'PlayerGrades+'!$AD$7,"B+",IF(J492&lt;'PlayerGrades+'!$AD$6,"A-",IF(J492&lt;'PlayerGrades+'!$AD$5,"A",IF(J492&lt;'PlayerGrades+'!$AD$4,"A+",IF(J492&lt;'PlayerGrades+'!$AD$3,"S-",IF(J492&lt;'PlayerGrades+'!$AD$2,"S","S+"))))))))))))))))))))</f>
        <v>#DIV/0!</v>
      </c>
      <c r="L492" s="1176" t="str">
        <f t="shared" si="5"/>
        <v>#DIV/0!</v>
      </c>
      <c r="M492" s="992" t="str">
        <f>IF(L492&lt;'PlayerGrades+'!$AE$21,"F-",IF(L492&lt;'PlayerGrades+'!$AE$20,"F",IF(L492&lt;'PlayerGrades+'!$AE$19,"F+",IF(L492&lt;'PlayerGrades+'!$AE$18,"E-",IF(L492&lt;'PlayerGrades+'!$AE$17,"E",IF(L492&lt;'PlayerGrades+'!$AE$16,"E+",IF(L492&lt;'PlayerGrades+'!$AE$15,"D-",IF(L492&lt;'PlayerGrades+'!$AE$14,"D",IF(L492&lt;'PlayerGrades+'!$AE$13,"D+",IF(L492&lt;'PlayerGrades+'!$AE$12,"C-",IF(L492&lt;'PlayerGrades+'!$AE$11,"C",IF(L492&lt;'PlayerGrades+'!$AE$10,"C+",IF(L492&lt;'PlayerGrades+'!$AE$9,"B-",IF(L492&lt;'PlayerGrades+'!$AE$8,"B",IF(L492&lt;'PlayerGrades+'!$AE$7,"B+",IF(L492&lt;'PlayerGrades+'!$AE$6,"A-",IF(L492&lt;'PlayerGrades+'!$AE$5,"A",IF(L492&lt;'PlayerGrades+'!$AE$4,"A+",IF(L492&lt;'PlayerGrades+'!$AE$3,"S-",IF(L492&lt;'PlayerGrades+'!$AE$2,"S","S+"))))))))))))))))))))</f>
        <v>#DIV/0!</v>
      </c>
      <c r="N492" s="961" t="str">
        <f t="shared" si="6"/>
        <v>#DIV/0!</v>
      </c>
      <c r="O492" s="961" t="str">
        <f>IF(N492&lt;'PlayerGrades+'!$AF$21,"F-",IF(N492&lt;'PlayerGrades+'!$AF$20,"F",IF(N492&lt;'PlayerGrades+'!$AF$19,"F+",IF(N492&lt;'PlayerGrades+'!$AF$18,"E-",IF(N492&lt;'PlayerGrades+'!$AF$17,"E",IF(N492&lt;'PlayerGrades+'!$AF$16,"E+",IF(N492&lt;'PlayerGrades+'!$AF$15,"D-",IF(N492&lt;'PlayerGrades+'!$AF$14,"D",IF(N492&lt;'PlayerGrades+'!$AF$13,"D+",IF(N492&lt;'PlayerGrades+'!$AF$12,"C-",IF(N492&lt;'PlayerGrades+'!$AF$11,"C",IF(N492&lt;'PlayerGrades+'!$AF$10,"C+",IF(N492&lt;'PlayerGrades+'!$AF$9,"B-",IF(N492&lt;'PlayerGrades+'!$AF$8,"B",IF(N492&lt;'PlayerGrades+'!$AF$7,"B+",IF(N492&lt;'PlayerGrades+'!$AF$6,"A-",IF(N492&lt;'PlayerGrades+'!$AF$5,"A",IF(N492&lt;'PlayerGrades+'!$AF$4,"A+",IF(N492&lt;'PlayerGrades+'!$AF$3,"S-",IF(N492&lt;'PlayerGrades+'!$AF$2,"S","S+"))))))))))))))))))))</f>
        <v>#DIV/0!</v>
      </c>
      <c r="P492" s="961" t="str">
        <f t="shared" si="7"/>
        <v>#DIV/0!</v>
      </c>
      <c r="Q492" s="961" t="str">
        <f>IF(P492&lt;'PlayerGrades+'!$AG$21,"F-",IF(P492&lt;'PlayerGrades+'!$AG$20,"F",IF(P492&lt;'PlayerGrades+'!$AG$19,"F+",IF(P492&lt;'PlayerGrades+'!$AG$18,"E-",IF(P492&lt;'PlayerGrades+'!$AG$17,"E",IF(P492&lt;'PlayerGrades+'!$AG$16,"E+",IF(P492&lt;'PlayerGrades+'!$AG$15,"D-",IF(P492&lt;'PlayerGrades+'!$AG$14,"D",IF(P492&lt;'PlayerGrades+'!$AG$13,"D+",IF(P492&lt;'PlayerGrades+'!$AG$12,"C-",IF(P492&lt;'PlayerGrades+'!$AG$11,"C",IF(P492&lt;'PlayerGrades+'!$AG$10,"C+",IF(P492&lt;'PlayerGrades+'!$AG$9,"B-",IF(P492&lt;'PlayerGrades+'!$AG$8,"B",IF(P492&lt;'PlayerGrades+'!$AG$7,"B+",IF(P492&lt;'PlayerGrades+'!$AG$6,"A-",IF(P492&lt;'PlayerGrades+'!$AG$5,"A",IF(P492&lt;'PlayerGrades+'!$AG$4,"A+",IF(P492&lt;'PlayerGrades+'!$AG$3,"S-",IF(P492&lt;'PlayerGrades+'!$AG$2,"S","S+"))))))))))))))))))))</f>
        <v>#DIV/0!</v>
      </c>
      <c r="R492" s="961" t="str">
        <f t="shared" si="8"/>
        <v>#DIV/0!</v>
      </c>
      <c r="S492" s="961" t="str">
        <f>IF(R492&lt;'PlayerGrades+'!$AH$21,"F-",IF(R492&lt;'PlayerGrades+'!$AH$20,"F",IF(R492&lt;'PlayerGrades+'!$AH$19,"F+",IF(R492&lt;'PlayerGrades+'!$AH$18,"E-",IF(R492&lt;'PlayerGrades+'!$AH$17,"E",IF(R492&lt;'PlayerGrades+'!$AH$16,"E+",IF(R492&lt;'PlayerGrades+'!$AH$15,"D-",IF(R492&lt;'PlayerGrades+'!$AH$14,"D",IF(R492&lt;'PlayerGrades+'!$AH$13,"D+",IF(R492&lt;'PlayerGrades+'!$AH$12,"C-",IF(R492&lt;'PlayerGrades+'!$AH$11,"C",IF(R492&lt;'PlayerGrades+'!$AH$10,"C+",IF(R492&lt;'PlayerGrades+'!$AH$9,"B-",IF(R492&lt;'PlayerGrades+'!$AH$8,"B",IF(R492&lt;'PlayerGrades+'!$AH$7,"B+",IF(R492&lt;'PlayerGrades+'!$AH$6,"A-",IF(R492&lt;'PlayerGrades+'!$AH$5,"A",IF(R492&lt;'PlayerGrades+'!$AH$4,"A+",IF(R492&lt;'PlayerGrades+'!$AH$3,"S-",IF(R492&lt;'PlayerGrades+'!$AH$2,"S","S+"))))))))))))))))))))</f>
        <v>#DIV/0!</v>
      </c>
      <c r="T492" s="961">
        <f t="shared" si="9"/>
        <v>0</v>
      </c>
      <c r="U492" s="961" t="str">
        <f>IF(T492&lt;'PlayerGrades+'!$AI$21,"F-",IF(T492&lt;'PlayerGrades+'!$AI$20,"F",IF(T492&lt;'PlayerGrades+'!$AI$19,"F+",IF(T492&lt;'PlayerGrades+'!$AI$18,"E-",IF(T492&lt;'PlayerGrades+'!$AI$17,"E",IF(T492&lt;'PlayerGrades+'!$AI$16,"E+",IF(T492&lt;'PlayerGrades+'!$AI$15,"D-",IF(T492&lt;'PlayerGrades+'!$AI$14,"D",IF(T492&lt;'PlayerGrades+'!$AI$13,"D+",IF(T492&lt;'PlayerGrades+'!$AI$12,"C-",IF(T492&lt;'PlayerGrades+'!$AI$11,"C",IF(T492&lt;'PlayerGrades+'!$AI$10,"C+",IF(T492&lt;'PlayerGrades+'!$AI$9,"B-",IF(T492&lt;'PlayerGrades+'!$AI$8,"B",IF(T492&lt;'PlayerGrades+'!$AI$7,"B+",IF(T492&lt;'PlayerGrades+'!$AI$6,"A-",IF(T492&lt;'PlayerGrades+'!$AI$5,"A",IF(T492&lt;'PlayerGrades+'!$AI$4,"A+",IF(T492&lt;'PlayerGrades+'!$AI$3,"S-",IF(T492&lt;'PlayerGrades+'!$AI$2,"S","S+"))))))))))))))))))))</f>
        <v>F-</v>
      </c>
      <c r="AC492" s="1392"/>
    </row>
    <row r="493">
      <c r="A493" s="1391"/>
      <c r="B493" s="611" t="str">
        <f>IF(C493&lt;'PlayerGrades+'!$Y$44,"F-",IF(C493&lt;'PlayerGrades+'!$Y$43,"F",IF(C493&lt;'PlayerGrades+'!$Y$42,"F+",IF(C493&lt;'PlayerGrades+'!$Y$41,"E-",IF(C493&lt;'PlayerGrades+'!$Y$40,"E",IF(C493&lt;'PlayerGrades+'!$Y$39,"E+",IF(C493&lt;'PlayerGrades+'!$Y$38,"D-",IF(C493&lt;'PlayerGrades+'!$Y$37,"D",IF(C493&lt;'PlayerGrades+'!$Y$36,"D+",IF(C493&lt;'PlayerGrades+'!$Y$35,"C-",IF(C493&lt;'PlayerGrades+'!$Y$34,"C",IF(C493&lt;'PlayerGrades+'!$Y$33,"C+",IF(C493&lt;'PlayerGrades+'!$Y$32,"B-",IF(C493&lt;'PlayerGrades+'!$Y$31,"B",IF(C493&lt;'PlayerGrades+'!$Y$30,"B+",IF(C493&lt;'PlayerGrades+'!$Y$29,"A-",IF(C493&lt;'PlayerGrades+'!$Y$28,"A",IF(C493&lt;'PlayerGrades+'!$Y$27,"A+",IF(C493&lt;'PlayerGrades+'!$Y$26,"S-",IF(C493&lt;'PlayerGrades+'!$Y$25,"S","S+"))))))))))))))))))))</f>
        <v>#DIV/0!</v>
      </c>
      <c r="C493" s="1378" t="str">
        <f>('PlayerGrades+'!$Y$47*(VLOOKUP(E493, 'PlayerGrades+'!$X$3:$Y$23, 2, FALSE)))+('PlayerGrades+'!$Y$48*(VLOOKUP(G493, 'PlayerGrades+'!$X$3:$Y$23, 2, FALSE)))+('PlayerGrades+'!$Y$49*(VLOOKUP(I493, 'PlayerGrades+'!$X$3:$Y$23, 2, FALSE)))+('PlayerGrades+'!$Y$50*(VLOOKUP(K493, 'PlayerGrades+'!$X$3:$Y$23, 2, FALSE)))+('PlayerGrades+'!$Y$51*(VLOOKUP(M493, 'PlayerGrades+'!$X$3:$Y$23, 2, FALSE)))+('PlayerGrades+'!$Y$52*(VLOOKUP(O493, 'PlayerGrades+'!$X$3:$Y$23, 2, FALSE)))+('PlayerGrades+'!$Y$53*(VLOOKUP(Q493, 'PlayerGrades+'!$X$3:$Y$23, 2, FALSE)))+('PlayerGrades+'!$Y$54*(VLOOKUP(S493, 'PlayerGrades+'!$X$3:$Y$23, 2, FALSE)))+('PlayerGrades+'!$Y$55*(VLOOKUP(U493, 'PlayerGrades+'!$X$3:$Y$23, 2, FALSE)))</f>
        <v>#DIV/0!</v>
      </c>
      <c r="D493" s="961" t="str">
        <f t="shared" si="1"/>
        <v>#DIV/0!</v>
      </c>
      <c r="E493" s="961" t="str">
        <f>IF(D493&lt;'PlayerGrades+'!$AA$21,"F-",IF(D493&lt;'PlayerGrades+'!$AA$20,"F",IF(D493&lt;'PlayerGrades+'!$AA$19,"F+",IF(D493&lt;'PlayerGrades+'!$AA$18,"E-",IF(D493&lt;'PlayerGrades+'!$AA$17,"E",IF(D493&lt;'PlayerGrades+'!$AA$16,"E+",IF(D493&lt;'PlayerGrades+'!$AA$15,"D-",IF(D493&lt;'PlayerGrades+'!$AA$14,"D",IF(D493&lt;'PlayerGrades+'!$AA$13,"D+",IF(D493&lt;'PlayerGrades+'!$AA$12,"C-",IF(D493&lt;'PlayerGrades+'!$AA$11,"C",IF(D493&lt;'PlayerGrades+'!$AA$10,"C+",IF(D493&lt;'PlayerGrades+'!$AA$9,"B-",IF(D493&lt;'PlayerGrades+'!$AA$8,"B",IF(D493&lt;'PlayerGrades+'!$AA$7,"B+",IF(D493&lt;'PlayerGrades+'!$AA$6,"A-",IF(D493&lt;'PlayerGrades+'!$AA$5,"A",IF(D493&lt;'PlayerGrades+'!$AA$4,"A+",IF(D493&lt;'PlayerGrades+'!$AA$3,"S-",IF(D493&lt;'PlayerGrades+'!$AA$2,"S","S+"))))))))))))))))))))</f>
        <v>#DIV/0!</v>
      </c>
      <c r="F493" s="961" t="str">
        <f t="shared" si="2"/>
        <v>#DIV/0!</v>
      </c>
      <c r="G493" s="961" t="str">
        <f>IF(F493&lt;'PlayerGrades+'!$AB$21,"F-",IF(F493&lt;'PlayerGrades+'!$AB$20,"F",IF(F493&lt;'PlayerGrades+'!$AB$19,"F+",IF(F493&lt;'PlayerGrades+'!$AB$18,"E-",IF(F493&lt;'PlayerGrades+'!$AB$17,"E",IF(F493&lt;'PlayerGrades+'!$AB$16,"E+",IF(F493&lt;'PlayerGrades+'!$AB$15,"D-",IF(F493&lt;'PlayerGrades+'!$AB$14,"D",IF(F493&lt;'PlayerGrades+'!$AB$13,"D+",IF(F493&lt;'PlayerGrades+'!$AB$12,"C-",IF(F493&lt;'PlayerGrades+'!$AB$11,"C",IF(F493&lt;'PlayerGrades+'!$AB$10,"C+",IF(F493&lt;'PlayerGrades+'!$AB$9,"B-",IF(F493&lt;'PlayerGrades+'!$AB$8,"B",IF(F493&lt;'PlayerGrades+'!$AB$7,"B+",IF(F493&lt;'PlayerGrades+'!$AB$6,"A-",IF(F493&lt;'PlayerGrades+'!$AB$5,"A",IF(F493&lt;'PlayerGrades+'!$AB$4,"A+",IF(F493&lt;'PlayerGrades+'!$AB$3,"S-",IF(F493&lt;'PlayerGrades+'!$AB$2,"S","S+"))))))))))))))))))))</f>
        <v>#DIV/0!</v>
      </c>
      <c r="H493" s="961" t="str">
        <f t="shared" si="3"/>
        <v>#DIV/0!</v>
      </c>
      <c r="I493" s="961" t="str">
        <f>IF(H493&lt;'PlayerGrades+'!$AC$21,"F-",IF(H493&lt;'PlayerGrades+'!$AC$20,"F",IF(H493&lt;'PlayerGrades+'!$AC$19,"F+",IF(H493&lt;'PlayerGrades+'!$AC$18,"E-",IF(H493&lt;'PlayerGrades+'!$AC$17,"E",IF(H493&lt;'PlayerGrades+'!$AC$16,"E+",IF(H493&lt;'PlayerGrades+'!$AC$15,"D-",IF(H493&lt;'PlayerGrades+'!$AC$14,"D",IF(H493&lt;'PlayerGrades+'!$AC$13,"D+",IF(H493&lt;'PlayerGrades+'!$AC$12,"C-",IF(H493&lt;'PlayerGrades+'!$AC$11,"C",IF(H493&lt;'PlayerGrades+'!$AC$10,"C+",IF(H493&lt;'PlayerGrades+'!$AC$9,"B-",IF(H493&lt;'PlayerGrades+'!$AC$8,"B",IF(H493&lt;'PlayerGrades+'!$AC$7,"B+",IF(H493&lt;'PlayerGrades+'!$AC$6,"A-",IF(H493&lt;'PlayerGrades+'!$AC$5,"A",IF(H493&lt;'PlayerGrades+'!$AC$4,"A+",IF(H493&lt;'PlayerGrades+'!$AC$3,"S-",IF(H493&lt;'PlayerGrades+'!$AC$2,"S","S+"))))))))))))))))))))</f>
        <v>#DIV/0!</v>
      </c>
      <c r="J493" s="961" t="str">
        <f t="shared" si="4"/>
        <v>#DIV/0!</v>
      </c>
      <c r="K493" s="961" t="str">
        <f>IF(J493&lt;'PlayerGrades+'!$AD$21,"F-",IF(J493&lt;'PlayerGrades+'!$AD$20,"F",IF(J493&lt;'PlayerGrades+'!$AD$19,"F+",IF(J493&lt;'PlayerGrades+'!$AD$18,"E-",IF(J493&lt;'PlayerGrades+'!$AD$17,"E",IF(J493&lt;'PlayerGrades+'!$AD$16,"E+",IF(J493&lt;'PlayerGrades+'!$AD$15,"D-",IF(J493&lt;'PlayerGrades+'!$AD$14,"D",IF(J493&lt;'PlayerGrades+'!$AD$13,"D+",IF(J493&lt;'PlayerGrades+'!$AD$12,"C-",IF(J493&lt;'PlayerGrades+'!$AD$11,"C",IF(J493&lt;'PlayerGrades+'!$AD$10,"C+",IF(J493&lt;'PlayerGrades+'!$AD$9,"B-",IF(J493&lt;'PlayerGrades+'!$AD$8,"B",IF(J493&lt;'PlayerGrades+'!$AD$7,"B+",IF(J493&lt;'PlayerGrades+'!$AD$6,"A-",IF(J493&lt;'PlayerGrades+'!$AD$5,"A",IF(J493&lt;'PlayerGrades+'!$AD$4,"A+",IF(J493&lt;'PlayerGrades+'!$AD$3,"S-",IF(J493&lt;'PlayerGrades+'!$AD$2,"S","S+"))))))))))))))))))))</f>
        <v>#DIV/0!</v>
      </c>
      <c r="L493" s="1176" t="str">
        <f t="shared" si="5"/>
        <v>#DIV/0!</v>
      </c>
      <c r="M493" s="992" t="str">
        <f>IF(L493&lt;'PlayerGrades+'!$AE$21,"F-",IF(L493&lt;'PlayerGrades+'!$AE$20,"F",IF(L493&lt;'PlayerGrades+'!$AE$19,"F+",IF(L493&lt;'PlayerGrades+'!$AE$18,"E-",IF(L493&lt;'PlayerGrades+'!$AE$17,"E",IF(L493&lt;'PlayerGrades+'!$AE$16,"E+",IF(L493&lt;'PlayerGrades+'!$AE$15,"D-",IF(L493&lt;'PlayerGrades+'!$AE$14,"D",IF(L493&lt;'PlayerGrades+'!$AE$13,"D+",IF(L493&lt;'PlayerGrades+'!$AE$12,"C-",IF(L493&lt;'PlayerGrades+'!$AE$11,"C",IF(L493&lt;'PlayerGrades+'!$AE$10,"C+",IF(L493&lt;'PlayerGrades+'!$AE$9,"B-",IF(L493&lt;'PlayerGrades+'!$AE$8,"B",IF(L493&lt;'PlayerGrades+'!$AE$7,"B+",IF(L493&lt;'PlayerGrades+'!$AE$6,"A-",IF(L493&lt;'PlayerGrades+'!$AE$5,"A",IF(L493&lt;'PlayerGrades+'!$AE$4,"A+",IF(L493&lt;'PlayerGrades+'!$AE$3,"S-",IF(L493&lt;'PlayerGrades+'!$AE$2,"S","S+"))))))))))))))))))))</f>
        <v>#DIV/0!</v>
      </c>
      <c r="N493" s="961" t="str">
        <f t="shared" si="6"/>
        <v>#DIV/0!</v>
      </c>
      <c r="O493" s="961" t="str">
        <f>IF(N493&lt;'PlayerGrades+'!$AF$21,"F-",IF(N493&lt;'PlayerGrades+'!$AF$20,"F",IF(N493&lt;'PlayerGrades+'!$AF$19,"F+",IF(N493&lt;'PlayerGrades+'!$AF$18,"E-",IF(N493&lt;'PlayerGrades+'!$AF$17,"E",IF(N493&lt;'PlayerGrades+'!$AF$16,"E+",IF(N493&lt;'PlayerGrades+'!$AF$15,"D-",IF(N493&lt;'PlayerGrades+'!$AF$14,"D",IF(N493&lt;'PlayerGrades+'!$AF$13,"D+",IF(N493&lt;'PlayerGrades+'!$AF$12,"C-",IF(N493&lt;'PlayerGrades+'!$AF$11,"C",IF(N493&lt;'PlayerGrades+'!$AF$10,"C+",IF(N493&lt;'PlayerGrades+'!$AF$9,"B-",IF(N493&lt;'PlayerGrades+'!$AF$8,"B",IF(N493&lt;'PlayerGrades+'!$AF$7,"B+",IF(N493&lt;'PlayerGrades+'!$AF$6,"A-",IF(N493&lt;'PlayerGrades+'!$AF$5,"A",IF(N493&lt;'PlayerGrades+'!$AF$4,"A+",IF(N493&lt;'PlayerGrades+'!$AF$3,"S-",IF(N493&lt;'PlayerGrades+'!$AF$2,"S","S+"))))))))))))))))))))</f>
        <v>#DIV/0!</v>
      </c>
      <c r="P493" s="961" t="str">
        <f t="shared" si="7"/>
        <v>#DIV/0!</v>
      </c>
      <c r="Q493" s="961" t="str">
        <f>IF(P493&lt;'PlayerGrades+'!$AG$21,"F-",IF(P493&lt;'PlayerGrades+'!$AG$20,"F",IF(P493&lt;'PlayerGrades+'!$AG$19,"F+",IF(P493&lt;'PlayerGrades+'!$AG$18,"E-",IF(P493&lt;'PlayerGrades+'!$AG$17,"E",IF(P493&lt;'PlayerGrades+'!$AG$16,"E+",IF(P493&lt;'PlayerGrades+'!$AG$15,"D-",IF(P493&lt;'PlayerGrades+'!$AG$14,"D",IF(P493&lt;'PlayerGrades+'!$AG$13,"D+",IF(P493&lt;'PlayerGrades+'!$AG$12,"C-",IF(P493&lt;'PlayerGrades+'!$AG$11,"C",IF(P493&lt;'PlayerGrades+'!$AG$10,"C+",IF(P493&lt;'PlayerGrades+'!$AG$9,"B-",IF(P493&lt;'PlayerGrades+'!$AG$8,"B",IF(P493&lt;'PlayerGrades+'!$AG$7,"B+",IF(P493&lt;'PlayerGrades+'!$AG$6,"A-",IF(P493&lt;'PlayerGrades+'!$AG$5,"A",IF(P493&lt;'PlayerGrades+'!$AG$4,"A+",IF(P493&lt;'PlayerGrades+'!$AG$3,"S-",IF(P493&lt;'PlayerGrades+'!$AG$2,"S","S+"))))))))))))))))))))</f>
        <v>#DIV/0!</v>
      </c>
      <c r="R493" s="961" t="str">
        <f t="shared" si="8"/>
        <v>#DIV/0!</v>
      </c>
      <c r="S493" s="961" t="str">
        <f>IF(R493&lt;'PlayerGrades+'!$AH$21,"F-",IF(R493&lt;'PlayerGrades+'!$AH$20,"F",IF(R493&lt;'PlayerGrades+'!$AH$19,"F+",IF(R493&lt;'PlayerGrades+'!$AH$18,"E-",IF(R493&lt;'PlayerGrades+'!$AH$17,"E",IF(R493&lt;'PlayerGrades+'!$AH$16,"E+",IF(R493&lt;'PlayerGrades+'!$AH$15,"D-",IF(R493&lt;'PlayerGrades+'!$AH$14,"D",IF(R493&lt;'PlayerGrades+'!$AH$13,"D+",IF(R493&lt;'PlayerGrades+'!$AH$12,"C-",IF(R493&lt;'PlayerGrades+'!$AH$11,"C",IF(R493&lt;'PlayerGrades+'!$AH$10,"C+",IF(R493&lt;'PlayerGrades+'!$AH$9,"B-",IF(R493&lt;'PlayerGrades+'!$AH$8,"B",IF(R493&lt;'PlayerGrades+'!$AH$7,"B+",IF(R493&lt;'PlayerGrades+'!$AH$6,"A-",IF(R493&lt;'PlayerGrades+'!$AH$5,"A",IF(R493&lt;'PlayerGrades+'!$AH$4,"A+",IF(R493&lt;'PlayerGrades+'!$AH$3,"S-",IF(R493&lt;'PlayerGrades+'!$AH$2,"S","S+"))))))))))))))))))))</f>
        <v>#DIV/0!</v>
      </c>
      <c r="T493" s="961">
        <f t="shared" si="9"/>
        <v>0</v>
      </c>
      <c r="U493" s="961" t="str">
        <f>IF(T493&lt;'PlayerGrades+'!$AI$21,"F-",IF(T493&lt;'PlayerGrades+'!$AI$20,"F",IF(T493&lt;'PlayerGrades+'!$AI$19,"F+",IF(T493&lt;'PlayerGrades+'!$AI$18,"E-",IF(T493&lt;'PlayerGrades+'!$AI$17,"E",IF(T493&lt;'PlayerGrades+'!$AI$16,"E+",IF(T493&lt;'PlayerGrades+'!$AI$15,"D-",IF(T493&lt;'PlayerGrades+'!$AI$14,"D",IF(T493&lt;'PlayerGrades+'!$AI$13,"D+",IF(T493&lt;'PlayerGrades+'!$AI$12,"C-",IF(T493&lt;'PlayerGrades+'!$AI$11,"C",IF(T493&lt;'PlayerGrades+'!$AI$10,"C+",IF(T493&lt;'PlayerGrades+'!$AI$9,"B-",IF(T493&lt;'PlayerGrades+'!$AI$8,"B",IF(T493&lt;'PlayerGrades+'!$AI$7,"B+",IF(T493&lt;'PlayerGrades+'!$AI$6,"A-",IF(T493&lt;'PlayerGrades+'!$AI$5,"A",IF(T493&lt;'PlayerGrades+'!$AI$4,"A+",IF(T493&lt;'PlayerGrades+'!$AI$3,"S-",IF(T493&lt;'PlayerGrades+'!$AI$2,"S","S+"))))))))))))))))))))</f>
        <v>F-</v>
      </c>
      <c r="AC493" s="1392"/>
    </row>
    <row r="494">
      <c r="A494" s="1391"/>
      <c r="B494" s="611" t="str">
        <f>IF(C494&lt;'PlayerGrades+'!$Y$44,"F-",IF(C494&lt;'PlayerGrades+'!$Y$43,"F",IF(C494&lt;'PlayerGrades+'!$Y$42,"F+",IF(C494&lt;'PlayerGrades+'!$Y$41,"E-",IF(C494&lt;'PlayerGrades+'!$Y$40,"E",IF(C494&lt;'PlayerGrades+'!$Y$39,"E+",IF(C494&lt;'PlayerGrades+'!$Y$38,"D-",IF(C494&lt;'PlayerGrades+'!$Y$37,"D",IF(C494&lt;'PlayerGrades+'!$Y$36,"D+",IF(C494&lt;'PlayerGrades+'!$Y$35,"C-",IF(C494&lt;'PlayerGrades+'!$Y$34,"C",IF(C494&lt;'PlayerGrades+'!$Y$33,"C+",IF(C494&lt;'PlayerGrades+'!$Y$32,"B-",IF(C494&lt;'PlayerGrades+'!$Y$31,"B",IF(C494&lt;'PlayerGrades+'!$Y$30,"B+",IF(C494&lt;'PlayerGrades+'!$Y$29,"A-",IF(C494&lt;'PlayerGrades+'!$Y$28,"A",IF(C494&lt;'PlayerGrades+'!$Y$27,"A+",IF(C494&lt;'PlayerGrades+'!$Y$26,"S-",IF(C494&lt;'PlayerGrades+'!$Y$25,"S","S+"))))))))))))))))))))</f>
        <v>#DIV/0!</v>
      </c>
      <c r="C494" s="1378" t="str">
        <f>('PlayerGrades+'!$Y$47*(VLOOKUP(E494, 'PlayerGrades+'!$X$3:$Y$23, 2, FALSE)))+('PlayerGrades+'!$Y$48*(VLOOKUP(G494, 'PlayerGrades+'!$X$3:$Y$23, 2, FALSE)))+('PlayerGrades+'!$Y$49*(VLOOKUP(I494, 'PlayerGrades+'!$X$3:$Y$23, 2, FALSE)))+('PlayerGrades+'!$Y$50*(VLOOKUP(K494, 'PlayerGrades+'!$X$3:$Y$23, 2, FALSE)))+('PlayerGrades+'!$Y$51*(VLOOKUP(M494, 'PlayerGrades+'!$X$3:$Y$23, 2, FALSE)))+('PlayerGrades+'!$Y$52*(VLOOKUP(O494, 'PlayerGrades+'!$X$3:$Y$23, 2, FALSE)))+('PlayerGrades+'!$Y$53*(VLOOKUP(Q494, 'PlayerGrades+'!$X$3:$Y$23, 2, FALSE)))+('PlayerGrades+'!$Y$54*(VLOOKUP(S494, 'PlayerGrades+'!$X$3:$Y$23, 2, FALSE)))+('PlayerGrades+'!$Y$55*(VLOOKUP(U494, 'PlayerGrades+'!$X$3:$Y$23, 2, FALSE)))</f>
        <v>#DIV/0!</v>
      </c>
      <c r="D494" s="961" t="str">
        <f t="shared" si="1"/>
        <v>#DIV/0!</v>
      </c>
      <c r="E494" s="961" t="str">
        <f>IF(D494&lt;'PlayerGrades+'!$AA$21,"F-",IF(D494&lt;'PlayerGrades+'!$AA$20,"F",IF(D494&lt;'PlayerGrades+'!$AA$19,"F+",IF(D494&lt;'PlayerGrades+'!$AA$18,"E-",IF(D494&lt;'PlayerGrades+'!$AA$17,"E",IF(D494&lt;'PlayerGrades+'!$AA$16,"E+",IF(D494&lt;'PlayerGrades+'!$AA$15,"D-",IF(D494&lt;'PlayerGrades+'!$AA$14,"D",IF(D494&lt;'PlayerGrades+'!$AA$13,"D+",IF(D494&lt;'PlayerGrades+'!$AA$12,"C-",IF(D494&lt;'PlayerGrades+'!$AA$11,"C",IF(D494&lt;'PlayerGrades+'!$AA$10,"C+",IF(D494&lt;'PlayerGrades+'!$AA$9,"B-",IF(D494&lt;'PlayerGrades+'!$AA$8,"B",IF(D494&lt;'PlayerGrades+'!$AA$7,"B+",IF(D494&lt;'PlayerGrades+'!$AA$6,"A-",IF(D494&lt;'PlayerGrades+'!$AA$5,"A",IF(D494&lt;'PlayerGrades+'!$AA$4,"A+",IF(D494&lt;'PlayerGrades+'!$AA$3,"S-",IF(D494&lt;'PlayerGrades+'!$AA$2,"S","S+"))))))))))))))))))))</f>
        <v>#DIV/0!</v>
      </c>
      <c r="F494" s="961" t="str">
        <f t="shared" si="2"/>
        <v>#DIV/0!</v>
      </c>
      <c r="G494" s="961" t="str">
        <f>IF(F494&lt;'PlayerGrades+'!$AB$21,"F-",IF(F494&lt;'PlayerGrades+'!$AB$20,"F",IF(F494&lt;'PlayerGrades+'!$AB$19,"F+",IF(F494&lt;'PlayerGrades+'!$AB$18,"E-",IF(F494&lt;'PlayerGrades+'!$AB$17,"E",IF(F494&lt;'PlayerGrades+'!$AB$16,"E+",IF(F494&lt;'PlayerGrades+'!$AB$15,"D-",IF(F494&lt;'PlayerGrades+'!$AB$14,"D",IF(F494&lt;'PlayerGrades+'!$AB$13,"D+",IF(F494&lt;'PlayerGrades+'!$AB$12,"C-",IF(F494&lt;'PlayerGrades+'!$AB$11,"C",IF(F494&lt;'PlayerGrades+'!$AB$10,"C+",IF(F494&lt;'PlayerGrades+'!$AB$9,"B-",IF(F494&lt;'PlayerGrades+'!$AB$8,"B",IF(F494&lt;'PlayerGrades+'!$AB$7,"B+",IF(F494&lt;'PlayerGrades+'!$AB$6,"A-",IF(F494&lt;'PlayerGrades+'!$AB$5,"A",IF(F494&lt;'PlayerGrades+'!$AB$4,"A+",IF(F494&lt;'PlayerGrades+'!$AB$3,"S-",IF(F494&lt;'PlayerGrades+'!$AB$2,"S","S+"))))))))))))))))))))</f>
        <v>#DIV/0!</v>
      </c>
      <c r="H494" s="961" t="str">
        <f t="shared" si="3"/>
        <v>#DIV/0!</v>
      </c>
      <c r="I494" s="961" t="str">
        <f>IF(H494&lt;'PlayerGrades+'!$AC$21,"F-",IF(H494&lt;'PlayerGrades+'!$AC$20,"F",IF(H494&lt;'PlayerGrades+'!$AC$19,"F+",IF(H494&lt;'PlayerGrades+'!$AC$18,"E-",IF(H494&lt;'PlayerGrades+'!$AC$17,"E",IF(H494&lt;'PlayerGrades+'!$AC$16,"E+",IF(H494&lt;'PlayerGrades+'!$AC$15,"D-",IF(H494&lt;'PlayerGrades+'!$AC$14,"D",IF(H494&lt;'PlayerGrades+'!$AC$13,"D+",IF(H494&lt;'PlayerGrades+'!$AC$12,"C-",IF(H494&lt;'PlayerGrades+'!$AC$11,"C",IF(H494&lt;'PlayerGrades+'!$AC$10,"C+",IF(H494&lt;'PlayerGrades+'!$AC$9,"B-",IF(H494&lt;'PlayerGrades+'!$AC$8,"B",IF(H494&lt;'PlayerGrades+'!$AC$7,"B+",IF(H494&lt;'PlayerGrades+'!$AC$6,"A-",IF(H494&lt;'PlayerGrades+'!$AC$5,"A",IF(H494&lt;'PlayerGrades+'!$AC$4,"A+",IF(H494&lt;'PlayerGrades+'!$AC$3,"S-",IF(H494&lt;'PlayerGrades+'!$AC$2,"S","S+"))))))))))))))))))))</f>
        <v>#DIV/0!</v>
      </c>
      <c r="J494" s="961" t="str">
        <f t="shared" si="4"/>
        <v>#DIV/0!</v>
      </c>
      <c r="K494" s="961" t="str">
        <f>IF(J494&lt;'PlayerGrades+'!$AD$21,"F-",IF(J494&lt;'PlayerGrades+'!$AD$20,"F",IF(J494&lt;'PlayerGrades+'!$AD$19,"F+",IF(J494&lt;'PlayerGrades+'!$AD$18,"E-",IF(J494&lt;'PlayerGrades+'!$AD$17,"E",IF(J494&lt;'PlayerGrades+'!$AD$16,"E+",IF(J494&lt;'PlayerGrades+'!$AD$15,"D-",IF(J494&lt;'PlayerGrades+'!$AD$14,"D",IF(J494&lt;'PlayerGrades+'!$AD$13,"D+",IF(J494&lt;'PlayerGrades+'!$AD$12,"C-",IF(J494&lt;'PlayerGrades+'!$AD$11,"C",IF(J494&lt;'PlayerGrades+'!$AD$10,"C+",IF(J494&lt;'PlayerGrades+'!$AD$9,"B-",IF(J494&lt;'PlayerGrades+'!$AD$8,"B",IF(J494&lt;'PlayerGrades+'!$AD$7,"B+",IF(J494&lt;'PlayerGrades+'!$AD$6,"A-",IF(J494&lt;'PlayerGrades+'!$AD$5,"A",IF(J494&lt;'PlayerGrades+'!$AD$4,"A+",IF(J494&lt;'PlayerGrades+'!$AD$3,"S-",IF(J494&lt;'PlayerGrades+'!$AD$2,"S","S+"))))))))))))))))))))</f>
        <v>#DIV/0!</v>
      </c>
      <c r="L494" s="1176" t="str">
        <f t="shared" si="5"/>
        <v>#DIV/0!</v>
      </c>
      <c r="M494" s="992" t="str">
        <f>IF(L494&lt;'PlayerGrades+'!$AE$21,"F-",IF(L494&lt;'PlayerGrades+'!$AE$20,"F",IF(L494&lt;'PlayerGrades+'!$AE$19,"F+",IF(L494&lt;'PlayerGrades+'!$AE$18,"E-",IF(L494&lt;'PlayerGrades+'!$AE$17,"E",IF(L494&lt;'PlayerGrades+'!$AE$16,"E+",IF(L494&lt;'PlayerGrades+'!$AE$15,"D-",IF(L494&lt;'PlayerGrades+'!$AE$14,"D",IF(L494&lt;'PlayerGrades+'!$AE$13,"D+",IF(L494&lt;'PlayerGrades+'!$AE$12,"C-",IF(L494&lt;'PlayerGrades+'!$AE$11,"C",IF(L494&lt;'PlayerGrades+'!$AE$10,"C+",IF(L494&lt;'PlayerGrades+'!$AE$9,"B-",IF(L494&lt;'PlayerGrades+'!$AE$8,"B",IF(L494&lt;'PlayerGrades+'!$AE$7,"B+",IF(L494&lt;'PlayerGrades+'!$AE$6,"A-",IF(L494&lt;'PlayerGrades+'!$AE$5,"A",IF(L494&lt;'PlayerGrades+'!$AE$4,"A+",IF(L494&lt;'PlayerGrades+'!$AE$3,"S-",IF(L494&lt;'PlayerGrades+'!$AE$2,"S","S+"))))))))))))))))))))</f>
        <v>#DIV/0!</v>
      </c>
      <c r="N494" s="961" t="str">
        <f t="shared" si="6"/>
        <v>#DIV/0!</v>
      </c>
      <c r="O494" s="961" t="str">
        <f>IF(N494&lt;'PlayerGrades+'!$AF$21,"F-",IF(N494&lt;'PlayerGrades+'!$AF$20,"F",IF(N494&lt;'PlayerGrades+'!$AF$19,"F+",IF(N494&lt;'PlayerGrades+'!$AF$18,"E-",IF(N494&lt;'PlayerGrades+'!$AF$17,"E",IF(N494&lt;'PlayerGrades+'!$AF$16,"E+",IF(N494&lt;'PlayerGrades+'!$AF$15,"D-",IF(N494&lt;'PlayerGrades+'!$AF$14,"D",IF(N494&lt;'PlayerGrades+'!$AF$13,"D+",IF(N494&lt;'PlayerGrades+'!$AF$12,"C-",IF(N494&lt;'PlayerGrades+'!$AF$11,"C",IF(N494&lt;'PlayerGrades+'!$AF$10,"C+",IF(N494&lt;'PlayerGrades+'!$AF$9,"B-",IF(N494&lt;'PlayerGrades+'!$AF$8,"B",IF(N494&lt;'PlayerGrades+'!$AF$7,"B+",IF(N494&lt;'PlayerGrades+'!$AF$6,"A-",IF(N494&lt;'PlayerGrades+'!$AF$5,"A",IF(N494&lt;'PlayerGrades+'!$AF$4,"A+",IF(N494&lt;'PlayerGrades+'!$AF$3,"S-",IF(N494&lt;'PlayerGrades+'!$AF$2,"S","S+"))))))))))))))))))))</f>
        <v>#DIV/0!</v>
      </c>
      <c r="P494" s="961" t="str">
        <f t="shared" si="7"/>
        <v>#DIV/0!</v>
      </c>
      <c r="Q494" s="961" t="str">
        <f>IF(P494&lt;'PlayerGrades+'!$AG$21,"F-",IF(P494&lt;'PlayerGrades+'!$AG$20,"F",IF(P494&lt;'PlayerGrades+'!$AG$19,"F+",IF(P494&lt;'PlayerGrades+'!$AG$18,"E-",IF(P494&lt;'PlayerGrades+'!$AG$17,"E",IF(P494&lt;'PlayerGrades+'!$AG$16,"E+",IF(P494&lt;'PlayerGrades+'!$AG$15,"D-",IF(P494&lt;'PlayerGrades+'!$AG$14,"D",IF(P494&lt;'PlayerGrades+'!$AG$13,"D+",IF(P494&lt;'PlayerGrades+'!$AG$12,"C-",IF(P494&lt;'PlayerGrades+'!$AG$11,"C",IF(P494&lt;'PlayerGrades+'!$AG$10,"C+",IF(P494&lt;'PlayerGrades+'!$AG$9,"B-",IF(P494&lt;'PlayerGrades+'!$AG$8,"B",IF(P494&lt;'PlayerGrades+'!$AG$7,"B+",IF(P494&lt;'PlayerGrades+'!$AG$6,"A-",IF(P494&lt;'PlayerGrades+'!$AG$5,"A",IF(P494&lt;'PlayerGrades+'!$AG$4,"A+",IF(P494&lt;'PlayerGrades+'!$AG$3,"S-",IF(P494&lt;'PlayerGrades+'!$AG$2,"S","S+"))))))))))))))))))))</f>
        <v>#DIV/0!</v>
      </c>
      <c r="R494" s="961" t="str">
        <f t="shared" si="8"/>
        <v>#DIV/0!</v>
      </c>
      <c r="S494" s="961" t="str">
        <f>IF(R494&lt;'PlayerGrades+'!$AH$21,"F-",IF(R494&lt;'PlayerGrades+'!$AH$20,"F",IF(R494&lt;'PlayerGrades+'!$AH$19,"F+",IF(R494&lt;'PlayerGrades+'!$AH$18,"E-",IF(R494&lt;'PlayerGrades+'!$AH$17,"E",IF(R494&lt;'PlayerGrades+'!$AH$16,"E+",IF(R494&lt;'PlayerGrades+'!$AH$15,"D-",IF(R494&lt;'PlayerGrades+'!$AH$14,"D",IF(R494&lt;'PlayerGrades+'!$AH$13,"D+",IF(R494&lt;'PlayerGrades+'!$AH$12,"C-",IF(R494&lt;'PlayerGrades+'!$AH$11,"C",IF(R494&lt;'PlayerGrades+'!$AH$10,"C+",IF(R494&lt;'PlayerGrades+'!$AH$9,"B-",IF(R494&lt;'PlayerGrades+'!$AH$8,"B",IF(R494&lt;'PlayerGrades+'!$AH$7,"B+",IF(R494&lt;'PlayerGrades+'!$AH$6,"A-",IF(R494&lt;'PlayerGrades+'!$AH$5,"A",IF(R494&lt;'PlayerGrades+'!$AH$4,"A+",IF(R494&lt;'PlayerGrades+'!$AH$3,"S-",IF(R494&lt;'PlayerGrades+'!$AH$2,"S","S+"))))))))))))))))))))</f>
        <v>#DIV/0!</v>
      </c>
      <c r="T494" s="961">
        <f t="shared" si="9"/>
        <v>0</v>
      </c>
      <c r="U494" s="961" t="str">
        <f>IF(T494&lt;'PlayerGrades+'!$AI$21,"F-",IF(T494&lt;'PlayerGrades+'!$AI$20,"F",IF(T494&lt;'PlayerGrades+'!$AI$19,"F+",IF(T494&lt;'PlayerGrades+'!$AI$18,"E-",IF(T494&lt;'PlayerGrades+'!$AI$17,"E",IF(T494&lt;'PlayerGrades+'!$AI$16,"E+",IF(T494&lt;'PlayerGrades+'!$AI$15,"D-",IF(T494&lt;'PlayerGrades+'!$AI$14,"D",IF(T494&lt;'PlayerGrades+'!$AI$13,"D+",IF(T494&lt;'PlayerGrades+'!$AI$12,"C-",IF(T494&lt;'PlayerGrades+'!$AI$11,"C",IF(T494&lt;'PlayerGrades+'!$AI$10,"C+",IF(T494&lt;'PlayerGrades+'!$AI$9,"B-",IF(T494&lt;'PlayerGrades+'!$AI$8,"B",IF(T494&lt;'PlayerGrades+'!$AI$7,"B+",IF(T494&lt;'PlayerGrades+'!$AI$6,"A-",IF(T494&lt;'PlayerGrades+'!$AI$5,"A",IF(T494&lt;'PlayerGrades+'!$AI$4,"A+",IF(T494&lt;'PlayerGrades+'!$AI$3,"S-",IF(T494&lt;'PlayerGrades+'!$AI$2,"S","S+"))))))))))))))))))))</f>
        <v>F-</v>
      </c>
      <c r="AC494" s="1392"/>
    </row>
    <row r="495">
      <c r="A495" s="1391"/>
      <c r="B495" s="611" t="str">
        <f>IF(C495&lt;'PlayerGrades+'!$Y$44,"F-",IF(C495&lt;'PlayerGrades+'!$Y$43,"F",IF(C495&lt;'PlayerGrades+'!$Y$42,"F+",IF(C495&lt;'PlayerGrades+'!$Y$41,"E-",IF(C495&lt;'PlayerGrades+'!$Y$40,"E",IF(C495&lt;'PlayerGrades+'!$Y$39,"E+",IF(C495&lt;'PlayerGrades+'!$Y$38,"D-",IF(C495&lt;'PlayerGrades+'!$Y$37,"D",IF(C495&lt;'PlayerGrades+'!$Y$36,"D+",IF(C495&lt;'PlayerGrades+'!$Y$35,"C-",IF(C495&lt;'PlayerGrades+'!$Y$34,"C",IF(C495&lt;'PlayerGrades+'!$Y$33,"C+",IF(C495&lt;'PlayerGrades+'!$Y$32,"B-",IF(C495&lt;'PlayerGrades+'!$Y$31,"B",IF(C495&lt;'PlayerGrades+'!$Y$30,"B+",IF(C495&lt;'PlayerGrades+'!$Y$29,"A-",IF(C495&lt;'PlayerGrades+'!$Y$28,"A",IF(C495&lt;'PlayerGrades+'!$Y$27,"A+",IF(C495&lt;'PlayerGrades+'!$Y$26,"S-",IF(C495&lt;'PlayerGrades+'!$Y$25,"S","S+"))))))))))))))))))))</f>
        <v>#DIV/0!</v>
      </c>
      <c r="C495" s="1378" t="str">
        <f>('PlayerGrades+'!$Y$47*(VLOOKUP(E495, 'PlayerGrades+'!$X$3:$Y$23, 2, FALSE)))+('PlayerGrades+'!$Y$48*(VLOOKUP(G495, 'PlayerGrades+'!$X$3:$Y$23, 2, FALSE)))+('PlayerGrades+'!$Y$49*(VLOOKUP(I495, 'PlayerGrades+'!$X$3:$Y$23, 2, FALSE)))+('PlayerGrades+'!$Y$50*(VLOOKUP(K495, 'PlayerGrades+'!$X$3:$Y$23, 2, FALSE)))+('PlayerGrades+'!$Y$51*(VLOOKUP(M495, 'PlayerGrades+'!$X$3:$Y$23, 2, FALSE)))+('PlayerGrades+'!$Y$52*(VLOOKUP(O495, 'PlayerGrades+'!$X$3:$Y$23, 2, FALSE)))+('PlayerGrades+'!$Y$53*(VLOOKUP(Q495, 'PlayerGrades+'!$X$3:$Y$23, 2, FALSE)))+('PlayerGrades+'!$Y$54*(VLOOKUP(S495, 'PlayerGrades+'!$X$3:$Y$23, 2, FALSE)))+('PlayerGrades+'!$Y$55*(VLOOKUP(U495, 'PlayerGrades+'!$X$3:$Y$23, 2, FALSE)))</f>
        <v>#DIV/0!</v>
      </c>
      <c r="D495" s="961" t="str">
        <f t="shared" si="1"/>
        <v>#DIV/0!</v>
      </c>
      <c r="E495" s="961" t="str">
        <f>IF(D495&lt;'PlayerGrades+'!$AA$21,"F-",IF(D495&lt;'PlayerGrades+'!$AA$20,"F",IF(D495&lt;'PlayerGrades+'!$AA$19,"F+",IF(D495&lt;'PlayerGrades+'!$AA$18,"E-",IF(D495&lt;'PlayerGrades+'!$AA$17,"E",IF(D495&lt;'PlayerGrades+'!$AA$16,"E+",IF(D495&lt;'PlayerGrades+'!$AA$15,"D-",IF(D495&lt;'PlayerGrades+'!$AA$14,"D",IF(D495&lt;'PlayerGrades+'!$AA$13,"D+",IF(D495&lt;'PlayerGrades+'!$AA$12,"C-",IF(D495&lt;'PlayerGrades+'!$AA$11,"C",IF(D495&lt;'PlayerGrades+'!$AA$10,"C+",IF(D495&lt;'PlayerGrades+'!$AA$9,"B-",IF(D495&lt;'PlayerGrades+'!$AA$8,"B",IF(D495&lt;'PlayerGrades+'!$AA$7,"B+",IF(D495&lt;'PlayerGrades+'!$AA$6,"A-",IF(D495&lt;'PlayerGrades+'!$AA$5,"A",IF(D495&lt;'PlayerGrades+'!$AA$4,"A+",IF(D495&lt;'PlayerGrades+'!$AA$3,"S-",IF(D495&lt;'PlayerGrades+'!$AA$2,"S","S+"))))))))))))))))))))</f>
        <v>#DIV/0!</v>
      </c>
      <c r="F495" s="961" t="str">
        <f t="shared" si="2"/>
        <v>#DIV/0!</v>
      </c>
      <c r="G495" s="961" t="str">
        <f>IF(F495&lt;'PlayerGrades+'!$AB$21,"F-",IF(F495&lt;'PlayerGrades+'!$AB$20,"F",IF(F495&lt;'PlayerGrades+'!$AB$19,"F+",IF(F495&lt;'PlayerGrades+'!$AB$18,"E-",IF(F495&lt;'PlayerGrades+'!$AB$17,"E",IF(F495&lt;'PlayerGrades+'!$AB$16,"E+",IF(F495&lt;'PlayerGrades+'!$AB$15,"D-",IF(F495&lt;'PlayerGrades+'!$AB$14,"D",IF(F495&lt;'PlayerGrades+'!$AB$13,"D+",IF(F495&lt;'PlayerGrades+'!$AB$12,"C-",IF(F495&lt;'PlayerGrades+'!$AB$11,"C",IF(F495&lt;'PlayerGrades+'!$AB$10,"C+",IF(F495&lt;'PlayerGrades+'!$AB$9,"B-",IF(F495&lt;'PlayerGrades+'!$AB$8,"B",IF(F495&lt;'PlayerGrades+'!$AB$7,"B+",IF(F495&lt;'PlayerGrades+'!$AB$6,"A-",IF(F495&lt;'PlayerGrades+'!$AB$5,"A",IF(F495&lt;'PlayerGrades+'!$AB$4,"A+",IF(F495&lt;'PlayerGrades+'!$AB$3,"S-",IF(F495&lt;'PlayerGrades+'!$AB$2,"S","S+"))))))))))))))))))))</f>
        <v>#DIV/0!</v>
      </c>
      <c r="H495" s="961" t="str">
        <f t="shared" si="3"/>
        <v>#DIV/0!</v>
      </c>
      <c r="I495" s="961" t="str">
        <f>IF(H495&lt;'PlayerGrades+'!$AC$21,"F-",IF(H495&lt;'PlayerGrades+'!$AC$20,"F",IF(H495&lt;'PlayerGrades+'!$AC$19,"F+",IF(H495&lt;'PlayerGrades+'!$AC$18,"E-",IF(H495&lt;'PlayerGrades+'!$AC$17,"E",IF(H495&lt;'PlayerGrades+'!$AC$16,"E+",IF(H495&lt;'PlayerGrades+'!$AC$15,"D-",IF(H495&lt;'PlayerGrades+'!$AC$14,"D",IF(H495&lt;'PlayerGrades+'!$AC$13,"D+",IF(H495&lt;'PlayerGrades+'!$AC$12,"C-",IF(H495&lt;'PlayerGrades+'!$AC$11,"C",IF(H495&lt;'PlayerGrades+'!$AC$10,"C+",IF(H495&lt;'PlayerGrades+'!$AC$9,"B-",IF(H495&lt;'PlayerGrades+'!$AC$8,"B",IF(H495&lt;'PlayerGrades+'!$AC$7,"B+",IF(H495&lt;'PlayerGrades+'!$AC$6,"A-",IF(H495&lt;'PlayerGrades+'!$AC$5,"A",IF(H495&lt;'PlayerGrades+'!$AC$4,"A+",IF(H495&lt;'PlayerGrades+'!$AC$3,"S-",IF(H495&lt;'PlayerGrades+'!$AC$2,"S","S+"))))))))))))))))))))</f>
        <v>#DIV/0!</v>
      </c>
      <c r="J495" s="961" t="str">
        <f t="shared" si="4"/>
        <v>#DIV/0!</v>
      </c>
      <c r="K495" s="961" t="str">
        <f>IF(J495&lt;'PlayerGrades+'!$AD$21,"F-",IF(J495&lt;'PlayerGrades+'!$AD$20,"F",IF(J495&lt;'PlayerGrades+'!$AD$19,"F+",IF(J495&lt;'PlayerGrades+'!$AD$18,"E-",IF(J495&lt;'PlayerGrades+'!$AD$17,"E",IF(J495&lt;'PlayerGrades+'!$AD$16,"E+",IF(J495&lt;'PlayerGrades+'!$AD$15,"D-",IF(J495&lt;'PlayerGrades+'!$AD$14,"D",IF(J495&lt;'PlayerGrades+'!$AD$13,"D+",IF(J495&lt;'PlayerGrades+'!$AD$12,"C-",IF(J495&lt;'PlayerGrades+'!$AD$11,"C",IF(J495&lt;'PlayerGrades+'!$AD$10,"C+",IF(J495&lt;'PlayerGrades+'!$AD$9,"B-",IF(J495&lt;'PlayerGrades+'!$AD$8,"B",IF(J495&lt;'PlayerGrades+'!$AD$7,"B+",IF(J495&lt;'PlayerGrades+'!$AD$6,"A-",IF(J495&lt;'PlayerGrades+'!$AD$5,"A",IF(J495&lt;'PlayerGrades+'!$AD$4,"A+",IF(J495&lt;'PlayerGrades+'!$AD$3,"S-",IF(J495&lt;'PlayerGrades+'!$AD$2,"S","S+"))))))))))))))))))))</f>
        <v>#DIV/0!</v>
      </c>
      <c r="L495" s="1176" t="str">
        <f t="shared" si="5"/>
        <v>#DIV/0!</v>
      </c>
      <c r="M495" s="992" t="str">
        <f>IF(L495&lt;'PlayerGrades+'!$AE$21,"F-",IF(L495&lt;'PlayerGrades+'!$AE$20,"F",IF(L495&lt;'PlayerGrades+'!$AE$19,"F+",IF(L495&lt;'PlayerGrades+'!$AE$18,"E-",IF(L495&lt;'PlayerGrades+'!$AE$17,"E",IF(L495&lt;'PlayerGrades+'!$AE$16,"E+",IF(L495&lt;'PlayerGrades+'!$AE$15,"D-",IF(L495&lt;'PlayerGrades+'!$AE$14,"D",IF(L495&lt;'PlayerGrades+'!$AE$13,"D+",IF(L495&lt;'PlayerGrades+'!$AE$12,"C-",IF(L495&lt;'PlayerGrades+'!$AE$11,"C",IF(L495&lt;'PlayerGrades+'!$AE$10,"C+",IF(L495&lt;'PlayerGrades+'!$AE$9,"B-",IF(L495&lt;'PlayerGrades+'!$AE$8,"B",IF(L495&lt;'PlayerGrades+'!$AE$7,"B+",IF(L495&lt;'PlayerGrades+'!$AE$6,"A-",IF(L495&lt;'PlayerGrades+'!$AE$5,"A",IF(L495&lt;'PlayerGrades+'!$AE$4,"A+",IF(L495&lt;'PlayerGrades+'!$AE$3,"S-",IF(L495&lt;'PlayerGrades+'!$AE$2,"S","S+"))))))))))))))))))))</f>
        <v>#DIV/0!</v>
      </c>
      <c r="N495" s="961" t="str">
        <f t="shared" si="6"/>
        <v>#DIV/0!</v>
      </c>
      <c r="O495" s="961" t="str">
        <f>IF(N495&lt;'PlayerGrades+'!$AF$21,"F-",IF(N495&lt;'PlayerGrades+'!$AF$20,"F",IF(N495&lt;'PlayerGrades+'!$AF$19,"F+",IF(N495&lt;'PlayerGrades+'!$AF$18,"E-",IF(N495&lt;'PlayerGrades+'!$AF$17,"E",IF(N495&lt;'PlayerGrades+'!$AF$16,"E+",IF(N495&lt;'PlayerGrades+'!$AF$15,"D-",IF(N495&lt;'PlayerGrades+'!$AF$14,"D",IF(N495&lt;'PlayerGrades+'!$AF$13,"D+",IF(N495&lt;'PlayerGrades+'!$AF$12,"C-",IF(N495&lt;'PlayerGrades+'!$AF$11,"C",IF(N495&lt;'PlayerGrades+'!$AF$10,"C+",IF(N495&lt;'PlayerGrades+'!$AF$9,"B-",IF(N495&lt;'PlayerGrades+'!$AF$8,"B",IF(N495&lt;'PlayerGrades+'!$AF$7,"B+",IF(N495&lt;'PlayerGrades+'!$AF$6,"A-",IF(N495&lt;'PlayerGrades+'!$AF$5,"A",IF(N495&lt;'PlayerGrades+'!$AF$4,"A+",IF(N495&lt;'PlayerGrades+'!$AF$3,"S-",IF(N495&lt;'PlayerGrades+'!$AF$2,"S","S+"))))))))))))))))))))</f>
        <v>#DIV/0!</v>
      </c>
      <c r="P495" s="961" t="str">
        <f t="shared" si="7"/>
        <v>#DIV/0!</v>
      </c>
      <c r="Q495" s="961" t="str">
        <f>IF(P495&lt;'PlayerGrades+'!$AG$21,"F-",IF(P495&lt;'PlayerGrades+'!$AG$20,"F",IF(P495&lt;'PlayerGrades+'!$AG$19,"F+",IF(P495&lt;'PlayerGrades+'!$AG$18,"E-",IF(P495&lt;'PlayerGrades+'!$AG$17,"E",IF(P495&lt;'PlayerGrades+'!$AG$16,"E+",IF(P495&lt;'PlayerGrades+'!$AG$15,"D-",IF(P495&lt;'PlayerGrades+'!$AG$14,"D",IF(P495&lt;'PlayerGrades+'!$AG$13,"D+",IF(P495&lt;'PlayerGrades+'!$AG$12,"C-",IF(P495&lt;'PlayerGrades+'!$AG$11,"C",IF(P495&lt;'PlayerGrades+'!$AG$10,"C+",IF(P495&lt;'PlayerGrades+'!$AG$9,"B-",IF(P495&lt;'PlayerGrades+'!$AG$8,"B",IF(P495&lt;'PlayerGrades+'!$AG$7,"B+",IF(P495&lt;'PlayerGrades+'!$AG$6,"A-",IF(P495&lt;'PlayerGrades+'!$AG$5,"A",IF(P495&lt;'PlayerGrades+'!$AG$4,"A+",IF(P495&lt;'PlayerGrades+'!$AG$3,"S-",IF(P495&lt;'PlayerGrades+'!$AG$2,"S","S+"))))))))))))))))))))</f>
        <v>#DIV/0!</v>
      </c>
      <c r="R495" s="961" t="str">
        <f t="shared" si="8"/>
        <v>#DIV/0!</v>
      </c>
      <c r="S495" s="961" t="str">
        <f>IF(R495&lt;'PlayerGrades+'!$AH$21,"F-",IF(R495&lt;'PlayerGrades+'!$AH$20,"F",IF(R495&lt;'PlayerGrades+'!$AH$19,"F+",IF(R495&lt;'PlayerGrades+'!$AH$18,"E-",IF(R495&lt;'PlayerGrades+'!$AH$17,"E",IF(R495&lt;'PlayerGrades+'!$AH$16,"E+",IF(R495&lt;'PlayerGrades+'!$AH$15,"D-",IF(R495&lt;'PlayerGrades+'!$AH$14,"D",IF(R495&lt;'PlayerGrades+'!$AH$13,"D+",IF(R495&lt;'PlayerGrades+'!$AH$12,"C-",IF(R495&lt;'PlayerGrades+'!$AH$11,"C",IF(R495&lt;'PlayerGrades+'!$AH$10,"C+",IF(R495&lt;'PlayerGrades+'!$AH$9,"B-",IF(R495&lt;'PlayerGrades+'!$AH$8,"B",IF(R495&lt;'PlayerGrades+'!$AH$7,"B+",IF(R495&lt;'PlayerGrades+'!$AH$6,"A-",IF(R495&lt;'PlayerGrades+'!$AH$5,"A",IF(R495&lt;'PlayerGrades+'!$AH$4,"A+",IF(R495&lt;'PlayerGrades+'!$AH$3,"S-",IF(R495&lt;'PlayerGrades+'!$AH$2,"S","S+"))))))))))))))))))))</f>
        <v>#DIV/0!</v>
      </c>
      <c r="T495" s="961">
        <f t="shared" si="9"/>
        <v>0</v>
      </c>
      <c r="U495" s="961" t="str">
        <f>IF(T495&lt;'PlayerGrades+'!$AI$21,"F-",IF(T495&lt;'PlayerGrades+'!$AI$20,"F",IF(T495&lt;'PlayerGrades+'!$AI$19,"F+",IF(T495&lt;'PlayerGrades+'!$AI$18,"E-",IF(T495&lt;'PlayerGrades+'!$AI$17,"E",IF(T495&lt;'PlayerGrades+'!$AI$16,"E+",IF(T495&lt;'PlayerGrades+'!$AI$15,"D-",IF(T495&lt;'PlayerGrades+'!$AI$14,"D",IF(T495&lt;'PlayerGrades+'!$AI$13,"D+",IF(T495&lt;'PlayerGrades+'!$AI$12,"C-",IF(T495&lt;'PlayerGrades+'!$AI$11,"C",IF(T495&lt;'PlayerGrades+'!$AI$10,"C+",IF(T495&lt;'PlayerGrades+'!$AI$9,"B-",IF(T495&lt;'PlayerGrades+'!$AI$8,"B",IF(T495&lt;'PlayerGrades+'!$AI$7,"B+",IF(T495&lt;'PlayerGrades+'!$AI$6,"A-",IF(T495&lt;'PlayerGrades+'!$AI$5,"A",IF(T495&lt;'PlayerGrades+'!$AI$4,"A+",IF(T495&lt;'PlayerGrades+'!$AI$3,"S-",IF(T495&lt;'PlayerGrades+'!$AI$2,"S","S+"))))))))))))))))))))</f>
        <v>F-</v>
      </c>
      <c r="AC495" s="1392"/>
    </row>
    <row r="496">
      <c r="A496" s="1391"/>
      <c r="B496" s="611" t="str">
        <f>IF(C496&lt;'PlayerGrades+'!$Y$44,"F-",IF(C496&lt;'PlayerGrades+'!$Y$43,"F",IF(C496&lt;'PlayerGrades+'!$Y$42,"F+",IF(C496&lt;'PlayerGrades+'!$Y$41,"E-",IF(C496&lt;'PlayerGrades+'!$Y$40,"E",IF(C496&lt;'PlayerGrades+'!$Y$39,"E+",IF(C496&lt;'PlayerGrades+'!$Y$38,"D-",IF(C496&lt;'PlayerGrades+'!$Y$37,"D",IF(C496&lt;'PlayerGrades+'!$Y$36,"D+",IF(C496&lt;'PlayerGrades+'!$Y$35,"C-",IF(C496&lt;'PlayerGrades+'!$Y$34,"C",IF(C496&lt;'PlayerGrades+'!$Y$33,"C+",IF(C496&lt;'PlayerGrades+'!$Y$32,"B-",IF(C496&lt;'PlayerGrades+'!$Y$31,"B",IF(C496&lt;'PlayerGrades+'!$Y$30,"B+",IF(C496&lt;'PlayerGrades+'!$Y$29,"A-",IF(C496&lt;'PlayerGrades+'!$Y$28,"A",IF(C496&lt;'PlayerGrades+'!$Y$27,"A+",IF(C496&lt;'PlayerGrades+'!$Y$26,"S-",IF(C496&lt;'PlayerGrades+'!$Y$25,"S","S+"))))))))))))))))))))</f>
        <v>#DIV/0!</v>
      </c>
      <c r="C496" s="1378" t="str">
        <f>('PlayerGrades+'!$Y$47*(VLOOKUP(E496, 'PlayerGrades+'!$X$3:$Y$23, 2, FALSE)))+('PlayerGrades+'!$Y$48*(VLOOKUP(G496, 'PlayerGrades+'!$X$3:$Y$23, 2, FALSE)))+('PlayerGrades+'!$Y$49*(VLOOKUP(I496, 'PlayerGrades+'!$X$3:$Y$23, 2, FALSE)))+('PlayerGrades+'!$Y$50*(VLOOKUP(K496, 'PlayerGrades+'!$X$3:$Y$23, 2, FALSE)))+('PlayerGrades+'!$Y$51*(VLOOKUP(M496, 'PlayerGrades+'!$X$3:$Y$23, 2, FALSE)))+('PlayerGrades+'!$Y$52*(VLOOKUP(O496, 'PlayerGrades+'!$X$3:$Y$23, 2, FALSE)))+('PlayerGrades+'!$Y$53*(VLOOKUP(Q496, 'PlayerGrades+'!$X$3:$Y$23, 2, FALSE)))+('PlayerGrades+'!$Y$54*(VLOOKUP(S496, 'PlayerGrades+'!$X$3:$Y$23, 2, FALSE)))+('PlayerGrades+'!$Y$55*(VLOOKUP(U496, 'PlayerGrades+'!$X$3:$Y$23, 2, FALSE)))</f>
        <v>#DIV/0!</v>
      </c>
      <c r="D496" s="961" t="str">
        <f t="shared" si="1"/>
        <v>#DIV/0!</v>
      </c>
      <c r="E496" s="961" t="str">
        <f>IF(D496&lt;'PlayerGrades+'!$AA$21,"F-",IF(D496&lt;'PlayerGrades+'!$AA$20,"F",IF(D496&lt;'PlayerGrades+'!$AA$19,"F+",IF(D496&lt;'PlayerGrades+'!$AA$18,"E-",IF(D496&lt;'PlayerGrades+'!$AA$17,"E",IF(D496&lt;'PlayerGrades+'!$AA$16,"E+",IF(D496&lt;'PlayerGrades+'!$AA$15,"D-",IF(D496&lt;'PlayerGrades+'!$AA$14,"D",IF(D496&lt;'PlayerGrades+'!$AA$13,"D+",IF(D496&lt;'PlayerGrades+'!$AA$12,"C-",IF(D496&lt;'PlayerGrades+'!$AA$11,"C",IF(D496&lt;'PlayerGrades+'!$AA$10,"C+",IF(D496&lt;'PlayerGrades+'!$AA$9,"B-",IF(D496&lt;'PlayerGrades+'!$AA$8,"B",IF(D496&lt;'PlayerGrades+'!$AA$7,"B+",IF(D496&lt;'PlayerGrades+'!$AA$6,"A-",IF(D496&lt;'PlayerGrades+'!$AA$5,"A",IF(D496&lt;'PlayerGrades+'!$AA$4,"A+",IF(D496&lt;'PlayerGrades+'!$AA$3,"S-",IF(D496&lt;'PlayerGrades+'!$AA$2,"S","S+"))))))))))))))))))))</f>
        <v>#DIV/0!</v>
      </c>
      <c r="F496" s="961" t="str">
        <f t="shared" si="2"/>
        <v>#DIV/0!</v>
      </c>
      <c r="G496" s="961" t="str">
        <f>IF(F496&lt;'PlayerGrades+'!$AB$21,"F-",IF(F496&lt;'PlayerGrades+'!$AB$20,"F",IF(F496&lt;'PlayerGrades+'!$AB$19,"F+",IF(F496&lt;'PlayerGrades+'!$AB$18,"E-",IF(F496&lt;'PlayerGrades+'!$AB$17,"E",IF(F496&lt;'PlayerGrades+'!$AB$16,"E+",IF(F496&lt;'PlayerGrades+'!$AB$15,"D-",IF(F496&lt;'PlayerGrades+'!$AB$14,"D",IF(F496&lt;'PlayerGrades+'!$AB$13,"D+",IF(F496&lt;'PlayerGrades+'!$AB$12,"C-",IF(F496&lt;'PlayerGrades+'!$AB$11,"C",IF(F496&lt;'PlayerGrades+'!$AB$10,"C+",IF(F496&lt;'PlayerGrades+'!$AB$9,"B-",IF(F496&lt;'PlayerGrades+'!$AB$8,"B",IF(F496&lt;'PlayerGrades+'!$AB$7,"B+",IF(F496&lt;'PlayerGrades+'!$AB$6,"A-",IF(F496&lt;'PlayerGrades+'!$AB$5,"A",IF(F496&lt;'PlayerGrades+'!$AB$4,"A+",IF(F496&lt;'PlayerGrades+'!$AB$3,"S-",IF(F496&lt;'PlayerGrades+'!$AB$2,"S","S+"))))))))))))))))))))</f>
        <v>#DIV/0!</v>
      </c>
      <c r="H496" s="961" t="str">
        <f t="shared" si="3"/>
        <v>#DIV/0!</v>
      </c>
      <c r="I496" s="961" t="str">
        <f>IF(H496&lt;'PlayerGrades+'!$AC$21,"F-",IF(H496&lt;'PlayerGrades+'!$AC$20,"F",IF(H496&lt;'PlayerGrades+'!$AC$19,"F+",IF(H496&lt;'PlayerGrades+'!$AC$18,"E-",IF(H496&lt;'PlayerGrades+'!$AC$17,"E",IF(H496&lt;'PlayerGrades+'!$AC$16,"E+",IF(H496&lt;'PlayerGrades+'!$AC$15,"D-",IF(H496&lt;'PlayerGrades+'!$AC$14,"D",IF(H496&lt;'PlayerGrades+'!$AC$13,"D+",IF(H496&lt;'PlayerGrades+'!$AC$12,"C-",IF(H496&lt;'PlayerGrades+'!$AC$11,"C",IF(H496&lt;'PlayerGrades+'!$AC$10,"C+",IF(H496&lt;'PlayerGrades+'!$AC$9,"B-",IF(H496&lt;'PlayerGrades+'!$AC$8,"B",IF(H496&lt;'PlayerGrades+'!$AC$7,"B+",IF(H496&lt;'PlayerGrades+'!$AC$6,"A-",IF(H496&lt;'PlayerGrades+'!$AC$5,"A",IF(H496&lt;'PlayerGrades+'!$AC$4,"A+",IF(H496&lt;'PlayerGrades+'!$AC$3,"S-",IF(H496&lt;'PlayerGrades+'!$AC$2,"S","S+"))))))))))))))))))))</f>
        <v>#DIV/0!</v>
      </c>
      <c r="J496" s="961" t="str">
        <f t="shared" si="4"/>
        <v>#DIV/0!</v>
      </c>
      <c r="K496" s="961" t="str">
        <f>IF(J496&lt;'PlayerGrades+'!$AD$21,"F-",IF(J496&lt;'PlayerGrades+'!$AD$20,"F",IF(J496&lt;'PlayerGrades+'!$AD$19,"F+",IF(J496&lt;'PlayerGrades+'!$AD$18,"E-",IF(J496&lt;'PlayerGrades+'!$AD$17,"E",IF(J496&lt;'PlayerGrades+'!$AD$16,"E+",IF(J496&lt;'PlayerGrades+'!$AD$15,"D-",IF(J496&lt;'PlayerGrades+'!$AD$14,"D",IF(J496&lt;'PlayerGrades+'!$AD$13,"D+",IF(J496&lt;'PlayerGrades+'!$AD$12,"C-",IF(J496&lt;'PlayerGrades+'!$AD$11,"C",IF(J496&lt;'PlayerGrades+'!$AD$10,"C+",IF(J496&lt;'PlayerGrades+'!$AD$9,"B-",IF(J496&lt;'PlayerGrades+'!$AD$8,"B",IF(J496&lt;'PlayerGrades+'!$AD$7,"B+",IF(J496&lt;'PlayerGrades+'!$AD$6,"A-",IF(J496&lt;'PlayerGrades+'!$AD$5,"A",IF(J496&lt;'PlayerGrades+'!$AD$4,"A+",IF(J496&lt;'PlayerGrades+'!$AD$3,"S-",IF(J496&lt;'PlayerGrades+'!$AD$2,"S","S+"))))))))))))))))))))</f>
        <v>#DIV/0!</v>
      </c>
      <c r="L496" s="1176" t="str">
        <f t="shared" si="5"/>
        <v>#DIV/0!</v>
      </c>
      <c r="M496" s="992" t="str">
        <f>IF(L496&lt;'PlayerGrades+'!$AE$21,"F-",IF(L496&lt;'PlayerGrades+'!$AE$20,"F",IF(L496&lt;'PlayerGrades+'!$AE$19,"F+",IF(L496&lt;'PlayerGrades+'!$AE$18,"E-",IF(L496&lt;'PlayerGrades+'!$AE$17,"E",IF(L496&lt;'PlayerGrades+'!$AE$16,"E+",IF(L496&lt;'PlayerGrades+'!$AE$15,"D-",IF(L496&lt;'PlayerGrades+'!$AE$14,"D",IF(L496&lt;'PlayerGrades+'!$AE$13,"D+",IF(L496&lt;'PlayerGrades+'!$AE$12,"C-",IF(L496&lt;'PlayerGrades+'!$AE$11,"C",IF(L496&lt;'PlayerGrades+'!$AE$10,"C+",IF(L496&lt;'PlayerGrades+'!$AE$9,"B-",IF(L496&lt;'PlayerGrades+'!$AE$8,"B",IF(L496&lt;'PlayerGrades+'!$AE$7,"B+",IF(L496&lt;'PlayerGrades+'!$AE$6,"A-",IF(L496&lt;'PlayerGrades+'!$AE$5,"A",IF(L496&lt;'PlayerGrades+'!$AE$4,"A+",IF(L496&lt;'PlayerGrades+'!$AE$3,"S-",IF(L496&lt;'PlayerGrades+'!$AE$2,"S","S+"))))))))))))))))))))</f>
        <v>#DIV/0!</v>
      </c>
      <c r="N496" s="961" t="str">
        <f t="shared" si="6"/>
        <v>#DIV/0!</v>
      </c>
      <c r="O496" s="961" t="str">
        <f>IF(N496&lt;'PlayerGrades+'!$AF$21,"F-",IF(N496&lt;'PlayerGrades+'!$AF$20,"F",IF(N496&lt;'PlayerGrades+'!$AF$19,"F+",IF(N496&lt;'PlayerGrades+'!$AF$18,"E-",IF(N496&lt;'PlayerGrades+'!$AF$17,"E",IF(N496&lt;'PlayerGrades+'!$AF$16,"E+",IF(N496&lt;'PlayerGrades+'!$AF$15,"D-",IF(N496&lt;'PlayerGrades+'!$AF$14,"D",IF(N496&lt;'PlayerGrades+'!$AF$13,"D+",IF(N496&lt;'PlayerGrades+'!$AF$12,"C-",IF(N496&lt;'PlayerGrades+'!$AF$11,"C",IF(N496&lt;'PlayerGrades+'!$AF$10,"C+",IF(N496&lt;'PlayerGrades+'!$AF$9,"B-",IF(N496&lt;'PlayerGrades+'!$AF$8,"B",IF(N496&lt;'PlayerGrades+'!$AF$7,"B+",IF(N496&lt;'PlayerGrades+'!$AF$6,"A-",IF(N496&lt;'PlayerGrades+'!$AF$5,"A",IF(N496&lt;'PlayerGrades+'!$AF$4,"A+",IF(N496&lt;'PlayerGrades+'!$AF$3,"S-",IF(N496&lt;'PlayerGrades+'!$AF$2,"S","S+"))))))))))))))))))))</f>
        <v>#DIV/0!</v>
      </c>
      <c r="P496" s="961" t="str">
        <f t="shared" si="7"/>
        <v>#DIV/0!</v>
      </c>
      <c r="Q496" s="961" t="str">
        <f>IF(P496&lt;'PlayerGrades+'!$AG$21,"F-",IF(P496&lt;'PlayerGrades+'!$AG$20,"F",IF(P496&lt;'PlayerGrades+'!$AG$19,"F+",IF(P496&lt;'PlayerGrades+'!$AG$18,"E-",IF(P496&lt;'PlayerGrades+'!$AG$17,"E",IF(P496&lt;'PlayerGrades+'!$AG$16,"E+",IF(P496&lt;'PlayerGrades+'!$AG$15,"D-",IF(P496&lt;'PlayerGrades+'!$AG$14,"D",IF(P496&lt;'PlayerGrades+'!$AG$13,"D+",IF(P496&lt;'PlayerGrades+'!$AG$12,"C-",IF(P496&lt;'PlayerGrades+'!$AG$11,"C",IF(P496&lt;'PlayerGrades+'!$AG$10,"C+",IF(P496&lt;'PlayerGrades+'!$AG$9,"B-",IF(P496&lt;'PlayerGrades+'!$AG$8,"B",IF(P496&lt;'PlayerGrades+'!$AG$7,"B+",IF(P496&lt;'PlayerGrades+'!$AG$6,"A-",IF(P496&lt;'PlayerGrades+'!$AG$5,"A",IF(P496&lt;'PlayerGrades+'!$AG$4,"A+",IF(P496&lt;'PlayerGrades+'!$AG$3,"S-",IF(P496&lt;'PlayerGrades+'!$AG$2,"S","S+"))))))))))))))))))))</f>
        <v>#DIV/0!</v>
      </c>
      <c r="R496" s="961" t="str">
        <f t="shared" si="8"/>
        <v>#DIV/0!</v>
      </c>
      <c r="S496" s="961" t="str">
        <f>IF(R496&lt;'PlayerGrades+'!$AH$21,"F-",IF(R496&lt;'PlayerGrades+'!$AH$20,"F",IF(R496&lt;'PlayerGrades+'!$AH$19,"F+",IF(R496&lt;'PlayerGrades+'!$AH$18,"E-",IF(R496&lt;'PlayerGrades+'!$AH$17,"E",IF(R496&lt;'PlayerGrades+'!$AH$16,"E+",IF(R496&lt;'PlayerGrades+'!$AH$15,"D-",IF(R496&lt;'PlayerGrades+'!$AH$14,"D",IF(R496&lt;'PlayerGrades+'!$AH$13,"D+",IF(R496&lt;'PlayerGrades+'!$AH$12,"C-",IF(R496&lt;'PlayerGrades+'!$AH$11,"C",IF(R496&lt;'PlayerGrades+'!$AH$10,"C+",IF(R496&lt;'PlayerGrades+'!$AH$9,"B-",IF(R496&lt;'PlayerGrades+'!$AH$8,"B",IF(R496&lt;'PlayerGrades+'!$AH$7,"B+",IF(R496&lt;'PlayerGrades+'!$AH$6,"A-",IF(R496&lt;'PlayerGrades+'!$AH$5,"A",IF(R496&lt;'PlayerGrades+'!$AH$4,"A+",IF(R496&lt;'PlayerGrades+'!$AH$3,"S-",IF(R496&lt;'PlayerGrades+'!$AH$2,"S","S+"))))))))))))))))))))</f>
        <v>#DIV/0!</v>
      </c>
      <c r="T496" s="961">
        <f t="shared" si="9"/>
        <v>0</v>
      </c>
      <c r="U496" s="961" t="str">
        <f>IF(T496&lt;'PlayerGrades+'!$AI$21,"F-",IF(T496&lt;'PlayerGrades+'!$AI$20,"F",IF(T496&lt;'PlayerGrades+'!$AI$19,"F+",IF(T496&lt;'PlayerGrades+'!$AI$18,"E-",IF(T496&lt;'PlayerGrades+'!$AI$17,"E",IF(T496&lt;'PlayerGrades+'!$AI$16,"E+",IF(T496&lt;'PlayerGrades+'!$AI$15,"D-",IF(T496&lt;'PlayerGrades+'!$AI$14,"D",IF(T496&lt;'PlayerGrades+'!$AI$13,"D+",IF(T496&lt;'PlayerGrades+'!$AI$12,"C-",IF(T496&lt;'PlayerGrades+'!$AI$11,"C",IF(T496&lt;'PlayerGrades+'!$AI$10,"C+",IF(T496&lt;'PlayerGrades+'!$AI$9,"B-",IF(T496&lt;'PlayerGrades+'!$AI$8,"B",IF(T496&lt;'PlayerGrades+'!$AI$7,"B+",IF(T496&lt;'PlayerGrades+'!$AI$6,"A-",IF(T496&lt;'PlayerGrades+'!$AI$5,"A",IF(T496&lt;'PlayerGrades+'!$AI$4,"A+",IF(T496&lt;'PlayerGrades+'!$AI$3,"S-",IF(T496&lt;'PlayerGrades+'!$AI$2,"S","S+"))))))))))))))))))))</f>
        <v>F-</v>
      </c>
      <c r="AC496" s="1392"/>
    </row>
    <row r="497">
      <c r="A497" s="1393"/>
      <c r="B497" s="611" t="str">
        <f>IF(C497&lt;'PlayerGrades+'!$Y$44,"F-",IF(C497&lt;'PlayerGrades+'!$Y$43,"F",IF(C497&lt;'PlayerGrades+'!$Y$42,"F+",IF(C497&lt;'PlayerGrades+'!$Y$41,"E-",IF(C497&lt;'PlayerGrades+'!$Y$40,"E",IF(C497&lt;'PlayerGrades+'!$Y$39,"E+",IF(C497&lt;'PlayerGrades+'!$Y$38,"D-",IF(C497&lt;'PlayerGrades+'!$Y$37,"D",IF(C497&lt;'PlayerGrades+'!$Y$36,"D+",IF(C497&lt;'PlayerGrades+'!$Y$35,"C-",IF(C497&lt;'PlayerGrades+'!$Y$34,"C",IF(C497&lt;'PlayerGrades+'!$Y$33,"C+",IF(C497&lt;'PlayerGrades+'!$Y$32,"B-",IF(C497&lt;'PlayerGrades+'!$Y$31,"B",IF(C497&lt;'PlayerGrades+'!$Y$30,"B+",IF(C497&lt;'PlayerGrades+'!$Y$29,"A-",IF(C497&lt;'PlayerGrades+'!$Y$28,"A",IF(C497&lt;'PlayerGrades+'!$Y$27,"A+",IF(C497&lt;'PlayerGrades+'!$Y$26,"S-",IF(C497&lt;'PlayerGrades+'!$Y$25,"S","S+"))))))))))))))))))))</f>
        <v>#DIV/0!</v>
      </c>
      <c r="C497" s="1378" t="str">
        <f>('PlayerGrades+'!$Y$47*(VLOOKUP(E497, 'PlayerGrades+'!$X$3:$Y$23, 2, FALSE)))+('PlayerGrades+'!$Y$48*(VLOOKUP(G497, 'PlayerGrades+'!$X$3:$Y$23, 2, FALSE)))+('PlayerGrades+'!$Y$49*(VLOOKUP(I497, 'PlayerGrades+'!$X$3:$Y$23, 2, FALSE)))+('PlayerGrades+'!$Y$50*(VLOOKUP(K497, 'PlayerGrades+'!$X$3:$Y$23, 2, FALSE)))+('PlayerGrades+'!$Y$51*(VLOOKUP(M497, 'PlayerGrades+'!$X$3:$Y$23, 2, FALSE)))+('PlayerGrades+'!$Y$52*(VLOOKUP(O497, 'PlayerGrades+'!$X$3:$Y$23, 2, FALSE)))+('PlayerGrades+'!$Y$53*(VLOOKUP(Q497, 'PlayerGrades+'!$X$3:$Y$23, 2, FALSE)))+('PlayerGrades+'!$Y$54*(VLOOKUP(S497, 'PlayerGrades+'!$X$3:$Y$23, 2, FALSE)))+('PlayerGrades+'!$Y$55*(VLOOKUP(U497, 'PlayerGrades+'!$X$3:$Y$23, 2, FALSE)))</f>
        <v>#DIV/0!</v>
      </c>
      <c r="D497" s="961" t="str">
        <f t="shared" si="1"/>
        <v>#DIV/0!</v>
      </c>
      <c r="E497" s="961" t="str">
        <f>IF(D497&lt;'PlayerGrades+'!$AA$21,"F-",IF(D497&lt;'PlayerGrades+'!$AA$20,"F",IF(D497&lt;'PlayerGrades+'!$AA$19,"F+",IF(D497&lt;'PlayerGrades+'!$AA$18,"E-",IF(D497&lt;'PlayerGrades+'!$AA$17,"E",IF(D497&lt;'PlayerGrades+'!$AA$16,"E+",IF(D497&lt;'PlayerGrades+'!$AA$15,"D-",IF(D497&lt;'PlayerGrades+'!$AA$14,"D",IF(D497&lt;'PlayerGrades+'!$AA$13,"D+",IF(D497&lt;'PlayerGrades+'!$AA$12,"C-",IF(D497&lt;'PlayerGrades+'!$AA$11,"C",IF(D497&lt;'PlayerGrades+'!$AA$10,"C+",IF(D497&lt;'PlayerGrades+'!$AA$9,"B-",IF(D497&lt;'PlayerGrades+'!$AA$8,"B",IF(D497&lt;'PlayerGrades+'!$AA$7,"B+",IF(D497&lt;'PlayerGrades+'!$AA$6,"A-",IF(D497&lt;'PlayerGrades+'!$AA$5,"A",IF(D497&lt;'PlayerGrades+'!$AA$4,"A+",IF(D497&lt;'PlayerGrades+'!$AA$3,"S-",IF(D497&lt;'PlayerGrades+'!$AA$2,"S","S+"))))))))))))))))))))</f>
        <v>#DIV/0!</v>
      </c>
      <c r="F497" s="961" t="str">
        <f t="shared" si="2"/>
        <v>#DIV/0!</v>
      </c>
      <c r="G497" s="961" t="str">
        <f>IF(F497&lt;'PlayerGrades+'!$AB$21,"F-",IF(F497&lt;'PlayerGrades+'!$AB$20,"F",IF(F497&lt;'PlayerGrades+'!$AB$19,"F+",IF(F497&lt;'PlayerGrades+'!$AB$18,"E-",IF(F497&lt;'PlayerGrades+'!$AB$17,"E",IF(F497&lt;'PlayerGrades+'!$AB$16,"E+",IF(F497&lt;'PlayerGrades+'!$AB$15,"D-",IF(F497&lt;'PlayerGrades+'!$AB$14,"D",IF(F497&lt;'PlayerGrades+'!$AB$13,"D+",IF(F497&lt;'PlayerGrades+'!$AB$12,"C-",IF(F497&lt;'PlayerGrades+'!$AB$11,"C",IF(F497&lt;'PlayerGrades+'!$AB$10,"C+",IF(F497&lt;'PlayerGrades+'!$AB$9,"B-",IF(F497&lt;'PlayerGrades+'!$AB$8,"B",IF(F497&lt;'PlayerGrades+'!$AB$7,"B+",IF(F497&lt;'PlayerGrades+'!$AB$6,"A-",IF(F497&lt;'PlayerGrades+'!$AB$5,"A",IF(F497&lt;'PlayerGrades+'!$AB$4,"A+",IF(F497&lt;'PlayerGrades+'!$AB$3,"S-",IF(F497&lt;'PlayerGrades+'!$AB$2,"S","S+"))))))))))))))))))))</f>
        <v>#DIV/0!</v>
      </c>
      <c r="H497" s="961" t="str">
        <f t="shared" si="3"/>
        <v>#DIV/0!</v>
      </c>
      <c r="I497" s="961" t="str">
        <f>IF(H497&lt;'PlayerGrades+'!$AC$21,"F-",IF(H497&lt;'PlayerGrades+'!$AC$20,"F",IF(H497&lt;'PlayerGrades+'!$AC$19,"F+",IF(H497&lt;'PlayerGrades+'!$AC$18,"E-",IF(H497&lt;'PlayerGrades+'!$AC$17,"E",IF(H497&lt;'PlayerGrades+'!$AC$16,"E+",IF(H497&lt;'PlayerGrades+'!$AC$15,"D-",IF(H497&lt;'PlayerGrades+'!$AC$14,"D",IF(H497&lt;'PlayerGrades+'!$AC$13,"D+",IF(H497&lt;'PlayerGrades+'!$AC$12,"C-",IF(H497&lt;'PlayerGrades+'!$AC$11,"C",IF(H497&lt;'PlayerGrades+'!$AC$10,"C+",IF(H497&lt;'PlayerGrades+'!$AC$9,"B-",IF(H497&lt;'PlayerGrades+'!$AC$8,"B",IF(H497&lt;'PlayerGrades+'!$AC$7,"B+",IF(H497&lt;'PlayerGrades+'!$AC$6,"A-",IF(H497&lt;'PlayerGrades+'!$AC$5,"A",IF(H497&lt;'PlayerGrades+'!$AC$4,"A+",IF(H497&lt;'PlayerGrades+'!$AC$3,"S-",IF(H497&lt;'PlayerGrades+'!$AC$2,"S","S+"))))))))))))))))))))</f>
        <v>#DIV/0!</v>
      </c>
      <c r="J497" s="961" t="str">
        <f t="shared" si="4"/>
        <v>#DIV/0!</v>
      </c>
      <c r="K497" s="961" t="str">
        <f>IF(J497&lt;'PlayerGrades+'!$AD$21,"F-",IF(J497&lt;'PlayerGrades+'!$AD$20,"F",IF(J497&lt;'PlayerGrades+'!$AD$19,"F+",IF(J497&lt;'PlayerGrades+'!$AD$18,"E-",IF(J497&lt;'PlayerGrades+'!$AD$17,"E",IF(J497&lt;'PlayerGrades+'!$AD$16,"E+",IF(J497&lt;'PlayerGrades+'!$AD$15,"D-",IF(J497&lt;'PlayerGrades+'!$AD$14,"D",IF(J497&lt;'PlayerGrades+'!$AD$13,"D+",IF(J497&lt;'PlayerGrades+'!$AD$12,"C-",IF(J497&lt;'PlayerGrades+'!$AD$11,"C",IF(J497&lt;'PlayerGrades+'!$AD$10,"C+",IF(J497&lt;'PlayerGrades+'!$AD$9,"B-",IF(J497&lt;'PlayerGrades+'!$AD$8,"B",IF(J497&lt;'PlayerGrades+'!$AD$7,"B+",IF(J497&lt;'PlayerGrades+'!$AD$6,"A-",IF(J497&lt;'PlayerGrades+'!$AD$5,"A",IF(J497&lt;'PlayerGrades+'!$AD$4,"A+",IF(J497&lt;'PlayerGrades+'!$AD$3,"S-",IF(J497&lt;'PlayerGrades+'!$AD$2,"S","S+"))))))))))))))))))))</f>
        <v>#DIV/0!</v>
      </c>
      <c r="L497" s="1176" t="str">
        <f t="shared" si="5"/>
        <v>#DIV/0!</v>
      </c>
      <c r="M497" s="992" t="str">
        <f>IF(L497&lt;'PlayerGrades+'!$AE$21,"F-",IF(L497&lt;'PlayerGrades+'!$AE$20,"F",IF(L497&lt;'PlayerGrades+'!$AE$19,"F+",IF(L497&lt;'PlayerGrades+'!$AE$18,"E-",IF(L497&lt;'PlayerGrades+'!$AE$17,"E",IF(L497&lt;'PlayerGrades+'!$AE$16,"E+",IF(L497&lt;'PlayerGrades+'!$AE$15,"D-",IF(L497&lt;'PlayerGrades+'!$AE$14,"D",IF(L497&lt;'PlayerGrades+'!$AE$13,"D+",IF(L497&lt;'PlayerGrades+'!$AE$12,"C-",IF(L497&lt;'PlayerGrades+'!$AE$11,"C",IF(L497&lt;'PlayerGrades+'!$AE$10,"C+",IF(L497&lt;'PlayerGrades+'!$AE$9,"B-",IF(L497&lt;'PlayerGrades+'!$AE$8,"B",IF(L497&lt;'PlayerGrades+'!$AE$7,"B+",IF(L497&lt;'PlayerGrades+'!$AE$6,"A-",IF(L497&lt;'PlayerGrades+'!$AE$5,"A",IF(L497&lt;'PlayerGrades+'!$AE$4,"A+",IF(L497&lt;'PlayerGrades+'!$AE$3,"S-",IF(L497&lt;'PlayerGrades+'!$AE$2,"S","S+"))))))))))))))))))))</f>
        <v>#DIV/0!</v>
      </c>
      <c r="N497" s="961" t="str">
        <f t="shared" si="6"/>
        <v>#DIV/0!</v>
      </c>
      <c r="O497" s="961" t="str">
        <f>IF(N497&lt;'PlayerGrades+'!$AF$21,"F-",IF(N497&lt;'PlayerGrades+'!$AF$20,"F",IF(N497&lt;'PlayerGrades+'!$AF$19,"F+",IF(N497&lt;'PlayerGrades+'!$AF$18,"E-",IF(N497&lt;'PlayerGrades+'!$AF$17,"E",IF(N497&lt;'PlayerGrades+'!$AF$16,"E+",IF(N497&lt;'PlayerGrades+'!$AF$15,"D-",IF(N497&lt;'PlayerGrades+'!$AF$14,"D",IF(N497&lt;'PlayerGrades+'!$AF$13,"D+",IF(N497&lt;'PlayerGrades+'!$AF$12,"C-",IF(N497&lt;'PlayerGrades+'!$AF$11,"C",IF(N497&lt;'PlayerGrades+'!$AF$10,"C+",IF(N497&lt;'PlayerGrades+'!$AF$9,"B-",IF(N497&lt;'PlayerGrades+'!$AF$8,"B",IF(N497&lt;'PlayerGrades+'!$AF$7,"B+",IF(N497&lt;'PlayerGrades+'!$AF$6,"A-",IF(N497&lt;'PlayerGrades+'!$AF$5,"A",IF(N497&lt;'PlayerGrades+'!$AF$4,"A+",IF(N497&lt;'PlayerGrades+'!$AF$3,"S-",IF(N497&lt;'PlayerGrades+'!$AF$2,"S","S+"))))))))))))))))))))</f>
        <v>#DIV/0!</v>
      </c>
      <c r="P497" s="961" t="str">
        <f t="shared" si="7"/>
        <v>#DIV/0!</v>
      </c>
      <c r="Q497" s="961" t="str">
        <f>IF(P497&lt;'PlayerGrades+'!$AG$21,"F-",IF(P497&lt;'PlayerGrades+'!$AG$20,"F",IF(P497&lt;'PlayerGrades+'!$AG$19,"F+",IF(P497&lt;'PlayerGrades+'!$AG$18,"E-",IF(P497&lt;'PlayerGrades+'!$AG$17,"E",IF(P497&lt;'PlayerGrades+'!$AG$16,"E+",IF(P497&lt;'PlayerGrades+'!$AG$15,"D-",IF(P497&lt;'PlayerGrades+'!$AG$14,"D",IF(P497&lt;'PlayerGrades+'!$AG$13,"D+",IF(P497&lt;'PlayerGrades+'!$AG$12,"C-",IF(P497&lt;'PlayerGrades+'!$AG$11,"C",IF(P497&lt;'PlayerGrades+'!$AG$10,"C+",IF(P497&lt;'PlayerGrades+'!$AG$9,"B-",IF(P497&lt;'PlayerGrades+'!$AG$8,"B",IF(P497&lt;'PlayerGrades+'!$AG$7,"B+",IF(P497&lt;'PlayerGrades+'!$AG$6,"A-",IF(P497&lt;'PlayerGrades+'!$AG$5,"A",IF(P497&lt;'PlayerGrades+'!$AG$4,"A+",IF(P497&lt;'PlayerGrades+'!$AG$3,"S-",IF(P497&lt;'PlayerGrades+'!$AG$2,"S","S+"))))))))))))))))))))</f>
        <v>#DIV/0!</v>
      </c>
      <c r="R497" s="961" t="str">
        <f t="shared" si="8"/>
        <v>#DIV/0!</v>
      </c>
      <c r="S497" s="961" t="str">
        <f>IF(R497&lt;'PlayerGrades+'!$AH$21,"F-",IF(R497&lt;'PlayerGrades+'!$AH$20,"F",IF(R497&lt;'PlayerGrades+'!$AH$19,"F+",IF(R497&lt;'PlayerGrades+'!$AH$18,"E-",IF(R497&lt;'PlayerGrades+'!$AH$17,"E",IF(R497&lt;'PlayerGrades+'!$AH$16,"E+",IF(R497&lt;'PlayerGrades+'!$AH$15,"D-",IF(R497&lt;'PlayerGrades+'!$AH$14,"D",IF(R497&lt;'PlayerGrades+'!$AH$13,"D+",IF(R497&lt;'PlayerGrades+'!$AH$12,"C-",IF(R497&lt;'PlayerGrades+'!$AH$11,"C",IF(R497&lt;'PlayerGrades+'!$AH$10,"C+",IF(R497&lt;'PlayerGrades+'!$AH$9,"B-",IF(R497&lt;'PlayerGrades+'!$AH$8,"B",IF(R497&lt;'PlayerGrades+'!$AH$7,"B+",IF(R497&lt;'PlayerGrades+'!$AH$6,"A-",IF(R497&lt;'PlayerGrades+'!$AH$5,"A",IF(R497&lt;'PlayerGrades+'!$AH$4,"A+",IF(R497&lt;'PlayerGrades+'!$AH$3,"S-",IF(R497&lt;'PlayerGrades+'!$AH$2,"S","S+"))))))))))))))))))))</f>
        <v>#DIV/0!</v>
      </c>
      <c r="T497" s="961">
        <f t="shared" si="9"/>
        <v>0</v>
      </c>
      <c r="U497" s="961" t="str">
        <f>IF(T497&lt;'PlayerGrades+'!$AI$21,"F-",IF(T497&lt;'PlayerGrades+'!$AI$20,"F",IF(T497&lt;'PlayerGrades+'!$AI$19,"F+",IF(T497&lt;'PlayerGrades+'!$AI$18,"E-",IF(T497&lt;'PlayerGrades+'!$AI$17,"E",IF(T497&lt;'PlayerGrades+'!$AI$16,"E+",IF(T497&lt;'PlayerGrades+'!$AI$15,"D-",IF(T497&lt;'PlayerGrades+'!$AI$14,"D",IF(T497&lt;'PlayerGrades+'!$AI$13,"D+",IF(T497&lt;'PlayerGrades+'!$AI$12,"C-",IF(T497&lt;'PlayerGrades+'!$AI$11,"C",IF(T497&lt;'PlayerGrades+'!$AI$10,"C+",IF(T497&lt;'PlayerGrades+'!$AI$9,"B-",IF(T497&lt;'PlayerGrades+'!$AI$8,"B",IF(T497&lt;'PlayerGrades+'!$AI$7,"B+",IF(T497&lt;'PlayerGrades+'!$AI$6,"A-",IF(T497&lt;'PlayerGrades+'!$AI$5,"A",IF(T497&lt;'PlayerGrades+'!$AI$4,"A+",IF(T497&lt;'PlayerGrades+'!$AI$3,"S-",IF(T497&lt;'PlayerGrades+'!$AI$2,"S","S+"))))))))))))))))))))</f>
        <v>F-</v>
      </c>
      <c r="V497" s="1386"/>
      <c r="W497" s="1386"/>
      <c r="X497" s="1386"/>
      <c r="Y497" s="1386"/>
      <c r="Z497" s="1386"/>
      <c r="AA497" s="1386"/>
      <c r="AB497" s="1386"/>
      <c r="AC497" s="1397"/>
      <c r="AD497" s="1386"/>
      <c r="AE497" s="1386"/>
      <c r="AF497" s="1386"/>
      <c r="AG497" s="1386"/>
      <c r="AH497" s="1386"/>
      <c r="AI497" s="1386"/>
      <c r="AJ497" s="1386"/>
      <c r="AK497" s="1386"/>
      <c r="AL497" s="1386"/>
      <c r="AM497" s="1386"/>
      <c r="AN497" s="1386"/>
      <c r="AO497" s="1386"/>
      <c r="AP497" s="1386"/>
      <c r="AQ497" s="1386"/>
      <c r="AR497" s="1386"/>
      <c r="AS497" s="1386"/>
      <c r="AT497" s="1386"/>
      <c r="AU497" s="1386"/>
      <c r="AV497" s="1386"/>
      <c r="AW497" s="1386"/>
      <c r="AX497" s="1386"/>
      <c r="AY497" s="1386"/>
      <c r="AZ497" s="1386"/>
    </row>
    <row r="498">
      <c r="A498" s="1389"/>
      <c r="B498" s="611" t="str">
        <f>IF(C498&lt;'PlayerGrades+'!$Y$44,"F-",IF(C498&lt;'PlayerGrades+'!$Y$43,"F",IF(C498&lt;'PlayerGrades+'!$Y$42,"F+",IF(C498&lt;'PlayerGrades+'!$Y$41,"E-",IF(C498&lt;'PlayerGrades+'!$Y$40,"E",IF(C498&lt;'PlayerGrades+'!$Y$39,"E+",IF(C498&lt;'PlayerGrades+'!$Y$38,"D-",IF(C498&lt;'PlayerGrades+'!$Y$37,"D",IF(C498&lt;'PlayerGrades+'!$Y$36,"D+",IF(C498&lt;'PlayerGrades+'!$Y$35,"C-",IF(C498&lt;'PlayerGrades+'!$Y$34,"C",IF(C498&lt;'PlayerGrades+'!$Y$33,"C+",IF(C498&lt;'PlayerGrades+'!$Y$32,"B-",IF(C498&lt;'PlayerGrades+'!$Y$31,"B",IF(C498&lt;'PlayerGrades+'!$Y$30,"B+",IF(C498&lt;'PlayerGrades+'!$Y$29,"A-",IF(C498&lt;'PlayerGrades+'!$Y$28,"A",IF(C498&lt;'PlayerGrades+'!$Y$27,"A+",IF(C498&lt;'PlayerGrades+'!$Y$26,"S-",IF(C498&lt;'PlayerGrades+'!$Y$25,"S","S+"))))))))))))))))))))</f>
        <v>#DIV/0!</v>
      </c>
      <c r="C498" s="1378" t="str">
        <f>('PlayerGrades+'!$Y$47*(VLOOKUP(E498, 'PlayerGrades+'!$X$3:$Y$23, 2, FALSE)))+('PlayerGrades+'!$Y$48*(VLOOKUP(G498, 'PlayerGrades+'!$X$3:$Y$23, 2, FALSE)))+('PlayerGrades+'!$Y$49*(VLOOKUP(I498, 'PlayerGrades+'!$X$3:$Y$23, 2, FALSE)))+('PlayerGrades+'!$Y$50*(VLOOKUP(K498, 'PlayerGrades+'!$X$3:$Y$23, 2, FALSE)))+('PlayerGrades+'!$Y$51*(VLOOKUP(M498, 'PlayerGrades+'!$X$3:$Y$23, 2, FALSE)))+('PlayerGrades+'!$Y$52*(VLOOKUP(O498, 'PlayerGrades+'!$X$3:$Y$23, 2, FALSE)))+('PlayerGrades+'!$Y$53*(VLOOKUP(Q498, 'PlayerGrades+'!$X$3:$Y$23, 2, FALSE)))+('PlayerGrades+'!$Y$54*(VLOOKUP(S498, 'PlayerGrades+'!$X$3:$Y$23, 2, FALSE)))+('PlayerGrades+'!$Y$55*(VLOOKUP(U498, 'PlayerGrades+'!$X$3:$Y$23, 2, FALSE)))</f>
        <v>#DIV/0!</v>
      </c>
      <c r="D498" s="961" t="str">
        <f t="shared" si="1"/>
        <v>#DIV/0!</v>
      </c>
      <c r="E498" s="961" t="str">
        <f>IF(D498&lt;'PlayerGrades+'!$AA$21,"F-",IF(D498&lt;'PlayerGrades+'!$AA$20,"F",IF(D498&lt;'PlayerGrades+'!$AA$19,"F+",IF(D498&lt;'PlayerGrades+'!$AA$18,"E-",IF(D498&lt;'PlayerGrades+'!$AA$17,"E",IF(D498&lt;'PlayerGrades+'!$AA$16,"E+",IF(D498&lt;'PlayerGrades+'!$AA$15,"D-",IF(D498&lt;'PlayerGrades+'!$AA$14,"D",IF(D498&lt;'PlayerGrades+'!$AA$13,"D+",IF(D498&lt;'PlayerGrades+'!$AA$12,"C-",IF(D498&lt;'PlayerGrades+'!$AA$11,"C",IF(D498&lt;'PlayerGrades+'!$AA$10,"C+",IF(D498&lt;'PlayerGrades+'!$AA$9,"B-",IF(D498&lt;'PlayerGrades+'!$AA$8,"B",IF(D498&lt;'PlayerGrades+'!$AA$7,"B+",IF(D498&lt;'PlayerGrades+'!$AA$6,"A-",IF(D498&lt;'PlayerGrades+'!$AA$5,"A",IF(D498&lt;'PlayerGrades+'!$AA$4,"A+",IF(D498&lt;'PlayerGrades+'!$AA$3,"S-",IF(D498&lt;'PlayerGrades+'!$AA$2,"S","S+"))))))))))))))))))))</f>
        <v>#DIV/0!</v>
      </c>
      <c r="F498" s="961" t="str">
        <f t="shared" si="2"/>
        <v>#DIV/0!</v>
      </c>
      <c r="G498" s="961" t="str">
        <f>IF(F498&lt;'PlayerGrades+'!$AB$21,"F-",IF(F498&lt;'PlayerGrades+'!$AB$20,"F",IF(F498&lt;'PlayerGrades+'!$AB$19,"F+",IF(F498&lt;'PlayerGrades+'!$AB$18,"E-",IF(F498&lt;'PlayerGrades+'!$AB$17,"E",IF(F498&lt;'PlayerGrades+'!$AB$16,"E+",IF(F498&lt;'PlayerGrades+'!$AB$15,"D-",IF(F498&lt;'PlayerGrades+'!$AB$14,"D",IF(F498&lt;'PlayerGrades+'!$AB$13,"D+",IF(F498&lt;'PlayerGrades+'!$AB$12,"C-",IF(F498&lt;'PlayerGrades+'!$AB$11,"C",IF(F498&lt;'PlayerGrades+'!$AB$10,"C+",IF(F498&lt;'PlayerGrades+'!$AB$9,"B-",IF(F498&lt;'PlayerGrades+'!$AB$8,"B",IF(F498&lt;'PlayerGrades+'!$AB$7,"B+",IF(F498&lt;'PlayerGrades+'!$AB$6,"A-",IF(F498&lt;'PlayerGrades+'!$AB$5,"A",IF(F498&lt;'PlayerGrades+'!$AB$4,"A+",IF(F498&lt;'PlayerGrades+'!$AB$3,"S-",IF(F498&lt;'PlayerGrades+'!$AB$2,"S","S+"))))))))))))))))))))</f>
        <v>#DIV/0!</v>
      </c>
      <c r="H498" s="961" t="str">
        <f t="shared" si="3"/>
        <v>#DIV/0!</v>
      </c>
      <c r="I498" s="961" t="str">
        <f>IF(H498&lt;'PlayerGrades+'!$AC$21,"F-",IF(H498&lt;'PlayerGrades+'!$AC$20,"F",IF(H498&lt;'PlayerGrades+'!$AC$19,"F+",IF(H498&lt;'PlayerGrades+'!$AC$18,"E-",IF(H498&lt;'PlayerGrades+'!$AC$17,"E",IF(H498&lt;'PlayerGrades+'!$AC$16,"E+",IF(H498&lt;'PlayerGrades+'!$AC$15,"D-",IF(H498&lt;'PlayerGrades+'!$AC$14,"D",IF(H498&lt;'PlayerGrades+'!$AC$13,"D+",IF(H498&lt;'PlayerGrades+'!$AC$12,"C-",IF(H498&lt;'PlayerGrades+'!$AC$11,"C",IF(H498&lt;'PlayerGrades+'!$AC$10,"C+",IF(H498&lt;'PlayerGrades+'!$AC$9,"B-",IF(H498&lt;'PlayerGrades+'!$AC$8,"B",IF(H498&lt;'PlayerGrades+'!$AC$7,"B+",IF(H498&lt;'PlayerGrades+'!$AC$6,"A-",IF(H498&lt;'PlayerGrades+'!$AC$5,"A",IF(H498&lt;'PlayerGrades+'!$AC$4,"A+",IF(H498&lt;'PlayerGrades+'!$AC$3,"S-",IF(H498&lt;'PlayerGrades+'!$AC$2,"S","S+"))))))))))))))))))))</f>
        <v>#DIV/0!</v>
      </c>
      <c r="J498" s="961" t="str">
        <f t="shared" si="4"/>
        <v>#DIV/0!</v>
      </c>
      <c r="K498" s="961" t="str">
        <f>IF(J498&lt;'PlayerGrades+'!$AD$21,"F-",IF(J498&lt;'PlayerGrades+'!$AD$20,"F",IF(J498&lt;'PlayerGrades+'!$AD$19,"F+",IF(J498&lt;'PlayerGrades+'!$AD$18,"E-",IF(J498&lt;'PlayerGrades+'!$AD$17,"E",IF(J498&lt;'PlayerGrades+'!$AD$16,"E+",IF(J498&lt;'PlayerGrades+'!$AD$15,"D-",IF(J498&lt;'PlayerGrades+'!$AD$14,"D",IF(J498&lt;'PlayerGrades+'!$AD$13,"D+",IF(J498&lt;'PlayerGrades+'!$AD$12,"C-",IF(J498&lt;'PlayerGrades+'!$AD$11,"C",IF(J498&lt;'PlayerGrades+'!$AD$10,"C+",IF(J498&lt;'PlayerGrades+'!$AD$9,"B-",IF(J498&lt;'PlayerGrades+'!$AD$8,"B",IF(J498&lt;'PlayerGrades+'!$AD$7,"B+",IF(J498&lt;'PlayerGrades+'!$AD$6,"A-",IF(J498&lt;'PlayerGrades+'!$AD$5,"A",IF(J498&lt;'PlayerGrades+'!$AD$4,"A+",IF(J498&lt;'PlayerGrades+'!$AD$3,"S-",IF(J498&lt;'PlayerGrades+'!$AD$2,"S","S+"))))))))))))))))))))</f>
        <v>#DIV/0!</v>
      </c>
      <c r="L498" s="1176" t="str">
        <f t="shared" si="5"/>
        <v>#DIV/0!</v>
      </c>
      <c r="M498" s="992" t="str">
        <f>IF(L498&lt;'PlayerGrades+'!$AE$21,"F-",IF(L498&lt;'PlayerGrades+'!$AE$20,"F",IF(L498&lt;'PlayerGrades+'!$AE$19,"F+",IF(L498&lt;'PlayerGrades+'!$AE$18,"E-",IF(L498&lt;'PlayerGrades+'!$AE$17,"E",IF(L498&lt;'PlayerGrades+'!$AE$16,"E+",IF(L498&lt;'PlayerGrades+'!$AE$15,"D-",IF(L498&lt;'PlayerGrades+'!$AE$14,"D",IF(L498&lt;'PlayerGrades+'!$AE$13,"D+",IF(L498&lt;'PlayerGrades+'!$AE$12,"C-",IF(L498&lt;'PlayerGrades+'!$AE$11,"C",IF(L498&lt;'PlayerGrades+'!$AE$10,"C+",IF(L498&lt;'PlayerGrades+'!$AE$9,"B-",IF(L498&lt;'PlayerGrades+'!$AE$8,"B",IF(L498&lt;'PlayerGrades+'!$AE$7,"B+",IF(L498&lt;'PlayerGrades+'!$AE$6,"A-",IF(L498&lt;'PlayerGrades+'!$AE$5,"A",IF(L498&lt;'PlayerGrades+'!$AE$4,"A+",IF(L498&lt;'PlayerGrades+'!$AE$3,"S-",IF(L498&lt;'PlayerGrades+'!$AE$2,"S","S+"))))))))))))))))))))</f>
        <v>#DIV/0!</v>
      </c>
      <c r="N498" s="961" t="str">
        <f t="shared" si="6"/>
        <v>#DIV/0!</v>
      </c>
      <c r="O498" s="961" t="str">
        <f>IF(N498&lt;'PlayerGrades+'!$AF$21,"F-",IF(N498&lt;'PlayerGrades+'!$AF$20,"F",IF(N498&lt;'PlayerGrades+'!$AF$19,"F+",IF(N498&lt;'PlayerGrades+'!$AF$18,"E-",IF(N498&lt;'PlayerGrades+'!$AF$17,"E",IF(N498&lt;'PlayerGrades+'!$AF$16,"E+",IF(N498&lt;'PlayerGrades+'!$AF$15,"D-",IF(N498&lt;'PlayerGrades+'!$AF$14,"D",IF(N498&lt;'PlayerGrades+'!$AF$13,"D+",IF(N498&lt;'PlayerGrades+'!$AF$12,"C-",IF(N498&lt;'PlayerGrades+'!$AF$11,"C",IF(N498&lt;'PlayerGrades+'!$AF$10,"C+",IF(N498&lt;'PlayerGrades+'!$AF$9,"B-",IF(N498&lt;'PlayerGrades+'!$AF$8,"B",IF(N498&lt;'PlayerGrades+'!$AF$7,"B+",IF(N498&lt;'PlayerGrades+'!$AF$6,"A-",IF(N498&lt;'PlayerGrades+'!$AF$5,"A",IF(N498&lt;'PlayerGrades+'!$AF$4,"A+",IF(N498&lt;'PlayerGrades+'!$AF$3,"S-",IF(N498&lt;'PlayerGrades+'!$AF$2,"S","S+"))))))))))))))))))))</f>
        <v>#DIV/0!</v>
      </c>
      <c r="P498" s="961" t="str">
        <f t="shared" si="7"/>
        <v>#DIV/0!</v>
      </c>
      <c r="Q498" s="961" t="str">
        <f>IF(P498&lt;'PlayerGrades+'!$AG$21,"F-",IF(P498&lt;'PlayerGrades+'!$AG$20,"F",IF(P498&lt;'PlayerGrades+'!$AG$19,"F+",IF(P498&lt;'PlayerGrades+'!$AG$18,"E-",IF(P498&lt;'PlayerGrades+'!$AG$17,"E",IF(P498&lt;'PlayerGrades+'!$AG$16,"E+",IF(P498&lt;'PlayerGrades+'!$AG$15,"D-",IF(P498&lt;'PlayerGrades+'!$AG$14,"D",IF(P498&lt;'PlayerGrades+'!$AG$13,"D+",IF(P498&lt;'PlayerGrades+'!$AG$12,"C-",IF(P498&lt;'PlayerGrades+'!$AG$11,"C",IF(P498&lt;'PlayerGrades+'!$AG$10,"C+",IF(P498&lt;'PlayerGrades+'!$AG$9,"B-",IF(P498&lt;'PlayerGrades+'!$AG$8,"B",IF(P498&lt;'PlayerGrades+'!$AG$7,"B+",IF(P498&lt;'PlayerGrades+'!$AG$6,"A-",IF(P498&lt;'PlayerGrades+'!$AG$5,"A",IF(P498&lt;'PlayerGrades+'!$AG$4,"A+",IF(P498&lt;'PlayerGrades+'!$AG$3,"S-",IF(P498&lt;'PlayerGrades+'!$AG$2,"S","S+"))))))))))))))))))))</f>
        <v>#DIV/0!</v>
      </c>
      <c r="R498" s="961" t="str">
        <f t="shared" si="8"/>
        <v>#DIV/0!</v>
      </c>
      <c r="S498" s="961" t="str">
        <f>IF(R498&lt;'PlayerGrades+'!$AH$21,"F-",IF(R498&lt;'PlayerGrades+'!$AH$20,"F",IF(R498&lt;'PlayerGrades+'!$AH$19,"F+",IF(R498&lt;'PlayerGrades+'!$AH$18,"E-",IF(R498&lt;'PlayerGrades+'!$AH$17,"E",IF(R498&lt;'PlayerGrades+'!$AH$16,"E+",IF(R498&lt;'PlayerGrades+'!$AH$15,"D-",IF(R498&lt;'PlayerGrades+'!$AH$14,"D",IF(R498&lt;'PlayerGrades+'!$AH$13,"D+",IF(R498&lt;'PlayerGrades+'!$AH$12,"C-",IF(R498&lt;'PlayerGrades+'!$AH$11,"C",IF(R498&lt;'PlayerGrades+'!$AH$10,"C+",IF(R498&lt;'PlayerGrades+'!$AH$9,"B-",IF(R498&lt;'PlayerGrades+'!$AH$8,"B",IF(R498&lt;'PlayerGrades+'!$AH$7,"B+",IF(R498&lt;'PlayerGrades+'!$AH$6,"A-",IF(R498&lt;'PlayerGrades+'!$AH$5,"A",IF(R498&lt;'PlayerGrades+'!$AH$4,"A+",IF(R498&lt;'PlayerGrades+'!$AH$3,"S-",IF(R498&lt;'PlayerGrades+'!$AH$2,"S","S+"))))))))))))))))))))</f>
        <v>#DIV/0!</v>
      </c>
      <c r="T498" s="961">
        <f t="shared" si="9"/>
        <v>0</v>
      </c>
      <c r="U498" s="961" t="str">
        <f>IF(T498&lt;'PlayerGrades+'!$AI$21,"F-",IF(T498&lt;'PlayerGrades+'!$AI$20,"F",IF(T498&lt;'PlayerGrades+'!$AI$19,"F+",IF(T498&lt;'PlayerGrades+'!$AI$18,"E-",IF(T498&lt;'PlayerGrades+'!$AI$17,"E",IF(T498&lt;'PlayerGrades+'!$AI$16,"E+",IF(T498&lt;'PlayerGrades+'!$AI$15,"D-",IF(T498&lt;'PlayerGrades+'!$AI$14,"D",IF(T498&lt;'PlayerGrades+'!$AI$13,"D+",IF(T498&lt;'PlayerGrades+'!$AI$12,"C-",IF(T498&lt;'PlayerGrades+'!$AI$11,"C",IF(T498&lt;'PlayerGrades+'!$AI$10,"C+",IF(T498&lt;'PlayerGrades+'!$AI$9,"B-",IF(T498&lt;'PlayerGrades+'!$AI$8,"B",IF(T498&lt;'PlayerGrades+'!$AI$7,"B+",IF(T498&lt;'PlayerGrades+'!$AI$6,"A-",IF(T498&lt;'PlayerGrades+'!$AI$5,"A",IF(T498&lt;'PlayerGrades+'!$AI$4,"A+",IF(T498&lt;'PlayerGrades+'!$AI$3,"S-",IF(T498&lt;'PlayerGrades+'!$AI$2,"S","S+"))))))))))))))))))))</f>
        <v>F-</v>
      </c>
      <c r="V498" s="1379"/>
      <c r="W498" s="1379"/>
      <c r="X498" s="1379"/>
      <c r="Y498" s="1379"/>
      <c r="Z498" s="1379"/>
      <c r="AA498" s="1379"/>
      <c r="AB498" s="1379"/>
      <c r="AC498" s="1390"/>
      <c r="AD498" s="1379"/>
      <c r="AE498" s="1379"/>
      <c r="AF498" s="1379"/>
      <c r="AG498" s="1379"/>
      <c r="AH498" s="1379"/>
      <c r="AI498" s="1379"/>
      <c r="AJ498" s="1379"/>
      <c r="AK498" s="1379"/>
      <c r="AL498" s="1379"/>
      <c r="AM498" s="1379"/>
      <c r="AN498" s="1379"/>
      <c r="AO498" s="1379"/>
      <c r="AP498" s="1379"/>
      <c r="AQ498" s="1379"/>
      <c r="AR498" s="1379"/>
      <c r="AS498" s="1379"/>
      <c r="AT498" s="1379"/>
      <c r="AU498" s="1379"/>
      <c r="AV498" s="1379"/>
      <c r="AW498" s="1379"/>
      <c r="AX498" s="1379"/>
      <c r="AY498" s="1379"/>
      <c r="AZ498" s="1379"/>
    </row>
    <row r="499">
      <c r="A499" s="1391"/>
      <c r="B499" s="611" t="str">
        <f>IF(C499&lt;'PlayerGrades+'!$Y$44,"F-",IF(C499&lt;'PlayerGrades+'!$Y$43,"F",IF(C499&lt;'PlayerGrades+'!$Y$42,"F+",IF(C499&lt;'PlayerGrades+'!$Y$41,"E-",IF(C499&lt;'PlayerGrades+'!$Y$40,"E",IF(C499&lt;'PlayerGrades+'!$Y$39,"E+",IF(C499&lt;'PlayerGrades+'!$Y$38,"D-",IF(C499&lt;'PlayerGrades+'!$Y$37,"D",IF(C499&lt;'PlayerGrades+'!$Y$36,"D+",IF(C499&lt;'PlayerGrades+'!$Y$35,"C-",IF(C499&lt;'PlayerGrades+'!$Y$34,"C",IF(C499&lt;'PlayerGrades+'!$Y$33,"C+",IF(C499&lt;'PlayerGrades+'!$Y$32,"B-",IF(C499&lt;'PlayerGrades+'!$Y$31,"B",IF(C499&lt;'PlayerGrades+'!$Y$30,"B+",IF(C499&lt;'PlayerGrades+'!$Y$29,"A-",IF(C499&lt;'PlayerGrades+'!$Y$28,"A",IF(C499&lt;'PlayerGrades+'!$Y$27,"A+",IF(C499&lt;'PlayerGrades+'!$Y$26,"S-",IF(C499&lt;'PlayerGrades+'!$Y$25,"S","S+"))))))))))))))))))))</f>
        <v>#DIV/0!</v>
      </c>
      <c r="C499" s="1378" t="str">
        <f>('PlayerGrades+'!$Y$47*(VLOOKUP(E499, 'PlayerGrades+'!$X$3:$Y$23, 2, FALSE)))+('PlayerGrades+'!$Y$48*(VLOOKUP(G499, 'PlayerGrades+'!$X$3:$Y$23, 2, FALSE)))+('PlayerGrades+'!$Y$49*(VLOOKUP(I499, 'PlayerGrades+'!$X$3:$Y$23, 2, FALSE)))+('PlayerGrades+'!$Y$50*(VLOOKUP(K499, 'PlayerGrades+'!$X$3:$Y$23, 2, FALSE)))+('PlayerGrades+'!$Y$51*(VLOOKUP(M499, 'PlayerGrades+'!$X$3:$Y$23, 2, FALSE)))+('PlayerGrades+'!$Y$52*(VLOOKUP(O499, 'PlayerGrades+'!$X$3:$Y$23, 2, FALSE)))+('PlayerGrades+'!$Y$53*(VLOOKUP(Q499, 'PlayerGrades+'!$X$3:$Y$23, 2, FALSE)))+('PlayerGrades+'!$Y$54*(VLOOKUP(S499, 'PlayerGrades+'!$X$3:$Y$23, 2, FALSE)))+('PlayerGrades+'!$Y$55*(VLOOKUP(U499, 'PlayerGrades+'!$X$3:$Y$23, 2, FALSE)))</f>
        <v>#DIV/0!</v>
      </c>
      <c r="D499" s="961" t="str">
        <f t="shared" si="1"/>
        <v>#DIV/0!</v>
      </c>
      <c r="E499" s="961" t="str">
        <f>IF(D499&lt;'PlayerGrades+'!$AA$21,"F-",IF(D499&lt;'PlayerGrades+'!$AA$20,"F",IF(D499&lt;'PlayerGrades+'!$AA$19,"F+",IF(D499&lt;'PlayerGrades+'!$AA$18,"E-",IF(D499&lt;'PlayerGrades+'!$AA$17,"E",IF(D499&lt;'PlayerGrades+'!$AA$16,"E+",IF(D499&lt;'PlayerGrades+'!$AA$15,"D-",IF(D499&lt;'PlayerGrades+'!$AA$14,"D",IF(D499&lt;'PlayerGrades+'!$AA$13,"D+",IF(D499&lt;'PlayerGrades+'!$AA$12,"C-",IF(D499&lt;'PlayerGrades+'!$AA$11,"C",IF(D499&lt;'PlayerGrades+'!$AA$10,"C+",IF(D499&lt;'PlayerGrades+'!$AA$9,"B-",IF(D499&lt;'PlayerGrades+'!$AA$8,"B",IF(D499&lt;'PlayerGrades+'!$AA$7,"B+",IF(D499&lt;'PlayerGrades+'!$AA$6,"A-",IF(D499&lt;'PlayerGrades+'!$AA$5,"A",IF(D499&lt;'PlayerGrades+'!$AA$4,"A+",IF(D499&lt;'PlayerGrades+'!$AA$3,"S-",IF(D499&lt;'PlayerGrades+'!$AA$2,"S","S+"))))))))))))))))))))</f>
        <v>#DIV/0!</v>
      </c>
      <c r="F499" s="961" t="str">
        <f t="shared" si="2"/>
        <v>#DIV/0!</v>
      </c>
      <c r="G499" s="961" t="str">
        <f>IF(F499&lt;'PlayerGrades+'!$AB$21,"F-",IF(F499&lt;'PlayerGrades+'!$AB$20,"F",IF(F499&lt;'PlayerGrades+'!$AB$19,"F+",IF(F499&lt;'PlayerGrades+'!$AB$18,"E-",IF(F499&lt;'PlayerGrades+'!$AB$17,"E",IF(F499&lt;'PlayerGrades+'!$AB$16,"E+",IF(F499&lt;'PlayerGrades+'!$AB$15,"D-",IF(F499&lt;'PlayerGrades+'!$AB$14,"D",IF(F499&lt;'PlayerGrades+'!$AB$13,"D+",IF(F499&lt;'PlayerGrades+'!$AB$12,"C-",IF(F499&lt;'PlayerGrades+'!$AB$11,"C",IF(F499&lt;'PlayerGrades+'!$AB$10,"C+",IF(F499&lt;'PlayerGrades+'!$AB$9,"B-",IF(F499&lt;'PlayerGrades+'!$AB$8,"B",IF(F499&lt;'PlayerGrades+'!$AB$7,"B+",IF(F499&lt;'PlayerGrades+'!$AB$6,"A-",IF(F499&lt;'PlayerGrades+'!$AB$5,"A",IF(F499&lt;'PlayerGrades+'!$AB$4,"A+",IF(F499&lt;'PlayerGrades+'!$AB$3,"S-",IF(F499&lt;'PlayerGrades+'!$AB$2,"S","S+"))))))))))))))))))))</f>
        <v>#DIV/0!</v>
      </c>
      <c r="H499" s="961" t="str">
        <f t="shared" si="3"/>
        <v>#DIV/0!</v>
      </c>
      <c r="I499" s="961" t="str">
        <f>IF(H499&lt;'PlayerGrades+'!$AC$21,"F-",IF(H499&lt;'PlayerGrades+'!$AC$20,"F",IF(H499&lt;'PlayerGrades+'!$AC$19,"F+",IF(H499&lt;'PlayerGrades+'!$AC$18,"E-",IF(H499&lt;'PlayerGrades+'!$AC$17,"E",IF(H499&lt;'PlayerGrades+'!$AC$16,"E+",IF(H499&lt;'PlayerGrades+'!$AC$15,"D-",IF(H499&lt;'PlayerGrades+'!$AC$14,"D",IF(H499&lt;'PlayerGrades+'!$AC$13,"D+",IF(H499&lt;'PlayerGrades+'!$AC$12,"C-",IF(H499&lt;'PlayerGrades+'!$AC$11,"C",IF(H499&lt;'PlayerGrades+'!$AC$10,"C+",IF(H499&lt;'PlayerGrades+'!$AC$9,"B-",IF(H499&lt;'PlayerGrades+'!$AC$8,"B",IF(H499&lt;'PlayerGrades+'!$AC$7,"B+",IF(H499&lt;'PlayerGrades+'!$AC$6,"A-",IF(H499&lt;'PlayerGrades+'!$AC$5,"A",IF(H499&lt;'PlayerGrades+'!$AC$4,"A+",IF(H499&lt;'PlayerGrades+'!$AC$3,"S-",IF(H499&lt;'PlayerGrades+'!$AC$2,"S","S+"))))))))))))))))))))</f>
        <v>#DIV/0!</v>
      </c>
      <c r="J499" s="961" t="str">
        <f t="shared" si="4"/>
        <v>#DIV/0!</v>
      </c>
      <c r="K499" s="961" t="str">
        <f>IF(J499&lt;'PlayerGrades+'!$AD$21,"F-",IF(J499&lt;'PlayerGrades+'!$AD$20,"F",IF(J499&lt;'PlayerGrades+'!$AD$19,"F+",IF(J499&lt;'PlayerGrades+'!$AD$18,"E-",IF(J499&lt;'PlayerGrades+'!$AD$17,"E",IF(J499&lt;'PlayerGrades+'!$AD$16,"E+",IF(J499&lt;'PlayerGrades+'!$AD$15,"D-",IF(J499&lt;'PlayerGrades+'!$AD$14,"D",IF(J499&lt;'PlayerGrades+'!$AD$13,"D+",IF(J499&lt;'PlayerGrades+'!$AD$12,"C-",IF(J499&lt;'PlayerGrades+'!$AD$11,"C",IF(J499&lt;'PlayerGrades+'!$AD$10,"C+",IF(J499&lt;'PlayerGrades+'!$AD$9,"B-",IF(J499&lt;'PlayerGrades+'!$AD$8,"B",IF(J499&lt;'PlayerGrades+'!$AD$7,"B+",IF(J499&lt;'PlayerGrades+'!$AD$6,"A-",IF(J499&lt;'PlayerGrades+'!$AD$5,"A",IF(J499&lt;'PlayerGrades+'!$AD$4,"A+",IF(J499&lt;'PlayerGrades+'!$AD$3,"S-",IF(J499&lt;'PlayerGrades+'!$AD$2,"S","S+"))))))))))))))))))))</f>
        <v>#DIV/0!</v>
      </c>
      <c r="L499" s="1176" t="str">
        <f t="shared" si="5"/>
        <v>#DIV/0!</v>
      </c>
      <c r="M499" s="992" t="str">
        <f>IF(L499&lt;'PlayerGrades+'!$AE$21,"F-",IF(L499&lt;'PlayerGrades+'!$AE$20,"F",IF(L499&lt;'PlayerGrades+'!$AE$19,"F+",IF(L499&lt;'PlayerGrades+'!$AE$18,"E-",IF(L499&lt;'PlayerGrades+'!$AE$17,"E",IF(L499&lt;'PlayerGrades+'!$AE$16,"E+",IF(L499&lt;'PlayerGrades+'!$AE$15,"D-",IF(L499&lt;'PlayerGrades+'!$AE$14,"D",IF(L499&lt;'PlayerGrades+'!$AE$13,"D+",IF(L499&lt;'PlayerGrades+'!$AE$12,"C-",IF(L499&lt;'PlayerGrades+'!$AE$11,"C",IF(L499&lt;'PlayerGrades+'!$AE$10,"C+",IF(L499&lt;'PlayerGrades+'!$AE$9,"B-",IF(L499&lt;'PlayerGrades+'!$AE$8,"B",IF(L499&lt;'PlayerGrades+'!$AE$7,"B+",IF(L499&lt;'PlayerGrades+'!$AE$6,"A-",IF(L499&lt;'PlayerGrades+'!$AE$5,"A",IF(L499&lt;'PlayerGrades+'!$AE$4,"A+",IF(L499&lt;'PlayerGrades+'!$AE$3,"S-",IF(L499&lt;'PlayerGrades+'!$AE$2,"S","S+"))))))))))))))))))))</f>
        <v>#DIV/0!</v>
      </c>
      <c r="N499" s="961" t="str">
        <f t="shared" si="6"/>
        <v>#DIV/0!</v>
      </c>
      <c r="O499" s="961" t="str">
        <f>IF(N499&lt;'PlayerGrades+'!$AF$21,"F-",IF(N499&lt;'PlayerGrades+'!$AF$20,"F",IF(N499&lt;'PlayerGrades+'!$AF$19,"F+",IF(N499&lt;'PlayerGrades+'!$AF$18,"E-",IF(N499&lt;'PlayerGrades+'!$AF$17,"E",IF(N499&lt;'PlayerGrades+'!$AF$16,"E+",IF(N499&lt;'PlayerGrades+'!$AF$15,"D-",IF(N499&lt;'PlayerGrades+'!$AF$14,"D",IF(N499&lt;'PlayerGrades+'!$AF$13,"D+",IF(N499&lt;'PlayerGrades+'!$AF$12,"C-",IF(N499&lt;'PlayerGrades+'!$AF$11,"C",IF(N499&lt;'PlayerGrades+'!$AF$10,"C+",IF(N499&lt;'PlayerGrades+'!$AF$9,"B-",IF(N499&lt;'PlayerGrades+'!$AF$8,"B",IF(N499&lt;'PlayerGrades+'!$AF$7,"B+",IF(N499&lt;'PlayerGrades+'!$AF$6,"A-",IF(N499&lt;'PlayerGrades+'!$AF$5,"A",IF(N499&lt;'PlayerGrades+'!$AF$4,"A+",IF(N499&lt;'PlayerGrades+'!$AF$3,"S-",IF(N499&lt;'PlayerGrades+'!$AF$2,"S","S+"))))))))))))))))))))</f>
        <v>#DIV/0!</v>
      </c>
      <c r="P499" s="961" t="str">
        <f t="shared" si="7"/>
        <v>#DIV/0!</v>
      </c>
      <c r="Q499" s="961" t="str">
        <f>IF(P499&lt;'PlayerGrades+'!$AG$21,"F-",IF(P499&lt;'PlayerGrades+'!$AG$20,"F",IF(P499&lt;'PlayerGrades+'!$AG$19,"F+",IF(P499&lt;'PlayerGrades+'!$AG$18,"E-",IF(P499&lt;'PlayerGrades+'!$AG$17,"E",IF(P499&lt;'PlayerGrades+'!$AG$16,"E+",IF(P499&lt;'PlayerGrades+'!$AG$15,"D-",IF(P499&lt;'PlayerGrades+'!$AG$14,"D",IF(P499&lt;'PlayerGrades+'!$AG$13,"D+",IF(P499&lt;'PlayerGrades+'!$AG$12,"C-",IF(P499&lt;'PlayerGrades+'!$AG$11,"C",IF(P499&lt;'PlayerGrades+'!$AG$10,"C+",IF(P499&lt;'PlayerGrades+'!$AG$9,"B-",IF(P499&lt;'PlayerGrades+'!$AG$8,"B",IF(P499&lt;'PlayerGrades+'!$AG$7,"B+",IF(P499&lt;'PlayerGrades+'!$AG$6,"A-",IF(P499&lt;'PlayerGrades+'!$AG$5,"A",IF(P499&lt;'PlayerGrades+'!$AG$4,"A+",IF(P499&lt;'PlayerGrades+'!$AG$3,"S-",IF(P499&lt;'PlayerGrades+'!$AG$2,"S","S+"))))))))))))))))))))</f>
        <v>#DIV/0!</v>
      </c>
      <c r="R499" s="961" t="str">
        <f t="shared" si="8"/>
        <v>#DIV/0!</v>
      </c>
      <c r="S499" s="961" t="str">
        <f>IF(R499&lt;'PlayerGrades+'!$AH$21,"F-",IF(R499&lt;'PlayerGrades+'!$AH$20,"F",IF(R499&lt;'PlayerGrades+'!$AH$19,"F+",IF(R499&lt;'PlayerGrades+'!$AH$18,"E-",IF(R499&lt;'PlayerGrades+'!$AH$17,"E",IF(R499&lt;'PlayerGrades+'!$AH$16,"E+",IF(R499&lt;'PlayerGrades+'!$AH$15,"D-",IF(R499&lt;'PlayerGrades+'!$AH$14,"D",IF(R499&lt;'PlayerGrades+'!$AH$13,"D+",IF(R499&lt;'PlayerGrades+'!$AH$12,"C-",IF(R499&lt;'PlayerGrades+'!$AH$11,"C",IF(R499&lt;'PlayerGrades+'!$AH$10,"C+",IF(R499&lt;'PlayerGrades+'!$AH$9,"B-",IF(R499&lt;'PlayerGrades+'!$AH$8,"B",IF(R499&lt;'PlayerGrades+'!$AH$7,"B+",IF(R499&lt;'PlayerGrades+'!$AH$6,"A-",IF(R499&lt;'PlayerGrades+'!$AH$5,"A",IF(R499&lt;'PlayerGrades+'!$AH$4,"A+",IF(R499&lt;'PlayerGrades+'!$AH$3,"S-",IF(R499&lt;'PlayerGrades+'!$AH$2,"S","S+"))))))))))))))))))))</f>
        <v>#DIV/0!</v>
      </c>
      <c r="T499" s="961">
        <f t="shared" si="9"/>
        <v>0</v>
      </c>
      <c r="U499" s="961" t="str">
        <f>IF(T499&lt;'PlayerGrades+'!$AI$21,"F-",IF(T499&lt;'PlayerGrades+'!$AI$20,"F",IF(T499&lt;'PlayerGrades+'!$AI$19,"F+",IF(T499&lt;'PlayerGrades+'!$AI$18,"E-",IF(T499&lt;'PlayerGrades+'!$AI$17,"E",IF(T499&lt;'PlayerGrades+'!$AI$16,"E+",IF(T499&lt;'PlayerGrades+'!$AI$15,"D-",IF(T499&lt;'PlayerGrades+'!$AI$14,"D",IF(T499&lt;'PlayerGrades+'!$AI$13,"D+",IF(T499&lt;'PlayerGrades+'!$AI$12,"C-",IF(T499&lt;'PlayerGrades+'!$AI$11,"C",IF(T499&lt;'PlayerGrades+'!$AI$10,"C+",IF(T499&lt;'PlayerGrades+'!$AI$9,"B-",IF(T499&lt;'PlayerGrades+'!$AI$8,"B",IF(T499&lt;'PlayerGrades+'!$AI$7,"B+",IF(T499&lt;'PlayerGrades+'!$AI$6,"A-",IF(T499&lt;'PlayerGrades+'!$AI$5,"A",IF(T499&lt;'PlayerGrades+'!$AI$4,"A+",IF(T499&lt;'PlayerGrades+'!$AI$3,"S-",IF(T499&lt;'PlayerGrades+'!$AI$2,"S","S+"))))))))))))))))))))</f>
        <v>F-</v>
      </c>
      <c r="AC499" s="1392"/>
    </row>
    <row r="500">
      <c r="A500" s="1391"/>
      <c r="B500" s="611" t="str">
        <f>IF(C500&lt;'PlayerGrades+'!$Y$44,"F-",IF(C500&lt;'PlayerGrades+'!$Y$43,"F",IF(C500&lt;'PlayerGrades+'!$Y$42,"F+",IF(C500&lt;'PlayerGrades+'!$Y$41,"E-",IF(C500&lt;'PlayerGrades+'!$Y$40,"E",IF(C500&lt;'PlayerGrades+'!$Y$39,"E+",IF(C500&lt;'PlayerGrades+'!$Y$38,"D-",IF(C500&lt;'PlayerGrades+'!$Y$37,"D",IF(C500&lt;'PlayerGrades+'!$Y$36,"D+",IF(C500&lt;'PlayerGrades+'!$Y$35,"C-",IF(C500&lt;'PlayerGrades+'!$Y$34,"C",IF(C500&lt;'PlayerGrades+'!$Y$33,"C+",IF(C500&lt;'PlayerGrades+'!$Y$32,"B-",IF(C500&lt;'PlayerGrades+'!$Y$31,"B",IF(C500&lt;'PlayerGrades+'!$Y$30,"B+",IF(C500&lt;'PlayerGrades+'!$Y$29,"A-",IF(C500&lt;'PlayerGrades+'!$Y$28,"A",IF(C500&lt;'PlayerGrades+'!$Y$27,"A+",IF(C500&lt;'PlayerGrades+'!$Y$26,"S-",IF(C500&lt;'PlayerGrades+'!$Y$25,"S","S+"))))))))))))))))))))</f>
        <v>#DIV/0!</v>
      </c>
      <c r="C500" s="1378" t="str">
        <f>('PlayerGrades+'!$Y$47*(VLOOKUP(E500, 'PlayerGrades+'!$X$3:$Y$23, 2, FALSE)))+('PlayerGrades+'!$Y$48*(VLOOKUP(G500, 'PlayerGrades+'!$X$3:$Y$23, 2, FALSE)))+('PlayerGrades+'!$Y$49*(VLOOKUP(I500, 'PlayerGrades+'!$X$3:$Y$23, 2, FALSE)))+('PlayerGrades+'!$Y$50*(VLOOKUP(K500, 'PlayerGrades+'!$X$3:$Y$23, 2, FALSE)))+('PlayerGrades+'!$Y$51*(VLOOKUP(M500, 'PlayerGrades+'!$X$3:$Y$23, 2, FALSE)))+('PlayerGrades+'!$Y$52*(VLOOKUP(O500, 'PlayerGrades+'!$X$3:$Y$23, 2, FALSE)))+('PlayerGrades+'!$Y$53*(VLOOKUP(Q500, 'PlayerGrades+'!$X$3:$Y$23, 2, FALSE)))+('PlayerGrades+'!$Y$54*(VLOOKUP(S500, 'PlayerGrades+'!$X$3:$Y$23, 2, FALSE)))+('PlayerGrades+'!$Y$55*(VLOOKUP(U500, 'PlayerGrades+'!$X$3:$Y$23, 2, FALSE)))</f>
        <v>#DIV/0!</v>
      </c>
      <c r="D500" s="961" t="str">
        <f t="shared" si="1"/>
        <v>#DIV/0!</v>
      </c>
      <c r="E500" s="961" t="str">
        <f>IF(D500&lt;'PlayerGrades+'!$AA$21,"F-",IF(D500&lt;'PlayerGrades+'!$AA$20,"F",IF(D500&lt;'PlayerGrades+'!$AA$19,"F+",IF(D500&lt;'PlayerGrades+'!$AA$18,"E-",IF(D500&lt;'PlayerGrades+'!$AA$17,"E",IF(D500&lt;'PlayerGrades+'!$AA$16,"E+",IF(D500&lt;'PlayerGrades+'!$AA$15,"D-",IF(D500&lt;'PlayerGrades+'!$AA$14,"D",IF(D500&lt;'PlayerGrades+'!$AA$13,"D+",IF(D500&lt;'PlayerGrades+'!$AA$12,"C-",IF(D500&lt;'PlayerGrades+'!$AA$11,"C",IF(D500&lt;'PlayerGrades+'!$AA$10,"C+",IF(D500&lt;'PlayerGrades+'!$AA$9,"B-",IF(D500&lt;'PlayerGrades+'!$AA$8,"B",IF(D500&lt;'PlayerGrades+'!$AA$7,"B+",IF(D500&lt;'PlayerGrades+'!$AA$6,"A-",IF(D500&lt;'PlayerGrades+'!$AA$5,"A",IF(D500&lt;'PlayerGrades+'!$AA$4,"A+",IF(D500&lt;'PlayerGrades+'!$AA$3,"S-",IF(D500&lt;'PlayerGrades+'!$AA$2,"S","S+"))))))))))))))))))))</f>
        <v>#DIV/0!</v>
      </c>
      <c r="F500" s="961" t="str">
        <f t="shared" si="2"/>
        <v>#DIV/0!</v>
      </c>
      <c r="G500" s="961" t="str">
        <f>IF(F500&lt;'PlayerGrades+'!$AB$21,"F-",IF(F500&lt;'PlayerGrades+'!$AB$20,"F",IF(F500&lt;'PlayerGrades+'!$AB$19,"F+",IF(F500&lt;'PlayerGrades+'!$AB$18,"E-",IF(F500&lt;'PlayerGrades+'!$AB$17,"E",IF(F500&lt;'PlayerGrades+'!$AB$16,"E+",IF(F500&lt;'PlayerGrades+'!$AB$15,"D-",IF(F500&lt;'PlayerGrades+'!$AB$14,"D",IF(F500&lt;'PlayerGrades+'!$AB$13,"D+",IF(F500&lt;'PlayerGrades+'!$AB$12,"C-",IF(F500&lt;'PlayerGrades+'!$AB$11,"C",IF(F500&lt;'PlayerGrades+'!$AB$10,"C+",IF(F500&lt;'PlayerGrades+'!$AB$9,"B-",IF(F500&lt;'PlayerGrades+'!$AB$8,"B",IF(F500&lt;'PlayerGrades+'!$AB$7,"B+",IF(F500&lt;'PlayerGrades+'!$AB$6,"A-",IF(F500&lt;'PlayerGrades+'!$AB$5,"A",IF(F500&lt;'PlayerGrades+'!$AB$4,"A+",IF(F500&lt;'PlayerGrades+'!$AB$3,"S-",IF(F500&lt;'PlayerGrades+'!$AB$2,"S","S+"))))))))))))))))))))</f>
        <v>#DIV/0!</v>
      </c>
      <c r="H500" s="961" t="str">
        <f t="shared" si="3"/>
        <v>#DIV/0!</v>
      </c>
      <c r="I500" s="961" t="str">
        <f>IF(H500&lt;'PlayerGrades+'!$AC$21,"F-",IF(H500&lt;'PlayerGrades+'!$AC$20,"F",IF(H500&lt;'PlayerGrades+'!$AC$19,"F+",IF(H500&lt;'PlayerGrades+'!$AC$18,"E-",IF(H500&lt;'PlayerGrades+'!$AC$17,"E",IF(H500&lt;'PlayerGrades+'!$AC$16,"E+",IF(H500&lt;'PlayerGrades+'!$AC$15,"D-",IF(H500&lt;'PlayerGrades+'!$AC$14,"D",IF(H500&lt;'PlayerGrades+'!$AC$13,"D+",IF(H500&lt;'PlayerGrades+'!$AC$12,"C-",IF(H500&lt;'PlayerGrades+'!$AC$11,"C",IF(H500&lt;'PlayerGrades+'!$AC$10,"C+",IF(H500&lt;'PlayerGrades+'!$AC$9,"B-",IF(H500&lt;'PlayerGrades+'!$AC$8,"B",IF(H500&lt;'PlayerGrades+'!$AC$7,"B+",IF(H500&lt;'PlayerGrades+'!$AC$6,"A-",IF(H500&lt;'PlayerGrades+'!$AC$5,"A",IF(H500&lt;'PlayerGrades+'!$AC$4,"A+",IF(H500&lt;'PlayerGrades+'!$AC$3,"S-",IF(H500&lt;'PlayerGrades+'!$AC$2,"S","S+"))))))))))))))))))))</f>
        <v>#DIV/0!</v>
      </c>
      <c r="J500" s="961" t="str">
        <f t="shared" si="4"/>
        <v>#DIV/0!</v>
      </c>
      <c r="K500" s="961" t="str">
        <f>IF(J500&lt;'PlayerGrades+'!$AD$21,"F-",IF(J500&lt;'PlayerGrades+'!$AD$20,"F",IF(J500&lt;'PlayerGrades+'!$AD$19,"F+",IF(J500&lt;'PlayerGrades+'!$AD$18,"E-",IF(J500&lt;'PlayerGrades+'!$AD$17,"E",IF(J500&lt;'PlayerGrades+'!$AD$16,"E+",IF(J500&lt;'PlayerGrades+'!$AD$15,"D-",IF(J500&lt;'PlayerGrades+'!$AD$14,"D",IF(J500&lt;'PlayerGrades+'!$AD$13,"D+",IF(J500&lt;'PlayerGrades+'!$AD$12,"C-",IF(J500&lt;'PlayerGrades+'!$AD$11,"C",IF(J500&lt;'PlayerGrades+'!$AD$10,"C+",IF(J500&lt;'PlayerGrades+'!$AD$9,"B-",IF(J500&lt;'PlayerGrades+'!$AD$8,"B",IF(J500&lt;'PlayerGrades+'!$AD$7,"B+",IF(J500&lt;'PlayerGrades+'!$AD$6,"A-",IF(J500&lt;'PlayerGrades+'!$AD$5,"A",IF(J500&lt;'PlayerGrades+'!$AD$4,"A+",IF(J500&lt;'PlayerGrades+'!$AD$3,"S-",IF(J500&lt;'PlayerGrades+'!$AD$2,"S","S+"))))))))))))))))))))</f>
        <v>#DIV/0!</v>
      </c>
      <c r="L500" s="1176" t="str">
        <f t="shared" si="5"/>
        <v>#DIV/0!</v>
      </c>
      <c r="M500" s="992" t="str">
        <f>IF(L500&lt;'PlayerGrades+'!$AE$21,"F-",IF(L500&lt;'PlayerGrades+'!$AE$20,"F",IF(L500&lt;'PlayerGrades+'!$AE$19,"F+",IF(L500&lt;'PlayerGrades+'!$AE$18,"E-",IF(L500&lt;'PlayerGrades+'!$AE$17,"E",IF(L500&lt;'PlayerGrades+'!$AE$16,"E+",IF(L500&lt;'PlayerGrades+'!$AE$15,"D-",IF(L500&lt;'PlayerGrades+'!$AE$14,"D",IF(L500&lt;'PlayerGrades+'!$AE$13,"D+",IF(L500&lt;'PlayerGrades+'!$AE$12,"C-",IF(L500&lt;'PlayerGrades+'!$AE$11,"C",IF(L500&lt;'PlayerGrades+'!$AE$10,"C+",IF(L500&lt;'PlayerGrades+'!$AE$9,"B-",IF(L500&lt;'PlayerGrades+'!$AE$8,"B",IF(L500&lt;'PlayerGrades+'!$AE$7,"B+",IF(L500&lt;'PlayerGrades+'!$AE$6,"A-",IF(L500&lt;'PlayerGrades+'!$AE$5,"A",IF(L500&lt;'PlayerGrades+'!$AE$4,"A+",IF(L500&lt;'PlayerGrades+'!$AE$3,"S-",IF(L500&lt;'PlayerGrades+'!$AE$2,"S","S+"))))))))))))))))))))</f>
        <v>#DIV/0!</v>
      </c>
      <c r="N500" s="961" t="str">
        <f t="shared" si="6"/>
        <v>#DIV/0!</v>
      </c>
      <c r="O500" s="961" t="str">
        <f>IF(N500&lt;'PlayerGrades+'!$AF$21,"F-",IF(N500&lt;'PlayerGrades+'!$AF$20,"F",IF(N500&lt;'PlayerGrades+'!$AF$19,"F+",IF(N500&lt;'PlayerGrades+'!$AF$18,"E-",IF(N500&lt;'PlayerGrades+'!$AF$17,"E",IF(N500&lt;'PlayerGrades+'!$AF$16,"E+",IF(N500&lt;'PlayerGrades+'!$AF$15,"D-",IF(N500&lt;'PlayerGrades+'!$AF$14,"D",IF(N500&lt;'PlayerGrades+'!$AF$13,"D+",IF(N500&lt;'PlayerGrades+'!$AF$12,"C-",IF(N500&lt;'PlayerGrades+'!$AF$11,"C",IF(N500&lt;'PlayerGrades+'!$AF$10,"C+",IF(N500&lt;'PlayerGrades+'!$AF$9,"B-",IF(N500&lt;'PlayerGrades+'!$AF$8,"B",IF(N500&lt;'PlayerGrades+'!$AF$7,"B+",IF(N500&lt;'PlayerGrades+'!$AF$6,"A-",IF(N500&lt;'PlayerGrades+'!$AF$5,"A",IF(N500&lt;'PlayerGrades+'!$AF$4,"A+",IF(N500&lt;'PlayerGrades+'!$AF$3,"S-",IF(N500&lt;'PlayerGrades+'!$AF$2,"S","S+"))))))))))))))))))))</f>
        <v>#DIV/0!</v>
      </c>
      <c r="P500" s="961" t="str">
        <f t="shared" si="7"/>
        <v>#DIV/0!</v>
      </c>
      <c r="Q500" s="961" t="str">
        <f>IF(P500&lt;'PlayerGrades+'!$AG$21,"F-",IF(P500&lt;'PlayerGrades+'!$AG$20,"F",IF(P500&lt;'PlayerGrades+'!$AG$19,"F+",IF(P500&lt;'PlayerGrades+'!$AG$18,"E-",IF(P500&lt;'PlayerGrades+'!$AG$17,"E",IF(P500&lt;'PlayerGrades+'!$AG$16,"E+",IF(P500&lt;'PlayerGrades+'!$AG$15,"D-",IF(P500&lt;'PlayerGrades+'!$AG$14,"D",IF(P500&lt;'PlayerGrades+'!$AG$13,"D+",IF(P500&lt;'PlayerGrades+'!$AG$12,"C-",IF(P500&lt;'PlayerGrades+'!$AG$11,"C",IF(P500&lt;'PlayerGrades+'!$AG$10,"C+",IF(P500&lt;'PlayerGrades+'!$AG$9,"B-",IF(P500&lt;'PlayerGrades+'!$AG$8,"B",IF(P500&lt;'PlayerGrades+'!$AG$7,"B+",IF(P500&lt;'PlayerGrades+'!$AG$6,"A-",IF(P500&lt;'PlayerGrades+'!$AG$5,"A",IF(P500&lt;'PlayerGrades+'!$AG$4,"A+",IF(P500&lt;'PlayerGrades+'!$AG$3,"S-",IF(P500&lt;'PlayerGrades+'!$AG$2,"S","S+"))))))))))))))))))))</f>
        <v>#DIV/0!</v>
      </c>
      <c r="R500" s="961" t="str">
        <f t="shared" si="8"/>
        <v>#DIV/0!</v>
      </c>
      <c r="S500" s="961" t="str">
        <f>IF(R500&lt;'PlayerGrades+'!$AH$21,"F-",IF(R500&lt;'PlayerGrades+'!$AH$20,"F",IF(R500&lt;'PlayerGrades+'!$AH$19,"F+",IF(R500&lt;'PlayerGrades+'!$AH$18,"E-",IF(R500&lt;'PlayerGrades+'!$AH$17,"E",IF(R500&lt;'PlayerGrades+'!$AH$16,"E+",IF(R500&lt;'PlayerGrades+'!$AH$15,"D-",IF(R500&lt;'PlayerGrades+'!$AH$14,"D",IF(R500&lt;'PlayerGrades+'!$AH$13,"D+",IF(R500&lt;'PlayerGrades+'!$AH$12,"C-",IF(R500&lt;'PlayerGrades+'!$AH$11,"C",IF(R500&lt;'PlayerGrades+'!$AH$10,"C+",IF(R500&lt;'PlayerGrades+'!$AH$9,"B-",IF(R500&lt;'PlayerGrades+'!$AH$8,"B",IF(R500&lt;'PlayerGrades+'!$AH$7,"B+",IF(R500&lt;'PlayerGrades+'!$AH$6,"A-",IF(R500&lt;'PlayerGrades+'!$AH$5,"A",IF(R500&lt;'PlayerGrades+'!$AH$4,"A+",IF(R500&lt;'PlayerGrades+'!$AH$3,"S-",IF(R500&lt;'PlayerGrades+'!$AH$2,"S","S+"))))))))))))))))))))</f>
        <v>#DIV/0!</v>
      </c>
      <c r="T500" s="961">
        <f t="shared" si="9"/>
        <v>0</v>
      </c>
      <c r="U500" s="961" t="str">
        <f>IF(T500&lt;'PlayerGrades+'!$AI$21,"F-",IF(T500&lt;'PlayerGrades+'!$AI$20,"F",IF(T500&lt;'PlayerGrades+'!$AI$19,"F+",IF(T500&lt;'PlayerGrades+'!$AI$18,"E-",IF(T500&lt;'PlayerGrades+'!$AI$17,"E",IF(T500&lt;'PlayerGrades+'!$AI$16,"E+",IF(T500&lt;'PlayerGrades+'!$AI$15,"D-",IF(T500&lt;'PlayerGrades+'!$AI$14,"D",IF(T500&lt;'PlayerGrades+'!$AI$13,"D+",IF(T500&lt;'PlayerGrades+'!$AI$12,"C-",IF(T500&lt;'PlayerGrades+'!$AI$11,"C",IF(T500&lt;'PlayerGrades+'!$AI$10,"C+",IF(T500&lt;'PlayerGrades+'!$AI$9,"B-",IF(T500&lt;'PlayerGrades+'!$AI$8,"B",IF(T500&lt;'PlayerGrades+'!$AI$7,"B+",IF(T500&lt;'PlayerGrades+'!$AI$6,"A-",IF(T500&lt;'PlayerGrades+'!$AI$5,"A",IF(T500&lt;'PlayerGrades+'!$AI$4,"A+",IF(T500&lt;'PlayerGrades+'!$AI$3,"S-",IF(T500&lt;'PlayerGrades+'!$AI$2,"S","S+"))))))))))))))))))))</f>
        <v>F-</v>
      </c>
      <c r="AC500" s="1392"/>
    </row>
    <row r="501">
      <c r="A501" s="1391"/>
      <c r="B501" s="611" t="str">
        <f>IF(C501&lt;'PlayerGrades+'!$Y$44,"F-",IF(C501&lt;'PlayerGrades+'!$Y$43,"F",IF(C501&lt;'PlayerGrades+'!$Y$42,"F+",IF(C501&lt;'PlayerGrades+'!$Y$41,"E-",IF(C501&lt;'PlayerGrades+'!$Y$40,"E",IF(C501&lt;'PlayerGrades+'!$Y$39,"E+",IF(C501&lt;'PlayerGrades+'!$Y$38,"D-",IF(C501&lt;'PlayerGrades+'!$Y$37,"D",IF(C501&lt;'PlayerGrades+'!$Y$36,"D+",IF(C501&lt;'PlayerGrades+'!$Y$35,"C-",IF(C501&lt;'PlayerGrades+'!$Y$34,"C",IF(C501&lt;'PlayerGrades+'!$Y$33,"C+",IF(C501&lt;'PlayerGrades+'!$Y$32,"B-",IF(C501&lt;'PlayerGrades+'!$Y$31,"B",IF(C501&lt;'PlayerGrades+'!$Y$30,"B+",IF(C501&lt;'PlayerGrades+'!$Y$29,"A-",IF(C501&lt;'PlayerGrades+'!$Y$28,"A",IF(C501&lt;'PlayerGrades+'!$Y$27,"A+",IF(C501&lt;'PlayerGrades+'!$Y$26,"S-",IF(C501&lt;'PlayerGrades+'!$Y$25,"S","S+"))))))))))))))))))))</f>
        <v>#DIV/0!</v>
      </c>
      <c r="C501" s="1378" t="str">
        <f>('PlayerGrades+'!$Y$47*(VLOOKUP(E501, 'PlayerGrades+'!$X$3:$Y$23, 2, FALSE)))+('PlayerGrades+'!$Y$48*(VLOOKUP(G501, 'PlayerGrades+'!$X$3:$Y$23, 2, FALSE)))+('PlayerGrades+'!$Y$49*(VLOOKUP(I501, 'PlayerGrades+'!$X$3:$Y$23, 2, FALSE)))+('PlayerGrades+'!$Y$50*(VLOOKUP(K501, 'PlayerGrades+'!$X$3:$Y$23, 2, FALSE)))+('PlayerGrades+'!$Y$51*(VLOOKUP(M501, 'PlayerGrades+'!$X$3:$Y$23, 2, FALSE)))+('PlayerGrades+'!$Y$52*(VLOOKUP(O501, 'PlayerGrades+'!$X$3:$Y$23, 2, FALSE)))+('PlayerGrades+'!$Y$53*(VLOOKUP(Q501, 'PlayerGrades+'!$X$3:$Y$23, 2, FALSE)))+('PlayerGrades+'!$Y$54*(VLOOKUP(S501, 'PlayerGrades+'!$X$3:$Y$23, 2, FALSE)))+('PlayerGrades+'!$Y$55*(VLOOKUP(U501, 'PlayerGrades+'!$X$3:$Y$23, 2, FALSE)))</f>
        <v>#DIV/0!</v>
      </c>
      <c r="D501" s="961" t="str">
        <f t="shared" si="1"/>
        <v>#DIV/0!</v>
      </c>
      <c r="E501" s="961" t="str">
        <f>IF(D501&lt;'PlayerGrades+'!$AA$21,"F-",IF(D501&lt;'PlayerGrades+'!$AA$20,"F",IF(D501&lt;'PlayerGrades+'!$AA$19,"F+",IF(D501&lt;'PlayerGrades+'!$AA$18,"E-",IF(D501&lt;'PlayerGrades+'!$AA$17,"E",IF(D501&lt;'PlayerGrades+'!$AA$16,"E+",IF(D501&lt;'PlayerGrades+'!$AA$15,"D-",IF(D501&lt;'PlayerGrades+'!$AA$14,"D",IF(D501&lt;'PlayerGrades+'!$AA$13,"D+",IF(D501&lt;'PlayerGrades+'!$AA$12,"C-",IF(D501&lt;'PlayerGrades+'!$AA$11,"C",IF(D501&lt;'PlayerGrades+'!$AA$10,"C+",IF(D501&lt;'PlayerGrades+'!$AA$9,"B-",IF(D501&lt;'PlayerGrades+'!$AA$8,"B",IF(D501&lt;'PlayerGrades+'!$AA$7,"B+",IF(D501&lt;'PlayerGrades+'!$AA$6,"A-",IF(D501&lt;'PlayerGrades+'!$AA$5,"A",IF(D501&lt;'PlayerGrades+'!$AA$4,"A+",IF(D501&lt;'PlayerGrades+'!$AA$3,"S-",IF(D501&lt;'PlayerGrades+'!$AA$2,"S","S+"))))))))))))))))))))</f>
        <v>#DIV/0!</v>
      </c>
      <c r="F501" s="961" t="str">
        <f t="shared" si="2"/>
        <v>#DIV/0!</v>
      </c>
      <c r="G501" s="961" t="str">
        <f>IF(F501&lt;'PlayerGrades+'!$AB$21,"F-",IF(F501&lt;'PlayerGrades+'!$AB$20,"F",IF(F501&lt;'PlayerGrades+'!$AB$19,"F+",IF(F501&lt;'PlayerGrades+'!$AB$18,"E-",IF(F501&lt;'PlayerGrades+'!$AB$17,"E",IF(F501&lt;'PlayerGrades+'!$AB$16,"E+",IF(F501&lt;'PlayerGrades+'!$AB$15,"D-",IF(F501&lt;'PlayerGrades+'!$AB$14,"D",IF(F501&lt;'PlayerGrades+'!$AB$13,"D+",IF(F501&lt;'PlayerGrades+'!$AB$12,"C-",IF(F501&lt;'PlayerGrades+'!$AB$11,"C",IF(F501&lt;'PlayerGrades+'!$AB$10,"C+",IF(F501&lt;'PlayerGrades+'!$AB$9,"B-",IF(F501&lt;'PlayerGrades+'!$AB$8,"B",IF(F501&lt;'PlayerGrades+'!$AB$7,"B+",IF(F501&lt;'PlayerGrades+'!$AB$6,"A-",IF(F501&lt;'PlayerGrades+'!$AB$5,"A",IF(F501&lt;'PlayerGrades+'!$AB$4,"A+",IF(F501&lt;'PlayerGrades+'!$AB$3,"S-",IF(F501&lt;'PlayerGrades+'!$AB$2,"S","S+"))))))))))))))))))))</f>
        <v>#DIV/0!</v>
      </c>
      <c r="H501" s="961" t="str">
        <f t="shared" si="3"/>
        <v>#DIV/0!</v>
      </c>
      <c r="I501" s="961" t="str">
        <f>IF(H501&lt;'PlayerGrades+'!$AC$21,"F-",IF(H501&lt;'PlayerGrades+'!$AC$20,"F",IF(H501&lt;'PlayerGrades+'!$AC$19,"F+",IF(H501&lt;'PlayerGrades+'!$AC$18,"E-",IF(H501&lt;'PlayerGrades+'!$AC$17,"E",IF(H501&lt;'PlayerGrades+'!$AC$16,"E+",IF(H501&lt;'PlayerGrades+'!$AC$15,"D-",IF(H501&lt;'PlayerGrades+'!$AC$14,"D",IF(H501&lt;'PlayerGrades+'!$AC$13,"D+",IF(H501&lt;'PlayerGrades+'!$AC$12,"C-",IF(H501&lt;'PlayerGrades+'!$AC$11,"C",IF(H501&lt;'PlayerGrades+'!$AC$10,"C+",IF(H501&lt;'PlayerGrades+'!$AC$9,"B-",IF(H501&lt;'PlayerGrades+'!$AC$8,"B",IF(H501&lt;'PlayerGrades+'!$AC$7,"B+",IF(H501&lt;'PlayerGrades+'!$AC$6,"A-",IF(H501&lt;'PlayerGrades+'!$AC$5,"A",IF(H501&lt;'PlayerGrades+'!$AC$4,"A+",IF(H501&lt;'PlayerGrades+'!$AC$3,"S-",IF(H501&lt;'PlayerGrades+'!$AC$2,"S","S+"))))))))))))))))))))</f>
        <v>#DIV/0!</v>
      </c>
      <c r="J501" s="961" t="str">
        <f t="shared" si="4"/>
        <v>#DIV/0!</v>
      </c>
      <c r="K501" s="961" t="str">
        <f>IF(J501&lt;'PlayerGrades+'!$AD$21,"F-",IF(J501&lt;'PlayerGrades+'!$AD$20,"F",IF(J501&lt;'PlayerGrades+'!$AD$19,"F+",IF(J501&lt;'PlayerGrades+'!$AD$18,"E-",IF(J501&lt;'PlayerGrades+'!$AD$17,"E",IF(J501&lt;'PlayerGrades+'!$AD$16,"E+",IF(J501&lt;'PlayerGrades+'!$AD$15,"D-",IF(J501&lt;'PlayerGrades+'!$AD$14,"D",IF(J501&lt;'PlayerGrades+'!$AD$13,"D+",IF(J501&lt;'PlayerGrades+'!$AD$12,"C-",IF(J501&lt;'PlayerGrades+'!$AD$11,"C",IF(J501&lt;'PlayerGrades+'!$AD$10,"C+",IF(J501&lt;'PlayerGrades+'!$AD$9,"B-",IF(J501&lt;'PlayerGrades+'!$AD$8,"B",IF(J501&lt;'PlayerGrades+'!$AD$7,"B+",IF(J501&lt;'PlayerGrades+'!$AD$6,"A-",IF(J501&lt;'PlayerGrades+'!$AD$5,"A",IF(J501&lt;'PlayerGrades+'!$AD$4,"A+",IF(J501&lt;'PlayerGrades+'!$AD$3,"S-",IF(J501&lt;'PlayerGrades+'!$AD$2,"S","S+"))))))))))))))))))))</f>
        <v>#DIV/0!</v>
      </c>
      <c r="L501" s="1176" t="str">
        <f t="shared" si="5"/>
        <v>#DIV/0!</v>
      </c>
      <c r="M501" s="992" t="str">
        <f>IF(L501&lt;'PlayerGrades+'!$AE$21,"F-",IF(L501&lt;'PlayerGrades+'!$AE$20,"F",IF(L501&lt;'PlayerGrades+'!$AE$19,"F+",IF(L501&lt;'PlayerGrades+'!$AE$18,"E-",IF(L501&lt;'PlayerGrades+'!$AE$17,"E",IF(L501&lt;'PlayerGrades+'!$AE$16,"E+",IF(L501&lt;'PlayerGrades+'!$AE$15,"D-",IF(L501&lt;'PlayerGrades+'!$AE$14,"D",IF(L501&lt;'PlayerGrades+'!$AE$13,"D+",IF(L501&lt;'PlayerGrades+'!$AE$12,"C-",IF(L501&lt;'PlayerGrades+'!$AE$11,"C",IF(L501&lt;'PlayerGrades+'!$AE$10,"C+",IF(L501&lt;'PlayerGrades+'!$AE$9,"B-",IF(L501&lt;'PlayerGrades+'!$AE$8,"B",IF(L501&lt;'PlayerGrades+'!$AE$7,"B+",IF(L501&lt;'PlayerGrades+'!$AE$6,"A-",IF(L501&lt;'PlayerGrades+'!$AE$5,"A",IF(L501&lt;'PlayerGrades+'!$AE$4,"A+",IF(L501&lt;'PlayerGrades+'!$AE$3,"S-",IF(L501&lt;'PlayerGrades+'!$AE$2,"S","S+"))))))))))))))))))))</f>
        <v>#DIV/0!</v>
      </c>
      <c r="N501" s="961" t="str">
        <f t="shared" si="6"/>
        <v>#DIV/0!</v>
      </c>
      <c r="O501" s="961" t="str">
        <f>IF(N501&lt;'PlayerGrades+'!$AF$21,"F-",IF(N501&lt;'PlayerGrades+'!$AF$20,"F",IF(N501&lt;'PlayerGrades+'!$AF$19,"F+",IF(N501&lt;'PlayerGrades+'!$AF$18,"E-",IF(N501&lt;'PlayerGrades+'!$AF$17,"E",IF(N501&lt;'PlayerGrades+'!$AF$16,"E+",IF(N501&lt;'PlayerGrades+'!$AF$15,"D-",IF(N501&lt;'PlayerGrades+'!$AF$14,"D",IF(N501&lt;'PlayerGrades+'!$AF$13,"D+",IF(N501&lt;'PlayerGrades+'!$AF$12,"C-",IF(N501&lt;'PlayerGrades+'!$AF$11,"C",IF(N501&lt;'PlayerGrades+'!$AF$10,"C+",IF(N501&lt;'PlayerGrades+'!$AF$9,"B-",IF(N501&lt;'PlayerGrades+'!$AF$8,"B",IF(N501&lt;'PlayerGrades+'!$AF$7,"B+",IF(N501&lt;'PlayerGrades+'!$AF$6,"A-",IF(N501&lt;'PlayerGrades+'!$AF$5,"A",IF(N501&lt;'PlayerGrades+'!$AF$4,"A+",IF(N501&lt;'PlayerGrades+'!$AF$3,"S-",IF(N501&lt;'PlayerGrades+'!$AF$2,"S","S+"))))))))))))))))))))</f>
        <v>#DIV/0!</v>
      </c>
      <c r="P501" s="961" t="str">
        <f t="shared" si="7"/>
        <v>#DIV/0!</v>
      </c>
      <c r="Q501" s="961" t="str">
        <f>IF(P501&lt;'PlayerGrades+'!$AG$21,"F-",IF(P501&lt;'PlayerGrades+'!$AG$20,"F",IF(P501&lt;'PlayerGrades+'!$AG$19,"F+",IF(P501&lt;'PlayerGrades+'!$AG$18,"E-",IF(P501&lt;'PlayerGrades+'!$AG$17,"E",IF(P501&lt;'PlayerGrades+'!$AG$16,"E+",IF(P501&lt;'PlayerGrades+'!$AG$15,"D-",IF(P501&lt;'PlayerGrades+'!$AG$14,"D",IF(P501&lt;'PlayerGrades+'!$AG$13,"D+",IF(P501&lt;'PlayerGrades+'!$AG$12,"C-",IF(P501&lt;'PlayerGrades+'!$AG$11,"C",IF(P501&lt;'PlayerGrades+'!$AG$10,"C+",IF(P501&lt;'PlayerGrades+'!$AG$9,"B-",IF(P501&lt;'PlayerGrades+'!$AG$8,"B",IF(P501&lt;'PlayerGrades+'!$AG$7,"B+",IF(P501&lt;'PlayerGrades+'!$AG$6,"A-",IF(P501&lt;'PlayerGrades+'!$AG$5,"A",IF(P501&lt;'PlayerGrades+'!$AG$4,"A+",IF(P501&lt;'PlayerGrades+'!$AG$3,"S-",IF(P501&lt;'PlayerGrades+'!$AG$2,"S","S+"))))))))))))))))))))</f>
        <v>#DIV/0!</v>
      </c>
      <c r="R501" s="961" t="str">
        <f t="shared" si="8"/>
        <v>#DIV/0!</v>
      </c>
      <c r="S501" s="961" t="str">
        <f>IF(R501&lt;'PlayerGrades+'!$AH$21,"F-",IF(R501&lt;'PlayerGrades+'!$AH$20,"F",IF(R501&lt;'PlayerGrades+'!$AH$19,"F+",IF(R501&lt;'PlayerGrades+'!$AH$18,"E-",IF(R501&lt;'PlayerGrades+'!$AH$17,"E",IF(R501&lt;'PlayerGrades+'!$AH$16,"E+",IF(R501&lt;'PlayerGrades+'!$AH$15,"D-",IF(R501&lt;'PlayerGrades+'!$AH$14,"D",IF(R501&lt;'PlayerGrades+'!$AH$13,"D+",IF(R501&lt;'PlayerGrades+'!$AH$12,"C-",IF(R501&lt;'PlayerGrades+'!$AH$11,"C",IF(R501&lt;'PlayerGrades+'!$AH$10,"C+",IF(R501&lt;'PlayerGrades+'!$AH$9,"B-",IF(R501&lt;'PlayerGrades+'!$AH$8,"B",IF(R501&lt;'PlayerGrades+'!$AH$7,"B+",IF(R501&lt;'PlayerGrades+'!$AH$6,"A-",IF(R501&lt;'PlayerGrades+'!$AH$5,"A",IF(R501&lt;'PlayerGrades+'!$AH$4,"A+",IF(R501&lt;'PlayerGrades+'!$AH$3,"S-",IF(R501&lt;'PlayerGrades+'!$AH$2,"S","S+"))))))))))))))))))))</f>
        <v>#DIV/0!</v>
      </c>
      <c r="T501" s="961">
        <f t="shared" si="9"/>
        <v>0</v>
      </c>
      <c r="U501" s="961" t="str">
        <f>IF(T501&lt;'PlayerGrades+'!$AI$21,"F-",IF(T501&lt;'PlayerGrades+'!$AI$20,"F",IF(T501&lt;'PlayerGrades+'!$AI$19,"F+",IF(T501&lt;'PlayerGrades+'!$AI$18,"E-",IF(T501&lt;'PlayerGrades+'!$AI$17,"E",IF(T501&lt;'PlayerGrades+'!$AI$16,"E+",IF(T501&lt;'PlayerGrades+'!$AI$15,"D-",IF(T501&lt;'PlayerGrades+'!$AI$14,"D",IF(T501&lt;'PlayerGrades+'!$AI$13,"D+",IF(T501&lt;'PlayerGrades+'!$AI$12,"C-",IF(T501&lt;'PlayerGrades+'!$AI$11,"C",IF(T501&lt;'PlayerGrades+'!$AI$10,"C+",IF(T501&lt;'PlayerGrades+'!$AI$9,"B-",IF(T501&lt;'PlayerGrades+'!$AI$8,"B",IF(T501&lt;'PlayerGrades+'!$AI$7,"B+",IF(T501&lt;'PlayerGrades+'!$AI$6,"A-",IF(T501&lt;'PlayerGrades+'!$AI$5,"A",IF(T501&lt;'PlayerGrades+'!$AI$4,"A+",IF(T501&lt;'PlayerGrades+'!$AI$3,"S-",IF(T501&lt;'PlayerGrades+'!$AI$2,"S","S+"))))))))))))))))))))</f>
        <v>F-</v>
      </c>
      <c r="AC501" s="1392"/>
    </row>
    <row r="502">
      <c r="A502" s="1391"/>
      <c r="B502" s="611" t="str">
        <f>IF(C502&lt;'PlayerGrades+'!$Y$44,"F-",IF(C502&lt;'PlayerGrades+'!$Y$43,"F",IF(C502&lt;'PlayerGrades+'!$Y$42,"F+",IF(C502&lt;'PlayerGrades+'!$Y$41,"E-",IF(C502&lt;'PlayerGrades+'!$Y$40,"E",IF(C502&lt;'PlayerGrades+'!$Y$39,"E+",IF(C502&lt;'PlayerGrades+'!$Y$38,"D-",IF(C502&lt;'PlayerGrades+'!$Y$37,"D",IF(C502&lt;'PlayerGrades+'!$Y$36,"D+",IF(C502&lt;'PlayerGrades+'!$Y$35,"C-",IF(C502&lt;'PlayerGrades+'!$Y$34,"C",IF(C502&lt;'PlayerGrades+'!$Y$33,"C+",IF(C502&lt;'PlayerGrades+'!$Y$32,"B-",IF(C502&lt;'PlayerGrades+'!$Y$31,"B",IF(C502&lt;'PlayerGrades+'!$Y$30,"B+",IF(C502&lt;'PlayerGrades+'!$Y$29,"A-",IF(C502&lt;'PlayerGrades+'!$Y$28,"A",IF(C502&lt;'PlayerGrades+'!$Y$27,"A+",IF(C502&lt;'PlayerGrades+'!$Y$26,"S-",IF(C502&lt;'PlayerGrades+'!$Y$25,"S","S+"))))))))))))))))))))</f>
        <v>#DIV/0!</v>
      </c>
      <c r="C502" s="1378" t="str">
        <f>('PlayerGrades+'!$Y$47*(VLOOKUP(E502, 'PlayerGrades+'!$X$3:$Y$23, 2, FALSE)))+('PlayerGrades+'!$Y$48*(VLOOKUP(G502, 'PlayerGrades+'!$X$3:$Y$23, 2, FALSE)))+('PlayerGrades+'!$Y$49*(VLOOKUP(I502, 'PlayerGrades+'!$X$3:$Y$23, 2, FALSE)))+('PlayerGrades+'!$Y$50*(VLOOKUP(K502, 'PlayerGrades+'!$X$3:$Y$23, 2, FALSE)))+('PlayerGrades+'!$Y$51*(VLOOKUP(M502, 'PlayerGrades+'!$X$3:$Y$23, 2, FALSE)))+('PlayerGrades+'!$Y$52*(VLOOKUP(O502, 'PlayerGrades+'!$X$3:$Y$23, 2, FALSE)))+('PlayerGrades+'!$Y$53*(VLOOKUP(Q502, 'PlayerGrades+'!$X$3:$Y$23, 2, FALSE)))+('PlayerGrades+'!$Y$54*(VLOOKUP(S502, 'PlayerGrades+'!$X$3:$Y$23, 2, FALSE)))+('PlayerGrades+'!$Y$55*(VLOOKUP(U502, 'PlayerGrades+'!$X$3:$Y$23, 2, FALSE)))</f>
        <v>#DIV/0!</v>
      </c>
      <c r="D502" s="961" t="str">
        <f t="shared" si="1"/>
        <v>#DIV/0!</v>
      </c>
      <c r="E502" s="961" t="str">
        <f>IF(D502&lt;'PlayerGrades+'!$AA$21,"F-",IF(D502&lt;'PlayerGrades+'!$AA$20,"F",IF(D502&lt;'PlayerGrades+'!$AA$19,"F+",IF(D502&lt;'PlayerGrades+'!$AA$18,"E-",IF(D502&lt;'PlayerGrades+'!$AA$17,"E",IF(D502&lt;'PlayerGrades+'!$AA$16,"E+",IF(D502&lt;'PlayerGrades+'!$AA$15,"D-",IF(D502&lt;'PlayerGrades+'!$AA$14,"D",IF(D502&lt;'PlayerGrades+'!$AA$13,"D+",IF(D502&lt;'PlayerGrades+'!$AA$12,"C-",IF(D502&lt;'PlayerGrades+'!$AA$11,"C",IF(D502&lt;'PlayerGrades+'!$AA$10,"C+",IF(D502&lt;'PlayerGrades+'!$AA$9,"B-",IF(D502&lt;'PlayerGrades+'!$AA$8,"B",IF(D502&lt;'PlayerGrades+'!$AA$7,"B+",IF(D502&lt;'PlayerGrades+'!$AA$6,"A-",IF(D502&lt;'PlayerGrades+'!$AA$5,"A",IF(D502&lt;'PlayerGrades+'!$AA$4,"A+",IF(D502&lt;'PlayerGrades+'!$AA$3,"S-",IF(D502&lt;'PlayerGrades+'!$AA$2,"S","S+"))))))))))))))))))))</f>
        <v>#DIV/0!</v>
      </c>
      <c r="F502" s="961" t="str">
        <f t="shared" si="2"/>
        <v>#DIV/0!</v>
      </c>
      <c r="G502" s="961" t="str">
        <f>IF(F502&lt;'PlayerGrades+'!$AB$21,"F-",IF(F502&lt;'PlayerGrades+'!$AB$20,"F",IF(F502&lt;'PlayerGrades+'!$AB$19,"F+",IF(F502&lt;'PlayerGrades+'!$AB$18,"E-",IF(F502&lt;'PlayerGrades+'!$AB$17,"E",IF(F502&lt;'PlayerGrades+'!$AB$16,"E+",IF(F502&lt;'PlayerGrades+'!$AB$15,"D-",IF(F502&lt;'PlayerGrades+'!$AB$14,"D",IF(F502&lt;'PlayerGrades+'!$AB$13,"D+",IF(F502&lt;'PlayerGrades+'!$AB$12,"C-",IF(F502&lt;'PlayerGrades+'!$AB$11,"C",IF(F502&lt;'PlayerGrades+'!$AB$10,"C+",IF(F502&lt;'PlayerGrades+'!$AB$9,"B-",IF(F502&lt;'PlayerGrades+'!$AB$8,"B",IF(F502&lt;'PlayerGrades+'!$AB$7,"B+",IF(F502&lt;'PlayerGrades+'!$AB$6,"A-",IF(F502&lt;'PlayerGrades+'!$AB$5,"A",IF(F502&lt;'PlayerGrades+'!$AB$4,"A+",IF(F502&lt;'PlayerGrades+'!$AB$3,"S-",IF(F502&lt;'PlayerGrades+'!$AB$2,"S","S+"))))))))))))))))))))</f>
        <v>#DIV/0!</v>
      </c>
      <c r="H502" s="961" t="str">
        <f t="shared" si="3"/>
        <v>#DIV/0!</v>
      </c>
      <c r="I502" s="961" t="str">
        <f>IF(H502&lt;'PlayerGrades+'!$AC$21,"F-",IF(H502&lt;'PlayerGrades+'!$AC$20,"F",IF(H502&lt;'PlayerGrades+'!$AC$19,"F+",IF(H502&lt;'PlayerGrades+'!$AC$18,"E-",IF(H502&lt;'PlayerGrades+'!$AC$17,"E",IF(H502&lt;'PlayerGrades+'!$AC$16,"E+",IF(H502&lt;'PlayerGrades+'!$AC$15,"D-",IF(H502&lt;'PlayerGrades+'!$AC$14,"D",IF(H502&lt;'PlayerGrades+'!$AC$13,"D+",IF(H502&lt;'PlayerGrades+'!$AC$12,"C-",IF(H502&lt;'PlayerGrades+'!$AC$11,"C",IF(H502&lt;'PlayerGrades+'!$AC$10,"C+",IF(H502&lt;'PlayerGrades+'!$AC$9,"B-",IF(H502&lt;'PlayerGrades+'!$AC$8,"B",IF(H502&lt;'PlayerGrades+'!$AC$7,"B+",IF(H502&lt;'PlayerGrades+'!$AC$6,"A-",IF(H502&lt;'PlayerGrades+'!$AC$5,"A",IF(H502&lt;'PlayerGrades+'!$AC$4,"A+",IF(H502&lt;'PlayerGrades+'!$AC$3,"S-",IF(H502&lt;'PlayerGrades+'!$AC$2,"S","S+"))))))))))))))))))))</f>
        <v>#DIV/0!</v>
      </c>
      <c r="J502" s="961" t="str">
        <f t="shared" si="4"/>
        <v>#DIV/0!</v>
      </c>
      <c r="K502" s="961" t="str">
        <f>IF(J502&lt;'PlayerGrades+'!$AD$21,"F-",IF(J502&lt;'PlayerGrades+'!$AD$20,"F",IF(J502&lt;'PlayerGrades+'!$AD$19,"F+",IF(J502&lt;'PlayerGrades+'!$AD$18,"E-",IF(J502&lt;'PlayerGrades+'!$AD$17,"E",IF(J502&lt;'PlayerGrades+'!$AD$16,"E+",IF(J502&lt;'PlayerGrades+'!$AD$15,"D-",IF(J502&lt;'PlayerGrades+'!$AD$14,"D",IF(J502&lt;'PlayerGrades+'!$AD$13,"D+",IF(J502&lt;'PlayerGrades+'!$AD$12,"C-",IF(J502&lt;'PlayerGrades+'!$AD$11,"C",IF(J502&lt;'PlayerGrades+'!$AD$10,"C+",IF(J502&lt;'PlayerGrades+'!$AD$9,"B-",IF(J502&lt;'PlayerGrades+'!$AD$8,"B",IF(J502&lt;'PlayerGrades+'!$AD$7,"B+",IF(J502&lt;'PlayerGrades+'!$AD$6,"A-",IF(J502&lt;'PlayerGrades+'!$AD$5,"A",IF(J502&lt;'PlayerGrades+'!$AD$4,"A+",IF(J502&lt;'PlayerGrades+'!$AD$3,"S-",IF(J502&lt;'PlayerGrades+'!$AD$2,"S","S+"))))))))))))))))))))</f>
        <v>#DIV/0!</v>
      </c>
      <c r="L502" s="1176" t="str">
        <f t="shared" si="5"/>
        <v>#DIV/0!</v>
      </c>
      <c r="M502" s="992" t="str">
        <f>IF(L502&lt;'PlayerGrades+'!$AE$21,"F-",IF(L502&lt;'PlayerGrades+'!$AE$20,"F",IF(L502&lt;'PlayerGrades+'!$AE$19,"F+",IF(L502&lt;'PlayerGrades+'!$AE$18,"E-",IF(L502&lt;'PlayerGrades+'!$AE$17,"E",IF(L502&lt;'PlayerGrades+'!$AE$16,"E+",IF(L502&lt;'PlayerGrades+'!$AE$15,"D-",IF(L502&lt;'PlayerGrades+'!$AE$14,"D",IF(L502&lt;'PlayerGrades+'!$AE$13,"D+",IF(L502&lt;'PlayerGrades+'!$AE$12,"C-",IF(L502&lt;'PlayerGrades+'!$AE$11,"C",IF(L502&lt;'PlayerGrades+'!$AE$10,"C+",IF(L502&lt;'PlayerGrades+'!$AE$9,"B-",IF(L502&lt;'PlayerGrades+'!$AE$8,"B",IF(L502&lt;'PlayerGrades+'!$AE$7,"B+",IF(L502&lt;'PlayerGrades+'!$AE$6,"A-",IF(L502&lt;'PlayerGrades+'!$AE$5,"A",IF(L502&lt;'PlayerGrades+'!$AE$4,"A+",IF(L502&lt;'PlayerGrades+'!$AE$3,"S-",IF(L502&lt;'PlayerGrades+'!$AE$2,"S","S+"))))))))))))))))))))</f>
        <v>#DIV/0!</v>
      </c>
      <c r="N502" s="961" t="str">
        <f t="shared" si="6"/>
        <v>#DIV/0!</v>
      </c>
      <c r="O502" s="961" t="str">
        <f>IF(N502&lt;'PlayerGrades+'!$AF$21,"F-",IF(N502&lt;'PlayerGrades+'!$AF$20,"F",IF(N502&lt;'PlayerGrades+'!$AF$19,"F+",IF(N502&lt;'PlayerGrades+'!$AF$18,"E-",IF(N502&lt;'PlayerGrades+'!$AF$17,"E",IF(N502&lt;'PlayerGrades+'!$AF$16,"E+",IF(N502&lt;'PlayerGrades+'!$AF$15,"D-",IF(N502&lt;'PlayerGrades+'!$AF$14,"D",IF(N502&lt;'PlayerGrades+'!$AF$13,"D+",IF(N502&lt;'PlayerGrades+'!$AF$12,"C-",IF(N502&lt;'PlayerGrades+'!$AF$11,"C",IF(N502&lt;'PlayerGrades+'!$AF$10,"C+",IF(N502&lt;'PlayerGrades+'!$AF$9,"B-",IF(N502&lt;'PlayerGrades+'!$AF$8,"B",IF(N502&lt;'PlayerGrades+'!$AF$7,"B+",IF(N502&lt;'PlayerGrades+'!$AF$6,"A-",IF(N502&lt;'PlayerGrades+'!$AF$5,"A",IF(N502&lt;'PlayerGrades+'!$AF$4,"A+",IF(N502&lt;'PlayerGrades+'!$AF$3,"S-",IF(N502&lt;'PlayerGrades+'!$AF$2,"S","S+"))))))))))))))))))))</f>
        <v>#DIV/0!</v>
      </c>
      <c r="P502" s="961" t="str">
        <f t="shared" si="7"/>
        <v>#DIV/0!</v>
      </c>
      <c r="Q502" s="961" t="str">
        <f>IF(P502&lt;'PlayerGrades+'!$AG$21,"F-",IF(P502&lt;'PlayerGrades+'!$AG$20,"F",IF(P502&lt;'PlayerGrades+'!$AG$19,"F+",IF(P502&lt;'PlayerGrades+'!$AG$18,"E-",IF(P502&lt;'PlayerGrades+'!$AG$17,"E",IF(P502&lt;'PlayerGrades+'!$AG$16,"E+",IF(P502&lt;'PlayerGrades+'!$AG$15,"D-",IF(P502&lt;'PlayerGrades+'!$AG$14,"D",IF(P502&lt;'PlayerGrades+'!$AG$13,"D+",IF(P502&lt;'PlayerGrades+'!$AG$12,"C-",IF(P502&lt;'PlayerGrades+'!$AG$11,"C",IF(P502&lt;'PlayerGrades+'!$AG$10,"C+",IF(P502&lt;'PlayerGrades+'!$AG$9,"B-",IF(P502&lt;'PlayerGrades+'!$AG$8,"B",IF(P502&lt;'PlayerGrades+'!$AG$7,"B+",IF(P502&lt;'PlayerGrades+'!$AG$6,"A-",IF(P502&lt;'PlayerGrades+'!$AG$5,"A",IF(P502&lt;'PlayerGrades+'!$AG$4,"A+",IF(P502&lt;'PlayerGrades+'!$AG$3,"S-",IF(P502&lt;'PlayerGrades+'!$AG$2,"S","S+"))))))))))))))))))))</f>
        <v>#DIV/0!</v>
      </c>
      <c r="R502" s="961" t="str">
        <f t="shared" si="8"/>
        <v>#DIV/0!</v>
      </c>
      <c r="S502" s="961" t="str">
        <f>IF(R502&lt;'PlayerGrades+'!$AH$21,"F-",IF(R502&lt;'PlayerGrades+'!$AH$20,"F",IF(R502&lt;'PlayerGrades+'!$AH$19,"F+",IF(R502&lt;'PlayerGrades+'!$AH$18,"E-",IF(R502&lt;'PlayerGrades+'!$AH$17,"E",IF(R502&lt;'PlayerGrades+'!$AH$16,"E+",IF(R502&lt;'PlayerGrades+'!$AH$15,"D-",IF(R502&lt;'PlayerGrades+'!$AH$14,"D",IF(R502&lt;'PlayerGrades+'!$AH$13,"D+",IF(R502&lt;'PlayerGrades+'!$AH$12,"C-",IF(R502&lt;'PlayerGrades+'!$AH$11,"C",IF(R502&lt;'PlayerGrades+'!$AH$10,"C+",IF(R502&lt;'PlayerGrades+'!$AH$9,"B-",IF(R502&lt;'PlayerGrades+'!$AH$8,"B",IF(R502&lt;'PlayerGrades+'!$AH$7,"B+",IF(R502&lt;'PlayerGrades+'!$AH$6,"A-",IF(R502&lt;'PlayerGrades+'!$AH$5,"A",IF(R502&lt;'PlayerGrades+'!$AH$4,"A+",IF(R502&lt;'PlayerGrades+'!$AH$3,"S-",IF(R502&lt;'PlayerGrades+'!$AH$2,"S","S+"))))))))))))))))))))</f>
        <v>#DIV/0!</v>
      </c>
      <c r="T502" s="961">
        <f t="shared" si="9"/>
        <v>0</v>
      </c>
      <c r="U502" s="961" t="str">
        <f>IF(T502&lt;'PlayerGrades+'!$AI$21,"F-",IF(T502&lt;'PlayerGrades+'!$AI$20,"F",IF(T502&lt;'PlayerGrades+'!$AI$19,"F+",IF(T502&lt;'PlayerGrades+'!$AI$18,"E-",IF(T502&lt;'PlayerGrades+'!$AI$17,"E",IF(T502&lt;'PlayerGrades+'!$AI$16,"E+",IF(T502&lt;'PlayerGrades+'!$AI$15,"D-",IF(T502&lt;'PlayerGrades+'!$AI$14,"D",IF(T502&lt;'PlayerGrades+'!$AI$13,"D+",IF(T502&lt;'PlayerGrades+'!$AI$12,"C-",IF(T502&lt;'PlayerGrades+'!$AI$11,"C",IF(T502&lt;'PlayerGrades+'!$AI$10,"C+",IF(T502&lt;'PlayerGrades+'!$AI$9,"B-",IF(T502&lt;'PlayerGrades+'!$AI$8,"B",IF(T502&lt;'PlayerGrades+'!$AI$7,"B+",IF(T502&lt;'PlayerGrades+'!$AI$6,"A-",IF(T502&lt;'PlayerGrades+'!$AI$5,"A",IF(T502&lt;'PlayerGrades+'!$AI$4,"A+",IF(T502&lt;'PlayerGrades+'!$AI$3,"S-",IF(T502&lt;'PlayerGrades+'!$AI$2,"S","S+"))))))))))))))))))))</f>
        <v>F-</v>
      </c>
      <c r="AC502" s="1392"/>
    </row>
    <row r="503">
      <c r="A503" s="1391"/>
      <c r="B503" s="611" t="str">
        <f>IF(C503&lt;'PlayerGrades+'!$Y$44,"F-",IF(C503&lt;'PlayerGrades+'!$Y$43,"F",IF(C503&lt;'PlayerGrades+'!$Y$42,"F+",IF(C503&lt;'PlayerGrades+'!$Y$41,"E-",IF(C503&lt;'PlayerGrades+'!$Y$40,"E",IF(C503&lt;'PlayerGrades+'!$Y$39,"E+",IF(C503&lt;'PlayerGrades+'!$Y$38,"D-",IF(C503&lt;'PlayerGrades+'!$Y$37,"D",IF(C503&lt;'PlayerGrades+'!$Y$36,"D+",IF(C503&lt;'PlayerGrades+'!$Y$35,"C-",IF(C503&lt;'PlayerGrades+'!$Y$34,"C",IF(C503&lt;'PlayerGrades+'!$Y$33,"C+",IF(C503&lt;'PlayerGrades+'!$Y$32,"B-",IF(C503&lt;'PlayerGrades+'!$Y$31,"B",IF(C503&lt;'PlayerGrades+'!$Y$30,"B+",IF(C503&lt;'PlayerGrades+'!$Y$29,"A-",IF(C503&lt;'PlayerGrades+'!$Y$28,"A",IF(C503&lt;'PlayerGrades+'!$Y$27,"A+",IF(C503&lt;'PlayerGrades+'!$Y$26,"S-",IF(C503&lt;'PlayerGrades+'!$Y$25,"S","S+"))))))))))))))))))))</f>
        <v>#DIV/0!</v>
      </c>
      <c r="C503" s="1378" t="str">
        <f>('PlayerGrades+'!$Y$47*(VLOOKUP(E503, 'PlayerGrades+'!$X$3:$Y$23, 2, FALSE)))+('PlayerGrades+'!$Y$48*(VLOOKUP(G503, 'PlayerGrades+'!$X$3:$Y$23, 2, FALSE)))+('PlayerGrades+'!$Y$49*(VLOOKUP(I503, 'PlayerGrades+'!$X$3:$Y$23, 2, FALSE)))+('PlayerGrades+'!$Y$50*(VLOOKUP(K503, 'PlayerGrades+'!$X$3:$Y$23, 2, FALSE)))+('PlayerGrades+'!$Y$51*(VLOOKUP(M503, 'PlayerGrades+'!$X$3:$Y$23, 2, FALSE)))+('PlayerGrades+'!$Y$52*(VLOOKUP(O503, 'PlayerGrades+'!$X$3:$Y$23, 2, FALSE)))+('PlayerGrades+'!$Y$53*(VLOOKUP(Q503, 'PlayerGrades+'!$X$3:$Y$23, 2, FALSE)))+('PlayerGrades+'!$Y$54*(VLOOKUP(S503, 'PlayerGrades+'!$X$3:$Y$23, 2, FALSE)))+('PlayerGrades+'!$Y$55*(VLOOKUP(U503, 'PlayerGrades+'!$X$3:$Y$23, 2, FALSE)))</f>
        <v>#DIV/0!</v>
      </c>
      <c r="D503" s="961" t="str">
        <f t="shared" si="1"/>
        <v>#DIV/0!</v>
      </c>
      <c r="E503" s="961" t="str">
        <f>IF(D503&lt;'PlayerGrades+'!$AA$21,"F-",IF(D503&lt;'PlayerGrades+'!$AA$20,"F",IF(D503&lt;'PlayerGrades+'!$AA$19,"F+",IF(D503&lt;'PlayerGrades+'!$AA$18,"E-",IF(D503&lt;'PlayerGrades+'!$AA$17,"E",IF(D503&lt;'PlayerGrades+'!$AA$16,"E+",IF(D503&lt;'PlayerGrades+'!$AA$15,"D-",IF(D503&lt;'PlayerGrades+'!$AA$14,"D",IF(D503&lt;'PlayerGrades+'!$AA$13,"D+",IF(D503&lt;'PlayerGrades+'!$AA$12,"C-",IF(D503&lt;'PlayerGrades+'!$AA$11,"C",IF(D503&lt;'PlayerGrades+'!$AA$10,"C+",IF(D503&lt;'PlayerGrades+'!$AA$9,"B-",IF(D503&lt;'PlayerGrades+'!$AA$8,"B",IF(D503&lt;'PlayerGrades+'!$AA$7,"B+",IF(D503&lt;'PlayerGrades+'!$AA$6,"A-",IF(D503&lt;'PlayerGrades+'!$AA$5,"A",IF(D503&lt;'PlayerGrades+'!$AA$4,"A+",IF(D503&lt;'PlayerGrades+'!$AA$3,"S-",IF(D503&lt;'PlayerGrades+'!$AA$2,"S","S+"))))))))))))))))))))</f>
        <v>#DIV/0!</v>
      </c>
      <c r="F503" s="961" t="str">
        <f t="shared" si="2"/>
        <v>#DIV/0!</v>
      </c>
      <c r="G503" s="961" t="str">
        <f>IF(F503&lt;'PlayerGrades+'!$AB$21,"F-",IF(F503&lt;'PlayerGrades+'!$AB$20,"F",IF(F503&lt;'PlayerGrades+'!$AB$19,"F+",IF(F503&lt;'PlayerGrades+'!$AB$18,"E-",IF(F503&lt;'PlayerGrades+'!$AB$17,"E",IF(F503&lt;'PlayerGrades+'!$AB$16,"E+",IF(F503&lt;'PlayerGrades+'!$AB$15,"D-",IF(F503&lt;'PlayerGrades+'!$AB$14,"D",IF(F503&lt;'PlayerGrades+'!$AB$13,"D+",IF(F503&lt;'PlayerGrades+'!$AB$12,"C-",IF(F503&lt;'PlayerGrades+'!$AB$11,"C",IF(F503&lt;'PlayerGrades+'!$AB$10,"C+",IF(F503&lt;'PlayerGrades+'!$AB$9,"B-",IF(F503&lt;'PlayerGrades+'!$AB$8,"B",IF(F503&lt;'PlayerGrades+'!$AB$7,"B+",IF(F503&lt;'PlayerGrades+'!$AB$6,"A-",IF(F503&lt;'PlayerGrades+'!$AB$5,"A",IF(F503&lt;'PlayerGrades+'!$AB$4,"A+",IF(F503&lt;'PlayerGrades+'!$AB$3,"S-",IF(F503&lt;'PlayerGrades+'!$AB$2,"S","S+"))))))))))))))))))))</f>
        <v>#DIV/0!</v>
      </c>
      <c r="H503" s="961" t="str">
        <f t="shared" si="3"/>
        <v>#DIV/0!</v>
      </c>
      <c r="I503" s="961" t="str">
        <f>IF(H503&lt;'PlayerGrades+'!$AC$21,"F-",IF(H503&lt;'PlayerGrades+'!$AC$20,"F",IF(H503&lt;'PlayerGrades+'!$AC$19,"F+",IF(H503&lt;'PlayerGrades+'!$AC$18,"E-",IF(H503&lt;'PlayerGrades+'!$AC$17,"E",IF(H503&lt;'PlayerGrades+'!$AC$16,"E+",IF(H503&lt;'PlayerGrades+'!$AC$15,"D-",IF(H503&lt;'PlayerGrades+'!$AC$14,"D",IF(H503&lt;'PlayerGrades+'!$AC$13,"D+",IF(H503&lt;'PlayerGrades+'!$AC$12,"C-",IF(H503&lt;'PlayerGrades+'!$AC$11,"C",IF(H503&lt;'PlayerGrades+'!$AC$10,"C+",IF(H503&lt;'PlayerGrades+'!$AC$9,"B-",IF(H503&lt;'PlayerGrades+'!$AC$8,"B",IF(H503&lt;'PlayerGrades+'!$AC$7,"B+",IF(H503&lt;'PlayerGrades+'!$AC$6,"A-",IF(H503&lt;'PlayerGrades+'!$AC$5,"A",IF(H503&lt;'PlayerGrades+'!$AC$4,"A+",IF(H503&lt;'PlayerGrades+'!$AC$3,"S-",IF(H503&lt;'PlayerGrades+'!$AC$2,"S","S+"))))))))))))))))))))</f>
        <v>#DIV/0!</v>
      </c>
      <c r="J503" s="961" t="str">
        <f t="shared" si="4"/>
        <v>#DIV/0!</v>
      </c>
      <c r="K503" s="961" t="str">
        <f>IF(J503&lt;'PlayerGrades+'!$AD$21,"F-",IF(J503&lt;'PlayerGrades+'!$AD$20,"F",IF(J503&lt;'PlayerGrades+'!$AD$19,"F+",IF(J503&lt;'PlayerGrades+'!$AD$18,"E-",IF(J503&lt;'PlayerGrades+'!$AD$17,"E",IF(J503&lt;'PlayerGrades+'!$AD$16,"E+",IF(J503&lt;'PlayerGrades+'!$AD$15,"D-",IF(J503&lt;'PlayerGrades+'!$AD$14,"D",IF(J503&lt;'PlayerGrades+'!$AD$13,"D+",IF(J503&lt;'PlayerGrades+'!$AD$12,"C-",IF(J503&lt;'PlayerGrades+'!$AD$11,"C",IF(J503&lt;'PlayerGrades+'!$AD$10,"C+",IF(J503&lt;'PlayerGrades+'!$AD$9,"B-",IF(J503&lt;'PlayerGrades+'!$AD$8,"B",IF(J503&lt;'PlayerGrades+'!$AD$7,"B+",IF(J503&lt;'PlayerGrades+'!$AD$6,"A-",IF(J503&lt;'PlayerGrades+'!$AD$5,"A",IF(J503&lt;'PlayerGrades+'!$AD$4,"A+",IF(J503&lt;'PlayerGrades+'!$AD$3,"S-",IF(J503&lt;'PlayerGrades+'!$AD$2,"S","S+"))))))))))))))))))))</f>
        <v>#DIV/0!</v>
      </c>
      <c r="L503" s="1176" t="str">
        <f t="shared" si="5"/>
        <v>#DIV/0!</v>
      </c>
      <c r="M503" s="992" t="str">
        <f>IF(L503&lt;'PlayerGrades+'!$AE$21,"F-",IF(L503&lt;'PlayerGrades+'!$AE$20,"F",IF(L503&lt;'PlayerGrades+'!$AE$19,"F+",IF(L503&lt;'PlayerGrades+'!$AE$18,"E-",IF(L503&lt;'PlayerGrades+'!$AE$17,"E",IF(L503&lt;'PlayerGrades+'!$AE$16,"E+",IF(L503&lt;'PlayerGrades+'!$AE$15,"D-",IF(L503&lt;'PlayerGrades+'!$AE$14,"D",IF(L503&lt;'PlayerGrades+'!$AE$13,"D+",IF(L503&lt;'PlayerGrades+'!$AE$12,"C-",IF(L503&lt;'PlayerGrades+'!$AE$11,"C",IF(L503&lt;'PlayerGrades+'!$AE$10,"C+",IF(L503&lt;'PlayerGrades+'!$AE$9,"B-",IF(L503&lt;'PlayerGrades+'!$AE$8,"B",IF(L503&lt;'PlayerGrades+'!$AE$7,"B+",IF(L503&lt;'PlayerGrades+'!$AE$6,"A-",IF(L503&lt;'PlayerGrades+'!$AE$5,"A",IF(L503&lt;'PlayerGrades+'!$AE$4,"A+",IF(L503&lt;'PlayerGrades+'!$AE$3,"S-",IF(L503&lt;'PlayerGrades+'!$AE$2,"S","S+"))))))))))))))))))))</f>
        <v>#DIV/0!</v>
      </c>
      <c r="N503" s="961" t="str">
        <f t="shared" si="6"/>
        <v>#DIV/0!</v>
      </c>
      <c r="O503" s="961" t="str">
        <f>IF(N503&lt;'PlayerGrades+'!$AF$21,"F-",IF(N503&lt;'PlayerGrades+'!$AF$20,"F",IF(N503&lt;'PlayerGrades+'!$AF$19,"F+",IF(N503&lt;'PlayerGrades+'!$AF$18,"E-",IF(N503&lt;'PlayerGrades+'!$AF$17,"E",IF(N503&lt;'PlayerGrades+'!$AF$16,"E+",IF(N503&lt;'PlayerGrades+'!$AF$15,"D-",IF(N503&lt;'PlayerGrades+'!$AF$14,"D",IF(N503&lt;'PlayerGrades+'!$AF$13,"D+",IF(N503&lt;'PlayerGrades+'!$AF$12,"C-",IF(N503&lt;'PlayerGrades+'!$AF$11,"C",IF(N503&lt;'PlayerGrades+'!$AF$10,"C+",IF(N503&lt;'PlayerGrades+'!$AF$9,"B-",IF(N503&lt;'PlayerGrades+'!$AF$8,"B",IF(N503&lt;'PlayerGrades+'!$AF$7,"B+",IF(N503&lt;'PlayerGrades+'!$AF$6,"A-",IF(N503&lt;'PlayerGrades+'!$AF$5,"A",IF(N503&lt;'PlayerGrades+'!$AF$4,"A+",IF(N503&lt;'PlayerGrades+'!$AF$3,"S-",IF(N503&lt;'PlayerGrades+'!$AF$2,"S","S+"))))))))))))))))))))</f>
        <v>#DIV/0!</v>
      </c>
      <c r="P503" s="961" t="str">
        <f t="shared" si="7"/>
        <v>#DIV/0!</v>
      </c>
      <c r="Q503" s="961" t="str">
        <f>IF(P503&lt;'PlayerGrades+'!$AG$21,"F-",IF(P503&lt;'PlayerGrades+'!$AG$20,"F",IF(P503&lt;'PlayerGrades+'!$AG$19,"F+",IF(P503&lt;'PlayerGrades+'!$AG$18,"E-",IF(P503&lt;'PlayerGrades+'!$AG$17,"E",IF(P503&lt;'PlayerGrades+'!$AG$16,"E+",IF(P503&lt;'PlayerGrades+'!$AG$15,"D-",IF(P503&lt;'PlayerGrades+'!$AG$14,"D",IF(P503&lt;'PlayerGrades+'!$AG$13,"D+",IF(P503&lt;'PlayerGrades+'!$AG$12,"C-",IF(P503&lt;'PlayerGrades+'!$AG$11,"C",IF(P503&lt;'PlayerGrades+'!$AG$10,"C+",IF(P503&lt;'PlayerGrades+'!$AG$9,"B-",IF(P503&lt;'PlayerGrades+'!$AG$8,"B",IF(P503&lt;'PlayerGrades+'!$AG$7,"B+",IF(P503&lt;'PlayerGrades+'!$AG$6,"A-",IF(P503&lt;'PlayerGrades+'!$AG$5,"A",IF(P503&lt;'PlayerGrades+'!$AG$4,"A+",IF(P503&lt;'PlayerGrades+'!$AG$3,"S-",IF(P503&lt;'PlayerGrades+'!$AG$2,"S","S+"))))))))))))))))))))</f>
        <v>#DIV/0!</v>
      </c>
      <c r="R503" s="961" t="str">
        <f t="shared" si="8"/>
        <v>#DIV/0!</v>
      </c>
      <c r="S503" s="961" t="str">
        <f>IF(R503&lt;'PlayerGrades+'!$AH$21,"F-",IF(R503&lt;'PlayerGrades+'!$AH$20,"F",IF(R503&lt;'PlayerGrades+'!$AH$19,"F+",IF(R503&lt;'PlayerGrades+'!$AH$18,"E-",IF(R503&lt;'PlayerGrades+'!$AH$17,"E",IF(R503&lt;'PlayerGrades+'!$AH$16,"E+",IF(R503&lt;'PlayerGrades+'!$AH$15,"D-",IF(R503&lt;'PlayerGrades+'!$AH$14,"D",IF(R503&lt;'PlayerGrades+'!$AH$13,"D+",IF(R503&lt;'PlayerGrades+'!$AH$12,"C-",IF(R503&lt;'PlayerGrades+'!$AH$11,"C",IF(R503&lt;'PlayerGrades+'!$AH$10,"C+",IF(R503&lt;'PlayerGrades+'!$AH$9,"B-",IF(R503&lt;'PlayerGrades+'!$AH$8,"B",IF(R503&lt;'PlayerGrades+'!$AH$7,"B+",IF(R503&lt;'PlayerGrades+'!$AH$6,"A-",IF(R503&lt;'PlayerGrades+'!$AH$5,"A",IF(R503&lt;'PlayerGrades+'!$AH$4,"A+",IF(R503&lt;'PlayerGrades+'!$AH$3,"S-",IF(R503&lt;'PlayerGrades+'!$AH$2,"S","S+"))))))))))))))))))))</f>
        <v>#DIV/0!</v>
      </c>
      <c r="T503" s="961">
        <f t="shared" si="9"/>
        <v>0</v>
      </c>
      <c r="U503" s="961" t="str">
        <f>IF(T503&lt;'PlayerGrades+'!$AI$21,"F-",IF(T503&lt;'PlayerGrades+'!$AI$20,"F",IF(T503&lt;'PlayerGrades+'!$AI$19,"F+",IF(T503&lt;'PlayerGrades+'!$AI$18,"E-",IF(T503&lt;'PlayerGrades+'!$AI$17,"E",IF(T503&lt;'PlayerGrades+'!$AI$16,"E+",IF(T503&lt;'PlayerGrades+'!$AI$15,"D-",IF(T503&lt;'PlayerGrades+'!$AI$14,"D",IF(T503&lt;'PlayerGrades+'!$AI$13,"D+",IF(T503&lt;'PlayerGrades+'!$AI$12,"C-",IF(T503&lt;'PlayerGrades+'!$AI$11,"C",IF(T503&lt;'PlayerGrades+'!$AI$10,"C+",IF(T503&lt;'PlayerGrades+'!$AI$9,"B-",IF(T503&lt;'PlayerGrades+'!$AI$8,"B",IF(T503&lt;'PlayerGrades+'!$AI$7,"B+",IF(T503&lt;'PlayerGrades+'!$AI$6,"A-",IF(T503&lt;'PlayerGrades+'!$AI$5,"A",IF(T503&lt;'PlayerGrades+'!$AI$4,"A+",IF(T503&lt;'PlayerGrades+'!$AI$3,"S-",IF(T503&lt;'PlayerGrades+'!$AI$2,"S","S+"))))))))))))))))))))</f>
        <v>F-</v>
      </c>
      <c r="AC503" s="1392"/>
    </row>
    <row r="504">
      <c r="A504" s="1391"/>
      <c r="B504" s="611" t="str">
        <f>IF(C504&lt;'PlayerGrades+'!$Y$44,"F-",IF(C504&lt;'PlayerGrades+'!$Y$43,"F",IF(C504&lt;'PlayerGrades+'!$Y$42,"F+",IF(C504&lt;'PlayerGrades+'!$Y$41,"E-",IF(C504&lt;'PlayerGrades+'!$Y$40,"E",IF(C504&lt;'PlayerGrades+'!$Y$39,"E+",IF(C504&lt;'PlayerGrades+'!$Y$38,"D-",IF(C504&lt;'PlayerGrades+'!$Y$37,"D",IF(C504&lt;'PlayerGrades+'!$Y$36,"D+",IF(C504&lt;'PlayerGrades+'!$Y$35,"C-",IF(C504&lt;'PlayerGrades+'!$Y$34,"C",IF(C504&lt;'PlayerGrades+'!$Y$33,"C+",IF(C504&lt;'PlayerGrades+'!$Y$32,"B-",IF(C504&lt;'PlayerGrades+'!$Y$31,"B",IF(C504&lt;'PlayerGrades+'!$Y$30,"B+",IF(C504&lt;'PlayerGrades+'!$Y$29,"A-",IF(C504&lt;'PlayerGrades+'!$Y$28,"A",IF(C504&lt;'PlayerGrades+'!$Y$27,"A+",IF(C504&lt;'PlayerGrades+'!$Y$26,"S-",IF(C504&lt;'PlayerGrades+'!$Y$25,"S","S+"))))))))))))))))))))</f>
        <v>#DIV/0!</v>
      </c>
      <c r="C504" s="1378" t="str">
        <f>('PlayerGrades+'!$Y$47*(VLOOKUP(E504, 'PlayerGrades+'!$X$3:$Y$23, 2, FALSE)))+('PlayerGrades+'!$Y$48*(VLOOKUP(G504, 'PlayerGrades+'!$X$3:$Y$23, 2, FALSE)))+('PlayerGrades+'!$Y$49*(VLOOKUP(I504, 'PlayerGrades+'!$X$3:$Y$23, 2, FALSE)))+('PlayerGrades+'!$Y$50*(VLOOKUP(K504, 'PlayerGrades+'!$X$3:$Y$23, 2, FALSE)))+('PlayerGrades+'!$Y$51*(VLOOKUP(M504, 'PlayerGrades+'!$X$3:$Y$23, 2, FALSE)))+('PlayerGrades+'!$Y$52*(VLOOKUP(O504, 'PlayerGrades+'!$X$3:$Y$23, 2, FALSE)))+('PlayerGrades+'!$Y$53*(VLOOKUP(Q504, 'PlayerGrades+'!$X$3:$Y$23, 2, FALSE)))+('PlayerGrades+'!$Y$54*(VLOOKUP(S504, 'PlayerGrades+'!$X$3:$Y$23, 2, FALSE)))+('PlayerGrades+'!$Y$55*(VLOOKUP(U504, 'PlayerGrades+'!$X$3:$Y$23, 2, FALSE)))</f>
        <v>#DIV/0!</v>
      </c>
      <c r="D504" s="961" t="str">
        <f t="shared" si="1"/>
        <v>#DIV/0!</v>
      </c>
      <c r="E504" s="961" t="str">
        <f>IF(D504&lt;'PlayerGrades+'!$AA$21,"F-",IF(D504&lt;'PlayerGrades+'!$AA$20,"F",IF(D504&lt;'PlayerGrades+'!$AA$19,"F+",IF(D504&lt;'PlayerGrades+'!$AA$18,"E-",IF(D504&lt;'PlayerGrades+'!$AA$17,"E",IF(D504&lt;'PlayerGrades+'!$AA$16,"E+",IF(D504&lt;'PlayerGrades+'!$AA$15,"D-",IF(D504&lt;'PlayerGrades+'!$AA$14,"D",IF(D504&lt;'PlayerGrades+'!$AA$13,"D+",IF(D504&lt;'PlayerGrades+'!$AA$12,"C-",IF(D504&lt;'PlayerGrades+'!$AA$11,"C",IF(D504&lt;'PlayerGrades+'!$AA$10,"C+",IF(D504&lt;'PlayerGrades+'!$AA$9,"B-",IF(D504&lt;'PlayerGrades+'!$AA$8,"B",IF(D504&lt;'PlayerGrades+'!$AA$7,"B+",IF(D504&lt;'PlayerGrades+'!$AA$6,"A-",IF(D504&lt;'PlayerGrades+'!$AA$5,"A",IF(D504&lt;'PlayerGrades+'!$AA$4,"A+",IF(D504&lt;'PlayerGrades+'!$AA$3,"S-",IF(D504&lt;'PlayerGrades+'!$AA$2,"S","S+"))))))))))))))))))))</f>
        <v>#DIV/0!</v>
      </c>
      <c r="F504" s="961" t="str">
        <f t="shared" si="2"/>
        <v>#DIV/0!</v>
      </c>
      <c r="G504" s="961" t="str">
        <f>IF(F504&lt;'PlayerGrades+'!$AB$21,"F-",IF(F504&lt;'PlayerGrades+'!$AB$20,"F",IF(F504&lt;'PlayerGrades+'!$AB$19,"F+",IF(F504&lt;'PlayerGrades+'!$AB$18,"E-",IF(F504&lt;'PlayerGrades+'!$AB$17,"E",IF(F504&lt;'PlayerGrades+'!$AB$16,"E+",IF(F504&lt;'PlayerGrades+'!$AB$15,"D-",IF(F504&lt;'PlayerGrades+'!$AB$14,"D",IF(F504&lt;'PlayerGrades+'!$AB$13,"D+",IF(F504&lt;'PlayerGrades+'!$AB$12,"C-",IF(F504&lt;'PlayerGrades+'!$AB$11,"C",IF(F504&lt;'PlayerGrades+'!$AB$10,"C+",IF(F504&lt;'PlayerGrades+'!$AB$9,"B-",IF(F504&lt;'PlayerGrades+'!$AB$8,"B",IF(F504&lt;'PlayerGrades+'!$AB$7,"B+",IF(F504&lt;'PlayerGrades+'!$AB$6,"A-",IF(F504&lt;'PlayerGrades+'!$AB$5,"A",IF(F504&lt;'PlayerGrades+'!$AB$4,"A+",IF(F504&lt;'PlayerGrades+'!$AB$3,"S-",IF(F504&lt;'PlayerGrades+'!$AB$2,"S","S+"))))))))))))))))))))</f>
        <v>#DIV/0!</v>
      </c>
      <c r="H504" s="961" t="str">
        <f t="shared" si="3"/>
        <v>#DIV/0!</v>
      </c>
      <c r="I504" s="961" t="str">
        <f>IF(H504&lt;'PlayerGrades+'!$AC$21,"F-",IF(H504&lt;'PlayerGrades+'!$AC$20,"F",IF(H504&lt;'PlayerGrades+'!$AC$19,"F+",IF(H504&lt;'PlayerGrades+'!$AC$18,"E-",IF(H504&lt;'PlayerGrades+'!$AC$17,"E",IF(H504&lt;'PlayerGrades+'!$AC$16,"E+",IF(H504&lt;'PlayerGrades+'!$AC$15,"D-",IF(H504&lt;'PlayerGrades+'!$AC$14,"D",IF(H504&lt;'PlayerGrades+'!$AC$13,"D+",IF(H504&lt;'PlayerGrades+'!$AC$12,"C-",IF(H504&lt;'PlayerGrades+'!$AC$11,"C",IF(H504&lt;'PlayerGrades+'!$AC$10,"C+",IF(H504&lt;'PlayerGrades+'!$AC$9,"B-",IF(H504&lt;'PlayerGrades+'!$AC$8,"B",IF(H504&lt;'PlayerGrades+'!$AC$7,"B+",IF(H504&lt;'PlayerGrades+'!$AC$6,"A-",IF(H504&lt;'PlayerGrades+'!$AC$5,"A",IF(H504&lt;'PlayerGrades+'!$AC$4,"A+",IF(H504&lt;'PlayerGrades+'!$AC$3,"S-",IF(H504&lt;'PlayerGrades+'!$AC$2,"S","S+"))))))))))))))))))))</f>
        <v>#DIV/0!</v>
      </c>
      <c r="J504" s="961" t="str">
        <f t="shared" si="4"/>
        <v>#DIV/0!</v>
      </c>
      <c r="K504" s="961" t="str">
        <f>IF(J504&lt;'PlayerGrades+'!$AD$21,"F-",IF(J504&lt;'PlayerGrades+'!$AD$20,"F",IF(J504&lt;'PlayerGrades+'!$AD$19,"F+",IF(J504&lt;'PlayerGrades+'!$AD$18,"E-",IF(J504&lt;'PlayerGrades+'!$AD$17,"E",IF(J504&lt;'PlayerGrades+'!$AD$16,"E+",IF(J504&lt;'PlayerGrades+'!$AD$15,"D-",IF(J504&lt;'PlayerGrades+'!$AD$14,"D",IF(J504&lt;'PlayerGrades+'!$AD$13,"D+",IF(J504&lt;'PlayerGrades+'!$AD$12,"C-",IF(J504&lt;'PlayerGrades+'!$AD$11,"C",IF(J504&lt;'PlayerGrades+'!$AD$10,"C+",IF(J504&lt;'PlayerGrades+'!$AD$9,"B-",IF(J504&lt;'PlayerGrades+'!$AD$8,"B",IF(J504&lt;'PlayerGrades+'!$AD$7,"B+",IF(J504&lt;'PlayerGrades+'!$AD$6,"A-",IF(J504&lt;'PlayerGrades+'!$AD$5,"A",IF(J504&lt;'PlayerGrades+'!$AD$4,"A+",IF(J504&lt;'PlayerGrades+'!$AD$3,"S-",IF(J504&lt;'PlayerGrades+'!$AD$2,"S","S+"))))))))))))))))))))</f>
        <v>#DIV/0!</v>
      </c>
      <c r="L504" s="1176" t="str">
        <f t="shared" si="5"/>
        <v>#DIV/0!</v>
      </c>
      <c r="M504" s="992" t="str">
        <f>IF(L504&lt;'PlayerGrades+'!$AE$21,"F-",IF(L504&lt;'PlayerGrades+'!$AE$20,"F",IF(L504&lt;'PlayerGrades+'!$AE$19,"F+",IF(L504&lt;'PlayerGrades+'!$AE$18,"E-",IF(L504&lt;'PlayerGrades+'!$AE$17,"E",IF(L504&lt;'PlayerGrades+'!$AE$16,"E+",IF(L504&lt;'PlayerGrades+'!$AE$15,"D-",IF(L504&lt;'PlayerGrades+'!$AE$14,"D",IF(L504&lt;'PlayerGrades+'!$AE$13,"D+",IF(L504&lt;'PlayerGrades+'!$AE$12,"C-",IF(L504&lt;'PlayerGrades+'!$AE$11,"C",IF(L504&lt;'PlayerGrades+'!$AE$10,"C+",IF(L504&lt;'PlayerGrades+'!$AE$9,"B-",IF(L504&lt;'PlayerGrades+'!$AE$8,"B",IF(L504&lt;'PlayerGrades+'!$AE$7,"B+",IF(L504&lt;'PlayerGrades+'!$AE$6,"A-",IF(L504&lt;'PlayerGrades+'!$AE$5,"A",IF(L504&lt;'PlayerGrades+'!$AE$4,"A+",IF(L504&lt;'PlayerGrades+'!$AE$3,"S-",IF(L504&lt;'PlayerGrades+'!$AE$2,"S","S+"))))))))))))))))))))</f>
        <v>#DIV/0!</v>
      </c>
      <c r="N504" s="961" t="str">
        <f t="shared" si="6"/>
        <v>#DIV/0!</v>
      </c>
      <c r="O504" s="961" t="str">
        <f>IF(N504&lt;'PlayerGrades+'!$AF$21,"F-",IF(N504&lt;'PlayerGrades+'!$AF$20,"F",IF(N504&lt;'PlayerGrades+'!$AF$19,"F+",IF(N504&lt;'PlayerGrades+'!$AF$18,"E-",IF(N504&lt;'PlayerGrades+'!$AF$17,"E",IF(N504&lt;'PlayerGrades+'!$AF$16,"E+",IF(N504&lt;'PlayerGrades+'!$AF$15,"D-",IF(N504&lt;'PlayerGrades+'!$AF$14,"D",IF(N504&lt;'PlayerGrades+'!$AF$13,"D+",IF(N504&lt;'PlayerGrades+'!$AF$12,"C-",IF(N504&lt;'PlayerGrades+'!$AF$11,"C",IF(N504&lt;'PlayerGrades+'!$AF$10,"C+",IF(N504&lt;'PlayerGrades+'!$AF$9,"B-",IF(N504&lt;'PlayerGrades+'!$AF$8,"B",IF(N504&lt;'PlayerGrades+'!$AF$7,"B+",IF(N504&lt;'PlayerGrades+'!$AF$6,"A-",IF(N504&lt;'PlayerGrades+'!$AF$5,"A",IF(N504&lt;'PlayerGrades+'!$AF$4,"A+",IF(N504&lt;'PlayerGrades+'!$AF$3,"S-",IF(N504&lt;'PlayerGrades+'!$AF$2,"S","S+"))))))))))))))))))))</f>
        <v>#DIV/0!</v>
      </c>
      <c r="P504" s="961" t="str">
        <f t="shared" si="7"/>
        <v>#DIV/0!</v>
      </c>
      <c r="Q504" s="961" t="str">
        <f>IF(P504&lt;'PlayerGrades+'!$AG$21,"F-",IF(P504&lt;'PlayerGrades+'!$AG$20,"F",IF(P504&lt;'PlayerGrades+'!$AG$19,"F+",IF(P504&lt;'PlayerGrades+'!$AG$18,"E-",IF(P504&lt;'PlayerGrades+'!$AG$17,"E",IF(P504&lt;'PlayerGrades+'!$AG$16,"E+",IF(P504&lt;'PlayerGrades+'!$AG$15,"D-",IF(P504&lt;'PlayerGrades+'!$AG$14,"D",IF(P504&lt;'PlayerGrades+'!$AG$13,"D+",IF(P504&lt;'PlayerGrades+'!$AG$12,"C-",IF(P504&lt;'PlayerGrades+'!$AG$11,"C",IF(P504&lt;'PlayerGrades+'!$AG$10,"C+",IF(P504&lt;'PlayerGrades+'!$AG$9,"B-",IF(P504&lt;'PlayerGrades+'!$AG$8,"B",IF(P504&lt;'PlayerGrades+'!$AG$7,"B+",IF(P504&lt;'PlayerGrades+'!$AG$6,"A-",IF(P504&lt;'PlayerGrades+'!$AG$5,"A",IF(P504&lt;'PlayerGrades+'!$AG$4,"A+",IF(P504&lt;'PlayerGrades+'!$AG$3,"S-",IF(P504&lt;'PlayerGrades+'!$AG$2,"S","S+"))))))))))))))))))))</f>
        <v>#DIV/0!</v>
      </c>
      <c r="R504" s="961" t="str">
        <f t="shared" si="8"/>
        <v>#DIV/0!</v>
      </c>
      <c r="S504" s="961" t="str">
        <f>IF(R504&lt;'PlayerGrades+'!$AH$21,"F-",IF(R504&lt;'PlayerGrades+'!$AH$20,"F",IF(R504&lt;'PlayerGrades+'!$AH$19,"F+",IF(R504&lt;'PlayerGrades+'!$AH$18,"E-",IF(R504&lt;'PlayerGrades+'!$AH$17,"E",IF(R504&lt;'PlayerGrades+'!$AH$16,"E+",IF(R504&lt;'PlayerGrades+'!$AH$15,"D-",IF(R504&lt;'PlayerGrades+'!$AH$14,"D",IF(R504&lt;'PlayerGrades+'!$AH$13,"D+",IF(R504&lt;'PlayerGrades+'!$AH$12,"C-",IF(R504&lt;'PlayerGrades+'!$AH$11,"C",IF(R504&lt;'PlayerGrades+'!$AH$10,"C+",IF(R504&lt;'PlayerGrades+'!$AH$9,"B-",IF(R504&lt;'PlayerGrades+'!$AH$8,"B",IF(R504&lt;'PlayerGrades+'!$AH$7,"B+",IF(R504&lt;'PlayerGrades+'!$AH$6,"A-",IF(R504&lt;'PlayerGrades+'!$AH$5,"A",IF(R504&lt;'PlayerGrades+'!$AH$4,"A+",IF(R504&lt;'PlayerGrades+'!$AH$3,"S-",IF(R504&lt;'PlayerGrades+'!$AH$2,"S","S+"))))))))))))))))))))</f>
        <v>#DIV/0!</v>
      </c>
      <c r="T504" s="961">
        <f t="shared" si="9"/>
        <v>0</v>
      </c>
      <c r="U504" s="961" t="str">
        <f>IF(T504&lt;'PlayerGrades+'!$AI$21,"F-",IF(T504&lt;'PlayerGrades+'!$AI$20,"F",IF(T504&lt;'PlayerGrades+'!$AI$19,"F+",IF(T504&lt;'PlayerGrades+'!$AI$18,"E-",IF(T504&lt;'PlayerGrades+'!$AI$17,"E",IF(T504&lt;'PlayerGrades+'!$AI$16,"E+",IF(T504&lt;'PlayerGrades+'!$AI$15,"D-",IF(T504&lt;'PlayerGrades+'!$AI$14,"D",IF(T504&lt;'PlayerGrades+'!$AI$13,"D+",IF(T504&lt;'PlayerGrades+'!$AI$12,"C-",IF(T504&lt;'PlayerGrades+'!$AI$11,"C",IF(T504&lt;'PlayerGrades+'!$AI$10,"C+",IF(T504&lt;'PlayerGrades+'!$AI$9,"B-",IF(T504&lt;'PlayerGrades+'!$AI$8,"B",IF(T504&lt;'PlayerGrades+'!$AI$7,"B+",IF(T504&lt;'PlayerGrades+'!$AI$6,"A-",IF(T504&lt;'PlayerGrades+'!$AI$5,"A",IF(T504&lt;'PlayerGrades+'!$AI$4,"A+",IF(T504&lt;'PlayerGrades+'!$AI$3,"S-",IF(T504&lt;'PlayerGrades+'!$AI$2,"S","S+"))))))))))))))))))))</f>
        <v>F-</v>
      </c>
      <c r="AC504" s="1392"/>
    </row>
    <row r="505">
      <c r="A505" s="1393"/>
      <c r="B505" s="611" t="str">
        <f>IF(C505&lt;'PlayerGrades+'!$Y$44,"F-",IF(C505&lt;'PlayerGrades+'!$Y$43,"F",IF(C505&lt;'PlayerGrades+'!$Y$42,"F+",IF(C505&lt;'PlayerGrades+'!$Y$41,"E-",IF(C505&lt;'PlayerGrades+'!$Y$40,"E",IF(C505&lt;'PlayerGrades+'!$Y$39,"E+",IF(C505&lt;'PlayerGrades+'!$Y$38,"D-",IF(C505&lt;'PlayerGrades+'!$Y$37,"D",IF(C505&lt;'PlayerGrades+'!$Y$36,"D+",IF(C505&lt;'PlayerGrades+'!$Y$35,"C-",IF(C505&lt;'PlayerGrades+'!$Y$34,"C",IF(C505&lt;'PlayerGrades+'!$Y$33,"C+",IF(C505&lt;'PlayerGrades+'!$Y$32,"B-",IF(C505&lt;'PlayerGrades+'!$Y$31,"B",IF(C505&lt;'PlayerGrades+'!$Y$30,"B+",IF(C505&lt;'PlayerGrades+'!$Y$29,"A-",IF(C505&lt;'PlayerGrades+'!$Y$28,"A",IF(C505&lt;'PlayerGrades+'!$Y$27,"A+",IF(C505&lt;'PlayerGrades+'!$Y$26,"S-",IF(C505&lt;'PlayerGrades+'!$Y$25,"S","S+"))))))))))))))))))))</f>
        <v>#DIV/0!</v>
      </c>
      <c r="C505" s="1378" t="str">
        <f>('PlayerGrades+'!$Y$47*(VLOOKUP(E505, 'PlayerGrades+'!$X$3:$Y$23, 2, FALSE)))+('PlayerGrades+'!$Y$48*(VLOOKUP(G505, 'PlayerGrades+'!$X$3:$Y$23, 2, FALSE)))+('PlayerGrades+'!$Y$49*(VLOOKUP(I505, 'PlayerGrades+'!$X$3:$Y$23, 2, FALSE)))+('PlayerGrades+'!$Y$50*(VLOOKUP(K505, 'PlayerGrades+'!$X$3:$Y$23, 2, FALSE)))+('PlayerGrades+'!$Y$51*(VLOOKUP(M505, 'PlayerGrades+'!$X$3:$Y$23, 2, FALSE)))+('PlayerGrades+'!$Y$52*(VLOOKUP(O505, 'PlayerGrades+'!$X$3:$Y$23, 2, FALSE)))+('PlayerGrades+'!$Y$53*(VLOOKUP(Q505, 'PlayerGrades+'!$X$3:$Y$23, 2, FALSE)))+('PlayerGrades+'!$Y$54*(VLOOKUP(S505, 'PlayerGrades+'!$X$3:$Y$23, 2, FALSE)))+('PlayerGrades+'!$Y$55*(VLOOKUP(U505, 'PlayerGrades+'!$X$3:$Y$23, 2, FALSE)))</f>
        <v>#DIV/0!</v>
      </c>
      <c r="D505" s="961" t="str">
        <f t="shared" si="1"/>
        <v>#DIV/0!</v>
      </c>
      <c r="E505" s="961" t="str">
        <f>IF(D505&lt;'PlayerGrades+'!$AA$21,"F-",IF(D505&lt;'PlayerGrades+'!$AA$20,"F",IF(D505&lt;'PlayerGrades+'!$AA$19,"F+",IF(D505&lt;'PlayerGrades+'!$AA$18,"E-",IF(D505&lt;'PlayerGrades+'!$AA$17,"E",IF(D505&lt;'PlayerGrades+'!$AA$16,"E+",IF(D505&lt;'PlayerGrades+'!$AA$15,"D-",IF(D505&lt;'PlayerGrades+'!$AA$14,"D",IF(D505&lt;'PlayerGrades+'!$AA$13,"D+",IF(D505&lt;'PlayerGrades+'!$AA$12,"C-",IF(D505&lt;'PlayerGrades+'!$AA$11,"C",IF(D505&lt;'PlayerGrades+'!$AA$10,"C+",IF(D505&lt;'PlayerGrades+'!$AA$9,"B-",IF(D505&lt;'PlayerGrades+'!$AA$8,"B",IF(D505&lt;'PlayerGrades+'!$AA$7,"B+",IF(D505&lt;'PlayerGrades+'!$AA$6,"A-",IF(D505&lt;'PlayerGrades+'!$AA$5,"A",IF(D505&lt;'PlayerGrades+'!$AA$4,"A+",IF(D505&lt;'PlayerGrades+'!$AA$3,"S-",IF(D505&lt;'PlayerGrades+'!$AA$2,"S","S+"))))))))))))))))))))</f>
        <v>#DIV/0!</v>
      </c>
      <c r="F505" s="961" t="str">
        <f t="shared" si="2"/>
        <v>#DIV/0!</v>
      </c>
      <c r="G505" s="961" t="str">
        <f>IF(F505&lt;'PlayerGrades+'!$AB$21,"F-",IF(F505&lt;'PlayerGrades+'!$AB$20,"F",IF(F505&lt;'PlayerGrades+'!$AB$19,"F+",IF(F505&lt;'PlayerGrades+'!$AB$18,"E-",IF(F505&lt;'PlayerGrades+'!$AB$17,"E",IF(F505&lt;'PlayerGrades+'!$AB$16,"E+",IF(F505&lt;'PlayerGrades+'!$AB$15,"D-",IF(F505&lt;'PlayerGrades+'!$AB$14,"D",IF(F505&lt;'PlayerGrades+'!$AB$13,"D+",IF(F505&lt;'PlayerGrades+'!$AB$12,"C-",IF(F505&lt;'PlayerGrades+'!$AB$11,"C",IF(F505&lt;'PlayerGrades+'!$AB$10,"C+",IF(F505&lt;'PlayerGrades+'!$AB$9,"B-",IF(F505&lt;'PlayerGrades+'!$AB$8,"B",IF(F505&lt;'PlayerGrades+'!$AB$7,"B+",IF(F505&lt;'PlayerGrades+'!$AB$6,"A-",IF(F505&lt;'PlayerGrades+'!$AB$5,"A",IF(F505&lt;'PlayerGrades+'!$AB$4,"A+",IF(F505&lt;'PlayerGrades+'!$AB$3,"S-",IF(F505&lt;'PlayerGrades+'!$AB$2,"S","S+"))))))))))))))))))))</f>
        <v>#DIV/0!</v>
      </c>
      <c r="H505" s="961" t="str">
        <f t="shared" si="3"/>
        <v>#DIV/0!</v>
      </c>
      <c r="I505" s="961" t="str">
        <f>IF(H505&lt;'PlayerGrades+'!$AC$21,"F-",IF(H505&lt;'PlayerGrades+'!$AC$20,"F",IF(H505&lt;'PlayerGrades+'!$AC$19,"F+",IF(H505&lt;'PlayerGrades+'!$AC$18,"E-",IF(H505&lt;'PlayerGrades+'!$AC$17,"E",IF(H505&lt;'PlayerGrades+'!$AC$16,"E+",IF(H505&lt;'PlayerGrades+'!$AC$15,"D-",IF(H505&lt;'PlayerGrades+'!$AC$14,"D",IF(H505&lt;'PlayerGrades+'!$AC$13,"D+",IF(H505&lt;'PlayerGrades+'!$AC$12,"C-",IF(H505&lt;'PlayerGrades+'!$AC$11,"C",IF(H505&lt;'PlayerGrades+'!$AC$10,"C+",IF(H505&lt;'PlayerGrades+'!$AC$9,"B-",IF(H505&lt;'PlayerGrades+'!$AC$8,"B",IF(H505&lt;'PlayerGrades+'!$AC$7,"B+",IF(H505&lt;'PlayerGrades+'!$AC$6,"A-",IF(H505&lt;'PlayerGrades+'!$AC$5,"A",IF(H505&lt;'PlayerGrades+'!$AC$4,"A+",IF(H505&lt;'PlayerGrades+'!$AC$3,"S-",IF(H505&lt;'PlayerGrades+'!$AC$2,"S","S+"))))))))))))))))))))</f>
        <v>#DIV/0!</v>
      </c>
      <c r="J505" s="961" t="str">
        <f t="shared" si="4"/>
        <v>#DIV/0!</v>
      </c>
      <c r="K505" s="961" t="str">
        <f>IF(J505&lt;'PlayerGrades+'!$AD$21,"F-",IF(J505&lt;'PlayerGrades+'!$AD$20,"F",IF(J505&lt;'PlayerGrades+'!$AD$19,"F+",IF(J505&lt;'PlayerGrades+'!$AD$18,"E-",IF(J505&lt;'PlayerGrades+'!$AD$17,"E",IF(J505&lt;'PlayerGrades+'!$AD$16,"E+",IF(J505&lt;'PlayerGrades+'!$AD$15,"D-",IF(J505&lt;'PlayerGrades+'!$AD$14,"D",IF(J505&lt;'PlayerGrades+'!$AD$13,"D+",IF(J505&lt;'PlayerGrades+'!$AD$12,"C-",IF(J505&lt;'PlayerGrades+'!$AD$11,"C",IF(J505&lt;'PlayerGrades+'!$AD$10,"C+",IF(J505&lt;'PlayerGrades+'!$AD$9,"B-",IF(J505&lt;'PlayerGrades+'!$AD$8,"B",IF(J505&lt;'PlayerGrades+'!$AD$7,"B+",IF(J505&lt;'PlayerGrades+'!$AD$6,"A-",IF(J505&lt;'PlayerGrades+'!$AD$5,"A",IF(J505&lt;'PlayerGrades+'!$AD$4,"A+",IF(J505&lt;'PlayerGrades+'!$AD$3,"S-",IF(J505&lt;'PlayerGrades+'!$AD$2,"S","S+"))))))))))))))))))))</f>
        <v>#DIV/0!</v>
      </c>
      <c r="L505" s="1176" t="str">
        <f t="shared" si="5"/>
        <v>#DIV/0!</v>
      </c>
      <c r="M505" s="992" t="str">
        <f>IF(L505&lt;'PlayerGrades+'!$AE$21,"F-",IF(L505&lt;'PlayerGrades+'!$AE$20,"F",IF(L505&lt;'PlayerGrades+'!$AE$19,"F+",IF(L505&lt;'PlayerGrades+'!$AE$18,"E-",IF(L505&lt;'PlayerGrades+'!$AE$17,"E",IF(L505&lt;'PlayerGrades+'!$AE$16,"E+",IF(L505&lt;'PlayerGrades+'!$AE$15,"D-",IF(L505&lt;'PlayerGrades+'!$AE$14,"D",IF(L505&lt;'PlayerGrades+'!$AE$13,"D+",IF(L505&lt;'PlayerGrades+'!$AE$12,"C-",IF(L505&lt;'PlayerGrades+'!$AE$11,"C",IF(L505&lt;'PlayerGrades+'!$AE$10,"C+",IF(L505&lt;'PlayerGrades+'!$AE$9,"B-",IF(L505&lt;'PlayerGrades+'!$AE$8,"B",IF(L505&lt;'PlayerGrades+'!$AE$7,"B+",IF(L505&lt;'PlayerGrades+'!$AE$6,"A-",IF(L505&lt;'PlayerGrades+'!$AE$5,"A",IF(L505&lt;'PlayerGrades+'!$AE$4,"A+",IF(L505&lt;'PlayerGrades+'!$AE$3,"S-",IF(L505&lt;'PlayerGrades+'!$AE$2,"S","S+"))))))))))))))))))))</f>
        <v>#DIV/0!</v>
      </c>
      <c r="N505" s="961" t="str">
        <f t="shared" si="6"/>
        <v>#DIV/0!</v>
      </c>
      <c r="O505" s="961" t="str">
        <f>IF(N505&lt;'PlayerGrades+'!$AF$21,"F-",IF(N505&lt;'PlayerGrades+'!$AF$20,"F",IF(N505&lt;'PlayerGrades+'!$AF$19,"F+",IF(N505&lt;'PlayerGrades+'!$AF$18,"E-",IF(N505&lt;'PlayerGrades+'!$AF$17,"E",IF(N505&lt;'PlayerGrades+'!$AF$16,"E+",IF(N505&lt;'PlayerGrades+'!$AF$15,"D-",IF(N505&lt;'PlayerGrades+'!$AF$14,"D",IF(N505&lt;'PlayerGrades+'!$AF$13,"D+",IF(N505&lt;'PlayerGrades+'!$AF$12,"C-",IF(N505&lt;'PlayerGrades+'!$AF$11,"C",IF(N505&lt;'PlayerGrades+'!$AF$10,"C+",IF(N505&lt;'PlayerGrades+'!$AF$9,"B-",IF(N505&lt;'PlayerGrades+'!$AF$8,"B",IF(N505&lt;'PlayerGrades+'!$AF$7,"B+",IF(N505&lt;'PlayerGrades+'!$AF$6,"A-",IF(N505&lt;'PlayerGrades+'!$AF$5,"A",IF(N505&lt;'PlayerGrades+'!$AF$4,"A+",IF(N505&lt;'PlayerGrades+'!$AF$3,"S-",IF(N505&lt;'PlayerGrades+'!$AF$2,"S","S+"))))))))))))))))))))</f>
        <v>#DIV/0!</v>
      </c>
      <c r="P505" s="961" t="str">
        <f t="shared" si="7"/>
        <v>#DIV/0!</v>
      </c>
      <c r="Q505" s="961" t="str">
        <f>IF(P505&lt;'PlayerGrades+'!$AG$21,"F-",IF(P505&lt;'PlayerGrades+'!$AG$20,"F",IF(P505&lt;'PlayerGrades+'!$AG$19,"F+",IF(P505&lt;'PlayerGrades+'!$AG$18,"E-",IF(P505&lt;'PlayerGrades+'!$AG$17,"E",IF(P505&lt;'PlayerGrades+'!$AG$16,"E+",IF(P505&lt;'PlayerGrades+'!$AG$15,"D-",IF(P505&lt;'PlayerGrades+'!$AG$14,"D",IF(P505&lt;'PlayerGrades+'!$AG$13,"D+",IF(P505&lt;'PlayerGrades+'!$AG$12,"C-",IF(P505&lt;'PlayerGrades+'!$AG$11,"C",IF(P505&lt;'PlayerGrades+'!$AG$10,"C+",IF(P505&lt;'PlayerGrades+'!$AG$9,"B-",IF(P505&lt;'PlayerGrades+'!$AG$8,"B",IF(P505&lt;'PlayerGrades+'!$AG$7,"B+",IF(P505&lt;'PlayerGrades+'!$AG$6,"A-",IF(P505&lt;'PlayerGrades+'!$AG$5,"A",IF(P505&lt;'PlayerGrades+'!$AG$4,"A+",IF(P505&lt;'PlayerGrades+'!$AG$3,"S-",IF(P505&lt;'PlayerGrades+'!$AG$2,"S","S+"))))))))))))))))))))</f>
        <v>#DIV/0!</v>
      </c>
      <c r="R505" s="961" t="str">
        <f t="shared" si="8"/>
        <v>#DIV/0!</v>
      </c>
      <c r="S505" s="961" t="str">
        <f>IF(R505&lt;'PlayerGrades+'!$AH$21,"F-",IF(R505&lt;'PlayerGrades+'!$AH$20,"F",IF(R505&lt;'PlayerGrades+'!$AH$19,"F+",IF(R505&lt;'PlayerGrades+'!$AH$18,"E-",IF(R505&lt;'PlayerGrades+'!$AH$17,"E",IF(R505&lt;'PlayerGrades+'!$AH$16,"E+",IF(R505&lt;'PlayerGrades+'!$AH$15,"D-",IF(R505&lt;'PlayerGrades+'!$AH$14,"D",IF(R505&lt;'PlayerGrades+'!$AH$13,"D+",IF(R505&lt;'PlayerGrades+'!$AH$12,"C-",IF(R505&lt;'PlayerGrades+'!$AH$11,"C",IF(R505&lt;'PlayerGrades+'!$AH$10,"C+",IF(R505&lt;'PlayerGrades+'!$AH$9,"B-",IF(R505&lt;'PlayerGrades+'!$AH$8,"B",IF(R505&lt;'PlayerGrades+'!$AH$7,"B+",IF(R505&lt;'PlayerGrades+'!$AH$6,"A-",IF(R505&lt;'PlayerGrades+'!$AH$5,"A",IF(R505&lt;'PlayerGrades+'!$AH$4,"A+",IF(R505&lt;'PlayerGrades+'!$AH$3,"S-",IF(R505&lt;'PlayerGrades+'!$AH$2,"S","S+"))))))))))))))))))))</f>
        <v>#DIV/0!</v>
      </c>
      <c r="T505" s="961">
        <f t="shared" si="9"/>
        <v>0</v>
      </c>
      <c r="U505" s="961" t="str">
        <f>IF(T505&lt;'PlayerGrades+'!$AI$21,"F-",IF(T505&lt;'PlayerGrades+'!$AI$20,"F",IF(T505&lt;'PlayerGrades+'!$AI$19,"F+",IF(T505&lt;'PlayerGrades+'!$AI$18,"E-",IF(T505&lt;'PlayerGrades+'!$AI$17,"E",IF(T505&lt;'PlayerGrades+'!$AI$16,"E+",IF(T505&lt;'PlayerGrades+'!$AI$15,"D-",IF(T505&lt;'PlayerGrades+'!$AI$14,"D",IF(T505&lt;'PlayerGrades+'!$AI$13,"D+",IF(T505&lt;'PlayerGrades+'!$AI$12,"C-",IF(T505&lt;'PlayerGrades+'!$AI$11,"C",IF(T505&lt;'PlayerGrades+'!$AI$10,"C+",IF(T505&lt;'PlayerGrades+'!$AI$9,"B-",IF(T505&lt;'PlayerGrades+'!$AI$8,"B",IF(T505&lt;'PlayerGrades+'!$AI$7,"B+",IF(T505&lt;'PlayerGrades+'!$AI$6,"A-",IF(T505&lt;'PlayerGrades+'!$AI$5,"A",IF(T505&lt;'PlayerGrades+'!$AI$4,"A+",IF(T505&lt;'PlayerGrades+'!$AI$3,"S-",IF(T505&lt;'PlayerGrades+'!$AI$2,"S","S+"))))))))))))))))))))</f>
        <v>F-</v>
      </c>
      <c r="V505" s="1386"/>
      <c r="W505" s="1386"/>
      <c r="X505" s="1386"/>
      <c r="Y505" s="1386"/>
      <c r="Z505" s="1386"/>
      <c r="AA505" s="1386"/>
      <c r="AB505" s="1386"/>
      <c r="AC505" s="1397"/>
      <c r="AD505" s="1386"/>
      <c r="AE505" s="1386"/>
      <c r="AF505" s="1386"/>
      <c r="AG505" s="1386"/>
      <c r="AH505" s="1386"/>
      <c r="AI505" s="1386"/>
      <c r="AJ505" s="1386"/>
      <c r="AK505" s="1386"/>
      <c r="AL505" s="1386"/>
      <c r="AM505" s="1386"/>
      <c r="AN505" s="1386"/>
      <c r="AO505" s="1386"/>
      <c r="AP505" s="1386"/>
      <c r="AQ505" s="1386"/>
      <c r="AR505" s="1386"/>
      <c r="AS505" s="1386"/>
      <c r="AT505" s="1386"/>
      <c r="AU505" s="1386"/>
      <c r="AV505" s="1386"/>
      <c r="AW505" s="1386"/>
      <c r="AX505" s="1386"/>
      <c r="AY505" s="1386"/>
      <c r="AZ505" s="1386"/>
    </row>
    <row r="506">
      <c r="A506" s="1389"/>
      <c r="B506" s="611" t="str">
        <f>IF(C506&lt;'PlayerGrades+'!$Y$44,"F-",IF(C506&lt;'PlayerGrades+'!$Y$43,"F",IF(C506&lt;'PlayerGrades+'!$Y$42,"F+",IF(C506&lt;'PlayerGrades+'!$Y$41,"E-",IF(C506&lt;'PlayerGrades+'!$Y$40,"E",IF(C506&lt;'PlayerGrades+'!$Y$39,"E+",IF(C506&lt;'PlayerGrades+'!$Y$38,"D-",IF(C506&lt;'PlayerGrades+'!$Y$37,"D",IF(C506&lt;'PlayerGrades+'!$Y$36,"D+",IF(C506&lt;'PlayerGrades+'!$Y$35,"C-",IF(C506&lt;'PlayerGrades+'!$Y$34,"C",IF(C506&lt;'PlayerGrades+'!$Y$33,"C+",IF(C506&lt;'PlayerGrades+'!$Y$32,"B-",IF(C506&lt;'PlayerGrades+'!$Y$31,"B",IF(C506&lt;'PlayerGrades+'!$Y$30,"B+",IF(C506&lt;'PlayerGrades+'!$Y$29,"A-",IF(C506&lt;'PlayerGrades+'!$Y$28,"A",IF(C506&lt;'PlayerGrades+'!$Y$27,"A+",IF(C506&lt;'PlayerGrades+'!$Y$26,"S-",IF(C506&lt;'PlayerGrades+'!$Y$25,"S","S+"))))))))))))))))))))</f>
        <v>#DIV/0!</v>
      </c>
      <c r="C506" s="1378" t="str">
        <f>('PlayerGrades+'!$Y$47*(VLOOKUP(E506, 'PlayerGrades+'!$X$3:$Y$23, 2, FALSE)))+('PlayerGrades+'!$Y$48*(VLOOKUP(G506, 'PlayerGrades+'!$X$3:$Y$23, 2, FALSE)))+('PlayerGrades+'!$Y$49*(VLOOKUP(I506, 'PlayerGrades+'!$X$3:$Y$23, 2, FALSE)))+('PlayerGrades+'!$Y$50*(VLOOKUP(K506, 'PlayerGrades+'!$X$3:$Y$23, 2, FALSE)))+('PlayerGrades+'!$Y$51*(VLOOKUP(M506, 'PlayerGrades+'!$X$3:$Y$23, 2, FALSE)))+('PlayerGrades+'!$Y$52*(VLOOKUP(O506, 'PlayerGrades+'!$X$3:$Y$23, 2, FALSE)))+('PlayerGrades+'!$Y$53*(VLOOKUP(Q506, 'PlayerGrades+'!$X$3:$Y$23, 2, FALSE)))+('PlayerGrades+'!$Y$54*(VLOOKUP(S506, 'PlayerGrades+'!$X$3:$Y$23, 2, FALSE)))+('PlayerGrades+'!$Y$55*(VLOOKUP(U506, 'PlayerGrades+'!$X$3:$Y$23, 2, FALSE)))</f>
        <v>#DIV/0!</v>
      </c>
      <c r="D506" s="961" t="str">
        <f t="shared" si="1"/>
        <v>#DIV/0!</v>
      </c>
      <c r="E506" s="961" t="str">
        <f>IF(D506&lt;'PlayerGrades+'!$AA$21,"F-",IF(D506&lt;'PlayerGrades+'!$AA$20,"F",IF(D506&lt;'PlayerGrades+'!$AA$19,"F+",IF(D506&lt;'PlayerGrades+'!$AA$18,"E-",IF(D506&lt;'PlayerGrades+'!$AA$17,"E",IF(D506&lt;'PlayerGrades+'!$AA$16,"E+",IF(D506&lt;'PlayerGrades+'!$AA$15,"D-",IF(D506&lt;'PlayerGrades+'!$AA$14,"D",IF(D506&lt;'PlayerGrades+'!$AA$13,"D+",IF(D506&lt;'PlayerGrades+'!$AA$12,"C-",IF(D506&lt;'PlayerGrades+'!$AA$11,"C",IF(D506&lt;'PlayerGrades+'!$AA$10,"C+",IF(D506&lt;'PlayerGrades+'!$AA$9,"B-",IF(D506&lt;'PlayerGrades+'!$AA$8,"B",IF(D506&lt;'PlayerGrades+'!$AA$7,"B+",IF(D506&lt;'PlayerGrades+'!$AA$6,"A-",IF(D506&lt;'PlayerGrades+'!$AA$5,"A",IF(D506&lt;'PlayerGrades+'!$AA$4,"A+",IF(D506&lt;'PlayerGrades+'!$AA$3,"S-",IF(D506&lt;'PlayerGrades+'!$AA$2,"S","S+"))))))))))))))))))))</f>
        <v>#DIV/0!</v>
      </c>
      <c r="F506" s="961" t="str">
        <f t="shared" si="2"/>
        <v>#DIV/0!</v>
      </c>
      <c r="G506" s="961" t="str">
        <f>IF(F506&lt;'PlayerGrades+'!$AB$21,"F-",IF(F506&lt;'PlayerGrades+'!$AB$20,"F",IF(F506&lt;'PlayerGrades+'!$AB$19,"F+",IF(F506&lt;'PlayerGrades+'!$AB$18,"E-",IF(F506&lt;'PlayerGrades+'!$AB$17,"E",IF(F506&lt;'PlayerGrades+'!$AB$16,"E+",IF(F506&lt;'PlayerGrades+'!$AB$15,"D-",IF(F506&lt;'PlayerGrades+'!$AB$14,"D",IF(F506&lt;'PlayerGrades+'!$AB$13,"D+",IF(F506&lt;'PlayerGrades+'!$AB$12,"C-",IF(F506&lt;'PlayerGrades+'!$AB$11,"C",IF(F506&lt;'PlayerGrades+'!$AB$10,"C+",IF(F506&lt;'PlayerGrades+'!$AB$9,"B-",IF(F506&lt;'PlayerGrades+'!$AB$8,"B",IF(F506&lt;'PlayerGrades+'!$AB$7,"B+",IF(F506&lt;'PlayerGrades+'!$AB$6,"A-",IF(F506&lt;'PlayerGrades+'!$AB$5,"A",IF(F506&lt;'PlayerGrades+'!$AB$4,"A+",IF(F506&lt;'PlayerGrades+'!$AB$3,"S-",IF(F506&lt;'PlayerGrades+'!$AB$2,"S","S+"))))))))))))))))))))</f>
        <v>#DIV/0!</v>
      </c>
      <c r="H506" s="961" t="str">
        <f t="shared" si="3"/>
        <v>#DIV/0!</v>
      </c>
      <c r="I506" s="961" t="str">
        <f>IF(H506&lt;'PlayerGrades+'!$AC$21,"F-",IF(H506&lt;'PlayerGrades+'!$AC$20,"F",IF(H506&lt;'PlayerGrades+'!$AC$19,"F+",IF(H506&lt;'PlayerGrades+'!$AC$18,"E-",IF(H506&lt;'PlayerGrades+'!$AC$17,"E",IF(H506&lt;'PlayerGrades+'!$AC$16,"E+",IF(H506&lt;'PlayerGrades+'!$AC$15,"D-",IF(H506&lt;'PlayerGrades+'!$AC$14,"D",IF(H506&lt;'PlayerGrades+'!$AC$13,"D+",IF(H506&lt;'PlayerGrades+'!$AC$12,"C-",IF(H506&lt;'PlayerGrades+'!$AC$11,"C",IF(H506&lt;'PlayerGrades+'!$AC$10,"C+",IF(H506&lt;'PlayerGrades+'!$AC$9,"B-",IF(H506&lt;'PlayerGrades+'!$AC$8,"B",IF(H506&lt;'PlayerGrades+'!$AC$7,"B+",IF(H506&lt;'PlayerGrades+'!$AC$6,"A-",IF(H506&lt;'PlayerGrades+'!$AC$5,"A",IF(H506&lt;'PlayerGrades+'!$AC$4,"A+",IF(H506&lt;'PlayerGrades+'!$AC$3,"S-",IF(H506&lt;'PlayerGrades+'!$AC$2,"S","S+"))))))))))))))))))))</f>
        <v>#DIV/0!</v>
      </c>
      <c r="J506" s="961" t="str">
        <f t="shared" si="4"/>
        <v>#DIV/0!</v>
      </c>
      <c r="K506" s="961" t="str">
        <f>IF(J506&lt;'PlayerGrades+'!$AD$21,"F-",IF(J506&lt;'PlayerGrades+'!$AD$20,"F",IF(J506&lt;'PlayerGrades+'!$AD$19,"F+",IF(J506&lt;'PlayerGrades+'!$AD$18,"E-",IF(J506&lt;'PlayerGrades+'!$AD$17,"E",IF(J506&lt;'PlayerGrades+'!$AD$16,"E+",IF(J506&lt;'PlayerGrades+'!$AD$15,"D-",IF(J506&lt;'PlayerGrades+'!$AD$14,"D",IF(J506&lt;'PlayerGrades+'!$AD$13,"D+",IF(J506&lt;'PlayerGrades+'!$AD$12,"C-",IF(J506&lt;'PlayerGrades+'!$AD$11,"C",IF(J506&lt;'PlayerGrades+'!$AD$10,"C+",IF(J506&lt;'PlayerGrades+'!$AD$9,"B-",IF(J506&lt;'PlayerGrades+'!$AD$8,"B",IF(J506&lt;'PlayerGrades+'!$AD$7,"B+",IF(J506&lt;'PlayerGrades+'!$AD$6,"A-",IF(J506&lt;'PlayerGrades+'!$AD$5,"A",IF(J506&lt;'PlayerGrades+'!$AD$4,"A+",IF(J506&lt;'PlayerGrades+'!$AD$3,"S-",IF(J506&lt;'PlayerGrades+'!$AD$2,"S","S+"))))))))))))))))))))</f>
        <v>#DIV/0!</v>
      </c>
      <c r="L506" s="1176" t="str">
        <f t="shared" si="5"/>
        <v>#DIV/0!</v>
      </c>
      <c r="M506" s="992" t="str">
        <f>IF(L506&lt;'PlayerGrades+'!$AE$21,"F-",IF(L506&lt;'PlayerGrades+'!$AE$20,"F",IF(L506&lt;'PlayerGrades+'!$AE$19,"F+",IF(L506&lt;'PlayerGrades+'!$AE$18,"E-",IF(L506&lt;'PlayerGrades+'!$AE$17,"E",IF(L506&lt;'PlayerGrades+'!$AE$16,"E+",IF(L506&lt;'PlayerGrades+'!$AE$15,"D-",IF(L506&lt;'PlayerGrades+'!$AE$14,"D",IF(L506&lt;'PlayerGrades+'!$AE$13,"D+",IF(L506&lt;'PlayerGrades+'!$AE$12,"C-",IF(L506&lt;'PlayerGrades+'!$AE$11,"C",IF(L506&lt;'PlayerGrades+'!$AE$10,"C+",IF(L506&lt;'PlayerGrades+'!$AE$9,"B-",IF(L506&lt;'PlayerGrades+'!$AE$8,"B",IF(L506&lt;'PlayerGrades+'!$AE$7,"B+",IF(L506&lt;'PlayerGrades+'!$AE$6,"A-",IF(L506&lt;'PlayerGrades+'!$AE$5,"A",IF(L506&lt;'PlayerGrades+'!$AE$4,"A+",IF(L506&lt;'PlayerGrades+'!$AE$3,"S-",IF(L506&lt;'PlayerGrades+'!$AE$2,"S","S+"))))))))))))))))))))</f>
        <v>#DIV/0!</v>
      </c>
      <c r="N506" s="961" t="str">
        <f t="shared" si="6"/>
        <v>#DIV/0!</v>
      </c>
      <c r="O506" s="961" t="str">
        <f>IF(N506&lt;'PlayerGrades+'!$AF$21,"F-",IF(N506&lt;'PlayerGrades+'!$AF$20,"F",IF(N506&lt;'PlayerGrades+'!$AF$19,"F+",IF(N506&lt;'PlayerGrades+'!$AF$18,"E-",IF(N506&lt;'PlayerGrades+'!$AF$17,"E",IF(N506&lt;'PlayerGrades+'!$AF$16,"E+",IF(N506&lt;'PlayerGrades+'!$AF$15,"D-",IF(N506&lt;'PlayerGrades+'!$AF$14,"D",IF(N506&lt;'PlayerGrades+'!$AF$13,"D+",IF(N506&lt;'PlayerGrades+'!$AF$12,"C-",IF(N506&lt;'PlayerGrades+'!$AF$11,"C",IF(N506&lt;'PlayerGrades+'!$AF$10,"C+",IF(N506&lt;'PlayerGrades+'!$AF$9,"B-",IF(N506&lt;'PlayerGrades+'!$AF$8,"B",IF(N506&lt;'PlayerGrades+'!$AF$7,"B+",IF(N506&lt;'PlayerGrades+'!$AF$6,"A-",IF(N506&lt;'PlayerGrades+'!$AF$5,"A",IF(N506&lt;'PlayerGrades+'!$AF$4,"A+",IF(N506&lt;'PlayerGrades+'!$AF$3,"S-",IF(N506&lt;'PlayerGrades+'!$AF$2,"S","S+"))))))))))))))))))))</f>
        <v>#DIV/0!</v>
      </c>
      <c r="P506" s="961" t="str">
        <f t="shared" si="7"/>
        <v>#DIV/0!</v>
      </c>
      <c r="Q506" s="961" t="str">
        <f>IF(P506&lt;'PlayerGrades+'!$AG$21,"F-",IF(P506&lt;'PlayerGrades+'!$AG$20,"F",IF(P506&lt;'PlayerGrades+'!$AG$19,"F+",IF(P506&lt;'PlayerGrades+'!$AG$18,"E-",IF(P506&lt;'PlayerGrades+'!$AG$17,"E",IF(P506&lt;'PlayerGrades+'!$AG$16,"E+",IF(P506&lt;'PlayerGrades+'!$AG$15,"D-",IF(P506&lt;'PlayerGrades+'!$AG$14,"D",IF(P506&lt;'PlayerGrades+'!$AG$13,"D+",IF(P506&lt;'PlayerGrades+'!$AG$12,"C-",IF(P506&lt;'PlayerGrades+'!$AG$11,"C",IF(P506&lt;'PlayerGrades+'!$AG$10,"C+",IF(P506&lt;'PlayerGrades+'!$AG$9,"B-",IF(P506&lt;'PlayerGrades+'!$AG$8,"B",IF(P506&lt;'PlayerGrades+'!$AG$7,"B+",IF(P506&lt;'PlayerGrades+'!$AG$6,"A-",IF(P506&lt;'PlayerGrades+'!$AG$5,"A",IF(P506&lt;'PlayerGrades+'!$AG$4,"A+",IF(P506&lt;'PlayerGrades+'!$AG$3,"S-",IF(P506&lt;'PlayerGrades+'!$AG$2,"S","S+"))))))))))))))))))))</f>
        <v>#DIV/0!</v>
      </c>
      <c r="R506" s="961" t="str">
        <f t="shared" si="8"/>
        <v>#DIV/0!</v>
      </c>
      <c r="S506" s="961" t="str">
        <f>IF(R506&lt;'PlayerGrades+'!$AH$21,"F-",IF(R506&lt;'PlayerGrades+'!$AH$20,"F",IF(R506&lt;'PlayerGrades+'!$AH$19,"F+",IF(R506&lt;'PlayerGrades+'!$AH$18,"E-",IF(R506&lt;'PlayerGrades+'!$AH$17,"E",IF(R506&lt;'PlayerGrades+'!$AH$16,"E+",IF(R506&lt;'PlayerGrades+'!$AH$15,"D-",IF(R506&lt;'PlayerGrades+'!$AH$14,"D",IF(R506&lt;'PlayerGrades+'!$AH$13,"D+",IF(R506&lt;'PlayerGrades+'!$AH$12,"C-",IF(R506&lt;'PlayerGrades+'!$AH$11,"C",IF(R506&lt;'PlayerGrades+'!$AH$10,"C+",IF(R506&lt;'PlayerGrades+'!$AH$9,"B-",IF(R506&lt;'PlayerGrades+'!$AH$8,"B",IF(R506&lt;'PlayerGrades+'!$AH$7,"B+",IF(R506&lt;'PlayerGrades+'!$AH$6,"A-",IF(R506&lt;'PlayerGrades+'!$AH$5,"A",IF(R506&lt;'PlayerGrades+'!$AH$4,"A+",IF(R506&lt;'PlayerGrades+'!$AH$3,"S-",IF(R506&lt;'PlayerGrades+'!$AH$2,"S","S+"))))))))))))))))))))</f>
        <v>#DIV/0!</v>
      </c>
      <c r="T506" s="961">
        <f t="shared" si="9"/>
        <v>0</v>
      </c>
      <c r="U506" s="961" t="str">
        <f>IF(T506&lt;'PlayerGrades+'!$AI$21,"F-",IF(T506&lt;'PlayerGrades+'!$AI$20,"F",IF(T506&lt;'PlayerGrades+'!$AI$19,"F+",IF(T506&lt;'PlayerGrades+'!$AI$18,"E-",IF(T506&lt;'PlayerGrades+'!$AI$17,"E",IF(T506&lt;'PlayerGrades+'!$AI$16,"E+",IF(T506&lt;'PlayerGrades+'!$AI$15,"D-",IF(T506&lt;'PlayerGrades+'!$AI$14,"D",IF(T506&lt;'PlayerGrades+'!$AI$13,"D+",IF(T506&lt;'PlayerGrades+'!$AI$12,"C-",IF(T506&lt;'PlayerGrades+'!$AI$11,"C",IF(T506&lt;'PlayerGrades+'!$AI$10,"C+",IF(T506&lt;'PlayerGrades+'!$AI$9,"B-",IF(T506&lt;'PlayerGrades+'!$AI$8,"B",IF(T506&lt;'PlayerGrades+'!$AI$7,"B+",IF(T506&lt;'PlayerGrades+'!$AI$6,"A-",IF(T506&lt;'PlayerGrades+'!$AI$5,"A",IF(T506&lt;'PlayerGrades+'!$AI$4,"A+",IF(T506&lt;'PlayerGrades+'!$AI$3,"S-",IF(T506&lt;'PlayerGrades+'!$AI$2,"S","S+"))))))))))))))))))))</f>
        <v>F-</v>
      </c>
      <c r="V506" s="1379"/>
      <c r="W506" s="1379"/>
      <c r="X506" s="1379"/>
      <c r="Y506" s="1379"/>
      <c r="Z506" s="1379"/>
      <c r="AA506" s="1379"/>
      <c r="AB506" s="1379"/>
      <c r="AC506" s="1390"/>
      <c r="AD506" s="1379"/>
      <c r="AE506" s="1379"/>
      <c r="AF506" s="1379"/>
      <c r="AG506" s="1379"/>
      <c r="AH506" s="1379"/>
      <c r="AI506" s="1379"/>
      <c r="AJ506" s="1379"/>
      <c r="AK506" s="1379"/>
      <c r="AL506" s="1379"/>
      <c r="AM506" s="1379"/>
      <c r="AN506" s="1379"/>
      <c r="AO506" s="1379"/>
      <c r="AP506" s="1379"/>
      <c r="AQ506" s="1379"/>
      <c r="AR506" s="1379"/>
      <c r="AS506" s="1379"/>
      <c r="AT506" s="1379"/>
      <c r="AU506" s="1379"/>
      <c r="AV506" s="1379"/>
      <c r="AW506" s="1379"/>
      <c r="AX506" s="1379"/>
      <c r="AY506" s="1379"/>
      <c r="AZ506" s="1379"/>
    </row>
    <row r="507">
      <c r="A507" s="1391"/>
      <c r="B507" s="611" t="str">
        <f>IF(C507&lt;'PlayerGrades+'!$Y$44,"F-",IF(C507&lt;'PlayerGrades+'!$Y$43,"F",IF(C507&lt;'PlayerGrades+'!$Y$42,"F+",IF(C507&lt;'PlayerGrades+'!$Y$41,"E-",IF(C507&lt;'PlayerGrades+'!$Y$40,"E",IF(C507&lt;'PlayerGrades+'!$Y$39,"E+",IF(C507&lt;'PlayerGrades+'!$Y$38,"D-",IF(C507&lt;'PlayerGrades+'!$Y$37,"D",IF(C507&lt;'PlayerGrades+'!$Y$36,"D+",IF(C507&lt;'PlayerGrades+'!$Y$35,"C-",IF(C507&lt;'PlayerGrades+'!$Y$34,"C",IF(C507&lt;'PlayerGrades+'!$Y$33,"C+",IF(C507&lt;'PlayerGrades+'!$Y$32,"B-",IF(C507&lt;'PlayerGrades+'!$Y$31,"B",IF(C507&lt;'PlayerGrades+'!$Y$30,"B+",IF(C507&lt;'PlayerGrades+'!$Y$29,"A-",IF(C507&lt;'PlayerGrades+'!$Y$28,"A",IF(C507&lt;'PlayerGrades+'!$Y$27,"A+",IF(C507&lt;'PlayerGrades+'!$Y$26,"S-",IF(C507&lt;'PlayerGrades+'!$Y$25,"S","S+"))))))))))))))))))))</f>
        <v>#DIV/0!</v>
      </c>
      <c r="C507" s="1378" t="str">
        <f>('PlayerGrades+'!$Y$47*(VLOOKUP(E507, 'PlayerGrades+'!$X$3:$Y$23, 2, FALSE)))+('PlayerGrades+'!$Y$48*(VLOOKUP(G507, 'PlayerGrades+'!$X$3:$Y$23, 2, FALSE)))+('PlayerGrades+'!$Y$49*(VLOOKUP(I507, 'PlayerGrades+'!$X$3:$Y$23, 2, FALSE)))+('PlayerGrades+'!$Y$50*(VLOOKUP(K507, 'PlayerGrades+'!$X$3:$Y$23, 2, FALSE)))+('PlayerGrades+'!$Y$51*(VLOOKUP(M507, 'PlayerGrades+'!$X$3:$Y$23, 2, FALSE)))+('PlayerGrades+'!$Y$52*(VLOOKUP(O507, 'PlayerGrades+'!$X$3:$Y$23, 2, FALSE)))+('PlayerGrades+'!$Y$53*(VLOOKUP(Q507, 'PlayerGrades+'!$X$3:$Y$23, 2, FALSE)))+('PlayerGrades+'!$Y$54*(VLOOKUP(S507, 'PlayerGrades+'!$X$3:$Y$23, 2, FALSE)))+('PlayerGrades+'!$Y$55*(VLOOKUP(U507, 'PlayerGrades+'!$X$3:$Y$23, 2, FALSE)))</f>
        <v>#DIV/0!</v>
      </c>
      <c r="D507" s="961" t="str">
        <f t="shared" si="1"/>
        <v>#DIV/0!</v>
      </c>
      <c r="E507" s="961" t="str">
        <f>IF(D507&lt;'PlayerGrades+'!$AA$21,"F-",IF(D507&lt;'PlayerGrades+'!$AA$20,"F",IF(D507&lt;'PlayerGrades+'!$AA$19,"F+",IF(D507&lt;'PlayerGrades+'!$AA$18,"E-",IF(D507&lt;'PlayerGrades+'!$AA$17,"E",IF(D507&lt;'PlayerGrades+'!$AA$16,"E+",IF(D507&lt;'PlayerGrades+'!$AA$15,"D-",IF(D507&lt;'PlayerGrades+'!$AA$14,"D",IF(D507&lt;'PlayerGrades+'!$AA$13,"D+",IF(D507&lt;'PlayerGrades+'!$AA$12,"C-",IF(D507&lt;'PlayerGrades+'!$AA$11,"C",IF(D507&lt;'PlayerGrades+'!$AA$10,"C+",IF(D507&lt;'PlayerGrades+'!$AA$9,"B-",IF(D507&lt;'PlayerGrades+'!$AA$8,"B",IF(D507&lt;'PlayerGrades+'!$AA$7,"B+",IF(D507&lt;'PlayerGrades+'!$AA$6,"A-",IF(D507&lt;'PlayerGrades+'!$AA$5,"A",IF(D507&lt;'PlayerGrades+'!$AA$4,"A+",IF(D507&lt;'PlayerGrades+'!$AA$3,"S-",IF(D507&lt;'PlayerGrades+'!$AA$2,"S","S+"))))))))))))))))))))</f>
        <v>#DIV/0!</v>
      </c>
      <c r="F507" s="961" t="str">
        <f t="shared" si="2"/>
        <v>#DIV/0!</v>
      </c>
      <c r="G507" s="961" t="str">
        <f>IF(F507&lt;'PlayerGrades+'!$AB$21,"F-",IF(F507&lt;'PlayerGrades+'!$AB$20,"F",IF(F507&lt;'PlayerGrades+'!$AB$19,"F+",IF(F507&lt;'PlayerGrades+'!$AB$18,"E-",IF(F507&lt;'PlayerGrades+'!$AB$17,"E",IF(F507&lt;'PlayerGrades+'!$AB$16,"E+",IF(F507&lt;'PlayerGrades+'!$AB$15,"D-",IF(F507&lt;'PlayerGrades+'!$AB$14,"D",IF(F507&lt;'PlayerGrades+'!$AB$13,"D+",IF(F507&lt;'PlayerGrades+'!$AB$12,"C-",IF(F507&lt;'PlayerGrades+'!$AB$11,"C",IF(F507&lt;'PlayerGrades+'!$AB$10,"C+",IF(F507&lt;'PlayerGrades+'!$AB$9,"B-",IF(F507&lt;'PlayerGrades+'!$AB$8,"B",IF(F507&lt;'PlayerGrades+'!$AB$7,"B+",IF(F507&lt;'PlayerGrades+'!$AB$6,"A-",IF(F507&lt;'PlayerGrades+'!$AB$5,"A",IF(F507&lt;'PlayerGrades+'!$AB$4,"A+",IF(F507&lt;'PlayerGrades+'!$AB$3,"S-",IF(F507&lt;'PlayerGrades+'!$AB$2,"S","S+"))))))))))))))))))))</f>
        <v>#DIV/0!</v>
      </c>
      <c r="H507" s="961" t="str">
        <f t="shared" si="3"/>
        <v>#DIV/0!</v>
      </c>
      <c r="I507" s="961" t="str">
        <f>IF(H507&lt;'PlayerGrades+'!$AC$21,"F-",IF(H507&lt;'PlayerGrades+'!$AC$20,"F",IF(H507&lt;'PlayerGrades+'!$AC$19,"F+",IF(H507&lt;'PlayerGrades+'!$AC$18,"E-",IF(H507&lt;'PlayerGrades+'!$AC$17,"E",IF(H507&lt;'PlayerGrades+'!$AC$16,"E+",IF(H507&lt;'PlayerGrades+'!$AC$15,"D-",IF(H507&lt;'PlayerGrades+'!$AC$14,"D",IF(H507&lt;'PlayerGrades+'!$AC$13,"D+",IF(H507&lt;'PlayerGrades+'!$AC$12,"C-",IF(H507&lt;'PlayerGrades+'!$AC$11,"C",IF(H507&lt;'PlayerGrades+'!$AC$10,"C+",IF(H507&lt;'PlayerGrades+'!$AC$9,"B-",IF(H507&lt;'PlayerGrades+'!$AC$8,"B",IF(H507&lt;'PlayerGrades+'!$AC$7,"B+",IF(H507&lt;'PlayerGrades+'!$AC$6,"A-",IF(H507&lt;'PlayerGrades+'!$AC$5,"A",IF(H507&lt;'PlayerGrades+'!$AC$4,"A+",IF(H507&lt;'PlayerGrades+'!$AC$3,"S-",IF(H507&lt;'PlayerGrades+'!$AC$2,"S","S+"))))))))))))))))))))</f>
        <v>#DIV/0!</v>
      </c>
      <c r="J507" s="961" t="str">
        <f t="shared" si="4"/>
        <v>#DIV/0!</v>
      </c>
      <c r="K507" s="961" t="str">
        <f>IF(J507&lt;'PlayerGrades+'!$AD$21,"F-",IF(J507&lt;'PlayerGrades+'!$AD$20,"F",IF(J507&lt;'PlayerGrades+'!$AD$19,"F+",IF(J507&lt;'PlayerGrades+'!$AD$18,"E-",IF(J507&lt;'PlayerGrades+'!$AD$17,"E",IF(J507&lt;'PlayerGrades+'!$AD$16,"E+",IF(J507&lt;'PlayerGrades+'!$AD$15,"D-",IF(J507&lt;'PlayerGrades+'!$AD$14,"D",IF(J507&lt;'PlayerGrades+'!$AD$13,"D+",IF(J507&lt;'PlayerGrades+'!$AD$12,"C-",IF(J507&lt;'PlayerGrades+'!$AD$11,"C",IF(J507&lt;'PlayerGrades+'!$AD$10,"C+",IF(J507&lt;'PlayerGrades+'!$AD$9,"B-",IF(J507&lt;'PlayerGrades+'!$AD$8,"B",IF(J507&lt;'PlayerGrades+'!$AD$7,"B+",IF(J507&lt;'PlayerGrades+'!$AD$6,"A-",IF(J507&lt;'PlayerGrades+'!$AD$5,"A",IF(J507&lt;'PlayerGrades+'!$AD$4,"A+",IF(J507&lt;'PlayerGrades+'!$AD$3,"S-",IF(J507&lt;'PlayerGrades+'!$AD$2,"S","S+"))))))))))))))))))))</f>
        <v>#DIV/0!</v>
      </c>
      <c r="L507" s="1176" t="str">
        <f t="shared" si="5"/>
        <v>#DIV/0!</v>
      </c>
      <c r="M507" s="992" t="str">
        <f>IF(L507&lt;'PlayerGrades+'!$AE$21,"F-",IF(L507&lt;'PlayerGrades+'!$AE$20,"F",IF(L507&lt;'PlayerGrades+'!$AE$19,"F+",IF(L507&lt;'PlayerGrades+'!$AE$18,"E-",IF(L507&lt;'PlayerGrades+'!$AE$17,"E",IF(L507&lt;'PlayerGrades+'!$AE$16,"E+",IF(L507&lt;'PlayerGrades+'!$AE$15,"D-",IF(L507&lt;'PlayerGrades+'!$AE$14,"D",IF(L507&lt;'PlayerGrades+'!$AE$13,"D+",IF(L507&lt;'PlayerGrades+'!$AE$12,"C-",IF(L507&lt;'PlayerGrades+'!$AE$11,"C",IF(L507&lt;'PlayerGrades+'!$AE$10,"C+",IF(L507&lt;'PlayerGrades+'!$AE$9,"B-",IF(L507&lt;'PlayerGrades+'!$AE$8,"B",IF(L507&lt;'PlayerGrades+'!$AE$7,"B+",IF(L507&lt;'PlayerGrades+'!$AE$6,"A-",IF(L507&lt;'PlayerGrades+'!$AE$5,"A",IF(L507&lt;'PlayerGrades+'!$AE$4,"A+",IF(L507&lt;'PlayerGrades+'!$AE$3,"S-",IF(L507&lt;'PlayerGrades+'!$AE$2,"S","S+"))))))))))))))))))))</f>
        <v>#DIV/0!</v>
      </c>
      <c r="N507" s="961" t="str">
        <f t="shared" si="6"/>
        <v>#DIV/0!</v>
      </c>
      <c r="O507" s="961" t="str">
        <f>IF(N507&lt;'PlayerGrades+'!$AF$21,"F-",IF(N507&lt;'PlayerGrades+'!$AF$20,"F",IF(N507&lt;'PlayerGrades+'!$AF$19,"F+",IF(N507&lt;'PlayerGrades+'!$AF$18,"E-",IF(N507&lt;'PlayerGrades+'!$AF$17,"E",IF(N507&lt;'PlayerGrades+'!$AF$16,"E+",IF(N507&lt;'PlayerGrades+'!$AF$15,"D-",IF(N507&lt;'PlayerGrades+'!$AF$14,"D",IF(N507&lt;'PlayerGrades+'!$AF$13,"D+",IF(N507&lt;'PlayerGrades+'!$AF$12,"C-",IF(N507&lt;'PlayerGrades+'!$AF$11,"C",IF(N507&lt;'PlayerGrades+'!$AF$10,"C+",IF(N507&lt;'PlayerGrades+'!$AF$9,"B-",IF(N507&lt;'PlayerGrades+'!$AF$8,"B",IF(N507&lt;'PlayerGrades+'!$AF$7,"B+",IF(N507&lt;'PlayerGrades+'!$AF$6,"A-",IF(N507&lt;'PlayerGrades+'!$AF$5,"A",IF(N507&lt;'PlayerGrades+'!$AF$4,"A+",IF(N507&lt;'PlayerGrades+'!$AF$3,"S-",IF(N507&lt;'PlayerGrades+'!$AF$2,"S","S+"))))))))))))))))))))</f>
        <v>#DIV/0!</v>
      </c>
      <c r="P507" s="961" t="str">
        <f t="shared" si="7"/>
        <v>#DIV/0!</v>
      </c>
      <c r="Q507" s="961" t="str">
        <f>IF(P507&lt;'PlayerGrades+'!$AG$21,"F-",IF(P507&lt;'PlayerGrades+'!$AG$20,"F",IF(P507&lt;'PlayerGrades+'!$AG$19,"F+",IF(P507&lt;'PlayerGrades+'!$AG$18,"E-",IF(P507&lt;'PlayerGrades+'!$AG$17,"E",IF(P507&lt;'PlayerGrades+'!$AG$16,"E+",IF(P507&lt;'PlayerGrades+'!$AG$15,"D-",IF(P507&lt;'PlayerGrades+'!$AG$14,"D",IF(P507&lt;'PlayerGrades+'!$AG$13,"D+",IF(P507&lt;'PlayerGrades+'!$AG$12,"C-",IF(P507&lt;'PlayerGrades+'!$AG$11,"C",IF(P507&lt;'PlayerGrades+'!$AG$10,"C+",IF(P507&lt;'PlayerGrades+'!$AG$9,"B-",IF(P507&lt;'PlayerGrades+'!$AG$8,"B",IF(P507&lt;'PlayerGrades+'!$AG$7,"B+",IF(P507&lt;'PlayerGrades+'!$AG$6,"A-",IF(P507&lt;'PlayerGrades+'!$AG$5,"A",IF(P507&lt;'PlayerGrades+'!$AG$4,"A+",IF(P507&lt;'PlayerGrades+'!$AG$3,"S-",IF(P507&lt;'PlayerGrades+'!$AG$2,"S","S+"))))))))))))))))))))</f>
        <v>#DIV/0!</v>
      </c>
      <c r="R507" s="961" t="str">
        <f t="shared" si="8"/>
        <v>#DIV/0!</v>
      </c>
      <c r="S507" s="961" t="str">
        <f>IF(R507&lt;'PlayerGrades+'!$AH$21,"F-",IF(R507&lt;'PlayerGrades+'!$AH$20,"F",IF(R507&lt;'PlayerGrades+'!$AH$19,"F+",IF(R507&lt;'PlayerGrades+'!$AH$18,"E-",IF(R507&lt;'PlayerGrades+'!$AH$17,"E",IF(R507&lt;'PlayerGrades+'!$AH$16,"E+",IF(R507&lt;'PlayerGrades+'!$AH$15,"D-",IF(R507&lt;'PlayerGrades+'!$AH$14,"D",IF(R507&lt;'PlayerGrades+'!$AH$13,"D+",IF(R507&lt;'PlayerGrades+'!$AH$12,"C-",IF(R507&lt;'PlayerGrades+'!$AH$11,"C",IF(R507&lt;'PlayerGrades+'!$AH$10,"C+",IF(R507&lt;'PlayerGrades+'!$AH$9,"B-",IF(R507&lt;'PlayerGrades+'!$AH$8,"B",IF(R507&lt;'PlayerGrades+'!$AH$7,"B+",IF(R507&lt;'PlayerGrades+'!$AH$6,"A-",IF(R507&lt;'PlayerGrades+'!$AH$5,"A",IF(R507&lt;'PlayerGrades+'!$AH$4,"A+",IF(R507&lt;'PlayerGrades+'!$AH$3,"S-",IF(R507&lt;'PlayerGrades+'!$AH$2,"S","S+"))))))))))))))))))))</f>
        <v>#DIV/0!</v>
      </c>
      <c r="T507" s="961">
        <f t="shared" si="9"/>
        <v>0</v>
      </c>
      <c r="U507" s="961" t="str">
        <f>IF(T507&lt;'PlayerGrades+'!$AI$21,"F-",IF(T507&lt;'PlayerGrades+'!$AI$20,"F",IF(T507&lt;'PlayerGrades+'!$AI$19,"F+",IF(T507&lt;'PlayerGrades+'!$AI$18,"E-",IF(T507&lt;'PlayerGrades+'!$AI$17,"E",IF(T507&lt;'PlayerGrades+'!$AI$16,"E+",IF(T507&lt;'PlayerGrades+'!$AI$15,"D-",IF(T507&lt;'PlayerGrades+'!$AI$14,"D",IF(T507&lt;'PlayerGrades+'!$AI$13,"D+",IF(T507&lt;'PlayerGrades+'!$AI$12,"C-",IF(T507&lt;'PlayerGrades+'!$AI$11,"C",IF(T507&lt;'PlayerGrades+'!$AI$10,"C+",IF(T507&lt;'PlayerGrades+'!$AI$9,"B-",IF(T507&lt;'PlayerGrades+'!$AI$8,"B",IF(T507&lt;'PlayerGrades+'!$AI$7,"B+",IF(T507&lt;'PlayerGrades+'!$AI$6,"A-",IF(T507&lt;'PlayerGrades+'!$AI$5,"A",IF(T507&lt;'PlayerGrades+'!$AI$4,"A+",IF(T507&lt;'PlayerGrades+'!$AI$3,"S-",IF(T507&lt;'PlayerGrades+'!$AI$2,"S","S+"))))))))))))))))))))</f>
        <v>F-</v>
      </c>
      <c r="AC507" s="1392"/>
    </row>
    <row r="508">
      <c r="A508" s="1391"/>
      <c r="B508" s="611" t="str">
        <f>IF(C508&lt;'PlayerGrades+'!$Y$44,"F-",IF(C508&lt;'PlayerGrades+'!$Y$43,"F",IF(C508&lt;'PlayerGrades+'!$Y$42,"F+",IF(C508&lt;'PlayerGrades+'!$Y$41,"E-",IF(C508&lt;'PlayerGrades+'!$Y$40,"E",IF(C508&lt;'PlayerGrades+'!$Y$39,"E+",IF(C508&lt;'PlayerGrades+'!$Y$38,"D-",IF(C508&lt;'PlayerGrades+'!$Y$37,"D",IF(C508&lt;'PlayerGrades+'!$Y$36,"D+",IF(C508&lt;'PlayerGrades+'!$Y$35,"C-",IF(C508&lt;'PlayerGrades+'!$Y$34,"C",IF(C508&lt;'PlayerGrades+'!$Y$33,"C+",IF(C508&lt;'PlayerGrades+'!$Y$32,"B-",IF(C508&lt;'PlayerGrades+'!$Y$31,"B",IF(C508&lt;'PlayerGrades+'!$Y$30,"B+",IF(C508&lt;'PlayerGrades+'!$Y$29,"A-",IF(C508&lt;'PlayerGrades+'!$Y$28,"A",IF(C508&lt;'PlayerGrades+'!$Y$27,"A+",IF(C508&lt;'PlayerGrades+'!$Y$26,"S-",IF(C508&lt;'PlayerGrades+'!$Y$25,"S","S+"))))))))))))))))))))</f>
        <v>#DIV/0!</v>
      </c>
      <c r="C508" s="1378" t="str">
        <f>('PlayerGrades+'!$Y$47*(VLOOKUP(E508, 'PlayerGrades+'!$X$3:$Y$23, 2, FALSE)))+('PlayerGrades+'!$Y$48*(VLOOKUP(G508, 'PlayerGrades+'!$X$3:$Y$23, 2, FALSE)))+('PlayerGrades+'!$Y$49*(VLOOKUP(I508, 'PlayerGrades+'!$X$3:$Y$23, 2, FALSE)))+('PlayerGrades+'!$Y$50*(VLOOKUP(K508, 'PlayerGrades+'!$X$3:$Y$23, 2, FALSE)))+('PlayerGrades+'!$Y$51*(VLOOKUP(M508, 'PlayerGrades+'!$X$3:$Y$23, 2, FALSE)))+('PlayerGrades+'!$Y$52*(VLOOKUP(O508, 'PlayerGrades+'!$X$3:$Y$23, 2, FALSE)))+('PlayerGrades+'!$Y$53*(VLOOKUP(Q508, 'PlayerGrades+'!$X$3:$Y$23, 2, FALSE)))+('PlayerGrades+'!$Y$54*(VLOOKUP(S508, 'PlayerGrades+'!$X$3:$Y$23, 2, FALSE)))+('PlayerGrades+'!$Y$55*(VLOOKUP(U508, 'PlayerGrades+'!$X$3:$Y$23, 2, FALSE)))</f>
        <v>#DIV/0!</v>
      </c>
      <c r="D508" s="961" t="str">
        <f t="shared" si="1"/>
        <v>#DIV/0!</v>
      </c>
      <c r="E508" s="961" t="str">
        <f>IF(D508&lt;'PlayerGrades+'!$AA$21,"F-",IF(D508&lt;'PlayerGrades+'!$AA$20,"F",IF(D508&lt;'PlayerGrades+'!$AA$19,"F+",IF(D508&lt;'PlayerGrades+'!$AA$18,"E-",IF(D508&lt;'PlayerGrades+'!$AA$17,"E",IF(D508&lt;'PlayerGrades+'!$AA$16,"E+",IF(D508&lt;'PlayerGrades+'!$AA$15,"D-",IF(D508&lt;'PlayerGrades+'!$AA$14,"D",IF(D508&lt;'PlayerGrades+'!$AA$13,"D+",IF(D508&lt;'PlayerGrades+'!$AA$12,"C-",IF(D508&lt;'PlayerGrades+'!$AA$11,"C",IF(D508&lt;'PlayerGrades+'!$AA$10,"C+",IF(D508&lt;'PlayerGrades+'!$AA$9,"B-",IF(D508&lt;'PlayerGrades+'!$AA$8,"B",IF(D508&lt;'PlayerGrades+'!$AA$7,"B+",IF(D508&lt;'PlayerGrades+'!$AA$6,"A-",IF(D508&lt;'PlayerGrades+'!$AA$5,"A",IF(D508&lt;'PlayerGrades+'!$AA$4,"A+",IF(D508&lt;'PlayerGrades+'!$AA$3,"S-",IF(D508&lt;'PlayerGrades+'!$AA$2,"S","S+"))))))))))))))))))))</f>
        <v>#DIV/0!</v>
      </c>
      <c r="F508" s="961" t="str">
        <f t="shared" si="2"/>
        <v>#DIV/0!</v>
      </c>
      <c r="G508" s="961" t="str">
        <f>IF(F508&lt;'PlayerGrades+'!$AB$21,"F-",IF(F508&lt;'PlayerGrades+'!$AB$20,"F",IF(F508&lt;'PlayerGrades+'!$AB$19,"F+",IF(F508&lt;'PlayerGrades+'!$AB$18,"E-",IF(F508&lt;'PlayerGrades+'!$AB$17,"E",IF(F508&lt;'PlayerGrades+'!$AB$16,"E+",IF(F508&lt;'PlayerGrades+'!$AB$15,"D-",IF(F508&lt;'PlayerGrades+'!$AB$14,"D",IF(F508&lt;'PlayerGrades+'!$AB$13,"D+",IF(F508&lt;'PlayerGrades+'!$AB$12,"C-",IF(F508&lt;'PlayerGrades+'!$AB$11,"C",IF(F508&lt;'PlayerGrades+'!$AB$10,"C+",IF(F508&lt;'PlayerGrades+'!$AB$9,"B-",IF(F508&lt;'PlayerGrades+'!$AB$8,"B",IF(F508&lt;'PlayerGrades+'!$AB$7,"B+",IF(F508&lt;'PlayerGrades+'!$AB$6,"A-",IF(F508&lt;'PlayerGrades+'!$AB$5,"A",IF(F508&lt;'PlayerGrades+'!$AB$4,"A+",IF(F508&lt;'PlayerGrades+'!$AB$3,"S-",IF(F508&lt;'PlayerGrades+'!$AB$2,"S","S+"))))))))))))))))))))</f>
        <v>#DIV/0!</v>
      </c>
      <c r="H508" s="961" t="str">
        <f t="shared" si="3"/>
        <v>#DIV/0!</v>
      </c>
      <c r="I508" s="961" t="str">
        <f>IF(H508&lt;'PlayerGrades+'!$AC$21,"F-",IF(H508&lt;'PlayerGrades+'!$AC$20,"F",IF(H508&lt;'PlayerGrades+'!$AC$19,"F+",IF(H508&lt;'PlayerGrades+'!$AC$18,"E-",IF(H508&lt;'PlayerGrades+'!$AC$17,"E",IF(H508&lt;'PlayerGrades+'!$AC$16,"E+",IF(H508&lt;'PlayerGrades+'!$AC$15,"D-",IF(H508&lt;'PlayerGrades+'!$AC$14,"D",IF(H508&lt;'PlayerGrades+'!$AC$13,"D+",IF(H508&lt;'PlayerGrades+'!$AC$12,"C-",IF(H508&lt;'PlayerGrades+'!$AC$11,"C",IF(H508&lt;'PlayerGrades+'!$AC$10,"C+",IF(H508&lt;'PlayerGrades+'!$AC$9,"B-",IF(H508&lt;'PlayerGrades+'!$AC$8,"B",IF(H508&lt;'PlayerGrades+'!$AC$7,"B+",IF(H508&lt;'PlayerGrades+'!$AC$6,"A-",IF(H508&lt;'PlayerGrades+'!$AC$5,"A",IF(H508&lt;'PlayerGrades+'!$AC$4,"A+",IF(H508&lt;'PlayerGrades+'!$AC$3,"S-",IF(H508&lt;'PlayerGrades+'!$AC$2,"S","S+"))))))))))))))))))))</f>
        <v>#DIV/0!</v>
      </c>
      <c r="J508" s="961" t="str">
        <f t="shared" si="4"/>
        <v>#DIV/0!</v>
      </c>
      <c r="K508" s="961" t="str">
        <f>IF(J508&lt;'PlayerGrades+'!$AD$21,"F-",IF(J508&lt;'PlayerGrades+'!$AD$20,"F",IF(J508&lt;'PlayerGrades+'!$AD$19,"F+",IF(J508&lt;'PlayerGrades+'!$AD$18,"E-",IF(J508&lt;'PlayerGrades+'!$AD$17,"E",IF(J508&lt;'PlayerGrades+'!$AD$16,"E+",IF(J508&lt;'PlayerGrades+'!$AD$15,"D-",IF(J508&lt;'PlayerGrades+'!$AD$14,"D",IF(J508&lt;'PlayerGrades+'!$AD$13,"D+",IF(J508&lt;'PlayerGrades+'!$AD$12,"C-",IF(J508&lt;'PlayerGrades+'!$AD$11,"C",IF(J508&lt;'PlayerGrades+'!$AD$10,"C+",IF(J508&lt;'PlayerGrades+'!$AD$9,"B-",IF(J508&lt;'PlayerGrades+'!$AD$8,"B",IF(J508&lt;'PlayerGrades+'!$AD$7,"B+",IF(J508&lt;'PlayerGrades+'!$AD$6,"A-",IF(J508&lt;'PlayerGrades+'!$AD$5,"A",IF(J508&lt;'PlayerGrades+'!$AD$4,"A+",IF(J508&lt;'PlayerGrades+'!$AD$3,"S-",IF(J508&lt;'PlayerGrades+'!$AD$2,"S","S+"))))))))))))))))))))</f>
        <v>#DIV/0!</v>
      </c>
      <c r="L508" s="1176" t="str">
        <f t="shared" si="5"/>
        <v>#DIV/0!</v>
      </c>
      <c r="M508" s="992" t="str">
        <f>IF(L508&lt;'PlayerGrades+'!$AE$21,"F-",IF(L508&lt;'PlayerGrades+'!$AE$20,"F",IF(L508&lt;'PlayerGrades+'!$AE$19,"F+",IF(L508&lt;'PlayerGrades+'!$AE$18,"E-",IF(L508&lt;'PlayerGrades+'!$AE$17,"E",IF(L508&lt;'PlayerGrades+'!$AE$16,"E+",IF(L508&lt;'PlayerGrades+'!$AE$15,"D-",IF(L508&lt;'PlayerGrades+'!$AE$14,"D",IF(L508&lt;'PlayerGrades+'!$AE$13,"D+",IF(L508&lt;'PlayerGrades+'!$AE$12,"C-",IF(L508&lt;'PlayerGrades+'!$AE$11,"C",IF(L508&lt;'PlayerGrades+'!$AE$10,"C+",IF(L508&lt;'PlayerGrades+'!$AE$9,"B-",IF(L508&lt;'PlayerGrades+'!$AE$8,"B",IF(L508&lt;'PlayerGrades+'!$AE$7,"B+",IF(L508&lt;'PlayerGrades+'!$AE$6,"A-",IF(L508&lt;'PlayerGrades+'!$AE$5,"A",IF(L508&lt;'PlayerGrades+'!$AE$4,"A+",IF(L508&lt;'PlayerGrades+'!$AE$3,"S-",IF(L508&lt;'PlayerGrades+'!$AE$2,"S","S+"))))))))))))))))))))</f>
        <v>#DIV/0!</v>
      </c>
      <c r="N508" s="961" t="str">
        <f t="shared" si="6"/>
        <v>#DIV/0!</v>
      </c>
      <c r="O508" s="961" t="str">
        <f>IF(N508&lt;'PlayerGrades+'!$AF$21,"F-",IF(N508&lt;'PlayerGrades+'!$AF$20,"F",IF(N508&lt;'PlayerGrades+'!$AF$19,"F+",IF(N508&lt;'PlayerGrades+'!$AF$18,"E-",IF(N508&lt;'PlayerGrades+'!$AF$17,"E",IF(N508&lt;'PlayerGrades+'!$AF$16,"E+",IF(N508&lt;'PlayerGrades+'!$AF$15,"D-",IF(N508&lt;'PlayerGrades+'!$AF$14,"D",IF(N508&lt;'PlayerGrades+'!$AF$13,"D+",IF(N508&lt;'PlayerGrades+'!$AF$12,"C-",IF(N508&lt;'PlayerGrades+'!$AF$11,"C",IF(N508&lt;'PlayerGrades+'!$AF$10,"C+",IF(N508&lt;'PlayerGrades+'!$AF$9,"B-",IF(N508&lt;'PlayerGrades+'!$AF$8,"B",IF(N508&lt;'PlayerGrades+'!$AF$7,"B+",IF(N508&lt;'PlayerGrades+'!$AF$6,"A-",IF(N508&lt;'PlayerGrades+'!$AF$5,"A",IF(N508&lt;'PlayerGrades+'!$AF$4,"A+",IF(N508&lt;'PlayerGrades+'!$AF$3,"S-",IF(N508&lt;'PlayerGrades+'!$AF$2,"S","S+"))))))))))))))))))))</f>
        <v>#DIV/0!</v>
      </c>
      <c r="P508" s="961" t="str">
        <f t="shared" si="7"/>
        <v>#DIV/0!</v>
      </c>
      <c r="Q508" s="961" t="str">
        <f>IF(P508&lt;'PlayerGrades+'!$AG$21,"F-",IF(P508&lt;'PlayerGrades+'!$AG$20,"F",IF(P508&lt;'PlayerGrades+'!$AG$19,"F+",IF(P508&lt;'PlayerGrades+'!$AG$18,"E-",IF(P508&lt;'PlayerGrades+'!$AG$17,"E",IF(P508&lt;'PlayerGrades+'!$AG$16,"E+",IF(P508&lt;'PlayerGrades+'!$AG$15,"D-",IF(P508&lt;'PlayerGrades+'!$AG$14,"D",IF(P508&lt;'PlayerGrades+'!$AG$13,"D+",IF(P508&lt;'PlayerGrades+'!$AG$12,"C-",IF(P508&lt;'PlayerGrades+'!$AG$11,"C",IF(P508&lt;'PlayerGrades+'!$AG$10,"C+",IF(P508&lt;'PlayerGrades+'!$AG$9,"B-",IF(P508&lt;'PlayerGrades+'!$AG$8,"B",IF(P508&lt;'PlayerGrades+'!$AG$7,"B+",IF(P508&lt;'PlayerGrades+'!$AG$6,"A-",IF(P508&lt;'PlayerGrades+'!$AG$5,"A",IF(P508&lt;'PlayerGrades+'!$AG$4,"A+",IF(P508&lt;'PlayerGrades+'!$AG$3,"S-",IF(P508&lt;'PlayerGrades+'!$AG$2,"S","S+"))))))))))))))))))))</f>
        <v>#DIV/0!</v>
      </c>
      <c r="R508" s="961" t="str">
        <f t="shared" si="8"/>
        <v>#DIV/0!</v>
      </c>
      <c r="S508" s="961" t="str">
        <f>IF(R508&lt;'PlayerGrades+'!$AH$21,"F-",IF(R508&lt;'PlayerGrades+'!$AH$20,"F",IF(R508&lt;'PlayerGrades+'!$AH$19,"F+",IF(R508&lt;'PlayerGrades+'!$AH$18,"E-",IF(R508&lt;'PlayerGrades+'!$AH$17,"E",IF(R508&lt;'PlayerGrades+'!$AH$16,"E+",IF(R508&lt;'PlayerGrades+'!$AH$15,"D-",IF(R508&lt;'PlayerGrades+'!$AH$14,"D",IF(R508&lt;'PlayerGrades+'!$AH$13,"D+",IF(R508&lt;'PlayerGrades+'!$AH$12,"C-",IF(R508&lt;'PlayerGrades+'!$AH$11,"C",IF(R508&lt;'PlayerGrades+'!$AH$10,"C+",IF(R508&lt;'PlayerGrades+'!$AH$9,"B-",IF(R508&lt;'PlayerGrades+'!$AH$8,"B",IF(R508&lt;'PlayerGrades+'!$AH$7,"B+",IF(R508&lt;'PlayerGrades+'!$AH$6,"A-",IF(R508&lt;'PlayerGrades+'!$AH$5,"A",IF(R508&lt;'PlayerGrades+'!$AH$4,"A+",IF(R508&lt;'PlayerGrades+'!$AH$3,"S-",IF(R508&lt;'PlayerGrades+'!$AH$2,"S","S+"))))))))))))))))))))</f>
        <v>#DIV/0!</v>
      </c>
      <c r="T508" s="961">
        <f t="shared" si="9"/>
        <v>0</v>
      </c>
      <c r="U508" s="961" t="str">
        <f>IF(T508&lt;'PlayerGrades+'!$AI$21,"F-",IF(T508&lt;'PlayerGrades+'!$AI$20,"F",IF(T508&lt;'PlayerGrades+'!$AI$19,"F+",IF(T508&lt;'PlayerGrades+'!$AI$18,"E-",IF(T508&lt;'PlayerGrades+'!$AI$17,"E",IF(T508&lt;'PlayerGrades+'!$AI$16,"E+",IF(T508&lt;'PlayerGrades+'!$AI$15,"D-",IF(T508&lt;'PlayerGrades+'!$AI$14,"D",IF(T508&lt;'PlayerGrades+'!$AI$13,"D+",IF(T508&lt;'PlayerGrades+'!$AI$12,"C-",IF(T508&lt;'PlayerGrades+'!$AI$11,"C",IF(T508&lt;'PlayerGrades+'!$AI$10,"C+",IF(T508&lt;'PlayerGrades+'!$AI$9,"B-",IF(T508&lt;'PlayerGrades+'!$AI$8,"B",IF(T508&lt;'PlayerGrades+'!$AI$7,"B+",IF(T508&lt;'PlayerGrades+'!$AI$6,"A-",IF(T508&lt;'PlayerGrades+'!$AI$5,"A",IF(T508&lt;'PlayerGrades+'!$AI$4,"A+",IF(T508&lt;'PlayerGrades+'!$AI$3,"S-",IF(T508&lt;'PlayerGrades+'!$AI$2,"S","S+"))))))))))))))))))))</f>
        <v>F-</v>
      </c>
      <c r="AC508" s="1392"/>
    </row>
    <row r="509">
      <c r="A509" s="1391"/>
      <c r="B509" s="611" t="str">
        <f>IF(C509&lt;'PlayerGrades+'!$Y$44,"F-",IF(C509&lt;'PlayerGrades+'!$Y$43,"F",IF(C509&lt;'PlayerGrades+'!$Y$42,"F+",IF(C509&lt;'PlayerGrades+'!$Y$41,"E-",IF(C509&lt;'PlayerGrades+'!$Y$40,"E",IF(C509&lt;'PlayerGrades+'!$Y$39,"E+",IF(C509&lt;'PlayerGrades+'!$Y$38,"D-",IF(C509&lt;'PlayerGrades+'!$Y$37,"D",IF(C509&lt;'PlayerGrades+'!$Y$36,"D+",IF(C509&lt;'PlayerGrades+'!$Y$35,"C-",IF(C509&lt;'PlayerGrades+'!$Y$34,"C",IF(C509&lt;'PlayerGrades+'!$Y$33,"C+",IF(C509&lt;'PlayerGrades+'!$Y$32,"B-",IF(C509&lt;'PlayerGrades+'!$Y$31,"B",IF(C509&lt;'PlayerGrades+'!$Y$30,"B+",IF(C509&lt;'PlayerGrades+'!$Y$29,"A-",IF(C509&lt;'PlayerGrades+'!$Y$28,"A",IF(C509&lt;'PlayerGrades+'!$Y$27,"A+",IF(C509&lt;'PlayerGrades+'!$Y$26,"S-",IF(C509&lt;'PlayerGrades+'!$Y$25,"S","S+"))))))))))))))))))))</f>
        <v>#DIV/0!</v>
      </c>
      <c r="C509" s="1378" t="str">
        <f>('PlayerGrades+'!$Y$47*(VLOOKUP(E509, 'PlayerGrades+'!$X$3:$Y$23, 2, FALSE)))+('PlayerGrades+'!$Y$48*(VLOOKUP(G509, 'PlayerGrades+'!$X$3:$Y$23, 2, FALSE)))+('PlayerGrades+'!$Y$49*(VLOOKUP(I509, 'PlayerGrades+'!$X$3:$Y$23, 2, FALSE)))+('PlayerGrades+'!$Y$50*(VLOOKUP(K509, 'PlayerGrades+'!$X$3:$Y$23, 2, FALSE)))+('PlayerGrades+'!$Y$51*(VLOOKUP(M509, 'PlayerGrades+'!$X$3:$Y$23, 2, FALSE)))+('PlayerGrades+'!$Y$52*(VLOOKUP(O509, 'PlayerGrades+'!$X$3:$Y$23, 2, FALSE)))+('PlayerGrades+'!$Y$53*(VLOOKUP(Q509, 'PlayerGrades+'!$X$3:$Y$23, 2, FALSE)))+('PlayerGrades+'!$Y$54*(VLOOKUP(S509, 'PlayerGrades+'!$X$3:$Y$23, 2, FALSE)))+('PlayerGrades+'!$Y$55*(VLOOKUP(U509, 'PlayerGrades+'!$X$3:$Y$23, 2, FALSE)))</f>
        <v>#DIV/0!</v>
      </c>
      <c r="D509" s="961" t="str">
        <f t="shared" si="1"/>
        <v>#DIV/0!</v>
      </c>
      <c r="E509" s="961" t="str">
        <f>IF(D509&lt;'PlayerGrades+'!$AA$21,"F-",IF(D509&lt;'PlayerGrades+'!$AA$20,"F",IF(D509&lt;'PlayerGrades+'!$AA$19,"F+",IF(D509&lt;'PlayerGrades+'!$AA$18,"E-",IF(D509&lt;'PlayerGrades+'!$AA$17,"E",IF(D509&lt;'PlayerGrades+'!$AA$16,"E+",IF(D509&lt;'PlayerGrades+'!$AA$15,"D-",IF(D509&lt;'PlayerGrades+'!$AA$14,"D",IF(D509&lt;'PlayerGrades+'!$AA$13,"D+",IF(D509&lt;'PlayerGrades+'!$AA$12,"C-",IF(D509&lt;'PlayerGrades+'!$AA$11,"C",IF(D509&lt;'PlayerGrades+'!$AA$10,"C+",IF(D509&lt;'PlayerGrades+'!$AA$9,"B-",IF(D509&lt;'PlayerGrades+'!$AA$8,"B",IF(D509&lt;'PlayerGrades+'!$AA$7,"B+",IF(D509&lt;'PlayerGrades+'!$AA$6,"A-",IF(D509&lt;'PlayerGrades+'!$AA$5,"A",IF(D509&lt;'PlayerGrades+'!$AA$4,"A+",IF(D509&lt;'PlayerGrades+'!$AA$3,"S-",IF(D509&lt;'PlayerGrades+'!$AA$2,"S","S+"))))))))))))))))))))</f>
        <v>#DIV/0!</v>
      </c>
      <c r="F509" s="961" t="str">
        <f t="shared" si="2"/>
        <v>#DIV/0!</v>
      </c>
      <c r="G509" s="961" t="str">
        <f>IF(F509&lt;'PlayerGrades+'!$AB$21,"F-",IF(F509&lt;'PlayerGrades+'!$AB$20,"F",IF(F509&lt;'PlayerGrades+'!$AB$19,"F+",IF(F509&lt;'PlayerGrades+'!$AB$18,"E-",IF(F509&lt;'PlayerGrades+'!$AB$17,"E",IF(F509&lt;'PlayerGrades+'!$AB$16,"E+",IF(F509&lt;'PlayerGrades+'!$AB$15,"D-",IF(F509&lt;'PlayerGrades+'!$AB$14,"D",IF(F509&lt;'PlayerGrades+'!$AB$13,"D+",IF(F509&lt;'PlayerGrades+'!$AB$12,"C-",IF(F509&lt;'PlayerGrades+'!$AB$11,"C",IF(F509&lt;'PlayerGrades+'!$AB$10,"C+",IF(F509&lt;'PlayerGrades+'!$AB$9,"B-",IF(F509&lt;'PlayerGrades+'!$AB$8,"B",IF(F509&lt;'PlayerGrades+'!$AB$7,"B+",IF(F509&lt;'PlayerGrades+'!$AB$6,"A-",IF(F509&lt;'PlayerGrades+'!$AB$5,"A",IF(F509&lt;'PlayerGrades+'!$AB$4,"A+",IF(F509&lt;'PlayerGrades+'!$AB$3,"S-",IF(F509&lt;'PlayerGrades+'!$AB$2,"S","S+"))))))))))))))))))))</f>
        <v>#DIV/0!</v>
      </c>
      <c r="H509" s="961" t="str">
        <f t="shared" si="3"/>
        <v>#DIV/0!</v>
      </c>
      <c r="I509" s="961" t="str">
        <f>IF(H509&lt;'PlayerGrades+'!$AC$21,"F-",IF(H509&lt;'PlayerGrades+'!$AC$20,"F",IF(H509&lt;'PlayerGrades+'!$AC$19,"F+",IF(H509&lt;'PlayerGrades+'!$AC$18,"E-",IF(H509&lt;'PlayerGrades+'!$AC$17,"E",IF(H509&lt;'PlayerGrades+'!$AC$16,"E+",IF(H509&lt;'PlayerGrades+'!$AC$15,"D-",IF(H509&lt;'PlayerGrades+'!$AC$14,"D",IF(H509&lt;'PlayerGrades+'!$AC$13,"D+",IF(H509&lt;'PlayerGrades+'!$AC$12,"C-",IF(H509&lt;'PlayerGrades+'!$AC$11,"C",IF(H509&lt;'PlayerGrades+'!$AC$10,"C+",IF(H509&lt;'PlayerGrades+'!$AC$9,"B-",IF(H509&lt;'PlayerGrades+'!$AC$8,"B",IF(H509&lt;'PlayerGrades+'!$AC$7,"B+",IF(H509&lt;'PlayerGrades+'!$AC$6,"A-",IF(H509&lt;'PlayerGrades+'!$AC$5,"A",IF(H509&lt;'PlayerGrades+'!$AC$4,"A+",IF(H509&lt;'PlayerGrades+'!$AC$3,"S-",IF(H509&lt;'PlayerGrades+'!$AC$2,"S","S+"))))))))))))))))))))</f>
        <v>#DIV/0!</v>
      </c>
      <c r="J509" s="961" t="str">
        <f t="shared" si="4"/>
        <v>#DIV/0!</v>
      </c>
      <c r="K509" s="961" t="str">
        <f>IF(J509&lt;'PlayerGrades+'!$AD$21,"F-",IF(J509&lt;'PlayerGrades+'!$AD$20,"F",IF(J509&lt;'PlayerGrades+'!$AD$19,"F+",IF(J509&lt;'PlayerGrades+'!$AD$18,"E-",IF(J509&lt;'PlayerGrades+'!$AD$17,"E",IF(J509&lt;'PlayerGrades+'!$AD$16,"E+",IF(J509&lt;'PlayerGrades+'!$AD$15,"D-",IF(J509&lt;'PlayerGrades+'!$AD$14,"D",IF(J509&lt;'PlayerGrades+'!$AD$13,"D+",IF(J509&lt;'PlayerGrades+'!$AD$12,"C-",IF(J509&lt;'PlayerGrades+'!$AD$11,"C",IF(J509&lt;'PlayerGrades+'!$AD$10,"C+",IF(J509&lt;'PlayerGrades+'!$AD$9,"B-",IF(J509&lt;'PlayerGrades+'!$AD$8,"B",IF(J509&lt;'PlayerGrades+'!$AD$7,"B+",IF(J509&lt;'PlayerGrades+'!$AD$6,"A-",IF(J509&lt;'PlayerGrades+'!$AD$5,"A",IF(J509&lt;'PlayerGrades+'!$AD$4,"A+",IF(J509&lt;'PlayerGrades+'!$AD$3,"S-",IF(J509&lt;'PlayerGrades+'!$AD$2,"S","S+"))))))))))))))))))))</f>
        <v>#DIV/0!</v>
      </c>
      <c r="L509" s="1176" t="str">
        <f t="shared" si="5"/>
        <v>#DIV/0!</v>
      </c>
      <c r="M509" s="992" t="str">
        <f>IF(L509&lt;'PlayerGrades+'!$AE$21,"F-",IF(L509&lt;'PlayerGrades+'!$AE$20,"F",IF(L509&lt;'PlayerGrades+'!$AE$19,"F+",IF(L509&lt;'PlayerGrades+'!$AE$18,"E-",IF(L509&lt;'PlayerGrades+'!$AE$17,"E",IF(L509&lt;'PlayerGrades+'!$AE$16,"E+",IF(L509&lt;'PlayerGrades+'!$AE$15,"D-",IF(L509&lt;'PlayerGrades+'!$AE$14,"D",IF(L509&lt;'PlayerGrades+'!$AE$13,"D+",IF(L509&lt;'PlayerGrades+'!$AE$12,"C-",IF(L509&lt;'PlayerGrades+'!$AE$11,"C",IF(L509&lt;'PlayerGrades+'!$AE$10,"C+",IF(L509&lt;'PlayerGrades+'!$AE$9,"B-",IF(L509&lt;'PlayerGrades+'!$AE$8,"B",IF(L509&lt;'PlayerGrades+'!$AE$7,"B+",IF(L509&lt;'PlayerGrades+'!$AE$6,"A-",IF(L509&lt;'PlayerGrades+'!$AE$5,"A",IF(L509&lt;'PlayerGrades+'!$AE$4,"A+",IF(L509&lt;'PlayerGrades+'!$AE$3,"S-",IF(L509&lt;'PlayerGrades+'!$AE$2,"S","S+"))))))))))))))))))))</f>
        <v>#DIV/0!</v>
      </c>
      <c r="N509" s="961" t="str">
        <f t="shared" si="6"/>
        <v>#DIV/0!</v>
      </c>
      <c r="O509" s="961" t="str">
        <f>IF(N509&lt;'PlayerGrades+'!$AF$21,"F-",IF(N509&lt;'PlayerGrades+'!$AF$20,"F",IF(N509&lt;'PlayerGrades+'!$AF$19,"F+",IF(N509&lt;'PlayerGrades+'!$AF$18,"E-",IF(N509&lt;'PlayerGrades+'!$AF$17,"E",IF(N509&lt;'PlayerGrades+'!$AF$16,"E+",IF(N509&lt;'PlayerGrades+'!$AF$15,"D-",IF(N509&lt;'PlayerGrades+'!$AF$14,"D",IF(N509&lt;'PlayerGrades+'!$AF$13,"D+",IF(N509&lt;'PlayerGrades+'!$AF$12,"C-",IF(N509&lt;'PlayerGrades+'!$AF$11,"C",IF(N509&lt;'PlayerGrades+'!$AF$10,"C+",IF(N509&lt;'PlayerGrades+'!$AF$9,"B-",IF(N509&lt;'PlayerGrades+'!$AF$8,"B",IF(N509&lt;'PlayerGrades+'!$AF$7,"B+",IF(N509&lt;'PlayerGrades+'!$AF$6,"A-",IF(N509&lt;'PlayerGrades+'!$AF$5,"A",IF(N509&lt;'PlayerGrades+'!$AF$4,"A+",IF(N509&lt;'PlayerGrades+'!$AF$3,"S-",IF(N509&lt;'PlayerGrades+'!$AF$2,"S","S+"))))))))))))))))))))</f>
        <v>#DIV/0!</v>
      </c>
      <c r="P509" s="961" t="str">
        <f t="shared" si="7"/>
        <v>#DIV/0!</v>
      </c>
      <c r="Q509" s="961" t="str">
        <f>IF(P509&lt;'PlayerGrades+'!$AG$21,"F-",IF(P509&lt;'PlayerGrades+'!$AG$20,"F",IF(P509&lt;'PlayerGrades+'!$AG$19,"F+",IF(P509&lt;'PlayerGrades+'!$AG$18,"E-",IF(P509&lt;'PlayerGrades+'!$AG$17,"E",IF(P509&lt;'PlayerGrades+'!$AG$16,"E+",IF(P509&lt;'PlayerGrades+'!$AG$15,"D-",IF(P509&lt;'PlayerGrades+'!$AG$14,"D",IF(P509&lt;'PlayerGrades+'!$AG$13,"D+",IF(P509&lt;'PlayerGrades+'!$AG$12,"C-",IF(P509&lt;'PlayerGrades+'!$AG$11,"C",IF(P509&lt;'PlayerGrades+'!$AG$10,"C+",IF(P509&lt;'PlayerGrades+'!$AG$9,"B-",IF(P509&lt;'PlayerGrades+'!$AG$8,"B",IF(P509&lt;'PlayerGrades+'!$AG$7,"B+",IF(P509&lt;'PlayerGrades+'!$AG$6,"A-",IF(P509&lt;'PlayerGrades+'!$AG$5,"A",IF(P509&lt;'PlayerGrades+'!$AG$4,"A+",IF(P509&lt;'PlayerGrades+'!$AG$3,"S-",IF(P509&lt;'PlayerGrades+'!$AG$2,"S","S+"))))))))))))))))))))</f>
        <v>#DIV/0!</v>
      </c>
      <c r="R509" s="961" t="str">
        <f t="shared" si="8"/>
        <v>#DIV/0!</v>
      </c>
      <c r="S509" s="961" t="str">
        <f>IF(R509&lt;'PlayerGrades+'!$AH$21,"F-",IF(R509&lt;'PlayerGrades+'!$AH$20,"F",IF(R509&lt;'PlayerGrades+'!$AH$19,"F+",IF(R509&lt;'PlayerGrades+'!$AH$18,"E-",IF(R509&lt;'PlayerGrades+'!$AH$17,"E",IF(R509&lt;'PlayerGrades+'!$AH$16,"E+",IF(R509&lt;'PlayerGrades+'!$AH$15,"D-",IF(R509&lt;'PlayerGrades+'!$AH$14,"D",IF(R509&lt;'PlayerGrades+'!$AH$13,"D+",IF(R509&lt;'PlayerGrades+'!$AH$12,"C-",IF(R509&lt;'PlayerGrades+'!$AH$11,"C",IF(R509&lt;'PlayerGrades+'!$AH$10,"C+",IF(R509&lt;'PlayerGrades+'!$AH$9,"B-",IF(R509&lt;'PlayerGrades+'!$AH$8,"B",IF(R509&lt;'PlayerGrades+'!$AH$7,"B+",IF(R509&lt;'PlayerGrades+'!$AH$6,"A-",IF(R509&lt;'PlayerGrades+'!$AH$5,"A",IF(R509&lt;'PlayerGrades+'!$AH$4,"A+",IF(R509&lt;'PlayerGrades+'!$AH$3,"S-",IF(R509&lt;'PlayerGrades+'!$AH$2,"S","S+"))))))))))))))))))))</f>
        <v>#DIV/0!</v>
      </c>
      <c r="T509" s="961">
        <f t="shared" si="9"/>
        <v>0</v>
      </c>
      <c r="U509" s="961" t="str">
        <f>IF(T509&lt;'PlayerGrades+'!$AI$21,"F-",IF(T509&lt;'PlayerGrades+'!$AI$20,"F",IF(T509&lt;'PlayerGrades+'!$AI$19,"F+",IF(T509&lt;'PlayerGrades+'!$AI$18,"E-",IF(T509&lt;'PlayerGrades+'!$AI$17,"E",IF(T509&lt;'PlayerGrades+'!$AI$16,"E+",IF(T509&lt;'PlayerGrades+'!$AI$15,"D-",IF(T509&lt;'PlayerGrades+'!$AI$14,"D",IF(T509&lt;'PlayerGrades+'!$AI$13,"D+",IF(T509&lt;'PlayerGrades+'!$AI$12,"C-",IF(T509&lt;'PlayerGrades+'!$AI$11,"C",IF(T509&lt;'PlayerGrades+'!$AI$10,"C+",IF(T509&lt;'PlayerGrades+'!$AI$9,"B-",IF(T509&lt;'PlayerGrades+'!$AI$8,"B",IF(T509&lt;'PlayerGrades+'!$AI$7,"B+",IF(T509&lt;'PlayerGrades+'!$AI$6,"A-",IF(T509&lt;'PlayerGrades+'!$AI$5,"A",IF(T509&lt;'PlayerGrades+'!$AI$4,"A+",IF(T509&lt;'PlayerGrades+'!$AI$3,"S-",IF(T509&lt;'PlayerGrades+'!$AI$2,"S","S+"))))))))))))))))))))</f>
        <v>F-</v>
      </c>
      <c r="AC509" s="1392"/>
    </row>
    <row r="510">
      <c r="A510" s="1391"/>
      <c r="B510" s="611" t="str">
        <f>IF(C510&lt;'PlayerGrades+'!$Y$44,"F-",IF(C510&lt;'PlayerGrades+'!$Y$43,"F",IF(C510&lt;'PlayerGrades+'!$Y$42,"F+",IF(C510&lt;'PlayerGrades+'!$Y$41,"E-",IF(C510&lt;'PlayerGrades+'!$Y$40,"E",IF(C510&lt;'PlayerGrades+'!$Y$39,"E+",IF(C510&lt;'PlayerGrades+'!$Y$38,"D-",IF(C510&lt;'PlayerGrades+'!$Y$37,"D",IF(C510&lt;'PlayerGrades+'!$Y$36,"D+",IF(C510&lt;'PlayerGrades+'!$Y$35,"C-",IF(C510&lt;'PlayerGrades+'!$Y$34,"C",IF(C510&lt;'PlayerGrades+'!$Y$33,"C+",IF(C510&lt;'PlayerGrades+'!$Y$32,"B-",IF(C510&lt;'PlayerGrades+'!$Y$31,"B",IF(C510&lt;'PlayerGrades+'!$Y$30,"B+",IF(C510&lt;'PlayerGrades+'!$Y$29,"A-",IF(C510&lt;'PlayerGrades+'!$Y$28,"A",IF(C510&lt;'PlayerGrades+'!$Y$27,"A+",IF(C510&lt;'PlayerGrades+'!$Y$26,"S-",IF(C510&lt;'PlayerGrades+'!$Y$25,"S","S+"))))))))))))))))))))</f>
        <v>#DIV/0!</v>
      </c>
      <c r="C510" s="1378" t="str">
        <f>('PlayerGrades+'!$Y$47*(VLOOKUP(E510, 'PlayerGrades+'!$X$3:$Y$23, 2, FALSE)))+('PlayerGrades+'!$Y$48*(VLOOKUP(G510, 'PlayerGrades+'!$X$3:$Y$23, 2, FALSE)))+('PlayerGrades+'!$Y$49*(VLOOKUP(I510, 'PlayerGrades+'!$X$3:$Y$23, 2, FALSE)))+('PlayerGrades+'!$Y$50*(VLOOKUP(K510, 'PlayerGrades+'!$X$3:$Y$23, 2, FALSE)))+('PlayerGrades+'!$Y$51*(VLOOKUP(M510, 'PlayerGrades+'!$X$3:$Y$23, 2, FALSE)))+('PlayerGrades+'!$Y$52*(VLOOKUP(O510, 'PlayerGrades+'!$X$3:$Y$23, 2, FALSE)))+('PlayerGrades+'!$Y$53*(VLOOKUP(Q510, 'PlayerGrades+'!$X$3:$Y$23, 2, FALSE)))+('PlayerGrades+'!$Y$54*(VLOOKUP(S510, 'PlayerGrades+'!$X$3:$Y$23, 2, FALSE)))+('PlayerGrades+'!$Y$55*(VLOOKUP(U510, 'PlayerGrades+'!$X$3:$Y$23, 2, FALSE)))</f>
        <v>#DIV/0!</v>
      </c>
      <c r="D510" s="961" t="str">
        <f t="shared" si="1"/>
        <v>#DIV/0!</v>
      </c>
      <c r="E510" s="961" t="str">
        <f>IF(D510&lt;'PlayerGrades+'!$AA$21,"F-",IF(D510&lt;'PlayerGrades+'!$AA$20,"F",IF(D510&lt;'PlayerGrades+'!$AA$19,"F+",IF(D510&lt;'PlayerGrades+'!$AA$18,"E-",IF(D510&lt;'PlayerGrades+'!$AA$17,"E",IF(D510&lt;'PlayerGrades+'!$AA$16,"E+",IF(D510&lt;'PlayerGrades+'!$AA$15,"D-",IF(D510&lt;'PlayerGrades+'!$AA$14,"D",IF(D510&lt;'PlayerGrades+'!$AA$13,"D+",IF(D510&lt;'PlayerGrades+'!$AA$12,"C-",IF(D510&lt;'PlayerGrades+'!$AA$11,"C",IF(D510&lt;'PlayerGrades+'!$AA$10,"C+",IF(D510&lt;'PlayerGrades+'!$AA$9,"B-",IF(D510&lt;'PlayerGrades+'!$AA$8,"B",IF(D510&lt;'PlayerGrades+'!$AA$7,"B+",IF(D510&lt;'PlayerGrades+'!$AA$6,"A-",IF(D510&lt;'PlayerGrades+'!$AA$5,"A",IF(D510&lt;'PlayerGrades+'!$AA$4,"A+",IF(D510&lt;'PlayerGrades+'!$AA$3,"S-",IF(D510&lt;'PlayerGrades+'!$AA$2,"S","S+"))))))))))))))))))))</f>
        <v>#DIV/0!</v>
      </c>
      <c r="F510" s="961" t="str">
        <f t="shared" si="2"/>
        <v>#DIV/0!</v>
      </c>
      <c r="G510" s="961" t="str">
        <f>IF(F510&lt;'PlayerGrades+'!$AB$21,"F-",IF(F510&lt;'PlayerGrades+'!$AB$20,"F",IF(F510&lt;'PlayerGrades+'!$AB$19,"F+",IF(F510&lt;'PlayerGrades+'!$AB$18,"E-",IF(F510&lt;'PlayerGrades+'!$AB$17,"E",IF(F510&lt;'PlayerGrades+'!$AB$16,"E+",IF(F510&lt;'PlayerGrades+'!$AB$15,"D-",IF(F510&lt;'PlayerGrades+'!$AB$14,"D",IF(F510&lt;'PlayerGrades+'!$AB$13,"D+",IF(F510&lt;'PlayerGrades+'!$AB$12,"C-",IF(F510&lt;'PlayerGrades+'!$AB$11,"C",IF(F510&lt;'PlayerGrades+'!$AB$10,"C+",IF(F510&lt;'PlayerGrades+'!$AB$9,"B-",IF(F510&lt;'PlayerGrades+'!$AB$8,"B",IF(F510&lt;'PlayerGrades+'!$AB$7,"B+",IF(F510&lt;'PlayerGrades+'!$AB$6,"A-",IF(F510&lt;'PlayerGrades+'!$AB$5,"A",IF(F510&lt;'PlayerGrades+'!$AB$4,"A+",IF(F510&lt;'PlayerGrades+'!$AB$3,"S-",IF(F510&lt;'PlayerGrades+'!$AB$2,"S","S+"))))))))))))))))))))</f>
        <v>#DIV/0!</v>
      </c>
      <c r="H510" s="961" t="str">
        <f t="shared" si="3"/>
        <v>#DIV/0!</v>
      </c>
      <c r="I510" s="961" t="str">
        <f>IF(H510&lt;'PlayerGrades+'!$AC$21,"F-",IF(H510&lt;'PlayerGrades+'!$AC$20,"F",IF(H510&lt;'PlayerGrades+'!$AC$19,"F+",IF(H510&lt;'PlayerGrades+'!$AC$18,"E-",IF(H510&lt;'PlayerGrades+'!$AC$17,"E",IF(H510&lt;'PlayerGrades+'!$AC$16,"E+",IF(H510&lt;'PlayerGrades+'!$AC$15,"D-",IF(H510&lt;'PlayerGrades+'!$AC$14,"D",IF(H510&lt;'PlayerGrades+'!$AC$13,"D+",IF(H510&lt;'PlayerGrades+'!$AC$12,"C-",IF(H510&lt;'PlayerGrades+'!$AC$11,"C",IF(H510&lt;'PlayerGrades+'!$AC$10,"C+",IF(H510&lt;'PlayerGrades+'!$AC$9,"B-",IF(H510&lt;'PlayerGrades+'!$AC$8,"B",IF(H510&lt;'PlayerGrades+'!$AC$7,"B+",IF(H510&lt;'PlayerGrades+'!$AC$6,"A-",IF(H510&lt;'PlayerGrades+'!$AC$5,"A",IF(H510&lt;'PlayerGrades+'!$AC$4,"A+",IF(H510&lt;'PlayerGrades+'!$AC$3,"S-",IF(H510&lt;'PlayerGrades+'!$AC$2,"S","S+"))))))))))))))))))))</f>
        <v>#DIV/0!</v>
      </c>
      <c r="J510" s="961" t="str">
        <f t="shared" si="4"/>
        <v>#DIV/0!</v>
      </c>
      <c r="K510" s="961" t="str">
        <f>IF(J510&lt;'PlayerGrades+'!$AD$21,"F-",IF(J510&lt;'PlayerGrades+'!$AD$20,"F",IF(J510&lt;'PlayerGrades+'!$AD$19,"F+",IF(J510&lt;'PlayerGrades+'!$AD$18,"E-",IF(J510&lt;'PlayerGrades+'!$AD$17,"E",IF(J510&lt;'PlayerGrades+'!$AD$16,"E+",IF(J510&lt;'PlayerGrades+'!$AD$15,"D-",IF(J510&lt;'PlayerGrades+'!$AD$14,"D",IF(J510&lt;'PlayerGrades+'!$AD$13,"D+",IF(J510&lt;'PlayerGrades+'!$AD$12,"C-",IF(J510&lt;'PlayerGrades+'!$AD$11,"C",IF(J510&lt;'PlayerGrades+'!$AD$10,"C+",IF(J510&lt;'PlayerGrades+'!$AD$9,"B-",IF(J510&lt;'PlayerGrades+'!$AD$8,"B",IF(J510&lt;'PlayerGrades+'!$AD$7,"B+",IF(J510&lt;'PlayerGrades+'!$AD$6,"A-",IF(J510&lt;'PlayerGrades+'!$AD$5,"A",IF(J510&lt;'PlayerGrades+'!$AD$4,"A+",IF(J510&lt;'PlayerGrades+'!$AD$3,"S-",IF(J510&lt;'PlayerGrades+'!$AD$2,"S","S+"))))))))))))))))))))</f>
        <v>#DIV/0!</v>
      </c>
      <c r="L510" s="1176" t="str">
        <f t="shared" si="5"/>
        <v>#DIV/0!</v>
      </c>
      <c r="M510" s="992" t="str">
        <f>IF(L510&lt;'PlayerGrades+'!$AE$21,"F-",IF(L510&lt;'PlayerGrades+'!$AE$20,"F",IF(L510&lt;'PlayerGrades+'!$AE$19,"F+",IF(L510&lt;'PlayerGrades+'!$AE$18,"E-",IF(L510&lt;'PlayerGrades+'!$AE$17,"E",IF(L510&lt;'PlayerGrades+'!$AE$16,"E+",IF(L510&lt;'PlayerGrades+'!$AE$15,"D-",IF(L510&lt;'PlayerGrades+'!$AE$14,"D",IF(L510&lt;'PlayerGrades+'!$AE$13,"D+",IF(L510&lt;'PlayerGrades+'!$AE$12,"C-",IF(L510&lt;'PlayerGrades+'!$AE$11,"C",IF(L510&lt;'PlayerGrades+'!$AE$10,"C+",IF(L510&lt;'PlayerGrades+'!$AE$9,"B-",IF(L510&lt;'PlayerGrades+'!$AE$8,"B",IF(L510&lt;'PlayerGrades+'!$AE$7,"B+",IF(L510&lt;'PlayerGrades+'!$AE$6,"A-",IF(L510&lt;'PlayerGrades+'!$AE$5,"A",IF(L510&lt;'PlayerGrades+'!$AE$4,"A+",IF(L510&lt;'PlayerGrades+'!$AE$3,"S-",IF(L510&lt;'PlayerGrades+'!$AE$2,"S","S+"))))))))))))))))))))</f>
        <v>#DIV/0!</v>
      </c>
      <c r="N510" s="961" t="str">
        <f t="shared" si="6"/>
        <v>#DIV/0!</v>
      </c>
      <c r="O510" s="961" t="str">
        <f>IF(N510&lt;'PlayerGrades+'!$AF$21,"F-",IF(N510&lt;'PlayerGrades+'!$AF$20,"F",IF(N510&lt;'PlayerGrades+'!$AF$19,"F+",IF(N510&lt;'PlayerGrades+'!$AF$18,"E-",IF(N510&lt;'PlayerGrades+'!$AF$17,"E",IF(N510&lt;'PlayerGrades+'!$AF$16,"E+",IF(N510&lt;'PlayerGrades+'!$AF$15,"D-",IF(N510&lt;'PlayerGrades+'!$AF$14,"D",IF(N510&lt;'PlayerGrades+'!$AF$13,"D+",IF(N510&lt;'PlayerGrades+'!$AF$12,"C-",IF(N510&lt;'PlayerGrades+'!$AF$11,"C",IF(N510&lt;'PlayerGrades+'!$AF$10,"C+",IF(N510&lt;'PlayerGrades+'!$AF$9,"B-",IF(N510&lt;'PlayerGrades+'!$AF$8,"B",IF(N510&lt;'PlayerGrades+'!$AF$7,"B+",IF(N510&lt;'PlayerGrades+'!$AF$6,"A-",IF(N510&lt;'PlayerGrades+'!$AF$5,"A",IF(N510&lt;'PlayerGrades+'!$AF$4,"A+",IF(N510&lt;'PlayerGrades+'!$AF$3,"S-",IF(N510&lt;'PlayerGrades+'!$AF$2,"S","S+"))))))))))))))))))))</f>
        <v>#DIV/0!</v>
      </c>
      <c r="P510" s="961" t="str">
        <f t="shared" si="7"/>
        <v>#DIV/0!</v>
      </c>
      <c r="Q510" s="961" t="str">
        <f>IF(P510&lt;'PlayerGrades+'!$AG$21,"F-",IF(P510&lt;'PlayerGrades+'!$AG$20,"F",IF(P510&lt;'PlayerGrades+'!$AG$19,"F+",IF(P510&lt;'PlayerGrades+'!$AG$18,"E-",IF(P510&lt;'PlayerGrades+'!$AG$17,"E",IF(P510&lt;'PlayerGrades+'!$AG$16,"E+",IF(P510&lt;'PlayerGrades+'!$AG$15,"D-",IF(P510&lt;'PlayerGrades+'!$AG$14,"D",IF(P510&lt;'PlayerGrades+'!$AG$13,"D+",IF(P510&lt;'PlayerGrades+'!$AG$12,"C-",IF(P510&lt;'PlayerGrades+'!$AG$11,"C",IF(P510&lt;'PlayerGrades+'!$AG$10,"C+",IF(P510&lt;'PlayerGrades+'!$AG$9,"B-",IF(P510&lt;'PlayerGrades+'!$AG$8,"B",IF(P510&lt;'PlayerGrades+'!$AG$7,"B+",IF(P510&lt;'PlayerGrades+'!$AG$6,"A-",IF(P510&lt;'PlayerGrades+'!$AG$5,"A",IF(P510&lt;'PlayerGrades+'!$AG$4,"A+",IF(P510&lt;'PlayerGrades+'!$AG$3,"S-",IF(P510&lt;'PlayerGrades+'!$AG$2,"S","S+"))))))))))))))))))))</f>
        <v>#DIV/0!</v>
      </c>
      <c r="R510" s="961" t="str">
        <f t="shared" si="8"/>
        <v>#DIV/0!</v>
      </c>
      <c r="S510" s="961" t="str">
        <f>IF(R510&lt;'PlayerGrades+'!$AH$21,"F-",IF(R510&lt;'PlayerGrades+'!$AH$20,"F",IF(R510&lt;'PlayerGrades+'!$AH$19,"F+",IF(R510&lt;'PlayerGrades+'!$AH$18,"E-",IF(R510&lt;'PlayerGrades+'!$AH$17,"E",IF(R510&lt;'PlayerGrades+'!$AH$16,"E+",IF(R510&lt;'PlayerGrades+'!$AH$15,"D-",IF(R510&lt;'PlayerGrades+'!$AH$14,"D",IF(R510&lt;'PlayerGrades+'!$AH$13,"D+",IF(R510&lt;'PlayerGrades+'!$AH$12,"C-",IF(R510&lt;'PlayerGrades+'!$AH$11,"C",IF(R510&lt;'PlayerGrades+'!$AH$10,"C+",IF(R510&lt;'PlayerGrades+'!$AH$9,"B-",IF(R510&lt;'PlayerGrades+'!$AH$8,"B",IF(R510&lt;'PlayerGrades+'!$AH$7,"B+",IF(R510&lt;'PlayerGrades+'!$AH$6,"A-",IF(R510&lt;'PlayerGrades+'!$AH$5,"A",IF(R510&lt;'PlayerGrades+'!$AH$4,"A+",IF(R510&lt;'PlayerGrades+'!$AH$3,"S-",IF(R510&lt;'PlayerGrades+'!$AH$2,"S","S+"))))))))))))))))))))</f>
        <v>#DIV/0!</v>
      </c>
      <c r="T510" s="961">
        <f t="shared" si="9"/>
        <v>0</v>
      </c>
      <c r="U510" s="961" t="str">
        <f>IF(T510&lt;'PlayerGrades+'!$AI$21,"F-",IF(T510&lt;'PlayerGrades+'!$AI$20,"F",IF(T510&lt;'PlayerGrades+'!$AI$19,"F+",IF(T510&lt;'PlayerGrades+'!$AI$18,"E-",IF(T510&lt;'PlayerGrades+'!$AI$17,"E",IF(T510&lt;'PlayerGrades+'!$AI$16,"E+",IF(T510&lt;'PlayerGrades+'!$AI$15,"D-",IF(T510&lt;'PlayerGrades+'!$AI$14,"D",IF(T510&lt;'PlayerGrades+'!$AI$13,"D+",IF(T510&lt;'PlayerGrades+'!$AI$12,"C-",IF(T510&lt;'PlayerGrades+'!$AI$11,"C",IF(T510&lt;'PlayerGrades+'!$AI$10,"C+",IF(T510&lt;'PlayerGrades+'!$AI$9,"B-",IF(T510&lt;'PlayerGrades+'!$AI$8,"B",IF(T510&lt;'PlayerGrades+'!$AI$7,"B+",IF(T510&lt;'PlayerGrades+'!$AI$6,"A-",IF(T510&lt;'PlayerGrades+'!$AI$5,"A",IF(T510&lt;'PlayerGrades+'!$AI$4,"A+",IF(T510&lt;'PlayerGrades+'!$AI$3,"S-",IF(T510&lt;'PlayerGrades+'!$AI$2,"S","S+"))))))))))))))))))))</f>
        <v>F-</v>
      </c>
      <c r="AC510" s="1392"/>
    </row>
    <row r="511">
      <c r="A511" s="1391"/>
      <c r="B511" s="611" t="str">
        <f>IF(C511&lt;'PlayerGrades+'!$Y$44,"F-",IF(C511&lt;'PlayerGrades+'!$Y$43,"F",IF(C511&lt;'PlayerGrades+'!$Y$42,"F+",IF(C511&lt;'PlayerGrades+'!$Y$41,"E-",IF(C511&lt;'PlayerGrades+'!$Y$40,"E",IF(C511&lt;'PlayerGrades+'!$Y$39,"E+",IF(C511&lt;'PlayerGrades+'!$Y$38,"D-",IF(C511&lt;'PlayerGrades+'!$Y$37,"D",IF(C511&lt;'PlayerGrades+'!$Y$36,"D+",IF(C511&lt;'PlayerGrades+'!$Y$35,"C-",IF(C511&lt;'PlayerGrades+'!$Y$34,"C",IF(C511&lt;'PlayerGrades+'!$Y$33,"C+",IF(C511&lt;'PlayerGrades+'!$Y$32,"B-",IF(C511&lt;'PlayerGrades+'!$Y$31,"B",IF(C511&lt;'PlayerGrades+'!$Y$30,"B+",IF(C511&lt;'PlayerGrades+'!$Y$29,"A-",IF(C511&lt;'PlayerGrades+'!$Y$28,"A",IF(C511&lt;'PlayerGrades+'!$Y$27,"A+",IF(C511&lt;'PlayerGrades+'!$Y$26,"S-",IF(C511&lt;'PlayerGrades+'!$Y$25,"S","S+"))))))))))))))))))))</f>
        <v>#DIV/0!</v>
      </c>
      <c r="C511" s="1378" t="str">
        <f>('PlayerGrades+'!$Y$47*(VLOOKUP(E511, 'PlayerGrades+'!$X$3:$Y$23, 2, FALSE)))+('PlayerGrades+'!$Y$48*(VLOOKUP(G511, 'PlayerGrades+'!$X$3:$Y$23, 2, FALSE)))+('PlayerGrades+'!$Y$49*(VLOOKUP(I511, 'PlayerGrades+'!$X$3:$Y$23, 2, FALSE)))+('PlayerGrades+'!$Y$50*(VLOOKUP(K511, 'PlayerGrades+'!$X$3:$Y$23, 2, FALSE)))+('PlayerGrades+'!$Y$51*(VLOOKUP(M511, 'PlayerGrades+'!$X$3:$Y$23, 2, FALSE)))+('PlayerGrades+'!$Y$52*(VLOOKUP(O511, 'PlayerGrades+'!$X$3:$Y$23, 2, FALSE)))+('PlayerGrades+'!$Y$53*(VLOOKUP(Q511, 'PlayerGrades+'!$X$3:$Y$23, 2, FALSE)))+('PlayerGrades+'!$Y$54*(VLOOKUP(S511, 'PlayerGrades+'!$X$3:$Y$23, 2, FALSE)))+('PlayerGrades+'!$Y$55*(VLOOKUP(U511, 'PlayerGrades+'!$X$3:$Y$23, 2, FALSE)))</f>
        <v>#DIV/0!</v>
      </c>
      <c r="D511" s="961" t="str">
        <f t="shared" si="1"/>
        <v>#DIV/0!</v>
      </c>
      <c r="E511" s="961" t="str">
        <f>IF(D511&lt;'PlayerGrades+'!$AA$21,"F-",IF(D511&lt;'PlayerGrades+'!$AA$20,"F",IF(D511&lt;'PlayerGrades+'!$AA$19,"F+",IF(D511&lt;'PlayerGrades+'!$AA$18,"E-",IF(D511&lt;'PlayerGrades+'!$AA$17,"E",IF(D511&lt;'PlayerGrades+'!$AA$16,"E+",IF(D511&lt;'PlayerGrades+'!$AA$15,"D-",IF(D511&lt;'PlayerGrades+'!$AA$14,"D",IF(D511&lt;'PlayerGrades+'!$AA$13,"D+",IF(D511&lt;'PlayerGrades+'!$AA$12,"C-",IF(D511&lt;'PlayerGrades+'!$AA$11,"C",IF(D511&lt;'PlayerGrades+'!$AA$10,"C+",IF(D511&lt;'PlayerGrades+'!$AA$9,"B-",IF(D511&lt;'PlayerGrades+'!$AA$8,"B",IF(D511&lt;'PlayerGrades+'!$AA$7,"B+",IF(D511&lt;'PlayerGrades+'!$AA$6,"A-",IF(D511&lt;'PlayerGrades+'!$AA$5,"A",IF(D511&lt;'PlayerGrades+'!$AA$4,"A+",IF(D511&lt;'PlayerGrades+'!$AA$3,"S-",IF(D511&lt;'PlayerGrades+'!$AA$2,"S","S+"))))))))))))))))))))</f>
        <v>#DIV/0!</v>
      </c>
      <c r="F511" s="961" t="str">
        <f t="shared" si="2"/>
        <v>#DIV/0!</v>
      </c>
      <c r="G511" s="961" t="str">
        <f>IF(F511&lt;'PlayerGrades+'!$AB$21,"F-",IF(F511&lt;'PlayerGrades+'!$AB$20,"F",IF(F511&lt;'PlayerGrades+'!$AB$19,"F+",IF(F511&lt;'PlayerGrades+'!$AB$18,"E-",IF(F511&lt;'PlayerGrades+'!$AB$17,"E",IF(F511&lt;'PlayerGrades+'!$AB$16,"E+",IF(F511&lt;'PlayerGrades+'!$AB$15,"D-",IF(F511&lt;'PlayerGrades+'!$AB$14,"D",IF(F511&lt;'PlayerGrades+'!$AB$13,"D+",IF(F511&lt;'PlayerGrades+'!$AB$12,"C-",IF(F511&lt;'PlayerGrades+'!$AB$11,"C",IF(F511&lt;'PlayerGrades+'!$AB$10,"C+",IF(F511&lt;'PlayerGrades+'!$AB$9,"B-",IF(F511&lt;'PlayerGrades+'!$AB$8,"B",IF(F511&lt;'PlayerGrades+'!$AB$7,"B+",IF(F511&lt;'PlayerGrades+'!$AB$6,"A-",IF(F511&lt;'PlayerGrades+'!$AB$5,"A",IF(F511&lt;'PlayerGrades+'!$AB$4,"A+",IF(F511&lt;'PlayerGrades+'!$AB$3,"S-",IF(F511&lt;'PlayerGrades+'!$AB$2,"S","S+"))))))))))))))))))))</f>
        <v>#DIV/0!</v>
      </c>
      <c r="H511" s="961" t="str">
        <f t="shared" si="3"/>
        <v>#DIV/0!</v>
      </c>
      <c r="I511" s="961" t="str">
        <f>IF(H511&lt;'PlayerGrades+'!$AC$21,"F-",IF(H511&lt;'PlayerGrades+'!$AC$20,"F",IF(H511&lt;'PlayerGrades+'!$AC$19,"F+",IF(H511&lt;'PlayerGrades+'!$AC$18,"E-",IF(H511&lt;'PlayerGrades+'!$AC$17,"E",IF(H511&lt;'PlayerGrades+'!$AC$16,"E+",IF(H511&lt;'PlayerGrades+'!$AC$15,"D-",IF(H511&lt;'PlayerGrades+'!$AC$14,"D",IF(H511&lt;'PlayerGrades+'!$AC$13,"D+",IF(H511&lt;'PlayerGrades+'!$AC$12,"C-",IF(H511&lt;'PlayerGrades+'!$AC$11,"C",IF(H511&lt;'PlayerGrades+'!$AC$10,"C+",IF(H511&lt;'PlayerGrades+'!$AC$9,"B-",IF(H511&lt;'PlayerGrades+'!$AC$8,"B",IF(H511&lt;'PlayerGrades+'!$AC$7,"B+",IF(H511&lt;'PlayerGrades+'!$AC$6,"A-",IF(H511&lt;'PlayerGrades+'!$AC$5,"A",IF(H511&lt;'PlayerGrades+'!$AC$4,"A+",IF(H511&lt;'PlayerGrades+'!$AC$3,"S-",IF(H511&lt;'PlayerGrades+'!$AC$2,"S","S+"))))))))))))))))))))</f>
        <v>#DIV/0!</v>
      </c>
      <c r="J511" s="961" t="str">
        <f t="shared" si="4"/>
        <v>#DIV/0!</v>
      </c>
      <c r="K511" s="961" t="str">
        <f>IF(J511&lt;'PlayerGrades+'!$AD$21,"F-",IF(J511&lt;'PlayerGrades+'!$AD$20,"F",IF(J511&lt;'PlayerGrades+'!$AD$19,"F+",IF(J511&lt;'PlayerGrades+'!$AD$18,"E-",IF(J511&lt;'PlayerGrades+'!$AD$17,"E",IF(J511&lt;'PlayerGrades+'!$AD$16,"E+",IF(J511&lt;'PlayerGrades+'!$AD$15,"D-",IF(J511&lt;'PlayerGrades+'!$AD$14,"D",IF(J511&lt;'PlayerGrades+'!$AD$13,"D+",IF(J511&lt;'PlayerGrades+'!$AD$12,"C-",IF(J511&lt;'PlayerGrades+'!$AD$11,"C",IF(J511&lt;'PlayerGrades+'!$AD$10,"C+",IF(J511&lt;'PlayerGrades+'!$AD$9,"B-",IF(J511&lt;'PlayerGrades+'!$AD$8,"B",IF(J511&lt;'PlayerGrades+'!$AD$7,"B+",IF(J511&lt;'PlayerGrades+'!$AD$6,"A-",IF(J511&lt;'PlayerGrades+'!$AD$5,"A",IF(J511&lt;'PlayerGrades+'!$AD$4,"A+",IF(J511&lt;'PlayerGrades+'!$AD$3,"S-",IF(J511&lt;'PlayerGrades+'!$AD$2,"S","S+"))))))))))))))))))))</f>
        <v>#DIV/0!</v>
      </c>
      <c r="L511" s="1176" t="str">
        <f t="shared" si="5"/>
        <v>#DIV/0!</v>
      </c>
      <c r="M511" s="992" t="str">
        <f>IF(L511&lt;'PlayerGrades+'!$AE$21,"F-",IF(L511&lt;'PlayerGrades+'!$AE$20,"F",IF(L511&lt;'PlayerGrades+'!$AE$19,"F+",IF(L511&lt;'PlayerGrades+'!$AE$18,"E-",IF(L511&lt;'PlayerGrades+'!$AE$17,"E",IF(L511&lt;'PlayerGrades+'!$AE$16,"E+",IF(L511&lt;'PlayerGrades+'!$AE$15,"D-",IF(L511&lt;'PlayerGrades+'!$AE$14,"D",IF(L511&lt;'PlayerGrades+'!$AE$13,"D+",IF(L511&lt;'PlayerGrades+'!$AE$12,"C-",IF(L511&lt;'PlayerGrades+'!$AE$11,"C",IF(L511&lt;'PlayerGrades+'!$AE$10,"C+",IF(L511&lt;'PlayerGrades+'!$AE$9,"B-",IF(L511&lt;'PlayerGrades+'!$AE$8,"B",IF(L511&lt;'PlayerGrades+'!$AE$7,"B+",IF(L511&lt;'PlayerGrades+'!$AE$6,"A-",IF(L511&lt;'PlayerGrades+'!$AE$5,"A",IF(L511&lt;'PlayerGrades+'!$AE$4,"A+",IF(L511&lt;'PlayerGrades+'!$AE$3,"S-",IF(L511&lt;'PlayerGrades+'!$AE$2,"S","S+"))))))))))))))))))))</f>
        <v>#DIV/0!</v>
      </c>
      <c r="N511" s="961" t="str">
        <f t="shared" si="6"/>
        <v>#DIV/0!</v>
      </c>
      <c r="O511" s="961" t="str">
        <f>IF(N511&lt;'PlayerGrades+'!$AF$21,"F-",IF(N511&lt;'PlayerGrades+'!$AF$20,"F",IF(N511&lt;'PlayerGrades+'!$AF$19,"F+",IF(N511&lt;'PlayerGrades+'!$AF$18,"E-",IF(N511&lt;'PlayerGrades+'!$AF$17,"E",IF(N511&lt;'PlayerGrades+'!$AF$16,"E+",IF(N511&lt;'PlayerGrades+'!$AF$15,"D-",IF(N511&lt;'PlayerGrades+'!$AF$14,"D",IF(N511&lt;'PlayerGrades+'!$AF$13,"D+",IF(N511&lt;'PlayerGrades+'!$AF$12,"C-",IF(N511&lt;'PlayerGrades+'!$AF$11,"C",IF(N511&lt;'PlayerGrades+'!$AF$10,"C+",IF(N511&lt;'PlayerGrades+'!$AF$9,"B-",IF(N511&lt;'PlayerGrades+'!$AF$8,"B",IF(N511&lt;'PlayerGrades+'!$AF$7,"B+",IF(N511&lt;'PlayerGrades+'!$AF$6,"A-",IF(N511&lt;'PlayerGrades+'!$AF$5,"A",IF(N511&lt;'PlayerGrades+'!$AF$4,"A+",IF(N511&lt;'PlayerGrades+'!$AF$3,"S-",IF(N511&lt;'PlayerGrades+'!$AF$2,"S","S+"))))))))))))))))))))</f>
        <v>#DIV/0!</v>
      </c>
      <c r="P511" s="961" t="str">
        <f t="shared" si="7"/>
        <v>#DIV/0!</v>
      </c>
      <c r="Q511" s="961" t="str">
        <f>IF(P511&lt;'PlayerGrades+'!$AG$21,"F-",IF(P511&lt;'PlayerGrades+'!$AG$20,"F",IF(P511&lt;'PlayerGrades+'!$AG$19,"F+",IF(P511&lt;'PlayerGrades+'!$AG$18,"E-",IF(P511&lt;'PlayerGrades+'!$AG$17,"E",IF(P511&lt;'PlayerGrades+'!$AG$16,"E+",IF(P511&lt;'PlayerGrades+'!$AG$15,"D-",IF(P511&lt;'PlayerGrades+'!$AG$14,"D",IF(P511&lt;'PlayerGrades+'!$AG$13,"D+",IF(P511&lt;'PlayerGrades+'!$AG$12,"C-",IF(P511&lt;'PlayerGrades+'!$AG$11,"C",IF(P511&lt;'PlayerGrades+'!$AG$10,"C+",IF(P511&lt;'PlayerGrades+'!$AG$9,"B-",IF(P511&lt;'PlayerGrades+'!$AG$8,"B",IF(P511&lt;'PlayerGrades+'!$AG$7,"B+",IF(P511&lt;'PlayerGrades+'!$AG$6,"A-",IF(P511&lt;'PlayerGrades+'!$AG$5,"A",IF(P511&lt;'PlayerGrades+'!$AG$4,"A+",IF(P511&lt;'PlayerGrades+'!$AG$3,"S-",IF(P511&lt;'PlayerGrades+'!$AG$2,"S","S+"))))))))))))))))))))</f>
        <v>#DIV/0!</v>
      </c>
      <c r="R511" s="961" t="str">
        <f t="shared" si="8"/>
        <v>#DIV/0!</v>
      </c>
      <c r="S511" s="961" t="str">
        <f>IF(R511&lt;'PlayerGrades+'!$AH$21,"F-",IF(R511&lt;'PlayerGrades+'!$AH$20,"F",IF(R511&lt;'PlayerGrades+'!$AH$19,"F+",IF(R511&lt;'PlayerGrades+'!$AH$18,"E-",IF(R511&lt;'PlayerGrades+'!$AH$17,"E",IF(R511&lt;'PlayerGrades+'!$AH$16,"E+",IF(R511&lt;'PlayerGrades+'!$AH$15,"D-",IF(R511&lt;'PlayerGrades+'!$AH$14,"D",IF(R511&lt;'PlayerGrades+'!$AH$13,"D+",IF(R511&lt;'PlayerGrades+'!$AH$12,"C-",IF(R511&lt;'PlayerGrades+'!$AH$11,"C",IF(R511&lt;'PlayerGrades+'!$AH$10,"C+",IF(R511&lt;'PlayerGrades+'!$AH$9,"B-",IF(R511&lt;'PlayerGrades+'!$AH$8,"B",IF(R511&lt;'PlayerGrades+'!$AH$7,"B+",IF(R511&lt;'PlayerGrades+'!$AH$6,"A-",IF(R511&lt;'PlayerGrades+'!$AH$5,"A",IF(R511&lt;'PlayerGrades+'!$AH$4,"A+",IF(R511&lt;'PlayerGrades+'!$AH$3,"S-",IF(R511&lt;'PlayerGrades+'!$AH$2,"S","S+"))))))))))))))))))))</f>
        <v>#DIV/0!</v>
      </c>
      <c r="T511" s="961">
        <f t="shared" si="9"/>
        <v>0</v>
      </c>
      <c r="U511" s="961" t="str">
        <f>IF(T511&lt;'PlayerGrades+'!$AI$21,"F-",IF(T511&lt;'PlayerGrades+'!$AI$20,"F",IF(T511&lt;'PlayerGrades+'!$AI$19,"F+",IF(T511&lt;'PlayerGrades+'!$AI$18,"E-",IF(T511&lt;'PlayerGrades+'!$AI$17,"E",IF(T511&lt;'PlayerGrades+'!$AI$16,"E+",IF(T511&lt;'PlayerGrades+'!$AI$15,"D-",IF(T511&lt;'PlayerGrades+'!$AI$14,"D",IF(T511&lt;'PlayerGrades+'!$AI$13,"D+",IF(T511&lt;'PlayerGrades+'!$AI$12,"C-",IF(T511&lt;'PlayerGrades+'!$AI$11,"C",IF(T511&lt;'PlayerGrades+'!$AI$10,"C+",IF(T511&lt;'PlayerGrades+'!$AI$9,"B-",IF(T511&lt;'PlayerGrades+'!$AI$8,"B",IF(T511&lt;'PlayerGrades+'!$AI$7,"B+",IF(T511&lt;'PlayerGrades+'!$AI$6,"A-",IF(T511&lt;'PlayerGrades+'!$AI$5,"A",IF(T511&lt;'PlayerGrades+'!$AI$4,"A+",IF(T511&lt;'PlayerGrades+'!$AI$3,"S-",IF(T511&lt;'PlayerGrades+'!$AI$2,"S","S+"))))))))))))))))))))</f>
        <v>F-</v>
      </c>
      <c r="AC511" s="1392"/>
    </row>
    <row r="512">
      <c r="A512" s="1391"/>
      <c r="B512" s="611" t="str">
        <f>IF(C512&lt;'PlayerGrades+'!$Y$44,"F-",IF(C512&lt;'PlayerGrades+'!$Y$43,"F",IF(C512&lt;'PlayerGrades+'!$Y$42,"F+",IF(C512&lt;'PlayerGrades+'!$Y$41,"E-",IF(C512&lt;'PlayerGrades+'!$Y$40,"E",IF(C512&lt;'PlayerGrades+'!$Y$39,"E+",IF(C512&lt;'PlayerGrades+'!$Y$38,"D-",IF(C512&lt;'PlayerGrades+'!$Y$37,"D",IF(C512&lt;'PlayerGrades+'!$Y$36,"D+",IF(C512&lt;'PlayerGrades+'!$Y$35,"C-",IF(C512&lt;'PlayerGrades+'!$Y$34,"C",IF(C512&lt;'PlayerGrades+'!$Y$33,"C+",IF(C512&lt;'PlayerGrades+'!$Y$32,"B-",IF(C512&lt;'PlayerGrades+'!$Y$31,"B",IF(C512&lt;'PlayerGrades+'!$Y$30,"B+",IF(C512&lt;'PlayerGrades+'!$Y$29,"A-",IF(C512&lt;'PlayerGrades+'!$Y$28,"A",IF(C512&lt;'PlayerGrades+'!$Y$27,"A+",IF(C512&lt;'PlayerGrades+'!$Y$26,"S-",IF(C512&lt;'PlayerGrades+'!$Y$25,"S","S+"))))))))))))))))))))</f>
        <v>#DIV/0!</v>
      </c>
      <c r="C512" s="1378" t="str">
        <f>('PlayerGrades+'!$Y$47*(VLOOKUP(E512, 'PlayerGrades+'!$X$3:$Y$23, 2, FALSE)))+('PlayerGrades+'!$Y$48*(VLOOKUP(G512, 'PlayerGrades+'!$X$3:$Y$23, 2, FALSE)))+('PlayerGrades+'!$Y$49*(VLOOKUP(I512, 'PlayerGrades+'!$X$3:$Y$23, 2, FALSE)))+('PlayerGrades+'!$Y$50*(VLOOKUP(K512, 'PlayerGrades+'!$X$3:$Y$23, 2, FALSE)))+('PlayerGrades+'!$Y$51*(VLOOKUP(M512, 'PlayerGrades+'!$X$3:$Y$23, 2, FALSE)))+('PlayerGrades+'!$Y$52*(VLOOKUP(O512, 'PlayerGrades+'!$X$3:$Y$23, 2, FALSE)))+('PlayerGrades+'!$Y$53*(VLOOKUP(Q512, 'PlayerGrades+'!$X$3:$Y$23, 2, FALSE)))+('PlayerGrades+'!$Y$54*(VLOOKUP(S512, 'PlayerGrades+'!$X$3:$Y$23, 2, FALSE)))+('PlayerGrades+'!$Y$55*(VLOOKUP(U512, 'PlayerGrades+'!$X$3:$Y$23, 2, FALSE)))</f>
        <v>#DIV/0!</v>
      </c>
      <c r="D512" s="961" t="str">
        <f t="shared" si="1"/>
        <v>#DIV/0!</v>
      </c>
      <c r="E512" s="961" t="str">
        <f>IF(D512&lt;'PlayerGrades+'!$AA$21,"F-",IF(D512&lt;'PlayerGrades+'!$AA$20,"F",IF(D512&lt;'PlayerGrades+'!$AA$19,"F+",IF(D512&lt;'PlayerGrades+'!$AA$18,"E-",IF(D512&lt;'PlayerGrades+'!$AA$17,"E",IF(D512&lt;'PlayerGrades+'!$AA$16,"E+",IF(D512&lt;'PlayerGrades+'!$AA$15,"D-",IF(D512&lt;'PlayerGrades+'!$AA$14,"D",IF(D512&lt;'PlayerGrades+'!$AA$13,"D+",IF(D512&lt;'PlayerGrades+'!$AA$12,"C-",IF(D512&lt;'PlayerGrades+'!$AA$11,"C",IF(D512&lt;'PlayerGrades+'!$AA$10,"C+",IF(D512&lt;'PlayerGrades+'!$AA$9,"B-",IF(D512&lt;'PlayerGrades+'!$AA$8,"B",IF(D512&lt;'PlayerGrades+'!$AA$7,"B+",IF(D512&lt;'PlayerGrades+'!$AA$6,"A-",IF(D512&lt;'PlayerGrades+'!$AA$5,"A",IF(D512&lt;'PlayerGrades+'!$AA$4,"A+",IF(D512&lt;'PlayerGrades+'!$AA$3,"S-",IF(D512&lt;'PlayerGrades+'!$AA$2,"S","S+"))))))))))))))))))))</f>
        <v>#DIV/0!</v>
      </c>
      <c r="F512" s="961" t="str">
        <f t="shared" si="2"/>
        <v>#DIV/0!</v>
      </c>
      <c r="G512" s="961" t="str">
        <f>IF(F512&lt;'PlayerGrades+'!$AB$21,"F-",IF(F512&lt;'PlayerGrades+'!$AB$20,"F",IF(F512&lt;'PlayerGrades+'!$AB$19,"F+",IF(F512&lt;'PlayerGrades+'!$AB$18,"E-",IF(F512&lt;'PlayerGrades+'!$AB$17,"E",IF(F512&lt;'PlayerGrades+'!$AB$16,"E+",IF(F512&lt;'PlayerGrades+'!$AB$15,"D-",IF(F512&lt;'PlayerGrades+'!$AB$14,"D",IF(F512&lt;'PlayerGrades+'!$AB$13,"D+",IF(F512&lt;'PlayerGrades+'!$AB$12,"C-",IF(F512&lt;'PlayerGrades+'!$AB$11,"C",IF(F512&lt;'PlayerGrades+'!$AB$10,"C+",IF(F512&lt;'PlayerGrades+'!$AB$9,"B-",IF(F512&lt;'PlayerGrades+'!$AB$8,"B",IF(F512&lt;'PlayerGrades+'!$AB$7,"B+",IF(F512&lt;'PlayerGrades+'!$AB$6,"A-",IF(F512&lt;'PlayerGrades+'!$AB$5,"A",IF(F512&lt;'PlayerGrades+'!$AB$4,"A+",IF(F512&lt;'PlayerGrades+'!$AB$3,"S-",IF(F512&lt;'PlayerGrades+'!$AB$2,"S","S+"))))))))))))))))))))</f>
        <v>#DIV/0!</v>
      </c>
      <c r="H512" s="961" t="str">
        <f t="shared" si="3"/>
        <v>#DIV/0!</v>
      </c>
      <c r="I512" s="961" t="str">
        <f>IF(H512&lt;'PlayerGrades+'!$AC$21,"F-",IF(H512&lt;'PlayerGrades+'!$AC$20,"F",IF(H512&lt;'PlayerGrades+'!$AC$19,"F+",IF(H512&lt;'PlayerGrades+'!$AC$18,"E-",IF(H512&lt;'PlayerGrades+'!$AC$17,"E",IF(H512&lt;'PlayerGrades+'!$AC$16,"E+",IF(H512&lt;'PlayerGrades+'!$AC$15,"D-",IF(H512&lt;'PlayerGrades+'!$AC$14,"D",IF(H512&lt;'PlayerGrades+'!$AC$13,"D+",IF(H512&lt;'PlayerGrades+'!$AC$12,"C-",IF(H512&lt;'PlayerGrades+'!$AC$11,"C",IF(H512&lt;'PlayerGrades+'!$AC$10,"C+",IF(H512&lt;'PlayerGrades+'!$AC$9,"B-",IF(H512&lt;'PlayerGrades+'!$AC$8,"B",IF(H512&lt;'PlayerGrades+'!$AC$7,"B+",IF(H512&lt;'PlayerGrades+'!$AC$6,"A-",IF(H512&lt;'PlayerGrades+'!$AC$5,"A",IF(H512&lt;'PlayerGrades+'!$AC$4,"A+",IF(H512&lt;'PlayerGrades+'!$AC$3,"S-",IF(H512&lt;'PlayerGrades+'!$AC$2,"S","S+"))))))))))))))))))))</f>
        <v>#DIV/0!</v>
      </c>
      <c r="J512" s="961" t="str">
        <f t="shared" si="4"/>
        <v>#DIV/0!</v>
      </c>
      <c r="K512" s="961" t="str">
        <f>IF(J512&lt;'PlayerGrades+'!$AD$21,"F-",IF(J512&lt;'PlayerGrades+'!$AD$20,"F",IF(J512&lt;'PlayerGrades+'!$AD$19,"F+",IF(J512&lt;'PlayerGrades+'!$AD$18,"E-",IF(J512&lt;'PlayerGrades+'!$AD$17,"E",IF(J512&lt;'PlayerGrades+'!$AD$16,"E+",IF(J512&lt;'PlayerGrades+'!$AD$15,"D-",IF(J512&lt;'PlayerGrades+'!$AD$14,"D",IF(J512&lt;'PlayerGrades+'!$AD$13,"D+",IF(J512&lt;'PlayerGrades+'!$AD$12,"C-",IF(J512&lt;'PlayerGrades+'!$AD$11,"C",IF(J512&lt;'PlayerGrades+'!$AD$10,"C+",IF(J512&lt;'PlayerGrades+'!$AD$9,"B-",IF(J512&lt;'PlayerGrades+'!$AD$8,"B",IF(J512&lt;'PlayerGrades+'!$AD$7,"B+",IF(J512&lt;'PlayerGrades+'!$AD$6,"A-",IF(J512&lt;'PlayerGrades+'!$AD$5,"A",IF(J512&lt;'PlayerGrades+'!$AD$4,"A+",IF(J512&lt;'PlayerGrades+'!$AD$3,"S-",IF(J512&lt;'PlayerGrades+'!$AD$2,"S","S+"))))))))))))))))))))</f>
        <v>#DIV/0!</v>
      </c>
      <c r="L512" s="1176" t="str">
        <f t="shared" si="5"/>
        <v>#DIV/0!</v>
      </c>
      <c r="M512" s="992" t="str">
        <f>IF(L512&lt;'PlayerGrades+'!$AE$21,"F-",IF(L512&lt;'PlayerGrades+'!$AE$20,"F",IF(L512&lt;'PlayerGrades+'!$AE$19,"F+",IF(L512&lt;'PlayerGrades+'!$AE$18,"E-",IF(L512&lt;'PlayerGrades+'!$AE$17,"E",IF(L512&lt;'PlayerGrades+'!$AE$16,"E+",IF(L512&lt;'PlayerGrades+'!$AE$15,"D-",IF(L512&lt;'PlayerGrades+'!$AE$14,"D",IF(L512&lt;'PlayerGrades+'!$AE$13,"D+",IF(L512&lt;'PlayerGrades+'!$AE$12,"C-",IF(L512&lt;'PlayerGrades+'!$AE$11,"C",IF(L512&lt;'PlayerGrades+'!$AE$10,"C+",IF(L512&lt;'PlayerGrades+'!$AE$9,"B-",IF(L512&lt;'PlayerGrades+'!$AE$8,"B",IF(L512&lt;'PlayerGrades+'!$AE$7,"B+",IF(L512&lt;'PlayerGrades+'!$AE$6,"A-",IF(L512&lt;'PlayerGrades+'!$AE$5,"A",IF(L512&lt;'PlayerGrades+'!$AE$4,"A+",IF(L512&lt;'PlayerGrades+'!$AE$3,"S-",IF(L512&lt;'PlayerGrades+'!$AE$2,"S","S+"))))))))))))))))))))</f>
        <v>#DIV/0!</v>
      </c>
      <c r="N512" s="961" t="str">
        <f t="shared" si="6"/>
        <v>#DIV/0!</v>
      </c>
      <c r="O512" s="961" t="str">
        <f>IF(N512&lt;'PlayerGrades+'!$AF$21,"F-",IF(N512&lt;'PlayerGrades+'!$AF$20,"F",IF(N512&lt;'PlayerGrades+'!$AF$19,"F+",IF(N512&lt;'PlayerGrades+'!$AF$18,"E-",IF(N512&lt;'PlayerGrades+'!$AF$17,"E",IF(N512&lt;'PlayerGrades+'!$AF$16,"E+",IF(N512&lt;'PlayerGrades+'!$AF$15,"D-",IF(N512&lt;'PlayerGrades+'!$AF$14,"D",IF(N512&lt;'PlayerGrades+'!$AF$13,"D+",IF(N512&lt;'PlayerGrades+'!$AF$12,"C-",IF(N512&lt;'PlayerGrades+'!$AF$11,"C",IF(N512&lt;'PlayerGrades+'!$AF$10,"C+",IF(N512&lt;'PlayerGrades+'!$AF$9,"B-",IF(N512&lt;'PlayerGrades+'!$AF$8,"B",IF(N512&lt;'PlayerGrades+'!$AF$7,"B+",IF(N512&lt;'PlayerGrades+'!$AF$6,"A-",IF(N512&lt;'PlayerGrades+'!$AF$5,"A",IF(N512&lt;'PlayerGrades+'!$AF$4,"A+",IF(N512&lt;'PlayerGrades+'!$AF$3,"S-",IF(N512&lt;'PlayerGrades+'!$AF$2,"S","S+"))))))))))))))))))))</f>
        <v>#DIV/0!</v>
      </c>
      <c r="P512" s="961" t="str">
        <f t="shared" si="7"/>
        <v>#DIV/0!</v>
      </c>
      <c r="Q512" s="961" t="str">
        <f>IF(P512&lt;'PlayerGrades+'!$AG$21,"F-",IF(P512&lt;'PlayerGrades+'!$AG$20,"F",IF(P512&lt;'PlayerGrades+'!$AG$19,"F+",IF(P512&lt;'PlayerGrades+'!$AG$18,"E-",IF(P512&lt;'PlayerGrades+'!$AG$17,"E",IF(P512&lt;'PlayerGrades+'!$AG$16,"E+",IF(P512&lt;'PlayerGrades+'!$AG$15,"D-",IF(P512&lt;'PlayerGrades+'!$AG$14,"D",IF(P512&lt;'PlayerGrades+'!$AG$13,"D+",IF(P512&lt;'PlayerGrades+'!$AG$12,"C-",IF(P512&lt;'PlayerGrades+'!$AG$11,"C",IF(P512&lt;'PlayerGrades+'!$AG$10,"C+",IF(P512&lt;'PlayerGrades+'!$AG$9,"B-",IF(P512&lt;'PlayerGrades+'!$AG$8,"B",IF(P512&lt;'PlayerGrades+'!$AG$7,"B+",IF(P512&lt;'PlayerGrades+'!$AG$6,"A-",IF(P512&lt;'PlayerGrades+'!$AG$5,"A",IF(P512&lt;'PlayerGrades+'!$AG$4,"A+",IF(P512&lt;'PlayerGrades+'!$AG$3,"S-",IF(P512&lt;'PlayerGrades+'!$AG$2,"S","S+"))))))))))))))))))))</f>
        <v>#DIV/0!</v>
      </c>
      <c r="R512" s="961" t="str">
        <f t="shared" si="8"/>
        <v>#DIV/0!</v>
      </c>
      <c r="S512" s="961" t="str">
        <f>IF(R512&lt;'PlayerGrades+'!$AH$21,"F-",IF(R512&lt;'PlayerGrades+'!$AH$20,"F",IF(R512&lt;'PlayerGrades+'!$AH$19,"F+",IF(R512&lt;'PlayerGrades+'!$AH$18,"E-",IF(R512&lt;'PlayerGrades+'!$AH$17,"E",IF(R512&lt;'PlayerGrades+'!$AH$16,"E+",IF(R512&lt;'PlayerGrades+'!$AH$15,"D-",IF(R512&lt;'PlayerGrades+'!$AH$14,"D",IF(R512&lt;'PlayerGrades+'!$AH$13,"D+",IF(R512&lt;'PlayerGrades+'!$AH$12,"C-",IF(R512&lt;'PlayerGrades+'!$AH$11,"C",IF(R512&lt;'PlayerGrades+'!$AH$10,"C+",IF(R512&lt;'PlayerGrades+'!$AH$9,"B-",IF(R512&lt;'PlayerGrades+'!$AH$8,"B",IF(R512&lt;'PlayerGrades+'!$AH$7,"B+",IF(R512&lt;'PlayerGrades+'!$AH$6,"A-",IF(R512&lt;'PlayerGrades+'!$AH$5,"A",IF(R512&lt;'PlayerGrades+'!$AH$4,"A+",IF(R512&lt;'PlayerGrades+'!$AH$3,"S-",IF(R512&lt;'PlayerGrades+'!$AH$2,"S","S+"))))))))))))))))))))</f>
        <v>#DIV/0!</v>
      </c>
      <c r="T512" s="961">
        <f t="shared" si="9"/>
        <v>0</v>
      </c>
      <c r="U512" s="961" t="str">
        <f>IF(T512&lt;'PlayerGrades+'!$AI$21,"F-",IF(T512&lt;'PlayerGrades+'!$AI$20,"F",IF(T512&lt;'PlayerGrades+'!$AI$19,"F+",IF(T512&lt;'PlayerGrades+'!$AI$18,"E-",IF(T512&lt;'PlayerGrades+'!$AI$17,"E",IF(T512&lt;'PlayerGrades+'!$AI$16,"E+",IF(T512&lt;'PlayerGrades+'!$AI$15,"D-",IF(T512&lt;'PlayerGrades+'!$AI$14,"D",IF(T512&lt;'PlayerGrades+'!$AI$13,"D+",IF(T512&lt;'PlayerGrades+'!$AI$12,"C-",IF(T512&lt;'PlayerGrades+'!$AI$11,"C",IF(T512&lt;'PlayerGrades+'!$AI$10,"C+",IF(T512&lt;'PlayerGrades+'!$AI$9,"B-",IF(T512&lt;'PlayerGrades+'!$AI$8,"B",IF(T512&lt;'PlayerGrades+'!$AI$7,"B+",IF(T512&lt;'PlayerGrades+'!$AI$6,"A-",IF(T512&lt;'PlayerGrades+'!$AI$5,"A",IF(T512&lt;'PlayerGrades+'!$AI$4,"A+",IF(T512&lt;'PlayerGrades+'!$AI$3,"S-",IF(T512&lt;'PlayerGrades+'!$AI$2,"S","S+"))))))))))))))))))))</f>
        <v>F-</v>
      </c>
      <c r="AC512" s="1392"/>
    </row>
    <row r="513">
      <c r="A513" s="1393"/>
      <c r="B513" s="611" t="str">
        <f>IF(C513&lt;'PlayerGrades+'!$Y$44,"F-",IF(C513&lt;'PlayerGrades+'!$Y$43,"F",IF(C513&lt;'PlayerGrades+'!$Y$42,"F+",IF(C513&lt;'PlayerGrades+'!$Y$41,"E-",IF(C513&lt;'PlayerGrades+'!$Y$40,"E",IF(C513&lt;'PlayerGrades+'!$Y$39,"E+",IF(C513&lt;'PlayerGrades+'!$Y$38,"D-",IF(C513&lt;'PlayerGrades+'!$Y$37,"D",IF(C513&lt;'PlayerGrades+'!$Y$36,"D+",IF(C513&lt;'PlayerGrades+'!$Y$35,"C-",IF(C513&lt;'PlayerGrades+'!$Y$34,"C",IF(C513&lt;'PlayerGrades+'!$Y$33,"C+",IF(C513&lt;'PlayerGrades+'!$Y$32,"B-",IF(C513&lt;'PlayerGrades+'!$Y$31,"B",IF(C513&lt;'PlayerGrades+'!$Y$30,"B+",IF(C513&lt;'PlayerGrades+'!$Y$29,"A-",IF(C513&lt;'PlayerGrades+'!$Y$28,"A",IF(C513&lt;'PlayerGrades+'!$Y$27,"A+",IF(C513&lt;'PlayerGrades+'!$Y$26,"S-",IF(C513&lt;'PlayerGrades+'!$Y$25,"S","S+"))))))))))))))))))))</f>
        <v>#DIV/0!</v>
      </c>
      <c r="C513" s="1378" t="str">
        <f>('PlayerGrades+'!$Y$47*(VLOOKUP(E513, 'PlayerGrades+'!$X$3:$Y$23, 2, FALSE)))+('PlayerGrades+'!$Y$48*(VLOOKUP(G513, 'PlayerGrades+'!$X$3:$Y$23, 2, FALSE)))+('PlayerGrades+'!$Y$49*(VLOOKUP(I513, 'PlayerGrades+'!$X$3:$Y$23, 2, FALSE)))+('PlayerGrades+'!$Y$50*(VLOOKUP(K513, 'PlayerGrades+'!$X$3:$Y$23, 2, FALSE)))+('PlayerGrades+'!$Y$51*(VLOOKUP(M513, 'PlayerGrades+'!$X$3:$Y$23, 2, FALSE)))+('PlayerGrades+'!$Y$52*(VLOOKUP(O513, 'PlayerGrades+'!$X$3:$Y$23, 2, FALSE)))+('PlayerGrades+'!$Y$53*(VLOOKUP(Q513, 'PlayerGrades+'!$X$3:$Y$23, 2, FALSE)))+('PlayerGrades+'!$Y$54*(VLOOKUP(S513, 'PlayerGrades+'!$X$3:$Y$23, 2, FALSE)))+('PlayerGrades+'!$Y$55*(VLOOKUP(U513, 'PlayerGrades+'!$X$3:$Y$23, 2, FALSE)))</f>
        <v>#DIV/0!</v>
      </c>
      <c r="D513" s="961" t="str">
        <f t="shared" si="1"/>
        <v>#DIV/0!</v>
      </c>
      <c r="E513" s="961" t="str">
        <f>IF(D513&lt;'PlayerGrades+'!$AA$21,"F-",IF(D513&lt;'PlayerGrades+'!$AA$20,"F",IF(D513&lt;'PlayerGrades+'!$AA$19,"F+",IF(D513&lt;'PlayerGrades+'!$AA$18,"E-",IF(D513&lt;'PlayerGrades+'!$AA$17,"E",IF(D513&lt;'PlayerGrades+'!$AA$16,"E+",IF(D513&lt;'PlayerGrades+'!$AA$15,"D-",IF(D513&lt;'PlayerGrades+'!$AA$14,"D",IF(D513&lt;'PlayerGrades+'!$AA$13,"D+",IF(D513&lt;'PlayerGrades+'!$AA$12,"C-",IF(D513&lt;'PlayerGrades+'!$AA$11,"C",IF(D513&lt;'PlayerGrades+'!$AA$10,"C+",IF(D513&lt;'PlayerGrades+'!$AA$9,"B-",IF(D513&lt;'PlayerGrades+'!$AA$8,"B",IF(D513&lt;'PlayerGrades+'!$AA$7,"B+",IF(D513&lt;'PlayerGrades+'!$AA$6,"A-",IF(D513&lt;'PlayerGrades+'!$AA$5,"A",IF(D513&lt;'PlayerGrades+'!$AA$4,"A+",IF(D513&lt;'PlayerGrades+'!$AA$3,"S-",IF(D513&lt;'PlayerGrades+'!$AA$2,"S","S+"))))))))))))))))))))</f>
        <v>#DIV/0!</v>
      </c>
      <c r="F513" s="961" t="str">
        <f t="shared" si="2"/>
        <v>#DIV/0!</v>
      </c>
      <c r="G513" s="961" t="str">
        <f>IF(F513&lt;'PlayerGrades+'!$AB$21,"F-",IF(F513&lt;'PlayerGrades+'!$AB$20,"F",IF(F513&lt;'PlayerGrades+'!$AB$19,"F+",IF(F513&lt;'PlayerGrades+'!$AB$18,"E-",IF(F513&lt;'PlayerGrades+'!$AB$17,"E",IF(F513&lt;'PlayerGrades+'!$AB$16,"E+",IF(F513&lt;'PlayerGrades+'!$AB$15,"D-",IF(F513&lt;'PlayerGrades+'!$AB$14,"D",IF(F513&lt;'PlayerGrades+'!$AB$13,"D+",IF(F513&lt;'PlayerGrades+'!$AB$12,"C-",IF(F513&lt;'PlayerGrades+'!$AB$11,"C",IF(F513&lt;'PlayerGrades+'!$AB$10,"C+",IF(F513&lt;'PlayerGrades+'!$AB$9,"B-",IF(F513&lt;'PlayerGrades+'!$AB$8,"B",IF(F513&lt;'PlayerGrades+'!$AB$7,"B+",IF(F513&lt;'PlayerGrades+'!$AB$6,"A-",IF(F513&lt;'PlayerGrades+'!$AB$5,"A",IF(F513&lt;'PlayerGrades+'!$AB$4,"A+",IF(F513&lt;'PlayerGrades+'!$AB$3,"S-",IF(F513&lt;'PlayerGrades+'!$AB$2,"S","S+"))))))))))))))))))))</f>
        <v>#DIV/0!</v>
      </c>
      <c r="H513" s="961" t="str">
        <f t="shared" si="3"/>
        <v>#DIV/0!</v>
      </c>
      <c r="I513" s="961" t="str">
        <f>IF(H513&lt;'PlayerGrades+'!$AC$21,"F-",IF(H513&lt;'PlayerGrades+'!$AC$20,"F",IF(H513&lt;'PlayerGrades+'!$AC$19,"F+",IF(H513&lt;'PlayerGrades+'!$AC$18,"E-",IF(H513&lt;'PlayerGrades+'!$AC$17,"E",IF(H513&lt;'PlayerGrades+'!$AC$16,"E+",IF(H513&lt;'PlayerGrades+'!$AC$15,"D-",IF(H513&lt;'PlayerGrades+'!$AC$14,"D",IF(H513&lt;'PlayerGrades+'!$AC$13,"D+",IF(H513&lt;'PlayerGrades+'!$AC$12,"C-",IF(H513&lt;'PlayerGrades+'!$AC$11,"C",IF(H513&lt;'PlayerGrades+'!$AC$10,"C+",IF(H513&lt;'PlayerGrades+'!$AC$9,"B-",IF(H513&lt;'PlayerGrades+'!$AC$8,"B",IF(H513&lt;'PlayerGrades+'!$AC$7,"B+",IF(H513&lt;'PlayerGrades+'!$AC$6,"A-",IF(H513&lt;'PlayerGrades+'!$AC$5,"A",IF(H513&lt;'PlayerGrades+'!$AC$4,"A+",IF(H513&lt;'PlayerGrades+'!$AC$3,"S-",IF(H513&lt;'PlayerGrades+'!$AC$2,"S","S+"))))))))))))))))))))</f>
        <v>#DIV/0!</v>
      </c>
      <c r="J513" s="961" t="str">
        <f t="shared" si="4"/>
        <v>#DIV/0!</v>
      </c>
      <c r="K513" s="961" t="str">
        <f>IF(J513&lt;'PlayerGrades+'!$AD$21,"F-",IF(J513&lt;'PlayerGrades+'!$AD$20,"F",IF(J513&lt;'PlayerGrades+'!$AD$19,"F+",IF(J513&lt;'PlayerGrades+'!$AD$18,"E-",IF(J513&lt;'PlayerGrades+'!$AD$17,"E",IF(J513&lt;'PlayerGrades+'!$AD$16,"E+",IF(J513&lt;'PlayerGrades+'!$AD$15,"D-",IF(J513&lt;'PlayerGrades+'!$AD$14,"D",IF(J513&lt;'PlayerGrades+'!$AD$13,"D+",IF(J513&lt;'PlayerGrades+'!$AD$12,"C-",IF(J513&lt;'PlayerGrades+'!$AD$11,"C",IF(J513&lt;'PlayerGrades+'!$AD$10,"C+",IF(J513&lt;'PlayerGrades+'!$AD$9,"B-",IF(J513&lt;'PlayerGrades+'!$AD$8,"B",IF(J513&lt;'PlayerGrades+'!$AD$7,"B+",IF(J513&lt;'PlayerGrades+'!$AD$6,"A-",IF(J513&lt;'PlayerGrades+'!$AD$5,"A",IF(J513&lt;'PlayerGrades+'!$AD$4,"A+",IF(J513&lt;'PlayerGrades+'!$AD$3,"S-",IF(J513&lt;'PlayerGrades+'!$AD$2,"S","S+"))))))))))))))))))))</f>
        <v>#DIV/0!</v>
      </c>
      <c r="L513" s="1176" t="str">
        <f t="shared" si="5"/>
        <v>#DIV/0!</v>
      </c>
      <c r="M513" s="992" t="str">
        <f>IF(L513&lt;'PlayerGrades+'!$AE$21,"F-",IF(L513&lt;'PlayerGrades+'!$AE$20,"F",IF(L513&lt;'PlayerGrades+'!$AE$19,"F+",IF(L513&lt;'PlayerGrades+'!$AE$18,"E-",IF(L513&lt;'PlayerGrades+'!$AE$17,"E",IF(L513&lt;'PlayerGrades+'!$AE$16,"E+",IF(L513&lt;'PlayerGrades+'!$AE$15,"D-",IF(L513&lt;'PlayerGrades+'!$AE$14,"D",IF(L513&lt;'PlayerGrades+'!$AE$13,"D+",IF(L513&lt;'PlayerGrades+'!$AE$12,"C-",IF(L513&lt;'PlayerGrades+'!$AE$11,"C",IF(L513&lt;'PlayerGrades+'!$AE$10,"C+",IF(L513&lt;'PlayerGrades+'!$AE$9,"B-",IF(L513&lt;'PlayerGrades+'!$AE$8,"B",IF(L513&lt;'PlayerGrades+'!$AE$7,"B+",IF(L513&lt;'PlayerGrades+'!$AE$6,"A-",IF(L513&lt;'PlayerGrades+'!$AE$5,"A",IF(L513&lt;'PlayerGrades+'!$AE$4,"A+",IF(L513&lt;'PlayerGrades+'!$AE$3,"S-",IF(L513&lt;'PlayerGrades+'!$AE$2,"S","S+"))))))))))))))))))))</f>
        <v>#DIV/0!</v>
      </c>
      <c r="N513" s="961" t="str">
        <f t="shared" si="6"/>
        <v>#DIV/0!</v>
      </c>
      <c r="O513" s="961" t="str">
        <f>IF(N513&lt;'PlayerGrades+'!$AF$21,"F-",IF(N513&lt;'PlayerGrades+'!$AF$20,"F",IF(N513&lt;'PlayerGrades+'!$AF$19,"F+",IF(N513&lt;'PlayerGrades+'!$AF$18,"E-",IF(N513&lt;'PlayerGrades+'!$AF$17,"E",IF(N513&lt;'PlayerGrades+'!$AF$16,"E+",IF(N513&lt;'PlayerGrades+'!$AF$15,"D-",IF(N513&lt;'PlayerGrades+'!$AF$14,"D",IF(N513&lt;'PlayerGrades+'!$AF$13,"D+",IF(N513&lt;'PlayerGrades+'!$AF$12,"C-",IF(N513&lt;'PlayerGrades+'!$AF$11,"C",IF(N513&lt;'PlayerGrades+'!$AF$10,"C+",IF(N513&lt;'PlayerGrades+'!$AF$9,"B-",IF(N513&lt;'PlayerGrades+'!$AF$8,"B",IF(N513&lt;'PlayerGrades+'!$AF$7,"B+",IF(N513&lt;'PlayerGrades+'!$AF$6,"A-",IF(N513&lt;'PlayerGrades+'!$AF$5,"A",IF(N513&lt;'PlayerGrades+'!$AF$4,"A+",IF(N513&lt;'PlayerGrades+'!$AF$3,"S-",IF(N513&lt;'PlayerGrades+'!$AF$2,"S","S+"))))))))))))))))))))</f>
        <v>#DIV/0!</v>
      </c>
      <c r="P513" s="961" t="str">
        <f t="shared" si="7"/>
        <v>#DIV/0!</v>
      </c>
      <c r="Q513" s="961" t="str">
        <f>IF(P513&lt;'PlayerGrades+'!$AG$21,"F-",IF(P513&lt;'PlayerGrades+'!$AG$20,"F",IF(P513&lt;'PlayerGrades+'!$AG$19,"F+",IF(P513&lt;'PlayerGrades+'!$AG$18,"E-",IF(P513&lt;'PlayerGrades+'!$AG$17,"E",IF(P513&lt;'PlayerGrades+'!$AG$16,"E+",IF(P513&lt;'PlayerGrades+'!$AG$15,"D-",IF(P513&lt;'PlayerGrades+'!$AG$14,"D",IF(P513&lt;'PlayerGrades+'!$AG$13,"D+",IF(P513&lt;'PlayerGrades+'!$AG$12,"C-",IF(P513&lt;'PlayerGrades+'!$AG$11,"C",IF(P513&lt;'PlayerGrades+'!$AG$10,"C+",IF(P513&lt;'PlayerGrades+'!$AG$9,"B-",IF(P513&lt;'PlayerGrades+'!$AG$8,"B",IF(P513&lt;'PlayerGrades+'!$AG$7,"B+",IF(P513&lt;'PlayerGrades+'!$AG$6,"A-",IF(P513&lt;'PlayerGrades+'!$AG$5,"A",IF(P513&lt;'PlayerGrades+'!$AG$4,"A+",IF(P513&lt;'PlayerGrades+'!$AG$3,"S-",IF(P513&lt;'PlayerGrades+'!$AG$2,"S","S+"))))))))))))))))))))</f>
        <v>#DIV/0!</v>
      </c>
      <c r="R513" s="961" t="str">
        <f t="shared" si="8"/>
        <v>#DIV/0!</v>
      </c>
      <c r="S513" s="961" t="str">
        <f>IF(R513&lt;'PlayerGrades+'!$AH$21,"F-",IF(R513&lt;'PlayerGrades+'!$AH$20,"F",IF(R513&lt;'PlayerGrades+'!$AH$19,"F+",IF(R513&lt;'PlayerGrades+'!$AH$18,"E-",IF(R513&lt;'PlayerGrades+'!$AH$17,"E",IF(R513&lt;'PlayerGrades+'!$AH$16,"E+",IF(R513&lt;'PlayerGrades+'!$AH$15,"D-",IF(R513&lt;'PlayerGrades+'!$AH$14,"D",IF(R513&lt;'PlayerGrades+'!$AH$13,"D+",IF(R513&lt;'PlayerGrades+'!$AH$12,"C-",IF(R513&lt;'PlayerGrades+'!$AH$11,"C",IF(R513&lt;'PlayerGrades+'!$AH$10,"C+",IF(R513&lt;'PlayerGrades+'!$AH$9,"B-",IF(R513&lt;'PlayerGrades+'!$AH$8,"B",IF(R513&lt;'PlayerGrades+'!$AH$7,"B+",IF(R513&lt;'PlayerGrades+'!$AH$6,"A-",IF(R513&lt;'PlayerGrades+'!$AH$5,"A",IF(R513&lt;'PlayerGrades+'!$AH$4,"A+",IF(R513&lt;'PlayerGrades+'!$AH$3,"S-",IF(R513&lt;'PlayerGrades+'!$AH$2,"S","S+"))))))))))))))))))))</f>
        <v>#DIV/0!</v>
      </c>
      <c r="T513" s="961">
        <f t="shared" si="9"/>
        <v>0</v>
      </c>
      <c r="U513" s="961" t="str">
        <f>IF(T513&lt;'PlayerGrades+'!$AI$21,"F-",IF(T513&lt;'PlayerGrades+'!$AI$20,"F",IF(T513&lt;'PlayerGrades+'!$AI$19,"F+",IF(T513&lt;'PlayerGrades+'!$AI$18,"E-",IF(T513&lt;'PlayerGrades+'!$AI$17,"E",IF(T513&lt;'PlayerGrades+'!$AI$16,"E+",IF(T513&lt;'PlayerGrades+'!$AI$15,"D-",IF(T513&lt;'PlayerGrades+'!$AI$14,"D",IF(T513&lt;'PlayerGrades+'!$AI$13,"D+",IF(T513&lt;'PlayerGrades+'!$AI$12,"C-",IF(T513&lt;'PlayerGrades+'!$AI$11,"C",IF(T513&lt;'PlayerGrades+'!$AI$10,"C+",IF(T513&lt;'PlayerGrades+'!$AI$9,"B-",IF(T513&lt;'PlayerGrades+'!$AI$8,"B",IF(T513&lt;'PlayerGrades+'!$AI$7,"B+",IF(T513&lt;'PlayerGrades+'!$AI$6,"A-",IF(T513&lt;'PlayerGrades+'!$AI$5,"A",IF(T513&lt;'PlayerGrades+'!$AI$4,"A+",IF(T513&lt;'PlayerGrades+'!$AI$3,"S-",IF(T513&lt;'PlayerGrades+'!$AI$2,"S","S+"))))))))))))))))))))</f>
        <v>F-</v>
      </c>
      <c r="V513" s="1386"/>
      <c r="W513" s="1386"/>
      <c r="X513" s="1386"/>
      <c r="Y513" s="1386"/>
      <c r="Z513" s="1386"/>
      <c r="AA513" s="1386"/>
      <c r="AB513" s="1386"/>
      <c r="AC513" s="1397"/>
      <c r="AD513" s="1386"/>
      <c r="AE513" s="1386"/>
      <c r="AF513" s="1386"/>
      <c r="AG513" s="1386"/>
      <c r="AH513" s="1386"/>
      <c r="AI513" s="1386"/>
      <c r="AJ513" s="1386"/>
      <c r="AK513" s="1386"/>
      <c r="AL513" s="1386"/>
      <c r="AM513" s="1386"/>
      <c r="AN513" s="1386"/>
      <c r="AO513" s="1386"/>
      <c r="AP513" s="1386"/>
      <c r="AQ513" s="1386"/>
      <c r="AR513" s="1386"/>
      <c r="AS513" s="1386"/>
      <c r="AT513" s="1386"/>
      <c r="AU513" s="1386"/>
      <c r="AV513" s="1386"/>
      <c r="AW513" s="1386"/>
      <c r="AX513" s="1386"/>
      <c r="AY513" s="1386"/>
      <c r="AZ513" s="1386"/>
    </row>
    <row r="514">
      <c r="A514" s="1389"/>
      <c r="B514" s="611" t="str">
        <f>IF(C514&lt;'PlayerGrades+'!$Y$44,"F-",IF(C514&lt;'PlayerGrades+'!$Y$43,"F",IF(C514&lt;'PlayerGrades+'!$Y$42,"F+",IF(C514&lt;'PlayerGrades+'!$Y$41,"E-",IF(C514&lt;'PlayerGrades+'!$Y$40,"E",IF(C514&lt;'PlayerGrades+'!$Y$39,"E+",IF(C514&lt;'PlayerGrades+'!$Y$38,"D-",IF(C514&lt;'PlayerGrades+'!$Y$37,"D",IF(C514&lt;'PlayerGrades+'!$Y$36,"D+",IF(C514&lt;'PlayerGrades+'!$Y$35,"C-",IF(C514&lt;'PlayerGrades+'!$Y$34,"C",IF(C514&lt;'PlayerGrades+'!$Y$33,"C+",IF(C514&lt;'PlayerGrades+'!$Y$32,"B-",IF(C514&lt;'PlayerGrades+'!$Y$31,"B",IF(C514&lt;'PlayerGrades+'!$Y$30,"B+",IF(C514&lt;'PlayerGrades+'!$Y$29,"A-",IF(C514&lt;'PlayerGrades+'!$Y$28,"A",IF(C514&lt;'PlayerGrades+'!$Y$27,"A+",IF(C514&lt;'PlayerGrades+'!$Y$26,"S-",IF(C514&lt;'PlayerGrades+'!$Y$25,"S","S+"))))))))))))))))))))</f>
        <v>#DIV/0!</v>
      </c>
      <c r="C514" s="1378" t="str">
        <f>('PlayerGrades+'!$Y$47*(VLOOKUP(E514, 'PlayerGrades+'!$X$3:$Y$23, 2, FALSE)))+('PlayerGrades+'!$Y$48*(VLOOKUP(G514, 'PlayerGrades+'!$X$3:$Y$23, 2, FALSE)))+('PlayerGrades+'!$Y$49*(VLOOKUP(I514, 'PlayerGrades+'!$X$3:$Y$23, 2, FALSE)))+('PlayerGrades+'!$Y$50*(VLOOKUP(K514, 'PlayerGrades+'!$X$3:$Y$23, 2, FALSE)))+('PlayerGrades+'!$Y$51*(VLOOKUP(M514, 'PlayerGrades+'!$X$3:$Y$23, 2, FALSE)))+('PlayerGrades+'!$Y$52*(VLOOKUP(O514, 'PlayerGrades+'!$X$3:$Y$23, 2, FALSE)))+('PlayerGrades+'!$Y$53*(VLOOKUP(Q514, 'PlayerGrades+'!$X$3:$Y$23, 2, FALSE)))+('PlayerGrades+'!$Y$54*(VLOOKUP(S514, 'PlayerGrades+'!$X$3:$Y$23, 2, FALSE)))+('PlayerGrades+'!$Y$55*(VLOOKUP(U514, 'PlayerGrades+'!$X$3:$Y$23, 2, FALSE)))</f>
        <v>#DIV/0!</v>
      </c>
      <c r="D514" s="961" t="str">
        <f t="shared" si="1"/>
        <v>#DIV/0!</v>
      </c>
      <c r="E514" s="961" t="str">
        <f>IF(D514&lt;'PlayerGrades+'!$AA$21,"F-",IF(D514&lt;'PlayerGrades+'!$AA$20,"F",IF(D514&lt;'PlayerGrades+'!$AA$19,"F+",IF(D514&lt;'PlayerGrades+'!$AA$18,"E-",IF(D514&lt;'PlayerGrades+'!$AA$17,"E",IF(D514&lt;'PlayerGrades+'!$AA$16,"E+",IF(D514&lt;'PlayerGrades+'!$AA$15,"D-",IF(D514&lt;'PlayerGrades+'!$AA$14,"D",IF(D514&lt;'PlayerGrades+'!$AA$13,"D+",IF(D514&lt;'PlayerGrades+'!$AA$12,"C-",IF(D514&lt;'PlayerGrades+'!$AA$11,"C",IF(D514&lt;'PlayerGrades+'!$AA$10,"C+",IF(D514&lt;'PlayerGrades+'!$AA$9,"B-",IF(D514&lt;'PlayerGrades+'!$AA$8,"B",IF(D514&lt;'PlayerGrades+'!$AA$7,"B+",IF(D514&lt;'PlayerGrades+'!$AA$6,"A-",IF(D514&lt;'PlayerGrades+'!$AA$5,"A",IF(D514&lt;'PlayerGrades+'!$AA$4,"A+",IF(D514&lt;'PlayerGrades+'!$AA$3,"S-",IF(D514&lt;'PlayerGrades+'!$AA$2,"S","S+"))))))))))))))))))))</f>
        <v>#DIV/0!</v>
      </c>
      <c r="F514" s="961" t="str">
        <f t="shared" si="2"/>
        <v>#DIV/0!</v>
      </c>
      <c r="G514" s="961" t="str">
        <f>IF(F514&lt;'PlayerGrades+'!$AB$21,"F-",IF(F514&lt;'PlayerGrades+'!$AB$20,"F",IF(F514&lt;'PlayerGrades+'!$AB$19,"F+",IF(F514&lt;'PlayerGrades+'!$AB$18,"E-",IF(F514&lt;'PlayerGrades+'!$AB$17,"E",IF(F514&lt;'PlayerGrades+'!$AB$16,"E+",IF(F514&lt;'PlayerGrades+'!$AB$15,"D-",IF(F514&lt;'PlayerGrades+'!$AB$14,"D",IF(F514&lt;'PlayerGrades+'!$AB$13,"D+",IF(F514&lt;'PlayerGrades+'!$AB$12,"C-",IF(F514&lt;'PlayerGrades+'!$AB$11,"C",IF(F514&lt;'PlayerGrades+'!$AB$10,"C+",IF(F514&lt;'PlayerGrades+'!$AB$9,"B-",IF(F514&lt;'PlayerGrades+'!$AB$8,"B",IF(F514&lt;'PlayerGrades+'!$AB$7,"B+",IF(F514&lt;'PlayerGrades+'!$AB$6,"A-",IF(F514&lt;'PlayerGrades+'!$AB$5,"A",IF(F514&lt;'PlayerGrades+'!$AB$4,"A+",IF(F514&lt;'PlayerGrades+'!$AB$3,"S-",IF(F514&lt;'PlayerGrades+'!$AB$2,"S","S+"))))))))))))))))))))</f>
        <v>#DIV/0!</v>
      </c>
      <c r="H514" s="961" t="str">
        <f t="shared" si="3"/>
        <v>#DIV/0!</v>
      </c>
      <c r="I514" s="961" t="str">
        <f>IF(H514&lt;'PlayerGrades+'!$AC$21,"F-",IF(H514&lt;'PlayerGrades+'!$AC$20,"F",IF(H514&lt;'PlayerGrades+'!$AC$19,"F+",IF(H514&lt;'PlayerGrades+'!$AC$18,"E-",IF(H514&lt;'PlayerGrades+'!$AC$17,"E",IF(H514&lt;'PlayerGrades+'!$AC$16,"E+",IF(H514&lt;'PlayerGrades+'!$AC$15,"D-",IF(H514&lt;'PlayerGrades+'!$AC$14,"D",IF(H514&lt;'PlayerGrades+'!$AC$13,"D+",IF(H514&lt;'PlayerGrades+'!$AC$12,"C-",IF(H514&lt;'PlayerGrades+'!$AC$11,"C",IF(H514&lt;'PlayerGrades+'!$AC$10,"C+",IF(H514&lt;'PlayerGrades+'!$AC$9,"B-",IF(H514&lt;'PlayerGrades+'!$AC$8,"B",IF(H514&lt;'PlayerGrades+'!$AC$7,"B+",IF(H514&lt;'PlayerGrades+'!$AC$6,"A-",IF(H514&lt;'PlayerGrades+'!$AC$5,"A",IF(H514&lt;'PlayerGrades+'!$AC$4,"A+",IF(H514&lt;'PlayerGrades+'!$AC$3,"S-",IF(H514&lt;'PlayerGrades+'!$AC$2,"S","S+"))))))))))))))))))))</f>
        <v>#DIV/0!</v>
      </c>
      <c r="J514" s="961" t="str">
        <f t="shared" si="4"/>
        <v>#DIV/0!</v>
      </c>
      <c r="K514" s="961" t="str">
        <f>IF(J514&lt;'PlayerGrades+'!$AD$21,"F-",IF(J514&lt;'PlayerGrades+'!$AD$20,"F",IF(J514&lt;'PlayerGrades+'!$AD$19,"F+",IF(J514&lt;'PlayerGrades+'!$AD$18,"E-",IF(J514&lt;'PlayerGrades+'!$AD$17,"E",IF(J514&lt;'PlayerGrades+'!$AD$16,"E+",IF(J514&lt;'PlayerGrades+'!$AD$15,"D-",IF(J514&lt;'PlayerGrades+'!$AD$14,"D",IF(J514&lt;'PlayerGrades+'!$AD$13,"D+",IF(J514&lt;'PlayerGrades+'!$AD$12,"C-",IF(J514&lt;'PlayerGrades+'!$AD$11,"C",IF(J514&lt;'PlayerGrades+'!$AD$10,"C+",IF(J514&lt;'PlayerGrades+'!$AD$9,"B-",IF(J514&lt;'PlayerGrades+'!$AD$8,"B",IF(J514&lt;'PlayerGrades+'!$AD$7,"B+",IF(J514&lt;'PlayerGrades+'!$AD$6,"A-",IF(J514&lt;'PlayerGrades+'!$AD$5,"A",IF(J514&lt;'PlayerGrades+'!$AD$4,"A+",IF(J514&lt;'PlayerGrades+'!$AD$3,"S-",IF(J514&lt;'PlayerGrades+'!$AD$2,"S","S+"))))))))))))))))))))</f>
        <v>#DIV/0!</v>
      </c>
      <c r="L514" s="1176" t="str">
        <f t="shared" si="5"/>
        <v>#DIV/0!</v>
      </c>
      <c r="M514" s="992" t="str">
        <f>IF(L514&lt;'PlayerGrades+'!$AE$21,"F-",IF(L514&lt;'PlayerGrades+'!$AE$20,"F",IF(L514&lt;'PlayerGrades+'!$AE$19,"F+",IF(L514&lt;'PlayerGrades+'!$AE$18,"E-",IF(L514&lt;'PlayerGrades+'!$AE$17,"E",IF(L514&lt;'PlayerGrades+'!$AE$16,"E+",IF(L514&lt;'PlayerGrades+'!$AE$15,"D-",IF(L514&lt;'PlayerGrades+'!$AE$14,"D",IF(L514&lt;'PlayerGrades+'!$AE$13,"D+",IF(L514&lt;'PlayerGrades+'!$AE$12,"C-",IF(L514&lt;'PlayerGrades+'!$AE$11,"C",IF(L514&lt;'PlayerGrades+'!$AE$10,"C+",IF(L514&lt;'PlayerGrades+'!$AE$9,"B-",IF(L514&lt;'PlayerGrades+'!$AE$8,"B",IF(L514&lt;'PlayerGrades+'!$AE$7,"B+",IF(L514&lt;'PlayerGrades+'!$AE$6,"A-",IF(L514&lt;'PlayerGrades+'!$AE$5,"A",IF(L514&lt;'PlayerGrades+'!$AE$4,"A+",IF(L514&lt;'PlayerGrades+'!$AE$3,"S-",IF(L514&lt;'PlayerGrades+'!$AE$2,"S","S+"))))))))))))))))))))</f>
        <v>#DIV/0!</v>
      </c>
      <c r="N514" s="961" t="str">
        <f t="shared" si="6"/>
        <v>#DIV/0!</v>
      </c>
      <c r="O514" s="961" t="str">
        <f>IF(N514&lt;'PlayerGrades+'!$AF$21,"F-",IF(N514&lt;'PlayerGrades+'!$AF$20,"F",IF(N514&lt;'PlayerGrades+'!$AF$19,"F+",IF(N514&lt;'PlayerGrades+'!$AF$18,"E-",IF(N514&lt;'PlayerGrades+'!$AF$17,"E",IF(N514&lt;'PlayerGrades+'!$AF$16,"E+",IF(N514&lt;'PlayerGrades+'!$AF$15,"D-",IF(N514&lt;'PlayerGrades+'!$AF$14,"D",IF(N514&lt;'PlayerGrades+'!$AF$13,"D+",IF(N514&lt;'PlayerGrades+'!$AF$12,"C-",IF(N514&lt;'PlayerGrades+'!$AF$11,"C",IF(N514&lt;'PlayerGrades+'!$AF$10,"C+",IF(N514&lt;'PlayerGrades+'!$AF$9,"B-",IF(N514&lt;'PlayerGrades+'!$AF$8,"B",IF(N514&lt;'PlayerGrades+'!$AF$7,"B+",IF(N514&lt;'PlayerGrades+'!$AF$6,"A-",IF(N514&lt;'PlayerGrades+'!$AF$5,"A",IF(N514&lt;'PlayerGrades+'!$AF$4,"A+",IF(N514&lt;'PlayerGrades+'!$AF$3,"S-",IF(N514&lt;'PlayerGrades+'!$AF$2,"S","S+"))))))))))))))))))))</f>
        <v>#DIV/0!</v>
      </c>
      <c r="P514" s="961" t="str">
        <f t="shared" si="7"/>
        <v>#DIV/0!</v>
      </c>
      <c r="Q514" s="961" t="str">
        <f>IF(P514&lt;'PlayerGrades+'!$AG$21,"F-",IF(P514&lt;'PlayerGrades+'!$AG$20,"F",IF(P514&lt;'PlayerGrades+'!$AG$19,"F+",IF(P514&lt;'PlayerGrades+'!$AG$18,"E-",IF(P514&lt;'PlayerGrades+'!$AG$17,"E",IF(P514&lt;'PlayerGrades+'!$AG$16,"E+",IF(P514&lt;'PlayerGrades+'!$AG$15,"D-",IF(P514&lt;'PlayerGrades+'!$AG$14,"D",IF(P514&lt;'PlayerGrades+'!$AG$13,"D+",IF(P514&lt;'PlayerGrades+'!$AG$12,"C-",IF(P514&lt;'PlayerGrades+'!$AG$11,"C",IF(P514&lt;'PlayerGrades+'!$AG$10,"C+",IF(P514&lt;'PlayerGrades+'!$AG$9,"B-",IF(P514&lt;'PlayerGrades+'!$AG$8,"B",IF(P514&lt;'PlayerGrades+'!$AG$7,"B+",IF(P514&lt;'PlayerGrades+'!$AG$6,"A-",IF(P514&lt;'PlayerGrades+'!$AG$5,"A",IF(P514&lt;'PlayerGrades+'!$AG$4,"A+",IF(P514&lt;'PlayerGrades+'!$AG$3,"S-",IF(P514&lt;'PlayerGrades+'!$AG$2,"S","S+"))))))))))))))))))))</f>
        <v>#DIV/0!</v>
      </c>
      <c r="R514" s="961" t="str">
        <f t="shared" si="8"/>
        <v>#DIV/0!</v>
      </c>
      <c r="S514" s="961" t="str">
        <f>IF(R514&lt;'PlayerGrades+'!$AH$21,"F-",IF(R514&lt;'PlayerGrades+'!$AH$20,"F",IF(R514&lt;'PlayerGrades+'!$AH$19,"F+",IF(R514&lt;'PlayerGrades+'!$AH$18,"E-",IF(R514&lt;'PlayerGrades+'!$AH$17,"E",IF(R514&lt;'PlayerGrades+'!$AH$16,"E+",IF(R514&lt;'PlayerGrades+'!$AH$15,"D-",IF(R514&lt;'PlayerGrades+'!$AH$14,"D",IF(R514&lt;'PlayerGrades+'!$AH$13,"D+",IF(R514&lt;'PlayerGrades+'!$AH$12,"C-",IF(R514&lt;'PlayerGrades+'!$AH$11,"C",IF(R514&lt;'PlayerGrades+'!$AH$10,"C+",IF(R514&lt;'PlayerGrades+'!$AH$9,"B-",IF(R514&lt;'PlayerGrades+'!$AH$8,"B",IF(R514&lt;'PlayerGrades+'!$AH$7,"B+",IF(R514&lt;'PlayerGrades+'!$AH$6,"A-",IF(R514&lt;'PlayerGrades+'!$AH$5,"A",IF(R514&lt;'PlayerGrades+'!$AH$4,"A+",IF(R514&lt;'PlayerGrades+'!$AH$3,"S-",IF(R514&lt;'PlayerGrades+'!$AH$2,"S","S+"))))))))))))))))))))</f>
        <v>#DIV/0!</v>
      </c>
      <c r="T514" s="961">
        <f t="shared" si="9"/>
        <v>0</v>
      </c>
      <c r="U514" s="961" t="str">
        <f>IF(T514&lt;'PlayerGrades+'!$AI$21,"F-",IF(T514&lt;'PlayerGrades+'!$AI$20,"F",IF(T514&lt;'PlayerGrades+'!$AI$19,"F+",IF(T514&lt;'PlayerGrades+'!$AI$18,"E-",IF(T514&lt;'PlayerGrades+'!$AI$17,"E",IF(T514&lt;'PlayerGrades+'!$AI$16,"E+",IF(T514&lt;'PlayerGrades+'!$AI$15,"D-",IF(T514&lt;'PlayerGrades+'!$AI$14,"D",IF(T514&lt;'PlayerGrades+'!$AI$13,"D+",IF(T514&lt;'PlayerGrades+'!$AI$12,"C-",IF(T514&lt;'PlayerGrades+'!$AI$11,"C",IF(T514&lt;'PlayerGrades+'!$AI$10,"C+",IF(T514&lt;'PlayerGrades+'!$AI$9,"B-",IF(T514&lt;'PlayerGrades+'!$AI$8,"B",IF(T514&lt;'PlayerGrades+'!$AI$7,"B+",IF(T514&lt;'PlayerGrades+'!$AI$6,"A-",IF(T514&lt;'PlayerGrades+'!$AI$5,"A",IF(T514&lt;'PlayerGrades+'!$AI$4,"A+",IF(T514&lt;'PlayerGrades+'!$AI$3,"S-",IF(T514&lt;'PlayerGrades+'!$AI$2,"S","S+"))))))))))))))))))))</f>
        <v>F-</v>
      </c>
      <c r="V514" s="1379"/>
      <c r="W514" s="1379"/>
      <c r="X514" s="1379"/>
      <c r="Y514" s="1379"/>
      <c r="Z514" s="1379"/>
      <c r="AA514" s="1379"/>
      <c r="AB514" s="1379"/>
      <c r="AC514" s="1390"/>
      <c r="AD514" s="1379"/>
      <c r="AE514" s="1379"/>
      <c r="AF514" s="1379"/>
      <c r="AG514" s="1379"/>
      <c r="AH514" s="1379"/>
      <c r="AI514" s="1379"/>
      <c r="AJ514" s="1379"/>
      <c r="AK514" s="1379"/>
      <c r="AL514" s="1379"/>
      <c r="AM514" s="1379"/>
      <c r="AN514" s="1379"/>
      <c r="AO514" s="1379"/>
      <c r="AP514" s="1379"/>
      <c r="AQ514" s="1379"/>
      <c r="AR514" s="1379"/>
      <c r="AS514" s="1379"/>
      <c r="AT514" s="1379"/>
      <c r="AU514" s="1379"/>
      <c r="AV514" s="1379"/>
      <c r="AW514" s="1379"/>
      <c r="AX514" s="1379"/>
      <c r="AY514" s="1379"/>
      <c r="AZ514" s="1379"/>
    </row>
    <row r="515">
      <c r="A515" s="1391"/>
      <c r="B515" s="611" t="str">
        <f>IF(C515&lt;'PlayerGrades+'!$Y$44,"F-",IF(C515&lt;'PlayerGrades+'!$Y$43,"F",IF(C515&lt;'PlayerGrades+'!$Y$42,"F+",IF(C515&lt;'PlayerGrades+'!$Y$41,"E-",IF(C515&lt;'PlayerGrades+'!$Y$40,"E",IF(C515&lt;'PlayerGrades+'!$Y$39,"E+",IF(C515&lt;'PlayerGrades+'!$Y$38,"D-",IF(C515&lt;'PlayerGrades+'!$Y$37,"D",IF(C515&lt;'PlayerGrades+'!$Y$36,"D+",IF(C515&lt;'PlayerGrades+'!$Y$35,"C-",IF(C515&lt;'PlayerGrades+'!$Y$34,"C",IF(C515&lt;'PlayerGrades+'!$Y$33,"C+",IF(C515&lt;'PlayerGrades+'!$Y$32,"B-",IF(C515&lt;'PlayerGrades+'!$Y$31,"B",IF(C515&lt;'PlayerGrades+'!$Y$30,"B+",IF(C515&lt;'PlayerGrades+'!$Y$29,"A-",IF(C515&lt;'PlayerGrades+'!$Y$28,"A",IF(C515&lt;'PlayerGrades+'!$Y$27,"A+",IF(C515&lt;'PlayerGrades+'!$Y$26,"S-",IF(C515&lt;'PlayerGrades+'!$Y$25,"S","S+"))))))))))))))))))))</f>
        <v>#DIV/0!</v>
      </c>
      <c r="C515" s="1378" t="str">
        <f>('PlayerGrades+'!$Y$47*(VLOOKUP(E515, 'PlayerGrades+'!$X$3:$Y$23, 2, FALSE)))+('PlayerGrades+'!$Y$48*(VLOOKUP(G515, 'PlayerGrades+'!$X$3:$Y$23, 2, FALSE)))+('PlayerGrades+'!$Y$49*(VLOOKUP(I515, 'PlayerGrades+'!$X$3:$Y$23, 2, FALSE)))+('PlayerGrades+'!$Y$50*(VLOOKUP(K515, 'PlayerGrades+'!$X$3:$Y$23, 2, FALSE)))+('PlayerGrades+'!$Y$51*(VLOOKUP(M515, 'PlayerGrades+'!$X$3:$Y$23, 2, FALSE)))+('PlayerGrades+'!$Y$52*(VLOOKUP(O515, 'PlayerGrades+'!$X$3:$Y$23, 2, FALSE)))+('PlayerGrades+'!$Y$53*(VLOOKUP(Q515, 'PlayerGrades+'!$X$3:$Y$23, 2, FALSE)))+('PlayerGrades+'!$Y$54*(VLOOKUP(S515, 'PlayerGrades+'!$X$3:$Y$23, 2, FALSE)))+('PlayerGrades+'!$Y$55*(VLOOKUP(U515, 'PlayerGrades+'!$X$3:$Y$23, 2, FALSE)))</f>
        <v>#DIV/0!</v>
      </c>
      <c r="D515" s="961" t="str">
        <f t="shared" si="1"/>
        <v>#DIV/0!</v>
      </c>
      <c r="E515" s="961" t="str">
        <f>IF(D515&lt;'PlayerGrades+'!$AA$21,"F-",IF(D515&lt;'PlayerGrades+'!$AA$20,"F",IF(D515&lt;'PlayerGrades+'!$AA$19,"F+",IF(D515&lt;'PlayerGrades+'!$AA$18,"E-",IF(D515&lt;'PlayerGrades+'!$AA$17,"E",IF(D515&lt;'PlayerGrades+'!$AA$16,"E+",IF(D515&lt;'PlayerGrades+'!$AA$15,"D-",IF(D515&lt;'PlayerGrades+'!$AA$14,"D",IF(D515&lt;'PlayerGrades+'!$AA$13,"D+",IF(D515&lt;'PlayerGrades+'!$AA$12,"C-",IF(D515&lt;'PlayerGrades+'!$AA$11,"C",IF(D515&lt;'PlayerGrades+'!$AA$10,"C+",IF(D515&lt;'PlayerGrades+'!$AA$9,"B-",IF(D515&lt;'PlayerGrades+'!$AA$8,"B",IF(D515&lt;'PlayerGrades+'!$AA$7,"B+",IF(D515&lt;'PlayerGrades+'!$AA$6,"A-",IF(D515&lt;'PlayerGrades+'!$AA$5,"A",IF(D515&lt;'PlayerGrades+'!$AA$4,"A+",IF(D515&lt;'PlayerGrades+'!$AA$3,"S-",IF(D515&lt;'PlayerGrades+'!$AA$2,"S","S+"))))))))))))))))))))</f>
        <v>#DIV/0!</v>
      </c>
      <c r="F515" s="961" t="str">
        <f t="shared" si="2"/>
        <v>#DIV/0!</v>
      </c>
      <c r="G515" s="961" t="str">
        <f>IF(F515&lt;'PlayerGrades+'!$AB$21,"F-",IF(F515&lt;'PlayerGrades+'!$AB$20,"F",IF(F515&lt;'PlayerGrades+'!$AB$19,"F+",IF(F515&lt;'PlayerGrades+'!$AB$18,"E-",IF(F515&lt;'PlayerGrades+'!$AB$17,"E",IF(F515&lt;'PlayerGrades+'!$AB$16,"E+",IF(F515&lt;'PlayerGrades+'!$AB$15,"D-",IF(F515&lt;'PlayerGrades+'!$AB$14,"D",IF(F515&lt;'PlayerGrades+'!$AB$13,"D+",IF(F515&lt;'PlayerGrades+'!$AB$12,"C-",IF(F515&lt;'PlayerGrades+'!$AB$11,"C",IF(F515&lt;'PlayerGrades+'!$AB$10,"C+",IF(F515&lt;'PlayerGrades+'!$AB$9,"B-",IF(F515&lt;'PlayerGrades+'!$AB$8,"B",IF(F515&lt;'PlayerGrades+'!$AB$7,"B+",IF(F515&lt;'PlayerGrades+'!$AB$6,"A-",IF(F515&lt;'PlayerGrades+'!$AB$5,"A",IF(F515&lt;'PlayerGrades+'!$AB$4,"A+",IF(F515&lt;'PlayerGrades+'!$AB$3,"S-",IF(F515&lt;'PlayerGrades+'!$AB$2,"S","S+"))))))))))))))))))))</f>
        <v>#DIV/0!</v>
      </c>
      <c r="H515" s="961" t="str">
        <f t="shared" si="3"/>
        <v>#DIV/0!</v>
      </c>
      <c r="I515" s="961" t="str">
        <f>IF(H515&lt;'PlayerGrades+'!$AC$21,"F-",IF(H515&lt;'PlayerGrades+'!$AC$20,"F",IF(H515&lt;'PlayerGrades+'!$AC$19,"F+",IF(H515&lt;'PlayerGrades+'!$AC$18,"E-",IF(H515&lt;'PlayerGrades+'!$AC$17,"E",IF(H515&lt;'PlayerGrades+'!$AC$16,"E+",IF(H515&lt;'PlayerGrades+'!$AC$15,"D-",IF(H515&lt;'PlayerGrades+'!$AC$14,"D",IF(H515&lt;'PlayerGrades+'!$AC$13,"D+",IF(H515&lt;'PlayerGrades+'!$AC$12,"C-",IF(H515&lt;'PlayerGrades+'!$AC$11,"C",IF(H515&lt;'PlayerGrades+'!$AC$10,"C+",IF(H515&lt;'PlayerGrades+'!$AC$9,"B-",IF(H515&lt;'PlayerGrades+'!$AC$8,"B",IF(H515&lt;'PlayerGrades+'!$AC$7,"B+",IF(H515&lt;'PlayerGrades+'!$AC$6,"A-",IF(H515&lt;'PlayerGrades+'!$AC$5,"A",IF(H515&lt;'PlayerGrades+'!$AC$4,"A+",IF(H515&lt;'PlayerGrades+'!$AC$3,"S-",IF(H515&lt;'PlayerGrades+'!$AC$2,"S","S+"))))))))))))))))))))</f>
        <v>#DIV/0!</v>
      </c>
      <c r="J515" s="961" t="str">
        <f t="shared" si="4"/>
        <v>#DIV/0!</v>
      </c>
      <c r="K515" s="961" t="str">
        <f>IF(J515&lt;'PlayerGrades+'!$AD$21,"F-",IF(J515&lt;'PlayerGrades+'!$AD$20,"F",IF(J515&lt;'PlayerGrades+'!$AD$19,"F+",IF(J515&lt;'PlayerGrades+'!$AD$18,"E-",IF(J515&lt;'PlayerGrades+'!$AD$17,"E",IF(J515&lt;'PlayerGrades+'!$AD$16,"E+",IF(J515&lt;'PlayerGrades+'!$AD$15,"D-",IF(J515&lt;'PlayerGrades+'!$AD$14,"D",IF(J515&lt;'PlayerGrades+'!$AD$13,"D+",IF(J515&lt;'PlayerGrades+'!$AD$12,"C-",IF(J515&lt;'PlayerGrades+'!$AD$11,"C",IF(J515&lt;'PlayerGrades+'!$AD$10,"C+",IF(J515&lt;'PlayerGrades+'!$AD$9,"B-",IF(J515&lt;'PlayerGrades+'!$AD$8,"B",IF(J515&lt;'PlayerGrades+'!$AD$7,"B+",IF(J515&lt;'PlayerGrades+'!$AD$6,"A-",IF(J515&lt;'PlayerGrades+'!$AD$5,"A",IF(J515&lt;'PlayerGrades+'!$AD$4,"A+",IF(J515&lt;'PlayerGrades+'!$AD$3,"S-",IF(J515&lt;'PlayerGrades+'!$AD$2,"S","S+"))))))))))))))))))))</f>
        <v>#DIV/0!</v>
      </c>
      <c r="L515" s="1176" t="str">
        <f t="shared" si="5"/>
        <v>#DIV/0!</v>
      </c>
      <c r="M515" s="992" t="str">
        <f>IF(L515&lt;'PlayerGrades+'!$AE$21,"F-",IF(L515&lt;'PlayerGrades+'!$AE$20,"F",IF(L515&lt;'PlayerGrades+'!$AE$19,"F+",IF(L515&lt;'PlayerGrades+'!$AE$18,"E-",IF(L515&lt;'PlayerGrades+'!$AE$17,"E",IF(L515&lt;'PlayerGrades+'!$AE$16,"E+",IF(L515&lt;'PlayerGrades+'!$AE$15,"D-",IF(L515&lt;'PlayerGrades+'!$AE$14,"D",IF(L515&lt;'PlayerGrades+'!$AE$13,"D+",IF(L515&lt;'PlayerGrades+'!$AE$12,"C-",IF(L515&lt;'PlayerGrades+'!$AE$11,"C",IF(L515&lt;'PlayerGrades+'!$AE$10,"C+",IF(L515&lt;'PlayerGrades+'!$AE$9,"B-",IF(L515&lt;'PlayerGrades+'!$AE$8,"B",IF(L515&lt;'PlayerGrades+'!$AE$7,"B+",IF(L515&lt;'PlayerGrades+'!$AE$6,"A-",IF(L515&lt;'PlayerGrades+'!$AE$5,"A",IF(L515&lt;'PlayerGrades+'!$AE$4,"A+",IF(L515&lt;'PlayerGrades+'!$AE$3,"S-",IF(L515&lt;'PlayerGrades+'!$AE$2,"S","S+"))))))))))))))))))))</f>
        <v>#DIV/0!</v>
      </c>
      <c r="N515" s="961" t="str">
        <f t="shared" si="6"/>
        <v>#DIV/0!</v>
      </c>
      <c r="O515" s="961" t="str">
        <f>IF(N515&lt;'PlayerGrades+'!$AF$21,"F-",IF(N515&lt;'PlayerGrades+'!$AF$20,"F",IF(N515&lt;'PlayerGrades+'!$AF$19,"F+",IF(N515&lt;'PlayerGrades+'!$AF$18,"E-",IF(N515&lt;'PlayerGrades+'!$AF$17,"E",IF(N515&lt;'PlayerGrades+'!$AF$16,"E+",IF(N515&lt;'PlayerGrades+'!$AF$15,"D-",IF(N515&lt;'PlayerGrades+'!$AF$14,"D",IF(N515&lt;'PlayerGrades+'!$AF$13,"D+",IF(N515&lt;'PlayerGrades+'!$AF$12,"C-",IF(N515&lt;'PlayerGrades+'!$AF$11,"C",IF(N515&lt;'PlayerGrades+'!$AF$10,"C+",IF(N515&lt;'PlayerGrades+'!$AF$9,"B-",IF(N515&lt;'PlayerGrades+'!$AF$8,"B",IF(N515&lt;'PlayerGrades+'!$AF$7,"B+",IF(N515&lt;'PlayerGrades+'!$AF$6,"A-",IF(N515&lt;'PlayerGrades+'!$AF$5,"A",IF(N515&lt;'PlayerGrades+'!$AF$4,"A+",IF(N515&lt;'PlayerGrades+'!$AF$3,"S-",IF(N515&lt;'PlayerGrades+'!$AF$2,"S","S+"))))))))))))))))))))</f>
        <v>#DIV/0!</v>
      </c>
      <c r="P515" s="961" t="str">
        <f t="shared" si="7"/>
        <v>#DIV/0!</v>
      </c>
      <c r="Q515" s="961" t="str">
        <f>IF(P515&lt;'PlayerGrades+'!$AG$21,"F-",IF(P515&lt;'PlayerGrades+'!$AG$20,"F",IF(P515&lt;'PlayerGrades+'!$AG$19,"F+",IF(P515&lt;'PlayerGrades+'!$AG$18,"E-",IF(P515&lt;'PlayerGrades+'!$AG$17,"E",IF(P515&lt;'PlayerGrades+'!$AG$16,"E+",IF(P515&lt;'PlayerGrades+'!$AG$15,"D-",IF(P515&lt;'PlayerGrades+'!$AG$14,"D",IF(P515&lt;'PlayerGrades+'!$AG$13,"D+",IF(P515&lt;'PlayerGrades+'!$AG$12,"C-",IF(P515&lt;'PlayerGrades+'!$AG$11,"C",IF(P515&lt;'PlayerGrades+'!$AG$10,"C+",IF(P515&lt;'PlayerGrades+'!$AG$9,"B-",IF(P515&lt;'PlayerGrades+'!$AG$8,"B",IF(P515&lt;'PlayerGrades+'!$AG$7,"B+",IF(P515&lt;'PlayerGrades+'!$AG$6,"A-",IF(P515&lt;'PlayerGrades+'!$AG$5,"A",IF(P515&lt;'PlayerGrades+'!$AG$4,"A+",IF(P515&lt;'PlayerGrades+'!$AG$3,"S-",IF(P515&lt;'PlayerGrades+'!$AG$2,"S","S+"))))))))))))))))))))</f>
        <v>#DIV/0!</v>
      </c>
      <c r="R515" s="961" t="str">
        <f t="shared" si="8"/>
        <v>#DIV/0!</v>
      </c>
      <c r="S515" s="961" t="str">
        <f>IF(R515&lt;'PlayerGrades+'!$AH$21,"F-",IF(R515&lt;'PlayerGrades+'!$AH$20,"F",IF(R515&lt;'PlayerGrades+'!$AH$19,"F+",IF(R515&lt;'PlayerGrades+'!$AH$18,"E-",IF(R515&lt;'PlayerGrades+'!$AH$17,"E",IF(R515&lt;'PlayerGrades+'!$AH$16,"E+",IF(R515&lt;'PlayerGrades+'!$AH$15,"D-",IF(R515&lt;'PlayerGrades+'!$AH$14,"D",IF(R515&lt;'PlayerGrades+'!$AH$13,"D+",IF(R515&lt;'PlayerGrades+'!$AH$12,"C-",IF(R515&lt;'PlayerGrades+'!$AH$11,"C",IF(R515&lt;'PlayerGrades+'!$AH$10,"C+",IF(R515&lt;'PlayerGrades+'!$AH$9,"B-",IF(R515&lt;'PlayerGrades+'!$AH$8,"B",IF(R515&lt;'PlayerGrades+'!$AH$7,"B+",IF(R515&lt;'PlayerGrades+'!$AH$6,"A-",IF(R515&lt;'PlayerGrades+'!$AH$5,"A",IF(R515&lt;'PlayerGrades+'!$AH$4,"A+",IF(R515&lt;'PlayerGrades+'!$AH$3,"S-",IF(R515&lt;'PlayerGrades+'!$AH$2,"S","S+"))))))))))))))))))))</f>
        <v>#DIV/0!</v>
      </c>
      <c r="T515" s="961">
        <f t="shared" si="9"/>
        <v>0</v>
      </c>
      <c r="U515" s="961" t="str">
        <f>IF(T515&lt;'PlayerGrades+'!$AI$21,"F-",IF(T515&lt;'PlayerGrades+'!$AI$20,"F",IF(T515&lt;'PlayerGrades+'!$AI$19,"F+",IF(T515&lt;'PlayerGrades+'!$AI$18,"E-",IF(T515&lt;'PlayerGrades+'!$AI$17,"E",IF(T515&lt;'PlayerGrades+'!$AI$16,"E+",IF(T515&lt;'PlayerGrades+'!$AI$15,"D-",IF(T515&lt;'PlayerGrades+'!$AI$14,"D",IF(T515&lt;'PlayerGrades+'!$AI$13,"D+",IF(T515&lt;'PlayerGrades+'!$AI$12,"C-",IF(T515&lt;'PlayerGrades+'!$AI$11,"C",IF(T515&lt;'PlayerGrades+'!$AI$10,"C+",IF(T515&lt;'PlayerGrades+'!$AI$9,"B-",IF(T515&lt;'PlayerGrades+'!$AI$8,"B",IF(T515&lt;'PlayerGrades+'!$AI$7,"B+",IF(T515&lt;'PlayerGrades+'!$AI$6,"A-",IF(T515&lt;'PlayerGrades+'!$AI$5,"A",IF(T515&lt;'PlayerGrades+'!$AI$4,"A+",IF(T515&lt;'PlayerGrades+'!$AI$3,"S-",IF(T515&lt;'PlayerGrades+'!$AI$2,"S","S+"))))))))))))))))))))</f>
        <v>F-</v>
      </c>
      <c r="AC515" s="1392"/>
    </row>
    <row r="516">
      <c r="A516" s="1391"/>
      <c r="B516" s="611" t="str">
        <f>IF(C516&lt;'PlayerGrades+'!$Y$44,"F-",IF(C516&lt;'PlayerGrades+'!$Y$43,"F",IF(C516&lt;'PlayerGrades+'!$Y$42,"F+",IF(C516&lt;'PlayerGrades+'!$Y$41,"E-",IF(C516&lt;'PlayerGrades+'!$Y$40,"E",IF(C516&lt;'PlayerGrades+'!$Y$39,"E+",IF(C516&lt;'PlayerGrades+'!$Y$38,"D-",IF(C516&lt;'PlayerGrades+'!$Y$37,"D",IF(C516&lt;'PlayerGrades+'!$Y$36,"D+",IF(C516&lt;'PlayerGrades+'!$Y$35,"C-",IF(C516&lt;'PlayerGrades+'!$Y$34,"C",IF(C516&lt;'PlayerGrades+'!$Y$33,"C+",IF(C516&lt;'PlayerGrades+'!$Y$32,"B-",IF(C516&lt;'PlayerGrades+'!$Y$31,"B",IF(C516&lt;'PlayerGrades+'!$Y$30,"B+",IF(C516&lt;'PlayerGrades+'!$Y$29,"A-",IF(C516&lt;'PlayerGrades+'!$Y$28,"A",IF(C516&lt;'PlayerGrades+'!$Y$27,"A+",IF(C516&lt;'PlayerGrades+'!$Y$26,"S-",IF(C516&lt;'PlayerGrades+'!$Y$25,"S","S+"))))))))))))))))))))</f>
        <v>#DIV/0!</v>
      </c>
      <c r="C516" s="1378" t="str">
        <f>('PlayerGrades+'!$Y$47*(VLOOKUP(E516, 'PlayerGrades+'!$X$3:$Y$23, 2, FALSE)))+('PlayerGrades+'!$Y$48*(VLOOKUP(G516, 'PlayerGrades+'!$X$3:$Y$23, 2, FALSE)))+('PlayerGrades+'!$Y$49*(VLOOKUP(I516, 'PlayerGrades+'!$X$3:$Y$23, 2, FALSE)))+('PlayerGrades+'!$Y$50*(VLOOKUP(K516, 'PlayerGrades+'!$X$3:$Y$23, 2, FALSE)))+('PlayerGrades+'!$Y$51*(VLOOKUP(M516, 'PlayerGrades+'!$X$3:$Y$23, 2, FALSE)))+('PlayerGrades+'!$Y$52*(VLOOKUP(O516, 'PlayerGrades+'!$X$3:$Y$23, 2, FALSE)))+('PlayerGrades+'!$Y$53*(VLOOKUP(Q516, 'PlayerGrades+'!$X$3:$Y$23, 2, FALSE)))+('PlayerGrades+'!$Y$54*(VLOOKUP(S516, 'PlayerGrades+'!$X$3:$Y$23, 2, FALSE)))+('PlayerGrades+'!$Y$55*(VLOOKUP(U516, 'PlayerGrades+'!$X$3:$Y$23, 2, FALSE)))</f>
        <v>#DIV/0!</v>
      </c>
      <c r="D516" s="961" t="str">
        <f t="shared" si="1"/>
        <v>#DIV/0!</v>
      </c>
      <c r="E516" s="961" t="str">
        <f>IF(D516&lt;'PlayerGrades+'!$AA$21,"F-",IF(D516&lt;'PlayerGrades+'!$AA$20,"F",IF(D516&lt;'PlayerGrades+'!$AA$19,"F+",IF(D516&lt;'PlayerGrades+'!$AA$18,"E-",IF(D516&lt;'PlayerGrades+'!$AA$17,"E",IF(D516&lt;'PlayerGrades+'!$AA$16,"E+",IF(D516&lt;'PlayerGrades+'!$AA$15,"D-",IF(D516&lt;'PlayerGrades+'!$AA$14,"D",IF(D516&lt;'PlayerGrades+'!$AA$13,"D+",IF(D516&lt;'PlayerGrades+'!$AA$12,"C-",IF(D516&lt;'PlayerGrades+'!$AA$11,"C",IF(D516&lt;'PlayerGrades+'!$AA$10,"C+",IF(D516&lt;'PlayerGrades+'!$AA$9,"B-",IF(D516&lt;'PlayerGrades+'!$AA$8,"B",IF(D516&lt;'PlayerGrades+'!$AA$7,"B+",IF(D516&lt;'PlayerGrades+'!$AA$6,"A-",IF(D516&lt;'PlayerGrades+'!$AA$5,"A",IF(D516&lt;'PlayerGrades+'!$AA$4,"A+",IF(D516&lt;'PlayerGrades+'!$AA$3,"S-",IF(D516&lt;'PlayerGrades+'!$AA$2,"S","S+"))))))))))))))))))))</f>
        <v>#DIV/0!</v>
      </c>
      <c r="F516" s="961" t="str">
        <f t="shared" si="2"/>
        <v>#DIV/0!</v>
      </c>
      <c r="G516" s="961" t="str">
        <f>IF(F516&lt;'PlayerGrades+'!$AB$21,"F-",IF(F516&lt;'PlayerGrades+'!$AB$20,"F",IF(F516&lt;'PlayerGrades+'!$AB$19,"F+",IF(F516&lt;'PlayerGrades+'!$AB$18,"E-",IF(F516&lt;'PlayerGrades+'!$AB$17,"E",IF(F516&lt;'PlayerGrades+'!$AB$16,"E+",IF(F516&lt;'PlayerGrades+'!$AB$15,"D-",IF(F516&lt;'PlayerGrades+'!$AB$14,"D",IF(F516&lt;'PlayerGrades+'!$AB$13,"D+",IF(F516&lt;'PlayerGrades+'!$AB$12,"C-",IF(F516&lt;'PlayerGrades+'!$AB$11,"C",IF(F516&lt;'PlayerGrades+'!$AB$10,"C+",IF(F516&lt;'PlayerGrades+'!$AB$9,"B-",IF(F516&lt;'PlayerGrades+'!$AB$8,"B",IF(F516&lt;'PlayerGrades+'!$AB$7,"B+",IF(F516&lt;'PlayerGrades+'!$AB$6,"A-",IF(F516&lt;'PlayerGrades+'!$AB$5,"A",IF(F516&lt;'PlayerGrades+'!$AB$4,"A+",IF(F516&lt;'PlayerGrades+'!$AB$3,"S-",IF(F516&lt;'PlayerGrades+'!$AB$2,"S","S+"))))))))))))))))))))</f>
        <v>#DIV/0!</v>
      </c>
      <c r="H516" s="961" t="str">
        <f t="shared" si="3"/>
        <v>#DIV/0!</v>
      </c>
      <c r="I516" s="961" t="str">
        <f>IF(H516&lt;'PlayerGrades+'!$AC$21,"F-",IF(H516&lt;'PlayerGrades+'!$AC$20,"F",IF(H516&lt;'PlayerGrades+'!$AC$19,"F+",IF(H516&lt;'PlayerGrades+'!$AC$18,"E-",IF(H516&lt;'PlayerGrades+'!$AC$17,"E",IF(H516&lt;'PlayerGrades+'!$AC$16,"E+",IF(H516&lt;'PlayerGrades+'!$AC$15,"D-",IF(H516&lt;'PlayerGrades+'!$AC$14,"D",IF(H516&lt;'PlayerGrades+'!$AC$13,"D+",IF(H516&lt;'PlayerGrades+'!$AC$12,"C-",IF(H516&lt;'PlayerGrades+'!$AC$11,"C",IF(H516&lt;'PlayerGrades+'!$AC$10,"C+",IF(H516&lt;'PlayerGrades+'!$AC$9,"B-",IF(H516&lt;'PlayerGrades+'!$AC$8,"B",IF(H516&lt;'PlayerGrades+'!$AC$7,"B+",IF(H516&lt;'PlayerGrades+'!$AC$6,"A-",IF(H516&lt;'PlayerGrades+'!$AC$5,"A",IF(H516&lt;'PlayerGrades+'!$AC$4,"A+",IF(H516&lt;'PlayerGrades+'!$AC$3,"S-",IF(H516&lt;'PlayerGrades+'!$AC$2,"S","S+"))))))))))))))))))))</f>
        <v>#DIV/0!</v>
      </c>
      <c r="J516" s="961" t="str">
        <f t="shared" si="4"/>
        <v>#DIV/0!</v>
      </c>
      <c r="K516" s="961" t="str">
        <f>IF(J516&lt;'PlayerGrades+'!$AD$21,"F-",IF(J516&lt;'PlayerGrades+'!$AD$20,"F",IF(J516&lt;'PlayerGrades+'!$AD$19,"F+",IF(J516&lt;'PlayerGrades+'!$AD$18,"E-",IF(J516&lt;'PlayerGrades+'!$AD$17,"E",IF(J516&lt;'PlayerGrades+'!$AD$16,"E+",IF(J516&lt;'PlayerGrades+'!$AD$15,"D-",IF(J516&lt;'PlayerGrades+'!$AD$14,"D",IF(J516&lt;'PlayerGrades+'!$AD$13,"D+",IF(J516&lt;'PlayerGrades+'!$AD$12,"C-",IF(J516&lt;'PlayerGrades+'!$AD$11,"C",IF(J516&lt;'PlayerGrades+'!$AD$10,"C+",IF(J516&lt;'PlayerGrades+'!$AD$9,"B-",IF(J516&lt;'PlayerGrades+'!$AD$8,"B",IF(J516&lt;'PlayerGrades+'!$AD$7,"B+",IF(J516&lt;'PlayerGrades+'!$AD$6,"A-",IF(J516&lt;'PlayerGrades+'!$AD$5,"A",IF(J516&lt;'PlayerGrades+'!$AD$4,"A+",IF(J516&lt;'PlayerGrades+'!$AD$3,"S-",IF(J516&lt;'PlayerGrades+'!$AD$2,"S","S+"))))))))))))))))))))</f>
        <v>#DIV/0!</v>
      </c>
      <c r="L516" s="1176" t="str">
        <f t="shared" si="5"/>
        <v>#DIV/0!</v>
      </c>
      <c r="M516" s="992" t="str">
        <f>IF(L516&lt;'PlayerGrades+'!$AE$21,"F-",IF(L516&lt;'PlayerGrades+'!$AE$20,"F",IF(L516&lt;'PlayerGrades+'!$AE$19,"F+",IF(L516&lt;'PlayerGrades+'!$AE$18,"E-",IF(L516&lt;'PlayerGrades+'!$AE$17,"E",IF(L516&lt;'PlayerGrades+'!$AE$16,"E+",IF(L516&lt;'PlayerGrades+'!$AE$15,"D-",IF(L516&lt;'PlayerGrades+'!$AE$14,"D",IF(L516&lt;'PlayerGrades+'!$AE$13,"D+",IF(L516&lt;'PlayerGrades+'!$AE$12,"C-",IF(L516&lt;'PlayerGrades+'!$AE$11,"C",IF(L516&lt;'PlayerGrades+'!$AE$10,"C+",IF(L516&lt;'PlayerGrades+'!$AE$9,"B-",IF(L516&lt;'PlayerGrades+'!$AE$8,"B",IF(L516&lt;'PlayerGrades+'!$AE$7,"B+",IF(L516&lt;'PlayerGrades+'!$AE$6,"A-",IF(L516&lt;'PlayerGrades+'!$AE$5,"A",IF(L516&lt;'PlayerGrades+'!$AE$4,"A+",IF(L516&lt;'PlayerGrades+'!$AE$3,"S-",IF(L516&lt;'PlayerGrades+'!$AE$2,"S","S+"))))))))))))))))))))</f>
        <v>#DIV/0!</v>
      </c>
      <c r="N516" s="961" t="str">
        <f t="shared" si="6"/>
        <v>#DIV/0!</v>
      </c>
      <c r="O516" s="961" t="str">
        <f>IF(N516&lt;'PlayerGrades+'!$AF$21,"F-",IF(N516&lt;'PlayerGrades+'!$AF$20,"F",IF(N516&lt;'PlayerGrades+'!$AF$19,"F+",IF(N516&lt;'PlayerGrades+'!$AF$18,"E-",IF(N516&lt;'PlayerGrades+'!$AF$17,"E",IF(N516&lt;'PlayerGrades+'!$AF$16,"E+",IF(N516&lt;'PlayerGrades+'!$AF$15,"D-",IF(N516&lt;'PlayerGrades+'!$AF$14,"D",IF(N516&lt;'PlayerGrades+'!$AF$13,"D+",IF(N516&lt;'PlayerGrades+'!$AF$12,"C-",IF(N516&lt;'PlayerGrades+'!$AF$11,"C",IF(N516&lt;'PlayerGrades+'!$AF$10,"C+",IF(N516&lt;'PlayerGrades+'!$AF$9,"B-",IF(N516&lt;'PlayerGrades+'!$AF$8,"B",IF(N516&lt;'PlayerGrades+'!$AF$7,"B+",IF(N516&lt;'PlayerGrades+'!$AF$6,"A-",IF(N516&lt;'PlayerGrades+'!$AF$5,"A",IF(N516&lt;'PlayerGrades+'!$AF$4,"A+",IF(N516&lt;'PlayerGrades+'!$AF$3,"S-",IF(N516&lt;'PlayerGrades+'!$AF$2,"S","S+"))))))))))))))))))))</f>
        <v>#DIV/0!</v>
      </c>
      <c r="P516" s="961" t="str">
        <f t="shared" si="7"/>
        <v>#DIV/0!</v>
      </c>
      <c r="Q516" s="961" t="str">
        <f>IF(P516&lt;'PlayerGrades+'!$AG$21,"F-",IF(P516&lt;'PlayerGrades+'!$AG$20,"F",IF(P516&lt;'PlayerGrades+'!$AG$19,"F+",IF(P516&lt;'PlayerGrades+'!$AG$18,"E-",IF(P516&lt;'PlayerGrades+'!$AG$17,"E",IF(P516&lt;'PlayerGrades+'!$AG$16,"E+",IF(P516&lt;'PlayerGrades+'!$AG$15,"D-",IF(P516&lt;'PlayerGrades+'!$AG$14,"D",IF(P516&lt;'PlayerGrades+'!$AG$13,"D+",IF(P516&lt;'PlayerGrades+'!$AG$12,"C-",IF(P516&lt;'PlayerGrades+'!$AG$11,"C",IF(P516&lt;'PlayerGrades+'!$AG$10,"C+",IF(P516&lt;'PlayerGrades+'!$AG$9,"B-",IF(P516&lt;'PlayerGrades+'!$AG$8,"B",IF(P516&lt;'PlayerGrades+'!$AG$7,"B+",IF(P516&lt;'PlayerGrades+'!$AG$6,"A-",IF(P516&lt;'PlayerGrades+'!$AG$5,"A",IF(P516&lt;'PlayerGrades+'!$AG$4,"A+",IF(P516&lt;'PlayerGrades+'!$AG$3,"S-",IF(P516&lt;'PlayerGrades+'!$AG$2,"S","S+"))))))))))))))))))))</f>
        <v>#DIV/0!</v>
      </c>
      <c r="R516" s="961" t="str">
        <f t="shared" si="8"/>
        <v>#DIV/0!</v>
      </c>
      <c r="S516" s="961" t="str">
        <f>IF(R516&lt;'PlayerGrades+'!$AH$21,"F-",IF(R516&lt;'PlayerGrades+'!$AH$20,"F",IF(R516&lt;'PlayerGrades+'!$AH$19,"F+",IF(R516&lt;'PlayerGrades+'!$AH$18,"E-",IF(R516&lt;'PlayerGrades+'!$AH$17,"E",IF(R516&lt;'PlayerGrades+'!$AH$16,"E+",IF(R516&lt;'PlayerGrades+'!$AH$15,"D-",IF(R516&lt;'PlayerGrades+'!$AH$14,"D",IF(R516&lt;'PlayerGrades+'!$AH$13,"D+",IF(R516&lt;'PlayerGrades+'!$AH$12,"C-",IF(R516&lt;'PlayerGrades+'!$AH$11,"C",IF(R516&lt;'PlayerGrades+'!$AH$10,"C+",IF(R516&lt;'PlayerGrades+'!$AH$9,"B-",IF(R516&lt;'PlayerGrades+'!$AH$8,"B",IF(R516&lt;'PlayerGrades+'!$AH$7,"B+",IF(R516&lt;'PlayerGrades+'!$AH$6,"A-",IF(R516&lt;'PlayerGrades+'!$AH$5,"A",IF(R516&lt;'PlayerGrades+'!$AH$4,"A+",IF(R516&lt;'PlayerGrades+'!$AH$3,"S-",IF(R516&lt;'PlayerGrades+'!$AH$2,"S","S+"))))))))))))))))))))</f>
        <v>#DIV/0!</v>
      </c>
      <c r="T516" s="961">
        <f t="shared" si="9"/>
        <v>0</v>
      </c>
      <c r="U516" s="961" t="str">
        <f>IF(T516&lt;'PlayerGrades+'!$AI$21,"F-",IF(T516&lt;'PlayerGrades+'!$AI$20,"F",IF(T516&lt;'PlayerGrades+'!$AI$19,"F+",IF(T516&lt;'PlayerGrades+'!$AI$18,"E-",IF(T516&lt;'PlayerGrades+'!$AI$17,"E",IF(T516&lt;'PlayerGrades+'!$AI$16,"E+",IF(T516&lt;'PlayerGrades+'!$AI$15,"D-",IF(T516&lt;'PlayerGrades+'!$AI$14,"D",IF(T516&lt;'PlayerGrades+'!$AI$13,"D+",IF(T516&lt;'PlayerGrades+'!$AI$12,"C-",IF(T516&lt;'PlayerGrades+'!$AI$11,"C",IF(T516&lt;'PlayerGrades+'!$AI$10,"C+",IF(T516&lt;'PlayerGrades+'!$AI$9,"B-",IF(T516&lt;'PlayerGrades+'!$AI$8,"B",IF(T516&lt;'PlayerGrades+'!$AI$7,"B+",IF(T516&lt;'PlayerGrades+'!$AI$6,"A-",IF(T516&lt;'PlayerGrades+'!$AI$5,"A",IF(T516&lt;'PlayerGrades+'!$AI$4,"A+",IF(T516&lt;'PlayerGrades+'!$AI$3,"S-",IF(T516&lt;'PlayerGrades+'!$AI$2,"S","S+"))))))))))))))))))))</f>
        <v>F-</v>
      </c>
      <c r="AC516" s="1392"/>
    </row>
    <row r="517">
      <c r="A517" s="1391"/>
      <c r="B517" s="611" t="str">
        <f>IF(C517&lt;'PlayerGrades+'!$Y$44,"F-",IF(C517&lt;'PlayerGrades+'!$Y$43,"F",IF(C517&lt;'PlayerGrades+'!$Y$42,"F+",IF(C517&lt;'PlayerGrades+'!$Y$41,"E-",IF(C517&lt;'PlayerGrades+'!$Y$40,"E",IF(C517&lt;'PlayerGrades+'!$Y$39,"E+",IF(C517&lt;'PlayerGrades+'!$Y$38,"D-",IF(C517&lt;'PlayerGrades+'!$Y$37,"D",IF(C517&lt;'PlayerGrades+'!$Y$36,"D+",IF(C517&lt;'PlayerGrades+'!$Y$35,"C-",IF(C517&lt;'PlayerGrades+'!$Y$34,"C",IF(C517&lt;'PlayerGrades+'!$Y$33,"C+",IF(C517&lt;'PlayerGrades+'!$Y$32,"B-",IF(C517&lt;'PlayerGrades+'!$Y$31,"B",IF(C517&lt;'PlayerGrades+'!$Y$30,"B+",IF(C517&lt;'PlayerGrades+'!$Y$29,"A-",IF(C517&lt;'PlayerGrades+'!$Y$28,"A",IF(C517&lt;'PlayerGrades+'!$Y$27,"A+",IF(C517&lt;'PlayerGrades+'!$Y$26,"S-",IF(C517&lt;'PlayerGrades+'!$Y$25,"S","S+"))))))))))))))))))))</f>
        <v>#DIV/0!</v>
      </c>
      <c r="C517" s="1378" t="str">
        <f>('PlayerGrades+'!$Y$47*(VLOOKUP(E517, 'PlayerGrades+'!$X$3:$Y$23, 2, FALSE)))+('PlayerGrades+'!$Y$48*(VLOOKUP(G517, 'PlayerGrades+'!$X$3:$Y$23, 2, FALSE)))+('PlayerGrades+'!$Y$49*(VLOOKUP(I517, 'PlayerGrades+'!$X$3:$Y$23, 2, FALSE)))+('PlayerGrades+'!$Y$50*(VLOOKUP(K517, 'PlayerGrades+'!$X$3:$Y$23, 2, FALSE)))+('PlayerGrades+'!$Y$51*(VLOOKUP(M517, 'PlayerGrades+'!$X$3:$Y$23, 2, FALSE)))+('PlayerGrades+'!$Y$52*(VLOOKUP(O517, 'PlayerGrades+'!$X$3:$Y$23, 2, FALSE)))+('PlayerGrades+'!$Y$53*(VLOOKUP(Q517, 'PlayerGrades+'!$X$3:$Y$23, 2, FALSE)))+('PlayerGrades+'!$Y$54*(VLOOKUP(S517, 'PlayerGrades+'!$X$3:$Y$23, 2, FALSE)))+('PlayerGrades+'!$Y$55*(VLOOKUP(U517, 'PlayerGrades+'!$X$3:$Y$23, 2, FALSE)))</f>
        <v>#DIV/0!</v>
      </c>
      <c r="D517" s="1412" t="str">
        <f t="shared" ref="D517:D705" si="12">(X517+Y517)/(AF517/60)</f>
        <v>#DIV/0!</v>
      </c>
      <c r="E517" s="1412" t="str">
        <f>IF(D517&lt;'PlayerGrades+'!$AA$21,"F-",IF(D517&lt;'PlayerGrades+'!$AA$20,"F",IF(D517&lt;'PlayerGrades+'!$AA$19,"F+",IF(D517&lt;'PlayerGrades+'!$AA$18,"E-",IF(D517&lt;'PlayerGrades+'!$AA$17,"E",IF(D517&lt;'PlayerGrades+'!$AA$16,"E+",IF(D517&lt;'PlayerGrades+'!$AA$15,"D-",IF(D517&lt;'PlayerGrades+'!$AA$14,"D",IF(D517&lt;'PlayerGrades+'!$AA$13,"D+",IF(D517&lt;'PlayerGrades+'!$AA$12,"C-",IF(D517&lt;'PlayerGrades+'!$AA$11,"C",IF(D517&lt;'PlayerGrades+'!$AA$10,"C+",IF(D517&lt;'PlayerGrades+'!$AA$9,"B-",IF(D517&lt;'PlayerGrades+'!$AA$8,"B",IF(D517&lt;'PlayerGrades+'!$AA$7,"B+",IF(D517&lt;'PlayerGrades+'!$AA$6,"A-",IF(D517&lt;'PlayerGrades+'!$AA$5,"A",IF(D517&lt;'PlayerGrades+'!$AA$4,"A+",IF(D517&lt;'PlayerGrades+'!$AA$3,"S-",IF(D517&lt;'PlayerGrades+'!$AA$2,"S","S+"))))))))))))))))))))</f>
        <v>#DIV/0!</v>
      </c>
      <c r="F517" s="1412" t="str">
        <f t="shared" ref="F517:F705" si="13">(AB517)/(AF517/60)</f>
        <v>#DIV/0!</v>
      </c>
      <c r="G517" s="1412" t="str">
        <f>IF(F517&lt;'PlayerGrades+'!$AB$21,"F-",IF(F517&lt;'PlayerGrades+'!$AB$20,"F",IF(F517&lt;'PlayerGrades+'!$AB$19,"F+",IF(F517&lt;'PlayerGrades+'!$AB$18,"E-",IF(F517&lt;'PlayerGrades+'!$AB$17,"E",IF(F517&lt;'PlayerGrades+'!$AB$16,"E+",IF(F517&lt;'PlayerGrades+'!$AB$15,"D-",IF(F517&lt;'PlayerGrades+'!$AB$14,"D",IF(F517&lt;'PlayerGrades+'!$AB$13,"D+",IF(F517&lt;'PlayerGrades+'!$AB$12,"C-",IF(F517&lt;'PlayerGrades+'!$AB$11,"C",IF(F517&lt;'PlayerGrades+'!$AB$10,"C+",IF(F517&lt;'PlayerGrades+'!$AB$9,"B-",IF(F517&lt;'PlayerGrades+'!$AB$8,"B",IF(F517&lt;'PlayerGrades+'!$AB$7,"B+",IF(F517&lt;'PlayerGrades+'!$AB$6,"A-",IF(F517&lt;'PlayerGrades+'!$AB$5,"A",IF(F517&lt;'PlayerGrades+'!$AB$4,"A+",IF(F517&lt;'PlayerGrades+'!$AB$3,"S-",IF(F517&lt;'PlayerGrades+'!$AB$2,"S","S+"))))))))))))))))))))</f>
        <v>#DIV/0!</v>
      </c>
      <c r="H517" s="1412" t="str">
        <f t="shared" ref="H517:H705" si="14">(AZ517)/(AF517/60)</f>
        <v>#DIV/0!</v>
      </c>
      <c r="I517" s="1412" t="str">
        <f>IF(H517&lt;'PlayerGrades+'!$AC$21,"F-",IF(H517&lt;'PlayerGrades+'!$AC$20,"F",IF(H517&lt;'PlayerGrades+'!$AC$19,"F+",IF(H517&lt;'PlayerGrades+'!$AC$18,"E-",IF(H517&lt;'PlayerGrades+'!$AC$17,"E",IF(H517&lt;'PlayerGrades+'!$AC$16,"E+",IF(H517&lt;'PlayerGrades+'!$AC$15,"D-",IF(H517&lt;'PlayerGrades+'!$AC$14,"D",IF(H517&lt;'PlayerGrades+'!$AC$13,"D+",IF(H517&lt;'PlayerGrades+'!$AC$12,"C-",IF(H517&lt;'PlayerGrades+'!$AC$11,"C",IF(H517&lt;'PlayerGrades+'!$AC$10,"C+",IF(H517&lt;'PlayerGrades+'!$AC$9,"B-",IF(H517&lt;'PlayerGrades+'!$AC$8,"B",IF(H517&lt;'PlayerGrades+'!$AC$7,"B+",IF(H517&lt;'PlayerGrades+'!$AC$6,"A-",IF(H517&lt;'PlayerGrades+'!$AC$5,"A",IF(H517&lt;'PlayerGrades+'!$AC$4,"A+",IF(H517&lt;'PlayerGrades+'!$AC$3,"S-",IF(H517&lt;'PlayerGrades+'!$AC$2,"S","S+"))))))))))))))))))))</f>
        <v>#DIV/0!</v>
      </c>
      <c r="J517" s="1412" t="str">
        <f t="shared" ref="J517:J705" si="15">(AJ517)/(AF517/60)</f>
        <v>#DIV/0!</v>
      </c>
      <c r="K517" s="1412" t="str">
        <f>IF(J517&lt;'PlayerGrades+'!$AD$21,"F-",IF(J517&lt;'PlayerGrades+'!$AD$20,"F",IF(J517&lt;'PlayerGrades+'!$AD$19,"F+",IF(J517&lt;'PlayerGrades+'!$AD$18,"E-",IF(J517&lt;'PlayerGrades+'!$AD$17,"E",IF(J517&lt;'PlayerGrades+'!$AD$16,"E+",IF(J517&lt;'PlayerGrades+'!$AD$15,"D-",IF(J517&lt;'PlayerGrades+'!$AD$14,"D",IF(J517&lt;'PlayerGrades+'!$AD$13,"D+",IF(J517&lt;'PlayerGrades+'!$AD$12,"C-",IF(J517&lt;'PlayerGrades+'!$AD$11,"C",IF(J517&lt;'PlayerGrades+'!$AD$10,"C+",IF(J517&lt;'PlayerGrades+'!$AD$9,"B-",IF(J517&lt;'PlayerGrades+'!$AD$8,"B",IF(J517&lt;'PlayerGrades+'!$AD$7,"B+",IF(J517&lt;'PlayerGrades+'!$AD$6,"A-",IF(J517&lt;'PlayerGrades+'!$AD$5,"A",IF(J517&lt;'PlayerGrades+'!$AD$4,"A+",IF(J517&lt;'PlayerGrades+'!$AD$3,"S-",IF(J517&lt;'PlayerGrades+'!$AD$2,"S","S+"))))))))))))))))))))</f>
        <v>#DIV/0!</v>
      </c>
      <c r="L517" s="1413" t="str">
        <f t="shared" ref="L517:L705" si="16">(AP517)/(AF517/60)</f>
        <v>#DIV/0!</v>
      </c>
      <c r="M517" s="1156" t="str">
        <f>IF(L517&lt;'PlayerGrades+'!$AE$21,"F-",IF(L517&lt;'PlayerGrades+'!$AE$20,"F",IF(L517&lt;'PlayerGrades+'!$AE$19,"F+",IF(L517&lt;'PlayerGrades+'!$AE$18,"E-",IF(L517&lt;'PlayerGrades+'!$AE$17,"E",IF(L517&lt;'PlayerGrades+'!$AE$16,"E+",IF(L517&lt;'PlayerGrades+'!$AE$15,"D-",IF(L517&lt;'PlayerGrades+'!$AE$14,"D",IF(L517&lt;'PlayerGrades+'!$AE$13,"D+",IF(L517&lt;'PlayerGrades+'!$AE$12,"C-",IF(L517&lt;'PlayerGrades+'!$AE$11,"C",IF(L517&lt;'PlayerGrades+'!$AE$10,"C+",IF(L517&lt;'PlayerGrades+'!$AE$9,"B-",IF(L517&lt;'PlayerGrades+'!$AE$8,"B",IF(L517&lt;'PlayerGrades+'!$AE$7,"B+",IF(L517&lt;'PlayerGrades+'!$AE$6,"A-",IF(L517&lt;'PlayerGrades+'!$AE$5,"A",IF(L517&lt;'PlayerGrades+'!$AE$4,"A+",IF(L517&lt;'PlayerGrades+'!$AE$3,"S-",IF(L517&lt;'PlayerGrades+'!$AE$2,"S","S+"))))))))))))))))))))</f>
        <v>#DIV/0!</v>
      </c>
      <c r="N517" s="1412" t="str">
        <f t="shared" ref="N517:N705" si="17">(AQ517)/(AF517/60)</f>
        <v>#DIV/0!</v>
      </c>
      <c r="O517" s="1412" t="str">
        <f>IF(N517&lt;'PlayerGrades+'!$AF$21,"F-",IF(N517&lt;'PlayerGrades+'!$AF$20,"F",IF(N517&lt;'PlayerGrades+'!$AF$19,"F+",IF(N517&lt;'PlayerGrades+'!$AF$18,"E-",IF(N517&lt;'PlayerGrades+'!$AF$17,"E",IF(N517&lt;'PlayerGrades+'!$AF$16,"E+",IF(N517&lt;'PlayerGrades+'!$AF$15,"D-",IF(N517&lt;'PlayerGrades+'!$AF$14,"D",IF(N517&lt;'PlayerGrades+'!$AF$13,"D+",IF(N517&lt;'PlayerGrades+'!$AF$12,"C-",IF(N517&lt;'PlayerGrades+'!$AF$11,"C",IF(N517&lt;'PlayerGrades+'!$AF$10,"C+",IF(N517&lt;'PlayerGrades+'!$AF$9,"B-",IF(N517&lt;'PlayerGrades+'!$AF$8,"B",IF(N517&lt;'PlayerGrades+'!$AF$7,"B+",IF(N517&lt;'PlayerGrades+'!$AF$6,"A-",IF(N517&lt;'PlayerGrades+'!$AF$5,"A",IF(N517&lt;'PlayerGrades+'!$AF$4,"A+",IF(N517&lt;'PlayerGrades+'!$AF$3,"S-",IF(N517&lt;'PlayerGrades+'!$AF$2,"S","S+"))))))))))))))))))))</f>
        <v>#DIV/0!</v>
      </c>
      <c r="P517" s="1412" t="str">
        <f t="shared" ref="P517:P705" si="18">(AN517)/(AF517/60)</f>
        <v>#DIV/0!</v>
      </c>
      <c r="Q517" s="1412" t="str">
        <f>IF(P517&lt;'PlayerGrades+'!$AG$21,"F-",IF(P517&lt;'PlayerGrades+'!$AG$20,"F",IF(P517&lt;'PlayerGrades+'!$AG$19,"F+",IF(P517&lt;'PlayerGrades+'!$AG$18,"E-",IF(P517&lt;'PlayerGrades+'!$AG$17,"E",IF(P517&lt;'PlayerGrades+'!$AG$16,"E+",IF(P517&lt;'PlayerGrades+'!$AG$15,"D-",IF(P517&lt;'PlayerGrades+'!$AG$14,"D",IF(P517&lt;'PlayerGrades+'!$AG$13,"D+",IF(P517&lt;'PlayerGrades+'!$AG$12,"C-",IF(P517&lt;'PlayerGrades+'!$AG$11,"C",IF(P517&lt;'PlayerGrades+'!$AG$10,"C+",IF(P517&lt;'PlayerGrades+'!$AG$9,"B-",IF(P517&lt;'PlayerGrades+'!$AG$8,"B",IF(P517&lt;'PlayerGrades+'!$AG$7,"B+",IF(P517&lt;'PlayerGrades+'!$AG$6,"A-",IF(P517&lt;'PlayerGrades+'!$AG$5,"A",IF(P517&lt;'PlayerGrades+'!$AG$4,"A+",IF(P517&lt;'PlayerGrades+'!$AG$3,"S-",IF(P517&lt;'PlayerGrades+'!$AG$2,"S","S+"))))))))))))))))))))</f>
        <v>#DIV/0!</v>
      </c>
      <c r="R517" s="1412" t="str">
        <f t="shared" ref="R517:R705" si="19">(#REF!+AC517)/(AF517/60)</f>
        <v>#REF!</v>
      </c>
      <c r="S517" s="1412" t="str">
        <f>IF(R517&lt;'PlayerGrades+'!$AH$21,"F-",IF(R517&lt;'PlayerGrades+'!$AH$20,"F",IF(R517&lt;'PlayerGrades+'!$AH$19,"F+",IF(R517&lt;'PlayerGrades+'!$AH$18,"E-",IF(R517&lt;'PlayerGrades+'!$AH$17,"E",IF(R517&lt;'PlayerGrades+'!$AH$16,"E+",IF(R517&lt;'PlayerGrades+'!$AH$15,"D-",IF(R517&lt;'PlayerGrades+'!$AH$14,"D",IF(R517&lt;'PlayerGrades+'!$AH$13,"D+",IF(R517&lt;'PlayerGrades+'!$AH$12,"C-",IF(R517&lt;'PlayerGrades+'!$AH$11,"C",IF(R517&lt;'PlayerGrades+'!$AH$10,"C+",IF(R517&lt;'PlayerGrades+'!$AH$9,"B-",IF(R517&lt;'PlayerGrades+'!$AH$8,"B",IF(R517&lt;'PlayerGrades+'!$AH$7,"B+",IF(R517&lt;'PlayerGrades+'!$AH$6,"A-",IF(R517&lt;'PlayerGrades+'!$AH$5,"A",IF(R517&lt;'PlayerGrades+'!$AH$4,"A+",IF(R517&lt;'PlayerGrades+'!$AH$3,"S-",IF(R517&lt;'PlayerGrades+'!$AH$2,"S","S+"))))))))))))))))))))</f>
        <v>#REF!</v>
      </c>
      <c r="T517" s="1412" t="str">
        <f t="shared" ref="T517:T705" si="20">(#REF!+AO517)+(#REF!/(AF517/60))</f>
        <v>#REF!</v>
      </c>
      <c r="U517" s="1412" t="str">
        <f>IF(T517&lt;'PlayerGrades+'!$AI$21,"F-",IF(T517&lt;'PlayerGrades+'!$AI$20,"F",IF(T517&lt;'PlayerGrades+'!$AI$19,"F+",IF(T517&lt;'PlayerGrades+'!$AI$18,"E-",IF(T517&lt;'PlayerGrades+'!$AI$17,"E",IF(T517&lt;'PlayerGrades+'!$AI$16,"E+",IF(T517&lt;'PlayerGrades+'!$AI$15,"D-",IF(T517&lt;'PlayerGrades+'!$AI$14,"D",IF(T517&lt;'PlayerGrades+'!$AI$13,"D+",IF(T517&lt;'PlayerGrades+'!$AI$12,"C-",IF(T517&lt;'PlayerGrades+'!$AI$11,"C",IF(T517&lt;'PlayerGrades+'!$AI$10,"C+",IF(T517&lt;'PlayerGrades+'!$AI$9,"B-",IF(T517&lt;'PlayerGrades+'!$AI$8,"B",IF(T517&lt;'PlayerGrades+'!$AI$7,"B+",IF(T517&lt;'PlayerGrades+'!$AI$6,"A-",IF(T517&lt;'PlayerGrades+'!$AI$5,"A",IF(T517&lt;'PlayerGrades+'!$AI$4,"A+",IF(T517&lt;'PlayerGrades+'!$AI$3,"S-",IF(T517&lt;'PlayerGrades+'!$AI$2,"S","S+"))))))))))))))))))))</f>
        <v>#REF!</v>
      </c>
      <c r="AC517" s="1392"/>
    </row>
    <row r="518">
      <c r="A518" s="1391"/>
      <c r="B518" s="611" t="str">
        <f>IF(C518&lt;'PlayerGrades+'!$Y$44,"F-",IF(C518&lt;'PlayerGrades+'!$Y$43,"F",IF(C518&lt;'PlayerGrades+'!$Y$42,"F+",IF(C518&lt;'PlayerGrades+'!$Y$41,"E-",IF(C518&lt;'PlayerGrades+'!$Y$40,"E",IF(C518&lt;'PlayerGrades+'!$Y$39,"E+",IF(C518&lt;'PlayerGrades+'!$Y$38,"D-",IF(C518&lt;'PlayerGrades+'!$Y$37,"D",IF(C518&lt;'PlayerGrades+'!$Y$36,"D+",IF(C518&lt;'PlayerGrades+'!$Y$35,"C-",IF(C518&lt;'PlayerGrades+'!$Y$34,"C",IF(C518&lt;'PlayerGrades+'!$Y$33,"C+",IF(C518&lt;'PlayerGrades+'!$Y$32,"B-",IF(C518&lt;'PlayerGrades+'!$Y$31,"B",IF(C518&lt;'PlayerGrades+'!$Y$30,"B+",IF(C518&lt;'PlayerGrades+'!$Y$29,"A-",IF(C518&lt;'PlayerGrades+'!$Y$28,"A",IF(C518&lt;'PlayerGrades+'!$Y$27,"A+",IF(C518&lt;'PlayerGrades+'!$Y$26,"S-",IF(C518&lt;'PlayerGrades+'!$Y$25,"S","S+"))))))))))))))))))))</f>
        <v>#DIV/0!</v>
      </c>
      <c r="C518" s="1378" t="str">
        <f>('PlayerGrades+'!$Y$47*(VLOOKUP(E518, 'PlayerGrades+'!$X$3:$Y$23, 2, FALSE)))+('PlayerGrades+'!$Y$48*(VLOOKUP(G518, 'PlayerGrades+'!$X$3:$Y$23, 2, FALSE)))+('PlayerGrades+'!$Y$49*(VLOOKUP(I518, 'PlayerGrades+'!$X$3:$Y$23, 2, FALSE)))+('PlayerGrades+'!$Y$50*(VLOOKUP(K518, 'PlayerGrades+'!$X$3:$Y$23, 2, FALSE)))+('PlayerGrades+'!$Y$51*(VLOOKUP(M518, 'PlayerGrades+'!$X$3:$Y$23, 2, FALSE)))+('PlayerGrades+'!$Y$52*(VLOOKUP(O518, 'PlayerGrades+'!$X$3:$Y$23, 2, FALSE)))+('PlayerGrades+'!$Y$53*(VLOOKUP(Q518, 'PlayerGrades+'!$X$3:$Y$23, 2, FALSE)))+('PlayerGrades+'!$Y$54*(VLOOKUP(S518, 'PlayerGrades+'!$X$3:$Y$23, 2, FALSE)))+('PlayerGrades+'!$Y$55*(VLOOKUP(U518, 'PlayerGrades+'!$X$3:$Y$23, 2, FALSE)))</f>
        <v>#DIV/0!</v>
      </c>
      <c r="D518" s="1412" t="str">
        <f t="shared" si="12"/>
        <v>#DIV/0!</v>
      </c>
      <c r="E518" s="1412" t="str">
        <f>IF(D518&lt;'PlayerGrades+'!$AA$21,"F-",IF(D518&lt;'PlayerGrades+'!$AA$20,"F",IF(D518&lt;'PlayerGrades+'!$AA$19,"F+",IF(D518&lt;'PlayerGrades+'!$AA$18,"E-",IF(D518&lt;'PlayerGrades+'!$AA$17,"E",IF(D518&lt;'PlayerGrades+'!$AA$16,"E+",IF(D518&lt;'PlayerGrades+'!$AA$15,"D-",IF(D518&lt;'PlayerGrades+'!$AA$14,"D",IF(D518&lt;'PlayerGrades+'!$AA$13,"D+",IF(D518&lt;'PlayerGrades+'!$AA$12,"C-",IF(D518&lt;'PlayerGrades+'!$AA$11,"C",IF(D518&lt;'PlayerGrades+'!$AA$10,"C+",IF(D518&lt;'PlayerGrades+'!$AA$9,"B-",IF(D518&lt;'PlayerGrades+'!$AA$8,"B",IF(D518&lt;'PlayerGrades+'!$AA$7,"B+",IF(D518&lt;'PlayerGrades+'!$AA$6,"A-",IF(D518&lt;'PlayerGrades+'!$AA$5,"A",IF(D518&lt;'PlayerGrades+'!$AA$4,"A+",IF(D518&lt;'PlayerGrades+'!$AA$3,"S-",IF(D518&lt;'PlayerGrades+'!$AA$2,"S","S+"))))))))))))))))))))</f>
        <v>#DIV/0!</v>
      </c>
      <c r="F518" s="1412" t="str">
        <f t="shared" si="13"/>
        <v>#DIV/0!</v>
      </c>
      <c r="G518" s="1412" t="str">
        <f>IF(F518&lt;'PlayerGrades+'!$AB$21,"F-",IF(F518&lt;'PlayerGrades+'!$AB$20,"F",IF(F518&lt;'PlayerGrades+'!$AB$19,"F+",IF(F518&lt;'PlayerGrades+'!$AB$18,"E-",IF(F518&lt;'PlayerGrades+'!$AB$17,"E",IF(F518&lt;'PlayerGrades+'!$AB$16,"E+",IF(F518&lt;'PlayerGrades+'!$AB$15,"D-",IF(F518&lt;'PlayerGrades+'!$AB$14,"D",IF(F518&lt;'PlayerGrades+'!$AB$13,"D+",IF(F518&lt;'PlayerGrades+'!$AB$12,"C-",IF(F518&lt;'PlayerGrades+'!$AB$11,"C",IF(F518&lt;'PlayerGrades+'!$AB$10,"C+",IF(F518&lt;'PlayerGrades+'!$AB$9,"B-",IF(F518&lt;'PlayerGrades+'!$AB$8,"B",IF(F518&lt;'PlayerGrades+'!$AB$7,"B+",IF(F518&lt;'PlayerGrades+'!$AB$6,"A-",IF(F518&lt;'PlayerGrades+'!$AB$5,"A",IF(F518&lt;'PlayerGrades+'!$AB$4,"A+",IF(F518&lt;'PlayerGrades+'!$AB$3,"S-",IF(F518&lt;'PlayerGrades+'!$AB$2,"S","S+"))))))))))))))))))))</f>
        <v>#DIV/0!</v>
      </c>
      <c r="H518" s="1412" t="str">
        <f t="shared" si="14"/>
        <v>#DIV/0!</v>
      </c>
      <c r="I518" s="1412" t="str">
        <f>IF(H518&lt;'PlayerGrades+'!$AC$21,"F-",IF(H518&lt;'PlayerGrades+'!$AC$20,"F",IF(H518&lt;'PlayerGrades+'!$AC$19,"F+",IF(H518&lt;'PlayerGrades+'!$AC$18,"E-",IF(H518&lt;'PlayerGrades+'!$AC$17,"E",IF(H518&lt;'PlayerGrades+'!$AC$16,"E+",IF(H518&lt;'PlayerGrades+'!$AC$15,"D-",IF(H518&lt;'PlayerGrades+'!$AC$14,"D",IF(H518&lt;'PlayerGrades+'!$AC$13,"D+",IF(H518&lt;'PlayerGrades+'!$AC$12,"C-",IF(H518&lt;'PlayerGrades+'!$AC$11,"C",IF(H518&lt;'PlayerGrades+'!$AC$10,"C+",IF(H518&lt;'PlayerGrades+'!$AC$9,"B-",IF(H518&lt;'PlayerGrades+'!$AC$8,"B",IF(H518&lt;'PlayerGrades+'!$AC$7,"B+",IF(H518&lt;'PlayerGrades+'!$AC$6,"A-",IF(H518&lt;'PlayerGrades+'!$AC$5,"A",IF(H518&lt;'PlayerGrades+'!$AC$4,"A+",IF(H518&lt;'PlayerGrades+'!$AC$3,"S-",IF(H518&lt;'PlayerGrades+'!$AC$2,"S","S+"))))))))))))))))))))</f>
        <v>#DIV/0!</v>
      </c>
      <c r="J518" s="1412" t="str">
        <f t="shared" si="15"/>
        <v>#DIV/0!</v>
      </c>
      <c r="K518" s="1412" t="str">
        <f>IF(J518&lt;'PlayerGrades+'!$AD$21,"F-",IF(J518&lt;'PlayerGrades+'!$AD$20,"F",IF(J518&lt;'PlayerGrades+'!$AD$19,"F+",IF(J518&lt;'PlayerGrades+'!$AD$18,"E-",IF(J518&lt;'PlayerGrades+'!$AD$17,"E",IF(J518&lt;'PlayerGrades+'!$AD$16,"E+",IF(J518&lt;'PlayerGrades+'!$AD$15,"D-",IF(J518&lt;'PlayerGrades+'!$AD$14,"D",IF(J518&lt;'PlayerGrades+'!$AD$13,"D+",IF(J518&lt;'PlayerGrades+'!$AD$12,"C-",IF(J518&lt;'PlayerGrades+'!$AD$11,"C",IF(J518&lt;'PlayerGrades+'!$AD$10,"C+",IF(J518&lt;'PlayerGrades+'!$AD$9,"B-",IF(J518&lt;'PlayerGrades+'!$AD$8,"B",IF(J518&lt;'PlayerGrades+'!$AD$7,"B+",IF(J518&lt;'PlayerGrades+'!$AD$6,"A-",IF(J518&lt;'PlayerGrades+'!$AD$5,"A",IF(J518&lt;'PlayerGrades+'!$AD$4,"A+",IF(J518&lt;'PlayerGrades+'!$AD$3,"S-",IF(J518&lt;'PlayerGrades+'!$AD$2,"S","S+"))))))))))))))))))))</f>
        <v>#DIV/0!</v>
      </c>
      <c r="L518" s="1413" t="str">
        <f t="shared" si="16"/>
        <v>#DIV/0!</v>
      </c>
      <c r="M518" s="1156" t="str">
        <f>IF(L518&lt;'PlayerGrades+'!$AE$21,"F-",IF(L518&lt;'PlayerGrades+'!$AE$20,"F",IF(L518&lt;'PlayerGrades+'!$AE$19,"F+",IF(L518&lt;'PlayerGrades+'!$AE$18,"E-",IF(L518&lt;'PlayerGrades+'!$AE$17,"E",IF(L518&lt;'PlayerGrades+'!$AE$16,"E+",IF(L518&lt;'PlayerGrades+'!$AE$15,"D-",IF(L518&lt;'PlayerGrades+'!$AE$14,"D",IF(L518&lt;'PlayerGrades+'!$AE$13,"D+",IF(L518&lt;'PlayerGrades+'!$AE$12,"C-",IF(L518&lt;'PlayerGrades+'!$AE$11,"C",IF(L518&lt;'PlayerGrades+'!$AE$10,"C+",IF(L518&lt;'PlayerGrades+'!$AE$9,"B-",IF(L518&lt;'PlayerGrades+'!$AE$8,"B",IF(L518&lt;'PlayerGrades+'!$AE$7,"B+",IF(L518&lt;'PlayerGrades+'!$AE$6,"A-",IF(L518&lt;'PlayerGrades+'!$AE$5,"A",IF(L518&lt;'PlayerGrades+'!$AE$4,"A+",IF(L518&lt;'PlayerGrades+'!$AE$3,"S-",IF(L518&lt;'PlayerGrades+'!$AE$2,"S","S+"))))))))))))))))))))</f>
        <v>#DIV/0!</v>
      </c>
      <c r="N518" s="1412" t="str">
        <f t="shared" si="17"/>
        <v>#DIV/0!</v>
      </c>
      <c r="O518" s="1412" t="str">
        <f>IF(N518&lt;'PlayerGrades+'!$AF$21,"F-",IF(N518&lt;'PlayerGrades+'!$AF$20,"F",IF(N518&lt;'PlayerGrades+'!$AF$19,"F+",IF(N518&lt;'PlayerGrades+'!$AF$18,"E-",IF(N518&lt;'PlayerGrades+'!$AF$17,"E",IF(N518&lt;'PlayerGrades+'!$AF$16,"E+",IF(N518&lt;'PlayerGrades+'!$AF$15,"D-",IF(N518&lt;'PlayerGrades+'!$AF$14,"D",IF(N518&lt;'PlayerGrades+'!$AF$13,"D+",IF(N518&lt;'PlayerGrades+'!$AF$12,"C-",IF(N518&lt;'PlayerGrades+'!$AF$11,"C",IF(N518&lt;'PlayerGrades+'!$AF$10,"C+",IF(N518&lt;'PlayerGrades+'!$AF$9,"B-",IF(N518&lt;'PlayerGrades+'!$AF$8,"B",IF(N518&lt;'PlayerGrades+'!$AF$7,"B+",IF(N518&lt;'PlayerGrades+'!$AF$6,"A-",IF(N518&lt;'PlayerGrades+'!$AF$5,"A",IF(N518&lt;'PlayerGrades+'!$AF$4,"A+",IF(N518&lt;'PlayerGrades+'!$AF$3,"S-",IF(N518&lt;'PlayerGrades+'!$AF$2,"S","S+"))))))))))))))))))))</f>
        <v>#DIV/0!</v>
      </c>
      <c r="P518" s="1412" t="str">
        <f t="shared" si="18"/>
        <v>#DIV/0!</v>
      </c>
      <c r="Q518" s="1412" t="str">
        <f>IF(P518&lt;'PlayerGrades+'!$AG$21,"F-",IF(P518&lt;'PlayerGrades+'!$AG$20,"F",IF(P518&lt;'PlayerGrades+'!$AG$19,"F+",IF(P518&lt;'PlayerGrades+'!$AG$18,"E-",IF(P518&lt;'PlayerGrades+'!$AG$17,"E",IF(P518&lt;'PlayerGrades+'!$AG$16,"E+",IF(P518&lt;'PlayerGrades+'!$AG$15,"D-",IF(P518&lt;'PlayerGrades+'!$AG$14,"D",IF(P518&lt;'PlayerGrades+'!$AG$13,"D+",IF(P518&lt;'PlayerGrades+'!$AG$12,"C-",IF(P518&lt;'PlayerGrades+'!$AG$11,"C",IF(P518&lt;'PlayerGrades+'!$AG$10,"C+",IF(P518&lt;'PlayerGrades+'!$AG$9,"B-",IF(P518&lt;'PlayerGrades+'!$AG$8,"B",IF(P518&lt;'PlayerGrades+'!$AG$7,"B+",IF(P518&lt;'PlayerGrades+'!$AG$6,"A-",IF(P518&lt;'PlayerGrades+'!$AG$5,"A",IF(P518&lt;'PlayerGrades+'!$AG$4,"A+",IF(P518&lt;'PlayerGrades+'!$AG$3,"S-",IF(P518&lt;'PlayerGrades+'!$AG$2,"S","S+"))))))))))))))))))))</f>
        <v>#DIV/0!</v>
      </c>
      <c r="R518" s="1412" t="str">
        <f t="shared" si="19"/>
        <v>#REF!</v>
      </c>
      <c r="S518" s="1412" t="str">
        <f>IF(R518&lt;'PlayerGrades+'!$AH$21,"F-",IF(R518&lt;'PlayerGrades+'!$AH$20,"F",IF(R518&lt;'PlayerGrades+'!$AH$19,"F+",IF(R518&lt;'PlayerGrades+'!$AH$18,"E-",IF(R518&lt;'PlayerGrades+'!$AH$17,"E",IF(R518&lt;'PlayerGrades+'!$AH$16,"E+",IF(R518&lt;'PlayerGrades+'!$AH$15,"D-",IF(R518&lt;'PlayerGrades+'!$AH$14,"D",IF(R518&lt;'PlayerGrades+'!$AH$13,"D+",IF(R518&lt;'PlayerGrades+'!$AH$12,"C-",IF(R518&lt;'PlayerGrades+'!$AH$11,"C",IF(R518&lt;'PlayerGrades+'!$AH$10,"C+",IF(R518&lt;'PlayerGrades+'!$AH$9,"B-",IF(R518&lt;'PlayerGrades+'!$AH$8,"B",IF(R518&lt;'PlayerGrades+'!$AH$7,"B+",IF(R518&lt;'PlayerGrades+'!$AH$6,"A-",IF(R518&lt;'PlayerGrades+'!$AH$5,"A",IF(R518&lt;'PlayerGrades+'!$AH$4,"A+",IF(R518&lt;'PlayerGrades+'!$AH$3,"S-",IF(R518&lt;'PlayerGrades+'!$AH$2,"S","S+"))))))))))))))))))))</f>
        <v>#REF!</v>
      </c>
      <c r="T518" s="1412" t="str">
        <f t="shared" si="20"/>
        <v>#REF!</v>
      </c>
      <c r="U518" s="1412" t="str">
        <f>IF(T518&lt;'PlayerGrades+'!$AI$21,"F-",IF(T518&lt;'PlayerGrades+'!$AI$20,"F",IF(T518&lt;'PlayerGrades+'!$AI$19,"F+",IF(T518&lt;'PlayerGrades+'!$AI$18,"E-",IF(T518&lt;'PlayerGrades+'!$AI$17,"E",IF(T518&lt;'PlayerGrades+'!$AI$16,"E+",IF(T518&lt;'PlayerGrades+'!$AI$15,"D-",IF(T518&lt;'PlayerGrades+'!$AI$14,"D",IF(T518&lt;'PlayerGrades+'!$AI$13,"D+",IF(T518&lt;'PlayerGrades+'!$AI$12,"C-",IF(T518&lt;'PlayerGrades+'!$AI$11,"C",IF(T518&lt;'PlayerGrades+'!$AI$10,"C+",IF(T518&lt;'PlayerGrades+'!$AI$9,"B-",IF(T518&lt;'PlayerGrades+'!$AI$8,"B",IF(T518&lt;'PlayerGrades+'!$AI$7,"B+",IF(T518&lt;'PlayerGrades+'!$AI$6,"A-",IF(T518&lt;'PlayerGrades+'!$AI$5,"A",IF(T518&lt;'PlayerGrades+'!$AI$4,"A+",IF(T518&lt;'PlayerGrades+'!$AI$3,"S-",IF(T518&lt;'PlayerGrades+'!$AI$2,"S","S+"))))))))))))))))))))</f>
        <v>#REF!</v>
      </c>
      <c r="AC518" s="1392"/>
    </row>
    <row r="519">
      <c r="A519" s="1391"/>
      <c r="B519" s="611" t="str">
        <f>IF(C519&lt;'PlayerGrades+'!$Y$44,"F-",IF(C519&lt;'PlayerGrades+'!$Y$43,"F",IF(C519&lt;'PlayerGrades+'!$Y$42,"F+",IF(C519&lt;'PlayerGrades+'!$Y$41,"E-",IF(C519&lt;'PlayerGrades+'!$Y$40,"E",IF(C519&lt;'PlayerGrades+'!$Y$39,"E+",IF(C519&lt;'PlayerGrades+'!$Y$38,"D-",IF(C519&lt;'PlayerGrades+'!$Y$37,"D",IF(C519&lt;'PlayerGrades+'!$Y$36,"D+",IF(C519&lt;'PlayerGrades+'!$Y$35,"C-",IF(C519&lt;'PlayerGrades+'!$Y$34,"C",IF(C519&lt;'PlayerGrades+'!$Y$33,"C+",IF(C519&lt;'PlayerGrades+'!$Y$32,"B-",IF(C519&lt;'PlayerGrades+'!$Y$31,"B",IF(C519&lt;'PlayerGrades+'!$Y$30,"B+",IF(C519&lt;'PlayerGrades+'!$Y$29,"A-",IF(C519&lt;'PlayerGrades+'!$Y$28,"A",IF(C519&lt;'PlayerGrades+'!$Y$27,"A+",IF(C519&lt;'PlayerGrades+'!$Y$26,"S-",IF(C519&lt;'PlayerGrades+'!$Y$25,"S","S+"))))))))))))))))))))</f>
        <v>#DIV/0!</v>
      </c>
      <c r="C519" s="1378" t="str">
        <f>('PlayerGrades+'!$Y$47*(VLOOKUP(E519, 'PlayerGrades+'!$X$3:$Y$23, 2, FALSE)))+('PlayerGrades+'!$Y$48*(VLOOKUP(G519, 'PlayerGrades+'!$X$3:$Y$23, 2, FALSE)))+('PlayerGrades+'!$Y$49*(VLOOKUP(I519, 'PlayerGrades+'!$X$3:$Y$23, 2, FALSE)))+('PlayerGrades+'!$Y$50*(VLOOKUP(K519, 'PlayerGrades+'!$X$3:$Y$23, 2, FALSE)))+('PlayerGrades+'!$Y$51*(VLOOKUP(M519, 'PlayerGrades+'!$X$3:$Y$23, 2, FALSE)))+('PlayerGrades+'!$Y$52*(VLOOKUP(O519, 'PlayerGrades+'!$X$3:$Y$23, 2, FALSE)))+('PlayerGrades+'!$Y$53*(VLOOKUP(Q519, 'PlayerGrades+'!$X$3:$Y$23, 2, FALSE)))+('PlayerGrades+'!$Y$54*(VLOOKUP(S519, 'PlayerGrades+'!$X$3:$Y$23, 2, FALSE)))+('PlayerGrades+'!$Y$55*(VLOOKUP(U519, 'PlayerGrades+'!$X$3:$Y$23, 2, FALSE)))</f>
        <v>#DIV/0!</v>
      </c>
      <c r="D519" s="1412" t="str">
        <f t="shared" si="12"/>
        <v>#DIV/0!</v>
      </c>
      <c r="E519" s="1412" t="str">
        <f>IF(D519&lt;'PlayerGrades+'!$AA$21,"F-",IF(D519&lt;'PlayerGrades+'!$AA$20,"F",IF(D519&lt;'PlayerGrades+'!$AA$19,"F+",IF(D519&lt;'PlayerGrades+'!$AA$18,"E-",IF(D519&lt;'PlayerGrades+'!$AA$17,"E",IF(D519&lt;'PlayerGrades+'!$AA$16,"E+",IF(D519&lt;'PlayerGrades+'!$AA$15,"D-",IF(D519&lt;'PlayerGrades+'!$AA$14,"D",IF(D519&lt;'PlayerGrades+'!$AA$13,"D+",IF(D519&lt;'PlayerGrades+'!$AA$12,"C-",IF(D519&lt;'PlayerGrades+'!$AA$11,"C",IF(D519&lt;'PlayerGrades+'!$AA$10,"C+",IF(D519&lt;'PlayerGrades+'!$AA$9,"B-",IF(D519&lt;'PlayerGrades+'!$AA$8,"B",IF(D519&lt;'PlayerGrades+'!$AA$7,"B+",IF(D519&lt;'PlayerGrades+'!$AA$6,"A-",IF(D519&lt;'PlayerGrades+'!$AA$5,"A",IF(D519&lt;'PlayerGrades+'!$AA$4,"A+",IF(D519&lt;'PlayerGrades+'!$AA$3,"S-",IF(D519&lt;'PlayerGrades+'!$AA$2,"S","S+"))))))))))))))))))))</f>
        <v>#DIV/0!</v>
      </c>
      <c r="F519" s="1412" t="str">
        <f t="shared" si="13"/>
        <v>#DIV/0!</v>
      </c>
      <c r="G519" s="1412" t="str">
        <f>IF(F519&lt;'PlayerGrades+'!$AB$21,"F-",IF(F519&lt;'PlayerGrades+'!$AB$20,"F",IF(F519&lt;'PlayerGrades+'!$AB$19,"F+",IF(F519&lt;'PlayerGrades+'!$AB$18,"E-",IF(F519&lt;'PlayerGrades+'!$AB$17,"E",IF(F519&lt;'PlayerGrades+'!$AB$16,"E+",IF(F519&lt;'PlayerGrades+'!$AB$15,"D-",IF(F519&lt;'PlayerGrades+'!$AB$14,"D",IF(F519&lt;'PlayerGrades+'!$AB$13,"D+",IF(F519&lt;'PlayerGrades+'!$AB$12,"C-",IF(F519&lt;'PlayerGrades+'!$AB$11,"C",IF(F519&lt;'PlayerGrades+'!$AB$10,"C+",IF(F519&lt;'PlayerGrades+'!$AB$9,"B-",IF(F519&lt;'PlayerGrades+'!$AB$8,"B",IF(F519&lt;'PlayerGrades+'!$AB$7,"B+",IF(F519&lt;'PlayerGrades+'!$AB$6,"A-",IF(F519&lt;'PlayerGrades+'!$AB$5,"A",IF(F519&lt;'PlayerGrades+'!$AB$4,"A+",IF(F519&lt;'PlayerGrades+'!$AB$3,"S-",IF(F519&lt;'PlayerGrades+'!$AB$2,"S","S+"))))))))))))))))))))</f>
        <v>#DIV/0!</v>
      </c>
      <c r="H519" s="1412" t="str">
        <f t="shared" si="14"/>
        <v>#DIV/0!</v>
      </c>
      <c r="I519" s="1412" t="str">
        <f>IF(H519&lt;'PlayerGrades+'!$AC$21,"F-",IF(H519&lt;'PlayerGrades+'!$AC$20,"F",IF(H519&lt;'PlayerGrades+'!$AC$19,"F+",IF(H519&lt;'PlayerGrades+'!$AC$18,"E-",IF(H519&lt;'PlayerGrades+'!$AC$17,"E",IF(H519&lt;'PlayerGrades+'!$AC$16,"E+",IF(H519&lt;'PlayerGrades+'!$AC$15,"D-",IF(H519&lt;'PlayerGrades+'!$AC$14,"D",IF(H519&lt;'PlayerGrades+'!$AC$13,"D+",IF(H519&lt;'PlayerGrades+'!$AC$12,"C-",IF(H519&lt;'PlayerGrades+'!$AC$11,"C",IF(H519&lt;'PlayerGrades+'!$AC$10,"C+",IF(H519&lt;'PlayerGrades+'!$AC$9,"B-",IF(H519&lt;'PlayerGrades+'!$AC$8,"B",IF(H519&lt;'PlayerGrades+'!$AC$7,"B+",IF(H519&lt;'PlayerGrades+'!$AC$6,"A-",IF(H519&lt;'PlayerGrades+'!$AC$5,"A",IF(H519&lt;'PlayerGrades+'!$AC$4,"A+",IF(H519&lt;'PlayerGrades+'!$AC$3,"S-",IF(H519&lt;'PlayerGrades+'!$AC$2,"S","S+"))))))))))))))))))))</f>
        <v>#DIV/0!</v>
      </c>
      <c r="J519" s="1412" t="str">
        <f t="shared" si="15"/>
        <v>#DIV/0!</v>
      </c>
      <c r="K519" s="1412" t="str">
        <f>IF(J519&lt;'PlayerGrades+'!$AD$21,"F-",IF(J519&lt;'PlayerGrades+'!$AD$20,"F",IF(J519&lt;'PlayerGrades+'!$AD$19,"F+",IF(J519&lt;'PlayerGrades+'!$AD$18,"E-",IF(J519&lt;'PlayerGrades+'!$AD$17,"E",IF(J519&lt;'PlayerGrades+'!$AD$16,"E+",IF(J519&lt;'PlayerGrades+'!$AD$15,"D-",IF(J519&lt;'PlayerGrades+'!$AD$14,"D",IF(J519&lt;'PlayerGrades+'!$AD$13,"D+",IF(J519&lt;'PlayerGrades+'!$AD$12,"C-",IF(J519&lt;'PlayerGrades+'!$AD$11,"C",IF(J519&lt;'PlayerGrades+'!$AD$10,"C+",IF(J519&lt;'PlayerGrades+'!$AD$9,"B-",IF(J519&lt;'PlayerGrades+'!$AD$8,"B",IF(J519&lt;'PlayerGrades+'!$AD$7,"B+",IF(J519&lt;'PlayerGrades+'!$AD$6,"A-",IF(J519&lt;'PlayerGrades+'!$AD$5,"A",IF(J519&lt;'PlayerGrades+'!$AD$4,"A+",IF(J519&lt;'PlayerGrades+'!$AD$3,"S-",IF(J519&lt;'PlayerGrades+'!$AD$2,"S","S+"))))))))))))))))))))</f>
        <v>#DIV/0!</v>
      </c>
      <c r="L519" s="1413" t="str">
        <f t="shared" si="16"/>
        <v>#DIV/0!</v>
      </c>
      <c r="M519" s="1156" t="str">
        <f>IF(L519&lt;'PlayerGrades+'!$AE$21,"F-",IF(L519&lt;'PlayerGrades+'!$AE$20,"F",IF(L519&lt;'PlayerGrades+'!$AE$19,"F+",IF(L519&lt;'PlayerGrades+'!$AE$18,"E-",IF(L519&lt;'PlayerGrades+'!$AE$17,"E",IF(L519&lt;'PlayerGrades+'!$AE$16,"E+",IF(L519&lt;'PlayerGrades+'!$AE$15,"D-",IF(L519&lt;'PlayerGrades+'!$AE$14,"D",IF(L519&lt;'PlayerGrades+'!$AE$13,"D+",IF(L519&lt;'PlayerGrades+'!$AE$12,"C-",IF(L519&lt;'PlayerGrades+'!$AE$11,"C",IF(L519&lt;'PlayerGrades+'!$AE$10,"C+",IF(L519&lt;'PlayerGrades+'!$AE$9,"B-",IF(L519&lt;'PlayerGrades+'!$AE$8,"B",IF(L519&lt;'PlayerGrades+'!$AE$7,"B+",IF(L519&lt;'PlayerGrades+'!$AE$6,"A-",IF(L519&lt;'PlayerGrades+'!$AE$5,"A",IF(L519&lt;'PlayerGrades+'!$AE$4,"A+",IF(L519&lt;'PlayerGrades+'!$AE$3,"S-",IF(L519&lt;'PlayerGrades+'!$AE$2,"S","S+"))))))))))))))))))))</f>
        <v>#DIV/0!</v>
      </c>
      <c r="N519" s="1412" t="str">
        <f t="shared" si="17"/>
        <v>#DIV/0!</v>
      </c>
      <c r="O519" s="1412" t="str">
        <f>IF(N519&lt;'PlayerGrades+'!$AF$21,"F-",IF(N519&lt;'PlayerGrades+'!$AF$20,"F",IF(N519&lt;'PlayerGrades+'!$AF$19,"F+",IF(N519&lt;'PlayerGrades+'!$AF$18,"E-",IF(N519&lt;'PlayerGrades+'!$AF$17,"E",IF(N519&lt;'PlayerGrades+'!$AF$16,"E+",IF(N519&lt;'PlayerGrades+'!$AF$15,"D-",IF(N519&lt;'PlayerGrades+'!$AF$14,"D",IF(N519&lt;'PlayerGrades+'!$AF$13,"D+",IF(N519&lt;'PlayerGrades+'!$AF$12,"C-",IF(N519&lt;'PlayerGrades+'!$AF$11,"C",IF(N519&lt;'PlayerGrades+'!$AF$10,"C+",IF(N519&lt;'PlayerGrades+'!$AF$9,"B-",IF(N519&lt;'PlayerGrades+'!$AF$8,"B",IF(N519&lt;'PlayerGrades+'!$AF$7,"B+",IF(N519&lt;'PlayerGrades+'!$AF$6,"A-",IF(N519&lt;'PlayerGrades+'!$AF$5,"A",IF(N519&lt;'PlayerGrades+'!$AF$4,"A+",IF(N519&lt;'PlayerGrades+'!$AF$3,"S-",IF(N519&lt;'PlayerGrades+'!$AF$2,"S","S+"))))))))))))))))))))</f>
        <v>#DIV/0!</v>
      </c>
      <c r="P519" s="1412" t="str">
        <f t="shared" si="18"/>
        <v>#DIV/0!</v>
      </c>
      <c r="Q519" s="1412" t="str">
        <f>IF(P519&lt;'PlayerGrades+'!$AG$21,"F-",IF(P519&lt;'PlayerGrades+'!$AG$20,"F",IF(P519&lt;'PlayerGrades+'!$AG$19,"F+",IF(P519&lt;'PlayerGrades+'!$AG$18,"E-",IF(P519&lt;'PlayerGrades+'!$AG$17,"E",IF(P519&lt;'PlayerGrades+'!$AG$16,"E+",IF(P519&lt;'PlayerGrades+'!$AG$15,"D-",IF(P519&lt;'PlayerGrades+'!$AG$14,"D",IF(P519&lt;'PlayerGrades+'!$AG$13,"D+",IF(P519&lt;'PlayerGrades+'!$AG$12,"C-",IF(P519&lt;'PlayerGrades+'!$AG$11,"C",IF(P519&lt;'PlayerGrades+'!$AG$10,"C+",IF(P519&lt;'PlayerGrades+'!$AG$9,"B-",IF(P519&lt;'PlayerGrades+'!$AG$8,"B",IF(P519&lt;'PlayerGrades+'!$AG$7,"B+",IF(P519&lt;'PlayerGrades+'!$AG$6,"A-",IF(P519&lt;'PlayerGrades+'!$AG$5,"A",IF(P519&lt;'PlayerGrades+'!$AG$4,"A+",IF(P519&lt;'PlayerGrades+'!$AG$3,"S-",IF(P519&lt;'PlayerGrades+'!$AG$2,"S","S+"))))))))))))))))))))</f>
        <v>#DIV/0!</v>
      </c>
      <c r="R519" s="1412" t="str">
        <f t="shared" si="19"/>
        <v>#REF!</v>
      </c>
      <c r="S519" s="1412" t="str">
        <f>IF(R519&lt;'PlayerGrades+'!$AH$21,"F-",IF(R519&lt;'PlayerGrades+'!$AH$20,"F",IF(R519&lt;'PlayerGrades+'!$AH$19,"F+",IF(R519&lt;'PlayerGrades+'!$AH$18,"E-",IF(R519&lt;'PlayerGrades+'!$AH$17,"E",IF(R519&lt;'PlayerGrades+'!$AH$16,"E+",IF(R519&lt;'PlayerGrades+'!$AH$15,"D-",IF(R519&lt;'PlayerGrades+'!$AH$14,"D",IF(R519&lt;'PlayerGrades+'!$AH$13,"D+",IF(R519&lt;'PlayerGrades+'!$AH$12,"C-",IF(R519&lt;'PlayerGrades+'!$AH$11,"C",IF(R519&lt;'PlayerGrades+'!$AH$10,"C+",IF(R519&lt;'PlayerGrades+'!$AH$9,"B-",IF(R519&lt;'PlayerGrades+'!$AH$8,"B",IF(R519&lt;'PlayerGrades+'!$AH$7,"B+",IF(R519&lt;'PlayerGrades+'!$AH$6,"A-",IF(R519&lt;'PlayerGrades+'!$AH$5,"A",IF(R519&lt;'PlayerGrades+'!$AH$4,"A+",IF(R519&lt;'PlayerGrades+'!$AH$3,"S-",IF(R519&lt;'PlayerGrades+'!$AH$2,"S","S+"))))))))))))))))))))</f>
        <v>#REF!</v>
      </c>
      <c r="T519" s="1412" t="str">
        <f t="shared" si="20"/>
        <v>#REF!</v>
      </c>
      <c r="U519" s="1412" t="str">
        <f>IF(T519&lt;'PlayerGrades+'!$AI$21,"F-",IF(T519&lt;'PlayerGrades+'!$AI$20,"F",IF(T519&lt;'PlayerGrades+'!$AI$19,"F+",IF(T519&lt;'PlayerGrades+'!$AI$18,"E-",IF(T519&lt;'PlayerGrades+'!$AI$17,"E",IF(T519&lt;'PlayerGrades+'!$AI$16,"E+",IF(T519&lt;'PlayerGrades+'!$AI$15,"D-",IF(T519&lt;'PlayerGrades+'!$AI$14,"D",IF(T519&lt;'PlayerGrades+'!$AI$13,"D+",IF(T519&lt;'PlayerGrades+'!$AI$12,"C-",IF(T519&lt;'PlayerGrades+'!$AI$11,"C",IF(T519&lt;'PlayerGrades+'!$AI$10,"C+",IF(T519&lt;'PlayerGrades+'!$AI$9,"B-",IF(T519&lt;'PlayerGrades+'!$AI$8,"B",IF(T519&lt;'PlayerGrades+'!$AI$7,"B+",IF(T519&lt;'PlayerGrades+'!$AI$6,"A-",IF(T519&lt;'PlayerGrades+'!$AI$5,"A",IF(T519&lt;'PlayerGrades+'!$AI$4,"A+",IF(T519&lt;'PlayerGrades+'!$AI$3,"S-",IF(T519&lt;'PlayerGrades+'!$AI$2,"S","S+"))))))))))))))))))))</f>
        <v>#REF!</v>
      </c>
      <c r="AC519" s="1392"/>
    </row>
    <row r="520">
      <c r="A520" s="1391"/>
      <c r="B520" s="611" t="str">
        <f>IF(C520&lt;'PlayerGrades+'!$Y$44,"F-",IF(C520&lt;'PlayerGrades+'!$Y$43,"F",IF(C520&lt;'PlayerGrades+'!$Y$42,"F+",IF(C520&lt;'PlayerGrades+'!$Y$41,"E-",IF(C520&lt;'PlayerGrades+'!$Y$40,"E",IF(C520&lt;'PlayerGrades+'!$Y$39,"E+",IF(C520&lt;'PlayerGrades+'!$Y$38,"D-",IF(C520&lt;'PlayerGrades+'!$Y$37,"D",IF(C520&lt;'PlayerGrades+'!$Y$36,"D+",IF(C520&lt;'PlayerGrades+'!$Y$35,"C-",IF(C520&lt;'PlayerGrades+'!$Y$34,"C",IF(C520&lt;'PlayerGrades+'!$Y$33,"C+",IF(C520&lt;'PlayerGrades+'!$Y$32,"B-",IF(C520&lt;'PlayerGrades+'!$Y$31,"B",IF(C520&lt;'PlayerGrades+'!$Y$30,"B+",IF(C520&lt;'PlayerGrades+'!$Y$29,"A-",IF(C520&lt;'PlayerGrades+'!$Y$28,"A",IF(C520&lt;'PlayerGrades+'!$Y$27,"A+",IF(C520&lt;'PlayerGrades+'!$Y$26,"S-",IF(C520&lt;'PlayerGrades+'!$Y$25,"S","S+"))))))))))))))))))))</f>
        <v>#DIV/0!</v>
      </c>
      <c r="C520" s="1378" t="str">
        <f>('PlayerGrades+'!$Y$47*(VLOOKUP(E520, 'PlayerGrades+'!$X$3:$Y$23, 2, FALSE)))+('PlayerGrades+'!$Y$48*(VLOOKUP(G520, 'PlayerGrades+'!$X$3:$Y$23, 2, FALSE)))+('PlayerGrades+'!$Y$49*(VLOOKUP(I520, 'PlayerGrades+'!$X$3:$Y$23, 2, FALSE)))+('PlayerGrades+'!$Y$50*(VLOOKUP(K520, 'PlayerGrades+'!$X$3:$Y$23, 2, FALSE)))+('PlayerGrades+'!$Y$51*(VLOOKUP(M520, 'PlayerGrades+'!$X$3:$Y$23, 2, FALSE)))+('PlayerGrades+'!$Y$52*(VLOOKUP(O520, 'PlayerGrades+'!$X$3:$Y$23, 2, FALSE)))+('PlayerGrades+'!$Y$53*(VLOOKUP(Q520, 'PlayerGrades+'!$X$3:$Y$23, 2, FALSE)))+('PlayerGrades+'!$Y$54*(VLOOKUP(S520, 'PlayerGrades+'!$X$3:$Y$23, 2, FALSE)))+('PlayerGrades+'!$Y$55*(VLOOKUP(U520, 'PlayerGrades+'!$X$3:$Y$23, 2, FALSE)))</f>
        <v>#DIV/0!</v>
      </c>
      <c r="D520" s="1412" t="str">
        <f t="shared" si="12"/>
        <v>#DIV/0!</v>
      </c>
      <c r="E520" s="1412" t="str">
        <f>IF(D520&lt;'PlayerGrades+'!$AA$21,"F-",IF(D520&lt;'PlayerGrades+'!$AA$20,"F",IF(D520&lt;'PlayerGrades+'!$AA$19,"F+",IF(D520&lt;'PlayerGrades+'!$AA$18,"E-",IF(D520&lt;'PlayerGrades+'!$AA$17,"E",IF(D520&lt;'PlayerGrades+'!$AA$16,"E+",IF(D520&lt;'PlayerGrades+'!$AA$15,"D-",IF(D520&lt;'PlayerGrades+'!$AA$14,"D",IF(D520&lt;'PlayerGrades+'!$AA$13,"D+",IF(D520&lt;'PlayerGrades+'!$AA$12,"C-",IF(D520&lt;'PlayerGrades+'!$AA$11,"C",IF(D520&lt;'PlayerGrades+'!$AA$10,"C+",IF(D520&lt;'PlayerGrades+'!$AA$9,"B-",IF(D520&lt;'PlayerGrades+'!$AA$8,"B",IF(D520&lt;'PlayerGrades+'!$AA$7,"B+",IF(D520&lt;'PlayerGrades+'!$AA$6,"A-",IF(D520&lt;'PlayerGrades+'!$AA$5,"A",IF(D520&lt;'PlayerGrades+'!$AA$4,"A+",IF(D520&lt;'PlayerGrades+'!$AA$3,"S-",IF(D520&lt;'PlayerGrades+'!$AA$2,"S","S+"))))))))))))))))))))</f>
        <v>#DIV/0!</v>
      </c>
      <c r="F520" s="1412" t="str">
        <f t="shared" si="13"/>
        <v>#DIV/0!</v>
      </c>
      <c r="G520" s="1412" t="str">
        <f>IF(F520&lt;'PlayerGrades+'!$AB$21,"F-",IF(F520&lt;'PlayerGrades+'!$AB$20,"F",IF(F520&lt;'PlayerGrades+'!$AB$19,"F+",IF(F520&lt;'PlayerGrades+'!$AB$18,"E-",IF(F520&lt;'PlayerGrades+'!$AB$17,"E",IF(F520&lt;'PlayerGrades+'!$AB$16,"E+",IF(F520&lt;'PlayerGrades+'!$AB$15,"D-",IF(F520&lt;'PlayerGrades+'!$AB$14,"D",IF(F520&lt;'PlayerGrades+'!$AB$13,"D+",IF(F520&lt;'PlayerGrades+'!$AB$12,"C-",IF(F520&lt;'PlayerGrades+'!$AB$11,"C",IF(F520&lt;'PlayerGrades+'!$AB$10,"C+",IF(F520&lt;'PlayerGrades+'!$AB$9,"B-",IF(F520&lt;'PlayerGrades+'!$AB$8,"B",IF(F520&lt;'PlayerGrades+'!$AB$7,"B+",IF(F520&lt;'PlayerGrades+'!$AB$6,"A-",IF(F520&lt;'PlayerGrades+'!$AB$5,"A",IF(F520&lt;'PlayerGrades+'!$AB$4,"A+",IF(F520&lt;'PlayerGrades+'!$AB$3,"S-",IF(F520&lt;'PlayerGrades+'!$AB$2,"S","S+"))))))))))))))))))))</f>
        <v>#DIV/0!</v>
      </c>
      <c r="H520" s="1412" t="str">
        <f t="shared" si="14"/>
        <v>#DIV/0!</v>
      </c>
      <c r="I520" s="1412" t="str">
        <f>IF(H520&lt;'PlayerGrades+'!$AC$21,"F-",IF(H520&lt;'PlayerGrades+'!$AC$20,"F",IF(H520&lt;'PlayerGrades+'!$AC$19,"F+",IF(H520&lt;'PlayerGrades+'!$AC$18,"E-",IF(H520&lt;'PlayerGrades+'!$AC$17,"E",IF(H520&lt;'PlayerGrades+'!$AC$16,"E+",IF(H520&lt;'PlayerGrades+'!$AC$15,"D-",IF(H520&lt;'PlayerGrades+'!$AC$14,"D",IF(H520&lt;'PlayerGrades+'!$AC$13,"D+",IF(H520&lt;'PlayerGrades+'!$AC$12,"C-",IF(H520&lt;'PlayerGrades+'!$AC$11,"C",IF(H520&lt;'PlayerGrades+'!$AC$10,"C+",IF(H520&lt;'PlayerGrades+'!$AC$9,"B-",IF(H520&lt;'PlayerGrades+'!$AC$8,"B",IF(H520&lt;'PlayerGrades+'!$AC$7,"B+",IF(H520&lt;'PlayerGrades+'!$AC$6,"A-",IF(H520&lt;'PlayerGrades+'!$AC$5,"A",IF(H520&lt;'PlayerGrades+'!$AC$4,"A+",IF(H520&lt;'PlayerGrades+'!$AC$3,"S-",IF(H520&lt;'PlayerGrades+'!$AC$2,"S","S+"))))))))))))))))))))</f>
        <v>#DIV/0!</v>
      </c>
      <c r="J520" s="1412" t="str">
        <f t="shared" si="15"/>
        <v>#DIV/0!</v>
      </c>
      <c r="K520" s="1412" t="str">
        <f>IF(J520&lt;'PlayerGrades+'!$AD$21,"F-",IF(J520&lt;'PlayerGrades+'!$AD$20,"F",IF(J520&lt;'PlayerGrades+'!$AD$19,"F+",IF(J520&lt;'PlayerGrades+'!$AD$18,"E-",IF(J520&lt;'PlayerGrades+'!$AD$17,"E",IF(J520&lt;'PlayerGrades+'!$AD$16,"E+",IF(J520&lt;'PlayerGrades+'!$AD$15,"D-",IF(J520&lt;'PlayerGrades+'!$AD$14,"D",IF(J520&lt;'PlayerGrades+'!$AD$13,"D+",IF(J520&lt;'PlayerGrades+'!$AD$12,"C-",IF(J520&lt;'PlayerGrades+'!$AD$11,"C",IF(J520&lt;'PlayerGrades+'!$AD$10,"C+",IF(J520&lt;'PlayerGrades+'!$AD$9,"B-",IF(J520&lt;'PlayerGrades+'!$AD$8,"B",IF(J520&lt;'PlayerGrades+'!$AD$7,"B+",IF(J520&lt;'PlayerGrades+'!$AD$6,"A-",IF(J520&lt;'PlayerGrades+'!$AD$5,"A",IF(J520&lt;'PlayerGrades+'!$AD$4,"A+",IF(J520&lt;'PlayerGrades+'!$AD$3,"S-",IF(J520&lt;'PlayerGrades+'!$AD$2,"S","S+"))))))))))))))))))))</f>
        <v>#DIV/0!</v>
      </c>
      <c r="L520" s="1413" t="str">
        <f t="shared" si="16"/>
        <v>#DIV/0!</v>
      </c>
      <c r="M520" s="1156" t="str">
        <f>IF(L520&lt;'PlayerGrades+'!$AE$21,"F-",IF(L520&lt;'PlayerGrades+'!$AE$20,"F",IF(L520&lt;'PlayerGrades+'!$AE$19,"F+",IF(L520&lt;'PlayerGrades+'!$AE$18,"E-",IF(L520&lt;'PlayerGrades+'!$AE$17,"E",IF(L520&lt;'PlayerGrades+'!$AE$16,"E+",IF(L520&lt;'PlayerGrades+'!$AE$15,"D-",IF(L520&lt;'PlayerGrades+'!$AE$14,"D",IF(L520&lt;'PlayerGrades+'!$AE$13,"D+",IF(L520&lt;'PlayerGrades+'!$AE$12,"C-",IF(L520&lt;'PlayerGrades+'!$AE$11,"C",IF(L520&lt;'PlayerGrades+'!$AE$10,"C+",IF(L520&lt;'PlayerGrades+'!$AE$9,"B-",IF(L520&lt;'PlayerGrades+'!$AE$8,"B",IF(L520&lt;'PlayerGrades+'!$AE$7,"B+",IF(L520&lt;'PlayerGrades+'!$AE$6,"A-",IF(L520&lt;'PlayerGrades+'!$AE$5,"A",IF(L520&lt;'PlayerGrades+'!$AE$4,"A+",IF(L520&lt;'PlayerGrades+'!$AE$3,"S-",IF(L520&lt;'PlayerGrades+'!$AE$2,"S","S+"))))))))))))))))))))</f>
        <v>#DIV/0!</v>
      </c>
      <c r="N520" s="1412" t="str">
        <f t="shared" si="17"/>
        <v>#DIV/0!</v>
      </c>
      <c r="O520" s="1412" t="str">
        <f>IF(N520&lt;'PlayerGrades+'!$AF$21,"F-",IF(N520&lt;'PlayerGrades+'!$AF$20,"F",IF(N520&lt;'PlayerGrades+'!$AF$19,"F+",IF(N520&lt;'PlayerGrades+'!$AF$18,"E-",IF(N520&lt;'PlayerGrades+'!$AF$17,"E",IF(N520&lt;'PlayerGrades+'!$AF$16,"E+",IF(N520&lt;'PlayerGrades+'!$AF$15,"D-",IF(N520&lt;'PlayerGrades+'!$AF$14,"D",IF(N520&lt;'PlayerGrades+'!$AF$13,"D+",IF(N520&lt;'PlayerGrades+'!$AF$12,"C-",IF(N520&lt;'PlayerGrades+'!$AF$11,"C",IF(N520&lt;'PlayerGrades+'!$AF$10,"C+",IF(N520&lt;'PlayerGrades+'!$AF$9,"B-",IF(N520&lt;'PlayerGrades+'!$AF$8,"B",IF(N520&lt;'PlayerGrades+'!$AF$7,"B+",IF(N520&lt;'PlayerGrades+'!$AF$6,"A-",IF(N520&lt;'PlayerGrades+'!$AF$5,"A",IF(N520&lt;'PlayerGrades+'!$AF$4,"A+",IF(N520&lt;'PlayerGrades+'!$AF$3,"S-",IF(N520&lt;'PlayerGrades+'!$AF$2,"S","S+"))))))))))))))))))))</f>
        <v>#DIV/0!</v>
      </c>
      <c r="P520" s="1412" t="str">
        <f t="shared" si="18"/>
        <v>#DIV/0!</v>
      </c>
      <c r="Q520" s="1412" t="str">
        <f>IF(P520&lt;'PlayerGrades+'!$AG$21,"F-",IF(P520&lt;'PlayerGrades+'!$AG$20,"F",IF(P520&lt;'PlayerGrades+'!$AG$19,"F+",IF(P520&lt;'PlayerGrades+'!$AG$18,"E-",IF(P520&lt;'PlayerGrades+'!$AG$17,"E",IF(P520&lt;'PlayerGrades+'!$AG$16,"E+",IF(P520&lt;'PlayerGrades+'!$AG$15,"D-",IF(P520&lt;'PlayerGrades+'!$AG$14,"D",IF(P520&lt;'PlayerGrades+'!$AG$13,"D+",IF(P520&lt;'PlayerGrades+'!$AG$12,"C-",IF(P520&lt;'PlayerGrades+'!$AG$11,"C",IF(P520&lt;'PlayerGrades+'!$AG$10,"C+",IF(P520&lt;'PlayerGrades+'!$AG$9,"B-",IF(P520&lt;'PlayerGrades+'!$AG$8,"B",IF(P520&lt;'PlayerGrades+'!$AG$7,"B+",IF(P520&lt;'PlayerGrades+'!$AG$6,"A-",IF(P520&lt;'PlayerGrades+'!$AG$5,"A",IF(P520&lt;'PlayerGrades+'!$AG$4,"A+",IF(P520&lt;'PlayerGrades+'!$AG$3,"S-",IF(P520&lt;'PlayerGrades+'!$AG$2,"S","S+"))))))))))))))))))))</f>
        <v>#DIV/0!</v>
      </c>
      <c r="R520" s="1412" t="str">
        <f t="shared" si="19"/>
        <v>#REF!</v>
      </c>
      <c r="S520" s="1412" t="str">
        <f>IF(R520&lt;'PlayerGrades+'!$AH$21,"F-",IF(R520&lt;'PlayerGrades+'!$AH$20,"F",IF(R520&lt;'PlayerGrades+'!$AH$19,"F+",IF(R520&lt;'PlayerGrades+'!$AH$18,"E-",IF(R520&lt;'PlayerGrades+'!$AH$17,"E",IF(R520&lt;'PlayerGrades+'!$AH$16,"E+",IF(R520&lt;'PlayerGrades+'!$AH$15,"D-",IF(R520&lt;'PlayerGrades+'!$AH$14,"D",IF(R520&lt;'PlayerGrades+'!$AH$13,"D+",IF(R520&lt;'PlayerGrades+'!$AH$12,"C-",IF(R520&lt;'PlayerGrades+'!$AH$11,"C",IF(R520&lt;'PlayerGrades+'!$AH$10,"C+",IF(R520&lt;'PlayerGrades+'!$AH$9,"B-",IF(R520&lt;'PlayerGrades+'!$AH$8,"B",IF(R520&lt;'PlayerGrades+'!$AH$7,"B+",IF(R520&lt;'PlayerGrades+'!$AH$6,"A-",IF(R520&lt;'PlayerGrades+'!$AH$5,"A",IF(R520&lt;'PlayerGrades+'!$AH$4,"A+",IF(R520&lt;'PlayerGrades+'!$AH$3,"S-",IF(R520&lt;'PlayerGrades+'!$AH$2,"S","S+"))))))))))))))))))))</f>
        <v>#REF!</v>
      </c>
      <c r="T520" s="1412" t="str">
        <f t="shared" si="20"/>
        <v>#REF!</v>
      </c>
      <c r="U520" s="1412" t="str">
        <f>IF(T520&lt;'PlayerGrades+'!$AI$21,"F-",IF(T520&lt;'PlayerGrades+'!$AI$20,"F",IF(T520&lt;'PlayerGrades+'!$AI$19,"F+",IF(T520&lt;'PlayerGrades+'!$AI$18,"E-",IF(T520&lt;'PlayerGrades+'!$AI$17,"E",IF(T520&lt;'PlayerGrades+'!$AI$16,"E+",IF(T520&lt;'PlayerGrades+'!$AI$15,"D-",IF(T520&lt;'PlayerGrades+'!$AI$14,"D",IF(T520&lt;'PlayerGrades+'!$AI$13,"D+",IF(T520&lt;'PlayerGrades+'!$AI$12,"C-",IF(T520&lt;'PlayerGrades+'!$AI$11,"C",IF(T520&lt;'PlayerGrades+'!$AI$10,"C+",IF(T520&lt;'PlayerGrades+'!$AI$9,"B-",IF(T520&lt;'PlayerGrades+'!$AI$8,"B",IF(T520&lt;'PlayerGrades+'!$AI$7,"B+",IF(T520&lt;'PlayerGrades+'!$AI$6,"A-",IF(T520&lt;'PlayerGrades+'!$AI$5,"A",IF(T520&lt;'PlayerGrades+'!$AI$4,"A+",IF(T520&lt;'PlayerGrades+'!$AI$3,"S-",IF(T520&lt;'PlayerGrades+'!$AI$2,"S","S+"))))))))))))))))))))</f>
        <v>#REF!</v>
      </c>
      <c r="AC520" s="1392"/>
    </row>
    <row r="521">
      <c r="A521" s="1393"/>
      <c r="B521" s="611" t="str">
        <f>IF(C521&lt;'PlayerGrades+'!$Y$44,"F-",IF(C521&lt;'PlayerGrades+'!$Y$43,"F",IF(C521&lt;'PlayerGrades+'!$Y$42,"F+",IF(C521&lt;'PlayerGrades+'!$Y$41,"E-",IF(C521&lt;'PlayerGrades+'!$Y$40,"E",IF(C521&lt;'PlayerGrades+'!$Y$39,"E+",IF(C521&lt;'PlayerGrades+'!$Y$38,"D-",IF(C521&lt;'PlayerGrades+'!$Y$37,"D",IF(C521&lt;'PlayerGrades+'!$Y$36,"D+",IF(C521&lt;'PlayerGrades+'!$Y$35,"C-",IF(C521&lt;'PlayerGrades+'!$Y$34,"C",IF(C521&lt;'PlayerGrades+'!$Y$33,"C+",IF(C521&lt;'PlayerGrades+'!$Y$32,"B-",IF(C521&lt;'PlayerGrades+'!$Y$31,"B",IF(C521&lt;'PlayerGrades+'!$Y$30,"B+",IF(C521&lt;'PlayerGrades+'!$Y$29,"A-",IF(C521&lt;'PlayerGrades+'!$Y$28,"A",IF(C521&lt;'PlayerGrades+'!$Y$27,"A+",IF(C521&lt;'PlayerGrades+'!$Y$26,"S-",IF(C521&lt;'PlayerGrades+'!$Y$25,"S","S+"))))))))))))))))))))</f>
        <v>#DIV/0!</v>
      </c>
      <c r="C521" s="1378" t="str">
        <f>('PlayerGrades+'!$Y$47*(VLOOKUP(E521, 'PlayerGrades+'!$X$3:$Y$23, 2, FALSE)))+('PlayerGrades+'!$Y$48*(VLOOKUP(G521, 'PlayerGrades+'!$X$3:$Y$23, 2, FALSE)))+('PlayerGrades+'!$Y$49*(VLOOKUP(I521, 'PlayerGrades+'!$X$3:$Y$23, 2, FALSE)))+('PlayerGrades+'!$Y$50*(VLOOKUP(K521, 'PlayerGrades+'!$X$3:$Y$23, 2, FALSE)))+('PlayerGrades+'!$Y$51*(VLOOKUP(M521, 'PlayerGrades+'!$X$3:$Y$23, 2, FALSE)))+('PlayerGrades+'!$Y$52*(VLOOKUP(O521, 'PlayerGrades+'!$X$3:$Y$23, 2, FALSE)))+('PlayerGrades+'!$Y$53*(VLOOKUP(Q521, 'PlayerGrades+'!$X$3:$Y$23, 2, FALSE)))+('PlayerGrades+'!$Y$54*(VLOOKUP(S521, 'PlayerGrades+'!$X$3:$Y$23, 2, FALSE)))+('PlayerGrades+'!$Y$55*(VLOOKUP(U521, 'PlayerGrades+'!$X$3:$Y$23, 2, FALSE)))</f>
        <v>#DIV/0!</v>
      </c>
      <c r="D521" s="1412" t="str">
        <f t="shared" si="12"/>
        <v>#DIV/0!</v>
      </c>
      <c r="E521" s="1412" t="str">
        <f>IF(D521&lt;'PlayerGrades+'!$AA$21,"F-",IF(D521&lt;'PlayerGrades+'!$AA$20,"F",IF(D521&lt;'PlayerGrades+'!$AA$19,"F+",IF(D521&lt;'PlayerGrades+'!$AA$18,"E-",IF(D521&lt;'PlayerGrades+'!$AA$17,"E",IF(D521&lt;'PlayerGrades+'!$AA$16,"E+",IF(D521&lt;'PlayerGrades+'!$AA$15,"D-",IF(D521&lt;'PlayerGrades+'!$AA$14,"D",IF(D521&lt;'PlayerGrades+'!$AA$13,"D+",IF(D521&lt;'PlayerGrades+'!$AA$12,"C-",IF(D521&lt;'PlayerGrades+'!$AA$11,"C",IF(D521&lt;'PlayerGrades+'!$AA$10,"C+",IF(D521&lt;'PlayerGrades+'!$AA$9,"B-",IF(D521&lt;'PlayerGrades+'!$AA$8,"B",IF(D521&lt;'PlayerGrades+'!$AA$7,"B+",IF(D521&lt;'PlayerGrades+'!$AA$6,"A-",IF(D521&lt;'PlayerGrades+'!$AA$5,"A",IF(D521&lt;'PlayerGrades+'!$AA$4,"A+",IF(D521&lt;'PlayerGrades+'!$AA$3,"S-",IF(D521&lt;'PlayerGrades+'!$AA$2,"S","S+"))))))))))))))))))))</f>
        <v>#DIV/0!</v>
      </c>
      <c r="F521" s="1412" t="str">
        <f t="shared" si="13"/>
        <v>#DIV/0!</v>
      </c>
      <c r="G521" s="1412" t="str">
        <f>IF(F521&lt;'PlayerGrades+'!$AB$21,"F-",IF(F521&lt;'PlayerGrades+'!$AB$20,"F",IF(F521&lt;'PlayerGrades+'!$AB$19,"F+",IF(F521&lt;'PlayerGrades+'!$AB$18,"E-",IF(F521&lt;'PlayerGrades+'!$AB$17,"E",IF(F521&lt;'PlayerGrades+'!$AB$16,"E+",IF(F521&lt;'PlayerGrades+'!$AB$15,"D-",IF(F521&lt;'PlayerGrades+'!$AB$14,"D",IF(F521&lt;'PlayerGrades+'!$AB$13,"D+",IF(F521&lt;'PlayerGrades+'!$AB$12,"C-",IF(F521&lt;'PlayerGrades+'!$AB$11,"C",IF(F521&lt;'PlayerGrades+'!$AB$10,"C+",IF(F521&lt;'PlayerGrades+'!$AB$9,"B-",IF(F521&lt;'PlayerGrades+'!$AB$8,"B",IF(F521&lt;'PlayerGrades+'!$AB$7,"B+",IF(F521&lt;'PlayerGrades+'!$AB$6,"A-",IF(F521&lt;'PlayerGrades+'!$AB$5,"A",IF(F521&lt;'PlayerGrades+'!$AB$4,"A+",IF(F521&lt;'PlayerGrades+'!$AB$3,"S-",IF(F521&lt;'PlayerGrades+'!$AB$2,"S","S+"))))))))))))))))))))</f>
        <v>#DIV/0!</v>
      </c>
      <c r="H521" s="1412" t="str">
        <f t="shared" si="14"/>
        <v>#DIV/0!</v>
      </c>
      <c r="I521" s="1412" t="str">
        <f>IF(H521&lt;'PlayerGrades+'!$AC$21,"F-",IF(H521&lt;'PlayerGrades+'!$AC$20,"F",IF(H521&lt;'PlayerGrades+'!$AC$19,"F+",IF(H521&lt;'PlayerGrades+'!$AC$18,"E-",IF(H521&lt;'PlayerGrades+'!$AC$17,"E",IF(H521&lt;'PlayerGrades+'!$AC$16,"E+",IF(H521&lt;'PlayerGrades+'!$AC$15,"D-",IF(H521&lt;'PlayerGrades+'!$AC$14,"D",IF(H521&lt;'PlayerGrades+'!$AC$13,"D+",IF(H521&lt;'PlayerGrades+'!$AC$12,"C-",IF(H521&lt;'PlayerGrades+'!$AC$11,"C",IF(H521&lt;'PlayerGrades+'!$AC$10,"C+",IF(H521&lt;'PlayerGrades+'!$AC$9,"B-",IF(H521&lt;'PlayerGrades+'!$AC$8,"B",IF(H521&lt;'PlayerGrades+'!$AC$7,"B+",IF(H521&lt;'PlayerGrades+'!$AC$6,"A-",IF(H521&lt;'PlayerGrades+'!$AC$5,"A",IF(H521&lt;'PlayerGrades+'!$AC$4,"A+",IF(H521&lt;'PlayerGrades+'!$AC$3,"S-",IF(H521&lt;'PlayerGrades+'!$AC$2,"S","S+"))))))))))))))))))))</f>
        <v>#DIV/0!</v>
      </c>
      <c r="J521" s="1412" t="str">
        <f t="shared" si="15"/>
        <v>#DIV/0!</v>
      </c>
      <c r="K521" s="1412" t="str">
        <f>IF(J521&lt;'PlayerGrades+'!$AD$21,"F-",IF(J521&lt;'PlayerGrades+'!$AD$20,"F",IF(J521&lt;'PlayerGrades+'!$AD$19,"F+",IF(J521&lt;'PlayerGrades+'!$AD$18,"E-",IF(J521&lt;'PlayerGrades+'!$AD$17,"E",IF(J521&lt;'PlayerGrades+'!$AD$16,"E+",IF(J521&lt;'PlayerGrades+'!$AD$15,"D-",IF(J521&lt;'PlayerGrades+'!$AD$14,"D",IF(J521&lt;'PlayerGrades+'!$AD$13,"D+",IF(J521&lt;'PlayerGrades+'!$AD$12,"C-",IF(J521&lt;'PlayerGrades+'!$AD$11,"C",IF(J521&lt;'PlayerGrades+'!$AD$10,"C+",IF(J521&lt;'PlayerGrades+'!$AD$9,"B-",IF(J521&lt;'PlayerGrades+'!$AD$8,"B",IF(J521&lt;'PlayerGrades+'!$AD$7,"B+",IF(J521&lt;'PlayerGrades+'!$AD$6,"A-",IF(J521&lt;'PlayerGrades+'!$AD$5,"A",IF(J521&lt;'PlayerGrades+'!$AD$4,"A+",IF(J521&lt;'PlayerGrades+'!$AD$3,"S-",IF(J521&lt;'PlayerGrades+'!$AD$2,"S","S+"))))))))))))))))))))</f>
        <v>#DIV/0!</v>
      </c>
      <c r="L521" s="1413" t="str">
        <f t="shared" si="16"/>
        <v>#DIV/0!</v>
      </c>
      <c r="M521" s="1156" t="str">
        <f>IF(L521&lt;'PlayerGrades+'!$AE$21,"F-",IF(L521&lt;'PlayerGrades+'!$AE$20,"F",IF(L521&lt;'PlayerGrades+'!$AE$19,"F+",IF(L521&lt;'PlayerGrades+'!$AE$18,"E-",IF(L521&lt;'PlayerGrades+'!$AE$17,"E",IF(L521&lt;'PlayerGrades+'!$AE$16,"E+",IF(L521&lt;'PlayerGrades+'!$AE$15,"D-",IF(L521&lt;'PlayerGrades+'!$AE$14,"D",IF(L521&lt;'PlayerGrades+'!$AE$13,"D+",IF(L521&lt;'PlayerGrades+'!$AE$12,"C-",IF(L521&lt;'PlayerGrades+'!$AE$11,"C",IF(L521&lt;'PlayerGrades+'!$AE$10,"C+",IF(L521&lt;'PlayerGrades+'!$AE$9,"B-",IF(L521&lt;'PlayerGrades+'!$AE$8,"B",IF(L521&lt;'PlayerGrades+'!$AE$7,"B+",IF(L521&lt;'PlayerGrades+'!$AE$6,"A-",IF(L521&lt;'PlayerGrades+'!$AE$5,"A",IF(L521&lt;'PlayerGrades+'!$AE$4,"A+",IF(L521&lt;'PlayerGrades+'!$AE$3,"S-",IF(L521&lt;'PlayerGrades+'!$AE$2,"S","S+"))))))))))))))))))))</f>
        <v>#DIV/0!</v>
      </c>
      <c r="N521" s="1412" t="str">
        <f t="shared" si="17"/>
        <v>#DIV/0!</v>
      </c>
      <c r="O521" s="1412" t="str">
        <f>IF(N521&lt;'PlayerGrades+'!$AF$21,"F-",IF(N521&lt;'PlayerGrades+'!$AF$20,"F",IF(N521&lt;'PlayerGrades+'!$AF$19,"F+",IF(N521&lt;'PlayerGrades+'!$AF$18,"E-",IF(N521&lt;'PlayerGrades+'!$AF$17,"E",IF(N521&lt;'PlayerGrades+'!$AF$16,"E+",IF(N521&lt;'PlayerGrades+'!$AF$15,"D-",IF(N521&lt;'PlayerGrades+'!$AF$14,"D",IF(N521&lt;'PlayerGrades+'!$AF$13,"D+",IF(N521&lt;'PlayerGrades+'!$AF$12,"C-",IF(N521&lt;'PlayerGrades+'!$AF$11,"C",IF(N521&lt;'PlayerGrades+'!$AF$10,"C+",IF(N521&lt;'PlayerGrades+'!$AF$9,"B-",IF(N521&lt;'PlayerGrades+'!$AF$8,"B",IF(N521&lt;'PlayerGrades+'!$AF$7,"B+",IF(N521&lt;'PlayerGrades+'!$AF$6,"A-",IF(N521&lt;'PlayerGrades+'!$AF$5,"A",IF(N521&lt;'PlayerGrades+'!$AF$4,"A+",IF(N521&lt;'PlayerGrades+'!$AF$3,"S-",IF(N521&lt;'PlayerGrades+'!$AF$2,"S","S+"))))))))))))))))))))</f>
        <v>#DIV/0!</v>
      </c>
      <c r="P521" s="1412" t="str">
        <f t="shared" si="18"/>
        <v>#DIV/0!</v>
      </c>
      <c r="Q521" s="1412" t="str">
        <f>IF(P521&lt;'PlayerGrades+'!$AG$21,"F-",IF(P521&lt;'PlayerGrades+'!$AG$20,"F",IF(P521&lt;'PlayerGrades+'!$AG$19,"F+",IF(P521&lt;'PlayerGrades+'!$AG$18,"E-",IF(P521&lt;'PlayerGrades+'!$AG$17,"E",IF(P521&lt;'PlayerGrades+'!$AG$16,"E+",IF(P521&lt;'PlayerGrades+'!$AG$15,"D-",IF(P521&lt;'PlayerGrades+'!$AG$14,"D",IF(P521&lt;'PlayerGrades+'!$AG$13,"D+",IF(P521&lt;'PlayerGrades+'!$AG$12,"C-",IF(P521&lt;'PlayerGrades+'!$AG$11,"C",IF(P521&lt;'PlayerGrades+'!$AG$10,"C+",IF(P521&lt;'PlayerGrades+'!$AG$9,"B-",IF(P521&lt;'PlayerGrades+'!$AG$8,"B",IF(P521&lt;'PlayerGrades+'!$AG$7,"B+",IF(P521&lt;'PlayerGrades+'!$AG$6,"A-",IF(P521&lt;'PlayerGrades+'!$AG$5,"A",IF(P521&lt;'PlayerGrades+'!$AG$4,"A+",IF(P521&lt;'PlayerGrades+'!$AG$3,"S-",IF(P521&lt;'PlayerGrades+'!$AG$2,"S","S+"))))))))))))))))))))</f>
        <v>#DIV/0!</v>
      </c>
      <c r="R521" s="1412" t="str">
        <f t="shared" si="19"/>
        <v>#REF!</v>
      </c>
      <c r="S521" s="1412" t="str">
        <f>IF(R521&lt;'PlayerGrades+'!$AH$21,"F-",IF(R521&lt;'PlayerGrades+'!$AH$20,"F",IF(R521&lt;'PlayerGrades+'!$AH$19,"F+",IF(R521&lt;'PlayerGrades+'!$AH$18,"E-",IF(R521&lt;'PlayerGrades+'!$AH$17,"E",IF(R521&lt;'PlayerGrades+'!$AH$16,"E+",IF(R521&lt;'PlayerGrades+'!$AH$15,"D-",IF(R521&lt;'PlayerGrades+'!$AH$14,"D",IF(R521&lt;'PlayerGrades+'!$AH$13,"D+",IF(R521&lt;'PlayerGrades+'!$AH$12,"C-",IF(R521&lt;'PlayerGrades+'!$AH$11,"C",IF(R521&lt;'PlayerGrades+'!$AH$10,"C+",IF(R521&lt;'PlayerGrades+'!$AH$9,"B-",IF(R521&lt;'PlayerGrades+'!$AH$8,"B",IF(R521&lt;'PlayerGrades+'!$AH$7,"B+",IF(R521&lt;'PlayerGrades+'!$AH$6,"A-",IF(R521&lt;'PlayerGrades+'!$AH$5,"A",IF(R521&lt;'PlayerGrades+'!$AH$4,"A+",IF(R521&lt;'PlayerGrades+'!$AH$3,"S-",IF(R521&lt;'PlayerGrades+'!$AH$2,"S","S+"))))))))))))))))))))</f>
        <v>#REF!</v>
      </c>
      <c r="T521" s="1412" t="str">
        <f t="shared" si="20"/>
        <v>#REF!</v>
      </c>
      <c r="U521" s="1412" t="str">
        <f>IF(T521&lt;'PlayerGrades+'!$AI$21,"F-",IF(T521&lt;'PlayerGrades+'!$AI$20,"F",IF(T521&lt;'PlayerGrades+'!$AI$19,"F+",IF(T521&lt;'PlayerGrades+'!$AI$18,"E-",IF(T521&lt;'PlayerGrades+'!$AI$17,"E",IF(T521&lt;'PlayerGrades+'!$AI$16,"E+",IF(T521&lt;'PlayerGrades+'!$AI$15,"D-",IF(T521&lt;'PlayerGrades+'!$AI$14,"D",IF(T521&lt;'PlayerGrades+'!$AI$13,"D+",IF(T521&lt;'PlayerGrades+'!$AI$12,"C-",IF(T521&lt;'PlayerGrades+'!$AI$11,"C",IF(T521&lt;'PlayerGrades+'!$AI$10,"C+",IF(T521&lt;'PlayerGrades+'!$AI$9,"B-",IF(T521&lt;'PlayerGrades+'!$AI$8,"B",IF(T521&lt;'PlayerGrades+'!$AI$7,"B+",IF(T521&lt;'PlayerGrades+'!$AI$6,"A-",IF(T521&lt;'PlayerGrades+'!$AI$5,"A",IF(T521&lt;'PlayerGrades+'!$AI$4,"A+",IF(T521&lt;'PlayerGrades+'!$AI$3,"S-",IF(T521&lt;'PlayerGrades+'!$AI$2,"S","S+"))))))))))))))))))))</f>
        <v>#REF!</v>
      </c>
      <c r="V521" s="1386"/>
      <c r="W521" s="1386"/>
      <c r="X521" s="1386"/>
      <c r="Y521" s="1386"/>
      <c r="Z521" s="1386"/>
      <c r="AA521" s="1386"/>
      <c r="AB521" s="1386"/>
      <c r="AC521" s="1397"/>
      <c r="AD521" s="1386"/>
      <c r="AE521" s="1386"/>
      <c r="AF521" s="1386"/>
      <c r="AG521" s="1386"/>
      <c r="AH521" s="1386"/>
      <c r="AI521" s="1386"/>
      <c r="AJ521" s="1386"/>
      <c r="AK521" s="1386"/>
      <c r="AL521" s="1386"/>
      <c r="AM521" s="1386"/>
      <c r="AN521" s="1386"/>
      <c r="AO521" s="1386"/>
      <c r="AP521" s="1386"/>
      <c r="AQ521" s="1386"/>
      <c r="AR521" s="1386"/>
      <c r="AS521" s="1386"/>
      <c r="AT521" s="1386"/>
      <c r="AU521" s="1386"/>
      <c r="AV521" s="1386"/>
      <c r="AW521" s="1386"/>
      <c r="AX521" s="1386"/>
      <c r="AY521" s="1386"/>
      <c r="AZ521" s="1386"/>
    </row>
    <row r="522">
      <c r="A522" s="1389"/>
      <c r="B522" s="611" t="str">
        <f>IF(C522&lt;'PlayerGrades+'!$Y$44,"F-",IF(C522&lt;'PlayerGrades+'!$Y$43,"F",IF(C522&lt;'PlayerGrades+'!$Y$42,"F+",IF(C522&lt;'PlayerGrades+'!$Y$41,"E-",IF(C522&lt;'PlayerGrades+'!$Y$40,"E",IF(C522&lt;'PlayerGrades+'!$Y$39,"E+",IF(C522&lt;'PlayerGrades+'!$Y$38,"D-",IF(C522&lt;'PlayerGrades+'!$Y$37,"D",IF(C522&lt;'PlayerGrades+'!$Y$36,"D+",IF(C522&lt;'PlayerGrades+'!$Y$35,"C-",IF(C522&lt;'PlayerGrades+'!$Y$34,"C",IF(C522&lt;'PlayerGrades+'!$Y$33,"C+",IF(C522&lt;'PlayerGrades+'!$Y$32,"B-",IF(C522&lt;'PlayerGrades+'!$Y$31,"B",IF(C522&lt;'PlayerGrades+'!$Y$30,"B+",IF(C522&lt;'PlayerGrades+'!$Y$29,"A-",IF(C522&lt;'PlayerGrades+'!$Y$28,"A",IF(C522&lt;'PlayerGrades+'!$Y$27,"A+",IF(C522&lt;'PlayerGrades+'!$Y$26,"S-",IF(C522&lt;'PlayerGrades+'!$Y$25,"S","S+"))))))))))))))))))))</f>
        <v>#DIV/0!</v>
      </c>
      <c r="C522" s="1378" t="str">
        <f>('PlayerGrades+'!$Y$47*(VLOOKUP(E522, 'PlayerGrades+'!$X$3:$Y$23, 2, FALSE)))+('PlayerGrades+'!$Y$48*(VLOOKUP(G522, 'PlayerGrades+'!$X$3:$Y$23, 2, FALSE)))+('PlayerGrades+'!$Y$49*(VLOOKUP(I522, 'PlayerGrades+'!$X$3:$Y$23, 2, FALSE)))+('PlayerGrades+'!$Y$50*(VLOOKUP(K522, 'PlayerGrades+'!$X$3:$Y$23, 2, FALSE)))+('PlayerGrades+'!$Y$51*(VLOOKUP(M522, 'PlayerGrades+'!$X$3:$Y$23, 2, FALSE)))+('PlayerGrades+'!$Y$52*(VLOOKUP(O522, 'PlayerGrades+'!$X$3:$Y$23, 2, FALSE)))+('PlayerGrades+'!$Y$53*(VLOOKUP(Q522, 'PlayerGrades+'!$X$3:$Y$23, 2, FALSE)))+('PlayerGrades+'!$Y$54*(VLOOKUP(S522, 'PlayerGrades+'!$X$3:$Y$23, 2, FALSE)))+('PlayerGrades+'!$Y$55*(VLOOKUP(U522, 'PlayerGrades+'!$X$3:$Y$23, 2, FALSE)))</f>
        <v>#DIV/0!</v>
      </c>
      <c r="D522" s="1412" t="str">
        <f t="shared" si="12"/>
        <v>#DIV/0!</v>
      </c>
      <c r="E522" s="1412" t="str">
        <f>IF(D522&lt;'PlayerGrades+'!$AA$21,"F-",IF(D522&lt;'PlayerGrades+'!$AA$20,"F",IF(D522&lt;'PlayerGrades+'!$AA$19,"F+",IF(D522&lt;'PlayerGrades+'!$AA$18,"E-",IF(D522&lt;'PlayerGrades+'!$AA$17,"E",IF(D522&lt;'PlayerGrades+'!$AA$16,"E+",IF(D522&lt;'PlayerGrades+'!$AA$15,"D-",IF(D522&lt;'PlayerGrades+'!$AA$14,"D",IF(D522&lt;'PlayerGrades+'!$AA$13,"D+",IF(D522&lt;'PlayerGrades+'!$AA$12,"C-",IF(D522&lt;'PlayerGrades+'!$AA$11,"C",IF(D522&lt;'PlayerGrades+'!$AA$10,"C+",IF(D522&lt;'PlayerGrades+'!$AA$9,"B-",IF(D522&lt;'PlayerGrades+'!$AA$8,"B",IF(D522&lt;'PlayerGrades+'!$AA$7,"B+",IF(D522&lt;'PlayerGrades+'!$AA$6,"A-",IF(D522&lt;'PlayerGrades+'!$AA$5,"A",IF(D522&lt;'PlayerGrades+'!$AA$4,"A+",IF(D522&lt;'PlayerGrades+'!$AA$3,"S-",IF(D522&lt;'PlayerGrades+'!$AA$2,"S","S+"))))))))))))))))))))</f>
        <v>#DIV/0!</v>
      </c>
      <c r="F522" s="1412" t="str">
        <f t="shared" si="13"/>
        <v>#DIV/0!</v>
      </c>
      <c r="G522" s="1412" t="str">
        <f>IF(F522&lt;'PlayerGrades+'!$AB$21,"F-",IF(F522&lt;'PlayerGrades+'!$AB$20,"F",IF(F522&lt;'PlayerGrades+'!$AB$19,"F+",IF(F522&lt;'PlayerGrades+'!$AB$18,"E-",IF(F522&lt;'PlayerGrades+'!$AB$17,"E",IF(F522&lt;'PlayerGrades+'!$AB$16,"E+",IF(F522&lt;'PlayerGrades+'!$AB$15,"D-",IF(F522&lt;'PlayerGrades+'!$AB$14,"D",IF(F522&lt;'PlayerGrades+'!$AB$13,"D+",IF(F522&lt;'PlayerGrades+'!$AB$12,"C-",IF(F522&lt;'PlayerGrades+'!$AB$11,"C",IF(F522&lt;'PlayerGrades+'!$AB$10,"C+",IF(F522&lt;'PlayerGrades+'!$AB$9,"B-",IF(F522&lt;'PlayerGrades+'!$AB$8,"B",IF(F522&lt;'PlayerGrades+'!$AB$7,"B+",IF(F522&lt;'PlayerGrades+'!$AB$6,"A-",IF(F522&lt;'PlayerGrades+'!$AB$5,"A",IF(F522&lt;'PlayerGrades+'!$AB$4,"A+",IF(F522&lt;'PlayerGrades+'!$AB$3,"S-",IF(F522&lt;'PlayerGrades+'!$AB$2,"S","S+"))))))))))))))))))))</f>
        <v>#DIV/0!</v>
      </c>
      <c r="H522" s="1412" t="str">
        <f t="shared" si="14"/>
        <v>#DIV/0!</v>
      </c>
      <c r="I522" s="1412" t="str">
        <f>IF(H522&lt;'PlayerGrades+'!$AC$21,"F-",IF(H522&lt;'PlayerGrades+'!$AC$20,"F",IF(H522&lt;'PlayerGrades+'!$AC$19,"F+",IF(H522&lt;'PlayerGrades+'!$AC$18,"E-",IF(H522&lt;'PlayerGrades+'!$AC$17,"E",IF(H522&lt;'PlayerGrades+'!$AC$16,"E+",IF(H522&lt;'PlayerGrades+'!$AC$15,"D-",IF(H522&lt;'PlayerGrades+'!$AC$14,"D",IF(H522&lt;'PlayerGrades+'!$AC$13,"D+",IF(H522&lt;'PlayerGrades+'!$AC$12,"C-",IF(H522&lt;'PlayerGrades+'!$AC$11,"C",IF(H522&lt;'PlayerGrades+'!$AC$10,"C+",IF(H522&lt;'PlayerGrades+'!$AC$9,"B-",IF(H522&lt;'PlayerGrades+'!$AC$8,"B",IF(H522&lt;'PlayerGrades+'!$AC$7,"B+",IF(H522&lt;'PlayerGrades+'!$AC$6,"A-",IF(H522&lt;'PlayerGrades+'!$AC$5,"A",IF(H522&lt;'PlayerGrades+'!$AC$4,"A+",IF(H522&lt;'PlayerGrades+'!$AC$3,"S-",IF(H522&lt;'PlayerGrades+'!$AC$2,"S","S+"))))))))))))))))))))</f>
        <v>#DIV/0!</v>
      </c>
      <c r="J522" s="1412" t="str">
        <f t="shared" si="15"/>
        <v>#DIV/0!</v>
      </c>
      <c r="K522" s="1412" t="str">
        <f>IF(J522&lt;'PlayerGrades+'!$AD$21,"F-",IF(J522&lt;'PlayerGrades+'!$AD$20,"F",IF(J522&lt;'PlayerGrades+'!$AD$19,"F+",IF(J522&lt;'PlayerGrades+'!$AD$18,"E-",IF(J522&lt;'PlayerGrades+'!$AD$17,"E",IF(J522&lt;'PlayerGrades+'!$AD$16,"E+",IF(J522&lt;'PlayerGrades+'!$AD$15,"D-",IF(J522&lt;'PlayerGrades+'!$AD$14,"D",IF(J522&lt;'PlayerGrades+'!$AD$13,"D+",IF(J522&lt;'PlayerGrades+'!$AD$12,"C-",IF(J522&lt;'PlayerGrades+'!$AD$11,"C",IF(J522&lt;'PlayerGrades+'!$AD$10,"C+",IF(J522&lt;'PlayerGrades+'!$AD$9,"B-",IF(J522&lt;'PlayerGrades+'!$AD$8,"B",IF(J522&lt;'PlayerGrades+'!$AD$7,"B+",IF(J522&lt;'PlayerGrades+'!$AD$6,"A-",IF(J522&lt;'PlayerGrades+'!$AD$5,"A",IF(J522&lt;'PlayerGrades+'!$AD$4,"A+",IF(J522&lt;'PlayerGrades+'!$AD$3,"S-",IF(J522&lt;'PlayerGrades+'!$AD$2,"S","S+"))))))))))))))))))))</f>
        <v>#DIV/0!</v>
      </c>
      <c r="L522" s="1413" t="str">
        <f t="shared" si="16"/>
        <v>#DIV/0!</v>
      </c>
      <c r="M522" s="1156" t="str">
        <f>IF(L522&lt;'PlayerGrades+'!$AE$21,"F-",IF(L522&lt;'PlayerGrades+'!$AE$20,"F",IF(L522&lt;'PlayerGrades+'!$AE$19,"F+",IF(L522&lt;'PlayerGrades+'!$AE$18,"E-",IF(L522&lt;'PlayerGrades+'!$AE$17,"E",IF(L522&lt;'PlayerGrades+'!$AE$16,"E+",IF(L522&lt;'PlayerGrades+'!$AE$15,"D-",IF(L522&lt;'PlayerGrades+'!$AE$14,"D",IF(L522&lt;'PlayerGrades+'!$AE$13,"D+",IF(L522&lt;'PlayerGrades+'!$AE$12,"C-",IF(L522&lt;'PlayerGrades+'!$AE$11,"C",IF(L522&lt;'PlayerGrades+'!$AE$10,"C+",IF(L522&lt;'PlayerGrades+'!$AE$9,"B-",IF(L522&lt;'PlayerGrades+'!$AE$8,"B",IF(L522&lt;'PlayerGrades+'!$AE$7,"B+",IF(L522&lt;'PlayerGrades+'!$AE$6,"A-",IF(L522&lt;'PlayerGrades+'!$AE$5,"A",IF(L522&lt;'PlayerGrades+'!$AE$4,"A+",IF(L522&lt;'PlayerGrades+'!$AE$3,"S-",IF(L522&lt;'PlayerGrades+'!$AE$2,"S","S+"))))))))))))))))))))</f>
        <v>#DIV/0!</v>
      </c>
      <c r="N522" s="1412" t="str">
        <f t="shared" si="17"/>
        <v>#DIV/0!</v>
      </c>
      <c r="O522" s="1412" t="str">
        <f>IF(N522&lt;'PlayerGrades+'!$AF$21,"F-",IF(N522&lt;'PlayerGrades+'!$AF$20,"F",IF(N522&lt;'PlayerGrades+'!$AF$19,"F+",IF(N522&lt;'PlayerGrades+'!$AF$18,"E-",IF(N522&lt;'PlayerGrades+'!$AF$17,"E",IF(N522&lt;'PlayerGrades+'!$AF$16,"E+",IF(N522&lt;'PlayerGrades+'!$AF$15,"D-",IF(N522&lt;'PlayerGrades+'!$AF$14,"D",IF(N522&lt;'PlayerGrades+'!$AF$13,"D+",IF(N522&lt;'PlayerGrades+'!$AF$12,"C-",IF(N522&lt;'PlayerGrades+'!$AF$11,"C",IF(N522&lt;'PlayerGrades+'!$AF$10,"C+",IF(N522&lt;'PlayerGrades+'!$AF$9,"B-",IF(N522&lt;'PlayerGrades+'!$AF$8,"B",IF(N522&lt;'PlayerGrades+'!$AF$7,"B+",IF(N522&lt;'PlayerGrades+'!$AF$6,"A-",IF(N522&lt;'PlayerGrades+'!$AF$5,"A",IF(N522&lt;'PlayerGrades+'!$AF$4,"A+",IF(N522&lt;'PlayerGrades+'!$AF$3,"S-",IF(N522&lt;'PlayerGrades+'!$AF$2,"S","S+"))))))))))))))))))))</f>
        <v>#DIV/0!</v>
      </c>
      <c r="P522" s="1412" t="str">
        <f t="shared" si="18"/>
        <v>#DIV/0!</v>
      </c>
      <c r="Q522" s="1412" t="str">
        <f>IF(P522&lt;'PlayerGrades+'!$AG$21,"F-",IF(P522&lt;'PlayerGrades+'!$AG$20,"F",IF(P522&lt;'PlayerGrades+'!$AG$19,"F+",IF(P522&lt;'PlayerGrades+'!$AG$18,"E-",IF(P522&lt;'PlayerGrades+'!$AG$17,"E",IF(P522&lt;'PlayerGrades+'!$AG$16,"E+",IF(P522&lt;'PlayerGrades+'!$AG$15,"D-",IF(P522&lt;'PlayerGrades+'!$AG$14,"D",IF(P522&lt;'PlayerGrades+'!$AG$13,"D+",IF(P522&lt;'PlayerGrades+'!$AG$12,"C-",IF(P522&lt;'PlayerGrades+'!$AG$11,"C",IF(P522&lt;'PlayerGrades+'!$AG$10,"C+",IF(P522&lt;'PlayerGrades+'!$AG$9,"B-",IF(P522&lt;'PlayerGrades+'!$AG$8,"B",IF(P522&lt;'PlayerGrades+'!$AG$7,"B+",IF(P522&lt;'PlayerGrades+'!$AG$6,"A-",IF(P522&lt;'PlayerGrades+'!$AG$5,"A",IF(P522&lt;'PlayerGrades+'!$AG$4,"A+",IF(P522&lt;'PlayerGrades+'!$AG$3,"S-",IF(P522&lt;'PlayerGrades+'!$AG$2,"S","S+"))))))))))))))))))))</f>
        <v>#DIV/0!</v>
      </c>
      <c r="R522" s="1412" t="str">
        <f t="shared" si="19"/>
        <v>#REF!</v>
      </c>
      <c r="S522" s="1412" t="str">
        <f>IF(R522&lt;'PlayerGrades+'!$AH$21,"F-",IF(R522&lt;'PlayerGrades+'!$AH$20,"F",IF(R522&lt;'PlayerGrades+'!$AH$19,"F+",IF(R522&lt;'PlayerGrades+'!$AH$18,"E-",IF(R522&lt;'PlayerGrades+'!$AH$17,"E",IF(R522&lt;'PlayerGrades+'!$AH$16,"E+",IF(R522&lt;'PlayerGrades+'!$AH$15,"D-",IF(R522&lt;'PlayerGrades+'!$AH$14,"D",IF(R522&lt;'PlayerGrades+'!$AH$13,"D+",IF(R522&lt;'PlayerGrades+'!$AH$12,"C-",IF(R522&lt;'PlayerGrades+'!$AH$11,"C",IF(R522&lt;'PlayerGrades+'!$AH$10,"C+",IF(R522&lt;'PlayerGrades+'!$AH$9,"B-",IF(R522&lt;'PlayerGrades+'!$AH$8,"B",IF(R522&lt;'PlayerGrades+'!$AH$7,"B+",IF(R522&lt;'PlayerGrades+'!$AH$6,"A-",IF(R522&lt;'PlayerGrades+'!$AH$5,"A",IF(R522&lt;'PlayerGrades+'!$AH$4,"A+",IF(R522&lt;'PlayerGrades+'!$AH$3,"S-",IF(R522&lt;'PlayerGrades+'!$AH$2,"S","S+"))))))))))))))))))))</f>
        <v>#REF!</v>
      </c>
      <c r="T522" s="1412" t="str">
        <f t="shared" si="20"/>
        <v>#REF!</v>
      </c>
      <c r="U522" s="1412" t="str">
        <f>IF(T522&lt;'PlayerGrades+'!$AI$21,"F-",IF(T522&lt;'PlayerGrades+'!$AI$20,"F",IF(T522&lt;'PlayerGrades+'!$AI$19,"F+",IF(T522&lt;'PlayerGrades+'!$AI$18,"E-",IF(T522&lt;'PlayerGrades+'!$AI$17,"E",IF(T522&lt;'PlayerGrades+'!$AI$16,"E+",IF(T522&lt;'PlayerGrades+'!$AI$15,"D-",IF(T522&lt;'PlayerGrades+'!$AI$14,"D",IF(T522&lt;'PlayerGrades+'!$AI$13,"D+",IF(T522&lt;'PlayerGrades+'!$AI$12,"C-",IF(T522&lt;'PlayerGrades+'!$AI$11,"C",IF(T522&lt;'PlayerGrades+'!$AI$10,"C+",IF(T522&lt;'PlayerGrades+'!$AI$9,"B-",IF(T522&lt;'PlayerGrades+'!$AI$8,"B",IF(T522&lt;'PlayerGrades+'!$AI$7,"B+",IF(T522&lt;'PlayerGrades+'!$AI$6,"A-",IF(T522&lt;'PlayerGrades+'!$AI$5,"A",IF(T522&lt;'PlayerGrades+'!$AI$4,"A+",IF(T522&lt;'PlayerGrades+'!$AI$3,"S-",IF(T522&lt;'PlayerGrades+'!$AI$2,"S","S+"))))))))))))))))))))</f>
        <v>#REF!</v>
      </c>
      <c r="V522" s="1379"/>
      <c r="W522" s="1379"/>
      <c r="X522" s="1379"/>
      <c r="Y522" s="1379"/>
      <c r="Z522" s="1379"/>
      <c r="AA522" s="1379"/>
      <c r="AB522" s="1379"/>
      <c r="AC522" s="1390"/>
      <c r="AD522" s="1379"/>
      <c r="AE522" s="1379"/>
      <c r="AF522" s="1379"/>
      <c r="AG522" s="1379"/>
      <c r="AH522" s="1379"/>
      <c r="AI522" s="1379"/>
      <c r="AJ522" s="1379"/>
      <c r="AK522" s="1379"/>
      <c r="AL522" s="1379"/>
      <c r="AM522" s="1379"/>
      <c r="AN522" s="1379"/>
      <c r="AO522" s="1379"/>
      <c r="AP522" s="1379"/>
      <c r="AQ522" s="1379"/>
      <c r="AR522" s="1379"/>
      <c r="AS522" s="1379"/>
      <c r="AT522" s="1379"/>
      <c r="AU522" s="1379"/>
      <c r="AV522" s="1379"/>
      <c r="AW522" s="1379"/>
      <c r="AX522" s="1379"/>
      <c r="AY522" s="1379"/>
      <c r="AZ522" s="1379"/>
    </row>
    <row r="523">
      <c r="A523" s="1391"/>
      <c r="B523" s="611" t="str">
        <f>IF(C523&lt;'PlayerGrades+'!$Y$44,"F-",IF(C523&lt;'PlayerGrades+'!$Y$43,"F",IF(C523&lt;'PlayerGrades+'!$Y$42,"F+",IF(C523&lt;'PlayerGrades+'!$Y$41,"E-",IF(C523&lt;'PlayerGrades+'!$Y$40,"E",IF(C523&lt;'PlayerGrades+'!$Y$39,"E+",IF(C523&lt;'PlayerGrades+'!$Y$38,"D-",IF(C523&lt;'PlayerGrades+'!$Y$37,"D",IF(C523&lt;'PlayerGrades+'!$Y$36,"D+",IF(C523&lt;'PlayerGrades+'!$Y$35,"C-",IF(C523&lt;'PlayerGrades+'!$Y$34,"C",IF(C523&lt;'PlayerGrades+'!$Y$33,"C+",IF(C523&lt;'PlayerGrades+'!$Y$32,"B-",IF(C523&lt;'PlayerGrades+'!$Y$31,"B",IF(C523&lt;'PlayerGrades+'!$Y$30,"B+",IF(C523&lt;'PlayerGrades+'!$Y$29,"A-",IF(C523&lt;'PlayerGrades+'!$Y$28,"A",IF(C523&lt;'PlayerGrades+'!$Y$27,"A+",IF(C523&lt;'PlayerGrades+'!$Y$26,"S-",IF(C523&lt;'PlayerGrades+'!$Y$25,"S","S+"))))))))))))))))))))</f>
        <v>#DIV/0!</v>
      </c>
      <c r="C523" s="1378" t="str">
        <f>('PlayerGrades+'!$Y$47*(VLOOKUP(E523, 'PlayerGrades+'!$X$3:$Y$23, 2, FALSE)))+('PlayerGrades+'!$Y$48*(VLOOKUP(G523, 'PlayerGrades+'!$X$3:$Y$23, 2, FALSE)))+('PlayerGrades+'!$Y$49*(VLOOKUP(I523, 'PlayerGrades+'!$X$3:$Y$23, 2, FALSE)))+('PlayerGrades+'!$Y$50*(VLOOKUP(K523, 'PlayerGrades+'!$X$3:$Y$23, 2, FALSE)))+('PlayerGrades+'!$Y$51*(VLOOKUP(M523, 'PlayerGrades+'!$X$3:$Y$23, 2, FALSE)))+('PlayerGrades+'!$Y$52*(VLOOKUP(O523, 'PlayerGrades+'!$X$3:$Y$23, 2, FALSE)))+('PlayerGrades+'!$Y$53*(VLOOKUP(Q523, 'PlayerGrades+'!$X$3:$Y$23, 2, FALSE)))+('PlayerGrades+'!$Y$54*(VLOOKUP(S523, 'PlayerGrades+'!$X$3:$Y$23, 2, FALSE)))+('PlayerGrades+'!$Y$55*(VLOOKUP(U523, 'PlayerGrades+'!$X$3:$Y$23, 2, FALSE)))</f>
        <v>#DIV/0!</v>
      </c>
      <c r="D523" s="1412" t="str">
        <f t="shared" si="12"/>
        <v>#DIV/0!</v>
      </c>
      <c r="E523" s="1412" t="str">
        <f>IF(D523&lt;'PlayerGrades+'!$AA$21,"F-",IF(D523&lt;'PlayerGrades+'!$AA$20,"F",IF(D523&lt;'PlayerGrades+'!$AA$19,"F+",IF(D523&lt;'PlayerGrades+'!$AA$18,"E-",IF(D523&lt;'PlayerGrades+'!$AA$17,"E",IF(D523&lt;'PlayerGrades+'!$AA$16,"E+",IF(D523&lt;'PlayerGrades+'!$AA$15,"D-",IF(D523&lt;'PlayerGrades+'!$AA$14,"D",IF(D523&lt;'PlayerGrades+'!$AA$13,"D+",IF(D523&lt;'PlayerGrades+'!$AA$12,"C-",IF(D523&lt;'PlayerGrades+'!$AA$11,"C",IF(D523&lt;'PlayerGrades+'!$AA$10,"C+",IF(D523&lt;'PlayerGrades+'!$AA$9,"B-",IF(D523&lt;'PlayerGrades+'!$AA$8,"B",IF(D523&lt;'PlayerGrades+'!$AA$7,"B+",IF(D523&lt;'PlayerGrades+'!$AA$6,"A-",IF(D523&lt;'PlayerGrades+'!$AA$5,"A",IF(D523&lt;'PlayerGrades+'!$AA$4,"A+",IF(D523&lt;'PlayerGrades+'!$AA$3,"S-",IF(D523&lt;'PlayerGrades+'!$AA$2,"S","S+"))))))))))))))))))))</f>
        <v>#DIV/0!</v>
      </c>
      <c r="F523" s="1412" t="str">
        <f t="shared" si="13"/>
        <v>#DIV/0!</v>
      </c>
      <c r="G523" s="1412" t="str">
        <f>IF(F523&lt;'PlayerGrades+'!$AB$21,"F-",IF(F523&lt;'PlayerGrades+'!$AB$20,"F",IF(F523&lt;'PlayerGrades+'!$AB$19,"F+",IF(F523&lt;'PlayerGrades+'!$AB$18,"E-",IF(F523&lt;'PlayerGrades+'!$AB$17,"E",IF(F523&lt;'PlayerGrades+'!$AB$16,"E+",IF(F523&lt;'PlayerGrades+'!$AB$15,"D-",IF(F523&lt;'PlayerGrades+'!$AB$14,"D",IF(F523&lt;'PlayerGrades+'!$AB$13,"D+",IF(F523&lt;'PlayerGrades+'!$AB$12,"C-",IF(F523&lt;'PlayerGrades+'!$AB$11,"C",IF(F523&lt;'PlayerGrades+'!$AB$10,"C+",IF(F523&lt;'PlayerGrades+'!$AB$9,"B-",IF(F523&lt;'PlayerGrades+'!$AB$8,"B",IF(F523&lt;'PlayerGrades+'!$AB$7,"B+",IF(F523&lt;'PlayerGrades+'!$AB$6,"A-",IF(F523&lt;'PlayerGrades+'!$AB$5,"A",IF(F523&lt;'PlayerGrades+'!$AB$4,"A+",IF(F523&lt;'PlayerGrades+'!$AB$3,"S-",IF(F523&lt;'PlayerGrades+'!$AB$2,"S","S+"))))))))))))))))))))</f>
        <v>#DIV/0!</v>
      </c>
      <c r="H523" s="1412" t="str">
        <f t="shared" si="14"/>
        <v>#DIV/0!</v>
      </c>
      <c r="I523" s="1412" t="str">
        <f>IF(H523&lt;'PlayerGrades+'!$AC$21,"F-",IF(H523&lt;'PlayerGrades+'!$AC$20,"F",IF(H523&lt;'PlayerGrades+'!$AC$19,"F+",IF(H523&lt;'PlayerGrades+'!$AC$18,"E-",IF(H523&lt;'PlayerGrades+'!$AC$17,"E",IF(H523&lt;'PlayerGrades+'!$AC$16,"E+",IF(H523&lt;'PlayerGrades+'!$AC$15,"D-",IF(H523&lt;'PlayerGrades+'!$AC$14,"D",IF(H523&lt;'PlayerGrades+'!$AC$13,"D+",IF(H523&lt;'PlayerGrades+'!$AC$12,"C-",IF(H523&lt;'PlayerGrades+'!$AC$11,"C",IF(H523&lt;'PlayerGrades+'!$AC$10,"C+",IF(H523&lt;'PlayerGrades+'!$AC$9,"B-",IF(H523&lt;'PlayerGrades+'!$AC$8,"B",IF(H523&lt;'PlayerGrades+'!$AC$7,"B+",IF(H523&lt;'PlayerGrades+'!$AC$6,"A-",IF(H523&lt;'PlayerGrades+'!$AC$5,"A",IF(H523&lt;'PlayerGrades+'!$AC$4,"A+",IF(H523&lt;'PlayerGrades+'!$AC$3,"S-",IF(H523&lt;'PlayerGrades+'!$AC$2,"S","S+"))))))))))))))))))))</f>
        <v>#DIV/0!</v>
      </c>
      <c r="J523" s="1412" t="str">
        <f t="shared" si="15"/>
        <v>#DIV/0!</v>
      </c>
      <c r="K523" s="1412" t="str">
        <f>IF(J523&lt;'PlayerGrades+'!$AD$21,"F-",IF(J523&lt;'PlayerGrades+'!$AD$20,"F",IF(J523&lt;'PlayerGrades+'!$AD$19,"F+",IF(J523&lt;'PlayerGrades+'!$AD$18,"E-",IF(J523&lt;'PlayerGrades+'!$AD$17,"E",IF(J523&lt;'PlayerGrades+'!$AD$16,"E+",IF(J523&lt;'PlayerGrades+'!$AD$15,"D-",IF(J523&lt;'PlayerGrades+'!$AD$14,"D",IF(J523&lt;'PlayerGrades+'!$AD$13,"D+",IF(J523&lt;'PlayerGrades+'!$AD$12,"C-",IF(J523&lt;'PlayerGrades+'!$AD$11,"C",IF(J523&lt;'PlayerGrades+'!$AD$10,"C+",IF(J523&lt;'PlayerGrades+'!$AD$9,"B-",IF(J523&lt;'PlayerGrades+'!$AD$8,"B",IF(J523&lt;'PlayerGrades+'!$AD$7,"B+",IF(J523&lt;'PlayerGrades+'!$AD$6,"A-",IF(J523&lt;'PlayerGrades+'!$AD$5,"A",IF(J523&lt;'PlayerGrades+'!$AD$4,"A+",IF(J523&lt;'PlayerGrades+'!$AD$3,"S-",IF(J523&lt;'PlayerGrades+'!$AD$2,"S","S+"))))))))))))))))))))</f>
        <v>#DIV/0!</v>
      </c>
      <c r="L523" s="1413" t="str">
        <f t="shared" si="16"/>
        <v>#DIV/0!</v>
      </c>
      <c r="M523" s="1156" t="str">
        <f>IF(L523&lt;'PlayerGrades+'!$AE$21,"F-",IF(L523&lt;'PlayerGrades+'!$AE$20,"F",IF(L523&lt;'PlayerGrades+'!$AE$19,"F+",IF(L523&lt;'PlayerGrades+'!$AE$18,"E-",IF(L523&lt;'PlayerGrades+'!$AE$17,"E",IF(L523&lt;'PlayerGrades+'!$AE$16,"E+",IF(L523&lt;'PlayerGrades+'!$AE$15,"D-",IF(L523&lt;'PlayerGrades+'!$AE$14,"D",IF(L523&lt;'PlayerGrades+'!$AE$13,"D+",IF(L523&lt;'PlayerGrades+'!$AE$12,"C-",IF(L523&lt;'PlayerGrades+'!$AE$11,"C",IF(L523&lt;'PlayerGrades+'!$AE$10,"C+",IF(L523&lt;'PlayerGrades+'!$AE$9,"B-",IF(L523&lt;'PlayerGrades+'!$AE$8,"B",IF(L523&lt;'PlayerGrades+'!$AE$7,"B+",IF(L523&lt;'PlayerGrades+'!$AE$6,"A-",IF(L523&lt;'PlayerGrades+'!$AE$5,"A",IF(L523&lt;'PlayerGrades+'!$AE$4,"A+",IF(L523&lt;'PlayerGrades+'!$AE$3,"S-",IF(L523&lt;'PlayerGrades+'!$AE$2,"S","S+"))))))))))))))))))))</f>
        <v>#DIV/0!</v>
      </c>
      <c r="N523" s="1412" t="str">
        <f t="shared" si="17"/>
        <v>#DIV/0!</v>
      </c>
      <c r="O523" s="1412" t="str">
        <f>IF(N523&lt;'PlayerGrades+'!$AF$21,"F-",IF(N523&lt;'PlayerGrades+'!$AF$20,"F",IF(N523&lt;'PlayerGrades+'!$AF$19,"F+",IF(N523&lt;'PlayerGrades+'!$AF$18,"E-",IF(N523&lt;'PlayerGrades+'!$AF$17,"E",IF(N523&lt;'PlayerGrades+'!$AF$16,"E+",IF(N523&lt;'PlayerGrades+'!$AF$15,"D-",IF(N523&lt;'PlayerGrades+'!$AF$14,"D",IF(N523&lt;'PlayerGrades+'!$AF$13,"D+",IF(N523&lt;'PlayerGrades+'!$AF$12,"C-",IF(N523&lt;'PlayerGrades+'!$AF$11,"C",IF(N523&lt;'PlayerGrades+'!$AF$10,"C+",IF(N523&lt;'PlayerGrades+'!$AF$9,"B-",IF(N523&lt;'PlayerGrades+'!$AF$8,"B",IF(N523&lt;'PlayerGrades+'!$AF$7,"B+",IF(N523&lt;'PlayerGrades+'!$AF$6,"A-",IF(N523&lt;'PlayerGrades+'!$AF$5,"A",IF(N523&lt;'PlayerGrades+'!$AF$4,"A+",IF(N523&lt;'PlayerGrades+'!$AF$3,"S-",IF(N523&lt;'PlayerGrades+'!$AF$2,"S","S+"))))))))))))))))))))</f>
        <v>#DIV/0!</v>
      </c>
      <c r="P523" s="1412" t="str">
        <f t="shared" si="18"/>
        <v>#DIV/0!</v>
      </c>
      <c r="Q523" s="1412" t="str">
        <f>IF(P523&lt;'PlayerGrades+'!$AG$21,"F-",IF(P523&lt;'PlayerGrades+'!$AG$20,"F",IF(P523&lt;'PlayerGrades+'!$AG$19,"F+",IF(P523&lt;'PlayerGrades+'!$AG$18,"E-",IF(P523&lt;'PlayerGrades+'!$AG$17,"E",IF(P523&lt;'PlayerGrades+'!$AG$16,"E+",IF(P523&lt;'PlayerGrades+'!$AG$15,"D-",IF(P523&lt;'PlayerGrades+'!$AG$14,"D",IF(P523&lt;'PlayerGrades+'!$AG$13,"D+",IF(P523&lt;'PlayerGrades+'!$AG$12,"C-",IF(P523&lt;'PlayerGrades+'!$AG$11,"C",IF(P523&lt;'PlayerGrades+'!$AG$10,"C+",IF(P523&lt;'PlayerGrades+'!$AG$9,"B-",IF(P523&lt;'PlayerGrades+'!$AG$8,"B",IF(P523&lt;'PlayerGrades+'!$AG$7,"B+",IF(P523&lt;'PlayerGrades+'!$AG$6,"A-",IF(P523&lt;'PlayerGrades+'!$AG$5,"A",IF(P523&lt;'PlayerGrades+'!$AG$4,"A+",IF(P523&lt;'PlayerGrades+'!$AG$3,"S-",IF(P523&lt;'PlayerGrades+'!$AG$2,"S","S+"))))))))))))))))))))</f>
        <v>#DIV/0!</v>
      </c>
      <c r="R523" s="1412" t="str">
        <f t="shared" si="19"/>
        <v>#REF!</v>
      </c>
      <c r="S523" s="1412" t="str">
        <f>IF(R523&lt;'PlayerGrades+'!$AH$21,"F-",IF(R523&lt;'PlayerGrades+'!$AH$20,"F",IF(R523&lt;'PlayerGrades+'!$AH$19,"F+",IF(R523&lt;'PlayerGrades+'!$AH$18,"E-",IF(R523&lt;'PlayerGrades+'!$AH$17,"E",IF(R523&lt;'PlayerGrades+'!$AH$16,"E+",IF(R523&lt;'PlayerGrades+'!$AH$15,"D-",IF(R523&lt;'PlayerGrades+'!$AH$14,"D",IF(R523&lt;'PlayerGrades+'!$AH$13,"D+",IF(R523&lt;'PlayerGrades+'!$AH$12,"C-",IF(R523&lt;'PlayerGrades+'!$AH$11,"C",IF(R523&lt;'PlayerGrades+'!$AH$10,"C+",IF(R523&lt;'PlayerGrades+'!$AH$9,"B-",IF(R523&lt;'PlayerGrades+'!$AH$8,"B",IF(R523&lt;'PlayerGrades+'!$AH$7,"B+",IF(R523&lt;'PlayerGrades+'!$AH$6,"A-",IF(R523&lt;'PlayerGrades+'!$AH$5,"A",IF(R523&lt;'PlayerGrades+'!$AH$4,"A+",IF(R523&lt;'PlayerGrades+'!$AH$3,"S-",IF(R523&lt;'PlayerGrades+'!$AH$2,"S","S+"))))))))))))))))))))</f>
        <v>#REF!</v>
      </c>
      <c r="T523" s="1412" t="str">
        <f t="shared" si="20"/>
        <v>#REF!</v>
      </c>
      <c r="U523" s="1412" t="str">
        <f>IF(T523&lt;'PlayerGrades+'!$AI$21,"F-",IF(T523&lt;'PlayerGrades+'!$AI$20,"F",IF(T523&lt;'PlayerGrades+'!$AI$19,"F+",IF(T523&lt;'PlayerGrades+'!$AI$18,"E-",IF(T523&lt;'PlayerGrades+'!$AI$17,"E",IF(T523&lt;'PlayerGrades+'!$AI$16,"E+",IF(T523&lt;'PlayerGrades+'!$AI$15,"D-",IF(T523&lt;'PlayerGrades+'!$AI$14,"D",IF(T523&lt;'PlayerGrades+'!$AI$13,"D+",IF(T523&lt;'PlayerGrades+'!$AI$12,"C-",IF(T523&lt;'PlayerGrades+'!$AI$11,"C",IF(T523&lt;'PlayerGrades+'!$AI$10,"C+",IF(T523&lt;'PlayerGrades+'!$AI$9,"B-",IF(T523&lt;'PlayerGrades+'!$AI$8,"B",IF(T523&lt;'PlayerGrades+'!$AI$7,"B+",IF(T523&lt;'PlayerGrades+'!$AI$6,"A-",IF(T523&lt;'PlayerGrades+'!$AI$5,"A",IF(T523&lt;'PlayerGrades+'!$AI$4,"A+",IF(T523&lt;'PlayerGrades+'!$AI$3,"S-",IF(T523&lt;'PlayerGrades+'!$AI$2,"S","S+"))))))))))))))))))))</f>
        <v>#REF!</v>
      </c>
      <c r="AC523" s="1392"/>
    </row>
    <row r="524">
      <c r="A524" s="1391"/>
      <c r="B524" s="611" t="str">
        <f>IF(C524&lt;'PlayerGrades+'!$Y$44,"F-",IF(C524&lt;'PlayerGrades+'!$Y$43,"F",IF(C524&lt;'PlayerGrades+'!$Y$42,"F+",IF(C524&lt;'PlayerGrades+'!$Y$41,"E-",IF(C524&lt;'PlayerGrades+'!$Y$40,"E",IF(C524&lt;'PlayerGrades+'!$Y$39,"E+",IF(C524&lt;'PlayerGrades+'!$Y$38,"D-",IF(C524&lt;'PlayerGrades+'!$Y$37,"D",IF(C524&lt;'PlayerGrades+'!$Y$36,"D+",IF(C524&lt;'PlayerGrades+'!$Y$35,"C-",IF(C524&lt;'PlayerGrades+'!$Y$34,"C",IF(C524&lt;'PlayerGrades+'!$Y$33,"C+",IF(C524&lt;'PlayerGrades+'!$Y$32,"B-",IF(C524&lt;'PlayerGrades+'!$Y$31,"B",IF(C524&lt;'PlayerGrades+'!$Y$30,"B+",IF(C524&lt;'PlayerGrades+'!$Y$29,"A-",IF(C524&lt;'PlayerGrades+'!$Y$28,"A",IF(C524&lt;'PlayerGrades+'!$Y$27,"A+",IF(C524&lt;'PlayerGrades+'!$Y$26,"S-",IF(C524&lt;'PlayerGrades+'!$Y$25,"S","S+"))))))))))))))))))))</f>
        <v>#DIV/0!</v>
      </c>
      <c r="C524" s="1378" t="str">
        <f>('PlayerGrades+'!$Y$47*(VLOOKUP(E524, 'PlayerGrades+'!$X$3:$Y$23, 2, FALSE)))+('PlayerGrades+'!$Y$48*(VLOOKUP(G524, 'PlayerGrades+'!$X$3:$Y$23, 2, FALSE)))+('PlayerGrades+'!$Y$49*(VLOOKUP(I524, 'PlayerGrades+'!$X$3:$Y$23, 2, FALSE)))+('PlayerGrades+'!$Y$50*(VLOOKUP(K524, 'PlayerGrades+'!$X$3:$Y$23, 2, FALSE)))+('PlayerGrades+'!$Y$51*(VLOOKUP(M524, 'PlayerGrades+'!$X$3:$Y$23, 2, FALSE)))+('PlayerGrades+'!$Y$52*(VLOOKUP(O524, 'PlayerGrades+'!$X$3:$Y$23, 2, FALSE)))+('PlayerGrades+'!$Y$53*(VLOOKUP(Q524, 'PlayerGrades+'!$X$3:$Y$23, 2, FALSE)))+('PlayerGrades+'!$Y$54*(VLOOKUP(S524, 'PlayerGrades+'!$X$3:$Y$23, 2, FALSE)))+('PlayerGrades+'!$Y$55*(VLOOKUP(U524, 'PlayerGrades+'!$X$3:$Y$23, 2, FALSE)))</f>
        <v>#DIV/0!</v>
      </c>
      <c r="D524" s="1412" t="str">
        <f t="shared" si="12"/>
        <v>#DIV/0!</v>
      </c>
      <c r="E524" s="1412" t="str">
        <f>IF(D524&lt;'PlayerGrades+'!$AA$21,"F-",IF(D524&lt;'PlayerGrades+'!$AA$20,"F",IF(D524&lt;'PlayerGrades+'!$AA$19,"F+",IF(D524&lt;'PlayerGrades+'!$AA$18,"E-",IF(D524&lt;'PlayerGrades+'!$AA$17,"E",IF(D524&lt;'PlayerGrades+'!$AA$16,"E+",IF(D524&lt;'PlayerGrades+'!$AA$15,"D-",IF(D524&lt;'PlayerGrades+'!$AA$14,"D",IF(D524&lt;'PlayerGrades+'!$AA$13,"D+",IF(D524&lt;'PlayerGrades+'!$AA$12,"C-",IF(D524&lt;'PlayerGrades+'!$AA$11,"C",IF(D524&lt;'PlayerGrades+'!$AA$10,"C+",IF(D524&lt;'PlayerGrades+'!$AA$9,"B-",IF(D524&lt;'PlayerGrades+'!$AA$8,"B",IF(D524&lt;'PlayerGrades+'!$AA$7,"B+",IF(D524&lt;'PlayerGrades+'!$AA$6,"A-",IF(D524&lt;'PlayerGrades+'!$AA$5,"A",IF(D524&lt;'PlayerGrades+'!$AA$4,"A+",IF(D524&lt;'PlayerGrades+'!$AA$3,"S-",IF(D524&lt;'PlayerGrades+'!$AA$2,"S","S+"))))))))))))))))))))</f>
        <v>#DIV/0!</v>
      </c>
      <c r="F524" s="1412" t="str">
        <f t="shared" si="13"/>
        <v>#DIV/0!</v>
      </c>
      <c r="G524" s="1412" t="str">
        <f>IF(F524&lt;'PlayerGrades+'!$AB$21,"F-",IF(F524&lt;'PlayerGrades+'!$AB$20,"F",IF(F524&lt;'PlayerGrades+'!$AB$19,"F+",IF(F524&lt;'PlayerGrades+'!$AB$18,"E-",IF(F524&lt;'PlayerGrades+'!$AB$17,"E",IF(F524&lt;'PlayerGrades+'!$AB$16,"E+",IF(F524&lt;'PlayerGrades+'!$AB$15,"D-",IF(F524&lt;'PlayerGrades+'!$AB$14,"D",IF(F524&lt;'PlayerGrades+'!$AB$13,"D+",IF(F524&lt;'PlayerGrades+'!$AB$12,"C-",IF(F524&lt;'PlayerGrades+'!$AB$11,"C",IF(F524&lt;'PlayerGrades+'!$AB$10,"C+",IF(F524&lt;'PlayerGrades+'!$AB$9,"B-",IF(F524&lt;'PlayerGrades+'!$AB$8,"B",IF(F524&lt;'PlayerGrades+'!$AB$7,"B+",IF(F524&lt;'PlayerGrades+'!$AB$6,"A-",IF(F524&lt;'PlayerGrades+'!$AB$5,"A",IF(F524&lt;'PlayerGrades+'!$AB$4,"A+",IF(F524&lt;'PlayerGrades+'!$AB$3,"S-",IF(F524&lt;'PlayerGrades+'!$AB$2,"S","S+"))))))))))))))))))))</f>
        <v>#DIV/0!</v>
      </c>
      <c r="H524" s="1412" t="str">
        <f t="shared" si="14"/>
        <v>#DIV/0!</v>
      </c>
      <c r="I524" s="1412" t="str">
        <f>IF(H524&lt;'PlayerGrades+'!$AC$21,"F-",IF(H524&lt;'PlayerGrades+'!$AC$20,"F",IF(H524&lt;'PlayerGrades+'!$AC$19,"F+",IF(H524&lt;'PlayerGrades+'!$AC$18,"E-",IF(H524&lt;'PlayerGrades+'!$AC$17,"E",IF(H524&lt;'PlayerGrades+'!$AC$16,"E+",IF(H524&lt;'PlayerGrades+'!$AC$15,"D-",IF(H524&lt;'PlayerGrades+'!$AC$14,"D",IF(H524&lt;'PlayerGrades+'!$AC$13,"D+",IF(H524&lt;'PlayerGrades+'!$AC$12,"C-",IF(H524&lt;'PlayerGrades+'!$AC$11,"C",IF(H524&lt;'PlayerGrades+'!$AC$10,"C+",IF(H524&lt;'PlayerGrades+'!$AC$9,"B-",IF(H524&lt;'PlayerGrades+'!$AC$8,"B",IF(H524&lt;'PlayerGrades+'!$AC$7,"B+",IF(H524&lt;'PlayerGrades+'!$AC$6,"A-",IF(H524&lt;'PlayerGrades+'!$AC$5,"A",IF(H524&lt;'PlayerGrades+'!$AC$4,"A+",IF(H524&lt;'PlayerGrades+'!$AC$3,"S-",IF(H524&lt;'PlayerGrades+'!$AC$2,"S","S+"))))))))))))))))))))</f>
        <v>#DIV/0!</v>
      </c>
      <c r="J524" s="1412" t="str">
        <f t="shared" si="15"/>
        <v>#DIV/0!</v>
      </c>
      <c r="K524" s="1412" t="str">
        <f>IF(J524&lt;'PlayerGrades+'!$AD$21,"F-",IF(J524&lt;'PlayerGrades+'!$AD$20,"F",IF(J524&lt;'PlayerGrades+'!$AD$19,"F+",IF(J524&lt;'PlayerGrades+'!$AD$18,"E-",IF(J524&lt;'PlayerGrades+'!$AD$17,"E",IF(J524&lt;'PlayerGrades+'!$AD$16,"E+",IF(J524&lt;'PlayerGrades+'!$AD$15,"D-",IF(J524&lt;'PlayerGrades+'!$AD$14,"D",IF(J524&lt;'PlayerGrades+'!$AD$13,"D+",IF(J524&lt;'PlayerGrades+'!$AD$12,"C-",IF(J524&lt;'PlayerGrades+'!$AD$11,"C",IF(J524&lt;'PlayerGrades+'!$AD$10,"C+",IF(J524&lt;'PlayerGrades+'!$AD$9,"B-",IF(J524&lt;'PlayerGrades+'!$AD$8,"B",IF(J524&lt;'PlayerGrades+'!$AD$7,"B+",IF(J524&lt;'PlayerGrades+'!$AD$6,"A-",IF(J524&lt;'PlayerGrades+'!$AD$5,"A",IF(J524&lt;'PlayerGrades+'!$AD$4,"A+",IF(J524&lt;'PlayerGrades+'!$AD$3,"S-",IF(J524&lt;'PlayerGrades+'!$AD$2,"S","S+"))))))))))))))))))))</f>
        <v>#DIV/0!</v>
      </c>
      <c r="L524" s="1413" t="str">
        <f t="shared" si="16"/>
        <v>#DIV/0!</v>
      </c>
      <c r="M524" s="1156" t="str">
        <f>IF(L524&lt;'PlayerGrades+'!$AE$21,"F-",IF(L524&lt;'PlayerGrades+'!$AE$20,"F",IF(L524&lt;'PlayerGrades+'!$AE$19,"F+",IF(L524&lt;'PlayerGrades+'!$AE$18,"E-",IF(L524&lt;'PlayerGrades+'!$AE$17,"E",IF(L524&lt;'PlayerGrades+'!$AE$16,"E+",IF(L524&lt;'PlayerGrades+'!$AE$15,"D-",IF(L524&lt;'PlayerGrades+'!$AE$14,"D",IF(L524&lt;'PlayerGrades+'!$AE$13,"D+",IF(L524&lt;'PlayerGrades+'!$AE$12,"C-",IF(L524&lt;'PlayerGrades+'!$AE$11,"C",IF(L524&lt;'PlayerGrades+'!$AE$10,"C+",IF(L524&lt;'PlayerGrades+'!$AE$9,"B-",IF(L524&lt;'PlayerGrades+'!$AE$8,"B",IF(L524&lt;'PlayerGrades+'!$AE$7,"B+",IF(L524&lt;'PlayerGrades+'!$AE$6,"A-",IF(L524&lt;'PlayerGrades+'!$AE$5,"A",IF(L524&lt;'PlayerGrades+'!$AE$4,"A+",IF(L524&lt;'PlayerGrades+'!$AE$3,"S-",IF(L524&lt;'PlayerGrades+'!$AE$2,"S","S+"))))))))))))))))))))</f>
        <v>#DIV/0!</v>
      </c>
      <c r="N524" s="1412" t="str">
        <f t="shared" si="17"/>
        <v>#DIV/0!</v>
      </c>
      <c r="O524" s="1412" t="str">
        <f>IF(N524&lt;'PlayerGrades+'!$AF$21,"F-",IF(N524&lt;'PlayerGrades+'!$AF$20,"F",IF(N524&lt;'PlayerGrades+'!$AF$19,"F+",IF(N524&lt;'PlayerGrades+'!$AF$18,"E-",IF(N524&lt;'PlayerGrades+'!$AF$17,"E",IF(N524&lt;'PlayerGrades+'!$AF$16,"E+",IF(N524&lt;'PlayerGrades+'!$AF$15,"D-",IF(N524&lt;'PlayerGrades+'!$AF$14,"D",IF(N524&lt;'PlayerGrades+'!$AF$13,"D+",IF(N524&lt;'PlayerGrades+'!$AF$12,"C-",IF(N524&lt;'PlayerGrades+'!$AF$11,"C",IF(N524&lt;'PlayerGrades+'!$AF$10,"C+",IF(N524&lt;'PlayerGrades+'!$AF$9,"B-",IF(N524&lt;'PlayerGrades+'!$AF$8,"B",IF(N524&lt;'PlayerGrades+'!$AF$7,"B+",IF(N524&lt;'PlayerGrades+'!$AF$6,"A-",IF(N524&lt;'PlayerGrades+'!$AF$5,"A",IF(N524&lt;'PlayerGrades+'!$AF$4,"A+",IF(N524&lt;'PlayerGrades+'!$AF$3,"S-",IF(N524&lt;'PlayerGrades+'!$AF$2,"S","S+"))))))))))))))))))))</f>
        <v>#DIV/0!</v>
      </c>
      <c r="P524" s="1412" t="str">
        <f t="shared" si="18"/>
        <v>#DIV/0!</v>
      </c>
      <c r="Q524" s="1412" t="str">
        <f>IF(P524&lt;'PlayerGrades+'!$AG$21,"F-",IF(P524&lt;'PlayerGrades+'!$AG$20,"F",IF(P524&lt;'PlayerGrades+'!$AG$19,"F+",IF(P524&lt;'PlayerGrades+'!$AG$18,"E-",IF(P524&lt;'PlayerGrades+'!$AG$17,"E",IF(P524&lt;'PlayerGrades+'!$AG$16,"E+",IF(P524&lt;'PlayerGrades+'!$AG$15,"D-",IF(P524&lt;'PlayerGrades+'!$AG$14,"D",IF(P524&lt;'PlayerGrades+'!$AG$13,"D+",IF(P524&lt;'PlayerGrades+'!$AG$12,"C-",IF(P524&lt;'PlayerGrades+'!$AG$11,"C",IF(P524&lt;'PlayerGrades+'!$AG$10,"C+",IF(P524&lt;'PlayerGrades+'!$AG$9,"B-",IF(P524&lt;'PlayerGrades+'!$AG$8,"B",IF(P524&lt;'PlayerGrades+'!$AG$7,"B+",IF(P524&lt;'PlayerGrades+'!$AG$6,"A-",IF(P524&lt;'PlayerGrades+'!$AG$5,"A",IF(P524&lt;'PlayerGrades+'!$AG$4,"A+",IF(P524&lt;'PlayerGrades+'!$AG$3,"S-",IF(P524&lt;'PlayerGrades+'!$AG$2,"S","S+"))))))))))))))))))))</f>
        <v>#DIV/0!</v>
      </c>
      <c r="R524" s="1412" t="str">
        <f t="shared" si="19"/>
        <v>#REF!</v>
      </c>
      <c r="S524" s="1412" t="str">
        <f>IF(R524&lt;'PlayerGrades+'!$AH$21,"F-",IF(R524&lt;'PlayerGrades+'!$AH$20,"F",IF(R524&lt;'PlayerGrades+'!$AH$19,"F+",IF(R524&lt;'PlayerGrades+'!$AH$18,"E-",IF(R524&lt;'PlayerGrades+'!$AH$17,"E",IF(R524&lt;'PlayerGrades+'!$AH$16,"E+",IF(R524&lt;'PlayerGrades+'!$AH$15,"D-",IF(R524&lt;'PlayerGrades+'!$AH$14,"D",IF(R524&lt;'PlayerGrades+'!$AH$13,"D+",IF(R524&lt;'PlayerGrades+'!$AH$12,"C-",IF(R524&lt;'PlayerGrades+'!$AH$11,"C",IF(R524&lt;'PlayerGrades+'!$AH$10,"C+",IF(R524&lt;'PlayerGrades+'!$AH$9,"B-",IF(R524&lt;'PlayerGrades+'!$AH$8,"B",IF(R524&lt;'PlayerGrades+'!$AH$7,"B+",IF(R524&lt;'PlayerGrades+'!$AH$6,"A-",IF(R524&lt;'PlayerGrades+'!$AH$5,"A",IF(R524&lt;'PlayerGrades+'!$AH$4,"A+",IF(R524&lt;'PlayerGrades+'!$AH$3,"S-",IF(R524&lt;'PlayerGrades+'!$AH$2,"S","S+"))))))))))))))))))))</f>
        <v>#REF!</v>
      </c>
      <c r="T524" s="1412" t="str">
        <f t="shared" si="20"/>
        <v>#REF!</v>
      </c>
      <c r="U524" s="1412" t="str">
        <f>IF(T524&lt;'PlayerGrades+'!$AI$21,"F-",IF(T524&lt;'PlayerGrades+'!$AI$20,"F",IF(T524&lt;'PlayerGrades+'!$AI$19,"F+",IF(T524&lt;'PlayerGrades+'!$AI$18,"E-",IF(T524&lt;'PlayerGrades+'!$AI$17,"E",IF(T524&lt;'PlayerGrades+'!$AI$16,"E+",IF(T524&lt;'PlayerGrades+'!$AI$15,"D-",IF(T524&lt;'PlayerGrades+'!$AI$14,"D",IF(T524&lt;'PlayerGrades+'!$AI$13,"D+",IF(T524&lt;'PlayerGrades+'!$AI$12,"C-",IF(T524&lt;'PlayerGrades+'!$AI$11,"C",IF(T524&lt;'PlayerGrades+'!$AI$10,"C+",IF(T524&lt;'PlayerGrades+'!$AI$9,"B-",IF(T524&lt;'PlayerGrades+'!$AI$8,"B",IF(T524&lt;'PlayerGrades+'!$AI$7,"B+",IF(T524&lt;'PlayerGrades+'!$AI$6,"A-",IF(T524&lt;'PlayerGrades+'!$AI$5,"A",IF(T524&lt;'PlayerGrades+'!$AI$4,"A+",IF(T524&lt;'PlayerGrades+'!$AI$3,"S-",IF(T524&lt;'PlayerGrades+'!$AI$2,"S","S+"))))))))))))))))))))</f>
        <v>#REF!</v>
      </c>
      <c r="AC524" s="1392"/>
    </row>
    <row r="525">
      <c r="A525" s="1391"/>
      <c r="B525" s="611" t="str">
        <f>IF(C525&lt;'PlayerGrades+'!$Y$44,"F-",IF(C525&lt;'PlayerGrades+'!$Y$43,"F",IF(C525&lt;'PlayerGrades+'!$Y$42,"F+",IF(C525&lt;'PlayerGrades+'!$Y$41,"E-",IF(C525&lt;'PlayerGrades+'!$Y$40,"E",IF(C525&lt;'PlayerGrades+'!$Y$39,"E+",IF(C525&lt;'PlayerGrades+'!$Y$38,"D-",IF(C525&lt;'PlayerGrades+'!$Y$37,"D",IF(C525&lt;'PlayerGrades+'!$Y$36,"D+",IF(C525&lt;'PlayerGrades+'!$Y$35,"C-",IF(C525&lt;'PlayerGrades+'!$Y$34,"C",IF(C525&lt;'PlayerGrades+'!$Y$33,"C+",IF(C525&lt;'PlayerGrades+'!$Y$32,"B-",IF(C525&lt;'PlayerGrades+'!$Y$31,"B",IF(C525&lt;'PlayerGrades+'!$Y$30,"B+",IF(C525&lt;'PlayerGrades+'!$Y$29,"A-",IF(C525&lt;'PlayerGrades+'!$Y$28,"A",IF(C525&lt;'PlayerGrades+'!$Y$27,"A+",IF(C525&lt;'PlayerGrades+'!$Y$26,"S-",IF(C525&lt;'PlayerGrades+'!$Y$25,"S","S+"))))))))))))))))))))</f>
        <v>#DIV/0!</v>
      </c>
      <c r="C525" s="1378" t="str">
        <f>('PlayerGrades+'!$Y$47*(VLOOKUP(E525, 'PlayerGrades+'!$X$3:$Y$23, 2, FALSE)))+('PlayerGrades+'!$Y$48*(VLOOKUP(G525, 'PlayerGrades+'!$X$3:$Y$23, 2, FALSE)))+('PlayerGrades+'!$Y$49*(VLOOKUP(I525, 'PlayerGrades+'!$X$3:$Y$23, 2, FALSE)))+('PlayerGrades+'!$Y$50*(VLOOKUP(K525, 'PlayerGrades+'!$X$3:$Y$23, 2, FALSE)))+('PlayerGrades+'!$Y$51*(VLOOKUP(M525, 'PlayerGrades+'!$X$3:$Y$23, 2, FALSE)))+('PlayerGrades+'!$Y$52*(VLOOKUP(O525, 'PlayerGrades+'!$X$3:$Y$23, 2, FALSE)))+('PlayerGrades+'!$Y$53*(VLOOKUP(Q525, 'PlayerGrades+'!$X$3:$Y$23, 2, FALSE)))+('PlayerGrades+'!$Y$54*(VLOOKUP(S525, 'PlayerGrades+'!$X$3:$Y$23, 2, FALSE)))+('PlayerGrades+'!$Y$55*(VLOOKUP(U525, 'PlayerGrades+'!$X$3:$Y$23, 2, FALSE)))</f>
        <v>#DIV/0!</v>
      </c>
      <c r="D525" s="1412" t="str">
        <f t="shared" si="12"/>
        <v>#DIV/0!</v>
      </c>
      <c r="E525" s="1412" t="str">
        <f>IF(D525&lt;'PlayerGrades+'!$AA$21,"F-",IF(D525&lt;'PlayerGrades+'!$AA$20,"F",IF(D525&lt;'PlayerGrades+'!$AA$19,"F+",IF(D525&lt;'PlayerGrades+'!$AA$18,"E-",IF(D525&lt;'PlayerGrades+'!$AA$17,"E",IF(D525&lt;'PlayerGrades+'!$AA$16,"E+",IF(D525&lt;'PlayerGrades+'!$AA$15,"D-",IF(D525&lt;'PlayerGrades+'!$AA$14,"D",IF(D525&lt;'PlayerGrades+'!$AA$13,"D+",IF(D525&lt;'PlayerGrades+'!$AA$12,"C-",IF(D525&lt;'PlayerGrades+'!$AA$11,"C",IF(D525&lt;'PlayerGrades+'!$AA$10,"C+",IF(D525&lt;'PlayerGrades+'!$AA$9,"B-",IF(D525&lt;'PlayerGrades+'!$AA$8,"B",IF(D525&lt;'PlayerGrades+'!$AA$7,"B+",IF(D525&lt;'PlayerGrades+'!$AA$6,"A-",IF(D525&lt;'PlayerGrades+'!$AA$5,"A",IF(D525&lt;'PlayerGrades+'!$AA$4,"A+",IF(D525&lt;'PlayerGrades+'!$AA$3,"S-",IF(D525&lt;'PlayerGrades+'!$AA$2,"S","S+"))))))))))))))))))))</f>
        <v>#DIV/0!</v>
      </c>
      <c r="F525" s="1412" t="str">
        <f t="shared" si="13"/>
        <v>#DIV/0!</v>
      </c>
      <c r="G525" s="1412" t="str">
        <f>IF(F525&lt;'PlayerGrades+'!$AB$21,"F-",IF(F525&lt;'PlayerGrades+'!$AB$20,"F",IF(F525&lt;'PlayerGrades+'!$AB$19,"F+",IF(F525&lt;'PlayerGrades+'!$AB$18,"E-",IF(F525&lt;'PlayerGrades+'!$AB$17,"E",IF(F525&lt;'PlayerGrades+'!$AB$16,"E+",IF(F525&lt;'PlayerGrades+'!$AB$15,"D-",IF(F525&lt;'PlayerGrades+'!$AB$14,"D",IF(F525&lt;'PlayerGrades+'!$AB$13,"D+",IF(F525&lt;'PlayerGrades+'!$AB$12,"C-",IF(F525&lt;'PlayerGrades+'!$AB$11,"C",IF(F525&lt;'PlayerGrades+'!$AB$10,"C+",IF(F525&lt;'PlayerGrades+'!$AB$9,"B-",IF(F525&lt;'PlayerGrades+'!$AB$8,"B",IF(F525&lt;'PlayerGrades+'!$AB$7,"B+",IF(F525&lt;'PlayerGrades+'!$AB$6,"A-",IF(F525&lt;'PlayerGrades+'!$AB$5,"A",IF(F525&lt;'PlayerGrades+'!$AB$4,"A+",IF(F525&lt;'PlayerGrades+'!$AB$3,"S-",IF(F525&lt;'PlayerGrades+'!$AB$2,"S","S+"))))))))))))))))))))</f>
        <v>#DIV/0!</v>
      </c>
      <c r="H525" s="1412" t="str">
        <f t="shared" si="14"/>
        <v>#DIV/0!</v>
      </c>
      <c r="I525" s="1412" t="str">
        <f>IF(H525&lt;'PlayerGrades+'!$AC$21,"F-",IF(H525&lt;'PlayerGrades+'!$AC$20,"F",IF(H525&lt;'PlayerGrades+'!$AC$19,"F+",IF(H525&lt;'PlayerGrades+'!$AC$18,"E-",IF(H525&lt;'PlayerGrades+'!$AC$17,"E",IF(H525&lt;'PlayerGrades+'!$AC$16,"E+",IF(H525&lt;'PlayerGrades+'!$AC$15,"D-",IF(H525&lt;'PlayerGrades+'!$AC$14,"D",IF(H525&lt;'PlayerGrades+'!$AC$13,"D+",IF(H525&lt;'PlayerGrades+'!$AC$12,"C-",IF(H525&lt;'PlayerGrades+'!$AC$11,"C",IF(H525&lt;'PlayerGrades+'!$AC$10,"C+",IF(H525&lt;'PlayerGrades+'!$AC$9,"B-",IF(H525&lt;'PlayerGrades+'!$AC$8,"B",IF(H525&lt;'PlayerGrades+'!$AC$7,"B+",IF(H525&lt;'PlayerGrades+'!$AC$6,"A-",IF(H525&lt;'PlayerGrades+'!$AC$5,"A",IF(H525&lt;'PlayerGrades+'!$AC$4,"A+",IF(H525&lt;'PlayerGrades+'!$AC$3,"S-",IF(H525&lt;'PlayerGrades+'!$AC$2,"S","S+"))))))))))))))))))))</f>
        <v>#DIV/0!</v>
      </c>
      <c r="J525" s="1412" t="str">
        <f t="shared" si="15"/>
        <v>#DIV/0!</v>
      </c>
      <c r="K525" s="1412" t="str">
        <f>IF(J525&lt;'PlayerGrades+'!$AD$21,"F-",IF(J525&lt;'PlayerGrades+'!$AD$20,"F",IF(J525&lt;'PlayerGrades+'!$AD$19,"F+",IF(J525&lt;'PlayerGrades+'!$AD$18,"E-",IF(J525&lt;'PlayerGrades+'!$AD$17,"E",IF(J525&lt;'PlayerGrades+'!$AD$16,"E+",IF(J525&lt;'PlayerGrades+'!$AD$15,"D-",IF(J525&lt;'PlayerGrades+'!$AD$14,"D",IF(J525&lt;'PlayerGrades+'!$AD$13,"D+",IF(J525&lt;'PlayerGrades+'!$AD$12,"C-",IF(J525&lt;'PlayerGrades+'!$AD$11,"C",IF(J525&lt;'PlayerGrades+'!$AD$10,"C+",IF(J525&lt;'PlayerGrades+'!$AD$9,"B-",IF(J525&lt;'PlayerGrades+'!$AD$8,"B",IF(J525&lt;'PlayerGrades+'!$AD$7,"B+",IF(J525&lt;'PlayerGrades+'!$AD$6,"A-",IF(J525&lt;'PlayerGrades+'!$AD$5,"A",IF(J525&lt;'PlayerGrades+'!$AD$4,"A+",IF(J525&lt;'PlayerGrades+'!$AD$3,"S-",IF(J525&lt;'PlayerGrades+'!$AD$2,"S","S+"))))))))))))))))))))</f>
        <v>#DIV/0!</v>
      </c>
      <c r="L525" s="1413" t="str">
        <f t="shared" si="16"/>
        <v>#DIV/0!</v>
      </c>
      <c r="M525" s="1156" t="str">
        <f>IF(L525&lt;'PlayerGrades+'!$AE$21,"F-",IF(L525&lt;'PlayerGrades+'!$AE$20,"F",IF(L525&lt;'PlayerGrades+'!$AE$19,"F+",IF(L525&lt;'PlayerGrades+'!$AE$18,"E-",IF(L525&lt;'PlayerGrades+'!$AE$17,"E",IF(L525&lt;'PlayerGrades+'!$AE$16,"E+",IF(L525&lt;'PlayerGrades+'!$AE$15,"D-",IF(L525&lt;'PlayerGrades+'!$AE$14,"D",IF(L525&lt;'PlayerGrades+'!$AE$13,"D+",IF(L525&lt;'PlayerGrades+'!$AE$12,"C-",IF(L525&lt;'PlayerGrades+'!$AE$11,"C",IF(L525&lt;'PlayerGrades+'!$AE$10,"C+",IF(L525&lt;'PlayerGrades+'!$AE$9,"B-",IF(L525&lt;'PlayerGrades+'!$AE$8,"B",IF(L525&lt;'PlayerGrades+'!$AE$7,"B+",IF(L525&lt;'PlayerGrades+'!$AE$6,"A-",IF(L525&lt;'PlayerGrades+'!$AE$5,"A",IF(L525&lt;'PlayerGrades+'!$AE$4,"A+",IF(L525&lt;'PlayerGrades+'!$AE$3,"S-",IF(L525&lt;'PlayerGrades+'!$AE$2,"S","S+"))))))))))))))))))))</f>
        <v>#DIV/0!</v>
      </c>
      <c r="N525" s="1412" t="str">
        <f t="shared" si="17"/>
        <v>#DIV/0!</v>
      </c>
      <c r="O525" s="1412" t="str">
        <f>IF(N525&lt;'PlayerGrades+'!$AF$21,"F-",IF(N525&lt;'PlayerGrades+'!$AF$20,"F",IF(N525&lt;'PlayerGrades+'!$AF$19,"F+",IF(N525&lt;'PlayerGrades+'!$AF$18,"E-",IF(N525&lt;'PlayerGrades+'!$AF$17,"E",IF(N525&lt;'PlayerGrades+'!$AF$16,"E+",IF(N525&lt;'PlayerGrades+'!$AF$15,"D-",IF(N525&lt;'PlayerGrades+'!$AF$14,"D",IF(N525&lt;'PlayerGrades+'!$AF$13,"D+",IF(N525&lt;'PlayerGrades+'!$AF$12,"C-",IF(N525&lt;'PlayerGrades+'!$AF$11,"C",IF(N525&lt;'PlayerGrades+'!$AF$10,"C+",IF(N525&lt;'PlayerGrades+'!$AF$9,"B-",IF(N525&lt;'PlayerGrades+'!$AF$8,"B",IF(N525&lt;'PlayerGrades+'!$AF$7,"B+",IF(N525&lt;'PlayerGrades+'!$AF$6,"A-",IF(N525&lt;'PlayerGrades+'!$AF$5,"A",IF(N525&lt;'PlayerGrades+'!$AF$4,"A+",IF(N525&lt;'PlayerGrades+'!$AF$3,"S-",IF(N525&lt;'PlayerGrades+'!$AF$2,"S","S+"))))))))))))))))))))</f>
        <v>#DIV/0!</v>
      </c>
      <c r="P525" s="1412" t="str">
        <f t="shared" si="18"/>
        <v>#DIV/0!</v>
      </c>
      <c r="Q525" s="1412" t="str">
        <f>IF(P525&lt;'PlayerGrades+'!$AG$21,"F-",IF(P525&lt;'PlayerGrades+'!$AG$20,"F",IF(P525&lt;'PlayerGrades+'!$AG$19,"F+",IF(P525&lt;'PlayerGrades+'!$AG$18,"E-",IF(P525&lt;'PlayerGrades+'!$AG$17,"E",IF(P525&lt;'PlayerGrades+'!$AG$16,"E+",IF(P525&lt;'PlayerGrades+'!$AG$15,"D-",IF(P525&lt;'PlayerGrades+'!$AG$14,"D",IF(P525&lt;'PlayerGrades+'!$AG$13,"D+",IF(P525&lt;'PlayerGrades+'!$AG$12,"C-",IF(P525&lt;'PlayerGrades+'!$AG$11,"C",IF(P525&lt;'PlayerGrades+'!$AG$10,"C+",IF(P525&lt;'PlayerGrades+'!$AG$9,"B-",IF(P525&lt;'PlayerGrades+'!$AG$8,"B",IF(P525&lt;'PlayerGrades+'!$AG$7,"B+",IF(P525&lt;'PlayerGrades+'!$AG$6,"A-",IF(P525&lt;'PlayerGrades+'!$AG$5,"A",IF(P525&lt;'PlayerGrades+'!$AG$4,"A+",IF(P525&lt;'PlayerGrades+'!$AG$3,"S-",IF(P525&lt;'PlayerGrades+'!$AG$2,"S","S+"))))))))))))))))))))</f>
        <v>#DIV/0!</v>
      </c>
      <c r="R525" s="1412" t="str">
        <f t="shared" si="19"/>
        <v>#REF!</v>
      </c>
      <c r="S525" s="1412" t="str">
        <f>IF(R525&lt;'PlayerGrades+'!$AH$21,"F-",IF(R525&lt;'PlayerGrades+'!$AH$20,"F",IF(R525&lt;'PlayerGrades+'!$AH$19,"F+",IF(R525&lt;'PlayerGrades+'!$AH$18,"E-",IF(R525&lt;'PlayerGrades+'!$AH$17,"E",IF(R525&lt;'PlayerGrades+'!$AH$16,"E+",IF(R525&lt;'PlayerGrades+'!$AH$15,"D-",IF(R525&lt;'PlayerGrades+'!$AH$14,"D",IF(R525&lt;'PlayerGrades+'!$AH$13,"D+",IF(R525&lt;'PlayerGrades+'!$AH$12,"C-",IF(R525&lt;'PlayerGrades+'!$AH$11,"C",IF(R525&lt;'PlayerGrades+'!$AH$10,"C+",IF(R525&lt;'PlayerGrades+'!$AH$9,"B-",IF(R525&lt;'PlayerGrades+'!$AH$8,"B",IF(R525&lt;'PlayerGrades+'!$AH$7,"B+",IF(R525&lt;'PlayerGrades+'!$AH$6,"A-",IF(R525&lt;'PlayerGrades+'!$AH$5,"A",IF(R525&lt;'PlayerGrades+'!$AH$4,"A+",IF(R525&lt;'PlayerGrades+'!$AH$3,"S-",IF(R525&lt;'PlayerGrades+'!$AH$2,"S","S+"))))))))))))))))))))</f>
        <v>#REF!</v>
      </c>
      <c r="T525" s="1412" t="str">
        <f t="shared" si="20"/>
        <v>#REF!</v>
      </c>
      <c r="U525" s="1412" t="str">
        <f>IF(T525&lt;'PlayerGrades+'!$AI$21,"F-",IF(T525&lt;'PlayerGrades+'!$AI$20,"F",IF(T525&lt;'PlayerGrades+'!$AI$19,"F+",IF(T525&lt;'PlayerGrades+'!$AI$18,"E-",IF(T525&lt;'PlayerGrades+'!$AI$17,"E",IF(T525&lt;'PlayerGrades+'!$AI$16,"E+",IF(T525&lt;'PlayerGrades+'!$AI$15,"D-",IF(T525&lt;'PlayerGrades+'!$AI$14,"D",IF(T525&lt;'PlayerGrades+'!$AI$13,"D+",IF(T525&lt;'PlayerGrades+'!$AI$12,"C-",IF(T525&lt;'PlayerGrades+'!$AI$11,"C",IF(T525&lt;'PlayerGrades+'!$AI$10,"C+",IF(T525&lt;'PlayerGrades+'!$AI$9,"B-",IF(T525&lt;'PlayerGrades+'!$AI$8,"B",IF(T525&lt;'PlayerGrades+'!$AI$7,"B+",IF(T525&lt;'PlayerGrades+'!$AI$6,"A-",IF(T525&lt;'PlayerGrades+'!$AI$5,"A",IF(T525&lt;'PlayerGrades+'!$AI$4,"A+",IF(T525&lt;'PlayerGrades+'!$AI$3,"S-",IF(T525&lt;'PlayerGrades+'!$AI$2,"S","S+"))))))))))))))))))))</f>
        <v>#REF!</v>
      </c>
      <c r="AC525" s="1392"/>
    </row>
    <row r="526">
      <c r="A526" s="1391"/>
      <c r="B526" s="611" t="str">
        <f>IF(C526&lt;'PlayerGrades+'!$Y$44,"F-",IF(C526&lt;'PlayerGrades+'!$Y$43,"F",IF(C526&lt;'PlayerGrades+'!$Y$42,"F+",IF(C526&lt;'PlayerGrades+'!$Y$41,"E-",IF(C526&lt;'PlayerGrades+'!$Y$40,"E",IF(C526&lt;'PlayerGrades+'!$Y$39,"E+",IF(C526&lt;'PlayerGrades+'!$Y$38,"D-",IF(C526&lt;'PlayerGrades+'!$Y$37,"D",IF(C526&lt;'PlayerGrades+'!$Y$36,"D+",IF(C526&lt;'PlayerGrades+'!$Y$35,"C-",IF(C526&lt;'PlayerGrades+'!$Y$34,"C",IF(C526&lt;'PlayerGrades+'!$Y$33,"C+",IF(C526&lt;'PlayerGrades+'!$Y$32,"B-",IF(C526&lt;'PlayerGrades+'!$Y$31,"B",IF(C526&lt;'PlayerGrades+'!$Y$30,"B+",IF(C526&lt;'PlayerGrades+'!$Y$29,"A-",IF(C526&lt;'PlayerGrades+'!$Y$28,"A",IF(C526&lt;'PlayerGrades+'!$Y$27,"A+",IF(C526&lt;'PlayerGrades+'!$Y$26,"S-",IF(C526&lt;'PlayerGrades+'!$Y$25,"S","S+"))))))))))))))))))))</f>
        <v>#DIV/0!</v>
      </c>
      <c r="C526" s="1378" t="str">
        <f>('PlayerGrades+'!$Y$47*(VLOOKUP(E526, 'PlayerGrades+'!$X$3:$Y$23, 2, FALSE)))+('PlayerGrades+'!$Y$48*(VLOOKUP(G526, 'PlayerGrades+'!$X$3:$Y$23, 2, FALSE)))+('PlayerGrades+'!$Y$49*(VLOOKUP(I526, 'PlayerGrades+'!$X$3:$Y$23, 2, FALSE)))+('PlayerGrades+'!$Y$50*(VLOOKUP(K526, 'PlayerGrades+'!$X$3:$Y$23, 2, FALSE)))+('PlayerGrades+'!$Y$51*(VLOOKUP(M526, 'PlayerGrades+'!$X$3:$Y$23, 2, FALSE)))+('PlayerGrades+'!$Y$52*(VLOOKUP(O526, 'PlayerGrades+'!$X$3:$Y$23, 2, FALSE)))+('PlayerGrades+'!$Y$53*(VLOOKUP(Q526, 'PlayerGrades+'!$X$3:$Y$23, 2, FALSE)))+('PlayerGrades+'!$Y$54*(VLOOKUP(S526, 'PlayerGrades+'!$X$3:$Y$23, 2, FALSE)))+('PlayerGrades+'!$Y$55*(VLOOKUP(U526, 'PlayerGrades+'!$X$3:$Y$23, 2, FALSE)))</f>
        <v>#DIV/0!</v>
      </c>
      <c r="D526" s="1412" t="str">
        <f t="shared" si="12"/>
        <v>#DIV/0!</v>
      </c>
      <c r="E526" s="1412" t="str">
        <f>IF(D526&lt;'PlayerGrades+'!$AA$21,"F-",IF(D526&lt;'PlayerGrades+'!$AA$20,"F",IF(D526&lt;'PlayerGrades+'!$AA$19,"F+",IF(D526&lt;'PlayerGrades+'!$AA$18,"E-",IF(D526&lt;'PlayerGrades+'!$AA$17,"E",IF(D526&lt;'PlayerGrades+'!$AA$16,"E+",IF(D526&lt;'PlayerGrades+'!$AA$15,"D-",IF(D526&lt;'PlayerGrades+'!$AA$14,"D",IF(D526&lt;'PlayerGrades+'!$AA$13,"D+",IF(D526&lt;'PlayerGrades+'!$AA$12,"C-",IF(D526&lt;'PlayerGrades+'!$AA$11,"C",IF(D526&lt;'PlayerGrades+'!$AA$10,"C+",IF(D526&lt;'PlayerGrades+'!$AA$9,"B-",IF(D526&lt;'PlayerGrades+'!$AA$8,"B",IF(D526&lt;'PlayerGrades+'!$AA$7,"B+",IF(D526&lt;'PlayerGrades+'!$AA$6,"A-",IF(D526&lt;'PlayerGrades+'!$AA$5,"A",IF(D526&lt;'PlayerGrades+'!$AA$4,"A+",IF(D526&lt;'PlayerGrades+'!$AA$3,"S-",IF(D526&lt;'PlayerGrades+'!$AA$2,"S","S+"))))))))))))))))))))</f>
        <v>#DIV/0!</v>
      </c>
      <c r="F526" s="1412" t="str">
        <f t="shared" si="13"/>
        <v>#DIV/0!</v>
      </c>
      <c r="G526" s="1412" t="str">
        <f>IF(F526&lt;'PlayerGrades+'!$AB$21,"F-",IF(F526&lt;'PlayerGrades+'!$AB$20,"F",IF(F526&lt;'PlayerGrades+'!$AB$19,"F+",IF(F526&lt;'PlayerGrades+'!$AB$18,"E-",IF(F526&lt;'PlayerGrades+'!$AB$17,"E",IF(F526&lt;'PlayerGrades+'!$AB$16,"E+",IF(F526&lt;'PlayerGrades+'!$AB$15,"D-",IF(F526&lt;'PlayerGrades+'!$AB$14,"D",IF(F526&lt;'PlayerGrades+'!$AB$13,"D+",IF(F526&lt;'PlayerGrades+'!$AB$12,"C-",IF(F526&lt;'PlayerGrades+'!$AB$11,"C",IF(F526&lt;'PlayerGrades+'!$AB$10,"C+",IF(F526&lt;'PlayerGrades+'!$AB$9,"B-",IF(F526&lt;'PlayerGrades+'!$AB$8,"B",IF(F526&lt;'PlayerGrades+'!$AB$7,"B+",IF(F526&lt;'PlayerGrades+'!$AB$6,"A-",IF(F526&lt;'PlayerGrades+'!$AB$5,"A",IF(F526&lt;'PlayerGrades+'!$AB$4,"A+",IF(F526&lt;'PlayerGrades+'!$AB$3,"S-",IF(F526&lt;'PlayerGrades+'!$AB$2,"S","S+"))))))))))))))))))))</f>
        <v>#DIV/0!</v>
      </c>
      <c r="H526" s="1412" t="str">
        <f t="shared" si="14"/>
        <v>#DIV/0!</v>
      </c>
      <c r="I526" s="1412" t="str">
        <f>IF(H526&lt;'PlayerGrades+'!$AC$21,"F-",IF(H526&lt;'PlayerGrades+'!$AC$20,"F",IF(H526&lt;'PlayerGrades+'!$AC$19,"F+",IF(H526&lt;'PlayerGrades+'!$AC$18,"E-",IF(H526&lt;'PlayerGrades+'!$AC$17,"E",IF(H526&lt;'PlayerGrades+'!$AC$16,"E+",IF(H526&lt;'PlayerGrades+'!$AC$15,"D-",IF(H526&lt;'PlayerGrades+'!$AC$14,"D",IF(H526&lt;'PlayerGrades+'!$AC$13,"D+",IF(H526&lt;'PlayerGrades+'!$AC$12,"C-",IF(H526&lt;'PlayerGrades+'!$AC$11,"C",IF(H526&lt;'PlayerGrades+'!$AC$10,"C+",IF(H526&lt;'PlayerGrades+'!$AC$9,"B-",IF(H526&lt;'PlayerGrades+'!$AC$8,"B",IF(H526&lt;'PlayerGrades+'!$AC$7,"B+",IF(H526&lt;'PlayerGrades+'!$AC$6,"A-",IF(H526&lt;'PlayerGrades+'!$AC$5,"A",IF(H526&lt;'PlayerGrades+'!$AC$4,"A+",IF(H526&lt;'PlayerGrades+'!$AC$3,"S-",IF(H526&lt;'PlayerGrades+'!$AC$2,"S","S+"))))))))))))))))))))</f>
        <v>#DIV/0!</v>
      </c>
      <c r="J526" s="1412" t="str">
        <f t="shared" si="15"/>
        <v>#DIV/0!</v>
      </c>
      <c r="K526" s="1412" t="str">
        <f>IF(J526&lt;'PlayerGrades+'!$AD$21,"F-",IF(J526&lt;'PlayerGrades+'!$AD$20,"F",IF(J526&lt;'PlayerGrades+'!$AD$19,"F+",IF(J526&lt;'PlayerGrades+'!$AD$18,"E-",IF(J526&lt;'PlayerGrades+'!$AD$17,"E",IF(J526&lt;'PlayerGrades+'!$AD$16,"E+",IF(J526&lt;'PlayerGrades+'!$AD$15,"D-",IF(J526&lt;'PlayerGrades+'!$AD$14,"D",IF(J526&lt;'PlayerGrades+'!$AD$13,"D+",IF(J526&lt;'PlayerGrades+'!$AD$12,"C-",IF(J526&lt;'PlayerGrades+'!$AD$11,"C",IF(J526&lt;'PlayerGrades+'!$AD$10,"C+",IF(J526&lt;'PlayerGrades+'!$AD$9,"B-",IF(J526&lt;'PlayerGrades+'!$AD$8,"B",IF(J526&lt;'PlayerGrades+'!$AD$7,"B+",IF(J526&lt;'PlayerGrades+'!$AD$6,"A-",IF(J526&lt;'PlayerGrades+'!$AD$5,"A",IF(J526&lt;'PlayerGrades+'!$AD$4,"A+",IF(J526&lt;'PlayerGrades+'!$AD$3,"S-",IF(J526&lt;'PlayerGrades+'!$AD$2,"S","S+"))))))))))))))))))))</f>
        <v>#DIV/0!</v>
      </c>
      <c r="L526" s="1413" t="str">
        <f t="shared" si="16"/>
        <v>#DIV/0!</v>
      </c>
      <c r="M526" s="1156" t="str">
        <f>IF(L526&lt;'PlayerGrades+'!$AE$21,"F-",IF(L526&lt;'PlayerGrades+'!$AE$20,"F",IF(L526&lt;'PlayerGrades+'!$AE$19,"F+",IF(L526&lt;'PlayerGrades+'!$AE$18,"E-",IF(L526&lt;'PlayerGrades+'!$AE$17,"E",IF(L526&lt;'PlayerGrades+'!$AE$16,"E+",IF(L526&lt;'PlayerGrades+'!$AE$15,"D-",IF(L526&lt;'PlayerGrades+'!$AE$14,"D",IF(L526&lt;'PlayerGrades+'!$AE$13,"D+",IF(L526&lt;'PlayerGrades+'!$AE$12,"C-",IF(L526&lt;'PlayerGrades+'!$AE$11,"C",IF(L526&lt;'PlayerGrades+'!$AE$10,"C+",IF(L526&lt;'PlayerGrades+'!$AE$9,"B-",IF(L526&lt;'PlayerGrades+'!$AE$8,"B",IF(L526&lt;'PlayerGrades+'!$AE$7,"B+",IF(L526&lt;'PlayerGrades+'!$AE$6,"A-",IF(L526&lt;'PlayerGrades+'!$AE$5,"A",IF(L526&lt;'PlayerGrades+'!$AE$4,"A+",IF(L526&lt;'PlayerGrades+'!$AE$3,"S-",IF(L526&lt;'PlayerGrades+'!$AE$2,"S","S+"))))))))))))))))))))</f>
        <v>#DIV/0!</v>
      </c>
      <c r="N526" s="1412" t="str">
        <f t="shared" si="17"/>
        <v>#DIV/0!</v>
      </c>
      <c r="O526" s="1412" t="str">
        <f>IF(N526&lt;'PlayerGrades+'!$AF$21,"F-",IF(N526&lt;'PlayerGrades+'!$AF$20,"F",IF(N526&lt;'PlayerGrades+'!$AF$19,"F+",IF(N526&lt;'PlayerGrades+'!$AF$18,"E-",IF(N526&lt;'PlayerGrades+'!$AF$17,"E",IF(N526&lt;'PlayerGrades+'!$AF$16,"E+",IF(N526&lt;'PlayerGrades+'!$AF$15,"D-",IF(N526&lt;'PlayerGrades+'!$AF$14,"D",IF(N526&lt;'PlayerGrades+'!$AF$13,"D+",IF(N526&lt;'PlayerGrades+'!$AF$12,"C-",IF(N526&lt;'PlayerGrades+'!$AF$11,"C",IF(N526&lt;'PlayerGrades+'!$AF$10,"C+",IF(N526&lt;'PlayerGrades+'!$AF$9,"B-",IF(N526&lt;'PlayerGrades+'!$AF$8,"B",IF(N526&lt;'PlayerGrades+'!$AF$7,"B+",IF(N526&lt;'PlayerGrades+'!$AF$6,"A-",IF(N526&lt;'PlayerGrades+'!$AF$5,"A",IF(N526&lt;'PlayerGrades+'!$AF$4,"A+",IF(N526&lt;'PlayerGrades+'!$AF$3,"S-",IF(N526&lt;'PlayerGrades+'!$AF$2,"S","S+"))))))))))))))))))))</f>
        <v>#DIV/0!</v>
      </c>
      <c r="P526" s="1412" t="str">
        <f t="shared" si="18"/>
        <v>#DIV/0!</v>
      </c>
      <c r="Q526" s="1412" t="str">
        <f>IF(P526&lt;'PlayerGrades+'!$AG$21,"F-",IF(P526&lt;'PlayerGrades+'!$AG$20,"F",IF(P526&lt;'PlayerGrades+'!$AG$19,"F+",IF(P526&lt;'PlayerGrades+'!$AG$18,"E-",IF(P526&lt;'PlayerGrades+'!$AG$17,"E",IF(P526&lt;'PlayerGrades+'!$AG$16,"E+",IF(P526&lt;'PlayerGrades+'!$AG$15,"D-",IF(P526&lt;'PlayerGrades+'!$AG$14,"D",IF(P526&lt;'PlayerGrades+'!$AG$13,"D+",IF(P526&lt;'PlayerGrades+'!$AG$12,"C-",IF(P526&lt;'PlayerGrades+'!$AG$11,"C",IF(P526&lt;'PlayerGrades+'!$AG$10,"C+",IF(P526&lt;'PlayerGrades+'!$AG$9,"B-",IF(P526&lt;'PlayerGrades+'!$AG$8,"B",IF(P526&lt;'PlayerGrades+'!$AG$7,"B+",IF(P526&lt;'PlayerGrades+'!$AG$6,"A-",IF(P526&lt;'PlayerGrades+'!$AG$5,"A",IF(P526&lt;'PlayerGrades+'!$AG$4,"A+",IF(P526&lt;'PlayerGrades+'!$AG$3,"S-",IF(P526&lt;'PlayerGrades+'!$AG$2,"S","S+"))))))))))))))))))))</f>
        <v>#DIV/0!</v>
      </c>
      <c r="R526" s="1412" t="str">
        <f t="shared" si="19"/>
        <v>#REF!</v>
      </c>
      <c r="S526" s="1412" t="str">
        <f>IF(R526&lt;'PlayerGrades+'!$AH$21,"F-",IF(R526&lt;'PlayerGrades+'!$AH$20,"F",IF(R526&lt;'PlayerGrades+'!$AH$19,"F+",IF(R526&lt;'PlayerGrades+'!$AH$18,"E-",IF(R526&lt;'PlayerGrades+'!$AH$17,"E",IF(R526&lt;'PlayerGrades+'!$AH$16,"E+",IF(R526&lt;'PlayerGrades+'!$AH$15,"D-",IF(R526&lt;'PlayerGrades+'!$AH$14,"D",IF(R526&lt;'PlayerGrades+'!$AH$13,"D+",IF(R526&lt;'PlayerGrades+'!$AH$12,"C-",IF(R526&lt;'PlayerGrades+'!$AH$11,"C",IF(R526&lt;'PlayerGrades+'!$AH$10,"C+",IF(R526&lt;'PlayerGrades+'!$AH$9,"B-",IF(R526&lt;'PlayerGrades+'!$AH$8,"B",IF(R526&lt;'PlayerGrades+'!$AH$7,"B+",IF(R526&lt;'PlayerGrades+'!$AH$6,"A-",IF(R526&lt;'PlayerGrades+'!$AH$5,"A",IF(R526&lt;'PlayerGrades+'!$AH$4,"A+",IF(R526&lt;'PlayerGrades+'!$AH$3,"S-",IF(R526&lt;'PlayerGrades+'!$AH$2,"S","S+"))))))))))))))))))))</f>
        <v>#REF!</v>
      </c>
      <c r="T526" s="1412" t="str">
        <f t="shared" si="20"/>
        <v>#REF!</v>
      </c>
      <c r="U526" s="1412" t="str">
        <f>IF(T526&lt;'PlayerGrades+'!$AI$21,"F-",IF(T526&lt;'PlayerGrades+'!$AI$20,"F",IF(T526&lt;'PlayerGrades+'!$AI$19,"F+",IF(T526&lt;'PlayerGrades+'!$AI$18,"E-",IF(T526&lt;'PlayerGrades+'!$AI$17,"E",IF(T526&lt;'PlayerGrades+'!$AI$16,"E+",IF(T526&lt;'PlayerGrades+'!$AI$15,"D-",IF(T526&lt;'PlayerGrades+'!$AI$14,"D",IF(T526&lt;'PlayerGrades+'!$AI$13,"D+",IF(T526&lt;'PlayerGrades+'!$AI$12,"C-",IF(T526&lt;'PlayerGrades+'!$AI$11,"C",IF(T526&lt;'PlayerGrades+'!$AI$10,"C+",IF(T526&lt;'PlayerGrades+'!$AI$9,"B-",IF(T526&lt;'PlayerGrades+'!$AI$8,"B",IF(T526&lt;'PlayerGrades+'!$AI$7,"B+",IF(T526&lt;'PlayerGrades+'!$AI$6,"A-",IF(T526&lt;'PlayerGrades+'!$AI$5,"A",IF(T526&lt;'PlayerGrades+'!$AI$4,"A+",IF(T526&lt;'PlayerGrades+'!$AI$3,"S-",IF(T526&lt;'PlayerGrades+'!$AI$2,"S","S+"))))))))))))))))))))</f>
        <v>#REF!</v>
      </c>
      <c r="AC526" s="1392"/>
    </row>
    <row r="527">
      <c r="A527" s="1391"/>
      <c r="B527" s="611" t="str">
        <f>IF(C527&lt;'PlayerGrades+'!$Y$44,"F-",IF(C527&lt;'PlayerGrades+'!$Y$43,"F",IF(C527&lt;'PlayerGrades+'!$Y$42,"F+",IF(C527&lt;'PlayerGrades+'!$Y$41,"E-",IF(C527&lt;'PlayerGrades+'!$Y$40,"E",IF(C527&lt;'PlayerGrades+'!$Y$39,"E+",IF(C527&lt;'PlayerGrades+'!$Y$38,"D-",IF(C527&lt;'PlayerGrades+'!$Y$37,"D",IF(C527&lt;'PlayerGrades+'!$Y$36,"D+",IF(C527&lt;'PlayerGrades+'!$Y$35,"C-",IF(C527&lt;'PlayerGrades+'!$Y$34,"C",IF(C527&lt;'PlayerGrades+'!$Y$33,"C+",IF(C527&lt;'PlayerGrades+'!$Y$32,"B-",IF(C527&lt;'PlayerGrades+'!$Y$31,"B",IF(C527&lt;'PlayerGrades+'!$Y$30,"B+",IF(C527&lt;'PlayerGrades+'!$Y$29,"A-",IF(C527&lt;'PlayerGrades+'!$Y$28,"A",IF(C527&lt;'PlayerGrades+'!$Y$27,"A+",IF(C527&lt;'PlayerGrades+'!$Y$26,"S-",IF(C527&lt;'PlayerGrades+'!$Y$25,"S","S+"))))))))))))))))))))</f>
        <v>#DIV/0!</v>
      </c>
      <c r="C527" s="1378" t="str">
        <f>('PlayerGrades+'!$Y$47*(VLOOKUP(E527, 'PlayerGrades+'!$X$3:$Y$23, 2, FALSE)))+('PlayerGrades+'!$Y$48*(VLOOKUP(G527, 'PlayerGrades+'!$X$3:$Y$23, 2, FALSE)))+('PlayerGrades+'!$Y$49*(VLOOKUP(I527, 'PlayerGrades+'!$X$3:$Y$23, 2, FALSE)))+('PlayerGrades+'!$Y$50*(VLOOKUP(K527, 'PlayerGrades+'!$X$3:$Y$23, 2, FALSE)))+('PlayerGrades+'!$Y$51*(VLOOKUP(M527, 'PlayerGrades+'!$X$3:$Y$23, 2, FALSE)))+('PlayerGrades+'!$Y$52*(VLOOKUP(O527, 'PlayerGrades+'!$X$3:$Y$23, 2, FALSE)))+('PlayerGrades+'!$Y$53*(VLOOKUP(Q527, 'PlayerGrades+'!$X$3:$Y$23, 2, FALSE)))+('PlayerGrades+'!$Y$54*(VLOOKUP(S527, 'PlayerGrades+'!$X$3:$Y$23, 2, FALSE)))+('PlayerGrades+'!$Y$55*(VLOOKUP(U527, 'PlayerGrades+'!$X$3:$Y$23, 2, FALSE)))</f>
        <v>#DIV/0!</v>
      </c>
      <c r="D527" s="1412" t="str">
        <f t="shared" si="12"/>
        <v>#DIV/0!</v>
      </c>
      <c r="E527" s="1412" t="str">
        <f>IF(D527&lt;'PlayerGrades+'!$AA$21,"F-",IF(D527&lt;'PlayerGrades+'!$AA$20,"F",IF(D527&lt;'PlayerGrades+'!$AA$19,"F+",IF(D527&lt;'PlayerGrades+'!$AA$18,"E-",IF(D527&lt;'PlayerGrades+'!$AA$17,"E",IF(D527&lt;'PlayerGrades+'!$AA$16,"E+",IF(D527&lt;'PlayerGrades+'!$AA$15,"D-",IF(D527&lt;'PlayerGrades+'!$AA$14,"D",IF(D527&lt;'PlayerGrades+'!$AA$13,"D+",IF(D527&lt;'PlayerGrades+'!$AA$12,"C-",IF(D527&lt;'PlayerGrades+'!$AA$11,"C",IF(D527&lt;'PlayerGrades+'!$AA$10,"C+",IF(D527&lt;'PlayerGrades+'!$AA$9,"B-",IF(D527&lt;'PlayerGrades+'!$AA$8,"B",IF(D527&lt;'PlayerGrades+'!$AA$7,"B+",IF(D527&lt;'PlayerGrades+'!$AA$6,"A-",IF(D527&lt;'PlayerGrades+'!$AA$5,"A",IF(D527&lt;'PlayerGrades+'!$AA$4,"A+",IF(D527&lt;'PlayerGrades+'!$AA$3,"S-",IF(D527&lt;'PlayerGrades+'!$AA$2,"S","S+"))))))))))))))))))))</f>
        <v>#DIV/0!</v>
      </c>
      <c r="F527" s="1412" t="str">
        <f t="shared" si="13"/>
        <v>#DIV/0!</v>
      </c>
      <c r="G527" s="1412" t="str">
        <f>IF(F527&lt;'PlayerGrades+'!$AB$21,"F-",IF(F527&lt;'PlayerGrades+'!$AB$20,"F",IF(F527&lt;'PlayerGrades+'!$AB$19,"F+",IF(F527&lt;'PlayerGrades+'!$AB$18,"E-",IF(F527&lt;'PlayerGrades+'!$AB$17,"E",IF(F527&lt;'PlayerGrades+'!$AB$16,"E+",IF(F527&lt;'PlayerGrades+'!$AB$15,"D-",IF(F527&lt;'PlayerGrades+'!$AB$14,"D",IF(F527&lt;'PlayerGrades+'!$AB$13,"D+",IF(F527&lt;'PlayerGrades+'!$AB$12,"C-",IF(F527&lt;'PlayerGrades+'!$AB$11,"C",IF(F527&lt;'PlayerGrades+'!$AB$10,"C+",IF(F527&lt;'PlayerGrades+'!$AB$9,"B-",IF(F527&lt;'PlayerGrades+'!$AB$8,"B",IF(F527&lt;'PlayerGrades+'!$AB$7,"B+",IF(F527&lt;'PlayerGrades+'!$AB$6,"A-",IF(F527&lt;'PlayerGrades+'!$AB$5,"A",IF(F527&lt;'PlayerGrades+'!$AB$4,"A+",IF(F527&lt;'PlayerGrades+'!$AB$3,"S-",IF(F527&lt;'PlayerGrades+'!$AB$2,"S","S+"))))))))))))))))))))</f>
        <v>#DIV/0!</v>
      </c>
      <c r="H527" s="1412" t="str">
        <f t="shared" si="14"/>
        <v>#DIV/0!</v>
      </c>
      <c r="I527" s="1412" t="str">
        <f>IF(H527&lt;'PlayerGrades+'!$AC$21,"F-",IF(H527&lt;'PlayerGrades+'!$AC$20,"F",IF(H527&lt;'PlayerGrades+'!$AC$19,"F+",IF(H527&lt;'PlayerGrades+'!$AC$18,"E-",IF(H527&lt;'PlayerGrades+'!$AC$17,"E",IF(H527&lt;'PlayerGrades+'!$AC$16,"E+",IF(H527&lt;'PlayerGrades+'!$AC$15,"D-",IF(H527&lt;'PlayerGrades+'!$AC$14,"D",IF(H527&lt;'PlayerGrades+'!$AC$13,"D+",IF(H527&lt;'PlayerGrades+'!$AC$12,"C-",IF(H527&lt;'PlayerGrades+'!$AC$11,"C",IF(H527&lt;'PlayerGrades+'!$AC$10,"C+",IF(H527&lt;'PlayerGrades+'!$AC$9,"B-",IF(H527&lt;'PlayerGrades+'!$AC$8,"B",IF(H527&lt;'PlayerGrades+'!$AC$7,"B+",IF(H527&lt;'PlayerGrades+'!$AC$6,"A-",IF(H527&lt;'PlayerGrades+'!$AC$5,"A",IF(H527&lt;'PlayerGrades+'!$AC$4,"A+",IF(H527&lt;'PlayerGrades+'!$AC$3,"S-",IF(H527&lt;'PlayerGrades+'!$AC$2,"S","S+"))))))))))))))))))))</f>
        <v>#DIV/0!</v>
      </c>
      <c r="J527" s="1412" t="str">
        <f t="shared" si="15"/>
        <v>#DIV/0!</v>
      </c>
      <c r="K527" s="1412" t="str">
        <f>IF(J527&lt;'PlayerGrades+'!$AD$21,"F-",IF(J527&lt;'PlayerGrades+'!$AD$20,"F",IF(J527&lt;'PlayerGrades+'!$AD$19,"F+",IF(J527&lt;'PlayerGrades+'!$AD$18,"E-",IF(J527&lt;'PlayerGrades+'!$AD$17,"E",IF(J527&lt;'PlayerGrades+'!$AD$16,"E+",IF(J527&lt;'PlayerGrades+'!$AD$15,"D-",IF(J527&lt;'PlayerGrades+'!$AD$14,"D",IF(J527&lt;'PlayerGrades+'!$AD$13,"D+",IF(J527&lt;'PlayerGrades+'!$AD$12,"C-",IF(J527&lt;'PlayerGrades+'!$AD$11,"C",IF(J527&lt;'PlayerGrades+'!$AD$10,"C+",IF(J527&lt;'PlayerGrades+'!$AD$9,"B-",IF(J527&lt;'PlayerGrades+'!$AD$8,"B",IF(J527&lt;'PlayerGrades+'!$AD$7,"B+",IF(J527&lt;'PlayerGrades+'!$AD$6,"A-",IF(J527&lt;'PlayerGrades+'!$AD$5,"A",IF(J527&lt;'PlayerGrades+'!$AD$4,"A+",IF(J527&lt;'PlayerGrades+'!$AD$3,"S-",IF(J527&lt;'PlayerGrades+'!$AD$2,"S","S+"))))))))))))))))))))</f>
        <v>#DIV/0!</v>
      </c>
      <c r="L527" s="1413" t="str">
        <f t="shared" si="16"/>
        <v>#DIV/0!</v>
      </c>
      <c r="M527" s="1156" t="str">
        <f>IF(L527&lt;'PlayerGrades+'!$AE$21,"F-",IF(L527&lt;'PlayerGrades+'!$AE$20,"F",IF(L527&lt;'PlayerGrades+'!$AE$19,"F+",IF(L527&lt;'PlayerGrades+'!$AE$18,"E-",IF(L527&lt;'PlayerGrades+'!$AE$17,"E",IF(L527&lt;'PlayerGrades+'!$AE$16,"E+",IF(L527&lt;'PlayerGrades+'!$AE$15,"D-",IF(L527&lt;'PlayerGrades+'!$AE$14,"D",IF(L527&lt;'PlayerGrades+'!$AE$13,"D+",IF(L527&lt;'PlayerGrades+'!$AE$12,"C-",IF(L527&lt;'PlayerGrades+'!$AE$11,"C",IF(L527&lt;'PlayerGrades+'!$AE$10,"C+",IF(L527&lt;'PlayerGrades+'!$AE$9,"B-",IF(L527&lt;'PlayerGrades+'!$AE$8,"B",IF(L527&lt;'PlayerGrades+'!$AE$7,"B+",IF(L527&lt;'PlayerGrades+'!$AE$6,"A-",IF(L527&lt;'PlayerGrades+'!$AE$5,"A",IF(L527&lt;'PlayerGrades+'!$AE$4,"A+",IF(L527&lt;'PlayerGrades+'!$AE$3,"S-",IF(L527&lt;'PlayerGrades+'!$AE$2,"S","S+"))))))))))))))))))))</f>
        <v>#DIV/0!</v>
      </c>
      <c r="N527" s="1412" t="str">
        <f t="shared" si="17"/>
        <v>#DIV/0!</v>
      </c>
      <c r="O527" s="1412" t="str">
        <f>IF(N527&lt;'PlayerGrades+'!$AF$21,"F-",IF(N527&lt;'PlayerGrades+'!$AF$20,"F",IF(N527&lt;'PlayerGrades+'!$AF$19,"F+",IF(N527&lt;'PlayerGrades+'!$AF$18,"E-",IF(N527&lt;'PlayerGrades+'!$AF$17,"E",IF(N527&lt;'PlayerGrades+'!$AF$16,"E+",IF(N527&lt;'PlayerGrades+'!$AF$15,"D-",IF(N527&lt;'PlayerGrades+'!$AF$14,"D",IF(N527&lt;'PlayerGrades+'!$AF$13,"D+",IF(N527&lt;'PlayerGrades+'!$AF$12,"C-",IF(N527&lt;'PlayerGrades+'!$AF$11,"C",IF(N527&lt;'PlayerGrades+'!$AF$10,"C+",IF(N527&lt;'PlayerGrades+'!$AF$9,"B-",IF(N527&lt;'PlayerGrades+'!$AF$8,"B",IF(N527&lt;'PlayerGrades+'!$AF$7,"B+",IF(N527&lt;'PlayerGrades+'!$AF$6,"A-",IF(N527&lt;'PlayerGrades+'!$AF$5,"A",IF(N527&lt;'PlayerGrades+'!$AF$4,"A+",IF(N527&lt;'PlayerGrades+'!$AF$3,"S-",IF(N527&lt;'PlayerGrades+'!$AF$2,"S","S+"))))))))))))))))))))</f>
        <v>#DIV/0!</v>
      </c>
      <c r="P527" s="1412" t="str">
        <f t="shared" si="18"/>
        <v>#DIV/0!</v>
      </c>
      <c r="Q527" s="1412" t="str">
        <f>IF(P527&lt;'PlayerGrades+'!$AG$21,"F-",IF(P527&lt;'PlayerGrades+'!$AG$20,"F",IF(P527&lt;'PlayerGrades+'!$AG$19,"F+",IF(P527&lt;'PlayerGrades+'!$AG$18,"E-",IF(P527&lt;'PlayerGrades+'!$AG$17,"E",IF(P527&lt;'PlayerGrades+'!$AG$16,"E+",IF(P527&lt;'PlayerGrades+'!$AG$15,"D-",IF(P527&lt;'PlayerGrades+'!$AG$14,"D",IF(P527&lt;'PlayerGrades+'!$AG$13,"D+",IF(P527&lt;'PlayerGrades+'!$AG$12,"C-",IF(P527&lt;'PlayerGrades+'!$AG$11,"C",IF(P527&lt;'PlayerGrades+'!$AG$10,"C+",IF(P527&lt;'PlayerGrades+'!$AG$9,"B-",IF(P527&lt;'PlayerGrades+'!$AG$8,"B",IF(P527&lt;'PlayerGrades+'!$AG$7,"B+",IF(P527&lt;'PlayerGrades+'!$AG$6,"A-",IF(P527&lt;'PlayerGrades+'!$AG$5,"A",IF(P527&lt;'PlayerGrades+'!$AG$4,"A+",IF(P527&lt;'PlayerGrades+'!$AG$3,"S-",IF(P527&lt;'PlayerGrades+'!$AG$2,"S","S+"))))))))))))))))))))</f>
        <v>#DIV/0!</v>
      </c>
      <c r="R527" s="1412" t="str">
        <f t="shared" si="19"/>
        <v>#REF!</v>
      </c>
      <c r="S527" s="1412" t="str">
        <f>IF(R527&lt;'PlayerGrades+'!$AH$21,"F-",IF(R527&lt;'PlayerGrades+'!$AH$20,"F",IF(R527&lt;'PlayerGrades+'!$AH$19,"F+",IF(R527&lt;'PlayerGrades+'!$AH$18,"E-",IF(R527&lt;'PlayerGrades+'!$AH$17,"E",IF(R527&lt;'PlayerGrades+'!$AH$16,"E+",IF(R527&lt;'PlayerGrades+'!$AH$15,"D-",IF(R527&lt;'PlayerGrades+'!$AH$14,"D",IF(R527&lt;'PlayerGrades+'!$AH$13,"D+",IF(R527&lt;'PlayerGrades+'!$AH$12,"C-",IF(R527&lt;'PlayerGrades+'!$AH$11,"C",IF(R527&lt;'PlayerGrades+'!$AH$10,"C+",IF(R527&lt;'PlayerGrades+'!$AH$9,"B-",IF(R527&lt;'PlayerGrades+'!$AH$8,"B",IF(R527&lt;'PlayerGrades+'!$AH$7,"B+",IF(R527&lt;'PlayerGrades+'!$AH$6,"A-",IF(R527&lt;'PlayerGrades+'!$AH$5,"A",IF(R527&lt;'PlayerGrades+'!$AH$4,"A+",IF(R527&lt;'PlayerGrades+'!$AH$3,"S-",IF(R527&lt;'PlayerGrades+'!$AH$2,"S","S+"))))))))))))))))))))</f>
        <v>#REF!</v>
      </c>
      <c r="T527" s="1412" t="str">
        <f t="shared" si="20"/>
        <v>#REF!</v>
      </c>
      <c r="U527" s="1412" t="str">
        <f>IF(T527&lt;'PlayerGrades+'!$AI$21,"F-",IF(T527&lt;'PlayerGrades+'!$AI$20,"F",IF(T527&lt;'PlayerGrades+'!$AI$19,"F+",IF(T527&lt;'PlayerGrades+'!$AI$18,"E-",IF(T527&lt;'PlayerGrades+'!$AI$17,"E",IF(T527&lt;'PlayerGrades+'!$AI$16,"E+",IF(T527&lt;'PlayerGrades+'!$AI$15,"D-",IF(T527&lt;'PlayerGrades+'!$AI$14,"D",IF(T527&lt;'PlayerGrades+'!$AI$13,"D+",IF(T527&lt;'PlayerGrades+'!$AI$12,"C-",IF(T527&lt;'PlayerGrades+'!$AI$11,"C",IF(T527&lt;'PlayerGrades+'!$AI$10,"C+",IF(T527&lt;'PlayerGrades+'!$AI$9,"B-",IF(T527&lt;'PlayerGrades+'!$AI$8,"B",IF(T527&lt;'PlayerGrades+'!$AI$7,"B+",IF(T527&lt;'PlayerGrades+'!$AI$6,"A-",IF(T527&lt;'PlayerGrades+'!$AI$5,"A",IF(T527&lt;'PlayerGrades+'!$AI$4,"A+",IF(T527&lt;'PlayerGrades+'!$AI$3,"S-",IF(T527&lt;'PlayerGrades+'!$AI$2,"S","S+"))))))))))))))))))))</f>
        <v>#REF!</v>
      </c>
      <c r="AC527" s="1392"/>
    </row>
    <row r="528">
      <c r="A528" s="1391"/>
      <c r="B528" s="611" t="str">
        <f>IF(C528&lt;'PlayerGrades+'!$Y$44,"F-",IF(C528&lt;'PlayerGrades+'!$Y$43,"F",IF(C528&lt;'PlayerGrades+'!$Y$42,"F+",IF(C528&lt;'PlayerGrades+'!$Y$41,"E-",IF(C528&lt;'PlayerGrades+'!$Y$40,"E",IF(C528&lt;'PlayerGrades+'!$Y$39,"E+",IF(C528&lt;'PlayerGrades+'!$Y$38,"D-",IF(C528&lt;'PlayerGrades+'!$Y$37,"D",IF(C528&lt;'PlayerGrades+'!$Y$36,"D+",IF(C528&lt;'PlayerGrades+'!$Y$35,"C-",IF(C528&lt;'PlayerGrades+'!$Y$34,"C",IF(C528&lt;'PlayerGrades+'!$Y$33,"C+",IF(C528&lt;'PlayerGrades+'!$Y$32,"B-",IF(C528&lt;'PlayerGrades+'!$Y$31,"B",IF(C528&lt;'PlayerGrades+'!$Y$30,"B+",IF(C528&lt;'PlayerGrades+'!$Y$29,"A-",IF(C528&lt;'PlayerGrades+'!$Y$28,"A",IF(C528&lt;'PlayerGrades+'!$Y$27,"A+",IF(C528&lt;'PlayerGrades+'!$Y$26,"S-",IF(C528&lt;'PlayerGrades+'!$Y$25,"S","S+"))))))))))))))))))))</f>
        <v>#DIV/0!</v>
      </c>
      <c r="C528" s="1378" t="str">
        <f>('PlayerGrades+'!$Y$47*(VLOOKUP(E528, 'PlayerGrades+'!$X$3:$Y$23, 2, FALSE)))+('PlayerGrades+'!$Y$48*(VLOOKUP(G528, 'PlayerGrades+'!$X$3:$Y$23, 2, FALSE)))+('PlayerGrades+'!$Y$49*(VLOOKUP(I528, 'PlayerGrades+'!$X$3:$Y$23, 2, FALSE)))+('PlayerGrades+'!$Y$50*(VLOOKUP(K528, 'PlayerGrades+'!$X$3:$Y$23, 2, FALSE)))+('PlayerGrades+'!$Y$51*(VLOOKUP(M528, 'PlayerGrades+'!$X$3:$Y$23, 2, FALSE)))+('PlayerGrades+'!$Y$52*(VLOOKUP(O528, 'PlayerGrades+'!$X$3:$Y$23, 2, FALSE)))+('PlayerGrades+'!$Y$53*(VLOOKUP(Q528, 'PlayerGrades+'!$X$3:$Y$23, 2, FALSE)))+('PlayerGrades+'!$Y$54*(VLOOKUP(S528, 'PlayerGrades+'!$X$3:$Y$23, 2, FALSE)))+('PlayerGrades+'!$Y$55*(VLOOKUP(U528, 'PlayerGrades+'!$X$3:$Y$23, 2, FALSE)))</f>
        <v>#DIV/0!</v>
      </c>
      <c r="D528" s="1412" t="str">
        <f t="shared" si="12"/>
        <v>#DIV/0!</v>
      </c>
      <c r="E528" s="1412" t="str">
        <f>IF(D528&lt;'PlayerGrades+'!$AA$21,"F-",IF(D528&lt;'PlayerGrades+'!$AA$20,"F",IF(D528&lt;'PlayerGrades+'!$AA$19,"F+",IF(D528&lt;'PlayerGrades+'!$AA$18,"E-",IF(D528&lt;'PlayerGrades+'!$AA$17,"E",IF(D528&lt;'PlayerGrades+'!$AA$16,"E+",IF(D528&lt;'PlayerGrades+'!$AA$15,"D-",IF(D528&lt;'PlayerGrades+'!$AA$14,"D",IF(D528&lt;'PlayerGrades+'!$AA$13,"D+",IF(D528&lt;'PlayerGrades+'!$AA$12,"C-",IF(D528&lt;'PlayerGrades+'!$AA$11,"C",IF(D528&lt;'PlayerGrades+'!$AA$10,"C+",IF(D528&lt;'PlayerGrades+'!$AA$9,"B-",IF(D528&lt;'PlayerGrades+'!$AA$8,"B",IF(D528&lt;'PlayerGrades+'!$AA$7,"B+",IF(D528&lt;'PlayerGrades+'!$AA$6,"A-",IF(D528&lt;'PlayerGrades+'!$AA$5,"A",IF(D528&lt;'PlayerGrades+'!$AA$4,"A+",IF(D528&lt;'PlayerGrades+'!$AA$3,"S-",IF(D528&lt;'PlayerGrades+'!$AA$2,"S","S+"))))))))))))))))))))</f>
        <v>#DIV/0!</v>
      </c>
      <c r="F528" s="1412" t="str">
        <f t="shared" si="13"/>
        <v>#DIV/0!</v>
      </c>
      <c r="G528" s="1412" t="str">
        <f>IF(F528&lt;'PlayerGrades+'!$AB$21,"F-",IF(F528&lt;'PlayerGrades+'!$AB$20,"F",IF(F528&lt;'PlayerGrades+'!$AB$19,"F+",IF(F528&lt;'PlayerGrades+'!$AB$18,"E-",IF(F528&lt;'PlayerGrades+'!$AB$17,"E",IF(F528&lt;'PlayerGrades+'!$AB$16,"E+",IF(F528&lt;'PlayerGrades+'!$AB$15,"D-",IF(F528&lt;'PlayerGrades+'!$AB$14,"D",IF(F528&lt;'PlayerGrades+'!$AB$13,"D+",IF(F528&lt;'PlayerGrades+'!$AB$12,"C-",IF(F528&lt;'PlayerGrades+'!$AB$11,"C",IF(F528&lt;'PlayerGrades+'!$AB$10,"C+",IF(F528&lt;'PlayerGrades+'!$AB$9,"B-",IF(F528&lt;'PlayerGrades+'!$AB$8,"B",IF(F528&lt;'PlayerGrades+'!$AB$7,"B+",IF(F528&lt;'PlayerGrades+'!$AB$6,"A-",IF(F528&lt;'PlayerGrades+'!$AB$5,"A",IF(F528&lt;'PlayerGrades+'!$AB$4,"A+",IF(F528&lt;'PlayerGrades+'!$AB$3,"S-",IF(F528&lt;'PlayerGrades+'!$AB$2,"S","S+"))))))))))))))))))))</f>
        <v>#DIV/0!</v>
      </c>
      <c r="H528" s="1412" t="str">
        <f t="shared" si="14"/>
        <v>#DIV/0!</v>
      </c>
      <c r="I528" s="1412" t="str">
        <f>IF(H528&lt;'PlayerGrades+'!$AC$21,"F-",IF(H528&lt;'PlayerGrades+'!$AC$20,"F",IF(H528&lt;'PlayerGrades+'!$AC$19,"F+",IF(H528&lt;'PlayerGrades+'!$AC$18,"E-",IF(H528&lt;'PlayerGrades+'!$AC$17,"E",IF(H528&lt;'PlayerGrades+'!$AC$16,"E+",IF(H528&lt;'PlayerGrades+'!$AC$15,"D-",IF(H528&lt;'PlayerGrades+'!$AC$14,"D",IF(H528&lt;'PlayerGrades+'!$AC$13,"D+",IF(H528&lt;'PlayerGrades+'!$AC$12,"C-",IF(H528&lt;'PlayerGrades+'!$AC$11,"C",IF(H528&lt;'PlayerGrades+'!$AC$10,"C+",IF(H528&lt;'PlayerGrades+'!$AC$9,"B-",IF(H528&lt;'PlayerGrades+'!$AC$8,"B",IF(H528&lt;'PlayerGrades+'!$AC$7,"B+",IF(H528&lt;'PlayerGrades+'!$AC$6,"A-",IF(H528&lt;'PlayerGrades+'!$AC$5,"A",IF(H528&lt;'PlayerGrades+'!$AC$4,"A+",IF(H528&lt;'PlayerGrades+'!$AC$3,"S-",IF(H528&lt;'PlayerGrades+'!$AC$2,"S","S+"))))))))))))))))))))</f>
        <v>#DIV/0!</v>
      </c>
      <c r="J528" s="1412" t="str">
        <f t="shared" si="15"/>
        <v>#DIV/0!</v>
      </c>
      <c r="K528" s="1412" t="str">
        <f>IF(J528&lt;'PlayerGrades+'!$AD$21,"F-",IF(J528&lt;'PlayerGrades+'!$AD$20,"F",IF(J528&lt;'PlayerGrades+'!$AD$19,"F+",IF(J528&lt;'PlayerGrades+'!$AD$18,"E-",IF(J528&lt;'PlayerGrades+'!$AD$17,"E",IF(J528&lt;'PlayerGrades+'!$AD$16,"E+",IF(J528&lt;'PlayerGrades+'!$AD$15,"D-",IF(J528&lt;'PlayerGrades+'!$AD$14,"D",IF(J528&lt;'PlayerGrades+'!$AD$13,"D+",IF(J528&lt;'PlayerGrades+'!$AD$12,"C-",IF(J528&lt;'PlayerGrades+'!$AD$11,"C",IF(J528&lt;'PlayerGrades+'!$AD$10,"C+",IF(J528&lt;'PlayerGrades+'!$AD$9,"B-",IF(J528&lt;'PlayerGrades+'!$AD$8,"B",IF(J528&lt;'PlayerGrades+'!$AD$7,"B+",IF(J528&lt;'PlayerGrades+'!$AD$6,"A-",IF(J528&lt;'PlayerGrades+'!$AD$5,"A",IF(J528&lt;'PlayerGrades+'!$AD$4,"A+",IF(J528&lt;'PlayerGrades+'!$AD$3,"S-",IF(J528&lt;'PlayerGrades+'!$AD$2,"S","S+"))))))))))))))))))))</f>
        <v>#DIV/0!</v>
      </c>
      <c r="L528" s="1413" t="str">
        <f t="shared" si="16"/>
        <v>#DIV/0!</v>
      </c>
      <c r="M528" s="1156" t="str">
        <f>IF(L528&lt;'PlayerGrades+'!$AE$21,"F-",IF(L528&lt;'PlayerGrades+'!$AE$20,"F",IF(L528&lt;'PlayerGrades+'!$AE$19,"F+",IF(L528&lt;'PlayerGrades+'!$AE$18,"E-",IF(L528&lt;'PlayerGrades+'!$AE$17,"E",IF(L528&lt;'PlayerGrades+'!$AE$16,"E+",IF(L528&lt;'PlayerGrades+'!$AE$15,"D-",IF(L528&lt;'PlayerGrades+'!$AE$14,"D",IF(L528&lt;'PlayerGrades+'!$AE$13,"D+",IF(L528&lt;'PlayerGrades+'!$AE$12,"C-",IF(L528&lt;'PlayerGrades+'!$AE$11,"C",IF(L528&lt;'PlayerGrades+'!$AE$10,"C+",IF(L528&lt;'PlayerGrades+'!$AE$9,"B-",IF(L528&lt;'PlayerGrades+'!$AE$8,"B",IF(L528&lt;'PlayerGrades+'!$AE$7,"B+",IF(L528&lt;'PlayerGrades+'!$AE$6,"A-",IF(L528&lt;'PlayerGrades+'!$AE$5,"A",IF(L528&lt;'PlayerGrades+'!$AE$4,"A+",IF(L528&lt;'PlayerGrades+'!$AE$3,"S-",IF(L528&lt;'PlayerGrades+'!$AE$2,"S","S+"))))))))))))))))))))</f>
        <v>#DIV/0!</v>
      </c>
      <c r="N528" s="1412" t="str">
        <f t="shared" si="17"/>
        <v>#DIV/0!</v>
      </c>
      <c r="O528" s="1412" t="str">
        <f>IF(N528&lt;'PlayerGrades+'!$AF$21,"F-",IF(N528&lt;'PlayerGrades+'!$AF$20,"F",IF(N528&lt;'PlayerGrades+'!$AF$19,"F+",IF(N528&lt;'PlayerGrades+'!$AF$18,"E-",IF(N528&lt;'PlayerGrades+'!$AF$17,"E",IF(N528&lt;'PlayerGrades+'!$AF$16,"E+",IF(N528&lt;'PlayerGrades+'!$AF$15,"D-",IF(N528&lt;'PlayerGrades+'!$AF$14,"D",IF(N528&lt;'PlayerGrades+'!$AF$13,"D+",IF(N528&lt;'PlayerGrades+'!$AF$12,"C-",IF(N528&lt;'PlayerGrades+'!$AF$11,"C",IF(N528&lt;'PlayerGrades+'!$AF$10,"C+",IF(N528&lt;'PlayerGrades+'!$AF$9,"B-",IF(N528&lt;'PlayerGrades+'!$AF$8,"B",IF(N528&lt;'PlayerGrades+'!$AF$7,"B+",IF(N528&lt;'PlayerGrades+'!$AF$6,"A-",IF(N528&lt;'PlayerGrades+'!$AF$5,"A",IF(N528&lt;'PlayerGrades+'!$AF$4,"A+",IF(N528&lt;'PlayerGrades+'!$AF$3,"S-",IF(N528&lt;'PlayerGrades+'!$AF$2,"S","S+"))))))))))))))))))))</f>
        <v>#DIV/0!</v>
      </c>
      <c r="P528" s="1412" t="str">
        <f t="shared" si="18"/>
        <v>#DIV/0!</v>
      </c>
      <c r="Q528" s="1412" t="str">
        <f>IF(P528&lt;'PlayerGrades+'!$AG$21,"F-",IF(P528&lt;'PlayerGrades+'!$AG$20,"F",IF(P528&lt;'PlayerGrades+'!$AG$19,"F+",IF(P528&lt;'PlayerGrades+'!$AG$18,"E-",IF(P528&lt;'PlayerGrades+'!$AG$17,"E",IF(P528&lt;'PlayerGrades+'!$AG$16,"E+",IF(P528&lt;'PlayerGrades+'!$AG$15,"D-",IF(P528&lt;'PlayerGrades+'!$AG$14,"D",IF(P528&lt;'PlayerGrades+'!$AG$13,"D+",IF(P528&lt;'PlayerGrades+'!$AG$12,"C-",IF(P528&lt;'PlayerGrades+'!$AG$11,"C",IF(P528&lt;'PlayerGrades+'!$AG$10,"C+",IF(P528&lt;'PlayerGrades+'!$AG$9,"B-",IF(P528&lt;'PlayerGrades+'!$AG$8,"B",IF(P528&lt;'PlayerGrades+'!$AG$7,"B+",IF(P528&lt;'PlayerGrades+'!$AG$6,"A-",IF(P528&lt;'PlayerGrades+'!$AG$5,"A",IF(P528&lt;'PlayerGrades+'!$AG$4,"A+",IF(P528&lt;'PlayerGrades+'!$AG$3,"S-",IF(P528&lt;'PlayerGrades+'!$AG$2,"S","S+"))))))))))))))))))))</f>
        <v>#DIV/0!</v>
      </c>
      <c r="R528" s="1412" t="str">
        <f t="shared" si="19"/>
        <v>#REF!</v>
      </c>
      <c r="S528" s="1412" t="str">
        <f>IF(R528&lt;'PlayerGrades+'!$AH$21,"F-",IF(R528&lt;'PlayerGrades+'!$AH$20,"F",IF(R528&lt;'PlayerGrades+'!$AH$19,"F+",IF(R528&lt;'PlayerGrades+'!$AH$18,"E-",IF(R528&lt;'PlayerGrades+'!$AH$17,"E",IF(R528&lt;'PlayerGrades+'!$AH$16,"E+",IF(R528&lt;'PlayerGrades+'!$AH$15,"D-",IF(R528&lt;'PlayerGrades+'!$AH$14,"D",IF(R528&lt;'PlayerGrades+'!$AH$13,"D+",IF(R528&lt;'PlayerGrades+'!$AH$12,"C-",IF(R528&lt;'PlayerGrades+'!$AH$11,"C",IF(R528&lt;'PlayerGrades+'!$AH$10,"C+",IF(R528&lt;'PlayerGrades+'!$AH$9,"B-",IF(R528&lt;'PlayerGrades+'!$AH$8,"B",IF(R528&lt;'PlayerGrades+'!$AH$7,"B+",IF(R528&lt;'PlayerGrades+'!$AH$6,"A-",IF(R528&lt;'PlayerGrades+'!$AH$5,"A",IF(R528&lt;'PlayerGrades+'!$AH$4,"A+",IF(R528&lt;'PlayerGrades+'!$AH$3,"S-",IF(R528&lt;'PlayerGrades+'!$AH$2,"S","S+"))))))))))))))))))))</f>
        <v>#REF!</v>
      </c>
      <c r="T528" s="1412" t="str">
        <f t="shared" si="20"/>
        <v>#REF!</v>
      </c>
      <c r="U528" s="1412" t="str">
        <f>IF(T528&lt;'PlayerGrades+'!$AI$21,"F-",IF(T528&lt;'PlayerGrades+'!$AI$20,"F",IF(T528&lt;'PlayerGrades+'!$AI$19,"F+",IF(T528&lt;'PlayerGrades+'!$AI$18,"E-",IF(T528&lt;'PlayerGrades+'!$AI$17,"E",IF(T528&lt;'PlayerGrades+'!$AI$16,"E+",IF(T528&lt;'PlayerGrades+'!$AI$15,"D-",IF(T528&lt;'PlayerGrades+'!$AI$14,"D",IF(T528&lt;'PlayerGrades+'!$AI$13,"D+",IF(T528&lt;'PlayerGrades+'!$AI$12,"C-",IF(T528&lt;'PlayerGrades+'!$AI$11,"C",IF(T528&lt;'PlayerGrades+'!$AI$10,"C+",IF(T528&lt;'PlayerGrades+'!$AI$9,"B-",IF(T528&lt;'PlayerGrades+'!$AI$8,"B",IF(T528&lt;'PlayerGrades+'!$AI$7,"B+",IF(T528&lt;'PlayerGrades+'!$AI$6,"A-",IF(T528&lt;'PlayerGrades+'!$AI$5,"A",IF(T528&lt;'PlayerGrades+'!$AI$4,"A+",IF(T528&lt;'PlayerGrades+'!$AI$3,"S-",IF(T528&lt;'PlayerGrades+'!$AI$2,"S","S+"))))))))))))))))))))</f>
        <v>#REF!</v>
      </c>
      <c r="AC528" s="1392"/>
    </row>
    <row r="529">
      <c r="A529" s="1393"/>
      <c r="B529" s="611" t="str">
        <f>IF(C529&lt;'PlayerGrades+'!$Y$44,"F-",IF(C529&lt;'PlayerGrades+'!$Y$43,"F",IF(C529&lt;'PlayerGrades+'!$Y$42,"F+",IF(C529&lt;'PlayerGrades+'!$Y$41,"E-",IF(C529&lt;'PlayerGrades+'!$Y$40,"E",IF(C529&lt;'PlayerGrades+'!$Y$39,"E+",IF(C529&lt;'PlayerGrades+'!$Y$38,"D-",IF(C529&lt;'PlayerGrades+'!$Y$37,"D",IF(C529&lt;'PlayerGrades+'!$Y$36,"D+",IF(C529&lt;'PlayerGrades+'!$Y$35,"C-",IF(C529&lt;'PlayerGrades+'!$Y$34,"C",IF(C529&lt;'PlayerGrades+'!$Y$33,"C+",IF(C529&lt;'PlayerGrades+'!$Y$32,"B-",IF(C529&lt;'PlayerGrades+'!$Y$31,"B",IF(C529&lt;'PlayerGrades+'!$Y$30,"B+",IF(C529&lt;'PlayerGrades+'!$Y$29,"A-",IF(C529&lt;'PlayerGrades+'!$Y$28,"A",IF(C529&lt;'PlayerGrades+'!$Y$27,"A+",IF(C529&lt;'PlayerGrades+'!$Y$26,"S-",IF(C529&lt;'PlayerGrades+'!$Y$25,"S","S+"))))))))))))))))))))</f>
        <v>#DIV/0!</v>
      </c>
      <c r="C529" s="1378" t="str">
        <f>('PlayerGrades+'!$Y$47*(VLOOKUP(E529, 'PlayerGrades+'!$X$3:$Y$23, 2, FALSE)))+('PlayerGrades+'!$Y$48*(VLOOKUP(G529, 'PlayerGrades+'!$X$3:$Y$23, 2, FALSE)))+('PlayerGrades+'!$Y$49*(VLOOKUP(I529, 'PlayerGrades+'!$X$3:$Y$23, 2, FALSE)))+('PlayerGrades+'!$Y$50*(VLOOKUP(K529, 'PlayerGrades+'!$X$3:$Y$23, 2, FALSE)))+('PlayerGrades+'!$Y$51*(VLOOKUP(M529, 'PlayerGrades+'!$X$3:$Y$23, 2, FALSE)))+('PlayerGrades+'!$Y$52*(VLOOKUP(O529, 'PlayerGrades+'!$X$3:$Y$23, 2, FALSE)))+('PlayerGrades+'!$Y$53*(VLOOKUP(Q529, 'PlayerGrades+'!$X$3:$Y$23, 2, FALSE)))+('PlayerGrades+'!$Y$54*(VLOOKUP(S529, 'PlayerGrades+'!$X$3:$Y$23, 2, FALSE)))+('PlayerGrades+'!$Y$55*(VLOOKUP(U529, 'PlayerGrades+'!$X$3:$Y$23, 2, FALSE)))</f>
        <v>#DIV/0!</v>
      </c>
      <c r="D529" s="1412" t="str">
        <f t="shared" si="12"/>
        <v>#DIV/0!</v>
      </c>
      <c r="E529" s="1412" t="str">
        <f>IF(D529&lt;'PlayerGrades+'!$AA$21,"F-",IF(D529&lt;'PlayerGrades+'!$AA$20,"F",IF(D529&lt;'PlayerGrades+'!$AA$19,"F+",IF(D529&lt;'PlayerGrades+'!$AA$18,"E-",IF(D529&lt;'PlayerGrades+'!$AA$17,"E",IF(D529&lt;'PlayerGrades+'!$AA$16,"E+",IF(D529&lt;'PlayerGrades+'!$AA$15,"D-",IF(D529&lt;'PlayerGrades+'!$AA$14,"D",IF(D529&lt;'PlayerGrades+'!$AA$13,"D+",IF(D529&lt;'PlayerGrades+'!$AA$12,"C-",IF(D529&lt;'PlayerGrades+'!$AA$11,"C",IF(D529&lt;'PlayerGrades+'!$AA$10,"C+",IF(D529&lt;'PlayerGrades+'!$AA$9,"B-",IF(D529&lt;'PlayerGrades+'!$AA$8,"B",IF(D529&lt;'PlayerGrades+'!$AA$7,"B+",IF(D529&lt;'PlayerGrades+'!$AA$6,"A-",IF(D529&lt;'PlayerGrades+'!$AA$5,"A",IF(D529&lt;'PlayerGrades+'!$AA$4,"A+",IF(D529&lt;'PlayerGrades+'!$AA$3,"S-",IF(D529&lt;'PlayerGrades+'!$AA$2,"S","S+"))))))))))))))))))))</f>
        <v>#DIV/0!</v>
      </c>
      <c r="F529" s="1412" t="str">
        <f t="shared" si="13"/>
        <v>#DIV/0!</v>
      </c>
      <c r="G529" s="1412" t="str">
        <f>IF(F529&lt;'PlayerGrades+'!$AB$21,"F-",IF(F529&lt;'PlayerGrades+'!$AB$20,"F",IF(F529&lt;'PlayerGrades+'!$AB$19,"F+",IF(F529&lt;'PlayerGrades+'!$AB$18,"E-",IF(F529&lt;'PlayerGrades+'!$AB$17,"E",IF(F529&lt;'PlayerGrades+'!$AB$16,"E+",IF(F529&lt;'PlayerGrades+'!$AB$15,"D-",IF(F529&lt;'PlayerGrades+'!$AB$14,"D",IF(F529&lt;'PlayerGrades+'!$AB$13,"D+",IF(F529&lt;'PlayerGrades+'!$AB$12,"C-",IF(F529&lt;'PlayerGrades+'!$AB$11,"C",IF(F529&lt;'PlayerGrades+'!$AB$10,"C+",IF(F529&lt;'PlayerGrades+'!$AB$9,"B-",IF(F529&lt;'PlayerGrades+'!$AB$8,"B",IF(F529&lt;'PlayerGrades+'!$AB$7,"B+",IF(F529&lt;'PlayerGrades+'!$AB$6,"A-",IF(F529&lt;'PlayerGrades+'!$AB$5,"A",IF(F529&lt;'PlayerGrades+'!$AB$4,"A+",IF(F529&lt;'PlayerGrades+'!$AB$3,"S-",IF(F529&lt;'PlayerGrades+'!$AB$2,"S","S+"))))))))))))))))))))</f>
        <v>#DIV/0!</v>
      </c>
      <c r="H529" s="1412" t="str">
        <f t="shared" si="14"/>
        <v>#DIV/0!</v>
      </c>
      <c r="I529" s="1412" t="str">
        <f>IF(H529&lt;'PlayerGrades+'!$AC$21,"F-",IF(H529&lt;'PlayerGrades+'!$AC$20,"F",IF(H529&lt;'PlayerGrades+'!$AC$19,"F+",IF(H529&lt;'PlayerGrades+'!$AC$18,"E-",IF(H529&lt;'PlayerGrades+'!$AC$17,"E",IF(H529&lt;'PlayerGrades+'!$AC$16,"E+",IF(H529&lt;'PlayerGrades+'!$AC$15,"D-",IF(H529&lt;'PlayerGrades+'!$AC$14,"D",IF(H529&lt;'PlayerGrades+'!$AC$13,"D+",IF(H529&lt;'PlayerGrades+'!$AC$12,"C-",IF(H529&lt;'PlayerGrades+'!$AC$11,"C",IF(H529&lt;'PlayerGrades+'!$AC$10,"C+",IF(H529&lt;'PlayerGrades+'!$AC$9,"B-",IF(H529&lt;'PlayerGrades+'!$AC$8,"B",IF(H529&lt;'PlayerGrades+'!$AC$7,"B+",IF(H529&lt;'PlayerGrades+'!$AC$6,"A-",IF(H529&lt;'PlayerGrades+'!$AC$5,"A",IF(H529&lt;'PlayerGrades+'!$AC$4,"A+",IF(H529&lt;'PlayerGrades+'!$AC$3,"S-",IF(H529&lt;'PlayerGrades+'!$AC$2,"S","S+"))))))))))))))))))))</f>
        <v>#DIV/0!</v>
      </c>
      <c r="J529" s="1412" t="str">
        <f t="shared" si="15"/>
        <v>#DIV/0!</v>
      </c>
      <c r="K529" s="1412" t="str">
        <f>IF(J529&lt;'PlayerGrades+'!$AD$21,"F-",IF(J529&lt;'PlayerGrades+'!$AD$20,"F",IF(J529&lt;'PlayerGrades+'!$AD$19,"F+",IF(J529&lt;'PlayerGrades+'!$AD$18,"E-",IF(J529&lt;'PlayerGrades+'!$AD$17,"E",IF(J529&lt;'PlayerGrades+'!$AD$16,"E+",IF(J529&lt;'PlayerGrades+'!$AD$15,"D-",IF(J529&lt;'PlayerGrades+'!$AD$14,"D",IF(J529&lt;'PlayerGrades+'!$AD$13,"D+",IF(J529&lt;'PlayerGrades+'!$AD$12,"C-",IF(J529&lt;'PlayerGrades+'!$AD$11,"C",IF(J529&lt;'PlayerGrades+'!$AD$10,"C+",IF(J529&lt;'PlayerGrades+'!$AD$9,"B-",IF(J529&lt;'PlayerGrades+'!$AD$8,"B",IF(J529&lt;'PlayerGrades+'!$AD$7,"B+",IF(J529&lt;'PlayerGrades+'!$AD$6,"A-",IF(J529&lt;'PlayerGrades+'!$AD$5,"A",IF(J529&lt;'PlayerGrades+'!$AD$4,"A+",IF(J529&lt;'PlayerGrades+'!$AD$3,"S-",IF(J529&lt;'PlayerGrades+'!$AD$2,"S","S+"))))))))))))))))))))</f>
        <v>#DIV/0!</v>
      </c>
      <c r="L529" s="1413" t="str">
        <f t="shared" si="16"/>
        <v>#DIV/0!</v>
      </c>
      <c r="M529" s="1156" t="str">
        <f>IF(L529&lt;'PlayerGrades+'!$AE$21,"F-",IF(L529&lt;'PlayerGrades+'!$AE$20,"F",IF(L529&lt;'PlayerGrades+'!$AE$19,"F+",IF(L529&lt;'PlayerGrades+'!$AE$18,"E-",IF(L529&lt;'PlayerGrades+'!$AE$17,"E",IF(L529&lt;'PlayerGrades+'!$AE$16,"E+",IF(L529&lt;'PlayerGrades+'!$AE$15,"D-",IF(L529&lt;'PlayerGrades+'!$AE$14,"D",IF(L529&lt;'PlayerGrades+'!$AE$13,"D+",IF(L529&lt;'PlayerGrades+'!$AE$12,"C-",IF(L529&lt;'PlayerGrades+'!$AE$11,"C",IF(L529&lt;'PlayerGrades+'!$AE$10,"C+",IF(L529&lt;'PlayerGrades+'!$AE$9,"B-",IF(L529&lt;'PlayerGrades+'!$AE$8,"B",IF(L529&lt;'PlayerGrades+'!$AE$7,"B+",IF(L529&lt;'PlayerGrades+'!$AE$6,"A-",IF(L529&lt;'PlayerGrades+'!$AE$5,"A",IF(L529&lt;'PlayerGrades+'!$AE$4,"A+",IF(L529&lt;'PlayerGrades+'!$AE$3,"S-",IF(L529&lt;'PlayerGrades+'!$AE$2,"S","S+"))))))))))))))))))))</f>
        <v>#DIV/0!</v>
      </c>
      <c r="N529" s="1412" t="str">
        <f t="shared" si="17"/>
        <v>#DIV/0!</v>
      </c>
      <c r="O529" s="1412" t="str">
        <f>IF(N529&lt;'PlayerGrades+'!$AF$21,"F-",IF(N529&lt;'PlayerGrades+'!$AF$20,"F",IF(N529&lt;'PlayerGrades+'!$AF$19,"F+",IF(N529&lt;'PlayerGrades+'!$AF$18,"E-",IF(N529&lt;'PlayerGrades+'!$AF$17,"E",IF(N529&lt;'PlayerGrades+'!$AF$16,"E+",IF(N529&lt;'PlayerGrades+'!$AF$15,"D-",IF(N529&lt;'PlayerGrades+'!$AF$14,"D",IF(N529&lt;'PlayerGrades+'!$AF$13,"D+",IF(N529&lt;'PlayerGrades+'!$AF$12,"C-",IF(N529&lt;'PlayerGrades+'!$AF$11,"C",IF(N529&lt;'PlayerGrades+'!$AF$10,"C+",IF(N529&lt;'PlayerGrades+'!$AF$9,"B-",IF(N529&lt;'PlayerGrades+'!$AF$8,"B",IF(N529&lt;'PlayerGrades+'!$AF$7,"B+",IF(N529&lt;'PlayerGrades+'!$AF$6,"A-",IF(N529&lt;'PlayerGrades+'!$AF$5,"A",IF(N529&lt;'PlayerGrades+'!$AF$4,"A+",IF(N529&lt;'PlayerGrades+'!$AF$3,"S-",IF(N529&lt;'PlayerGrades+'!$AF$2,"S","S+"))))))))))))))))))))</f>
        <v>#DIV/0!</v>
      </c>
      <c r="P529" s="1412" t="str">
        <f t="shared" si="18"/>
        <v>#DIV/0!</v>
      </c>
      <c r="Q529" s="1412" t="str">
        <f>IF(P529&lt;'PlayerGrades+'!$AG$21,"F-",IF(P529&lt;'PlayerGrades+'!$AG$20,"F",IF(P529&lt;'PlayerGrades+'!$AG$19,"F+",IF(P529&lt;'PlayerGrades+'!$AG$18,"E-",IF(P529&lt;'PlayerGrades+'!$AG$17,"E",IF(P529&lt;'PlayerGrades+'!$AG$16,"E+",IF(P529&lt;'PlayerGrades+'!$AG$15,"D-",IF(P529&lt;'PlayerGrades+'!$AG$14,"D",IF(P529&lt;'PlayerGrades+'!$AG$13,"D+",IF(P529&lt;'PlayerGrades+'!$AG$12,"C-",IF(P529&lt;'PlayerGrades+'!$AG$11,"C",IF(P529&lt;'PlayerGrades+'!$AG$10,"C+",IF(P529&lt;'PlayerGrades+'!$AG$9,"B-",IF(P529&lt;'PlayerGrades+'!$AG$8,"B",IF(P529&lt;'PlayerGrades+'!$AG$7,"B+",IF(P529&lt;'PlayerGrades+'!$AG$6,"A-",IF(P529&lt;'PlayerGrades+'!$AG$5,"A",IF(P529&lt;'PlayerGrades+'!$AG$4,"A+",IF(P529&lt;'PlayerGrades+'!$AG$3,"S-",IF(P529&lt;'PlayerGrades+'!$AG$2,"S","S+"))))))))))))))))))))</f>
        <v>#DIV/0!</v>
      </c>
      <c r="R529" s="1412" t="str">
        <f t="shared" si="19"/>
        <v>#REF!</v>
      </c>
      <c r="S529" s="1412" t="str">
        <f>IF(R529&lt;'PlayerGrades+'!$AH$21,"F-",IF(R529&lt;'PlayerGrades+'!$AH$20,"F",IF(R529&lt;'PlayerGrades+'!$AH$19,"F+",IF(R529&lt;'PlayerGrades+'!$AH$18,"E-",IF(R529&lt;'PlayerGrades+'!$AH$17,"E",IF(R529&lt;'PlayerGrades+'!$AH$16,"E+",IF(R529&lt;'PlayerGrades+'!$AH$15,"D-",IF(R529&lt;'PlayerGrades+'!$AH$14,"D",IF(R529&lt;'PlayerGrades+'!$AH$13,"D+",IF(R529&lt;'PlayerGrades+'!$AH$12,"C-",IF(R529&lt;'PlayerGrades+'!$AH$11,"C",IF(R529&lt;'PlayerGrades+'!$AH$10,"C+",IF(R529&lt;'PlayerGrades+'!$AH$9,"B-",IF(R529&lt;'PlayerGrades+'!$AH$8,"B",IF(R529&lt;'PlayerGrades+'!$AH$7,"B+",IF(R529&lt;'PlayerGrades+'!$AH$6,"A-",IF(R529&lt;'PlayerGrades+'!$AH$5,"A",IF(R529&lt;'PlayerGrades+'!$AH$4,"A+",IF(R529&lt;'PlayerGrades+'!$AH$3,"S-",IF(R529&lt;'PlayerGrades+'!$AH$2,"S","S+"))))))))))))))))))))</f>
        <v>#REF!</v>
      </c>
      <c r="T529" s="1412" t="str">
        <f t="shared" si="20"/>
        <v>#REF!</v>
      </c>
      <c r="U529" s="1412" t="str">
        <f>IF(T529&lt;'PlayerGrades+'!$AI$21,"F-",IF(T529&lt;'PlayerGrades+'!$AI$20,"F",IF(T529&lt;'PlayerGrades+'!$AI$19,"F+",IF(T529&lt;'PlayerGrades+'!$AI$18,"E-",IF(T529&lt;'PlayerGrades+'!$AI$17,"E",IF(T529&lt;'PlayerGrades+'!$AI$16,"E+",IF(T529&lt;'PlayerGrades+'!$AI$15,"D-",IF(T529&lt;'PlayerGrades+'!$AI$14,"D",IF(T529&lt;'PlayerGrades+'!$AI$13,"D+",IF(T529&lt;'PlayerGrades+'!$AI$12,"C-",IF(T529&lt;'PlayerGrades+'!$AI$11,"C",IF(T529&lt;'PlayerGrades+'!$AI$10,"C+",IF(T529&lt;'PlayerGrades+'!$AI$9,"B-",IF(T529&lt;'PlayerGrades+'!$AI$8,"B",IF(T529&lt;'PlayerGrades+'!$AI$7,"B+",IF(T529&lt;'PlayerGrades+'!$AI$6,"A-",IF(T529&lt;'PlayerGrades+'!$AI$5,"A",IF(T529&lt;'PlayerGrades+'!$AI$4,"A+",IF(T529&lt;'PlayerGrades+'!$AI$3,"S-",IF(T529&lt;'PlayerGrades+'!$AI$2,"S","S+"))))))))))))))))))))</f>
        <v>#REF!</v>
      </c>
      <c r="V529" s="1386"/>
      <c r="W529" s="1386"/>
      <c r="X529" s="1386"/>
      <c r="Y529" s="1386"/>
      <c r="Z529" s="1386"/>
      <c r="AA529" s="1386"/>
      <c r="AB529" s="1386"/>
      <c r="AC529" s="1397"/>
      <c r="AD529" s="1386"/>
      <c r="AE529" s="1386"/>
      <c r="AF529" s="1386"/>
      <c r="AG529" s="1386"/>
      <c r="AH529" s="1386"/>
      <c r="AI529" s="1386"/>
      <c r="AJ529" s="1386"/>
      <c r="AK529" s="1386"/>
      <c r="AL529" s="1386"/>
      <c r="AM529" s="1386"/>
      <c r="AN529" s="1386"/>
      <c r="AO529" s="1386"/>
      <c r="AP529" s="1386"/>
      <c r="AQ529" s="1386"/>
      <c r="AR529" s="1386"/>
      <c r="AS529" s="1386"/>
      <c r="AT529" s="1386"/>
      <c r="AU529" s="1386"/>
      <c r="AV529" s="1386"/>
      <c r="AW529" s="1386"/>
      <c r="AX529" s="1386"/>
      <c r="AY529" s="1386"/>
      <c r="AZ529" s="1386"/>
    </row>
    <row r="530">
      <c r="A530" s="1389"/>
      <c r="B530" s="611" t="str">
        <f>IF(C530&lt;'PlayerGrades+'!$Y$44,"F-",IF(C530&lt;'PlayerGrades+'!$Y$43,"F",IF(C530&lt;'PlayerGrades+'!$Y$42,"F+",IF(C530&lt;'PlayerGrades+'!$Y$41,"E-",IF(C530&lt;'PlayerGrades+'!$Y$40,"E",IF(C530&lt;'PlayerGrades+'!$Y$39,"E+",IF(C530&lt;'PlayerGrades+'!$Y$38,"D-",IF(C530&lt;'PlayerGrades+'!$Y$37,"D",IF(C530&lt;'PlayerGrades+'!$Y$36,"D+",IF(C530&lt;'PlayerGrades+'!$Y$35,"C-",IF(C530&lt;'PlayerGrades+'!$Y$34,"C",IF(C530&lt;'PlayerGrades+'!$Y$33,"C+",IF(C530&lt;'PlayerGrades+'!$Y$32,"B-",IF(C530&lt;'PlayerGrades+'!$Y$31,"B",IF(C530&lt;'PlayerGrades+'!$Y$30,"B+",IF(C530&lt;'PlayerGrades+'!$Y$29,"A-",IF(C530&lt;'PlayerGrades+'!$Y$28,"A",IF(C530&lt;'PlayerGrades+'!$Y$27,"A+",IF(C530&lt;'PlayerGrades+'!$Y$26,"S-",IF(C530&lt;'PlayerGrades+'!$Y$25,"S","S+"))))))))))))))))))))</f>
        <v>#DIV/0!</v>
      </c>
      <c r="C530" s="1378" t="str">
        <f>('PlayerGrades+'!$Y$47*(VLOOKUP(E530, 'PlayerGrades+'!$X$3:$Y$23, 2, FALSE)))+('PlayerGrades+'!$Y$48*(VLOOKUP(G530, 'PlayerGrades+'!$X$3:$Y$23, 2, FALSE)))+('PlayerGrades+'!$Y$49*(VLOOKUP(I530, 'PlayerGrades+'!$X$3:$Y$23, 2, FALSE)))+('PlayerGrades+'!$Y$50*(VLOOKUP(K530, 'PlayerGrades+'!$X$3:$Y$23, 2, FALSE)))+('PlayerGrades+'!$Y$51*(VLOOKUP(M530, 'PlayerGrades+'!$X$3:$Y$23, 2, FALSE)))+('PlayerGrades+'!$Y$52*(VLOOKUP(O530, 'PlayerGrades+'!$X$3:$Y$23, 2, FALSE)))+('PlayerGrades+'!$Y$53*(VLOOKUP(Q530, 'PlayerGrades+'!$X$3:$Y$23, 2, FALSE)))+('PlayerGrades+'!$Y$54*(VLOOKUP(S530, 'PlayerGrades+'!$X$3:$Y$23, 2, FALSE)))+('PlayerGrades+'!$Y$55*(VLOOKUP(U530, 'PlayerGrades+'!$X$3:$Y$23, 2, FALSE)))</f>
        <v>#DIV/0!</v>
      </c>
      <c r="D530" s="1412" t="str">
        <f t="shared" si="12"/>
        <v>#DIV/0!</v>
      </c>
      <c r="E530" s="1412" t="str">
        <f>IF(D530&lt;'PlayerGrades+'!$AA$21,"F-",IF(D530&lt;'PlayerGrades+'!$AA$20,"F",IF(D530&lt;'PlayerGrades+'!$AA$19,"F+",IF(D530&lt;'PlayerGrades+'!$AA$18,"E-",IF(D530&lt;'PlayerGrades+'!$AA$17,"E",IF(D530&lt;'PlayerGrades+'!$AA$16,"E+",IF(D530&lt;'PlayerGrades+'!$AA$15,"D-",IF(D530&lt;'PlayerGrades+'!$AA$14,"D",IF(D530&lt;'PlayerGrades+'!$AA$13,"D+",IF(D530&lt;'PlayerGrades+'!$AA$12,"C-",IF(D530&lt;'PlayerGrades+'!$AA$11,"C",IF(D530&lt;'PlayerGrades+'!$AA$10,"C+",IF(D530&lt;'PlayerGrades+'!$AA$9,"B-",IF(D530&lt;'PlayerGrades+'!$AA$8,"B",IF(D530&lt;'PlayerGrades+'!$AA$7,"B+",IF(D530&lt;'PlayerGrades+'!$AA$6,"A-",IF(D530&lt;'PlayerGrades+'!$AA$5,"A",IF(D530&lt;'PlayerGrades+'!$AA$4,"A+",IF(D530&lt;'PlayerGrades+'!$AA$3,"S-",IF(D530&lt;'PlayerGrades+'!$AA$2,"S","S+"))))))))))))))))))))</f>
        <v>#DIV/0!</v>
      </c>
      <c r="F530" s="1412" t="str">
        <f t="shared" si="13"/>
        <v>#DIV/0!</v>
      </c>
      <c r="G530" s="1412" t="str">
        <f>IF(F530&lt;'PlayerGrades+'!$AB$21,"F-",IF(F530&lt;'PlayerGrades+'!$AB$20,"F",IF(F530&lt;'PlayerGrades+'!$AB$19,"F+",IF(F530&lt;'PlayerGrades+'!$AB$18,"E-",IF(F530&lt;'PlayerGrades+'!$AB$17,"E",IF(F530&lt;'PlayerGrades+'!$AB$16,"E+",IF(F530&lt;'PlayerGrades+'!$AB$15,"D-",IF(F530&lt;'PlayerGrades+'!$AB$14,"D",IF(F530&lt;'PlayerGrades+'!$AB$13,"D+",IF(F530&lt;'PlayerGrades+'!$AB$12,"C-",IF(F530&lt;'PlayerGrades+'!$AB$11,"C",IF(F530&lt;'PlayerGrades+'!$AB$10,"C+",IF(F530&lt;'PlayerGrades+'!$AB$9,"B-",IF(F530&lt;'PlayerGrades+'!$AB$8,"B",IF(F530&lt;'PlayerGrades+'!$AB$7,"B+",IF(F530&lt;'PlayerGrades+'!$AB$6,"A-",IF(F530&lt;'PlayerGrades+'!$AB$5,"A",IF(F530&lt;'PlayerGrades+'!$AB$4,"A+",IF(F530&lt;'PlayerGrades+'!$AB$3,"S-",IF(F530&lt;'PlayerGrades+'!$AB$2,"S","S+"))))))))))))))))))))</f>
        <v>#DIV/0!</v>
      </c>
      <c r="H530" s="1412" t="str">
        <f t="shared" si="14"/>
        <v>#DIV/0!</v>
      </c>
      <c r="I530" s="1412" t="str">
        <f>IF(H530&lt;'PlayerGrades+'!$AC$21,"F-",IF(H530&lt;'PlayerGrades+'!$AC$20,"F",IF(H530&lt;'PlayerGrades+'!$AC$19,"F+",IF(H530&lt;'PlayerGrades+'!$AC$18,"E-",IF(H530&lt;'PlayerGrades+'!$AC$17,"E",IF(H530&lt;'PlayerGrades+'!$AC$16,"E+",IF(H530&lt;'PlayerGrades+'!$AC$15,"D-",IF(H530&lt;'PlayerGrades+'!$AC$14,"D",IF(H530&lt;'PlayerGrades+'!$AC$13,"D+",IF(H530&lt;'PlayerGrades+'!$AC$12,"C-",IF(H530&lt;'PlayerGrades+'!$AC$11,"C",IF(H530&lt;'PlayerGrades+'!$AC$10,"C+",IF(H530&lt;'PlayerGrades+'!$AC$9,"B-",IF(H530&lt;'PlayerGrades+'!$AC$8,"B",IF(H530&lt;'PlayerGrades+'!$AC$7,"B+",IF(H530&lt;'PlayerGrades+'!$AC$6,"A-",IF(H530&lt;'PlayerGrades+'!$AC$5,"A",IF(H530&lt;'PlayerGrades+'!$AC$4,"A+",IF(H530&lt;'PlayerGrades+'!$AC$3,"S-",IF(H530&lt;'PlayerGrades+'!$AC$2,"S","S+"))))))))))))))))))))</f>
        <v>#DIV/0!</v>
      </c>
      <c r="J530" s="1412" t="str">
        <f t="shared" si="15"/>
        <v>#DIV/0!</v>
      </c>
      <c r="K530" s="1412" t="str">
        <f>IF(J530&lt;'PlayerGrades+'!$AD$21,"F-",IF(J530&lt;'PlayerGrades+'!$AD$20,"F",IF(J530&lt;'PlayerGrades+'!$AD$19,"F+",IF(J530&lt;'PlayerGrades+'!$AD$18,"E-",IF(J530&lt;'PlayerGrades+'!$AD$17,"E",IF(J530&lt;'PlayerGrades+'!$AD$16,"E+",IF(J530&lt;'PlayerGrades+'!$AD$15,"D-",IF(J530&lt;'PlayerGrades+'!$AD$14,"D",IF(J530&lt;'PlayerGrades+'!$AD$13,"D+",IF(J530&lt;'PlayerGrades+'!$AD$12,"C-",IF(J530&lt;'PlayerGrades+'!$AD$11,"C",IF(J530&lt;'PlayerGrades+'!$AD$10,"C+",IF(J530&lt;'PlayerGrades+'!$AD$9,"B-",IF(J530&lt;'PlayerGrades+'!$AD$8,"B",IF(J530&lt;'PlayerGrades+'!$AD$7,"B+",IF(J530&lt;'PlayerGrades+'!$AD$6,"A-",IF(J530&lt;'PlayerGrades+'!$AD$5,"A",IF(J530&lt;'PlayerGrades+'!$AD$4,"A+",IF(J530&lt;'PlayerGrades+'!$AD$3,"S-",IF(J530&lt;'PlayerGrades+'!$AD$2,"S","S+"))))))))))))))))))))</f>
        <v>#DIV/0!</v>
      </c>
      <c r="L530" s="1413" t="str">
        <f t="shared" si="16"/>
        <v>#DIV/0!</v>
      </c>
      <c r="M530" s="1156" t="str">
        <f>IF(L530&lt;'PlayerGrades+'!$AE$21,"F-",IF(L530&lt;'PlayerGrades+'!$AE$20,"F",IF(L530&lt;'PlayerGrades+'!$AE$19,"F+",IF(L530&lt;'PlayerGrades+'!$AE$18,"E-",IF(L530&lt;'PlayerGrades+'!$AE$17,"E",IF(L530&lt;'PlayerGrades+'!$AE$16,"E+",IF(L530&lt;'PlayerGrades+'!$AE$15,"D-",IF(L530&lt;'PlayerGrades+'!$AE$14,"D",IF(L530&lt;'PlayerGrades+'!$AE$13,"D+",IF(L530&lt;'PlayerGrades+'!$AE$12,"C-",IF(L530&lt;'PlayerGrades+'!$AE$11,"C",IF(L530&lt;'PlayerGrades+'!$AE$10,"C+",IF(L530&lt;'PlayerGrades+'!$AE$9,"B-",IF(L530&lt;'PlayerGrades+'!$AE$8,"B",IF(L530&lt;'PlayerGrades+'!$AE$7,"B+",IF(L530&lt;'PlayerGrades+'!$AE$6,"A-",IF(L530&lt;'PlayerGrades+'!$AE$5,"A",IF(L530&lt;'PlayerGrades+'!$AE$4,"A+",IF(L530&lt;'PlayerGrades+'!$AE$3,"S-",IF(L530&lt;'PlayerGrades+'!$AE$2,"S","S+"))))))))))))))))))))</f>
        <v>#DIV/0!</v>
      </c>
      <c r="N530" s="1412" t="str">
        <f t="shared" si="17"/>
        <v>#DIV/0!</v>
      </c>
      <c r="O530" s="1412" t="str">
        <f>IF(N530&lt;'PlayerGrades+'!$AF$21,"F-",IF(N530&lt;'PlayerGrades+'!$AF$20,"F",IF(N530&lt;'PlayerGrades+'!$AF$19,"F+",IF(N530&lt;'PlayerGrades+'!$AF$18,"E-",IF(N530&lt;'PlayerGrades+'!$AF$17,"E",IF(N530&lt;'PlayerGrades+'!$AF$16,"E+",IF(N530&lt;'PlayerGrades+'!$AF$15,"D-",IF(N530&lt;'PlayerGrades+'!$AF$14,"D",IF(N530&lt;'PlayerGrades+'!$AF$13,"D+",IF(N530&lt;'PlayerGrades+'!$AF$12,"C-",IF(N530&lt;'PlayerGrades+'!$AF$11,"C",IF(N530&lt;'PlayerGrades+'!$AF$10,"C+",IF(N530&lt;'PlayerGrades+'!$AF$9,"B-",IF(N530&lt;'PlayerGrades+'!$AF$8,"B",IF(N530&lt;'PlayerGrades+'!$AF$7,"B+",IF(N530&lt;'PlayerGrades+'!$AF$6,"A-",IF(N530&lt;'PlayerGrades+'!$AF$5,"A",IF(N530&lt;'PlayerGrades+'!$AF$4,"A+",IF(N530&lt;'PlayerGrades+'!$AF$3,"S-",IF(N530&lt;'PlayerGrades+'!$AF$2,"S","S+"))))))))))))))))))))</f>
        <v>#DIV/0!</v>
      </c>
      <c r="P530" s="1412" t="str">
        <f t="shared" si="18"/>
        <v>#DIV/0!</v>
      </c>
      <c r="Q530" s="1412" t="str">
        <f>IF(P530&lt;'PlayerGrades+'!$AG$21,"F-",IF(P530&lt;'PlayerGrades+'!$AG$20,"F",IF(P530&lt;'PlayerGrades+'!$AG$19,"F+",IF(P530&lt;'PlayerGrades+'!$AG$18,"E-",IF(P530&lt;'PlayerGrades+'!$AG$17,"E",IF(P530&lt;'PlayerGrades+'!$AG$16,"E+",IF(P530&lt;'PlayerGrades+'!$AG$15,"D-",IF(P530&lt;'PlayerGrades+'!$AG$14,"D",IF(P530&lt;'PlayerGrades+'!$AG$13,"D+",IF(P530&lt;'PlayerGrades+'!$AG$12,"C-",IF(P530&lt;'PlayerGrades+'!$AG$11,"C",IF(P530&lt;'PlayerGrades+'!$AG$10,"C+",IF(P530&lt;'PlayerGrades+'!$AG$9,"B-",IF(P530&lt;'PlayerGrades+'!$AG$8,"B",IF(P530&lt;'PlayerGrades+'!$AG$7,"B+",IF(P530&lt;'PlayerGrades+'!$AG$6,"A-",IF(P530&lt;'PlayerGrades+'!$AG$5,"A",IF(P530&lt;'PlayerGrades+'!$AG$4,"A+",IF(P530&lt;'PlayerGrades+'!$AG$3,"S-",IF(P530&lt;'PlayerGrades+'!$AG$2,"S","S+"))))))))))))))))))))</f>
        <v>#DIV/0!</v>
      </c>
      <c r="R530" s="1412" t="str">
        <f t="shared" si="19"/>
        <v>#REF!</v>
      </c>
      <c r="S530" s="1412" t="str">
        <f>IF(R530&lt;'PlayerGrades+'!$AH$21,"F-",IF(R530&lt;'PlayerGrades+'!$AH$20,"F",IF(R530&lt;'PlayerGrades+'!$AH$19,"F+",IF(R530&lt;'PlayerGrades+'!$AH$18,"E-",IF(R530&lt;'PlayerGrades+'!$AH$17,"E",IF(R530&lt;'PlayerGrades+'!$AH$16,"E+",IF(R530&lt;'PlayerGrades+'!$AH$15,"D-",IF(R530&lt;'PlayerGrades+'!$AH$14,"D",IF(R530&lt;'PlayerGrades+'!$AH$13,"D+",IF(R530&lt;'PlayerGrades+'!$AH$12,"C-",IF(R530&lt;'PlayerGrades+'!$AH$11,"C",IF(R530&lt;'PlayerGrades+'!$AH$10,"C+",IF(R530&lt;'PlayerGrades+'!$AH$9,"B-",IF(R530&lt;'PlayerGrades+'!$AH$8,"B",IF(R530&lt;'PlayerGrades+'!$AH$7,"B+",IF(R530&lt;'PlayerGrades+'!$AH$6,"A-",IF(R530&lt;'PlayerGrades+'!$AH$5,"A",IF(R530&lt;'PlayerGrades+'!$AH$4,"A+",IF(R530&lt;'PlayerGrades+'!$AH$3,"S-",IF(R530&lt;'PlayerGrades+'!$AH$2,"S","S+"))))))))))))))))))))</f>
        <v>#REF!</v>
      </c>
      <c r="T530" s="1412" t="str">
        <f t="shared" si="20"/>
        <v>#REF!</v>
      </c>
      <c r="U530" s="1412" t="str">
        <f>IF(T530&lt;'PlayerGrades+'!$AI$21,"F-",IF(T530&lt;'PlayerGrades+'!$AI$20,"F",IF(T530&lt;'PlayerGrades+'!$AI$19,"F+",IF(T530&lt;'PlayerGrades+'!$AI$18,"E-",IF(T530&lt;'PlayerGrades+'!$AI$17,"E",IF(T530&lt;'PlayerGrades+'!$AI$16,"E+",IF(T530&lt;'PlayerGrades+'!$AI$15,"D-",IF(T530&lt;'PlayerGrades+'!$AI$14,"D",IF(T530&lt;'PlayerGrades+'!$AI$13,"D+",IF(T530&lt;'PlayerGrades+'!$AI$12,"C-",IF(T530&lt;'PlayerGrades+'!$AI$11,"C",IF(T530&lt;'PlayerGrades+'!$AI$10,"C+",IF(T530&lt;'PlayerGrades+'!$AI$9,"B-",IF(T530&lt;'PlayerGrades+'!$AI$8,"B",IF(T530&lt;'PlayerGrades+'!$AI$7,"B+",IF(T530&lt;'PlayerGrades+'!$AI$6,"A-",IF(T530&lt;'PlayerGrades+'!$AI$5,"A",IF(T530&lt;'PlayerGrades+'!$AI$4,"A+",IF(T530&lt;'PlayerGrades+'!$AI$3,"S-",IF(T530&lt;'PlayerGrades+'!$AI$2,"S","S+"))))))))))))))))))))</f>
        <v>#REF!</v>
      </c>
      <c r="V530" s="1379"/>
      <c r="W530" s="1379"/>
      <c r="X530" s="1379"/>
      <c r="Y530" s="1379"/>
      <c r="Z530" s="1379"/>
      <c r="AA530" s="1379"/>
      <c r="AB530" s="1379"/>
      <c r="AC530" s="1390"/>
      <c r="AD530" s="1379"/>
      <c r="AE530" s="1379"/>
      <c r="AF530" s="1379"/>
      <c r="AG530" s="1379"/>
      <c r="AH530" s="1379"/>
      <c r="AI530" s="1379"/>
      <c r="AJ530" s="1379"/>
      <c r="AK530" s="1379"/>
      <c r="AL530" s="1379"/>
      <c r="AM530" s="1379"/>
      <c r="AN530" s="1379"/>
      <c r="AO530" s="1379"/>
      <c r="AP530" s="1379"/>
      <c r="AQ530" s="1379"/>
      <c r="AR530" s="1379"/>
      <c r="AS530" s="1379"/>
      <c r="AT530" s="1379"/>
      <c r="AU530" s="1379"/>
      <c r="AV530" s="1379"/>
      <c r="AW530" s="1379"/>
      <c r="AX530" s="1379"/>
      <c r="AY530" s="1379"/>
      <c r="AZ530" s="1379"/>
    </row>
    <row r="531">
      <c r="A531" s="1391"/>
      <c r="B531" s="611" t="str">
        <f>IF(C531&lt;'PlayerGrades+'!$Y$44,"F-",IF(C531&lt;'PlayerGrades+'!$Y$43,"F",IF(C531&lt;'PlayerGrades+'!$Y$42,"F+",IF(C531&lt;'PlayerGrades+'!$Y$41,"E-",IF(C531&lt;'PlayerGrades+'!$Y$40,"E",IF(C531&lt;'PlayerGrades+'!$Y$39,"E+",IF(C531&lt;'PlayerGrades+'!$Y$38,"D-",IF(C531&lt;'PlayerGrades+'!$Y$37,"D",IF(C531&lt;'PlayerGrades+'!$Y$36,"D+",IF(C531&lt;'PlayerGrades+'!$Y$35,"C-",IF(C531&lt;'PlayerGrades+'!$Y$34,"C",IF(C531&lt;'PlayerGrades+'!$Y$33,"C+",IF(C531&lt;'PlayerGrades+'!$Y$32,"B-",IF(C531&lt;'PlayerGrades+'!$Y$31,"B",IF(C531&lt;'PlayerGrades+'!$Y$30,"B+",IF(C531&lt;'PlayerGrades+'!$Y$29,"A-",IF(C531&lt;'PlayerGrades+'!$Y$28,"A",IF(C531&lt;'PlayerGrades+'!$Y$27,"A+",IF(C531&lt;'PlayerGrades+'!$Y$26,"S-",IF(C531&lt;'PlayerGrades+'!$Y$25,"S","S+"))))))))))))))))))))</f>
        <v>#DIV/0!</v>
      </c>
      <c r="C531" s="1378" t="str">
        <f>('PlayerGrades+'!$Y$47*(VLOOKUP(E531, 'PlayerGrades+'!$X$3:$Y$23, 2, FALSE)))+('PlayerGrades+'!$Y$48*(VLOOKUP(G531, 'PlayerGrades+'!$X$3:$Y$23, 2, FALSE)))+('PlayerGrades+'!$Y$49*(VLOOKUP(I531, 'PlayerGrades+'!$X$3:$Y$23, 2, FALSE)))+('PlayerGrades+'!$Y$50*(VLOOKUP(K531, 'PlayerGrades+'!$X$3:$Y$23, 2, FALSE)))+('PlayerGrades+'!$Y$51*(VLOOKUP(M531, 'PlayerGrades+'!$X$3:$Y$23, 2, FALSE)))+('PlayerGrades+'!$Y$52*(VLOOKUP(O531, 'PlayerGrades+'!$X$3:$Y$23, 2, FALSE)))+('PlayerGrades+'!$Y$53*(VLOOKUP(Q531, 'PlayerGrades+'!$X$3:$Y$23, 2, FALSE)))+('PlayerGrades+'!$Y$54*(VLOOKUP(S531, 'PlayerGrades+'!$X$3:$Y$23, 2, FALSE)))+('PlayerGrades+'!$Y$55*(VLOOKUP(U531, 'PlayerGrades+'!$X$3:$Y$23, 2, FALSE)))</f>
        <v>#DIV/0!</v>
      </c>
      <c r="D531" s="1412" t="str">
        <f t="shared" si="12"/>
        <v>#DIV/0!</v>
      </c>
      <c r="E531" s="1412" t="str">
        <f>IF(D531&lt;'PlayerGrades+'!$AA$21,"F-",IF(D531&lt;'PlayerGrades+'!$AA$20,"F",IF(D531&lt;'PlayerGrades+'!$AA$19,"F+",IF(D531&lt;'PlayerGrades+'!$AA$18,"E-",IF(D531&lt;'PlayerGrades+'!$AA$17,"E",IF(D531&lt;'PlayerGrades+'!$AA$16,"E+",IF(D531&lt;'PlayerGrades+'!$AA$15,"D-",IF(D531&lt;'PlayerGrades+'!$AA$14,"D",IF(D531&lt;'PlayerGrades+'!$AA$13,"D+",IF(D531&lt;'PlayerGrades+'!$AA$12,"C-",IF(D531&lt;'PlayerGrades+'!$AA$11,"C",IF(D531&lt;'PlayerGrades+'!$AA$10,"C+",IF(D531&lt;'PlayerGrades+'!$AA$9,"B-",IF(D531&lt;'PlayerGrades+'!$AA$8,"B",IF(D531&lt;'PlayerGrades+'!$AA$7,"B+",IF(D531&lt;'PlayerGrades+'!$AA$6,"A-",IF(D531&lt;'PlayerGrades+'!$AA$5,"A",IF(D531&lt;'PlayerGrades+'!$AA$4,"A+",IF(D531&lt;'PlayerGrades+'!$AA$3,"S-",IF(D531&lt;'PlayerGrades+'!$AA$2,"S","S+"))))))))))))))))))))</f>
        <v>#DIV/0!</v>
      </c>
      <c r="F531" s="1412" t="str">
        <f t="shared" si="13"/>
        <v>#DIV/0!</v>
      </c>
      <c r="G531" s="1412" t="str">
        <f>IF(F531&lt;'PlayerGrades+'!$AB$21,"F-",IF(F531&lt;'PlayerGrades+'!$AB$20,"F",IF(F531&lt;'PlayerGrades+'!$AB$19,"F+",IF(F531&lt;'PlayerGrades+'!$AB$18,"E-",IF(F531&lt;'PlayerGrades+'!$AB$17,"E",IF(F531&lt;'PlayerGrades+'!$AB$16,"E+",IF(F531&lt;'PlayerGrades+'!$AB$15,"D-",IF(F531&lt;'PlayerGrades+'!$AB$14,"D",IF(F531&lt;'PlayerGrades+'!$AB$13,"D+",IF(F531&lt;'PlayerGrades+'!$AB$12,"C-",IF(F531&lt;'PlayerGrades+'!$AB$11,"C",IF(F531&lt;'PlayerGrades+'!$AB$10,"C+",IF(F531&lt;'PlayerGrades+'!$AB$9,"B-",IF(F531&lt;'PlayerGrades+'!$AB$8,"B",IF(F531&lt;'PlayerGrades+'!$AB$7,"B+",IF(F531&lt;'PlayerGrades+'!$AB$6,"A-",IF(F531&lt;'PlayerGrades+'!$AB$5,"A",IF(F531&lt;'PlayerGrades+'!$AB$4,"A+",IF(F531&lt;'PlayerGrades+'!$AB$3,"S-",IF(F531&lt;'PlayerGrades+'!$AB$2,"S","S+"))))))))))))))))))))</f>
        <v>#DIV/0!</v>
      </c>
      <c r="H531" s="1412" t="str">
        <f t="shared" si="14"/>
        <v>#DIV/0!</v>
      </c>
      <c r="I531" s="1412" t="str">
        <f>IF(H531&lt;'PlayerGrades+'!$AC$21,"F-",IF(H531&lt;'PlayerGrades+'!$AC$20,"F",IF(H531&lt;'PlayerGrades+'!$AC$19,"F+",IF(H531&lt;'PlayerGrades+'!$AC$18,"E-",IF(H531&lt;'PlayerGrades+'!$AC$17,"E",IF(H531&lt;'PlayerGrades+'!$AC$16,"E+",IF(H531&lt;'PlayerGrades+'!$AC$15,"D-",IF(H531&lt;'PlayerGrades+'!$AC$14,"D",IF(H531&lt;'PlayerGrades+'!$AC$13,"D+",IF(H531&lt;'PlayerGrades+'!$AC$12,"C-",IF(H531&lt;'PlayerGrades+'!$AC$11,"C",IF(H531&lt;'PlayerGrades+'!$AC$10,"C+",IF(H531&lt;'PlayerGrades+'!$AC$9,"B-",IF(H531&lt;'PlayerGrades+'!$AC$8,"B",IF(H531&lt;'PlayerGrades+'!$AC$7,"B+",IF(H531&lt;'PlayerGrades+'!$AC$6,"A-",IF(H531&lt;'PlayerGrades+'!$AC$5,"A",IF(H531&lt;'PlayerGrades+'!$AC$4,"A+",IF(H531&lt;'PlayerGrades+'!$AC$3,"S-",IF(H531&lt;'PlayerGrades+'!$AC$2,"S","S+"))))))))))))))))))))</f>
        <v>#DIV/0!</v>
      </c>
      <c r="J531" s="1412" t="str">
        <f t="shared" si="15"/>
        <v>#DIV/0!</v>
      </c>
      <c r="K531" s="1412" t="str">
        <f>IF(J531&lt;'PlayerGrades+'!$AD$21,"F-",IF(J531&lt;'PlayerGrades+'!$AD$20,"F",IF(J531&lt;'PlayerGrades+'!$AD$19,"F+",IF(J531&lt;'PlayerGrades+'!$AD$18,"E-",IF(J531&lt;'PlayerGrades+'!$AD$17,"E",IF(J531&lt;'PlayerGrades+'!$AD$16,"E+",IF(J531&lt;'PlayerGrades+'!$AD$15,"D-",IF(J531&lt;'PlayerGrades+'!$AD$14,"D",IF(J531&lt;'PlayerGrades+'!$AD$13,"D+",IF(J531&lt;'PlayerGrades+'!$AD$12,"C-",IF(J531&lt;'PlayerGrades+'!$AD$11,"C",IF(J531&lt;'PlayerGrades+'!$AD$10,"C+",IF(J531&lt;'PlayerGrades+'!$AD$9,"B-",IF(J531&lt;'PlayerGrades+'!$AD$8,"B",IF(J531&lt;'PlayerGrades+'!$AD$7,"B+",IF(J531&lt;'PlayerGrades+'!$AD$6,"A-",IF(J531&lt;'PlayerGrades+'!$AD$5,"A",IF(J531&lt;'PlayerGrades+'!$AD$4,"A+",IF(J531&lt;'PlayerGrades+'!$AD$3,"S-",IF(J531&lt;'PlayerGrades+'!$AD$2,"S","S+"))))))))))))))))))))</f>
        <v>#DIV/0!</v>
      </c>
      <c r="L531" s="1413" t="str">
        <f t="shared" si="16"/>
        <v>#DIV/0!</v>
      </c>
      <c r="M531" s="1156" t="str">
        <f>IF(L531&lt;'PlayerGrades+'!$AE$21,"F-",IF(L531&lt;'PlayerGrades+'!$AE$20,"F",IF(L531&lt;'PlayerGrades+'!$AE$19,"F+",IF(L531&lt;'PlayerGrades+'!$AE$18,"E-",IF(L531&lt;'PlayerGrades+'!$AE$17,"E",IF(L531&lt;'PlayerGrades+'!$AE$16,"E+",IF(L531&lt;'PlayerGrades+'!$AE$15,"D-",IF(L531&lt;'PlayerGrades+'!$AE$14,"D",IF(L531&lt;'PlayerGrades+'!$AE$13,"D+",IF(L531&lt;'PlayerGrades+'!$AE$12,"C-",IF(L531&lt;'PlayerGrades+'!$AE$11,"C",IF(L531&lt;'PlayerGrades+'!$AE$10,"C+",IF(L531&lt;'PlayerGrades+'!$AE$9,"B-",IF(L531&lt;'PlayerGrades+'!$AE$8,"B",IF(L531&lt;'PlayerGrades+'!$AE$7,"B+",IF(L531&lt;'PlayerGrades+'!$AE$6,"A-",IF(L531&lt;'PlayerGrades+'!$AE$5,"A",IF(L531&lt;'PlayerGrades+'!$AE$4,"A+",IF(L531&lt;'PlayerGrades+'!$AE$3,"S-",IF(L531&lt;'PlayerGrades+'!$AE$2,"S","S+"))))))))))))))))))))</f>
        <v>#DIV/0!</v>
      </c>
      <c r="N531" s="1412" t="str">
        <f t="shared" si="17"/>
        <v>#DIV/0!</v>
      </c>
      <c r="O531" s="1412" t="str">
        <f>IF(N531&lt;'PlayerGrades+'!$AF$21,"F-",IF(N531&lt;'PlayerGrades+'!$AF$20,"F",IF(N531&lt;'PlayerGrades+'!$AF$19,"F+",IF(N531&lt;'PlayerGrades+'!$AF$18,"E-",IF(N531&lt;'PlayerGrades+'!$AF$17,"E",IF(N531&lt;'PlayerGrades+'!$AF$16,"E+",IF(N531&lt;'PlayerGrades+'!$AF$15,"D-",IF(N531&lt;'PlayerGrades+'!$AF$14,"D",IF(N531&lt;'PlayerGrades+'!$AF$13,"D+",IF(N531&lt;'PlayerGrades+'!$AF$12,"C-",IF(N531&lt;'PlayerGrades+'!$AF$11,"C",IF(N531&lt;'PlayerGrades+'!$AF$10,"C+",IF(N531&lt;'PlayerGrades+'!$AF$9,"B-",IF(N531&lt;'PlayerGrades+'!$AF$8,"B",IF(N531&lt;'PlayerGrades+'!$AF$7,"B+",IF(N531&lt;'PlayerGrades+'!$AF$6,"A-",IF(N531&lt;'PlayerGrades+'!$AF$5,"A",IF(N531&lt;'PlayerGrades+'!$AF$4,"A+",IF(N531&lt;'PlayerGrades+'!$AF$3,"S-",IF(N531&lt;'PlayerGrades+'!$AF$2,"S","S+"))))))))))))))))))))</f>
        <v>#DIV/0!</v>
      </c>
      <c r="P531" s="1412" t="str">
        <f t="shared" si="18"/>
        <v>#DIV/0!</v>
      </c>
      <c r="Q531" s="1412" t="str">
        <f>IF(P531&lt;'PlayerGrades+'!$AG$21,"F-",IF(P531&lt;'PlayerGrades+'!$AG$20,"F",IF(P531&lt;'PlayerGrades+'!$AG$19,"F+",IF(P531&lt;'PlayerGrades+'!$AG$18,"E-",IF(P531&lt;'PlayerGrades+'!$AG$17,"E",IF(P531&lt;'PlayerGrades+'!$AG$16,"E+",IF(P531&lt;'PlayerGrades+'!$AG$15,"D-",IF(P531&lt;'PlayerGrades+'!$AG$14,"D",IF(P531&lt;'PlayerGrades+'!$AG$13,"D+",IF(P531&lt;'PlayerGrades+'!$AG$12,"C-",IF(P531&lt;'PlayerGrades+'!$AG$11,"C",IF(P531&lt;'PlayerGrades+'!$AG$10,"C+",IF(P531&lt;'PlayerGrades+'!$AG$9,"B-",IF(P531&lt;'PlayerGrades+'!$AG$8,"B",IF(P531&lt;'PlayerGrades+'!$AG$7,"B+",IF(P531&lt;'PlayerGrades+'!$AG$6,"A-",IF(P531&lt;'PlayerGrades+'!$AG$5,"A",IF(P531&lt;'PlayerGrades+'!$AG$4,"A+",IF(P531&lt;'PlayerGrades+'!$AG$3,"S-",IF(P531&lt;'PlayerGrades+'!$AG$2,"S","S+"))))))))))))))))))))</f>
        <v>#DIV/0!</v>
      </c>
      <c r="R531" s="1412" t="str">
        <f t="shared" si="19"/>
        <v>#REF!</v>
      </c>
      <c r="S531" s="1412" t="str">
        <f>IF(R531&lt;'PlayerGrades+'!$AH$21,"F-",IF(R531&lt;'PlayerGrades+'!$AH$20,"F",IF(R531&lt;'PlayerGrades+'!$AH$19,"F+",IF(R531&lt;'PlayerGrades+'!$AH$18,"E-",IF(R531&lt;'PlayerGrades+'!$AH$17,"E",IF(R531&lt;'PlayerGrades+'!$AH$16,"E+",IF(R531&lt;'PlayerGrades+'!$AH$15,"D-",IF(R531&lt;'PlayerGrades+'!$AH$14,"D",IF(R531&lt;'PlayerGrades+'!$AH$13,"D+",IF(R531&lt;'PlayerGrades+'!$AH$12,"C-",IF(R531&lt;'PlayerGrades+'!$AH$11,"C",IF(R531&lt;'PlayerGrades+'!$AH$10,"C+",IF(R531&lt;'PlayerGrades+'!$AH$9,"B-",IF(R531&lt;'PlayerGrades+'!$AH$8,"B",IF(R531&lt;'PlayerGrades+'!$AH$7,"B+",IF(R531&lt;'PlayerGrades+'!$AH$6,"A-",IF(R531&lt;'PlayerGrades+'!$AH$5,"A",IF(R531&lt;'PlayerGrades+'!$AH$4,"A+",IF(R531&lt;'PlayerGrades+'!$AH$3,"S-",IF(R531&lt;'PlayerGrades+'!$AH$2,"S","S+"))))))))))))))))))))</f>
        <v>#REF!</v>
      </c>
      <c r="T531" s="1412" t="str">
        <f t="shared" si="20"/>
        <v>#REF!</v>
      </c>
      <c r="U531" s="1412" t="str">
        <f>IF(T531&lt;'PlayerGrades+'!$AI$21,"F-",IF(T531&lt;'PlayerGrades+'!$AI$20,"F",IF(T531&lt;'PlayerGrades+'!$AI$19,"F+",IF(T531&lt;'PlayerGrades+'!$AI$18,"E-",IF(T531&lt;'PlayerGrades+'!$AI$17,"E",IF(T531&lt;'PlayerGrades+'!$AI$16,"E+",IF(T531&lt;'PlayerGrades+'!$AI$15,"D-",IF(T531&lt;'PlayerGrades+'!$AI$14,"D",IF(T531&lt;'PlayerGrades+'!$AI$13,"D+",IF(T531&lt;'PlayerGrades+'!$AI$12,"C-",IF(T531&lt;'PlayerGrades+'!$AI$11,"C",IF(T531&lt;'PlayerGrades+'!$AI$10,"C+",IF(T531&lt;'PlayerGrades+'!$AI$9,"B-",IF(T531&lt;'PlayerGrades+'!$AI$8,"B",IF(T531&lt;'PlayerGrades+'!$AI$7,"B+",IF(T531&lt;'PlayerGrades+'!$AI$6,"A-",IF(T531&lt;'PlayerGrades+'!$AI$5,"A",IF(T531&lt;'PlayerGrades+'!$AI$4,"A+",IF(T531&lt;'PlayerGrades+'!$AI$3,"S-",IF(T531&lt;'PlayerGrades+'!$AI$2,"S","S+"))))))))))))))))))))</f>
        <v>#REF!</v>
      </c>
      <c r="AC531" s="1392"/>
    </row>
    <row r="532">
      <c r="A532" s="1391"/>
      <c r="B532" s="611" t="str">
        <f>IF(C532&lt;'PlayerGrades+'!$Y$44,"F-",IF(C532&lt;'PlayerGrades+'!$Y$43,"F",IF(C532&lt;'PlayerGrades+'!$Y$42,"F+",IF(C532&lt;'PlayerGrades+'!$Y$41,"E-",IF(C532&lt;'PlayerGrades+'!$Y$40,"E",IF(C532&lt;'PlayerGrades+'!$Y$39,"E+",IF(C532&lt;'PlayerGrades+'!$Y$38,"D-",IF(C532&lt;'PlayerGrades+'!$Y$37,"D",IF(C532&lt;'PlayerGrades+'!$Y$36,"D+",IF(C532&lt;'PlayerGrades+'!$Y$35,"C-",IF(C532&lt;'PlayerGrades+'!$Y$34,"C",IF(C532&lt;'PlayerGrades+'!$Y$33,"C+",IF(C532&lt;'PlayerGrades+'!$Y$32,"B-",IF(C532&lt;'PlayerGrades+'!$Y$31,"B",IF(C532&lt;'PlayerGrades+'!$Y$30,"B+",IF(C532&lt;'PlayerGrades+'!$Y$29,"A-",IF(C532&lt;'PlayerGrades+'!$Y$28,"A",IF(C532&lt;'PlayerGrades+'!$Y$27,"A+",IF(C532&lt;'PlayerGrades+'!$Y$26,"S-",IF(C532&lt;'PlayerGrades+'!$Y$25,"S","S+"))))))))))))))))))))</f>
        <v>#DIV/0!</v>
      </c>
      <c r="C532" s="1378" t="str">
        <f>('PlayerGrades+'!$Y$47*(VLOOKUP(E532, 'PlayerGrades+'!$X$3:$Y$23, 2, FALSE)))+('PlayerGrades+'!$Y$48*(VLOOKUP(G532, 'PlayerGrades+'!$X$3:$Y$23, 2, FALSE)))+('PlayerGrades+'!$Y$49*(VLOOKUP(I532, 'PlayerGrades+'!$X$3:$Y$23, 2, FALSE)))+('PlayerGrades+'!$Y$50*(VLOOKUP(K532, 'PlayerGrades+'!$X$3:$Y$23, 2, FALSE)))+('PlayerGrades+'!$Y$51*(VLOOKUP(M532, 'PlayerGrades+'!$X$3:$Y$23, 2, FALSE)))+('PlayerGrades+'!$Y$52*(VLOOKUP(O532, 'PlayerGrades+'!$X$3:$Y$23, 2, FALSE)))+('PlayerGrades+'!$Y$53*(VLOOKUP(Q532, 'PlayerGrades+'!$X$3:$Y$23, 2, FALSE)))+('PlayerGrades+'!$Y$54*(VLOOKUP(S532, 'PlayerGrades+'!$X$3:$Y$23, 2, FALSE)))+('PlayerGrades+'!$Y$55*(VLOOKUP(U532, 'PlayerGrades+'!$X$3:$Y$23, 2, FALSE)))</f>
        <v>#DIV/0!</v>
      </c>
      <c r="D532" s="1412" t="str">
        <f t="shared" si="12"/>
        <v>#DIV/0!</v>
      </c>
      <c r="E532" s="1412" t="str">
        <f>IF(D532&lt;'PlayerGrades+'!$AA$21,"F-",IF(D532&lt;'PlayerGrades+'!$AA$20,"F",IF(D532&lt;'PlayerGrades+'!$AA$19,"F+",IF(D532&lt;'PlayerGrades+'!$AA$18,"E-",IF(D532&lt;'PlayerGrades+'!$AA$17,"E",IF(D532&lt;'PlayerGrades+'!$AA$16,"E+",IF(D532&lt;'PlayerGrades+'!$AA$15,"D-",IF(D532&lt;'PlayerGrades+'!$AA$14,"D",IF(D532&lt;'PlayerGrades+'!$AA$13,"D+",IF(D532&lt;'PlayerGrades+'!$AA$12,"C-",IF(D532&lt;'PlayerGrades+'!$AA$11,"C",IF(D532&lt;'PlayerGrades+'!$AA$10,"C+",IF(D532&lt;'PlayerGrades+'!$AA$9,"B-",IF(D532&lt;'PlayerGrades+'!$AA$8,"B",IF(D532&lt;'PlayerGrades+'!$AA$7,"B+",IF(D532&lt;'PlayerGrades+'!$AA$6,"A-",IF(D532&lt;'PlayerGrades+'!$AA$5,"A",IF(D532&lt;'PlayerGrades+'!$AA$4,"A+",IF(D532&lt;'PlayerGrades+'!$AA$3,"S-",IF(D532&lt;'PlayerGrades+'!$AA$2,"S","S+"))))))))))))))))))))</f>
        <v>#DIV/0!</v>
      </c>
      <c r="F532" s="1412" t="str">
        <f t="shared" si="13"/>
        <v>#DIV/0!</v>
      </c>
      <c r="G532" s="1412" t="str">
        <f>IF(F532&lt;'PlayerGrades+'!$AB$21,"F-",IF(F532&lt;'PlayerGrades+'!$AB$20,"F",IF(F532&lt;'PlayerGrades+'!$AB$19,"F+",IF(F532&lt;'PlayerGrades+'!$AB$18,"E-",IF(F532&lt;'PlayerGrades+'!$AB$17,"E",IF(F532&lt;'PlayerGrades+'!$AB$16,"E+",IF(F532&lt;'PlayerGrades+'!$AB$15,"D-",IF(F532&lt;'PlayerGrades+'!$AB$14,"D",IF(F532&lt;'PlayerGrades+'!$AB$13,"D+",IF(F532&lt;'PlayerGrades+'!$AB$12,"C-",IF(F532&lt;'PlayerGrades+'!$AB$11,"C",IF(F532&lt;'PlayerGrades+'!$AB$10,"C+",IF(F532&lt;'PlayerGrades+'!$AB$9,"B-",IF(F532&lt;'PlayerGrades+'!$AB$8,"B",IF(F532&lt;'PlayerGrades+'!$AB$7,"B+",IF(F532&lt;'PlayerGrades+'!$AB$6,"A-",IF(F532&lt;'PlayerGrades+'!$AB$5,"A",IF(F532&lt;'PlayerGrades+'!$AB$4,"A+",IF(F532&lt;'PlayerGrades+'!$AB$3,"S-",IF(F532&lt;'PlayerGrades+'!$AB$2,"S","S+"))))))))))))))))))))</f>
        <v>#DIV/0!</v>
      </c>
      <c r="H532" s="1412" t="str">
        <f t="shared" si="14"/>
        <v>#DIV/0!</v>
      </c>
      <c r="I532" s="1412" t="str">
        <f>IF(H532&lt;'PlayerGrades+'!$AC$21,"F-",IF(H532&lt;'PlayerGrades+'!$AC$20,"F",IF(H532&lt;'PlayerGrades+'!$AC$19,"F+",IF(H532&lt;'PlayerGrades+'!$AC$18,"E-",IF(H532&lt;'PlayerGrades+'!$AC$17,"E",IF(H532&lt;'PlayerGrades+'!$AC$16,"E+",IF(H532&lt;'PlayerGrades+'!$AC$15,"D-",IF(H532&lt;'PlayerGrades+'!$AC$14,"D",IF(H532&lt;'PlayerGrades+'!$AC$13,"D+",IF(H532&lt;'PlayerGrades+'!$AC$12,"C-",IF(H532&lt;'PlayerGrades+'!$AC$11,"C",IF(H532&lt;'PlayerGrades+'!$AC$10,"C+",IF(H532&lt;'PlayerGrades+'!$AC$9,"B-",IF(H532&lt;'PlayerGrades+'!$AC$8,"B",IF(H532&lt;'PlayerGrades+'!$AC$7,"B+",IF(H532&lt;'PlayerGrades+'!$AC$6,"A-",IF(H532&lt;'PlayerGrades+'!$AC$5,"A",IF(H532&lt;'PlayerGrades+'!$AC$4,"A+",IF(H532&lt;'PlayerGrades+'!$AC$3,"S-",IF(H532&lt;'PlayerGrades+'!$AC$2,"S","S+"))))))))))))))))))))</f>
        <v>#DIV/0!</v>
      </c>
      <c r="J532" s="1412" t="str">
        <f t="shared" si="15"/>
        <v>#DIV/0!</v>
      </c>
      <c r="K532" s="1412" t="str">
        <f>IF(J532&lt;'PlayerGrades+'!$AD$21,"F-",IF(J532&lt;'PlayerGrades+'!$AD$20,"F",IF(J532&lt;'PlayerGrades+'!$AD$19,"F+",IF(J532&lt;'PlayerGrades+'!$AD$18,"E-",IF(J532&lt;'PlayerGrades+'!$AD$17,"E",IF(J532&lt;'PlayerGrades+'!$AD$16,"E+",IF(J532&lt;'PlayerGrades+'!$AD$15,"D-",IF(J532&lt;'PlayerGrades+'!$AD$14,"D",IF(J532&lt;'PlayerGrades+'!$AD$13,"D+",IF(J532&lt;'PlayerGrades+'!$AD$12,"C-",IF(J532&lt;'PlayerGrades+'!$AD$11,"C",IF(J532&lt;'PlayerGrades+'!$AD$10,"C+",IF(J532&lt;'PlayerGrades+'!$AD$9,"B-",IF(J532&lt;'PlayerGrades+'!$AD$8,"B",IF(J532&lt;'PlayerGrades+'!$AD$7,"B+",IF(J532&lt;'PlayerGrades+'!$AD$6,"A-",IF(J532&lt;'PlayerGrades+'!$AD$5,"A",IF(J532&lt;'PlayerGrades+'!$AD$4,"A+",IF(J532&lt;'PlayerGrades+'!$AD$3,"S-",IF(J532&lt;'PlayerGrades+'!$AD$2,"S","S+"))))))))))))))))))))</f>
        <v>#DIV/0!</v>
      </c>
      <c r="L532" s="1413" t="str">
        <f t="shared" si="16"/>
        <v>#DIV/0!</v>
      </c>
      <c r="M532" s="1156" t="str">
        <f>IF(L532&lt;'PlayerGrades+'!$AE$21,"F-",IF(L532&lt;'PlayerGrades+'!$AE$20,"F",IF(L532&lt;'PlayerGrades+'!$AE$19,"F+",IF(L532&lt;'PlayerGrades+'!$AE$18,"E-",IF(L532&lt;'PlayerGrades+'!$AE$17,"E",IF(L532&lt;'PlayerGrades+'!$AE$16,"E+",IF(L532&lt;'PlayerGrades+'!$AE$15,"D-",IF(L532&lt;'PlayerGrades+'!$AE$14,"D",IF(L532&lt;'PlayerGrades+'!$AE$13,"D+",IF(L532&lt;'PlayerGrades+'!$AE$12,"C-",IF(L532&lt;'PlayerGrades+'!$AE$11,"C",IF(L532&lt;'PlayerGrades+'!$AE$10,"C+",IF(L532&lt;'PlayerGrades+'!$AE$9,"B-",IF(L532&lt;'PlayerGrades+'!$AE$8,"B",IF(L532&lt;'PlayerGrades+'!$AE$7,"B+",IF(L532&lt;'PlayerGrades+'!$AE$6,"A-",IF(L532&lt;'PlayerGrades+'!$AE$5,"A",IF(L532&lt;'PlayerGrades+'!$AE$4,"A+",IF(L532&lt;'PlayerGrades+'!$AE$3,"S-",IF(L532&lt;'PlayerGrades+'!$AE$2,"S","S+"))))))))))))))))))))</f>
        <v>#DIV/0!</v>
      </c>
      <c r="N532" s="1412" t="str">
        <f t="shared" si="17"/>
        <v>#DIV/0!</v>
      </c>
      <c r="O532" s="1412" t="str">
        <f>IF(N532&lt;'PlayerGrades+'!$AF$21,"F-",IF(N532&lt;'PlayerGrades+'!$AF$20,"F",IF(N532&lt;'PlayerGrades+'!$AF$19,"F+",IF(N532&lt;'PlayerGrades+'!$AF$18,"E-",IF(N532&lt;'PlayerGrades+'!$AF$17,"E",IF(N532&lt;'PlayerGrades+'!$AF$16,"E+",IF(N532&lt;'PlayerGrades+'!$AF$15,"D-",IF(N532&lt;'PlayerGrades+'!$AF$14,"D",IF(N532&lt;'PlayerGrades+'!$AF$13,"D+",IF(N532&lt;'PlayerGrades+'!$AF$12,"C-",IF(N532&lt;'PlayerGrades+'!$AF$11,"C",IF(N532&lt;'PlayerGrades+'!$AF$10,"C+",IF(N532&lt;'PlayerGrades+'!$AF$9,"B-",IF(N532&lt;'PlayerGrades+'!$AF$8,"B",IF(N532&lt;'PlayerGrades+'!$AF$7,"B+",IF(N532&lt;'PlayerGrades+'!$AF$6,"A-",IF(N532&lt;'PlayerGrades+'!$AF$5,"A",IF(N532&lt;'PlayerGrades+'!$AF$4,"A+",IF(N532&lt;'PlayerGrades+'!$AF$3,"S-",IF(N532&lt;'PlayerGrades+'!$AF$2,"S","S+"))))))))))))))))))))</f>
        <v>#DIV/0!</v>
      </c>
      <c r="P532" s="1412" t="str">
        <f t="shared" si="18"/>
        <v>#DIV/0!</v>
      </c>
      <c r="Q532" s="1412" t="str">
        <f>IF(P532&lt;'PlayerGrades+'!$AG$21,"F-",IF(P532&lt;'PlayerGrades+'!$AG$20,"F",IF(P532&lt;'PlayerGrades+'!$AG$19,"F+",IF(P532&lt;'PlayerGrades+'!$AG$18,"E-",IF(P532&lt;'PlayerGrades+'!$AG$17,"E",IF(P532&lt;'PlayerGrades+'!$AG$16,"E+",IF(P532&lt;'PlayerGrades+'!$AG$15,"D-",IF(P532&lt;'PlayerGrades+'!$AG$14,"D",IF(P532&lt;'PlayerGrades+'!$AG$13,"D+",IF(P532&lt;'PlayerGrades+'!$AG$12,"C-",IF(P532&lt;'PlayerGrades+'!$AG$11,"C",IF(P532&lt;'PlayerGrades+'!$AG$10,"C+",IF(P532&lt;'PlayerGrades+'!$AG$9,"B-",IF(P532&lt;'PlayerGrades+'!$AG$8,"B",IF(P532&lt;'PlayerGrades+'!$AG$7,"B+",IF(P532&lt;'PlayerGrades+'!$AG$6,"A-",IF(P532&lt;'PlayerGrades+'!$AG$5,"A",IF(P532&lt;'PlayerGrades+'!$AG$4,"A+",IF(P532&lt;'PlayerGrades+'!$AG$3,"S-",IF(P532&lt;'PlayerGrades+'!$AG$2,"S","S+"))))))))))))))))))))</f>
        <v>#DIV/0!</v>
      </c>
      <c r="R532" s="1412" t="str">
        <f t="shared" si="19"/>
        <v>#REF!</v>
      </c>
      <c r="S532" s="1412" t="str">
        <f>IF(R532&lt;'PlayerGrades+'!$AH$21,"F-",IF(R532&lt;'PlayerGrades+'!$AH$20,"F",IF(R532&lt;'PlayerGrades+'!$AH$19,"F+",IF(R532&lt;'PlayerGrades+'!$AH$18,"E-",IF(R532&lt;'PlayerGrades+'!$AH$17,"E",IF(R532&lt;'PlayerGrades+'!$AH$16,"E+",IF(R532&lt;'PlayerGrades+'!$AH$15,"D-",IF(R532&lt;'PlayerGrades+'!$AH$14,"D",IF(R532&lt;'PlayerGrades+'!$AH$13,"D+",IF(R532&lt;'PlayerGrades+'!$AH$12,"C-",IF(R532&lt;'PlayerGrades+'!$AH$11,"C",IF(R532&lt;'PlayerGrades+'!$AH$10,"C+",IF(R532&lt;'PlayerGrades+'!$AH$9,"B-",IF(R532&lt;'PlayerGrades+'!$AH$8,"B",IF(R532&lt;'PlayerGrades+'!$AH$7,"B+",IF(R532&lt;'PlayerGrades+'!$AH$6,"A-",IF(R532&lt;'PlayerGrades+'!$AH$5,"A",IF(R532&lt;'PlayerGrades+'!$AH$4,"A+",IF(R532&lt;'PlayerGrades+'!$AH$3,"S-",IF(R532&lt;'PlayerGrades+'!$AH$2,"S","S+"))))))))))))))))))))</f>
        <v>#REF!</v>
      </c>
      <c r="T532" s="1412" t="str">
        <f t="shared" si="20"/>
        <v>#REF!</v>
      </c>
      <c r="U532" s="1412" t="str">
        <f>IF(T532&lt;'PlayerGrades+'!$AI$21,"F-",IF(T532&lt;'PlayerGrades+'!$AI$20,"F",IF(T532&lt;'PlayerGrades+'!$AI$19,"F+",IF(T532&lt;'PlayerGrades+'!$AI$18,"E-",IF(T532&lt;'PlayerGrades+'!$AI$17,"E",IF(T532&lt;'PlayerGrades+'!$AI$16,"E+",IF(T532&lt;'PlayerGrades+'!$AI$15,"D-",IF(T532&lt;'PlayerGrades+'!$AI$14,"D",IF(T532&lt;'PlayerGrades+'!$AI$13,"D+",IF(T532&lt;'PlayerGrades+'!$AI$12,"C-",IF(T532&lt;'PlayerGrades+'!$AI$11,"C",IF(T532&lt;'PlayerGrades+'!$AI$10,"C+",IF(T532&lt;'PlayerGrades+'!$AI$9,"B-",IF(T532&lt;'PlayerGrades+'!$AI$8,"B",IF(T532&lt;'PlayerGrades+'!$AI$7,"B+",IF(T532&lt;'PlayerGrades+'!$AI$6,"A-",IF(T532&lt;'PlayerGrades+'!$AI$5,"A",IF(T532&lt;'PlayerGrades+'!$AI$4,"A+",IF(T532&lt;'PlayerGrades+'!$AI$3,"S-",IF(T532&lt;'PlayerGrades+'!$AI$2,"S","S+"))))))))))))))))))))</f>
        <v>#REF!</v>
      </c>
      <c r="AC532" s="1392"/>
    </row>
    <row r="533">
      <c r="A533" s="1391"/>
      <c r="B533" s="611" t="str">
        <f>IF(C533&lt;'PlayerGrades+'!$Y$44,"F-",IF(C533&lt;'PlayerGrades+'!$Y$43,"F",IF(C533&lt;'PlayerGrades+'!$Y$42,"F+",IF(C533&lt;'PlayerGrades+'!$Y$41,"E-",IF(C533&lt;'PlayerGrades+'!$Y$40,"E",IF(C533&lt;'PlayerGrades+'!$Y$39,"E+",IF(C533&lt;'PlayerGrades+'!$Y$38,"D-",IF(C533&lt;'PlayerGrades+'!$Y$37,"D",IF(C533&lt;'PlayerGrades+'!$Y$36,"D+",IF(C533&lt;'PlayerGrades+'!$Y$35,"C-",IF(C533&lt;'PlayerGrades+'!$Y$34,"C",IF(C533&lt;'PlayerGrades+'!$Y$33,"C+",IF(C533&lt;'PlayerGrades+'!$Y$32,"B-",IF(C533&lt;'PlayerGrades+'!$Y$31,"B",IF(C533&lt;'PlayerGrades+'!$Y$30,"B+",IF(C533&lt;'PlayerGrades+'!$Y$29,"A-",IF(C533&lt;'PlayerGrades+'!$Y$28,"A",IF(C533&lt;'PlayerGrades+'!$Y$27,"A+",IF(C533&lt;'PlayerGrades+'!$Y$26,"S-",IF(C533&lt;'PlayerGrades+'!$Y$25,"S","S+"))))))))))))))))))))</f>
        <v>#DIV/0!</v>
      </c>
      <c r="C533" s="1378" t="str">
        <f>('PlayerGrades+'!$Y$47*(VLOOKUP(E533, 'PlayerGrades+'!$X$3:$Y$23, 2, FALSE)))+('PlayerGrades+'!$Y$48*(VLOOKUP(G533, 'PlayerGrades+'!$X$3:$Y$23, 2, FALSE)))+('PlayerGrades+'!$Y$49*(VLOOKUP(I533, 'PlayerGrades+'!$X$3:$Y$23, 2, FALSE)))+('PlayerGrades+'!$Y$50*(VLOOKUP(K533, 'PlayerGrades+'!$X$3:$Y$23, 2, FALSE)))+('PlayerGrades+'!$Y$51*(VLOOKUP(M533, 'PlayerGrades+'!$X$3:$Y$23, 2, FALSE)))+('PlayerGrades+'!$Y$52*(VLOOKUP(O533, 'PlayerGrades+'!$X$3:$Y$23, 2, FALSE)))+('PlayerGrades+'!$Y$53*(VLOOKUP(Q533, 'PlayerGrades+'!$X$3:$Y$23, 2, FALSE)))+('PlayerGrades+'!$Y$54*(VLOOKUP(S533, 'PlayerGrades+'!$X$3:$Y$23, 2, FALSE)))+('PlayerGrades+'!$Y$55*(VLOOKUP(U533, 'PlayerGrades+'!$X$3:$Y$23, 2, FALSE)))</f>
        <v>#DIV/0!</v>
      </c>
      <c r="D533" s="1412" t="str">
        <f t="shared" si="12"/>
        <v>#DIV/0!</v>
      </c>
      <c r="E533" s="1412" t="str">
        <f>IF(D533&lt;'PlayerGrades+'!$AA$21,"F-",IF(D533&lt;'PlayerGrades+'!$AA$20,"F",IF(D533&lt;'PlayerGrades+'!$AA$19,"F+",IF(D533&lt;'PlayerGrades+'!$AA$18,"E-",IF(D533&lt;'PlayerGrades+'!$AA$17,"E",IF(D533&lt;'PlayerGrades+'!$AA$16,"E+",IF(D533&lt;'PlayerGrades+'!$AA$15,"D-",IF(D533&lt;'PlayerGrades+'!$AA$14,"D",IF(D533&lt;'PlayerGrades+'!$AA$13,"D+",IF(D533&lt;'PlayerGrades+'!$AA$12,"C-",IF(D533&lt;'PlayerGrades+'!$AA$11,"C",IF(D533&lt;'PlayerGrades+'!$AA$10,"C+",IF(D533&lt;'PlayerGrades+'!$AA$9,"B-",IF(D533&lt;'PlayerGrades+'!$AA$8,"B",IF(D533&lt;'PlayerGrades+'!$AA$7,"B+",IF(D533&lt;'PlayerGrades+'!$AA$6,"A-",IF(D533&lt;'PlayerGrades+'!$AA$5,"A",IF(D533&lt;'PlayerGrades+'!$AA$4,"A+",IF(D533&lt;'PlayerGrades+'!$AA$3,"S-",IF(D533&lt;'PlayerGrades+'!$AA$2,"S","S+"))))))))))))))))))))</f>
        <v>#DIV/0!</v>
      </c>
      <c r="F533" s="1412" t="str">
        <f t="shared" si="13"/>
        <v>#DIV/0!</v>
      </c>
      <c r="G533" s="1412" t="str">
        <f>IF(F533&lt;'PlayerGrades+'!$AB$21,"F-",IF(F533&lt;'PlayerGrades+'!$AB$20,"F",IF(F533&lt;'PlayerGrades+'!$AB$19,"F+",IF(F533&lt;'PlayerGrades+'!$AB$18,"E-",IF(F533&lt;'PlayerGrades+'!$AB$17,"E",IF(F533&lt;'PlayerGrades+'!$AB$16,"E+",IF(F533&lt;'PlayerGrades+'!$AB$15,"D-",IF(F533&lt;'PlayerGrades+'!$AB$14,"D",IF(F533&lt;'PlayerGrades+'!$AB$13,"D+",IF(F533&lt;'PlayerGrades+'!$AB$12,"C-",IF(F533&lt;'PlayerGrades+'!$AB$11,"C",IF(F533&lt;'PlayerGrades+'!$AB$10,"C+",IF(F533&lt;'PlayerGrades+'!$AB$9,"B-",IF(F533&lt;'PlayerGrades+'!$AB$8,"B",IF(F533&lt;'PlayerGrades+'!$AB$7,"B+",IF(F533&lt;'PlayerGrades+'!$AB$6,"A-",IF(F533&lt;'PlayerGrades+'!$AB$5,"A",IF(F533&lt;'PlayerGrades+'!$AB$4,"A+",IF(F533&lt;'PlayerGrades+'!$AB$3,"S-",IF(F533&lt;'PlayerGrades+'!$AB$2,"S","S+"))))))))))))))))))))</f>
        <v>#DIV/0!</v>
      </c>
      <c r="H533" s="1412" t="str">
        <f t="shared" si="14"/>
        <v>#DIV/0!</v>
      </c>
      <c r="I533" s="1412" t="str">
        <f>IF(H533&lt;'PlayerGrades+'!$AC$21,"F-",IF(H533&lt;'PlayerGrades+'!$AC$20,"F",IF(H533&lt;'PlayerGrades+'!$AC$19,"F+",IF(H533&lt;'PlayerGrades+'!$AC$18,"E-",IF(H533&lt;'PlayerGrades+'!$AC$17,"E",IF(H533&lt;'PlayerGrades+'!$AC$16,"E+",IF(H533&lt;'PlayerGrades+'!$AC$15,"D-",IF(H533&lt;'PlayerGrades+'!$AC$14,"D",IF(H533&lt;'PlayerGrades+'!$AC$13,"D+",IF(H533&lt;'PlayerGrades+'!$AC$12,"C-",IF(H533&lt;'PlayerGrades+'!$AC$11,"C",IF(H533&lt;'PlayerGrades+'!$AC$10,"C+",IF(H533&lt;'PlayerGrades+'!$AC$9,"B-",IF(H533&lt;'PlayerGrades+'!$AC$8,"B",IF(H533&lt;'PlayerGrades+'!$AC$7,"B+",IF(H533&lt;'PlayerGrades+'!$AC$6,"A-",IF(H533&lt;'PlayerGrades+'!$AC$5,"A",IF(H533&lt;'PlayerGrades+'!$AC$4,"A+",IF(H533&lt;'PlayerGrades+'!$AC$3,"S-",IF(H533&lt;'PlayerGrades+'!$AC$2,"S","S+"))))))))))))))))))))</f>
        <v>#DIV/0!</v>
      </c>
      <c r="J533" s="1412" t="str">
        <f t="shared" si="15"/>
        <v>#DIV/0!</v>
      </c>
      <c r="K533" s="1412" t="str">
        <f>IF(J533&lt;'PlayerGrades+'!$AD$21,"F-",IF(J533&lt;'PlayerGrades+'!$AD$20,"F",IF(J533&lt;'PlayerGrades+'!$AD$19,"F+",IF(J533&lt;'PlayerGrades+'!$AD$18,"E-",IF(J533&lt;'PlayerGrades+'!$AD$17,"E",IF(J533&lt;'PlayerGrades+'!$AD$16,"E+",IF(J533&lt;'PlayerGrades+'!$AD$15,"D-",IF(J533&lt;'PlayerGrades+'!$AD$14,"D",IF(J533&lt;'PlayerGrades+'!$AD$13,"D+",IF(J533&lt;'PlayerGrades+'!$AD$12,"C-",IF(J533&lt;'PlayerGrades+'!$AD$11,"C",IF(J533&lt;'PlayerGrades+'!$AD$10,"C+",IF(J533&lt;'PlayerGrades+'!$AD$9,"B-",IF(J533&lt;'PlayerGrades+'!$AD$8,"B",IF(J533&lt;'PlayerGrades+'!$AD$7,"B+",IF(J533&lt;'PlayerGrades+'!$AD$6,"A-",IF(J533&lt;'PlayerGrades+'!$AD$5,"A",IF(J533&lt;'PlayerGrades+'!$AD$4,"A+",IF(J533&lt;'PlayerGrades+'!$AD$3,"S-",IF(J533&lt;'PlayerGrades+'!$AD$2,"S","S+"))))))))))))))))))))</f>
        <v>#DIV/0!</v>
      </c>
      <c r="L533" s="1413" t="str">
        <f t="shared" si="16"/>
        <v>#DIV/0!</v>
      </c>
      <c r="M533" s="1156" t="str">
        <f>IF(L533&lt;'PlayerGrades+'!$AE$21,"F-",IF(L533&lt;'PlayerGrades+'!$AE$20,"F",IF(L533&lt;'PlayerGrades+'!$AE$19,"F+",IF(L533&lt;'PlayerGrades+'!$AE$18,"E-",IF(L533&lt;'PlayerGrades+'!$AE$17,"E",IF(L533&lt;'PlayerGrades+'!$AE$16,"E+",IF(L533&lt;'PlayerGrades+'!$AE$15,"D-",IF(L533&lt;'PlayerGrades+'!$AE$14,"D",IF(L533&lt;'PlayerGrades+'!$AE$13,"D+",IF(L533&lt;'PlayerGrades+'!$AE$12,"C-",IF(L533&lt;'PlayerGrades+'!$AE$11,"C",IF(L533&lt;'PlayerGrades+'!$AE$10,"C+",IF(L533&lt;'PlayerGrades+'!$AE$9,"B-",IF(L533&lt;'PlayerGrades+'!$AE$8,"B",IF(L533&lt;'PlayerGrades+'!$AE$7,"B+",IF(L533&lt;'PlayerGrades+'!$AE$6,"A-",IF(L533&lt;'PlayerGrades+'!$AE$5,"A",IF(L533&lt;'PlayerGrades+'!$AE$4,"A+",IF(L533&lt;'PlayerGrades+'!$AE$3,"S-",IF(L533&lt;'PlayerGrades+'!$AE$2,"S","S+"))))))))))))))))))))</f>
        <v>#DIV/0!</v>
      </c>
      <c r="N533" s="1412" t="str">
        <f t="shared" si="17"/>
        <v>#DIV/0!</v>
      </c>
      <c r="O533" s="1412" t="str">
        <f>IF(N533&lt;'PlayerGrades+'!$AF$21,"F-",IF(N533&lt;'PlayerGrades+'!$AF$20,"F",IF(N533&lt;'PlayerGrades+'!$AF$19,"F+",IF(N533&lt;'PlayerGrades+'!$AF$18,"E-",IF(N533&lt;'PlayerGrades+'!$AF$17,"E",IF(N533&lt;'PlayerGrades+'!$AF$16,"E+",IF(N533&lt;'PlayerGrades+'!$AF$15,"D-",IF(N533&lt;'PlayerGrades+'!$AF$14,"D",IF(N533&lt;'PlayerGrades+'!$AF$13,"D+",IF(N533&lt;'PlayerGrades+'!$AF$12,"C-",IF(N533&lt;'PlayerGrades+'!$AF$11,"C",IF(N533&lt;'PlayerGrades+'!$AF$10,"C+",IF(N533&lt;'PlayerGrades+'!$AF$9,"B-",IF(N533&lt;'PlayerGrades+'!$AF$8,"B",IF(N533&lt;'PlayerGrades+'!$AF$7,"B+",IF(N533&lt;'PlayerGrades+'!$AF$6,"A-",IF(N533&lt;'PlayerGrades+'!$AF$5,"A",IF(N533&lt;'PlayerGrades+'!$AF$4,"A+",IF(N533&lt;'PlayerGrades+'!$AF$3,"S-",IF(N533&lt;'PlayerGrades+'!$AF$2,"S","S+"))))))))))))))))))))</f>
        <v>#DIV/0!</v>
      </c>
      <c r="P533" s="1412" t="str">
        <f t="shared" si="18"/>
        <v>#DIV/0!</v>
      </c>
      <c r="Q533" s="1412" t="str">
        <f>IF(P533&lt;'PlayerGrades+'!$AG$21,"F-",IF(P533&lt;'PlayerGrades+'!$AG$20,"F",IF(P533&lt;'PlayerGrades+'!$AG$19,"F+",IF(P533&lt;'PlayerGrades+'!$AG$18,"E-",IF(P533&lt;'PlayerGrades+'!$AG$17,"E",IF(P533&lt;'PlayerGrades+'!$AG$16,"E+",IF(P533&lt;'PlayerGrades+'!$AG$15,"D-",IF(P533&lt;'PlayerGrades+'!$AG$14,"D",IF(P533&lt;'PlayerGrades+'!$AG$13,"D+",IF(P533&lt;'PlayerGrades+'!$AG$12,"C-",IF(P533&lt;'PlayerGrades+'!$AG$11,"C",IF(P533&lt;'PlayerGrades+'!$AG$10,"C+",IF(P533&lt;'PlayerGrades+'!$AG$9,"B-",IF(P533&lt;'PlayerGrades+'!$AG$8,"B",IF(P533&lt;'PlayerGrades+'!$AG$7,"B+",IF(P533&lt;'PlayerGrades+'!$AG$6,"A-",IF(P533&lt;'PlayerGrades+'!$AG$5,"A",IF(P533&lt;'PlayerGrades+'!$AG$4,"A+",IF(P533&lt;'PlayerGrades+'!$AG$3,"S-",IF(P533&lt;'PlayerGrades+'!$AG$2,"S","S+"))))))))))))))))))))</f>
        <v>#DIV/0!</v>
      </c>
      <c r="R533" s="1412" t="str">
        <f t="shared" si="19"/>
        <v>#REF!</v>
      </c>
      <c r="S533" s="1412" t="str">
        <f>IF(R533&lt;'PlayerGrades+'!$AH$21,"F-",IF(R533&lt;'PlayerGrades+'!$AH$20,"F",IF(R533&lt;'PlayerGrades+'!$AH$19,"F+",IF(R533&lt;'PlayerGrades+'!$AH$18,"E-",IF(R533&lt;'PlayerGrades+'!$AH$17,"E",IF(R533&lt;'PlayerGrades+'!$AH$16,"E+",IF(R533&lt;'PlayerGrades+'!$AH$15,"D-",IF(R533&lt;'PlayerGrades+'!$AH$14,"D",IF(R533&lt;'PlayerGrades+'!$AH$13,"D+",IF(R533&lt;'PlayerGrades+'!$AH$12,"C-",IF(R533&lt;'PlayerGrades+'!$AH$11,"C",IF(R533&lt;'PlayerGrades+'!$AH$10,"C+",IF(R533&lt;'PlayerGrades+'!$AH$9,"B-",IF(R533&lt;'PlayerGrades+'!$AH$8,"B",IF(R533&lt;'PlayerGrades+'!$AH$7,"B+",IF(R533&lt;'PlayerGrades+'!$AH$6,"A-",IF(R533&lt;'PlayerGrades+'!$AH$5,"A",IF(R533&lt;'PlayerGrades+'!$AH$4,"A+",IF(R533&lt;'PlayerGrades+'!$AH$3,"S-",IF(R533&lt;'PlayerGrades+'!$AH$2,"S","S+"))))))))))))))))))))</f>
        <v>#REF!</v>
      </c>
      <c r="T533" s="1412" t="str">
        <f t="shared" si="20"/>
        <v>#REF!</v>
      </c>
      <c r="U533" s="1412" t="str">
        <f>IF(T533&lt;'PlayerGrades+'!$AI$21,"F-",IF(T533&lt;'PlayerGrades+'!$AI$20,"F",IF(T533&lt;'PlayerGrades+'!$AI$19,"F+",IF(T533&lt;'PlayerGrades+'!$AI$18,"E-",IF(T533&lt;'PlayerGrades+'!$AI$17,"E",IF(T533&lt;'PlayerGrades+'!$AI$16,"E+",IF(T533&lt;'PlayerGrades+'!$AI$15,"D-",IF(T533&lt;'PlayerGrades+'!$AI$14,"D",IF(T533&lt;'PlayerGrades+'!$AI$13,"D+",IF(T533&lt;'PlayerGrades+'!$AI$12,"C-",IF(T533&lt;'PlayerGrades+'!$AI$11,"C",IF(T533&lt;'PlayerGrades+'!$AI$10,"C+",IF(T533&lt;'PlayerGrades+'!$AI$9,"B-",IF(T533&lt;'PlayerGrades+'!$AI$8,"B",IF(T533&lt;'PlayerGrades+'!$AI$7,"B+",IF(T533&lt;'PlayerGrades+'!$AI$6,"A-",IF(T533&lt;'PlayerGrades+'!$AI$5,"A",IF(T533&lt;'PlayerGrades+'!$AI$4,"A+",IF(T533&lt;'PlayerGrades+'!$AI$3,"S-",IF(T533&lt;'PlayerGrades+'!$AI$2,"S","S+"))))))))))))))))))))</f>
        <v>#REF!</v>
      </c>
      <c r="AC533" s="1392"/>
    </row>
    <row r="534">
      <c r="A534" s="1391"/>
      <c r="B534" s="611" t="str">
        <f>IF(C534&lt;'PlayerGrades+'!$Y$44,"F-",IF(C534&lt;'PlayerGrades+'!$Y$43,"F",IF(C534&lt;'PlayerGrades+'!$Y$42,"F+",IF(C534&lt;'PlayerGrades+'!$Y$41,"E-",IF(C534&lt;'PlayerGrades+'!$Y$40,"E",IF(C534&lt;'PlayerGrades+'!$Y$39,"E+",IF(C534&lt;'PlayerGrades+'!$Y$38,"D-",IF(C534&lt;'PlayerGrades+'!$Y$37,"D",IF(C534&lt;'PlayerGrades+'!$Y$36,"D+",IF(C534&lt;'PlayerGrades+'!$Y$35,"C-",IF(C534&lt;'PlayerGrades+'!$Y$34,"C",IF(C534&lt;'PlayerGrades+'!$Y$33,"C+",IF(C534&lt;'PlayerGrades+'!$Y$32,"B-",IF(C534&lt;'PlayerGrades+'!$Y$31,"B",IF(C534&lt;'PlayerGrades+'!$Y$30,"B+",IF(C534&lt;'PlayerGrades+'!$Y$29,"A-",IF(C534&lt;'PlayerGrades+'!$Y$28,"A",IF(C534&lt;'PlayerGrades+'!$Y$27,"A+",IF(C534&lt;'PlayerGrades+'!$Y$26,"S-",IF(C534&lt;'PlayerGrades+'!$Y$25,"S","S+"))))))))))))))))))))</f>
        <v>#DIV/0!</v>
      </c>
      <c r="C534" s="1378" t="str">
        <f>('PlayerGrades+'!$Y$47*(VLOOKUP(E534, 'PlayerGrades+'!$X$3:$Y$23, 2, FALSE)))+('PlayerGrades+'!$Y$48*(VLOOKUP(G534, 'PlayerGrades+'!$X$3:$Y$23, 2, FALSE)))+('PlayerGrades+'!$Y$49*(VLOOKUP(I534, 'PlayerGrades+'!$X$3:$Y$23, 2, FALSE)))+('PlayerGrades+'!$Y$50*(VLOOKUP(K534, 'PlayerGrades+'!$X$3:$Y$23, 2, FALSE)))+('PlayerGrades+'!$Y$51*(VLOOKUP(M534, 'PlayerGrades+'!$X$3:$Y$23, 2, FALSE)))+('PlayerGrades+'!$Y$52*(VLOOKUP(O534, 'PlayerGrades+'!$X$3:$Y$23, 2, FALSE)))+('PlayerGrades+'!$Y$53*(VLOOKUP(Q534, 'PlayerGrades+'!$X$3:$Y$23, 2, FALSE)))+('PlayerGrades+'!$Y$54*(VLOOKUP(S534, 'PlayerGrades+'!$X$3:$Y$23, 2, FALSE)))+('PlayerGrades+'!$Y$55*(VLOOKUP(U534, 'PlayerGrades+'!$X$3:$Y$23, 2, FALSE)))</f>
        <v>#DIV/0!</v>
      </c>
      <c r="D534" s="1412" t="str">
        <f t="shared" si="12"/>
        <v>#DIV/0!</v>
      </c>
      <c r="E534" s="1412" t="str">
        <f>IF(D534&lt;'PlayerGrades+'!$AA$21,"F-",IF(D534&lt;'PlayerGrades+'!$AA$20,"F",IF(D534&lt;'PlayerGrades+'!$AA$19,"F+",IF(D534&lt;'PlayerGrades+'!$AA$18,"E-",IF(D534&lt;'PlayerGrades+'!$AA$17,"E",IF(D534&lt;'PlayerGrades+'!$AA$16,"E+",IF(D534&lt;'PlayerGrades+'!$AA$15,"D-",IF(D534&lt;'PlayerGrades+'!$AA$14,"D",IF(D534&lt;'PlayerGrades+'!$AA$13,"D+",IF(D534&lt;'PlayerGrades+'!$AA$12,"C-",IF(D534&lt;'PlayerGrades+'!$AA$11,"C",IF(D534&lt;'PlayerGrades+'!$AA$10,"C+",IF(D534&lt;'PlayerGrades+'!$AA$9,"B-",IF(D534&lt;'PlayerGrades+'!$AA$8,"B",IF(D534&lt;'PlayerGrades+'!$AA$7,"B+",IF(D534&lt;'PlayerGrades+'!$AA$6,"A-",IF(D534&lt;'PlayerGrades+'!$AA$5,"A",IF(D534&lt;'PlayerGrades+'!$AA$4,"A+",IF(D534&lt;'PlayerGrades+'!$AA$3,"S-",IF(D534&lt;'PlayerGrades+'!$AA$2,"S","S+"))))))))))))))))))))</f>
        <v>#DIV/0!</v>
      </c>
      <c r="F534" s="1412" t="str">
        <f t="shared" si="13"/>
        <v>#DIV/0!</v>
      </c>
      <c r="G534" s="1412" t="str">
        <f>IF(F534&lt;'PlayerGrades+'!$AB$21,"F-",IF(F534&lt;'PlayerGrades+'!$AB$20,"F",IF(F534&lt;'PlayerGrades+'!$AB$19,"F+",IF(F534&lt;'PlayerGrades+'!$AB$18,"E-",IF(F534&lt;'PlayerGrades+'!$AB$17,"E",IF(F534&lt;'PlayerGrades+'!$AB$16,"E+",IF(F534&lt;'PlayerGrades+'!$AB$15,"D-",IF(F534&lt;'PlayerGrades+'!$AB$14,"D",IF(F534&lt;'PlayerGrades+'!$AB$13,"D+",IF(F534&lt;'PlayerGrades+'!$AB$12,"C-",IF(F534&lt;'PlayerGrades+'!$AB$11,"C",IF(F534&lt;'PlayerGrades+'!$AB$10,"C+",IF(F534&lt;'PlayerGrades+'!$AB$9,"B-",IF(F534&lt;'PlayerGrades+'!$AB$8,"B",IF(F534&lt;'PlayerGrades+'!$AB$7,"B+",IF(F534&lt;'PlayerGrades+'!$AB$6,"A-",IF(F534&lt;'PlayerGrades+'!$AB$5,"A",IF(F534&lt;'PlayerGrades+'!$AB$4,"A+",IF(F534&lt;'PlayerGrades+'!$AB$3,"S-",IF(F534&lt;'PlayerGrades+'!$AB$2,"S","S+"))))))))))))))))))))</f>
        <v>#DIV/0!</v>
      </c>
      <c r="H534" s="1412" t="str">
        <f t="shared" si="14"/>
        <v>#DIV/0!</v>
      </c>
      <c r="I534" s="1412" t="str">
        <f>IF(H534&lt;'PlayerGrades+'!$AC$21,"F-",IF(H534&lt;'PlayerGrades+'!$AC$20,"F",IF(H534&lt;'PlayerGrades+'!$AC$19,"F+",IF(H534&lt;'PlayerGrades+'!$AC$18,"E-",IF(H534&lt;'PlayerGrades+'!$AC$17,"E",IF(H534&lt;'PlayerGrades+'!$AC$16,"E+",IF(H534&lt;'PlayerGrades+'!$AC$15,"D-",IF(H534&lt;'PlayerGrades+'!$AC$14,"D",IF(H534&lt;'PlayerGrades+'!$AC$13,"D+",IF(H534&lt;'PlayerGrades+'!$AC$12,"C-",IF(H534&lt;'PlayerGrades+'!$AC$11,"C",IF(H534&lt;'PlayerGrades+'!$AC$10,"C+",IF(H534&lt;'PlayerGrades+'!$AC$9,"B-",IF(H534&lt;'PlayerGrades+'!$AC$8,"B",IF(H534&lt;'PlayerGrades+'!$AC$7,"B+",IF(H534&lt;'PlayerGrades+'!$AC$6,"A-",IF(H534&lt;'PlayerGrades+'!$AC$5,"A",IF(H534&lt;'PlayerGrades+'!$AC$4,"A+",IF(H534&lt;'PlayerGrades+'!$AC$3,"S-",IF(H534&lt;'PlayerGrades+'!$AC$2,"S","S+"))))))))))))))))))))</f>
        <v>#DIV/0!</v>
      </c>
      <c r="J534" s="1412" t="str">
        <f t="shared" si="15"/>
        <v>#DIV/0!</v>
      </c>
      <c r="K534" s="1412" t="str">
        <f>IF(J534&lt;'PlayerGrades+'!$AD$21,"F-",IF(J534&lt;'PlayerGrades+'!$AD$20,"F",IF(J534&lt;'PlayerGrades+'!$AD$19,"F+",IF(J534&lt;'PlayerGrades+'!$AD$18,"E-",IF(J534&lt;'PlayerGrades+'!$AD$17,"E",IF(J534&lt;'PlayerGrades+'!$AD$16,"E+",IF(J534&lt;'PlayerGrades+'!$AD$15,"D-",IF(J534&lt;'PlayerGrades+'!$AD$14,"D",IF(J534&lt;'PlayerGrades+'!$AD$13,"D+",IF(J534&lt;'PlayerGrades+'!$AD$12,"C-",IF(J534&lt;'PlayerGrades+'!$AD$11,"C",IF(J534&lt;'PlayerGrades+'!$AD$10,"C+",IF(J534&lt;'PlayerGrades+'!$AD$9,"B-",IF(J534&lt;'PlayerGrades+'!$AD$8,"B",IF(J534&lt;'PlayerGrades+'!$AD$7,"B+",IF(J534&lt;'PlayerGrades+'!$AD$6,"A-",IF(J534&lt;'PlayerGrades+'!$AD$5,"A",IF(J534&lt;'PlayerGrades+'!$AD$4,"A+",IF(J534&lt;'PlayerGrades+'!$AD$3,"S-",IF(J534&lt;'PlayerGrades+'!$AD$2,"S","S+"))))))))))))))))))))</f>
        <v>#DIV/0!</v>
      </c>
      <c r="L534" s="1413" t="str">
        <f t="shared" si="16"/>
        <v>#DIV/0!</v>
      </c>
      <c r="M534" s="1156" t="str">
        <f>IF(L534&lt;'PlayerGrades+'!$AE$21,"F-",IF(L534&lt;'PlayerGrades+'!$AE$20,"F",IF(L534&lt;'PlayerGrades+'!$AE$19,"F+",IF(L534&lt;'PlayerGrades+'!$AE$18,"E-",IF(L534&lt;'PlayerGrades+'!$AE$17,"E",IF(L534&lt;'PlayerGrades+'!$AE$16,"E+",IF(L534&lt;'PlayerGrades+'!$AE$15,"D-",IF(L534&lt;'PlayerGrades+'!$AE$14,"D",IF(L534&lt;'PlayerGrades+'!$AE$13,"D+",IF(L534&lt;'PlayerGrades+'!$AE$12,"C-",IF(L534&lt;'PlayerGrades+'!$AE$11,"C",IF(L534&lt;'PlayerGrades+'!$AE$10,"C+",IF(L534&lt;'PlayerGrades+'!$AE$9,"B-",IF(L534&lt;'PlayerGrades+'!$AE$8,"B",IF(L534&lt;'PlayerGrades+'!$AE$7,"B+",IF(L534&lt;'PlayerGrades+'!$AE$6,"A-",IF(L534&lt;'PlayerGrades+'!$AE$5,"A",IF(L534&lt;'PlayerGrades+'!$AE$4,"A+",IF(L534&lt;'PlayerGrades+'!$AE$3,"S-",IF(L534&lt;'PlayerGrades+'!$AE$2,"S","S+"))))))))))))))))))))</f>
        <v>#DIV/0!</v>
      </c>
      <c r="N534" s="1412" t="str">
        <f t="shared" si="17"/>
        <v>#DIV/0!</v>
      </c>
      <c r="O534" s="1412" t="str">
        <f>IF(N534&lt;'PlayerGrades+'!$AF$21,"F-",IF(N534&lt;'PlayerGrades+'!$AF$20,"F",IF(N534&lt;'PlayerGrades+'!$AF$19,"F+",IF(N534&lt;'PlayerGrades+'!$AF$18,"E-",IF(N534&lt;'PlayerGrades+'!$AF$17,"E",IF(N534&lt;'PlayerGrades+'!$AF$16,"E+",IF(N534&lt;'PlayerGrades+'!$AF$15,"D-",IF(N534&lt;'PlayerGrades+'!$AF$14,"D",IF(N534&lt;'PlayerGrades+'!$AF$13,"D+",IF(N534&lt;'PlayerGrades+'!$AF$12,"C-",IF(N534&lt;'PlayerGrades+'!$AF$11,"C",IF(N534&lt;'PlayerGrades+'!$AF$10,"C+",IF(N534&lt;'PlayerGrades+'!$AF$9,"B-",IF(N534&lt;'PlayerGrades+'!$AF$8,"B",IF(N534&lt;'PlayerGrades+'!$AF$7,"B+",IF(N534&lt;'PlayerGrades+'!$AF$6,"A-",IF(N534&lt;'PlayerGrades+'!$AF$5,"A",IF(N534&lt;'PlayerGrades+'!$AF$4,"A+",IF(N534&lt;'PlayerGrades+'!$AF$3,"S-",IF(N534&lt;'PlayerGrades+'!$AF$2,"S","S+"))))))))))))))))))))</f>
        <v>#DIV/0!</v>
      </c>
      <c r="P534" s="1412" t="str">
        <f t="shared" si="18"/>
        <v>#DIV/0!</v>
      </c>
      <c r="Q534" s="1412" t="str">
        <f>IF(P534&lt;'PlayerGrades+'!$AG$21,"F-",IF(P534&lt;'PlayerGrades+'!$AG$20,"F",IF(P534&lt;'PlayerGrades+'!$AG$19,"F+",IF(P534&lt;'PlayerGrades+'!$AG$18,"E-",IF(P534&lt;'PlayerGrades+'!$AG$17,"E",IF(P534&lt;'PlayerGrades+'!$AG$16,"E+",IF(P534&lt;'PlayerGrades+'!$AG$15,"D-",IF(P534&lt;'PlayerGrades+'!$AG$14,"D",IF(P534&lt;'PlayerGrades+'!$AG$13,"D+",IF(P534&lt;'PlayerGrades+'!$AG$12,"C-",IF(P534&lt;'PlayerGrades+'!$AG$11,"C",IF(P534&lt;'PlayerGrades+'!$AG$10,"C+",IF(P534&lt;'PlayerGrades+'!$AG$9,"B-",IF(P534&lt;'PlayerGrades+'!$AG$8,"B",IF(P534&lt;'PlayerGrades+'!$AG$7,"B+",IF(P534&lt;'PlayerGrades+'!$AG$6,"A-",IF(P534&lt;'PlayerGrades+'!$AG$5,"A",IF(P534&lt;'PlayerGrades+'!$AG$4,"A+",IF(P534&lt;'PlayerGrades+'!$AG$3,"S-",IF(P534&lt;'PlayerGrades+'!$AG$2,"S","S+"))))))))))))))))))))</f>
        <v>#DIV/0!</v>
      </c>
      <c r="R534" s="1412" t="str">
        <f t="shared" si="19"/>
        <v>#REF!</v>
      </c>
      <c r="S534" s="1412" t="str">
        <f>IF(R534&lt;'PlayerGrades+'!$AH$21,"F-",IF(R534&lt;'PlayerGrades+'!$AH$20,"F",IF(R534&lt;'PlayerGrades+'!$AH$19,"F+",IF(R534&lt;'PlayerGrades+'!$AH$18,"E-",IF(R534&lt;'PlayerGrades+'!$AH$17,"E",IF(R534&lt;'PlayerGrades+'!$AH$16,"E+",IF(R534&lt;'PlayerGrades+'!$AH$15,"D-",IF(R534&lt;'PlayerGrades+'!$AH$14,"D",IF(R534&lt;'PlayerGrades+'!$AH$13,"D+",IF(R534&lt;'PlayerGrades+'!$AH$12,"C-",IF(R534&lt;'PlayerGrades+'!$AH$11,"C",IF(R534&lt;'PlayerGrades+'!$AH$10,"C+",IF(R534&lt;'PlayerGrades+'!$AH$9,"B-",IF(R534&lt;'PlayerGrades+'!$AH$8,"B",IF(R534&lt;'PlayerGrades+'!$AH$7,"B+",IF(R534&lt;'PlayerGrades+'!$AH$6,"A-",IF(R534&lt;'PlayerGrades+'!$AH$5,"A",IF(R534&lt;'PlayerGrades+'!$AH$4,"A+",IF(R534&lt;'PlayerGrades+'!$AH$3,"S-",IF(R534&lt;'PlayerGrades+'!$AH$2,"S","S+"))))))))))))))))))))</f>
        <v>#REF!</v>
      </c>
      <c r="T534" s="1412" t="str">
        <f t="shared" si="20"/>
        <v>#REF!</v>
      </c>
      <c r="U534" s="1412" t="str">
        <f>IF(T534&lt;'PlayerGrades+'!$AI$21,"F-",IF(T534&lt;'PlayerGrades+'!$AI$20,"F",IF(T534&lt;'PlayerGrades+'!$AI$19,"F+",IF(T534&lt;'PlayerGrades+'!$AI$18,"E-",IF(T534&lt;'PlayerGrades+'!$AI$17,"E",IF(T534&lt;'PlayerGrades+'!$AI$16,"E+",IF(T534&lt;'PlayerGrades+'!$AI$15,"D-",IF(T534&lt;'PlayerGrades+'!$AI$14,"D",IF(T534&lt;'PlayerGrades+'!$AI$13,"D+",IF(T534&lt;'PlayerGrades+'!$AI$12,"C-",IF(T534&lt;'PlayerGrades+'!$AI$11,"C",IF(T534&lt;'PlayerGrades+'!$AI$10,"C+",IF(T534&lt;'PlayerGrades+'!$AI$9,"B-",IF(T534&lt;'PlayerGrades+'!$AI$8,"B",IF(T534&lt;'PlayerGrades+'!$AI$7,"B+",IF(T534&lt;'PlayerGrades+'!$AI$6,"A-",IF(T534&lt;'PlayerGrades+'!$AI$5,"A",IF(T534&lt;'PlayerGrades+'!$AI$4,"A+",IF(T534&lt;'PlayerGrades+'!$AI$3,"S-",IF(T534&lt;'PlayerGrades+'!$AI$2,"S","S+"))))))))))))))))))))</f>
        <v>#REF!</v>
      </c>
      <c r="AC534" s="1392"/>
    </row>
    <row r="535">
      <c r="A535" s="1391"/>
      <c r="B535" s="611" t="str">
        <f>IF(C535&lt;'PlayerGrades+'!$Y$44,"F-",IF(C535&lt;'PlayerGrades+'!$Y$43,"F",IF(C535&lt;'PlayerGrades+'!$Y$42,"F+",IF(C535&lt;'PlayerGrades+'!$Y$41,"E-",IF(C535&lt;'PlayerGrades+'!$Y$40,"E",IF(C535&lt;'PlayerGrades+'!$Y$39,"E+",IF(C535&lt;'PlayerGrades+'!$Y$38,"D-",IF(C535&lt;'PlayerGrades+'!$Y$37,"D",IF(C535&lt;'PlayerGrades+'!$Y$36,"D+",IF(C535&lt;'PlayerGrades+'!$Y$35,"C-",IF(C535&lt;'PlayerGrades+'!$Y$34,"C",IF(C535&lt;'PlayerGrades+'!$Y$33,"C+",IF(C535&lt;'PlayerGrades+'!$Y$32,"B-",IF(C535&lt;'PlayerGrades+'!$Y$31,"B",IF(C535&lt;'PlayerGrades+'!$Y$30,"B+",IF(C535&lt;'PlayerGrades+'!$Y$29,"A-",IF(C535&lt;'PlayerGrades+'!$Y$28,"A",IF(C535&lt;'PlayerGrades+'!$Y$27,"A+",IF(C535&lt;'PlayerGrades+'!$Y$26,"S-",IF(C535&lt;'PlayerGrades+'!$Y$25,"S","S+"))))))))))))))))))))</f>
        <v>#DIV/0!</v>
      </c>
      <c r="C535" s="1378" t="str">
        <f>('PlayerGrades+'!$Y$47*(VLOOKUP(E535, 'PlayerGrades+'!$X$3:$Y$23, 2, FALSE)))+('PlayerGrades+'!$Y$48*(VLOOKUP(G535, 'PlayerGrades+'!$X$3:$Y$23, 2, FALSE)))+('PlayerGrades+'!$Y$49*(VLOOKUP(I535, 'PlayerGrades+'!$X$3:$Y$23, 2, FALSE)))+('PlayerGrades+'!$Y$50*(VLOOKUP(K535, 'PlayerGrades+'!$X$3:$Y$23, 2, FALSE)))+('PlayerGrades+'!$Y$51*(VLOOKUP(M535, 'PlayerGrades+'!$X$3:$Y$23, 2, FALSE)))+('PlayerGrades+'!$Y$52*(VLOOKUP(O535, 'PlayerGrades+'!$X$3:$Y$23, 2, FALSE)))+('PlayerGrades+'!$Y$53*(VLOOKUP(Q535, 'PlayerGrades+'!$X$3:$Y$23, 2, FALSE)))+('PlayerGrades+'!$Y$54*(VLOOKUP(S535, 'PlayerGrades+'!$X$3:$Y$23, 2, FALSE)))+('PlayerGrades+'!$Y$55*(VLOOKUP(U535, 'PlayerGrades+'!$X$3:$Y$23, 2, FALSE)))</f>
        <v>#DIV/0!</v>
      </c>
      <c r="D535" s="1412" t="str">
        <f t="shared" si="12"/>
        <v>#DIV/0!</v>
      </c>
      <c r="E535" s="1412" t="str">
        <f>IF(D535&lt;'PlayerGrades+'!$AA$21,"F-",IF(D535&lt;'PlayerGrades+'!$AA$20,"F",IF(D535&lt;'PlayerGrades+'!$AA$19,"F+",IF(D535&lt;'PlayerGrades+'!$AA$18,"E-",IF(D535&lt;'PlayerGrades+'!$AA$17,"E",IF(D535&lt;'PlayerGrades+'!$AA$16,"E+",IF(D535&lt;'PlayerGrades+'!$AA$15,"D-",IF(D535&lt;'PlayerGrades+'!$AA$14,"D",IF(D535&lt;'PlayerGrades+'!$AA$13,"D+",IF(D535&lt;'PlayerGrades+'!$AA$12,"C-",IF(D535&lt;'PlayerGrades+'!$AA$11,"C",IF(D535&lt;'PlayerGrades+'!$AA$10,"C+",IF(D535&lt;'PlayerGrades+'!$AA$9,"B-",IF(D535&lt;'PlayerGrades+'!$AA$8,"B",IF(D535&lt;'PlayerGrades+'!$AA$7,"B+",IF(D535&lt;'PlayerGrades+'!$AA$6,"A-",IF(D535&lt;'PlayerGrades+'!$AA$5,"A",IF(D535&lt;'PlayerGrades+'!$AA$4,"A+",IF(D535&lt;'PlayerGrades+'!$AA$3,"S-",IF(D535&lt;'PlayerGrades+'!$AA$2,"S","S+"))))))))))))))))))))</f>
        <v>#DIV/0!</v>
      </c>
      <c r="F535" s="1412" t="str">
        <f t="shared" si="13"/>
        <v>#DIV/0!</v>
      </c>
      <c r="G535" s="1412" t="str">
        <f>IF(F535&lt;'PlayerGrades+'!$AB$21,"F-",IF(F535&lt;'PlayerGrades+'!$AB$20,"F",IF(F535&lt;'PlayerGrades+'!$AB$19,"F+",IF(F535&lt;'PlayerGrades+'!$AB$18,"E-",IF(F535&lt;'PlayerGrades+'!$AB$17,"E",IF(F535&lt;'PlayerGrades+'!$AB$16,"E+",IF(F535&lt;'PlayerGrades+'!$AB$15,"D-",IF(F535&lt;'PlayerGrades+'!$AB$14,"D",IF(F535&lt;'PlayerGrades+'!$AB$13,"D+",IF(F535&lt;'PlayerGrades+'!$AB$12,"C-",IF(F535&lt;'PlayerGrades+'!$AB$11,"C",IF(F535&lt;'PlayerGrades+'!$AB$10,"C+",IF(F535&lt;'PlayerGrades+'!$AB$9,"B-",IF(F535&lt;'PlayerGrades+'!$AB$8,"B",IF(F535&lt;'PlayerGrades+'!$AB$7,"B+",IF(F535&lt;'PlayerGrades+'!$AB$6,"A-",IF(F535&lt;'PlayerGrades+'!$AB$5,"A",IF(F535&lt;'PlayerGrades+'!$AB$4,"A+",IF(F535&lt;'PlayerGrades+'!$AB$3,"S-",IF(F535&lt;'PlayerGrades+'!$AB$2,"S","S+"))))))))))))))))))))</f>
        <v>#DIV/0!</v>
      </c>
      <c r="H535" s="1412" t="str">
        <f t="shared" si="14"/>
        <v>#DIV/0!</v>
      </c>
      <c r="I535" s="1412" t="str">
        <f>IF(H535&lt;'PlayerGrades+'!$AC$21,"F-",IF(H535&lt;'PlayerGrades+'!$AC$20,"F",IF(H535&lt;'PlayerGrades+'!$AC$19,"F+",IF(H535&lt;'PlayerGrades+'!$AC$18,"E-",IF(H535&lt;'PlayerGrades+'!$AC$17,"E",IF(H535&lt;'PlayerGrades+'!$AC$16,"E+",IF(H535&lt;'PlayerGrades+'!$AC$15,"D-",IF(H535&lt;'PlayerGrades+'!$AC$14,"D",IF(H535&lt;'PlayerGrades+'!$AC$13,"D+",IF(H535&lt;'PlayerGrades+'!$AC$12,"C-",IF(H535&lt;'PlayerGrades+'!$AC$11,"C",IF(H535&lt;'PlayerGrades+'!$AC$10,"C+",IF(H535&lt;'PlayerGrades+'!$AC$9,"B-",IF(H535&lt;'PlayerGrades+'!$AC$8,"B",IF(H535&lt;'PlayerGrades+'!$AC$7,"B+",IF(H535&lt;'PlayerGrades+'!$AC$6,"A-",IF(H535&lt;'PlayerGrades+'!$AC$5,"A",IF(H535&lt;'PlayerGrades+'!$AC$4,"A+",IF(H535&lt;'PlayerGrades+'!$AC$3,"S-",IF(H535&lt;'PlayerGrades+'!$AC$2,"S","S+"))))))))))))))))))))</f>
        <v>#DIV/0!</v>
      </c>
      <c r="J535" s="1412" t="str">
        <f t="shared" si="15"/>
        <v>#DIV/0!</v>
      </c>
      <c r="K535" s="1412" t="str">
        <f>IF(J535&lt;'PlayerGrades+'!$AD$21,"F-",IF(J535&lt;'PlayerGrades+'!$AD$20,"F",IF(J535&lt;'PlayerGrades+'!$AD$19,"F+",IF(J535&lt;'PlayerGrades+'!$AD$18,"E-",IF(J535&lt;'PlayerGrades+'!$AD$17,"E",IF(J535&lt;'PlayerGrades+'!$AD$16,"E+",IF(J535&lt;'PlayerGrades+'!$AD$15,"D-",IF(J535&lt;'PlayerGrades+'!$AD$14,"D",IF(J535&lt;'PlayerGrades+'!$AD$13,"D+",IF(J535&lt;'PlayerGrades+'!$AD$12,"C-",IF(J535&lt;'PlayerGrades+'!$AD$11,"C",IF(J535&lt;'PlayerGrades+'!$AD$10,"C+",IF(J535&lt;'PlayerGrades+'!$AD$9,"B-",IF(J535&lt;'PlayerGrades+'!$AD$8,"B",IF(J535&lt;'PlayerGrades+'!$AD$7,"B+",IF(J535&lt;'PlayerGrades+'!$AD$6,"A-",IF(J535&lt;'PlayerGrades+'!$AD$5,"A",IF(J535&lt;'PlayerGrades+'!$AD$4,"A+",IF(J535&lt;'PlayerGrades+'!$AD$3,"S-",IF(J535&lt;'PlayerGrades+'!$AD$2,"S","S+"))))))))))))))))))))</f>
        <v>#DIV/0!</v>
      </c>
      <c r="L535" s="1413" t="str">
        <f t="shared" si="16"/>
        <v>#DIV/0!</v>
      </c>
      <c r="M535" s="1156" t="str">
        <f>IF(L535&lt;'PlayerGrades+'!$AE$21,"F-",IF(L535&lt;'PlayerGrades+'!$AE$20,"F",IF(L535&lt;'PlayerGrades+'!$AE$19,"F+",IF(L535&lt;'PlayerGrades+'!$AE$18,"E-",IF(L535&lt;'PlayerGrades+'!$AE$17,"E",IF(L535&lt;'PlayerGrades+'!$AE$16,"E+",IF(L535&lt;'PlayerGrades+'!$AE$15,"D-",IF(L535&lt;'PlayerGrades+'!$AE$14,"D",IF(L535&lt;'PlayerGrades+'!$AE$13,"D+",IF(L535&lt;'PlayerGrades+'!$AE$12,"C-",IF(L535&lt;'PlayerGrades+'!$AE$11,"C",IF(L535&lt;'PlayerGrades+'!$AE$10,"C+",IF(L535&lt;'PlayerGrades+'!$AE$9,"B-",IF(L535&lt;'PlayerGrades+'!$AE$8,"B",IF(L535&lt;'PlayerGrades+'!$AE$7,"B+",IF(L535&lt;'PlayerGrades+'!$AE$6,"A-",IF(L535&lt;'PlayerGrades+'!$AE$5,"A",IF(L535&lt;'PlayerGrades+'!$AE$4,"A+",IF(L535&lt;'PlayerGrades+'!$AE$3,"S-",IF(L535&lt;'PlayerGrades+'!$AE$2,"S","S+"))))))))))))))))))))</f>
        <v>#DIV/0!</v>
      </c>
      <c r="N535" s="1412" t="str">
        <f t="shared" si="17"/>
        <v>#DIV/0!</v>
      </c>
      <c r="O535" s="1412" t="str">
        <f>IF(N535&lt;'PlayerGrades+'!$AF$21,"F-",IF(N535&lt;'PlayerGrades+'!$AF$20,"F",IF(N535&lt;'PlayerGrades+'!$AF$19,"F+",IF(N535&lt;'PlayerGrades+'!$AF$18,"E-",IF(N535&lt;'PlayerGrades+'!$AF$17,"E",IF(N535&lt;'PlayerGrades+'!$AF$16,"E+",IF(N535&lt;'PlayerGrades+'!$AF$15,"D-",IF(N535&lt;'PlayerGrades+'!$AF$14,"D",IF(N535&lt;'PlayerGrades+'!$AF$13,"D+",IF(N535&lt;'PlayerGrades+'!$AF$12,"C-",IF(N535&lt;'PlayerGrades+'!$AF$11,"C",IF(N535&lt;'PlayerGrades+'!$AF$10,"C+",IF(N535&lt;'PlayerGrades+'!$AF$9,"B-",IF(N535&lt;'PlayerGrades+'!$AF$8,"B",IF(N535&lt;'PlayerGrades+'!$AF$7,"B+",IF(N535&lt;'PlayerGrades+'!$AF$6,"A-",IF(N535&lt;'PlayerGrades+'!$AF$5,"A",IF(N535&lt;'PlayerGrades+'!$AF$4,"A+",IF(N535&lt;'PlayerGrades+'!$AF$3,"S-",IF(N535&lt;'PlayerGrades+'!$AF$2,"S","S+"))))))))))))))))))))</f>
        <v>#DIV/0!</v>
      </c>
      <c r="P535" s="1412" t="str">
        <f t="shared" si="18"/>
        <v>#DIV/0!</v>
      </c>
      <c r="Q535" s="1412" t="str">
        <f>IF(P535&lt;'PlayerGrades+'!$AG$21,"F-",IF(P535&lt;'PlayerGrades+'!$AG$20,"F",IF(P535&lt;'PlayerGrades+'!$AG$19,"F+",IF(P535&lt;'PlayerGrades+'!$AG$18,"E-",IF(P535&lt;'PlayerGrades+'!$AG$17,"E",IF(P535&lt;'PlayerGrades+'!$AG$16,"E+",IF(P535&lt;'PlayerGrades+'!$AG$15,"D-",IF(P535&lt;'PlayerGrades+'!$AG$14,"D",IF(P535&lt;'PlayerGrades+'!$AG$13,"D+",IF(P535&lt;'PlayerGrades+'!$AG$12,"C-",IF(P535&lt;'PlayerGrades+'!$AG$11,"C",IF(P535&lt;'PlayerGrades+'!$AG$10,"C+",IF(P535&lt;'PlayerGrades+'!$AG$9,"B-",IF(P535&lt;'PlayerGrades+'!$AG$8,"B",IF(P535&lt;'PlayerGrades+'!$AG$7,"B+",IF(P535&lt;'PlayerGrades+'!$AG$6,"A-",IF(P535&lt;'PlayerGrades+'!$AG$5,"A",IF(P535&lt;'PlayerGrades+'!$AG$4,"A+",IF(P535&lt;'PlayerGrades+'!$AG$3,"S-",IF(P535&lt;'PlayerGrades+'!$AG$2,"S","S+"))))))))))))))))))))</f>
        <v>#DIV/0!</v>
      </c>
      <c r="R535" s="1412" t="str">
        <f t="shared" si="19"/>
        <v>#REF!</v>
      </c>
      <c r="S535" s="1412" t="str">
        <f>IF(R535&lt;'PlayerGrades+'!$AH$21,"F-",IF(R535&lt;'PlayerGrades+'!$AH$20,"F",IF(R535&lt;'PlayerGrades+'!$AH$19,"F+",IF(R535&lt;'PlayerGrades+'!$AH$18,"E-",IF(R535&lt;'PlayerGrades+'!$AH$17,"E",IF(R535&lt;'PlayerGrades+'!$AH$16,"E+",IF(R535&lt;'PlayerGrades+'!$AH$15,"D-",IF(R535&lt;'PlayerGrades+'!$AH$14,"D",IF(R535&lt;'PlayerGrades+'!$AH$13,"D+",IF(R535&lt;'PlayerGrades+'!$AH$12,"C-",IF(R535&lt;'PlayerGrades+'!$AH$11,"C",IF(R535&lt;'PlayerGrades+'!$AH$10,"C+",IF(R535&lt;'PlayerGrades+'!$AH$9,"B-",IF(R535&lt;'PlayerGrades+'!$AH$8,"B",IF(R535&lt;'PlayerGrades+'!$AH$7,"B+",IF(R535&lt;'PlayerGrades+'!$AH$6,"A-",IF(R535&lt;'PlayerGrades+'!$AH$5,"A",IF(R535&lt;'PlayerGrades+'!$AH$4,"A+",IF(R535&lt;'PlayerGrades+'!$AH$3,"S-",IF(R535&lt;'PlayerGrades+'!$AH$2,"S","S+"))))))))))))))))))))</f>
        <v>#REF!</v>
      </c>
      <c r="T535" s="1412" t="str">
        <f t="shared" si="20"/>
        <v>#REF!</v>
      </c>
      <c r="U535" s="1412" t="str">
        <f>IF(T535&lt;'PlayerGrades+'!$AI$21,"F-",IF(T535&lt;'PlayerGrades+'!$AI$20,"F",IF(T535&lt;'PlayerGrades+'!$AI$19,"F+",IF(T535&lt;'PlayerGrades+'!$AI$18,"E-",IF(T535&lt;'PlayerGrades+'!$AI$17,"E",IF(T535&lt;'PlayerGrades+'!$AI$16,"E+",IF(T535&lt;'PlayerGrades+'!$AI$15,"D-",IF(T535&lt;'PlayerGrades+'!$AI$14,"D",IF(T535&lt;'PlayerGrades+'!$AI$13,"D+",IF(T535&lt;'PlayerGrades+'!$AI$12,"C-",IF(T535&lt;'PlayerGrades+'!$AI$11,"C",IF(T535&lt;'PlayerGrades+'!$AI$10,"C+",IF(T535&lt;'PlayerGrades+'!$AI$9,"B-",IF(T535&lt;'PlayerGrades+'!$AI$8,"B",IF(T535&lt;'PlayerGrades+'!$AI$7,"B+",IF(T535&lt;'PlayerGrades+'!$AI$6,"A-",IF(T535&lt;'PlayerGrades+'!$AI$5,"A",IF(T535&lt;'PlayerGrades+'!$AI$4,"A+",IF(T535&lt;'PlayerGrades+'!$AI$3,"S-",IF(T535&lt;'PlayerGrades+'!$AI$2,"S","S+"))))))))))))))))))))</f>
        <v>#REF!</v>
      </c>
      <c r="AC535" s="1392"/>
    </row>
    <row r="536">
      <c r="A536" s="1391"/>
      <c r="B536" s="611" t="str">
        <f>IF(C536&lt;'PlayerGrades+'!$Y$44,"F-",IF(C536&lt;'PlayerGrades+'!$Y$43,"F",IF(C536&lt;'PlayerGrades+'!$Y$42,"F+",IF(C536&lt;'PlayerGrades+'!$Y$41,"E-",IF(C536&lt;'PlayerGrades+'!$Y$40,"E",IF(C536&lt;'PlayerGrades+'!$Y$39,"E+",IF(C536&lt;'PlayerGrades+'!$Y$38,"D-",IF(C536&lt;'PlayerGrades+'!$Y$37,"D",IF(C536&lt;'PlayerGrades+'!$Y$36,"D+",IF(C536&lt;'PlayerGrades+'!$Y$35,"C-",IF(C536&lt;'PlayerGrades+'!$Y$34,"C",IF(C536&lt;'PlayerGrades+'!$Y$33,"C+",IF(C536&lt;'PlayerGrades+'!$Y$32,"B-",IF(C536&lt;'PlayerGrades+'!$Y$31,"B",IF(C536&lt;'PlayerGrades+'!$Y$30,"B+",IF(C536&lt;'PlayerGrades+'!$Y$29,"A-",IF(C536&lt;'PlayerGrades+'!$Y$28,"A",IF(C536&lt;'PlayerGrades+'!$Y$27,"A+",IF(C536&lt;'PlayerGrades+'!$Y$26,"S-",IF(C536&lt;'PlayerGrades+'!$Y$25,"S","S+"))))))))))))))))))))</f>
        <v>#DIV/0!</v>
      </c>
      <c r="C536" s="1378" t="str">
        <f>('PlayerGrades+'!$Y$47*(VLOOKUP(E536, 'PlayerGrades+'!$X$3:$Y$23, 2, FALSE)))+('PlayerGrades+'!$Y$48*(VLOOKUP(G536, 'PlayerGrades+'!$X$3:$Y$23, 2, FALSE)))+('PlayerGrades+'!$Y$49*(VLOOKUP(I536, 'PlayerGrades+'!$X$3:$Y$23, 2, FALSE)))+('PlayerGrades+'!$Y$50*(VLOOKUP(K536, 'PlayerGrades+'!$X$3:$Y$23, 2, FALSE)))+('PlayerGrades+'!$Y$51*(VLOOKUP(M536, 'PlayerGrades+'!$X$3:$Y$23, 2, FALSE)))+('PlayerGrades+'!$Y$52*(VLOOKUP(O536, 'PlayerGrades+'!$X$3:$Y$23, 2, FALSE)))+('PlayerGrades+'!$Y$53*(VLOOKUP(Q536, 'PlayerGrades+'!$X$3:$Y$23, 2, FALSE)))+('PlayerGrades+'!$Y$54*(VLOOKUP(S536, 'PlayerGrades+'!$X$3:$Y$23, 2, FALSE)))+('PlayerGrades+'!$Y$55*(VLOOKUP(U536, 'PlayerGrades+'!$X$3:$Y$23, 2, FALSE)))</f>
        <v>#DIV/0!</v>
      </c>
      <c r="D536" s="1412" t="str">
        <f t="shared" si="12"/>
        <v>#DIV/0!</v>
      </c>
      <c r="E536" s="1412" t="str">
        <f>IF(D536&lt;'PlayerGrades+'!$AA$21,"F-",IF(D536&lt;'PlayerGrades+'!$AA$20,"F",IF(D536&lt;'PlayerGrades+'!$AA$19,"F+",IF(D536&lt;'PlayerGrades+'!$AA$18,"E-",IF(D536&lt;'PlayerGrades+'!$AA$17,"E",IF(D536&lt;'PlayerGrades+'!$AA$16,"E+",IF(D536&lt;'PlayerGrades+'!$AA$15,"D-",IF(D536&lt;'PlayerGrades+'!$AA$14,"D",IF(D536&lt;'PlayerGrades+'!$AA$13,"D+",IF(D536&lt;'PlayerGrades+'!$AA$12,"C-",IF(D536&lt;'PlayerGrades+'!$AA$11,"C",IF(D536&lt;'PlayerGrades+'!$AA$10,"C+",IF(D536&lt;'PlayerGrades+'!$AA$9,"B-",IF(D536&lt;'PlayerGrades+'!$AA$8,"B",IF(D536&lt;'PlayerGrades+'!$AA$7,"B+",IF(D536&lt;'PlayerGrades+'!$AA$6,"A-",IF(D536&lt;'PlayerGrades+'!$AA$5,"A",IF(D536&lt;'PlayerGrades+'!$AA$4,"A+",IF(D536&lt;'PlayerGrades+'!$AA$3,"S-",IF(D536&lt;'PlayerGrades+'!$AA$2,"S","S+"))))))))))))))))))))</f>
        <v>#DIV/0!</v>
      </c>
      <c r="F536" s="1412" t="str">
        <f t="shared" si="13"/>
        <v>#DIV/0!</v>
      </c>
      <c r="G536" s="1412" t="str">
        <f>IF(F536&lt;'PlayerGrades+'!$AB$21,"F-",IF(F536&lt;'PlayerGrades+'!$AB$20,"F",IF(F536&lt;'PlayerGrades+'!$AB$19,"F+",IF(F536&lt;'PlayerGrades+'!$AB$18,"E-",IF(F536&lt;'PlayerGrades+'!$AB$17,"E",IF(F536&lt;'PlayerGrades+'!$AB$16,"E+",IF(F536&lt;'PlayerGrades+'!$AB$15,"D-",IF(F536&lt;'PlayerGrades+'!$AB$14,"D",IF(F536&lt;'PlayerGrades+'!$AB$13,"D+",IF(F536&lt;'PlayerGrades+'!$AB$12,"C-",IF(F536&lt;'PlayerGrades+'!$AB$11,"C",IF(F536&lt;'PlayerGrades+'!$AB$10,"C+",IF(F536&lt;'PlayerGrades+'!$AB$9,"B-",IF(F536&lt;'PlayerGrades+'!$AB$8,"B",IF(F536&lt;'PlayerGrades+'!$AB$7,"B+",IF(F536&lt;'PlayerGrades+'!$AB$6,"A-",IF(F536&lt;'PlayerGrades+'!$AB$5,"A",IF(F536&lt;'PlayerGrades+'!$AB$4,"A+",IF(F536&lt;'PlayerGrades+'!$AB$3,"S-",IF(F536&lt;'PlayerGrades+'!$AB$2,"S","S+"))))))))))))))))))))</f>
        <v>#DIV/0!</v>
      </c>
      <c r="H536" s="1412" t="str">
        <f t="shared" si="14"/>
        <v>#DIV/0!</v>
      </c>
      <c r="I536" s="1412" t="str">
        <f>IF(H536&lt;'PlayerGrades+'!$AC$21,"F-",IF(H536&lt;'PlayerGrades+'!$AC$20,"F",IF(H536&lt;'PlayerGrades+'!$AC$19,"F+",IF(H536&lt;'PlayerGrades+'!$AC$18,"E-",IF(H536&lt;'PlayerGrades+'!$AC$17,"E",IF(H536&lt;'PlayerGrades+'!$AC$16,"E+",IF(H536&lt;'PlayerGrades+'!$AC$15,"D-",IF(H536&lt;'PlayerGrades+'!$AC$14,"D",IF(H536&lt;'PlayerGrades+'!$AC$13,"D+",IF(H536&lt;'PlayerGrades+'!$AC$12,"C-",IF(H536&lt;'PlayerGrades+'!$AC$11,"C",IF(H536&lt;'PlayerGrades+'!$AC$10,"C+",IF(H536&lt;'PlayerGrades+'!$AC$9,"B-",IF(H536&lt;'PlayerGrades+'!$AC$8,"B",IF(H536&lt;'PlayerGrades+'!$AC$7,"B+",IF(H536&lt;'PlayerGrades+'!$AC$6,"A-",IF(H536&lt;'PlayerGrades+'!$AC$5,"A",IF(H536&lt;'PlayerGrades+'!$AC$4,"A+",IF(H536&lt;'PlayerGrades+'!$AC$3,"S-",IF(H536&lt;'PlayerGrades+'!$AC$2,"S","S+"))))))))))))))))))))</f>
        <v>#DIV/0!</v>
      </c>
      <c r="J536" s="1412" t="str">
        <f t="shared" si="15"/>
        <v>#DIV/0!</v>
      </c>
      <c r="K536" s="1412" t="str">
        <f>IF(J536&lt;'PlayerGrades+'!$AD$21,"F-",IF(J536&lt;'PlayerGrades+'!$AD$20,"F",IF(J536&lt;'PlayerGrades+'!$AD$19,"F+",IF(J536&lt;'PlayerGrades+'!$AD$18,"E-",IF(J536&lt;'PlayerGrades+'!$AD$17,"E",IF(J536&lt;'PlayerGrades+'!$AD$16,"E+",IF(J536&lt;'PlayerGrades+'!$AD$15,"D-",IF(J536&lt;'PlayerGrades+'!$AD$14,"D",IF(J536&lt;'PlayerGrades+'!$AD$13,"D+",IF(J536&lt;'PlayerGrades+'!$AD$12,"C-",IF(J536&lt;'PlayerGrades+'!$AD$11,"C",IF(J536&lt;'PlayerGrades+'!$AD$10,"C+",IF(J536&lt;'PlayerGrades+'!$AD$9,"B-",IF(J536&lt;'PlayerGrades+'!$AD$8,"B",IF(J536&lt;'PlayerGrades+'!$AD$7,"B+",IF(J536&lt;'PlayerGrades+'!$AD$6,"A-",IF(J536&lt;'PlayerGrades+'!$AD$5,"A",IF(J536&lt;'PlayerGrades+'!$AD$4,"A+",IF(J536&lt;'PlayerGrades+'!$AD$3,"S-",IF(J536&lt;'PlayerGrades+'!$AD$2,"S","S+"))))))))))))))))))))</f>
        <v>#DIV/0!</v>
      </c>
      <c r="L536" s="1413" t="str">
        <f t="shared" si="16"/>
        <v>#DIV/0!</v>
      </c>
      <c r="M536" s="1156" t="str">
        <f>IF(L536&lt;'PlayerGrades+'!$AE$21,"F-",IF(L536&lt;'PlayerGrades+'!$AE$20,"F",IF(L536&lt;'PlayerGrades+'!$AE$19,"F+",IF(L536&lt;'PlayerGrades+'!$AE$18,"E-",IF(L536&lt;'PlayerGrades+'!$AE$17,"E",IF(L536&lt;'PlayerGrades+'!$AE$16,"E+",IF(L536&lt;'PlayerGrades+'!$AE$15,"D-",IF(L536&lt;'PlayerGrades+'!$AE$14,"D",IF(L536&lt;'PlayerGrades+'!$AE$13,"D+",IF(L536&lt;'PlayerGrades+'!$AE$12,"C-",IF(L536&lt;'PlayerGrades+'!$AE$11,"C",IF(L536&lt;'PlayerGrades+'!$AE$10,"C+",IF(L536&lt;'PlayerGrades+'!$AE$9,"B-",IF(L536&lt;'PlayerGrades+'!$AE$8,"B",IF(L536&lt;'PlayerGrades+'!$AE$7,"B+",IF(L536&lt;'PlayerGrades+'!$AE$6,"A-",IF(L536&lt;'PlayerGrades+'!$AE$5,"A",IF(L536&lt;'PlayerGrades+'!$AE$4,"A+",IF(L536&lt;'PlayerGrades+'!$AE$3,"S-",IF(L536&lt;'PlayerGrades+'!$AE$2,"S","S+"))))))))))))))))))))</f>
        <v>#DIV/0!</v>
      </c>
      <c r="N536" s="1412" t="str">
        <f t="shared" si="17"/>
        <v>#DIV/0!</v>
      </c>
      <c r="O536" s="1412" t="str">
        <f>IF(N536&lt;'PlayerGrades+'!$AF$21,"F-",IF(N536&lt;'PlayerGrades+'!$AF$20,"F",IF(N536&lt;'PlayerGrades+'!$AF$19,"F+",IF(N536&lt;'PlayerGrades+'!$AF$18,"E-",IF(N536&lt;'PlayerGrades+'!$AF$17,"E",IF(N536&lt;'PlayerGrades+'!$AF$16,"E+",IF(N536&lt;'PlayerGrades+'!$AF$15,"D-",IF(N536&lt;'PlayerGrades+'!$AF$14,"D",IF(N536&lt;'PlayerGrades+'!$AF$13,"D+",IF(N536&lt;'PlayerGrades+'!$AF$12,"C-",IF(N536&lt;'PlayerGrades+'!$AF$11,"C",IF(N536&lt;'PlayerGrades+'!$AF$10,"C+",IF(N536&lt;'PlayerGrades+'!$AF$9,"B-",IF(N536&lt;'PlayerGrades+'!$AF$8,"B",IF(N536&lt;'PlayerGrades+'!$AF$7,"B+",IF(N536&lt;'PlayerGrades+'!$AF$6,"A-",IF(N536&lt;'PlayerGrades+'!$AF$5,"A",IF(N536&lt;'PlayerGrades+'!$AF$4,"A+",IF(N536&lt;'PlayerGrades+'!$AF$3,"S-",IF(N536&lt;'PlayerGrades+'!$AF$2,"S","S+"))))))))))))))))))))</f>
        <v>#DIV/0!</v>
      </c>
      <c r="P536" s="1412" t="str">
        <f t="shared" si="18"/>
        <v>#DIV/0!</v>
      </c>
      <c r="Q536" s="1412" t="str">
        <f>IF(P536&lt;'PlayerGrades+'!$AG$21,"F-",IF(P536&lt;'PlayerGrades+'!$AG$20,"F",IF(P536&lt;'PlayerGrades+'!$AG$19,"F+",IF(P536&lt;'PlayerGrades+'!$AG$18,"E-",IF(P536&lt;'PlayerGrades+'!$AG$17,"E",IF(P536&lt;'PlayerGrades+'!$AG$16,"E+",IF(P536&lt;'PlayerGrades+'!$AG$15,"D-",IF(P536&lt;'PlayerGrades+'!$AG$14,"D",IF(P536&lt;'PlayerGrades+'!$AG$13,"D+",IF(P536&lt;'PlayerGrades+'!$AG$12,"C-",IF(P536&lt;'PlayerGrades+'!$AG$11,"C",IF(P536&lt;'PlayerGrades+'!$AG$10,"C+",IF(P536&lt;'PlayerGrades+'!$AG$9,"B-",IF(P536&lt;'PlayerGrades+'!$AG$8,"B",IF(P536&lt;'PlayerGrades+'!$AG$7,"B+",IF(P536&lt;'PlayerGrades+'!$AG$6,"A-",IF(P536&lt;'PlayerGrades+'!$AG$5,"A",IF(P536&lt;'PlayerGrades+'!$AG$4,"A+",IF(P536&lt;'PlayerGrades+'!$AG$3,"S-",IF(P536&lt;'PlayerGrades+'!$AG$2,"S","S+"))))))))))))))))))))</f>
        <v>#DIV/0!</v>
      </c>
      <c r="R536" s="1412" t="str">
        <f t="shared" si="19"/>
        <v>#REF!</v>
      </c>
      <c r="S536" s="1412" t="str">
        <f>IF(R536&lt;'PlayerGrades+'!$AH$21,"F-",IF(R536&lt;'PlayerGrades+'!$AH$20,"F",IF(R536&lt;'PlayerGrades+'!$AH$19,"F+",IF(R536&lt;'PlayerGrades+'!$AH$18,"E-",IF(R536&lt;'PlayerGrades+'!$AH$17,"E",IF(R536&lt;'PlayerGrades+'!$AH$16,"E+",IF(R536&lt;'PlayerGrades+'!$AH$15,"D-",IF(R536&lt;'PlayerGrades+'!$AH$14,"D",IF(R536&lt;'PlayerGrades+'!$AH$13,"D+",IF(R536&lt;'PlayerGrades+'!$AH$12,"C-",IF(R536&lt;'PlayerGrades+'!$AH$11,"C",IF(R536&lt;'PlayerGrades+'!$AH$10,"C+",IF(R536&lt;'PlayerGrades+'!$AH$9,"B-",IF(R536&lt;'PlayerGrades+'!$AH$8,"B",IF(R536&lt;'PlayerGrades+'!$AH$7,"B+",IF(R536&lt;'PlayerGrades+'!$AH$6,"A-",IF(R536&lt;'PlayerGrades+'!$AH$5,"A",IF(R536&lt;'PlayerGrades+'!$AH$4,"A+",IF(R536&lt;'PlayerGrades+'!$AH$3,"S-",IF(R536&lt;'PlayerGrades+'!$AH$2,"S","S+"))))))))))))))))))))</f>
        <v>#REF!</v>
      </c>
      <c r="T536" s="1412" t="str">
        <f t="shared" si="20"/>
        <v>#REF!</v>
      </c>
      <c r="U536" s="1412" t="str">
        <f>IF(T536&lt;'PlayerGrades+'!$AI$21,"F-",IF(T536&lt;'PlayerGrades+'!$AI$20,"F",IF(T536&lt;'PlayerGrades+'!$AI$19,"F+",IF(T536&lt;'PlayerGrades+'!$AI$18,"E-",IF(T536&lt;'PlayerGrades+'!$AI$17,"E",IF(T536&lt;'PlayerGrades+'!$AI$16,"E+",IF(T536&lt;'PlayerGrades+'!$AI$15,"D-",IF(T536&lt;'PlayerGrades+'!$AI$14,"D",IF(T536&lt;'PlayerGrades+'!$AI$13,"D+",IF(T536&lt;'PlayerGrades+'!$AI$12,"C-",IF(T536&lt;'PlayerGrades+'!$AI$11,"C",IF(T536&lt;'PlayerGrades+'!$AI$10,"C+",IF(T536&lt;'PlayerGrades+'!$AI$9,"B-",IF(T536&lt;'PlayerGrades+'!$AI$8,"B",IF(T536&lt;'PlayerGrades+'!$AI$7,"B+",IF(T536&lt;'PlayerGrades+'!$AI$6,"A-",IF(T536&lt;'PlayerGrades+'!$AI$5,"A",IF(T536&lt;'PlayerGrades+'!$AI$4,"A+",IF(T536&lt;'PlayerGrades+'!$AI$3,"S-",IF(T536&lt;'PlayerGrades+'!$AI$2,"S","S+"))))))))))))))))))))</f>
        <v>#REF!</v>
      </c>
      <c r="AC536" s="1392"/>
    </row>
    <row r="537">
      <c r="A537" s="1393"/>
      <c r="B537" s="611" t="str">
        <f>IF(C537&lt;'PlayerGrades+'!$Y$44,"F-",IF(C537&lt;'PlayerGrades+'!$Y$43,"F",IF(C537&lt;'PlayerGrades+'!$Y$42,"F+",IF(C537&lt;'PlayerGrades+'!$Y$41,"E-",IF(C537&lt;'PlayerGrades+'!$Y$40,"E",IF(C537&lt;'PlayerGrades+'!$Y$39,"E+",IF(C537&lt;'PlayerGrades+'!$Y$38,"D-",IF(C537&lt;'PlayerGrades+'!$Y$37,"D",IF(C537&lt;'PlayerGrades+'!$Y$36,"D+",IF(C537&lt;'PlayerGrades+'!$Y$35,"C-",IF(C537&lt;'PlayerGrades+'!$Y$34,"C",IF(C537&lt;'PlayerGrades+'!$Y$33,"C+",IF(C537&lt;'PlayerGrades+'!$Y$32,"B-",IF(C537&lt;'PlayerGrades+'!$Y$31,"B",IF(C537&lt;'PlayerGrades+'!$Y$30,"B+",IF(C537&lt;'PlayerGrades+'!$Y$29,"A-",IF(C537&lt;'PlayerGrades+'!$Y$28,"A",IF(C537&lt;'PlayerGrades+'!$Y$27,"A+",IF(C537&lt;'PlayerGrades+'!$Y$26,"S-",IF(C537&lt;'PlayerGrades+'!$Y$25,"S","S+"))))))))))))))))))))</f>
        <v>#DIV/0!</v>
      </c>
      <c r="C537" s="1378" t="str">
        <f>('PlayerGrades+'!$Y$47*(VLOOKUP(E537, 'PlayerGrades+'!$X$3:$Y$23, 2, FALSE)))+('PlayerGrades+'!$Y$48*(VLOOKUP(G537, 'PlayerGrades+'!$X$3:$Y$23, 2, FALSE)))+('PlayerGrades+'!$Y$49*(VLOOKUP(I537, 'PlayerGrades+'!$X$3:$Y$23, 2, FALSE)))+('PlayerGrades+'!$Y$50*(VLOOKUP(K537, 'PlayerGrades+'!$X$3:$Y$23, 2, FALSE)))+('PlayerGrades+'!$Y$51*(VLOOKUP(M537, 'PlayerGrades+'!$X$3:$Y$23, 2, FALSE)))+('PlayerGrades+'!$Y$52*(VLOOKUP(O537, 'PlayerGrades+'!$X$3:$Y$23, 2, FALSE)))+('PlayerGrades+'!$Y$53*(VLOOKUP(Q537, 'PlayerGrades+'!$X$3:$Y$23, 2, FALSE)))+('PlayerGrades+'!$Y$54*(VLOOKUP(S537, 'PlayerGrades+'!$X$3:$Y$23, 2, FALSE)))+('PlayerGrades+'!$Y$55*(VLOOKUP(U537, 'PlayerGrades+'!$X$3:$Y$23, 2, FALSE)))</f>
        <v>#DIV/0!</v>
      </c>
      <c r="D537" s="1412" t="str">
        <f t="shared" si="12"/>
        <v>#DIV/0!</v>
      </c>
      <c r="E537" s="1412" t="str">
        <f>IF(D537&lt;'PlayerGrades+'!$AA$21,"F-",IF(D537&lt;'PlayerGrades+'!$AA$20,"F",IF(D537&lt;'PlayerGrades+'!$AA$19,"F+",IF(D537&lt;'PlayerGrades+'!$AA$18,"E-",IF(D537&lt;'PlayerGrades+'!$AA$17,"E",IF(D537&lt;'PlayerGrades+'!$AA$16,"E+",IF(D537&lt;'PlayerGrades+'!$AA$15,"D-",IF(D537&lt;'PlayerGrades+'!$AA$14,"D",IF(D537&lt;'PlayerGrades+'!$AA$13,"D+",IF(D537&lt;'PlayerGrades+'!$AA$12,"C-",IF(D537&lt;'PlayerGrades+'!$AA$11,"C",IF(D537&lt;'PlayerGrades+'!$AA$10,"C+",IF(D537&lt;'PlayerGrades+'!$AA$9,"B-",IF(D537&lt;'PlayerGrades+'!$AA$8,"B",IF(D537&lt;'PlayerGrades+'!$AA$7,"B+",IF(D537&lt;'PlayerGrades+'!$AA$6,"A-",IF(D537&lt;'PlayerGrades+'!$AA$5,"A",IF(D537&lt;'PlayerGrades+'!$AA$4,"A+",IF(D537&lt;'PlayerGrades+'!$AA$3,"S-",IF(D537&lt;'PlayerGrades+'!$AA$2,"S","S+"))))))))))))))))))))</f>
        <v>#DIV/0!</v>
      </c>
      <c r="F537" s="1412" t="str">
        <f t="shared" si="13"/>
        <v>#DIV/0!</v>
      </c>
      <c r="G537" s="1412" t="str">
        <f>IF(F537&lt;'PlayerGrades+'!$AB$21,"F-",IF(F537&lt;'PlayerGrades+'!$AB$20,"F",IF(F537&lt;'PlayerGrades+'!$AB$19,"F+",IF(F537&lt;'PlayerGrades+'!$AB$18,"E-",IF(F537&lt;'PlayerGrades+'!$AB$17,"E",IF(F537&lt;'PlayerGrades+'!$AB$16,"E+",IF(F537&lt;'PlayerGrades+'!$AB$15,"D-",IF(F537&lt;'PlayerGrades+'!$AB$14,"D",IF(F537&lt;'PlayerGrades+'!$AB$13,"D+",IF(F537&lt;'PlayerGrades+'!$AB$12,"C-",IF(F537&lt;'PlayerGrades+'!$AB$11,"C",IF(F537&lt;'PlayerGrades+'!$AB$10,"C+",IF(F537&lt;'PlayerGrades+'!$AB$9,"B-",IF(F537&lt;'PlayerGrades+'!$AB$8,"B",IF(F537&lt;'PlayerGrades+'!$AB$7,"B+",IF(F537&lt;'PlayerGrades+'!$AB$6,"A-",IF(F537&lt;'PlayerGrades+'!$AB$5,"A",IF(F537&lt;'PlayerGrades+'!$AB$4,"A+",IF(F537&lt;'PlayerGrades+'!$AB$3,"S-",IF(F537&lt;'PlayerGrades+'!$AB$2,"S","S+"))))))))))))))))))))</f>
        <v>#DIV/0!</v>
      </c>
      <c r="H537" s="1412" t="str">
        <f t="shared" si="14"/>
        <v>#DIV/0!</v>
      </c>
      <c r="I537" s="1412" t="str">
        <f>IF(H537&lt;'PlayerGrades+'!$AC$21,"F-",IF(H537&lt;'PlayerGrades+'!$AC$20,"F",IF(H537&lt;'PlayerGrades+'!$AC$19,"F+",IF(H537&lt;'PlayerGrades+'!$AC$18,"E-",IF(H537&lt;'PlayerGrades+'!$AC$17,"E",IF(H537&lt;'PlayerGrades+'!$AC$16,"E+",IF(H537&lt;'PlayerGrades+'!$AC$15,"D-",IF(H537&lt;'PlayerGrades+'!$AC$14,"D",IF(H537&lt;'PlayerGrades+'!$AC$13,"D+",IF(H537&lt;'PlayerGrades+'!$AC$12,"C-",IF(H537&lt;'PlayerGrades+'!$AC$11,"C",IF(H537&lt;'PlayerGrades+'!$AC$10,"C+",IF(H537&lt;'PlayerGrades+'!$AC$9,"B-",IF(H537&lt;'PlayerGrades+'!$AC$8,"B",IF(H537&lt;'PlayerGrades+'!$AC$7,"B+",IF(H537&lt;'PlayerGrades+'!$AC$6,"A-",IF(H537&lt;'PlayerGrades+'!$AC$5,"A",IF(H537&lt;'PlayerGrades+'!$AC$4,"A+",IF(H537&lt;'PlayerGrades+'!$AC$3,"S-",IF(H537&lt;'PlayerGrades+'!$AC$2,"S","S+"))))))))))))))))))))</f>
        <v>#DIV/0!</v>
      </c>
      <c r="J537" s="1412" t="str">
        <f t="shared" si="15"/>
        <v>#DIV/0!</v>
      </c>
      <c r="K537" s="1412" t="str">
        <f>IF(J537&lt;'PlayerGrades+'!$AD$21,"F-",IF(J537&lt;'PlayerGrades+'!$AD$20,"F",IF(J537&lt;'PlayerGrades+'!$AD$19,"F+",IF(J537&lt;'PlayerGrades+'!$AD$18,"E-",IF(J537&lt;'PlayerGrades+'!$AD$17,"E",IF(J537&lt;'PlayerGrades+'!$AD$16,"E+",IF(J537&lt;'PlayerGrades+'!$AD$15,"D-",IF(J537&lt;'PlayerGrades+'!$AD$14,"D",IF(J537&lt;'PlayerGrades+'!$AD$13,"D+",IF(J537&lt;'PlayerGrades+'!$AD$12,"C-",IF(J537&lt;'PlayerGrades+'!$AD$11,"C",IF(J537&lt;'PlayerGrades+'!$AD$10,"C+",IF(J537&lt;'PlayerGrades+'!$AD$9,"B-",IF(J537&lt;'PlayerGrades+'!$AD$8,"B",IF(J537&lt;'PlayerGrades+'!$AD$7,"B+",IF(J537&lt;'PlayerGrades+'!$AD$6,"A-",IF(J537&lt;'PlayerGrades+'!$AD$5,"A",IF(J537&lt;'PlayerGrades+'!$AD$4,"A+",IF(J537&lt;'PlayerGrades+'!$AD$3,"S-",IF(J537&lt;'PlayerGrades+'!$AD$2,"S","S+"))))))))))))))))))))</f>
        <v>#DIV/0!</v>
      </c>
      <c r="L537" s="1413" t="str">
        <f t="shared" si="16"/>
        <v>#DIV/0!</v>
      </c>
      <c r="M537" s="1156" t="str">
        <f>IF(L537&lt;'PlayerGrades+'!$AE$21,"F-",IF(L537&lt;'PlayerGrades+'!$AE$20,"F",IF(L537&lt;'PlayerGrades+'!$AE$19,"F+",IF(L537&lt;'PlayerGrades+'!$AE$18,"E-",IF(L537&lt;'PlayerGrades+'!$AE$17,"E",IF(L537&lt;'PlayerGrades+'!$AE$16,"E+",IF(L537&lt;'PlayerGrades+'!$AE$15,"D-",IF(L537&lt;'PlayerGrades+'!$AE$14,"D",IF(L537&lt;'PlayerGrades+'!$AE$13,"D+",IF(L537&lt;'PlayerGrades+'!$AE$12,"C-",IF(L537&lt;'PlayerGrades+'!$AE$11,"C",IF(L537&lt;'PlayerGrades+'!$AE$10,"C+",IF(L537&lt;'PlayerGrades+'!$AE$9,"B-",IF(L537&lt;'PlayerGrades+'!$AE$8,"B",IF(L537&lt;'PlayerGrades+'!$AE$7,"B+",IF(L537&lt;'PlayerGrades+'!$AE$6,"A-",IF(L537&lt;'PlayerGrades+'!$AE$5,"A",IF(L537&lt;'PlayerGrades+'!$AE$4,"A+",IF(L537&lt;'PlayerGrades+'!$AE$3,"S-",IF(L537&lt;'PlayerGrades+'!$AE$2,"S","S+"))))))))))))))))))))</f>
        <v>#DIV/0!</v>
      </c>
      <c r="N537" s="1412" t="str">
        <f t="shared" si="17"/>
        <v>#DIV/0!</v>
      </c>
      <c r="O537" s="1412" t="str">
        <f>IF(N537&lt;'PlayerGrades+'!$AF$21,"F-",IF(N537&lt;'PlayerGrades+'!$AF$20,"F",IF(N537&lt;'PlayerGrades+'!$AF$19,"F+",IF(N537&lt;'PlayerGrades+'!$AF$18,"E-",IF(N537&lt;'PlayerGrades+'!$AF$17,"E",IF(N537&lt;'PlayerGrades+'!$AF$16,"E+",IF(N537&lt;'PlayerGrades+'!$AF$15,"D-",IF(N537&lt;'PlayerGrades+'!$AF$14,"D",IF(N537&lt;'PlayerGrades+'!$AF$13,"D+",IF(N537&lt;'PlayerGrades+'!$AF$12,"C-",IF(N537&lt;'PlayerGrades+'!$AF$11,"C",IF(N537&lt;'PlayerGrades+'!$AF$10,"C+",IF(N537&lt;'PlayerGrades+'!$AF$9,"B-",IF(N537&lt;'PlayerGrades+'!$AF$8,"B",IF(N537&lt;'PlayerGrades+'!$AF$7,"B+",IF(N537&lt;'PlayerGrades+'!$AF$6,"A-",IF(N537&lt;'PlayerGrades+'!$AF$5,"A",IF(N537&lt;'PlayerGrades+'!$AF$4,"A+",IF(N537&lt;'PlayerGrades+'!$AF$3,"S-",IF(N537&lt;'PlayerGrades+'!$AF$2,"S","S+"))))))))))))))))))))</f>
        <v>#DIV/0!</v>
      </c>
      <c r="P537" s="1412" t="str">
        <f t="shared" si="18"/>
        <v>#DIV/0!</v>
      </c>
      <c r="Q537" s="1412" t="str">
        <f>IF(P537&lt;'PlayerGrades+'!$AG$21,"F-",IF(P537&lt;'PlayerGrades+'!$AG$20,"F",IF(P537&lt;'PlayerGrades+'!$AG$19,"F+",IF(P537&lt;'PlayerGrades+'!$AG$18,"E-",IF(P537&lt;'PlayerGrades+'!$AG$17,"E",IF(P537&lt;'PlayerGrades+'!$AG$16,"E+",IF(P537&lt;'PlayerGrades+'!$AG$15,"D-",IF(P537&lt;'PlayerGrades+'!$AG$14,"D",IF(P537&lt;'PlayerGrades+'!$AG$13,"D+",IF(P537&lt;'PlayerGrades+'!$AG$12,"C-",IF(P537&lt;'PlayerGrades+'!$AG$11,"C",IF(P537&lt;'PlayerGrades+'!$AG$10,"C+",IF(P537&lt;'PlayerGrades+'!$AG$9,"B-",IF(P537&lt;'PlayerGrades+'!$AG$8,"B",IF(P537&lt;'PlayerGrades+'!$AG$7,"B+",IF(P537&lt;'PlayerGrades+'!$AG$6,"A-",IF(P537&lt;'PlayerGrades+'!$AG$5,"A",IF(P537&lt;'PlayerGrades+'!$AG$4,"A+",IF(P537&lt;'PlayerGrades+'!$AG$3,"S-",IF(P537&lt;'PlayerGrades+'!$AG$2,"S","S+"))))))))))))))))))))</f>
        <v>#DIV/0!</v>
      </c>
      <c r="R537" s="1412" t="str">
        <f t="shared" si="19"/>
        <v>#REF!</v>
      </c>
      <c r="S537" s="1412" t="str">
        <f>IF(R537&lt;'PlayerGrades+'!$AH$21,"F-",IF(R537&lt;'PlayerGrades+'!$AH$20,"F",IF(R537&lt;'PlayerGrades+'!$AH$19,"F+",IF(R537&lt;'PlayerGrades+'!$AH$18,"E-",IF(R537&lt;'PlayerGrades+'!$AH$17,"E",IF(R537&lt;'PlayerGrades+'!$AH$16,"E+",IF(R537&lt;'PlayerGrades+'!$AH$15,"D-",IF(R537&lt;'PlayerGrades+'!$AH$14,"D",IF(R537&lt;'PlayerGrades+'!$AH$13,"D+",IF(R537&lt;'PlayerGrades+'!$AH$12,"C-",IF(R537&lt;'PlayerGrades+'!$AH$11,"C",IF(R537&lt;'PlayerGrades+'!$AH$10,"C+",IF(R537&lt;'PlayerGrades+'!$AH$9,"B-",IF(R537&lt;'PlayerGrades+'!$AH$8,"B",IF(R537&lt;'PlayerGrades+'!$AH$7,"B+",IF(R537&lt;'PlayerGrades+'!$AH$6,"A-",IF(R537&lt;'PlayerGrades+'!$AH$5,"A",IF(R537&lt;'PlayerGrades+'!$AH$4,"A+",IF(R537&lt;'PlayerGrades+'!$AH$3,"S-",IF(R537&lt;'PlayerGrades+'!$AH$2,"S","S+"))))))))))))))))))))</f>
        <v>#REF!</v>
      </c>
      <c r="T537" s="1412" t="str">
        <f t="shared" si="20"/>
        <v>#REF!</v>
      </c>
      <c r="U537" s="1412" t="str">
        <f>IF(T537&lt;'PlayerGrades+'!$AI$21,"F-",IF(T537&lt;'PlayerGrades+'!$AI$20,"F",IF(T537&lt;'PlayerGrades+'!$AI$19,"F+",IF(T537&lt;'PlayerGrades+'!$AI$18,"E-",IF(T537&lt;'PlayerGrades+'!$AI$17,"E",IF(T537&lt;'PlayerGrades+'!$AI$16,"E+",IF(T537&lt;'PlayerGrades+'!$AI$15,"D-",IF(T537&lt;'PlayerGrades+'!$AI$14,"D",IF(T537&lt;'PlayerGrades+'!$AI$13,"D+",IF(T537&lt;'PlayerGrades+'!$AI$12,"C-",IF(T537&lt;'PlayerGrades+'!$AI$11,"C",IF(T537&lt;'PlayerGrades+'!$AI$10,"C+",IF(T537&lt;'PlayerGrades+'!$AI$9,"B-",IF(T537&lt;'PlayerGrades+'!$AI$8,"B",IF(T537&lt;'PlayerGrades+'!$AI$7,"B+",IF(T537&lt;'PlayerGrades+'!$AI$6,"A-",IF(T537&lt;'PlayerGrades+'!$AI$5,"A",IF(T537&lt;'PlayerGrades+'!$AI$4,"A+",IF(T537&lt;'PlayerGrades+'!$AI$3,"S-",IF(T537&lt;'PlayerGrades+'!$AI$2,"S","S+"))))))))))))))))))))</f>
        <v>#REF!</v>
      </c>
      <c r="V537" s="1386"/>
      <c r="W537" s="1386"/>
      <c r="X537" s="1386"/>
      <c r="Y537" s="1386"/>
      <c r="Z537" s="1386"/>
      <c r="AA537" s="1386"/>
      <c r="AB537" s="1386"/>
      <c r="AC537" s="1397"/>
      <c r="AD537" s="1386"/>
      <c r="AE537" s="1386"/>
      <c r="AF537" s="1386"/>
      <c r="AG537" s="1386"/>
      <c r="AH537" s="1386"/>
      <c r="AI537" s="1386"/>
      <c r="AJ537" s="1386"/>
      <c r="AK537" s="1386"/>
      <c r="AL537" s="1386"/>
      <c r="AM537" s="1386"/>
      <c r="AN537" s="1386"/>
      <c r="AO537" s="1386"/>
      <c r="AP537" s="1386"/>
      <c r="AQ537" s="1386"/>
      <c r="AR537" s="1386"/>
      <c r="AS537" s="1386"/>
      <c r="AT537" s="1386"/>
      <c r="AU537" s="1386"/>
      <c r="AV537" s="1386"/>
      <c r="AW537" s="1386"/>
      <c r="AX537" s="1386"/>
      <c r="AY537" s="1386"/>
      <c r="AZ537" s="1386"/>
    </row>
    <row r="538">
      <c r="B538" s="611" t="str">
        <f>IF(C538&lt;'PlayerGrades+'!$Y$44,"F-",IF(C538&lt;'PlayerGrades+'!$Y$43,"F",IF(C538&lt;'PlayerGrades+'!$Y$42,"F+",IF(C538&lt;'PlayerGrades+'!$Y$41,"E-",IF(C538&lt;'PlayerGrades+'!$Y$40,"E",IF(C538&lt;'PlayerGrades+'!$Y$39,"E+",IF(C538&lt;'PlayerGrades+'!$Y$38,"D-",IF(C538&lt;'PlayerGrades+'!$Y$37,"D",IF(C538&lt;'PlayerGrades+'!$Y$36,"D+",IF(C538&lt;'PlayerGrades+'!$Y$35,"C-",IF(C538&lt;'PlayerGrades+'!$Y$34,"C",IF(C538&lt;'PlayerGrades+'!$Y$33,"C+",IF(C538&lt;'PlayerGrades+'!$Y$32,"B-",IF(C538&lt;'PlayerGrades+'!$Y$31,"B",IF(C538&lt;'PlayerGrades+'!$Y$30,"B+",IF(C538&lt;'PlayerGrades+'!$Y$29,"A-",IF(C538&lt;'PlayerGrades+'!$Y$28,"A",IF(C538&lt;'PlayerGrades+'!$Y$27,"A+",IF(C538&lt;'PlayerGrades+'!$Y$26,"S-",IF(C538&lt;'PlayerGrades+'!$Y$25,"S","S+"))))))))))))))))))))</f>
        <v>#DIV/0!</v>
      </c>
      <c r="C538" s="1378" t="str">
        <f>('PlayerGrades+'!$Y$47*(VLOOKUP(E538, 'PlayerGrades+'!$X$3:$Y$23, 2, FALSE)))+('PlayerGrades+'!$Y$48*(VLOOKUP(G538, 'PlayerGrades+'!$X$3:$Y$23, 2, FALSE)))+('PlayerGrades+'!$Y$49*(VLOOKUP(I538, 'PlayerGrades+'!$X$3:$Y$23, 2, FALSE)))+('PlayerGrades+'!$Y$50*(VLOOKUP(K538, 'PlayerGrades+'!$X$3:$Y$23, 2, FALSE)))+('PlayerGrades+'!$Y$51*(VLOOKUP(M538, 'PlayerGrades+'!$X$3:$Y$23, 2, FALSE)))+('PlayerGrades+'!$Y$52*(VLOOKUP(O538, 'PlayerGrades+'!$X$3:$Y$23, 2, FALSE)))+('PlayerGrades+'!$Y$53*(VLOOKUP(Q538, 'PlayerGrades+'!$X$3:$Y$23, 2, FALSE)))+('PlayerGrades+'!$Y$54*(VLOOKUP(S538, 'PlayerGrades+'!$X$3:$Y$23, 2, FALSE)))+('PlayerGrades+'!$Y$55*(VLOOKUP(U538, 'PlayerGrades+'!$X$3:$Y$23, 2, FALSE)))</f>
        <v>#DIV/0!</v>
      </c>
      <c r="D538" s="1412" t="str">
        <f t="shared" si="12"/>
        <v>#DIV/0!</v>
      </c>
      <c r="E538" s="1412" t="str">
        <f>IF(D538&lt;'PlayerGrades+'!$AA$21,"F-",IF(D538&lt;'PlayerGrades+'!$AA$20,"F",IF(D538&lt;'PlayerGrades+'!$AA$19,"F+",IF(D538&lt;'PlayerGrades+'!$AA$18,"E-",IF(D538&lt;'PlayerGrades+'!$AA$17,"E",IF(D538&lt;'PlayerGrades+'!$AA$16,"E+",IF(D538&lt;'PlayerGrades+'!$AA$15,"D-",IF(D538&lt;'PlayerGrades+'!$AA$14,"D",IF(D538&lt;'PlayerGrades+'!$AA$13,"D+",IF(D538&lt;'PlayerGrades+'!$AA$12,"C-",IF(D538&lt;'PlayerGrades+'!$AA$11,"C",IF(D538&lt;'PlayerGrades+'!$AA$10,"C+",IF(D538&lt;'PlayerGrades+'!$AA$9,"B-",IF(D538&lt;'PlayerGrades+'!$AA$8,"B",IF(D538&lt;'PlayerGrades+'!$AA$7,"B+",IF(D538&lt;'PlayerGrades+'!$AA$6,"A-",IF(D538&lt;'PlayerGrades+'!$AA$5,"A",IF(D538&lt;'PlayerGrades+'!$AA$4,"A+",IF(D538&lt;'PlayerGrades+'!$AA$3,"S-",IF(D538&lt;'PlayerGrades+'!$AA$2,"S","S+"))))))))))))))))))))</f>
        <v>#DIV/0!</v>
      </c>
      <c r="F538" s="1412" t="str">
        <f t="shared" si="13"/>
        <v>#DIV/0!</v>
      </c>
      <c r="G538" s="1412" t="str">
        <f>IF(F538&lt;'PlayerGrades+'!$AB$21,"F-",IF(F538&lt;'PlayerGrades+'!$AB$20,"F",IF(F538&lt;'PlayerGrades+'!$AB$19,"F+",IF(F538&lt;'PlayerGrades+'!$AB$18,"E-",IF(F538&lt;'PlayerGrades+'!$AB$17,"E",IF(F538&lt;'PlayerGrades+'!$AB$16,"E+",IF(F538&lt;'PlayerGrades+'!$AB$15,"D-",IF(F538&lt;'PlayerGrades+'!$AB$14,"D",IF(F538&lt;'PlayerGrades+'!$AB$13,"D+",IF(F538&lt;'PlayerGrades+'!$AB$12,"C-",IF(F538&lt;'PlayerGrades+'!$AB$11,"C",IF(F538&lt;'PlayerGrades+'!$AB$10,"C+",IF(F538&lt;'PlayerGrades+'!$AB$9,"B-",IF(F538&lt;'PlayerGrades+'!$AB$8,"B",IF(F538&lt;'PlayerGrades+'!$AB$7,"B+",IF(F538&lt;'PlayerGrades+'!$AB$6,"A-",IF(F538&lt;'PlayerGrades+'!$AB$5,"A",IF(F538&lt;'PlayerGrades+'!$AB$4,"A+",IF(F538&lt;'PlayerGrades+'!$AB$3,"S-",IF(F538&lt;'PlayerGrades+'!$AB$2,"S","S+"))))))))))))))))))))</f>
        <v>#DIV/0!</v>
      </c>
      <c r="H538" s="1412" t="str">
        <f t="shared" si="14"/>
        <v>#DIV/0!</v>
      </c>
      <c r="I538" s="1412" t="str">
        <f>IF(H538&lt;'PlayerGrades+'!$AC$21,"F-",IF(H538&lt;'PlayerGrades+'!$AC$20,"F",IF(H538&lt;'PlayerGrades+'!$AC$19,"F+",IF(H538&lt;'PlayerGrades+'!$AC$18,"E-",IF(H538&lt;'PlayerGrades+'!$AC$17,"E",IF(H538&lt;'PlayerGrades+'!$AC$16,"E+",IF(H538&lt;'PlayerGrades+'!$AC$15,"D-",IF(H538&lt;'PlayerGrades+'!$AC$14,"D",IF(H538&lt;'PlayerGrades+'!$AC$13,"D+",IF(H538&lt;'PlayerGrades+'!$AC$12,"C-",IF(H538&lt;'PlayerGrades+'!$AC$11,"C",IF(H538&lt;'PlayerGrades+'!$AC$10,"C+",IF(H538&lt;'PlayerGrades+'!$AC$9,"B-",IF(H538&lt;'PlayerGrades+'!$AC$8,"B",IF(H538&lt;'PlayerGrades+'!$AC$7,"B+",IF(H538&lt;'PlayerGrades+'!$AC$6,"A-",IF(H538&lt;'PlayerGrades+'!$AC$5,"A",IF(H538&lt;'PlayerGrades+'!$AC$4,"A+",IF(H538&lt;'PlayerGrades+'!$AC$3,"S-",IF(H538&lt;'PlayerGrades+'!$AC$2,"S","S+"))))))))))))))))))))</f>
        <v>#DIV/0!</v>
      </c>
      <c r="J538" s="1412" t="str">
        <f t="shared" si="15"/>
        <v>#DIV/0!</v>
      </c>
      <c r="K538" s="1412" t="str">
        <f>IF(J538&lt;'PlayerGrades+'!$AD$21,"F-",IF(J538&lt;'PlayerGrades+'!$AD$20,"F",IF(J538&lt;'PlayerGrades+'!$AD$19,"F+",IF(J538&lt;'PlayerGrades+'!$AD$18,"E-",IF(J538&lt;'PlayerGrades+'!$AD$17,"E",IF(J538&lt;'PlayerGrades+'!$AD$16,"E+",IF(J538&lt;'PlayerGrades+'!$AD$15,"D-",IF(J538&lt;'PlayerGrades+'!$AD$14,"D",IF(J538&lt;'PlayerGrades+'!$AD$13,"D+",IF(J538&lt;'PlayerGrades+'!$AD$12,"C-",IF(J538&lt;'PlayerGrades+'!$AD$11,"C",IF(J538&lt;'PlayerGrades+'!$AD$10,"C+",IF(J538&lt;'PlayerGrades+'!$AD$9,"B-",IF(J538&lt;'PlayerGrades+'!$AD$8,"B",IF(J538&lt;'PlayerGrades+'!$AD$7,"B+",IF(J538&lt;'PlayerGrades+'!$AD$6,"A-",IF(J538&lt;'PlayerGrades+'!$AD$5,"A",IF(J538&lt;'PlayerGrades+'!$AD$4,"A+",IF(J538&lt;'PlayerGrades+'!$AD$3,"S-",IF(J538&lt;'PlayerGrades+'!$AD$2,"S","S+"))))))))))))))))))))</f>
        <v>#DIV/0!</v>
      </c>
      <c r="L538" s="1413" t="str">
        <f t="shared" si="16"/>
        <v>#DIV/0!</v>
      </c>
      <c r="M538" s="1156" t="str">
        <f>IF(L538&lt;'PlayerGrades+'!$AE$21,"F-",IF(L538&lt;'PlayerGrades+'!$AE$20,"F",IF(L538&lt;'PlayerGrades+'!$AE$19,"F+",IF(L538&lt;'PlayerGrades+'!$AE$18,"E-",IF(L538&lt;'PlayerGrades+'!$AE$17,"E",IF(L538&lt;'PlayerGrades+'!$AE$16,"E+",IF(L538&lt;'PlayerGrades+'!$AE$15,"D-",IF(L538&lt;'PlayerGrades+'!$AE$14,"D",IF(L538&lt;'PlayerGrades+'!$AE$13,"D+",IF(L538&lt;'PlayerGrades+'!$AE$12,"C-",IF(L538&lt;'PlayerGrades+'!$AE$11,"C",IF(L538&lt;'PlayerGrades+'!$AE$10,"C+",IF(L538&lt;'PlayerGrades+'!$AE$9,"B-",IF(L538&lt;'PlayerGrades+'!$AE$8,"B",IF(L538&lt;'PlayerGrades+'!$AE$7,"B+",IF(L538&lt;'PlayerGrades+'!$AE$6,"A-",IF(L538&lt;'PlayerGrades+'!$AE$5,"A",IF(L538&lt;'PlayerGrades+'!$AE$4,"A+",IF(L538&lt;'PlayerGrades+'!$AE$3,"S-",IF(L538&lt;'PlayerGrades+'!$AE$2,"S","S+"))))))))))))))))))))</f>
        <v>#DIV/0!</v>
      </c>
      <c r="N538" s="1412" t="str">
        <f t="shared" si="17"/>
        <v>#DIV/0!</v>
      </c>
      <c r="O538" s="1412" t="str">
        <f>IF(N538&lt;'PlayerGrades+'!$AF$21,"F-",IF(N538&lt;'PlayerGrades+'!$AF$20,"F",IF(N538&lt;'PlayerGrades+'!$AF$19,"F+",IF(N538&lt;'PlayerGrades+'!$AF$18,"E-",IF(N538&lt;'PlayerGrades+'!$AF$17,"E",IF(N538&lt;'PlayerGrades+'!$AF$16,"E+",IF(N538&lt;'PlayerGrades+'!$AF$15,"D-",IF(N538&lt;'PlayerGrades+'!$AF$14,"D",IF(N538&lt;'PlayerGrades+'!$AF$13,"D+",IF(N538&lt;'PlayerGrades+'!$AF$12,"C-",IF(N538&lt;'PlayerGrades+'!$AF$11,"C",IF(N538&lt;'PlayerGrades+'!$AF$10,"C+",IF(N538&lt;'PlayerGrades+'!$AF$9,"B-",IF(N538&lt;'PlayerGrades+'!$AF$8,"B",IF(N538&lt;'PlayerGrades+'!$AF$7,"B+",IF(N538&lt;'PlayerGrades+'!$AF$6,"A-",IF(N538&lt;'PlayerGrades+'!$AF$5,"A",IF(N538&lt;'PlayerGrades+'!$AF$4,"A+",IF(N538&lt;'PlayerGrades+'!$AF$3,"S-",IF(N538&lt;'PlayerGrades+'!$AF$2,"S","S+"))))))))))))))))))))</f>
        <v>#DIV/0!</v>
      </c>
      <c r="P538" s="1412" t="str">
        <f t="shared" si="18"/>
        <v>#DIV/0!</v>
      </c>
      <c r="Q538" s="1412" t="str">
        <f>IF(P538&lt;'PlayerGrades+'!$AG$21,"F-",IF(P538&lt;'PlayerGrades+'!$AG$20,"F",IF(P538&lt;'PlayerGrades+'!$AG$19,"F+",IF(P538&lt;'PlayerGrades+'!$AG$18,"E-",IF(P538&lt;'PlayerGrades+'!$AG$17,"E",IF(P538&lt;'PlayerGrades+'!$AG$16,"E+",IF(P538&lt;'PlayerGrades+'!$AG$15,"D-",IF(P538&lt;'PlayerGrades+'!$AG$14,"D",IF(P538&lt;'PlayerGrades+'!$AG$13,"D+",IF(P538&lt;'PlayerGrades+'!$AG$12,"C-",IF(P538&lt;'PlayerGrades+'!$AG$11,"C",IF(P538&lt;'PlayerGrades+'!$AG$10,"C+",IF(P538&lt;'PlayerGrades+'!$AG$9,"B-",IF(P538&lt;'PlayerGrades+'!$AG$8,"B",IF(P538&lt;'PlayerGrades+'!$AG$7,"B+",IF(P538&lt;'PlayerGrades+'!$AG$6,"A-",IF(P538&lt;'PlayerGrades+'!$AG$5,"A",IF(P538&lt;'PlayerGrades+'!$AG$4,"A+",IF(P538&lt;'PlayerGrades+'!$AG$3,"S-",IF(P538&lt;'PlayerGrades+'!$AG$2,"S","S+"))))))))))))))))))))</f>
        <v>#DIV/0!</v>
      </c>
      <c r="R538" s="1412" t="str">
        <f t="shared" si="19"/>
        <v>#REF!</v>
      </c>
      <c r="S538" s="1412" t="str">
        <f>IF(R538&lt;'PlayerGrades+'!$AH$21,"F-",IF(R538&lt;'PlayerGrades+'!$AH$20,"F",IF(R538&lt;'PlayerGrades+'!$AH$19,"F+",IF(R538&lt;'PlayerGrades+'!$AH$18,"E-",IF(R538&lt;'PlayerGrades+'!$AH$17,"E",IF(R538&lt;'PlayerGrades+'!$AH$16,"E+",IF(R538&lt;'PlayerGrades+'!$AH$15,"D-",IF(R538&lt;'PlayerGrades+'!$AH$14,"D",IF(R538&lt;'PlayerGrades+'!$AH$13,"D+",IF(R538&lt;'PlayerGrades+'!$AH$12,"C-",IF(R538&lt;'PlayerGrades+'!$AH$11,"C",IF(R538&lt;'PlayerGrades+'!$AH$10,"C+",IF(R538&lt;'PlayerGrades+'!$AH$9,"B-",IF(R538&lt;'PlayerGrades+'!$AH$8,"B",IF(R538&lt;'PlayerGrades+'!$AH$7,"B+",IF(R538&lt;'PlayerGrades+'!$AH$6,"A-",IF(R538&lt;'PlayerGrades+'!$AH$5,"A",IF(R538&lt;'PlayerGrades+'!$AH$4,"A+",IF(R538&lt;'PlayerGrades+'!$AH$3,"S-",IF(R538&lt;'PlayerGrades+'!$AH$2,"S","S+"))))))))))))))))))))</f>
        <v>#REF!</v>
      </c>
      <c r="T538" s="1412" t="str">
        <f t="shared" si="20"/>
        <v>#REF!</v>
      </c>
      <c r="U538" s="1412" t="str">
        <f>IF(T538&lt;'PlayerGrades+'!$AI$21,"F-",IF(T538&lt;'PlayerGrades+'!$AI$20,"F",IF(T538&lt;'PlayerGrades+'!$AI$19,"F+",IF(T538&lt;'PlayerGrades+'!$AI$18,"E-",IF(T538&lt;'PlayerGrades+'!$AI$17,"E",IF(T538&lt;'PlayerGrades+'!$AI$16,"E+",IF(T538&lt;'PlayerGrades+'!$AI$15,"D-",IF(T538&lt;'PlayerGrades+'!$AI$14,"D",IF(T538&lt;'PlayerGrades+'!$AI$13,"D+",IF(T538&lt;'PlayerGrades+'!$AI$12,"C-",IF(T538&lt;'PlayerGrades+'!$AI$11,"C",IF(T538&lt;'PlayerGrades+'!$AI$10,"C+",IF(T538&lt;'PlayerGrades+'!$AI$9,"B-",IF(T538&lt;'PlayerGrades+'!$AI$8,"B",IF(T538&lt;'PlayerGrades+'!$AI$7,"B+",IF(T538&lt;'PlayerGrades+'!$AI$6,"A-",IF(T538&lt;'PlayerGrades+'!$AI$5,"A",IF(T538&lt;'PlayerGrades+'!$AI$4,"A+",IF(T538&lt;'PlayerGrades+'!$AI$3,"S-",IF(T538&lt;'PlayerGrades+'!$AI$2,"S","S+"))))))))))))))))))))</f>
        <v>#REF!</v>
      </c>
      <c r="AC538" s="1392"/>
    </row>
    <row r="539">
      <c r="B539" s="611" t="str">
        <f>IF(C539&lt;'PlayerGrades+'!$Y$44,"F-",IF(C539&lt;'PlayerGrades+'!$Y$43,"F",IF(C539&lt;'PlayerGrades+'!$Y$42,"F+",IF(C539&lt;'PlayerGrades+'!$Y$41,"E-",IF(C539&lt;'PlayerGrades+'!$Y$40,"E",IF(C539&lt;'PlayerGrades+'!$Y$39,"E+",IF(C539&lt;'PlayerGrades+'!$Y$38,"D-",IF(C539&lt;'PlayerGrades+'!$Y$37,"D",IF(C539&lt;'PlayerGrades+'!$Y$36,"D+",IF(C539&lt;'PlayerGrades+'!$Y$35,"C-",IF(C539&lt;'PlayerGrades+'!$Y$34,"C",IF(C539&lt;'PlayerGrades+'!$Y$33,"C+",IF(C539&lt;'PlayerGrades+'!$Y$32,"B-",IF(C539&lt;'PlayerGrades+'!$Y$31,"B",IF(C539&lt;'PlayerGrades+'!$Y$30,"B+",IF(C539&lt;'PlayerGrades+'!$Y$29,"A-",IF(C539&lt;'PlayerGrades+'!$Y$28,"A",IF(C539&lt;'PlayerGrades+'!$Y$27,"A+",IF(C539&lt;'PlayerGrades+'!$Y$26,"S-",IF(C539&lt;'PlayerGrades+'!$Y$25,"S","S+"))))))))))))))))))))</f>
        <v>#DIV/0!</v>
      </c>
      <c r="C539" s="1378" t="str">
        <f>('PlayerGrades+'!$Y$47*(VLOOKUP(E539, 'PlayerGrades+'!$X$3:$Y$23, 2, FALSE)))+('PlayerGrades+'!$Y$48*(VLOOKUP(G539, 'PlayerGrades+'!$X$3:$Y$23, 2, FALSE)))+('PlayerGrades+'!$Y$49*(VLOOKUP(I539, 'PlayerGrades+'!$X$3:$Y$23, 2, FALSE)))+('PlayerGrades+'!$Y$50*(VLOOKUP(K539, 'PlayerGrades+'!$X$3:$Y$23, 2, FALSE)))+('PlayerGrades+'!$Y$51*(VLOOKUP(M539, 'PlayerGrades+'!$X$3:$Y$23, 2, FALSE)))+('PlayerGrades+'!$Y$52*(VLOOKUP(O539, 'PlayerGrades+'!$X$3:$Y$23, 2, FALSE)))+('PlayerGrades+'!$Y$53*(VLOOKUP(Q539, 'PlayerGrades+'!$X$3:$Y$23, 2, FALSE)))+('PlayerGrades+'!$Y$54*(VLOOKUP(S539, 'PlayerGrades+'!$X$3:$Y$23, 2, FALSE)))+('PlayerGrades+'!$Y$55*(VLOOKUP(U539, 'PlayerGrades+'!$X$3:$Y$23, 2, FALSE)))</f>
        <v>#DIV/0!</v>
      </c>
      <c r="D539" s="1412" t="str">
        <f t="shared" si="12"/>
        <v>#DIV/0!</v>
      </c>
      <c r="E539" s="1412" t="str">
        <f>IF(D539&lt;'PlayerGrades+'!$AA$21,"F-",IF(D539&lt;'PlayerGrades+'!$AA$20,"F",IF(D539&lt;'PlayerGrades+'!$AA$19,"F+",IF(D539&lt;'PlayerGrades+'!$AA$18,"E-",IF(D539&lt;'PlayerGrades+'!$AA$17,"E",IF(D539&lt;'PlayerGrades+'!$AA$16,"E+",IF(D539&lt;'PlayerGrades+'!$AA$15,"D-",IF(D539&lt;'PlayerGrades+'!$AA$14,"D",IF(D539&lt;'PlayerGrades+'!$AA$13,"D+",IF(D539&lt;'PlayerGrades+'!$AA$12,"C-",IF(D539&lt;'PlayerGrades+'!$AA$11,"C",IF(D539&lt;'PlayerGrades+'!$AA$10,"C+",IF(D539&lt;'PlayerGrades+'!$AA$9,"B-",IF(D539&lt;'PlayerGrades+'!$AA$8,"B",IF(D539&lt;'PlayerGrades+'!$AA$7,"B+",IF(D539&lt;'PlayerGrades+'!$AA$6,"A-",IF(D539&lt;'PlayerGrades+'!$AA$5,"A",IF(D539&lt;'PlayerGrades+'!$AA$4,"A+",IF(D539&lt;'PlayerGrades+'!$AA$3,"S-",IF(D539&lt;'PlayerGrades+'!$AA$2,"S","S+"))))))))))))))))))))</f>
        <v>#DIV/0!</v>
      </c>
      <c r="F539" s="1412" t="str">
        <f t="shared" si="13"/>
        <v>#DIV/0!</v>
      </c>
      <c r="G539" s="1412" t="str">
        <f>IF(F539&lt;'PlayerGrades+'!$AB$21,"F-",IF(F539&lt;'PlayerGrades+'!$AB$20,"F",IF(F539&lt;'PlayerGrades+'!$AB$19,"F+",IF(F539&lt;'PlayerGrades+'!$AB$18,"E-",IF(F539&lt;'PlayerGrades+'!$AB$17,"E",IF(F539&lt;'PlayerGrades+'!$AB$16,"E+",IF(F539&lt;'PlayerGrades+'!$AB$15,"D-",IF(F539&lt;'PlayerGrades+'!$AB$14,"D",IF(F539&lt;'PlayerGrades+'!$AB$13,"D+",IF(F539&lt;'PlayerGrades+'!$AB$12,"C-",IF(F539&lt;'PlayerGrades+'!$AB$11,"C",IF(F539&lt;'PlayerGrades+'!$AB$10,"C+",IF(F539&lt;'PlayerGrades+'!$AB$9,"B-",IF(F539&lt;'PlayerGrades+'!$AB$8,"B",IF(F539&lt;'PlayerGrades+'!$AB$7,"B+",IF(F539&lt;'PlayerGrades+'!$AB$6,"A-",IF(F539&lt;'PlayerGrades+'!$AB$5,"A",IF(F539&lt;'PlayerGrades+'!$AB$4,"A+",IF(F539&lt;'PlayerGrades+'!$AB$3,"S-",IF(F539&lt;'PlayerGrades+'!$AB$2,"S","S+"))))))))))))))))))))</f>
        <v>#DIV/0!</v>
      </c>
      <c r="H539" s="1412" t="str">
        <f t="shared" si="14"/>
        <v>#DIV/0!</v>
      </c>
      <c r="I539" s="1412" t="str">
        <f>IF(H539&lt;'PlayerGrades+'!$AC$21,"F-",IF(H539&lt;'PlayerGrades+'!$AC$20,"F",IF(H539&lt;'PlayerGrades+'!$AC$19,"F+",IF(H539&lt;'PlayerGrades+'!$AC$18,"E-",IF(H539&lt;'PlayerGrades+'!$AC$17,"E",IF(H539&lt;'PlayerGrades+'!$AC$16,"E+",IF(H539&lt;'PlayerGrades+'!$AC$15,"D-",IF(H539&lt;'PlayerGrades+'!$AC$14,"D",IF(H539&lt;'PlayerGrades+'!$AC$13,"D+",IF(H539&lt;'PlayerGrades+'!$AC$12,"C-",IF(H539&lt;'PlayerGrades+'!$AC$11,"C",IF(H539&lt;'PlayerGrades+'!$AC$10,"C+",IF(H539&lt;'PlayerGrades+'!$AC$9,"B-",IF(H539&lt;'PlayerGrades+'!$AC$8,"B",IF(H539&lt;'PlayerGrades+'!$AC$7,"B+",IF(H539&lt;'PlayerGrades+'!$AC$6,"A-",IF(H539&lt;'PlayerGrades+'!$AC$5,"A",IF(H539&lt;'PlayerGrades+'!$AC$4,"A+",IF(H539&lt;'PlayerGrades+'!$AC$3,"S-",IF(H539&lt;'PlayerGrades+'!$AC$2,"S","S+"))))))))))))))))))))</f>
        <v>#DIV/0!</v>
      </c>
      <c r="J539" s="1412" t="str">
        <f t="shared" si="15"/>
        <v>#DIV/0!</v>
      </c>
      <c r="K539" s="1412" t="str">
        <f>IF(J539&lt;'PlayerGrades+'!$AD$21,"F-",IF(J539&lt;'PlayerGrades+'!$AD$20,"F",IF(J539&lt;'PlayerGrades+'!$AD$19,"F+",IF(J539&lt;'PlayerGrades+'!$AD$18,"E-",IF(J539&lt;'PlayerGrades+'!$AD$17,"E",IF(J539&lt;'PlayerGrades+'!$AD$16,"E+",IF(J539&lt;'PlayerGrades+'!$AD$15,"D-",IF(J539&lt;'PlayerGrades+'!$AD$14,"D",IF(J539&lt;'PlayerGrades+'!$AD$13,"D+",IF(J539&lt;'PlayerGrades+'!$AD$12,"C-",IF(J539&lt;'PlayerGrades+'!$AD$11,"C",IF(J539&lt;'PlayerGrades+'!$AD$10,"C+",IF(J539&lt;'PlayerGrades+'!$AD$9,"B-",IF(J539&lt;'PlayerGrades+'!$AD$8,"B",IF(J539&lt;'PlayerGrades+'!$AD$7,"B+",IF(J539&lt;'PlayerGrades+'!$AD$6,"A-",IF(J539&lt;'PlayerGrades+'!$AD$5,"A",IF(J539&lt;'PlayerGrades+'!$AD$4,"A+",IF(J539&lt;'PlayerGrades+'!$AD$3,"S-",IF(J539&lt;'PlayerGrades+'!$AD$2,"S","S+"))))))))))))))))))))</f>
        <v>#DIV/0!</v>
      </c>
      <c r="L539" s="1413" t="str">
        <f t="shared" si="16"/>
        <v>#DIV/0!</v>
      </c>
      <c r="M539" s="1156" t="str">
        <f>IF(L539&lt;'PlayerGrades+'!$AE$21,"F-",IF(L539&lt;'PlayerGrades+'!$AE$20,"F",IF(L539&lt;'PlayerGrades+'!$AE$19,"F+",IF(L539&lt;'PlayerGrades+'!$AE$18,"E-",IF(L539&lt;'PlayerGrades+'!$AE$17,"E",IF(L539&lt;'PlayerGrades+'!$AE$16,"E+",IF(L539&lt;'PlayerGrades+'!$AE$15,"D-",IF(L539&lt;'PlayerGrades+'!$AE$14,"D",IF(L539&lt;'PlayerGrades+'!$AE$13,"D+",IF(L539&lt;'PlayerGrades+'!$AE$12,"C-",IF(L539&lt;'PlayerGrades+'!$AE$11,"C",IF(L539&lt;'PlayerGrades+'!$AE$10,"C+",IF(L539&lt;'PlayerGrades+'!$AE$9,"B-",IF(L539&lt;'PlayerGrades+'!$AE$8,"B",IF(L539&lt;'PlayerGrades+'!$AE$7,"B+",IF(L539&lt;'PlayerGrades+'!$AE$6,"A-",IF(L539&lt;'PlayerGrades+'!$AE$5,"A",IF(L539&lt;'PlayerGrades+'!$AE$4,"A+",IF(L539&lt;'PlayerGrades+'!$AE$3,"S-",IF(L539&lt;'PlayerGrades+'!$AE$2,"S","S+"))))))))))))))))))))</f>
        <v>#DIV/0!</v>
      </c>
      <c r="N539" s="1412" t="str">
        <f t="shared" si="17"/>
        <v>#DIV/0!</v>
      </c>
      <c r="O539" s="1412" t="str">
        <f>IF(N539&lt;'PlayerGrades+'!$AF$21,"F-",IF(N539&lt;'PlayerGrades+'!$AF$20,"F",IF(N539&lt;'PlayerGrades+'!$AF$19,"F+",IF(N539&lt;'PlayerGrades+'!$AF$18,"E-",IF(N539&lt;'PlayerGrades+'!$AF$17,"E",IF(N539&lt;'PlayerGrades+'!$AF$16,"E+",IF(N539&lt;'PlayerGrades+'!$AF$15,"D-",IF(N539&lt;'PlayerGrades+'!$AF$14,"D",IF(N539&lt;'PlayerGrades+'!$AF$13,"D+",IF(N539&lt;'PlayerGrades+'!$AF$12,"C-",IF(N539&lt;'PlayerGrades+'!$AF$11,"C",IF(N539&lt;'PlayerGrades+'!$AF$10,"C+",IF(N539&lt;'PlayerGrades+'!$AF$9,"B-",IF(N539&lt;'PlayerGrades+'!$AF$8,"B",IF(N539&lt;'PlayerGrades+'!$AF$7,"B+",IF(N539&lt;'PlayerGrades+'!$AF$6,"A-",IF(N539&lt;'PlayerGrades+'!$AF$5,"A",IF(N539&lt;'PlayerGrades+'!$AF$4,"A+",IF(N539&lt;'PlayerGrades+'!$AF$3,"S-",IF(N539&lt;'PlayerGrades+'!$AF$2,"S","S+"))))))))))))))))))))</f>
        <v>#DIV/0!</v>
      </c>
      <c r="P539" s="1412" t="str">
        <f t="shared" si="18"/>
        <v>#DIV/0!</v>
      </c>
      <c r="Q539" s="1412" t="str">
        <f>IF(P539&lt;'PlayerGrades+'!$AG$21,"F-",IF(P539&lt;'PlayerGrades+'!$AG$20,"F",IF(P539&lt;'PlayerGrades+'!$AG$19,"F+",IF(P539&lt;'PlayerGrades+'!$AG$18,"E-",IF(P539&lt;'PlayerGrades+'!$AG$17,"E",IF(P539&lt;'PlayerGrades+'!$AG$16,"E+",IF(P539&lt;'PlayerGrades+'!$AG$15,"D-",IF(P539&lt;'PlayerGrades+'!$AG$14,"D",IF(P539&lt;'PlayerGrades+'!$AG$13,"D+",IF(P539&lt;'PlayerGrades+'!$AG$12,"C-",IF(P539&lt;'PlayerGrades+'!$AG$11,"C",IF(P539&lt;'PlayerGrades+'!$AG$10,"C+",IF(P539&lt;'PlayerGrades+'!$AG$9,"B-",IF(P539&lt;'PlayerGrades+'!$AG$8,"B",IF(P539&lt;'PlayerGrades+'!$AG$7,"B+",IF(P539&lt;'PlayerGrades+'!$AG$6,"A-",IF(P539&lt;'PlayerGrades+'!$AG$5,"A",IF(P539&lt;'PlayerGrades+'!$AG$4,"A+",IF(P539&lt;'PlayerGrades+'!$AG$3,"S-",IF(P539&lt;'PlayerGrades+'!$AG$2,"S","S+"))))))))))))))))))))</f>
        <v>#DIV/0!</v>
      </c>
      <c r="R539" s="1412" t="str">
        <f t="shared" si="19"/>
        <v>#REF!</v>
      </c>
      <c r="S539" s="1412" t="str">
        <f>IF(R539&lt;'PlayerGrades+'!$AH$21,"F-",IF(R539&lt;'PlayerGrades+'!$AH$20,"F",IF(R539&lt;'PlayerGrades+'!$AH$19,"F+",IF(R539&lt;'PlayerGrades+'!$AH$18,"E-",IF(R539&lt;'PlayerGrades+'!$AH$17,"E",IF(R539&lt;'PlayerGrades+'!$AH$16,"E+",IF(R539&lt;'PlayerGrades+'!$AH$15,"D-",IF(R539&lt;'PlayerGrades+'!$AH$14,"D",IF(R539&lt;'PlayerGrades+'!$AH$13,"D+",IF(R539&lt;'PlayerGrades+'!$AH$12,"C-",IF(R539&lt;'PlayerGrades+'!$AH$11,"C",IF(R539&lt;'PlayerGrades+'!$AH$10,"C+",IF(R539&lt;'PlayerGrades+'!$AH$9,"B-",IF(R539&lt;'PlayerGrades+'!$AH$8,"B",IF(R539&lt;'PlayerGrades+'!$AH$7,"B+",IF(R539&lt;'PlayerGrades+'!$AH$6,"A-",IF(R539&lt;'PlayerGrades+'!$AH$5,"A",IF(R539&lt;'PlayerGrades+'!$AH$4,"A+",IF(R539&lt;'PlayerGrades+'!$AH$3,"S-",IF(R539&lt;'PlayerGrades+'!$AH$2,"S","S+"))))))))))))))))))))</f>
        <v>#REF!</v>
      </c>
      <c r="T539" s="1412" t="str">
        <f t="shared" si="20"/>
        <v>#REF!</v>
      </c>
      <c r="U539" s="1412" t="str">
        <f>IF(T539&lt;'PlayerGrades+'!$AI$21,"F-",IF(T539&lt;'PlayerGrades+'!$AI$20,"F",IF(T539&lt;'PlayerGrades+'!$AI$19,"F+",IF(T539&lt;'PlayerGrades+'!$AI$18,"E-",IF(T539&lt;'PlayerGrades+'!$AI$17,"E",IF(T539&lt;'PlayerGrades+'!$AI$16,"E+",IF(T539&lt;'PlayerGrades+'!$AI$15,"D-",IF(T539&lt;'PlayerGrades+'!$AI$14,"D",IF(T539&lt;'PlayerGrades+'!$AI$13,"D+",IF(T539&lt;'PlayerGrades+'!$AI$12,"C-",IF(T539&lt;'PlayerGrades+'!$AI$11,"C",IF(T539&lt;'PlayerGrades+'!$AI$10,"C+",IF(T539&lt;'PlayerGrades+'!$AI$9,"B-",IF(T539&lt;'PlayerGrades+'!$AI$8,"B",IF(T539&lt;'PlayerGrades+'!$AI$7,"B+",IF(T539&lt;'PlayerGrades+'!$AI$6,"A-",IF(T539&lt;'PlayerGrades+'!$AI$5,"A",IF(T539&lt;'PlayerGrades+'!$AI$4,"A+",IF(T539&lt;'PlayerGrades+'!$AI$3,"S-",IF(T539&lt;'PlayerGrades+'!$AI$2,"S","S+"))))))))))))))))))))</f>
        <v>#REF!</v>
      </c>
      <c r="AC539" s="1392"/>
    </row>
    <row r="540">
      <c r="B540" s="611" t="str">
        <f>IF(C540&lt;'PlayerGrades+'!$Y$44,"F-",IF(C540&lt;'PlayerGrades+'!$Y$43,"F",IF(C540&lt;'PlayerGrades+'!$Y$42,"F+",IF(C540&lt;'PlayerGrades+'!$Y$41,"E-",IF(C540&lt;'PlayerGrades+'!$Y$40,"E",IF(C540&lt;'PlayerGrades+'!$Y$39,"E+",IF(C540&lt;'PlayerGrades+'!$Y$38,"D-",IF(C540&lt;'PlayerGrades+'!$Y$37,"D",IF(C540&lt;'PlayerGrades+'!$Y$36,"D+",IF(C540&lt;'PlayerGrades+'!$Y$35,"C-",IF(C540&lt;'PlayerGrades+'!$Y$34,"C",IF(C540&lt;'PlayerGrades+'!$Y$33,"C+",IF(C540&lt;'PlayerGrades+'!$Y$32,"B-",IF(C540&lt;'PlayerGrades+'!$Y$31,"B",IF(C540&lt;'PlayerGrades+'!$Y$30,"B+",IF(C540&lt;'PlayerGrades+'!$Y$29,"A-",IF(C540&lt;'PlayerGrades+'!$Y$28,"A",IF(C540&lt;'PlayerGrades+'!$Y$27,"A+",IF(C540&lt;'PlayerGrades+'!$Y$26,"S-",IF(C540&lt;'PlayerGrades+'!$Y$25,"S","S+"))))))))))))))))))))</f>
        <v>#DIV/0!</v>
      </c>
      <c r="C540" s="1378" t="str">
        <f>('PlayerGrades+'!$Y$47*(VLOOKUP(E540, 'PlayerGrades+'!$X$3:$Y$23, 2, FALSE)))+('PlayerGrades+'!$Y$48*(VLOOKUP(G540, 'PlayerGrades+'!$X$3:$Y$23, 2, FALSE)))+('PlayerGrades+'!$Y$49*(VLOOKUP(I540, 'PlayerGrades+'!$X$3:$Y$23, 2, FALSE)))+('PlayerGrades+'!$Y$50*(VLOOKUP(K540, 'PlayerGrades+'!$X$3:$Y$23, 2, FALSE)))+('PlayerGrades+'!$Y$51*(VLOOKUP(M540, 'PlayerGrades+'!$X$3:$Y$23, 2, FALSE)))+('PlayerGrades+'!$Y$52*(VLOOKUP(O540, 'PlayerGrades+'!$X$3:$Y$23, 2, FALSE)))+('PlayerGrades+'!$Y$53*(VLOOKUP(Q540, 'PlayerGrades+'!$X$3:$Y$23, 2, FALSE)))+('PlayerGrades+'!$Y$54*(VLOOKUP(S540, 'PlayerGrades+'!$X$3:$Y$23, 2, FALSE)))+('PlayerGrades+'!$Y$55*(VLOOKUP(U540, 'PlayerGrades+'!$X$3:$Y$23, 2, FALSE)))</f>
        <v>#DIV/0!</v>
      </c>
      <c r="D540" s="1412" t="str">
        <f t="shared" si="12"/>
        <v>#DIV/0!</v>
      </c>
      <c r="E540" s="1412" t="str">
        <f>IF(D540&lt;'PlayerGrades+'!$AA$21,"F-",IF(D540&lt;'PlayerGrades+'!$AA$20,"F",IF(D540&lt;'PlayerGrades+'!$AA$19,"F+",IF(D540&lt;'PlayerGrades+'!$AA$18,"E-",IF(D540&lt;'PlayerGrades+'!$AA$17,"E",IF(D540&lt;'PlayerGrades+'!$AA$16,"E+",IF(D540&lt;'PlayerGrades+'!$AA$15,"D-",IF(D540&lt;'PlayerGrades+'!$AA$14,"D",IF(D540&lt;'PlayerGrades+'!$AA$13,"D+",IF(D540&lt;'PlayerGrades+'!$AA$12,"C-",IF(D540&lt;'PlayerGrades+'!$AA$11,"C",IF(D540&lt;'PlayerGrades+'!$AA$10,"C+",IF(D540&lt;'PlayerGrades+'!$AA$9,"B-",IF(D540&lt;'PlayerGrades+'!$AA$8,"B",IF(D540&lt;'PlayerGrades+'!$AA$7,"B+",IF(D540&lt;'PlayerGrades+'!$AA$6,"A-",IF(D540&lt;'PlayerGrades+'!$AA$5,"A",IF(D540&lt;'PlayerGrades+'!$AA$4,"A+",IF(D540&lt;'PlayerGrades+'!$AA$3,"S-",IF(D540&lt;'PlayerGrades+'!$AA$2,"S","S+"))))))))))))))))))))</f>
        <v>#DIV/0!</v>
      </c>
      <c r="F540" s="1412" t="str">
        <f t="shared" si="13"/>
        <v>#DIV/0!</v>
      </c>
      <c r="G540" s="1412" t="str">
        <f>IF(F540&lt;'PlayerGrades+'!$AB$21,"F-",IF(F540&lt;'PlayerGrades+'!$AB$20,"F",IF(F540&lt;'PlayerGrades+'!$AB$19,"F+",IF(F540&lt;'PlayerGrades+'!$AB$18,"E-",IF(F540&lt;'PlayerGrades+'!$AB$17,"E",IF(F540&lt;'PlayerGrades+'!$AB$16,"E+",IF(F540&lt;'PlayerGrades+'!$AB$15,"D-",IF(F540&lt;'PlayerGrades+'!$AB$14,"D",IF(F540&lt;'PlayerGrades+'!$AB$13,"D+",IF(F540&lt;'PlayerGrades+'!$AB$12,"C-",IF(F540&lt;'PlayerGrades+'!$AB$11,"C",IF(F540&lt;'PlayerGrades+'!$AB$10,"C+",IF(F540&lt;'PlayerGrades+'!$AB$9,"B-",IF(F540&lt;'PlayerGrades+'!$AB$8,"B",IF(F540&lt;'PlayerGrades+'!$AB$7,"B+",IF(F540&lt;'PlayerGrades+'!$AB$6,"A-",IF(F540&lt;'PlayerGrades+'!$AB$5,"A",IF(F540&lt;'PlayerGrades+'!$AB$4,"A+",IF(F540&lt;'PlayerGrades+'!$AB$3,"S-",IF(F540&lt;'PlayerGrades+'!$AB$2,"S","S+"))))))))))))))))))))</f>
        <v>#DIV/0!</v>
      </c>
      <c r="H540" s="1412" t="str">
        <f t="shared" si="14"/>
        <v>#DIV/0!</v>
      </c>
      <c r="I540" s="1412" t="str">
        <f>IF(H540&lt;'PlayerGrades+'!$AC$21,"F-",IF(H540&lt;'PlayerGrades+'!$AC$20,"F",IF(H540&lt;'PlayerGrades+'!$AC$19,"F+",IF(H540&lt;'PlayerGrades+'!$AC$18,"E-",IF(H540&lt;'PlayerGrades+'!$AC$17,"E",IF(H540&lt;'PlayerGrades+'!$AC$16,"E+",IF(H540&lt;'PlayerGrades+'!$AC$15,"D-",IF(H540&lt;'PlayerGrades+'!$AC$14,"D",IF(H540&lt;'PlayerGrades+'!$AC$13,"D+",IF(H540&lt;'PlayerGrades+'!$AC$12,"C-",IF(H540&lt;'PlayerGrades+'!$AC$11,"C",IF(H540&lt;'PlayerGrades+'!$AC$10,"C+",IF(H540&lt;'PlayerGrades+'!$AC$9,"B-",IF(H540&lt;'PlayerGrades+'!$AC$8,"B",IF(H540&lt;'PlayerGrades+'!$AC$7,"B+",IF(H540&lt;'PlayerGrades+'!$AC$6,"A-",IF(H540&lt;'PlayerGrades+'!$AC$5,"A",IF(H540&lt;'PlayerGrades+'!$AC$4,"A+",IF(H540&lt;'PlayerGrades+'!$AC$3,"S-",IF(H540&lt;'PlayerGrades+'!$AC$2,"S","S+"))))))))))))))))))))</f>
        <v>#DIV/0!</v>
      </c>
      <c r="J540" s="1412" t="str">
        <f t="shared" si="15"/>
        <v>#DIV/0!</v>
      </c>
      <c r="K540" s="1412" t="str">
        <f>IF(J540&lt;'PlayerGrades+'!$AD$21,"F-",IF(J540&lt;'PlayerGrades+'!$AD$20,"F",IF(J540&lt;'PlayerGrades+'!$AD$19,"F+",IF(J540&lt;'PlayerGrades+'!$AD$18,"E-",IF(J540&lt;'PlayerGrades+'!$AD$17,"E",IF(J540&lt;'PlayerGrades+'!$AD$16,"E+",IF(J540&lt;'PlayerGrades+'!$AD$15,"D-",IF(J540&lt;'PlayerGrades+'!$AD$14,"D",IF(J540&lt;'PlayerGrades+'!$AD$13,"D+",IF(J540&lt;'PlayerGrades+'!$AD$12,"C-",IF(J540&lt;'PlayerGrades+'!$AD$11,"C",IF(J540&lt;'PlayerGrades+'!$AD$10,"C+",IF(J540&lt;'PlayerGrades+'!$AD$9,"B-",IF(J540&lt;'PlayerGrades+'!$AD$8,"B",IF(J540&lt;'PlayerGrades+'!$AD$7,"B+",IF(J540&lt;'PlayerGrades+'!$AD$6,"A-",IF(J540&lt;'PlayerGrades+'!$AD$5,"A",IF(J540&lt;'PlayerGrades+'!$AD$4,"A+",IF(J540&lt;'PlayerGrades+'!$AD$3,"S-",IF(J540&lt;'PlayerGrades+'!$AD$2,"S","S+"))))))))))))))))))))</f>
        <v>#DIV/0!</v>
      </c>
      <c r="L540" s="1413" t="str">
        <f t="shared" si="16"/>
        <v>#DIV/0!</v>
      </c>
      <c r="M540" s="1156" t="str">
        <f>IF(L540&lt;'PlayerGrades+'!$AE$21,"F-",IF(L540&lt;'PlayerGrades+'!$AE$20,"F",IF(L540&lt;'PlayerGrades+'!$AE$19,"F+",IF(L540&lt;'PlayerGrades+'!$AE$18,"E-",IF(L540&lt;'PlayerGrades+'!$AE$17,"E",IF(L540&lt;'PlayerGrades+'!$AE$16,"E+",IF(L540&lt;'PlayerGrades+'!$AE$15,"D-",IF(L540&lt;'PlayerGrades+'!$AE$14,"D",IF(L540&lt;'PlayerGrades+'!$AE$13,"D+",IF(L540&lt;'PlayerGrades+'!$AE$12,"C-",IF(L540&lt;'PlayerGrades+'!$AE$11,"C",IF(L540&lt;'PlayerGrades+'!$AE$10,"C+",IF(L540&lt;'PlayerGrades+'!$AE$9,"B-",IF(L540&lt;'PlayerGrades+'!$AE$8,"B",IF(L540&lt;'PlayerGrades+'!$AE$7,"B+",IF(L540&lt;'PlayerGrades+'!$AE$6,"A-",IF(L540&lt;'PlayerGrades+'!$AE$5,"A",IF(L540&lt;'PlayerGrades+'!$AE$4,"A+",IF(L540&lt;'PlayerGrades+'!$AE$3,"S-",IF(L540&lt;'PlayerGrades+'!$AE$2,"S","S+"))))))))))))))))))))</f>
        <v>#DIV/0!</v>
      </c>
      <c r="N540" s="1412" t="str">
        <f t="shared" si="17"/>
        <v>#DIV/0!</v>
      </c>
      <c r="O540" s="1412" t="str">
        <f>IF(N540&lt;'PlayerGrades+'!$AF$21,"F-",IF(N540&lt;'PlayerGrades+'!$AF$20,"F",IF(N540&lt;'PlayerGrades+'!$AF$19,"F+",IF(N540&lt;'PlayerGrades+'!$AF$18,"E-",IF(N540&lt;'PlayerGrades+'!$AF$17,"E",IF(N540&lt;'PlayerGrades+'!$AF$16,"E+",IF(N540&lt;'PlayerGrades+'!$AF$15,"D-",IF(N540&lt;'PlayerGrades+'!$AF$14,"D",IF(N540&lt;'PlayerGrades+'!$AF$13,"D+",IF(N540&lt;'PlayerGrades+'!$AF$12,"C-",IF(N540&lt;'PlayerGrades+'!$AF$11,"C",IF(N540&lt;'PlayerGrades+'!$AF$10,"C+",IF(N540&lt;'PlayerGrades+'!$AF$9,"B-",IF(N540&lt;'PlayerGrades+'!$AF$8,"B",IF(N540&lt;'PlayerGrades+'!$AF$7,"B+",IF(N540&lt;'PlayerGrades+'!$AF$6,"A-",IF(N540&lt;'PlayerGrades+'!$AF$5,"A",IF(N540&lt;'PlayerGrades+'!$AF$4,"A+",IF(N540&lt;'PlayerGrades+'!$AF$3,"S-",IF(N540&lt;'PlayerGrades+'!$AF$2,"S","S+"))))))))))))))))))))</f>
        <v>#DIV/0!</v>
      </c>
      <c r="P540" s="1412" t="str">
        <f t="shared" si="18"/>
        <v>#DIV/0!</v>
      </c>
      <c r="Q540" s="1412" t="str">
        <f>IF(P540&lt;'PlayerGrades+'!$AG$21,"F-",IF(P540&lt;'PlayerGrades+'!$AG$20,"F",IF(P540&lt;'PlayerGrades+'!$AG$19,"F+",IF(P540&lt;'PlayerGrades+'!$AG$18,"E-",IF(P540&lt;'PlayerGrades+'!$AG$17,"E",IF(P540&lt;'PlayerGrades+'!$AG$16,"E+",IF(P540&lt;'PlayerGrades+'!$AG$15,"D-",IF(P540&lt;'PlayerGrades+'!$AG$14,"D",IF(P540&lt;'PlayerGrades+'!$AG$13,"D+",IF(P540&lt;'PlayerGrades+'!$AG$12,"C-",IF(P540&lt;'PlayerGrades+'!$AG$11,"C",IF(P540&lt;'PlayerGrades+'!$AG$10,"C+",IF(P540&lt;'PlayerGrades+'!$AG$9,"B-",IF(P540&lt;'PlayerGrades+'!$AG$8,"B",IF(P540&lt;'PlayerGrades+'!$AG$7,"B+",IF(P540&lt;'PlayerGrades+'!$AG$6,"A-",IF(P540&lt;'PlayerGrades+'!$AG$5,"A",IF(P540&lt;'PlayerGrades+'!$AG$4,"A+",IF(P540&lt;'PlayerGrades+'!$AG$3,"S-",IF(P540&lt;'PlayerGrades+'!$AG$2,"S","S+"))))))))))))))))))))</f>
        <v>#DIV/0!</v>
      </c>
      <c r="R540" s="1412" t="str">
        <f t="shared" si="19"/>
        <v>#REF!</v>
      </c>
      <c r="S540" s="1412" t="str">
        <f>IF(R540&lt;'PlayerGrades+'!$AH$21,"F-",IF(R540&lt;'PlayerGrades+'!$AH$20,"F",IF(R540&lt;'PlayerGrades+'!$AH$19,"F+",IF(R540&lt;'PlayerGrades+'!$AH$18,"E-",IF(R540&lt;'PlayerGrades+'!$AH$17,"E",IF(R540&lt;'PlayerGrades+'!$AH$16,"E+",IF(R540&lt;'PlayerGrades+'!$AH$15,"D-",IF(R540&lt;'PlayerGrades+'!$AH$14,"D",IF(R540&lt;'PlayerGrades+'!$AH$13,"D+",IF(R540&lt;'PlayerGrades+'!$AH$12,"C-",IF(R540&lt;'PlayerGrades+'!$AH$11,"C",IF(R540&lt;'PlayerGrades+'!$AH$10,"C+",IF(R540&lt;'PlayerGrades+'!$AH$9,"B-",IF(R540&lt;'PlayerGrades+'!$AH$8,"B",IF(R540&lt;'PlayerGrades+'!$AH$7,"B+",IF(R540&lt;'PlayerGrades+'!$AH$6,"A-",IF(R540&lt;'PlayerGrades+'!$AH$5,"A",IF(R540&lt;'PlayerGrades+'!$AH$4,"A+",IF(R540&lt;'PlayerGrades+'!$AH$3,"S-",IF(R540&lt;'PlayerGrades+'!$AH$2,"S","S+"))))))))))))))))))))</f>
        <v>#REF!</v>
      </c>
      <c r="T540" s="1412" t="str">
        <f t="shared" si="20"/>
        <v>#REF!</v>
      </c>
      <c r="U540" s="1412" t="str">
        <f>IF(T540&lt;'PlayerGrades+'!$AI$21,"F-",IF(T540&lt;'PlayerGrades+'!$AI$20,"F",IF(T540&lt;'PlayerGrades+'!$AI$19,"F+",IF(T540&lt;'PlayerGrades+'!$AI$18,"E-",IF(T540&lt;'PlayerGrades+'!$AI$17,"E",IF(T540&lt;'PlayerGrades+'!$AI$16,"E+",IF(T540&lt;'PlayerGrades+'!$AI$15,"D-",IF(T540&lt;'PlayerGrades+'!$AI$14,"D",IF(T540&lt;'PlayerGrades+'!$AI$13,"D+",IF(T540&lt;'PlayerGrades+'!$AI$12,"C-",IF(T540&lt;'PlayerGrades+'!$AI$11,"C",IF(T540&lt;'PlayerGrades+'!$AI$10,"C+",IF(T540&lt;'PlayerGrades+'!$AI$9,"B-",IF(T540&lt;'PlayerGrades+'!$AI$8,"B",IF(T540&lt;'PlayerGrades+'!$AI$7,"B+",IF(T540&lt;'PlayerGrades+'!$AI$6,"A-",IF(T540&lt;'PlayerGrades+'!$AI$5,"A",IF(T540&lt;'PlayerGrades+'!$AI$4,"A+",IF(T540&lt;'PlayerGrades+'!$AI$3,"S-",IF(T540&lt;'PlayerGrades+'!$AI$2,"S","S+"))))))))))))))))))))</f>
        <v>#REF!</v>
      </c>
      <c r="AC540" s="1392"/>
    </row>
    <row r="541">
      <c r="B541" s="611" t="str">
        <f>IF(C541&lt;'PlayerGrades+'!$Y$44,"F-",IF(C541&lt;'PlayerGrades+'!$Y$43,"F",IF(C541&lt;'PlayerGrades+'!$Y$42,"F+",IF(C541&lt;'PlayerGrades+'!$Y$41,"E-",IF(C541&lt;'PlayerGrades+'!$Y$40,"E",IF(C541&lt;'PlayerGrades+'!$Y$39,"E+",IF(C541&lt;'PlayerGrades+'!$Y$38,"D-",IF(C541&lt;'PlayerGrades+'!$Y$37,"D",IF(C541&lt;'PlayerGrades+'!$Y$36,"D+",IF(C541&lt;'PlayerGrades+'!$Y$35,"C-",IF(C541&lt;'PlayerGrades+'!$Y$34,"C",IF(C541&lt;'PlayerGrades+'!$Y$33,"C+",IF(C541&lt;'PlayerGrades+'!$Y$32,"B-",IF(C541&lt;'PlayerGrades+'!$Y$31,"B",IF(C541&lt;'PlayerGrades+'!$Y$30,"B+",IF(C541&lt;'PlayerGrades+'!$Y$29,"A-",IF(C541&lt;'PlayerGrades+'!$Y$28,"A",IF(C541&lt;'PlayerGrades+'!$Y$27,"A+",IF(C541&lt;'PlayerGrades+'!$Y$26,"S-",IF(C541&lt;'PlayerGrades+'!$Y$25,"S","S+"))))))))))))))))))))</f>
        <v>#DIV/0!</v>
      </c>
      <c r="C541" s="1378" t="str">
        <f>('PlayerGrades+'!$Y$47*(VLOOKUP(E541, 'PlayerGrades+'!$X$3:$Y$23, 2, FALSE)))+('PlayerGrades+'!$Y$48*(VLOOKUP(G541, 'PlayerGrades+'!$X$3:$Y$23, 2, FALSE)))+('PlayerGrades+'!$Y$49*(VLOOKUP(I541, 'PlayerGrades+'!$X$3:$Y$23, 2, FALSE)))+('PlayerGrades+'!$Y$50*(VLOOKUP(K541, 'PlayerGrades+'!$X$3:$Y$23, 2, FALSE)))+('PlayerGrades+'!$Y$51*(VLOOKUP(M541, 'PlayerGrades+'!$X$3:$Y$23, 2, FALSE)))+('PlayerGrades+'!$Y$52*(VLOOKUP(O541, 'PlayerGrades+'!$X$3:$Y$23, 2, FALSE)))+('PlayerGrades+'!$Y$53*(VLOOKUP(Q541, 'PlayerGrades+'!$X$3:$Y$23, 2, FALSE)))+('PlayerGrades+'!$Y$54*(VLOOKUP(S541, 'PlayerGrades+'!$X$3:$Y$23, 2, FALSE)))+('PlayerGrades+'!$Y$55*(VLOOKUP(U541, 'PlayerGrades+'!$X$3:$Y$23, 2, FALSE)))</f>
        <v>#DIV/0!</v>
      </c>
      <c r="D541" s="1412" t="str">
        <f t="shared" si="12"/>
        <v>#DIV/0!</v>
      </c>
      <c r="E541" s="1412" t="str">
        <f>IF(D541&lt;'PlayerGrades+'!$AA$21,"F-",IF(D541&lt;'PlayerGrades+'!$AA$20,"F",IF(D541&lt;'PlayerGrades+'!$AA$19,"F+",IF(D541&lt;'PlayerGrades+'!$AA$18,"E-",IF(D541&lt;'PlayerGrades+'!$AA$17,"E",IF(D541&lt;'PlayerGrades+'!$AA$16,"E+",IF(D541&lt;'PlayerGrades+'!$AA$15,"D-",IF(D541&lt;'PlayerGrades+'!$AA$14,"D",IF(D541&lt;'PlayerGrades+'!$AA$13,"D+",IF(D541&lt;'PlayerGrades+'!$AA$12,"C-",IF(D541&lt;'PlayerGrades+'!$AA$11,"C",IF(D541&lt;'PlayerGrades+'!$AA$10,"C+",IF(D541&lt;'PlayerGrades+'!$AA$9,"B-",IF(D541&lt;'PlayerGrades+'!$AA$8,"B",IF(D541&lt;'PlayerGrades+'!$AA$7,"B+",IF(D541&lt;'PlayerGrades+'!$AA$6,"A-",IF(D541&lt;'PlayerGrades+'!$AA$5,"A",IF(D541&lt;'PlayerGrades+'!$AA$4,"A+",IF(D541&lt;'PlayerGrades+'!$AA$3,"S-",IF(D541&lt;'PlayerGrades+'!$AA$2,"S","S+"))))))))))))))))))))</f>
        <v>#DIV/0!</v>
      </c>
      <c r="F541" s="1412" t="str">
        <f t="shared" si="13"/>
        <v>#DIV/0!</v>
      </c>
      <c r="G541" s="1412" t="str">
        <f>IF(F541&lt;'PlayerGrades+'!$AB$21,"F-",IF(F541&lt;'PlayerGrades+'!$AB$20,"F",IF(F541&lt;'PlayerGrades+'!$AB$19,"F+",IF(F541&lt;'PlayerGrades+'!$AB$18,"E-",IF(F541&lt;'PlayerGrades+'!$AB$17,"E",IF(F541&lt;'PlayerGrades+'!$AB$16,"E+",IF(F541&lt;'PlayerGrades+'!$AB$15,"D-",IF(F541&lt;'PlayerGrades+'!$AB$14,"D",IF(F541&lt;'PlayerGrades+'!$AB$13,"D+",IF(F541&lt;'PlayerGrades+'!$AB$12,"C-",IF(F541&lt;'PlayerGrades+'!$AB$11,"C",IF(F541&lt;'PlayerGrades+'!$AB$10,"C+",IF(F541&lt;'PlayerGrades+'!$AB$9,"B-",IF(F541&lt;'PlayerGrades+'!$AB$8,"B",IF(F541&lt;'PlayerGrades+'!$AB$7,"B+",IF(F541&lt;'PlayerGrades+'!$AB$6,"A-",IF(F541&lt;'PlayerGrades+'!$AB$5,"A",IF(F541&lt;'PlayerGrades+'!$AB$4,"A+",IF(F541&lt;'PlayerGrades+'!$AB$3,"S-",IF(F541&lt;'PlayerGrades+'!$AB$2,"S","S+"))))))))))))))))))))</f>
        <v>#DIV/0!</v>
      </c>
      <c r="H541" s="1412" t="str">
        <f t="shared" si="14"/>
        <v>#DIV/0!</v>
      </c>
      <c r="I541" s="1412" t="str">
        <f>IF(H541&lt;'PlayerGrades+'!$AC$21,"F-",IF(H541&lt;'PlayerGrades+'!$AC$20,"F",IF(H541&lt;'PlayerGrades+'!$AC$19,"F+",IF(H541&lt;'PlayerGrades+'!$AC$18,"E-",IF(H541&lt;'PlayerGrades+'!$AC$17,"E",IF(H541&lt;'PlayerGrades+'!$AC$16,"E+",IF(H541&lt;'PlayerGrades+'!$AC$15,"D-",IF(H541&lt;'PlayerGrades+'!$AC$14,"D",IF(H541&lt;'PlayerGrades+'!$AC$13,"D+",IF(H541&lt;'PlayerGrades+'!$AC$12,"C-",IF(H541&lt;'PlayerGrades+'!$AC$11,"C",IF(H541&lt;'PlayerGrades+'!$AC$10,"C+",IF(H541&lt;'PlayerGrades+'!$AC$9,"B-",IF(H541&lt;'PlayerGrades+'!$AC$8,"B",IF(H541&lt;'PlayerGrades+'!$AC$7,"B+",IF(H541&lt;'PlayerGrades+'!$AC$6,"A-",IF(H541&lt;'PlayerGrades+'!$AC$5,"A",IF(H541&lt;'PlayerGrades+'!$AC$4,"A+",IF(H541&lt;'PlayerGrades+'!$AC$3,"S-",IF(H541&lt;'PlayerGrades+'!$AC$2,"S","S+"))))))))))))))))))))</f>
        <v>#DIV/0!</v>
      </c>
      <c r="J541" s="1412" t="str">
        <f t="shared" si="15"/>
        <v>#DIV/0!</v>
      </c>
      <c r="K541" s="1412" t="str">
        <f>IF(J541&lt;'PlayerGrades+'!$AD$21,"F-",IF(J541&lt;'PlayerGrades+'!$AD$20,"F",IF(J541&lt;'PlayerGrades+'!$AD$19,"F+",IF(J541&lt;'PlayerGrades+'!$AD$18,"E-",IF(J541&lt;'PlayerGrades+'!$AD$17,"E",IF(J541&lt;'PlayerGrades+'!$AD$16,"E+",IF(J541&lt;'PlayerGrades+'!$AD$15,"D-",IF(J541&lt;'PlayerGrades+'!$AD$14,"D",IF(J541&lt;'PlayerGrades+'!$AD$13,"D+",IF(J541&lt;'PlayerGrades+'!$AD$12,"C-",IF(J541&lt;'PlayerGrades+'!$AD$11,"C",IF(J541&lt;'PlayerGrades+'!$AD$10,"C+",IF(J541&lt;'PlayerGrades+'!$AD$9,"B-",IF(J541&lt;'PlayerGrades+'!$AD$8,"B",IF(J541&lt;'PlayerGrades+'!$AD$7,"B+",IF(J541&lt;'PlayerGrades+'!$AD$6,"A-",IF(J541&lt;'PlayerGrades+'!$AD$5,"A",IF(J541&lt;'PlayerGrades+'!$AD$4,"A+",IF(J541&lt;'PlayerGrades+'!$AD$3,"S-",IF(J541&lt;'PlayerGrades+'!$AD$2,"S","S+"))))))))))))))))))))</f>
        <v>#DIV/0!</v>
      </c>
      <c r="L541" s="1413" t="str">
        <f t="shared" si="16"/>
        <v>#DIV/0!</v>
      </c>
      <c r="M541" s="1156" t="str">
        <f>IF(L541&lt;'PlayerGrades+'!$AE$21,"F-",IF(L541&lt;'PlayerGrades+'!$AE$20,"F",IF(L541&lt;'PlayerGrades+'!$AE$19,"F+",IF(L541&lt;'PlayerGrades+'!$AE$18,"E-",IF(L541&lt;'PlayerGrades+'!$AE$17,"E",IF(L541&lt;'PlayerGrades+'!$AE$16,"E+",IF(L541&lt;'PlayerGrades+'!$AE$15,"D-",IF(L541&lt;'PlayerGrades+'!$AE$14,"D",IF(L541&lt;'PlayerGrades+'!$AE$13,"D+",IF(L541&lt;'PlayerGrades+'!$AE$12,"C-",IF(L541&lt;'PlayerGrades+'!$AE$11,"C",IF(L541&lt;'PlayerGrades+'!$AE$10,"C+",IF(L541&lt;'PlayerGrades+'!$AE$9,"B-",IF(L541&lt;'PlayerGrades+'!$AE$8,"B",IF(L541&lt;'PlayerGrades+'!$AE$7,"B+",IF(L541&lt;'PlayerGrades+'!$AE$6,"A-",IF(L541&lt;'PlayerGrades+'!$AE$5,"A",IF(L541&lt;'PlayerGrades+'!$AE$4,"A+",IF(L541&lt;'PlayerGrades+'!$AE$3,"S-",IF(L541&lt;'PlayerGrades+'!$AE$2,"S","S+"))))))))))))))))))))</f>
        <v>#DIV/0!</v>
      </c>
      <c r="N541" s="1412" t="str">
        <f t="shared" si="17"/>
        <v>#DIV/0!</v>
      </c>
      <c r="O541" s="1412" t="str">
        <f>IF(N541&lt;'PlayerGrades+'!$AF$21,"F-",IF(N541&lt;'PlayerGrades+'!$AF$20,"F",IF(N541&lt;'PlayerGrades+'!$AF$19,"F+",IF(N541&lt;'PlayerGrades+'!$AF$18,"E-",IF(N541&lt;'PlayerGrades+'!$AF$17,"E",IF(N541&lt;'PlayerGrades+'!$AF$16,"E+",IF(N541&lt;'PlayerGrades+'!$AF$15,"D-",IF(N541&lt;'PlayerGrades+'!$AF$14,"D",IF(N541&lt;'PlayerGrades+'!$AF$13,"D+",IF(N541&lt;'PlayerGrades+'!$AF$12,"C-",IF(N541&lt;'PlayerGrades+'!$AF$11,"C",IF(N541&lt;'PlayerGrades+'!$AF$10,"C+",IF(N541&lt;'PlayerGrades+'!$AF$9,"B-",IF(N541&lt;'PlayerGrades+'!$AF$8,"B",IF(N541&lt;'PlayerGrades+'!$AF$7,"B+",IF(N541&lt;'PlayerGrades+'!$AF$6,"A-",IF(N541&lt;'PlayerGrades+'!$AF$5,"A",IF(N541&lt;'PlayerGrades+'!$AF$4,"A+",IF(N541&lt;'PlayerGrades+'!$AF$3,"S-",IF(N541&lt;'PlayerGrades+'!$AF$2,"S","S+"))))))))))))))))))))</f>
        <v>#DIV/0!</v>
      </c>
      <c r="P541" s="1412" t="str">
        <f t="shared" si="18"/>
        <v>#DIV/0!</v>
      </c>
      <c r="Q541" s="1412" t="str">
        <f>IF(P541&lt;'PlayerGrades+'!$AG$21,"F-",IF(P541&lt;'PlayerGrades+'!$AG$20,"F",IF(P541&lt;'PlayerGrades+'!$AG$19,"F+",IF(P541&lt;'PlayerGrades+'!$AG$18,"E-",IF(P541&lt;'PlayerGrades+'!$AG$17,"E",IF(P541&lt;'PlayerGrades+'!$AG$16,"E+",IF(P541&lt;'PlayerGrades+'!$AG$15,"D-",IF(P541&lt;'PlayerGrades+'!$AG$14,"D",IF(P541&lt;'PlayerGrades+'!$AG$13,"D+",IF(P541&lt;'PlayerGrades+'!$AG$12,"C-",IF(P541&lt;'PlayerGrades+'!$AG$11,"C",IF(P541&lt;'PlayerGrades+'!$AG$10,"C+",IF(P541&lt;'PlayerGrades+'!$AG$9,"B-",IF(P541&lt;'PlayerGrades+'!$AG$8,"B",IF(P541&lt;'PlayerGrades+'!$AG$7,"B+",IF(P541&lt;'PlayerGrades+'!$AG$6,"A-",IF(P541&lt;'PlayerGrades+'!$AG$5,"A",IF(P541&lt;'PlayerGrades+'!$AG$4,"A+",IF(P541&lt;'PlayerGrades+'!$AG$3,"S-",IF(P541&lt;'PlayerGrades+'!$AG$2,"S","S+"))))))))))))))))))))</f>
        <v>#DIV/0!</v>
      </c>
      <c r="R541" s="1412" t="str">
        <f t="shared" si="19"/>
        <v>#REF!</v>
      </c>
      <c r="S541" s="1412" t="str">
        <f>IF(R541&lt;'PlayerGrades+'!$AH$21,"F-",IF(R541&lt;'PlayerGrades+'!$AH$20,"F",IF(R541&lt;'PlayerGrades+'!$AH$19,"F+",IF(R541&lt;'PlayerGrades+'!$AH$18,"E-",IF(R541&lt;'PlayerGrades+'!$AH$17,"E",IF(R541&lt;'PlayerGrades+'!$AH$16,"E+",IF(R541&lt;'PlayerGrades+'!$AH$15,"D-",IF(R541&lt;'PlayerGrades+'!$AH$14,"D",IF(R541&lt;'PlayerGrades+'!$AH$13,"D+",IF(R541&lt;'PlayerGrades+'!$AH$12,"C-",IF(R541&lt;'PlayerGrades+'!$AH$11,"C",IF(R541&lt;'PlayerGrades+'!$AH$10,"C+",IF(R541&lt;'PlayerGrades+'!$AH$9,"B-",IF(R541&lt;'PlayerGrades+'!$AH$8,"B",IF(R541&lt;'PlayerGrades+'!$AH$7,"B+",IF(R541&lt;'PlayerGrades+'!$AH$6,"A-",IF(R541&lt;'PlayerGrades+'!$AH$5,"A",IF(R541&lt;'PlayerGrades+'!$AH$4,"A+",IF(R541&lt;'PlayerGrades+'!$AH$3,"S-",IF(R541&lt;'PlayerGrades+'!$AH$2,"S","S+"))))))))))))))))))))</f>
        <v>#REF!</v>
      </c>
      <c r="T541" s="1412" t="str">
        <f t="shared" si="20"/>
        <v>#REF!</v>
      </c>
      <c r="U541" s="1412" t="str">
        <f>IF(T541&lt;'PlayerGrades+'!$AI$21,"F-",IF(T541&lt;'PlayerGrades+'!$AI$20,"F",IF(T541&lt;'PlayerGrades+'!$AI$19,"F+",IF(T541&lt;'PlayerGrades+'!$AI$18,"E-",IF(T541&lt;'PlayerGrades+'!$AI$17,"E",IF(T541&lt;'PlayerGrades+'!$AI$16,"E+",IF(T541&lt;'PlayerGrades+'!$AI$15,"D-",IF(T541&lt;'PlayerGrades+'!$AI$14,"D",IF(T541&lt;'PlayerGrades+'!$AI$13,"D+",IF(T541&lt;'PlayerGrades+'!$AI$12,"C-",IF(T541&lt;'PlayerGrades+'!$AI$11,"C",IF(T541&lt;'PlayerGrades+'!$AI$10,"C+",IF(T541&lt;'PlayerGrades+'!$AI$9,"B-",IF(T541&lt;'PlayerGrades+'!$AI$8,"B",IF(T541&lt;'PlayerGrades+'!$AI$7,"B+",IF(T541&lt;'PlayerGrades+'!$AI$6,"A-",IF(T541&lt;'PlayerGrades+'!$AI$5,"A",IF(T541&lt;'PlayerGrades+'!$AI$4,"A+",IF(T541&lt;'PlayerGrades+'!$AI$3,"S-",IF(T541&lt;'PlayerGrades+'!$AI$2,"S","S+"))))))))))))))))))))</f>
        <v>#REF!</v>
      </c>
      <c r="AC541" s="1392"/>
    </row>
    <row r="542">
      <c r="B542" s="611" t="str">
        <f>IF(C542&lt;'PlayerGrades+'!$Y$44,"F-",IF(C542&lt;'PlayerGrades+'!$Y$43,"F",IF(C542&lt;'PlayerGrades+'!$Y$42,"F+",IF(C542&lt;'PlayerGrades+'!$Y$41,"E-",IF(C542&lt;'PlayerGrades+'!$Y$40,"E",IF(C542&lt;'PlayerGrades+'!$Y$39,"E+",IF(C542&lt;'PlayerGrades+'!$Y$38,"D-",IF(C542&lt;'PlayerGrades+'!$Y$37,"D",IF(C542&lt;'PlayerGrades+'!$Y$36,"D+",IF(C542&lt;'PlayerGrades+'!$Y$35,"C-",IF(C542&lt;'PlayerGrades+'!$Y$34,"C",IF(C542&lt;'PlayerGrades+'!$Y$33,"C+",IF(C542&lt;'PlayerGrades+'!$Y$32,"B-",IF(C542&lt;'PlayerGrades+'!$Y$31,"B",IF(C542&lt;'PlayerGrades+'!$Y$30,"B+",IF(C542&lt;'PlayerGrades+'!$Y$29,"A-",IF(C542&lt;'PlayerGrades+'!$Y$28,"A",IF(C542&lt;'PlayerGrades+'!$Y$27,"A+",IF(C542&lt;'PlayerGrades+'!$Y$26,"S-",IF(C542&lt;'PlayerGrades+'!$Y$25,"S","S+"))))))))))))))))))))</f>
        <v>#DIV/0!</v>
      </c>
      <c r="C542" s="1378" t="str">
        <f>('PlayerGrades+'!$Y$47*(VLOOKUP(E542, 'PlayerGrades+'!$X$3:$Y$23, 2, FALSE)))+('PlayerGrades+'!$Y$48*(VLOOKUP(G542, 'PlayerGrades+'!$X$3:$Y$23, 2, FALSE)))+('PlayerGrades+'!$Y$49*(VLOOKUP(I542, 'PlayerGrades+'!$X$3:$Y$23, 2, FALSE)))+('PlayerGrades+'!$Y$50*(VLOOKUP(K542, 'PlayerGrades+'!$X$3:$Y$23, 2, FALSE)))+('PlayerGrades+'!$Y$51*(VLOOKUP(M542, 'PlayerGrades+'!$X$3:$Y$23, 2, FALSE)))+('PlayerGrades+'!$Y$52*(VLOOKUP(O542, 'PlayerGrades+'!$X$3:$Y$23, 2, FALSE)))+('PlayerGrades+'!$Y$53*(VLOOKUP(Q542, 'PlayerGrades+'!$X$3:$Y$23, 2, FALSE)))+('PlayerGrades+'!$Y$54*(VLOOKUP(S542, 'PlayerGrades+'!$X$3:$Y$23, 2, FALSE)))+('PlayerGrades+'!$Y$55*(VLOOKUP(U542, 'PlayerGrades+'!$X$3:$Y$23, 2, FALSE)))</f>
        <v>#DIV/0!</v>
      </c>
      <c r="D542" s="1412" t="str">
        <f t="shared" si="12"/>
        <v>#DIV/0!</v>
      </c>
      <c r="E542" s="1412" t="str">
        <f>IF(D542&lt;'PlayerGrades+'!$AA$21,"F-",IF(D542&lt;'PlayerGrades+'!$AA$20,"F",IF(D542&lt;'PlayerGrades+'!$AA$19,"F+",IF(D542&lt;'PlayerGrades+'!$AA$18,"E-",IF(D542&lt;'PlayerGrades+'!$AA$17,"E",IF(D542&lt;'PlayerGrades+'!$AA$16,"E+",IF(D542&lt;'PlayerGrades+'!$AA$15,"D-",IF(D542&lt;'PlayerGrades+'!$AA$14,"D",IF(D542&lt;'PlayerGrades+'!$AA$13,"D+",IF(D542&lt;'PlayerGrades+'!$AA$12,"C-",IF(D542&lt;'PlayerGrades+'!$AA$11,"C",IF(D542&lt;'PlayerGrades+'!$AA$10,"C+",IF(D542&lt;'PlayerGrades+'!$AA$9,"B-",IF(D542&lt;'PlayerGrades+'!$AA$8,"B",IF(D542&lt;'PlayerGrades+'!$AA$7,"B+",IF(D542&lt;'PlayerGrades+'!$AA$6,"A-",IF(D542&lt;'PlayerGrades+'!$AA$5,"A",IF(D542&lt;'PlayerGrades+'!$AA$4,"A+",IF(D542&lt;'PlayerGrades+'!$AA$3,"S-",IF(D542&lt;'PlayerGrades+'!$AA$2,"S","S+"))))))))))))))))))))</f>
        <v>#DIV/0!</v>
      </c>
      <c r="F542" s="1412" t="str">
        <f t="shared" si="13"/>
        <v>#DIV/0!</v>
      </c>
      <c r="G542" s="1412" t="str">
        <f>IF(F542&lt;'PlayerGrades+'!$AB$21,"F-",IF(F542&lt;'PlayerGrades+'!$AB$20,"F",IF(F542&lt;'PlayerGrades+'!$AB$19,"F+",IF(F542&lt;'PlayerGrades+'!$AB$18,"E-",IF(F542&lt;'PlayerGrades+'!$AB$17,"E",IF(F542&lt;'PlayerGrades+'!$AB$16,"E+",IF(F542&lt;'PlayerGrades+'!$AB$15,"D-",IF(F542&lt;'PlayerGrades+'!$AB$14,"D",IF(F542&lt;'PlayerGrades+'!$AB$13,"D+",IF(F542&lt;'PlayerGrades+'!$AB$12,"C-",IF(F542&lt;'PlayerGrades+'!$AB$11,"C",IF(F542&lt;'PlayerGrades+'!$AB$10,"C+",IF(F542&lt;'PlayerGrades+'!$AB$9,"B-",IF(F542&lt;'PlayerGrades+'!$AB$8,"B",IF(F542&lt;'PlayerGrades+'!$AB$7,"B+",IF(F542&lt;'PlayerGrades+'!$AB$6,"A-",IF(F542&lt;'PlayerGrades+'!$AB$5,"A",IF(F542&lt;'PlayerGrades+'!$AB$4,"A+",IF(F542&lt;'PlayerGrades+'!$AB$3,"S-",IF(F542&lt;'PlayerGrades+'!$AB$2,"S","S+"))))))))))))))))))))</f>
        <v>#DIV/0!</v>
      </c>
      <c r="H542" s="1412" t="str">
        <f t="shared" si="14"/>
        <v>#DIV/0!</v>
      </c>
      <c r="I542" s="1412" t="str">
        <f>IF(H542&lt;'PlayerGrades+'!$AC$21,"F-",IF(H542&lt;'PlayerGrades+'!$AC$20,"F",IF(H542&lt;'PlayerGrades+'!$AC$19,"F+",IF(H542&lt;'PlayerGrades+'!$AC$18,"E-",IF(H542&lt;'PlayerGrades+'!$AC$17,"E",IF(H542&lt;'PlayerGrades+'!$AC$16,"E+",IF(H542&lt;'PlayerGrades+'!$AC$15,"D-",IF(H542&lt;'PlayerGrades+'!$AC$14,"D",IF(H542&lt;'PlayerGrades+'!$AC$13,"D+",IF(H542&lt;'PlayerGrades+'!$AC$12,"C-",IF(H542&lt;'PlayerGrades+'!$AC$11,"C",IF(H542&lt;'PlayerGrades+'!$AC$10,"C+",IF(H542&lt;'PlayerGrades+'!$AC$9,"B-",IF(H542&lt;'PlayerGrades+'!$AC$8,"B",IF(H542&lt;'PlayerGrades+'!$AC$7,"B+",IF(H542&lt;'PlayerGrades+'!$AC$6,"A-",IF(H542&lt;'PlayerGrades+'!$AC$5,"A",IF(H542&lt;'PlayerGrades+'!$AC$4,"A+",IF(H542&lt;'PlayerGrades+'!$AC$3,"S-",IF(H542&lt;'PlayerGrades+'!$AC$2,"S","S+"))))))))))))))))))))</f>
        <v>#DIV/0!</v>
      </c>
      <c r="J542" s="1412" t="str">
        <f t="shared" si="15"/>
        <v>#DIV/0!</v>
      </c>
      <c r="K542" s="1412" t="str">
        <f>IF(J542&lt;'PlayerGrades+'!$AD$21,"F-",IF(J542&lt;'PlayerGrades+'!$AD$20,"F",IF(J542&lt;'PlayerGrades+'!$AD$19,"F+",IF(J542&lt;'PlayerGrades+'!$AD$18,"E-",IF(J542&lt;'PlayerGrades+'!$AD$17,"E",IF(J542&lt;'PlayerGrades+'!$AD$16,"E+",IF(J542&lt;'PlayerGrades+'!$AD$15,"D-",IF(J542&lt;'PlayerGrades+'!$AD$14,"D",IF(J542&lt;'PlayerGrades+'!$AD$13,"D+",IF(J542&lt;'PlayerGrades+'!$AD$12,"C-",IF(J542&lt;'PlayerGrades+'!$AD$11,"C",IF(J542&lt;'PlayerGrades+'!$AD$10,"C+",IF(J542&lt;'PlayerGrades+'!$AD$9,"B-",IF(J542&lt;'PlayerGrades+'!$AD$8,"B",IF(J542&lt;'PlayerGrades+'!$AD$7,"B+",IF(J542&lt;'PlayerGrades+'!$AD$6,"A-",IF(J542&lt;'PlayerGrades+'!$AD$5,"A",IF(J542&lt;'PlayerGrades+'!$AD$4,"A+",IF(J542&lt;'PlayerGrades+'!$AD$3,"S-",IF(J542&lt;'PlayerGrades+'!$AD$2,"S","S+"))))))))))))))))))))</f>
        <v>#DIV/0!</v>
      </c>
      <c r="L542" s="1413" t="str">
        <f t="shared" si="16"/>
        <v>#DIV/0!</v>
      </c>
      <c r="M542" s="1156" t="str">
        <f>IF(L542&lt;'PlayerGrades+'!$AE$21,"F-",IF(L542&lt;'PlayerGrades+'!$AE$20,"F",IF(L542&lt;'PlayerGrades+'!$AE$19,"F+",IF(L542&lt;'PlayerGrades+'!$AE$18,"E-",IF(L542&lt;'PlayerGrades+'!$AE$17,"E",IF(L542&lt;'PlayerGrades+'!$AE$16,"E+",IF(L542&lt;'PlayerGrades+'!$AE$15,"D-",IF(L542&lt;'PlayerGrades+'!$AE$14,"D",IF(L542&lt;'PlayerGrades+'!$AE$13,"D+",IF(L542&lt;'PlayerGrades+'!$AE$12,"C-",IF(L542&lt;'PlayerGrades+'!$AE$11,"C",IF(L542&lt;'PlayerGrades+'!$AE$10,"C+",IF(L542&lt;'PlayerGrades+'!$AE$9,"B-",IF(L542&lt;'PlayerGrades+'!$AE$8,"B",IF(L542&lt;'PlayerGrades+'!$AE$7,"B+",IF(L542&lt;'PlayerGrades+'!$AE$6,"A-",IF(L542&lt;'PlayerGrades+'!$AE$5,"A",IF(L542&lt;'PlayerGrades+'!$AE$4,"A+",IF(L542&lt;'PlayerGrades+'!$AE$3,"S-",IF(L542&lt;'PlayerGrades+'!$AE$2,"S","S+"))))))))))))))))))))</f>
        <v>#DIV/0!</v>
      </c>
      <c r="N542" s="1412" t="str">
        <f t="shared" si="17"/>
        <v>#DIV/0!</v>
      </c>
      <c r="O542" s="1412" t="str">
        <f>IF(N542&lt;'PlayerGrades+'!$AF$21,"F-",IF(N542&lt;'PlayerGrades+'!$AF$20,"F",IF(N542&lt;'PlayerGrades+'!$AF$19,"F+",IF(N542&lt;'PlayerGrades+'!$AF$18,"E-",IF(N542&lt;'PlayerGrades+'!$AF$17,"E",IF(N542&lt;'PlayerGrades+'!$AF$16,"E+",IF(N542&lt;'PlayerGrades+'!$AF$15,"D-",IF(N542&lt;'PlayerGrades+'!$AF$14,"D",IF(N542&lt;'PlayerGrades+'!$AF$13,"D+",IF(N542&lt;'PlayerGrades+'!$AF$12,"C-",IF(N542&lt;'PlayerGrades+'!$AF$11,"C",IF(N542&lt;'PlayerGrades+'!$AF$10,"C+",IF(N542&lt;'PlayerGrades+'!$AF$9,"B-",IF(N542&lt;'PlayerGrades+'!$AF$8,"B",IF(N542&lt;'PlayerGrades+'!$AF$7,"B+",IF(N542&lt;'PlayerGrades+'!$AF$6,"A-",IF(N542&lt;'PlayerGrades+'!$AF$5,"A",IF(N542&lt;'PlayerGrades+'!$AF$4,"A+",IF(N542&lt;'PlayerGrades+'!$AF$3,"S-",IF(N542&lt;'PlayerGrades+'!$AF$2,"S","S+"))))))))))))))))))))</f>
        <v>#DIV/0!</v>
      </c>
      <c r="P542" s="1412" t="str">
        <f t="shared" si="18"/>
        <v>#DIV/0!</v>
      </c>
      <c r="Q542" s="1412" t="str">
        <f>IF(P542&lt;'PlayerGrades+'!$AG$21,"F-",IF(P542&lt;'PlayerGrades+'!$AG$20,"F",IF(P542&lt;'PlayerGrades+'!$AG$19,"F+",IF(P542&lt;'PlayerGrades+'!$AG$18,"E-",IF(P542&lt;'PlayerGrades+'!$AG$17,"E",IF(P542&lt;'PlayerGrades+'!$AG$16,"E+",IF(P542&lt;'PlayerGrades+'!$AG$15,"D-",IF(P542&lt;'PlayerGrades+'!$AG$14,"D",IF(P542&lt;'PlayerGrades+'!$AG$13,"D+",IF(P542&lt;'PlayerGrades+'!$AG$12,"C-",IF(P542&lt;'PlayerGrades+'!$AG$11,"C",IF(P542&lt;'PlayerGrades+'!$AG$10,"C+",IF(P542&lt;'PlayerGrades+'!$AG$9,"B-",IF(P542&lt;'PlayerGrades+'!$AG$8,"B",IF(P542&lt;'PlayerGrades+'!$AG$7,"B+",IF(P542&lt;'PlayerGrades+'!$AG$6,"A-",IF(P542&lt;'PlayerGrades+'!$AG$5,"A",IF(P542&lt;'PlayerGrades+'!$AG$4,"A+",IF(P542&lt;'PlayerGrades+'!$AG$3,"S-",IF(P542&lt;'PlayerGrades+'!$AG$2,"S","S+"))))))))))))))))))))</f>
        <v>#DIV/0!</v>
      </c>
      <c r="R542" s="1412" t="str">
        <f t="shared" si="19"/>
        <v>#REF!</v>
      </c>
      <c r="S542" s="1412" t="str">
        <f>IF(R542&lt;'PlayerGrades+'!$AH$21,"F-",IF(R542&lt;'PlayerGrades+'!$AH$20,"F",IF(R542&lt;'PlayerGrades+'!$AH$19,"F+",IF(R542&lt;'PlayerGrades+'!$AH$18,"E-",IF(R542&lt;'PlayerGrades+'!$AH$17,"E",IF(R542&lt;'PlayerGrades+'!$AH$16,"E+",IF(R542&lt;'PlayerGrades+'!$AH$15,"D-",IF(R542&lt;'PlayerGrades+'!$AH$14,"D",IF(R542&lt;'PlayerGrades+'!$AH$13,"D+",IF(R542&lt;'PlayerGrades+'!$AH$12,"C-",IF(R542&lt;'PlayerGrades+'!$AH$11,"C",IF(R542&lt;'PlayerGrades+'!$AH$10,"C+",IF(R542&lt;'PlayerGrades+'!$AH$9,"B-",IF(R542&lt;'PlayerGrades+'!$AH$8,"B",IF(R542&lt;'PlayerGrades+'!$AH$7,"B+",IF(R542&lt;'PlayerGrades+'!$AH$6,"A-",IF(R542&lt;'PlayerGrades+'!$AH$5,"A",IF(R542&lt;'PlayerGrades+'!$AH$4,"A+",IF(R542&lt;'PlayerGrades+'!$AH$3,"S-",IF(R542&lt;'PlayerGrades+'!$AH$2,"S","S+"))))))))))))))))))))</f>
        <v>#REF!</v>
      </c>
      <c r="T542" s="1412" t="str">
        <f t="shared" si="20"/>
        <v>#REF!</v>
      </c>
      <c r="U542" s="1412" t="str">
        <f>IF(T542&lt;'PlayerGrades+'!$AI$21,"F-",IF(T542&lt;'PlayerGrades+'!$AI$20,"F",IF(T542&lt;'PlayerGrades+'!$AI$19,"F+",IF(T542&lt;'PlayerGrades+'!$AI$18,"E-",IF(T542&lt;'PlayerGrades+'!$AI$17,"E",IF(T542&lt;'PlayerGrades+'!$AI$16,"E+",IF(T542&lt;'PlayerGrades+'!$AI$15,"D-",IF(T542&lt;'PlayerGrades+'!$AI$14,"D",IF(T542&lt;'PlayerGrades+'!$AI$13,"D+",IF(T542&lt;'PlayerGrades+'!$AI$12,"C-",IF(T542&lt;'PlayerGrades+'!$AI$11,"C",IF(T542&lt;'PlayerGrades+'!$AI$10,"C+",IF(T542&lt;'PlayerGrades+'!$AI$9,"B-",IF(T542&lt;'PlayerGrades+'!$AI$8,"B",IF(T542&lt;'PlayerGrades+'!$AI$7,"B+",IF(T542&lt;'PlayerGrades+'!$AI$6,"A-",IF(T542&lt;'PlayerGrades+'!$AI$5,"A",IF(T542&lt;'PlayerGrades+'!$AI$4,"A+",IF(T542&lt;'PlayerGrades+'!$AI$3,"S-",IF(T542&lt;'PlayerGrades+'!$AI$2,"S","S+"))))))))))))))))))))</f>
        <v>#REF!</v>
      </c>
      <c r="AC542" s="1392"/>
    </row>
    <row r="543">
      <c r="B543" s="611" t="str">
        <f>IF(C543&lt;'PlayerGrades+'!$Y$44,"F-",IF(C543&lt;'PlayerGrades+'!$Y$43,"F",IF(C543&lt;'PlayerGrades+'!$Y$42,"F+",IF(C543&lt;'PlayerGrades+'!$Y$41,"E-",IF(C543&lt;'PlayerGrades+'!$Y$40,"E",IF(C543&lt;'PlayerGrades+'!$Y$39,"E+",IF(C543&lt;'PlayerGrades+'!$Y$38,"D-",IF(C543&lt;'PlayerGrades+'!$Y$37,"D",IF(C543&lt;'PlayerGrades+'!$Y$36,"D+",IF(C543&lt;'PlayerGrades+'!$Y$35,"C-",IF(C543&lt;'PlayerGrades+'!$Y$34,"C",IF(C543&lt;'PlayerGrades+'!$Y$33,"C+",IF(C543&lt;'PlayerGrades+'!$Y$32,"B-",IF(C543&lt;'PlayerGrades+'!$Y$31,"B",IF(C543&lt;'PlayerGrades+'!$Y$30,"B+",IF(C543&lt;'PlayerGrades+'!$Y$29,"A-",IF(C543&lt;'PlayerGrades+'!$Y$28,"A",IF(C543&lt;'PlayerGrades+'!$Y$27,"A+",IF(C543&lt;'PlayerGrades+'!$Y$26,"S-",IF(C543&lt;'PlayerGrades+'!$Y$25,"S","S+"))))))))))))))))))))</f>
        <v>#DIV/0!</v>
      </c>
      <c r="C543" s="1378" t="str">
        <f>('PlayerGrades+'!$Y$47*(VLOOKUP(E543, 'PlayerGrades+'!$X$3:$Y$23, 2, FALSE)))+('PlayerGrades+'!$Y$48*(VLOOKUP(G543, 'PlayerGrades+'!$X$3:$Y$23, 2, FALSE)))+('PlayerGrades+'!$Y$49*(VLOOKUP(I543, 'PlayerGrades+'!$X$3:$Y$23, 2, FALSE)))+('PlayerGrades+'!$Y$50*(VLOOKUP(K543, 'PlayerGrades+'!$X$3:$Y$23, 2, FALSE)))+('PlayerGrades+'!$Y$51*(VLOOKUP(M543, 'PlayerGrades+'!$X$3:$Y$23, 2, FALSE)))+('PlayerGrades+'!$Y$52*(VLOOKUP(O543, 'PlayerGrades+'!$X$3:$Y$23, 2, FALSE)))+('PlayerGrades+'!$Y$53*(VLOOKUP(Q543, 'PlayerGrades+'!$X$3:$Y$23, 2, FALSE)))+('PlayerGrades+'!$Y$54*(VLOOKUP(S543, 'PlayerGrades+'!$X$3:$Y$23, 2, FALSE)))+('PlayerGrades+'!$Y$55*(VLOOKUP(U543, 'PlayerGrades+'!$X$3:$Y$23, 2, FALSE)))</f>
        <v>#DIV/0!</v>
      </c>
      <c r="D543" s="1412" t="str">
        <f t="shared" si="12"/>
        <v>#DIV/0!</v>
      </c>
      <c r="E543" s="1412" t="str">
        <f>IF(D543&lt;'PlayerGrades+'!$AA$21,"F-",IF(D543&lt;'PlayerGrades+'!$AA$20,"F",IF(D543&lt;'PlayerGrades+'!$AA$19,"F+",IF(D543&lt;'PlayerGrades+'!$AA$18,"E-",IF(D543&lt;'PlayerGrades+'!$AA$17,"E",IF(D543&lt;'PlayerGrades+'!$AA$16,"E+",IF(D543&lt;'PlayerGrades+'!$AA$15,"D-",IF(D543&lt;'PlayerGrades+'!$AA$14,"D",IF(D543&lt;'PlayerGrades+'!$AA$13,"D+",IF(D543&lt;'PlayerGrades+'!$AA$12,"C-",IF(D543&lt;'PlayerGrades+'!$AA$11,"C",IF(D543&lt;'PlayerGrades+'!$AA$10,"C+",IF(D543&lt;'PlayerGrades+'!$AA$9,"B-",IF(D543&lt;'PlayerGrades+'!$AA$8,"B",IF(D543&lt;'PlayerGrades+'!$AA$7,"B+",IF(D543&lt;'PlayerGrades+'!$AA$6,"A-",IF(D543&lt;'PlayerGrades+'!$AA$5,"A",IF(D543&lt;'PlayerGrades+'!$AA$4,"A+",IF(D543&lt;'PlayerGrades+'!$AA$3,"S-",IF(D543&lt;'PlayerGrades+'!$AA$2,"S","S+"))))))))))))))))))))</f>
        <v>#DIV/0!</v>
      </c>
      <c r="F543" s="1412" t="str">
        <f t="shared" si="13"/>
        <v>#DIV/0!</v>
      </c>
      <c r="G543" s="1412" t="str">
        <f>IF(F543&lt;'PlayerGrades+'!$AB$21,"F-",IF(F543&lt;'PlayerGrades+'!$AB$20,"F",IF(F543&lt;'PlayerGrades+'!$AB$19,"F+",IF(F543&lt;'PlayerGrades+'!$AB$18,"E-",IF(F543&lt;'PlayerGrades+'!$AB$17,"E",IF(F543&lt;'PlayerGrades+'!$AB$16,"E+",IF(F543&lt;'PlayerGrades+'!$AB$15,"D-",IF(F543&lt;'PlayerGrades+'!$AB$14,"D",IF(F543&lt;'PlayerGrades+'!$AB$13,"D+",IF(F543&lt;'PlayerGrades+'!$AB$12,"C-",IF(F543&lt;'PlayerGrades+'!$AB$11,"C",IF(F543&lt;'PlayerGrades+'!$AB$10,"C+",IF(F543&lt;'PlayerGrades+'!$AB$9,"B-",IF(F543&lt;'PlayerGrades+'!$AB$8,"B",IF(F543&lt;'PlayerGrades+'!$AB$7,"B+",IF(F543&lt;'PlayerGrades+'!$AB$6,"A-",IF(F543&lt;'PlayerGrades+'!$AB$5,"A",IF(F543&lt;'PlayerGrades+'!$AB$4,"A+",IF(F543&lt;'PlayerGrades+'!$AB$3,"S-",IF(F543&lt;'PlayerGrades+'!$AB$2,"S","S+"))))))))))))))))))))</f>
        <v>#DIV/0!</v>
      </c>
      <c r="H543" s="1412" t="str">
        <f t="shared" si="14"/>
        <v>#DIV/0!</v>
      </c>
      <c r="I543" s="1412" t="str">
        <f>IF(H543&lt;'PlayerGrades+'!$AC$21,"F-",IF(H543&lt;'PlayerGrades+'!$AC$20,"F",IF(H543&lt;'PlayerGrades+'!$AC$19,"F+",IF(H543&lt;'PlayerGrades+'!$AC$18,"E-",IF(H543&lt;'PlayerGrades+'!$AC$17,"E",IF(H543&lt;'PlayerGrades+'!$AC$16,"E+",IF(H543&lt;'PlayerGrades+'!$AC$15,"D-",IF(H543&lt;'PlayerGrades+'!$AC$14,"D",IF(H543&lt;'PlayerGrades+'!$AC$13,"D+",IF(H543&lt;'PlayerGrades+'!$AC$12,"C-",IF(H543&lt;'PlayerGrades+'!$AC$11,"C",IF(H543&lt;'PlayerGrades+'!$AC$10,"C+",IF(H543&lt;'PlayerGrades+'!$AC$9,"B-",IF(H543&lt;'PlayerGrades+'!$AC$8,"B",IF(H543&lt;'PlayerGrades+'!$AC$7,"B+",IF(H543&lt;'PlayerGrades+'!$AC$6,"A-",IF(H543&lt;'PlayerGrades+'!$AC$5,"A",IF(H543&lt;'PlayerGrades+'!$AC$4,"A+",IF(H543&lt;'PlayerGrades+'!$AC$3,"S-",IF(H543&lt;'PlayerGrades+'!$AC$2,"S","S+"))))))))))))))))))))</f>
        <v>#DIV/0!</v>
      </c>
      <c r="J543" s="1412" t="str">
        <f t="shared" si="15"/>
        <v>#DIV/0!</v>
      </c>
      <c r="K543" s="1412" t="str">
        <f>IF(J543&lt;'PlayerGrades+'!$AD$21,"F-",IF(J543&lt;'PlayerGrades+'!$AD$20,"F",IF(J543&lt;'PlayerGrades+'!$AD$19,"F+",IF(J543&lt;'PlayerGrades+'!$AD$18,"E-",IF(J543&lt;'PlayerGrades+'!$AD$17,"E",IF(J543&lt;'PlayerGrades+'!$AD$16,"E+",IF(J543&lt;'PlayerGrades+'!$AD$15,"D-",IF(J543&lt;'PlayerGrades+'!$AD$14,"D",IF(J543&lt;'PlayerGrades+'!$AD$13,"D+",IF(J543&lt;'PlayerGrades+'!$AD$12,"C-",IF(J543&lt;'PlayerGrades+'!$AD$11,"C",IF(J543&lt;'PlayerGrades+'!$AD$10,"C+",IF(J543&lt;'PlayerGrades+'!$AD$9,"B-",IF(J543&lt;'PlayerGrades+'!$AD$8,"B",IF(J543&lt;'PlayerGrades+'!$AD$7,"B+",IF(J543&lt;'PlayerGrades+'!$AD$6,"A-",IF(J543&lt;'PlayerGrades+'!$AD$5,"A",IF(J543&lt;'PlayerGrades+'!$AD$4,"A+",IF(J543&lt;'PlayerGrades+'!$AD$3,"S-",IF(J543&lt;'PlayerGrades+'!$AD$2,"S","S+"))))))))))))))))))))</f>
        <v>#DIV/0!</v>
      </c>
      <c r="L543" s="1413" t="str">
        <f t="shared" si="16"/>
        <v>#DIV/0!</v>
      </c>
      <c r="M543" s="1156" t="str">
        <f>IF(L543&lt;'PlayerGrades+'!$AE$21,"F-",IF(L543&lt;'PlayerGrades+'!$AE$20,"F",IF(L543&lt;'PlayerGrades+'!$AE$19,"F+",IF(L543&lt;'PlayerGrades+'!$AE$18,"E-",IF(L543&lt;'PlayerGrades+'!$AE$17,"E",IF(L543&lt;'PlayerGrades+'!$AE$16,"E+",IF(L543&lt;'PlayerGrades+'!$AE$15,"D-",IF(L543&lt;'PlayerGrades+'!$AE$14,"D",IF(L543&lt;'PlayerGrades+'!$AE$13,"D+",IF(L543&lt;'PlayerGrades+'!$AE$12,"C-",IF(L543&lt;'PlayerGrades+'!$AE$11,"C",IF(L543&lt;'PlayerGrades+'!$AE$10,"C+",IF(L543&lt;'PlayerGrades+'!$AE$9,"B-",IF(L543&lt;'PlayerGrades+'!$AE$8,"B",IF(L543&lt;'PlayerGrades+'!$AE$7,"B+",IF(L543&lt;'PlayerGrades+'!$AE$6,"A-",IF(L543&lt;'PlayerGrades+'!$AE$5,"A",IF(L543&lt;'PlayerGrades+'!$AE$4,"A+",IF(L543&lt;'PlayerGrades+'!$AE$3,"S-",IF(L543&lt;'PlayerGrades+'!$AE$2,"S","S+"))))))))))))))))))))</f>
        <v>#DIV/0!</v>
      </c>
      <c r="N543" s="1412" t="str">
        <f t="shared" si="17"/>
        <v>#DIV/0!</v>
      </c>
      <c r="O543" s="1412" t="str">
        <f>IF(N543&lt;'PlayerGrades+'!$AF$21,"F-",IF(N543&lt;'PlayerGrades+'!$AF$20,"F",IF(N543&lt;'PlayerGrades+'!$AF$19,"F+",IF(N543&lt;'PlayerGrades+'!$AF$18,"E-",IF(N543&lt;'PlayerGrades+'!$AF$17,"E",IF(N543&lt;'PlayerGrades+'!$AF$16,"E+",IF(N543&lt;'PlayerGrades+'!$AF$15,"D-",IF(N543&lt;'PlayerGrades+'!$AF$14,"D",IF(N543&lt;'PlayerGrades+'!$AF$13,"D+",IF(N543&lt;'PlayerGrades+'!$AF$12,"C-",IF(N543&lt;'PlayerGrades+'!$AF$11,"C",IF(N543&lt;'PlayerGrades+'!$AF$10,"C+",IF(N543&lt;'PlayerGrades+'!$AF$9,"B-",IF(N543&lt;'PlayerGrades+'!$AF$8,"B",IF(N543&lt;'PlayerGrades+'!$AF$7,"B+",IF(N543&lt;'PlayerGrades+'!$AF$6,"A-",IF(N543&lt;'PlayerGrades+'!$AF$5,"A",IF(N543&lt;'PlayerGrades+'!$AF$4,"A+",IF(N543&lt;'PlayerGrades+'!$AF$3,"S-",IF(N543&lt;'PlayerGrades+'!$AF$2,"S","S+"))))))))))))))))))))</f>
        <v>#DIV/0!</v>
      </c>
      <c r="P543" s="1412" t="str">
        <f t="shared" si="18"/>
        <v>#DIV/0!</v>
      </c>
      <c r="Q543" s="1412" t="str">
        <f>IF(P543&lt;'PlayerGrades+'!$AG$21,"F-",IF(P543&lt;'PlayerGrades+'!$AG$20,"F",IF(P543&lt;'PlayerGrades+'!$AG$19,"F+",IF(P543&lt;'PlayerGrades+'!$AG$18,"E-",IF(P543&lt;'PlayerGrades+'!$AG$17,"E",IF(P543&lt;'PlayerGrades+'!$AG$16,"E+",IF(P543&lt;'PlayerGrades+'!$AG$15,"D-",IF(P543&lt;'PlayerGrades+'!$AG$14,"D",IF(P543&lt;'PlayerGrades+'!$AG$13,"D+",IF(P543&lt;'PlayerGrades+'!$AG$12,"C-",IF(P543&lt;'PlayerGrades+'!$AG$11,"C",IF(P543&lt;'PlayerGrades+'!$AG$10,"C+",IF(P543&lt;'PlayerGrades+'!$AG$9,"B-",IF(P543&lt;'PlayerGrades+'!$AG$8,"B",IF(P543&lt;'PlayerGrades+'!$AG$7,"B+",IF(P543&lt;'PlayerGrades+'!$AG$6,"A-",IF(P543&lt;'PlayerGrades+'!$AG$5,"A",IF(P543&lt;'PlayerGrades+'!$AG$4,"A+",IF(P543&lt;'PlayerGrades+'!$AG$3,"S-",IF(P543&lt;'PlayerGrades+'!$AG$2,"S","S+"))))))))))))))))))))</f>
        <v>#DIV/0!</v>
      </c>
      <c r="R543" s="1412" t="str">
        <f t="shared" si="19"/>
        <v>#REF!</v>
      </c>
      <c r="S543" s="1412" t="str">
        <f>IF(R543&lt;'PlayerGrades+'!$AH$21,"F-",IF(R543&lt;'PlayerGrades+'!$AH$20,"F",IF(R543&lt;'PlayerGrades+'!$AH$19,"F+",IF(R543&lt;'PlayerGrades+'!$AH$18,"E-",IF(R543&lt;'PlayerGrades+'!$AH$17,"E",IF(R543&lt;'PlayerGrades+'!$AH$16,"E+",IF(R543&lt;'PlayerGrades+'!$AH$15,"D-",IF(R543&lt;'PlayerGrades+'!$AH$14,"D",IF(R543&lt;'PlayerGrades+'!$AH$13,"D+",IF(R543&lt;'PlayerGrades+'!$AH$12,"C-",IF(R543&lt;'PlayerGrades+'!$AH$11,"C",IF(R543&lt;'PlayerGrades+'!$AH$10,"C+",IF(R543&lt;'PlayerGrades+'!$AH$9,"B-",IF(R543&lt;'PlayerGrades+'!$AH$8,"B",IF(R543&lt;'PlayerGrades+'!$AH$7,"B+",IF(R543&lt;'PlayerGrades+'!$AH$6,"A-",IF(R543&lt;'PlayerGrades+'!$AH$5,"A",IF(R543&lt;'PlayerGrades+'!$AH$4,"A+",IF(R543&lt;'PlayerGrades+'!$AH$3,"S-",IF(R543&lt;'PlayerGrades+'!$AH$2,"S","S+"))))))))))))))))))))</f>
        <v>#REF!</v>
      </c>
      <c r="T543" s="1412" t="str">
        <f t="shared" si="20"/>
        <v>#REF!</v>
      </c>
      <c r="U543" s="1412" t="str">
        <f>IF(T543&lt;'PlayerGrades+'!$AI$21,"F-",IF(T543&lt;'PlayerGrades+'!$AI$20,"F",IF(T543&lt;'PlayerGrades+'!$AI$19,"F+",IF(T543&lt;'PlayerGrades+'!$AI$18,"E-",IF(T543&lt;'PlayerGrades+'!$AI$17,"E",IF(T543&lt;'PlayerGrades+'!$AI$16,"E+",IF(T543&lt;'PlayerGrades+'!$AI$15,"D-",IF(T543&lt;'PlayerGrades+'!$AI$14,"D",IF(T543&lt;'PlayerGrades+'!$AI$13,"D+",IF(T543&lt;'PlayerGrades+'!$AI$12,"C-",IF(T543&lt;'PlayerGrades+'!$AI$11,"C",IF(T543&lt;'PlayerGrades+'!$AI$10,"C+",IF(T543&lt;'PlayerGrades+'!$AI$9,"B-",IF(T543&lt;'PlayerGrades+'!$AI$8,"B",IF(T543&lt;'PlayerGrades+'!$AI$7,"B+",IF(T543&lt;'PlayerGrades+'!$AI$6,"A-",IF(T543&lt;'PlayerGrades+'!$AI$5,"A",IF(T543&lt;'PlayerGrades+'!$AI$4,"A+",IF(T543&lt;'PlayerGrades+'!$AI$3,"S-",IF(T543&lt;'PlayerGrades+'!$AI$2,"S","S+"))))))))))))))))))))</f>
        <v>#REF!</v>
      </c>
      <c r="AC543" s="1392"/>
    </row>
    <row r="544">
      <c r="B544" s="611" t="str">
        <f>IF(C544&lt;'PlayerGrades+'!$Y$44,"F-",IF(C544&lt;'PlayerGrades+'!$Y$43,"F",IF(C544&lt;'PlayerGrades+'!$Y$42,"F+",IF(C544&lt;'PlayerGrades+'!$Y$41,"E-",IF(C544&lt;'PlayerGrades+'!$Y$40,"E",IF(C544&lt;'PlayerGrades+'!$Y$39,"E+",IF(C544&lt;'PlayerGrades+'!$Y$38,"D-",IF(C544&lt;'PlayerGrades+'!$Y$37,"D",IF(C544&lt;'PlayerGrades+'!$Y$36,"D+",IF(C544&lt;'PlayerGrades+'!$Y$35,"C-",IF(C544&lt;'PlayerGrades+'!$Y$34,"C",IF(C544&lt;'PlayerGrades+'!$Y$33,"C+",IF(C544&lt;'PlayerGrades+'!$Y$32,"B-",IF(C544&lt;'PlayerGrades+'!$Y$31,"B",IF(C544&lt;'PlayerGrades+'!$Y$30,"B+",IF(C544&lt;'PlayerGrades+'!$Y$29,"A-",IF(C544&lt;'PlayerGrades+'!$Y$28,"A",IF(C544&lt;'PlayerGrades+'!$Y$27,"A+",IF(C544&lt;'PlayerGrades+'!$Y$26,"S-",IF(C544&lt;'PlayerGrades+'!$Y$25,"S","S+"))))))))))))))))))))</f>
        <v>#DIV/0!</v>
      </c>
      <c r="C544" s="1378" t="str">
        <f>('PlayerGrades+'!$Y$47*(VLOOKUP(E544, 'PlayerGrades+'!$X$3:$Y$23, 2, FALSE)))+('PlayerGrades+'!$Y$48*(VLOOKUP(G544, 'PlayerGrades+'!$X$3:$Y$23, 2, FALSE)))+('PlayerGrades+'!$Y$49*(VLOOKUP(I544, 'PlayerGrades+'!$X$3:$Y$23, 2, FALSE)))+('PlayerGrades+'!$Y$50*(VLOOKUP(K544, 'PlayerGrades+'!$X$3:$Y$23, 2, FALSE)))+('PlayerGrades+'!$Y$51*(VLOOKUP(M544, 'PlayerGrades+'!$X$3:$Y$23, 2, FALSE)))+('PlayerGrades+'!$Y$52*(VLOOKUP(O544, 'PlayerGrades+'!$X$3:$Y$23, 2, FALSE)))+('PlayerGrades+'!$Y$53*(VLOOKUP(Q544, 'PlayerGrades+'!$X$3:$Y$23, 2, FALSE)))+('PlayerGrades+'!$Y$54*(VLOOKUP(S544, 'PlayerGrades+'!$X$3:$Y$23, 2, FALSE)))+('PlayerGrades+'!$Y$55*(VLOOKUP(U544, 'PlayerGrades+'!$X$3:$Y$23, 2, FALSE)))</f>
        <v>#DIV/0!</v>
      </c>
      <c r="D544" s="1412" t="str">
        <f t="shared" si="12"/>
        <v>#DIV/0!</v>
      </c>
      <c r="E544" s="1412" t="str">
        <f>IF(D544&lt;'PlayerGrades+'!$AA$21,"F-",IF(D544&lt;'PlayerGrades+'!$AA$20,"F",IF(D544&lt;'PlayerGrades+'!$AA$19,"F+",IF(D544&lt;'PlayerGrades+'!$AA$18,"E-",IF(D544&lt;'PlayerGrades+'!$AA$17,"E",IF(D544&lt;'PlayerGrades+'!$AA$16,"E+",IF(D544&lt;'PlayerGrades+'!$AA$15,"D-",IF(D544&lt;'PlayerGrades+'!$AA$14,"D",IF(D544&lt;'PlayerGrades+'!$AA$13,"D+",IF(D544&lt;'PlayerGrades+'!$AA$12,"C-",IF(D544&lt;'PlayerGrades+'!$AA$11,"C",IF(D544&lt;'PlayerGrades+'!$AA$10,"C+",IF(D544&lt;'PlayerGrades+'!$AA$9,"B-",IF(D544&lt;'PlayerGrades+'!$AA$8,"B",IF(D544&lt;'PlayerGrades+'!$AA$7,"B+",IF(D544&lt;'PlayerGrades+'!$AA$6,"A-",IF(D544&lt;'PlayerGrades+'!$AA$5,"A",IF(D544&lt;'PlayerGrades+'!$AA$4,"A+",IF(D544&lt;'PlayerGrades+'!$AA$3,"S-",IF(D544&lt;'PlayerGrades+'!$AA$2,"S","S+"))))))))))))))))))))</f>
        <v>#DIV/0!</v>
      </c>
      <c r="F544" s="1412" t="str">
        <f t="shared" si="13"/>
        <v>#DIV/0!</v>
      </c>
      <c r="G544" s="1412" t="str">
        <f>IF(F544&lt;'PlayerGrades+'!$AB$21,"F-",IF(F544&lt;'PlayerGrades+'!$AB$20,"F",IF(F544&lt;'PlayerGrades+'!$AB$19,"F+",IF(F544&lt;'PlayerGrades+'!$AB$18,"E-",IF(F544&lt;'PlayerGrades+'!$AB$17,"E",IF(F544&lt;'PlayerGrades+'!$AB$16,"E+",IF(F544&lt;'PlayerGrades+'!$AB$15,"D-",IF(F544&lt;'PlayerGrades+'!$AB$14,"D",IF(F544&lt;'PlayerGrades+'!$AB$13,"D+",IF(F544&lt;'PlayerGrades+'!$AB$12,"C-",IF(F544&lt;'PlayerGrades+'!$AB$11,"C",IF(F544&lt;'PlayerGrades+'!$AB$10,"C+",IF(F544&lt;'PlayerGrades+'!$AB$9,"B-",IF(F544&lt;'PlayerGrades+'!$AB$8,"B",IF(F544&lt;'PlayerGrades+'!$AB$7,"B+",IF(F544&lt;'PlayerGrades+'!$AB$6,"A-",IF(F544&lt;'PlayerGrades+'!$AB$5,"A",IF(F544&lt;'PlayerGrades+'!$AB$4,"A+",IF(F544&lt;'PlayerGrades+'!$AB$3,"S-",IF(F544&lt;'PlayerGrades+'!$AB$2,"S","S+"))))))))))))))))))))</f>
        <v>#DIV/0!</v>
      </c>
      <c r="H544" s="1412" t="str">
        <f t="shared" si="14"/>
        <v>#DIV/0!</v>
      </c>
      <c r="I544" s="1412" t="str">
        <f>IF(H544&lt;'PlayerGrades+'!$AC$21,"F-",IF(H544&lt;'PlayerGrades+'!$AC$20,"F",IF(H544&lt;'PlayerGrades+'!$AC$19,"F+",IF(H544&lt;'PlayerGrades+'!$AC$18,"E-",IF(H544&lt;'PlayerGrades+'!$AC$17,"E",IF(H544&lt;'PlayerGrades+'!$AC$16,"E+",IF(H544&lt;'PlayerGrades+'!$AC$15,"D-",IF(H544&lt;'PlayerGrades+'!$AC$14,"D",IF(H544&lt;'PlayerGrades+'!$AC$13,"D+",IF(H544&lt;'PlayerGrades+'!$AC$12,"C-",IF(H544&lt;'PlayerGrades+'!$AC$11,"C",IF(H544&lt;'PlayerGrades+'!$AC$10,"C+",IF(H544&lt;'PlayerGrades+'!$AC$9,"B-",IF(H544&lt;'PlayerGrades+'!$AC$8,"B",IF(H544&lt;'PlayerGrades+'!$AC$7,"B+",IF(H544&lt;'PlayerGrades+'!$AC$6,"A-",IF(H544&lt;'PlayerGrades+'!$AC$5,"A",IF(H544&lt;'PlayerGrades+'!$AC$4,"A+",IF(H544&lt;'PlayerGrades+'!$AC$3,"S-",IF(H544&lt;'PlayerGrades+'!$AC$2,"S","S+"))))))))))))))))))))</f>
        <v>#DIV/0!</v>
      </c>
      <c r="J544" s="1412" t="str">
        <f t="shared" si="15"/>
        <v>#DIV/0!</v>
      </c>
      <c r="K544" s="1412" t="str">
        <f>IF(J544&lt;'PlayerGrades+'!$AD$21,"F-",IF(J544&lt;'PlayerGrades+'!$AD$20,"F",IF(J544&lt;'PlayerGrades+'!$AD$19,"F+",IF(J544&lt;'PlayerGrades+'!$AD$18,"E-",IF(J544&lt;'PlayerGrades+'!$AD$17,"E",IF(J544&lt;'PlayerGrades+'!$AD$16,"E+",IF(J544&lt;'PlayerGrades+'!$AD$15,"D-",IF(J544&lt;'PlayerGrades+'!$AD$14,"D",IF(J544&lt;'PlayerGrades+'!$AD$13,"D+",IF(J544&lt;'PlayerGrades+'!$AD$12,"C-",IF(J544&lt;'PlayerGrades+'!$AD$11,"C",IF(J544&lt;'PlayerGrades+'!$AD$10,"C+",IF(J544&lt;'PlayerGrades+'!$AD$9,"B-",IF(J544&lt;'PlayerGrades+'!$AD$8,"B",IF(J544&lt;'PlayerGrades+'!$AD$7,"B+",IF(J544&lt;'PlayerGrades+'!$AD$6,"A-",IF(J544&lt;'PlayerGrades+'!$AD$5,"A",IF(J544&lt;'PlayerGrades+'!$AD$4,"A+",IF(J544&lt;'PlayerGrades+'!$AD$3,"S-",IF(J544&lt;'PlayerGrades+'!$AD$2,"S","S+"))))))))))))))))))))</f>
        <v>#DIV/0!</v>
      </c>
      <c r="L544" s="1413" t="str">
        <f t="shared" si="16"/>
        <v>#DIV/0!</v>
      </c>
      <c r="M544" s="1156" t="str">
        <f>IF(L544&lt;'PlayerGrades+'!$AE$21,"F-",IF(L544&lt;'PlayerGrades+'!$AE$20,"F",IF(L544&lt;'PlayerGrades+'!$AE$19,"F+",IF(L544&lt;'PlayerGrades+'!$AE$18,"E-",IF(L544&lt;'PlayerGrades+'!$AE$17,"E",IF(L544&lt;'PlayerGrades+'!$AE$16,"E+",IF(L544&lt;'PlayerGrades+'!$AE$15,"D-",IF(L544&lt;'PlayerGrades+'!$AE$14,"D",IF(L544&lt;'PlayerGrades+'!$AE$13,"D+",IF(L544&lt;'PlayerGrades+'!$AE$12,"C-",IF(L544&lt;'PlayerGrades+'!$AE$11,"C",IF(L544&lt;'PlayerGrades+'!$AE$10,"C+",IF(L544&lt;'PlayerGrades+'!$AE$9,"B-",IF(L544&lt;'PlayerGrades+'!$AE$8,"B",IF(L544&lt;'PlayerGrades+'!$AE$7,"B+",IF(L544&lt;'PlayerGrades+'!$AE$6,"A-",IF(L544&lt;'PlayerGrades+'!$AE$5,"A",IF(L544&lt;'PlayerGrades+'!$AE$4,"A+",IF(L544&lt;'PlayerGrades+'!$AE$3,"S-",IF(L544&lt;'PlayerGrades+'!$AE$2,"S","S+"))))))))))))))))))))</f>
        <v>#DIV/0!</v>
      </c>
      <c r="N544" s="1412" t="str">
        <f t="shared" si="17"/>
        <v>#DIV/0!</v>
      </c>
      <c r="O544" s="1412" t="str">
        <f>IF(N544&lt;'PlayerGrades+'!$AF$21,"F-",IF(N544&lt;'PlayerGrades+'!$AF$20,"F",IF(N544&lt;'PlayerGrades+'!$AF$19,"F+",IF(N544&lt;'PlayerGrades+'!$AF$18,"E-",IF(N544&lt;'PlayerGrades+'!$AF$17,"E",IF(N544&lt;'PlayerGrades+'!$AF$16,"E+",IF(N544&lt;'PlayerGrades+'!$AF$15,"D-",IF(N544&lt;'PlayerGrades+'!$AF$14,"D",IF(N544&lt;'PlayerGrades+'!$AF$13,"D+",IF(N544&lt;'PlayerGrades+'!$AF$12,"C-",IF(N544&lt;'PlayerGrades+'!$AF$11,"C",IF(N544&lt;'PlayerGrades+'!$AF$10,"C+",IF(N544&lt;'PlayerGrades+'!$AF$9,"B-",IF(N544&lt;'PlayerGrades+'!$AF$8,"B",IF(N544&lt;'PlayerGrades+'!$AF$7,"B+",IF(N544&lt;'PlayerGrades+'!$AF$6,"A-",IF(N544&lt;'PlayerGrades+'!$AF$5,"A",IF(N544&lt;'PlayerGrades+'!$AF$4,"A+",IF(N544&lt;'PlayerGrades+'!$AF$3,"S-",IF(N544&lt;'PlayerGrades+'!$AF$2,"S","S+"))))))))))))))))))))</f>
        <v>#DIV/0!</v>
      </c>
      <c r="P544" s="1412" t="str">
        <f t="shared" si="18"/>
        <v>#DIV/0!</v>
      </c>
      <c r="Q544" s="1412" t="str">
        <f>IF(P544&lt;'PlayerGrades+'!$AG$21,"F-",IF(P544&lt;'PlayerGrades+'!$AG$20,"F",IF(P544&lt;'PlayerGrades+'!$AG$19,"F+",IF(P544&lt;'PlayerGrades+'!$AG$18,"E-",IF(P544&lt;'PlayerGrades+'!$AG$17,"E",IF(P544&lt;'PlayerGrades+'!$AG$16,"E+",IF(P544&lt;'PlayerGrades+'!$AG$15,"D-",IF(P544&lt;'PlayerGrades+'!$AG$14,"D",IF(P544&lt;'PlayerGrades+'!$AG$13,"D+",IF(P544&lt;'PlayerGrades+'!$AG$12,"C-",IF(P544&lt;'PlayerGrades+'!$AG$11,"C",IF(P544&lt;'PlayerGrades+'!$AG$10,"C+",IF(P544&lt;'PlayerGrades+'!$AG$9,"B-",IF(P544&lt;'PlayerGrades+'!$AG$8,"B",IF(P544&lt;'PlayerGrades+'!$AG$7,"B+",IF(P544&lt;'PlayerGrades+'!$AG$6,"A-",IF(P544&lt;'PlayerGrades+'!$AG$5,"A",IF(P544&lt;'PlayerGrades+'!$AG$4,"A+",IF(P544&lt;'PlayerGrades+'!$AG$3,"S-",IF(P544&lt;'PlayerGrades+'!$AG$2,"S","S+"))))))))))))))))))))</f>
        <v>#DIV/0!</v>
      </c>
      <c r="R544" s="1412" t="str">
        <f t="shared" si="19"/>
        <v>#REF!</v>
      </c>
      <c r="S544" s="1412" t="str">
        <f>IF(R544&lt;'PlayerGrades+'!$AH$21,"F-",IF(R544&lt;'PlayerGrades+'!$AH$20,"F",IF(R544&lt;'PlayerGrades+'!$AH$19,"F+",IF(R544&lt;'PlayerGrades+'!$AH$18,"E-",IF(R544&lt;'PlayerGrades+'!$AH$17,"E",IF(R544&lt;'PlayerGrades+'!$AH$16,"E+",IF(R544&lt;'PlayerGrades+'!$AH$15,"D-",IF(R544&lt;'PlayerGrades+'!$AH$14,"D",IF(R544&lt;'PlayerGrades+'!$AH$13,"D+",IF(R544&lt;'PlayerGrades+'!$AH$12,"C-",IF(R544&lt;'PlayerGrades+'!$AH$11,"C",IF(R544&lt;'PlayerGrades+'!$AH$10,"C+",IF(R544&lt;'PlayerGrades+'!$AH$9,"B-",IF(R544&lt;'PlayerGrades+'!$AH$8,"B",IF(R544&lt;'PlayerGrades+'!$AH$7,"B+",IF(R544&lt;'PlayerGrades+'!$AH$6,"A-",IF(R544&lt;'PlayerGrades+'!$AH$5,"A",IF(R544&lt;'PlayerGrades+'!$AH$4,"A+",IF(R544&lt;'PlayerGrades+'!$AH$3,"S-",IF(R544&lt;'PlayerGrades+'!$AH$2,"S","S+"))))))))))))))))))))</f>
        <v>#REF!</v>
      </c>
      <c r="T544" s="1412" t="str">
        <f t="shared" si="20"/>
        <v>#REF!</v>
      </c>
      <c r="U544" s="1412" t="str">
        <f>IF(T544&lt;'PlayerGrades+'!$AI$21,"F-",IF(T544&lt;'PlayerGrades+'!$AI$20,"F",IF(T544&lt;'PlayerGrades+'!$AI$19,"F+",IF(T544&lt;'PlayerGrades+'!$AI$18,"E-",IF(T544&lt;'PlayerGrades+'!$AI$17,"E",IF(T544&lt;'PlayerGrades+'!$AI$16,"E+",IF(T544&lt;'PlayerGrades+'!$AI$15,"D-",IF(T544&lt;'PlayerGrades+'!$AI$14,"D",IF(T544&lt;'PlayerGrades+'!$AI$13,"D+",IF(T544&lt;'PlayerGrades+'!$AI$12,"C-",IF(T544&lt;'PlayerGrades+'!$AI$11,"C",IF(T544&lt;'PlayerGrades+'!$AI$10,"C+",IF(T544&lt;'PlayerGrades+'!$AI$9,"B-",IF(T544&lt;'PlayerGrades+'!$AI$8,"B",IF(T544&lt;'PlayerGrades+'!$AI$7,"B+",IF(T544&lt;'PlayerGrades+'!$AI$6,"A-",IF(T544&lt;'PlayerGrades+'!$AI$5,"A",IF(T544&lt;'PlayerGrades+'!$AI$4,"A+",IF(T544&lt;'PlayerGrades+'!$AI$3,"S-",IF(T544&lt;'PlayerGrades+'!$AI$2,"S","S+"))))))))))))))))))))</f>
        <v>#REF!</v>
      </c>
      <c r="AC544" s="1392"/>
    </row>
    <row r="545">
      <c r="A545" s="1414"/>
      <c r="B545" s="1415" t="str">
        <f>IF(C545&lt;'PlayerGrades+'!$Y$44,"F-",IF(C545&lt;'PlayerGrades+'!$Y$43,"F",IF(C545&lt;'PlayerGrades+'!$Y$42,"F+",IF(C545&lt;'PlayerGrades+'!$Y$41,"E-",IF(C545&lt;'PlayerGrades+'!$Y$40,"E",IF(C545&lt;'PlayerGrades+'!$Y$39,"E+",IF(C545&lt;'PlayerGrades+'!$Y$38,"D-",IF(C545&lt;'PlayerGrades+'!$Y$37,"D",IF(C545&lt;'PlayerGrades+'!$Y$36,"D+",IF(C545&lt;'PlayerGrades+'!$Y$35,"C-",IF(C545&lt;'PlayerGrades+'!$Y$34,"C",IF(C545&lt;'PlayerGrades+'!$Y$33,"C+",IF(C545&lt;'PlayerGrades+'!$Y$32,"B-",IF(C545&lt;'PlayerGrades+'!$Y$31,"B",IF(C545&lt;'PlayerGrades+'!$Y$30,"B+",IF(C545&lt;'PlayerGrades+'!$Y$29,"A-",IF(C545&lt;'PlayerGrades+'!$Y$28,"A",IF(C545&lt;'PlayerGrades+'!$Y$27,"A+",IF(C545&lt;'PlayerGrades+'!$Y$26,"S-",IF(C545&lt;'PlayerGrades+'!$Y$25,"S","S+"))))))))))))))))))))</f>
        <v>#DIV/0!</v>
      </c>
      <c r="C545" s="1416" t="str">
        <f>('PlayerGrades+'!$Y$47*(VLOOKUP(E545, 'PlayerGrades+'!$X$3:$Y$23, 2, FALSE)))+('PlayerGrades+'!$Y$48*(VLOOKUP(G545, 'PlayerGrades+'!$X$3:$Y$23, 2, FALSE)))+('PlayerGrades+'!$Y$49*(VLOOKUP(I545, 'PlayerGrades+'!$X$3:$Y$23, 2, FALSE)))+('PlayerGrades+'!$Y$50*(VLOOKUP(K545, 'PlayerGrades+'!$X$3:$Y$23, 2, FALSE)))+('PlayerGrades+'!$Y$51*(VLOOKUP(M545, 'PlayerGrades+'!$X$3:$Y$23, 2, FALSE)))+('PlayerGrades+'!$Y$52*(VLOOKUP(O545, 'PlayerGrades+'!$X$3:$Y$23, 2, FALSE)))+('PlayerGrades+'!$Y$53*(VLOOKUP(Q545, 'PlayerGrades+'!$X$3:$Y$23, 2, FALSE)))+('PlayerGrades+'!$Y$54*(VLOOKUP(S545, 'PlayerGrades+'!$X$3:$Y$23, 2, FALSE)))+('PlayerGrades+'!$Y$55*(VLOOKUP(U545, 'PlayerGrades+'!$X$3:$Y$23, 2, FALSE)))</f>
        <v>#DIV/0!</v>
      </c>
      <c r="D545" s="1417" t="str">
        <f t="shared" si="12"/>
        <v>#DIV/0!</v>
      </c>
      <c r="E545" s="1417" t="str">
        <f>IF(D545&lt;'PlayerGrades+'!$AA$21,"F-",IF(D545&lt;'PlayerGrades+'!$AA$20,"F",IF(D545&lt;'PlayerGrades+'!$AA$19,"F+",IF(D545&lt;'PlayerGrades+'!$AA$18,"E-",IF(D545&lt;'PlayerGrades+'!$AA$17,"E",IF(D545&lt;'PlayerGrades+'!$AA$16,"E+",IF(D545&lt;'PlayerGrades+'!$AA$15,"D-",IF(D545&lt;'PlayerGrades+'!$AA$14,"D",IF(D545&lt;'PlayerGrades+'!$AA$13,"D+",IF(D545&lt;'PlayerGrades+'!$AA$12,"C-",IF(D545&lt;'PlayerGrades+'!$AA$11,"C",IF(D545&lt;'PlayerGrades+'!$AA$10,"C+",IF(D545&lt;'PlayerGrades+'!$AA$9,"B-",IF(D545&lt;'PlayerGrades+'!$AA$8,"B",IF(D545&lt;'PlayerGrades+'!$AA$7,"B+",IF(D545&lt;'PlayerGrades+'!$AA$6,"A-",IF(D545&lt;'PlayerGrades+'!$AA$5,"A",IF(D545&lt;'PlayerGrades+'!$AA$4,"A+",IF(D545&lt;'PlayerGrades+'!$AA$3,"S-",IF(D545&lt;'PlayerGrades+'!$AA$2,"S","S+"))))))))))))))))))))</f>
        <v>#DIV/0!</v>
      </c>
      <c r="F545" s="1417" t="str">
        <f t="shared" si="13"/>
        <v>#DIV/0!</v>
      </c>
      <c r="G545" s="1417" t="str">
        <f>IF(F545&lt;'PlayerGrades+'!$AB$21,"F-",IF(F545&lt;'PlayerGrades+'!$AB$20,"F",IF(F545&lt;'PlayerGrades+'!$AB$19,"F+",IF(F545&lt;'PlayerGrades+'!$AB$18,"E-",IF(F545&lt;'PlayerGrades+'!$AB$17,"E",IF(F545&lt;'PlayerGrades+'!$AB$16,"E+",IF(F545&lt;'PlayerGrades+'!$AB$15,"D-",IF(F545&lt;'PlayerGrades+'!$AB$14,"D",IF(F545&lt;'PlayerGrades+'!$AB$13,"D+",IF(F545&lt;'PlayerGrades+'!$AB$12,"C-",IF(F545&lt;'PlayerGrades+'!$AB$11,"C",IF(F545&lt;'PlayerGrades+'!$AB$10,"C+",IF(F545&lt;'PlayerGrades+'!$AB$9,"B-",IF(F545&lt;'PlayerGrades+'!$AB$8,"B",IF(F545&lt;'PlayerGrades+'!$AB$7,"B+",IF(F545&lt;'PlayerGrades+'!$AB$6,"A-",IF(F545&lt;'PlayerGrades+'!$AB$5,"A",IF(F545&lt;'PlayerGrades+'!$AB$4,"A+",IF(F545&lt;'PlayerGrades+'!$AB$3,"S-",IF(F545&lt;'PlayerGrades+'!$AB$2,"S","S+"))))))))))))))))))))</f>
        <v>#DIV/0!</v>
      </c>
      <c r="H545" s="1417" t="str">
        <f t="shared" si="14"/>
        <v>#DIV/0!</v>
      </c>
      <c r="I545" s="1417" t="str">
        <f>IF(H545&lt;'PlayerGrades+'!$AC$21,"F-",IF(H545&lt;'PlayerGrades+'!$AC$20,"F",IF(H545&lt;'PlayerGrades+'!$AC$19,"F+",IF(H545&lt;'PlayerGrades+'!$AC$18,"E-",IF(H545&lt;'PlayerGrades+'!$AC$17,"E",IF(H545&lt;'PlayerGrades+'!$AC$16,"E+",IF(H545&lt;'PlayerGrades+'!$AC$15,"D-",IF(H545&lt;'PlayerGrades+'!$AC$14,"D",IF(H545&lt;'PlayerGrades+'!$AC$13,"D+",IF(H545&lt;'PlayerGrades+'!$AC$12,"C-",IF(H545&lt;'PlayerGrades+'!$AC$11,"C",IF(H545&lt;'PlayerGrades+'!$AC$10,"C+",IF(H545&lt;'PlayerGrades+'!$AC$9,"B-",IF(H545&lt;'PlayerGrades+'!$AC$8,"B",IF(H545&lt;'PlayerGrades+'!$AC$7,"B+",IF(H545&lt;'PlayerGrades+'!$AC$6,"A-",IF(H545&lt;'PlayerGrades+'!$AC$5,"A",IF(H545&lt;'PlayerGrades+'!$AC$4,"A+",IF(H545&lt;'PlayerGrades+'!$AC$3,"S-",IF(H545&lt;'PlayerGrades+'!$AC$2,"S","S+"))))))))))))))))))))</f>
        <v>#DIV/0!</v>
      </c>
      <c r="J545" s="1417" t="str">
        <f t="shared" si="15"/>
        <v>#DIV/0!</v>
      </c>
      <c r="K545" s="1417" t="str">
        <f>IF(J545&lt;'PlayerGrades+'!$AD$21,"F-",IF(J545&lt;'PlayerGrades+'!$AD$20,"F",IF(J545&lt;'PlayerGrades+'!$AD$19,"F+",IF(J545&lt;'PlayerGrades+'!$AD$18,"E-",IF(J545&lt;'PlayerGrades+'!$AD$17,"E",IF(J545&lt;'PlayerGrades+'!$AD$16,"E+",IF(J545&lt;'PlayerGrades+'!$AD$15,"D-",IF(J545&lt;'PlayerGrades+'!$AD$14,"D",IF(J545&lt;'PlayerGrades+'!$AD$13,"D+",IF(J545&lt;'PlayerGrades+'!$AD$12,"C-",IF(J545&lt;'PlayerGrades+'!$AD$11,"C",IF(J545&lt;'PlayerGrades+'!$AD$10,"C+",IF(J545&lt;'PlayerGrades+'!$AD$9,"B-",IF(J545&lt;'PlayerGrades+'!$AD$8,"B",IF(J545&lt;'PlayerGrades+'!$AD$7,"B+",IF(J545&lt;'PlayerGrades+'!$AD$6,"A-",IF(J545&lt;'PlayerGrades+'!$AD$5,"A",IF(J545&lt;'PlayerGrades+'!$AD$4,"A+",IF(J545&lt;'PlayerGrades+'!$AD$3,"S-",IF(J545&lt;'PlayerGrades+'!$AD$2,"S","S+"))))))))))))))))))))</f>
        <v>#DIV/0!</v>
      </c>
      <c r="L545" s="1418" t="str">
        <f t="shared" si="16"/>
        <v>#DIV/0!</v>
      </c>
      <c r="M545" s="1231" t="str">
        <f>IF(L545&lt;'PlayerGrades+'!$AE$21,"F-",IF(L545&lt;'PlayerGrades+'!$AE$20,"F",IF(L545&lt;'PlayerGrades+'!$AE$19,"F+",IF(L545&lt;'PlayerGrades+'!$AE$18,"E-",IF(L545&lt;'PlayerGrades+'!$AE$17,"E",IF(L545&lt;'PlayerGrades+'!$AE$16,"E+",IF(L545&lt;'PlayerGrades+'!$AE$15,"D-",IF(L545&lt;'PlayerGrades+'!$AE$14,"D",IF(L545&lt;'PlayerGrades+'!$AE$13,"D+",IF(L545&lt;'PlayerGrades+'!$AE$12,"C-",IF(L545&lt;'PlayerGrades+'!$AE$11,"C",IF(L545&lt;'PlayerGrades+'!$AE$10,"C+",IF(L545&lt;'PlayerGrades+'!$AE$9,"B-",IF(L545&lt;'PlayerGrades+'!$AE$8,"B",IF(L545&lt;'PlayerGrades+'!$AE$7,"B+",IF(L545&lt;'PlayerGrades+'!$AE$6,"A-",IF(L545&lt;'PlayerGrades+'!$AE$5,"A",IF(L545&lt;'PlayerGrades+'!$AE$4,"A+",IF(L545&lt;'PlayerGrades+'!$AE$3,"S-",IF(L545&lt;'PlayerGrades+'!$AE$2,"S","S+"))))))))))))))))))))</f>
        <v>#DIV/0!</v>
      </c>
      <c r="N545" s="1417" t="str">
        <f t="shared" si="17"/>
        <v>#DIV/0!</v>
      </c>
      <c r="O545" s="1417" t="str">
        <f>IF(N545&lt;'PlayerGrades+'!$AF$21,"F-",IF(N545&lt;'PlayerGrades+'!$AF$20,"F",IF(N545&lt;'PlayerGrades+'!$AF$19,"F+",IF(N545&lt;'PlayerGrades+'!$AF$18,"E-",IF(N545&lt;'PlayerGrades+'!$AF$17,"E",IF(N545&lt;'PlayerGrades+'!$AF$16,"E+",IF(N545&lt;'PlayerGrades+'!$AF$15,"D-",IF(N545&lt;'PlayerGrades+'!$AF$14,"D",IF(N545&lt;'PlayerGrades+'!$AF$13,"D+",IF(N545&lt;'PlayerGrades+'!$AF$12,"C-",IF(N545&lt;'PlayerGrades+'!$AF$11,"C",IF(N545&lt;'PlayerGrades+'!$AF$10,"C+",IF(N545&lt;'PlayerGrades+'!$AF$9,"B-",IF(N545&lt;'PlayerGrades+'!$AF$8,"B",IF(N545&lt;'PlayerGrades+'!$AF$7,"B+",IF(N545&lt;'PlayerGrades+'!$AF$6,"A-",IF(N545&lt;'PlayerGrades+'!$AF$5,"A",IF(N545&lt;'PlayerGrades+'!$AF$4,"A+",IF(N545&lt;'PlayerGrades+'!$AF$3,"S-",IF(N545&lt;'PlayerGrades+'!$AF$2,"S","S+"))))))))))))))))))))</f>
        <v>#DIV/0!</v>
      </c>
      <c r="P545" s="1417" t="str">
        <f t="shared" si="18"/>
        <v>#DIV/0!</v>
      </c>
      <c r="Q545" s="1417" t="str">
        <f>IF(P545&lt;'PlayerGrades+'!$AG$21,"F-",IF(P545&lt;'PlayerGrades+'!$AG$20,"F",IF(P545&lt;'PlayerGrades+'!$AG$19,"F+",IF(P545&lt;'PlayerGrades+'!$AG$18,"E-",IF(P545&lt;'PlayerGrades+'!$AG$17,"E",IF(P545&lt;'PlayerGrades+'!$AG$16,"E+",IF(P545&lt;'PlayerGrades+'!$AG$15,"D-",IF(P545&lt;'PlayerGrades+'!$AG$14,"D",IF(P545&lt;'PlayerGrades+'!$AG$13,"D+",IF(P545&lt;'PlayerGrades+'!$AG$12,"C-",IF(P545&lt;'PlayerGrades+'!$AG$11,"C",IF(P545&lt;'PlayerGrades+'!$AG$10,"C+",IF(P545&lt;'PlayerGrades+'!$AG$9,"B-",IF(P545&lt;'PlayerGrades+'!$AG$8,"B",IF(P545&lt;'PlayerGrades+'!$AG$7,"B+",IF(P545&lt;'PlayerGrades+'!$AG$6,"A-",IF(P545&lt;'PlayerGrades+'!$AG$5,"A",IF(P545&lt;'PlayerGrades+'!$AG$4,"A+",IF(P545&lt;'PlayerGrades+'!$AG$3,"S-",IF(P545&lt;'PlayerGrades+'!$AG$2,"S","S+"))))))))))))))))))))</f>
        <v>#DIV/0!</v>
      </c>
      <c r="R545" s="1417" t="str">
        <f t="shared" si="19"/>
        <v>#REF!</v>
      </c>
      <c r="S545" s="1417" t="str">
        <f>IF(R545&lt;'PlayerGrades+'!$AH$21,"F-",IF(R545&lt;'PlayerGrades+'!$AH$20,"F",IF(R545&lt;'PlayerGrades+'!$AH$19,"F+",IF(R545&lt;'PlayerGrades+'!$AH$18,"E-",IF(R545&lt;'PlayerGrades+'!$AH$17,"E",IF(R545&lt;'PlayerGrades+'!$AH$16,"E+",IF(R545&lt;'PlayerGrades+'!$AH$15,"D-",IF(R545&lt;'PlayerGrades+'!$AH$14,"D",IF(R545&lt;'PlayerGrades+'!$AH$13,"D+",IF(R545&lt;'PlayerGrades+'!$AH$12,"C-",IF(R545&lt;'PlayerGrades+'!$AH$11,"C",IF(R545&lt;'PlayerGrades+'!$AH$10,"C+",IF(R545&lt;'PlayerGrades+'!$AH$9,"B-",IF(R545&lt;'PlayerGrades+'!$AH$8,"B",IF(R545&lt;'PlayerGrades+'!$AH$7,"B+",IF(R545&lt;'PlayerGrades+'!$AH$6,"A-",IF(R545&lt;'PlayerGrades+'!$AH$5,"A",IF(R545&lt;'PlayerGrades+'!$AH$4,"A+",IF(R545&lt;'PlayerGrades+'!$AH$3,"S-",IF(R545&lt;'PlayerGrades+'!$AH$2,"S","S+"))))))))))))))))))))</f>
        <v>#REF!</v>
      </c>
      <c r="T545" s="1417" t="str">
        <f t="shared" si="20"/>
        <v>#REF!</v>
      </c>
      <c r="U545" s="1417" t="str">
        <f>IF(T545&lt;'PlayerGrades+'!$AI$21,"F-",IF(T545&lt;'PlayerGrades+'!$AI$20,"F",IF(T545&lt;'PlayerGrades+'!$AI$19,"F+",IF(T545&lt;'PlayerGrades+'!$AI$18,"E-",IF(T545&lt;'PlayerGrades+'!$AI$17,"E",IF(T545&lt;'PlayerGrades+'!$AI$16,"E+",IF(T545&lt;'PlayerGrades+'!$AI$15,"D-",IF(T545&lt;'PlayerGrades+'!$AI$14,"D",IF(T545&lt;'PlayerGrades+'!$AI$13,"D+",IF(T545&lt;'PlayerGrades+'!$AI$12,"C-",IF(T545&lt;'PlayerGrades+'!$AI$11,"C",IF(T545&lt;'PlayerGrades+'!$AI$10,"C+",IF(T545&lt;'PlayerGrades+'!$AI$9,"B-",IF(T545&lt;'PlayerGrades+'!$AI$8,"B",IF(T545&lt;'PlayerGrades+'!$AI$7,"B+",IF(T545&lt;'PlayerGrades+'!$AI$6,"A-",IF(T545&lt;'PlayerGrades+'!$AI$5,"A",IF(T545&lt;'PlayerGrades+'!$AI$4,"A+",IF(T545&lt;'PlayerGrades+'!$AI$3,"S-",IF(T545&lt;'PlayerGrades+'!$AI$2,"S","S+"))))))))))))))))))))</f>
        <v>#REF!</v>
      </c>
      <c r="V545" s="1419"/>
      <c r="W545" s="1419"/>
      <c r="X545" s="1419"/>
      <c r="Y545" s="1419"/>
      <c r="Z545" s="1419"/>
      <c r="AA545" s="1419"/>
      <c r="AB545" s="1419"/>
      <c r="AC545" s="1420"/>
      <c r="AD545" s="1419"/>
      <c r="AE545" s="1419"/>
      <c r="AF545" s="1419"/>
      <c r="AG545" s="1419"/>
      <c r="AH545" s="1419"/>
      <c r="AI545" s="1419"/>
      <c r="AJ545" s="1419"/>
      <c r="AK545" s="1419"/>
      <c r="AL545" s="1419"/>
      <c r="AM545" s="1419"/>
      <c r="AN545" s="1419"/>
      <c r="AO545" s="1419"/>
      <c r="AP545" s="1419"/>
      <c r="AQ545" s="1419"/>
      <c r="AR545" s="1419"/>
      <c r="AS545" s="1419"/>
      <c r="AT545" s="1419"/>
      <c r="AU545" s="1419"/>
      <c r="AV545" s="1419"/>
      <c r="AW545" s="1419"/>
      <c r="AX545" s="1419"/>
      <c r="AY545" s="1419"/>
      <c r="AZ545" s="1419"/>
    </row>
    <row r="546">
      <c r="B546" s="1421" t="str">
        <f>IF(C546&lt;'PlayerGrades+'!$Y$44,"F-",IF(C546&lt;'PlayerGrades+'!$Y$43,"F",IF(C546&lt;'PlayerGrades+'!$Y$42,"F+",IF(C546&lt;'PlayerGrades+'!$Y$41,"E-",IF(C546&lt;'PlayerGrades+'!$Y$40,"E",IF(C546&lt;'PlayerGrades+'!$Y$39,"E+",IF(C546&lt;'PlayerGrades+'!$Y$38,"D-",IF(C546&lt;'PlayerGrades+'!$Y$37,"D",IF(C546&lt;'PlayerGrades+'!$Y$36,"D+",IF(C546&lt;'PlayerGrades+'!$Y$35,"C-",IF(C546&lt;'PlayerGrades+'!$Y$34,"C",IF(C546&lt;'PlayerGrades+'!$Y$33,"C+",IF(C546&lt;'PlayerGrades+'!$Y$32,"B-",IF(C546&lt;'PlayerGrades+'!$Y$31,"B",IF(C546&lt;'PlayerGrades+'!$Y$30,"B+",IF(C546&lt;'PlayerGrades+'!$Y$29,"A-",IF(C546&lt;'PlayerGrades+'!$Y$28,"A",IF(C546&lt;'PlayerGrades+'!$Y$27,"A+",IF(C546&lt;'PlayerGrades+'!$Y$26,"S-",IF(C546&lt;'PlayerGrades+'!$Y$25,"S","S+"))))))))))))))))))))</f>
        <v>#DIV/0!</v>
      </c>
      <c r="C546" s="1422" t="str">
        <f>('PlayerGrades+'!$Y$47*(VLOOKUP(E546, 'PlayerGrades+'!$X$3:$Y$23, 2, FALSE)))+('PlayerGrades+'!$Y$48*(VLOOKUP(G546, 'PlayerGrades+'!$X$3:$Y$23, 2, FALSE)))+('PlayerGrades+'!$Y$49*(VLOOKUP(I546, 'PlayerGrades+'!$X$3:$Y$23, 2, FALSE)))+('PlayerGrades+'!$Y$50*(VLOOKUP(K546, 'PlayerGrades+'!$X$3:$Y$23, 2, FALSE)))+('PlayerGrades+'!$Y$51*(VLOOKUP(M546, 'PlayerGrades+'!$X$3:$Y$23, 2, FALSE)))+('PlayerGrades+'!$Y$52*(VLOOKUP(O546, 'PlayerGrades+'!$X$3:$Y$23, 2, FALSE)))+('PlayerGrades+'!$Y$53*(VLOOKUP(Q546, 'PlayerGrades+'!$X$3:$Y$23, 2, FALSE)))+('PlayerGrades+'!$Y$54*(VLOOKUP(S546, 'PlayerGrades+'!$X$3:$Y$23, 2, FALSE)))+('PlayerGrades+'!$Y$55*(VLOOKUP(U546, 'PlayerGrades+'!$X$3:$Y$23, 2, FALSE)))</f>
        <v>#DIV/0!</v>
      </c>
      <c r="D546" s="1423" t="str">
        <f t="shared" si="12"/>
        <v>#DIV/0!</v>
      </c>
      <c r="E546" s="1423" t="str">
        <f>IF(D546&lt;'PlayerGrades+'!$AA$21,"F-",IF(D546&lt;'PlayerGrades+'!$AA$20,"F",IF(D546&lt;'PlayerGrades+'!$AA$19,"F+",IF(D546&lt;'PlayerGrades+'!$AA$18,"E-",IF(D546&lt;'PlayerGrades+'!$AA$17,"E",IF(D546&lt;'PlayerGrades+'!$AA$16,"E+",IF(D546&lt;'PlayerGrades+'!$AA$15,"D-",IF(D546&lt;'PlayerGrades+'!$AA$14,"D",IF(D546&lt;'PlayerGrades+'!$AA$13,"D+",IF(D546&lt;'PlayerGrades+'!$AA$12,"C-",IF(D546&lt;'PlayerGrades+'!$AA$11,"C",IF(D546&lt;'PlayerGrades+'!$AA$10,"C+",IF(D546&lt;'PlayerGrades+'!$AA$9,"B-",IF(D546&lt;'PlayerGrades+'!$AA$8,"B",IF(D546&lt;'PlayerGrades+'!$AA$7,"B+",IF(D546&lt;'PlayerGrades+'!$AA$6,"A-",IF(D546&lt;'PlayerGrades+'!$AA$5,"A",IF(D546&lt;'PlayerGrades+'!$AA$4,"A+",IF(D546&lt;'PlayerGrades+'!$AA$3,"S-",IF(D546&lt;'PlayerGrades+'!$AA$2,"S","S+"))))))))))))))))))))</f>
        <v>#DIV/0!</v>
      </c>
      <c r="F546" s="1423" t="str">
        <f t="shared" si="13"/>
        <v>#DIV/0!</v>
      </c>
      <c r="G546" s="1423" t="str">
        <f>IF(F546&lt;'PlayerGrades+'!$AB$21,"F-",IF(F546&lt;'PlayerGrades+'!$AB$20,"F",IF(F546&lt;'PlayerGrades+'!$AB$19,"F+",IF(F546&lt;'PlayerGrades+'!$AB$18,"E-",IF(F546&lt;'PlayerGrades+'!$AB$17,"E",IF(F546&lt;'PlayerGrades+'!$AB$16,"E+",IF(F546&lt;'PlayerGrades+'!$AB$15,"D-",IF(F546&lt;'PlayerGrades+'!$AB$14,"D",IF(F546&lt;'PlayerGrades+'!$AB$13,"D+",IF(F546&lt;'PlayerGrades+'!$AB$12,"C-",IF(F546&lt;'PlayerGrades+'!$AB$11,"C",IF(F546&lt;'PlayerGrades+'!$AB$10,"C+",IF(F546&lt;'PlayerGrades+'!$AB$9,"B-",IF(F546&lt;'PlayerGrades+'!$AB$8,"B",IF(F546&lt;'PlayerGrades+'!$AB$7,"B+",IF(F546&lt;'PlayerGrades+'!$AB$6,"A-",IF(F546&lt;'PlayerGrades+'!$AB$5,"A",IF(F546&lt;'PlayerGrades+'!$AB$4,"A+",IF(F546&lt;'PlayerGrades+'!$AB$3,"S-",IF(F546&lt;'PlayerGrades+'!$AB$2,"S","S+"))))))))))))))))))))</f>
        <v>#DIV/0!</v>
      </c>
      <c r="H546" s="1423" t="str">
        <f t="shared" si="14"/>
        <v>#DIV/0!</v>
      </c>
      <c r="I546" s="1423" t="str">
        <f>IF(H546&lt;'PlayerGrades+'!$AC$21,"F-",IF(H546&lt;'PlayerGrades+'!$AC$20,"F",IF(H546&lt;'PlayerGrades+'!$AC$19,"F+",IF(H546&lt;'PlayerGrades+'!$AC$18,"E-",IF(H546&lt;'PlayerGrades+'!$AC$17,"E",IF(H546&lt;'PlayerGrades+'!$AC$16,"E+",IF(H546&lt;'PlayerGrades+'!$AC$15,"D-",IF(H546&lt;'PlayerGrades+'!$AC$14,"D",IF(H546&lt;'PlayerGrades+'!$AC$13,"D+",IF(H546&lt;'PlayerGrades+'!$AC$12,"C-",IF(H546&lt;'PlayerGrades+'!$AC$11,"C",IF(H546&lt;'PlayerGrades+'!$AC$10,"C+",IF(H546&lt;'PlayerGrades+'!$AC$9,"B-",IF(H546&lt;'PlayerGrades+'!$AC$8,"B",IF(H546&lt;'PlayerGrades+'!$AC$7,"B+",IF(H546&lt;'PlayerGrades+'!$AC$6,"A-",IF(H546&lt;'PlayerGrades+'!$AC$5,"A",IF(H546&lt;'PlayerGrades+'!$AC$4,"A+",IF(H546&lt;'PlayerGrades+'!$AC$3,"S-",IF(H546&lt;'PlayerGrades+'!$AC$2,"S","S+"))))))))))))))))))))</f>
        <v>#DIV/0!</v>
      </c>
      <c r="J546" s="1423" t="str">
        <f t="shared" si="15"/>
        <v>#DIV/0!</v>
      </c>
      <c r="K546" s="1423" t="str">
        <f>IF(J546&lt;'PlayerGrades+'!$AD$21,"F-",IF(J546&lt;'PlayerGrades+'!$AD$20,"F",IF(J546&lt;'PlayerGrades+'!$AD$19,"F+",IF(J546&lt;'PlayerGrades+'!$AD$18,"E-",IF(J546&lt;'PlayerGrades+'!$AD$17,"E",IF(J546&lt;'PlayerGrades+'!$AD$16,"E+",IF(J546&lt;'PlayerGrades+'!$AD$15,"D-",IF(J546&lt;'PlayerGrades+'!$AD$14,"D",IF(J546&lt;'PlayerGrades+'!$AD$13,"D+",IF(J546&lt;'PlayerGrades+'!$AD$12,"C-",IF(J546&lt;'PlayerGrades+'!$AD$11,"C",IF(J546&lt;'PlayerGrades+'!$AD$10,"C+",IF(J546&lt;'PlayerGrades+'!$AD$9,"B-",IF(J546&lt;'PlayerGrades+'!$AD$8,"B",IF(J546&lt;'PlayerGrades+'!$AD$7,"B+",IF(J546&lt;'PlayerGrades+'!$AD$6,"A-",IF(J546&lt;'PlayerGrades+'!$AD$5,"A",IF(J546&lt;'PlayerGrades+'!$AD$4,"A+",IF(J546&lt;'PlayerGrades+'!$AD$3,"S-",IF(J546&lt;'PlayerGrades+'!$AD$2,"S","S+"))))))))))))))))))))</f>
        <v>#DIV/0!</v>
      </c>
      <c r="L546" s="1176" t="str">
        <f t="shared" si="16"/>
        <v>#DIV/0!</v>
      </c>
      <c r="M546" s="992" t="str">
        <f>IF(L546&lt;'PlayerGrades+'!$AE$21,"F-",IF(L546&lt;'PlayerGrades+'!$AE$20,"F",IF(L546&lt;'PlayerGrades+'!$AE$19,"F+",IF(L546&lt;'PlayerGrades+'!$AE$18,"E-",IF(L546&lt;'PlayerGrades+'!$AE$17,"E",IF(L546&lt;'PlayerGrades+'!$AE$16,"E+",IF(L546&lt;'PlayerGrades+'!$AE$15,"D-",IF(L546&lt;'PlayerGrades+'!$AE$14,"D",IF(L546&lt;'PlayerGrades+'!$AE$13,"D+",IF(L546&lt;'PlayerGrades+'!$AE$12,"C-",IF(L546&lt;'PlayerGrades+'!$AE$11,"C",IF(L546&lt;'PlayerGrades+'!$AE$10,"C+",IF(L546&lt;'PlayerGrades+'!$AE$9,"B-",IF(L546&lt;'PlayerGrades+'!$AE$8,"B",IF(L546&lt;'PlayerGrades+'!$AE$7,"B+",IF(L546&lt;'PlayerGrades+'!$AE$6,"A-",IF(L546&lt;'PlayerGrades+'!$AE$5,"A",IF(L546&lt;'PlayerGrades+'!$AE$4,"A+",IF(L546&lt;'PlayerGrades+'!$AE$3,"S-",IF(L546&lt;'PlayerGrades+'!$AE$2,"S","S+"))))))))))))))))))))</f>
        <v>#DIV/0!</v>
      </c>
      <c r="N546" s="1423" t="str">
        <f t="shared" si="17"/>
        <v>#DIV/0!</v>
      </c>
      <c r="O546" s="1423" t="str">
        <f>IF(N546&lt;'PlayerGrades+'!$AF$21,"F-",IF(N546&lt;'PlayerGrades+'!$AF$20,"F",IF(N546&lt;'PlayerGrades+'!$AF$19,"F+",IF(N546&lt;'PlayerGrades+'!$AF$18,"E-",IF(N546&lt;'PlayerGrades+'!$AF$17,"E",IF(N546&lt;'PlayerGrades+'!$AF$16,"E+",IF(N546&lt;'PlayerGrades+'!$AF$15,"D-",IF(N546&lt;'PlayerGrades+'!$AF$14,"D",IF(N546&lt;'PlayerGrades+'!$AF$13,"D+",IF(N546&lt;'PlayerGrades+'!$AF$12,"C-",IF(N546&lt;'PlayerGrades+'!$AF$11,"C",IF(N546&lt;'PlayerGrades+'!$AF$10,"C+",IF(N546&lt;'PlayerGrades+'!$AF$9,"B-",IF(N546&lt;'PlayerGrades+'!$AF$8,"B",IF(N546&lt;'PlayerGrades+'!$AF$7,"B+",IF(N546&lt;'PlayerGrades+'!$AF$6,"A-",IF(N546&lt;'PlayerGrades+'!$AF$5,"A",IF(N546&lt;'PlayerGrades+'!$AF$4,"A+",IF(N546&lt;'PlayerGrades+'!$AF$3,"S-",IF(N546&lt;'PlayerGrades+'!$AF$2,"S","S+"))))))))))))))))))))</f>
        <v>#DIV/0!</v>
      </c>
      <c r="P546" s="1423" t="str">
        <f t="shared" si="18"/>
        <v>#DIV/0!</v>
      </c>
      <c r="Q546" s="1423" t="str">
        <f>IF(P546&lt;'PlayerGrades+'!$AG$21,"F-",IF(P546&lt;'PlayerGrades+'!$AG$20,"F",IF(P546&lt;'PlayerGrades+'!$AG$19,"F+",IF(P546&lt;'PlayerGrades+'!$AG$18,"E-",IF(P546&lt;'PlayerGrades+'!$AG$17,"E",IF(P546&lt;'PlayerGrades+'!$AG$16,"E+",IF(P546&lt;'PlayerGrades+'!$AG$15,"D-",IF(P546&lt;'PlayerGrades+'!$AG$14,"D",IF(P546&lt;'PlayerGrades+'!$AG$13,"D+",IF(P546&lt;'PlayerGrades+'!$AG$12,"C-",IF(P546&lt;'PlayerGrades+'!$AG$11,"C",IF(P546&lt;'PlayerGrades+'!$AG$10,"C+",IF(P546&lt;'PlayerGrades+'!$AG$9,"B-",IF(P546&lt;'PlayerGrades+'!$AG$8,"B",IF(P546&lt;'PlayerGrades+'!$AG$7,"B+",IF(P546&lt;'PlayerGrades+'!$AG$6,"A-",IF(P546&lt;'PlayerGrades+'!$AG$5,"A",IF(P546&lt;'PlayerGrades+'!$AG$4,"A+",IF(P546&lt;'PlayerGrades+'!$AG$3,"S-",IF(P546&lt;'PlayerGrades+'!$AG$2,"S","S+"))))))))))))))))))))</f>
        <v>#DIV/0!</v>
      </c>
      <c r="R546" s="1423" t="str">
        <f t="shared" si="19"/>
        <v>#REF!</v>
      </c>
      <c r="S546" s="1423" t="str">
        <f>IF(R546&lt;'PlayerGrades+'!$AH$21,"F-",IF(R546&lt;'PlayerGrades+'!$AH$20,"F",IF(R546&lt;'PlayerGrades+'!$AH$19,"F+",IF(R546&lt;'PlayerGrades+'!$AH$18,"E-",IF(R546&lt;'PlayerGrades+'!$AH$17,"E",IF(R546&lt;'PlayerGrades+'!$AH$16,"E+",IF(R546&lt;'PlayerGrades+'!$AH$15,"D-",IF(R546&lt;'PlayerGrades+'!$AH$14,"D",IF(R546&lt;'PlayerGrades+'!$AH$13,"D+",IF(R546&lt;'PlayerGrades+'!$AH$12,"C-",IF(R546&lt;'PlayerGrades+'!$AH$11,"C",IF(R546&lt;'PlayerGrades+'!$AH$10,"C+",IF(R546&lt;'PlayerGrades+'!$AH$9,"B-",IF(R546&lt;'PlayerGrades+'!$AH$8,"B",IF(R546&lt;'PlayerGrades+'!$AH$7,"B+",IF(R546&lt;'PlayerGrades+'!$AH$6,"A-",IF(R546&lt;'PlayerGrades+'!$AH$5,"A",IF(R546&lt;'PlayerGrades+'!$AH$4,"A+",IF(R546&lt;'PlayerGrades+'!$AH$3,"S-",IF(R546&lt;'PlayerGrades+'!$AH$2,"S","S+"))))))))))))))))))))</f>
        <v>#REF!</v>
      </c>
      <c r="T546" s="1423" t="str">
        <f t="shared" si="20"/>
        <v>#REF!</v>
      </c>
      <c r="U546" s="1423" t="str">
        <f>IF(T546&lt;'PlayerGrades+'!$AI$21,"F-",IF(T546&lt;'PlayerGrades+'!$AI$20,"F",IF(T546&lt;'PlayerGrades+'!$AI$19,"F+",IF(T546&lt;'PlayerGrades+'!$AI$18,"E-",IF(T546&lt;'PlayerGrades+'!$AI$17,"E",IF(T546&lt;'PlayerGrades+'!$AI$16,"E+",IF(T546&lt;'PlayerGrades+'!$AI$15,"D-",IF(T546&lt;'PlayerGrades+'!$AI$14,"D",IF(T546&lt;'PlayerGrades+'!$AI$13,"D+",IF(T546&lt;'PlayerGrades+'!$AI$12,"C-",IF(T546&lt;'PlayerGrades+'!$AI$11,"C",IF(T546&lt;'PlayerGrades+'!$AI$10,"C+",IF(T546&lt;'PlayerGrades+'!$AI$9,"B-",IF(T546&lt;'PlayerGrades+'!$AI$8,"B",IF(T546&lt;'PlayerGrades+'!$AI$7,"B+",IF(T546&lt;'PlayerGrades+'!$AI$6,"A-",IF(T546&lt;'PlayerGrades+'!$AI$5,"A",IF(T546&lt;'PlayerGrades+'!$AI$4,"A+",IF(T546&lt;'PlayerGrades+'!$AI$3,"S-",IF(T546&lt;'PlayerGrades+'!$AI$2,"S","S+"))))))))))))))))))))</f>
        <v>#REF!</v>
      </c>
      <c r="AC546" s="1392"/>
    </row>
    <row r="547">
      <c r="B547" s="1421" t="str">
        <f>IF(C547&lt;'PlayerGrades+'!$Y$44,"F-",IF(C547&lt;'PlayerGrades+'!$Y$43,"F",IF(C547&lt;'PlayerGrades+'!$Y$42,"F+",IF(C547&lt;'PlayerGrades+'!$Y$41,"E-",IF(C547&lt;'PlayerGrades+'!$Y$40,"E",IF(C547&lt;'PlayerGrades+'!$Y$39,"E+",IF(C547&lt;'PlayerGrades+'!$Y$38,"D-",IF(C547&lt;'PlayerGrades+'!$Y$37,"D",IF(C547&lt;'PlayerGrades+'!$Y$36,"D+",IF(C547&lt;'PlayerGrades+'!$Y$35,"C-",IF(C547&lt;'PlayerGrades+'!$Y$34,"C",IF(C547&lt;'PlayerGrades+'!$Y$33,"C+",IF(C547&lt;'PlayerGrades+'!$Y$32,"B-",IF(C547&lt;'PlayerGrades+'!$Y$31,"B",IF(C547&lt;'PlayerGrades+'!$Y$30,"B+",IF(C547&lt;'PlayerGrades+'!$Y$29,"A-",IF(C547&lt;'PlayerGrades+'!$Y$28,"A",IF(C547&lt;'PlayerGrades+'!$Y$27,"A+",IF(C547&lt;'PlayerGrades+'!$Y$26,"S-",IF(C547&lt;'PlayerGrades+'!$Y$25,"S","S+"))))))))))))))))))))</f>
        <v>#DIV/0!</v>
      </c>
      <c r="C547" s="1422" t="str">
        <f>('PlayerGrades+'!$Y$47*(VLOOKUP(E547, 'PlayerGrades+'!$X$3:$Y$23, 2, FALSE)))+('PlayerGrades+'!$Y$48*(VLOOKUP(G547, 'PlayerGrades+'!$X$3:$Y$23, 2, FALSE)))+('PlayerGrades+'!$Y$49*(VLOOKUP(I547, 'PlayerGrades+'!$X$3:$Y$23, 2, FALSE)))+('PlayerGrades+'!$Y$50*(VLOOKUP(K547, 'PlayerGrades+'!$X$3:$Y$23, 2, FALSE)))+('PlayerGrades+'!$Y$51*(VLOOKUP(M547, 'PlayerGrades+'!$X$3:$Y$23, 2, FALSE)))+('PlayerGrades+'!$Y$52*(VLOOKUP(O547, 'PlayerGrades+'!$X$3:$Y$23, 2, FALSE)))+('PlayerGrades+'!$Y$53*(VLOOKUP(Q547, 'PlayerGrades+'!$X$3:$Y$23, 2, FALSE)))+('PlayerGrades+'!$Y$54*(VLOOKUP(S547, 'PlayerGrades+'!$X$3:$Y$23, 2, FALSE)))+('PlayerGrades+'!$Y$55*(VLOOKUP(U547, 'PlayerGrades+'!$X$3:$Y$23, 2, FALSE)))</f>
        <v>#DIV/0!</v>
      </c>
      <c r="D547" s="1423" t="str">
        <f t="shared" si="12"/>
        <v>#DIV/0!</v>
      </c>
      <c r="E547" s="1423" t="str">
        <f>IF(D547&lt;'PlayerGrades+'!$AA$21,"F-",IF(D547&lt;'PlayerGrades+'!$AA$20,"F",IF(D547&lt;'PlayerGrades+'!$AA$19,"F+",IF(D547&lt;'PlayerGrades+'!$AA$18,"E-",IF(D547&lt;'PlayerGrades+'!$AA$17,"E",IF(D547&lt;'PlayerGrades+'!$AA$16,"E+",IF(D547&lt;'PlayerGrades+'!$AA$15,"D-",IF(D547&lt;'PlayerGrades+'!$AA$14,"D",IF(D547&lt;'PlayerGrades+'!$AA$13,"D+",IF(D547&lt;'PlayerGrades+'!$AA$12,"C-",IF(D547&lt;'PlayerGrades+'!$AA$11,"C",IF(D547&lt;'PlayerGrades+'!$AA$10,"C+",IF(D547&lt;'PlayerGrades+'!$AA$9,"B-",IF(D547&lt;'PlayerGrades+'!$AA$8,"B",IF(D547&lt;'PlayerGrades+'!$AA$7,"B+",IF(D547&lt;'PlayerGrades+'!$AA$6,"A-",IF(D547&lt;'PlayerGrades+'!$AA$5,"A",IF(D547&lt;'PlayerGrades+'!$AA$4,"A+",IF(D547&lt;'PlayerGrades+'!$AA$3,"S-",IF(D547&lt;'PlayerGrades+'!$AA$2,"S","S+"))))))))))))))))))))</f>
        <v>#DIV/0!</v>
      </c>
      <c r="F547" s="1423" t="str">
        <f t="shared" si="13"/>
        <v>#DIV/0!</v>
      </c>
      <c r="G547" s="1423" t="str">
        <f>IF(F547&lt;'PlayerGrades+'!$AB$21,"F-",IF(F547&lt;'PlayerGrades+'!$AB$20,"F",IF(F547&lt;'PlayerGrades+'!$AB$19,"F+",IF(F547&lt;'PlayerGrades+'!$AB$18,"E-",IF(F547&lt;'PlayerGrades+'!$AB$17,"E",IF(F547&lt;'PlayerGrades+'!$AB$16,"E+",IF(F547&lt;'PlayerGrades+'!$AB$15,"D-",IF(F547&lt;'PlayerGrades+'!$AB$14,"D",IF(F547&lt;'PlayerGrades+'!$AB$13,"D+",IF(F547&lt;'PlayerGrades+'!$AB$12,"C-",IF(F547&lt;'PlayerGrades+'!$AB$11,"C",IF(F547&lt;'PlayerGrades+'!$AB$10,"C+",IF(F547&lt;'PlayerGrades+'!$AB$9,"B-",IF(F547&lt;'PlayerGrades+'!$AB$8,"B",IF(F547&lt;'PlayerGrades+'!$AB$7,"B+",IF(F547&lt;'PlayerGrades+'!$AB$6,"A-",IF(F547&lt;'PlayerGrades+'!$AB$5,"A",IF(F547&lt;'PlayerGrades+'!$AB$4,"A+",IF(F547&lt;'PlayerGrades+'!$AB$3,"S-",IF(F547&lt;'PlayerGrades+'!$AB$2,"S","S+"))))))))))))))))))))</f>
        <v>#DIV/0!</v>
      </c>
      <c r="H547" s="1423" t="str">
        <f t="shared" si="14"/>
        <v>#DIV/0!</v>
      </c>
      <c r="I547" s="1423" t="str">
        <f>IF(H547&lt;'PlayerGrades+'!$AC$21,"F-",IF(H547&lt;'PlayerGrades+'!$AC$20,"F",IF(H547&lt;'PlayerGrades+'!$AC$19,"F+",IF(H547&lt;'PlayerGrades+'!$AC$18,"E-",IF(H547&lt;'PlayerGrades+'!$AC$17,"E",IF(H547&lt;'PlayerGrades+'!$AC$16,"E+",IF(H547&lt;'PlayerGrades+'!$AC$15,"D-",IF(H547&lt;'PlayerGrades+'!$AC$14,"D",IF(H547&lt;'PlayerGrades+'!$AC$13,"D+",IF(H547&lt;'PlayerGrades+'!$AC$12,"C-",IF(H547&lt;'PlayerGrades+'!$AC$11,"C",IF(H547&lt;'PlayerGrades+'!$AC$10,"C+",IF(H547&lt;'PlayerGrades+'!$AC$9,"B-",IF(H547&lt;'PlayerGrades+'!$AC$8,"B",IF(H547&lt;'PlayerGrades+'!$AC$7,"B+",IF(H547&lt;'PlayerGrades+'!$AC$6,"A-",IF(H547&lt;'PlayerGrades+'!$AC$5,"A",IF(H547&lt;'PlayerGrades+'!$AC$4,"A+",IF(H547&lt;'PlayerGrades+'!$AC$3,"S-",IF(H547&lt;'PlayerGrades+'!$AC$2,"S","S+"))))))))))))))))))))</f>
        <v>#DIV/0!</v>
      </c>
      <c r="J547" s="1423" t="str">
        <f t="shared" si="15"/>
        <v>#DIV/0!</v>
      </c>
      <c r="K547" s="1423" t="str">
        <f>IF(J547&lt;'PlayerGrades+'!$AD$21,"F-",IF(J547&lt;'PlayerGrades+'!$AD$20,"F",IF(J547&lt;'PlayerGrades+'!$AD$19,"F+",IF(J547&lt;'PlayerGrades+'!$AD$18,"E-",IF(J547&lt;'PlayerGrades+'!$AD$17,"E",IF(J547&lt;'PlayerGrades+'!$AD$16,"E+",IF(J547&lt;'PlayerGrades+'!$AD$15,"D-",IF(J547&lt;'PlayerGrades+'!$AD$14,"D",IF(J547&lt;'PlayerGrades+'!$AD$13,"D+",IF(J547&lt;'PlayerGrades+'!$AD$12,"C-",IF(J547&lt;'PlayerGrades+'!$AD$11,"C",IF(J547&lt;'PlayerGrades+'!$AD$10,"C+",IF(J547&lt;'PlayerGrades+'!$AD$9,"B-",IF(J547&lt;'PlayerGrades+'!$AD$8,"B",IF(J547&lt;'PlayerGrades+'!$AD$7,"B+",IF(J547&lt;'PlayerGrades+'!$AD$6,"A-",IF(J547&lt;'PlayerGrades+'!$AD$5,"A",IF(J547&lt;'PlayerGrades+'!$AD$4,"A+",IF(J547&lt;'PlayerGrades+'!$AD$3,"S-",IF(J547&lt;'PlayerGrades+'!$AD$2,"S","S+"))))))))))))))))))))</f>
        <v>#DIV/0!</v>
      </c>
      <c r="L547" s="1176" t="str">
        <f t="shared" si="16"/>
        <v>#DIV/0!</v>
      </c>
      <c r="M547" s="992" t="str">
        <f>IF(L547&lt;'PlayerGrades+'!$AE$21,"F-",IF(L547&lt;'PlayerGrades+'!$AE$20,"F",IF(L547&lt;'PlayerGrades+'!$AE$19,"F+",IF(L547&lt;'PlayerGrades+'!$AE$18,"E-",IF(L547&lt;'PlayerGrades+'!$AE$17,"E",IF(L547&lt;'PlayerGrades+'!$AE$16,"E+",IF(L547&lt;'PlayerGrades+'!$AE$15,"D-",IF(L547&lt;'PlayerGrades+'!$AE$14,"D",IF(L547&lt;'PlayerGrades+'!$AE$13,"D+",IF(L547&lt;'PlayerGrades+'!$AE$12,"C-",IF(L547&lt;'PlayerGrades+'!$AE$11,"C",IF(L547&lt;'PlayerGrades+'!$AE$10,"C+",IF(L547&lt;'PlayerGrades+'!$AE$9,"B-",IF(L547&lt;'PlayerGrades+'!$AE$8,"B",IF(L547&lt;'PlayerGrades+'!$AE$7,"B+",IF(L547&lt;'PlayerGrades+'!$AE$6,"A-",IF(L547&lt;'PlayerGrades+'!$AE$5,"A",IF(L547&lt;'PlayerGrades+'!$AE$4,"A+",IF(L547&lt;'PlayerGrades+'!$AE$3,"S-",IF(L547&lt;'PlayerGrades+'!$AE$2,"S","S+"))))))))))))))))))))</f>
        <v>#DIV/0!</v>
      </c>
      <c r="N547" s="1423" t="str">
        <f t="shared" si="17"/>
        <v>#DIV/0!</v>
      </c>
      <c r="O547" s="1423" t="str">
        <f>IF(N547&lt;'PlayerGrades+'!$AF$21,"F-",IF(N547&lt;'PlayerGrades+'!$AF$20,"F",IF(N547&lt;'PlayerGrades+'!$AF$19,"F+",IF(N547&lt;'PlayerGrades+'!$AF$18,"E-",IF(N547&lt;'PlayerGrades+'!$AF$17,"E",IF(N547&lt;'PlayerGrades+'!$AF$16,"E+",IF(N547&lt;'PlayerGrades+'!$AF$15,"D-",IF(N547&lt;'PlayerGrades+'!$AF$14,"D",IF(N547&lt;'PlayerGrades+'!$AF$13,"D+",IF(N547&lt;'PlayerGrades+'!$AF$12,"C-",IF(N547&lt;'PlayerGrades+'!$AF$11,"C",IF(N547&lt;'PlayerGrades+'!$AF$10,"C+",IF(N547&lt;'PlayerGrades+'!$AF$9,"B-",IF(N547&lt;'PlayerGrades+'!$AF$8,"B",IF(N547&lt;'PlayerGrades+'!$AF$7,"B+",IF(N547&lt;'PlayerGrades+'!$AF$6,"A-",IF(N547&lt;'PlayerGrades+'!$AF$5,"A",IF(N547&lt;'PlayerGrades+'!$AF$4,"A+",IF(N547&lt;'PlayerGrades+'!$AF$3,"S-",IF(N547&lt;'PlayerGrades+'!$AF$2,"S","S+"))))))))))))))))))))</f>
        <v>#DIV/0!</v>
      </c>
      <c r="P547" s="1423" t="str">
        <f t="shared" si="18"/>
        <v>#DIV/0!</v>
      </c>
      <c r="Q547" s="1423" t="str">
        <f>IF(P547&lt;'PlayerGrades+'!$AG$21,"F-",IF(P547&lt;'PlayerGrades+'!$AG$20,"F",IF(P547&lt;'PlayerGrades+'!$AG$19,"F+",IF(P547&lt;'PlayerGrades+'!$AG$18,"E-",IF(P547&lt;'PlayerGrades+'!$AG$17,"E",IF(P547&lt;'PlayerGrades+'!$AG$16,"E+",IF(P547&lt;'PlayerGrades+'!$AG$15,"D-",IF(P547&lt;'PlayerGrades+'!$AG$14,"D",IF(P547&lt;'PlayerGrades+'!$AG$13,"D+",IF(P547&lt;'PlayerGrades+'!$AG$12,"C-",IF(P547&lt;'PlayerGrades+'!$AG$11,"C",IF(P547&lt;'PlayerGrades+'!$AG$10,"C+",IF(P547&lt;'PlayerGrades+'!$AG$9,"B-",IF(P547&lt;'PlayerGrades+'!$AG$8,"B",IF(P547&lt;'PlayerGrades+'!$AG$7,"B+",IF(P547&lt;'PlayerGrades+'!$AG$6,"A-",IF(P547&lt;'PlayerGrades+'!$AG$5,"A",IF(P547&lt;'PlayerGrades+'!$AG$4,"A+",IF(P547&lt;'PlayerGrades+'!$AG$3,"S-",IF(P547&lt;'PlayerGrades+'!$AG$2,"S","S+"))))))))))))))))))))</f>
        <v>#DIV/0!</v>
      </c>
      <c r="R547" s="1423" t="str">
        <f t="shared" si="19"/>
        <v>#REF!</v>
      </c>
      <c r="S547" s="1423" t="str">
        <f>IF(R547&lt;'PlayerGrades+'!$AH$21,"F-",IF(R547&lt;'PlayerGrades+'!$AH$20,"F",IF(R547&lt;'PlayerGrades+'!$AH$19,"F+",IF(R547&lt;'PlayerGrades+'!$AH$18,"E-",IF(R547&lt;'PlayerGrades+'!$AH$17,"E",IF(R547&lt;'PlayerGrades+'!$AH$16,"E+",IF(R547&lt;'PlayerGrades+'!$AH$15,"D-",IF(R547&lt;'PlayerGrades+'!$AH$14,"D",IF(R547&lt;'PlayerGrades+'!$AH$13,"D+",IF(R547&lt;'PlayerGrades+'!$AH$12,"C-",IF(R547&lt;'PlayerGrades+'!$AH$11,"C",IF(R547&lt;'PlayerGrades+'!$AH$10,"C+",IF(R547&lt;'PlayerGrades+'!$AH$9,"B-",IF(R547&lt;'PlayerGrades+'!$AH$8,"B",IF(R547&lt;'PlayerGrades+'!$AH$7,"B+",IF(R547&lt;'PlayerGrades+'!$AH$6,"A-",IF(R547&lt;'PlayerGrades+'!$AH$5,"A",IF(R547&lt;'PlayerGrades+'!$AH$4,"A+",IF(R547&lt;'PlayerGrades+'!$AH$3,"S-",IF(R547&lt;'PlayerGrades+'!$AH$2,"S","S+"))))))))))))))))))))</f>
        <v>#REF!</v>
      </c>
      <c r="T547" s="1423" t="str">
        <f t="shared" si="20"/>
        <v>#REF!</v>
      </c>
      <c r="U547" s="1423" t="str">
        <f>IF(T547&lt;'PlayerGrades+'!$AI$21,"F-",IF(T547&lt;'PlayerGrades+'!$AI$20,"F",IF(T547&lt;'PlayerGrades+'!$AI$19,"F+",IF(T547&lt;'PlayerGrades+'!$AI$18,"E-",IF(T547&lt;'PlayerGrades+'!$AI$17,"E",IF(T547&lt;'PlayerGrades+'!$AI$16,"E+",IF(T547&lt;'PlayerGrades+'!$AI$15,"D-",IF(T547&lt;'PlayerGrades+'!$AI$14,"D",IF(T547&lt;'PlayerGrades+'!$AI$13,"D+",IF(T547&lt;'PlayerGrades+'!$AI$12,"C-",IF(T547&lt;'PlayerGrades+'!$AI$11,"C",IF(T547&lt;'PlayerGrades+'!$AI$10,"C+",IF(T547&lt;'PlayerGrades+'!$AI$9,"B-",IF(T547&lt;'PlayerGrades+'!$AI$8,"B",IF(T547&lt;'PlayerGrades+'!$AI$7,"B+",IF(T547&lt;'PlayerGrades+'!$AI$6,"A-",IF(T547&lt;'PlayerGrades+'!$AI$5,"A",IF(T547&lt;'PlayerGrades+'!$AI$4,"A+",IF(T547&lt;'PlayerGrades+'!$AI$3,"S-",IF(T547&lt;'PlayerGrades+'!$AI$2,"S","S+"))))))))))))))))))))</f>
        <v>#REF!</v>
      </c>
      <c r="AC547" s="1392"/>
    </row>
    <row r="548">
      <c r="B548" s="1421" t="str">
        <f>IF(C548&lt;'PlayerGrades+'!$Y$44,"F-",IF(C548&lt;'PlayerGrades+'!$Y$43,"F",IF(C548&lt;'PlayerGrades+'!$Y$42,"F+",IF(C548&lt;'PlayerGrades+'!$Y$41,"E-",IF(C548&lt;'PlayerGrades+'!$Y$40,"E",IF(C548&lt;'PlayerGrades+'!$Y$39,"E+",IF(C548&lt;'PlayerGrades+'!$Y$38,"D-",IF(C548&lt;'PlayerGrades+'!$Y$37,"D",IF(C548&lt;'PlayerGrades+'!$Y$36,"D+",IF(C548&lt;'PlayerGrades+'!$Y$35,"C-",IF(C548&lt;'PlayerGrades+'!$Y$34,"C",IF(C548&lt;'PlayerGrades+'!$Y$33,"C+",IF(C548&lt;'PlayerGrades+'!$Y$32,"B-",IF(C548&lt;'PlayerGrades+'!$Y$31,"B",IF(C548&lt;'PlayerGrades+'!$Y$30,"B+",IF(C548&lt;'PlayerGrades+'!$Y$29,"A-",IF(C548&lt;'PlayerGrades+'!$Y$28,"A",IF(C548&lt;'PlayerGrades+'!$Y$27,"A+",IF(C548&lt;'PlayerGrades+'!$Y$26,"S-",IF(C548&lt;'PlayerGrades+'!$Y$25,"S","S+"))))))))))))))))))))</f>
        <v>#DIV/0!</v>
      </c>
      <c r="C548" s="1422" t="str">
        <f>('PlayerGrades+'!$Y$47*(VLOOKUP(E548, 'PlayerGrades+'!$X$3:$Y$23, 2, FALSE)))+('PlayerGrades+'!$Y$48*(VLOOKUP(G548, 'PlayerGrades+'!$X$3:$Y$23, 2, FALSE)))+('PlayerGrades+'!$Y$49*(VLOOKUP(I548, 'PlayerGrades+'!$X$3:$Y$23, 2, FALSE)))+('PlayerGrades+'!$Y$50*(VLOOKUP(K548, 'PlayerGrades+'!$X$3:$Y$23, 2, FALSE)))+('PlayerGrades+'!$Y$51*(VLOOKUP(M548, 'PlayerGrades+'!$X$3:$Y$23, 2, FALSE)))+('PlayerGrades+'!$Y$52*(VLOOKUP(O548, 'PlayerGrades+'!$X$3:$Y$23, 2, FALSE)))+('PlayerGrades+'!$Y$53*(VLOOKUP(Q548, 'PlayerGrades+'!$X$3:$Y$23, 2, FALSE)))+('PlayerGrades+'!$Y$54*(VLOOKUP(S548, 'PlayerGrades+'!$X$3:$Y$23, 2, FALSE)))+('PlayerGrades+'!$Y$55*(VLOOKUP(U548, 'PlayerGrades+'!$X$3:$Y$23, 2, FALSE)))</f>
        <v>#DIV/0!</v>
      </c>
      <c r="D548" s="1423" t="str">
        <f t="shared" si="12"/>
        <v>#DIV/0!</v>
      </c>
      <c r="E548" s="1423" t="str">
        <f>IF(D548&lt;'PlayerGrades+'!$AA$21,"F-",IF(D548&lt;'PlayerGrades+'!$AA$20,"F",IF(D548&lt;'PlayerGrades+'!$AA$19,"F+",IF(D548&lt;'PlayerGrades+'!$AA$18,"E-",IF(D548&lt;'PlayerGrades+'!$AA$17,"E",IF(D548&lt;'PlayerGrades+'!$AA$16,"E+",IF(D548&lt;'PlayerGrades+'!$AA$15,"D-",IF(D548&lt;'PlayerGrades+'!$AA$14,"D",IF(D548&lt;'PlayerGrades+'!$AA$13,"D+",IF(D548&lt;'PlayerGrades+'!$AA$12,"C-",IF(D548&lt;'PlayerGrades+'!$AA$11,"C",IF(D548&lt;'PlayerGrades+'!$AA$10,"C+",IF(D548&lt;'PlayerGrades+'!$AA$9,"B-",IF(D548&lt;'PlayerGrades+'!$AA$8,"B",IF(D548&lt;'PlayerGrades+'!$AA$7,"B+",IF(D548&lt;'PlayerGrades+'!$AA$6,"A-",IF(D548&lt;'PlayerGrades+'!$AA$5,"A",IF(D548&lt;'PlayerGrades+'!$AA$4,"A+",IF(D548&lt;'PlayerGrades+'!$AA$3,"S-",IF(D548&lt;'PlayerGrades+'!$AA$2,"S","S+"))))))))))))))))))))</f>
        <v>#DIV/0!</v>
      </c>
      <c r="F548" s="1423" t="str">
        <f t="shared" si="13"/>
        <v>#DIV/0!</v>
      </c>
      <c r="G548" s="1423" t="str">
        <f>IF(F548&lt;'PlayerGrades+'!$AB$21,"F-",IF(F548&lt;'PlayerGrades+'!$AB$20,"F",IF(F548&lt;'PlayerGrades+'!$AB$19,"F+",IF(F548&lt;'PlayerGrades+'!$AB$18,"E-",IF(F548&lt;'PlayerGrades+'!$AB$17,"E",IF(F548&lt;'PlayerGrades+'!$AB$16,"E+",IF(F548&lt;'PlayerGrades+'!$AB$15,"D-",IF(F548&lt;'PlayerGrades+'!$AB$14,"D",IF(F548&lt;'PlayerGrades+'!$AB$13,"D+",IF(F548&lt;'PlayerGrades+'!$AB$12,"C-",IF(F548&lt;'PlayerGrades+'!$AB$11,"C",IF(F548&lt;'PlayerGrades+'!$AB$10,"C+",IF(F548&lt;'PlayerGrades+'!$AB$9,"B-",IF(F548&lt;'PlayerGrades+'!$AB$8,"B",IF(F548&lt;'PlayerGrades+'!$AB$7,"B+",IF(F548&lt;'PlayerGrades+'!$AB$6,"A-",IF(F548&lt;'PlayerGrades+'!$AB$5,"A",IF(F548&lt;'PlayerGrades+'!$AB$4,"A+",IF(F548&lt;'PlayerGrades+'!$AB$3,"S-",IF(F548&lt;'PlayerGrades+'!$AB$2,"S","S+"))))))))))))))))))))</f>
        <v>#DIV/0!</v>
      </c>
      <c r="H548" s="1423" t="str">
        <f t="shared" si="14"/>
        <v>#DIV/0!</v>
      </c>
      <c r="I548" s="1423" t="str">
        <f>IF(H548&lt;'PlayerGrades+'!$AC$21,"F-",IF(H548&lt;'PlayerGrades+'!$AC$20,"F",IF(H548&lt;'PlayerGrades+'!$AC$19,"F+",IF(H548&lt;'PlayerGrades+'!$AC$18,"E-",IF(H548&lt;'PlayerGrades+'!$AC$17,"E",IF(H548&lt;'PlayerGrades+'!$AC$16,"E+",IF(H548&lt;'PlayerGrades+'!$AC$15,"D-",IF(H548&lt;'PlayerGrades+'!$AC$14,"D",IF(H548&lt;'PlayerGrades+'!$AC$13,"D+",IF(H548&lt;'PlayerGrades+'!$AC$12,"C-",IF(H548&lt;'PlayerGrades+'!$AC$11,"C",IF(H548&lt;'PlayerGrades+'!$AC$10,"C+",IF(H548&lt;'PlayerGrades+'!$AC$9,"B-",IF(H548&lt;'PlayerGrades+'!$AC$8,"B",IF(H548&lt;'PlayerGrades+'!$AC$7,"B+",IF(H548&lt;'PlayerGrades+'!$AC$6,"A-",IF(H548&lt;'PlayerGrades+'!$AC$5,"A",IF(H548&lt;'PlayerGrades+'!$AC$4,"A+",IF(H548&lt;'PlayerGrades+'!$AC$3,"S-",IF(H548&lt;'PlayerGrades+'!$AC$2,"S","S+"))))))))))))))))))))</f>
        <v>#DIV/0!</v>
      </c>
      <c r="J548" s="1423" t="str">
        <f t="shared" si="15"/>
        <v>#DIV/0!</v>
      </c>
      <c r="K548" s="1423" t="str">
        <f>IF(J548&lt;'PlayerGrades+'!$AD$21,"F-",IF(J548&lt;'PlayerGrades+'!$AD$20,"F",IF(J548&lt;'PlayerGrades+'!$AD$19,"F+",IF(J548&lt;'PlayerGrades+'!$AD$18,"E-",IF(J548&lt;'PlayerGrades+'!$AD$17,"E",IF(J548&lt;'PlayerGrades+'!$AD$16,"E+",IF(J548&lt;'PlayerGrades+'!$AD$15,"D-",IF(J548&lt;'PlayerGrades+'!$AD$14,"D",IF(J548&lt;'PlayerGrades+'!$AD$13,"D+",IF(J548&lt;'PlayerGrades+'!$AD$12,"C-",IF(J548&lt;'PlayerGrades+'!$AD$11,"C",IF(J548&lt;'PlayerGrades+'!$AD$10,"C+",IF(J548&lt;'PlayerGrades+'!$AD$9,"B-",IF(J548&lt;'PlayerGrades+'!$AD$8,"B",IF(J548&lt;'PlayerGrades+'!$AD$7,"B+",IF(J548&lt;'PlayerGrades+'!$AD$6,"A-",IF(J548&lt;'PlayerGrades+'!$AD$5,"A",IF(J548&lt;'PlayerGrades+'!$AD$4,"A+",IF(J548&lt;'PlayerGrades+'!$AD$3,"S-",IF(J548&lt;'PlayerGrades+'!$AD$2,"S","S+"))))))))))))))))))))</f>
        <v>#DIV/0!</v>
      </c>
      <c r="L548" s="1176" t="str">
        <f t="shared" si="16"/>
        <v>#DIV/0!</v>
      </c>
      <c r="M548" s="992" t="str">
        <f>IF(L548&lt;'PlayerGrades+'!$AE$21,"F-",IF(L548&lt;'PlayerGrades+'!$AE$20,"F",IF(L548&lt;'PlayerGrades+'!$AE$19,"F+",IF(L548&lt;'PlayerGrades+'!$AE$18,"E-",IF(L548&lt;'PlayerGrades+'!$AE$17,"E",IF(L548&lt;'PlayerGrades+'!$AE$16,"E+",IF(L548&lt;'PlayerGrades+'!$AE$15,"D-",IF(L548&lt;'PlayerGrades+'!$AE$14,"D",IF(L548&lt;'PlayerGrades+'!$AE$13,"D+",IF(L548&lt;'PlayerGrades+'!$AE$12,"C-",IF(L548&lt;'PlayerGrades+'!$AE$11,"C",IF(L548&lt;'PlayerGrades+'!$AE$10,"C+",IF(L548&lt;'PlayerGrades+'!$AE$9,"B-",IF(L548&lt;'PlayerGrades+'!$AE$8,"B",IF(L548&lt;'PlayerGrades+'!$AE$7,"B+",IF(L548&lt;'PlayerGrades+'!$AE$6,"A-",IF(L548&lt;'PlayerGrades+'!$AE$5,"A",IF(L548&lt;'PlayerGrades+'!$AE$4,"A+",IF(L548&lt;'PlayerGrades+'!$AE$3,"S-",IF(L548&lt;'PlayerGrades+'!$AE$2,"S","S+"))))))))))))))))))))</f>
        <v>#DIV/0!</v>
      </c>
      <c r="N548" s="1423" t="str">
        <f t="shared" si="17"/>
        <v>#DIV/0!</v>
      </c>
      <c r="O548" s="1423" t="str">
        <f>IF(N548&lt;'PlayerGrades+'!$AF$21,"F-",IF(N548&lt;'PlayerGrades+'!$AF$20,"F",IF(N548&lt;'PlayerGrades+'!$AF$19,"F+",IF(N548&lt;'PlayerGrades+'!$AF$18,"E-",IF(N548&lt;'PlayerGrades+'!$AF$17,"E",IF(N548&lt;'PlayerGrades+'!$AF$16,"E+",IF(N548&lt;'PlayerGrades+'!$AF$15,"D-",IF(N548&lt;'PlayerGrades+'!$AF$14,"D",IF(N548&lt;'PlayerGrades+'!$AF$13,"D+",IF(N548&lt;'PlayerGrades+'!$AF$12,"C-",IF(N548&lt;'PlayerGrades+'!$AF$11,"C",IF(N548&lt;'PlayerGrades+'!$AF$10,"C+",IF(N548&lt;'PlayerGrades+'!$AF$9,"B-",IF(N548&lt;'PlayerGrades+'!$AF$8,"B",IF(N548&lt;'PlayerGrades+'!$AF$7,"B+",IF(N548&lt;'PlayerGrades+'!$AF$6,"A-",IF(N548&lt;'PlayerGrades+'!$AF$5,"A",IF(N548&lt;'PlayerGrades+'!$AF$4,"A+",IF(N548&lt;'PlayerGrades+'!$AF$3,"S-",IF(N548&lt;'PlayerGrades+'!$AF$2,"S","S+"))))))))))))))))))))</f>
        <v>#DIV/0!</v>
      </c>
      <c r="P548" s="1423" t="str">
        <f t="shared" si="18"/>
        <v>#DIV/0!</v>
      </c>
      <c r="Q548" s="1423" t="str">
        <f>IF(P548&lt;'PlayerGrades+'!$AG$21,"F-",IF(P548&lt;'PlayerGrades+'!$AG$20,"F",IF(P548&lt;'PlayerGrades+'!$AG$19,"F+",IF(P548&lt;'PlayerGrades+'!$AG$18,"E-",IF(P548&lt;'PlayerGrades+'!$AG$17,"E",IF(P548&lt;'PlayerGrades+'!$AG$16,"E+",IF(P548&lt;'PlayerGrades+'!$AG$15,"D-",IF(P548&lt;'PlayerGrades+'!$AG$14,"D",IF(P548&lt;'PlayerGrades+'!$AG$13,"D+",IF(P548&lt;'PlayerGrades+'!$AG$12,"C-",IF(P548&lt;'PlayerGrades+'!$AG$11,"C",IF(P548&lt;'PlayerGrades+'!$AG$10,"C+",IF(P548&lt;'PlayerGrades+'!$AG$9,"B-",IF(P548&lt;'PlayerGrades+'!$AG$8,"B",IF(P548&lt;'PlayerGrades+'!$AG$7,"B+",IF(P548&lt;'PlayerGrades+'!$AG$6,"A-",IF(P548&lt;'PlayerGrades+'!$AG$5,"A",IF(P548&lt;'PlayerGrades+'!$AG$4,"A+",IF(P548&lt;'PlayerGrades+'!$AG$3,"S-",IF(P548&lt;'PlayerGrades+'!$AG$2,"S","S+"))))))))))))))))))))</f>
        <v>#DIV/0!</v>
      </c>
      <c r="R548" s="1423" t="str">
        <f t="shared" si="19"/>
        <v>#REF!</v>
      </c>
      <c r="S548" s="1423" t="str">
        <f>IF(R548&lt;'PlayerGrades+'!$AH$21,"F-",IF(R548&lt;'PlayerGrades+'!$AH$20,"F",IF(R548&lt;'PlayerGrades+'!$AH$19,"F+",IF(R548&lt;'PlayerGrades+'!$AH$18,"E-",IF(R548&lt;'PlayerGrades+'!$AH$17,"E",IF(R548&lt;'PlayerGrades+'!$AH$16,"E+",IF(R548&lt;'PlayerGrades+'!$AH$15,"D-",IF(R548&lt;'PlayerGrades+'!$AH$14,"D",IF(R548&lt;'PlayerGrades+'!$AH$13,"D+",IF(R548&lt;'PlayerGrades+'!$AH$12,"C-",IF(R548&lt;'PlayerGrades+'!$AH$11,"C",IF(R548&lt;'PlayerGrades+'!$AH$10,"C+",IF(R548&lt;'PlayerGrades+'!$AH$9,"B-",IF(R548&lt;'PlayerGrades+'!$AH$8,"B",IF(R548&lt;'PlayerGrades+'!$AH$7,"B+",IF(R548&lt;'PlayerGrades+'!$AH$6,"A-",IF(R548&lt;'PlayerGrades+'!$AH$5,"A",IF(R548&lt;'PlayerGrades+'!$AH$4,"A+",IF(R548&lt;'PlayerGrades+'!$AH$3,"S-",IF(R548&lt;'PlayerGrades+'!$AH$2,"S","S+"))))))))))))))))))))</f>
        <v>#REF!</v>
      </c>
      <c r="T548" s="1423" t="str">
        <f t="shared" si="20"/>
        <v>#REF!</v>
      </c>
      <c r="U548" s="1423" t="str">
        <f>IF(T548&lt;'PlayerGrades+'!$AI$21,"F-",IF(T548&lt;'PlayerGrades+'!$AI$20,"F",IF(T548&lt;'PlayerGrades+'!$AI$19,"F+",IF(T548&lt;'PlayerGrades+'!$AI$18,"E-",IF(T548&lt;'PlayerGrades+'!$AI$17,"E",IF(T548&lt;'PlayerGrades+'!$AI$16,"E+",IF(T548&lt;'PlayerGrades+'!$AI$15,"D-",IF(T548&lt;'PlayerGrades+'!$AI$14,"D",IF(T548&lt;'PlayerGrades+'!$AI$13,"D+",IF(T548&lt;'PlayerGrades+'!$AI$12,"C-",IF(T548&lt;'PlayerGrades+'!$AI$11,"C",IF(T548&lt;'PlayerGrades+'!$AI$10,"C+",IF(T548&lt;'PlayerGrades+'!$AI$9,"B-",IF(T548&lt;'PlayerGrades+'!$AI$8,"B",IF(T548&lt;'PlayerGrades+'!$AI$7,"B+",IF(T548&lt;'PlayerGrades+'!$AI$6,"A-",IF(T548&lt;'PlayerGrades+'!$AI$5,"A",IF(T548&lt;'PlayerGrades+'!$AI$4,"A+",IF(T548&lt;'PlayerGrades+'!$AI$3,"S-",IF(T548&lt;'PlayerGrades+'!$AI$2,"S","S+"))))))))))))))))))))</f>
        <v>#REF!</v>
      </c>
      <c r="AC548" s="1392"/>
    </row>
    <row r="549">
      <c r="B549" s="1421" t="str">
        <f>IF(C549&lt;'PlayerGrades+'!$Y$44,"F-",IF(C549&lt;'PlayerGrades+'!$Y$43,"F",IF(C549&lt;'PlayerGrades+'!$Y$42,"F+",IF(C549&lt;'PlayerGrades+'!$Y$41,"E-",IF(C549&lt;'PlayerGrades+'!$Y$40,"E",IF(C549&lt;'PlayerGrades+'!$Y$39,"E+",IF(C549&lt;'PlayerGrades+'!$Y$38,"D-",IF(C549&lt;'PlayerGrades+'!$Y$37,"D",IF(C549&lt;'PlayerGrades+'!$Y$36,"D+",IF(C549&lt;'PlayerGrades+'!$Y$35,"C-",IF(C549&lt;'PlayerGrades+'!$Y$34,"C",IF(C549&lt;'PlayerGrades+'!$Y$33,"C+",IF(C549&lt;'PlayerGrades+'!$Y$32,"B-",IF(C549&lt;'PlayerGrades+'!$Y$31,"B",IF(C549&lt;'PlayerGrades+'!$Y$30,"B+",IF(C549&lt;'PlayerGrades+'!$Y$29,"A-",IF(C549&lt;'PlayerGrades+'!$Y$28,"A",IF(C549&lt;'PlayerGrades+'!$Y$27,"A+",IF(C549&lt;'PlayerGrades+'!$Y$26,"S-",IF(C549&lt;'PlayerGrades+'!$Y$25,"S","S+"))))))))))))))))))))</f>
        <v>#DIV/0!</v>
      </c>
      <c r="C549" s="1422" t="str">
        <f>('PlayerGrades+'!$Y$47*(VLOOKUP(E549, 'PlayerGrades+'!$X$3:$Y$23, 2, FALSE)))+('PlayerGrades+'!$Y$48*(VLOOKUP(G549, 'PlayerGrades+'!$X$3:$Y$23, 2, FALSE)))+('PlayerGrades+'!$Y$49*(VLOOKUP(I549, 'PlayerGrades+'!$X$3:$Y$23, 2, FALSE)))+('PlayerGrades+'!$Y$50*(VLOOKUP(K549, 'PlayerGrades+'!$X$3:$Y$23, 2, FALSE)))+('PlayerGrades+'!$Y$51*(VLOOKUP(M549, 'PlayerGrades+'!$X$3:$Y$23, 2, FALSE)))+('PlayerGrades+'!$Y$52*(VLOOKUP(O549, 'PlayerGrades+'!$X$3:$Y$23, 2, FALSE)))+('PlayerGrades+'!$Y$53*(VLOOKUP(Q549, 'PlayerGrades+'!$X$3:$Y$23, 2, FALSE)))+('PlayerGrades+'!$Y$54*(VLOOKUP(S549, 'PlayerGrades+'!$X$3:$Y$23, 2, FALSE)))+('PlayerGrades+'!$Y$55*(VLOOKUP(U549, 'PlayerGrades+'!$X$3:$Y$23, 2, FALSE)))</f>
        <v>#DIV/0!</v>
      </c>
      <c r="D549" s="1423" t="str">
        <f t="shared" si="12"/>
        <v>#DIV/0!</v>
      </c>
      <c r="E549" s="1423" t="str">
        <f>IF(D549&lt;'PlayerGrades+'!$AA$21,"F-",IF(D549&lt;'PlayerGrades+'!$AA$20,"F",IF(D549&lt;'PlayerGrades+'!$AA$19,"F+",IF(D549&lt;'PlayerGrades+'!$AA$18,"E-",IF(D549&lt;'PlayerGrades+'!$AA$17,"E",IF(D549&lt;'PlayerGrades+'!$AA$16,"E+",IF(D549&lt;'PlayerGrades+'!$AA$15,"D-",IF(D549&lt;'PlayerGrades+'!$AA$14,"D",IF(D549&lt;'PlayerGrades+'!$AA$13,"D+",IF(D549&lt;'PlayerGrades+'!$AA$12,"C-",IF(D549&lt;'PlayerGrades+'!$AA$11,"C",IF(D549&lt;'PlayerGrades+'!$AA$10,"C+",IF(D549&lt;'PlayerGrades+'!$AA$9,"B-",IF(D549&lt;'PlayerGrades+'!$AA$8,"B",IF(D549&lt;'PlayerGrades+'!$AA$7,"B+",IF(D549&lt;'PlayerGrades+'!$AA$6,"A-",IF(D549&lt;'PlayerGrades+'!$AA$5,"A",IF(D549&lt;'PlayerGrades+'!$AA$4,"A+",IF(D549&lt;'PlayerGrades+'!$AA$3,"S-",IF(D549&lt;'PlayerGrades+'!$AA$2,"S","S+"))))))))))))))))))))</f>
        <v>#DIV/0!</v>
      </c>
      <c r="F549" s="1423" t="str">
        <f t="shared" si="13"/>
        <v>#DIV/0!</v>
      </c>
      <c r="G549" s="1423" t="str">
        <f>IF(F549&lt;'PlayerGrades+'!$AB$21,"F-",IF(F549&lt;'PlayerGrades+'!$AB$20,"F",IF(F549&lt;'PlayerGrades+'!$AB$19,"F+",IF(F549&lt;'PlayerGrades+'!$AB$18,"E-",IF(F549&lt;'PlayerGrades+'!$AB$17,"E",IF(F549&lt;'PlayerGrades+'!$AB$16,"E+",IF(F549&lt;'PlayerGrades+'!$AB$15,"D-",IF(F549&lt;'PlayerGrades+'!$AB$14,"D",IF(F549&lt;'PlayerGrades+'!$AB$13,"D+",IF(F549&lt;'PlayerGrades+'!$AB$12,"C-",IF(F549&lt;'PlayerGrades+'!$AB$11,"C",IF(F549&lt;'PlayerGrades+'!$AB$10,"C+",IF(F549&lt;'PlayerGrades+'!$AB$9,"B-",IF(F549&lt;'PlayerGrades+'!$AB$8,"B",IF(F549&lt;'PlayerGrades+'!$AB$7,"B+",IF(F549&lt;'PlayerGrades+'!$AB$6,"A-",IF(F549&lt;'PlayerGrades+'!$AB$5,"A",IF(F549&lt;'PlayerGrades+'!$AB$4,"A+",IF(F549&lt;'PlayerGrades+'!$AB$3,"S-",IF(F549&lt;'PlayerGrades+'!$AB$2,"S","S+"))))))))))))))))))))</f>
        <v>#DIV/0!</v>
      </c>
      <c r="H549" s="1423" t="str">
        <f t="shared" si="14"/>
        <v>#DIV/0!</v>
      </c>
      <c r="I549" s="1423" t="str">
        <f>IF(H549&lt;'PlayerGrades+'!$AC$21,"F-",IF(H549&lt;'PlayerGrades+'!$AC$20,"F",IF(H549&lt;'PlayerGrades+'!$AC$19,"F+",IF(H549&lt;'PlayerGrades+'!$AC$18,"E-",IF(H549&lt;'PlayerGrades+'!$AC$17,"E",IF(H549&lt;'PlayerGrades+'!$AC$16,"E+",IF(H549&lt;'PlayerGrades+'!$AC$15,"D-",IF(H549&lt;'PlayerGrades+'!$AC$14,"D",IF(H549&lt;'PlayerGrades+'!$AC$13,"D+",IF(H549&lt;'PlayerGrades+'!$AC$12,"C-",IF(H549&lt;'PlayerGrades+'!$AC$11,"C",IF(H549&lt;'PlayerGrades+'!$AC$10,"C+",IF(H549&lt;'PlayerGrades+'!$AC$9,"B-",IF(H549&lt;'PlayerGrades+'!$AC$8,"B",IF(H549&lt;'PlayerGrades+'!$AC$7,"B+",IF(H549&lt;'PlayerGrades+'!$AC$6,"A-",IF(H549&lt;'PlayerGrades+'!$AC$5,"A",IF(H549&lt;'PlayerGrades+'!$AC$4,"A+",IF(H549&lt;'PlayerGrades+'!$AC$3,"S-",IF(H549&lt;'PlayerGrades+'!$AC$2,"S","S+"))))))))))))))))))))</f>
        <v>#DIV/0!</v>
      </c>
      <c r="J549" s="1423" t="str">
        <f t="shared" si="15"/>
        <v>#DIV/0!</v>
      </c>
      <c r="K549" s="1423" t="str">
        <f>IF(J549&lt;'PlayerGrades+'!$AD$21,"F-",IF(J549&lt;'PlayerGrades+'!$AD$20,"F",IF(J549&lt;'PlayerGrades+'!$AD$19,"F+",IF(J549&lt;'PlayerGrades+'!$AD$18,"E-",IF(J549&lt;'PlayerGrades+'!$AD$17,"E",IF(J549&lt;'PlayerGrades+'!$AD$16,"E+",IF(J549&lt;'PlayerGrades+'!$AD$15,"D-",IF(J549&lt;'PlayerGrades+'!$AD$14,"D",IF(J549&lt;'PlayerGrades+'!$AD$13,"D+",IF(J549&lt;'PlayerGrades+'!$AD$12,"C-",IF(J549&lt;'PlayerGrades+'!$AD$11,"C",IF(J549&lt;'PlayerGrades+'!$AD$10,"C+",IF(J549&lt;'PlayerGrades+'!$AD$9,"B-",IF(J549&lt;'PlayerGrades+'!$AD$8,"B",IF(J549&lt;'PlayerGrades+'!$AD$7,"B+",IF(J549&lt;'PlayerGrades+'!$AD$6,"A-",IF(J549&lt;'PlayerGrades+'!$AD$5,"A",IF(J549&lt;'PlayerGrades+'!$AD$4,"A+",IF(J549&lt;'PlayerGrades+'!$AD$3,"S-",IF(J549&lt;'PlayerGrades+'!$AD$2,"S","S+"))))))))))))))))))))</f>
        <v>#DIV/0!</v>
      </c>
      <c r="L549" s="1176" t="str">
        <f t="shared" si="16"/>
        <v>#DIV/0!</v>
      </c>
      <c r="M549" s="992" t="str">
        <f>IF(L549&lt;'PlayerGrades+'!$AE$21,"F-",IF(L549&lt;'PlayerGrades+'!$AE$20,"F",IF(L549&lt;'PlayerGrades+'!$AE$19,"F+",IF(L549&lt;'PlayerGrades+'!$AE$18,"E-",IF(L549&lt;'PlayerGrades+'!$AE$17,"E",IF(L549&lt;'PlayerGrades+'!$AE$16,"E+",IF(L549&lt;'PlayerGrades+'!$AE$15,"D-",IF(L549&lt;'PlayerGrades+'!$AE$14,"D",IF(L549&lt;'PlayerGrades+'!$AE$13,"D+",IF(L549&lt;'PlayerGrades+'!$AE$12,"C-",IF(L549&lt;'PlayerGrades+'!$AE$11,"C",IF(L549&lt;'PlayerGrades+'!$AE$10,"C+",IF(L549&lt;'PlayerGrades+'!$AE$9,"B-",IF(L549&lt;'PlayerGrades+'!$AE$8,"B",IF(L549&lt;'PlayerGrades+'!$AE$7,"B+",IF(L549&lt;'PlayerGrades+'!$AE$6,"A-",IF(L549&lt;'PlayerGrades+'!$AE$5,"A",IF(L549&lt;'PlayerGrades+'!$AE$4,"A+",IF(L549&lt;'PlayerGrades+'!$AE$3,"S-",IF(L549&lt;'PlayerGrades+'!$AE$2,"S","S+"))))))))))))))))))))</f>
        <v>#DIV/0!</v>
      </c>
      <c r="N549" s="1423" t="str">
        <f t="shared" si="17"/>
        <v>#DIV/0!</v>
      </c>
      <c r="O549" s="1423" t="str">
        <f>IF(N549&lt;'PlayerGrades+'!$AF$21,"F-",IF(N549&lt;'PlayerGrades+'!$AF$20,"F",IF(N549&lt;'PlayerGrades+'!$AF$19,"F+",IF(N549&lt;'PlayerGrades+'!$AF$18,"E-",IF(N549&lt;'PlayerGrades+'!$AF$17,"E",IF(N549&lt;'PlayerGrades+'!$AF$16,"E+",IF(N549&lt;'PlayerGrades+'!$AF$15,"D-",IF(N549&lt;'PlayerGrades+'!$AF$14,"D",IF(N549&lt;'PlayerGrades+'!$AF$13,"D+",IF(N549&lt;'PlayerGrades+'!$AF$12,"C-",IF(N549&lt;'PlayerGrades+'!$AF$11,"C",IF(N549&lt;'PlayerGrades+'!$AF$10,"C+",IF(N549&lt;'PlayerGrades+'!$AF$9,"B-",IF(N549&lt;'PlayerGrades+'!$AF$8,"B",IF(N549&lt;'PlayerGrades+'!$AF$7,"B+",IF(N549&lt;'PlayerGrades+'!$AF$6,"A-",IF(N549&lt;'PlayerGrades+'!$AF$5,"A",IF(N549&lt;'PlayerGrades+'!$AF$4,"A+",IF(N549&lt;'PlayerGrades+'!$AF$3,"S-",IF(N549&lt;'PlayerGrades+'!$AF$2,"S","S+"))))))))))))))))))))</f>
        <v>#DIV/0!</v>
      </c>
      <c r="P549" s="1423" t="str">
        <f t="shared" si="18"/>
        <v>#DIV/0!</v>
      </c>
      <c r="Q549" s="1423" t="str">
        <f>IF(P549&lt;'PlayerGrades+'!$AG$21,"F-",IF(P549&lt;'PlayerGrades+'!$AG$20,"F",IF(P549&lt;'PlayerGrades+'!$AG$19,"F+",IF(P549&lt;'PlayerGrades+'!$AG$18,"E-",IF(P549&lt;'PlayerGrades+'!$AG$17,"E",IF(P549&lt;'PlayerGrades+'!$AG$16,"E+",IF(P549&lt;'PlayerGrades+'!$AG$15,"D-",IF(P549&lt;'PlayerGrades+'!$AG$14,"D",IF(P549&lt;'PlayerGrades+'!$AG$13,"D+",IF(P549&lt;'PlayerGrades+'!$AG$12,"C-",IF(P549&lt;'PlayerGrades+'!$AG$11,"C",IF(P549&lt;'PlayerGrades+'!$AG$10,"C+",IF(P549&lt;'PlayerGrades+'!$AG$9,"B-",IF(P549&lt;'PlayerGrades+'!$AG$8,"B",IF(P549&lt;'PlayerGrades+'!$AG$7,"B+",IF(P549&lt;'PlayerGrades+'!$AG$6,"A-",IF(P549&lt;'PlayerGrades+'!$AG$5,"A",IF(P549&lt;'PlayerGrades+'!$AG$4,"A+",IF(P549&lt;'PlayerGrades+'!$AG$3,"S-",IF(P549&lt;'PlayerGrades+'!$AG$2,"S","S+"))))))))))))))))))))</f>
        <v>#DIV/0!</v>
      </c>
      <c r="R549" s="1423" t="str">
        <f t="shared" si="19"/>
        <v>#REF!</v>
      </c>
      <c r="S549" s="1423" t="str">
        <f>IF(R549&lt;'PlayerGrades+'!$AH$21,"F-",IF(R549&lt;'PlayerGrades+'!$AH$20,"F",IF(R549&lt;'PlayerGrades+'!$AH$19,"F+",IF(R549&lt;'PlayerGrades+'!$AH$18,"E-",IF(R549&lt;'PlayerGrades+'!$AH$17,"E",IF(R549&lt;'PlayerGrades+'!$AH$16,"E+",IF(R549&lt;'PlayerGrades+'!$AH$15,"D-",IF(R549&lt;'PlayerGrades+'!$AH$14,"D",IF(R549&lt;'PlayerGrades+'!$AH$13,"D+",IF(R549&lt;'PlayerGrades+'!$AH$12,"C-",IF(R549&lt;'PlayerGrades+'!$AH$11,"C",IF(R549&lt;'PlayerGrades+'!$AH$10,"C+",IF(R549&lt;'PlayerGrades+'!$AH$9,"B-",IF(R549&lt;'PlayerGrades+'!$AH$8,"B",IF(R549&lt;'PlayerGrades+'!$AH$7,"B+",IF(R549&lt;'PlayerGrades+'!$AH$6,"A-",IF(R549&lt;'PlayerGrades+'!$AH$5,"A",IF(R549&lt;'PlayerGrades+'!$AH$4,"A+",IF(R549&lt;'PlayerGrades+'!$AH$3,"S-",IF(R549&lt;'PlayerGrades+'!$AH$2,"S","S+"))))))))))))))))))))</f>
        <v>#REF!</v>
      </c>
      <c r="T549" s="1423" t="str">
        <f t="shared" si="20"/>
        <v>#REF!</v>
      </c>
      <c r="U549" s="1423" t="str">
        <f>IF(T549&lt;'PlayerGrades+'!$AI$21,"F-",IF(T549&lt;'PlayerGrades+'!$AI$20,"F",IF(T549&lt;'PlayerGrades+'!$AI$19,"F+",IF(T549&lt;'PlayerGrades+'!$AI$18,"E-",IF(T549&lt;'PlayerGrades+'!$AI$17,"E",IF(T549&lt;'PlayerGrades+'!$AI$16,"E+",IF(T549&lt;'PlayerGrades+'!$AI$15,"D-",IF(T549&lt;'PlayerGrades+'!$AI$14,"D",IF(T549&lt;'PlayerGrades+'!$AI$13,"D+",IF(T549&lt;'PlayerGrades+'!$AI$12,"C-",IF(T549&lt;'PlayerGrades+'!$AI$11,"C",IF(T549&lt;'PlayerGrades+'!$AI$10,"C+",IF(T549&lt;'PlayerGrades+'!$AI$9,"B-",IF(T549&lt;'PlayerGrades+'!$AI$8,"B",IF(T549&lt;'PlayerGrades+'!$AI$7,"B+",IF(T549&lt;'PlayerGrades+'!$AI$6,"A-",IF(T549&lt;'PlayerGrades+'!$AI$5,"A",IF(T549&lt;'PlayerGrades+'!$AI$4,"A+",IF(T549&lt;'PlayerGrades+'!$AI$3,"S-",IF(T549&lt;'PlayerGrades+'!$AI$2,"S","S+"))))))))))))))))))))</f>
        <v>#REF!</v>
      </c>
      <c r="AC549" s="1392"/>
    </row>
    <row r="550">
      <c r="B550" s="1421" t="str">
        <f>IF(C550&lt;'PlayerGrades+'!$Y$44,"F-",IF(C550&lt;'PlayerGrades+'!$Y$43,"F",IF(C550&lt;'PlayerGrades+'!$Y$42,"F+",IF(C550&lt;'PlayerGrades+'!$Y$41,"E-",IF(C550&lt;'PlayerGrades+'!$Y$40,"E",IF(C550&lt;'PlayerGrades+'!$Y$39,"E+",IF(C550&lt;'PlayerGrades+'!$Y$38,"D-",IF(C550&lt;'PlayerGrades+'!$Y$37,"D",IF(C550&lt;'PlayerGrades+'!$Y$36,"D+",IF(C550&lt;'PlayerGrades+'!$Y$35,"C-",IF(C550&lt;'PlayerGrades+'!$Y$34,"C",IF(C550&lt;'PlayerGrades+'!$Y$33,"C+",IF(C550&lt;'PlayerGrades+'!$Y$32,"B-",IF(C550&lt;'PlayerGrades+'!$Y$31,"B",IF(C550&lt;'PlayerGrades+'!$Y$30,"B+",IF(C550&lt;'PlayerGrades+'!$Y$29,"A-",IF(C550&lt;'PlayerGrades+'!$Y$28,"A",IF(C550&lt;'PlayerGrades+'!$Y$27,"A+",IF(C550&lt;'PlayerGrades+'!$Y$26,"S-",IF(C550&lt;'PlayerGrades+'!$Y$25,"S","S+"))))))))))))))))))))</f>
        <v>#DIV/0!</v>
      </c>
      <c r="C550" s="1422" t="str">
        <f>('PlayerGrades+'!$Y$47*(VLOOKUP(E550, 'PlayerGrades+'!$X$3:$Y$23, 2, FALSE)))+('PlayerGrades+'!$Y$48*(VLOOKUP(G550, 'PlayerGrades+'!$X$3:$Y$23, 2, FALSE)))+('PlayerGrades+'!$Y$49*(VLOOKUP(I550, 'PlayerGrades+'!$X$3:$Y$23, 2, FALSE)))+('PlayerGrades+'!$Y$50*(VLOOKUP(K550, 'PlayerGrades+'!$X$3:$Y$23, 2, FALSE)))+('PlayerGrades+'!$Y$51*(VLOOKUP(M550, 'PlayerGrades+'!$X$3:$Y$23, 2, FALSE)))+('PlayerGrades+'!$Y$52*(VLOOKUP(O550, 'PlayerGrades+'!$X$3:$Y$23, 2, FALSE)))+('PlayerGrades+'!$Y$53*(VLOOKUP(Q550, 'PlayerGrades+'!$X$3:$Y$23, 2, FALSE)))+('PlayerGrades+'!$Y$54*(VLOOKUP(S550, 'PlayerGrades+'!$X$3:$Y$23, 2, FALSE)))+('PlayerGrades+'!$Y$55*(VLOOKUP(U550, 'PlayerGrades+'!$X$3:$Y$23, 2, FALSE)))</f>
        <v>#DIV/0!</v>
      </c>
      <c r="D550" s="1423" t="str">
        <f t="shared" si="12"/>
        <v>#DIV/0!</v>
      </c>
      <c r="E550" s="1423" t="str">
        <f>IF(D550&lt;'PlayerGrades+'!$AA$21,"F-",IF(D550&lt;'PlayerGrades+'!$AA$20,"F",IF(D550&lt;'PlayerGrades+'!$AA$19,"F+",IF(D550&lt;'PlayerGrades+'!$AA$18,"E-",IF(D550&lt;'PlayerGrades+'!$AA$17,"E",IF(D550&lt;'PlayerGrades+'!$AA$16,"E+",IF(D550&lt;'PlayerGrades+'!$AA$15,"D-",IF(D550&lt;'PlayerGrades+'!$AA$14,"D",IF(D550&lt;'PlayerGrades+'!$AA$13,"D+",IF(D550&lt;'PlayerGrades+'!$AA$12,"C-",IF(D550&lt;'PlayerGrades+'!$AA$11,"C",IF(D550&lt;'PlayerGrades+'!$AA$10,"C+",IF(D550&lt;'PlayerGrades+'!$AA$9,"B-",IF(D550&lt;'PlayerGrades+'!$AA$8,"B",IF(D550&lt;'PlayerGrades+'!$AA$7,"B+",IF(D550&lt;'PlayerGrades+'!$AA$6,"A-",IF(D550&lt;'PlayerGrades+'!$AA$5,"A",IF(D550&lt;'PlayerGrades+'!$AA$4,"A+",IF(D550&lt;'PlayerGrades+'!$AA$3,"S-",IF(D550&lt;'PlayerGrades+'!$AA$2,"S","S+"))))))))))))))))))))</f>
        <v>#DIV/0!</v>
      </c>
      <c r="F550" s="1423" t="str">
        <f t="shared" si="13"/>
        <v>#DIV/0!</v>
      </c>
      <c r="G550" s="1423" t="str">
        <f>IF(F550&lt;'PlayerGrades+'!$AB$21,"F-",IF(F550&lt;'PlayerGrades+'!$AB$20,"F",IF(F550&lt;'PlayerGrades+'!$AB$19,"F+",IF(F550&lt;'PlayerGrades+'!$AB$18,"E-",IF(F550&lt;'PlayerGrades+'!$AB$17,"E",IF(F550&lt;'PlayerGrades+'!$AB$16,"E+",IF(F550&lt;'PlayerGrades+'!$AB$15,"D-",IF(F550&lt;'PlayerGrades+'!$AB$14,"D",IF(F550&lt;'PlayerGrades+'!$AB$13,"D+",IF(F550&lt;'PlayerGrades+'!$AB$12,"C-",IF(F550&lt;'PlayerGrades+'!$AB$11,"C",IF(F550&lt;'PlayerGrades+'!$AB$10,"C+",IF(F550&lt;'PlayerGrades+'!$AB$9,"B-",IF(F550&lt;'PlayerGrades+'!$AB$8,"B",IF(F550&lt;'PlayerGrades+'!$AB$7,"B+",IF(F550&lt;'PlayerGrades+'!$AB$6,"A-",IF(F550&lt;'PlayerGrades+'!$AB$5,"A",IF(F550&lt;'PlayerGrades+'!$AB$4,"A+",IF(F550&lt;'PlayerGrades+'!$AB$3,"S-",IF(F550&lt;'PlayerGrades+'!$AB$2,"S","S+"))))))))))))))))))))</f>
        <v>#DIV/0!</v>
      </c>
      <c r="H550" s="1423" t="str">
        <f t="shared" si="14"/>
        <v>#DIV/0!</v>
      </c>
      <c r="I550" s="1423" t="str">
        <f>IF(H550&lt;'PlayerGrades+'!$AC$21,"F-",IF(H550&lt;'PlayerGrades+'!$AC$20,"F",IF(H550&lt;'PlayerGrades+'!$AC$19,"F+",IF(H550&lt;'PlayerGrades+'!$AC$18,"E-",IF(H550&lt;'PlayerGrades+'!$AC$17,"E",IF(H550&lt;'PlayerGrades+'!$AC$16,"E+",IF(H550&lt;'PlayerGrades+'!$AC$15,"D-",IF(H550&lt;'PlayerGrades+'!$AC$14,"D",IF(H550&lt;'PlayerGrades+'!$AC$13,"D+",IF(H550&lt;'PlayerGrades+'!$AC$12,"C-",IF(H550&lt;'PlayerGrades+'!$AC$11,"C",IF(H550&lt;'PlayerGrades+'!$AC$10,"C+",IF(H550&lt;'PlayerGrades+'!$AC$9,"B-",IF(H550&lt;'PlayerGrades+'!$AC$8,"B",IF(H550&lt;'PlayerGrades+'!$AC$7,"B+",IF(H550&lt;'PlayerGrades+'!$AC$6,"A-",IF(H550&lt;'PlayerGrades+'!$AC$5,"A",IF(H550&lt;'PlayerGrades+'!$AC$4,"A+",IF(H550&lt;'PlayerGrades+'!$AC$3,"S-",IF(H550&lt;'PlayerGrades+'!$AC$2,"S","S+"))))))))))))))))))))</f>
        <v>#DIV/0!</v>
      </c>
      <c r="J550" s="1423" t="str">
        <f t="shared" si="15"/>
        <v>#DIV/0!</v>
      </c>
      <c r="K550" s="1423" t="str">
        <f>IF(J550&lt;'PlayerGrades+'!$AD$21,"F-",IF(J550&lt;'PlayerGrades+'!$AD$20,"F",IF(J550&lt;'PlayerGrades+'!$AD$19,"F+",IF(J550&lt;'PlayerGrades+'!$AD$18,"E-",IF(J550&lt;'PlayerGrades+'!$AD$17,"E",IF(J550&lt;'PlayerGrades+'!$AD$16,"E+",IF(J550&lt;'PlayerGrades+'!$AD$15,"D-",IF(J550&lt;'PlayerGrades+'!$AD$14,"D",IF(J550&lt;'PlayerGrades+'!$AD$13,"D+",IF(J550&lt;'PlayerGrades+'!$AD$12,"C-",IF(J550&lt;'PlayerGrades+'!$AD$11,"C",IF(J550&lt;'PlayerGrades+'!$AD$10,"C+",IF(J550&lt;'PlayerGrades+'!$AD$9,"B-",IF(J550&lt;'PlayerGrades+'!$AD$8,"B",IF(J550&lt;'PlayerGrades+'!$AD$7,"B+",IF(J550&lt;'PlayerGrades+'!$AD$6,"A-",IF(J550&lt;'PlayerGrades+'!$AD$5,"A",IF(J550&lt;'PlayerGrades+'!$AD$4,"A+",IF(J550&lt;'PlayerGrades+'!$AD$3,"S-",IF(J550&lt;'PlayerGrades+'!$AD$2,"S","S+"))))))))))))))))))))</f>
        <v>#DIV/0!</v>
      </c>
      <c r="L550" s="1176" t="str">
        <f t="shared" si="16"/>
        <v>#DIV/0!</v>
      </c>
      <c r="M550" s="992" t="str">
        <f>IF(L550&lt;'PlayerGrades+'!$AE$21,"F-",IF(L550&lt;'PlayerGrades+'!$AE$20,"F",IF(L550&lt;'PlayerGrades+'!$AE$19,"F+",IF(L550&lt;'PlayerGrades+'!$AE$18,"E-",IF(L550&lt;'PlayerGrades+'!$AE$17,"E",IF(L550&lt;'PlayerGrades+'!$AE$16,"E+",IF(L550&lt;'PlayerGrades+'!$AE$15,"D-",IF(L550&lt;'PlayerGrades+'!$AE$14,"D",IF(L550&lt;'PlayerGrades+'!$AE$13,"D+",IF(L550&lt;'PlayerGrades+'!$AE$12,"C-",IF(L550&lt;'PlayerGrades+'!$AE$11,"C",IF(L550&lt;'PlayerGrades+'!$AE$10,"C+",IF(L550&lt;'PlayerGrades+'!$AE$9,"B-",IF(L550&lt;'PlayerGrades+'!$AE$8,"B",IF(L550&lt;'PlayerGrades+'!$AE$7,"B+",IF(L550&lt;'PlayerGrades+'!$AE$6,"A-",IF(L550&lt;'PlayerGrades+'!$AE$5,"A",IF(L550&lt;'PlayerGrades+'!$AE$4,"A+",IF(L550&lt;'PlayerGrades+'!$AE$3,"S-",IF(L550&lt;'PlayerGrades+'!$AE$2,"S","S+"))))))))))))))))))))</f>
        <v>#DIV/0!</v>
      </c>
      <c r="N550" s="1423" t="str">
        <f t="shared" si="17"/>
        <v>#DIV/0!</v>
      </c>
      <c r="O550" s="1423" t="str">
        <f>IF(N550&lt;'PlayerGrades+'!$AF$21,"F-",IF(N550&lt;'PlayerGrades+'!$AF$20,"F",IF(N550&lt;'PlayerGrades+'!$AF$19,"F+",IF(N550&lt;'PlayerGrades+'!$AF$18,"E-",IF(N550&lt;'PlayerGrades+'!$AF$17,"E",IF(N550&lt;'PlayerGrades+'!$AF$16,"E+",IF(N550&lt;'PlayerGrades+'!$AF$15,"D-",IF(N550&lt;'PlayerGrades+'!$AF$14,"D",IF(N550&lt;'PlayerGrades+'!$AF$13,"D+",IF(N550&lt;'PlayerGrades+'!$AF$12,"C-",IF(N550&lt;'PlayerGrades+'!$AF$11,"C",IF(N550&lt;'PlayerGrades+'!$AF$10,"C+",IF(N550&lt;'PlayerGrades+'!$AF$9,"B-",IF(N550&lt;'PlayerGrades+'!$AF$8,"B",IF(N550&lt;'PlayerGrades+'!$AF$7,"B+",IF(N550&lt;'PlayerGrades+'!$AF$6,"A-",IF(N550&lt;'PlayerGrades+'!$AF$5,"A",IF(N550&lt;'PlayerGrades+'!$AF$4,"A+",IF(N550&lt;'PlayerGrades+'!$AF$3,"S-",IF(N550&lt;'PlayerGrades+'!$AF$2,"S","S+"))))))))))))))))))))</f>
        <v>#DIV/0!</v>
      </c>
      <c r="P550" s="1423" t="str">
        <f t="shared" si="18"/>
        <v>#DIV/0!</v>
      </c>
      <c r="Q550" s="1423" t="str">
        <f>IF(P550&lt;'PlayerGrades+'!$AG$21,"F-",IF(P550&lt;'PlayerGrades+'!$AG$20,"F",IF(P550&lt;'PlayerGrades+'!$AG$19,"F+",IF(P550&lt;'PlayerGrades+'!$AG$18,"E-",IF(P550&lt;'PlayerGrades+'!$AG$17,"E",IF(P550&lt;'PlayerGrades+'!$AG$16,"E+",IF(P550&lt;'PlayerGrades+'!$AG$15,"D-",IF(P550&lt;'PlayerGrades+'!$AG$14,"D",IF(P550&lt;'PlayerGrades+'!$AG$13,"D+",IF(P550&lt;'PlayerGrades+'!$AG$12,"C-",IF(P550&lt;'PlayerGrades+'!$AG$11,"C",IF(P550&lt;'PlayerGrades+'!$AG$10,"C+",IF(P550&lt;'PlayerGrades+'!$AG$9,"B-",IF(P550&lt;'PlayerGrades+'!$AG$8,"B",IF(P550&lt;'PlayerGrades+'!$AG$7,"B+",IF(P550&lt;'PlayerGrades+'!$AG$6,"A-",IF(P550&lt;'PlayerGrades+'!$AG$5,"A",IF(P550&lt;'PlayerGrades+'!$AG$4,"A+",IF(P550&lt;'PlayerGrades+'!$AG$3,"S-",IF(P550&lt;'PlayerGrades+'!$AG$2,"S","S+"))))))))))))))))))))</f>
        <v>#DIV/0!</v>
      </c>
      <c r="R550" s="1423" t="str">
        <f t="shared" si="19"/>
        <v>#REF!</v>
      </c>
      <c r="S550" s="1423" t="str">
        <f>IF(R550&lt;'PlayerGrades+'!$AH$21,"F-",IF(R550&lt;'PlayerGrades+'!$AH$20,"F",IF(R550&lt;'PlayerGrades+'!$AH$19,"F+",IF(R550&lt;'PlayerGrades+'!$AH$18,"E-",IF(R550&lt;'PlayerGrades+'!$AH$17,"E",IF(R550&lt;'PlayerGrades+'!$AH$16,"E+",IF(R550&lt;'PlayerGrades+'!$AH$15,"D-",IF(R550&lt;'PlayerGrades+'!$AH$14,"D",IF(R550&lt;'PlayerGrades+'!$AH$13,"D+",IF(R550&lt;'PlayerGrades+'!$AH$12,"C-",IF(R550&lt;'PlayerGrades+'!$AH$11,"C",IF(R550&lt;'PlayerGrades+'!$AH$10,"C+",IF(R550&lt;'PlayerGrades+'!$AH$9,"B-",IF(R550&lt;'PlayerGrades+'!$AH$8,"B",IF(R550&lt;'PlayerGrades+'!$AH$7,"B+",IF(R550&lt;'PlayerGrades+'!$AH$6,"A-",IF(R550&lt;'PlayerGrades+'!$AH$5,"A",IF(R550&lt;'PlayerGrades+'!$AH$4,"A+",IF(R550&lt;'PlayerGrades+'!$AH$3,"S-",IF(R550&lt;'PlayerGrades+'!$AH$2,"S","S+"))))))))))))))))))))</f>
        <v>#REF!</v>
      </c>
      <c r="T550" s="1423" t="str">
        <f t="shared" si="20"/>
        <v>#REF!</v>
      </c>
      <c r="U550" s="1423" t="str">
        <f>IF(T550&lt;'PlayerGrades+'!$AI$21,"F-",IF(T550&lt;'PlayerGrades+'!$AI$20,"F",IF(T550&lt;'PlayerGrades+'!$AI$19,"F+",IF(T550&lt;'PlayerGrades+'!$AI$18,"E-",IF(T550&lt;'PlayerGrades+'!$AI$17,"E",IF(T550&lt;'PlayerGrades+'!$AI$16,"E+",IF(T550&lt;'PlayerGrades+'!$AI$15,"D-",IF(T550&lt;'PlayerGrades+'!$AI$14,"D",IF(T550&lt;'PlayerGrades+'!$AI$13,"D+",IF(T550&lt;'PlayerGrades+'!$AI$12,"C-",IF(T550&lt;'PlayerGrades+'!$AI$11,"C",IF(T550&lt;'PlayerGrades+'!$AI$10,"C+",IF(T550&lt;'PlayerGrades+'!$AI$9,"B-",IF(T550&lt;'PlayerGrades+'!$AI$8,"B",IF(T550&lt;'PlayerGrades+'!$AI$7,"B+",IF(T550&lt;'PlayerGrades+'!$AI$6,"A-",IF(T550&lt;'PlayerGrades+'!$AI$5,"A",IF(T550&lt;'PlayerGrades+'!$AI$4,"A+",IF(T550&lt;'PlayerGrades+'!$AI$3,"S-",IF(T550&lt;'PlayerGrades+'!$AI$2,"S","S+"))))))))))))))))))))</f>
        <v>#REF!</v>
      </c>
      <c r="AC550" s="1392"/>
    </row>
    <row r="551">
      <c r="B551" s="1421" t="str">
        <f>IF(C551&lt;'PlayerGrades+'!$Y$44,"F-",IF(C551&lt;'PlayerGrades+'!$Y$43,"F",IF(C551&lt;'PlayerGrades+'!$Y$42,"F+",IF(C551&lt;'PlayerGrades+'!$Y$41,"E-",IF(C551&lt;'PlayerGrades+'!$Y$40,"E",IF(C551&lt;'PlayerGrades+'!$Y$39,"E+",IF(C551&lt;'PlayerGrades+'!$Y$38,"D-",IF(C551&lt;'PlayerGrades+'!$Y$37,"D",IF(C551&lt;'PlayerGrades+'!$Y$36,"D+",IF(C551&lt;'PlayerGrades+'!$Y$35,"C-",IF(C551&lt;'PlayerGrades+'!$Y$34,"C",IF(C551&lt;'PlayerGrades+'!$Y$33,"C+",IF(C551&lt;'PlayerGrades+'!$Y$32,"B-",IF(C551&lt;'PlayerGrades+'!$Y$31,"B",IF(C551&lt;'PlayerGrades+'!$Y$30,"B+",IF(C551&lt;'PlayerGrades+'!$Y$29,"A-",IF(C551&lt;'PlayerGrades+'!$Y$28,"A",IF(C551&lt;'PlayerGrades+'!$Y$27,"A+",IF(C551&lt;'PlayerGrades+'!$Y$26,"S-",IF(C551&lt;'PlayerGrades+'!$Y$25,"S","S+"))))))))))))))))))))</f>
        <v>#DIV/0!</v>
      </c>
      <c r="C551" s="1422" t="str">
        <f>('PlayerGrades+'!$Y$47*(VLOOKUP(E551, 'PlayerGrades+'!$X$3:$Y$23, 2, FALSE)))+('PlayerGrades+'!$Y$48*(VLOOKUP(G551, 'PlayerGrades+'!$X$3:$Y$23, 2, FALSE)))+('PlayerGrades+'!$Y$49*(VLOOKUP(I551, 'PlayerGrades+'!$X$3:$Y$23, 2, FALSE)))+('PlayerGrades+'!$Y$50*(VLOOKUP(K551, 'PlayerGrades+'!$X$3:$Y$23, 2, FALSE)))+('PlayerGrades+'!$Y$51*(VLOOKUP(M551, 'PlayerGrades+'!$X$3:$Y$23, 2, FALSE)))+('PlayerGrades+'!$Y$52*(VLOOKUP(O551, 'PlayerGrades+'!$X$3:$Y$23, 2, FALSE)))+('PlayerGrades+'!$Y$53*(VLOOKUP(Q551, 'PlayerGrades+'!$X$3:$Y$23, 2, FALSE)))+('PlayerGrades+'!$Y$54*(VLOOKUP(S551, 'PlayerGrades+'!$X$3:$Y$23, 2, FALSE)))+('PlayerGrades+'!$Y$55*(VLOOKUP(U551, 'PlayerGrades+'!$X$3:$Y$23, 2, FALSE)))</f>
        <v>#DIV/0!</v>
      </c>
      <c r="D551" s="1423" t="str">
        <f t="shared" si="12"/>
        <v>#DIV/0!</v>
      </c>
      <c r="E551" s="1423" t="str">
        <f>IF(D551&lt;'PlayerGrades+'!$AA$21,"F-",IF(D551&lt;'PlayerGrades+'!$AA$20,"F",IF(D551&lt;'PlayerGrades+'!$AA$19,"F+",IF(D551&lt;'PlayerGrades+'!$AA$18,"E-",IF(D551&lt;'PlayerGrades+'!$AA$17,"E",IF(D551&lt;'PlayerGrades+'!$AA$16,"E+",IF(D551&lt;'PlayerGrades+'!$AA$15,"D-",IF(D551&lt;'PlayerGrades+'!$AA$14,"D",IF(D551&lt;'PlayerGrades+'!$AA$13,"D+",IF(D551&lt;'PlayerGrades+'!$AA$12,"C-",IF(D551&lt;'PlayerGrades+'!$AA$11,"C",IF(D551&lt;'PlayerGrades+'!$AA$10,"C+",IF(D551&lt;'PlayerGrades+'!$AA$9,"B-",IF(D551&lt;'PlayerGrades+'!$AA$8,"B",IF(D551&lt;'PlayerGrades+'!$AA$7,"B+",IF(D551&lt;'PlayerGrades+'!$AA$6,"A-",IF(D551&lt;'PlayerGrades+'!$AA$5,"A",IF(D551&lt;'PlayerGrades+'!$AA$4,"A+",IF(D551&lt;'PlayerGrades+'!$AA$3,"S-",IF(D551&lt;'PlayerGrades+'!$AA$2,"S","S+"))))))))))))))))))))</f>
        <v>#DIV/0!</v>
      </c>
      <c r="F551" s="1423" t="str">
        <f t="shared" si="13"/>
        <v>#DIV/0!</v>
      </c>
      <c r="G551" s="1423" t="str">
        <f>IF(F551&lt;'PlayerGrades+'!$AB$21,"F-",IF(F551&lt;'PlayerGrades+'!$AB$20,"F",IF(F551&lt;'PlayerGrades+'!$AB$19,"F+",IF(F551&lt;'PlayerGrades+'!$AB$18,"E-",IF(F551&lt;'PlayerGrades+'!$AB$17,"E",IF(F551&lt;'PlayerGrades+'!$AB$16,"E+",IF(F551&lt;'PlayerGrades+'!$AB$15,"D-",IF(F551&lt;'PlayerGrades+'!$AB$14,"D",IF(F551&lt;'PlayerGrades+'!$AB$13,"D+",IF(F551&lt;'PlayerGrades+'!$AB$12,"C-",IF(F551&lt;'PlayerGrades+'!$AB$11,"C",IF(F551&lt;'PlayerGrades+'!$AB$10,"C+",IF(F551&lt;'PlayerGrades+'!$AB$9,"B-",IF(F551&lt;'PlayerGrades+'!$AB$8,"B",IF(F551&lt;'PlayerGrades+'!$AB$7,"B+",IF(F551&lt;'PlayerGrades+'!$AB$6,"A-",IF(F551&lt;'PlayerGrades+'!$AB$5,"A",IF(F551&lt;'PlayerGrades+'!$AB$4,"A+",IF(F551&lt;'PlayerGrades+'!$AB$3,"S-",IF(F551&lt;'PlayerGrades+'!$AB$2,"S","S+"))))))))))))))))))))</f>
        <v>#DIV/0!</v>
      </c>
      <c r="H551" s="1423" t="str">
        <f t="shared" si="14"/>
        <v>#DIV/0!</v>
      </c>
      <c r="I551" s="1423" t="str">
        <f>IF(H551&lt;'PlayerGrades+'!$AC$21,"F-",IF(H551&lt;'PlayerGrades+'!$AC$20,"F",IF(H551&lt;'PlayerGrades+'!$AC$19,"F+",IF(H551&lt;'PlayerGrades+'!$AC$18,"E-",IF(H551&lt;'PlayerGrades+'!$AC$17,"E",IF(H551&lt;'PlayerGrades+'!$AC$16,"E+",IF(H551&lt;'PlayerGrades+'!$AC$15,"D-",IF(H551&lt;'PlayerGrades+'!$AC$14,"D",IF(H551&lt;'PlayerGrades+'!$AC$13,"D+",IF(H551&lt;'PlayerGrades+'!$AC$12,"C-",IF(H551&lt;'PlayerGrades+'!$AC$11,"C",IF(H551&lt;'PlayerGrades+'!$AC$10,"C+",IF(H551&lt;'PlayerGrades+'!$AC$9,"B-",IF(H551&lt;'PlayerGrades+'!$AC$8,"B",IF(H551&lt;'PlayerGrades+'!$AC$7,"B+",IF(H551&lt;'PlayerGrades+'!$AC$6,"A-",IF(H551&lt;'PlayerGrades+'!$AC$5,"A",IF(H551&lt;'PlayerGrades+'!$AC$4,"A+",IF(H551&lt;'PlayerGrades+'!$AC$3,"S-",IF(H551&lt;'PlayerGrades+'!$AC$2,"S","S+"))))))))))))))))))))</f>
        <v>#DIV/0!</v>
      </c>
      <c r="J551" s="1423" t="str">
        <f t="shared" si="15"/>
        <v>#DIV/0!</v>
      </c>
      <c r="K551" s="1423" t="str">
        <f>IF(J551&lt;'PlayerGrades+'!$AD$21,"F-",IF(J551&lt;'PlayerGrades+'!$AD$20,"F",IF(J551&lt;'PlayerGrades+'!$AD$19,"F+",IF(J551&lt;'PlayerGrades+'!$AD$18,"E-",IF(J551&lt;'PlayerGrades+'!$AD$17,"E",IF(J551&lt;'PlayerGrades+'!$AD$16,"E+",IF(J551&lt;'PlayerGrades+'!$AD$15,"D-",IF(J551&lt;'PlayerGrades+'!$AD$14,"D",IF(J551&lt;'PlayerGrades+'!$AD$13,"D+",IF(J551&lt;'PlayerGrades+'!$AD$12,"C-",IF(J551&lt;'PlayerGrades+'!$AD$11,"C",IF(J551&lt;'PlayerGrades+'!$AD$10,"C+",IF(J551&lt;'PlayerGrades+'!$AD$9,"B-",IF(J551&lt;'PlayerGrades+'!$AD$8,"B",IF(J551&lt;'PlayerGrades+'!$AD$7,"B+",IF(J551&lt;'PlayerGrades+'!$AD$6,"A-",IF(J551&lt;'PlayerGrades+'!$AD$5,"A",IF(J551&lt;'PlayerGrades+'!$AD$4,"A+",IF(J551&lt;'PlayerGrades+'!$AD$3,"S-",IF(J551&lt;'PlayerGrades+'!$AD$2,"S","S+"))))))))))))))))))))</f>
        <v>#DIV/0!</v>
      </c>
      <c r="L551" s="1176" t="str">
        <f t="shared" si="16"/>
        <v>#DIV/0!</v>
      </c>
      <c r="M551" s="992" t="str">
        <f>IF(L551&lt;'PlayerGrades+'!$AE$21,"F-",IF(L551&lt;'PlayerGrades+'!$AE$20,"F",IF(L551&lt;'PlayerGrades+'!$AE$19,"F+",IF(L551&lt;'PlayerGrades+'!$AE$18,"E-",IF(L551&lt;'PlayerGrades+'!$AE$17,"E",IF(L551&lt;'PlayerGrades+'!$AE$16,"E+",IF(L551&lt;'PlayerGrades+'!$AE$15,"D-",IF(L551&lt;'PlayerGrades+'!$AE$14,"D",IF(L551&lt;'PlayerGrades+'!$AE$13,"D+",IF(L551&lt;'PlayerGrades+'!$AE$12,"C-",IF(L551&lt;'PlayerGrades+'!$AE$11,"C",IF(L551&lt;'PlayerGrades+'!$AE$10,"C+",IF(L551&lt;'PlayerGrades+'!$AE$9,"B-",IF(L551&lt;'PlayerGrades+'!$AE$8,"B",IF(L551&lt;'PlayerGrades+'!$AE$7,"B+",IF(L551&lt;'PlayerGrades+'!$AE$6,"A-",IF(L551&lt;'PlayerGrades+'!$AE$5,"A",IF(L551&lt;'PlayerGrades+'!$AE$4,"A+",IF(L551&lt;'PlayerGrades+'!$AE$3,"S-",IF(L551&lt;'PlayerGrades+'!$AE$2,"S","S+"))))))))))))))))))))</f>
        <v>#DIV/0!</v>
      </c>
      <c r="N551" s="1423" t="str">
        <f t="shared" si="17"/>
        <v>#DIV/0!</v>
      </c>
      <c r="O551" s="1423" t="str">
        <f>IF(N551&lt;'PlayerGrades+'!$AF$21,"F-",IF(N551&lt;'PlayerGrades+'!$AF$20,"F",IF(N551&lt;'PlayerGrades+'!$AF$19,"F+",IF(N551&lt;'PlayerGrades+'!$AF$18,"E-",IF(N551&lt;'PlayerGrades+'!$AF$17,"E",IF(N551&lt;'PlayerGrades+'!$AF$16,"E+",IF(N551&lt;'PlayerGrades+'!$AF$15,"D-",IF(N551&lt;'PlayerGrades+'!$AF$14,"D",IF(N551&lt;'PlayerGrades+'!$AF$13,"D+",IF(N551&lt;'PlayerGrades+'!$AF$12,"C-",IF(N551&lt;'PlayerGrades+'!$AF$11,"C",IF(N551&lt;'PlayerGrades+'!$AF$10,"C+",IF(N551&lt;'PlayerGrades+'!$AF$9,"B-",IF(N551&lt;'PlayerGrades+'!$AF$8,"B",IF(N551&lt;'PlayerGrades+'!$AF$7,"B+",IF(N551&lt;'PlayerGrades+'!$AF$6,"A-",IF(N551&lt;'PlayerGrades+'!$AF$5,"A",IF(N551&lt;'PlayerGrades+'!$AF$4,"A+",IF(N551&lt;'PlayerGrades+'!$AF$3,"S-",IF(N551&lt;'PlayerGrades+'!$AF$2,"S","S+"))))))))))))))))))))</f>
        <v>#DIV/0!</v>
      </c>
      <c r="P551" s="1423" t="str">
        <f t="shared" si="18"/>
        <v>#DIV/0!</v>
      </c>
      <c r="Q551" s="1423" t="str">
        <f>IF(P551&lt;'PlayerGrades+'!$AG$21,"F-",IF(P551&lt;'PlayerGrades+'!$AG$20,"F",IF(P551&lt;'PlayerGrades+'!$AG$19,"F+",IF(P551&lt;'PlayerGrades+'!$AG$18,"E-",IF(P551&lt;'PlayerGrades+'!$AG$17,"E",IF(P551&lt;'PlayerGrades+'!$AG$16,"E+",IF(P551&lt;'PlayerGrades+'!$AG$15,"D-",IF(P551&lt;'PlayerGrades+'!$AG$14,"D",IF(P551&lt;'PlayerGrades+'!$AG$13,"D+",IF(P551&lt;'PlayerGrades+'!$AG$12,"C-",IF(P551&lt;'PlayerGrades+'!$AG$11,"C",IF(P551&lt;'PlayerGrades+'!$AG$10,"C+",IF(P551&lt;'PlayerGrades+'!$AG$9,"B-",IF(P551&lt;'PlayerGrades+'!$AG$8,"B",IF(P551&lt;'PlayerGrades+'!$AG$7,"B+",IF(P551&lt;'PlayerGrades+'!$AG$6,"A-",IF(P551&lt;'PlayerGrades+'!$AG$5,"A",IF(P551&lt;'PlayerGrades+'!$AG$4,"A+",IF(P551&lt;'PlayerGrades+'!$AG$3,"S-",IF(P551&lt;'PlayerGrades+'!$AG$2,"S","S+"))))))))))))))))))))</f>
        <v>#DIV/0!</v>
      </c>
      <c r="R551" s="1423" t="str">
        <f t="shared" si="19"/>
        <v>#REF!</v>
      </c>
      <c r="S551" s="1423" t="str">
        <f>IF(R551&lt;'PlayerGrades+'!$AH$21,"F-",IF(R551&lt;'PlayerGrades+'!$AH$20,"F",IF(R551&lt;'PlayerGrades+'!$AH$19,"F+",IF(R551&lt;'PlayerGrades+'!$AH$18,"E-",IF(R551&lt;'PlayerGrades+'!$AH$17,"E",IF(R551&lt;'PlayerGrades+'!$AH$16,"E+",IF(R551&lt;'PlayerGrades+'!$AH$15,"D-",IF(R551&lt;'PlayerGrades+'!$AH$14,"D",IF(R551&lt;'PlayerGrades+'!$AH$13,"D+",IF(R551&lt;'PlayerGrades+'!$AH$12,"C-",IF(R551&lt;'PlayerGrades+'!$AH$11,"C",IF(R551&lt;'PlayerGrades+'!$AH$10,"C+",IF(R551&lt;'PlayerGrades+'!$AH$9,"B-",IF(R551&lt;'PlayerGrades+'!$AH$8,"B",IF(R551&lt;'PlayerGrades+'!$AH$7,"B+",IF(R551&lt;'PlayerGrades+'!$AH$6,"A-",IF(R551&lt;'PlayerGrades+'!$AH$5,"A",IF(R551&lt;'PlayerGrades+'!$AH$4,"A+",IF(R551&lt;'PlayerGrades+'!$AH$3,"S-",IF(R551&lt;'PlayerGrades+'!$AH$2,"S","S+"))))))))))))))))))))</f>
        <v>#REF!</v>
      </c>
      <c r="T551" s="1423" t="str">
        <f t="shared" si="20"/>
        <v>#REF!</v>
      </c>
      <c r="U551" s="1423" t="str">
        <f>IF(T551&lt;'PlayerGrades+'!$AI$21,"F-",IF(T551&lt;'PlayerGrades+'!$AI$20,"F",IF(T551&lt;'PlayerGrades+'!$AI$19,"F+",IF(T551&lt;'PlayerGrades+'!$AI$18,"E-",IF(T551&lt;'PlayerGrades+'!$AI$17,"E",IF(T551&lt;'PlayerGrades+'!$AI$16,"E+",IF(T551&lt;'PlayerGrades+'!$AI$15,"D-",IF(T551&lt;'PlayerGrades+'!$AI$14,"D",IF(T551&lt;'PlayerGrades+'!$AI$13,"D+",IF(T551&lt;'PlayerGrades+'!$AI$12,"C-",IF(T551&lt;'PlayerGrades+'!$AI$11,"C",IF(T551&lt;'PlayerGrades+'!$AI$10,"C+",IF(T551&lt;'PlayerGrades+'!$AI$9,"B-",IF(T551&lt;'PlayerGrades+'!$AI$8,"B",IF(T551&lt;'PlayerGrades+'!$AI$7,"B+",IF(T551&lt;'PlayerGrades+'!$AI$6,"A-",IF(T551&lt;'PlayerGrades+'!$AI$5,"A",IF(T551&lt;'PlayerGrades+'!$AI$4,"A+",IF(T551&lt;'PlayerGrades+'!$AI$3,"S-",IF(T551&lt;'PlayerGrades+'!$AI$2,"S","S+"))))))))))))))))))))</f>
        <v>#REF!</v>
      </c>
      <c r="AC551" s="1392"/>
    </row>
    <row r="552">
      <c r="B552" s="1421" t="str">
        <f>IF(C552&lt;'PlayerGrades+'!$Y$44,"F-",IF(C552&lt;'PlayerGrades+'!$Y$43,"F",IF(C552&lt;'PlayerGrades+'!$Y$42,"F+",IF(C552&lt;'PlayerGrades+'!$Y$41,"E-",IF(C552&lt;'PlayerGrades+'!$Y$40,"E",IF(C552&lt;'PlayerGrades+'!$Y$39,"E+",IF(C552&lt;'PlayerGrades+'!$Y$38,"D-",IF(C552&lt;'PlayerGrades+'!$Y$37,"D",IF(C552&lt;'PlayerGrades+'!$Y$36,"D+",IF(C552&lt;'PlayerGrades+'!$Y$35,"C-",IF(C552&lt;'PlayerGrades+'!$Y$34,"C",IF(C552&lt;'PlayerGrades+'!$Y$33,"C+",IF(C552&lt;'PlayerGrades+'!$Y$32,"B-",IF(C552&lt;'PlayerGrades+'!$Y$31,"B",IF(C552&lt;'PlayerGrades+'!$Y$30,"B+",IF(C552&lt;'PlayerGrades+'!$Y$29,"A-",IF(C552&lt;'PlayerGrades+'!$Y$28,"A",IF(C552&lt;'PlayerGrades+'!$Y$27,"A+",IF(C552&lt;'PlayerGrades+'!$Y$26,"S-",IF(C552&lt;'PlayerGrades+'!$Y$25,"S","S+"))))))))))))))))))))</f>
        <v>#DIV/0!</v>
      </c>
      <c r="C552" s="1422" t="str">
        <f>('PlayerGrades+'!$Y$47*(VLOOKUP(E552, 'PlayerGrades+'!$X$3:$Y$23, 2, FALSE)))+('PlayerGrades+'!$Y$48*(VLOOKUP(G552, 'PlayerGrades+'!$X$3:$Y$23, 2, FALSE)))+('PlayerGrades+'!$Y$49*(VLOOKUP(I552, 'PlayerGrades+'!$X$3:$Y$23, 2, FALSE)))+('PlayerGrades+'!$Y$50*(VLOOKUP(K552, 'PlayerGrades+'!$X$3:$Y$23, 2, FALSE)))+('PlayerGrades+'!$Y$51*(VLOOKUP(M552, 'PlayerGrades+'!$X$3:$Y$23, 2, FALSE)))+('PlayerGrades+'!$Y$52*(VLOOKUP(O552, 'PlayerGrades+'!$X$3:$Y$23, 2, FALSE)))+('PlayerGrades+'!$Y$53*(VLOOKUP(Q552, 'PlayerGrades+'!$X$3:$Y$23, 2, FALSE)))+('PlayerGrades+'!$Y$54*(VLOOKUP(S552, 'PlayerGrades+'!$X$3:$Y$23, 2, FALSE)))+('PlayerGrades+'!$Y$55*(VLOOKUP(U552, 'PlayerGrades+'!$X$3:$Y$23, 2, FALSE)))</f>
        <v>#DIV/0!</v>
      </c>
      <c r="D552" s="1423" t="str">
        <f t="shared" si="12"/>
        <v>#DIV/0!</v>
      </c>
      <c r="E552" s="1423" t="str">
        <f>IF(D552&lt;'PlayerGrades+'!$AA$21,"F-",IF(D552&lt;'PlayerGrades+'!$AA$20,"F",IF(D552&lt;'PlayerGrades+'!$AA$19,"F+",IF(D552&lt;'PlayerGrades+'!$AA$18,"E-",IF(D552&lt;'PlayerGrades+'!$AA$17,"E",IF(D552&lt;'PlayerGrades+'!$AA$16,"E+",IF(D552&lt;'PlayerGrades+'!$AA$15,"D-",IF(D552&lt;'PlayerGrades+'!$AA$14,"D",IF(D552&lt;'PlayerGrades+'!$AA$13,"D+",IF(D552&lt;'PlayerGrades+'!$AA$12,"C-",IF(D552&lt;'PlayerGrades+'!$AA$11,"C",IF(D552&lt;'PlayerGrades+'!$AA$10,"C+",IF(D552&lt;'PlayerGrades+'!$AA$9,"B-",IF(D552&lt;'PlayerGrades+'!$AA$8,"B",IF(D552&lt;'PlayerGrades+'!$AA$7,"B+",IF(D552&lt;'PlayerGrades+'!$AA$6,"A-",IF(D552&lt;'PlayerGrades+'!$AA$5,"A",IF(D552&lt;'PlayerGrades+'!$AA$4,"A+",IF(D552&lt;'PlayerGrades+'!$AA$3,"S-",IF(D552&lt;'PlayerGrades+'!$AA$2,"S","S+"))))))))))))))))))))</f>
        <v>#DIV/0!</v>
      </c>
      <c r="F552" s="1423" t="str">
        <f t="shared" si="13"/>
        <v>#DIV/0!</v>
      </c>
      <c r="G552" s="1423" t="str">
        <f>IF(F552&lt;'PlayerGrades+'!$AB$21,"F-",IF(F552&lt;'PlayerGrades+'!$AB$20,"F",IF(F552&lt;'PlayerGrades+'!$AB$19,"F+",IF(F552&lt;'PlayerGrades+'!$AB$18,"E-",IF(F552&lt;'PlayerGrades+'!$AB$17,"E",IF(F552&lt;'PlayerGrades+'!$AB$16,"E+",IF(F552&lt;'PlayerGrades+'!$AB$15,"D-",IF(F552&lt;'PlayerGrades+'!$AB$14,"D",IF(F552&lt;'PlayerGrades+'!$AB$13,"D+",IF(F552&lt;'PlayerGrades+'!$AB$12,"C-",IF(F552&lt;'PlayerGrades+'!$AB$11,"C",IF(F552&lt;'PlayerGrades+'!$AB$10,"C+",IF(F552&lt;'PlayerGrades+'!$AB$9,"B-",IF(F552&lt;'PlayerGrades+'!$AB$8,"B",IF(F552&lt;'PlayerGrades+'!$AB$7,"B+",IF(F552&lt;'PlayerGrades+'!$AB$6,"A-",IF(F552&lt;'PlayerGrades+'!$AB$5,"A",IF(F552&lt;'PlayerGrades+'!$AB$4,"A+",IF(F552&lt;'PlayerGrades+'!$AB$3,"S-",IF(F552&lt;'PlayerGrades+'!$AB$2,"S","S+"))))))))))))))))))))</f>
        <v>#DIV/0!</v>
      </c>
      <c r="H552" s="1423" t="str">
        <f t="shared" si="14"/>
        <v>#DIV/0!</v>
      </c>
      <c r="I552" s="1423" t="str">
        <f>IF(H552&lt;'PlayerGrades+'!$AC$21,"F-",IF(H552&lt;'PlayerGrades+'!$AC$20,"F",IF(H552&lt;'PlayerGrades+'!$AC$19,"F+",IF(H552&lt;'PlayerGrades+'!$AC$18,"E-",IF(H552&lt;'PlayerGrades+'!$AC$17,"E",IF(H552&lt;'PlayerGrades+'!$AC$16,"E+",IF(H552&lt;'PlayerGrades+'!$AC$15,"D-",IF(H552&lt;'PlayerGrades+'!$AC$14,"D",IF(H552&lt;'PlayerGrades+'!$AC$13,"D+",IF(H552&lt;'PlayerGrades+'!$AC$12,"C-",IF(H552&lt;'PlayerGrades+'!$AC$11,"C",IF(H552&lt;'PlayerGrades+'!$AC$10,"C+",IF(H552&lt;'PlayerGrades+'!$AC$9,"B-",IF(H552&lt;'PlayerGrades+'!$AC$8,"B",IF(H552&lt;'PlayerGrades+'!$AC$7,"B+",IF(H552&lt;'PlayerGrades+'!$AC$6,"A-",IF(H552&lt;'PlayerGrades+'!$AC$5,"A",IF(H552&lt;'PlayerGrades+'!$AC$4,"A+",IF(H552&lt;'PlayerGrades+'!$AC$3,"S-",IF(H552&lt;'PlayerGrades+'!$AC$2,"S","S+"))))))))))))))))))))</f>
        <v>#DIV/0!</v>
      </c>
      <c r="J552" s="1423" t="str">
        <f t="shared" si="15"/>
        <v>#DIV/0!</v>
      </c>
      <c r="K552" s="1423" t="str">
        <f>IF(J552&lt;'PlayerGrades+'!$AD$21,"F-",IF(J552&lt;'PlayerGrades+'!$AD$20,"F",IF(J552&lt;'PlayerGrades+'!$AD$19,"F+",IF(J552&lt;'PlayerGrades+'!$AD$18,"E-",IF(J552&lt;'PlayerGrades+'!$AD$17,"E",IF(J552&lt;'PlayerGrades+'!$AD$16,"E+",IF(J552&lt;'PlayerGrades+'!$AD$15,"D-",IF(J552&lt;'PlayerGrades+'!$AD$14,"D",IF(J552&lt;'PlayerGrades+'!$AD$13,"D+",IF(J552&lt;'PlayerGrades+'!$AD$12,"C-",IF(J552&lt;'PlayerGrades+'!$AD$11,"C",IF(J552&lt;'PlayerGrades+'!$AD$10,"C+",IF(J552&lt;'PlayerGrades+'!$AD$9,"B-",IF(J552&lt;'PlayerGrades+'!$AD$8,"B",IF(J552&lt;'PlayerGrades+'!$AD$7,"B+",IF(J552&lt;'PlayerGrades+'!$AD$6,"A-",IF(J552&lt;'PlayerGrades+'!$AD$5,"A",IF(J552&lt;'PlayerGrades+'!$AD$4,"A+",IF(J552&lt;'PlayerGrades+'!$AD$3,"S-",IF(J552&lt;'PlayerGrades+'!$AD$2,"S","S+"))))))))))))))))))))</f>
        <v>#DIV/0!</v>
      </c>
      <c r="L552" s="1176" t="str">
        <f t="shared" si="16"/>
        <v>#DIV/0!</v>
      </c>
      <c r="M552" s="992" t="str">
        <f>IF(L552&lt;'PlayerGrades+'!$AE$21,"F-",IF(L552&lt;'PlayerGrades+'!$AE$20,"F",IF(L552&lt;'PlayerGrades+'!$AE$19,"F+",IF(L552&lt;'PlayerGrades+'!$AE$18,"E-",IF(L552&lt;'PlayerGrades+'!$AE$17,"E",IF(L552&lt;'PlayerGrades+'!$AE$16,"E+",IF(L552&lt;'PlayerGrades+'!$AE$15,"D-",IF(L552&lt;'PlayerGrades+'!$AE$14,"D",IF(L552&lt;'PlayerGrades+'!$AE$13,"D+",IF(L552&lt;'PlayerGrades+'!$AE$12,"C-",IF(L552&lt;'PlayerGrades+'!$AE$11,"C",IF(L552&lt;'PlayerGrades+'!$AE$10,"C+",IF(L552&lt;'PlayerGrades+'!$AE$9,"B-",IF(L552&lt;'PlayerGrades+'!$AE$8,"B",IF(L552&lt;'PlayerGrades+'!$AE$7,"B+",IF(L552&lt;'PlayerGrades+'!$AE$6,"A-",IF(L552&lt;'PlayerGrades+'!$AE$5,"A",IF(L552&lt;'PlayerGrades+'!$AE$4,"A+",IF(L552&lt;'PlayerGrades+'!$AE$3,"S-",IF(L552&lt;'PlayerGrades+'!$AE$2,"S","S+"))))))))))))))))))))</f>
        <v>#DIV/0!</v>
      </c>
      <c r="N552" s="1423" t="str">
        <f t="shared" si="17"/>
        <v>#DIV/0!</v>
      </c>
      <c r="O552" s="1423" t="str">
        <f>IF(N552&lt;'PlayerGrades+'!$AF$21,"F-",IF(N552&lt;'PlayerGrades+'!$AF$20,"F",IF(N552&lt;'PlayerGrades+'!$AF$19,"F+",IF(N552&lt;'PlayerGrades+'!$AF$18,"E-",IF(N552&lt;'PlayerGrades+'!$AF$17,"E",IF(N552&lt;'PlayerGrades+'!$AF$16,"E+",IF(N552&lt;'PlayerGrades+'!$AF$15,"D-",IF(N552&lt;'PlayerGrades+'!$AF$14,"D",IF(N552&lt;'PlayerGrades+'!$AF$13,"D+",IF(N552&lt;'PlayerGrades+'!$AF$12,"C-",IF(N552&lt;'PlayerGrades+'!$AF$11,"C",IF(N552&lt;'PlayerGrades+'!$AF$10,"C+",IF(N552&lt;'PlayerGrades+'!$AF$9,"B-",IF(N552&lt;'PlayerGrades+'!$AF$8,"B",IF(N552&lt;'PlayerGrades+'!$AF$7,"B+",IF(N552&lt;'PlayerGrades+'!$AF$6,"A-",IF(N552&lt;'PlayerGrades+'!$AF$5,"A",IF(N552&lt;'PlayerGrades+'!$AF$4,"A+",IF(N552&lt;'PlayerGrades+'!$AF$3,"S-",IF(N552&lt;'PlayerGrades+'!$AF$2,"S","S+"))))))))))))))))))))</f>
        <v>#DIV/0!</v>
      </c>
      <c r="P552" s="1423" t="str">
        <f t="shared" si="18"/>
        <v>#DIV/0!</v>
      </c>
      <c r="Q552" s="1423" t="str">
        <f>IF(P552&lt;'PlayerGrades+'!$AG$21,"F-",IF(P552&lt;'PlayerGrades+'!$AG$20,"F",IF(P552&lt;'PlayerGrades+'!$AG$19,"F+",IF(P552&lt;'PlayerGrades+'!$AG$18,"E-",IF(P552&lt;'PlayerGrades+'!$AG$17,"E",IF(P552&lt;'PlayerGrades+'!$AG$16,"E+",IF(P552&lt;'PlayerGrades+'!$AG$15,"D-",IF(P552&lt;'PlayerGrades+'!$AG$14,"D",IF(P552&lt;'PlayerGrades+'!$AG$13,"D+",IF(P552&lt;'PlayerGrades+'!$AG$12,"C-",IF(P552&lt;'PlayerGrades+'!$AG$11,"C",IF(P552&lt;'PlayerGrades+'!$AG$10,"C+",IF(P552&lt;'PlayerGrades+'!$AG$9,"B-",IF(P552&lt;'PlayerGrades+'!$AG$8,"B",IF(P552&lt;'PlayerGrades+'!$AG$7,"B+",IF(P552&lt;'PlayerGrades+'!$AG$6,"A-",IF(P552&lt;'PlayerGrades+'!$AG$5,"A",IF(P552&lt;'PlayerGrades+'!$AG$4,"A+",IF(P552&lt;'PlayerGrades+'!$AG$3,"S-",IF(P552&lt;'PlayerGrades+'!$AG$2,"S","S+"))))))))))))))))))))</f>
        <v>#DIV/0!</v>
      </c>
      <c r="R552" s="1423" t="str">
        <f t="shared" si="19"/>
        <v>#REF!</v>
      </c>
      <c r="S552" s="1423" t="str">
        <f>IF(R552&lt;'PlayerGrades+'!$AH$21,"F-",IF(R552&lt;'PlayerGrades+'!$AH$20,"F",IF(R552&lt;'PlayerGrades+'!$AH$19,"F+",IF(R552&lt;'PlayerGrades+'!$AH$18,"E-",IF(R552&lt;'PlayerGrades+'!$AH$17,"E",IF(R552&lt;'PlayerGrades+'!$AH$16,"E+",IF(R552&lt;'PlayerGrades+'!$AH$15,"D-",IF(R552&lt;'PlayerGrades+'!$AH$14,"D",IF(R552&lt;'PlayerGrades+'!$AH$13,"D+",IF(R552&lt;'PlayerGrades+'!$AH$12,"C-",IF(R552&lt;'PlayerGrades+'!$AH$11,"C",IF(R552&lt;'PlayerGrades+'!$AH$10,"C+",IF(R552&lt;'PlayerGrades+'!$AH$9,"B-",IF(R552&lt;'PlayerGrades+'!$AH$8,"B",IF(R552&lt;'PlayerGrades+'!$AH$7,"B+",IF(R552&lt;'PlayerGrades+'!$AH$6,"A-",IF(R552&lt;'PlayerGrades+'!$AH$5,"A",IF(R552&lt;'PlayerGrades+'!$AH$4,"A+",IF(R552&lt;'PlayerGrades+'!$AH$3,"S-",IF(R552&lt;'PlayerGrades+'!$AH$2,"S","S+"))))))))))))))))))))</f>
        <v>#REF!</v>
      </c>
      <c r="T552" s="1423" t="str">
        <f t="shared" si="20"/>
        <v>#REF!</v>
      </c>
      <c r="U552" s="1423" t="str">
        <f>IF(T552&lt;'PlayerGrades+'!$AI$21,"F-",IF(T552&lt;'PlayerGrades+'!$AI$20,"F",IF(T552&lt;'PlayerGrades+'!$AI$19,"F+",IF(T552&lt;'PlayerGrades+'!$AI$18,"E-",IF(T552&lt;'PlayerGrades+'!$AI$17,"E",IF(T552&lt;'PlayerGrades+'!$AI$16,"E+",IF(T552&lt;'PlayerGrades+'!$AI$15,"D-",IF(T552&lt;'PlayerGrades+'!$AI$14,"D",IF(T552&lt;'PlayerGrades+'!$AI$13,"D+",IF(T552&lt;'PlayerGrades+'!$AI$12,"C-",IF(T552&lt;'PlayerGrades+'!$AI$11,"C",IF(T552&lt;'PlayerGrades+'!$AI$10,"C+",IF(T552&lt;'PlayerGrades+'!$AI$9,"B-",IF(T552&lt;'PlayerGrades+'!$AI$8,"B",IF(T552&lt;'PlayerGrades+'!$AI$7,"B+",IF(T552&lt;'PlayerGrades+'!$AI$6,"A-",IF(T552&lt;'PlayerGrades+'!$AI$5,"A",IF(T552&lt;'PlayerGrades+'!$AI$4,"A+",IF(T552&lt;'PlayerGrades+'!$AI$3,"S-",IF(T552&lt;'PlayerGrades+'!$AI$2,"S","S+"))))))))))))))))))))</f>
        <v>#REF!</v>
      </c>
      <c r="AC552" s="1392"/>
    </row>
    <row r="553">
      <c r="A553" s="1411"/>
      <c r="B553" s="1421" t="str">
        <f>IF(C553&lt;'PlayerGrades+'!$Y$44,"F-",IF(C553&lt;'PlayerGrades+'!$Y$43,"F",IF(C553&lt;'PlayerGrades+'!$Y$42,"F+",IF(C553&lt;'PlayerGrades+'!$Y$41,"E-",IF(C553&lt;'PlayerGrades+'!$Y$40,"E",IF(C553&lt;'PlayerGrades+'!$Y$39,"E+",IF(C553&lt;'PlayerGrades+'!$Y$38,"D-",IF(C553&lt;'PlayerGrades+'!$Y$37,"D",IF(C553&lt;'PlayerGrades+'!$Y$36,"D+",IF(C553&lt;'PlayerGrades+'!$Y$35,"C-",IF(C553&lt;'PlayerGrades+'!$Y$34,"C",IF(C553&lt;'PlayerGrades+'!$Y$33,"C+",IF(C553&lt;'PlayerGrades+'!$Y$32,"B-",IF(C553&lt;'PlayerGrades+'!$Y$31,"B",IF(C553&lt;'PlayerGrades+'!$Y$30,"B+",IF(C553&lt;'PlayerGrades+'!$Y$29,"A-",IF(C553&lt;'PlayerGrades+'!$Y$28,"A",IF(C553&lt;'PlayerGrades+'!$Y$27,"A+",IF(C553&lt;'PlayerGrades+'!$Y$26,"S-",IF(C553&lt;'PlayerGrades+'!$Y$25,"S","S+"))))))))))))))))))))</f>
        <v>#DIV/0!</v>
      </c>
      <c r="C553" s="1422" t="str">
        <f>('PlayerGrades+'!$Y$47*(VLOOKUP(E553, 'PlayerGrades+'!$X$3:$Y$23, 2, FALSE)))+('PlayerGrades+'!$Y$48*(VLOOKUP(G553, 'PlayerGrades+'!$X$3:$Y$23, 2, FALSE)))+('PlayerGrades+'!$Y$49*(VLOOKUP(I553, 'PlayerGrades+'!$X$3:$Y$23, 2, FALSE)))+('PlayerGrades+'!$Y$50*(VLOOKUP(K553, 'PlayerGrades+'!$X$3:$Y$23, 2, FALSE)))+('PlayerGrades+'!$Y$51*(VLOOKUP(M553, 'PlayerGrades+'!$X$3:$Y$23, 2, FALSE)))+('PlayerGrades+'!$Y$52*(VLOOKUP(O553, 'PlayerGrades+'!$X$3:$Y$23, 2, FALSE)))+('PlayerGrades+'!$Y$53*(VLOOKUP(Q553, 'PlayerGrades+'!$X$3:$Y$23, 2, FALSE)))+('PlayerGrades+'!$Y$54*(VLOOKUP(S553, 'PlayerGrades+'!$X$3:$Y$23, 2, FALSE)))+('PlayerGrades+'!$Y$55*(VLOOKUP(U553, 'PlayerGrades+'!$X$3:$Y$23, 2, FALSE)))</f>
        <v>#DIV/0!</v>
      </c>
      <c r="D553" s="1423" t="str">
        <f t="shared" si="12"/>
        <v>#DIV/0!</v>
      </c>
      <c r="E553" s="1423" t="str">
        <f>IF(D553&lt;'PlayerGrades+'!$AA$21,"F-",IF(D553&lt;'PlayerGrades+'!$AA$20,"F",IF(D553&lt;'PlayerGrades+'!$AA$19,"F+",IF(D553&lt;'PlayerGrades+'!$AA$18,"E-",IF(D553&lt;'PlayerGrades+'!$AA$17,"E",IF(D553&lt;'PlayerGrades+'!$AA$16,"E+",IF(D553&lt;'PlayerGrades+'!$AA$15,"D-",IF(D553&lt;'PlayerGrades+'!$AA$14,"D",IF(D553&lt;'PlayerGrades+'!$AA$13,"D+",IF(D553&lt;'PlayerGrades+'!$AA$12,"C-",IF(D553&lt;'PlayerGrades+'!$AA$11,"C",IF(D553&lt;'PlayerGrades+'!$AA$10,"C+",IF(D553&lt;'PlayerGrades+'!$AA$9,"B-",IF(D553&lt;'PlayerGrades+'!$AA$8,"B",IF(D553&lt;'PlayerGrades+'!$AA$7,"B+",IF(D553&lt;'PlayerGrades+'!$AA$6,"A-",IF(D553&lt;'PlayerGrades+'!$AA$5,"A",IF(D553&lt;'PlayerGrades+'!$AA$4,"A+",IF(D553&lt;'PlayerGrades+'!$AA$3,"S-",IF(D553&lt;'PlayerGrades+'!$AA$2,"S","S+"))))))))))))))))))))</f>
        <v>#DIV/0!</v>
      </c>
      <c r="F553" s="1423" t="str">
        <f t="shared" si="13"/>
        <v>#DIV/0!</v>
      </c>
      <c r="G553" s="1423" t="str">
        <f>IF(F553&lt;'PlayerGrades+'!$AB$21,"F-",IF(F553&lt;'PlayerGrades+'!$AB$20,"F",IF(F553&lt;'PlayerGrades+'!$AB$19,"F+",IF(F553&lt;'PlayerGrades+'!$AB$18,"E-",IF(F553&lt;'PlayerGrades+'!$AB$17,"E",IF(F553&lt;'PlayerGrades+'!$AB$16,"E+",IF(F553&lt;'PlayerGrades+'!$AB$15,"D-",IF(F553&lt;'PlayerGrades+'!$AB$14,"D",IF(F553&lt;'PlayerGrades+'!$AB$13,"D+",IF(F553&lt;'PlayerGrades+'!$AB$12,"C-",IF(F553&lt;'PlayerGrades+'!$AB$11,"C",IF(F553&lt;'PlayerGrades+'!$AB$10,"C+",IF(F553&lt;'PlayerGrades+'!$AB$9,"B-",IF(F553&lt;'PlayerGrades+'!$AB$8,"B",IF(F553&lt;'PlayerGrades+'!$AB$7,"B+",IF(F553&lt;'PlayerGrades+'!$AB$6,"A-",IF(F553&lt;'PlayerGrades+'!$AB$5,"A",IF(F553&lt;'PlayerGrades+'!$AB$4,"A+",IF(F553&lt;'PlayerGrades+'!$AB$3,"S-",IF(F553&lt;'PlayerGrades+'!$AB$2,"S","S+"))))))))))))))))))))</f>
        <v>#DIV/0!</v>
      </c>
      <c r="H553" s="1423" t="str">
        <f t="shared" si="14"/>
        <v>#DIV/0!</v>
      </c>
      <c r="I553" s="1423" t="str">
        <f>IF(H553&lt;'PlayerGrades+'!$AC$21,"F-",IF(H553&lt;'PlayerGrades+'!$AC$20,"F",IF(H553&lt;'PlayerGrades+'!$AC$19,"F+",IF(H553&lt;'PlayerGrades+'!$AC$18,"E-",IF(H553&lt;'PlayerGrades+'!$AC$17,"E",IF(H553&lt;'PlayerGrades+'!$AC$16,"E+",IF(H553&lt;'PlayerGrades+'!$AC$15,"D-",IF(H553&lt;'PlayerGrades+'!$AC$14,"D",IF(H553&lt;'PlayerGrades+'!$AC$13,"D+",IF(H553&lt;'PlayerGrades+'!$AC$12,"C-",IF(H553&lt;'PlayerGrades+'!$AC$11,"C",IF(H553&lt;'PlayerGrades+'!$AC$10,"C+",IF(H553&lt;'PlayerGrades+'!$AC$9,"B-",IF(H553&lt;'PlayerGrades+'!$AC$8,"B",IF(H553&lt;'PlayerGrades+'!$AC$7,"B+",IF(H553&lt;'PlayerGrades+'!$AC$6,"A-",IF(H553&lt;'PlayerGrades+'!$AC$5,"A",IF(H553&lt;'PlayerGrades+'!$AC$4,"A+",IF(H553&lt;'PlayerGrades+'!$AC$3,"S-",IF(H553&lt;'PlayerGrades+'!$AC$2,"S","S+"))))))))))))))))))))</f>
        <v>#DIV/0!</v>
      </c>
      <c r="J553" s="1423" t="str">
        <f t="shared" si="15"/>
        <v>#DIV/0!</v>
      </c>
      <c r="K553" s="1423" t="str">
        <f>IF(J553&lt;'PlayerGrades+'!$AD$21,"F-",IF(J553&lt;'PlayerGrades+'!$AD$20,"F",IF(J553&lt;'PlayerGrades+'!$AD$19,"F+",IF(J553&lt;'PlayerGrades+'!$AD$18,"E-",IF(J553&lt;'PlayerGrades+'!$AD$17,"E",IF(J553&lt;'PlayerGrades+'!$AD$16,"E+",IF(J553&lt;'PlayerGrades+'!$AD$15,"D-",IF(J553&lt;'PlayerGrades+'!$AD$14,"D",IF(J553&lt;'PlayerGrades+'!$AD$13,"D+",IF(J553&lt;'PlayerGrades+'!$AD$12,"C-",IF(J553&lt;'PlayerGrades+'!$AD$11,"C",IF(J553&lt;'PlayerGrades+'!$AD$10,"C+",IF(J553&lt;'PlayerGrades+'!$AD$9,"B-",IF(J553&lt;'PlayerGrades+'!$AD$8,"B",IF(J553&lt;'PlayerGrades+'!$AD$7,"B+",IF(J553&lt;'PlayerGrades+'!$AD$6,"A-",IF(J553&lt;'PlayerGrades+'!$AD$5,"A",IF(J553&lt;'PlayerGrades+'!$AD$4,"A+",IF(J553&lt;'PlayerGrades+'!$AD$3,"S-",IF(J553&lt;'PlayerGrades+'!$AD$2,"S","S+"))))))))))))))))))))</f>
        <v>#DIV/0!</v>
      </c>
      <c r="L553" s="1176" t="str">
        <f t="shared" si="16"/>
        <v>#DIV/0!</v>
      </c>
      <c r="M553" s="992" t="str">
        <f>IF(L553&lt;'PlayerGrades+'!$AE$21,"F-",IF(L553&lt;'PlayerGrades+'!$AE$20,"F",IF(L553&lt;'PlayerGrades+'!$AE$19,"F+",IF(L553&lt;'PlayerGrades+'!$AE$18,"E-",IF(L553&lt;'PlayerGrades+'!$AE$17,"E",IF(L553&lt;'PlayerGrades+'!$AE$16,"E+",IF(L553&lt;'PlayerGrades+'!$AE$15,"D-",IF(L553&lt;'PlayerGrades+'!$AE$14,"D",IF(L553&lt;'PlayerGrades+'!$AE$13,"D+",IF(L553&lt;'PlayerGrades+'!$AE$12,"C-",IF(L553&lt;'PlayerGrades+'!$AE$11,"C",IF(L553&lt;'PlayerGrades+'!$AE$10,"C+",IF(L553&lt;'PlayerGrades+'!$AE$9,"B-",IF(L553&lt;'PlayerGrades+'!$AE$8,"B",IF(L553&lt;'PlayerGrades+'!$AE$7,"B+",IF(L553&lt;'PlayerGrades+'!$AE$6,"A-",IF(L553&lt;'PlayerGrades+'!$AE$5,"A",IF(L553&lt;'PlayerGrades+'!$AE$4,"A+",IF(L553&lt;'PlayerGrades+'!$AE$3,"S-",IF(L553&lt;'PlayerGrades+'!$AE$2,"S","S+"))))))))))))))))))))</f>
        <v>#DIV/0!</v>
      </c>
      <c r="N553" s="1423" t="str">
        <f t="shared" si="17"/>
        <v>#DIV/0!</v>
      </c>
      <c r="O553" s="1423" t="str">
        <f>IF(N553&lt;'PlayerGrades+'!$AF$21,"F-",IF(N553&lt;'PlayerGrades+'!$AF$20,"F",IF(N553&lt;'PlayerGrades+'!$AF$19,"F+",IF(N553&lt;'PlayerGrades+'!$AF$18,"E-",IF(N553&lt;'PlayerGrades+'!$AF$17,"E",IF(N553&lt;'PlayerGrades+'!$AF$16,"E+",IF(N553&lt;'PlayerGrades+'!$AF$15,"D-",IF(N553&lt;'PlayerGrades+'!$AF$14,"D",IF(N553&lt;'PlayerGrades+'!$AF$13,"D+",IF(N553&lt;'PlayerGrades+'!$AF$12,"C-",IF(N553&lt;'PlayerGrades+'!$AF$11,"C",IF(N553&lt;'PlayerGrades+'!$AF$10,"C+",IF(N553&lt;'PlayerGrades+'!$AF$9,"B-",IF(N553&lt;'PlayerGrades+'!$AF$8,"B",IF(N553&lt;'PlayerGrades+'!$AF$7,"B+",IF(N553&lt;'PlayerGrades+'!$AF$6,"A-",IF(N553&lt;'PlayerGrades+'!$AF$5,"A",IF(N553&lt;'PlayerGrades+'!$AF$4,"A+",IF(N553&lt;'PlayerGrades+'!$AF$3,"S-",IF(N553&lt;'PlayerGrades+'!$AF$2,"S","S+"))))))))))))))))))))</f>
        <v>#DIV/0!</v>
      </c>
      <c r="P553" s="1423" t="str">
        <f t="shared" si="18"/>
        <v>#DIV/0!</v>
      </c>
      <c r="Q553" s="1423" t="str">
        <f>IF(P553&lt;'PlayerGrades+'!$AG$21,"F-",IF(P553&lt;'PlayerGrades+'!$AG$20,"F",IF(P553&lt;'PlayerGrades+'!$AG$19,"F+",IF(P553&lt;'PlayerGrades+'!$AG$18,"E-",IF(P553&lt;'PlayerGrades+'!$AG$17,"E",IF(P553&lt;'PlayerGrades+'!$AG$16,"E+",IF(P553&lt;'PlayerGrades+'!$AG$15,"D-",IF(P553&lt;'PlayerGrades+'!$AG$14,"D",IF(P553&lt;'PlayerGrades+'!$AG$13,"D+",IF(P553&lt;'PlayerGrades+'!$AG$12,"C-",IF(P553&lt;'PlayerGrades+'!$AG$11,"C",IF(P553&lt;'PlayerGrades+'!$AG$10,"C+",IF(P553&lt;'PlayerGrades+'!$AG$9,"B-",IF(P553&lt;'PlayerGrades+'!$AG$8,"B",IF(P553&lt;'PlayerGrades+'!$AG$7,"B+",IF(P553&lt;'PlayerGrades+'!$AG$6,"A-",IF(P553&lt;'PlayerGrades+'!$AG$5,"A",IF(P553&lt;'PlayerGrades+'!$AG$4,"A+",IF(P553&lt;'PlayerGrades+'!$AG$3,"S-",IF(P553&lt;'PlayerGrades+'!$AG$2,"S","S+"))))))))))))))))))))</f>
        <v>#DIV/0!</v>
      </c>
      <c r="R553" s="1423" t="str">
        <f t="shared" si="19"/>
        <v>#REF!</v>
      </c>
      <c r="S553" s="1423" t="str">
        <f>IF(R553&lt;'PlayerGrades+'!$AH$21,"F-",IF(R553&lt;'PlayerGrades+'!$AH$20,"F",IF(R553&lt;'PlayerGrades+'!$AH$19,"F+",IF(R553&lt;'PlayerGrades+'!$AH$18,"E-",IF(R553&lt;'PlayerGrades+'!$AH$17,"E",IF(R553&lt;'PlayerGrades+'!$AH$16,"E+",IF(R553&lt;'PlayerGrades+'!$AH$15,"D-",IF(R553&lt;'PlayerGrades+'!$AH$14,"D",IF(R553&lt;'PlayerGrades+'!$AH$13,"D+",IF(R553&lt;'PlayerGrades+'!$AH$12,"C-",IF(R553&lt;'PlayerGrades+'!$AH$11,"C",IF(R553&lt;'PlayerGrades+'!$AH$10,"C+",IF(R553&lt;'PlayerGrades+'!$AH$9,"B-",IF(R553&lt;'PlayerGrades+'!$AH$8,"B",IF(R553&lt;'PlayerGrades+'!$AH$7,"B+",IF(R553&lt;'PlayerGrades+'!$AH$6,"A-",IF(R553&lt;'PlayerGrades+'!$AH$5,"A",IF(R553&lt;'PlayerGrades+'!$AH$4,"A+",IF(R553&lt;'PlayerGrades+'!$AH$3,"S-",IF(R553&lt;'PlayerGrades+'!$AH$2,"S","S+"))))))))))))))))))))</f>
        <v>#REF!</v>
      </c>
      <c r="T553" s="1423" t="str">
        <f t="shared" si="20"/>
        <v>#REF!</v>
      </c>
      <c r="U553" s="1423" t="str">
        <f>IF(T553&lt;'PlayerGrades+'!$AI$21,"F-",IF(T553&lt;'PlayerGrades+'!$AI$20,"F",IF(T553&lt;'PlayerGrades+'!$AI$19,"F+",IF(T553&lt;'PlayerGrades+'!$AI$18,"E-",IF(T553&lt;'PlayerGrades+'!$AI$17,"E",IF(T553&lt;'PlayerGrades+'!$AI$16,"E+",IF(T553&lt;'PlayerGrades+'!$AI$15,"D-",IF(T553&lt;'PlayerGrades+'!$AI$14,"D",IF(T553&lt;'PlayerGrades+'!$AI$13,"D+",IF(T553&lt;'PlayerGrades+'!$AI$12,"C-",IF(T553&lt;'PlayerGrades+'!$AI$11,"C",IF(T553&lt;'PlayerGrades+'!$AI$10,"C+",IF(T553&lt;'PlayerGrades+'!$AI$9,"B-",IF(T553&lt;'PlayerGrades+'!$AI$8,"B",IF(T553&lt;'PlayerGrades+'!$AI$7,"B+",IF(T553&lt;'PlayerGrades+'!$AI$6,"A-",IF(T553&lt;'PlayerGrades+'!$AI$5,"A",IF(T553&lt;'PlayerGrades+'!$AI$4,"A+",IF(T553&lt;'PlayerGrades+'!$AI$3,"S-",IF(T553&lt;'PlayerGrades+'!$AI$2,"S","S+"))))))))))))))))))))</f>
        <v>#REF!</v>
      </c>
      <c r="V553" s="1386"/>
      <c r="W553" s="1386"/>
      <c r="X553" s="1386"/>
      <c r="Y553" s="1386"/>
      <c r="Z553" s="1386"/>
      <c r="AA553" s="1386"/>
      <c r="AB553" s="1386"/>
      <c r="AC553" s="1397"/>
      <c r="AD553" s="1386"/>
      <c r="AE553" s="1386"/>
      <c r="AF553" s="1386"/>
      <c r="AG553" s="1386"/>
      <c r="AH553" s="1386"/>
      <c r="AI553" s="1386"/>
      <c r="AJ553" s="1386"/>
      <c r="AK553" s="1386"/>
      <c r="AL553" s="1386"/>
      <c r="AM553" s="1386"/>
      <c r="AN553" s="1386"/>
      <c r="AO553" s="1386"/>
      <c r="AP553" s="1386"/>
      <c r="AQ553" s="1386"/>
      <c r="AR553" s="1386"/>
      <c r="AS553" s="1386"/>
      <c r="AT553" s="1386"/>
      <c r="AU553" s="1386"/>
      <c r="AV553" s="1386"/>
      <c r="AW553" s="1386"/>
      <c r="AX553" s="1386"/>
      <c r="AY553" s="1386"/>
      <c r="AZ553" s="1386"/>
    </row>
    <row r="554">
      <c r="A554" s="1389"/>
      <c r="B554" s="1421" t="str">
        <f>IF(C554&lt;'PlayerGrades+'!$Y$44,"F-",IF(C554&lt;'PlayerGrades+'!$Y$43,"F",IF(C554&lt;'PlayerGrades+'!$Y$42,"F+",IF(C554&lt;'PlayerGrades+'!$Y$41,"E-",IF(C554&lt;'PlayerGrades+'!$Y$40,"E",IF(C554&lt;'PlayerGrades+'!$Y$39,"E+",IF(C554&lt;'PlayerGrades+'!$Y$38,"D-",IF(C554&lt;'PlayerGrades+'!$Y$37,"D",IF(C554&lt;'PlayerGrades+'!$Y$36,"D+",IF(C554&lt;'PlayerGrades+'!$Y$35,"C-",IF(C554&lt;'PlayerGrades+'!$Y$34,"C",IF(C554&lt;'PlayerGrades+'!$Y$33,"C+",IF(C554&lt;'PlayerGrades+'!$Y$32,"B-",IF(C554&lt;'PlayerGrades+'!$Y$31,"B",IF(C554&lt;'PlayerGrades+'!$Y$30,"B+",IF(C554&lt;'PlayerGrades+'!$Y$29,"A-",IF(C554&lt;'PlayerGrades+'!$Y$28,"A",IF(C554&lt;'PlayerGrades+'!$Y$27,"A+",IF(C554&lt;'PlayerGrades+'!$Y$26,"S-",IF(C554&lt;'PlayerGrades+'!$Y$25,"S","S+"))))))))))))))))))))</f>
        <v>#DIV/0!</v>
      </c>
      <c r="C554" s="1422" t="str">
        <f>('PlayerGrades+'!$Y$47*(VLOOKUP(E554, 'PlayerGrades+'!$X$3:$Y$23, 2, FALSE)))+('PlayerGrades+'!$Y$48*(VLOOKUP(G554, 'PlayerGrades+'!$X$3:$Y$23, 2, FALSE)))+('PlayerGrades+'!$Y$49*(VLOOKUP(I554, 'PlayerGrades+'!$X$3:$Y$23, 2, FALSE)))+('PlayerGrades+'!$Y$50*(VLOOKUP(K554, 'PlayerGrades+'!$X$3:$Y$23, 2, FALSE)))+('PlayerGrades+'!$Y$51*(VLOOKUP(M554, 'PlayerGrades+'!$X$3:$Y$23, 2, FALSE)))+('PlayerGrades+'!$Y$52*(VLOOKUP(O554, 'PlayerGrades+'!$X$3:$Y$23, 2, FALSE)))+('PlayerGrades+'!$Y$53*(VLOOKUP(Q554, 'PlayerGrades+'!$X$3:$Y$23, 2, FALSE)))+('PlayerGrades+'!$Y$54*(VLOOKUP(S554, 'PlayerGrades+'!$X$3:$Y$23, 2, FALSE)))+('PlayerGrades+'!$Y$55*(VLOOKUP(U554, 'PlayerGrades+'!$X$3:$Y$23, 2, FALSE)))</f>
        <v>#DIV/0!</v>
      </c>
      <c r="D554" s="1423" t="str">
        <f t="shared" si="12"/>
        <v>#DIV/0!</v>
      </c>
      <c r="E554" s="1423" t="str">
        <f>IF(D554&lt;'PlayerGrades+'!$AA$21,"F-",IF(D554&lt;'PlayerGrades+'!$AA$20,"F",IF(D554&lt;'PlayerGrades+'!$AA$19,"F+",IF(D554&lt;'PlayerGrades+'!$AA$18,"E-",IF(D554&lt;'PlayerGrades+'!$AA$17,"E",IF(D554&lt;'PlayerGrades+'!$AA$16,"E+",IF(D554&lt;'PlayerGrades+'!$AA$15,"D-",IF(D554&lt;'PlayerGrades+'!$AA$14,"D",IF(D554&lt;'PlayerGrades+'!$AA$13,"D+",IF(D554&lt;'PlayerGrades+'!$AA$12,"C-",IF(D554&lt;'PlayerGrades+'!$AA$11,"C",IF(D554&lt;'PlayerGrades+'!$AA$10,"C+",IF(D554&lt;'PlayerGrades+'!$AA$9,"B-",IF(D554&lt;'PlayerGrades+'!$AA$8,"B",IF(D554&lt;'PlayerGrades+'!$AA$7,"B+",IF(D554&lt;'PlayerGrades+'!$AA$6,"A-",IF(D554&lt;'PlayerGrades+'!$AA$5,"A",IF(D554&lt;'PlayerGrades+'!$AA$4,"A+",IF(D554&lt;'PlayerGrades+'!$AA$3,"S-",IF(D554&lt;'PlayerGrades+'!$AA$2,"S","S+"))))))))))))))))))))</f>
        <v>#DIV/0!</v>
      </c>
      <c r="F554" s="1423" t="str">
        <f t="shared" si="13"/>
        <v>#DIV/0!</v>
      </c>
      <c r="G554" s="1423" t="str">
        <f>IF(F554&lt;'PlayerGrades+'!$AB$21,"F-",IF(F554&lt;'PlayerGrades+'!$AB$20,"F",IF(F554&lt;'PlayerGrades+'!$AB$19,"F+",IF(F554&lt;'PlayerGrades+'!$AB$18,"E-",IF(F554&lt;'PlayerGrades+'!$AB$17,"E",IF(F554&lt;'PlayerGrades+'!$AB$16,"E+",IF(F554&lt;'PlayerGrades+'!$AB$15,"D-",IF(F554&lt;'PlayerGrades+'!$AB$14,"D",IF(F554&lt;'PlayerGrades+'!$AB$13,"D+",IF(F554&lt;'PlayerGrades+'!$AB$12,"C-",IF(F554&lt;'PlayerGrades+'!$AB$11,"C",IF(F554&lt;'PlayerGrades+'!$AB$10,"C+",IF(F554&lt;'PlayerGrades+'!$AB$9,"B-",IF(F554&lt;'PlayerGrades+'!$AB$8,"B",IF(F554&lt;'PlayerGrades+'!$AB$7,"B+",IF(F554&lt;'PlayerGrades+'!$AB$6,"A-",IF(F554&lt;'PlayerGrades+'!$AB$5,"A",IF(F554&lt;'PlayerGrades+'!$AB$4,"A+",IF(F554&lt;'PlayerGrades+'!$AB$3,"S-",IF(F554&lt;'PlayerGrades+'!$AB$2,"S","S+"))))))))))))))))))))</f>
        <v>#DIV/0!</v>
      </c>
      <c r="H554" s="1423" t="str">
        <f t="shared" si="14"/>
        <v>#DIV/0!</v>
      </c>
      <c r="I554" s="1423" t="str">
        <f>IF(H554&lt;'PlayerGrades+'!$AC$21,"F-",IF(H554&lt;'PlayerGrades+'!$AC$20,"F",IF(H554&lt;'PlayerGrades+'!$AC$19,"F+",IF(H554&lt;'PlayerGrades+'!$AC$18,"E-",IF(H554&lt;'PlayerGrades+'!$AC$17,"E",IF(H554&lt;'PlayerGrades+'!$AC$16,"E+",IF(H554&lt;'PlayerGrades+'!$AC$15,"D-",IF(H554&lt;'PlayerGrades+'!$AC$14,"D",IF(H554&lt;'PlayerGrades+'!$AC$13,"D+",IF(H554&lt;'PlayerGrades+'!$AC$12,"C-",IF(H554&lt;'PlayerGrades+'!$AC$11,"C",IF(H554&lt;'PlayerGrades+'!$AC$10,"C+",IF(H554&lt;'PlayerGrades+'!$AC$9,"B-",IF(H554&lt;'PlayerGrades+'!$AC$8,"B",IF(H554&lt;'PlayerGrades+'!$AC$7,"B+",IF(H554&lt;'PlayerGrades+'!$AC$6,"A-",IF(H554&lt;'PlayerGrades+'!$AC$5,"A",IF(H554&lt;'PlayerGrades+'!$AC$4,"A+",IF(H554&lt;'PlayerGrades+'!$AC$3,"S-",IF(H554&lt;'PlayerGrades+'!$AC$2,"S","S+"))))))))))))))))))))</f>
        <v>#DIV/0!</v>
      </c>
      <c r="J554" s="1423" t="str">
        <f t="shared" si="15"/>
        <v>#DIV/0!</v>
      </c>
      <c r="K554" s="1423" t="str">
        <f>IF(J554&lt;'PlayerGrades+'!$AD$21,"F-",IF(J554&lt;'PlayerGrades+'!$AD$20,"F",IF(J554&lt;'PlayerGrades+'!$AD$19,"F+",IF(J554&lt;'PlayerGrades+'!$AD$18,"E-",IF(J554&lt;'PlayerGrades+'!$AD$17,"E",IF(J554&lt;'PlayerGrades+'!$AD$16,"E+",IF(J554&lt;'PlayerGrades+'!$AD$15,"D-",IF(J554&lt;'PlayerGrades+'!$AD$14,"D",IF(J554&lt;'PlayerGrades+'!$AD$13,"D+",IF(J554&lt;'PlayerGrades+'!$AD$12,"C-",IF(J554&lt;'PlayerGrades+'!$AD$11,"C",IF(J554&lt;'PlayerGrades+'!$AD$10,"C+",IF(J554&lt;'PlayerGrades+'!$AD$9,"B-",IF(J554&lt;'PlayerGrades+'!$AD$8,"B",IF(J554&lt;'PlayerGrades+'!$AD$7,"B+",IF(J554&lt;'PlayerGrades+'!$AD$6,"A-",IF(J554&lt;'PlayerGrades+'!$AD$5,"A",IF(J554&lt;'PlayerGrades+'!$AD$4,"A+",IF(J554&lt;'PlayerGrades+'!$AD$3,"S-",IF(J554&lt;'PlayerGrades+'!$AD$2,"S","S+"))))))))))))))))))))</f>
        <v>#DIV/0!</v>
      </c>
      <c r="L554" s="1176" t="str">
        <f t="shared" si="16"/>
        <v>#DIV/0!</v>
      </c>
      <c r="M554" s="992" t="str">
        <f>IF(L554&lt;'PlayerGrades+'!$AE$21,"F-",IF(L554&lt;'PlayerGrades+'!$AE$20,"F",IF(L554&lt;'PlayerGrades+'!$AE$19,"F+",IF(L554&lt;'PlayerGrades+'!$AE$18,"E-",IF(L554&lt;'PlayerGrades+'!$AE$17,"E",IF(L554&lt;'PlayerGrades+'!$AE$16,"E+",IF(L554&lt;'PlayerGrades+'!$AE$15,"D-",IF(L554&lt;'PlayerGrades+'!$AE$14,"D",IF(L554&lt;'PlayerGrades+'!$AE$13,"D+",IF(L554&lt;'PlayerGrades+'!$AE$12,"C-",IF(L554&lt;'PlayerGrades+'!$AE$11,"C",IF(L554&lt;'PlayerGrades+'!$AE$10,"C+",IF(L554&lt;'PlayerGrades+'!$AE$9,"B-",IF(L554&lt;'PlayerGrades+'!$AE$8,"B",IF(L554&lt;'PlayerGrades+'!$AE$7,"B+",IF(L554&lt;'PlayerGrades+'!$AE$6,"A-",IF(L554&lt;'PlayerGrades+'!$AE$5,"A",IF(L554&lt;'PlayerGrades+'!$AE$4,"A+",IF(L554&lt;'PlayerGrades+'!$AE$3,"S-",IF(L554&lt;'PlayerGrades+'!$AE$2,"S","S+"))))))))))))))))))))</f>
        <v>#DIV/0!</v>
      </c>
      <c r="N554" s="1423" t="str">
        <f t="shared" si="17"/>
        <v>#DIV/0!</v>
      </c>
      <c r="O554" s="1423" t="str">
        <f>IF(N554&lt;'PlayerGrades+'!$AF$21,"F-",IF(N554&lt;'PlayerGrades+'!$AF$20,"F",IF(N554&lt;'PlayerGrades+'!$AF$19,"F+",IF(N554&lt;'PlayerGrades+'!$AF$18,"E-",IF(N554&lt;'PlayerGrades+'!$AF$17,"E",IF(N554&lt;'PlayerGrades+'!$AF$16,"E+",IF(N554&lt;'PlayerGrades+'!$AF$15,"D-",IF(N554&lt;'PlayerGrades+'!$AF$14,"D",IF(N554&lt;'PlayerGrades+'!$AF$13,"D+",IF(N554&lt;'PlayerGrades+'!$AF$12,"C-",IF(N554&lt;'PlayerGrades+'!$AF$11,"C",IF(N554&lt;'PlayerGrades+'!$AF$10,"C+",IF(N554&lt;'PlayerGrades+'!$AF$9,"B-",IF(N554&lt;'PlayerGrades+'!$AF$8,"B",IF(N554&lt;'PlayerGrades+'!$AF$7,"B+",IF(N554&lt;'PlayerGrades+'!$AF$6,"A-",IF(N554&lt;'PlayerGrades+'!$AF$5,"A",IF(N554&lt;'PlayerGrades+'!$AF$4,"A+",IF(N554&lt;'PlayerGrades+'!$AF$3,"S-",IF(N554&lt;'PlayerGrades+'!$AF$2,"S","S+"))))))))))))))))))))</f>
        <v>#DIV/0!</v>
      </c>
      <c r="P554" s="1423" t="str">
        <f t="shared" si="18"/>
        <v>#DIV/0!</v>
      </c>
      <c r="Q554" s="1423" t="str">
        <f>IF(P554&lt;'PlayerGrades+'!$AG$21,"F-",IF(P554&lt;'PlayerGrades+'!$AG$20,"F",IF(P554&lt;'PlayerGrades+'!$AG$19,"F+",IF(P554&lt;'PlayerGrades+'!$AG$18,"E-",IF(P554&lt;'PlayerGrades+'!$AG$17,"E",IF(P554&lt;'PlayerGrades+'!$AG$16,"E+",IF(P554&lt;'PlayerGrades+'!$AG$15,"D-",IF(P554&lt;'PlayerGrades+'!$AG$14,"D",IF(P554&lt;'PlayerGrades+'!$AG$13,"D+",IF(P554&lt;'PlayerGrades+'!$AG$12,"C-",IF(P554&lt;'PlayerGrades+'!$AG$11,"C",IF(P554&lt;'PlayerGrades+'!$AG$10,"C+",IF(P554&lt;'PlayerGrades+'!$AG$9,"B-",IF(P554&lt;'PlayerGrades+'!$AG$8,"B",IF(P554&lt;'PlayerGrades+'!$AG$7,"B+",IF(P554&lt;'PlayerGrades+'!$AG$6,"A-",IF(P554&lt;'PlayerGrades+'!$AG$5,"A",IF(P554&lt;'PlayerGrades+'!$AG$4,"A+",IF(P554&lt;'PlayerGrades+'!$AG$3,"S-",IF(P554&lt;'PlayerGrades+'!$AG$2,"S","S+"))))))))))))))))))))</f>
        <v>#DIV/0!</v>
      </c>
      <c r="R554" s="1423" t="str">
        <f t="shared" si="19"/>
        <v>#REF!</v>
      </c>
      <c r="S554" s="1423" t="str">
        <f>IF(R554&lt;'PlayerGrades+'!$AH$21,"F-",IF(R554&lt;'PlayerGrades+'!$AH$20,"F",IF(R554&lt;'PlayerGrades+'!$AH$19,"F+",IF(R554&lt;'PlayerGrades+'!$AH$18,"E-",IF(R554&lt;'PlayerGrades+'!$AH$17,"E",IF(R554&lt;'PlayerGrades+'!$AH$16,"E+",IF(R554&lt;'PlayerGrades+'!$AH$15,"D-",IF(R554&lt;'PlayerGrades+'!$AH$14,"D",IF(R554&lt;'PlayerGrades+'!$AH$13,"D+",IF(R554&lt;'PlayerGrades+'!$AH$12,"C-",IF(R554&lt;'PlayerGrades+'!$AH$11,"C",IF(R554&lt;'PlayerGrades+'!$AH$10,"C+",IF(R554&lt;'PlayerGrades+'!$AH$9,"B-",IF(R554&lt;'PlayerGrades+'!$AH$8,"B",IF(R554&lt;'PlayerGrades+'!$AH$7,"B+",IF(R554&lt;'PlayerGrades+'!$AH$6,"A-",IF(R554&lt;'PlayerGrades+'!$AH$5,"A",IF(R554&lt;'PlayerGrades+'!$AH$4,"A+",IF(R554&lt;'PlayerGrades+'!$AH$3,"S-",IF(R554&lt;'PlayerGrades+'!$AH$2,"S","S+"))))))))))))))))))))</f>
        <v>#REF!</v>
      </c>
      <c r="T554" s="1423" t="str">
        <f t="shared" si="20"/>
        <v>#REF!</v>
      </c>
      <c r="U554" s="1423" t="str">
        <f>IF(T554&lt;'PlayerGrades+'!$AI$21,"F-",IF(T554&lt;'PlayerGrades+'!$AI$20,"F",IF(T554&lt;'PlayerGrades+'!$AI$19,"F+",IF(T554&lt;'PlayerGrades+'!$AI$18,"E-",IF(T554&lt;'PlayerGrades+'!$AI$17,"E",IF(T554&lt;'PlayerGrades+'!$AI$16,"E+",IF(T554&lt;'PlayerGrades+'!$AI$15,"D-",IF(T554&lt;'PlayerGrades+'!$AI$14,"D",IF(T554&lt;'PlayerGrades+'!$AI$13,"D+",IF(T554&lt;'PlayerGrades+'!$AI$12,"C-",IF(T554&lt;'PlayerGrades+'!$AI$11,"C",IF(T554&lt;'PlayerGrades+'!$AI$10,"C+",IF(T554&lt;'PlayerGrades+'!$AI$9,"B-",IF(T554&lt;'PlayerGrades+'!$AI$8,"B",IF(T554&lt;'PlayerGrades+'!$AI$7,"B+",IF(T554&lt;'PlayerGrades+'!$AI$6,"A-",IF(T554&lt;'PlayerGrades+'!$AI$5,"A",IF(T554&lt;'PlayerGrades+'!$AI$4,"A+",IF(T554&lt;'PlayerGrades+'!$AI$3,"S-",IF(T554&lt;'PlayerGrades+'!$AI$2,"S","S+"))))))))))))))))))))</f>
        <v>#REF!</v>
      </c>
      <c r="V554" s="1379"/>
      <c r="W554" s="1379"/>
      <c r="X554" s="1379"/>
      <c r="Y554" s="1379"/>
      <c r="Z554" s="1379"/>
      <c r="AA554" s="1379"/>
      <c r="AB554" s="1379"/>
      <c r="AC554" s="1390"/>
      <c r="AD554" s="1379"/>
      <c r="AE554" s="1379"/>
      <c r="AF554" s="1379"/>
      <c r="AG554" s="1379"/>
      <c r="AH554" s="1379"/>
      <c r="AI554" s="1379"/>
      <c r="AJ554" s="1379"/>
      <c r="AK554" s="1379"/>
      <c r="AL554" s="1379"/>
      <c r="AM554" s="1379"/>
      <c r="AN554" s="1379"/>
      <c r="AO554" s="1379"/>
      <c r="AP554" s="1379"/>
      <c r="AQ554" s="1379"/>
      <c r="AR554" s="1379"/>
      <c r="AS554" s="1379"/>
      <c r="AT554" s="1379"/>
      <c r="AU554" s="1379"/>
      <c r="AV554" s="1379"/>
      <c r="AW554" s="1379"/>
      <c r="AX554" s="1379"/>
      <c r="AY554" s="1379"/>
      <c r="AZ554" s="1379"/>
    </row>
    <row r="555">
      <c r="A555" s="1391"/>
      <c r="B555" s="1421" t="str">
        <f>IF(C555&lt;'PlayerGrades+'!$Y$44,"F-",IF(C555&lt;'PlayerGrades+'!$Y$43,"F",IF(C555&lt;'PlayerGrades+'!$Y$42,"F+",IF(C555&lt;'PlayerGrades+'!$Y$41,"E-",IF(C555&lt;'PlayerGrades+'!$Y$40,"E",IF(C555&lt;'PlayerGrades+'!$Y$39,"E+",IF(C555&lt;'PlayerGrades+'!$Y$38,"D-",IF(C555&lt;'PlayerGrades+'!$Y$37,"D",IF(C555&lt;'PlayerGrades+'!$Y$36,"D+",IF(C555&lt;'PlayerGrades+'!$Y$35,"C-",IF(C555&lt;'PlayerGrades+'!$Y$34,"C",IF(C555&lt;'PlayerGrades+'!$Y$33,"C+",IF(C555&lt;'PlayerGrades+'!$Y$32,"B-",IF(C555&lt;'PlayerGrades+'!$Y$31,"B",IF(C555&lt;'PlayerGrades+'!$Y$30,"B+",IF(C555&lt;'PlayerGrades+'!$Y$29,"A-",IF(C555&lt;'PlayerGrades+'!$Y$28,"A",IF(C555&lt;'PlayerGrades+'!$Y$27,"A+",IF(C555&lt;'PlayerGrades+'!$Y$26,"S-",IF(C555&lt;'PlayerGrades+'!$Y$25,"S","S+"))))))))))))))))))))</f>
        <v>#DIV/0!</v>
      </c>
      <c r="C555" s="1422" t="str">
        <f>('PlayerGrades+'!$Y$47*(VLOOKUP(E555, 'PlayerGrades+'!$X$3:$Y$23, 2, FALSE)))+('PlayerGrades+'!$Y$48*(VLOOKUP(G555, 'PlayerGrades+'!$X$3:$Y$23, 2, FALSE)))+('PlayerGrades+'!$Y$49*(VLOOKUP(I555, 'PlayerGrades+'!$X$3:$Y$23, 2, FALSE)))+('PlayerGrades+'!$Y$50*(VLOOKUP(K555, 'PlayerGrades+'!$X$3:$Y$23, 2, FALSE)))+('PlayerGrades+'!$Y$51*(VLOOKUP(M555, 'PlayerGrades+'!$X$3:$Y$23, 2, FALSE)))+('PlayerGrades+'!$Y$52*(VLOOKUP(O555, 'PlayerGrades+'!$X$3:$Y$23, 2, FALSE)))+('PlayerGrades+'!$Y$53*(VLOOKUP(Q555, 'PlayerGrades+'!$X$3:$Y$23, 2, FALSE)))+('PlayerGrades+'!$Y$54*(VLOOKUP(S555, 'PlayerGrades+'!$X$3:$Y$23, 2, FALSE)))+('PlayerGrades+'!$Y$55*(VLOOKUP(U555, 'PlayerGrades+'!$X$3:$Y$23, 2, FALSE)))</f>
        <v>#DIV/0!</v>
      </c>
      <c r="D555" s="1423" t="str">
        <f t="shared" si="12"/>
        <v>#DIV/0!</v>
      </c>
      <c r="E555" s="1423" t="str">
        <f>IF(D555&lt;'PlayerGrades+'!$AA$21,"F-",IF(D555&lt;'PlayerGrades+'!$AA$20,"F",IF(D555&lt;'PlayerGrades+'!$AA$19,"F+",IF(D555&lt;'PlayerGrades+'!$AA$18,"E-",IF(D555&lt;'PlayerGrades+'!$AA$17,"E",IF(D555&lt;'PlayerGrades+'!$AA$16,"E+",IF(D555&lt;'PlayerGrades+'!$AA$15,"D-",IF(D555&lt;'PlayerGrades+'!$AA$14,"D",IF(D555&lt;'PlayerGrades+'!$AA$13,"D+",IF(D555&lt;'PlayerGrades+'!$AA$12,"C-",IF(D555&lt;'PlayerGrades+'!$AA$11,"C",IF(D555&lt;'PlayerGrades+'!$AA$10,"C+",IF(D555&lt;'PlayerGrades+'!$AA$9,"B-",IF(D555&lt;'PlayerGrades+'!$AA$8,"B",IF(D555&lt;'PlayerGrades+'!$AA$7,"B+",IF(D555&lt;'PlayerGrades+'!$AA$6,"A-",IF(D555&lt;'PlayerGrades+'!$AA$5,"A",IF(D555&lt;'PlayerGrades+'!$AA$4,"A+",IF(D555&lt;'PlayerGrades+'!$AA$3,"S-",IF(D555&lt;'PlayerGrades+'!$AA$2,"S","S+"))))))))))))))))))))</f>
        <v>#DIV/0!</v>
      </c>
      <c r="F555" s="1423" t="str">
        <f t="shared" si="13"/>
        <v>#DIV/0!</v>
      </c>
      <c r="G555" s="1423" t="str">
        <f>IF(F555&lt;'PlayerGrades+'!$AB$21,"F-",IF(F555&lt;'PlayerGrades+'!$AB$20,"F",IF(F555&lt;'PlayerGrades+'!$AB$19,"F+",IF(F555&lt;'PlayerGrades+'!$AB$18,"E-",IF(F555&lt;'PlayerGrades+'!$AB$17,"E",IF(F555&lt;'PlayerGrades+'!$AB$16,"E+",IF(F555&lt;'PlayerGrades+'!$AB$15,"D-",IF(F555&lt;'PlayerGrades+'!$AB$14,"D",IF(F555&lt;'PlayerGrades+'!$AB$13,"D+",IF(F555&lt;'PlayerGrades+'!$AB$12,"C-",IF(F555&lt;'PlayerGrades+'!$AB$11,"C",IF(F555&lt;'PlayerGrades+'!$AB$10,"C+",IF(F555&lt;'PlayerGrades+'!$AB$9,"B-",IF(F555&lt;'PlayerGrades+'!$AB$8,"B",IF(F555&lt;'PlayerGrades+'!$AB$7,"B+",IF(F555&lt;'PlayerGrades+'!$AB$6,"A-",IF(F555&lt;'PlayerGrades+'!$AB$5,"A",IF(F555&lt;'PlayerGrades+'!$AB$4,"A+",IF(F555&lt;'PlayerGrades+'!$AB$3,"S-",IF(F555&lt;'PlayerGrades+'!$AB$2,"S","S+"))))))))))))))))))))</f>
        <v>#DIV/0!</v>
      </c>
      <c r="H555" s="1423" t="str">
        <f t="shared" si="14"/>
        <v>#DIV/0!</v>
      </c>
      <c r="I555" s="1423" t="str">
        <f>IF(H555&lt;'PlayerGrades+'!$AC$21,"F-",IF(H555&lt;'PlayerGrades+'!$AC$20,"F",IF(H555&lt;'PlayerGrades+'!$AC$19,"F+",IF(H555&lt;'PlayerGrades+'!$AC$18,"E-",IF(H555&lt;'PlayerGrades+'!$AC$17,"E",IF(H555&lt;'PlayerGrades+'!$AC$16,"E+",IF(H555&lt;'PlayerGrades+'!$AC$15,"D-",IF(H555&lt;'PlayerGrades+'!$AC$14,"D",IF(H555&lt;'PlayerGrades+'!$AC$13,"D+",IF(H555&lt;'PlayerGrades+'!$AC$12,"C-",IF(H555&lt;'PlayerGrades+'!$AC$11,"C",IF(H555&lt;'PlayerGrades+'!$AC$10,"C+",IF(H555&lt;'PlayerGrades+'!$AC$9,"B-",IF(H555&lt;'PlayerGrades+'!$AC$8,"B",IF(H555&lt;'PlayerGrades+'!$AC$7,"B+",IF(H555&lt;'PlayerGrades+'!$AC$6,"A-",IF(H555&lt;'PlayerGrades+'!$AC$5,"A",IF(H555&lt;'PlayerGrades+'!$AC$4,"A+",IF(H555&lt;'PlayerGrades+'!$AC$3,"S-",IF(H555&lt;'PlayerGrades+'!$AC$2,"S","S+"))))))))))))))))))))</f>
        <v>#DIV/0!</v>
      </c>
      <c r="J555" s="1423" t="str">
        <f t="shared" si="15"/>
        <v>#DIV/0!</v>
      </c>
      <c r="K555" s="1423" t="str">
        <f>IF(J555&lt;'PlayerGrades+'!$AD$21,"F-",IF(J555&lt;'PlayerGrades+'!$AD$20,"F",IF(J555&lt;'PlayerGrades+'!$AD$19,"F+",IF(J555&lt;'PlayerGrades+'!$AD$18,"E-",IF(J555&lt;'PlayerGrades+'!$AD$17,"E",IF(J555&lt;'PlayerGrades+'!$AD$16,"E+",IF(J555&lt;'PlayerGrades+'!$AD$15,"D-",IF(J555&lt;'PlayerGrades+'!$AD$14,"D",IF(J555&lt;'PlayerGrades+'!$AD$13,"D+",IF(J555&lt;'PlayerGrades+'!$AD$12,"C-",IF(J555&lt;'PlayerGrades+'!$AD$11,"C",IF(J555&lt;'PlayerGrades+'!$AD$10,"C+",IF(J555&lt;'PlayerGrades+'!$AD$9,"B-",IF(J555&lt;'PlayerGrades+'!$AD$8,"B",IF(J555&lt;'PlayerGrades+'!$AD$7,"B+",IF(J555&lt;'PlayerGrades+'!$AD$6,"A-",IF(J555&lt;'PlayerGrades+'!$AD$5,"A",IF(J555&lt;'PlayerGrades+'!$AD$4,"A+",IF(J555&lt;'PlayerGrades+'!$AD$3,"S-",IF(J555&lt;'PlayerGrades+'!$AD$2,"S","S+"))))))))))))))))))))</f>
        <v>#DIV/0!</v>
      </c>
      <c r="L555" s="1176" t="str">
        <f t="shared" si="16"/>
        <v>#DIV/0!</v>
      </c>
      <c r="M555" s="992" t="str">
        <f>IF(L555&lt;'PlayerGrades+'!$AE$21,"F-",IF(L555&lt;'PlayerGrades+'!$AE$20,"F",IF(L555&lt;'PlayerGrades+'!$AE$19,"F+",IF(L555&lt;'PlayerGrades+'!$AE$18,"E-",IF(L555&lt;'PlayerGrades+'!$AE$17,"E",IF(L555&lt;'PlayerGrades+'!$AE$16,"E+",IF(L555&lt;'PlayerGrades+'!$AE$15,"D-",IF(L555&lt;'PlayerGrades+'!$AE$14,"D",IF(L555&lt;'PlayerGrades+'!$AE$13,"D+",IF(L555&lt;'PlayerGrades+'!$AE$12,"C-",IF(L555&lt;'PlayerGrades+'!$AE$11,"C",IF(L555&lt;'PlayerGrades+'!$AE$10,"C+",IF(L555&lt;'PlayerGrades+'!$AE$9,"B-",IF(L555&lt;'PlayerGrades+'!$AE$8,"B",IF(L555&lt;'PlayerGrades+'!$AE$7,"B+",IF(L555&lt;'PlayerGrades+'!$AE$6,"A-",IF(L555&lt;'PlayerGrades+'!$AE$5,"A",IF(L555&lt;'PlayerGrades+'!$AE$4,"A+",IF(L555&lt;'PlayerGrades+'!$AE$3,"S-",IF(L555&lt;'PlayerGrades+'!$AE$2,"S","S+"))))))))))))))))))))</f>
        <v>#DIV/0!</v>
      </c>
      <c r="N555" s="1423" t="str">
        <f t="shared" si="17"/>
        <v>#DIV/0!</v>
      </c>
      <c r="O555" s="1423" t="str">
        <f>IF(N555&lt;'PlayerGrades+'!$AF$21,"F-",IF(N555&lt;'PlayerGrades+'!$AF$20,"F",IF(N555&lt;'PlayerGrades+'!$AF$19,"F+",IF(N555&lt;'PlayerGrades+'!$AF$18,"E-",IF(N555&lt;'PlayerGrades+'!$AF$17,"E",IF(N555&lt;'PlayerGrades+'!$AF$16,"E+",IF(N555&lt;'PlayerGrades+'!$AF$15,"D-",IF(N555&lt;'PlayerGrades+'!$AF$14,"D",IF(N555&lt;'PlayerGrades+'!$AF$13,"D+",IF(N555&lt;'PlayerGrades+'!$AF$12,"C-",IF(N555&lt;'PlayerGrades+'!$AF$11,"C",IF(N555&lt;'PlayerGrades+'!$AF$10,"C+",IF(N555&lt;'PlayerGrades+'!$AF$9,"B-",IF(N555&lt;'PlayerGrades+'!$AF$8,"B",IF(N555&lt;'PlayerGrades+'!$AF$7,"B+",IF(N555&lt;'PlayerGrades+'!$AF$6,"A-",IF(N555&lt;'PlayerGrades+'!$AF$5,"A",IF(N555&lt;'PlayerGrades+'!$AF$4,"A+",IF(N555&lt;'PlayerGrades+'!$AF$3,"S-",IF(N555&lt;'PlayerGrades+'!$AF$2,"S","S+"))))))))))))))))))))</f>
        <v>#DIV/0!</v>
      </c>
      <c r="P555" s="1423" t="str">
        <f t="shared" si="18"/>
        <v>#DIV/0!</v>
      </c>
      <c r="Q555" s="1423" t="str">
        <f>IF(P555&lt;'PlayerGrades+'!$AG$21,"F-",IF(P555&lt;'PlayerGrades+'!$AG$20,"F",IF(P555&lt;'PlayerGrades+'!$AG$19,"F+",IF(P555&lt;'PlayerGrades+'!$AG$18,"E-",IF(P555&lt;'PlayerGrades+'!$AG$17,"E",IF(P555&lt;'PlayerGrades+'!$AG$16,"E+",IF(P555&lt;'PlayerGrades+'!$AG$15,"D-",IF(P555&lt;'PlayerGrades+'!$AG$14,"D",IF(P555&lt;'PlayerGrades+'!$AG$13,"D+",IF(P555&lt;'PlayerGrades+'!$AG$12,"C-",IF(P555&lt;'PlayerGrades+'!$AG$11,"C",IF(P555&lt;'PlayerGrades+'!$AG$10,"C+",IF(P555&lt;'PlayerGrades+'!$AG$9,"B-",IF(P555&lt;'PlayerGrades+'!$AG$8,"B",IF(P555&lt;'PlayerGrades+'!$AG$7,"B+",IF(P555&lt;'PlayerGrades+'!$AG$6,"A-",IF(P555&lt;'PlayerGrades+'!$AG$5,"A",IF(P555&lt;'PlayerGrades+'!$AG$4,"A+",IF(P555&lt;'PlayerGrades+'!$AG$3,"S-",IF(P555&lt;'PlayerGrades+'!$AG$2,"S","S+"))))))))))))))))))))</f>
        <v>#DIV/0!</v>
      </c>
      <c r="R555" s="1423" t="str">
        <f t="shared" si="19"/>
        <v>#REF!</v>
      </c>
      <c r="S555" s="1423" t="str">
        <f>IF(R555&lt;'PlayerGrades+'!$AH$21,"F-",IF(R555&lt;'PlayerGrades+'!$AH$20,"F",IF(R555&lt;'PlayerGrades+'!$AH$19,"F+",IF(R555&lt;'PlayerGrades+'!$AH$18,"E-",IF(R555&lt;'PlayerGrades+'!$AH$17,"E",IF(R555&lt;'PlayerGrades+'!$AH$16,"E+",IF(R555&lt;'PlayerGrades+'!$AH$15,"D-",IF(R555&lt;'PlayerGrades+'!$AH$14,"D",IF(R555&lt;'PlayerGrades+'!$AH$13,"D+",IF(R555&lt;'PlayerGrades+'!$AH$12,"C-",IF(R555&lt;'PlayerGrades+'!$AH$11,"C",IF(R555&lt;'PlayerGrades+'!$AH$10,"C+",IF(R555&lt;'PlayerGrades+'!$AH$9,"B-",IF(R555&lt;'PlayerGrades+'!$AH$8,"B",IF(R555&lt;'PlayerGrades+'!$AH$7,"B+",IF(R555&lt;'PlayerGrades+'!$AH$6,"A-",IF(R555&lt;'PlayerGrades+'!$AH$5,"A",IF(R555&lt;'PlayerGrades+'!$AH$4,"A+",IF(R555&lt;'PlayerGrades+'!$AH$3,"S-",IF(R555&lt;'PlayerGrades+'!$AH$2,"S","S+"))))))))))))))))))))</f>
        <v>#REF!</v>
      </c>
      <c r="T555" s="1423" t="str">
        <f t="shared" si="20"/>
        <v>#REF!</v>
      </c>
      <c r="U555" s="1423" t="str">
        <f>IF(T555&lt;'PlayerGrades+'!$AI$21,"F-",IF(T555&lt;'PlayerGrades+'!$AI$20,"F",IF(T555&lt;'PlayerGrades+'!$AI$19,"F+",IF(T555&lt;'PlayerGrades+'!$AI$18,"E-",IF(T555&lt;'PlayerGrades+'!$AI$17,"E",IF(T555&lt;'PlayerGrades+'!$AI$16,"E+",IF(T555&lt;'PlayerGrades+'!$AI$15,"D-",IF(T555&lt;'PlayerGrades+'!$AI$14,"D",IF(T555&lt;'PlayerGrades+'!$AI$13,"D+",IF(T555&lt;'PlayerGrades+'!$AI$12,"C-",IF(T555&lt;'PlayerGrades+'!$AI$11,"C",IF(T555&lt;'PlayerGrades+'!$AI$10,"C+",IF(T555&lt;'PlayerGrades+'!$AI$9,"B-",IF(T555&lt;'PlayerGrades+'!$AI$8,"B",IF(T555&lt;'PlayerGrades+'!$AI$7,"B+",IF(T555&lt;'PlayerGrades+'!$AI$6,"A-",IF(T555&lt;'PlayerGrades+'!$AI$5,"A",IF(T555&lt;'PlayerGrades+'!$AI$4,"A+",IF(T555&lt;'PlayerGrades+'!$AI$3,"S-",IF(T555&lt;'PlayerGrades+'!$AI$2,"S","S+"))))))))))))))))))))</f>
        <v>#REF!</v>
      </c>
      <c r="AC555" s="1392"/>
    </row>
    <row r="556">
      <c r="A556" s="1391"/>
      <c r="B556" s="1421" t="str">
        <f>IF(C556&lt;'PlayerGrades+'!$Y$44,"F-",IF(C556&lt;'PlayerGrades+'!$Y$43,"F",IF(C556&lt;'PlayerGrades+'!$Y$42,"F+",IF(C556&lt;'PlayerGrades+'!$Y$41,"E-",IF(C556&lt;'PlayerGrades+'!$Y$40,"E",IF(C556&lt;'PlayerGrades+'!$Y$39,"E+",IF(C556&lt;'PlayerGrades+'!$Y$38,"D-",IF(C556&lt;'PlayerGrades+'!$Y$37,"D",IF(C556&lt;'PlayerGrades+'!$Y$36,"D+",IF(C556&lt;'PlayerGrades+'!$Y$35,"C-",IF(C556&lt;'PlayerGrades+'!$Y$34,"C",IF(C556&lt;'PlayerGrades+'!$Y$33,"C+",IF(C556&lt;'PlayerGrades+'!$Y$32,"B-",IF(C556&lt;'PlayerGrades+'!$Y$31,"B",IF(C556&lt;'PlayerGrades+'!$Y$30,"B+",IF(C556&lt;'PlayerGrades+'!$Y$29,"A-",IF(C556&lt;'PlayerGrades+'!$Y$28,"A",IF(C556&lt;'PlayerGrades+'!$Y$27,"A+",IF(C556&lt;'PlayerGrades+'!$Y$26,"S-",IF(C556&lt;'PlayerGrades+'!$Y$25,"S","S+"))))))))))))))))))))</f>
        <v>#DIV/0!</v>
      </c>
      <c r="C556" s="1422" t="str">
        <f>('PlayerGrades+'!$Y$47*(VLOOKUP(E556, 'PlayerGrades+'!$X$3:$Y$23, 2, FALSE)))+('PlayerGrades+'!$Y$48*(VLOOKUP(G556, 'PlayerGrades+'!$X$3:$Y$23, 2, FALSE)))+('PlayerGrades+'!$Y$49*(VLOOKUP(I556, 'PlayerGrades+'!$X$3:$Y$23, 2, FALSE)))+('PlayerGrades+'!$Y$50*(VLOOKUP(K556, 'PlayerGrades+'!$X$3:$Y$23, 2, FALSE)))+('PlayerGrades+'!$Y$51*(VLOOKUP(M556, 'PlayerGrades+'!$X$3:$Y$23, 2, FALSE)))+('PlayerGrades+'!$Y$52*(VLOOKUP(O556, 'PlayerGrades+'!$X$3:$Y$23, 2, FALSE)))+('PlayerGrades+'!$Y$53*(VLOOKUP(Q556, 'PlayerGrades+'!$X$3:$Y$23, 2, FALSE)))+('PlayerGrades+'!$Y$54*(VLOOKUP(S556, 'PlayerGrades+'!$X$3:$Y$23, 2, FALSE)))+('PlayerGrades+'!$Y$55*(VLOOKUP(U556, 'PlayerGrades+'!$X$3:$Y$23, 2, FALSE)))</f>
        <v>#DIV/0!</v>
      </c>
      <c r="D556" s="1423" t="str">
        <f t="shared" si="12"/>
        <v>#DIV/0!</v>
      </c>
      <c r="E556" s="1423" t="str">
        <f>IF(D556&lt;'PlayerGrades+'!$AA$21,"F-",IF(D556&lt;'PlayerGrades+'!$AA$20,"F",IF(D556&lt;'PlayerGrades+'!$AA$19,"F+",IF(D556&lt;'PlayerGrades+'!$AA$18,"E-",IF(D556&lt;'PlayerGrades+'!$AA$17,"E",IF(D556&lt;'PlayerGrades+'!$AA$16,"E+",IF(D556&lt;'PlayerGrades+'!$AA$15,"D-",IF(D556&lt;'PlayerGrades+'!$AA$14,"D",IF(D556&lt;'PlayerGrades+'!$AA$13,"D+",IF(D556&lt;'PlayerGrades+'!$AA$12,"C-",IF(D556&lt;'PlayerGrades+'!$AA$11,"C",IF(D556&lt;'PlayerGrades+'!$AA$10,"C+",IF(D556&lt;'PlayerGrades+'!$AA$9,"B-",IF(D556&lt;'PlayerGrades+'!$AA$8,"B",IF(D556&lt;'PlayerGrades+'!$AA$7,"B+",IF(D556&lt;'PlayerGrades+'!$AA$6,"A-",IF(D556&lt;'PlayerGrades+'!$AA$5,"A",IF(D556&lt;'PlayerGrades+'!$AA$4,"A+",IF(D556&lt;'PlayerGrades+'!$AA$3,"S-",IF(D556&lt;'PlayerGrades+'!$AA$2,"S","S+"))))))))))))))))))))</f>
        <v>#DIV/0!</v>
      </c>
      <c r="F556" s="1423" t="str">
        <f t="shared" si="13"/>
        <v>#DIV/0!</v>
      </c>
      <c r="G556" s="1423" t="str">
        <f>IF(F556&lt;'PlayerGrades+'!$AB$21,"F-",IF(F556&lt;'PlayerGrades+'!$AB$20,"F",IF(F556&lt;'PlayerGrades+'!$AB$19,"F+",IF(F556&lt;'PlayerGrades+'!$AB$18,"E-",IF(F556&lt;'PlayerGrades+'!$AB$17,"E",IF(F556&lt;'PlayerGrades+'!$AB$16,"E+",IF(F556&lt;'PlayerGrades+'!$AB$15,"D-",IF(F556&lt;'PlayerGrades+'!$AB$14,"D",IF(F556&lt;'PlayerGrades+'!$AB$13,"D+",IF(F556&lt;'PlayerGrades+'!$AB$12,"C-",IF(F556&lt;'PlayerGrades+'!$AB$11,"C",IF(F556&lt;'PlayerGrades+'!$AB$10,"C+",IF(F556&lt;'PlayerGrades+'!$AB$9,"B-",IF(F556&lt;'PlayerGrades+'!$AB$8,"B",IF(F556&lt;'PlayerGrades+'!$AB$7,"B+",IF(F556&lt;'PlayerGrades+'!$AB$6,"A-",IF(F556&lt;'PlayerGrades+'!$AB$5,"A",IF(F556&lt;'PlayerGrades+'!$AB$4,"A+",IF(F556&lt;'PlayerGrades+'!$AB$3,"S-",IF(F556&lt;'PlayerGrades+'!$AB$2,"S","S+"))))))))))))))))))))</f>
        <v>#DIV/0!</v>
      </c>
      <c r="H556" s="1423" t="str">
        <f t="shared" si="14"/>
        <v>#DIV/0!</v>
      </c>
      <c r="I556" s="1423" t="str">
        <f>IF(H556&lt;'PlayerGrades+'!$AC$21,"F-",IF(H556&lt;'PlayerGrades+'!$AC$20,"F",IF(H556&lt;'PlayerGrades+'!$AC$19,"F+",IF(H556&lt;'PlayerGrades+'!$AC$18,"E-",IF(H556&lt;'PlayerGrades+'!$AC$17,"E",IF(H556&lt;'PlayerGrades+'!$AC$16,"E+",IF(H556&lt;'PlayerGrades+'!$AC$15,"D-",IF(H556&lt;'PlayerGrades+'!$AC$14,"D",IF(H556&lt;'PlayerGrades+'!$AC$13,"D+",IF(H556&lt;'PlayerGrades+'!$AC$12,"C-",IF(H556&lt;'PlayerGrades+'!$AC$11,"C",IF(H556&lt;'PlayerGrades+'!$AC$10,"C+",IF(H556&lt;'PlayerGrades+'!$AC$9,"B-",IF(H556&lt;'PlayerGrades+'!$AC$8,"B",IF(H556&lt;'PlayerGrades+'!$AC$7,"B+",IF(H556&lt;'PlayerGrades+'!$AC$6,"A-",IF(H556&lt;'PlayerGrades+'!$AC$5,"A",IF(H556&lt;'PlayerGrades+'!$AC$4,"A+",IF(H556&lt;'PlayerGrades+'!$AC$3,"S-",IF(H556&lt;'PlayerGrades+'!$AC$2,"S","S+"))))))))))))))))))))</f>
        <v>#DIV/0!</v>
      </c>
      <c r="J556" s="1423" t="str">
        <f t="shared" si="15"/>
        <v>#DIV/0!</v>
      </c>
      <c r="K556" s="1423" t="str">
        <f>IF(J556&lt;'PlayerGrades+'!$AD$21,"F-",IF(J556&lt;'PlayerGrades+'!$AD$20,"F",IF(J556&lt;'PlayerGrades+'!$AD$19,"F+",IF(J556&lt;'PlayerGrades+'!$AD$18,"E-",IF(J556&lt;'PlayerGrades+'!$AD$17,"E",IF(J556&lt;'PlayerGrades+'!$AD$16,"E+",IF(J556&lt;'PlayerGrades+'!$AD$15,"D-",IF(J556&lt;'PlayerGrades+'!$AD$14,"D",IF(J556&lt;'PlayerGrades+'!$AD$13,"D+",IF(J556&lt;'PlayerGrades+'!$AD$12,"C-",IF(J556&lt;'PlayerGrades+'!$AD$11,"C",IF(J556&lt;'PlayerGrades+'!$AD$10,"C+",IF(J556&lt;'PlayerGrades+'!$AD$9,"B-",IF(J556&lt;'PlayerGrades+'!$AD$8,"B",IF(J556&lt;'PlayerGrades+'!$AD$7,"B+",IF(J556&lt;'PlayerGrades+'!$AD$6,"A-",IF(J556&lt;'PlayerGrades+'!$AD$5,"A",IF(J556&lt;'PlayerGrades+'!$AD$4,"A+",IF(J556&lt;'PlayerGrades+'!$AD$3,"S-",IF(J556&lt;'PlayerGrades+'!$AD$2,"S","S+"))))))))))))))))))))</f>
        <v>#DIV/0!</v>
      </c>
      <c r="L556" s="1176" t="str">
        <f t="shared" si="16"/>
        <v>#DIV/0!</v>
      </c>
      <c r="M556" s="992" t="str">
        <f>IF(L556&lt;'PlayerGrades+'!$AE$21,"F-",IF(L556&lt;'PlayerGrades+'!$AE$20,"F",IF(L556&lt;'PlayerGrades+'!$AE$19,"F+",IF(L556&lt;'PlayerGrades+'!$AE$18,"E-",IF(L556&lt;'PlayerGrades+'!$AE$17,"E",IF(L556&lt;'PlayerGrades+'!$AE$16,"E+",IF(L556&lt;'PlayerGrades+'!$AE$15,"D-",IF(L556&lt;'PlayerGrades+'!$AE$14,"D",IF(L556&lt;'PlayerGrades+'!$AE$13,"D+",IF(L556&lt;'PlayerGrades+'!$AE$12,"C-",IF(L556&lt;'PlayerGrades+'!$AE$11,"C",IF(L556&lt;'PlayerGrades+'!$AE$10,"C+",IF(L556&lt;'PlayerGrades+'!$AE$9,"B-",IF(L556&lt;'PlayerGrades+'!$AE$8,"B",IF(L556&lt;'PlayerGrades+'!$AE$7,"B+",IF(L556&lt;'PlayerGrades+'!$AE$6,"A-",IF(L556&lt;'PlayerGrades+'!$AE$5,"A",IF(L556&lt;'PlayerGrades+'!$AE$4,"A+",IF(L556&lt;'PlayerGrades+'!$AE$3,"S-",IF(L556&lt;'PlayerGrades+'!$AE$2,"S","S+"))))))))))))))))))))</f>
        <v>#DIV/0!</v>
      </c>
      <c r="N556" s="1423" t="str">
        <f t="shared" si="17"/>
        <v>#DIV/0!</v>
      </c>
      <c r="O556" s="1423" t="str">
        <f>IF(N556&lt;'PlayerGrades+'!$AF$21,"F-",IF(N556&lt;'PlayerGrades+'!$AF$20,"F",IF(N556&lt;'PlayerGrades+'!$AF$19,"F+",IF(N556&lt;'PlayerGrades+'!$AF$18,"E-",IF(N556&lt;'PlayerGrades+'!$AF$17,"E",IF(N556&lt;'PlayerGrades+'!$AF$16,"E+",IF(N556&lt;'PlayerGrades+'!$AF$15,"D-",IF(N556&lt;'PlayerGrades+'!$AF$14,"D",IF(N556&lt;'PlayerGrades+'!$AF$13,"D+",IF(N556&lt;'PlayerGrades+'!$AF$12,"C-",IF(N556&lt;'PlayerGrades+'!$AF$11,"C",IF(N556&lt;'PlayerGrades+'!$AF$10,"C+",IF(N556&lt;'PlayerGrades+'!$AF$9,"B-",IF(N556&lt;'PlayerGrades+'!$AF$8,"B",IF(N556&lt;'PlayerGrades+'!$AF$7,"B+",IF(N556&lt;'PlayerGrades+'!$AF$6,"A-",IF(N556&lt;'PlayerGrades+'!$AF$5,"A",IF(N556&lt;'PlayerGrades+'!$AF$4,"A+",IF(N556&lt;'PlayerGrades+'!$AF$3,"S-",IF(N556&lt;'PlayerGrades+'!$AF$2,"S","S+"))))))))))))))))))))</f>
        <v>#DIV/0!</v>
      </c>
      <c r="P556" s="1423" t="str">
        <f t="shared" si="18"/>
        <v>#DIV/0!</v>
      </c>
      <c r="Q556" s="1423" t="str">
        <f>IF(P556&lt;'PlayerGrades+'!$AG$21,"F-",IF(P556&lt;'PlayerGrades+'!$AG$20,"F",IF(P556&lt;'PlayerGrades+'!$AG$19,"F+",IF(P556&lt;'PlayerGrades+'!$AG$18,"E-",IF(P556&lt;'PlayerGrades+'!$AG$17,"E",IF(P556&lt;'PlayerGrades+'!$AG$16,"E+",IF(P556&lt;'PlayerGrades+'!$AG$15,"D-",IF(P556&lt;'PlayerGrades+'!$AG$14,"D",IF(P556&lt;'PlayerGrades+'!$AG$13,"D+",IF(P556&lt;'PlayerGrades+'!$AG$12,"C-",IF(P556&lt;'PlayerGrades+'!$AG$11,"C",IF(P556&lt;'PlayerGrades+'!$AG$10,"C+",IF(P556&lt;'PlayerGrades+'!$AG$9,"B-",IF(P556&lt;'PlayerGrades+'!$AG$8,"B",IF(P556&lt;'PlayerGrades+'!$AG$7,"B+",IF(P556&lt;'PlayerGrades+'!$AG$6,"A-",IF(P556&lt;'PlayerGrades+'!$AG$5,"A",IF(P556&lt;'PlayerGrades+'!$AG$4,"A+",IF(P556&lt;'PlayerGrades+'!$AG$3,"S-",IF(P556&lt;'PlayerGrades+'!$AG$2,"S","S+"))))))))))))))))))))</f>
        <v>#DIV/0!</v>
      </c>
      <c r="R556" s="1423" t="str">
        <f t="shared" si="19"/>
        <v>#REF!</v>
      </c>
      <c r="S556" s="1423" t="str">
        <f>IF(R556&lt;'PlayerGrades+'!$AH$21,"F-",IF(R556&lt;'PlayerGrades+'!$AH$20,"F",IF(R556&lt;'PlayerGrades+'!$AH$19,"F+",IF(R556&lt;'PlayerGrades+'!$AH$18,"E-",IF(R556&lt;'PlayerGrades+'!$AH$17,"E",IF(R556&lt;'PlayerGrades+'!$AH$16,"E+",IF(R556&lt;'PlayerGrades+'!$AH$15,"D-",IF(R556&lt;'PlayerGrades+'!$AH$14,"D",IF(R556&lt;'PlayerGrades+'!$AH$13,"D+",IF(R556&lt;'PlayerGrades+'!$AH$12,"C-",IF(R556&lt;'PlayerGrades+'!$AH$11,"C",IF(R556&lt;'PlayerGrades+'!$AH$10,"C+",IF(R556&lt;'PlayerGrades+'!$AH$9,"B-",IF(R556&lt;'PlayerGrades+'!$AH$8,"B",IF(R556&lt;'PlayerGrades+'!$AH$7,"B+",IF(R556&lt;'PlayerGrades+'!$AH$6,"A-",IF(R556&lt;'PlayerGrades+'!$AH$5,"A",IF(R556&lt;'PlayerGrades+'!$AH$4,"A+",IF(R556&lt;'PlayerGrades+'!$AH$3,"S-",IF(R556&lt;'PlayerGrades+'!$AH$2,"S","S+"))))))))))))))))))))</f>
        <v>#REF!</v>
      </c>
      <c r="T556" s="1423" t="str">
        <f t="shared" si="20"/>
        <v>#REF!</v>
      </c>
      <c r="U556" s="1423" t="str">
        <f>IF(T556&lt;'PlayerGrades+'!$AI$21,"F-",IF(T556&lt;'PlayerGrades+'!$AI$20,"F",IF(T556&lt;'PlayerGrades+'!$AI$19,"F+",IF(T556&lt;'PlayerGrades+'!$AI$18,"E-",IF(T556&lt;'PlayerGrades+'!$AI$17,"E",IF(T556&lt;'PlayerGrades+'!$AI$16,"E+",IF(T556&lt;'PlayerGrades+'!$AI$15,"D-",IF(T556&lt;'PlayerGrades+'!$AI$14,"D",IF(T556&lt;'PlayerGrades+'!$AI$13,"D+",IF(T556&lt;'PlayerGrades+'!$AI$12,"C-",IF(T556&lt;'PlayerGrades+'!$AI$11,"C",IF(T556&lt;'PlayerGrades+'!$AI$10,"C+",IF(T556&lt;'PlayerGrades+'!$AI$9,"B-",IF(T556&lt;'PlayerGrades+'!$AI$8,"B",IF(T556&lt;'PlayerGrades+'!$AI$7,"B+",IF(T556&lt;'PlayerGrades+'!$AI$6,"A-",IF(T556&lt;'PlayerGrades+'!$AI$5,"A",IF(T556&lt;'PlayerGrades+'!$AI$4,"A+",IF(T556&lt;'PlayerGrades+'!$AI$3,"S-",IF(T556&lt;'PlayerGrades+'!$AI$2,"S","S+"))))))))))))))))))))</f>
        <v>#REF!</v>
      </c>
      <c r="AC556" s="1392"/>
    </row>
    <row r="557">
      <c r="A557" s="1391"/>
      <c r="B557" s="1421" t="str">
        <f>IF(C557&lt;'PlayerGrades+'!$Y$44,"F-",IF(C557&lt;'PlayerGrades+'!$Y$43,"F",IF(C557&lt;'PlayerGrades+'!$Y$42,"F+",IF(C557&lt;'PlayerGrades+'!$Y$41,"E-",IF(C557&lt;'PlayerGrades+'!$Y$40,"E",IF(C557&lt;'PlayerGrades+'!$Y$39,"E+",IF(C557&lt;'PlayerGrades+'!$Y$38,"D-",IF(C557&lt;'PlayerGrades+'!$Y$37,"D",IF(C557&lt;'PlayerGrades+'!$Y$36,"D+",IF(C557&lt;'PlayerGrades+'!$Y$35,"C-",IF(C557&lt;'PlayerGrades+'!$Y$34,"C",IF(C557&lt;'PlayerGrades+'!$Y$33,"C+",IF(C557&lt;'PlayerGrades+'!$Y$32,"B-",IF(C557&lt;'PlayerGrades+'!$Y$31,"B",IF(C557&lt;'PlayerGrades+'!$Y$30,"B+",IF(C557&lt;'PlayerGrades+'!$Y$29,"A-",IF(C557&lt;'PlayerGrades+'!$Y$28,"A",IF(C557&lt;'PlayerGrades+'!$Y$27,"A+",IF(C557&lt;'PlayerGrades+'!$Y$26,"S-",IF(C557&lt;'PlayerGrades+'!$Y$25,"S","S+"))))))))))))))))))))</f>
        <v>#DIV/0!</v>
      </c>
      <c r="C557" s="1422" t="str">
        <f>('PlayerGrades+'!$Y$47*(VLOOKUP(E557, 'PlayerGrades+'!$X$3:$Y$23, 2, FALSE)))+('PlayerGrades+'!$Y$48*(VLOOKUP(G557, 'PlayerGrades+'!$X$3:$Y$23, 2, FALSE)))+('PlayerGrades+'!$Y$49*(VLOOKUP(I557, 'PlayerGrades+'!$X$3:$Y$23, 2, FALSE)))+('PlayerGrades+'!$Y$50*(VLOOKUP(K557, 'PlayerGrades+'!$X$3:$Y$23, 2, FALSE)))+('PlayerGrades+'!$Y$51*(VLOOKUP(M557, 'PlayerGrades+'!$X$3:$Y$23, 2, FALSE)))+('PlayerGrades+'!$Y$52*(VLOOKUP(O557, 'PlayerGrades+'!$X$3:$Y$23, 2, FALSE)))+('PlayerGrades+'!$Y$53*(VLOOKUP(Q557, 'PlayerGrades+'!$X$3:$Y$23, 2, FALSE)))+('PlayerGrades+'!$Y$54*(VLOOKUP(S557, 'PlayerGrades+'!$X$3:$Y$23, 2, FALSE)))+('PlayerGrades+'!$Y$55*(VLOOKUP(U557, 'PlayerGrades+'!$X$3:$Y$23, 2, FALSE)))</f>
        <v>#DIV/0!</v>
      </c>
      <c r="D557" s="1423" t="str">
        <f t="shared" si="12"/>
        <v>#DIV/0!</v>
      </c>
      <c r="E557" s="1423" t="str">
        <f>IF(D557&lt;'PlayerGrades+'!$AA$21,"F-",IF(D557&lt;'PlayerGrades+'!$AA$20,"F",IF(D557&lt;'PlayerGrades+'!$AA$19,"F+",IF(D557&lt;'PlayerGrades+'!$AA$18,"E-",IF(D557&lt;'PlayerGrades+'!$AA$17,"E",IF(D557&lt;'PlayerGrades+'!$AA$16,"E+",IF(D557&lt;'PlayerGrades+'!$AA$15,"D-",IF(D557&lt;'PlayerGrades+'!$AA$14,"D",IF(D557&lt;'PlayerGrades+'!$AA$13,"D+",IF(D557&lt;'PlayerGrades+'!$AA$12,"C-",IF(D557&lt;'PlayerGrades+'!$AA$11,"C",IF(D557&lt;'PlayerGrades+'!$AA$10,"C+",IF(D557&lt;'PlayerGrades+'!$AA$9,"B-",IF(D557&lt;'PlayerGrades+'!$AA$8,"B",IF(D557&lt;'PlayerGrades+'!$AA$7,"B+",IF(D557&lt;'PlayerGrades+'!$AA$6,"A-",IF(D557&lt;'PlayerGrades+'!$AA$5,"A",IF(D557&lt;'PlayerGrades+'!$AA$4,"A+",IF(D557&lt;'PlayerGrades+'!$AA$3,"S-",IF(D557&lt;'PlayerGrades+'!$AA$2,"S","S+"))))))))))))))))))))</f>
        <v>#DIV/0!</v>
      </c>
      <c r="F557" s="1423" t="str">
        <f t="shared" si="13"/>
        <v>#DIV/0!</v>
      </c>
      <c r="G557" s="1423" t="str">
        <f>IF(F557&lt;'PlayerGrades+'!$AB$21,"F-",IF(F557&lt;'PlayerGrades+'!$AB$20,"F",IF(F557&lt;'PlayerGrades+'!$AB$19,"F+",IF(F557&lt;'PlayerGrades+'!$AB$18,"E-",IF(F557&lt;'PlayerGrades+'!$AB$17,"E",IF(F557&lt;'PlayerGrades+'!$AB$16,"E+",IF(F557&lt;'PlayerGrades+'!$AB$15,"D-",IF(F557&lt;'PlayerGrades+'!$AB$14,"D",IF(F557&lt;'PlayerGrades+'!$AB$13,"D+",IF(F557&lt;'PlayerGrades+'!$AB$12,"C-",IF(F557&lt;'PlayerGrades+'!$AB$11,"C",IF(F557&lt;'PlayerGrades+'!$AB$10,"C+",IF(F557&lt;'PlayerGrades+'!$AB$9,"B-",IF(F557&lt;'PlayerGrades+'!$AB$8,"B",IF(F557&lt;'PlayerGrades+'!$AB$7,"B+",IF(F557&lt;'PlayerGrades+'!$AB$6,"A-",IF(F557&lt;'PlayerGrades+'!$AB$5,"A",IF(F557&lt;'PlayerGrades+'!$AB$4,"A+",IF(F557&lt;'PlayerGrades+'!$AB$3,"S-",IF(F557&lt;'PlayerGrades+'!$AB$2,"S","S+"))))))))))))))))))))</f>
        <v>#DIV/0!</v>
      </c>
      <c r="H557" s="1423" t="str">
        <f t="shared" si="14"/>
        <v>#DIV/0!</v>
      </c>
      <c r="I557" s="1423" t="str">
        <f>IF(H557&lt;'PlayerGrades+'!$AC$21,"F-",IF(H557&lt;'PlayerGrades+'!$AC$20,"F",IF(H557&lt;'PlayerGrades+'!$AC$19,"F+",IF(H557&lt;'PlayerGrades+'!$AC$18,"E-",IF(H557&lt;'PlayerGrades+'!$AC$17,"E",IF(H557&lt;'PlayerGrades+'!$AC$16,"E+",IF(H557&lt;'PlayerGrades+'!$AC$15,"D-",IF(H557&lt;'PlayerGrades+'!$AC$14,"D",IF(H557&lt;'PlayerGrades+'!$AC$13,"D+",IF(H557&lt;'PlayerGrades+'!$AC$12,"C-",IF(H557&lt;'PlayerGrades+'!$AC$11,"C",IF(H557&lt;'PlayerGrades+'!$AC$10,"C+",IF(H557&lt;'PlayerGrades+'!$AC$9,"B-",IF(H557&lt;'PlayerGrades+'!$AC$8,"B",IF(H557&lt;'PlayerGrades+'!$AC$7,"B+",IF(H557&lt;'PlayerGrades+'!$AC$6,"A-",IF(H557&lt;'PlayerGrades+'!$AC$5,"A",IF(H557&lt;'PlayerGrades+'!$AC$4,"A+",IF(H557&lt;'PlayerGrades+'!$AC$3,"S-",IF(H557&lt;'PlayerGrades+'!$AC$2,"S","S+"))))))))))))))))))))</f>
        <v>#DIV/0!</v>
      </c>
      <c r="J557" s="1423" t="str">
        <f t="shared" si="15"/>
        <v>#DIV/0!</v>
      </c>
      <c r="K557" s="1423" t="str">
        <f>IF(J557&lt;'PlayerGrades+'!$AD$21,"F-",IF(J557&lt;'PlayerGrades+'!$AD$20,"F",IF(J557&lt;'PlayerGrades+'!$AD$19,"F+",IF(J557&lt;'PlayerGrades+'!$AD$18,"E-",IF(J557&lt;'PlayerGrades+'!$AD$17,"E",IF(J557&lt;'PlayerGrades+'!$AD$16,"E+",IF(J557&lt;'PlayerGrades+'!$AD$15,"D-",IF(J557&lt;'PlayerGrades+'!$AD$14,"D",IF(J557&lt;'PlayerGrades+'!$AD$13,"D+",IF(J557&lt;'PlayerGrades+'!$AD$12,"C-",IF(J557&lt;'PlayerGrades+'!$AD$11,"C",IF(J557&lt;'PlayerGrades+'!$AD$10,"C+",IF(J557&lt;'PlayerGrades+'!$AD$9,"B-",IF(J557&lt;'PlayerGrades+'!$AD$8,"B",IF(J557&lt;'PlayerGrades+'!$AD$7,"B+",IF(J557&lt;'PlayerGrades+'!$AD$6,"A-",IF(J557&lt;'PlayerGrades+'!$AD$5,"A",IF(J557&lt;'PlayerGrades+'!$AD$4,"A+",IF(J557&lt;'PlayerGrades+'!$AD$3,"S-",IF(J557&lt;'PlayerGrades+'!$AD$2,"S","S+"))))))))))))))))))))</f>
        <v>#DIV/0!</v>
      </c>
      <c r="L557" s="1176" t="str">
        <f t="shared" si="16"/>
        <v>#DIV/0!</v>
      </c>
      <c r="M557" s="992" t="str">
        <f>IF(L557&lt;'PlayerGrades+'!$AE$21,"F-",IF(L557&lt;'PlayerGrades+'!$AE$20,"F",IF(L557&lt;'PlayerGrades+'!$AE$19,"F+",IF(L557&lt;'PlayerGrades+'!$AE$18,"E-",IF(L557&lt;'PlayerGrades+'!$AE$17,"E",IF(L557&lt;'PlayerGrades+'!$AE$16,"E+",IF(L557&lt;'PlayerGrades+'!$AE$15,"D-",IF(L557&lt;'PlayerGrades+'!$AE$14,"D",IF(L557&lt;'PlayerGrades+'!$AE$13,"D+",IF(L557&lt;'PlayerGrades+'!$AE$12,"C-",IF(L557&lt;'PlayerGrades+'!$AE$11,"C",IF(L557&lt;'PlayerGrades+'!$AE$10,"C+",IF(L557&lt;'PlayerGrades+'!$AE$9,"B-",IF(L557&lt;'PlayerGrades+'!$AE$8,"B",IF(L557&lt;'PlayerGrades+'!$AE$7,"B+",IF(L557&lt;'PlayerGrades+'!$AE$6,"A-",IF(L557&lt;'PlayerGrades+'!$AE$5,"A",IF(L557&lt;'PlayerGrades+'!$AE$4,"A+",IF(L557&lt;'PlayerGrades+'!$AE$3,"S-",IF(L557&lt;'PlayerGrades+'!$AE$2,"S","S+"))))))))))))))))))))</f>
        <v>#DIV/0!</v>
      </c>
      <c r="N557" s="1423" t="str">
        <f t="shared" si="17"/>
        <v>#DIV/0!</v>
      </c>
      <c r="O557" s="1423" t="str">
        <f>IF(N557&lt;'PlayerGrades+'!$AF$21,"F-",IF(N557&lt;'PlayerGrades+'!$AF$20,"F",IF(N557&lt;'PlayerGrades+'!$AF$19,"F+",IF(N557&lt;'PlayerGrades+'!$AF$18,"E-",IF(N557&lt;'PlayerGrades+'!$AF$17,"E",IF(N557&lt;'PlayerGrades+'!$AF$16,"E+",IF(N557&lt;'PlayerGrades+'!$AF$15,"D-",IF(N557&lt;'PlayerGrades+'!$AF$14,"D",IF(N557&lt;'PlayerGrades+'!$AF$13,"D+",IF(N557&lt;'PlayerGrades+'!$AF$12,"C-",IF(N557&lt;'PlayerGrades+'!$AF$11,"C",IF(N557&lt;'PlayerGrades+'!$AF$10,"C+",IF(N557&lt;'PlayerGrades+'!$AF$9,"B-",IF(N557&lt;'PlayerGrades+'!$AF$8,"B",IF(N557&lt;'PlayerGrades+'!$AF$7,"B+",IF(N557&lt;'PlayerGrades+'!$AF$6,"A-",IF(N557&lt;'PlayerGrades+'!$AF$5,"A",IF(N557&lt;'PlayerGrades+'!$AF$4,"A+",IF(N557&lt;'PlayerGrades+'!$AF$3,"S-",IF(N557&lt;'PlayerGrades+'!$AF$2,"S","S+"))))))))))))))))))))</f>
        <v>#DIV/0!</v>
      </c>
      <c r="P557" s="1423" t="str">
        <f t="shared" si="18"/>
        <v>#DIV/0!</v>
      </c>
      <c r="Q557" s="1423" t="str">
        <f>IF(P557&lt;'PlayerGrades+'!$AG$21,"F-",IF(P557&lt;'PlayerGrades+'!$AG$20,"F",IF(P557&lt;'PlayerGrades+'!$AG$19,"F+",IF(P557&lt;'PlayerGrades+'!$AG$18,"E-",IF(P557&lt;'PlayerGrades+'!$AG$17,"E",IF(P557&lt;'PlayerGrades+'!$AG$16,"E+",IF(P557&lt;'PlayerGrades+'!$AG$15,"D-",IF(P557&lt;'PlayerGrades+'!$AG$14,"D",IF(P557&lt;'PlayerGrades+'!$AG$13,"D+",IF(P557&lt;'PlayerGrades+'!$AG$12,"C-",IF(P557&lt;'PlayerGrades+'!$AG$11,"C",IF(P557&lt;'PlayerGrades+'!$AG$10,"C+",IF(P557&lt;'PlayerGrades+'!$AG$9,"B-",IF(P557&lt;'PlayerGrades+'!$AG$8,"B",IF(P557&lt;'PlayerGrades+'!$AG$7,"B+",IF(P557&lt;'PlayerGrades+'!$AG$6,"A-",IF(P557&lt;'PlayerGrades+'!$AG$5,"A",IF(P557&lt;'PlayerGrades+'!$AG$4,"A+",IF(P557&lt;'PlayerGrades+'!$AG$3,"S-",IF(P557&lt;'PlayerGrades+'!$AG$2,"S","S+"))))))))))))))))))))</f>
        <v>#DIV/0!</v>
      </c>
      <c r="R557" s="1423" t="str">
        <f t="shared" si="19"/>
        <v>#REF!</v>
      </c>
      <c r="S557" s="1423" t="str">
        <f>IF(R557&lt;'PlayerGrades+'!$AH$21,"F-",IF(R557&lt;'PlayerGrades+'!$AH$20,"F",IF(R557&lt;'PlayerGrades+'!$AH$19,"F+",IF(R557&lt;'PlayerGrades+'!$AH$18,"E-",IF(R557&lt;'PlayerGrades+'!$AH$17,"E",IF(R557&lt;'PlayerGrades+'!$AH$16,"E+",IF(R557&lt;'PlayerGrades+'!$AH$15,"D-",IF(R557&lt;'PlayerGrades+'!$AH$14,"D",IF(R557&lt;'PlayerGrades+'!$AH$13,"D+",IF(R557&lt;'PlayerGrades+'!$AH$12,"C-",IF(R557&lt;'PlayerGrades+'!$AH$11,"C",IF(R557&lt;'PlayerGrades+'!$AH$10,"C+",IF(R557&lt;'PlayerGrades+'!$AH$9,"B-",IF(R557&lt;'PlayerGrades+'!$AH$8,"B",IF(R557&lt;'PlayerGrades+'!$AH$7,"B+",IF(R557&lt;'PlayerGrades+'!$AH$6,"A-",IF(R557&lt;'PlayerGrades+'!$AH$5,"A",IF(R557&lt;'PlayerGrades+'!$AH$4,"A+",IF(R557&lt;'PlayerGrades+'!$AH$3,"S-",IF(R557&lt;'PlayerGrades+'!$AH$2,"S","S+"))))))))))))))))))))</f>
        <v>#REF!</v>
      </c>
      <c r="T557" s="1423" t="str">
        <f t="shared" si="20"/>
        <v>#REF!</v>
      </c>
      <c r="U557" s="1423" t="str">
        <f>IF(T557&lt;'PlayerGrades+'!$AI$21,"F-",IF(T557&lt;'PlayerGrades+'!$AI$20,"F",IF(T557&lt;'PlayerGrades+'!$AI$19,"F+",IF(T557&lt;'PlayerGrades+'!$AI$18,"E-",IF(T557&lt;'PlayerGrades+'!$AI$17,"E",IF(T557&lt;'PlayerGrades+'!$AI$16,"E+",IF(T557&lt;'PlayerGrades+'!$AI$15,"D-",IF(T557&lt;'PlayerGrades+'!$AI$14,"D",IF(T557&lt;'PlayerGrades+'!$AI$13,"D+",IF(T557&lt;'PlayerGrades+'!$AI$12,"C-",IF(T557&lt;'PlayerGrades+'!$AI$11,"C",IF(T557&lt;'PlayerGrades+'!$AI$10,"C+",IF(T557&lt;'PlayerGrades+'!$AI$9,"B-",IF(T557&lt;'PlayerGrades+'!$AI$8,"B",IF(T557&lt;'PlayerGrades+'!$AI$7,"B+",IF(T557&lt;'PlayerGrades+'!$AI$6,"A-",IF(T557&lt;'PlayerGrades+'!$AI$5,"A",IF(T557&lt;'PlayerGrades+'!$AI$4,"A+",IF(T557&lt;'PlayerGrades+'!$AI$3,"S-",IF(T557&lt;'PlayerGrades+'!$AI$2,"S","S+"))))))))))))))))))))</f>
        <v>#REF!</v>
      </c>
      <c r="AC557" s="1392"/>
    </row>
    <row r="558">
      <c r="A558" s="1391"/>
      <c r="B558" s="1421" t="str">
        <f>IF(C558&lt;'PlayerGrades+'!$Y$44,"F-",IF(C558&lt;'PlayerGrades+'!$Y$43,"F",IF(C558&lt;'PlayerGrades+'!$Y$42,"F+",IF(C558&lt;'PlayerGrades+'!$Y$41,"E-",IF(C558&lt;'PlayerGrades+'!$Y$40,"E",IF(C558&lt;'PlayerGrades+'!$Y$39,"E+",IF(C558&lt;'PlayerGrades+'!$Y$38,"D-",IF(C558&lt;'PlayerGrades+'!$Y$37,"D",IF(C558&lt;'PlayerGrades+'!$Y$36,"D+",IF(C558&lt;'PlayerGrades+'!$Y$35,"C-",IF(C558&lt;'PlayerGrades+'!$Y$34,"C",IF(C558&lt;'PlayerGrades+'!$Y$33,"C+",IF(C558&lt;'PlayerGrades+'!$Y$32,"B-",IF(C558&lt;'PlayerGrades+'!$Y$31,"B",IF(C558&lt;'PlayerGrades+'!$Y$30,"B+",IF(C558&lt;'PlayerGrades+'!$Y$29,"A-",IF(C558&lt;'PlayerGrades+'!$Y$28,"A",IF(C558&lt;'PlayerGrades+'!$Y$27,"A+",IF(C558&lt;'PlayerGrades+'!$Y$26,"S-",IF(C558&lt;'PlayerGrades+'!$Y$25,"S","S+"))))))))))))))))))))</f>
        <v>#DIV/0!</v>
      </c>
      <c r="C558" s="1422" t="str">
        <f>('PlayerGrades+'!$Y$47*(VLOOKUP(E558, 'PlayerGrades+'!$X$3:$Y$23, 2, FALSE)))+('PlayerGrades+'!$Y$48*(VLOOKUP(G558, 'PlayerGrades+'!$X$3:$Y$23, 2, FALSE)))+('PlayerGrades+'!$Y$49*(VLOOKUP(I558, 'PlayerGrades+'!$X$3:$Y$23, 2, FALSE)))+('PlayerGrades+'!$Y$50*(VLOOKUP(K558, 'PlayerGrades+'!$X$3:$Y$23, 2, FALSE)))+('PlayerGrades+'!$Y$51*(VLOOKUP(M558, 'PlayerGrades+'!$X$3:$Y$23, 2, FALSE)))+('PlayerGrades+'!$Y$52*(VLOOKUP(O558, 'PlayerGrades+'!$X$3:$Y$23, 2, FALSE)))+('PlayerGrades+'!$Y$53*(VLOOKUP(Q558, 'PlayerGrades+'!$X$3:$Y$23, 2, FALSE)))+('PlayerGrades+'!$Y$54*(VLOOKUP(S558, 'PlayerGrades+'!$X$3:$Y$23, 2, FALSE)))+('PlayerGrades+'!$Y$55*(VLOOKUP(U558, 'PlayerGrades+'!$X$3:$Y$23, 2, FALSE)))</f>
        <v>#DIV/0!</v>
      </c>
      <c r="D558" s="1423" t="str">
        <f t="shared" si="12"/>
        <v>#DIV/0!</v>
      </c>
      <c r="E558" s="1423" t="str">
        <f>IF(D558&lt;'PlayerGrades+'!$AA$21,"F-",IF(D558&lt;'PlayerGrades+'!$AA$20,"F",IF(D558&lt;'PlayerGrades+'!$AA$19,"F+",IF(D558&lt;'PlayerGrades+'!$AA$18,"E-",IF(D558&lt;'PlayerGrades+'!$AA$17,"E",IF(D558&lt;'PlayerGrades+'!$AA$16,"E+",IF(D558&lt;'PlayerGrades+'!$AA$15,"D-",IF(D558&lt;'PlayerGrades+'!$AA$14,"D",IF(D558&lt;'PlayerGrades+'!$AA$13,"D+",IF(D558&lt;'PlayerGrades+'!$AA$12,"C-",IF(D558&lt;'PlayerGrades+'!$AA$11,"C",IF(D558&lt;'PlayerGrades+'!$AA$10,"C+",IF(D558&lt;'PlayerGrades+'!$AA$9,"B-",IF(D558&lt;'PlayerGrades+'!$AA$8,"B",IF(D558&lt;'PlayerGrades+'!$AA$7,"B+",IF(D558&lt;'PlayerGrades+'!$AA$6,"A-",IF(D558&lt;'PlayerGrades+'!$AA$5,"A",IF(D558&lt;'PlayerGrades+'!$AA$4,"A+",IF(D558&lt;'PlayerGrades+'!$AA$3,"S-",IF(D558&lt;'PlayerGrades+'!$AA$2,"S","S+"))))))))))))))))))))</f>
        <v>#DIV/0!</v>
      </c>
      <c r="F558" s="1423" t="str">
        <f t="shared" si="13"/>
        <v>#DIV/0!</v>
      </c>
      <c r="G558" s="1423" t="str">
        <f>IF(F558&lt;'PlayerGrades+'!$AB$21,"F-",IF(F558&lt;'PlayerGrades+'!$AB$20,"F",IF(F558&lt;'PlayerGrades+'!$AB$19,"F+",IF(F558&lt;'PlayerGrades+'!$AB$18,"E-",IF(F558&lt;'PlayerGrades+'!$AB$17,"E",IF(F558&lt;'PlayerGrades+'!$AB$16,"E+",IF(F558&lt;'PlayerGrades+'!$AB$15,"D-",IF(F558&lt;'PlayerGrades+'!$AB$14,"D",IF(F558&lt;'PlayerGrades+'!$AB$13,"D+",IF(F558&lt;'PlayerGrades+'!$AB$12,"C-",IF(F558&lt;'PlayerGrades+'!$AB$11,"C",IF(F558&lt;'PlayerGrades+'!$AB$10,"C+",IF(F558&lt;'PlayerGrades+'!$AB$9,"B-",IF(F558&lt;'PlayerGrades+'!$AB$8,"B",IF(F558&lt;'PlayerGrades+'!$AB$7,"B+",IF(F558&lt;'PlayerGrades+'!$AB$6,"A-",IF(F558&lt;'PlayerGrades+'!$AB$5,"A",IF(F558&lt;'PlayerGrades+'!$AB$4,"A+",IF(F558&lt;'PlayerGrades+'!$AB$3,"S-",IF(F558&lt;'PlayerGrades+'!$AB$2,"S","S+"))))))))))))))))))))</f>
        <v>#DIV/0!</v>
      </c>
      <c r="H558" s="1423" t="str">
        <f t="shared" si="14"/>
        <v>#DIV/0!</v>
      </c>
      <c r="I558" s="1423" t="str">
        <f>IF(H558&lt;'PlayerGrades+'!$AC$21,"F-",IF(H558&lt;'PlayerGrades+'!$AC$20,"F",IF(H558&lt;'PlayerGrades+'!$AC$19,"F+",IF(H558&lt;'PlayerGrades+'!$AC$18,"E-",IF(H558&lt;'PlayerGrades+'!$AC$17,"E",IF(H558&lt;'PlayerGrades+'!$AC$16,"E+",IF(H558&lt;'PlayerGrades+'!$AC$15,"D-",IF(H558&lt;'PlayerGrades+'!$AC$14,"D",IF(H558&lt;'PlayerGrades+'!$AC$13,"D+",IF(H558&lt;'PlayerGrades+'!$AC$12,"C-",IF(H558&lt;'PlayerGrades+'!$AC$11,"C",IF(H558&lt;'PlayerGrades+'!$AC$10,"C+",IF(H558&lt;'PlayerGrades+'!$AC$9,"B-",IF(H558&lt;'PlayerGrades+'!$AC$8,"B",IF(H558&lt;'PlayerGrades+'!$AC$7,"B+",IF(H558&lt;'PlayerGrades+'!$AC$6,"A-",IF(H558&lt;'PlayerGrades+'!$AC$5,"A",IF(H558&lt;'PlayerGrades+'!$AC$4,"A+",IF(H558&lt;'PlayerGrades+'!$AC$3,"S-",IF(H558&lt;'PlayerGrades+'!$AC$2,"S","S+"))))))))))))))))))))</f>
        <v>#DIV/0!</v>
      </c>
      <c r="J558" s="1423" t="str">
        <f t="shared" si="15"/>
        <v>#DIV/0!</v>
      </c>
      <c r="K558" s="1423" t="str">
        <f>IF(J558&lt;'PlayerGrades+'!$AD$21,"F-",IF(J558&lt;'PlayerGrades+'!$AD$20,"F",IF(J558&lt;'PlayerGrades+'!$AD$19,"F+",IF(J558&lt;'PlayerGrades+'!$AD$18,"E-",IF(J558&lt;'PlayerGrades+'!$AD$17,"E",IF(J558&lt;'PlayerGrades+'!$AD$16,"E+",IF(J558&lt;'PlayerGrades+'!$AD$15,"D-",IF(J558&lt;'PlayerGrades+'!$AD$14,"D",IF(J558&lt;'PlayerGrades+'!$AD$13,"D+",IF(J558&lt;'PlayerGrades+'!$AD$12,"C-",IF(J558&lt;'PlayerGrades+'!$AD$11,"C",IF(J558&lt;'PlayerGrades+'!$AD$10,"C+",IF(J558&lt;'PlayerGrades+'!$AD$9,"B-",IF(J558&lt;'PlayerGrades+'!$AD$8,"B",IF(J558&lt;'PlayerGrades+'!$AD$7,"B+",IF(J558&lt;'PlayerGrades+'!$AD$6,"A-",IF(J558&lt;'PlayerGrades+'!$AD$5,"A",IF(J558&lt;'PlayerGrades+'!$AD$4,"A+",IF(J558&lt;'PlayerGrades+'!$AD$3,"S-",IF(J558&lt;'PlayerGrades+'!$AD$2,"S","S+"))))))))))))))))))))</f>
        <v>#DIV/0!</v>
      </c>
      <c r="L558" s="1176" t="str">
        <f t="shared" si="16"/>
        <v>#DIV/0!</v>
      </c>
      <c r="M558" s="992" t="str">
        <f>IF(L558&lt;'PlayerGrades+'!$AE$21,"F-",IF(L558&lt;'PlayerGrades+'!$AE$20,"F",IF(L558&lt;'PlayerGrades+'!$AE$19,"F+",IF(L558&lt;'PlayerGrades+'!$AE$18,"E-",IF(L558&lt;'PlayerGrades+'!$AE$17,"E",IF(L558&lt;'PlayerGrades+'!$AE$16,"E+",IF(L558&lt;'PlayerGrades+'!$AE$15,"D-",IF(L558&lt;'PlayerGrades+'!$AE$14,"D",IF(L558&lt;'PlayerGrades+'!$AE$13,"D+",IF(L558&lt;'PlayerGrades+'!$AE$12,"C-",IF(L558&lt;'PlayerGrades+'!$AE$11,"C",IF(L558&lt;'PlayerGrades+'!$AE$10,"C+",IF(L558&lt;'PlayerGrades+'!$AE$9,"B-",IF(L558&lt;'PlayerGrades+'!$AE$8,"B",IF(L558&lt;'PlayerGrades+'!$AE$7,"B+",IF(L558&lt;'PlayerGrades+'!$AE$6,"A-",IF(L558&lt;'PlayerGrades+'!$AE$5,"A",IF(L558&lt;'PlayerGrades+'!$AE$4,"A+",IF(L558&lt;'PlayerGrades+'!$AE$3,"S-",IF(L558&lt;'PlayerGrades+'!$AE$2,"S","S+"))))))))))))))))))))</f>
        <v>#DIV/0!</v>
      </c>
      <c r="N558" s="1423" t="str">
        <f t="shared" si="17"/>
        <v>#DIV/0!</v>
      </c>
      <c r="O558" s="1423" t="str">
        <f>IF(N558&lt;'PlayerGrades+'!$AF$21,"F-",IF(N558&lt;'PlayerGrades+'!$AF$20,"F",IF(N558&lt;'PlayerGrades+'!$AF$19,"F+",IF(N558&lt;'PlayerGrades+'!$AF$18,"E-",IF(N558&lt;'PlayerGrades+'!$AF$17,"E",IF(N558&lt;'PlayerGrades+'!$AF$16,"E+",IF(N558&lt;'PlayerGrades+'!$AF$15,"D-",IF(N558&lt;'PlayerGrades+'!$AF$14,"D",IF(N558&lt;'PlayerGrades+'!$AF$13,"D+",IF(N558&lt;'PlayerGrades+'!$AF$12,"C-",IF(N558&lt;'PlayerGrades+'!$AF$11,"C",IF(N558&lt;'PlayerGrades+'!$AF$10,"C+",IF(N558&lt;'PlayerGrades+'!$AF$9,"B-",IF(N558&lt;'PlayerGrades+'!$AF$8,"B",IF(N558&lt;'PlayerGrades+'!$AF$7,"B+",IF(N558&lt;'PlayerGrades+'!$AF$6,"A-",IF(N558&lt;'PlayerGrades+'!$AF$5,"A",IF(N558&lt;'PlayerGrades+'!$AF$4,"A+",IF(N558&lt;'PlayerGrades+'!$AF$3,"S-",IF(N558&lt;'PlayerGrades+'!$AF$2,"S","S+"))))))))))))))))))))</f>
        <v>#DIV/0!</v>
      </c>
      <c r="P558" s="1423" t="str">
        <f t="shared" si="18"/>
        <v>#DIV/0!</v>
      </c>
      <c r="Q558" s="1423" t="str">
        <f>IF(P558&lt;'PlayerGrades+'!$AG$21,"F-",IF(P558&lt;'PlayerGrades+'!$AG$20,"F",IF(P558&lt;'PlayerGrades+'!$AG$19,"F+",IF(P558&lt;'PlayerGrades+'!$AG$18,"E-",IF(P558&lt;'PlayerGrades+'!$AG$17,"E",IF(P558&lt;'PlayerGrades+'!$AG$16,"E+",IF(P558&lt;'PlayerGrades+'!$AG$15,"D-",IF(P558&lt;'PlayerGrades+'!$AG$14,"D",IF(P558&lt;'PlayerGrades+'!$AG$13,"D+",IF(P558&lt;'PlayerGrades+'!$AG$12,"C-",IF(P558&lt;'PlayerGrades+'!$AG$11,"C",IF(P558&lt;'PlayerGrades+'!$AG$10,"C+",IF(P558&lt;'PlayerGrades+'!$AG$9,"B-",IF(P558&lt;'PlayerGrades+'!$AG$8,"B",IF(P558&lt;'PlayerGrades+'!$AG$7,"B+",IF(P558&lt;'PlayerGrades+'!$AG$6,"A-",IF(P558&lt;'PlayerGrades+'!$AG$5,"A",IF(P558&lt;'PlayerGrades+'!$AG$4,"A+",IF(P558&lt;'PlayerGrades+'!$AG$3,"S-",IF(P558&lt;'PlayerGrades+'!$AG$2,"S","S+"))))))))))))))))))))</f>
        <v>#DIV/0!</v>
      </c>
      <c r="R558" s="1423" t="str">
        <f t="shared" si="19"/>
        <v>#REF!</v>
      </c>
      <c r="S558" s="1423" t="str">
        <f>IF(R558&lt;'PlayerGrades+'!$AH$21,"F-",IF(R558&lt;'PlayerGrades+'!$AH$20,"F",IF(R558&lt;'PlayerGrades+'!$AH$19,"F+",IF(R558&lt;'PlayerGrades+'!$AH$18,"E-",IF(R558&lt;'PlayerGrades+'!$AH$17,"E",IF(R558&lt;'PlayerGrades+'!$AH$16,"E+",IF(R558&lt;'PlayerGrades+'!$AH$15,"D-",IF(R558&lt;'PlayerGrades+'!$AH$14,"D",IF(R558&lt;'PlayerGrades+'!$AH$13,"D+",IF(R558&lt;'PlayerGrades+'!$AH$12,"C-",IF(R558&lt;'PlayerGrades+'!$AH$11,"C",IF(R558&lt;'PlayerGrades+'!$AH$10,"C+",IF(R558&lt;'PlayerGrades+'!$AH$9,"B-",IF(R558&lt;'PlayerGrades+'!$AH$8,"B",IF(R558&lt;'PlayerGrades+'!$AH$7,"B+",IF(R558&lt;'PlayerGrades+'!$AH$6,"A-",IF(R558&lt;'PlayerGrades+'!$AH$5,"A",IF(R558&lt;'PlayerGrades+'!$AH$4,"A+",IF(R558&lt;'PlayerGrades+'!$AH$3,"S-",IF(R558&lt;'PlayerGrades+'!$AH$2,"S","S+"))))))))))))))))))))</f>
        <v>#REF!</v>
      </c>
      <c r="T558" s="1423" t="str">
        <f t="shared" si="20"/>
        <v>#REF!</v>
      </c>
      <c r="U558" s="1423" t="str">
        <f>IF(T558&lt;'PlayerGrades+'!$AI$21,"F-",IF(T558&lt;'PlayerGrades+'!$AI$20,"F",IF(T558&lt;'PlayerGrades+'!$AI$19,"F+",IF(T558&lt;'PlayerGrades+'!$AI$18,"E-",IF(T558&lt;'PlayerGrades+'!$AI$17,"E",IF(T558&lt;'PlayerGrades+'!$AI$16,"E+",IF(T558&lt;'PlayerGrades+'!$AI$15,"D-",IF(T558&lt;'PlayerGrades+'!$AI$14,"D",IF(T558&lt;'PlayerGrades+'!$AI$13,"D+",IF(T558&lt;'PlayerGrades+'!$AI$12,"C-",IF(T558&lt;'PlayerGrades+'!$AI$11,"C",IF(T558&lt;'PlayerGrades+'!$AI$10,"C+",IF(T558&lt;'PlayerGrades+'!$AI$9,"B-",IF(T558&lt;'PlayerGrades+'!$AI$8,"B",IF(T558&lt;'PlayerGrades+'!$AI$7,"B+",IF(T558&lt;'PlayerGrades+'!$AI$6,"A-",IF(T558&lt;'PlayerGrades+'!$AI$5,"A",IF(T558&lt;'PlayerGrades+'!$AI$4,"A+",IF(T558&lt;'PlayerGrades+'!$AI$3,"S-",IF(T558&lt;'PlayerGrades+'!$AI$2,"S","S+"))))))))))))))))))))</f>
        <v>#REF!</v>
      </c>
      <c r="AC558" s="1392"/>
    </row>
    <row r="559">
      <c r="A559" s="1391"/>
      <c r="B559" s="1421" t="str">
        <f>IF(C559&lt;'PlayerGrades+'!$Y$44,"F-",IF(C559&lt;'PlayerGrades+'!$Y$43,"F",IF(C559&lt;'PlayerGrades+'!$Y$42,"F+",IF(C559&lt;'PlayerGrades+'!$Y$41,"E-",IF(C559&lt;'PlayerGrades+'!$Y$40,"E",IF(C559&lt;'PlayerGrades+'!$Y$39,"E+",IF(C559&lt;'PlayerGrades+'!$Y$38,"D-",IF(C559&lt;'PlayerGrades+'!$Y$37,"D",IF(C559&lt;'PlayerGrades+'!$Y$36,"D+",IF(C559&lt;'PlayerGrades+'!$Y$35,"C-",IF(C559&lt;'PlayerGrades+'!$Y$34,"C",IF(C559&lt;'PlayerGrades+'!$Y$33,"C+",IF(C559&lt;'PlayerGrades+'!$Y$32,"B-",IF(C559&lt;'PlayerGrades+'!$Y$31,"B",IF(C559&lt;'PlayerGrades+'!$Y$30,"B+",IF(C559&lt;'PlayerGrades+'!$Y$29,"A-",IF(C559&lt;'PlayerGrades+'!$Y$28,"A",IF(C559&lt;'PlayerGrades+'!$Y$27,"A+",IF(C559&lt;'PlayerGrades+'!$Y$26,"S-",IF(C559&lt;'PlayerGrades+'!$Y$25,"S","S+"))))))))))))))))))))</f>
        <v>#DIV/0!</v>
      </c>
      <c r="C559" s="1422" t="str">
        <f>('PlayerGrades+'!$Y$47*(VLOOKUP(E559, 'PlayerGrades+'!$X$3:$Y$23, 2, FALSE)))+('PlayerGrades+'!$Y$48*(VLOOKUP(G559, 'PlayerGrades+'!$X$3:$Y$23, 2, FALSE)))+('PlayerGrades+'!$Y$49*(VLOOKUP(I559, 'PlayerGrades+'!$X$3:$Y$23, 2, FALSE)))+('PlayerGrades+'!$Y$50*(VLOOKUP(K559, 'PlayerGrades+'!$X$3:$Y$23, 2, FALSE)))+('PlayerGrades+'!$Y$51*(VLOOKUP(M559, 'PlayerGrades+'!$X$3:$Y$23, 2, FALSE)))+('PlayerGrades+'!$Y$52*(VLOOKUP(O559, 'PlayerGrades+'!$X$3:$Y$23, 2, FALSE)))+('PlayerGrades+'!$Y$53*(VLOOKUP(Q559, 'PlayerGrades+'!$X$3:$Y$23, 2, FALSE)))+('PlayerGrades+'!$Y$54*(VLOOKUP(S559, 'PlayerGrades+'!$X$3:$Y$23, 2, FALSE)))+('PlayerGrades+'!$Y$55*(VLOOKUP(U559, 'PlayerGrades+'!$X$3:$Y$23, 2, FALSE)))</f>
        <v>#DIV/0!</v>
      </c>
      <c r="D559" s="1423" t="str">
        <f t="shared" si="12"/>
        <v>#DIV/0!</v>
      </c>
      <c r="E559" s="1423" t="str">
        <f>IF(D559&lt;'PlayerGrades+'!$AA$21,"F-",IF(D559&lt;'PlayerGrades+'!$AA$20,"F",IF(D559&lt;'PlayerGrades+'!$AA$19,"F+",IF(D559&lt;'PlayerGrades+'!$AA$18,"E-",IF(D559&lt;'PlayerGrades+'!$AA$17,"E",IF(D559&lt;'PlayerGrades+'!$AA$16,"E+",IF(D559&lt;'PlayerGrades+'!$AA$15,"D-",IF(D559&lt;'PlayerGrades+'!$AA$14,"D",IF(D559&lt;'PlayerGrades+'!$AA$13,"D+",IF(D559&lt;'PlayerGrades+'!$AA$12,"C-",IF(D559&lt;'PlayerGrades+'!$AA$11,"C",IF(D559&lt;'PlayerGrades+'!$AA$10,"C+",IF(D559&lt;'PlayerGrades+'!$AA$9,"B-",IF(D559&lt;'PlayerGrades+'!$AA$8,"B",IF(D559&lt;'PlayerGrades+'!$AA$7,"B+",IF(D559&lt;'PlayerGrades+'!$AA$6,"A-",IF(D559&lt;'PlayerGrades+'!$AA$5,"A",IF(D559&lt;'PlayerGrades+'!$AA$4,"A+",IF(D559&lt;'PlayerGrades+'!$AA$3,"S-",IF(D559&lt;'PlayerGrades+'!$AA$2,"S","S+"))))))))))))))))))))</f>
        <v>#DIV/0!</v>
      </c>
      <c r="F559" s="1423" t="str">
        <f t="shared" si="13"/>
        <v>#DIV/0!</v>
      </c>
      <c r="G559" s="1423" t="str">
        <f>IF(F559&lt;'PlayerGrades+'!$AB$21,"F-",IF(F559&lt;'PlayerGrades+'!$AB$20,"F",IF(F559&lt;'PlayerGrades+'!$AB$19,"F+",IF(F559&lt;'PlayerGrades+'!$AB$18,"E-",IF(F559&lt;'PlayerGrades+'!$AB$17,"E",IF(F559&lt;'PlayerGrades+'!$AB$16,"E+",IF(F559&lt;'PlayerGrades+'!$AB$15,"D-",IF(F559&lt;'PlayerGrades+'!$AB$14,"D",IF(F559&lt;'PlayerGrades+'!$AB$13,"D+",IF(F559&lt;'PlayerGrades+'!$AB$12,"C-",IF(F559&lt;'PlayerGrades+'!$AB$11,"C",IF(F559&lt;'PlayerGrades+'!$AB$10,"C+",IF(F559&lt;'PlayerGrades+'!$AB$9,"B-",IF(F559&lt;'PlayerGrades+'!$AB$8,"B",IF(F559&lt;'PlayerGrades+'!$AB$7,"B+",IF(F559&lt;'PlayerGrades+'!$AB$6,"A-",IF(F559&lt;'PlayerGrades+'!$AB$5,"A",IF(F559&lt;'PlayerGrades+'!$AB$4,"A+",IF(F559&lt;'PlayerGrades+'!$AB$3,"S-",IF(F559&lt;'PlayerGrades+'!$AB$2,"S","S+"))))))))))))))))))))</f>
        <v>#DIV/0!</v>
      </c>
      <c r="H559" s="1423" t="str">
        <f t="shared" si="14"/>
        <v>#DIV/0!</v>
      </c>
      <c r="I559" s="1423" t="str">
        <f>IF(H559&lt;'PlayerGrades+'!$AC$21,"F-",IF(H559&lt;'PlayerGrades+'!$AC$20,"F",IF(H559&lt;'PlayerGrades+'!$AC$19,"F+",IF(H559&lt;'PlayerGrades+'!$AC$18,"E-",IF(H559&lt;'PlayerGrades+'!$AC$17,"E",IF(H559&lt;'PlayerGrades+'!$AC$16,"E+",IF(H559&lt;'PlayerGrades+'!$AC$15,"D-",IF(H559&lt;'PlayerGrades+'!$AC$14,"D",IF(H559&lt;'PlayerGrades+'!$AC$13,"D+",IF(H559&lt;'PlayerGrades+'!$AC$12,"C-",IF(H559&lt;'PlayerGrades+'!$AC$11,"C",IF(H559&lt;'PlayerGrades+'!$AC$10,"C+",IF(H559&lt;'PlayerGrades+'!$AC$9,"B-",IF(H559&lt;'PlayerGrades+'!$AC$8,"B",IF(H559&lt;'PlayerGrades+'!$AC$7,"B+",IF(H559&lt;'PlayerGrades+'!$AC$6,"A-",IF(H559&lt;'PlayerGrades+'!$AC$5,"A",IF(H559&lt;'PlayerGrades+'!$AC$4,"A+",IF(H559&lt;'PlayerGrades+'!$AC$3,"S-",IF(H559&lt;'PlayerGrades+'!$AC$2,"S","S+"))))))))))))))))))))</f>
        <v>#DIV/0!</v>
      </c>
      <c r="J559" s="1423" t="str">
        <f t="shared" si="15"/>
        <v>#DIV/0!</v>
      </c>
      <c r="K559" s="1423" t="str">
        <f>IF(J559&lt;'PlayerGrades+'!$AD$21,"F-",IF(J559&lt;'PlayerGrades+'!$AD$20,"F",IF(J559&lt;'PlayerGrades+'!$AD$19,"F+",IF(J559&lt;'PlayerGrades+'!$AD$18,"E-",IF(J559&lt;'PlayerGrades+'!$AD$17,"E",IF(J559&lt;'PlayerGrades+'!$AD$16,"E+",IF(J559&lt;'PlayerGrades+'!$AD$15,"D-",IF(J559&lt;'PlayerGrades+'!$AD$14,"D",IF(J559&lt;'PlayerGrades+'!$AD$13,"D+",IF(J559&lt;'PlayerGrades+'!$AD$12,"C-",IF(J559&lt;'PlayerGrades+'!$AD$11,"C",IF(J559&lt;'PlayerGrades+'!$AD$10,"C+",IF(J559&lt;'PlayerGrades+'!$AD$9,"B-",IF(J559&lt;'PlayerGrades+'!$AD$8,"B",IF(J559&lt;'PlayerGrades+'!$AD$7,"B+",IF(J559&lt;'PlayerGrades+'!$AD$6,"A-",IF(J559&lt;'PlayerGrades+'!$AD$5,"A",IF(J559&lt;'PlayerGrades+'!$AD$4,"A+",IF(J559&lt;'PlayerGrades+'!$AD$3,"S-",IF(J559&lt;'PlayerGrades+'!$AD$2,"S","S+"))))))))))))))))))))</f>
        <v>#DIV/0!</v>
      </c>
      <c r="L559" s="1176" t="str">
        <f t="shared" si="16"/>
        <v>#DIV/0!</v>
      </c>
      <c r="M559" s="992" t="str">
        <f>IF(L559&lt;'PlayerGrades+'!$AE$21,"F-",IF(L559&lt;'PlayerGrades+'!$AE$20,"F",IF(L559&lt;'PlayerGrades+'!$AE$19,"F+",IF(L559&lt;'PlayerGrades+'!$AE$18,"E-",IF(L559&lt;'PlayerGrades+'!$AE$17,"E",IF(L559&lt;'PlayerGrades+'!$AE$16,"E+",IF(L559&lt;'PlayerGrades+'!$AE$15,"D-",IF(L559&lt;'PlayerGrades+'!$AE$14,"D",IF(L559&lt;'PlayerGrades+'!$AE$13,"D+",IF(L559&lt;'PlayerGrades+'!$AE$12,"C-",IF(L559&lt;'PlayerGrades+'!$AE$11,"C",IF(L559&lt;'PlayerGrades+'!$AE$10,"C+",IF(L559&lt;'PlayerGrades+'!$AE$9,"B-",IF(L559&lt;'PlayerGrades+'!$AE$8,"B",IF(L559&lt;'PlayerGrades+'!$AE$7,"B+",IF(L559&lt;'PlayerGrades+'!$AE$6,"A-",IF(L559&lt;'PlayerGrades+'!$AE$5,"A",IF(L559&lt;'PlayerGrades+'!$AE$4,"A+",IF(L559&lt;'PlayerGrades+'!$AE$3,"S-",IF(L559&lt;'PlayerGrades+'!$AE$2,"S","S+"))))))))))))))))))))</f>
        <v>#DIV/0!</v>
      </c>
      <c r="N559" s="1423" t="str">
        <f t="shared" si="17"/>
        <v>#DIV/0!</v>
      </c>
      <c r="O559" s="1423" t="str">
        <f>IF(N559&lt;'PlayerGrades+'!$AF$21,"F-",IF(N559&lt;'PlayerGrades+'!$AF$20,"F",IF(N559&lt;'PlayerGrades+'!$AF$19,"F+",IF(N559&lt;'PlayerGrades+'!$AF$18,"E-",IF(N559&lt;'PlayerGrades+'!$AF$17,"E",IF(N559&lt;'PlayerGrades+'!$AF$16,"E+",IF(N559&lt;'PlayerGrades+'!$AF$15,"D-",IF(N559&lt;'PlayerGrades+'!$AF$14,"D",IF(N559&lt;'PlayerGrades+'!$AF$13,"D+",IF(N559&lt;'PlayerGrades+'!$AF$12,"C-",IF(N559&lt;'PlayerGrades+'!$AF$11,"C",IF(N559&lt;'PlayerGrades+'!$AF$10,"C+",IF(N559&lt;'PlayerGrades+'!$AF$9,"B-",IF(N559&lt;'PlayerGrades+'!$AF$8,"B",IF(N559&lt;'PlayerGrades+'!$AF$7,"B+",IF(N559&lt;'PlayerGrades+'!$AF$6,"A-",IF(N559&lt;'PlayerGrades+'!$AF$5,"A",IF(N559&lt;'PlayerGrades+'!$AF$4,"A+",IF(N559&lt;'PlayerGrades+'!$AF$3,"S-",IF(N559&lt;'PlayerGrades+'!$AF$2,"S","S+"))))))))))))))))))))</f>
        <v>#DIV/0!</v>
      </c>
      <c r="P559" s="1423" t="str">
        <f t="shared" si="18"/>
        <v>#DIV/0!</v>
      </c>
      <c r="Q559" s="1423" t="str">
        <f>IF(P559&lt;'PlayerGrades+'!$AG$21,"F-",IF(P559&lt;'PlayerGrades+'!$AG$20,"F",IF(P559&lt;'PlayerGrades+'!$AG$19,"F+",IF(P559&lt;'PlayerGrades+'!$AG$18,"E-",IF(P559&lt;'PlayerGrades+'!$AG$17,"E",IF(P559&lt;'PlayerGrades+'!$AG$16,"E+",IF(P559&lt;'PlayerGrades+'!$AG$15,"D-",IF(P559&lt;'PlayerGrades+'!$AG$14,"D",IF(P559&lt;'PlayerGrades+'!$AG$13,"D+",IF(P559&lt;'PlayerGrades+'!$AG$12,"C-",IF(P559&lt;'PlayerGrades+'!$AG$11,"C",IF(P559&lt;'PlayerGrades+'!$AG$10,"C+",IF(P559&lt;'PlayerGrades+'!$AG$9,"B-",IF(P559&lt;'PlayerGrades+'!$AG$8,"B",IF(P559&lt;'PlayerGrades+'!$AG$7,"B+",IF(P559&lt;'PlayerGrades+'!$AG$6,"A-",IF(P559&lt;'PlayerGrades+'!$AG$5,"A",IF(P559&lt;'PlayerGrades+'!$AG$4,"A+",IF(P559&lt;'PlayerGrades+'!$AG$3,"S-",IF(P559&lt;'PlayerGrades+'!$AG$2,"S","S+"))))))))))))))))))))</f>
        <v>#DIV/0!</v>
      </c>
      <c r="R559" s="1423" t="str">
        <f t="shared" si="19"/>
        <v>#REF!</v>
      </c>
      <c r="S559" s="1423" t="str">
        <f>IF(R559&lt;'PlayerGrades+'!$AH$21,"F-",IF(R559&lt;'PlayerGrades+'!$AH$20,"F",IF(R559&lt;'PlayerGrades+'!$AH$19,"F+",IF(R559&lt;'PlayerGrades+'!$AH$18,"E-",IF(R559&lt;'PlayerGrades+'!$AH$17,"E",IF(R559&lt;'PlayerGrades+'!$AH$16,"E+",IF(R559&lt;'PlayerGrades+'!$AH$15,"D-",IF(R559&lt;'PlayerGrades+'!$AH$14,"D",IF(R559&lt;'PlayerGrades+'!$AH$13,"D+",IF(R559&lt;'PlayerGrades+'!$AH$12,"C-",IF(R559&lt;'PlayerGrades+'!$AH$11,"C",IF(R559&lt;'PlayerGrades+'!$AH$10,"C+",IF(R559&lt;'PlayerGrades+'!$AH$9,"B-",IF(R559&lt;'PlayerGrades+'!$AH$8,"B",IF(R559&lt;'PlayerGrades+'!$AH$7,"B+",IF(R559&lt;'PlayerGrades+'!$AH$6,"A-",IF(R559&lt;'PlayerGrades+'!$AH$5,"A",IF(R559&lt;'PlayerGrades+'!$AH$4,"A+",IF(R559&lt;'PlayerGrades+'!$AH$3,"S-",IF(R559&lt;'PlayerGrades+'!$AH$2,"S","S+"))))))))))))))))))))</f>
        <v>#REF!</v>
      </c>
      <c r="T559" s="1423" t="str">
        <f t="shared" si="20"/>
        <v>#REF!</v>
      </c>
      <c r="U559" s="1423" t="str">
        <f>IF(T559&lt;'PlayerGrades+'!$AI$21,"F-",IF(T559&lt;'PlayerGrades+'!$AI$20,"F",IF(T559&lt;'PlayerGrades+'!$AI$19,"F+",IF(T559&lt;'PlayerGrades+'!$AI$18,"E-",IF(T559&lt;'PlayerGrades+'!$AI$17,"E",IF(T559&lt;'PlayerGrades+'!$AI$16,"E+",IF(T559&lt;'PlayerGrades+'!$AI$15,"D-",IF(T559&lt;'PlayerGrades+'!$AI$14,"D",IF(T559&lt;'PlayerGrades+'!$AI$13,"D+",IF(T559&lt;'PlayerGrades+'!$AI$12,"C-",IF(T559&lt;'PlayerGrades+'!$AI$11,"C",IF(T559&lt;'PlayerGrades+'!$AI$10,"C+",IF(T559&lt;'PlayerGrades+'!$AI$9,"B-",IF(T559&lt;'PlayerGrades+'!$AI$8,"B",IF(T559&lt;'PlayerGrades+'!$AI$7,"B+",IF(T559&lt;'PlayerGrades+'!$AI$6,"A-",IF(T559&lt;'PlayerGrades+'!$AI$5,"A",IF(T559&lt;'PlayerGrades+'!$AI$4,"A+",IF(T559&lt;'PlayerGrades+'!$AI$3,"S-",IF(T559&lt;'PlayerGrades+'!$AI$2,"S","S+"))))))))))))))))))))</f>
        <v>#REF!</v>
      </c>
      <c r="AC559" s="1392"/>
    </row>
    <row r="560">
      <c r="A560" s="1391"/>
      <c r="B560" s="1421" t="str">
        <f>IF(C560&lt;'PlayerGrades+'!$Y$44,"F-",IF(C560&lt;'PlayerGrades+'!$Y$43,"F",IF(C560&lt;'PlayerGrades+'!$Y$42,"F+",IF(C560&lt;'PlayerGrades+'!$Y$41,"E-",IF(C560&lt;'PlayerGrades+'!$Y$40,"E",IF(C560&lt;'PlayerGrades+'!$Y$39,"E+",IF(C560&lt;'PlayerGrades+'!$Y$38,"D-",IF(C560&lt;'PlayerGrades+'!$Y$37,"D",IF(C560&lt;'PlayerGrades+'!$Y$36,"D+",IF(C560&lt;'PlayerGrades+'!$Y$35,"C-",IF(C560&lt;'PlayerGrades+'!$Y$34,"C",IF(C560&lt;'PlayerGrades+'!$Y$33,"C+",IF(C560&lt;'PlayerGrades+'!$Y$32,"B-",IF(C560&lt;'PlayerGrades+'!$Y$31,"B",IF(C560&lt;'PlayerGrades+'!$Y$30,"B+",IF(C560&lt;'PlayerGrades+'!$Y$29,"A-",IF(C560&lt;'PlayerGrades+'!$Y$28,"A",IF(C560&lt;'PlayerGrades+'!$Y$27,"A+",IF(C560&lt;'PlayerGrades+'!$Y$26,"S-",IF(C560&lt;'PlayerGrades+'!$Y$25,"S","S+"))))))))))))))))))))</f>
        <v>#DIV/0!</v>
      </c>
      <c r="C560" s="1422" t="str">
        <f>('PlayerGrades+'!$Y$47*(VLOOKUP(E560, 'PlayerGrades+'!$X$3:$Y$23, 2, FALSE)))+('PlayerGrades+'!$Y$48*(VLOOKUP(G560, 'PlayerGrades+'!$X$3:$Y$23, 2, FALSE)))+('PlayerGrades+'!$Y$49*(VLOOKUP(I560, 'PlayerGrades+'!$X$3:$Y$23, 2, FALSE)))+('PlayerGrades+'!$Y$50*(VLOOKUP(K560, 'PlayerGrades+'!$X$3:$Y$23, 2, FALSE)))+('PlayerGrades+'!$Y$51*(VLOOKUP(M560, 'PlayerGrades+'!$X$3:$Y$23, 2, FALSE)))+('PlayerGrades+'!$Y$52*(VLOOKUP(O560, 'PlayerGrades+'!$X$3:$Y$23, 2, FALSE)))+('PlayerGrades+'!$Y$53*(VLOOKUP(Q560, 'PlayerGrades+'!$X$3:$Y$23, 2, FALSE)))+('PlayerGrades+'!$Y$54*(VLOOKUP(S560, 'PlayerGrades+'!$X$3:$Y$23, 2, FALSE)))+('PlayerGrades+'!$Y$55*(VLOOKUP(U560, 'PlayerGrades+'!$X$3:$Y$23, 2, FALSE)))</f>
        <v>#DIV/0!</v>
      </c>
      <c r="D560" s="1423" t="str">
        <f t="shared" si="12"/>
        <v>#DIV/0!</v>
      </c>
      <c r="E560" s="1423" t="str">
        <f>IF(D560&lt;'PlayerGrades+'!$AA$21,"F-",IF(D560&lt;'PlayerGrades+'!$AA$20,"F",IF(D560&lt;'PlayerGrades+'!$AA$19,"F+",IF(D560&lt;'PlayerGrades+'!$AA$18,"E-",IF(D560&lt;'PlayerGrades+'!$AA$17,"E",IF(D560&lt;'PlayerGrades+'!$AA$16,"E+",IF(D560&lt;'PlayerGrades+'!$AA$15,"D-",IF(D560&lt;'PlayerGrades+'!$AA$14,"D",IF(D560&lt;'PlayerGrades+'!$AA$13,"D+",IF(D560&lt;'PlayerGrades+'!$AA$12,"C-",IF(D560&lt;'PlayerGrades+'!$AA$11,"C",IF(D560&lt;'PlayerGrades+'!$AA$10,"C+",IF(D560&lt;'PlayerGrades+'!$AA$9,"B-",IF(D560&lt;'PlayerGrades+'!$AA$8,"B",IF(D560&lt;'PlayerGrades+'!$AA$7,"B+",IF(D560&lt;'PlayerGrades+'!$AA$6,"A-",IF(D560&lt;'PlayerGrades+'!$AA$5,"A",IF(D560&lt;'PlayerGrades+'!$AA$4,"A+",IF(D560&lt;'PlayerGrades+'!$AA$3,"S-",IF(D560&lt;'PlayerGrades+'!$AA$2,"S","S+"))))))))))))))))))))</f>
        <v>#DIV/0!</v>
      </c>
      <c r="F560" s="1423" t="str">
        <f t="shared" si="13"/>
        <v>#DIV/0!</v>
      </c>
      <c r="G560" s="1423" t="str">
        <f>IF(F560&lt;'PlayerGrades+'!$AB$21,"F-",IF(F560&lt;'PlayerGrades+'!$AB$20,"F",IF(F560&lt;'PlayerGrades+'!$AB$19,"F+",IF(F560&lt;'PlayerGrades+'!$AB$18,"E-",IF(F560&lt;'PlayerGrades+'!$AB$17,"E",IF(F560&lt;'PlayerGrades+'!$AB$16,"E+",IF(F560&lt;'PlayerGrades+'!$AB$15,"D-",IF(F560&lt;'PlayerGrades+'!$AB$14,"D",IF(F560&lt;'PlayerGrades+'!$AB$13,"D+",IF(F560&lt;'PlayerGrades+'!$AB$12,"C-",IF(F560&lt;'PlayerGrades+'!$AB$11,"C",IF(F560&lt;'PlayerGrades+'!$AB$10,"C+",IF(F560&lt;'PlayerGrades+'!$AB$9,"B-",IF(F560&lt;'PlayerGrades+'!$AB$8,"B",IF(F560&lt;'PlayerGrades+'!$AB$7,"B+",IF(F560&lt;'PlayerGrades+'!$AB$6,"A-",IF(F560&lt;'PlayerGrades+'!$AB$5,"A",IF(F560&lt;'PlayerGrades+'!$AB$4,"A+",IF(F560&lt;'PlayerGrades+'!$AB$3,"S-",IF(F560&lt;'PlayerGrades+'!$AB$2,"S","S+"))))))))))))))))))))</f>
        <v>#DIV/0!</v>
      </c>
      <c r="H560" s="1423" t="str">
        <f t="shared" si="14"/>
        <v>#DIV/0!</v>
      </c>
      <c r="I560" s="1423" t="str">
        <f>IF(H560&lt;'PlayerGrades+'!$AC$21,"F-",IF(H560&lt;'PlayerGrades+'!$AC$20,"F",IF(H560&lt;'PlayerGrades+'!$AC$19,"F+",IF(H560&lt;'PlayerGrades+'!$AC$18,"E-",IF(H560&lt;'PlayerGrades+'!$AC$17,"E",IF(H560&lt;'PlayerGrades+'!$AC$16,"E+",IF(H560&lt;'PlayerGrades+'!$AC$15,"D-",IF(H560&lt;'PlayerGrades+'!$AC$14,"D",IF(H560&lt;'PlayerGrades+'!$AC$13,"D+",IF(H560&lt;'PlayerGrades+'!$AC$12,"C-",IF(H560&lt;'PlayerGrades+'!$AC$11,"C",IF(H560&lt;'PlayerGrades+'!$AC$10,"C+",IF(H560&lt;'PlayerGrades+'!$AC$9,"B-",IF(H560&lt;'PlayerGrades+'!$AC$8,"B",IF(H560&lt;'PlayerGrades+'!$AC$7,"B+",IF(H560&lt;'PlayerGrades+'!$AC$6,"A-",IF(H560&lt;'PlayerGrades+'!$AC$5,"A",IF(H560&lt;'PlayerGrades+'!$AC$4,"A+",IF(H560&lt;'PlayerGrades+'!$AC$3,"S-",IF(H560&lt;'PlayerGrades+'!$AC$2,"S","S+"))))))))))))))))))))</f>
        <v>#DIV/0!</v>
      </c>
      <c r="J560" s="1423" t="str">
        <f t="shared" si="15"/>
        <v>#DIV/0!</v>
      </c>
      <c r="K560" s="1423" t="str">
        <f>IF(J560&lt;'PlayerGrades+'!$AD$21,"F-",IF(J560&lt;'PlayerGrades+'!$AD$20,"F",IF(J560&lt;'PlayerGrades+'!$AD$19,"F+",IF(J560&lt;'PlayerGrades+'!$AD$18,"E-",IF(J560&lt;'PlayerGrades+'!$AD$17,"E",IF(J560&lt;'PlayerGrades+'!$AD$16,"E+",IF(J560&lt;'PlayerGrades+'!$AD$15,"D-",IF(J560&lt;'PlayerGrades+'!$AD$14,"D",IF(J560&lt;'PlayerGrades+'!$AD$13,"D+",IF(J560&lt;'PlayerGrades+'!$AD$12,"C-",IF(J560&lt;'PlayerGrades+'!$AD$11,"C",IF(J560&lt;'PlayerGrades+'!$AD$10,"C+",IF(J560&lt;'PlayerGrades+'!$AD$9,"B-",IF(J560&lt;'PlayerGrades+'!$AD$8,"B",IF(J560&lt;'PlayerGrades+'!$AD$7,"B+",IF(J560&lt;'PlayerGrades+'!$AD$6,"A-",IF(J560&lt;'PlayerGrades+'!$AD$5,"A",IF(J560&lt;'PlayerGrades+'!$AD$4,"A+",IF(J560&lt;'PlayerGrades+'!$AD$3,"S-",IF(J560&lt;'PlayerGrades+'!$AD$2,"S","S+"))))))))))))))))))))</f>
        <v>#DIV/0!</v>
      </c>
      <c r="L560" s="1176" t="str">
        <f t="shared" si="16"/>
        <v>#DIV/0!</v>
      </c>
      <c r="M560" s="992" t="str">
        <f>IF(L560&lt;'PlayerGrades+'!$AE$21,"F-",IF(L560&lt;'PlayerGrades+'!$AE$20,"F",IF(L560&lt;'PlayerGrades+'!$AE$19,"F+",IF(L560&lt;'PlayerGrades+'!$AE$18,"E-",IF(L560&lt;'PlayerGrades+'!$AE$17,"E",IF(L560&lt;'PlayerGrades+'!$AE$16,"E+",IF(L560&lt;'PlayerGrades+'!$AE$15,"D-",IF(L560&lt;'PlayerGrades+'!$AE$14,"D",IF(L560&lt;'PlayerGrades+'!$AE$13,"D+",IF(L560&lt;'PlayerGrades+'!$AE$12,"C-",IF(L560&lt;'PlayerGrades+'!$AE$11,"C",IF(L560&lt;'PlayerGrades+'!$AE$10,"C+",IF(L560&lt;'PlayerGrades+'!$AE$9,"B-",IF(L560&lt;'PlayerGrades+'!$AE$8,"B",IF(L560&lt;'PlayerGrades+'!$AE$7,"B+",IF(L560&lt;'PlayerGrades+'!$AE$6,"A-",IF(L560&lt;'PlayerGrades+'!$AE$5,"A",IF(L560&lt;'PlayerGrades+'!$AE$4,"A+",IF(L560&lt;'PlayerGrades+'!$AE$3,"S-",IF(L560&lt;'PlayerGrades+'!$AE$2,"S","S+"))))))))))))))))))))</f>
        <v>#DIV/0!</v>
      </c>
      <c r="N560" s="1423" t="str">
        <f t="shared" si="17"/>
        <v>#DIV/0!</v>
      </c>
      <c r="O560" s="1423" t="str">
        <f>IF(N560&lt;'PlayerGrades+'!$AF$21,"F-",IF(N560&lt;'PlayerGrades+'!$AF$20,"F",IF(N560&lt;'PlayerGrades+'!$AF$19,"F+",IF(N560&lt;'PlayerGrades+'!$AF$18,"E-",IF(N560&lt;'PlayerGrades+'!$AF$17,"E",IF(N560&lt;'PlayerGrades+'!$AF$16,"E+",IF(N560&lt;'PlayerGrades+'!$AF$15,"D-",IF(N560&lt;'PlayerGrades+'!$AF$14,"D",IF(N560&lt;'PlayerGrades+'!$AF$13,"D+",IF(N560&lt;'PlayerGrades+'!$AF$12,"C-",IF(N560&lt;'PlayerGrades+'!$AF$11,"C",IF(N560&lt;'PlayerGrades+'!$AF$10,"C+",IF(N560&lt;'PlayerGrades+'!$AF$9,"B-",IF(N560&lt;'PlayerGrades+'!$AF$8,"B",IF(N560&lt;'PlayerGrades+'!$AF$7,"B+",IF(N560&lt;'PlayerGrades+'!$AF$6,"A-",IF(N560&lt;'PlayerGrades+'!$AF$5,"A",IF(N560&lt;'PlayerGrades+'!$AF$4,"A+",IF(N560&lt;'PlayerGrades+'!$AF$3,"S-",IF(N560&lt;'PlayerGrades+'!$AF$2,"S","S+"))))))))))))))))))))</f>
        <v>#DIV/0!</v>
      </c>
      <c r="P560" s="1423" t="str">
        <f t="shared" si="18"/>
        <v>#DIV/0!</v>
      </c>
      <c r="Q560" s="1423" t="str">
        <f>IF(P560&lt;'PlayerGrades+'!$AG$21,"F-",IF(P560&lt;'PlayerGrades+'!$AG$20,"F",IF(P560&lt;'PlayerGrades+'!$AG$19,"F+",IF(P560&lt;'PlayerGrades+'!$AG$18,"E-",IF(P560&lt;'PlayerGrades+'!$AG$17,"E",IF(P560&lt;'PlayerGrades+'!$AG$16,"E+",IF(P560&lt;'PlayerGrades+'!$AG$15,"D-",IF(P560&lt;'PlayerGrades+'!$AG$14,"D",IF(P560&lt;'PlayerGrades+'!$AG$13,"D+",IF(P560&lt;'PlayerGrades+'!$AG$12,"C-",IF(P560&lt;'PlayerGrades+'!$AG$11,"C",IF(P560&lt;'PlayerGrades+'!$AG$10,"C+",IF(P560&lt;'PlayerGrades+'!$AG$9,"B-",IF(P560&lt;'PlayerGrades+'!$AG$8,"B",IF(P560&lt;'PlayerGrades+'!$AG$7,"B+",IF(P560&lt;'PlayerGrades+'!$AG$6,"A-",IF(P560&lt;'PlayerGrades+'!$AG$5,"A",IF(P560&lt;'PlayerGrades+'!$AG$4,"A+",IF(P560&lt;'PlayerGrades+'!$AG$3,"S-",IF(P560&lt;'PlayerGrades+'!$AG$2,"S","S+"))))))))))))))))))))</f>
        <v>#DIV/0!</v>
      </c>
      <c r="R560" s="1423" t="str">
        <f t="shared" si="19"/>
        <v>#REF!</v>
      </c>
      <c r="S560" s="1423" t="str">
        <f>IF(R560&lt;'PlayerGrades+'!$AH$21,"F-",IF(R560&lt;'PlayerGrades+'!$AH$20,"F",IF(R560&lt;'PlayerGrades+'!$AH$19,"F+",IF(R560&lt;'PlayerGrades+'!$AH$18,"E-",IF(R560&lt;'PlayerGrades+'!$AH$17,"E",IF(R560&lt;'PlayerGrades+'!$AH$16,"E+",IF(R560&lt;'PlayerGrades+'!$AH$15,"D-",IF(R560&lt;'PlayerGrades+'!$AH$14,"D",IF(R560&lt;'PlayerGrades+'!$AH$13,"D+",IF(R560&lt;'PlayerGrades+'!$AH$12,"C-",IF(R560&lt;'PlayerGrades+'!$AH$11,"C",IF(R560&lt;'PlayerGrades+'!$AH$10,"C+",IF(R560&lt;'PlayerGrades+'!$AH$9,"B-",IF(R560&lt;'PlayerGrades+'!$AH$8,"B",IF(R560&lt;'PlayerGrades+'!$AH$7,"B+",IF(R560&lt;'PlayerGrades+'!$AH$6,"A-",IF(R560&lt;'PlayerGrades+'!$AH$5,"A",IF(R560&lt;'PlayerGrades+'!$AH$4,"A+",IF(R560&lt;'PlayerGrades+'!$AH$3,"S-",IF(R560&lt;'PlayerGrades+'!$AH$2,"S","S+"))))))))))))))))))))</f>
        <v>#REF!</v>
      </c>
      <c r="T560" s="1423" t="str">
        <f t="shared" si="20"/>
        <v>#REF!</v>
      </c>
      <c r="U560" s="1423" t="str">
        <f>IF(T560&lt;'PlayerGrades+'!$AI$21,"F-",IF(T560&lt;'PlayerGrades+'!$AI$20,"F",IF(T560&lt;'PlayerGrades+'!$AI$19,"F+",IF(T560&lt;'PlayerGrades+'!$AI$18,"E-",IF(T560&lt;'PlayerGrades+'!$AI$17,"E",IF(T560&lt;'PlayerGrades+'!$AI$16,"E+",IF(T560&lt;'PlayerGrades+'!$AI$15,"D-",IF(T560&lt;'PlayerGrades+'!$AI$14,"D",IF(T560&lt;'PlayerGrades+'!$AI$13,"D+",IF(T560&lt;'PlayerGrades+'!$AI$12,"C-",IF(T560&lt;'PlayerGrades+'!$AI$11,"C",IF(T560&lt;'PlayerGrades+'!$AI$10,"C+",IF(T560&lt;'PlayerGrades+'!$AI$9,"B-",IF(T560&lt;'PlayerGrades+'!$AI$8,"B",IF(T560&lt;'PlayerGrades+'!$AI$7,"B+",IF(T560&lt;'PlayerGrades+'!$AI$6,"A-",IF(T560&lt;'PlayerGrades+'!$AI$5,"A",IF(T560&lt;'PlayerGrades+'!$AI$4,"A+",IF(T560&lt;'PlayerGrades+'!$AI$3,"S-",IF(T560&lt;'PlayerGrades+'!$AI$2,"S","S+"))))))))))))))))))))</f>
        <v>#REF!</v>
      </c>
      <c r="AC560" s="1392"/>
    </row>
    <row r="561">
      <c r="A561" s="1393"/>
      <c r="B561" s="1421" t="str">
        <f>IF(C561&lt;'PlayerGrades+'!$Y$44,"F-",IF(C561&lt;'PlayerGrades+'!$Y$43,"F",IF(C561&lt;'PlayerGrades+'!$Y$42,"F+",IF(C561&lt;'PlayerGrades+'!$Y$41,"E-",IF(C561&lt;'PlayerGrades+'!$Y$40,"E",IF(C561&lt;'PlayerGrades+'!$Y$39,"E+",IF(C561&lt;'PlayerGrades+'!$Y$38,"D-",IF(C561&lt;'PlayerGrades+'!$Y$37,"D",IF(C561&lt;'PlayerGrades+'!$Y$36,"D+",IF(C561&lt;'PlayerGrades+'!$Y$35,"C-",IF(C561&lt;'PlayerGrades+'!$Y$34,"C",IF(C561&lt;'PlayerGrades+'!$Y$33,"C+",IF(C561&lt;'PlayerGrades+'!$Y$32,"B-",IF(C561&lt;'PlayerGrades+'!$Y$31,"B",IF(C561&lt;'PlayerGrades+'!$Y$30,"B+",IF(C561&lt;'PlayerGrades+'!$Y$29,"A-",IF(C561&lt;'PlayerGrades+'!$Y$28,"A",IF(C561&lt;'PlayerGrades+'!$Y$27,"A+",IF(C561&lt;'PlayerGrades+'!$Y$26,"S-",IF(C561&lt;'PlayerGrades+'!$Y$25,"S","S+"))))))))))))))))))))</f>
        <v>#DIV/0!</v>
      </c>
      <c r="C561" s="1422" t="str">
        <f>('PlayerGrades+'!$Y$47*(VLOOKUP(E561, 'PlayerGrades+'!$X$3:$Y$23, 2, FALSE)))+('PlayerGrades+'!$Y$48*(VLOOKUP(G561, 'PlayerGrades+'!$X$3:$Y$23, 2, FALSE)))+('PlayerGrades+'!$Y$49*(VLOOKUP(I561, 'PlayerGrades+'!$X$3:$Y$23, 2, FALSE)))+('PlayerGrades+'!$Y$50*(VLOOKUP(K561, 'PlayerGrades+'!$X$3:$Y$23, 2, FALSE)))+('PlayerGrades+'!$Y$51*(VLOOKUP(M561, 'PlayerGrades+'!$X$3:$Y$23, 2, FALSE)))+('PlayerGrades+'!$Y$52*(VLOOKUP(O561, 'PlayerGrades+'!$X$3:$Y$23, 2, FALSE)))+('PlayerGrades+'!$Y$53*(VLOOKUP(Q561, 'PlayerGrades+'!$X$3:$Y$23, 2, FALSE)))+('PlayerGrades+'!$Y$54*(VLOOKUP(S561, 'PlayerGrades+'!$X$3:$Y$23, 2, FALSE)))+('PlayerGrades+'!$Y$55*(VLOOKUP(U561, 'PlayerGrades+'!$X$3:$Y$23, 2, FALSE)))</f>
        <v>#DIV/0!</v>
      </c>
      <c r="D561" s="1423" t="str">
        <f t="shared" si="12"/>
        <v>#DIV/0!</v>
      </c>
      <c r="E561" s="1423" t="str">
        <f>IF(D561&lt;'PlayerGrades+'!$AA$21,"F-",IF(D561&lt;'PlayerGrades+'!$AA$20,"F",IF(D561&lt;'PlayerGrades+'!$AA$19,"F+",IF(D561&lt;'PlayerGrades+'!$AA$18,"E-",IF(D561&lt;'PlayerGrades+'!$AA$17,"E",IF(D561&lt;'PlayerGrades+'!$AA$16,"E+",IF(D561&lt;'PlayerGrades+'!$AA$15,"D-",IF(D561&lt;'PlayerGrades+'!$AA$14,"D",IF(D561&lt;'PlayerGrades+'!$AA$13,"D+",IF(D561&lt;'PlayerGrades+'!$AA$12,"C-",IF(D561&lt;'PlayerGrades+'!$AA$11,"C",IF(D561&lt;'PlayerGrades+'!$AA$10,"C+",IF(D561&lt;'PlayerGrades+'!$AA$9,"B-",IF(D561&lt;'PlayerGrades+'!$AA$8,"B",IF(D561&lt;'PlayerGrades+'!$AA$7,"B+",IF(D561&lt;'PlayerGrades+'!$AA$6,"A-",IF(D561&lt;'PlayerGrades+'!$AA$5,"A",IF(D561&lt;'PlayerGrades+'!$AA$4,"A+",IF(D561&lt;'PlayerGrades+'!$AA$3,"S-",IF(D561&lt;'PlayerGrades+'!$AA$2,"S","S+"))))))))))))))))))))</f>
        <v>#DIV/0!</v>
      </c>
      <c r="F561" s="1423" t="str">
        <f t="shared" si="13"/>
        <v>#DIV/0!</v>
      </c>
      <c r="G561" s="1423" t="str">
        <f>IF(F561&lt;'PlayerGrades+'!$AB$21,"F-",IF(F561&lt;'PlayerGrades+'!$AB$20,"F",IF(F561&lt;'PlayerGrades+'!$AB$19,"F+",IF(F561&lt;'PlayerGrades+'!$AB$18,"E-",IF(F561&lt;'PlayerGrades+'!$AB$17,"E",IF(F561&lt;'PlayerGrades+'!$AB$16,"E+",IF(F561&lt;'PlayerGrades+'!$AB$15,"D-",IF(F561&lt;'PlayerGrades+'!$AB$14,"D",IF(F561&lt;'PlayerGrades+'!$AB$13,"D+",IF(F561&lt;'PlayerGrades+'!$AB$12,"C-",IF(F561&lt;'PlayerGrades+'!$AB$11,"C",IF(F561&lt;'PlayerGrades+'!$AB$10,"C+",IF(F561&lt;'PlayerGrades+'!$AB$9,"B-",IF(F561&lt;'PlayerGrades+'!$AB$8,"B",IF(F561&lt;'PlayerGrades+'!$AB$7,"B+",IF(F561&lt;'PlayerGrades+'!$AB$6,"A-",IF(F561&lt;'PlayerGrades+'!$AB$5,"A",IF(F561&lt;'PlayerGrades+'!$AB$4,"A+",IF(F561&lt;'PlayerGrades+'!$AB$3,"S-",IF(F561&lt;'PlayerGrades+'!$AB$2,"S","S+"))))))))))))))))))))</f>
        <v>#DIV/0!</v>
      </c>
      <c r="H561" s="1423" t="str">
        <f t="shared" si="14"/>
        <v>#DIV/0!</v>
      </c>
      <c r="I561" s="1423" t="str">
        <f>IF(H561&lt;'PlayerGrades+'!$AC$21,"F-",IF(H561&lt;'PlayerGrades+'!$AC$20,"F",IF(H561&lt;'PlayerGrades+'!$AC$19,"F+",IF(H561&lt;'PlayerGrades+'!$AC$18,"E-",IF(H561&lt;'PlayerGrades+'!$AC$17,"E",IF(H561&lt;'PlayerGrades+'!$AC$16,"E+",IF(H561&lt;'PlayerGrades+'!$AC$15,"D-",IF(H561&lt;'PlayerGrades+'!$AC$14,"D",IF(H561&lt;'PlayerGrades+'!$AC$13,"D+",IF(H561&lt;'PlayerGrades+'!$AC$12,"C-",IF(H561&lt;'PlayerGrades+'!$AC$11,"C",IF(H561&lt;'PlayerGrades+'!$AC$10,"C+",IF(H561&lt;'PlayerGrades+'!$AC$9,"B-",IF(H561&lt;'PlayerGrades+'!$AC$8,"B",IF(H561&lt;'PlayerGrades+'!$AC$7,"B+",IF(H561&lt;'PlayerGrades+'!$AC$6,"A-",IF(H561&lt;'PlayerGrades+'!$AC$5,"A",IF(H561&lt;'PlayerGrades+'!$AC$4,"A+",IF(H561&lt;'PlayerGrades+'!$AC$3,"S-",IF(H561&lt;'PlayerGrades+'!$AC$2,"S","S+"))))))))))))))))))))</f>
        <v>#DIV/0!</v>
      </c>
      <c r="J561" s="1423" t="str">
        <f t="shared" si="15"/>
        <v>#DIV/0!</v>
      </c>
      <c r="K561" s="1423" t="str">
        <f>IF(J561&lt;'PlayerGrades+'!$AD$21,"F-",IF(J561&lt;'PlayerGrades+'!$AD$20,"F",IF(J561&lt;'PlayerGrades+'!$AD$19,"F+",IF(J561&lt;'PlayerGrades+'!$AD$18,"E-",IF(J561&lt;'PlayerGrades+'!$AD$17,"E",IF(J561&lt;'PlayerGrades+'!$AD$16,"E+",IF(J561&lt;'PlayerGrades+'!$AD$15,"D-",IF(J561&lt;'PlayerGrades+'!$AD$14,"D",IF(J561&lt;'PlayerGrades+'!$AD$13,"D+",IF(J561&lt;'PlayerGrades+'!$AD$12,"C-",IF(J561&lt;'PlayerGrades+'!$AD$11,"C",IF(J561&lt;'PlayerGrades+'!$AD$10,"C+",IF(J561&lt;'PlayerGrades+'!$AD$9,"B-",IF(J561&lt;'PlayerGrades+'!$AD$8,"B",IF(J561&lt;'PlayerGrades+'!$AD$7,"B+",IF(J561&lt;'PlayerGrades+'!$AD$6,"A-",IF(J561&lt;'PlayerGrades+'!$AD$5,"A",IF(J561&lt;'PlayerGrades+'!$AD$4,"A+",IF(J561&lt;'PlayerGrades+'!$AD$3,"S-",IF(J561&lt;'PlayerGrades+'!$AD$2,"S","S+"))))))))))))))))))))</f>
        <v>#DIV/0!</v>
      </c>
      <c r="L561" s="1176" t="str">
        <f t="shared" si="16"/>
        <v>#DIV/0!</v>
      </c>
      <c r="M561" s="992" t="str">
        <f>IF(L561&lt;'PlayerGrades+'!$AE$21,"F-",IF(L561&lt;'PlayerGrades+'!$AE$20,"F",IF(L561&lt;'PlayerGrades+'!$AE$19,"F+",IF(L561&lt;'PlayerGrades+'!$AE$18,"E-",IF(L561&lt;'PlayerGrades+'!$AE$17,"E",IF(L561&lt;'PlayerGrades+'!$AE$16,"E+",IF(L561&lt;'PlayerGrades+'!$AE$15,"D-",IF(L561&lt;'PlayerGrades+'!$AE$14,"D",IF(L561&lt;'PlayerGrades+'!$AE$13,"D+",IF(L561&lt;'PlayerGrades+'!$AE$12,"C-",IF(L561&lt;'PlayerGrades+'!$AE$11,"C",IF(L561&lt;'PlayerGrades+'!$AE$10,"C+",IF(L561&lt;'PlayerGrades+'!$AE$9,"B-",IF(L561&lt;'PlayerGrades+'!$AE$8,"B",IF(L561&lt;'PlayerGrades+'!$AE$7,"B+",IF(L561&lt;'PlayerGrades+'!$AE$6,"A-",IF(L561&lt;'PlayerGrades+'!$AE$5,"A",IF(L561&lt;'PlayerGrades+'!$AE$4,"A+",IF(L561&lt;'PlayerGrades+'!$AE$3,"S-",IF(L561&lt;'PlayerGrades+'!$AE$2,"S","S+"))))))))))))))))))))</f>
        <v>#DIV/0!</v>
      </c>
      <c r="N561" s="1423" t="str">
        <f t="shared" si="17"/>
        <v>#DIV/0!</v>
      </c>
      <c r="O561" s="1423" t="str">
        <f>IF(N561&lt;'PlayerGrades+'!$AF$21,"F-",IF(N561&lt;'PlayerGrades+'!$AF$20,"F",IF(N561&lt;'PlayerGrades+'!$AF$19,"F+",IF(N561&lt;'PlayerGrades+'!$AF$18,"E-",IF(N561&lt;'PlayerGrades+'!$AF$17,"E",IF(N561&lt;'PlayerGrades+'!$AF$16,"E+",IF(N561&lt;'PlayerGrades+'!$AF$15,"D-",IF(N561&lt;'PlayerGrades+'!$AF$14,"D",IF(N561&lt;'PlayerGrades+'!$AF$13,"D+",IF(N561&lt;'PlayerGrades+'!$AF$12,"C-",IF(N561&lt;'PlayerGrades+'!$AF$11,"C",IF(N561&lt;'PlayerGrades+'!$AF$10,"C+",IF(N561&lt;'PlayerGrades+'!$AF$9,"B-",IF(N561&lt;'PlayerGrades+'!$AF$8,"B",IF(N561&lt;'PlayerGrades+'!$AF$7,"B+",IF(N561&lt;'PlayerGrades+'!$AF$6,"A-",IF(N561&lt;'PlayerGrades+'!$AF$5,"A",IF(N561&lt;'PlayerGrades+'!$AF$4,"A+",IF(N561&lt;'PlayerGrades+'!$AF$3,"S-",IF(N561&lt;'PlayerGrades+'!$AF$2,"S","S+"))))))))))))))))))))</f>
        <v>#DIV/0!</v>
      </c>
      <c r="P561" s="1423" t="str">
        <f t="shared" si="18"/>
        <v>#DIV/0!</v>
      </c>
      <c r="Q561" s="1423" t="str">
        <f>IF(P561&lt;'PlayerGrades+'!$AG$21,"F-",IF(P561&lt;'PlayerGrades+'!$AG$20,"F",IF(P561&lt;'PlayerGrades+'!$AG$19,"F+",IF(P561&lt;'PlayerGrades+'!$AG$18,"E-",IF(P561&lt;'PlayerGrades+'!$AG$17,"E",IF(P561&lt;'PlayerGrades+'!$AG$16,"E+",IF(P561&lt;'PlayerGrades+'!$AG$15,"D-",IF(P561&lt;'PlayerGrades+'!$AG$14,"D",IF(P561&lt;'PlayerGrades+'!$AG$13,"D+",IF(P561&lt;'PlayerGrades+'!$AG$12,"C-",IF(P561&lt;'PlayerGrades+'!$AG$11,"C",IF(P561&lt;'PlayerGrades+'!$AG$10,"C+",IF(P561&lt;'PlayerGrades+'!$AG$9,"B-",IF(P561&lt;'PlayerGrades+'!$AG$8,"B",IF(P561&lt;'PlayerGrades+'!$AG$7,"B+",IF(P561&lt;'PlayerGrades+'!$AG$6,"A-",IF(P561&lt;'PlayerGrades+'!$AG$5,"A",IF(P561&lt;'PlayerGrades+'!$AG$4,"A+",IF(P561&lt;'PlayerGrades+'!$AG$3,"S-",IF(P561&lt;'PlayerGrades+'!$AG$2,"S","S+"))))))))))))))))))))</f>
        <v>#DIV/0!</v>
      </c>
      <c r="R561" s="1423" t="str">
        <f t="shared" si="19"/>
        <v>#REF!</v>
      </c>
      <c r="S561" s="1423" t="str">
        <f>IF(R561&lt;'PlayerGrades+'!$AH$21,"F-",IF(R561&lt;'PlayerGrades+'!$AH$20,"F",IF(R561&lt;'PlayerGrades+'!$AH$19,"F+",IF(R561&lt;'PlayerGrades+'!$AH$18,"E-",IF(R561&lt;'PlayerGrades+'!$AH$17,"E",IF(R561&lt;'PlayerGrades+'!$AH$16,"E+",IF(R561&lt;'PlayerGrades+'!$AH$15,"D-",IF(R561&lt;'PlayerGrades+'!$AH$14,"D",IF(R561&lt;'PlayerGrades+'!$AH$13,"D+",IF(R561&lt;'PlayerGrades+'!$AH$12,"C-",IF(R561&lt;'PlayerGrades+'!$AH$11,"C",IF(R561&lt;'PlayerGrades+'!$AH$10,"C+",IF(R561&lt;'PlayerGrades+'!$AH$9,"B-",IF(R561&lt;'PlayerGrades+'!$AH$8,"B",IF(R561&lt;'PlayerGrades+'!$AH$7,"B+",IF(R561&lt;'PlayerGrades+'!$AH$6,"A-",IF(R561&lt;'PlayerGrades+'!$AH$5,"A",IF(R561&lt;'PlayerGrades+'!$AH$4,"A+",IF(R561&lt;'PlayerGrades+'!$AH$3,"S-",IF(R561&lt;'PlayerGrades+'!$AH$2,"S","S+"))))))))))))))))))))</f>
        <v>#REF!</v>
      </c>
      <c r="T561" s="1423" t="str">
        <f t="shared" si="20"/>
        <v>#REF!</v>
      </c>
      <c r="U561" s="1423" t="str">
        <f>IF(T561&lt;'PlayerGrades+'!$AI$21,"F-",IF(T561&lt;'PlayerGrades+'!$AI$20,"F",IF(T561&lt;'PlayerGrades+'!$AI$19,"F+",IF(T561&lt;'PlayerGrades+'!$AI$18,"E-",IF(T561&lt;'PlayerGrades+'!$AI$17,"E",IF(T561&lt;'PlayerGrades+'!$AI$16,"E+",IF(T561&lt;'PlayerGrades+'!$AI$15,"D-",IF(T561&lt;'PlayerGrades+'!$AI$14,"D",IF(T561&lt;'PlayerGrades+'!$AI$13,"D+",IF(T561&lt;'PlayerGrades+'!$AI$12,"C-",IF(T561&lt;'PlayerGrades+'!$AI$11,"C",IF(T561&lt;'PlayerGrades+'!$AI$10,"C+",IF(T561&lt;'PlayerGrades+'!$AI$9,"B-",IF(T561&lt;'PlayerGrades+'!$AI$8,"B",IF(T561&lt;'PlayerGrades+'!$AI$7,"B+",IF(T561&lt;'PlayerGrades+'!$AI$6,"A-",IF(T561&lt;'PlayerGrades+'!$AI$5,"A",IF(T561&lt;'PlayerGrades+'!$AI$4,"A+",IF(T561&lt;'PlayerGrades+'!$AI$3,"S-",IF(T561&lt;'PlayerGrades+'!$AI$2,"S","S+"))))))))))))))))))))</f>
        <v>#REF!</v>
      </c>
      <c r="V561" s="1386"/>
      <c r="W561" s="1386"/>
      <c r="X561" s="1386"/>
      <c r="Y561" s="1386"/>
      <c r="Z561" s="1386"/>
      <c r="AA561" s="1386"/>
      <c r="AB561" s="1386"/>
      <c r="AC561" s="1397"/>
      <c r="AD561" s="1386"/>
      <c r="AE561" s="1386"/>
      <c r="AF561" s="1386"/>
      <c r="AG561" s="1386"/>
      <c r="AH561" s="1386"/>
      <c r="AI561" s="1386"/>
      <c r="AJ561" s="1386"/>
      <c r="AK561" s="1386"/>
      <c r="AL561" s="1386"/>
      <c r="AM561" s="1386"/>
      <c r="AN561" s="1386"/>
      <c r="AO561" s="1386"/>
      <c r="AP561" s="1386"/>
      <c r="AQ561" s="1386"/>
      <c r="AR561" s="1386"/>
      <c r="AS561" s="1386"/>
      <c r="AT561" s="1386"/>
      <c r="AU561" s="1386"/>
      <c r="AV561" s="1386"/>
      <c r="AW561" s="1386"/>
      <c r="AX561" s="1386"/>
      <c r="AY561" s="1386"/>
      <c r="AZ561" s="1386"/>
    </row>
    <row r="562">
      <c r="A562" s="1389"/>
      <c r="B562" s="1424" t="str">
        <f>IF(C562&lt;'PlayerGrades+'!$Y$44,"F-",IF(C562&lt;'PlayerGrades+'!$Y$43,"F",IF(C562&lt;'PlayerGrades+'!$Y$42,"F+",IF(C562&lt;'PlayerGrades+'!$Y$41,"E-",IF(C562&lt;'PlayerGrades+'!$Y$40,"E",IF(C562&lt;'PlayerGrades+'!$Y$39,"E+",IF(C562&lt;'PlayerGrades+'!$Y$38,"D-",IF(C562&lt;'PlayerGrades+'!$Y$37,"D",IF(C562&lt;'PlayerGrades+'!$Y$36,"D+",IF(C562&lt;'PlayerGrades+'!$Y$35,"C-",IF(C562&lt;'PlayerGrades+'!$Y$34,"C",IF(C562&lt;'PlayerGrades+'!$Y$33,"C+",IF(C562&lt;'PlayerGrades+'!$Y$32,"B-",IF(C562&lt;'PlayerGrades+'!$Y$31,"B",IF(C562&lt;'PlayerGrades+'!$Y$30,"B+",IF(C562&lt;'PlayerGrades+'!$Y$29,"A-",IF(C562&lt;'PlayerGrades+'!$Y$28,"A",IF(C562&lt;'PlayerGrades+'!$Y$27,"A+",IF(C562&lt;'PlayerGrades+'!$Y$26,"S-",IF(C562&lt;'PlayerGrades+'!$Y$25,"S","S+"))))))))))))))))))))</f>
        <v>#DIV/0!</v>
      </c>
      <c r="C562" s="1425" t="str">
        <f>('PlayerGrades+'!$Y$47*(VLOOKUP(E562, 'PlayerGrades+'!$X$3:$Y$23, 2, FALSE)))+('PlayerGrades+'!$Y$48*(VLOOKUP(G562, 'PlayerGrades+'!$X$3:$Y$23, 2, FALSE)))+('PlayerGrades+'!$Y$49*(VLOOKUP(I562, 'PlayerGrades+'!$X$3:$Y$23, 2, FALSE)))+('PlayerGrades+'!$Y$50*(VLOOKUP(K562, 'PlayerGrades+'!$X$3:$Y$23, 2, FALSE)))+('PlayerGrades+'!$Y$51*(VLOOKUP(M562, 'PlayerGrades+'!$X$3:$Y$23, 2, FALSE)))+('PlayerGrades+'!$Y$52*(VLOOKUP(O562, 'PlayerGrades+'!$X$3:$Y$23, 2, FALSE)))+('PlayerGrades+'!$Y$53*(VLOOKUP(Q562, 'PlayerGrades+'!$X$3:$Y$23, 2, FALSE)))+('PlayerGrades+'!$Y$54*(VLOOKUP(S562, 'PlayerGrades+'!$X$3:$Y$23, 2, FALSE)))+('PlayerGrades+'!$Y$55*(VLOOKUP(U562, 'PlayerGrades+'!$X$3:$Y$23, 2, FALSE)))</f>
        <v>#DIV/0!</v>
      </c>
      <c r="D562" s="1426" t="str">
        <f t="shared" si="12"/>
        <v>#DIV/0!</v>
      </c>
      <c r="E562" s="1426" t="str">
        <f>IF(D562&lt;'PlayerGrades+'!$AA$21,"F-",IF(D562&lt;'PlayerGrades+'!$AA$20,"F",IF(D562&lt;'PlayerGrades+'!$AA$19,"F+",IF(D562&lt;'PlayerGrades+'!$AA$18,"E-",IF(D562&lt;'PlayerGrades+'!$AA$17,"E",IF(D562&lt;'PlayerGrades+'!$AA$16,"E+",IF(D562&lt;'PlayerGrades+'!$AA$15,"D-",IF(D562&lt;'PlayerGrades+'!$AA$14,"D",IF(D562&lt;'PlayerGrades+'!$AA$13,"D+",IF(D562&lt;'PlayerGrades+'!$AA$12,"C-",IF(D562&lt;'PlayerGrades+'!$AA$11,"C",IF(D562&lt;'PlayerGrades+'!$AA$10,"C+",IF(D562&lt;'PlayerGrades+'!$AA$9,"B-",IF(D562&lt;'PlayerGrades+'!$AA$8,"B",IF(D562&lt;'PlayerGrades+'!$AA$7,"B+",IF(D562&lt;'PlayerGrades+'!$AA$6,"A-",IF(D562&lt;'PlayerGrades+'!$AA$5,"A",IF(D562&lt;'PlayerGrades+'!$AA$4,"A+",IF(D562&lt;'PlayerGrades+'!$AA$3,"S-",IF(D562&lt;'PlayerGrades+'!$AA$2,"S","S+"))))))))))))))))))))</f>
        <v>#DIV/0!</v>
      </c>
      <c r="F562" s="1426" t="str">
        <f t="shared" si="13"/>
        <v>#DIV/0!</v>
      </c>
      <c r="G562" s="1426" t="str">
        <f>IF(F562&lt;'PlayerGrades+'!$AB$21,"F-",IF(F562&lt;'PlayerGrades+'!$AB$20,"F",IF(F562&lt;'PlayerGrades+'!$AB$19,"F+",IF(F562&lt;'PlayerGrades+'!$AB$18,"E-",IF(F562&lt;'PlayerGrades+'!$AB$17,"E",IF(F562&lt;'PlayerGrades+'!$AB$16,"E+",IF(F562&lt;'PlayerGrades+'!$AB$15,"D-",IF(F562&lt;'PlayerGrades+'!$AB$14,"D",IF(F562&lt;'PlayerGrades+'!$AB$13,"D+",IF(F562&lt;'PlayerGrades+'!$AB$12,"C-",IF(F562&lt;'PlayerGrades+'!$AB$11,"C",IF(F562&lt;'PlayerGrades+'!$AB$10,"C+",IF(F562&lt;'PlayerGrades+'!$AB$9,"B-",IF(F562&lt;'PlayerGrades+'!$AB$8,"B",IF(F562&lt;'PlayerGrades+'!$AB$7,"B+",IF(F562&lt;'PlayerGrades+'!$AB$6,"A-",IF(F562&lt;'PlayerGrades+'!$AB$5,"A",IF(F562&lt;'PlayerGrades+'!$AB$4,"A+",IF(F562&lt;'PlayerGrades+'!$AB$3,"S-",IF(F562&lt;'PlayerGrades+'!$AB$2,"S","S+"))))))))))))))))))))</f>
        <v>#DIV/0!</v>
      </c>
      <c r="H562" s="1426" t="str">
        <f t="shared" si="14"/>
        <v>#DIV/0!</v>
      </c>
      <c r="I562" s="1426" t="str">
        <f>IF(H562&lt;'PlayerGrades+'!$AC$21,"F-",IF(H562&lt;'PlayerGrades+'!$AC$20,"F",IF(H562&lt;'PlayerGrades+'!$AC$19,"F+",IF(H562&lt;'PlayerGrades+'!$AC$18,"E-",IF(H562&lt;'PlayerGrades+'!$AC$17,"E",IF(H562&lt;'PlayerGrades+'!$AC$16,"E+",IF(H562&lt;'PlayerGrades+'!$AC$15,"D-",IF(H562&lt;'PlayerGrades+'!$AC$14,"D",IF(H562&lt;'PlayerGrades+'!$AC$13,"D+",IF(H562&lt;'PlayerGrades+'!$AC$12,"C-",IF(H562&lt;'PlayerGrades+'!$AC$11,"C",IF(H562&lt;'PlayerGrades+'!$AC$10,"C+",IF(H562&lt;'PlayerGrades+'!$AC$9,"B-",IF(H562&lt;'PlayerGrades+'!$AC$8,"B",IF(H562&lt;'PlayerGrades+'!$AC$7,"B+",IF(H562&lt;'PlayerGrades+'!$AC$6,"A-",IF(H562&lt;'PlayerGrades+'!$AC$5,"A",IF(H562&lt;'PlayerGrades+'!$AC$4,"A+",IF(H562&lt;'PlayerGrades+'!$AC$3,"S-",IF(H562&lt;'PlayerGrades+'!$AC$2,"S","S+"))))))))))))))))))))</f>
        <v>#DIV/0!</v>
      </c>
      <c r="J562" s="1426" t="str">
        <f t="shared" si="15"/>
        <v>#DIV/0!</v>
      </c>
      <c r="K562" s="1426" t="str">
        <f>IF(J562&lt;'PlayerGrades+'!$AD$21,"F-",IF(J562&lt;'PlayerGrades+'!$AD$20,"F",IF(J562&lt;'PlayerGrades+'!$AD$19,"F+",IF(J562&lt;'PlayerGrades+'!$AD$18,"E-",IF(J562&lt;'PlayerGrades+'!$AD$17,"E",IF(J562&lt;'PlayerGrades+'!$AD$16,"E+",IF(J562&lt;'PlayerGrades+'!$AD$15,"D-",IF(J562&lt;'PlayerGrades+'!$AD$14,"D",IF(J562&lt;'PlayerGrades+'!$AD$13,"D+",IF(J562&lt;'PlayerGrades+'!$AD$12,"C-",IF(J562&lt;'PlayerGrades+'!$AD$11,"C",IF(J562&lt;'PlayerGrades+'!$AD$10,"C+",IF(J562&lt;'PlayerGrades+'!$AD$9,"B-",IF(J562&lt;'PlayerGrades+'!$AD$8,"B",IF(J562&lt;'PlayerGrades+'!$AD$7,"B+",IF(J562&lt;'PlayerGrades+'!$AD$6,"A-",IF(J562&lt;'PlayerGrades+'!$AD$5,"A",IF(J562&lt;'PlayerGrades+'!$AD$4,"A+",IF(J562&lt;'PlayerGrades+'!$AD$3,"S-",IF(J562&lt;'PlayerGrades+'!$AD$2,"S","S+"))))))))))))))))))))</f>
        <v>#DIV/0!</v>
      </c>
      <c r="L562" s="1427" t="str">
        <f t="shared" si="16"/>
        <v>#DIV/0!</v>
      </c>
      <c r="M562" s="1428" t="str">
        <f>IF(L562&lt;'PlayerGrades+'!$AE$21,"F-",IF(L562&lt;'PlayerGrades+'!$AE$20,"F",IF(L562&lt;'PlayerGrades+'!$AE$19,"F+",IF(L562&lt;'PlayerGrades+'!$AE$18,"E-",IF(L562&lt;'PlayerGrades+'!$AE$17,"E",IF(L562&lt;'PlayerGrades+'!$AE$16,"E+",IF(L562&lt;'PlayerGrades+'!$AE$15,"D-",IF(L562&lt;'PlayerGrades+'!$AE$14,"D",IF(L562&lt;'PlayerGrades+'!$AE$13,"D+",IF(L562&lt;'PlayerGrades+'!$AE$12,"C-",IF(L562&lt;'PlayerGrades+'!$AE$11,"C",IF(L562&lt;'PlayerGrades+'!$AE$10,"C+",IF(L562&lt;'PlayerGrades+'!$AE$9,"B-",IF(L562&lt;'PlayerGrades+'!$AE$8,"B",IF(L562&lt;'PlayerGrades+'!$AE$7,"B+",IF(L562&lt;'PlayerGrades+'!$AE$6,"A-",IF(L562&lt;'PlayerGrades+'!$AE$5,"A",IF(L562&lt;'PlayerGrades+'!$AE$4,"A+",IF(L562&lt;'PlayerGrades+'!$AE$3,"S-",IF(L562&lt;'PlayerGrades+'!$AE$2,"S","S+"))))))))))))))))))))</f>
        <v>#DIV/0!</v>
      </c>
      <c r="N562" s="1426" t="str">
        <f t="shared" si="17"/>
        <v>#DIV/0!</v>
      </c>
      <c r="O562" s="1426" t="str">
        <f>IF(N562&lt;'PlayerGrades+'!$AF$21,"F-",IF(N562&lt;'PlayerGrades+'!$AF$20,"F",IF(N562&lt;'PlayerGrades+'!$AF$19,"F+",IF(N562&lt;'PlayerGrades+'!$AF$18,"E-",IF(N562&lt;'PlayerGrades+'!$AF$17,"E",IF(N562&lt;'PlayerGrades+'!$AF$16,"E+",IF(N562&lt;'PlayerGrades+'!$AF$15,"D-",IF(N562&lt;'PlayerGrades+'!$AF$14,"D",IF(N562&lt;'PlayerGrades+'!$AF$13,"D+",IF(N562&lt;'PlayerGrades+'!$AF$12,"C-",IF(N562&lt;'PlayerGrades+'!$AF$11,"C",IF(N562&lt;'PlayerGrades+'!$AF$10,"C+",IF(N562&lt;'PlayerGrades+'!$AF$9,"B-",IF(N562&lt;'PlayerGrades+'!$AF$8,"B",IF(N562&lt;'PlayerGrades+'!$AF$7,"B+",IF(N562&lt;'PlayerGrades+'!$AF$6,"A-",IF(N562&lt;'PlayerGrades+'!$AF$5,"A",IF(N562&lt;'PlayerGrades+'!$AF$4,"A+",IF(N562&lt;'PlayerGrades+'!$AF$3,"S-",IF(N562&lt;'PlayerGrades+'!$AF$2,"S","S+"))))))))))))))))))))</f>
        <v>#DIV/0!</v>
      </c>
      <c r="P562" s="1426" t="str">
        <f t="shared" si="18"/>
        <v>#DIV/0!</v>
      </c>
      <c r="Q562" s="1426" t="str">
        <f>IF(P562&lt;'PlayerGrades+'!$AG$21,"F-",IF(P562&lt;'PlayerGrades+'!$AG$20,"F",IF(P562&lt;'PlayerGrades+'!$AG$19,"F+",IF(P562&lt;'PlayerGrades+'!$AG$18,"E-",IF(P562&lt;'PlayerGrades+'!$AG$17,"E",IF(P562&lt;'PlayerGrades+'!$AG$16,"E+",IF(P562&lt;'PlayerGrades+'!$AG$15,"D-",IF(P562&lt;'PlayerGrades+'!$AG$14,"D",IF(P562&lt;'PlayerGrades+'!$AG$13,"D+",IF(P562&lt;'PlayerGrades+'!$AG$12,"C-",IF(P562&lt;'PlayerGrades+'!$AG$11,"C",IF(P562&lt;'PlayerGrades+'!$AG$10,"C+",IF(P562&lt;'PlayerGrades+'!$AG$9,"B-",IF(P562&lt;'PlayerGrades+'!$AG$8,"B",IF(P562&lt;'PlayerGrades+'!$AG$7,"B+",IF(P562&lt;'PlayerGrades+'!$AG$6,"A-",IF(P562&lt;'PlayerGrades+'!$AG$5,"A",IF(P562&lt;'PlayerGrades+'!$AG$4,"A+",IF(P562&lt;'PlayerGrades+'!$AG$3,"S-",IF(P562&lt;'PlayerGrades+'!$AG$2,"S","S+"))))))))))))))))))))</f>
        <v>#DIV/0!</v>
      </c>
      <c r="R562" s="1426" t="str">
        <f t="shared" si="19"/>
        <v>#REF!</v>
      </c>
      <c r="S562" s="1426" t="str">
        <f>IF(R562&lt;'PlayerGrades+'!$AH$21,"F-",IF(R562&lt;'PlayerGrades+'!$AH$20,"F",IF(R562&lt;'PlayerGrades+'!$AH$19,"F+",IF(R562&lt;'PlayerGrades+'!$AH$18,"E-",IF(R562&lt;'PlayerGrades+'!$AH$17,"E",IF(R562&lt;'PlayerGrades+'!$AH$16,"E+",IF(R562&lt;'PlayerGrades+'!$AH$15,"D-",IF(R562&lt;'PlayerGrades+'!$AH$14,"D",IF(R562&lt;'PlayerGrades+'!$AH$13,"D+",IF(R562&lt;'PlayerGrades+'!$AH$12,"C-",IF(R562&lt;'PlayerGrades+'!$AH$11,"C",IF(R562&lt;'PlayerGrades+'!$AH$10,"C+",IF(R562&lt;'PlayerGrades+'!$AH$9,"B-",IF(R562&lt;'PlayerGrades+'!$AH$8,"B",IF(R562&lt;'PlayerGrades+'!$AH$7,"B+",IF(R562&lt;'PlayerGrades+'!$AH$6,"A-",IF(R562&lt;'PlayerGrades+'!$AH$5,"A",IF(R562&lt;'PlayerGrades+'!$AH$4,"A+",IF(R562&lt;'PlayerGrades+'!$AH$3,"S-",IF(R562&lt;'PlayerGrades+'!$AH$2,"S","S+"))))))))))))))))))))</f>
        <v>#REF!</v>
      </c>
      <c r="T562" s="1426" t="str">
        <f t="shared" si="20"/>
        <v>#REF!</v>
      </c>
      <c r="U562" s="1426" t="str">
        <f>IF(T562&lt;'PlayerGrades+'!$AI$21,"F-",IF(T562&lt;'PlayerGrades+'!$AI$20,"F",IF(T562&lt;'PlayerGrades+'!$AI$19,"F+",IF(T562&lt;'PlayerGrades+'!$AI$18,"E-",IF(T562&lt;'PlayerGrades+'!$AI$17,"E",IF(T562&lt;'PlayerGrades+'!$AI$16,"E+",IF(T562&lt;'PlayerGrades+'!$AI$15,"D-",IF(T562&lt;'PlayerGrades+'!$AI$14,"D",IF(T562&lt;'PlayerGrades+'!$AI$13,"D+",IF(T562&lt;'PlayerGrades+'!$AI$12,"C-",IF(T562&lt;'PlayerGrades+'!$AI$11,"C",IF(T562&lt;'PlayerGrades+'!$AI$10,"C+",IF(T562&lt;'PlayerGrades+'!$AI$9,"B-",IF(T562&lt;'PlayerGrades+'!$AI$8,"B",IF(T562&lt;'PlayerGrades+'!$AI$7,"B+",IF(T562&lt;'PlayerGrades+'!$AI$6,"A-",IF(T562&lt;'PlayerGrades+'!$AI$5,"A",IF(T562&lt;'PlayerGrades+'!$AI$4,"A+",IF(T562&lt;'PlayerGrades+'!$AI$3,"S-",IF(T562&lt;'PlayerGrades+'!$AI$2,"S","S+"))))))))))))))))))))</f>
        <v>#REF!</v>
      </c>
      <c r="V562" s="1429"/>
      <c r="W562" s="1429"/>
      <c r="X562" s="1429"/>
      <c r="Y562" s="1429"/>
      <c r="Z562" s="1429"/>
      <c r="AA562" s="1429"/>
      <c r="AB562" s="1429"/>
      <c r="AC562" s="1430"/>
      <c r="AD562" s="1429"/>
      <c r="AE562" s="1429"/>
      <c r="AF562" s="1429"/>
      <c r="AG562" s="1429"/>
      <c r="AH562" s="1429"/>
      <c r="AI562" s="1429"/>
      <c r="AJ562" s="1429"/>
      <c r="AK562" s="1429"/>
      <c r="AL562" s="1429"/>
      <c r="AM562" s="1429"/>
      <c r="AN562" s="1429"/>
      <c r="AO562" s="1429"/>
      <c r="AP562" s="1429"/>
      <c r="AQ562" s="1429"/>
      <c r="AR562" s="1429"/>
      <c r="AS562" s="1429"/>
      <c r="AT562" s="1429"/>
      <c r="AU562" s="1429"/>
      <c r="AV562" s="1429"/>
      <c r="AW562" s="1429"/>
      <c r="AX562" s="1429"/>
      <c r="AY562" s="1429"/>
      <c r="AZ562" s="1429"/>
    </row>
    <row r="563">
      <c r="A563" s="1391"/>
      <c r="B563" s="1421" t="str">
        <f>IF(C563&lt;'PlayerGrades+'!$Y$44,"F-",IF(C563&lt;'PlayerGrades+'!$Y$43,"F",IF(C563&lt;'PlayerGrades+'!$Y$42,"F+",IF(C563&lt;'PlayerGrades+'!$Y$41,"E-",IF(C563&lt;'PlayerGrades+'!$Y$40,"E",IF(C563&lt;'PlayerGrades+'!$Y$39,"E+",IF(C563&lt;'PlayerGrades+'!$Y$38,"D-",IF(C563&lt;'PlayerGrades+'!$Y$37,"D",IF(C563&lt;'PlayerGrades+'!$Y$36,"D+",IF(C563&lt;'PlayerGrades+'!$Y$35,"C-",IF(C563&lt;'PlayerGrades+'!$Y$34,"C",IF(C563&lt;'PlayerGrades+'!$Y$33,"C+",IF(C563&lt;'PlayerGrades+'!$Y$32,"B-",IF(C563&lt;'PlayerGrades+'!$Y$31,"B",IF(C563&lt;'PlayerGrades+'!$Y$30,"B+",IF(C563&lt;'PlayerGrades+'!$Y$29,"A-",IF(C563&lt;'PlayerGrades+'!$Y$28,"A",IF(C563&lt;'PlayerGrades+'!$Y$27,"A+",IF(C563&lt;'PlayerGrades+'!$Y$26,"S-",IF(C563&lt;'PlayerGrades+'!$Y$25,"S","S+"))))))))))))))))))))</f>
        <v>#DIV/0!</v>
      </c>
      <c r="C563" s="1422" t="str">
        <f>('PlayerGrades+'!$Y$47*(VLOOKUP(E563, 'PlayerGrades+'!$X$3:$Y$23, 2, FALSE)))+('PlayerGrades+'!$Y$48*(VLOOKUP(G563, 'PlayerGrades+'!$X$3:$Y$23, 2, FALSE)))+('PlayerGrades+'!$Y$49*(VLOOKUP(I563, 'PlayerGrades+'!$X$3:$Y$23, 2, FALSE)))+('PlayerGrades+'!$Y$50*(VLOOKUP(K563, 'PlayerGrades+'!$X$3:$Y$23, 2, FALSE)))+('PlayerGrades+'!$Y$51*(VLOOKUP(M563, 'PlayerGrades+'!$X$3:$Y$23, 2, FALSE)))+('PlayerGrades+'!$Y$52*(VLOOKUP(O563, 'PlayerGrades+'!$X$3:$Y$23, 2, FALSE)))+('PlayerGrades+'!$Y$53*(VLOOKUP(Q563, 'PlayerGrades+'!$X$3:$Y$23, 2, FALSE)))+('PlayerGrades+'!$Y$54*(VLOOKUP(S563, 'PlayerGrades+'!$X$3:$Y$23, 2, FALSE)))+('PlayerGrades+'!$Y$55*(VLOOKUP(U563, 'PlayerGrades+'!$X$3:$Y$23, 2, FALSE)))</f>
        <v>#DIV/0!</v>
      </c>
      <c r="D563" s="1423" t="str">
        <f t="shared" si="12"/>
        <v>#DIV/0!</v>
      </c>
      <c r="E563" s="1423" t="str">
        <f>IF(D563&lt;'PlayerGrades+'!$AA$21,"F-",IF(D563&lt;'PlayerGrades+'!$AA$20,"F",IF(D563&lt;'PlayerGrades+'!$AA$19,"F+",IF(D563&lt;'PlayerGrades+'!$AA$18,"E-",IF(D563&lt;'PlayerGrades+'!$AA$17,"E",IF(D563&lt;'PlayerGrades+'!$AA$16,"E+",IF(D563&lt;'PlayerGrades+'!$AA$15,"D-",IF(D563&lt;'PlayerGrades+'!$AA$14,"D",IF(D563&lt;'PlayerGrades+'!$AA$13,"D+",IF(D563&lt;'PlayerGrades+'!$AA$12,"C-",IF(D563&lt;'PlayerGrades+'!$AA$11,"C",IF(D563&lt;'PlayerGrades+'!$AA$10,"C+",IF(D563&lt;'PlayerGrades+'!$AA$9,"B-",IF(D563&lt;'PlayerGrades+'!$AA$8,"B",IF(D563&lt;'PlayerGrades+'!$AA$7,"B+",IF(D563&lt;'PlayerGrades+'!$AA$6,"A-",IF(D563&lt;'PlayerGrades+'!$AA$5,"A",IF(D563&lt;'PlayerGrades+'!$AA$4,"A+",IF(D563&lt;'PlayerGrades+'!$AA$3,"S-",IF(D563&lt;'PlayerGrades+'!$AA$2,"S","S+"))))))))))))))))))))</f>
        <v>#DIV/0!</v>
      </c>
      <c r="F563" s="1423" t="str">
        <f t="shared" si="13"/>
        <v>#DIV/0!</v>
      </c>
      <c r="G563" s="1423" t="str">
        <f>IF(F563&lt;'PlayerGrades+'!$AB$21,"F-",IF(F563&lt;'PlayerGrades+'!$AB$20,"F",IF(F563&lt;'PlayerGrades+'!$AB$19,"F+",IF(F563&lt;'PlayerGrades+'!$AB$18,"E-",IF(F563&lt;'PlayerGrades+'!$AB$17,"E",IF(F563&lt;'PlayerGrades+'!$AB$16,"E+",IF(F563&lt;'PlayerGrades+'!$AB$15,"D-",IF(F563&lt;'PlayerGrades+'!$AB$14,"D",IF(F563&lt;'PlayerGrades+'!$AB$13,"D+",IF(F563&lt;'PlayerGrades+'!$AB$12,"C-",IF(F563&lt;'PlayerGrades+'!$AB$11,"C",IF(F563&lt;'PlayerGrades+'!$AB$10,"C+",IF(F563&lt;'PlayerGrades+'!$AB$9,"B-",IF(F563&lt;'PlayerGrades+'!$AB$8,"B",IF(F563&lt;'PlayerGrades+'!$AB$7,"B+",IF(F563&lt;'PlayerGrades+'!$AB$6,"A-",IF(F563&lt;'PlayerGrades+'!$AB$5,"A",IF(F563&lt;'PlayerGrades+'!$AB$4,"A+",IF(F563&lt;'PlayerGrades+'!$AB$3,"S-",IF(F563&lt;'PlayerGrades+'!$AB$2,"S","S+"))))))))))))))))))))</f>
        <v>#DIV/0!</v>
      </c>
      <c r="H563" s="1423" t="str">
        <f t="shared" si="14"/>
        <v>#DIV/0!</v>
      </c>
      <c r="I563" s="1423" t="str">
        <f>IF(H563&lt;'PlayerGrades+'!$AC$21,"F-",IF(H563&lt;'PlayerGrades+'!$AC$20,"F",IF(H563&lt;'PlayerGrades+'!$AC$19,"F+",IF(H563&lt;'PlayerGrades+'!$AC$18,"E-",IF(H563&lt;'PlayerGrades+'!$AC$17,"E",IF(H563&lt;'PlayerGrades+'!$AC$16,"E+",IF(H563&lt;'PlayerGrades+'!$AC$15,"D-",IF(H563&lt;'PlayerGrades+'!$AC$14,"D",IF(H563&lt;'PlayerGrades+'!$AC$13,"D+",IF(H563&lt;'PlayerGrades+'!$AC$12,"C-",IF(H563&lt;'PlayerGrades+'!$AC$11,"C",IF(H563&lt;'PlayerGrades+'!$AC$10,"C+",IF(H563&lt;'PlayerGrades+'!$AC$9,"B-",IF(H563&lt;'PlayerGrades+'!$AC$8,"B",IF(H563&lt;'PlayerGrades+'!$AC$7,"B+",IF(H563&lt;'PlayerGrades+'!$AC$6,"A-",IF(H563&lt;'PlayerGrades+'!$AC$5,"A",IF(H563&lt;'PlayerGrades+'!$AC$4,"A+",IF(H563&lt;'PlayerGrades+'!$AC$3,"S-",IF(H563&lt;'PlayerGrades+'!$AC$2,"S","S+"))))))))))))))))))))</f>
        <v>#DIV/0!</v>
      </c>
      <c r="J563" s="1423" t="str">
        <f t="shared" si="15"/>
        <v>#DIV/0!</v>
      </c>
      <c r="K563" s="1423" t="str">
        <f>IF(J563&lt;'PlayerGrades+'!$AD$21,"F-",IF(J563&lt;'PlayerGrades+'!$AD$20,"F",IF(J563&lt;'PlayerGrades+'!$AD$19,"F+",IF(J563&lt;'PlayerGrades+'!$AD$18,"E-",IF(J563&lt;'PlayerGrades+'!$AD$17,"E",IF(J563&lt;'PlayerGrades+'!$AD$16,"E+",IF(J563&lt;'PlayerGrades+'!$AD$15,"D-",IF(J563&lt;'PlayerGrades+'!$AD$14,"D",IF(J563&lt;'PlayerGrades+'!$AD$13,"D+",IF(J563&lt;'PlayerGrades+'!$AD$12,"C-",IF(J563&lt;'PlayerGrades+'!$AD$11,"C",IF(J563&lt;'PlayerGrades+'!$AD$10,"C+",IF(J563&lt;'PlayerGrades+'!$AD$9,"B-",IF(J563&lt;'PlayerGrades+'!$AD$8,"B",IF(J563&lt;'PlayerGrades+'!$AD$7,"B+",IF(J563&lt;'PlayerGrades+'!$AD$6,"A-",IF(J563&lt;'PlayerGrades+'!$AD$5,"A",IF(J563&lt;'PlayerGrades+'!$AD$4,"A+",IF(J563&lt;'PlayerGrades+'!$AD$3,"S-",IF(J563&lt;'PlayerGrades+'!$AD$2,"S","S+"))))))))))))))))))))</f>
        <v>#DIV/0!</v>
      </c>
      <c r="L563" s="1176" t="str">
        <f t="shared" si="16"/>
        <v>#DIV/0!</v>
      </c>
      <c r="M563" s="992" t="str">
        <f>IF(L563&lt;'PlayerGrades+'!$AE$21,"F-",IF(L563&lt;'PlayerGrades+'!$AE$20,"F",IF(L563&lt;'PlayerGrades+'!$AE$19,"F+",IF(L563&lt;'PlayerGrades+'!$AE$18,"E-",IF(L563&lt;'PlayerGrades+'!$AE$17,"E",IF(L563&lt;'PlayerGrades+'!$AE$16,"E+",IF(L563&lt;'PlayerGrades+'!$AE$15,"D-",IF(L563&lt;'PlayerGrades+'!$AE$14,"D",IF(L563&lt;'PlayerGrades+'!$AE$13,"D+",IF(L563&lt;'PlayerGrades+'!$AE$12,"C-",IF(L563&lt;'PlayerGrades+'!$AE$11,"C",IF(L563&lt;'PlayerGrades+'!$AE$10,"C+",IF(L563&lt;'PlayerGrades+'!$AE$9,"B-",IF(L563&lt;'PlayerGrades+'!$AE$8,"B",IF(L563&lt;'PlayerGrades+'!$AE$7,"B+",IF(L563&lt;'PlayerGrades+'!$AE$6,"A-",IF(L563&lt;'PlayerGrades+'!$AE$5,"A",IF(L563&lt;'PlayerGrades+'!$AE$4,"A+",IF(L563&lt;'PlayerGrades+'!$AE$3,"S-",IF(L563&lt;'PlayerGrades+'!$AE$2,"S","S+"))))))))))))))))))))</f>
        <v>#DIV/0!</v>
      </c>
      <c r="N563" s="1423" t="str">
        <f t="shared" si="17"/>
        <v>#DIV/0!</v>
      </c>
      <c r="O563" s="1423" t="str">
        <f>IF(N563&lt;'PlayerGrades+'!$AF$21,"F-",IF(N563&lt;'PlayerGrades+'!$AF$20,"F",IF(N563&lt;'PlayerGrades+'!$AF$19,"F+",IF(N563&lt;'PlayerGrades+'!$AF$18,"E-",IF(N563&lt;'PlayerGrades+'!$AF$17,"E",IF(N563&lt;'PlayerGrades+'!$AF$16,"E+",IF(N563&lt;'PlayerGrades+'!$AF$15,"D-",IF(N563&lt;'PlayerGrades+'!$AF$14,"D",IF(N563&lt;'PlayerGrades+'!$AF$13,"D+",IF(N563&lt;'PlayerGrades+'!$AF$12,"C-",IF(N563&lt;'PlayerGrades+'!$AF$11,"C",IF(N563&lt;'PlayerGrades+'!$AF$10,"C+",IF(N563&lt;'PlayerGrades+'!$AF$9,"B-",IF(N563&lt;'PlayerGrades+'!$AF$8,"B",IF(N563&lt;'PlayerGrades+'!$AF$7,"B+",IF(N563&lt;'PlayerGrades+'!$AF$6,"A-",IF(N563&lt;'PlayerGrades+'!$AF$5,"A",IF(N563&lt;'PlayerGrades+'!$AF$4,"A+",IF(N563&lt;'PlayerGrades+'!$AF$3,"S-",IF(N563&lt;'PlayerGrades+'!$AF$2,"S","S+"))))))))))))))))))))</f>
        <v>#DIV/0!</v>
      </c>
      <c r="P563" s="1423" t="str">
        <f t="shared" si="18"/>
        <v>#DIV/0!</v>
      </c>
      <c r="Q563" s="1423" t="str">
        <f>IF(P563&lt;'PlayerGrades+'!$AG$21,"F-",IF(P563&lt;'PlayerGrades+'!$AG$20,"F",IF(P563&lt;'PlayerGrades+'!$AG$19,"F+",IF(P563&lt;'PlayerGrades+'!$AG$18,"E-",IF(P563&lt;'PlayerGrades+'!$AG$17,"E",IF(P563&lt;'PlayerGrades+'!$AG$16,"E+",IF(P563&lt;'PlayerGrades+'!$AG$15,"D-",IF(P563&lt;'PlayerGrades+'!$AG$14,"D",IF(P563&lt;'PlayerGrades+'!$AG$13,"D+",IF(P563&lt;'PlayerGrades+'!$AG$12,"C-",IF(P563&lt;'PlayerGrades+'!$AG$11,"C",IF(P563&lt;'PlayerGrades+'!$AG$10,"C+",IF(P563&lt;'PlayerGrades+'!$AG$9,"B-",IF(P563&lt;'PlayerGrades+'!$AG$8,"B",IF(P563&lt;'PlayerGrades+'!$AG$7,"B+",IF(P563&lt;'PlayerGrades+'!$AG$6,"A-",IF(P563&lt;'PlayerGrades+'!$AG$5,"A",IF(P563&lt;'PlayerGrades+'!$AG$4,"A+",IF(P563&lt;'PlayerGrades+'!$AG$3,"S-",IF(P563&lt;'PlayerGrades+'!$AG$2,"S","S+"))))))))))))))))))))</f>
        <v>#DIV/0!</v>
      </c>
      <c r="R563" s="1423" t="str">
        <f t="shared" si="19"/>
        <v>#REF!</v>
      </c>
      <c r="S563" s="1423" t="str">
        <f>IF(R563&lt;'PlayerGrades+'!$AH$21,"F-",IF(R563&lt;'PlayerGrades+'!$AH$20,"F",IF(R563&lt;'PlayerGrades+'!$AH$19,"F+",IF(R563&lt;'PlayerGrades+'!$AH$18,"E-",IF(R563&lt;'PlayerGrades+'!$AH$17,"E",IF(R563&lt;'PlayerGrades+'!$AH$16,"E+",IF(R563&lt;'PlayerGrades+'!$AH$15,"D-",IF(R563&lt;'PlayerGrades+'!$AH$14,"D",IF(R563&lt;'PlayerGrades+'!$AH$13,"D+",IF(R563&lt;'PlayerGrades+'!$AH$12,"C-",IF(R563&lt;'PlayerGrades+'!$AH$11,"C",IF(R563&lt;'PlayerGrades+'!$AH$10,"C+",IF(R563&lt;'PlayerGrades+'!$AH$9,"B-",IF(R563&lt;'PlayerGrades+'!$AH$8,"B",IF(R563&lt;'PlayerGrades+'!$AH$7,"B+",IF(R563&lt;'PlayerGrades+'!$AH$6,"A-",IF(R563&lt;'PlayerGrades+'!$AH$5,"A",IF(R563&lt;'PlayerGrades+'!$AH$4,"A+",IF(R563&lt;'PlayerGrades+'!$AH$3,"S-",IF(R563&lt;'PlayerGrades+'!$AH$2,"S","S+"))))))))))))))))))))</f>
        <v>#REF!</v>
      </c>
      <c r="T563" s="1423" t="str">
        <f t="shared" si="20"/>
        <v>#REF!</v>
      </c>
      <c r="U563" s="1423" t="str">
        <f>IF(T563&lt;'PlayerGrades+'!$AI$21,"F-",IF(T563&lt;'PlayerGrades+'!$AI$20,"F",IF(T563&lt;'PlayerGrades+'!$AI$19,"F+",IF(T563&lt;'PlayerGrades+'!$AI$18,"E-",IF(T563&lt;'PlayerGrades+'!$AI$17,"E",IF(T563&lt;'PlayerGrades+'!$AI$16,"E+",IF(T563&lt;'PlayerGrades+'!$AI$15,"D-",IF(T563&lt;'PlayerGrades+'!$AI$14,"D",IF(T563&lt;'PlayerGrades+'!$AI$13,"D+",IF(T563&lt;'PlayerGrades+'!$AI$12,"C-",IF(T563&lt;'PlayerGrades+'!$AI$11,"C",IF(T563&lt;'PlayerGrades+'!$AI$10,"C+",IF(T563&lt;'PlayerGrades+'!$AI$9,"B-",IF(T563&lt;'PlayerGrades+'!$AI$8,"B",IF(T563&lt;'PlayerGrades+'!$AI$7,"B+",IF(T563&lt;'PlayerGrades+'!$AI$6,"A-",IF(T563&lt;'PlayerGrades+'!$AI$5,"A",IF(T563&lt;'PlayerGrades+'!$AI$4,"A+",IF(T563&lt;'PlayerGrades+'!$AI$3,"S-",IF(T563&lt;'PlayerGrades+'!$AI$2,"S","S+"))))))))))))))))))))</f>
        <v>#REF!</v>
      </c>
      <c r="V563" s="1431"/>
      <c r="W563" s="1431"/>
      <c r="X563" s="1431"/>
      <c r="Y563" s="1431"/>
      <c r="Z563" s="1431"/>
      <c r="AA563" s="1431"/>
      <c r="AB563" s="1431"/>
      <c r="AC563" s="1432"/>
      <c r="AD563" s="1431"/>
      <c r="AE563" s="1431"/>
      <c r="AF563" s="1431"/>
      <c r="AG563" s="1431"/>
      <c r="AH563" s="1431"/>
      <c r="AI563" s="1431"/>
      <c r="AJ563" s="1431"/>
      <c r="AK563" s="1431"/>
      <c r="AL563" s="1431"/>
      <c r="AM563" s="1431"/>
      <c r="AN563" s="1431"/>
      <c r="AO563" s="1431"/>
      <c r="AP563" s="1431"/>
      <c r="AQ563" s="1431"/>
      <c r="AR563" s="1431"/>
      <c r="AS563" s="1431"/>
      <c r="AT563" s="1431"/>
      <c r="AU563" s="1431"/>
      <c r="AV563" s="1431"/>
      <c r="AW563" s="1431"/>
      <c r="AX563" s="1431"/>
      <c r="AY563" s="1431"/>
      <c r="AZ563" s="1431"/>
    </row>
    <row r="564">
      <c r="A564" s="1391"/>
      <c r="B564" s="1421" t="str">
        <f>IF(C564&lt;'PlayerGrades+'!$Y$44,"F-",IF(C564&lt;'PlayerGrades+'!$Y$43,"F",IF(C564&lt;'PlayerGrades+'!$Y$42,"F+",IF(C564&lt;'PlayerGrades+'!$Y$41,"E-",IF(C564&lt;'PlayerGrades+'!$Y$40,"E",IF(C564&lt;'PlayerGrades+'!$Y$39,"E+",IF(C564&lt;'PlayerGrades+'!$Y$38,"D-",IF(C564&lt;'PlayerGrades+'!$Y$37,"D",IF(C564&lt;'PlayerGrades+'!$Y$36,"D+",IF(C564&lt;'PlayerGrades+'!$Y$35,"C-",IF(C564&lt;'PlayerGrades+'!$Y$34,"C",IF(C564&lt;'PlayerGrades+'!$Y$33,"C+",IF(C564&lt;'PlayerGrades+'!$Y$32,"B-",IF(C564&lt;'PlayerGrades+'!$Y$31,"B",IF(C564&lt;'PlayerGrades+'!$Y$30,"B+",IF(C564&lt;'PlayerGrades+'!$Y$29,"A-",IF(C564&lt;'PlayerGrades+'!$Y$28,"A",IF(C564&lt;'PlayerGrades+'!$Y$27,"A+",IF(C564&lt;'PlayerGrades+'!$Y$26,"S-",IF(C564&lt;'PlayerGrades+'!$Y$25,"S","S+"))))))))))))))))))))</f>
        <v>#DIV/0!</v>
      </c>
      <c r="C564" s="1422" t="str">
        <f>('PlayerGrades+'!$Y$47*(VLOOKUP(E564, 'PlayerGrades+'!$X$3:$Y$23, 2, FALSE)))+('PlayerGrades+'!$Y$48*(VLOOKUP(G564, 'PlayerGrades+'!$X$3:$Y$23, 2, FALSE)))+('PlayerGrades+'!$Y$49*(VLOOKUP(I564, 'PlayerGrades+'!$X$3:$Y$23, 2, FALSE)))+('PlayerGrades+'!$Y$50*(VLOOKUP(K564, 'PlayerGrades+'!$X$3:$Y$23, 2, FALSE)))+('PlayerGrades+'!$Y$51*(VLOOKUP(M564, 'PlayerGrades+'!$X$3:$Y$23, 2, FALSE)))+('PlayerGrades+'!$Y$52*(VLOOKUP(O564, 'PlayerGrades+'!$X$3:$Y$23, 2, FALSE)))+('PlayerGrades+'!$Y$53*(VLOOKUP(Q564, 'PlayerGrades+'!$X$3:$Y$23, 2, FALSE)))+('PlayerGrades+'!$Y$54*(VLOOKUP(S564, 'PlayerGrades+'!$X$3:$Y$23, 2, FALSE)))+('PlayerGrades+'!$Y$55*(VLOOKUP(U564, 'PlayerGrades+'!$X$3:$Y$23, 2, FALSE)))</f>
        <v>#DIV/0!</v>
      </c>
      <c r="D564" s="1423" t="str">
        <f t="shared" si="12"/>
        <v>#DIV/0!</v>
      </c>
      <c r="E564" s="1423" t="str">
        <f>IF(D564&lt;'PlayerGrades+'!$AA$21,"F-",IF(D564&lt;'PlayerGrades+'!$AA$20,"F",IF(D564&lt;'PlayerGrades+'!$AA$19,"F+",IF(D564&lt;'PlayerGrades+'!$AA$18,"E-",IF(D564&lt;'PlayerGrades+'!$AA$17,"E",IF(D564&lt;'PlayerGrades+'!$AA$16,"E+",IF(D564&lt;'PlayerGrades+'!$AA$15,"D-",IF(D564&lt;'PlayerGrades+'!$AA$14,"D",IF(D564&lt;'PlayerGrades+'!$AA$13,"D+",IF(D564&lt;'PlayerGrades+'!$AA$12,"C-",IF(D564&lt;'PlayerGrades+'!$AA$11,"C",IF(D564&lt;'PlayerGrades+'!$AA$10,"C+",IF(D564&lt;'PlayerGrades+'!$AA$9,"B-",IF(D564&lt;'PlayerGrades+'!$AA$8,"B",IF(D564&lt;'PlayerGrades+'!$AA$7,"B+",IF(D564&lt;'PlayerGrades+'!$AA$6,"A-",IF(D564&lt;'PlayerGrades+'!$AA$5,"A",IF(D564&lt;'PlayerGrades+'!$AA$4,"A+",IF(D564&lt;'PlayerGrades+'!$AA$3,"S-",IF(D564&lt;'PlayerGrades+'!$AA$2,"S","S+"))))))))))))))))))))</f>
        <v>#DIV/0!</v>
      </c>
      <c r="F564" s="1423" t="str">
        <f t="shared" si="13"/>
        <v>#DIV/0!</v>
      </c>
      <c r="G564" s="1423" t="str">
        <f>IF(F564&lt;'PlayerGrades+'!$AB$21,"F-",IF(F564&lt;'PlayerGrades+'!$AB$20,"F",IF(F564&lt;'PlayerGrades+'!$AB$19,"F+",IF(F564&lt;'PlayerGrades+'!$AB$18,"E-",IF(F564&lt;'PlayerGrades+'!$AB$17,"E",IF(F564&lt;'PlayerGrades+'!$AB$16,"E+",IF(F564&lt;'PlayerGrades+'!$AB$15,"D-",IF(F564&lt;'PlayerGrades+'!$AB$14,"D",IF(F564&lt;'PlayerGrades+'!$AB$13,"D+",IF(F564&lt;'PlayerGrades+'!$AB$12,"C-",IF(F564&lt;'PlayerGrades+'!$AB$11,"C",IF(F564&lt;'PlayerGrades+'!$AB$10,"C+",IF(F564&lt;'PlayerGrades+'!$AB$9,"B-",IF(F564&lt;'PlayerGrades+'!$AB$8,"B",IF(F564&lt;'PlayerGrades+'!$AB$7,"B+",IF(F564&lt;'PlayerGrades+'!$AB$6,"A-",IF(F564&lt;'PlayerGrades+'!$AB$5,"A",IF(F564&lt;'PlayerGrades+'!$AB$4,"A+",IF(F564&lt;'PlayerGrades+'!$AB$3,"S-",IF(F564&lt;'PlayerGrades+'!$AB$2,"S","S+"))))))))))))))))))))</f>
        <v>#DIV/0!</v>
      </c>
      <c r="H564" s="1423" t="str">
        <f t="shared" si="14"/>
        <v>#DIV/0!</v>
      </c>
      <c r="I564" s="1423" t="str">
        <f>IF(H564&lt;'PlayerGrades+'!$AC$21,"F-",IF(H564&lt;'PlayerGrades+'!$AC$20,"F",IF(H564&lt;'PlayerGrades+'!$AC$19,"F+",IF(H564&lt;'PlayerGrades+'!$AC$18,"E-",IF(H564&lt;'PlayerGrades+'!$AC$17,"E",IF(H564&lt;'PlayerGrades+'!$AC$16,"E+",IF(H564&lt;'PlayerGrades+'!$AC$15,"D-",IF(H564&lt;'PlayerGrades+'!$AC$14,"D",IF(H564&lt;'PlayerGrades+'!$AC$13,"D+",IF(H564&lt;'PlayerGrades+'!$AC$12,"C-",IF(H564&lt;'PlayerGrades+'!$AC$11,"C",IF(H564&lt;'PlayerGrades+'!$AC$10,"C+",IF(H564&lt;'PlayerGrades+'!$AC$9,"B-",IF(H564&lt;'PlayerGrades+'!$AC$8,"B",IF(H564&lt;'PlayerGrades+'!$AC$7,"B+",IF(H564&lt;'PlayerGrades+'!$AC$6,"A-",IF(H564&lt;'PlayerGrades+'!$AC$5,"A",IF(H564&lt;'PlayerGrades+'!$AC$4,"A+",IF(H564&lt;'PlayerGrades+'!$AC$3,"S-",IF(H564&lt;'PlayerGrades+'!$AC$2,"S","S+"))))))))))))))))))))</f>
        <v>#DIV/0!</v>
      </c>
      <c r="J564" s="1423" t="str">
        <f t="shared" si="15"/>
        <v>#DIV/0!</v>
      </c>
      <c r="K564" s="1423" t="str">
        <f>IF(J564&lt;'PlayerGrades+'!$AD$21,"F-",IF(J564&lt;'PlayerGrades+'!$AD$20,"F",IF(J564&lt;'PlayerGrades+'!$AD$19,"F+",IF(J564&lt;'PlayerGrades+'!$AD$18,"E-",IF(J564&lt;'PlayerGrades+'!$AD$17,"E",IF(J564&lt;'PlayerGrades+'!$AD$16,"E+",IF(J564&lt;'PlayerGrades+'!$AD$15,"D-",IF(J564&lt;'PlayerGrades+'!$AD$14,"D",IF(J564&lt;'PlayerGrades+'!$AD$13,"D+",IF(J564&lt;'PlayerGrades+'!$AD$12,"C-",IF(J564&lt;'PlayerGrades+'!$AD$11,"C",IF(J564&lt;'PlayerGrades+'!$AD$10,"C+",IF(J564&lt;'PlayerGrades+'!$AD$9,"B-",IF(J564&lt;'PlayerGrades+'!$AD$8,"B",IF(J564&lt;'PlayerGrades+'!$AD$7,"B+",IF(J564&lt;'PlayerGrades+'!$AD$6,"A-",IF(J564&lt;'PlayerGrades+'!$AD$5,"A",IF(J564&lt;'PlayerGrades+'!$AD$4,"A+",IF(J564&lt;'PlayerGrades+'!$AD$3,"S-",IF(J564&lt;'PlayerGrades+'!$AD$2,"S","S+"))))))))))))))))))))</f>
        <v>#DIV/0!</v>
      </c>
      <c r="L564" s="1176" t="str">
        <f t="shared" si="16"/>
        <v>#DIV/0!</v>
      </c>
      <c r="M564" s="992" t="str">
        <f>IF(L564&lt;'PlayerGrades+'!$AE$21,"F-",IF(L564&lt;'PlayerGrades+'!$AE$20,"F",IF(L564&lt;'PlayerGrades+'!$AE$19,"F+",IF(L564&lt;'PlayerGrades+'!$AE$18,"E-",IF(L564&lt;'PlayerGrades+'!$AE$17,"E",IF(L564&lt;'PlayerGrades+'!$AE$16,"E+",IF(L564&lt;'PlayerGrades+'!$AE$15,"D-",IF(L564&lt;'PlayerGrades+'!$AE$14,"D",IF(L564&lt;'PlayerGrades+'!$AE$13,"D+",IF(L564&lt;'PlayerGrades+'!$AE$12,"C-",IF(L564&lt;'PlayerGrades+'!$AE$11,"C",IF(L564&lt;'PlayerGrades+'!$AE$10,"C+",IF(L564&lt;'PlayerGrades+'!$AE$9,"B-",IF(L564&lt;'PlayerGrades+'!$AE$8,"B",IF(L564&lt;'PlayerGrades+'!$AE$7,"B+",IF(L564&lt;'PlayerGrades+'!$AE$6,"A-",IF(L564&lt;'PlayerGrades+'!$AE$5,"A",IF(L564&lt;'PlayerGrades+'!$AE$4,"A+",IF(L564&lt;'PlayerGrades+'!$AE$3,"S-",IF(L564&lt;'PlayerGrades+'!$AE$2,"S","S+"))))))))))))))))))))</f>
        <v>#DIV/0!</v>
      </c>
      <c r="N564" s="1423" t="str">
        <f t="shared" si="17"/>
        <v>#DIV/0!</v>
      </c>
      <c r="O564" s="1423" t="str">
        <f>IF(N564&lt;'PlayerGrades+'!$AF$21,"F-",IF(N564&lt;'PlayerGrades+'!$AF$20,"F",IF(N564&lt;'PlayerGrades+'!$AF$19,"F+",IF(N564&lt;'PlayerGrades+'!$AF$18,"E-",IF(N564&lt;'PlayerGrades+'!$AF$17,"E",IF(N564&lt;'PlayerGrades+'!$AF$16,"E+",IF(N564&lt;'PlayerGrades+'!$AF$15,"D-",IF(N564&lt;'PlayerGrades+'!$AF$14,"D",IF(N564&lt;'PlayerGrades+'!$AF$13,"D+",IF(N564&lt;'PlayerGrades+'!$AF$12,"C-",IF(N564&lt;'PlayerGrades+'!$AF$11,"C",IF(N564&lt;'PlayerGrades+'!$AF$10,"C+",IF(N564&lt;'PlayerGrades+'!$AF$9,"B-",IF(N564&lt;'PlayerGrades+'!$AF$8,"B",IF(N564&lt;'PlayerGrades+'!$AF$7,"B+",IF(N564&lt;'PlayerGrades+'!$AF$6,"A-",IF(N564&lt;'PlayerGrades+'!$AF$5,"A",IF(N564&lt;'PlayerGrades+'!$AF$4,"A+",IF(N564&lt;'PlayerGrades+'!$AF$3,"S-",IF(N564&lt;'PlayerGrades+'!$AF$2,"S","S+"))))))))))))))))))))</f>
        <v>#DIV/0!</v>
      </c>
      <c r="P564" s="1423" t="str">
        <f t="shared" si="18"/>
        <v>#DIV/0!</v>
      </c>
      <c r="Q564" s="1423" t="str">
        <f>IF(P564&lt;'PlayerGrades+'!$AG$21,"F-",IF(P564&lt;'PlayerGrades+'!$AG$20,"F",IF(P564&lt;'PlayerGrades+'!$AG$19,"F+",IF(P564&lt;'PlayerGrades+'!$AG$18,"E-",IF(P564&lt;'PlayerGrades+'!$AG$17,"E",IF(P564&lt;'PlayerGrades+'!$AG$16,"E+",IF(P564&lt;'PlayerGrades+'!$AG$15,"D-",IF(P564&lt;'PlayerGrades+'!$AG$14,"D",IF(P564&lt;'PlayerGrades+'!$AG$13,"D+",IF(P564&lt;'PlayerGrades+'!$AG$12,"C-",IF(P564&lt;'PlayerGrades+'!$AG$11,"C",IF(P564&lt;'PlayerGrades+'!$AG$10,"C+",IF(P564&lt;'PlayerGrades+'!$AG$9,"B-",IF(P564&lt;'PlayerGrades+'!$AG$8,"B",IF(P564&lt;'PlayerGrades+'!$AG$7,"B+",IF(P564&lt;'PlayerGrades+'!$AG$6,"A-",IF(P564&lt;'PlayerGrades+'!$AG$5,"A",IF(P564&lt;'PlayerGrades+'!$AG$4,"A+",IF(P564&lt;'PlayerGrades+'!$AG$3,"S-",IF(P564&lt;'PlayerGrades+'!$AG$2,"S","S+"))))))))))))))))))))</f>
        <v>#DIV/0!</v>
      </c>
      <c r="R564" s="1423" t="str">
        <f t="shared" si="19"/>
        <v>#REF!</v>
      </c>
      <c r="S564" s="1423" t="str">
        <f>IF(R564&lt;'PlayerGrades+'!$AH$21,"F-",IF(R564&lt;'PlayerGrades+'!$AH$20,"F",IF(R564&lt;'PlayerGrades+'!$AH$19,"F+",IF(R564&lt;'PlayerGrades+'!$AH$18,"E-",IF(R564&lt;'PlayerGrades+'!$AH$17,"E",IF(R564&lt;'PlayerGrades+'!$AH$16,"E+",IF(R564&lt;'PlayerGrades+'!$AH$15,"D-",IF(R564&lt;'PlayerGrades+'!$AH$14,"D",IF(R564&lt;'PlayerGrades+'!$AH$13,"D+",IF(R564&lt;'PlayerGrades+'!$AH$12,"C-",IF(R564&lt;'PlayerGrades+'!$AH$11,"C",IF(R564&lt;'PlayerGrades+'!$AH$10,"C+",IF(R564&lt;'PlayerGrades+'!$AH$9,"B-",IF(R564&lt;'PlayerGrades+'!$AH$8,"B",IF(R564&lt;'PlayerGrades+'!$AH$7,"B+",IF(R564&lt;'PlayerGrades+'!$AH$6,"A-",IF(R564&lt;'PlayerGrades+'!$AH$5,"A",IF(R564&lt;'PlayerGrades+'!$AH$4,"A+",IF(R564&lt;'PlayerGrades+'!$AH$3,"S-",IF(R564&lt;'PlayerGrades+'!$AH$2,"S","S+"))))))))))))))))))))</f>
        <v>#REF!</v>
      </c>
      <c r="T564" s="1423" t="str">
        <f t="shared" si="20"/>
        <v>#REF!</v>
      </c>
      <c r="U564" s="1423" t="str">
        <f>IF(T564&lt;'PlayerGrades+'!$AI$21,"F-",IF(T564&lt;'PlayerGrades+'!$AI$20,"F",IF(T564&lt;'PlayerGrades+'!$AI$19,"F+",IF(T564&lt;'PlayerGrades+'!$AI$18,"E-",IF(T564&lt;'PlayerGrades+'!$AI$17,"E",IF(T564&lt;'PlayerGrades+'!$AI$16,"E+",IF(T564&lt;'PlayerGrades+'!$AI$15,"D-",IF(T564&lt;'PlayerGrades+'!$AI$14,"D",IF(T564&lt;'PlayerGrades+'!$AI$13,"D+",IF(T564&lt;'PlayerGrades+'!$AI$12,"C-",IF(T564&lt;'PlayerGrades+'!$AI$11,"C",IF(T564&lt;'PlayerGrades+'!$AI$10,"C+",IF(T564&lt;'PlayerGrades+'!$AI$9,"B-",IF(T564&lt;'PlayerGrades+'!$AI$8,"B",IF(T564&lt;'PlayerGrades+'!$AI$7,"B+",IF(T564&lt;'PlayerGrades+'!$AI$6,"A-",IF(T564&lt;'PlayerGrades+'!$AI$5,"A",IF(T564&lt;'PlayerGrades+'!$AI$4,"A+",IF(T564&lt;'PlayerGrades+'!$AI$3,"S-",IF(T564&lt;'PlayerGrades+'!$AI$2,"S","S+"))))))))))))))))))))</f>
        <v>#REF!</v>
      </c>
      <c r="V564" s="1431"/>
      <c r="W564" s="1431"/>
      <c r="X564" s="1431"/>
      <c r="Y564" s="1431"/>
      <c r="Z564" s="1431"/>
      <c r="AA564" s="1431"/>
      <c r="AB564" s="1431"/>
      <c r="AC564" s="1432"/>
      <c r="AD564" s="1431"/>
      <c r="AE564" s="1431"/>
      <c r="AF564" s="1431"/>
      <c r="AG564" s="1431"/>
      <c r="AH564" s="1431"/>
      <c r="AI564" s="1431"/>
      <c r="AJ564" s="1431"/>
      <c r="AK564" s="1431"/>
      <c r="AL564" s="1431"/>
      <c r="AM564" s="1431"/>
      <c r="AN564" s="1431"/>
      <c r="AO564" s="1431"/>
      <c r="AP564" s="1431"/>
      <c r="AQ564" s="1431"/>
      <c r="AR564" s="1431"/>
      <c r="AS564" s="1431"/>
      <c r="AT564" s="1431"/>
      <c r="AU564" s="1431"/>
      <c r="AV564" s="1431"/>
      <c r="AW564" s="1431"/>
      <c r="AX564" s="1431"/>
      <c r="AY564" s="1431"/>
      <c r="AZ564" s="1431"/>
    </row>
    <row r="565">
      <c r="A565" s="1391"/>
      <c r="B565" s="1421" t="str">
        <f>IF(C565&lt;'PlayerGrades+'!$Y$44,"F-",IF(C565&lt;'PlayerGrades+'!$Y$43,"F",IF(C565&lt;'PlayerGrades+'!$Y$42,"F+",IF(C565&lt;'PlayerGrades+'!$Y$41,"E-",IF(C565&lt;'PlayerGrades+'!$Y$40,"E",IF(C565&lt;'PlayerGrades+'!$Y$39,"E+",IF(C565&lt;'PlayerGrades+'!$Y$38,"D-",IF(C565&lt;'PlayerGrades+'!$Y$37,"D",IF(C565&lt;'PlayerGrades+'!$Y$36,"D+",IF(C565&lt;'PlayerGrades+'!$Y$35,"C-",IF(C565&lt;'PlayerGrades+'!$Y$34,"C",IF(C565&lt;'PlayerGrades+'!$Y$33,"C+",IF(C565&lt;'PlayerGrades+'!$Y$32,"B-",IF(C565&lt;'PlayerGrades+'!$Y$31,"B",IF(C565&lt;'PlayerGrades+'!$Y$30,"B+",IF(C565&lt;'PlayerGrades+'!$Y$29,"A-",IF(C565&lt;'PlayerGrades+'!$Y$28,"A",IF(C565&lt;'PlayerGrades+'!$Y$27,"A+",IF(C565&lt;'PlayerGrades+'!$Y$26,"S-",IF(C565&lt;'PlayerGrades+'!$Y$25,"S","S+"))))))))))))))))))))</f>
        <v>#DIV/0!</v>
      </c>
      <c r="C565" s="1422" t="str">
        <f>('PlayerGrades+'!$Y$47*(VLOOKUP(E565, 'PlayerGrades+'!$X$3:$Y$23, 2, FALSE)))+('PlayerGrades+'!$Y$48*(VLOOKUP(G565, 'PlayerGrades+'!$X$3:$Y$23, 2, FALSE)))+('PlayerGrades+'!$Y$49*(VLOOKUP(I565, 'PlayerGrades+'!$X$3:$Y$23, 2, FALSE)))+('PlayerGrades+'!$Y$50*(VLOOKUP(K565, 'PlayerGrades+'!$X$3:$Y$23, 2, FALSE)))+('PlayerGrades+'!$Y$51*(VLOOKUP(M565, 'PlayerGrades+'!$X$3:$Y$23, 2, FALSE)))+('PlayerGrades+'!$Y$52*(VLOOKUP(O565, 'PlayerGrades+'!$X$3:$Y$23, 2, FALSE)))+('PlayerGrades+'!$Y$53*(VLOOKUP(Q565, 'PlayerGrades+'!$X$3:$Y$23, 2, FALSE)))+('PlayerGrades+'!$Y$54*(VLOOKUP(S565, 'PlayerGrades+'!$X$3:$Y$23, 2, FALSE)))+('PlayerGrades+'!$Y$55*(VLOOKUP(U565, 'PlayerGrades+'!$X$3:$Y$23, 2, FALSE)))</f>
        <v>#DIV/0!</v>
      </c>
      <c r="D565" s="1423" t="str">
        <f t="shared" si="12"/>
        <v>#DIV/0!</v>
      </c>
      <c r="E565" s="1423" t="str">
        <f>IF(D565&lt;'PlayerGrades+'!$AA$21,"F-",IF(D565&lt;'PlayerGrades+'!$AA$20,"F",IF(D565&lt;'PlayerGrades+'!$AA$19,"F+",IF(D565&lt;'PlayerGrades+'!$AA$18,"E-",IF(D565&lt;'PlayerGrades+'!$AA$17,"E",IF(D565&lt;'PlayerGrades+'!$AA$16,"E+",IF(D565&lt;'PlayerGrades+'!$AA$15,"D-",IF(D565&lt;'PlayerGrades+'!$AA$14,"D",IF(D565&lt;'PlayerGrades+'!$AA$13,"D+",IF(D565&lt;'PlayerGrades+'!$AA$12,"C-",IF(D565&lt;'PlayerGrades+'!$AA$11,"C",IF(D565&lt;'PlayerGrades+'!$AA$10,"C+",IF(D565&lt;'PlayerGrades+'!$AA$9,"B-",IF(D565&lt;'PlayerGrades+'!$AA$8,"B",IF(D565&lt;'PlayerGrades+'!$AA$7,"B+",IF(D565&lt;'PlayerGrades+'!$AA$6,"A-",IF(D565&lt;'PlayerGrades+'!$AA$5,"A",IF(D565&lt;'PlayerGrades+'!$AA$4,"A+",IF(D565&lt;'PlayerGrades+'!$AA$3,"S-",IF(D565&lt;'PlayerGrades+'!$AA$2,"S","S+"))))))))))))))))))))</f>
        <v>#DIV/0!</v>
      </c>
      <c r="F565" s="1423" t="str">
        <f t="shared" si="13"/>
        <v>#DIV/0!</v>
      </c>
      <c r="G565" s="1423" t="str">
        <f>IF(F565&lt;'PlayerGrades+'!$AB$21,"F-",IF(F565&lt;'PlayerGrades+'!$AB$20,"F",IF(F565&lt;'PlayerGrades+'!$AB$19,"F+",IF(F565&lt;'PlayerGrades+'!$AB$18,"E-",IF(F565&lt;'PlayerGrades+'!$AB$17,"E",IF(F565&lt;'PlayerGrades+'!$AB$16,"E+",IF(F565&lt;'PlayerGrades+'!$AB$15,"D-",IF(F565&lt;'PlayerGrades+'!$AB$14,"D",IF(F565&lt;'PlayerGrades+'!$AB$13,"D+",IF(F565&lt;'PlayerGrades+'!$AB$12,"C-",IF(F565&lt;'PlayerGrades+'!$AB$11,"C",IF(F565&lt;'PlayerGrades+'!$AB$10,"C+",IF(F565&lt;'PlayerGrades+'!$AB$9,"B-",IF(F565&lt;'PlayerGrades+'!$AB$8,"B",IF(F565&lt;'PlayerGrades+'!$AB$7,"B+",IF(F565&lt;'PlayerGrades+'!$AB$6,"A-",IF(F565&lt;'PlayerGrades+'!$AB$5,"A",IF(F565&lt;'PlayerGrades+'!$AB$4,"A+",IF(F565&lt;'PlayerGrades+'!$AB$3,"S-",IF(F565&lt;'PlayerGrades+'!$AB$2,"S","S+"))))))))))))))))))))</f>
        <v>#DIV/0!</v>
      </c>
      <c r="H565" s="1423" t="str">
        <f t="shared" si="14"/>
        <v>#DIV/0!</v>
      </c>
      <c r="I565" s="1423" t="str">
        <f>IF(H565&lt;'PlayerGrades+'!$AC$21,"F-",IF(H565&lt;'PlayerGrades+'!$AC$20,"F",IF(H565&lt;'PlayerGrades+'!$AC$19,"F+",IF(H565&lt;'PlayerGrades+'!$AC$18,"E-",IF(H565&lt;'PlayerGrades+'!$AC$17,"E",IF(H565&lt;'PlayerGrades+'!$AC$16,"E+",IF(H565&lt;'PlayerGrades+'!$AC$15,"D-",IF(H565&lt;'PlayerGrades+'!$AC$14,"D",IF(H565&lt;'PlayerGrades+'!$AC$13,"D+",IF(H565&lt;'PlayerGrades+'!$AC$12,"C-",IF(H565&lt;'PlayerGrades+'!$AC$11,"C",IF(H565&lt;'PlayerGrades+'!$AC$10,"C+",IF(H565&lt;'PlayerGrades+'!$AC$9,"B-",IF(H565&lt;'PlayerGrades+'!$AC$8,"B",IF(H565&lt;'PlayerGrades+'!$AC$7,"B+",IF(H565&lt;'PlayerGrades+'!$AC$6,"A-",IF(H565&lt;'PlayerGrades+'!$AC$5,"A",IF(H565&lt;'PlayerGrades+'!$AC$4,"A+",IF(H565&lt;'PlayerGrades+'!$AC$3,"S-",IF(H565&lt;'PlayerGrades+'!$AC$2,"S","S+"))))))))))))))))))))</f>
        <v>#DIV/0!</v>
      </c>
      <c r="J565" s="1423" t="str">
        <f t="shared" si="15"/>
        <v>#DIV/0!</v>
      </c>
      <c r="K565" s="1423" t="str">
        <f>IF(J565&lt;'PlayerGrades+'!$AD$21,"F-",IF(J565&lt;'PlayerGrades+'!$AD$20,"F",IF(J565&lt;'PlayerGrades+'!$AD$19,"F+",IF(J565&lt;'PlayerGrades+'!$AD$18,"E-",IF(J565&lt;'PlayerGrades+'!$AD$17,"E",IF(J565&lt;'PlayerGrades+'!$AD$16,"E+",IF(J565&lt;'PlayerGrades+'!$AD$15,"D-",IF(J565&lt;'PlayerGrades+'!$AD$14,"D",IF(J565&lt;'PlayerGrades+'!$AD$13,"D+",IF(J565&lt;'PlayerGrades+'!$AD$12,"C-",IF(J565&lt;'PlayerGrades+'!$AD$11,"C",IF(J565&lt;'PlayerGrades+'!$AD$10,"C+",IF(J565&lt;'PlayerGrades+'!$AD$9,"B-",IF(J565&lt;'PlayerGrades+'!$AD$8,"B",IF(J565&lt;'PlayerGrades+'!$AD$7,"B+",IF(J565&lt;'PlayerGrades+'!$AD$6,"A-",IF(J565&lt;'PlayerGrades+'!$AD$5,"A",IF(J565&lt;'PlayerGrades+'!$AD$4,"A+",IF(J565&lt;'PlayerGrades+'!$AD$3,"S-",IF(J565&lt;'PlayerGrades+'!$AD$2,"S","S+"))))))))))))))))))))</f>
        <v>#DIV/0!</v>
      </c>
      <c r="L565" s="1176" t="str">
        <f t="shared" si="16"/>
        <v>#DIV/0!</v>
      </c>
      <c r="M565" s="992" t="str">
        <f>IF(L565&lt;'PlayerGrades+'!$AE$21,"F-",IF(L565&lt;'PlayerGrades+'!$AE$20,"F",IF(L565&lt;'PlayerGrades+'!$AE$19,"F+",IF(L565&lt;'PlayerGrades+'!$AE$18,"E-",IF(L565&lt;'PlayerGrades+'!$AE$17,"E",IF(L565&lt;'PlayerGrades+'!$AE$16,"E+",IF(L565&lt;'PlayerGrades+'!$AE$15,"D-",IF(L565&lt;'PlayerGrades+'!$AE$14,"D",IF(L565&lt;'PlayerGrades+'!$AE$13,"D+",IF(L565&lt;'PlayerGrades+'!$AE$12,"C-",IF(L565&lt;'PlayerGrades+'!$AE$11,"C",IF(L565&lt;'PlayerGrades+'!$AE$10,"C+",IF(L565&lt;'PlayerGrades+'!$AE$9,"B-",IF(L565&lt;'PlayerGrades+'!$AE$8,"B",IF(L565&lt;'PlayerGrades+'!$AE$7,"B+",IF(L565&lt;'PlayerGrades+'!$AE$6,"A-",IF(L565&lt;'PlayerGrades+'!$AE$5,"A",IF(L565&lt;'PlayerGrades+'!$AE$4,"A+",IF(L565&lt;'PlayerGrades+'!$AE$3,"S-",IF(L565&lt;'PlayerGrades+'!$AE$2,"S","S+"))))))))))))))))))))</f>
        <v>#DIV/0!</v>
      </c>
      <c r="N565" s="1423" t="str">
        <f t="shared" si="17"/>
        <v>#DIV/0!</v>
      </c>
      <c r="O565" s="1423" t="str">
        <f>IF(N565&lt;'PlayerGrades+'!$AF$21,"F-",IF(N565&lt;'PlayerGrades+'!$AF$20,"F",IF(N565&lt;'PlayerGrades+'!$AF$19,"F+",IF(N565&lt;'PlayerGrades+'!$AF$18,"E-",IF(N565&lt;'PlayerGrades+'!$AF$17,"E",IF(N565&lt;'PlayerGrades+'!$AF$16,"E+",IF(N565&lt;'PlayerGrades+'!$AF$15,"D-",IF(N565&lt;'PlayerGrades+'!$AF$14,"D",IF(N565&lt;'PlayerGrades+'!$AF$13,"D+",IF(N565&lt;'PlayerGrades+'!$AF$12,"C-",IF(N565&lt;'PlayerGrades+'!$AF$11,"C",IF(N565&lt;'PlayerGrades+'!$AF$10,"C+",IF(N565&lt;'PlayerGrades+'!$AF$9,"B-",IF(N565&lt;'PlayerGrades+'!$AF$8,"B",IF(N565&lt;'PlayerGrades+'!$AF$7,"B+",IF(N565&lt;'PlayerGrades+'!$AF$6,"A-",IF(N565&lt;'PlayerGrades+'!$AF$5,"A",IF(N565&lt;'PlayerGrades+'!$AF$4,"A+",IF(N565&lt;'PlayerGrades+'!$AF$3,"S-",IF(N565&lt;'PlayerGrades+'!$AF$2,"S","S+"))))))))))))))))))))</f>
        <v>#DIV/0!</v>
      </c>
      <c r="P565" s="1423" t="str">
        <f t="shared" si="18"/>
        <v>#DIV/0!</v>
      </c>
      <c r="Q565" s="1423" t="str">
        <f>IF(P565&lt;'PlayerGrades+'!$AG$21,"F-",IF(P565&lt;'PlayerGrades+'!$AG$20,"F",IF(P565&lt;'PlayerGrades+'!$AG$19,"F+",IF(P565&lt;'PlayerGrades+'!$AG$18,"E-",IF(P565&lt;'PlayerGrades+'!$AG$17,"E",IF(P565&lt;'PlayerGrades+'!$AG$16,"E+",IF(P565&lt;'PlayerGrades+'!$AG$15,"D-",IF(P565&lt;'PlayerGrades+'!$AG$14,"D",IF(P565&lt;'PlayerGrades+'!$AG$13,"D+",IF(P565&lt;'PlayerGrades+'!$AG$12,"C-",IF(P565&lt;'PlayerGrades+'!$AG$11,"C",IF(P565&lt;'PlayerGrades+'!$AG$10,"C+",IF(P565&lt;'PlayerGrades+'!$AG$9,"B-",IF(P565&lt;'PlayerGrades+'!$AG$8,"B",IF(P565&lt;'PlayerGrades+'!$AG$7,"B+",IF(P565&lt;'PlayerGrades+'!$AG$6,"A-",IF(P565&lt;'PlayerGrades+'!$AG$5,"A",IF(P565&lt;'PlayerGrades+'!$AG$4,"A+",IF(P565&lt;'PlayerGrades+'!$AG$3,"S-",IF(P565&lt;'PlayerGrades+'!$AG$2,"S","S+"))))))))))))))))))))</f>
        <v>#DIV/0!</v>
      </c>
      <c r="R565" s="1423" t="str">
        <f t="shared" si="19"/>
        <v>#REF!</v>
      </c>
      <c r="S565" s="1423" t="str">
        <f>IF(R565&lt;'PlayerGrades+'!$AH$21,"F-",IF(R565&lt;'PlayerGrades+'!$AH$20,"F",IF(R565&lt;'PlayerGrades+'!$AH$19,"F+",IF(R565&lt;'PlayerGrades+'!$AH$18,"E-",IF(R565&lt;'PlayerGrades+'!$AH$17,"E",IF(R565&lt;'PlayerGrades+'!$AH$16,"E+",IF(R565&lt;'PlayerGrades+'!$AH$15,"D-",IF(R565&lt;'PlayerGrades+'!$AH$14,"D",IF(R565&lt;'PlayerGrades+'!$AH$13,"D+",IF(R565&lt;'PlayerGrades+'!$AH$12,"C-",IF(R565&lt;'PlayerGrades+'!$AH$11,"C",IF(R565&lt;'PlayerGrades+'!$AH$10,"C+",IF(R565&lt;'PlayerGrades+'!$AH$9,"B-",IF(R565&lt;'PlayerGrades+'!$AH$8,"B",IF(R565&lt;'PlayerGrades+'!$AH$7,"B+",IF(R565&lt;'PlayerGrades+'!$AH$6,"A-",IF(R565&lt;'PlayerGrades+'!$AH$5,"A",IF(R565&lt;'PlayerGrades+'!$AH$4,"A+",IF(R565&lt;'PlayerGrades+'!$AH$3,"S-",IF(R565&lt;'PlayerGrades+'!$AH$2,"S","S+"))))))))))))))))))))</f>
        <v>#REF!</v>
      </c>
      <c r="T565" s="1423" t="str">
        <f t="shared" si="20"/>
        <v>#REF!</v>
      </c>
      <c r="U565" s="1423" t="str">
        <f>IF(T565&lt;'PlayerGrades+'!$AI$21,"F-",IF(T565&lt;'PlayerGrades+'!$AI$20,"F",IF(T565&lt;'PlayerGrades+'!$AI$19,"F+",IF(T565&lt;'PlayerGrades+'!$AI$18,"E-",IF(T565&lt;'PlayerGrades+'!$AI$17,"E",IF(T565&lt;'PlayerGrades+'!$AI$16,"E+",IF(T565&lt;'PlayerGrades+'!$AI$15,"D-",IF(T565&lt;'PlayerGrades+'!$AI$14,"D",IF(T565&lt;'PlayerGrades+'!$AI$13,"D+",IF(T565&lt;'PlayerGrades+'!$AI$12,"C-",IF(T565&lt;'PlayerGrades+'!$AI$11,"C",IF(T565&lt;'PlayerGrades+'!$AI$10,"C+",IF(T565&lt;'PlayerGrades+'!$AI$9,"B-",IF(T565&lt;'PlayerGrades+'!$AI$8,"B",IF(T565&lt;'PlayerGrades+'!$AI$7,"B+",IF(T565&lt;'PlayerGrades+'!$AI$6,"A-",IF(T565&lt;'PlayerGrades+'!$AI$5,"A",IF(T565&lt;'PlayerGrades+'!$AI$4,"A+",IF(T565&lt;'PlayerGrades+'!$AI$3,"S-",IF(T565&lt;'PlayerGrades+'!$AI$2,"S","S+"))))))))))))))))))))</f>
        <v>#REF!</v>
      </c>
      <c r="V565" s="1431"/>
      <c r="W565" s="1431"/>
      <c r="X565" s="1431"/>
      <c r="Y565" s="1431"/>
      <c r="Z565" s="1431"/>
      <c r="AA565" s="1431"/>
      <c r="AB565" s="1431"/>
      <c r="AC565" s="1432"/>
      <c r="AD565" s="1431"/>
      <c r="AE565" s="1431"/>
      <c r="AF565" s="1431"/>
      <c r="AG565" s="1431"/>
      <c r="AH565" s="1431"/>
      <c r="AI565" s="1431"/>
      <c r="AJ565" s="1431"/>
      <c r="AK565" s="1431"/>
      <c r="AL565" s="1431"/>
      <c r="AM565" s="1431"/>
      <c r="AN565" s="1431"/>
      <c r="AO565" s="1431"/>
      <c r="AP565" s="1431"/>
      <c r="AQ565" s="1431"/>
      <c r="AR565" s="1431"/>
      <c r="AS565" s="1431"/>
      <c r="AT565" s="1431"/>
      <c r="AU565" s="1431"/>
      <c r="AV565" s="1431"/>
      <c r="AW565" s="1431"/>
      <c r="AX565" s="1431"/>
      <c r="AY565" s="1431"/>
      <c r="AZ565" s="1431"/>
    </row>
    <row r="566">
      <c r="A566" s="1391"/>
      <c r="B566" s="1421" t="str">
        <f>IF(C566&lt;'PlayerGrades+'!$Y$44,"F-",IF(C566&lt;'PlayerGrades+'!$Y$43,"F",IF(C566&lt;'PlayerGrades+'!$Y$42,"F+",IF(C566&lt;'PlayerGrades+'!$Y$41,"E-",IF(C566&lt;'PlayerGrades+'!$Y$40,"E",IF(C566&lt;'PlayerGrades+'!$Y$39,"E+",IF(C566&lt;'PlayerGrades+'!$Y$38,"D-",IF(C566&lt;'PlayerGrades+'!$Y$37,"D",IF(C566&lt;'PlayerGrades+'!$Y$36,"D+",IF(C566&lt;'PlayerGrades+'!$Y$35,"C-",IF(C566&lt;'PlayerGrades+'!$Y$34,"C",IF(C566&lt;'PlayerGrades+'!$Y$33,"C+",IF(C566&lt;'PlayerGrades+'!$Y$32,"B-",IF(C566&lt;'PlayerGrades+'!$Y$31,"B",IF(C566&lt;'PlayerGrades+'!$Y$30,"B+",IF(C566&lt;'PlayerGrades+'!$Y$29,"A-",IF(C566&lt;'PlayerGrades+'!$Y$28,"A",IF(C566&lt;'PlayerGrades+'!$Y$27,"A+",IF(C566&lt;'PlayerGrades+'!$Y$26,"S-",IF(C566&lt;'PlayerGrades+'!$Y$25,"S","S+"))))))))))))))))))))</f>
        <v>#DIV/0!</v>
      </c>
      <c r="C566" s="1422" t="str">
        <f>('PlayerGrades+'!$Y$47*(VLOOKUP(E566, 'PlayerGrades+'!$X$3:$Y$23, 2, FALSE)))+('PlayerGrades+'!$Y$48*(VLOOKUP(G566, 'PlayerGrades+'!$X$3:$Y$23, 2, FALSE)))+('PlayerGrades+'!$Y$49*(VLOOKUP(I566, 'PlayerGrades+'!$X$3:$Y$23, 2, FALSE)))+('PlayerGrades+'!$Y$50*(VLOOKUP(K566, 'PlayerGrades+'!$X$3:$Y$23, 2, FALSE)))+('PlayerGrades+'!$Y$51*(VLOOKUP(M566, 'PlayerGrades+'!$X$3:$Y$23, 2, FALSE)))+('PlayerGrades+'!$Y$52*(VLOOKUP(O566, 'PlayerGrades+'!$X$3:$Y$23, 2, FALSE)))+('PlayerGrades+'!$Y$53*(VLOOKUP(Q566, 'PlayerGrades+'!$X$3:$Y$23, 2, FALSE)))+('PlayerGrades+'!$Y$54*(VLOOKUP(S566, 'PlayerGrades+'!$X$3:$Y$23, 2, FALSE)))+('PlayerGrades+'!$Y$55*(VLOOKUP(U566, 'PlayerGrades+'!$X$3:$Y$23, 2, FALSE)))</f>
        <v>#DIV/0!</v>
      </c>
      <c r="D566" s="1423" t="str">
        <f t="shared" si="12"/>
        <v>#DIV/0!</v>
      </c>
      <c r="E566" s="1423" t="str">
        <f>IF(D566&lt;'PlayerGrades+'!$AA$21,"F-",IF(D566&lt;'PlayerGrades+'!$AA$20,"F",IF(D566&lt;'PlayerGrades+'!$AA$19,"F+",IF(D566&lt;'PlayerGrades+'!$AA$18,"E-",IF(D566&lt;'PlayerGrades+'!$AA$17,"E",IF(D566&lt;'PlayerGrades+'!$AA$16,"E+",IF(D566&lt;'PlayerGrades+'!$AA$15,"D-",IF(D566&lt;'PlayerGrades+'!$AA$14,"D",IF(D566&lt;'PlayerGrades+'!$AA$13,"D+",IF(D566&lt;'PlayerGrades+'!$AA$12,"C-",IF(D566&lt;'PlayerGrades+'!$AA$11,"C",IF(D566&lt;'PlayerGrades+'!$AA$10,"C+",IF(D566&lt;'PlayerGrades+'!$AA$9,"B-",IF(D566&lt;'PlayerGrades+'!$AA$8,"B",IF(D566&lt;'PlayerGrades+'!$AA$7,"B+",IF(D566&lt;'PlayerGrades+'!$AA$6,"A-",IF(D566&lt;'PlayerGrades+'!$AA$5,"A",IF(D566&lt;'PlayerGrades+'!$AA$4,"A+",IF(D566&lt;'PlayerGrades+'!$AA$3,"S-",IF(D566&lt;'PlayerGrades+'!$AA$2,"S","S+"))))))))))))))))))))</f>
        <v>#DIV/0!</v>
      </c>
      <c r="F566" s="1423" t="str">
        <f t="shared" si="13"/>
        <v>#DIV/0!</v>
      </c>
      <c r="G566" s="1423" t="str">
        <f>IF(F566&lt;'PlayerGrades+'!$AB$21,"F-",IF(F566&lt;'PlayerGrades+'!$AB$20,"F",IF(F566&lt;'PlayerGrades+'!$AB$19,"F+",IF(F566&lt;'PlayerGrades+'!$AB$18,"E-",IF(F566&lt;'PlayerGrades+'!$AB$17,"E",IF(F566&lt;'PlayerGrades+'!$AB$16,"E+",IF(F566&lt;'PlayerGrades+'!$AB$15,"D-",IF(F566&lt;'PlayerGrades+'!$AB$14,"D",IF(F566&lt;'PlayerGrades+'!$AB$13,"D+",IF(F566&lt;'PlayerGrades+'!$AB$12,"C-",IF(F566&lt;'PlayerGrades+'!$AB$11,"C",IF(F566&lt;'PlayerGrades+'!$AB$10,"C+",IF(F566&lt;'PlayerGrades+'!$AB$9,"B-",IF(F566&lt;'PlayerGrades+'!$AB$8,"B",IF(F566&lt;'PlayerGrades+'!$AB$7,"B+",IF(F566&lt;'PlayerGrades+'!$AB$6,"A-",IF(F566&lt;'PlayerGrades+'!$AB$5,"A",IF(F566&lt;'PlayerGrades+'!$AB$4,"A+",IF(F566&lt;'PlayerGrades+'!$AB$3,"S-",IF(F566&lt;'PlayerGrades+'!$AB$2,"S","S+"))))))))))))))))))))</f>
        <v>#DIV/0!</v>
      </c>
      <c r="H566" s="1423" t="str">
        <f t="shared" si="14"/>
        <v>#DIV/0!</v>
      </c>
      <c r="I566" s="1423" t="str">
        <f>IF(H566&lt;'PlayerGrades+'!$AC$21,"F-",IF(H566&lt;'PlayerGrades+'!$AC$20,"F",IF(H566&lt;'PlayerGrades+'!$AC$19,"F+",IF(H566&lt;'PlayerGrades+'!$AC$18,"E-",IF(H566&lt;'PlayerGrades+'!$AC$17,"E",IF(H566&lt;'PlayerGrades+'!$AC$16,"E+",IF(H566&lt;'PlayerGrades+'!$AC$15,"D-",IF(H566&lt;'PlayerGrades+'!$AC$14,"D",IF(H566&lt;'PlayerGrades+'!$AC$13,"D+",IF(H566&lt;'PlayerGrades+'!$AC$12,"C-",IF(H566&lt;'PlayerGrades+'!$AC$11,"C",IF(H566&lt;'PlayerGrades+'!$AC$10,"C+",IF(H566&lt;'PlayerGrades+'!$AC$9,"B-",IF(H566&lt;'PlayerGrades+'!$AC$8,"B",IF(H566&lt;'PlayerGrades+'!$AC$7,"B+",IF(H566&lt;'PlayerGrades+'!$AC$6,"A-",IF(H566&lt;'PlayerGrades+'!$AC$5,"A",IF(H566&lt;'PlayerGrades+'!$AC$4,"A+",IF(H566&lt;'PlayerGrades+'!$AC$3,"S-",IF(H566&lt;'PlayerGrades+'!$AC$2,"S","S+"))))))))))))))))))))</f>
        <v>#DIV/0!</v>
      </c>
      <c r="J566" s="1423" t="str">
        <f t="shared" si="15"/>
        <v>#DIV/0!</v>
      </c>
      <c r="K566" s="1423" t="str">
        <f>IF(J566&lt;'PlayerGrades+'!$AD$21,"F-",IF(J566&lt;'PlayerGrades+'!$AD$20,"F",IF(J566&lt;'PlayerGrades+'!$AD$19,"F+",IF(J566&lt;'PlayerGrades+'!$AD$18,"E-",IF(J566&lt;'PlayerGrades+'!$AD$17,"E",IF(J566&lt;'PlayerGrades+'!$AD$16,"E+",IF(J566&lt;'PlayerGrades+'!$AD$15,"D-",IF(J566&lt;'PlayerGrades+'!$AD$14,"D",IF(J566&lt;'PlayerGrades+'!$AD$13,"D+",IF(J566&lt;'PlayerGrades+'!$AD$12,"C-",IF(J566&lt;'PlayerGrades+'!$AD$11,"C",IF(J566&lt;'PlayerGrades+'!$AD$10,"C+",IF(J566&lt;'PlayerGrades+'!$AD$9,"B-",IF(J566&lt;'PlayerGrades+'!$AD$8,"B",IF(J566&lt;'PlayerGrades+'!$AD$7,"B+",IF(J566&lt;'PlayerGrades+'!$AD$6,"A-",IF(J566&lt;'PlayerGrades+'!$AD$5,"A",IF(J566&lt;'PlayerGrades+'!$AD$4,"A+",IF(J566&lt;'PlayerGrades+'!$AD$3,"S-",IF(J566&lt;'PlayerGrades+'!$AD$2,"S","S+"))))))))))))))))))))</f>
        <v>#DIV/0!</v>
      </c>
      <c r="L566" s="1176" t="str">
        <f t="shared" si="16"/>
        <v>#DIV/0!</v>
      </c>
      <c r="M566" s="992" t="str">
        <f>IF(L566&lt;'PlayerGrades+'!$AE$21,"F-",IF(L566&lt;'PlayerGrades+'!$AE$20,"F",IF(L566&lt;'PlayerGrades+'!$AE$19,"F+",IF(L566&lt;'PlayerGrades+'!$AE$18,"E-",IF(L566&lt;'PlayerGrades+'!$AE$17,"E",IF(L566&lt;'PlayerGrades+'!$AE$16,"E+",IF(L566&lt;'PlayerGrades+'!$AE$15,"D-",IF(L566&lt;'PlayerGrades+'!$AE$14,"D",IF(L566&lt;'PlayerGrades+'!$AE$13,"D+",IF(L566&lt;'PlayerGrades+'!$AE$12,"C-",IF(L566&lt;'PlayerGrades+'!$AE$11,"C",IF(L566&lt;'PlayerGrades+'!$AE$10,"C+",IF(L566&lt;'PlayerGrades+'!$AE$9,"B-",IF(L566&lt;'PlayerGrades+'!$AE$8,"B",IF(L566&lt;'PlayerGrades+'!$AE$7,"B+",IF(L566&lt;'PlayerGrades+'!$AE$6,"A-",IF(L566&lt;'PlayerGrades+'!$AE$5,"A",IF(L566&lt;'PlayerGrades+'!$AE$4,"A+",IF(L566&lt;'PlayerGrades+'!$AE$3,"S-",IF(L566&lt;'PlayerGrades+'!$AE$2,"S","S+"))))))))))))))))))))</f>
        <v>#DIV/0!</v>
      </c>
      <c r="N566" s="1423" t="str">
        <f t="shared" si="17"/>
        <v>#DIV/0!</v>
      </c>
      <c r="O566" s="1423" t="str">
        <f>IF(N566&lt;'PlayerGrades+'!$AF$21,"F-",IF(N566&lt;'PlayerGrades+'!$AF$20,"F",IF(N566&lt;'PlayerGrades+'!$AF$19,"F+",IF(N566&lt;'PlayerGrades+'!$AF$18,"E-",IF(N566&lt;'PlayerGrades+'!$AF$17,"E",IF(N566&lt;'PlayerGrades+'!$AF$16,"E+",IF(N566&lt;'PlayerGrades+'!$AF$15,"D-",IF(N566&lt;'PlayerGrades+'!$AF$14,"D",IF(N566&lt;'PlayerGrades+'!$AF$13,"D+",IF(N566&lt;'PlayerGrades+'!$AF$12,"C-",IF(N566&lt;'PlayerGrades+'!$AF$11,"C",IF(N566&lt;'PlayerGrades+'!$AF$10,"C+",IF(N566&lt;'PlayerGrades+'!$AF$9,"B-",IF(N566&lt;'PlayerGrades+'!$AF$8,"B",IF(N566&lt;'PlayerGrades+'!$AF$7,"B+",IF(N566&lt;'PlayerGrades+'!$AF$6,"A-",IF(N566&lt;'PlayerGrades+'!$AF$5,"A",IF(N566&lt;'PlayerGrades+'!$AF$4,"A+",IF(N566&lt;'PlayerGrades+'!$AF$3,"S-",IF(N566&lt;'PlayerGrades+'!$AF$2,"S","S+"))))))))))))))))))))</f>
        <v>#DIV/0!</v>
      </c>
      <c r="P566" s="1423" t="str">
        <f t="shared" si="18"/>
        <v>#DIV/0!</v>
      </c>
      <c r="Q566" s="1423" t="str">
        <f>IF(P566&lt;'PlayerGrades+'!$AG$21,"F-",IF(P566&lt;'PlayerGrades+'!$AG$20,"F",IF(P566&lt;'PlayerGrades+'!$AG$19,"F+",IF(P566&lt;'PlayerGrades+'!$AG$18,"E-",IF(P566&lt;'PlayerGrades+'!$AG$17,"E",IF(P566&lt;'PlayerGrades+'!$AG$16,"E+",IF(P566&lt;'PlayerGrades+'!$AG$15,"D-",IF(P566&lt;'PlayerGrades+'!$AG$14,"D",IF(P566&lt;'PlayerGrades+'!$AG$13,"D+",IF(P566&lt;'PlayerGrades+'!$AG$12,"C-",IF(P566&lt;'PlayerGrades+'!$AG$11,"C",IF(P566&lt;'PlayerGrades+'!$AG$10,"C+",IF(P566&lt;'PlayerGrades+'!$AG$9,"B-",IF(P566&lt;'PlayerGrades+'!$AG$8,"B",IF(P566&lt;'PlayerGrades+'!$AG$7,"B+",IF(P566&lt;'PlayerGrades+'!$AG$6,"A-",IF(P566&lt;'PlayerGrades+'!$AG$5,"A",IF(P566&lt;'PlayerGrades+'!$AG$4,"A+",IF(P566&lt;'PlayerGrades+'!$AG$3,"S-",IF(P566&lt;'PlayerGrades+'!$AG$2,"S","S+"))))))))))))))))))))</f>
        <v>#DIV/0!</v>
      </c>
      <c r="R566" s="1423" t="str">
        <f t="shared" si="19"/>
        <v>#REF!</v>
      </c>
      <c r="S566" s="1423" t="str">
        <f>IF(R566&lt;'PlayerGrades+'!$AH$21,"F-",IF(R566&lt;'PlayerGrades+'!$AH$20,"F",IF(R566&lt;'PlayerGrades+'!$AH$19,"F+",IF(R566&lt;'PlayerGrades+'!$AH$18,"E-",IF(R566&lt;'PlayerGrades+'!$AH$17,"E",IF(R566&lt;'PlayerGrades+'!$AH$16,"E+",IF(R566&lt;'PlayerGrades+'!$AH$15,"D-",IF(R566&lt;'PlayerGrades+'!$AH$14,"D",IF(R566&lt;'PlayerGrades+'!$AH$13,"D+",IF(R566&lt;'PlayerGrades+'!$AH$12,"C-",IF(R566&lt;'PlayerGrades+'!$AH$11,"C",IF(R566&lt;'PlayerGrades+'!$AH$10,"C+",IF(R566&lt;'PlayerGrades+'!$AH$9,"B-",IF(R566&lt;'PlayerGrades+'!$AH$8,"B",IF(R566&lt;'PlayerGrades+'!$AH$7,"B+",IF(R566&lt;'PlayerGrades+'!$AH$6,"A-",IF(R566&lt;'PlayerGrades+'!$AH$5,"A",IF(R566&lt;'PlayerGrades+'!$AH$4,"A+",IF(R566&lt;'PlayerGrades+'!$AH$3,"S-",IF(R566&lt;'PlayerGrades+'!$AH$2,"S","S+"))))))))))))))))))))</f>
        <v>#REF!</v>
      </c>
      <c r="T566" s="1423" t="str">
        <f t="shared" si="20"/>
        <v>#REF!</v>
      </c>
      <c r="U566" s="1423" t="str">
        <f>IF(T566&lt;'PlayerGrades+'!$AI$21,"F-",IF(T566&lt;'PlayerGrades+'!$AI$20,"F",IF(T566&lt;'PlayerGrades+'!$AI$19,"F+",IF(T566&lt;'PlayerGrades+'!$AI$18,"E-",IF(T566&lt;'PlayerGrades+'!$AI$17,"E",IF(T566&lt;'PlayerGrades+'!$AI$16,"E+",IF(T566&lt;'PlayerGrades+'!$AI$15,"D-",IF(T566&lt;'PlayerGrades+'!$AI$14,"D",IF(T566&lt;'PlayerGrades+'!$AI$13,"D+",IF(T566&lt;'PlayerGrades+'!$AI$12,"C-",IF(T566&lt;'PlayerGrades+'!$AI$11,"C",IF(T566&lt;'PlayerGrades+'!$AI$10,"C+",IF(T566&lt;'PlayerGrades+'!$AI$9,"B-",IF(T566&lt;'PlayerGrades+'!$AI$8,"B",IF(T566&lt;'PlayerGrades+'!$AI$7,"B+",IF(T566&lt;'PlayerGrades+'!$AI$6,"A-",IF(T566&lt;'PlayerGrades+'!$AI$5,"A",IF(T566&lt;'PlayerGrades+'!$AI$4,"A+",IF(T566&lt;'PlayerGrades+'!$AI$3,"S-",IF(T566&lt;'PlayerGrades+'!$AI$2,"S","S+"))))))))))))))))))))</f>
        <v>#REF!</v>
      </c>
      <c r="V566" s="1431"/>
      <c r="W566" s="1431"/>
      <c r="X566" s="1431"/>
      <c r="Y566" s="1431"/>
      <c r="Z566" s="1431"/>
      <c r="AA566" s="1431"/>
      <c r="AB566" s="1431"/>
      <c r="AC566" s="1432"/>
      <c r="AD566" s="1431"/>
      <c r="AE566" s="1431"/>
      <c r="AF566" s="1431"/>
      <c r="AG566" s="1431"/>
      <c r="AH566" s="1431"/>
      <c r="AI566" s="1431"/>
      <c r="AJ566" s="1431"/>
      <c r="AK566" s="1431"/>
      <c r="AL566" s="1431"/>
      <c r="AM566" s="1431"/>
      <c r="AN566" s="1431"/>
      <c r="AO566" s="1431"/>
      <c r="AP566" s="1431"/>
      <c r="AQ566" s="1431"/>
      <c r="AR566" s="1431"/>
      <c r="AS566" s="1431"/>
      <c r="AT566" s="1431"/>
      <c r="AU566" s="1431"/>
      <c r="AV566" s="1431"/>
      <c r="AW566" s="1431"/>
      <c r="AX566" s="1431"/>
      <c r="AY566" s="1431"/>
      <c r="AZ566" s="1431"/>
    </row>
    <row r="567">
      <c r="A567" s="1391"/>
      <c r="B567" s="1421" t="str">
        <f>IF(C567&lt;'PlayerGrades+'!$Y$44,"F-",IF(C567&lt;'PlayerGrades+'!$Y$43,"F",IF(C567&lt;'PlayerGrades+'!$Y$42,"F+",IF(C567&lt;'PlayerGrades+'!$Y$41,"E-",IF(C567&lt;'PlayerGrades+'!$Y$40,"E",IF(C567&lt;'PlayerGrades+'!$Y$39,"E+",IF(C567&lt;'PlayerGrades+'!$Y$38,"D-",IF(C567&lt;'PlayerGrades+'!$Y$37,"D",IF(C567&lt;'PlayerGrades+'!$Y$36,"D+",IF(C567&lt;'PlayerGrades+'!$Y$35,"C-",IF(C567&lt;'PlayerGrades+'!$Y$34,"C",IF(C567&lt;'PlayerGrades+'!$Y$33,"C+",IF(C567&lt;'PlayerGrades+'!$Y$32,"B-",IF(C567&lt;'PlayerGrades+'!$Y$31,"B",IF(C567&lt;'PlayerGrades+'!$Y$30,"B+",IF(C567&lt;'PlayerGrades+'!$Y$29,"A-",IF(C567&lt;'PlayerGrades+'!$Y$28,"A",IF(C567&lt;'PlayerGrades+'!$Y$27,"A+",IF(C567&lt;'PlayerGrades+'!$Y$26,"S-",IF(C567&lt;'PlayerGrades+'!$Y$25,"S","S+"))))))))))))))))))))</f>
        <v>#DIV/0!</v>
      </c>
      <c r="C567" s="1422" t="str">
        <f>('PlayerGrades+'!$Y$47*(VLOOKUP(E567, 'PlayerGrades+'!$X$3:$Y$23, 2, FALSE)))+('PlayerGrades+'!$Y$48*(VLOOKUP(G567, 'PlayerGrades+'!$X$3:$Y$23, 2, FALSE)))+('PlayerGrades+'!$Y$49*(VLOOKUP(I567, 'PlayerGrades+'!$X$3:$Y$23, 2, FALSE)))+('PlayerGrades+'!$Y$50*(VLOOKUP(K567, 'PlayerGrades+'!$X$3:$Y$23, 2, FALSE)))+('PlayerGrades+'!$Y$51*(VLOOKUP(M567, 'PlayerGrades+'!$X$3:$Y$23, 2, FALSE)))+('PlayerGrades+'!$Y$52*(VLOOKUP(O567, 'PlayerGrades+'!$X$3:$Y$23, 2, FALSE)))+('PlayerGrades+'!$Y$53*(VLOOKUP(Q567, 'PlayerGrades+'!$X$3:$Y$23, 2, FALSE)))+('PlayerGrades+'!$Y$54*(VLOOKUP(S567, 'PlayerGrades+'!$X$3:$Y$23, 2, FALSE)))+('PlayerGrades+'!$Y$55*(VLOOKUP(U567, 'PlayerGrades+'!$X$3:$Y$23, 2, FALSE)))</f>
        <v>#DIV/0!</v>
      </c>
      <c r="D567" s="1423" t="str">
        <f t="shared" si="12"/>
        <v>#DIV/0!</v>
      </c>
      <c r="E567" s="1423" t="str">
        <f>IF(D567&lt;'PlayerGrades+'!$AA$21,"F-",IF(D567&lt;'PlayerGrades+'!$AA$20,"F",IF(D567&lt;'PlayerGrades+'!$AA$19,"F+",IF(D567&lt;'PlayerGrades+'!$AA$18,"E-",IF(D567&lt;'PlayerGrades+'!$AA$17,"E",IF(D567&lt;'PlayerGrades+'!$AA$16,"E+",IF(D567&lt;'PlayerGrades+'!$AA$15,"D-",IF(D567&lt;'PlayerGrades+'!$AA$14,"D",IF(D567&lt;'PlayerGrades+'!$AA$13,"D+",IF(D567&lt;'PlayerGrades+'!$AA$12,"C-",IF(D567&lt;'PlayerGrades+'!$AA$11,"C",IF(D567&lt;'PlayerGrades+'!$AA$10,"C+",IF(D567&lt;'PlayerGrades+'!$AA$9,"B-",IF(D567&lt;'PlayerGrades+'!$AA$8,"B",IF(D567&lt;'PlayerGrades+'!$AA$7,"B+",IF(D567&lt;'PlayerGrades+'!$AA$6,"A-",IF(D567&lt;'PlayerGrades+'!$AA$5,"A",IF(D567&lt;'PlayerGrades+'!$AA$4,"A+",IF(D567&lt;'PlayerGrades+'!$AA$3,"S-",IF(D567&lt;'PlayerGrades+'!$AA$2,"S","S+"))))))))))))))))))))</f>
        <v>#DIV/0!</v>
      </c>
      <c r="F567" s="1423" t="str">
        <f t="shared" si="13"/>
        <v>#DIV/0!</v>
      </c>
      <c r="G567" s="1423" t="str">
        <f>IF(F567&lt;'PlayerGrades+'!$AB$21,"F-",IF(F567&lt;'PlayerGrades+'!$AB$20,"F",IF(F567&lt;'PlayerGrades+'!$AB$19,"F+",IF(F567&lt;'PlayerGrades+'!$AB$18,"E-",IF(F567&lt;'PlayerGrades+'!$AB$17,"E",IF(F567&lt;'PlayerGrades+'!$AB$16,"E+",IF(F567&lt;'PlayerGrades+'!$AB$15,"D-",IF(F567&lt;'PlayerGrades+'!$AB$14,"D",IF(F567&lt;'PlayerGrades+'!$AB$13,"D+",IF(F567&lt;'PlayerGrades+'!$AB$12,"C-",IF(F567&lt;'PlayerGrades+'!$AB$11,"C",IF(F567&lt;'PlayerGrades+'!$AB$10,"C+",IF(F567&lt;'PlayerGrades+'!$AB$9,"B-",IF(F567&lt;'PlayerGrades+'!$AB$8,"B",IF(F567&lt;'PlayerGrades+'!$AB$7,"B+",IF(F567&lt;'PlayerGrades+'!$AB$6,"A-",IF(F567&lt;'PlayerGrades+'!$AB$5,"A",IF(F567&lt;'PlayerGrades+'!$AB$4,"A+",IF(F567&lt;'PlayerGrades+'!$AB$3,"S-",IF(F567&lt;'PlayerGrades+'!$AB$2,"S","S+"))))))))))))))))))))</f>
        <v>#DIV/0!</v>
      </c>
      <c r="H567" s="1423" t="str">
        <f t="shared" si="14"/>
        <v>#DIV/0!</v>
      </c>
      <c r="I567" s="1423" t="str">
        <f>IF(H567&lt;'PlayerGrades+'!$AC$21,"F-",IF(H567&lt;'PlayerGrades+'!$AC$20,"F",IF(H567&lt;'PlayerGrades+'!$AC$19,"F+",IF(H567&lt;'PlayerGrades+'!$AC$18,"E-",IF(H567&lt;'PlayerGrades+'!$AC$17,"E",IF(H567&lt;'PlayerGrades+'!$AC$16,"E+",IF(H567&lt;'PlayerGrades+'!$AC$15,"D-",IF(H567&lt;'PlayerGrades+'!$AC$14,"D",IF(H567&lt;'PlayerGrades+'!$AC$13,"D+",IF(H567&lt;'PlayerGrades+'!$AC$12,"C-",IF(H567&lt;'PlayerGrades+'!$AC$11,"C",IF(H567&lt;'PlayerGrades+'!$AC$10,"C+",IF(H567&lt;'PlayerGrades+'!$AC$9,"B-",IF(H567&lt;'PlayerGrades+'!$AC$8,"B",IF(H567&lt;'PlayerGrades+'!$AC$7,"B+",IF(H567&lt;'PlayerGrades+'!$AC$6,"A-",IF(H567&lt;'PlayerGrades+'!$AC$5,"A",IF(H567&lt;'PlayerGrades+'!$AC$4,"A+",IF(H567&lt;'PlayerGrades+'!$AC$3,"S-",IF(H567&lt;'PlayerGrades+'!$AC$2,"S","S+"))))))))))))))))))))</f>
        <v>#DIV/0!</v>
      </c>
      <c r="J567" s="1423" t="str">
        <f t="shared" si="15"/>
        <v>#DIV/0!</v>
      </c>
      <c r="K567" s="1423" t="str">
        <f>IF(J567&lt;'PlayerGrades+'!$AD$21,"F-",IF(J567&lt;'PlayerGrades+'!$AD$20,"F",IF(J567&lt;'PlayerGrades+'!$AD$19,"F+",IF(J567&lt;'PlayerGrades+'!$AD$18,"E-",IF(J567&lt;'PlayerGrades+'!$AD$17,"E",IF(J567&lt;'PlayerGrades+'!$AD$16,"E+",IF(J567&lt;'PlayerGrades+'!$AD$15,"D-",IF(J567&lt;'PlayerGrades+'!$AD$14,"D",IF(J567&lt;'PlayerGrades+'!$AD$13,"D+",IF(J567&lt;'PlayerGrades+'!$AD$12,"C-",IF(J567&lt;'PlayerGrades+'!$AD$11,"C",IF(J567&lt;'PlayerGrades+'!$AD$10,"C+",IF(J567&lt;'PlayerGrades+'!$AD$9,"B-",IF(J567&lt;'PlayerGrades+'!$AD$8,"B",IF(J567&lt;'PlayerGrades+'!$AD$7,"B+",IF(J567&lt;'PlayerGrades+'!$AD$6,"A-",IF(J567&lt;'PlayerGrades+'!$AD$5,"A",IF(J567&lt;'PlayerGrades+'!$AD$4,"A+",IF(J567&lt;'PlayerGrades+'!$AD$3,"S-",IF(J567&lt;'PlayerGrades+'!$AD$2,"S","S+"))))))))))))))))))))</f>
        <v>#DIV/0!</v>
      </c>
      <c r="L567" s="1176" t="str">
        <f t="shared" si="16"/>
        <v>#DIV/0!</v>
      </c>
      <c r="M567" s="992" t="str">
        <f>IF(L567&lt;'PlayerGrades+'!$AE$21,"F-",IF(L567&lt;'PlayerGrades+'!$AE$20,"F",IF(L567&lt;'PlayerGrades+'!$AE$19,"F+",IF(L567&lt;'PlayerGrades+'!$AE$18,"E-",IF(L567&lt;'PlayerGrades+'!$AE$17,"E",IF(L567&lt;'PlayerGrades+'!$AE$16,"E+",IF(L567&lt;'PlayerGrades+'!$AE$15,"D-",IF(L567&lt;'PlayerGrades+'!$AE$14,"D",IF(L567&lt;'PlayerGrades+'!$AE$13,"D+",IF(L567&lt;'PlayerGrades+'!$AE$12,"C-",IF(L567&lt;'PlayerGrades+'!$AE$11,"C",IF(L567&lt;'PlayerGrades+'!$AE$10,"C+",IF(L567&lt;'PlayerGrades+'!$AE$9,"B-",IF(L567&lt;'PlayerGrades+'!$AE$8,"B",IF(L567&lt;'PlayerGrades+'!$AE$7,"B+",IF(L567&lt;'PlayerGrades+'!$AE$6,"A-",IF(L567&lt;'PlayerGrades+'!$AE$5,"A",IF(L567&lt;'PlayerGrades+'!$AE$4,"A+",IF(L567&lt;'PlayerGrades+'!$AE$3,"S-",IF(L567&lt;'PlayerGrades+'!$AE$2,"S","S+"))))))))))))))))))))</f>
        <v>#DIV/0!</v>
      </c>
      <c r="N567" s="1423" t="str">
        <f t="shared" si="17"/>
        <v>#DIV/0!</v>
      </c>
      <c r="O567" s="1423" t="str">
        <f>IF(N567&lt;'PlayerGrades+'!$AF$21,"F-",IF(N567&lt;'PlayerGrades+'!$AF$20,"F",IF(N567&lt;'PlayerGrades+'!$AF$19,"F+",IF(N567&lt;'PlayerGrades+'!$AF$18,"E-",IF(N567&lt;'PlayerGrades+'!$AF$17,"E",IF(N567&lt;'PlayerGrades+'!$AF$16,"E+",IF(N567&lt;'PlayerGrades+'!$AF$15,"D-",IF(N567&lt;'PlayerGrades+'!$AF$14,"D",IF(N567&lt;'PlayerGrades+'!$AF$13,"D+",IF(N567&lt;'PlayerGrades+'!$AF$12,"C-",IF(N567&lt;'PlayerGrades+'!$AF$11,"C",IF(N567&lt;'PlayerGrades+'!$AF$10,"C+",IF(N567&lt;'PlayerGrades+'!$AF$9,"B-",IF(N567&lt;'PlayerGrades+'!$AF$8,"B",IF(N567&lt;'PlayerGrades+'!$AF$7,"B+",IF(N567&lt;'PlayerGrades+'!$AF$6,"A-",IF(N567&lt;'PlayerGrades+'!$AF$5,"A",IF(N567&lt;'PlayerGrades+'!$AF$4,"A+",IF(N567&lt;'PlayerGrades+'!$AF$3,"S-",IF(N567&lt;'PlayerGrades+'!$AF$2,"S","S+"))))))))))))))))))))</f>
        <v>#DIV/0!</v>
      </c>
      <c r="P567" s="1423" t="str">
        <f t="shared" si="18"/>
        <v>#DIV/0!</v>
      </c>
      <c r="Q567" s="1423" t="str">
        <f>IF(P567&lt;'PlayerGrades+'!$AG$21,"F-",IF(P567&lt;'PlayerGrades+'!$AG$20,"F",IF(P567&lt;'PlayerGrades+'!$AG$19,"F+",IF(P567&lt;'PlayerGrades+'!$AG$18,"E-",IF(P567&lt;'PlayerGrades+'!$AG$17,"E",IF(P567&lt;'PlayerGrades+'!$AG$16,"E+",IF(P567&lt;'PlayerGrades+'!$AG$15,"D-",IF(P567&lt;'PlayerGrades+'!$AG$14,"D",IF(P567&lt;'PlayerGrades+'!$AG$13,"D+",IF(P567&lt;'PlayerGrades+'!$AG$12,"C-",IF(P567&lt;'PlayerGrades+'!$AG$11,"C",IF(P567&lt;'PlayerGrades+'!$AG$10,"C+",IF(P567&lt;'PlayerGrades+'!$AG$9,"B-",IF(P567&lt;'PlayerGrades+'!$AG$8,"B",IF(P567&lt;'PlayerGrades+'!$AG$7,"B+",IF(P567&lt;'PlayerGrades+'!$AG$6,"A-",IF(P567&lt;'PlayerGrades+'!$AG$5,"A",IF(P567&lt;'PlayerGrades+'!$AG$4,"A+",IF(P567&lt;'PlayerGrades+'!$AG$3,"S-",IF(P567&lt;'PlayerGrades+'!$AG$2,"S","S+"))))))))))))))))))))</f>
        <v>#DIV/0!</v>
      </c>
      <c r="R567" s="1423" t="str">
        <f t="shared" si="19"/>
        <v>#REF!</v>
      </c>
      <c r="S567" s="1423" t="str">
        <f>IF(R567&lt;'PlayerGrades+'!$AH$21,"F-",IF(R567&lt;'PlayerGrades+'!$AH$20,"F",IF(R567&lt;'PlayerGrades+'!$AH$19,"F+",IF(R567&lt;'PlayerGrades+'!$AH$18,"E-",IF(R567&lt;'PlayerGrades+'!$AH$17,"E",IF(R567&lt;'PlayerGrades+'!$AH$16,"E+",IF(R567&lt;'PlayerGrades+'!$AH$15,"D-",IF(R567&lt;'PlayerGrades+'!$AH$14,"D",IF(R567&lt;'PlayerGrades+'!$AH$13,"D+",IF(R567&lt;'PlayerGrades+'!$AH$12,"C-",IF(R567&lt;'PlayerGrades+'!$AH$11,"C",IF(R567&lt;'PlayerGrades+'!$AH$10,"C+",IF(R567&lt;'PlayerGrades+'!$AH$9,"B-",IF(R567&lt;'PlayerGrades+'!$AH$8,"B",IF(R567&lt;'PlayerGrades+'!$AH$7,"B+",IF(R567&lt;'PlayerGrades+'!$AH$6,"A-",IF(R567&lt;'PlayerGrades+'!$AH$5,"A",IF(R567&lt;'PlayerGrades+'!$AH$4,"A+",IF(R567&lt;'PlayerGrades+'!$AH$3,"S-",IF(R567&lt;'PlayerGrades+'!$AH$2,"S","S+"))))))))))))))))))))</f>
        <v>#REF!</v>
      </c>
      <c r="T567" s="1423" t="str">
        <f t="shared" si="20"/>
        <v>#REF!</v>
      </c>
      <c r="U567" s="1423" t="str">
        <f>IF(T567&lt;'PlayerGrades+'!$AI$21,"F-",IF(T567&lt;'PlayerGrades+'!$AI$20,"F",IF(T567&lt;'PlayerGrades+'!$AI$19,"F+",IF(T567&lt;'PlayerGrades+'!$AI$18,"E-",IF(T567&lt;'PlayerGrades+'!$AI$17,"E",IF(T567&lt;'PlayerGrades+'!$AI$16,"E+",IF(T567&lt;'PlayerGrades+'!$AI$15,"D-",IF(T567&lt;'PlayerGrades+'!$AI$14,"D",IF(T567&lt;'PlayerGrades+'!$AI$13,"D+",IF(T567&lt;'PlayerGrades+'!$AI$12,"C-",IF(T567&lt;'PlayerGrades+'!$AI$11,"C",IF(T567&lt;'PlayerGrades+'!$AI$10,"C+",IF(T567&lt;'PlayerGrades+'!$AI$9,"B-",IF(T567&lt;'PlayerGrades+'!$AI$8,"B",IF(T567&lt;'PlayerGrades+'!$AI$7,"B+",IF(T567&lt;'PlayerGrades+'!$AI$6,"A-",IF(T567&lt;'PlayerGrades+'!$AI$5,"A",IF(T567&lt;'PlayerGrades+'!$AI$4,"A+",IF(T567&lt;'PlayerGrades+'!$AI$3,"S-",IF(T567&lt;'PlayerGrades+'!$AI$2,"S","S+"))))))))))))))))))))</f>
        <v>#REF!</v>
      </c>
      <c r="V567" s="1431"/>
      <c r="W567" s="1431"/>
      <c r="X567" s="1431"/>
      <c r="Y567" s="1431"/>
      <c r="Z567" s="1431"/>
      <c r="AA567" s="1431"/>
      <c r="AB567" s="1431"/>
      <c r="AC567" s="1432"/>
      <c r="AD567" s="1431"/>
      <c r="AE567" s="1431"/>
      <c r="AF567" s="1431"/>
      <c r="AG567" s="1431"/>
      <c r="AH567" s="1431"/>
      <c r="AI567" s="1431"/>
      <c r="AJ567" s="1431"/>
      <c r="AK567" s="1431"/>
      <c r="AL567" s="1431"/>
      <c r="AM567" s="1431"/>
      <c r="AN567" s="1431"/>
      <c r="AO567" s="1431"/>
      <c r="AP567" s="1431"/>
      <c r="AQ567" s="1431"/>
      <c r="AR567" s="1431"/>
      <c r="AS567" s="1431"/>
      <c r="AT567" s="1431"/>
      <c r="AU567" s="1431"/>
      <c r="AV567" s="1431"/>
      <c r="AW567" s="1431"/>
      <c r="AX567" s="1431"/>
      <c r="AY567" s="1431"/>
      <c r="AZ567" s="1431"/>
    </row>
    <row r="568">
      <c r="A568" s="1391"/>
      <c r="B568" s="1421" t="str">
        <f>IF(C568&lt;'PlayerGrades+'!$Y$44,"F-",IF(C568&lt;'PlayerGrades+'!$Y$43,"F",IF(C568&lt;'PlayerGrades+'!$Y$42,"F+",IF(C568&lt;'PlayerGrades+'!$Y$41,"E-",IF(C568&lt;'PlayerGrades+'!$Y$40,"E",IF(C568&lt;'PlayerGrades+'!$Y$39,"E+",IF(C568&lt;'PlayerGrades+'!$Y$38,"D-",IF(C568&lt;'PlayerGrades+'!$Y$37,"D",IF(C568&lt;'PlayerGrades+'!$Y$36,"D+",IF(C568&lt;'PlayerGrades+'!$Y$35,"C-",IF(C568&lt;'PlayerGrades+'!$Y$34,"C",IF(C568&lt;'PlayerGrades+'!$Y$33,"C+",IF(C568&lt;'PlayerGrades+'!$Y$32,"B-",IF(C568&lt;'PlayerGrades+'!$Y$31,"B",IF(C568&lt;'PlayerGrades+'!$Y$30,"B+",IF(C568&lt;'PlayerGrades+'!$Y$29,"A-",IF(C568&lt;'PlayerGrades+'!$Y$28,"A",IF(C568&lt;'PlayerGrades+'!$Y$27,"A+",IF(C568&lt;'PlayerGrades+'!$Y$26,"S-",IF(C568&lt;'PlayerGrades+'!$Y$25,"S","S+"))))))))))))))))))))</f>
        <v>#DIV/0!</v>
      </c>
      <c r="C568" s="1422" t="str">
        <f>('PlayerGrades+'!$Y$47*(VLOOKUP(E568, 'PlayerGrades+'!$X$3:$Y$23, 2, FALSE)))+('PlayerGrades+'!$Y$48*(VLOOKUP(G568, 'PlayerGrades+'!$X$3:$Y$23, 2, FALSE)))+('PlayerGrades+'!$Y$49*(VLOOKUP(I568, 'PlayerGrades+'!$X$3:$Y$23, 2, FALSE)))+('PlayerGrades+'!$Y$50*(VLOOKUP(K568, 'PlayerGrades+'!$X$3:$Y$23, 2, FALSE)))+('PlayerGrades+'!$Y$51*(VLOOKUP(M568, 'PlayerGrades+'!$X$3:$Y$23, 2, FALSE)))+('PlayerGrades+'!$Y$52*(VLOOKUP(O568, 'PlayerGrades+'!$X$3:$Y$23, 2, FALSE)))+('PlayerGrades+'!$Y$53*(VLOOKUP(Q568, 'PlayerGrades+'!$X$3:$Y$23, 2, FALSE)))+('PlayerGrades+'!$Y$54*(VLOOKUP(S568, 'PlayerGrades+'!$X$3:$Y$23, 2, FALSE)))+('PlayerGrades+'!$Y$55*(VLOOKUP(U568, 'PlayerGrades+'!$X$3:$Y$23, 2, FALSE)))</f>
        <v>#DIV/0!</v>
      </c>
      <c r="D568" s="1423" t="str">
        <f t="shared" si="12"/>
        <v>#DIV/0!</v>
      </c>
      <c r="E568" s="1423" t="str">
        <f>IF(D568&lt;'PlayerGrades+'!$AA$21,"F-",IF(D568&lt;'PlayerGrades+'!$AA$20,"F",IF(D568&lt;'PlayerGrades+'!$AA$19,"F+",IF(D568&lt;'PlayerGrades+'!$AA$18,"E-",IF(D568&lt;'PlayerGrades+'!$AA$17,"E",IF(D568&lt;'PlayerGrades+'!$AA$16,"E+",IF(D568&lt;'PlayerGrades+'!$AA$15,"D-",IF(D568&lt;'PlayerGrades+'!$AA$14,"D",IF(D568&lt;'PlayerGrades+'!$AA$13,"D+",IF(D568&lt;'PlayerGrades+'!$AA$12,"C-",IF(D568&lt;'PlayerGrades+'!$AA$11,"C",IF(D568&lt;'PlayerGrades+'!$AA$10,"C+",IF(D568&lt;'PlayerGrades+'!$AA$9,"B-",IF(D568&lt;'PlayerGrades+'!$AA$8,"B",IF(D568&lt;'PlayerGrades+'!$AA$7,"B+",IF(D568&lt;'PlayerGrades+'!$AA$6,"A-",IF(D568&lt;'PlayerGrades+'!$AA$5,"A",IF(D568&lt;'PlayerGrades+'!$AA$4,"A+",IF(D568&lt;'PlayerGrades+'!$AA$3,"S-",IF(D568&lt;'PlayerGrades+'!$AA$2,"S","S+"))))))))))))))))))))</f>
        <v>#DIV/0!</v>
      </c>
      <c r="F568" s="1423" t="str">
        <f t="shared" si="13"/>
        <v>#DIV/0!</v>
      </c>
      <c r="G568" s="1423" t="str">
        <f>IF(F568&lt;'PlayerGrades+'!$AB$21,"F-",IF(F568&lt;'PlayerGrades+'!$AB$20,"F",IF(F568&lt;'PlayerGrades+'!$AB$19,"F+",IF(F568&lt;'PlayerGrades+'!$AB$18,"E-",IF(F568&lt;'PlayerGrades+'!$AB$17,"E",IF(F568&lt;'PlayerGrades+'!$AB$16,"E+",IF(F568&lt;'PlayerGrades+'!$AB$15,"D-",IF(F568&lt;'PlayerGrades+'!$AB$14,"D",IF(F568&lt;'PlayerGrades+'!$AB$13,"D+",IF(F568&lt;'PlayerGrades+'!$AB$12,"C-",IF(F568&lt;'PlayerGrades+'!$AB$11,"C",IF(F568&lt;'PlayerGrades+'!$AB$10,"C+",IF(F568&lt;'PlayerGrades+'!$AB$9,"B-",IF(F568&lt;'PlayerGrades+'!$AB$8,"B",IF(F568&lt;'PlayerGrades+'!$AB$7,"B+",IF(F568&lt;'PlayerGrades+'!$AB$6,"A-",IF(F568&lt;'PlayerGrades+'!$AB$5,"A",IF(F568&lt;'PlayerGrades+'!$AB$4,"A+",IF(F568&lt;'PlayerGrades+'!$AB$3,"S-",IF(F568&lt;'PlayerGrades+'!$AB$2,"S","S+"))))))))))))))))))))</f>
        <v>#DIV/0!</v>
      </c>
      <c r="H568" s="1423" t="str">
        <f t="shared" si="14"/>
        <v>#DIV/0!</v>
      </c>
      <c r="I568" s="1423" t="str">
        <f>IF(H568&lt;'PlayerGrades+'!$AC$21,"F-",IF(H568&lt;'PlayerGrades+'!$AC$20,"F",IF(H568&lt;'PlayerGrades+'!$AC$19,"F+",IF(H568&lt;'PlayerGrades+'!$AC$18,"E-",IF(H568&lt;'PlayerGrades+'!$AC$17,"E",IF(H568&lt;'PlayerGrades+'!$AC$16,"E+",IF(H568&lt;'PlayerGrades+'!$AC$15,"D-",IF(H568&lt;'PlayerGrades+'!$AC$14,"D",IF(H568&lt;'PlayerGrades+'!$AC$13,"D+",IF(H568&lt;'PlayerGrades+'!$AC$12,"C-",IF(H568&lt;'PlayerGrades+'!$AC$11,"C",IF(H568&lt;'PlayerGrades+'!$AC$10,"C+",IF(H568&lt;'PlayerGrades+'!$AC$9,"B-",IF(H568&lt;'PlayerGrades+'!$AC$8,"B",IF(H568&lt;'PlayerGrades+'!$AC$7,"B+",IF(H568&lt;'PlayerGrades+'!$AC$6,"A-",IF(H568&lt;'PlayerGrades+'!$AC$5,"A",IF(H568&lt;'PlayerGrades+'!$AC$4,"A+",IF(H568&lt;'PlayerGrades+'!$AC$3,"S-",IF(H568&lt;'PlayerGrades+'!$AC$2,"S","S+"))))))))))))))))))))</f>
        <v>#DIV/0!</v>
      </c>
      <c r="J568" s="1423" t="str">
        <f t="shared" si="15"/>
        <v>#DIV/0!</v>
      </c>
      <c r="K568" s="1423" t="str">
        <f>IF(J568&lt;'PlayerGrades+'!$AD$21,"F-",IF(J568&lt;'PlayerGrades+'!$AD$20,"F",IF(J568&lt;'PlayerGrades+'!$AD$19,"F+",IF(J568&lt;'PlayerGrades+'!$AD$18,"E-",IF(J568&lt;'PlayerGrades+'!$AD$17,"E",IF(J568&lt;'PlayerGrades+'!$AD$16,"E+",IF(J568&lt;'PlayerGrades+'!$AD$15,"D-",IF(J568&lt;'PlayerGrades+'!$AD$14,"D",IF(J568&lt;'PlayerGrades+'!$AD$13,"D+",IF(J568&lt;'PlayerGrades+'!$AD$12,"C-",IF(J568&lt;'PlayerGrades+'!$AD$11,"C",IF(J568&lt;'PlayerGrades+'!$AD$10,"C+",IF(J568&lt;'PlayerGrades+'!$AD$9,"B-",IF(J568&lt;'PlayerGrades+'!$AD$8,"B",IF(J568&lt;'PlayerGrades+'!$AD$7,"B+",IF(J568&lt;'PlayerGrades+'!$AD$6,"A-",IF(J568&lt;'PlayerGrades+'!$AD$5,"A",IF(J568&lt;'PlayerGrades+'!$AD$4,"A+",IF(J568&lt;'PlayerGrades+'!$AD$3,"S-",IF(J568&lt;'PlayerGrades+'!$AD$2,"S","S+"))))))))))))))))))))</f>
        <v>#DIV/0!</v>
      </c>
      <c r="L568" s="1176" t="str">
        <f t="shared" si="16"/>
        <v>#DIV/0!</v>
      </c>
      <c r="M568" s="992" t="str">
        <f>IF(L568&lt;'PlayerGrades+'!$AE$21,"F-",IF(L568&lt;'PlayerGrades+'!$AE$20,"F",IF(L568&lt;'PlayerGrades+'!$AE$19,"F+",IF(L568&lt;'PlayerGrades+'!$AE$18,"E-",IF(L568&lt;'PlayerGrades+'!$AE$17,"E",IF(L568&lt;'PlayerGrades+'!$AE$16,"E+",IF(L568&lt;'PlayerGrades+'!$AE$15,"D-",IF(L568&lt;'PlayerGrades+'!$AE$14,"D",IF(L568&lt;'PlayerGrades+'!$AE$13,"D+",IF(L568&lt;'PlayerGrades+'!$AE$12,"C-",IF(L568&lt;'PlayerGrades+'!$AE$11,"C",IF(L568&lt;'PlayerGrades+'!$AE$10,"C+",IF(L568&lt;'PlayerGrades+'!$AE$9,"B-",IF(L568&lt;'PlayerGrades+'!$AE$8,"B",IF(L568&lt;'PlayerGrades+'!$AE$7,"B+",IF(L568&lt;'PlayerGrades+'!$AE$6,"A-",IF(L568&lt;'PlayerGrades+'!$AE$5,"A",IF(L568&lt;'PlayerGrades+'!$AE$4,"A+",IF(L568&lt;'PlayerGrades+'!$AE$3,"S-",IF(L568&lt;'PlayerGrades+'!$AE$2,"S","S+"))))))))))))))))))))</f>
        <v>#DIV/0!</v>
      </c>
      <c r="N568" s="1423" t="str">
        <f t="shared" si="17"/>
        <v>#DIV/0!</v>
      </c>
      <c r="O568" s="1423" t="str">
        <f>IF(N568&lt;'PlayerGrades+'!$AF$21,"F-",IF(N568&lt;'PlayerGrades+'!$AF$20,"F",IF(N568&lt;'PlayerGrades+'!$AF$19,"F+",IF(N568&lt;'PlayerGrades+'!$AF$18,"E-",IF(N568&lt;'PlayerGrades+'!$AF$17,"E",IF(N568&lt;'PlayerGrades+'!$AF$16,"E+",IF(N568&lt;'PlayerGrades+'!$AF$15,"D-",IF(N568&lt;'PlayerGrades+'!$AF$14,"D",IF(N568&lt;'PlayerGrades+'!$AF$13,"D+",IF(N568&lt;'PlayerGrades+'!$AF$12,"C-",IF(N568&lt;'PlayerGrades+'!$AF$11,"C",IF(N568&lt;'PlayerGrades+'!$AF$10,"C+",IF(N568&lt;'PlayerGrades+'!$AF$9,"B-",IF(N568&lt;'PlayerGrades+'!$AF$8,"B",IF(N568&lt;'PlayerGrades+'!$AF$7,"B+",IF(N568&lt;'PlayerGrades+'!$AF$6,"A-",IF(N568&lt;'PlayerGrades+'!$AF$5,"A",IF(N568&lt;'PlayerGrades+'!$AF$4,"A+",IF(N568&lt;'PlayerGrades+'!$AF$3,"S-",IF(N568&lt;'PlayerGrades+'!$AF$2,"S","S+"))))))))))))))))))))</f>
        <v>#DIV/0!</v>
      </c>
      <c r="P568" s="1423" t="str">
        <f t="shared" si="18"/>
        <v>#DIV/0!</v>
      </c>
      <c r="Q568" s="1423" t="str">
        <f>IF(P568&lt;'PlayerGrades+'!$AG$21,"F-",IF(P568&lt;'PlayerGrades+'!$AG$20,"F",IF(P568&lt;'PlayerGrades+'!$AG$19,"F+",IF(P568&lt;'PlayerGrades+'!$AG$18,"E-",IF(P568&lt;'PlayerGrades+'!$AG$17,"E",IF(P568&lt;'PlayerGrades+'!$AG$16,"E+",IF(P568&lt;'PlayerGrades+'!$AG$15,"D-",IF(P568&lt;'PlayerGrades+'!$AG$14,"D",IF(P568&lt;'PlayerGrades+'!$AG$13,"D+",IF(P568&lt;'PlayerGrades+'!$AG$12,"C-",IF(P568&lt;'PlayerGrades+'!$AG$11,"C",IF(P568&lt;'PlayerGrades+'!$AG$10,"C+",IF(P568&lt;'PlayerGrades+'!$AG$9,"B-",IF(P568&lt;'PlayerGrades+'!$AG$8,"B",IF(P568&lt;'PlayerGrades+'!$AG$7,"B+",IF(P568&lt;'PlayerGrades+'!$AG$6,"A-",IF(P568&lt;'PlayerGrades+'!$AG$5,"A",IF(P568&lt;'PlayerGrades+'!$AG$4,"A+",IF(P568&lt;'PlayerGrades+'!$AG$3,"S-",IF(P568&lt;'PlayerGrades+'!$AG$2,"S","S+"))))))))))))))))))))</f>
        <v>#DIV/0!</v>
      </c>
      <c r="R568" s="1423" t="str">
        <f t="shared" si="19"/>
        <v>#REF!</v>
      </c>
      <c r="S568" s="1423" t="str">
        <f>IF(R568&lt;'PlayerGrades+'!$AH$21,"F-",IF(R568&lt;'PlayerGrades+'!$AH$20,"F",IF(R568&lt;'PlayerGrades+'!$AH$19,"F+",IF(R568&lt;'PlayerGrades+'!$AH$18,"E-",IF(R568&lt;'PlayerGrades+'!$AH$17,"E",IF(R568&lt;'PlayerGrades+'!$AH$16,"E+",IF(R568&lt;'PlayerGrades+'!$AH$15,"D-",IF(R568&lt;'PlayerGrades+'!$AH$14,"D",IF(R568&lt;'PlayerGrades+'!$AH$13,"D+",IF(R568&lt;'PlayerGrades+'!$AH$12,"C-",IF(R568&lt;'PlayerGrades+'!$AH$11,"C",IF(R568&lt;'PlayerGrades+'!$AH$10,"C+",IF(R568&lt;'PlayerGrades+'!$AH$9,"B-",IF(R568&lt;'PlayerGrades+'!$AH$8,"B",IF(R568&lt;'PlayerGrades+'!$AH$7,"B+",IF(R568&lt;'PlayerGrades+'!$AH$6,"A-",IF(R568&lt;'PlayerGrades+'!$AH$5,"A",IF(R568&lt;'PlayerGrades+'!$AH$4,"A+",IF(R568&lt;'PlayerGrades+'!$AH$3,"S-",IF(R568&lt;'PlayerGrades+'!$AH$2,"S","S+"))))))))))))))))))))</f>
        <v>#REF!</v>
      </c>
      <c r="T568" s="1423" t="str">
        <f t="shared" si="20"/>
        <v>#REF!</v>
      </c>
      <c r="U568" s="1423" t="str">
        <f>IF(T568&lt;'PlayerGrades+'!$AI$21,"F-",IF(T568&lt;'PlayerGrades+'!$AI$20,"F",IF(T568&lt;'PlayerGrades+'!$AI$19,"F+",IF(T568&lt;'PlayerGrades+'!$AI$18,"E-",IF(T568&lt;'PlayerGrades+'!$AI$17,"E",IF(T568&lt;'PlayerGrades+'!$AI$16,"E+",IF(T568&lt;'PlayerGrades+'!$AI$15,"D-",IF(T568&lt;'PlayerGrades+'!$AI$14,"D",IF(T568&lt;'PlayerGrades+'!$AI$13,"D+",IF(T568&lt;'PlayerGrades+'!$AI$12,"C-",IF(T568&lt;'PlayerGrades+'!$AI$11,"C",IF(T568&lt;'PlayerGrades+'!$AI$10,"C+",IF(T568&lt;'PlayerGrades+'!$AI$9,"B-",IF(T568&lt;'PlayerGrades+'!$AI$8,"B",IF(T568&lt;'PlayerGrades+'!$AI$7,"B+",IF(T568&lt;'PlayerGrades+'!$AI$6,"A-",IF(T568&lt;'PlayerGrades+'!$AI$5,"A",IF(T568&lt;'PlayerGrades+'!$AI$4,"A+",IF(T568&lt;'PlayerGrades+'!$AI$3,"S-",IF(T568&lt;'PlayerGrades+'!$AI$2,"S","S+"))))))))))))))))))))</f>
        <v>#REF!</v>
      </c>
      <c r="V568" s="1431"/>
      <c r="W568" s="1431"/>
      <c r="X568" s="1431"/>
      <c r="Y568" s="1431"/>
      <c r="Z568" s="1431"/>
      <c r="AA568" s="1431"/>
      <c r="AB568" s="1431"/>
      <c r="AC568" s="1432"/>
      <c r="AD568" s="1431"/>
      <c r="AE568" s="1431"/>
      <c r="AF568" s="1431"/>
      <c r="AG568" s="1431"/>
      <c r="AH568" s="1431"/>
      <c r="AI568" s="1431"/>
      <c r="AJ568" s="1431"/>
      <c r="AK568" s="1431"/>
      <c r="AL568" s="1431"/>
      <c r="AM568" s="1431"/>
      <c r="AN568" s="1431"/>
      <c r="AO568" s="1431"/>
      <c r="AP568" s="1431"/>
      <c r="AQ568" s="1431"/>
      <c r="AR568" s="1431"/>
      <c r="AS568" s="1431"/>
      <c r="AT568" s="1431"/>
      <c r="AU568" s="1431"/>
      <c r="AV568" s="1431"/>
      <c r="AW568" s="1431"/>
      <c r="AX568" s="1431"/>
      <c r="AY568" s="1431"/>
      <c r="AZ568" s="1431"/>
    </row>
    <row r="569">
      <c r="A569" s="1393"/>
      <c r="B569" s="1421" t="str">
        <f>IF(C569&lt;'PlayerGrades+'!$Y$44,"F-",IF(C569&lt;'PlayerGrades+'!$Y$43,"F",IF(C569&lt;'PlayerGrades+'!$Y$42,"F+",IF(C569&lt;'PlayerGrades+'!$Y$41,"E-",IF(C569&lt;'PlayerGrades+'!$Y$40,"E",IF(C569&lt;'PlayerGrades+'!$Y$39,"E+",IF(C569&lt;'PlayerGrades+'!$Y$38,"D-",IF(C569&lt;'PlayerGrades+'!$Y$37,"D",IF(C569&lt;'PlayerGrades+'!$Y$36,"D+",IF(C569&lt;'PlayerGrades+'!$Y$35,"C-",IF(C569&lt;'PlayerGrades+'!$Y$34,"C",IF(C569&lt;'PlayerGrades+'!$Y$33,"C+",IF(C569&lt;'PlayerGrades+'!$Y$32,"B-",IF(C569&lt;'PlayerGrades+'!$Y$31,"B",IF(C569&lt;'PlayerGrades+'!$Y$30,"B+",IF(C569&lt;'PlayerGrades+'!$Y$29,"A-",IF(C569&lt;'PlayerGrades+'!$Y$28,"A",IF(C569&lt;'PlayerGrades+'!$Y$27,"A+",IF(C569&lt;'PlayerGrades+'!$Y$26,"S-",IF(C569&lt;'PlayerGrades+'!$Y$25,"S","S+"))))))))))))))))))))</f>
        <v>#DIV/0!</v>
      </c>
      <c r="C569" s="1422" t="str">
        <f>('PlayerGrades+'!$Y$47*(VLOOKUP(E569, 'PlayerGrades+'!$X$3:$Y$23, 2, FALSE)))+('PlayerGrades+'!$Y$48*(VLOOKUP(G569, 'PlayerGrades+'!$X$3:$Y$23, 2, FALSE)))+('PlayerGrades+'!$Y$49*(VLOOKUP(I569, 'PlayerGrades+'!$X$3:$Y$23, 2, FALSE)))+('PlayerGrades+'!$Y$50*(VLOOKUP(K569, 'PlayerGrades+'!$X$3:$Y$23, 2, FALSE)))+('PlayerGrades+'!$Y$51*(VLOOKUP(M569, 'PlayerGrades+'!$X$3:$Y$23, 2, FALSE)))+('PlayerGrades+'!$Y$52*(VLOOKUP(O569, 'PlayerGrades+'!$X$3:$Y$23, 2, FALSE)))+('PlayerGrades+'!$Y$53*(VLOOKUP(Q569, 'PlayerGrades+'!$X$3:$Y$23, 2, FALSE)))+('PlayerGrades+'!$Y$54*(VLOOKUP(S569, 'PlayerGrades+'!$X$3:$Y$23, 2, FALSE)))+('PlayerGrades+'!$Y$55*(VLOOKUP(U569, 'PlayerGrades+'!$X$3:$Y$23, 2, FALSE)))</f>
        <v>#DIV/0!</v>
      </c>
      <c r="D569" s="1423" t="str">
        <f t="shared" si="12"/>
        <v>#DIV/0!</v>
      </c>
      <c r="E569" s="1423" t="str">
        <f>IF(D569&lt;'PlayerGrades+'!$AA$21,"F-",IF(D569&lt;'PlayerGrades+'!$AA$20,"F",IF(D569&lt;'PlayerGrades+'!$AA$19,"F+",IF(D569&lt;'PlayerGrades+'!$AA$18,"E-",IF(D569&lt;'PlayerGrades+'!$AA$17,"E",IF(D569&lt;'PlayerGrades+'!$AA$16,"E+",IF(D569&lt;'PlayerGrades+'!$AA$15,"D-",IF(D569&lt;'PlayerGrades+'!$AA$14,"D",IF(D569&lt;'PlayerGrades+'!$AA$13,"D+",IF(D569&lt;'PlayerGrades+'!$AA$12,"C-",IF(D569&lt;'PlayerGrades+'!$AA$11,"C",IF(D569&lt;'PlayerGrades+'!$AA$10,"C+",IF(D569&lt;'PlayerGrades+'!$AA$9,"B-",IF(D569&lt;'PlayerGrades+'!$AA$8,"B",IF(D569&lt;'PlayerGrades+'!$AA$7,"B+",IF(D569&lt;'PlayerGrades+'!$AA$6,"A-",IF(D569&lt;'PlayerGrades+'!$AA$5,"A",IF(D569&lt;'PlayerGrades+'!$AA$4,"A+",IF(D569&lt;'PlayerGrades+'!$AA$3,"S-",IF(D569&lt;'PlayerGrades+'!$AA$2,"S","S+"))))))))))))))))))))</f>
        <v>#DIV/0!</v>
      </c>
      <c r="F569" s="1423" t="str">
        <f t="shared" si="13"/>
        <v>#DIV/0!</v>
      </c>
      <c r="G569" s="1423" t="str">
        <f>IF(F569&lt;'PlayerGrades+'!$AB$21,"F-",IF(F569&lt;'PlayerGrades+'!$AB$20,"F",IF(F569&lt;'PlayerGrades+'!$AB$19,"F+",IF(F569&lt;'PlayerGrades+'!$AB$18,"E-",IF(F569&lt;'PlayerGrades+'!$AB$17,"E",IF(F569&lt;'PlayerGrades+'!$AB$16,"E+",IF(F569&lt;'PlayerGrades+'!$AB$15,"D-",IF(F569&lt;'PlayerGrades+'!$AB$14,"D",IF(F569&lt;'PlayerGrades+'!$AB$13,"D+",IF(F569&lt;'PlayerGrades+'!$AB$12,"C-",IF(F569&lt;'PlayerGrades+'!$AB$11,"C",IF(F569&lt;'PlayerGrades+'!$AB$10,"C+",IF(F569&lt;'PlayerGrades+'!$AB$9,"B-",IF(F569&lt;'PlayerGrades+'!$AB$8,"B",IF(F569&lt;'PlayerGrades+'!$AB$7,"B+",IF(F569&lt;'PlayerGrades+'!$AB$6,"A-",IF(F569&lt;'PlayerGrades+'!$AB$5,"A",IF(F569&lt;'PlayerGrades+'!$AB$4,"A+",IF(F569&lt;'PlayerGrades+'!$AB$3,"S-",IF(F569&lt;'PlayerGrades+'!$AB$2,"S","S+"))))))))))))))))))))</f>
        <v>#DIV/0!</v>
      </c>
      <c r="H569" s="1423" t="str">
        <f t="shared" si="14"/>
        <v>#DIV/0!</v>
      </c>
      <c r="I569" s="1423" t="str">
        <f>IF(H569&lt;'PlayerGrades+'!$AC$21,"F-",IF(H569&lt;'PlayerGrades+'!$AC$20,"F",IF(H569&lt;'PlayerGrades+'!$AC$19,"F+",IF(H569&lt;'PlayerGrades+'!$AC$18,"E-",IF(H569&lt;'PlayerGrades+'!$AC$17,"E",IF(H569&lt;'PlayerGrades+'!$AC$16,"E+",IF(H569&lt;'PlayerGrades+'!$AC$15,"D-",IF(H569&lt;'PlayerGrades+'!$AC$14,"D",IF(H569&lt;'PlayerGrades+'!$AC$13,"D+",IF(H569&lt;'PlayerGrades+'!$AC$12,"C-",IF(H569&lt;'PlayerGrades+'!$AC$11,"C",IF(H569&lt;'PlayerGrades+'!$AC$10,"C+",IF(H569&lt;'PlayerGrades+'!$AC$9,"B-",IF(H569&lt;'PlayerGrades+'!$AC$8,"B",IF(H569&lt;'PlayerGrades+'!$AC$7,"B+",IF(H569&lt;'PlayerGrades+'!$AC$6,"A-",IF(H569&lt;'PlayerGrades+'!$AC$5,"A",IF(H569&lt;'PlayerGrades+'!$AC$4,"A+",IF(H569&lt;'PlayerGrades+'!$AC$3,"S-",IF(H569&lt;'PlayerGrades+'!$AC$2,"S","S+"))))))))))))))))))))</f>
        <v>#DIV/0!</v>
      </c>
      <c r="J569" s="1423" t="str">
        <f t="shared" si="15"/>
        <v>#DIV/0!</v>
      </c>
      <c r="K569" s="1423" t="str">
        <f>IF(J569&lt;'PlayerGrades+'!$AD$21,"F-",IF(J569&lt;'PlayerGrades+'!$AD$20,"F",IF(J569&lt;'PlayerGrades+'!$AD$19,"F+",IF(J569&lt;'PlayerGrades+'!$AD$18,"E-",IF(J569&lt;'PlayerGrades+'!$AD$17,"E",IF(J569&lt;'PlayerGrades+'!$AD$16,"E+",IF(J569&lt;'PlayerGrades+'!$AD$15,"D-",IF(J569&lt;'PlayerGrades+'!$AD$14,"D",IF(J569&lt;'PlayerGrades+'!$AD$13,"D+",IF(J569&lt;'PlayerGrades+'!$AD$12,"C-",IF(J569&lt;'PlayerGrades+'!$AD$11,"C",IF(J569&lt;'PlayerGrades+'!$AD$10,"C+",IF(J569&lt;'PlayerGrades+'!$AD$9,"B-",IF(J569&lt;'PlayerGrades+'!$AD$8,"B",IF(J569&lt;'PlayerGrades+'!$AD$7,"B+",IF(J569&lt;'PlayerGrades+'!$AD$6,"A-",IF(J569&lt;'PlayerGrades+'!$AD$5,"A",IF(J569&lt;'PlayerGrades+'!$AD$4,"A+",IF(J569&lt;'PlayerGrades+'!$AD$3,"S-",IF(J569&lt;'PlayerGrades+'!$AD$2,"S","S+"))))))))))))))))))))</f>
        <v>#DIV/0!</v>
      </c>
      <c r="L569" s="1176" t="str">
        <f t="shared" si="16"/>
        <v>#DIV/0!</v>
      </c>
      <c r="M569" s="992" t="str">
        <f>IF(L569&lt;'PlayerGrades+'!$AE$21,"F-",IF(L569&lt;'PlayerGrades+'!$AE$20,"F",IF(L569&lt;'PlayerGrades+'!$AE$19,"F+",IF(L569&lt;'PlayerGrades+'!$AE$18,"E-",IF(L569&lt;'PlayerGrades+'!$AE$17,"E",IF(L569&lt;'PlayerGrades+'!$AE$16,"E+",IF(L569&lt;'PlayerGrades+'!$AE$15,"D-",IF(L569&lt;'PlayerGrades+'!$AE$14,"D",IF(L569&lt;'PlayerGrades+'!$AE$13,"D+",IF(L569&lt;'PlayerGrades+'!$AE$12,"C-",IF(L569&lt;'PlayerGrades+'!$AE$11,"C",IF(L569&lt;'PlayerGrades+'!$AE$10,"C+",IF(L569&lt;'PlayerGrades+'!$AE$9,"B-",IF(L569&lt;'PlayerGrades+'!$AE$8,"B",IF(L569&lt;'PlayerGrades+'!$AE$7,"B+",IF(L569&lt;'PlayerGrades+'!$AE$6,"A-",IF(L569&lt;'PlayerGrades+'!$AE$5,"A",IF(L569&lt;'PlayerGrades+'!$AE$4,"A+",IF(L569&lt;'PlayerGrades+'!$AE$3,"S-",IF(L569&lt;'PlayerGrades+'!$AE$2,"S","S+"))))))))))))))))))))</f>
        <v>#DIV/0!</v>
      </c>
      <c r="N569" s="1423" t="str">
        <f t="shared" si="17"/>
        <v>#DIV/0!</v>
      </c>
      <c r="O569" s="1423" t="str">
        <f>IF(N569&lt;'PlayerGrades+'!$AF$21,"F-",IF(N569&lt;'PlayerGrades+'!$AF$20,"F",IF(N569&lt;'PlayerGrades+'!$AF$19,"F+",IF(N569&lt;'PlayerGrades+'!$AF$18,"E-",IF(N569&lt;'PlayerGrades+'!$AF$17,"E",IF(N569&lt;'PlayerGrades+'!$AF$16,"E+",IF(N569&lt;'PlayerGrades+'!$AF$15,"D-",IF(N569&lt;'PlayerGrades+'!$AF$14,"D",IF(N569&lt;'PlayerGrades+'!$AF$13,"D+",IF(N569&lt;'PlayerGrades+'!$AF$12,"C-",IF(N569&lt;'PlayerGrades+'!$AF$11,"C",IF(N569&lt;'PlayerGrades+'!$AF$10,"C+",IF(N569&lt;'PlayerGrades+'!$AF$9,"B-",IF(N569&lt;'PlayerGrades+'!$AF$8,"B",IF(N569&lt;'PlayerGrades+'!$AF$7,"B+",IF(N569&lt;'PlayerGrades+'!$AF$6,"A-",IF(N569&lt;'PlayerGrades+'!$AF$5,"A",IF(N569&lt;'PlayerGrades+'!$AF$4,"A+",IF(N569&lt;'PlayerGrades+'!$AF$3,"S-",IF(N569&lt;'PlayerGrades+'!$AF$2,"S","S+"))))))))))))))))))))</f>
        <v>#DIV/0!</v>
      </c>
      <c r="P569" s="1423" t="str">
        <f t="shared" si="18"/>
        <v>#DIV/0!</v>
      </c>
      <c r="Q569" s="1423" t="str">
        <f>IF(P569&lt;'PlayerGrades+'!$AG$21,"F-",IF(P569&lt;'PlayerGrades+'!$AG$20,"F",IF(P569&lt;'PlayerGrades+'!$AG$19,"F+",IF(P569&lt;'PlayerGrades+'!$AG$18,"E-",IF(P569&lt;'PlayerGrades+'!$AG$17,"E",IF(P569&lt;'PlayerGrades+'!$AG$16,"E+",IF(P569&lt;'PlayerGrades+'!$AG$15,"D-",IF(P569&lt;'PlayerGrades+'!$AG$14,"D",IF(P569&lt;'PlayerGrades+'!$AG$13,"D+",IF(P569&lt;'PlayerGrades+'!$AG$12,"C-",IF(P569&lt;'PlayerGrades+'!$AG$11,"C",IF(P569&lt;'PlayerGrades+'!$AG$10,"C+",IF(P569&lt;'PlayerGrades+'!$AG$9,"B-",IF(P569&lt;'PlayerGrades+'!$AG$8,"B",IF(P569&lt;'PlayerGrades+'!$AG$7,"B+",IF(P569&lt;'PlayerGrades+'!$AG$6,"A-",IF(P569&lt;'PlayerGrades+'!$AG$5,"A",IF(P569&lt;'PlayerGrades+'!$AG$4,"A+",IF(P569&lt;'PlayerGrades+'!$AG$3,"S-",IF(P569&lt;'PlayerGrades+'!$AG$2,"S","S+"))))))))))))))))))))</f>
        <v>#DIV/0!</v>
      </c>
      <c r="R569" s="1423" t="str">
        <f t="shared" si="19"/>
        <v>#REF!</v>
      </c>
      <c r="S569" s="1423" t="str">
        <f>IF(R569&lt;'PlayerGrades+'!$AH$21,"F-",IF(R569&lt;'PlayerGrades+'!$AH$20,"F",IF(R569&lt;'PlayerGrades+'!$AH$19,"F+",IF(R569&lt;'PlayerGrades+'!$AH$18,"E-",IF(R569&lt;'PlayerGrades+'!$AH$17,"E",IF(R569&lt;'PlayerGrades+'!$AH$16,"E+",IF(R569&lt;'PlayerGrades+'!$AH$15,"D-",IF(R569&lt;'PlayerGrades+'!$AH$14,"D",IF(R569&lt;'PlayerGrades+'!$AH$13,"D+",IF(R569&lt;'PlayerGrades+'!$AH$12,"C-",IF(R569&lt;'PlayerGrades+'!$AH$11,"C",IF(R569&lt;'PlayerGrades+'!$AH$10,"C+",IF(R569&lt;'PlayerGrades+'!$AH$9,"B-",IF(R569&lt;'PlayerGrades+'!$AH$8,"B",IF(R569&lt;'PlayerGrades+'!$AH$7,"B+",IF(R569&lt;'PlayerGrades+'!$AH$6,"A-",IF(R569&lt;'PlayerGrades+'!$AH$5,"A",IF(R569&lt;'PlayerGrades+'!$AH$4,"A+",IF(R569&lt;'PlayerGrades+'!$AH$3,"S-",IF(R569&lt;'PlayerGrades+'!$AH$2,"S","S+"))))))))))))))))))))</f>
        <v>#REF!</v>
      </c>
      <c r="T569" s="1423" t="str">
        <f t="shared" si="20"/>
        <v>#REF!</v>
      </c>
      <c r="U569" s="1423" t="str">
        <f>IF(T569&lt;'PlayerGrades+'!$AI$21,"F-",IF(T569&lt;'PlayerGrades+'!$AI$20,"F",IF(T569&lt;'PlayerGrades+'!$AI$19,"F+",IF(T569&lt;'PlayerGrades+'!$AI$18,"E-",IF(T569&lt;'PlayerGrades+'!$AI$17,"E",IF(T569&lt;'PlayerGrades+'!$AI$16,"E+",IF(T569&lt;'PlayerGrades+'!$AI$15,"D-",IF(T569&lt;'PlayerGrades+'!$AI$14,"D",IF(T569&lt;'PlayerGrades+'!$AI$13,"D+",IF(T569&lt;'PlayerGrades+'!$AI$12,"C-",IF(T569&lt;'PlayerGrades+'!$AI$11,"C",IF(T569&lt;'PlayerGrades+'!$AI$10,"C+",IF(T569&lt;'PlayerGrades+'!$AI$9,"B-",IF(T569&lt;'PlayerGrades+'!$AI$8,"B",IF(T569&lt;'PlayerGrades+'!$AI$7,"B+",IF(T569&lt;'PlayerGrades+'!$AI$6,"A-",IF(T569&lt;'PlayerGrades+'!$AI$5,"A",IF(T569&lt;'PlayerGrades+'!$AI$4,"A+",IF(T569&lt;'PlayerGrades+'!$AI$3,"S-",IF(T569&lt;'PlayerGrades+'!$AI$2,"S","S+"))))))))))))))))))))</f>
        <v>#REF!</v>
      </c>
      <c r="V569" s="1433"/>
      <c r="W569" s="1433"/>
      <c r="X569" s="1433"/>
      <c r="Y569" s="1433"/>
      <c r="Z569" s="1433"/>
      <c r="AA569" s="1433"/>
      <c r="AB569" s="1433"/>
      <c r="AC569" s="1434"/>
      <c r="AD569" s="1433"/>
      <c r="AE569" s="1433"/>
      <c r="AF569" s="1433"/>
      <c r="AG569" s="1433"/>
      <c r="AH569" s="1433"/>
      <c r="AI569" s="1433"/>
      <c r="AJ569" s="1433"/>
      <c r="AK569" s="1433"/>
      <c r="AL569" s="1433"/>
      <c r="AM569" s="1433"/>
      <c r="AN569" s="1433"/>
      <c r="AO569" s="1433"/>
      <c r="AP569" s="1433"/>
      <c r="AQ569" s="1433"/>
      <c r="AR569" s="1433"/>
      <c r="AS569" s="1433"/>
      <c r="AT569" s="1433"/>
      <c r="AU569" s="1433"/>
      <c r="AV569" s="1433"/>
      <c r="AW569" s="1433"/>
      <c r="AX569" s="1433"/>
      <c r="AY569" s="1433"/>
      <c r="AZ569" s="1433"/>
    </row>
    <row r="570">
      <c r="B570" s="1421" t="str">
        <f>IF(C570&lt;'PlayerGrades+'!$Y$44,"F-",IF(C570&lt;'PlayerGrades+'!$Y$43,"F",IF(C570&lt;'PlayerGrades+'!$Y$42,"F+",IF(C570&lt;'PlayerGrades+'!$Y$41,"E-",IF(C570&lt;'PlayerGrades+'!$Y$40,"E",IF(C570&lt;'PlayerGrades+'!$Y$39,"E+",IF(C570&lt;'PlayerGrades+'!$Y$38,"D-",IF(C570&lt;'PlayerGrades+'!$Y$37,"D",IF(C570&lt;'PlayerGrades+'!$Y$36,"D+",IF(C570&lt;'PlayerGrades+'!$Y$35,"C-",IF(C570&lt;'PlayerGrades+'!$Y$34,"C",IF(C570&lt;'PlayerGrades+'!$Y$33,"C+",IF(C570&lt;'PlayerGrades+'!$Y$32,"B-",IF(C570&lt;'PlayerGrades+'!$Y$31,"B",IF(C570&lt;'PlayerGrades+'!$Y$30,"B+",IF(C570&lt;'PlayerGrades+'!$Y$29,"A-",IF(C570&lt;'PlayerGrades+'!$Y$28,"A",IF(C570&lt;'PlayerGrades+'!$Y$27,"A+",IF(C570&lt;'PlayerGrades+'!$Y$26,"S-",IF(C570&lt;'PlayerGrades+'!$Y$25,"S","S+"))))))))))))))))))))</f>
        <v>#DIV/0!</v>
      </c>
      <c r="C570" s="1422" t="str">
        <f>('PlayerGrades+'!$Y$47*(VLOOKUP(E570, 'PlayerGrades+'!$X$3:$Y$23, 2, FALSE)))+('PlayerGrades+'!$Y$48*(VLOOKUP(G570, 'PlayerGrades+'!$X$3:$Y$23, 2, FALSE)))+('PlayerGrades+'!$Y$49*(VLOOKUP(I570, 'PlayerGrades+'!$X$3:$Y$23, 2, FALSE)))+('PlayerGrades+'!$Y$50*(VLOOKUP(K570, 'PlayerGrades+'!$X$3:$Y$23, 2, FALSE)))+('PlayerGrades+'!$Y$51*(VLOOKUP(M570, 'PlayerGrades+'!$X$3:$Y$23, 2, FALSE)))+('PlayerGrades+'!$Y$52*(VLOOKUP(O570, 'PlayerGrades+'!$X$3:$Y$23, 2, FALSE)))+('PlayerGrades+'!$Y$53*(VLOOKUP(Q570, 'PlayerGrades+'!$X$3:$Y$23, 2, FALSE)))+('PlayerGrades+'!$Y$54*(VLOOKUP(S570, 'PlayerGrades+'!$X$3:$Y$23, 2, FALSE)))+('PlayerGrades+'!$Y$55*(VLOOKUP(U570, 'PlayerGrades+'!$X$3:$Y$23, 2, FALSE)))</f>
        <v>#DIV/0!</v>
      </c>
      <c r="D570" s="1423" t="str">
        <f t="shared" si="12"/>
        <v>#DIV/0!</v>
      </c>
      <c r="E570" s="1423" t="str">
        <f>IF(D570&lt;'PlayerGrades+'!$AA$21,"F-",IF(D570&lt;'PlayerGrades+'!$AA$20,"F",IF(D570&lt;'PlayerGrades+'!$AA$19,"F+",IF(D570&lt;'PlayerGrades+'!$AA$18,"E-",IF(D570&lt;'PlayerGrades+'!$AA$17,"E",IF(D570&lt;'PlayerGrades+'!$AA$16,"E+",IF(D570&lt;'PlayerGrades+'!$AA$15,"D-",IF(D570&lt;'PlayerGrades+'!$AA$14,"D",IF(D570&lt;'PlayerGrades+'!$AA$13,"D+",IF(D570&lt;'PlayerGrades+'!$AA$12,"C-",IF(D570&lt;'PlayerGrades+'!$AA$11,"C",IF(D570&lt;'PlayerGrades+'!$AA$10,"C+",IF(D570&lt;'PlayerGrades+'!$AA$9,"B-",IF(D570&lt;'PlayerGrades+'!$AA$8,"B",IF(D570&lt;'PlayerGrades+'!$AA$7,"B+",IF(D570&lt;'PlayerGrades+'!$AA$6,"A-",IF(D570&lt;'PlayerGrades+'!$AA$5,"A",IF(D570&lt;'PlayerGrades+'!$AA$4,"A+",IF(D570&lt;'PlayerGrades+'!$AA$3,"S-",IF(D570&lt;'PlayerGrades+'!$AA$2,"S","S+"))))))))))))))))))))</f>
        <v>#DIV/0!</v>
      </c>
      <c r="F570" s="1423" t="str">
        <f t="shared" si="13"/>
        <v>#DIV/0!</v>
      </c>
      <c r="G570" s="1423" t="str">
        <f>IF(F570&lt;'PlayerGrades+'!$AB$21,"F-",IF(F570&lt;'PlayerGrades+'!$AB$20,"F",IF(F570&lt;'PlayerGrades+'!$AB$19,"F+",IF(F570&lt;'PlayerGrades+'!$AB$18,"E-",IF(F570&lt;'PlayerGrades+'!$AB$17,"E",IF(F570&lt;'PlayerGrades+'!$AB$16,"E+",IF(F570&lt;'PlayerGrades+'!$AB$15,"D-",IF(F570&lt;'PlayerGrades+'!$AB$14,"D",IF(F570&lt;'PlayerGrades+'!$AB$13,"D+",IF(F570&lt;'PlayerGrades+'!$AB$12,"C-",IF(F570&lt;'PlayerGrades+'!$AB$11,"C",IF(F570&lt;'PlayerGrades+'!$AB$10,"C+",IF(F570&lt;'PlayerGrades+'!$AB$9,"B-",IF(F570&lt;'PlayerGrades+'!$AB$8,"B",IF(F570&lt;'PlayerGrades+'!$AB$7,"B+",IF(F570&lt;'PlayerGrades+'!$AB$6,"A-",IF(F570&lt;'PlayerGrades+'!$AB$5,"A",IF(F570&lt;'PlayerGrades+'!$AB$4,"A+",IF(F570&lt;'PlayerGrades+'!$AB$3,"S-",IF(F570&lt;'PlayerGrades+'!$AB$2,"S","S+"))))))))))))))))))))</f>
        <v>#DIV/0!</v>
      </c>
      <c r="H570" s="1423" t="str">
        <f t="shared" si="14"/>
        <v>#DIV/0!</v>
      </c>
      <c r="I570" s="1423" t="str">
        <f>IF(H570&lt;'PlayerGrades+'!$AC$21,"F-",IF(H570&lt;'PlayerGrades+'!$AC$20,"F",IF(H570&lt;'PlayerGrades+'!$AC$19,"F+",IF(H570&lt;'PlayerGrades+'!$AC$18,"E-",IF(H570&lt;'PlayerGrades+'!$AC$17,"E",IF(H570&lt;'PlayerGrades+'!$AC$16,"E+",IF(H570&lt;'PlayerGrades+'!$AC$15,"D-",IF(H570&lt;'PlayerGrades+'!$AC$14,"D",IF(H570&lt;'PlayerGrades+'!$AC$13,"D+",IF(H570&lt;'PlayerGrades+'!$AC$12,"C-",IF(H570&lt;'PlayerGrades+'!$AC$11,"C",IF(H570&lt;'PlayerGrades+'!$AC$10,"C+",IF(H570&lt;'PlayerGrades+'!$AC$9,"B-",IF(H570&lt;'PlayerGrades+'!$AC$8,"B",IF(H570&lt;'PlayerGrades+'!$AC$7,"B+",IF(H570&lt;'PlayerGrades+'!$AC$6,"A-",IF(H570&lt;'PlayerGrades+'!$AC$5,"A",IF(H570&lt;'PlayerGrades+'!$AC$4,"A+",IF(H570&lt;'PlayerGrades+'!$AC$3,"S-",IF(H570&lt;'PlayerGrades+'!$AC$2,"S","S+"))))))))))))))))))))</f>
        <v>#DIV/0!</v>
      </c>
      <c r="J570" s="1423" t="str">
        <f t="shared" si="15"/>
        <v>#DIV/0!</v>
      </c>
      <c r="K570" s="1423" t="str">
        <f>IF(J570&lt;'PlayerGrades+'!$AD$21,"F-",IF(J570&lt;'PlayerGrades+'!$AD$20,"F",IF(J570&lt;'PlayerGrades+'!$AD$19,"F+",IF(J570&lt;'PlayerGrades+'!$AD$18,"E-",IF(J570&lt;'PlayerGrades+'!$AD$17,"E",IF(J570&lt;'PlayerGrades+'!$AD$16,"E+",IF(J570&lt;'PlayerGrades+'!$AD$15,"D-",IF(J570&lt;'PlayerGrades+'!$AD$14,"D",IF(J570&lt;'PlayerGrades+'!$AD$13,"D+",IF(J570&lt;'PlayerGrades+'!$AD$12,"C-",IF(J570&lt;'PlayerGrades+'!$AD$11,"C",IF(J570&lt;'PlayerGrades+'!$AD$10,"C+",IF(J570&lt;'PlayerGrades+'!$AD$9,"B-",IF(J570&lt;'PlayerGrades+'!$AD$8,"B",IF(J570&lt;'PlayerGrades+'!$AD$7,"B+",IF(J570&lt;'PlayerGrades+'!$AD$6,"A-",IF(J570&lt;'PlayerGrades+'!$AD$5,"A",IF(J570&lt;'PlayerGrades+'!$AD$4,"A+",IF(J570&lt;'PlayerGrades+'!$AD$3,"S-",IF(J570&lt;'PlayerGrades+'!$AD$2,"S","S+"))))))))))))))))))))</f>
        <v>#DIV/0!</v>
      </c>
      <c r="L570" s="1176" t="str">
        <f t="shared" si="16"/>
        <v>#DIV/0!</v>
      </c>
      <c r="M570" s="992" t="str">
        <f>IF(L570&lt;'PlayerGrades+'!$AE$21,"F-",IF(L570&lt;'PlayerGrades+'!$AE$20,"F",IF(L570&lt;'PlayerGrades+'!$AE$19,"F+",IF(L570&lt;'PlayerGrades+'!$AE$18,"E-",IF(L570&lt;'PlayerGrades+'!$AE$17,"E",IF(L570&lt;'PlayerGrades+'!$AE$16,"E+",IF(L570&lt;'PlayerGrades+'!$AE$15,"D-",IF(L570&lt;'PlayerGrades+'!$AE$14,"D",IF(L570&lt;'PlayerGrades+'!$AE$13,"D+",IF(L570&lt;'PlayerGrades+'!$AE$12,"C-",IF(L570&lt;'PlayerGrades+'!$AE$11,"C",IF(L570&lt;'PlayerGrades+'!$AE$10,"C+",IF(L570&lt;'PlayerGrades+'!$AE$9,"B-",IF(L570&lt;'PlayerGrades+'!$AE$8,"B",IF(L570&lt;'PlayerGrades+'!$AE$7,"B+",IF(L570&lt;'PlayerGrades+'!$AE$6,"A-",IF(L570&lt;'PlayerGrades+'!$AE$5,"A",IF(L570&lt;'PlayerGrades+'!$AE$4,"A+",IF(L570&lt;'PlayerGrades+'!$AE$3,"S-",IF(L570&lt;'PlayerGrades+'!$AE$2,"S","S+"))))))))))))))))))))</f>
        <v>#DIV/0!</v>
      </c>
      <c r="N570" s="1423" t="str">
        <f t="shared" si="17"/>
        <v>#DIV/0!</v>
      </c>
      <c r="O570" s="1423" t="str">
        <f>IF(N570&lt;'PlayerGrades+'!$AF$21,"F-",IF(N570&lt;'PlayerGrades+'!$AF$20,"F",IF(N570&lt;'PlayerGrades+'!$AF$19,"F+",IF(N570&lt;'PlayerGrades+'!$AF$18,"E-",IF(N570&lt;'PlayerGrades+'!$AF$17,"E",IF(N570&lt;'PlayerGrades+'!$AF$16,"E+",IF(N570&lt;'PlayerGrades+'!$AF$15,"D-",IF(N570&lt;'PlayerGrades+'!$AF$14,"D",IF(N570&lt;'PlayerGrades+'!$AF$13,"D+",IF(N570&lt;'PlayerGrades+'!$AF$12,"C-",IF(N570&lt;'PlayerGrades+'!$AF$11,"C",IF(N570&lt;'PlayerGrades+'!$AF$10,"C+",IF(N570&lt;'PlayerGrades+'!$AF$9,"B-",IF(N570&lt;'PlayerGrades+'!$AF$8,"B",IF(N570&lt;'PlayerGrades+'!$AF$7,"B+",IF(N570&lt;'PlayerGrades+'!$AF$6,"A-",IF(N570&lt;'PlayerGrades+'!$AF$5,"A",IF(N570&lt;'PlayerGrades+'!$AF$4,"A+",IF(N570&lt;'PlayerGrades+'!$AF$3,"S-",IF(N570&lt;'PlayerGrades+'!$AF$2,"S","S+"))))))))))))))))))))</f>
        <v>#DIV/0!</v>
      </c>
      <c r="P570" s="1423" t="str">
        <f t="shared" si="18"/>
        <v>#DIV/0!</v>
      </c>
      <c r="Q570" s="1423" t="str">
        <f>IF(P570&lt;'PlayerGrades+'!$AG$21,"F-",IF(P570&lt;'PlayerGrades+'!$AG$20,"F",IF(P570&lt;'PlayerGrades+'!$AG$19,"F+",IF(P570&lt;'PlayerGrades+'!$AG$18,"E-",IF(P570&lt;'PlayerGrades+'!$AG$17,"E",IF(P570&lt;'PlayerGrades+'!$AG$16,"E+",IF(P570&lt;'PlayerGrades+'!$AG$15,"D-",IF(P570&lt;'PlayerGrades+'!$AG$14,"D",IF(P570&lt;'PlayerGrades+'!$AG$13,"D+",IF(P570&lt;'PlayerGrades+'!$AG$12,"C-",IF(P570&lt;'PlayerGrades+'!$AG$11,"C",IF(P570&lt;'PlayerGrades+'!$AG$10,"C+",IF(P570&lt;'PlayerGrades+'!$AG$9,"B-",IF(P570&lt;'PlayerGrades+'!$AG$8,"B",IF(P570&lt;'PlayerGrades+'!$AG$7,"B+",IF(P570&lt;'PlayerGrades+'!$AG$6,"A-",IF(P570&lt;'PlayerGrades+'!$AG$5,"A",IF(P570&lt;'PlayerGrades+'!$AG$4,"A+",IF(P570&lt;'PlayerGrades+'!$AG$3,"S-",IF(P570&lt;'PlayerGrades+'!$AG$2,"S","S+"))))))))))))))))))))</f>
        <v>#DIV/0!</v>
      </c>
      <c r="R570" s="1423" t="str">
        <f t="shared" si="19"/>
        <v>#REF!</v>
      </c>
      <c r="S570" s="1423" t="str">
        <f>IF(R570&lt;'PlayerGrades+'!$AH$21,"F-",IF(R570&lt;'PlayerGrades+'!$AH$20,"F",IF(R570&lt;'PlayerGrades+'!$AH$19,"F+",IF(R570&lt;'PlayerGrades+'!$AH$18,"E-",IF(R570&lt;'PlayerGrades+'!$AH$17,"E",IF(R570&lt;'PlayerGrades+'!$AH$16,"E+",IF(R570&lt;'PlayerGrades+'!$AH$15,"D-",IF(R570&lt;'PlayerGrades+'!$AH$14,"D",IF(R570&lt;'PlayerGrades+'!$AH$13,"D+",IF(R570&lt;'PlayerGrades+'!$AH$12,"C-",IF(R570&lt;'PlayerGrades+'!$AH$11,"C",IF(R570&lt;'PlayerGrades+'!$AH$10,"C+",IF(R570&lt;'PlayerGrades+'!$AH$9,"B-",IF(R570&lt;'PlayerGrades+'!$AH$8,"B",IF(R570&lt;'PlayerGrades+'!$AH$7,"B+",IF(R570&lt;'PlayerGrades+'!$AH$6,"A-",IF(R570&lt;'PlayerGrades+'!$AH$5,"A",IF(R570&lt;'PlayerGrades+'!$AH$4,"A+",IF(R570&lt;'PlayerGrades+'!$AH$3,"S-",IF(R570&lt;'PlayerGrades+'!$AH$2,"S","S+"))))))))))))))))))))</f>
        <v>#REF!</v>
      </c>
      <c r="T570" s="1423" t="str">
        <f t="shared" si="20"/>
        <v>#REF!</v>
      </c>
      <c r="U570" s="1423" t="str">
        <f>IF(T570&lt;'PlayerGrades+'!$AI$21,"F-",IF(T570&lt;'PlayerGrades+'!$AI$20,"F",IF(T570&lt;'PlayerGrades+'!$AI$19,"F+",IF(T570&lt;'PlayerGrades+'!$AI$18,"E-",IF(T570&lt;'PlayerGrades+'!$AI$17,"E",IF(T570&lt;'PlayerGrades+'!$AI$16,"E+",IF(T570&lt;'PlayerGrades+'!$AI$15,"D-",IF(T570&lt;'PlayerGrades+'!$AI$14,"D",IF(T570&lt;'PlayerGrades+'!$AI$13,"D+",IF(T570&lt;'PlayerGrades+'!$AI$12,"C-",IF(T570&lt;'PlayerGrades+'!$AI$11,"C",IF(T570&lt;'PlayerGrades+'!$AI$10,"C+",IF(T570&lt;'PlayerGrades+'!$AI$9,"B-",IF(T570&lt;'PlayerGrades+'!$AI$8,"B",IF(T570&lt;'PlayerGrades+'!$AI$7,"B+",IF(T570&lt;'PlayerGrades+'!$AI$6,"A-",IF(T570&lt;'PlayerGrades+'!$AI$5,"A",IF(T570&lt;'PlayerGrades+'!$AI$4,"A+",IF(T570&lt;'PlayerGrades+'!$AI$3,"S-",IF(T570&lt;'PlayerGrades+'!$AI$2,"S","S+"))))))))))))))))))))</f>
        <v>#REF!</v>
      </c>
      <c r="V570" s="1431"/>
      <c r="W570" s="1431"/>
      <c r="X570" s="1431"/>
      <c r="Y570" s="1431"/>
      <c r="Z570" s="1431"/>
      <c r="AA570" s="1431"/>
      <c r="AB570" s="1431"/>
      <c r="AC570" s="1432"/>
      <c r="AD570" s="1431"/>
      <c r="AE570" s="1431"/>
      <c r="AF570" s="1431"/>
      <c r="AG570" s="1431"/>
      <c r="AH570" s="1431"/>
      <c r="AI570" s="1431"/>
      <c r="AJ570" s="1431"/>
      <c r="AK570" s="1431"/>
      <c r="AL570" s="1431"/>
      <c r="AM570" s="1431"/>
      <c r="AN570" s="1431"/>
      <c r="AO570" s="1431"/>
      <c r="AP570" s="1431"/>
      <c r="AQ570" s="1431"/>
      <c r="AR570" s="1431"/>
      <c r="AS570" s="1431"/>
      <c r="AT570" s="1431"/>
      <c r="AU570" s="1431"/>
      <c r="AV570" s="1431"/>
      <c r="AW570" s="1431"/>
      <c r="AX570" s="1431"/>
      <c r="AY570" s="1431"/>
      <c r="AZ570" s="1431"/>
    </row>
    <row r="571">
      <c r="B571" s="1421" t="str">
        <f>IF(C571&lt;'PlayerGrades+'!$Y$44,"F-",IF(C571&lt;'PlayerGrades+'!$Y$43,"F",IF(C571&lt;'PlayerGrades+'!$Y$42,"F+",IF(C571&lt;'PlayerGrades+'!$Y$41,"E-",IF(C571&lt;'PlayerGrades+'!$Y$40,"E",IF(C571&lt;'PlayerGrades+'!$Y$39,"E+",IF(C571&lt;'PlayerGrades+'!$Y$38,"D-",IF(C571&lt;'PlayerGrades+'!$Y$37,"D",IF(C571&lt;'PlayerGrades+'!$Y$36,"D+",IF(C571&lt;'PlayerGrades+'!$Y$35,"C-",IF(C571&lt;'PlayerGrades+'!$Y$34,"C",IF(C571&lt;'PlayerGrades+'!$Y$33,"C+",IF(C571&lt;'PlayerGrades+'!$Y$32,"B-",IF(C571&lt;'PlayerGrades+'!$Y$31,"B",IF(C571&lt;'PlayerGrades+'!$Y$30,"B+",IF(C571&lt;'PlayerGrades+'!$Y$29,"A-",IF(C571&lt;'PlayerGrades+'!$Y$28,"A",IF(C571&lt;'PlayerGrades+'!$Y$27,"A+",IF(C571&lt;'PlayerGrades+'!$Y$26,"S-",IF(C571&lt;'PlayerGrades+'!$Y$25,"S","S+"))))))))))))))))))))</f>
        <v>#DIV/0!</v>
      </c>
      <c r="C571" s="1422" t="str">
        <f>('PlayerGrades+'!$Y$47*(VLOOKUP(E571, 'PlayerGrades+'!$X$3:$Y$23, 2, FALSE)))+('PlayerGrades+'!$Y$48*(VLOOKUP(G571, 'PlayerGrades+'!$X$3:$Y$23, 2, FALSE)))+('PlayerGrades+'!$Y$49*(VLOOKUP(I571, 'PlayerGrades+'!$X$3:$Y$23, 2, FALSE)))+('PlayerGrades+'!$Y$50*(VLOOKUP(K571, 'PlayerGrades+'!$X$3:$Y$23, 2, FALSE)))+('PlayerGrades+'!$Y$51*(VLOOKUP(M571, 'PlayerGrades+'!$X$3:$Y$23, 2, FALSE)))+('PlayerGrades+'!$Y$52*(VLOOKUP(O571, 'PlayerGrades+'!$X$3:$Y$23, 2, FALSE)))+('PlayerGrades+'!$Y$53*(VLOOKUP(Q571, 'PlayerGrades+'!$X$3:$Y$23, 2, FALSE)))+('PlayerGrades+'!$Y$54*(VLOOKUP(S571, 'PlayerGrades+'!$X$3:$Y$23, 2, FALSE)))+('PlayerGrades+'!$Y$55*(VLOOKUP(U571, 'PlayerGrades+'!$X$3:$Y$23, 2, FALSE)))</f>
        <v>#DIV/0!</v>
      </c>
      <c r="D571" s="1423" t="str">
        <f t="shared" si="12"/>
        <v>#DIV/0!</v>
      </c>
      <c r="E571" s="1423" t="str">
        <f>IF(D571&lt;'PlayerGrades+'!$AA$21,"F-",IF(D571&lt;'PlayerGrades+'!$AA$20,"F",IF(D571&lt;'PlayerGrades+'!$AA$19,"F+",IF(D571&lt;'PlayerGrades+'!$AA$18,"E-",IF(D571&lt;'PlayerGrades+'!$AA$17,"E",IF(D571&lt;'PlayerGrades+'!$AA$16,"E+",IF(D571&lt;'PlayerGrades+'!$AA$15,"D-",IF(D571&lt;'PlayerGrades+'!$AA$14,"D",IF(D571&lt;'PlayerGrades+'!$AA$13,"D+",IF(D571&lt;'PlayerGrades+'!$AA$12,"C-",IF(D571&lt;'PlayerGrades+'!$AA$11,"C",IF(D571&lt;'PlayerGrades+'!$AA$10,"C+",IF(D571&lt;'PlayerGrades+'!$AA$9,"B-",IF(D571&lt;'PlayerGrades+'!$AA$8,"B",IF(D571&lt;'PlayerGrades+'!$AA$7,"B+",IF(D571&lt;'PlayerGrades+'!$AA$6,"A-",IF(D571&lt;'PlayerGrades+'!$AA$5,"A",IF(D571&lt;'PlayerGrades+'!$AA$4,"A+",IF(D571&lt;'PlayerGrades+'!$AA$3,"S-",IF(D571&lt;'PlayerGrades+'!$AA$2,"S","S+"))))))))))))))))))))</f>
        <v>#DIV/0!</v>
      </c>
      <c r="F571" s="1423" t="str">
        <f t="shared" si="13"/>
        <v>#DIV/0!</v>
      </c>
      <c r="G571" s="1423" t="str">
        <f>IF(F571&lt;'PlayerGrades+'!$AB$21,"F-",IF(F571&lt;'PlayerGrades+'!$AB$20,"F",IF(F571&lt;'PlayerGrades+'!$AB$19,"F+",IF(F571&lt;'PlayerGrades+'!$AB$18,"E-",IF(F571&lt;'PlayerGrades+'!$AB$17,"E",IF(F571&lt;'PlayerGrades+'!$AB$16,"E+",IF(F571&lt;'PlayerGrades+'!$AB$15,"D-",IF(F571&lt;'PlayerGrades+'!$AB$14,"D",IF(F571&lt;'PlayerGrades+'!$AB$13,"D+",IF(F571&lt;'PlayerGrades+'!$AB$12,"C-",IF(F571&lt;'PlayerGrades+'!$AB$11,"C",IF(F571&lt;'PlayerGrades+'!$AB$10,"C+",IF(F571&lt;'PlayerGrades+'!$AB$9,"B-",IF(F571&lt;'PlayerGrades+'!$AB$8,"B",IF(F571&lt;'PlayerGrades+'!$AB$7,"B+",IF(F571&lt;'PlayerGrades+'!$AB$6,"A-",IF(F571&lt;'PlayerGrades+'!$AB$5,"A",IF(F571&lt;'PlayerGrades+'!$AB$4,"A+",IF(F571&lt;'PlayerGrades+'!$AB$3,"S-",IF(F571&lt;'PlayerGrades+'!$AB$2,"S","S+"))))))))))))))))))))</f>
        <v>#DIV/0!</v>
      </c>
      <c r="H571" s="1423" t="str">
        <f t="shared" si="14"/>
        <v>#DIV/0!</v>
      </c>
      <c r="I571" s="1423" t="str">
        <f>IF(H571&lt;'PlayerGrades+'!$AC$21,"F-",IF(H571&lt;'PlayerGrades+'!$AC$20,"F",IF(H571&lt;'PlayerGrades+'!$AC$19,"F+",IF(H571&lt;'PlayerGrades+'!$AC$18,"E-",IF(H571&lt;'PlayerGrades+'!$AC$17,"E",IF(H571&lt;'PlayerGrades+'!$AC$16,"E+",IF(H571&lt;'PlayerGrades+'!$AC$15,"D-",IF(H571&lt;'PlayerGrades+'!$AC$14,"D",IF(H571&lt;'PlayerGrades+'!$AC$13,"D+",IF(H571&lt;'PlayerGrades+'!$AC$12,"C-",IF(H571&lt;'PlayerGrades+'!$AC$11,"C",IF(H571&lt;'PlayerGrades+'!$AC$10,"C+",IF(H571&lt;'PlayerGrades+'!$AC$9,"B-",IF(H571&lt;'PlayerGrades+'!$AC$8,"B",IF(H571&lt;'PlayerGrades+'!$AC$7,"B+",IF(H571&lt;'PlayerGrades+'!$AC$6,"A-",IF(H571&lt;'PlayerGrades+'!$AC$5,"A",IF(H571&lt;'PlayerGrades+'!$AC$4,"A+",IF(H571&lt;'PlayerGrades+'!$AC$3,"S-",IF(H571&lt;'PlayerGrades+'!$AC$2,"S","S+"))))))))))))))))))))</f>
        <v>#DIV/0!</v>
      </c>
      <c r="J571" s="1423" t="str">
        <f t="shared" si="15"/>
        <v>#DIV/0!</v>
      </c>
      <c r="K571" s="1423" t="str">
        <f>IF(J571&lt;'PlayerGrades+'!$AD$21,"F-",IF(J571&lt;'PlayerGrades+'!$AD$20,"F",IF(J571&lt;'PlayerGrades+'!$AD$19,"F+",IF(J571&lt;'PlayerGrades+'!$AD$18,"E-",IF(J571&lt;'PlayerGrades+'!$AD$17,"E",IF(J571&lt;'PlayerGrades+'!$AD$16,"E+",IF(J571&lt;'PlayerGrades+'!$AD$15,"D-",IF(J571&lt;'PlayerGrades+'!$AD$14,"D",IF(J571&lt;'PlayerGrades+'!$AD$13,"D+",IF(J571&lt;'PlayerGrades+'!$AD$12,"C-",IF(J571&lt;'PlayerGrades+'!$AD$11,"C",IF(J571&lt;'PlayerGrades+'!$AD$10,"C+",IF(J571&lt;'PlayerGrades+'!$AD$9,"B-",IF(J571&lt;'PlayerGrades+'!$AD$8,"B",IF(J571&lt;'PlayerGrades+'!$AD$7,"B+",IF(J571&lt;'PlayerGrades+'!$AD$6,"A-",IF(J571&lt;'PlayerGrades+'!$AD$5,"A",IF(J571&lt;'PlayerGrades+'!$AD$4,"A+",IF(J571&lt;'PlayerGrades+'!$AD$3,"S-",IF(J571&lt;'PlayerGrades+'!$AD$2,"S","S+"))))))))))))))))))))</f>
        <v>#DIV/0!</v>
      </c>
      <c r="L571" s="1176" t="str">
        <f t="shared" si="16"/>
        <v>#DIV/0!</v>
      </c>
      <c r="M571" s="992" t="str">
        <f>IF(L571&lt;'PlayerGrades+'!$AE$21,"F-",IF(L571&lt;'PlayerGrades+'!$AE$20,"F",IF(L571&lt;'PlayerGrades+'!$AE$19,"F+",IF(L571&lt;'PlayerGrades+'!$AE$18,"E-",IF(L571&lt;'PlayerGrades+'!$AE$17,"E",IF(L571&lt;'PlayerGrades+'!$AE$16,"E+",IF(L571&lt;'PlayerGrades+'!$AE$15,"D-",IF(L571&lt;'PlayerGrades+'!$AE$14,"D",IF(L571&lt;'PlayerGrades+'!$AE$13,"D+",IF(L571&lt;'PlayerGrades+'!$AE$12,"C-",IF(L571&lt;'PlayerGrades+'!$AE$11,"C",IF(L571&lt;'PlayerGrades+'!$AE$10,"C+",IF(L571&lt;'PlayerGrades+'!$AE$9,"B-",IF(L571&lt;'PlayerGrades+'!$AE$8,"B",IF(L571&lt;'PlayerGrades+'!$AE$7,"B+",IF(L571&lt;'PlayerGrades+'!$AE$6,"A-",IF(L571&lt;'PlayerGrades+'!$AE$5,"A",IF(L571&lt;'PlayerGrades+'!$AE$4,"A+",IF(L571&lt;'PlayerGrades+'!$AE$3,"S-",IF(L571&lt;'PlayerGrades+'!$AE$2,"S","S+"))))))))))))))))))))</f>
        <v>#DIV/0!</v>
      </c>
      <c r="N571" s="1423" t="str">
        <f t="shared" si="17"/>
        <v>#DIV/0!</v>
      </c>
      <c r="O571" s="1423" t="str">
        <f>IF(N571&lt;'PlayerGrades+'!$AF$21,"F-",IF(N571&lt;'PlayerGrades+'!$AF$20,"F",IF(N571&lt;'PlayerGrades+'!$AF$19,"F+",IF(N571&lt;'PlayerGrades+'!$AF$18,"E-",IF(N571&lt;'PlayerGrades+'!$AF$17,"E",IF(N571&lt;'PlayerGrades+'!$AF$16,"E+",IF(N571&lt;'PlayerGrades+'!$AF$15,"D-",IF(N571&lt;'PlayerGrades+'!$AF$14,"D",IF(N571&lt;'PlayerGrades+'!$AF$13,"D+",IF(N571&lt;'PlayerGrades+'!$AF$12,"C-",IF(N571&lt;'PlayerGrades+'!$AF$11,"C",IF(N571&lt;'PlayerGrades+'!$AF$10,"C+",IF(N571&lt;'PlayerGrades+'!$AF$9,"B-",IF(N571&lt;'PlayerGrades+'!$AF$8,"B",IF(N571&lt;'PlayerGrades+'!$AF$7,"B+",IF(N571&lt;'PlayerGrades+'!$AF$6,"A-",IF(N571&lt;'PlayerGrades+'!$AF$5,"A",IF(N571&lt;'PlayerGrades+'!$AF$4,"A+",IF(N571&lt;'PlayerGrades+'!$AF$3,"S-",IF(N571&lt;'PlayerGrades+'!$AF$2,"S","S+"))))))))))))))))))))</f>
        <v>#DIV/0!</v>
      </c>
      <c r="P571" s="1423" t="str">
        <f t="shared" si="18"/>
        <v>#DIV/0!</v>
      </c>
      <c r="Q571" s="1423" t="str">
        <f>IF(P571&lt;'PlayerGrades+'!$AG$21,"F-",IF(P571&lt;'PlayerGrades+'!$AG$20,"F",IF(P571&lt;'PlayerGrades+'!$AG$19,"F+",IF(P571&lt;'PlayerGrades+'!$AG$18,"E-",IF(P571&lt;'PlayerGrades+'!$AG$17,"E",IF(P571&lt;'PlayerGrades+'!$AG$16,"E+",IF(P571&lt;'PlayerGrades+'!$AG$15,"D-",IF(P571&lt;'PlayerGrades+'!$AG$14,"D",IF(P571&lt;'PlayerGrades+'!$AG$13,"D+",IF(P571&lt;'PlayerGrades+'!$AG$12,"C-",IF(P571&lt;'PlayerGrades+'!$AG$11,"C",IF(P571&lt;'PlayerGrades+'!$AG$10,"C+",IF(P571&lt;'PlayerGrades+'!$AG$9,"B-",IF(P571&lt;'PlayerGrades+'!$AG$8,"B",IF(P571&lt;'PlayerGrades+'!$AG$7,"B+",IF(P571&lt;'PlayerGrades+'!$AG$6,"A-",IF(P571&lt;'PlayerGrades+'!$AG$5,"A",IF(P571&lt;'PlayerGrades+'!$AG$4,"A+",IF(P571&lt;'PlayerGrades+'!$AG$3,"S-",IF(P571&lt;'PlayerGrades+'!$AG$2,"S","S+"))))))))))))))))))))</f>
        <v>#DIV/0!</v>
      </c>
      <c r="R571" s="1423" t="str">
        <f t="shared" si="19"/>
        <v>#REF!</v>
      </c>
      <c r="S571" s="1423" t="str">
        <f>IF(R571&lt;'PlayerGrades+'!$AH$21,"F-",IF(R571&lt;'PlayerGrades+'!$AH$20,"F",IF(R571&lt;'PlayerGrades+'!$AH$19,"F+",IF(R571&lt;'PlayerGrades+'!$AH$18,"E-",IF(R571&lt;'PlayerGrades+'!$AH$17,"E",IF(R571&lt;'PlayerGrades+'!$AH$16,"E+",IF(R571&lt;'PlayerGrades+'!$AH$15,"D-",IF(R571&lt;'PlayerGrades+'!$AH$14,"D",IF(R571&lt;'PlayerGrades+'!$AH$13,"D+",IF(R571&lt;'PlayerGrades+'!$AH$12,"C-",IF(R571&lt;'PlayerGrades+'!$AH$11,"C",IF(R571&lt;'PlayerGrades+'!$AH$10,"C+",IF(R571&lt;'PlayerGrades+'!$AH$9,"B-",IF(R571&lt;'PlayerGrades+'!$AH$8,"B",IF(R571&lt;'PlayerGrades+'!$AH$7,"B+",IF(R571&lt;'PlayerGrades+'!$AH$6,"A-",IF(R571&lt;'PlayerGrades+'!$AH$5,"A",IF(R571&lt;'PlayerGrades+'!$AH$4,"A+",IF(R571&lt;'PlayerGrades+'!$AH$3,"S-",IF(R571&lt;'PlayerGrades+'!$AH$2,"S","S+"))))))))))))))))))))</f>
        <v>#REF!</v>
      </c>
      <c r="T571" s="1423" t="str">
        <f t="shared" si="20"/>
        <v>#REF!</v>
      </c>
      <c r="U571" s="1423" t="str">
        <f>IF(T571&lt;'PlayerGrades+'!$AI$21,"F-",IF(T571&lt;'PlayerGrades+'!$AI$20,"F",IF(T571&lt;'PlayerGrades+'!$AI$19,"F+",IF(T571&lt;'PlayerGrades+'!$AI$18,"E-",IF(T571&lt;'PlayerGrades+'!$AI$17,"E",IF(T571&lt;'PlayerGrades+'!$AI$16,"E+",IF(T571&lt;'PlayerGrades+'!$AI$15,"D-",IF(T571&lt;'PlayerGrades+'!$AI$14,"D",IF(T571&lt;'PlayerGrades+'!$AI$13,"D+",IF(T571&lt;'PlayerGrades+'!$AI$12,"C-",IF(T571&lt;'PlayerGrades+'!$AI$11,"C",IF(T571&lt;'PlayerGrades+'!$AI$10,"C+",IF(T571&lt;'PlayerGrades+'!$AI$9,"B-",IF(T571&lt;'PlayerGrades+'!$AI$8,"B",IF(T571&lt;'PlayerGrades+'!$AI$7,"B+",IF(T571&lt;'PlayerGrades+'!$AI$6,"A-",IF(T571&lt;'PlayerGrades+'!$AI$5,"A",IF(T571&lt;'PlayerGrades+'!$AI$4,"A+",IF(T571&lt;'PlayerGrades+'!$AI$3,"S-",IF(T571&lt;'PlayerGrades+'!$AI$2,"S","S+"))))))))))))))))))))</f>
        <v>#REF!</v>
      </c>
      <c r="V571" s="1431"/>
      <c r="W571" s="1431"/>
      <c r="X571" s="1431"/>
      <c r="Y571" s="1431"/>
      <c r="Z571" s="1431"/>
      <c r="AA571" s="1431"/>
      <c r="AB571" s="1431"/>
      <c r="AC571" s="1432"/>
      <c r="AD571" s="1431"/>
      <c r="AE571" s="1431"/>
      <c r="AF571" s="1431"/>
      <c r="AG571" s="1431"/>
      <c r="AH571" s="1431"/>
      <c r="AI571" s="1431"/>
      <c r="AJ571" s="1431"/>
      <c r="AK571" s="1431"/>
      <c r="AL571" s="1431"/>
      <c r="AM571" s="1431"/>
      <c r="AN571" s="1431"/>
      <c r="AO571" s="1431"/>
      <c r="AP571" s="1431"/>
      <c r="AQ571" s="1431"/>
      <c r="AR571" s="1431"/>
      <c r="AS571" s="1431"/>
      <c r="AT571" s="1431"/>
      <c r="AU571" s="1431"/>
      <c r="AV571" s="1431"/>
      <c r="AW571" s="1431"/>
      <c r="AX571" s="1431"/>
      <c r="AY571" s="1431"/>
      <c r="AZ571" s="1431"/>
    </row>
    <row r="572">
      <c r="B572" s="1421" t="str">
        <f>IF(C572&lt;'PlayerGrades+'!$Y$44,"F-",IF(C572&lt;'PlayerGrades+'!$Y$43,"F",IF(C572&lt;'PlayerGrades+'!$Y$42,"F+",IF(C572&lt;'PlayerGrades+'!$Y$41,"E-",IF(C572&lt;'PlayerGrades+'!$Y$40,"E",IF(C572&lt;'PlayerGrades+'!$Y$39,"E+",IF(C572&lt;'PlayerGrades+'!$Y$38,"D-",IF(C572&lt;'PlayerGrades+'!$Y$37,"D",IF(C572&lt;'PlayerGrades+'!$Y$36,"D+",IF(C572&lt;'PlayerGrades+'!$Y$35,"C-",IF(C572&lt;'PlayerGrades+'!$Y$34,"C",IF(C572&lt;'PlayerGrades+'!$Y$33,"C+",IF(C572&lt;'PlayerGrades+'!$Y$32,"B-",IF(C572&lt;'PlayerGrades+'!$Y$31,"B",IF(C572&lt;'PlayerGrades+'!$Y$30,"B+",IF(C572&lt;'PlayerGrades+'!$Y$29,"A-",IF(C572&lt;'PlayerGrades+'!$Y$28,"A",IF(C572&lt;'PlayerGrades+'!$Y$27,"A+",IF(C572&lt;'PlayerGrades+'!$Y$26,"S-",IF(C572&lt;'PlayerGrades+'!$Y$25,"S","S+"))))))))))))))))))))</f>
        <v>#DIV/0!</v>
      </c>
      <c r="C572" s="1422" t="str">
        <f>('PlayerGrades+'!$Y$47*(VLOOKUP(E572, 'PlayerGrades+'!$X$3:$Y$23, 2, FALSE)))+('PlayerGrades+'!$Y$48*(VLOOKUP(G572, 'PlayerGrades+'!$X$3:$Y$23, 2, FALSE)))+('PlayerGrades+'!$Y$49*(VLOOKUP(I572, 'PlayerGrades+'!$X$3:$Y$23, 2, FALSE)))+('PlayerGrades+'!$Y$50*(VLOOKUP(K572, 'PlayerGrades+'!$X$3:$Y$23, 2, FALSE)))+('PlayerGrades+'!$Y$51*(VLOOKUP(M572, 'PlayerGrades+'!$X$3:$Y$23, 2, FALSE)))+('PlayerGrades+'!$Y$52*(VLOOKUP(O572, 'PlayerGrades+'!$X$3:$Y$23, 2, FALSE)))+('PlayerGrades+'!$Y$53*(VLOOKUP(Q572, 'PlayerGrades+'!$X$3:$Y$23, 2, FALSE)))+('PlayerGrades+'!$Y$54*(VLOOKUP(S572, 'PlayerGrades+'!$X$3:$Y$23, 2, FALSE)))+('PlayerGrades+'!$Y$55*(VLOOKUP(U572, 'PlayerGrades+'!$X$3:$Y$23, 2, FALSE)))</f>
        <v>#DIV/0!</v>
      </c>
      <c r="D572" s="1423" t="str">
        <f t="shared" si="12"/>
        <v>#DIV/0!</v>
      </c>
      <c r="E572" s="1423" t="str">
        <f>IF(D572&lt;'PlayerGrades+'!$AA$21,"F-",IF(D572&lt;'PlayerGrades+'!$AA$20,"F",IF(D572&lt;'PlayerGrades+'!$AA$19,"F+",IF(D572&lt;'PlayerGrades+'!$AA$18,"E-",IF(D572&lt;'PlayerGrades+'!$AA$17,"E",IF(D572&lt;'PlayerGrades+'!$AA$16,"E+",IF(D572&lt;'PlayerGrades+'!$AA$15,"D-",IF(D572&lt;'PlayerGrades+'!$AA$14,"D",IF(D572&lt;'PlayerGrades+'!$AA$13,"D+",IF(D572&lt;'PlayerGrades+'!$AA$12,"C-",IF(D572&lt;'PlayerGrades+'!$AA$11,"C",IF(D572&lt;'PlayerGrades+'!$AA$10,"C+",IF(D572&lt;'PlayerGrades+'!$AA$9,"B-",IF(D572&lt;'PlayerGrades+'!$AA$8,"B",IF(D572&lt;'PlayerGrades+'!$AA$7,"B+",IF(D572&lt;'PlayerGrades+'!$AA$6,"A-",IF(D572&lt;'PlayerGrades+'!$AA$5,"A",IF(D572&lt;'PlayerGrades+'!$AA$4,"A+",IF(D572&lt;'PlayerGrades+'!$AA$3,"S-",IF(D572&lt;'PlayerGrades+'!$AA$2,"S","S+"))))))))))))))))))))</f>
        <v>#DIV/0!</v>
      </c>
      <c r="F572" s="1423" t="str">
        <f t="shared" si="13"/>
        <v>#DIV/0!</v>
      </c>
      <c r="G572" s="1423" t="str">
        <f>IF(F572&lt;'PlayerGrades+'!$AB$21,"F-",IF(F572&lt;'PlayerGrades+'!$AB$20,"F",IF(F572&lt;'PlayerGrades+'!$AB$19,"F+",IF(F572&lt;'PlayerGrades+'!$AB$18,"E-",IF(F572&lt;'PlayerGrades+'!$AB$17,"E",IF(F572&lt;'PlayerGrades+'!$AB$16,"E+",IF(F572&lt;'PlayerGrades+'!$AB$15,"D-",IF(F572&lt;'PlayerGrades+'!$AB$14,"D",IF(F572&lt;'PlayerGrades+'!$AB$13,"D+",IF(F572&lt;'PlayerGrades+'!$AB$12,"C-",IF(F572&lt;'PlayerGrades+'!$AB$11,"C",IF(F572&lt;'PlayerGrades+'!$AB$10,"C+",IF(F572&lt;'PlayerGrades+'!$AB$9,"B-",IF(F572&lt;'PlayerGrades+'!$AB$8,"B",IF(F572&lt;'PlayerGrades+'!$AB$7,"B+",IF(F572&lt;'PlayerGrades+'!$AB$6,"A-",IF(F572&lt;'PlayerGrades+'!$AB$5,"A",IF(F572&lt;'PlayerGrades+'!$AB$4,"A+",IF(F572&lt;'PlayerGrades+'!$AB$3,"S-",IF(F572&lt;'PlayerGrades+'!$AB$2,"S","S+"))))))))))))))))))))</f>
        <v>#DIV/0!</v>
      </c>
      <c r="H572" s="1423" t="str">
        <f t="shared" si="14"/>
        <v>#DIV/0!</v>
      </c>
      <c r="I572" s="1423" t="str">
        <f>IF(H572&lt;'PlayerGrades+'!$AC$21,"F-",IF(H572&lt;'PlayerGrades+'!$AC$20,"F",IF(H572&lt;'PlayerGrades+'!$AC$19,"F+",IF(H572&lt;'PlayerGrades+'!$AC$18,"E-",IF(H572&lt;'PlayerGrades+'!$AC$17,"E",IF(H572&lt;'PlayerGrades+'!$AC$16,"E+",IF(H572&lt;'PlayerGrades+'!$AC$15,"D-",IF(H572&lt;'PlayerGrades+'!$AC$14,"D",IF(H572&lt;'PlayerGrades+'!$AC$13,"D+",IF(H572&lt;'PlayerGrades+'!$AC$12,"C-",IF(H572&lt;'PlayerGrades+'!$AC$11,"C",IF(H572&lt;'PlayerGrades+'!$AC$10,"C+",IF(H572&lt;'PlayerGrades+'!$AC$9,"B-",IF(H572&lt;'PlayerGrades+'!$AC$8,"B",IF(H572&lt;'PlayerGrades+'!$AC$7,"B+",IF(H572&lt;'PlayerGrades+'!$AC$6,"A-",IF(H572&lt;'PlayerGrades+'!$AC$5,"A",IF(H572&lt;'PlayerGrades+'!$AC$4,"A+",IF(H572&lt;'PlayerGrades+'!$AC$3,"S-",IF(H572&lt;'PlayerGrades+'!$AC$2,"S","S+"))))))))))))))))))))</f>
        <v>#DIV/0!</v>
      </c>
      <c r="J572" s="1423" t="str">
        <f t="shared" si="15"/>
        <v>#DIV/0!</v>
      </c>
      <c r="K572" s="1423" t="str">
        <f>IF(J572&lt;'PlayerGrades+'!$AD$21,"F-",IF(J572&lt;'PlayerGrades+'!$AD$20,"F",IF(J572&lt;'PlayerGrades+'!$AD$19,"F+",IF(J572&lt;'PlayerGrades+'!$AD$18,"E-",IF(J572&lt;'PlayerGrades+'!$AD$17,"E",IF(J572&lt;'PlayerGrades+'!$AD$16,"E+",IF(J572&lt;'PlayerGrades+'!$AD$15,"D-",IF(J572&lt;'PlayerGrades+'!$AD$14,"D",IF(J572&lt;'PlayerGrades+'!$AD$13,"D+",IF(J572&lt;'PlayerGrades+'!$AD$12,"C-",IF(J572&lt;'PlayerGrades+'!$AD$11,"C",IF(J572&lt;'PlayerGrades+'!$AD$10,"C+",IF(J572&lt;'PlayerGrades+'!$AD$9,"B-",IF(J572&lt;'PlayerGrades+'!$AD$8,"B",IF(J572&lt;'PlayerGrades+'!$AD$7,"B+",IF(J572&lt;'PlayerGrades+'!$AD$6,"A-",IF(J572&lt;'PlayerGrades+'!$AD$5,"A",IF(J572&lt;'PlayerGrades+'!$AD$4,"A+",IF(J572&lt;'PlayerGrades+'!$AD$3,"S-",IF(J572&lt;'PlayerGrades+'!$AD$2,"S","S+"))))))))))))))))))))</f>
        <v>#DIV/0!</v>
      </c>
      <c r="L572" s="1176" t="str">
        <f t="shared" si="16"/>
        <v>#DIV/0!</v>
      </c>
      <c r="M572" s="992" t="str">
        <f>IF(L572&lt;'PlayerGrades+'!$AE$21,"F-",IF(L572&lt;'PlayerGrades+'!$AE$20,"F",IF(L572&lt;'PlayerGrades+'!$AE$19,"F+",IF(L572&lt;'PlayerGrades+'!$AE$18,"E-",IF(L572&lt;'PlayerGrades+'!$AE$17,"E",IF(L572&lt;'PlayerGrades+'!$AE$16,"E+",IF(L572&lt;'PlayerGrades+'!$AE$15,"D-",IF(L572&lt;'PlayerGrades+'!$AE$14,"D",IF(L572&lt;'PlayerGrades+'!$AE$13,"D+",IF(L572&lt;'PlayerGrades+'!$AE$12,"C-",IF(L572&lt;'PlayerGrades+'!$AE$11,"C",IF(L572&lt;'PlayerGrades+'!$AE$10,"C+",IF(L572&lt;'PlayerGrades+'!$AE$9,"B-",IF(L572&lt;'PlayerGrades+'!$AE$8,"B",IF(L572&lt;'PlayerGrades+'!$AE$7,"B+",IF(L572&lt;'PlayerGrades+'!$AE$6,"A-",IF(L572&lt;'PlayerGrades+'!$AE$5,"A",IF(L572&lt;'PlayerGrades+'!$AE$4,"A+",IF(L572&lt;'PlayerGrades+'!$AE$3,"S-",IF(L572&lt;'PlayerGrades+'!$AE$2,"S","S+"))))))))))))))))))))</f>
        <v>#DIV/0!</v>
      </c>
      <c r="N572" s="1423" t="str">
        <f t="shared" si="17"/>
        <v>#DIV/0!</v>
      </c>
      <c r="O572" s="1423" t="str">
        <f>IF(N572&lt;'PlayerGrades+'!$AF$21,"F-",IF(N572&lt;'PlayerGrades+'!$AF$20,"F",IF(N572&lt;'PlayerGrades+'!$AF$19,"F+",IF(N572&lt;'PlayerGrades+'!$AF$18,"E-",IF(N572&lt;'PlayerGrades+'!$AF$17,"E",IF(N572&lt;'PlayerGrades+'!$AF$16,"E+",IF(N572&lt;'PlayerGrades+'!$AF$15,"D-",IF(N572&lt;'PlayerGrades+'!$AF$14,"D",IF(N572&lt;'PlayerGrades+'!$AF$13,"D+",IF(N572&lt;'PlayerGrades+'!$AF$12,"C-",IF(N572&lt;'PlayerGrades+'!$AF$11,"C",IF(N572&lt;'PlayerGrades+'!$AF$10,"C+",IF(N572&lt;'PlayerGrades+'!$AF$9,"B-",IF(N572&lt;'PlayerGrades+'!$AF$8,"B",IF(N572&lt;'PlayerGrades+'!$AF$7,"B+",IF(N572&lt;'PlayerGrades+'!$AF$6,"A-",IF(N572&lt;'PlayerGrades+'!$AF$5,"A",IF(N572&lt;'PlayerGrades+'!$AF$4,"A+",IF(N572&lt;'PlayerGrades+'!$AF$3,"S-",IF(N572&lt;'PlayerGrades+'!$AF$2,"S","S+"))))))))))))))))))))</f>
        <v>#DIV/0!</v>
      </c>
      <c r="P572" s="1423" t="str">
        <f t="shared" si="18"/>
        <v>#DIV/0!</v>
      </c>
      <c r="Q572" s="1423" t="str">
        <f>IF(P572&lt;'PlayerGrades+'!$AG$21,"F-",IF(P572&lt;'PlayerGrades+'!$AG$20,"F",IF(P572&lt;'PlayerGrades+'!$AG$19,"F+",IF(P572&lt;'PlayerGrades+'!$AG$18,"E-",IF(P572&lt;'PlayerGrades+'!$AG$17,"E",IF(P572&lt;'PlayerGrades+'!$AG$16,"E+",IF(P572&lt;'PlayerGrades+'!$AG$15,"D-",IF(P572&lt;'PlayerGrades+'!$AG$14,"D",IF(P572&lt;'PlayerGrades+'!$AG$13,"D+",IF(P572&lt;'PlayerGrades+'!$AG$12,"C-",IF(P572&lt;'PlayerGrades+'!$AG$11,"C",IF(P572&lt;'PlayerGrades+'!$AG$10,"C+",IF(P572&lt;'PlayerGrades+'!$AG$9,"B-",IF(P572&lt;'PlayerGrades+'!$AG$8,"B",IF(P572&lt;'PlayerGrades+'!$AG$7,"B+",IF(P572&lt;'PlayerGrades+'!$AG$6,"A-",IF(P572&lt;'PlayerGrades+'!$AG$5,"A",IF(P572&lt;'PlayerGrades+'!$AG$4,"A+",IF(P572&lt;'PlayerGrades+'!$AG$3,"S-",IF(P572&lt;'PlayerGrades+'!$AG$2,"S","S+"))))))))))))))))))))</f>
        <v>#DIV/0!</v>
      </c>
      <c r="R572" s="1423" t="str">
        <f t="shared" si="19"/>
        <v>#REF!</v>
      </c>
      <c r="S572" s="1423" t="str">
        <f>IF(R572&lt;'PlayerGrades+'!$AH$21,"F-",IF(R572&lt;'PlayerGrades+'!$AH$20,"F",IF(R572&lt;'PlayerGrades+'!$AH$19,"F+",IF(R572&lt;'PlayerGrades+'!$AH$18,"E-",IF(R572&lt;'PlayerGrades+'!$AH$17,"E",IF(R572&lt;'PlayerGrades+'!$AH$16,"E+",IF(R572&lt;'PlayerGrades+'!$AH$15,"D-",IF(R572&lt;'PlayerGrades+'!$AH$14,"D",IF(R572&lt;'PlayerGrades+'!$AH$13,"D+",IF(R572&lt;'PlayerGrades+'!$AH$12,"C-",IF(R572&lt;'PlayerGrades+'!$AH$11,"C",IF(R572&lt;'PlayerGrades+'!$AH$10,"C+",IF(R572&lt;'PlayerGrades+'!$AH$9,"B-",IF(R572&lt;'PlayerGrades+'!$AH$8,"B",IF(R572&lt;'PlayerGrades+'!$AH$7,"B+",IF(R572&lt;'PlayerGrades+'!$AH$6,"A-",IF(R572&lt;'PlayerGrades+'!$AH$5,"A",IF(R572&lt;'PlayerGrades+'!$AH$4,"A+",IF(R572&lt;'PlayerGrades+'!$AH$3,"S-",IF(R572&lt;'PlayerGrades+'!$AH$2,"S","S+"))))))))))))))))))))</f>
        <v>#REF!</v>
      </c>
      <c r="T572" s="1423" t="str">
        <f t="shared" si="20"/>
        <v>#REF!</v>
      </c>
      <c r="U572" s="1423" t="str">
        <f>IF(T572&lt;'PlayerGrades+'!$AI$21,"F-",IF(T572&lt;'PlayerGrades+'!$AI$20,"F",IF(T572&lt;'PlayerGrades+'!$AI$19,"F+",IF(T572&lt;'PlayerGrades+'!$AI$18,"E-",IF(T572&lt;'PlayerGrades+'!$AI$17,"E",IF(T572&lt;'PlayerGrades+'!$AI$16,"E+",IF(T572&lt;'PlayerGrades+'!$AI$15,"D-",IF(T572&lt;'PlayerGrades+'!$AI$14,"D",IF(T572&lt;'PlayerGrades+'!$AI$13,"D+",IF(T572&lt;'PlayerGrades+'!$AI$12,"C-",IF(T572&lt;'PlayerGrades+'!$AI$11,"C",IF(T572&lt;'PlayerGrades+'!$AI$10,"C+",IF(T572&lt;'PlayerGrades+'!$AI$9,"B-",IF(T572&lt;'PlayerGrades+'!$AI$8,"B",IF(T572&lt;'PlayerGrades+'!$AI$7,"B+",IF(T572&lt;'PlayerGrades+'!$AI$6,"A-",IF(T572&lt;'PlayerGrades+'!$AI$5,"A",IF(T572&lt;'PlayerGrades+'!$AI$4,"A+",IF(T572&lt;'PlayerGrades+'!$AI$3,"S-",IF(T572&lt;'PlayerGrades+'!$AI$2,"S","S+"))))))))))))))))))))</f>
        <v>#REF!</v>
      </c>
      <c r="V572" s="1431"/>
      <c r="W572" s="1431"/>
      <c r="X572" s="1431"/>
      <c r="Y572" s="1431"/>
      <c r="Z572" s="1431"/>
      <c r="AA572" s="1431"/>
      <c r="AB572" s="1431"/>
      <c r="AC572" s="1432"/>
      <c r="AD572" s="1431"/>
      <c r="AE572" s="1431"/>
      <c r="AF572" s="1431"/>
      <c r="AG572" s="1431"/>
      <c r="AH572" s="1431"/>
      <c r="AI572" s="1431"/>
      <c r="AJ572" s="1431"/>
      <c r="AK572" s="1431"/>
      <c r="AL572" s="1431"/>
      <c r="AM572" s="1431"/>
      <c r="AN572" s="1431"/>
      <c r="AO572" s="1431"/>
      <c r="AP572" s="1431"/>
      <c r="AQ572" s="1431"/>
      <c r="AR572" s="1431"/>
      <c r="AS572" s="1431"/>
      <c r="AT572" s="1431"/>
      <c r="AU572" s="1431"/>
      <c r="AV572" s="1431"/>
      <c r="AW572" s="1431"/>
      <c r="AX572" s="1431"/>
      <c r="AY572" s="1431"/>
      <c r="AZ572" s="1431"/>
    </row>
    <row r="573">
      <c r="B573" s="1421" t="str">
        <f>IF(C573&lt;'PlayerGrades+'!$Y$44,"F-",IF(C573&lt;'PlayerGrades+'!$Y$43,"F",IF(C573&lt;'PlayerGrades+'!$Y$42,"F+",IF(C573&lt;'PlayerGrades+'!$Y$41,"E-",IF(C573&lt;'PlayerGrades+'!$Y$40,"E",IF(C573&lt;'PlayerGrades+'!$Y$39,"E+",IF(C573&lt;'PlayerGrades+'!$Y$38,"D-",IF(C573&lt;'PlayerGrades+'!$Y$37,"D",IF(C573&lt;'PlayerGrades+'!$Y$36,"D+",IF(C573&lt;'PlayerGrades+'!$Y$35,"C-",IF(C573&lt;'PlayerGrades+'!$Y$34,"C",IF(C573&lt;'PlayerGrades+'!$Y$33,"C+",IF(C573&lt;'PlayerGrades+'!$Y$32,"B-",IF(C573&lt;'PlayerGrades+'!$Y$31,"B",IF(C573&lt;'PlayerGrades+'!$Y$30,"B+",IF(C573&lt;'PlayerGrades+'!$Y$29,"A-",IF(C573&lt;'PlayerGrades+'!$Y$28,"A",IF(C573&lt;'PlayerGrades+'!$Y$27,"A+",IF(C573&lt;'PlayerGrades+'!$Y$26,"S-",IF(C573&lt;'PlayerGrades+'!$Y$25,"S","S+"))))))))))))))))))))</f>
        <v>#DIV/0!</v>
      </c>
      <c r="C573" s="1422" t="str">
        <f>('PlayerGrades+'!$Y$47*(VLOOKUP(E573, 'PlayerGrades+'!$X$3:$Y$23, 2, FALSE)))+('PlayerGrades+'!$Y$48*(VLOOKUP(G573, 'PlayerGrades+'!$X$3:$Y$23, 2, FALSE)))+('PlayerGrades+'!$Y$49*(VLOOKUP(I573, 'PlayerGrades+'!$X$3:$Y$23, 2, FALSE)))+('PlayerGrades+'!$Y$50*(VLOOKUP(K573, 'PlayerGrades+'!$X$3:$Y$23, 2, FALSE)))+('PlayerGrades+'!$Y$51*(VLOOKUP(M573, 'PlayerGrades+'!$X$3:$Y$23, 2, FALSE)))+('PlayerGrades+'!$Y$52*(VLOOKUP(O573, 'PlayerGrades+'!$X$3:$Y$23, 2, FALSE)))+('PlayerGrades+'!$Y$53*(VLOOKUP(Q573, 'PlayerGrades+'!$X$3:$Y$23, 2, FALSE)))+('PlayerGrades+'!$Y$54*(VLOOKUP(S573, 'PlayerGrades+'!$X$3:$Y$23, 2, FALSE)))+('PlayerGrades+'!$Y$55*(VLOOKUP(U573, 'PlayerGrades+'!$X$3:$Y$23, 2, FALSE)))</f>
        <v>#DIV/0!</v>
      </c>
      <c r="D573" s="1423" t="str">
        <f t="shared" si="12"/>
        <v>#DIV/0!</v>
      </c>
      <c r="E573" s="1423" t="str">
        <f>IF(D573&lt;'PlayerGrades+'!$AA$21,"F-",IF(D573&lt;'PlayerGrades+'!$AA$20,"F",IF(D573&lt;'PlayerGrades+'!$AA$19,"F+",IF(D573&lt;'PlayerGrades+'!$AA$18,"E-",IF(D573&lt;'PlayerGrades+'!$AA$17,"E",IF(D573&lt;'PlayerGrades+'!$AA$16,"E+",IF(D573&lt;'PlayerGrades+'!$AA$15,"D-",IF(D573&lt;'PlayerGrades+'!$AA$14,"D",IF(D573&lt;'PlayerGrades+'!$AA$13,"D+",IF(D573&lt;'PlayerGrades+'!$AA$12,"C-",IF(D573&lt;'PlayerGrades+'!$AA$11,"C",IF(D573&lt;'PlayerGrades+'!$AA$10,"C+",IF(D573&lt;'PlayerGrades+'!$AA$9,"B-",IF(D573&lt;'PlayerGrades+'!$AA$8,"B",IF(D573&lt;'PlayerGrades+'!$AA$7,"B+",IF(D573&lt;'PlayerGrades+'!$AA$6,"A-",IF(D573&lt;'PlayerGrades+'!$AA$5,"A",IF(D573&lt;'PlayerGrades+'!$AA$4,"A+",IF(D573&lt;'PlayerGrades+'!$AA$3,"S-",IF(D573&lt;'PlayerGrades+'!$AA$2,"S","S+"))))))))))))))))))))</f>
        <v>#DIV/0!</v>
      </c>
      <c r="F573" s="1423" t="str">
        <f t="shared" si="13"/>
        <v>#DIV/0!</v>
      </c>
      <c r="G573" s="1423" t="str">
        <f>IF(F573&lt;'PlayerGrades+'!$AB$21,"F-",IF(F573&lt;'PlayerGrades+'!$AB$20,"F",IF(F573&lt;'PlayerGrades+'!$AB$19,"F+",IF(F573&lt;'PlayerGrades+'!$AB$18,"E-",IF(F573&lt;'PlayerGrades+'!$AB$17,"E",IF(F573&lt;'PlayerGrades+'!$AB$16,"E+",IF(F573&lt;'PlayerGrades+'!$AB$15,"D-",IF(F573&lt;'PlayerGrades+'!$AB$14,"D",IF(F573&lt;'PlayerGrades+'!$AB$13,"D+",IF(F573&lt;'PlayerGrades+'!$AB$12,"C-",IF(F573&lt;'PlayerGrades+'!$AB$11,"C",IF(F573&lt;'PlayerGrades+'!$AB$10,"C+",IF(F573&lt;'PlayerGrades+'!$AB$9,"B-",IF(F573&lt;'PlayerGrades+'!$AB$8,"B",IF(F573&lt;'PlayerGrades+'!$AB$7,"B+",IF(F573&lt;'PlayerGrades+'!$AB$6,"A-",IF(F573&lt;'PlayerGrades+'!$AB$5,"A",IF(F573&lt;'PlayerGrades+'!$AB$4,"A+",IF(F573&lt;'PlayerGrades+'!$AB$3,"S-",IF(F573&lt;'PlayerGrades+'!$AB$2,"S","S+"))))))))))))))))))))</f>
        <v>#DIV/0!</v>
      </c>
      <c r="H573" s="1423" t="str">
        <f t="shared" si="14"/>
        <v>#DIV/0!</v>
      </c>
      <c r="I573" s="1423" t="str">
        <f>IF(H573&lt;'PlayerGrades+'!$AC$21,"F-",IF(H573&lt;'PlayerGrades+'!$AC$20,"F",IF(H573&lt;'PlayerGrades+'!$AC$19,"F+",IF(H573&lt;'PlayerGrades+'!$AC$18,"E-",IF(H573&lt;'PlayerGrades+'!$AC$17,"E",IF(H573&lt;'PlayerGrades+'!$AC$16,"E+",IF(H573&lt;'PlayerGrades+'!$AC$15,"D-",IF(H573&lt;'PlayerGrades+'!$AC$14,"D",IF(H573&lt;'PlayerGrades+'!$AC$13,"D+",IF(H573&lt;'PlayerGrades+'!$AC$12,"C-",IF(H573&lt;'PlayerGrades+'!$AC$11,"C",IF(H573&lt;'PlayerGrades+'!$AC$10,"C+",IF(H573&lt;'PlayerGrades+'!$AC$9,"B-",IF(H573&lt;'PlayerGrades+'!$AC$8,"B",IF(H573&lt;'PlayerGrades+'!$AC$7,"B+",IF(H573&lt;'PlayerGrades+'!$AC$6,"A-",IF(H573&lt;'PlayerGrades+'!$AC$5,"A",IF(H573&lt;'PlayerGrades+'!$AC$4,"A+",IF(H573&lt;'PlayerGrades+'!$AC$3,"S-",IF(H573&lt;'PlayerGrades+'!$AC$2,"S","S+"))))))))))))))))))))</f>
        <v>#DIV/0!</v>
      </c>
      <c r="J573" s="1423" t="str">
        <f t="shared" si="15"/>
        <v>#DIV/0!</v>
      </c>
      <c r="K573" s="1423" t="str">
        <f>IF(J573&lt;'PlayerGrades+'!$AD$21,"F-",IF(J573&lt;'PlayerGrades+'!$AD$20,"F",IF(J573&lt;'PlayerGrades+'!$AD$19,"F+",IF(J573&lt;'PlayerGrades+'!$AD$18,"E-",IF(J573&lt;'PlayerGrades+'!$AD$17,"E",IF(J573&lt;'PlayerGrades+'!$AD$16,"E+",IF(J573&lt;'PlayerGrades+'!$AD$15,"D-",IF(J573&lt;'PlayerGrades+'!$AD$14,"D",IF(J573&lt;'PlayerGrades+'!$AD$13,"D+",IF(J573&lt;'PlayerGrades+'!$AD$12,"C-",IF(J573&lt;'PlayerGrades+'!$AD$11,"C",IF(J573&lt;'PlayerGrades+'!$AD$10,"C+",IF(J573&lt;'PlayerGrades+'!$AD$9,"B-",IF(J573&lt;'PlayerGrades+'!$AD$8,"B",IF(J573&lt;'PlayerGrades+'!$AD$7,"B+",IF(J573&lt;'PlayerGrades+'!$AD$6,"A-",IF(J573&lt;'PlayerGrades+'!$AD$5,"A",IF(J573&lt;'PlayerGrades+'!$AD$4,"A+",IF(J573&lt;'PlayerGrades+'!$AD$3,"S-",IF(J573&lt;'PlayerGrades+'!$AD$2,"S","S+"))))))))))))))))))))</f>
        <v>#DIV/0!</v>
      </c>
      <c r="L573" s="1176" t="str">
        <f t="shared" si="16"/>
        <v>#DIV/0!</v>
      </c>
      <c r="M573" s="992" t="str">
        <f>IF(L573&lt;'PlayerGrades+'!$AE$21,"F-",IF(L573&lt;'PlayerGrades+'!$AE$20,"F",IF(L573&lt;'PlayerGrades+'!$AE$19,"F+",IF(L573&lt;'PlayerGrades+'!$AE$18,"E-",IF(L573&lt;'PlayerGrades+'!$AE$17,"E",IF(L573&lt;'PlayerGrades+'!$AE$16,"E+",IF(L573&lt;'PlayerGrades+'!$AE$15,"D-",IF(L573&lt;'PlayerGrades+'!$AE$14,"D",IF(L573&lt;'PlayerGrades+'!$AE$13,"D+",IF(L573&lt;'PlayerGrades+'!$AE$12,"C-",IF(L573&lt;'PlayerGrades+'!$AE$11,"C",IF(L573&lt;'PlayerGrades+'!$AE$10,"C+",IF(L573&lt;'PlayerGrades+'!$AE$9,"B-",IF(L573&lt;'PlayerGrades+'!$AE$8,"B",IF(L573&lt;'PlayerGrades+'!$AE$7,"B+",IF(L573&lt;'PlayerGrades+'!$AE$6,"A-",IF(L573&lt;'PlayerGrades+'!$AE$5,"A",IF(L573&lt;'PlayerGrades+'!$AE$4,"A+",IF(L573&lt;'PlayerGrades+'!$AE$3,"S-",IF(L573&lt;'PlayerGrades+'!$AE$2,"S","S+"))))))))))))))))))))</f>
        <v>#DIV/0!</v>
      </c>
      <c r="N573" s="1423" t="str">
        <f t="shared" si="17"/>
        <v>#DIV/0!</v>
      </c>
      <c r="O573" s="1423" t="str">
        <f>IF(N573&lt;'PlayerGrades+'!$AF$21,"F-",IF(N573&lt;'PlayerGrades+'!$AF$20,"F",IF(N573&lt;'PlayerGrades+'!$AF$19,"F+",IF(N573&lt;'PlayerGrades+'!$AF$18,"E-",IF(N573&lt;'PlayerGrades+'!$AF$17,"E",IF(N573&lt;'PlayerGrades+'!$AF$16,"E+",IF(N573&lt;'PlayerGrades+'!$AF$15,"D-",IF(N573&lt;'PlayerGrades+'!$AF$14,"D",IF(N573&lt;'PlayerGrades+'!$AF$13,"D+",IF(N573&lt;'PlayerGrades+'!$AF$12,"C-",IF(N573&lt;'PlayerGrades+'!$AF$11,"C",IF(N573&lt;'PlayerGrades+'!$AF$10,"C+",IF(N573&lt;'PlayerGrades+'!$AF$9,"B-",IF(N573&lt;'PlayerGrades+'!$AF$8,"B",IF(N573&lt;'PlayerGrades+'!$AF$7,"B+",IF(N573&lt;'PlayerGrades+'!$AF$6,"A-",IF(N573&lt;'PlayerGrades+'!$AF$5,"A",IF(N573&lt;'PlayerGrades+'!$AF$4,"A+",IF(N573&lt;'PlayerGrades+'!$AF$3,"S-",IF(N573&lt;'PlayerGrades+'!$AF$2,"S","S+"))))))))))))))))))))</f>
        <v>#DIV/0!</v>
      </c>
      <c r="P573" s="1423" t="str">
        <f t="shared" si="18"/>
        <v>#DIV/0!</v>
      </c>
      <c r="Q573" s="1423" t="str">
        <f>IF(P573&lt;'PlayerGrades+'!$AG$21,"F-",IF(P573&lt;'PlayerGrades+'!$AG$20,"F",IF(P573&lt;'PlayerGrades+'!$AG$19,"F+",IF(P573&lt;'PlayerGrades+'!$AG$18,"E-",IF(P573&lt;'PlayerGrades+'!$AG$17,"E",IF(P573&lt;'PlayerGrades+'!$AG$16,"E+",IF(P573&lt;'PlayerGrades+'!$AG$15,"D-",IF(P573&lt;'PlayerGrades+'!$AG$14,"D",IF(P573&lt;'PlayerGrades+'!$AG$13,"D+",IF(P573&lt;'PlayerGrades+'!$AG$12,"C-",IF(P573&lt;'PlayerGrades+'!$AG$11,"C",IF(P573&lt;'PlayerGrades+'!$AG$10,"C+",IF(P573&lt;'PlayerGrades+'!$AG$9,"B-",IF(P573&lt;'PlayerGrades+'!$AG$8,"B",IF(P573&lt;'PlayerGrades+'!$AG$7,"B+",IF(P573&lt;'PlayerGrades+'!$AG$6,"A-",IF(P573&lt;'PlayerGrades+'!$AG$5,"A",IF(P573&lt;'PlayerGrades+'!$AG$4,"A+",IF(P573&lt;'PlayerGrades+'!$AG$3,"S-",IF(P573&lt;'PlayerGrades+'!$AG$2,"S","S+"))))))))))))))))))))</f>
        <v>#DIV/0!</v>
      </c>
      <c r="R573" s="1423" t="str">
        <f t="shared" si="19"/>
        <v>#REF!</v>
      </c>
      <c r="S573" s="1423" t="str">
        <f>IF(R573&lt;'PlayerGrades+'!$AH$21,"F-",IF(R573&lt;'PlayerGrades+'!$AH$20,"F",IF(R573&lt;'PlayerGrades+'!$AH$19,"F+",IF(R573&lt;'PlayerGrades+'!$AH$18,"E-",IF(R573&lt;'PlayerGrades+'!$AH$17,"E",IF(R573&lt;'PlayerGrades+'!$AH$16,"E+",IF(R573&lt;'PlayerGrades+'!$AH$15,"D-",IF(R573&lt;'PlayerGrades+'!$AH$14,"D",IF(R573&lt;'PlayerGrades+'!$AH$13,"D+",IF(R573&lt;'PlayerGrades+'!$AH$12,"C-",IF(R573&lt;'PlayerGrades+'!$AH$11,"C",IF(R573&lt;'PlayerGrades+'!$AH$10,"C+",IF(R573&lt;'PlayerGrades+'!$AH$9,"B-",IF(R573&lt;'PlayerGrades+'!$AH$8,"B",IF(R573&lt;'PlayerGrades+'!$AH$7,"B+",IF(R573&lt;'PlayerGrades+'!$AH$6,"A-",IF(R573&lt;'PlayerGrades+'!$AH$5,"A",IF(R573&lt;'PlayerGrades+'!$AH$4,"A+",IF(R573&lt;'PlayerGrades+'!$AH$3,"S-",IF(R573&lt;'PlayerGrades+'!$AH$2,"S","S+"))))))))))))))))))))</f>
        <v>#REF!</v>
      </c>
      <c r="T573" s="1423" t="str">
        <f t="shared" si="20"/>
        <v>#REF!</v>
      </c>
      <c r="U573" s="1423" t="str">
        <f>IF(T573&lt;'PlayerGrades+'!$AI$21,"F-",IF(T573&lt;'PlayerGrades+'!$AI$20,"F",IF(T573&lt;'PlayerGrades+'!$AI$19,"F+",IF(T573&lt;'PlayerGrades+'!$AI$18,"E-",IF(T573&lt;'PlayerGrades+'!$AI$17,"E",IF(T573&lt;'PlayerGrades+'!$AI$16,"E+",IF(T573&lt;'PlayerGrades+'!$AI$15,"D-",IF(T573&lt;'PlayerGrades+'!$AI$14,"D",IF(T573&lt;'PlayerGrades+'!$AI$13,"D+",IF(T573&lt;'PlayerGrades+'!$AI$12,"C-",IF(T573&lt;'PlayerGrades+'!$AI$11,"C",IF(T573&lt;'PlayerGrades+'!$AI$10,"C+",IF(T573&lt;'PlayerGrades+'!$AI$9,"B-",IF(T573&lt;'PlayerGrades+'!$AI$8,"B",IF(T573&lt;'PlayerGrades+'!$AI$7,"B+",IF(T573&lt;'PlayerGrades+'!$AI$6,"A-",IF(T573&lt;'PlayerGrades+'!$AI$5,"A",IF(T573&lt;'PlayerGrades+'!$AI$4,"A+",IF(T573&lt;'PlayerGrades+'!$AI$3,"S-",IF(T573&lt;'PlayerGrades+'!$AI$2,"S","S+"))))))))))))))))))))</f>
        <v>#REF!</v>
      </c>
      <c r="V573" s="1431"/>
      <c r="W573" s="1431"/>
      <c r="X573" s="1431"/>
      <c r="Y573" s="1431"/>
      <c r="Z573" s="1431"/>
      <c r="AA573" s="1431"/>
      <c r="AB573" s="1431"/>
      <c r="AC573" s="1432"/>
      <c r="AD573" s="1431"/>
      <c r="AE573" s="1431"/>
      <c r="AF573" s="1431"/>
      <c r="AG573" s="1431"/>
      <c r="AH573" s="1431"/>
      <c r="AI573" s="1431"/>
      <c r="AJ573" s="1431"/>
      <c r="AK573" s="1431"/>
      <c r="AL573" s="1431"/>
      <c r="AM573" s="1431"/>
      <c r="AN573" s="1431"/>
      <c r="AO573" s="1431"/>
      <c r="AP573" s="1431"/>
      <c r="AQ573" s="1431"/>
      <c r="AR573" s="1431"/>
      <c r="AS573" s="1431"/>
      <c r="AT573" s="1431"/>
      <c r="AU573" s="1431"/>
      <c r="AV573" s="1431"/>
      <c r="AW573" s="1431"/>
      <c r="AX573" s="1431"/>
      <c r="AY573" s="1431"/>
      <c r="AZ573" s="1431"/>
    </row>
    <row r="574">
      <c r="B574" s="1421" t="str">
        <f>IF(C574&lt;'PlayerGrades+'!$Y$44,"F-",IF(C574&lt;'PlayerGrades+'!$Y$43,"F",IF(C574&lt;'PlayerGrades+'!$Y$42,"F+",IF(C574&lt;'PlayerGrades+'!$Y$41,"E-",IF(C574&lt;'PlayerGrades+'!$Y$40,"E",IF(C574&lt;'PlayerGrades+'!$Y$39,"E+",IF(C574&lt;'PlayerGrades+'!$Y$38,"D-",IF(C574&lt;'PlayerGrades+'!$Y$37,"D",IF(C574&lt;'PlayerGrades+'!$Y$36,"D+",IF(C574&lt;'PlayerGrades+'!$Y$35,"C-",IF(C574&lt;'PlayerGrades+'!$Y$34,"C",IF(C574&lt;'PlayerGrades+'!$Y$33,"C+",IF(C574&lt;'PlayerGrades+'!$Y$32,"B-",IF(C574&lt;'PlayerGrades+'!$Y$31,"B",IF(C574&lt;'PlayerGrades+'!$Y$30,"B+",IF(C574&lt;'PlayerGrades+'!$Y$29,"A-",IF(C574&lt;'PlayerGrades+'!$Y$28,"A",IF(C574&lt;'PlayerGrades+'!$Y$27,"A+",IF(C574&lt;'PlayerGrades+'!$Y$26,"S-",IF(C574&lt;'PlayerGrades+'!$Y$25,"S","S+"))))))))))))))))))))</f>
        <v>#DIV/0!</v>
      </c>
      <c r="C574" s="1422" t="str">
        <f>('PlayerGrades+'!$Y$47*(VLOOKUP(E574, 'PlayerGrades+'!$X$3:$Y$23, 2, FALSE)))+('PlayerGrades+'!$Y$48*(VLOOKUP(G574, 'PlayerGrades+'!$X$3:$Y$23, 2, FALSE)))+('PlayerGrades+'!$Y$49*(VLOOKUP(I574, 'PlayerGrades+'!$X$3:$Y$23, 2, FALSE)))+('PlayerGrades+'!$Y$50*(VLOOKUP(K574, 'PlayerGrades+'!$X$3:$Y$23, 2, FALSE)))+('PlayerGrades+'!$Y$51*(VLOOKUP(M574, 'PlayerGrades+'!$X$3:$Y$23, 2, FALSE)))+('PlayerGrades+'!$Y$52*(VLOOKUP(O574, 'PlayerGrades+'!$X$3:$Y$23, 2, FALSE)))+('PlayerGrades+'!$Y$53*(VLOOKUP(Q574, 'PlayerGrades+'!$X$3:$Y$23, 2, FALSE)))+('PlayerGrades+'!$Y$54*(VLOOKUP(S574, 'PlayerGrades+'!$X$3:$Y$23, 2, FALSE)))+('PlayerGrades+'!$Y$55*(VLOOKUP(U574, 'PlayerGrades+'!$X$3:$Y$23, 2, FALSE)))</f>
        <v>#DIV/0!</v>
      </c>
      <c r="D574" s="1423" t="str">
        <f t="shared" si="12"/>
        <v>#DIV/0!</v>
      </c>
      <c r="E574" s="1423" t="str">
        <f>IF(D574&lt;'PlayerGrades+'!$AA$21,"F-",IF(D574&lt;'PlayerGrades+'!$AA$20,"F",IF(D574&lt;'PlayerGrades+'!$AA$19,"F+",IF(D574&lt;'PlayerGrades+'!$AA$18,"E-",IF(D574&lt;'PlayerGrades+'!$AA$17,"E",IF(D574&lt;'PlayerGrades+'!$AA$16,"E+",IF(D574&lt;'PlayerGrades+'!$AA$15,"D-",IF(D574&lt;'PlayerGrades+'!$AA$14,"D",IF(D574&lt;'PlayerGrades+'!$AA$13,"D+",IF(D574&lt;'PlayerGrades+'!$AA$12,"C-",IF(D574&lt;'PlayerGrades+'!$AA$11,"C",IF(D574&lt;'PlayerGrades+'!$AA$10,"C+",IF(D574&lt;'PlayerGrades+'!$AA$9,"B-",IF(D574&lt;'PlayerGrades+'!$AA$8,"B",IF(D574&lt;'PlayerGrades+'!$AA$7,"B+",IF(D574&lt;'PlayerGrades+'!$AA$6,"A-",IF(D574&lt;'PlayerGrades+'!$AA$5,"A",IF(D574&lt;'PlayerGrades+'!$AA$4,"A+",IF(D574&lt;'PlayerGrades+'!$AA$3,"S-",IF(D574&lt;'PlayerGrades+'!$AA$2,"S","S+"))))))))))))))))))))</f>
        <v>#DIV/0!</v>
      </c>
      <c r="F574" s="1423" t="str">
        <f t="shared" si="13"/>
        <v>#DIV/0!</v>
      </c>
      <c r="G574" s="1423" t="str">
        <f>IF(F574&lt;'PlayerGrades+'!$AB$21,"F-",IF(F574&lt;'PlayerGrades+'!$AB$20,"F",IF(F574&lt;'PlayerGrades+'!$AB$19,"F+",IF(F574&lt;'PlayerGrades+'!$AB$18,"E-",IF(F574&lt;'PlayerGrades+'!$AB$17,"E",IF(F574&lt;'PlayerGrades+'!$AB$16,"E+",IF(F574&lt;'PlayerGrades+'!$AB$15,"D-",IF(F574&lt;'PlayerGrades+'!$AB$14,"D",IF(F574&lt;'PlayerGrades+'!$AB$13,"D+",IF(F574&lt;'PlayerGrades+'!$AB$12,"C-",IF(F574&lt;'PlayerGrades+'!$AB$11,"C",IF(F574&lt;'PlayerGrades+'!$AB$10,"C+",IF(F574&lt;'PlayerGrades+'!$AB$9,"B-",IF(F574&lt;'PlayerGrades+'!$AB$8,"B",IF(F574&lt;'PlayerGrades+'!$AB$7,"B+",IF(F574&lt;'PlayerGrades+'!$AB$6,"A-",IF(F574&lt;'PlayerGrades+'!$AB$5,"A",IF(F574&lt;'PlayerGrades+'!$AB$4,"A+",IF(F574&lt;'PlayerGrades+'!$AB$3,"S-",IF(F574&lt;'PlayerGrades+'!$AB$2,"S","S+"))))))))))))))))))))</f>
        <v>#DIV/0!</v>
      </c>
      <c r="H574" s="1423" t="str">
        <f t="shared" si="14"/>
        <v>#DIV/0!</v>
      </c>
      <c r="I574" s="1423" t="str">
        <f>IF(H574&lt;'PlayerGrades+'!$AC$21,"F-",IF(H574&lt;'PlayerGrades+'!$AC$20,"F",IF(H574&lt;'PlayerGrades+'!$AC$19,"F+",IF(H574&lt;'PlayerGrades+'!$AC$18,"E-",IF(H574&lt;'PlayerGrades+'!$AC$17,"E",IF(H574&lt;'PlayerGrades+'!$AC$16,"E+",IF(H574&lt;'PlayerGrades+'!$AC$15,"D-",IF(H574&lt;'PlayerGrades+'!$AC$14,"D",IF(H574&lt;'PlayerGrades+'!$AC$13,"D+",IF(H574&lt;'PlayerGrades+'!$AC$12,"C-",IF(H574&lt;'PlayerGrades+'!$AC$11,"C",IF(H574&lt;'PlayerGrades+'!$AC$10,"C+",IF(H574&lt;'PlayerGrades+'!$AC$9,"B-",IF(H574&lt;'PlayerGrades+'!$AC$8,"B",IF(H574&lt;'PlayerGrades+'!$AC$7,"B+",IF(H574&lt;'PlayerGrades+'!$AC$6,"A-",IF(H574&lt;'PlayerGrades+'!$AC$5,"A",IF(H574&lt;'PlayerGrades+'!$AC$4,"A+",IF(H574&lt;'PlayerGrades+'!$AC$3,"S-",IF(H574&lt;'PlayerGrades+'!$AC$2,"S","S+"))))))))))))))))))))</f>
        <v>#DIV/0!</v>
      </c>
      <c r="J574" s="1423" t="str">
        <f t="shared" si="15"/>
        <v>#DIV/0!</v>
      </c>
      <c r="K574" s="1423" t="str">
        <f>IF(J574&lt;'PlayerGrades+'!$AD$21,"F-",IF(J574&lt;'PlayerGrades+'!$AD$20,"F",IF(J574&lt;'PlayerGrades+'!$AD$19,"F+",IF(J574&lt;'PlayerGrades+'!$AD$18,"E-",IF(J574&lt;'PlayerGrades+'!$AD$17,"E",IF(J574&lt;'PlayerGrades+'!$AD$16,"E+",IF(J574&lt;'PlayerGrades+'!$AD$15,"D-",IF(J574&lt;'PlayerGrades+'!$AD$14,"D",IF(J574&lt;'PlayerGrades+'!$AD$13,"D+",IF(J574&lt;'PlayerGrades+'!$AD$12,"C-",IF(J574&lt;'PlayerGrades+'!$AD$11,"C",IF(J574&lt;'PlayerGrades+'!$AD$10,"C+",IF(J574&lt;'PlayerGrades+'!$AD$9,"B-",IF(J574&lt;'PlayerGrades+'!$AD$8,"B",IF(J574&lt;'PlayerGrades+'!$AD$7,"B+",IF(J574&lt;'PlayerGrades+'!$AD$6,"A-",IF(J574&lt;'PlayerGrades+'!$AD$5,"A",IF(J574&lt;'PlayerGrades+'!$AD$4,"A+",IF(J574&lt;'PlayerGrades+'!$AD$3,"S-",IF(J574&lt;'PlayerGrades+'!$AD$2,"S","S+"))))))))))))))))))))</f>
        <v>#DIV/0!</v>
      </c>
      <c r="L574" s="1176" t="str">
        <f t="shared" si="16"/>
        <v>#DIV/0!</v>
      </c>
      <c r="M574" s="992" t="str">
        <f>IF(L574&lt;'PlayerGrades+'!$AE$21,"F-",IF(L574&lt;'PlayerGrades+'!$AE$20,"F",IF(L574&lt;'PlayerGrades+'!$AE$19,"F+",IF(L574&lt;'PlayerGrades+'!$AE$18,"E-",IF(L574&lt;'PlayerGrades+'!$AE$17,"E",IF(L574&lt;'PlayerGrades+'!$AE$16,"E+",IF(L574&lt;'PlayerGrades+'!$AE$15,"D-",IF(L574&lt;'PlayerGrades+'!$AE$14,"D",IF(L574&lt;'PlayerGrades+'!$AE$13,"D+",IF(L574&lt;'PlayerGrades+'!$AE$12,"C-",IF(L574&lt;'PlayerGrades+'!$AE$11,"C",IF(L574&lt;'PlayerGrades+'!$AE$10,"C+",IF(L574&lt;'PlayerGrades+'!$AE$9,"B-",IF(L574&lt;'PlayerGrades+'!$AE$8,"B",IF(L574&lt;'PlayerGrades+'!$AE$7,"B+",IF(L574&lt;'PlayerGrades+'!$AE$6,"A-",IF(L574&lt;'PlayerGrades+'!$AE$5,"A",IF(L574&lt;'PlayerGrades+'!$AE$4,"A+",IF(L574&lt;'PlayerGrades+'!$AE$3,"S-",IF(L574&lt;'PlayerGrades+'!$AE$2,"S","S+"))))))))))))))))))))</f>
        <v>#DIV/0!</v>
      </c>
      <c r="N574" s="1423" t="str">
        <f t="shared" si="17"/>
        <v>#DIV/0!</v>
      </c>
      <c r="O574" s="1423" t="str">
        <f>IF(N574&lt;'PlayerGrades+'!$AF$21,"F-",IF(N574&lt;'PlayerGrades+'!$AF$20,"F",IF(N574&lt;'PlayerGrades+'!$AF$19,"F+",IF(N574&lt;'PlayerGrades+'!$AF$18,"E-",IF(N574&lt;'PlayerGrades+'!$AF$17,"E",IF(N574&lt;'PlayerGrades+'!$AF$16,"E+",IF(N574&lt;'PlayerGrades+'!$AF$15,"D-",IF(N574&lt;'PlayerGrades+'!$AF$14,"D",IF(N574&lt;'PlayerGrades+'!$AF$13,"D+",IF(N574&lt;'PlayerGrades+'!$AF$12,"C-",IF(N574&lt;'PlayerGrades+'!$AF$11,"C",IF(N574&lt;'PlayerGrades+'!$AF$10,"C+",IF(N574&lt;'PlayerGrades+'!$AF$9,"B-",IF(N574&lt;'PlayerGrades+'!$AF$8,"B",IF(N574&lt;'PlayerGrades+'!$AF$7,"B+",IF(N574&lt;'PlayerGrades+'!$AF$6,"A-",IF(N574&lt;'PlayerGrades+'!$AF$5,"A",IF(N574&lt;'PlayerGrades+'!$AF$4,"A+",IF(N574&lt;'PlayerGrades+'!$AF$3,"S-",IF(N574&lt;'PlayerGrades+'!$AF$2,"S","S+"))))))))))))))))))))</f>
        <v>#DIV/0!</v>
      </c>
      <c r="P574" s="1423" t="str">
        <f t="shared" si="18"/>
        <v>#DIV/0!</v>
      </c>
      <c r="Q574" s="1423" t="str">
        <f>IF(P574&lt;'PlayerGrades+'!$AG$21,"F-",IF(P574&lt;'PlayerGrades+'!$AG$20,"F",IF(P574&lt;'PlayerGrades+'!$AG$19,"F+",IF(P574&lt;'PlayerGrades+'!$AG$18,"E-",IF(P574&lt;'PlayerGrades+'!$AG$17,"E",IF(P574&lt;'PlayerGrades+'!$AG$16,"E+",IF(P574&lt;'PlayerGrades+'!$AG$15,"D-",IF(P574&lt;'PlayerGrades+'!$AG$14,"D",IF(P574&lt;'PlayerGrades+'!$AG$13,"D+",IF(P574&lt;'PlayerGrades+'!$AG$12,"C-",IF(P574&lt;'PlayerGrades+'!$AG$11,"C",IF(P574&lt;'PlayerGrades+'!$AG$10,"C+",IF(P574&lt;'PlayerGrades+'!$AG$9,"B-",IF(P574&lt;'PlayerGrades+'!$AG$8,"B",IF(P574&lt;'PlayerGrades+'!$AG$7,"B+",IF(P574&lt;'PlayerGrades+'!$AG$6,"A-",IF(P574&lt;'PlayerGrades+'!$AG$5,"A",IF(P574&lt;'PlayerGrades+'!$AG$4,"A+",IF(P574&lt;'PlayerGrades+'!$AG$3,"S-",IF(P574&lt;'PlayerGrades+'!$AG$2,"S","S+"))))))))))))))))))))</f>
        <v>#DIV/0!</v>
      </c>
      <c r="R574" s="1423" t="str">
        <f t="shared" si="19"/>
        <v>#REF!</v>
      </c>
      <c r="S574" s="1423" t="str">
        <f>IF(R574&lt;'PlayerGrades+'!$AH$21,"F-",IF(R574&lt;'PlayerGrades+'!$AH$20,"F",IF(R574&lt;'PlayerGrades+'!$AH$19,"F+",IF(R574&lt;'PlayerGrades+'!$AH$18,"E-",IF(R574&lt;'PlayerGrades+'!$AH$17,"E",IF(R574&lt;'PlayerGrades+'!$AH$16,"E+",IF(R574&lt;'PlayerGrades+'!$AH$15,"D-",IF(R574&lt;'PlayerGrades+'!$AH$14,"D",IF(R574&lt;'PlayerGrades+'!$AH$13,"D+",IF(R574&lt;'PlayerGrades+'!$AH$12,"C-",IF(R574&lt;'PlayerGrades+'!$AH$11,"C",IF(R574&lt;'PlayerGrades+'!$AH$10,"C+",IF(R574&lt;'PlayerGrades+'!$AH$9,"B-",IF(R574&lt;'PlayerGrades+'!$AH$8,"B",IF(R574&lt;'PlayerGrades+'!$AH$7,"B+",IF(R574&lt;'PlayerGrades+'!$AH$6,"A-",IF(R574&lt;'PlayerGrades+'!$AH$5,"A",IF(R574&lt;'PlayerGrades+'!$AH$4,"A+",IF(R574&lt;'PlayerGrades+'!$AH$3,"S-",IF(R574&lt;'PlayerGrades+'!$AH$2,"S","S+"))))))))))))))))))))</f>
        <v>#REF!</v>
      </c>
      <c r="T574" s="1423" t="str">
        <f t="shared" si="20"/>
        <v>#REF!</v>
      </c>
      <c r="U574" s="1423" t="str">
        <f>IF(T574&lt;'PlayerGrades+'!$AI$21,"F-",IF(T574&lt;'PlayerGrades+'!$AI$20,"F",IF(T574&lt;'PlayerGrades+'!$AI$19,"F+",IF(T574&lt;'PlayerGrades+'!$AI$18,"E-",IF(T574&lt;'PlayerGrades+'!$AI$17,"E",IF(T574&lt;'PlayerGrades+'!$AI$16,"E+",IF(T574&lt;'PlayerGrades+'!$AI$15,"D-",IF(T574&lt;'PlayerGrades+'!$AI$14,"D",IF(T574&lt;'PlayerGrades+'!$AI$13,"D+",IF(T574&lt;'PlayerGrades+'!$AI$12,"C-",IF(T574&lt;'PlayerGrades+'!$AI$11,"C",IF(T574&lt;'PlayerGrades+'!$AI$10,"C+",IF(T574&lt;'PlayerGrades+'!$AI$9,"B-",IF(T574&lt;'PlayerGrades+'!$AI$8,"B",IF(T574&lt;'PlayerGrades+'!$AI$7,"B+",IF(T574&lt;'PlayerGrades+'!$AI$6,"A-",IF(T574&lt;'PlayerGrades+'!$AI$5,"A",IF(T574&lt;'PlayerGrades+'!$AI$4,"A+",IF(T574&lt;'PlayerGrades+'!$AI$3,"S-",IF(T574&lt;'PlayerGrades+'!$AI$2,"S","S+"))))))))))))))))))))</f>
        <v>#REF!</v>
      </c>
      <c r="V574" s="1431"/>
      <c r="W574" s="1431"/>
      <c r="X574" s="1431"/>
      <c r="Y574" s="1431"/>
      <c r="Z574" s="1431"/>
      <c r="AA574" s="1431"/>
      <c r="AB574" s="1431"/>
      <c r="AC574" s="1432"/>
      <c r="AD574" s="1431"/>
      <c r="AE574" s="1431"/>
      <c r="AF574" s="1431"/>
      <c r="AG574" s="1431"/>
      <c r="AH574" s="1431"/>
      <c r="AI574" s="1431"/>
      <c r="AJ574" s="1431"/>
      <c r="AK574" s="1431"/>
      <c r="AL574" s="1431"/>
      <c r="AM574" s="1431"/>
      <c r="AN574" s="1431"/>
      <c r="AO574" s="1431"/>
      <c r="AP574" s="1431"/>
      <c r="AQ574" s="1431"/>
      <c r="AR574" s="1431"/>
      <c r="AS574" s="1431"/>
      <c r="AT574" s="1431"/>
      <c r="AU574" s="1431"/>
      <c r="AV574" s="1431"/>
      <c r="AW574" s="1431"/>
      <c r="AX574" s="1431"/>
      <c r="AY574" s="1431"/>
      <c r="AZ574" s="1431"/>
    </row>
    <row r="575">
      <c r="B575" s="1421" t="str">
        <f>IF(C575&lt;'PlayerGrades+'!$Y$44,"F-",IF(C575&lt;'PlayerGrades+'!$Y$43,"F",IF(C575&lt;'PlayerGrades+'!$Y$42,"F+",IF(C575&lt;'PlayerGrades+'!$Y$41,"E-",IF(C575&lt;'PlayerGrades+'!$Y$40,"E",IF(C575&lt;'PlayerGrades+'!$Y$39,"E+",IF(C575&lt;'PlayerGrades+'!$Y$38,"D-",IF(C575&lt;'PlayerGrades+'!$Y$37,"D",IF(C575&lt;'PlayerGrades+'!$Y$36,"D+",IF(C575&lt;'PlayerGrades+'!$Y$35,"C-",IF(C575&lt;'PlayerGrades+'!$Y$34,"C",IF(C575&lt;'PlayerGrades+'!$Y$33,"C+",IF(C575&lt;'PlayerGrades+'!$Y$32,"B-",IF(C575&lt;'PlayerGrades+'!$Y$31,"B",IF(C575&lt;'PlayerGrades+'!$Y$30,"B+",IF(C575&lt;'PlayerGrades+'!$Y$29,"A-",IF(C575&lt;'PlayerGrades+'!$Y$28,"A",IF(C575&lt;'PlayerGrades+'!$Y$27,"A+",IF(C575&lt;'PlayerGrades+'!$Y$26,"S-",IF(C575&lt;'PlayerGrades+'!$Y$25,"S","S+"))))))))))))))))))))</f>
        <v>#DIV/0!</v>
      </c>
      <c r="C575" s="1422" t="str">
        <f>('PlayerGrades+'!$Y$47*(VLOOKUP(E575, 'PlayerGrades+'!$X$3:$Y$23, 2, FALSE)))+('PlayerGrades+'!$Y$48*(VLOOKUP(G575, 'PlayerGrades+'!$X$3:$Y$23, 2, FALSE)))+('PlayerGrades+'!$Y$49*(VLOOKUP(I575, 'PlayerGrades+'!$X$3:$Y$23, 2, FALSE)))+('PlayerGrades+'!$Y$50*(VLOOKUP(K575, 'PlayerGrades+'!$X$3:$Y$23, 2, FALSE)))+('PlayerGrades+'!$Y$51*(VLOOKUP(M575, 'PlayerGrades+'!$X$3:$Y$23, 2, FALSE)))+('PlayerGrades+'!$Y$52*(VLOOKUP(O575, 'PlayerGrades+'!$X$3:$Y$23, 2, FALSE)))+('PlayerGrades+'!$Y$53*(VLOOKUP(Q575, 'PlayerGrades+'!$X$3:$Y$23, 2, FALSE)))+('PlayerGrades+'!$Y$54*(VLOOKUP(S575, 'PlayerGrades+'!$X$3:$Y$23, 2, FALSE)))+('PlayerGrades+'!$Y$55*(VLOOKUP(U575, 'PlayerGrades+'!$X$3:$Y$23, 2, FALSE)))</f>
        <v>#DIV/0!</v>
      </c>
      <c r="D575" s="1423" t="str">
        <f t="shared" si="12"/>
        <v>#DIV/0!</v>
      </c>
      <c r="E575" s="1423" t="str">
        <f>IF(D575&lt;'PlayerGrades+'!$AA$21,"F-",IF(D575&lt;'PlayerGrades+'!$AA$20,"F",IF(D575&lt;'PlayerGrades+'!$AA$19,"F+",IF(D575&lt;'PlayerGrades+'!$AA$18,"E-",IF(D575&lt;'PlayerGrades+'!$AA$17,"E",IF(D575&lt;'PlayerGrades+'!$AA$16,"E+",IF(D575&lt;'PlayerGrades+'!$AA$15,"D-",IF(D575&lt;'PlayerGrades+'!$AA$14,"D",IF(D575&lt;'PlayerGrades+'!$AA$13,"D+",IF(D575&lt;'PlayerGrades+'!$AA$12,"C-",IF(D575&lt;'PlayerGrades+'!$AA$11,"C",IF(D575&lt;'PlayerGrades+'!$AA$10,"C+",IF(D575&lt;'PlayerGrades+'!$AA$9,"B-",IF(D575&lt;'PlayerGrades+'!$AA$8,"B",IF(D575&lt;'PlayerGrades+'!$AA$7,"B+",IF(D575&lt;'PlayerGrades+'!$AA$6,"A-",IF(D575&lt;'PlayerGrades+'!$AA$5,"A",IF(D575&lt;'PlayerGrades+'!$AA$4,"A+",IF(D575&lt;'PlayerGrades+'!$AA$3,"S-",IF(D575&lt;'PlayerGrades+'!$AA$2,"S","S+"))))))))))))))))))))</f>
        <v>#DIV/0!</v>
      </c>
      <c r="F575" s="1423" t="str">
        <f t="shared" si="13"/>
        <v>#DIV/0!</v>
      </c>
      <c r="G575" s="1423" t="str">
        <f>IF(F575&lt;'PlayerGrades+'!$AB$21,"F-",IF(F575&lt;'PlayerGrades+'!$AB$20,"F",IF(F575&lt;'PlayerGrades+'!$AB$19,"F+",IF(F575&lt;'PlayerGrades+'!$AB$18,"E-",IF(F575&lt;'PlayerGrades+'!$AB$17,"E",IF(F575&lt;'PlayerGrades+'!$AB$16,"E+",IF(F575&lt;'PlayerGrades+'!$AB$15,"D-",IF(F575&lt;'PlayerGrades+'!$AB$14,"D",IF(F575&lt;'PlayerGrades+'!$AB$13,"D+",IF(F575&lt;'PlayerGrades+'!$AB$12,"C-",IF(F575&lt;'PlayerGrades+'!$AB$11,"C",IF(F575&lt;'PlayerGrades+'!$AB$10,"C+",IF(F575&lt;'PlayerGrades+'!$AB$9,"B-",IF(F575&lt;'PlayerGrades+'!$AB$8,"B",IF(F575&lt;'PlayerGrades+'!$AB$7,"B+",IF(F575&lt;'PlayerGrades+'!$AB$6,"A-",IF(F575&lt;'PlayerGrades+'!$AB$5,"A",IF(F575&lt;'PlayerGrades+'!$AB$4,"A+",IF(F575&lt;'PlayerGrades+'!$AB$3,"S-",IF(F575&lt;'PlayerGrades+'!$AB$2,"S","S+"))))))))))))))))))))</f>
        <v>#DIV/0!</v>
      </c>
      <c r="H575" s="1423" t="str">
        <f t="shared" si="14"/>
        <v>#DIV/0!</v>
      </c>
      <c r="I575" s="1423" t="str">
        <f>IF(H575&lt;'PlayerGrades+'!$AC$21,"F-",IF(H575&lt;'PlayerGrades+'!$AC$20,"F",IF(H575&lt;'PlayerGrades+'!$AC$19,"F+",IF(H575&lt;'PlayerGrades+'!$AC$18,"E-",IF(H575&lt;'PlayerGrades+'!$AC$17,"E",IF(H575&lt;'PlayerGrades+'!$AC$16,"E+",IF(H575&lt;'PlayerGrades+'!$AC$15,"D-",IF(H575&lt;'PlayerGrades+'!$AC$14,"D",IF(H575&lt;'PlayerGrades+'!$AC$13,"D+",IF(H575&lt;'PlayerGrades+'!$AC$12,"C-",IF(H575&lt;'PlayerGrades+'!$AC$11,"C",IF(H575&lt;'PlayerGrades+'!$AC$10,"C+",IF(H575&lt;'PlayerGrades+'!$AC$9,"B-",IF(H575&lt;'PlayerGrades+'!$AC$8,"B",IF(H575&lt;'PlayerGrades+'!$AC$7,"B+",IF(H575&lt;'PlayerGrades+'!$AC$6,"A-",IF(H575&lt;'PlayerGrades+'!$AC$5,"A",IF(H575&lt;'PlayerGrades+'!$AC$4,"A+",IF(H575&lt;'PlayerGrades+'!$AC$3,"S-",IF(H575&lt;'PlayerGrades+'!$AC$2,"S","S+"))))))))))))))))))))</f>
        <v>#DIV/0!</v>
      </c>
      <c r="J575" s="1423" t="str">
        <f t="shared" si="15"/>
        <v>#DIV/0!</v>
      </c>
      <c r="K575" s="1423" t="str">
        <f>IF(J575&lt;'PlayerGrades+'!$AD$21,"F-",IF(J575&lt;'PlayerGrades+'!$AD$20,"F",IF(J575&lt;'PlayerGrades+'!$AD$19,"F+",IF(J575&lt;'PlayerGrades+'!$AD$18,"E-",IF(J575&lt;'PlayerGrades+'!$AD$17,"E",IF(J575&lt;'PlayerGrades+'!$AD$16,"E+",IF(J575&lt;'PlayerGrades+'!$AD$15,"D-",IF(J575&lt;'PlayerGrades+'!$AD$14,"D",IF(J575&lt;'PlayerGrades+'!$AD$13,"D+",IF(J575&lt;'PlayerGrades+'!$AD$12,"C-",IF(J575&lt;'PlayerGrades+'!$AD$11,"C",IF(J575&lt;'PlayerGrades+'!$AD$10,"C+",IF(J575&lt;'PlayerGrades+'!$AD$9,"B-",IF(J575&lt;'PlayerGrades+'!$AD$8,"B",IF(J575&lt;'PlayerGrades+'!$AD$7,"B+",IF(J575&lt;'PlayerGrades+'!$AD$6,"A-",IF(J575&lt;'PlayerGrades+'!$AD$5,"A",IF(J575&lt;'PlayerGrades+'!$AD$4,"A+",IF(J575&lt;'PlayerGrades+'!$AD$3,"S-",IF(J575&lt;'PlayerGrades+'!$AD$2,"S","S+"))))))))))))))))))))</f>
        <v>#DIV/0!</v>
      </c>
      <c r="L575" s="1176" t="str">
        <f t="shared" si="16"/>
        <v>#DIV/0!</v>
      </c>
      <c r="M575" s="992" t="str">
        <f>IF(L575&lt;'PlayerGrades+'!$AE$21,"F-",IF(L575&lt;'PlayerGrades+'!$AE$20,"F",IF(L575&lt;'PlayerGrades+'!$AE$19,"F+",IF(L575&lt;'PlayerGrades+'!$AE$18,"E-",IF(L575&lt;'PlayerGrades+'!$AE$17,"E",IF(L575&lt;'PlayerGrades+'!$AE$16,"E+",IF(L575&lt;'PlayerGrades+'!$AE$15,"D-",IF(L575&lt;'PlayerGrades+'!$AE$14,"D",IF(L575&lt;'PlayerGrades+'!$AE$13,"D+",IF(L575&lt;'PlayerGrades+'!$AE$12,"C-",IF(L575&lt;'PlayerGrades+'!$AE$11,"C",IF(L575&lt;'PlayerGrades+'!$AE$10,"C+",IF(L575&lt;'PlayerGrades+'!$AE$9,"B-",IF(L575&lt;'PlayerGrades+'!$AE$8,"B",IF(L575&lt;'PlayerGrades+'!$AE$7,"B+",IF(L575&lt;'PlayerGrades+'!$AE$6,"A-",IF(L575&lt;'PlayerGrades+'!$AE$5,"A",IF(L575&lt;'PlayerGrades+'!$AE$4,"A+",IF(L575&lt;'PlayerGrades+'!$AE$3,"S-",IF(L575&lt;'PlayerGrades+'!$AE$2,"S","S+"))))))))))))))))))))</f>
        <v>#DIV/0!</v>
      </c>
      <c r="N575" s="1423" t="str">
        <f t="shared" si="17"/>
        <v>#DIV/0!</v>
      </c>
      <c r="O575" s="1423" t="str">
        <f>IF(N575&lt;'PlayerGrades+'!$AF$21,"F-",IF(N575&lt;'PlayerGrades+'!$AF$20,"F",IF(N575&lt;'PlayerGrades+'!$AF$19,"F+",IF(N575&lt;'PlayerGrades+'!$AF$18,"E-",IF(N575&lt;'PlayerGrades+'!$AF$17,"E",IF(N575&lt;'PlayerGrades+'!$AF$16,"E+",IF(N575&lt;'PlayerGrades+'!$AF$15,"D-",IF(N575&lt;'PlayerGrades+'!$AF$14,"D",IF(N575&lt;'PlayerGrades+'!$AF$13,"D+",IF(N575&lt;'PlayerGrades+'!$AF$12,"C-",IF(N575&lt;'PlayerGrades+'!$AF$11,"C",IF(N575&lt;'PlayerGrades+'!$AF$10,"C+",IF(N575&lt;'PlayerGrades+'!$AF$9,"B-",IF(N575&lt;'PlayerGrades+'!$AF$8,"B",IF(N575&lt;'PlayerGrades+'!$AF$7,"B+",IF(N575&lt;'PlayerGrades+'!$AF$6,"A-",IF(N575&lt;'PlayerGrades+'!$AF$5,"A",IF(N575&lt;'PlayerGrades+'!$AF$4,"A+",IF(N575&lt;'PlayerGrades+'!$AF$3,"S-",IF(N575&lt;'PlayerGrades+'!$AF$2,"S","S+"))))))))))))))))))))</f>
        <v>#DIV/0!</v>
      </c>
      <c r="P575" s="1423" t="str">
        <f t="shared" si="18"/>
        <v>#DIV/0!</v>
      </c>
      <c r="Q575" s="1423" t="str">
        <f>IF(P575&lt;'PlayerGrades+'!$AG$21,"F-",IF(P575&lt;'PlayerGrades+'!$AG$20,"F",IF(P575&lt;'PlayerGrades+'!$AG$19,"F+",IF(P575&lt;'PlayerGrades+'!$AG$18,"E-",IF(P575&lt;'PlayerGrades+'!$AG$17,"E",IF(P575&lt;'PlayerGrades+'!$AG$16,"E+",IF(P575&lt;'PlayerGrades+'!$AG$15,"D-",IF(P575&lt;'PlayerGrades+'!$AG$14,"D",IF(P575&lt;'PlayerGrades+'!$AG$13,"D+",IF(P575&lt;'PlayerGrades+'!$AG$12,"C-",IF(P575&lt;'PlayerGrades+'!$AG$11,"C",IF(P575&lt;'PlayerGrades+'!$AG$10,"C+",IF(P575&lt;'PlayerGrades+'!$AG$9,"B-",IF(P575&lt;'PlayerGrades+'!$AG$8,"B",IF(P575&lt;'PlayerGrades+'!$AG$7,"B+",IF(P575&lt;'PlayerGrades+'!$AG$6,"A-",IF(P575&lt;'PlayerGrades+'!$AG$5,"A",IF(P575&lt;'PlayerGrades+'!$AG$4,"A+",IF(P575&lt;'PlayerGrades+'!$AG$3,"S-",IF(P575&lt;'PlayerGrades+'!$AG$2,"S","S+"))))))))))))))))))))</f>
        <v>#DIV/0!</v>
      </c>
      <c r="R575" s="1423" t="str">
        <f t="shared" si="19"/>
        <v>#REF!</v>
      </c>
      <c r="S575" s="1423" t="str">
        <f>IF(R575&lt;'PlayerGrades+'!$AH$21,"F-",IF(R575&lt;'PlayerGrades+'!$AH$20,"F",IF(R575&lt;'PlayerGrades+'!$AH$19,"F+",IF(R575&lt;'PlayerGrades+'!$AH$18,"E-",IF(R575&lt;'PlayerGrades+'!$AH$17,"E",IF(R575&lt;'PlayerGrades+'!$AH$16,"E+",IF(R575&lt;'PlayerGrades+'!$AH$15,"D-",IF(R575&lt;'PlayerGrades+'!$AH$14,"D",IF(R575&lt;'PlayerGrades+'!$AH$13,"D+",IF(R575&lt;'PlayerGrades+'!$AH$12,"C-",IF(R575&lt;'PlayerGrades+'!$AH$11,"C",IF(R575&lt;'PlayerGrades+'!$AH$10,"C+",IF(R575&lt;'PlayerGrades+'!$AH$9,"B-",IF(R575&lt;'PlayerGrades+'!$AH$8,"B",IF(R575&lt;'PlayerGrades+'!$AH$7,"B+",IF(R575&lt;'PlayerGrades+'!$AH$6,"A-",IF(R575&lt;'PlayerGrades+'!$AH$5,"A",IF(R575&lt;'PlayerGrades+'!$AH$4,"A+",IF(R575&lt;'PlayerGrades+'!$AH$3,"S-",IF(R575&lt;'PlayerGrades+'!$AH$2,"S","S+"))))))))))))))))))))</f>
        <v>#REF!</v>
      </c>
      <c r="T575" s="1423" t="str">
        <f t="shared" si="20"/>
        <v>#REF!</v>
      </c>
      <c r="U575" s="1423" t="str">
        <f>IF(T575&lt;'PlayerGrades+'!$AI$21,"F-",IF(T575&lt;'PlayerGrades+'!$AI$20,"F",IF(T575&lt;'PlayerGrades+'!$AI$19,"F+",IF(T575&lt;'PlayerGrades+'!$AI$18,"E-",IF(T575&lt;'PlayerGrades+'!$AI$17,"E",IF(T575&lt;'PlayerGrades+'!$AI$16,"E+",IF(T575&lt;'PlayerGrades+'!$AI$15,"D-",IF(T575&lt;'PlayerGrades+'!$AI$14,"D",IF(T575&lt;'PlayerGrades+'!$AI$13,"D+",IF(T575&lt;'PlayerGrades+'!$AI$12,"C-",IF(T575&lt;'PlayerGrades+'!$AI$11,"C",IF(T575&lt;'PlayerGrades+'!$AI$10,"C+",IF(T575&lt;'PlayerGrades+'!$AI$9,"B-",IF(T575&lt;'PlayerGrades+'!$AI$8,"B",IF(T575&lt;'PlayerGrades+'!$AI$7,"B+",IF(T575&lt;'PlayerGrades+'!$AI$6,"A-",IF(T575&lt;'PlayerGrades+'!$AI$5,"A",IF(T575&lt;'PlayerGrades+'!$AI$4,"A+",IF(T575&lt;'PlayerGrades+'!$AI$3,"S-",IF(T575&lt;'PlayerGrades+'!$AI$2,"S","S+"))))))))))))))))))))</f>
        <v>#REF!</v>
      </c>
      <c r="V575" s="1431"/>
      <c r="W575" s="1431"/>
      <c r="X575" s="1431"/>
      <c r="Y575" s="1431"/>
      <c r="Z575" s="1431"/>
      <c r="AA575" s="1431"/>
      <c r="AB575" s="1431"/>
      <c r="AC575" s="1432"/>
      <c r="AD575" s="1431"/>
      <c r="AE575" s="1431"/>
      <c r="AF575" s="1431"/>
      <c r="AG575" s="1431"/>
      <c r="AH575" s="1431"/>
      <c r="AI575" s="1431"/>
      <c r="AJ575" s="1431"/>
      <c r="AK575" s="1431"/>
      <c r="AL575" s="1431"/>
      <c r="AM575" s="1431"/>
      <c r="AN575" s="1431"/>
      <c r="AO575" s="1431"/>
      <c r="AP575" s="1431"/>
      <c r="AQ575" s="1431"/>
      <c r="AR575" s="1431"/>
      <c r="AS575" s="1431"/>
      <c r="AT575" s="1431"/>
      <c r="AU575" s="1431"/>
      <c r="AV575" s="1431"/>
      <c r="AW575" s="1431"/>
      <c r="AX575" s="1431"/>
      <c r="AY575" s="1431"/>
      <c r="AZ575" s="1431"/>
    </row>
    <row r="576">
      <c r="B576" s="1421" t="str">
        <f>IF(C576&lt;'PlayerGrades+'!$Y$44,"F-",IF(C576&lt;'PlayerGrades+'!$Y$43,"F",IF(C576&lt;'PlayerGrades+'!$Y$42,"F+",IF(C576&lt;'PlayerGrades+'!$Y$41,"E-",IF(C576&lt;'PlayerGrades+'!$Y$40,"E",IF(C576&lt;'PlayerGrades+'!$Y$39,"E+",IF(C576&lt;'PlayerGrades+'!$Y$38,"D-",IF(C576&lt;'PlayerGrades+'!$Y$37,"D",IF(C576&lt;'PlayerGrades+'!$Y$36,"D+",IF(C576&lt;'PlayerGrades+'!$Y$35,"C-",IF(C576&lt;'PlayerGrades+'!$Y$34,"C",IF(C576&lt;'PlayerGrades+'!$Y$33,"C+",IF(C576&lt;'PlayerGrades+'!$Y$32,"B-",IF(C576&lt;'PlayerGrades+'!$Y$31,"B",IF(C576&lt;'PlayerGrades+'!$Y$30,"B+",IF(C576&lt;'PlayerGrades+'!$Y$29,"A-",IF(C576&lt;'PlayerGrades+'!$Y$28,"A",IF(C576&lt;'PlayerGrades+'!$Y$27,"A+",IF(C576&lt;'PlayerGrades+'!$Y$26,"S-",IF(C576&lt;'PlayerGrades+'!$Y$25,"S","S+"))))))))))))))))))))</f>
        <v>#DIV/0!</v>
      </c>
      <c r="C576" s="1422" t="str">
        <f>('PlayerGrades+'!$Y$47*(VLOOKUP(E576, 'PlayerGrades+'!$X$3:$Y$23, 2, FALSE)))+('PlayerGrades+'!$Y$48*(VLOOKUP(G576, 'PlayerGrades+'!$X$3:$Y$23, 2, FALSE)))+('PlayerGrades+'!$Y$49*(VLOOKUP(I576, 'PlayerGrades+'!$X$3:$Y$23, 2, FALSE)))+('PlayerGrades+'!$Y$50*(VLOOKUP(K576, 'PlayerGrades+'!$X$3:$Y$23, 2, FALSE)))+('PlayerGrades+'!$Y$51*(VLOOKUP(M576, 'PlayerGrades+'!$X$3:$Y$23, 2, FALSE)))+('PlayerGrades+'!$Y$52*(VLOOKUP(O576, 'PlayerGrades+'!$X$3:$Y$23, 2, FALSE)))+('PlayerGrades+'!$Y$53*(VLOOKUP(Q576, 'PlayerGrades+'!$X$3:$Y$23, 2, FALSE)))+('PlayerGrades+'!$Y$54*(VLOOKUP(S576, 'PlayerGrades+'!$X$3:$Y$23, 2, FALSE)))+('PlayerGrades+'!$Y$55*(VLOOKUP(U576, 'PlayerGrades+'!$X$3:$Y$23, 2, FALSE)))</f>
        <v>#DIV/0!</v>
      </c>
      <c r="D576" s="1423" t="str">
        <f t="shared" si="12"/>
        <v>#DIV/0!</v>
      </c>
      <c r="E576" s="1423" t="str">
        <f>IF(D576&lt;'PlayerGrades+'!$AA$21,"F-",IF(D576&lt;'PlayerGrades+'!$AA$20,"F",IF(D576&lt;'PlayerGrades+'!$AA$19,"F+",IF(D576&lt;'PlayerGrades+'!$AA$18,"E-",IF(D576&lt;'PlayerGrades+'!$AA$17,"E",IF(D576&lt;'PlayerGrades+'!$AA$16,"E+",IF(D576&lt;'PlayerGrades+'!$AA$15,"D-",IF(D576&lt;'PlayerGrades+'!$AA$14,"D",IF(D576&lt;'PlayerGrades+'!$AA$13,"D+",IF(D576&lt;'PlayerGrades+'!$AA$12,"C-",IF(D576&lt;'PlayerGrades+'!$AA$11,"C",IF(D576&lt;'PlayerGrades+'!$AA$10,"C+",IF(D576&lt;'PlayerGrades+'!$AA$9,"B-",IF(D576&lt;'PlayerGrades+'!$AA$8,"B",IF(D576&lt;'PlayerGrades+'!$AA$7,"B+",IF(D576&lt;'PlayerGrades+'!$AA$6,"A-",IF(D576&lt;'PlayerGrades+'!$AA$5,"A",IF(D576&lt;'PlayerGrades+'!$AA$4,"A+",IF(D576&lt;'PlayerGrades+'!$AA$3,"S-",IF(D576&lt;'PlayerGrades+'!$AA$2,"S","S+"))))))))))))))))))))</f>
        <v>#DIV/0!</v>
      </c>
      <c r="F576" s="1423" t="str">
        <f t="shared" si="13"/>
        <v>#DIV/0!</v>
      </c>
      <c r="G576" s="1423" t="str">
        <f>IF(F576&lt;'PlayerGrades+'!$AB$21,"F-",IF(F576&lt;'PlayerGrades+'!$AB$20,"F",IF(F576&lt;'PlayerGrades+'!$AB$19,"F+",IF(F576&lt;'PlayerGrades+'!$AB$18,"E-",IF(F576&lt;'PlayerGrades+'!$AB$17,"E",IF(F576&lt;'PlayerGrades+'!$AB$16,"E+",IF(F576&lt;'PlayerGrades+'!$AB$15,"D-",IF(F576&lt;'PlayerGrades+'!$AB$14,"D",IF(F576&lt;'PlayerGrades+'!$AB$13,"D+",IF(F576&lt;'PlayerGrades+'!$AB$12,"C-",IF(F576&lt;'PlayerGrades+'!$AB$11,"C",IF(F576&lt;'PlayerGrades+'!$AB$10,"C+",IF(F576&lt;'PlayerGrades+'!$AB$9,"B-",IF(F576&lt;'PlayerGrades+'!$AB$8,"B",IF(F576&lt;'PlayerGrades+'!$AB$7,"B+",IF(F576&lt;'PlayerGrades+'!$AB$6,"A-",IF(F576&lt;'PlayerGrades+'!$AB$5,"A",IF(F576&lt;'PlayerGrades+'!$AB$4,"A+",IF(F576&lt;'PlayerGrades+'!$AB$3,"S-",IF(F576&lt;'PlayerGrades+'!$AB$2,"S","S+"))))))))))))))))))))</f>
        <v>#DIV/0!</v>
      </c>
      <c r="H576" s="1423" t="str">
        <f t="shared" si="14"/>
        <v>#DIV/0!</v>
      </c>
      <c r="I576" s="1423" t="str">
        <f>IF(H576&lt;'PlayerGrades+'!$AC$21,"F-",IF(H576&lt;'PlayerGrades+'!$AC$20,"F",IF(H576&lt;'PlayerGrades+'!$AC$19,"F+",IF(H576&lt;'PlayerGrades+'!$AC$18,"E-",IF(H576&lt;'PlayerGrades+'!$AC$17,"E",IF(H576&lt;'PlayerGrades+'!$AC$16,"E+",IF(H576&lt;'PlayerGrades+'!$AC$15,"D-",IF(H576&lt;'PlayerGrades+'!$AC$14,"D",IF(H576&lt;'PlayerGrades+'!$AC$13,"D+",IF(H576&lt;'PlayerGrades+'!$AC$12,"C-",IF(H576&lt;'PlayerGrades+'!$AC$11,"C",IF(H576&lt;'PlayerGrades+'!$AC$10,"C+",IF(H576&lt;'PlayerGrades+'!$AC$9,"B-",IF(H576&lt;'PlayerGrades+'!$AC$8,"B",IF(H576&lt;'PlayerGrades+'!$AC$7,"B+",IF(H576&lt;'PlayerGrades+'!$AC$6,"A-",IF(H576&lt;'PlayerGrades+'!$AC$5,"A",IF(H576&lt;'PlayerGrades+'!$AC$4,"A+",IF(H576&lt;'PlayerGrades+'!$AC$3,"S-",IF(H576&lt;'PlayerGrades+'!$AC$2,"S","S+"))))))))))))))))))))</f>
        <v>#DIV/0!</v>
      </c>
      <c r="J576" s="1423" t="str">
        <f t="shared" si="15"/>
        <v>#DIV/0!</v>
      </c>
      <c r="K576" s="1423" t="str">
        <f>IF(J576&lt;'PlayerGrades+'!$AD$21,"F-",IF(J576&lt;'PlayerGrades+'!$AD$20,"F",IF(J576&lt;'PlayerGrades+'!$AD$19,"F+",IF(J576&lt;'PlayerGrades+'!$AD$18,"E-",IF(J576&lt;'PlayerGrades+'!$AD$17,"E",IF(J576&lt;'PlayerGrades+'!$AD$16,"E+",IF(J576&lt;'PlayerGrades+'!$AD$15,"D-",IF(J576&lt;'PlayerGrades+'!$AD$14,"D",IF(J576&lt;'PlayerGrades+'!$AD$13,"D+",IF(J576&lt;'PlayerGrades+'!$AD$12,"C-",IF(J576&lt;'PlayerGrades+'!$AD$11,"C",IF(J576&lt;'PlayerGrades+'!$AD$10,"C+",IF(J576&lt;'PlayerGrades+'!$AD$9,"B-",IF(J576&lt;'PlayerGrades+'!$AD$8,"B",IF(J576&lt;'PlayerGrades+'!$AD$7,"B+",IF(J576&lt;'PlayerGrades+'!$AD$6,"A-",IF(J576&lt;'PlayerGrades+'!$AD$5,"A",IF(J576&lt;'PlayerGrades+'!$AD$4,"A+",IF(J576&lt;'PlayerGrades+'!$AD$3,"S-",IF(J576&lt;'PlayerGrades+'!$AD$2,"S","S+"))))))))))))))))))))</f>
        <v>#DIV/0!</v>
      </c>
      <c r="L576" s="1176" t="str">
        <f t="shared" si="16"/>
        <v>#DIV/0!</v>
      </c>
      <c r="M576" s="992" t="str">
        <f>IF(L576&lt;'PlayerGrades+'!$AE$21,"F-",IF(L576&lt;'PlayerGrades+'!$AE$20,"F",IF(L576&lt;'PlayerGrades+'!$AE$19,"F+",IF(L576&lt;'PlayerGrades+'!$AE$18,"E-",IF(L576&lt;'PlayerGrades+'!$AE$17,"E",IF(L576&lt;'PlayerGrades+'!$AE$16,"E+",IF(L576&lt;'PlayerGrades+'!$AE$15,"D-",IF(L576&lt;'PlayerGrades+'!$AE$14,"D",IF(L576&lt;'PlayerGrades+'!$AE$13,"D+",IF(L576&lt;'PlayerGrades+'!$AE$12,"C-",IF(L576&lt;'PlayerGrades+'!$AE$11,"C",IF(L576&lt;'PlayerGrades+'!$AE$10,"C+",IF(L576&lt;'PlayerGrades+'!$AE$9,"B-",IF(L576&lt;'PlayerGrades+'!$AE$8,"B",IF(L576&lt;'PlayerGrades+'!$AE$7,"B+",IF(L576&lt;'PlayerGrades+'!$AE$6,"A-",IF(L576&lt;'PlayerGrades+'!$AE$5,"A",IF(L576&lt;'PlayerGrades+'!$AE$4,"A+",IF(L576&lt;'PlayerGrades+'!$AE$3,"S-",IF(L576&lt;'PlayerGrades+'!$AE$2,"S","S+"))))))))))))))))))))</f>
        <v>#DIV/0!</v>
      </c>
      <c r="N576" s="1423" t="str">
        <f t="shared" si="17"/>
        <v>#DIV/0!</v>
      </c>
      <c r="O576" s="1423" t="str">
        <f>IF(N576&lt;'PlayerGrades+'!$AF$21,"F-",IF(N576&lt;'PlayerGrades+'!$AF$20,"F",IF(N576&lt;'PlayerGrades+'!$AF$19,"F+",IF(N576&lt;'PlayerGrades+'!$AF$18,"E-",IF(N576&lt;'PlayerGrades+'!$AF$17,"E",IF(N576&lt;'PlayerGrades+'!$AF$16,"E+",IF(N576&lt;'PlayerGrades+'!$AF$15,"D-",IF(N576&lt;'PlayerGrades+'!$AF$14,"D",IF(N576&lt;'PlayerGrades+'!$AF$13,"D+",IF(N576&lt;'PlayerGrades+'!$AF$12,"C-",IF(N576&lt;'PlayerGrades+'!$AF$11,"C",IF(N576&lt;'PlayerGrades+'!$AF$10,"C+",IF(N576&lt;'PlayerGrades+'!$AF$9,"B-",IF(N576&lt;'PlayerGrades+'!$AF$8,"B",IF(N576&lt;'PlayerGrades+'!$AF$7,"B+",IF(N576&lt;'PlayerGrades+'!$AF$6,"A-",IF(N576&lt;'PlayerGrades+'!$AF$5,"A",IF(N576&lt;'PlayerGrades+'!$AF$4,"A+",IF(N576&lt;'PlayerGrades+'!$AF$3,"S-",IF(N576&lt;'PlayerGrades+'!$AF$2,"S","S+"))))))))))))))))))))</f>
        <v>#DIV/0!</v>
      </c>
      <c r="P576" s="1423" t="str">
        <f t="shared" si="18"/>
        <v>#DIV/0!</v>
      </c>
      <c r="Q576" s="1423" t="str">
        <f>IF(P576&lt;'PlayerGrades+'!$AG$21,"F-",IF(P576&lt;'PlayerGrades+'!$AG$20,"F",IF(P576&lt;'PlayerGrades+'!$AG$19,"F+",IF(P576&lt;'PlayerGrades+'!$AG$18,"E-",IF(P576&lt;'PlayerGrades+'!$AG$17,"E",IF(P576&lt;'PlayerGrades+'!$AG$16,"E+",IF(P576&lt;'PlayerGrades+'!$AG$15,"D-",IF(P576&lt;'PlayerGrades+'!$AG$14,"D",IF(P576&lt;'PlayerGrades+'!$AG$13,"D+",IF(P576&lt;'PlayerGrades+'!$AG$12,"C-",IF(P576&lt;'PlayerGrades+'!$AG$11,"C",IF(P576&lt;'PlayerGrades+'!$AG$10,"C+",IF(P576&lt;'PlayerGrades+'!$AG$9,"B-",IF(P576&lt;'PlayerGrades+'!$AG$8,"B",IF(P576&lt;'PlayerGrades+'!$AG$7,"B+",IF(P576&lt;'PlayerGrades+'!$AG$6,"A-",IF(P576&lt;'PlayerGrades+'!$AG$5,"A",IF(P576&lt;'PlayerGrades+'!$AG$4,"A+",IF(P576&lt;'PlayerGrades+'!$AG$3,"S-",IF(P576&lt;'PlayerGrades+'!$AG$2,"S","S+"))))))))))))))))))))</f>
        <v>#DIV/0!</v>
      </c>
      <c r="R576" s="1423" t="str">
        <f t="shared" si="19"/>
        <v>#REF!</v>
      </c>
      <c r="S576" s="1423" t="str">
        <f>IF(R576&lt;'PlayerGrades+'!$AH$21,"F-",IF(R576&lt;'PlayerGrades+'!$AH$20,"F",IF(R576&lt;'PlayerGrades+'!$AH$19,"F+",IF(R576&lt;'PlayerGrades+'!$AH$18,"E-",IF(R576&lt;'PlayerGrades+'!$AH$17,"E",IF(R576&lt;'PlayerGrades+'!$AH$16,"E+",IF(R576&lt;'PlayerGrades+'!$AH$15,"D-",IF(R576&lt;'PlayerGrades+'!$AH$14,"D",IF(R576&lt;'PlayerGrades+'!$AH$13,"D+",IF(R576&lt;'PlayerGrades+'!$AH$12,"C-",IF(R576&lt;'PlayerGrades+'!$AH$11,"C",IF(R576&lt;'PlayerGrades+'!$AH$10,"C+",IF(R576&lt;'PlayerGrades+'!$AH$9,"B-",IF(R576&lt;'PlayerGrades+'!$AH$8,"B",IF(R576&lt;'PlayerGrades+'!$AH$7,"B+",IF(R576&lt;'PlayerGrades+'!$AH$6,"A-",IF(R576&lt;'PlayerGrades+'!$AH$5,"A",IF(R576&lt;'PlayerGrades+'!$AH$4,"A+",IF(R576&lt;'PlayerGrades+'!$AH$3,"S-",IF(R576&lt;'PlayerGrades+'!$AH$2,"S","S+"))))))))))))))))))))</f>
        <v>#REF!</v>
      </c>
      <c r="T576" s="1423" t="str">
        <f t="shared" si="20"/>
        <v>#REF!</v>
      </c>
      <c r="U576" s="1423" t="str">
        <f>IF(T576&lt;'PlayerGrades+'!$AI$21,"F-",IF(T576&lt;'PlayerGrades+'!$AI$20,"F",IF(T576&lt;'PlayerGrades+'!$AI$19,"F+",IF(T576&lt;'PlayerGrades+'!$AI$18,"E-",IF(T576&lt;'PlayerGrades+'!$AI$17,"E",IF(T576&lt;'PlayerGrades+'!$AI$16,"E+",IF(T576&lt;'PlayerGrades+'!$AI$15,"D-",IF(T576&lt;'PlayerGrades+'!$AI$14,"D",IF(T576&lt;'PlayerGrades+'!$AI$13,"D+",IF(T576&lt;'PlayerGrades+'!$AI$12,"C-",IF(T576&lt;'PlayerGrades+'!$AI$11,"C",IF(T576&lt;'PlayerGrades+'!$AI$10,"C+",IF(T576&lt;'PlayerGrades+'!$AI$9,"B-",IF(T576&lt;'PlayerGrades+'!$AI$8,"B",IF(T576&lt;'PlayerGrades+'!$AI$7,"B+",IF(T576&lt;'PlayerGrades+'!$AI$6,"A-",IF(T576&lt;'PlayerGrades+'!$AI$5,"A",IF(T576&lt;'PlayerGrades+'!$AI$4,"A+",IF(T576&lt;'PlayerGrades+'!$AI$3,"S-",IF(T576&lt;'PlayerGrades+'!$AI$2,"S","S+"))))))))))))))))))))</f>
        <v>#REF!</v>
      </c>
      <c r="V576" s="1431"/>
      <c r="W576" s="1431"/>
      <c r="X576" s="1431"/>
      <c r="Y576" s="1431"/>
      <c r="Z576" s="1431"/>
      <c r="AA576" s="1431"/>
      <c r="AB576" s="1431"/>
      <c r="AC576" s="1432"/>
      <c r="AD576" s="1431"/>
      <c r="AE576" s="1431"/>
      <c r="AF576" s="1431"/>
      <c r="AG576" s="1431"/>
      <c r="AH576" s="1431"/>
      <c r="AI576" s="1431"/>
      <c r="AJ576" s="1431"/>
      <c r="AK576" s="1431"/>
      <c r="AL576" s="1431"/>
      <c r="AM576" s="1431"/>
      <c r="AN576" s="1431"/>
      <c r="AO576" s="1431"/>
      <c r="AP576" s="1431"/>
      <c r="AQ576" s="1431"/>
      <c r="AR576" s="1431"/>
      <c r="AS576" s="1431"/>
      <c r="AT576" s="1431"/>
      <c r="AU576" s="1431"/>
      <c r="AV576" s="1431"/>
      <c r="AW576" s="1431"/>
      <c r="AX576" s="1431"/>
      <c r="AY576" s="1431"/>
      <c r="AZ576" s="1431"/>
    </row>
    <row r="577">
      <c r="A577" s="1411"/>
      <c r="B577" s="1421" t="str">
        <f>IF(C577&lt;'PlayerGrades+'!$Y$44,"F-",IF(C577&lt;'PlayerGrades+'!$Y$43,"F",IF(C577&lt;'PlayerGrades+'!$Y$42,"F+",IF(C577&lt;'PlayerGrades+'!$Y$41,"E-",IF(C577&lt;'PlayerGrades+'!$Y$40,"E",IF(C577&lt;'PlayerGrades+'!$Y$39,"E+",IF(C577&lt;'PlayerGrades+'!$Y$38,"D-",IF(C577&lt;'PlayerGrades+'!$Y$37,"D",IF(C577&lt;'PlayerGrades+'!$Y$36,"D+",IF(C577&lt;'PlayerGrades+'!$Y$35,"C-",IF(C577&lt;'PlayerGrades+'!$Y$34,"C",IF(C577&lt;'PlayerGrades+'!$Y$33,"C+",IF(C577&lt;'PlayerGrades+'!$Y$32,"B-",IF(C577&lt;'PlayerGrades+'!$Y$31,"B",IF(C577&lt;'PlayerGrades+'!$Y$30,"B+",IF(C577&lt;'PlayerGrades+'!$Y$29,"A-",IF(C577&lt;'PlayerGrades+'!$Y$28,"A",IF(C577&lt;'PlayerGrades+'!$Y$27,"A+",IF(C577&lt;'PlayerGrades+'!$Y$26,"S-",IF(C577&lt;'PlayerGrades+'!$Y$25,"S","S+"))))))))))))))))))))</f>
        <v>#DIV/0!</v>
      </c>
      <c r="C577" s="1422" t="str">
        <f>('PlayerGrades+'!$Y$47*(VLOOKUP(E577, 'PlayerGrades+'!$X$3:$Y$23, 2, FALSE)))+('PlayerGrades+'!$Y$48*(VLOOKUP(G577, 'PlayerGrades+'!$X$3:$Y$23, 2, FALSE)))+('PlayerGrades+'!$Y$49*(VLOOKUP(I577, 'PlayerGrades+'!$X$3:$Y$23, 2, FALSE)))+('PlayerGrades+'!$Y$50*(VLOOKUP(K577, 'PlayerGrades+'!$X$3:$Y$23, 2, FALSE)))+('PlayerGrades+'!$Y$51*(VLOOKUP(M577, 'PlayerGrades+'!$X$3:$Y$23, 2, FALSE)))+('PlayerGrades+'!$Y$52*(VLOOKUP(O577, 'PlayerGrades+'!$X$3:$Y$23, 2, FALSE)))+('PlayerGrades+'!$Y$53*(VLOOKUP(Q577, 'PlayerGrades+'!$X$3:$Y$23, 2, FALSE)))+('PlayerGrades+'!$Y$54*(VLOOKUP(S577, 'PlayerGrades+'!$X$3:$Y$23, 2, FALSE)))+('PlayerGrades+'!$Y$55*(VLOOKUP(U577, 'PlayerGrades+'!$X$3:$Y$23, 2, FALSE)))</f>
        <v>#DIV/0!</v>
      </c>
      <c r="D577" s="1423" t="str">
        <f t="shared" si="12"/>
        <v>#DIV/0!</v>
      </c>
      <c r="E577" s="1423" t="str">
        <f>IF(D577&lt;'PlayerGrades+'!$AA$21,"F-",IF(D577&lt;'PlayerGrades+'!$AA$20,"F",IF(D577&lt;'PlayerGrades+'!$AA$19,"F+",IF(D577&lt;'PlayerGrades+'!$AA$18,"E-",IF(D577&lt;'PlayerGrades+'!$AA$17,"E",IF(D577&lt;'PlayerGrades+'!$AA$16,"E+",IF(D577&lt;'PlayerGrades+'!$AA$15,"D-",IF(D577&lt;'PlayerGrades+'!$AA$14,"D",IF(D577&lt;'PlayerGrades+'!$AA$13,"D+",IF(D577&lt;'PlayerGrades+'!$AA$12,"C-",IF(D577&lt;'PlayerGrades+'!$AA$11,"C",IF(D577&lt;'PlayerGrades+'!$AA$10,"C+",IF(D577&lt;'PlayerGrades+'!$AA$9,"B-",IF(D577&lt;'PlayerGrades+'!$AA$8,"B",IF(D577&lt;'PlayerGrades+'!$AA$7,"B+",IF(D577&lt;'PlayerGrades+'!$AA$6,"A-",IF(D577&lt;'PlayerGrades+'!$AA$5,"A",IF(D577&lt;'PlayerGrades+'!$AA$4,"A+",IF(D577&lt;'PlayerGrades+'!$AA$3,"S-",IF(D577&lt;'PlayerGrades+'!$AA$2,"S","S+"))))))))))))))))))))</f>
        <v>#DIV/0!</v>
      </c>
      <c r="F577" s="1423" t="str">
        <f t="shared" si="13"/>
        <v>#DIV/0!</v>
      </c>
      <c r="G577" s="1423" t="str">
        <f>IF(F577&lt;'PlayerGrades+'!$AB$21,"F-",IF(F577&lt;'PlayerGrades+'!$AB$20,"F",IF(F577&lt;'PlayerGrades+'!$AB$19,"F+",IF(F577&lt;'PlayerGrades+'!$AB$18,"E-",IF(F577&lt;'PlayerGrades+'!$AB$17,"E",IF(F577&lt;'PlayerGrades+'!$AB$16,"E+",IF(F577&lt;'PlayerGrades+'!$AB$15,"D-",IF(F577&lt;'PlayerGrades+'!$AB$14,"D",IF(F577&lt;'PlayerGrades+'!$AB$13,"D+",IF(F577&lt;'PlayerGrades+'!$AB$12,"C-",IF(F577&lt;'PlayerGrades+'!$AB$11,"C",IF(F577&lt;'PlayerGrades+'!$AB$10,"C+",IF(F577&lt;'PlayerGrades+'!$AB$9,"B-",IF(F577&lt;'PlayerGrades+'!$AB$8,"B",IF(F577&lt;'PlayerGrades+'!$AB$7,"B+",IF(F577&lt;'PlayerGrades+'!$AB$6,"A-",IF(F577&lt;'PlayerGrades+'!$AB$5,"A",IF(F577&lt;'PlayerGrades+'!$AB$4,"A+",IF(F577&lt;'PlayerGrades+'!$AB$3,"S-",IF(F577&lt;'PlayerGrades+'!$AB$2,"S","S+"))))))))))))))))))))</f>
        <v>#DIV/0!</v>
      </c>
      <c r="H577" s="1423" t="str">
        <f t="shared" si="14"/>
        <v>#DIV/0!</v>
      </c>
      <c r="I577" s="1423" t="str">
        <f>IF(H577&lt;'PlayerGrades+'!$AC$21,"F-",IF(H577&lt;'PlayerGrades+'!$AC$20,"F",IF(H577&lt;'PlayerGrades+'!$AC$19,"F+",IF(H577&lt;'PlayerGrades+'!$AC$18,"E-",IF(H577&lt;'PlayerGrades+'!$AC$17,"E",IF(H577&lt;'PlayerGrades+'!$AC$16,"E+",IF(H577&lt;'PlayerGrades+'!$AC$15,"D-",IF(H577&lt;'PlayerGrades+'!$AC$14,"D",IF(H577&lt;'PlayerGrades+'!$AC$13,"D+",IF(H577&lt;'PlayerGrades+'!$AC$12,"C-",IF(H577&lt;'PlayerGrades+'!$AC$11,"C",IF(H577&lt;'PlayerGrades+'!$AC$10,"C+",IF(H577&lt;'PlayerGrades+'!$AC$9,"B-",IF(H577&lt;'PlayerGrades+'!$AC$8,"B",IF(H577&lt;'PlayerGrades+'!$AC$7,"B+",IF(H577&lt;'PlayerGrades+'!$AC$6,"A-",IF(H577&lt;'PlayerGrades+'!$AC$5,"A",IF(H577&lt;'PlayerGrades+'!$AC$4,"A+",IF(H577&lt;'PlayerGrades+'!$AC$3,"S-",IF(H577&lt;'PlayerGrades+'!$AC$2,"S","S+"))))))))))))))))))))</f>
        <v>#DIV/0!</v>
      </c>
      <c r="J577" s="1423" t="str">
        <f t="shared" si="15"/>
        <v>#DIV/0!</v>
      </c>
      <c r="K577" s="1423" t="str">
        <f>IF(J577&lt;'PlayerGrades+'!$AD$21,"F-",IF(J577&lt;'PlayerGrades+'!$AD$20,"F",IF(J577&lt;'PlayerGrades+'!$AD$19,"F+",IF(J577&lt;'PlayerGrades+'!$AD$18,"E-",IF(J577&lt;'PlayerGrades+'!$AD$17,"E",IF(J577&lt;'PlayerGrades+'!$AD$16,"E+",IF(J577&lt;'PlayerGrades+'!$AD$15,"D-",IF(J577&lt;'PlayerGrades+'!$AD$14,"D",IF(J577&lt;'PlayerGrades+'!$AD$13,"D+",IF(J577&lt;'PlayerGrades+'!$AD$12,"C-",IF(J577&lt;'PlayerGrades+'!$AD$11,"C",IF(J577&lt;'PlayerGrades+'!$AD$10,"C+",IF(J577&lt;'PlayerGrades+'!$AD$9,"B-",IF(J577&lt;'PlayerGrades+'!$AD$8,"B",IF(J577&lt;'PlayerGrades+'!$AD$7,"B+",IF(J577&lt;'PlayerGrades+'!$AD$6,"A-",IF(J577&lt;'PlayerGrades+'!$AD$5,"A",IF(J577&lt;'PlayerGrades+'!$AD$4,"A+",IF(J577&lt;'PlayerGrades+'!$AD$3,"S-",IF(J577&lt;'PlayerGrades+'!$AD$2,"S","S+"))))))))))))))))))))</f>
        <v>#DIV/0!</v>
      </c>
      <c r="L577" s="1176" t="str">
        <f t="shared" si="16"/>
        <v>#DIV/0!</v>
      </c>
      <c r="M577" s="992" t="str">
        <f>IF(L577&lt;'PlayerGrades+'!$AE$21,"F-",IF(L577&lt;'PlayerGrades+'!$AE$20,"F",IF(L577&lt;'PlayerGrades+'!$AE$19,"F+",IF(L577&lt;'PlayerGrades+'!$AE$18,"E-",IF(L577&lt;'PlayerGrades+'!$AE$17,"E",IF(L577&lt;'PlayerGrades+'!$AE$16,"E+",IF(L577&lt;'PlayerGrades+'!$AE$15,"D-",IF(L577&lt;'PlayerGrades+'!$AE$14,"D",IF(L577&lt;'PlayerGrades+'!$AE$13,"D+",IF(L577&lt;'PlayerGrades+'!$AE$12,"C-",IF(L577&lt;'PlayerGrades+'!$AE$11,"C",IF(L577&lt;'PlayerGrades+'!$AE$10,"C+",IF(L577&lt;'PlayerGrades+'!$AE$9,"B-",IF(L577&lt;'PlayerGrades+'!$AE$8,"B",IF(L577&lt;'PlayerGrades+'!$AE$7,"B+",IF(L577&lt;'PlayerGrades+'!$AE$6,"A-",IF(L577&lt;'PlayerGrades+'!$AE$5,"A",IF(L577&lt;'PlayerGrades+'!$AE$4,"A+",IF(L577&lt;'PlayerGrades+'!$AE$3,"S-",IF(L577&lt;'PlayerGrades+'!$AE$2,"S","S+"))))))))))))))))))))</f>
        <v>#DIV/0!</v>
      </c>
      <c r="N577" s="1423" t="str">
        <f t="shared" si="17"/>
        <v>#DIV/0!</v>
      </c>
      <c r="O577" s="1423" t="str">
        <f>IF(N577&lt;'PlayerGrades+'!$AF$21,"F-",IF(N577&lt;'PlayerGrades+'!$AF$20,"F",IF(N577&lt;'PlayerGrades+'!$AF$19,"F+",IF(N577&lt;'PlayerGrades+'!$AF$18,"E-",IF(N577&lt;'PlayerGrades+'!$AF$17,"E",IF(N577&lt;'PlayerGrades+'!$AF$16,"E+",IF(N577&lt;'PlayerGrades+'!$AF$15,"D-",IF(N577&lt;'PlayerGrades+'!$AF$14,"D",IF(N577&lt;'PlayerGrades+'!$AF$13,"D+",IF(N577&lt;'PlayerGrades+'!$AF$12,"C-",IF(N577&lt;'PlayerGrades+'!$AF$11,"C",IF(N577&lt;'PlayerGrades+'!$AF$10,"C+",IF(N577&lt;'PlayerGrades+'!$AF$9,"B-",IF(N577&lt;'PlayerGrades+'!$AF$8,"B",IF(N577&lt;'PlayerGrades+'!$AF$7,"B+",IF(N577&lt;'PlayerGrades+'!$AF$6,"A-",IF(N577&lt;'PlayerGrades+'!$AF$5,"A",IF(N577&lt;'PlayerGrades+'!$AF$4,"A+",IF(N577&lt;'PlayerGrades+'!$AF$3,"S-",IF(N577&lt;'PlayerGrades+'!$AF$2,"S","S+"))))))))))))))))))))</f>
        <v>#DIV/0!</v>
      </c>
      <c r="P577" s="1423" t="str">
        <f t="shared" si="18"/>
        <v>#DIV/0!</v>
      </c>
      <c r="Q577" s="1423" t="str">
        <f>IF(P577&lt;'PlayerGrades+'!$AG$21,"F-",IF(P577&lt;'PlayerGrades+'!$AG$20,"F",IF(P577&lt;'PlayerGrades+'!$AG$19,"F+",IF(P577&lt;'PlayerGrades+'!$AG$18,"E-",IF(P577&lt;'PlayerGrades+'!$AG$17,"E",IF(P577&lt;'PlayerGrades+'!$AG$16,"E+",IF(P577&lt;'PlayerGrades+'!$AG$15,"D-",IF(P577&lt;'PlayerGrades+'!$AG$14,"D",IF(P577&lt;'PlayerGrades+'!$AG$13,"D+",IF(P577&lt;'PlayerGrades+'!$AG$12,"C-",IF(P577&lt;'PlayerGrades+'!$AG$11,"C",IF(P577&lt;'PlayerGrades+'!$AG$10,"C+",IF(P577&lt;'PlayerGrades+'!$AG$9,"B-",IF(P577&lt;'PlayerGrades+'!$AG$8,"B",IF(P577&lt;'PlayerGrades+'!$AG$7,"B+",IF(P577&lt;'PlayerGrades+'!$AG$6,"A-",IF(P577&lt;'PlayerGrades+'!$AG$5,"A",IF(P577&lt;'PlayerGrades+'!$AG$4,"A+",IF(P577&lt;'PlayerGrades+'!$AG$3,"S-",IF(P577&lt;'PlayerGrades+'!$AG$2,"S","S+"))))))))))))))))))))</f>
        <v>#DIV/0!</v>
      </c>
      <c r="R577" s="1423" t="str">
        <f t="shared" si="19"/>
        <v>#REF!</v>
      </c>
      <c r="S577" s="1423" t="str">
        <f>IF(R577&lt;'PlayerGrades+'!$AH$21,"F-",IF(R577&lt;'PlayerGrades+'!$AH$20,"F",IF(R577&lt;'PlayerGrades+'!$AH$19,"F+",IF(R577&lt;'PlayerGrades+'!$AH$18,"E-",IF(R577&lt;'PlayerGrades+'!$AH$17,"E",IF(R577&lt;'PlayerGrades+'!$AH$16,"E+",IF(R577&lt;'PlayerGrades+'!$AH$15,"D-",IF(R577&lt;'PlayerGrades+'!$AH$14,"D",IF(R577&lt;'PlayerGrades+'!$AH$13,"D+",IF(R577&lt;'PlayerGrades+'!$AH$12,"C-",IF(R577&lt;'PlayerGrades+'!$AH$11,"C",IF(R577&lt;'PlayerGrades+'!$AH$10,"C+",IF(R577&lt;'PlayerGrades+'!$AH$9,"B-",IF(R577&lt;'PlayerGrades+'!$AH$8,"B",IF(R577&lt;'PlayerGrades+'!$AH$7,"B+",IF(R577&lt;'PlayerGrades+'!$AH$6,"A-",IF(R577&lt;'PlayerGrades+'!$AH$5,"A",IF(R577&lt;'PlayerGrades+'!$AH$4,"A+",IF(R577&lt;'PlayerGrades+'!$AH$3,"S-",IF(R577&lt;'PlayerGrades+'!$AH$2,"S","S+"))))))))))))))))))))</f>
        <v>#REF!</v>
      </c>
      <c r="T577" s="1423" t="str">
        <f t="shared" si="20"/>
        <v>#REF!</v>
      </c>
      <c r="U577" s="1423" t="str">
        <f>IF(T577&lt;'PlayerGrades+'!$AI$21,"F-",IF(T577&lt;'PlayerGrades+'!$AI$20,"F",IF(T577&lt;'PlayerGrades+'!$AI$19,"F+",IF(T577&lt;'PlayerGrades+'!$AI$18,"E-",IF(T577&lt;'PlayerGrades+'!$AI$17,"E",IF(T577&lt;'PlayerGrades+'!$AI$16,"E+",IF(T577&lt;'PlayerGrades+'!$AI$15,"D-",IF(T577&lt;'PlayerGrades+'!$AI$14,"D",IF(T577&lt;'PlayerGrades+'!$AI$13,"D+",IF(T577&lt;'PlayerGrades+'!$AI$12,"C-",IF(T577&lt;'PlayerGrades+'!$AI$11,"C",IF(T577&lt;'PlayerGrades+'!$AI$10,"C+",IF(T577&lt;'PlayerGrades+'!$AI$9,"B-",IF(T577&lt;'PlayerGrades+'!$AI$8,"B",IF(T577&lt;'PlayerGrades+'!$AI$7,"B+",IF(T577&lt;'PlayerGrades+'!$AI$6,"A-",IF(T577&lt;'PlayerGrades+'!$AI$5,"A",IF(T577&lt;'PlayerGrades+'!$AI$4,"A+",IF(T577&lt;'PlayerGrades+'!$AI$3,"S-",IF(T577&lt;'PlayerGrades+'!$AI$2,"S","S+"))))))))))))))))))))</f>
        <v>#REF!</v>
      </c>
      <c r="V577" s="1433"/>
      <c r="W577" s="1433"/>
      <c r="X577" s="1433"/>
      <c r="Y577" s="1433"/>
      <c r="Z577" s="1433"/>
      <c r="AA577" s="1433"/>
      <c r="AB577" s="1433"/>
      <c r="AC577" s="1434"/>
      <c r="AD577" s="1433"/>
      <c r="AE577" s="1433"/>
      <c r="AF577" s="1433"/>
      <c r="AG577" s="1433"/>
      <c r="AH577" s="1433"/>
      <c r="AI577" s="1433"/>
      <c r="AJ577" s="1433"/>
      <c r="AK577" s="1433"/>
      <c r="AL577" s="1433"/>
      <c r="AM577" s="1433"/>
      <c r="AN577" s="1433"/>
      <c r="AO577" s="1433"/>
      <c r="AP577" s="1433"/>
      <c r="AQ577" s="1433"/>
      <c r="AR577" s="1433"/>
      <c r="AS577" s="1433"/>
      <c r="AT577" s="1433"/>
      <c r="AU577" s="1433"/>
      <c r="AV577" s="1433"/>
      <c r="AW577" s="1433"/>
      <c r="AX577" s="1433"/>
      <c r="AY577" s="1433"/>
      <c r="AZ577" s="1433"/>
    </row>
    <row r="578">
      <c r="B578" s="1421" t="str">
        <f>IF(C578&lt;'PlayerGrades+'!$Y$44,"F-",IF(C578&lt;'PlayerGrades+'!$Y$43,"F",IF(C578&lt;'PlayerGrades+'!$Y$42,"F+",IF(C578&lt;'PlayerGrades+'!$Y$41,"E-",IF(C578&lt;'PlayerGrades+'!$Y$40,"E",IF(C578&lt;'PlayerGrades+'!$Y$39,"E+",IF(C578&lt;'PlayerGrades+'!$Y$38,"D-",IF(C578&lt;'PlayerGrades+'!$Y$37,"D",IF(C578&lt;'PlayerGrades+'!$Y$36,"D+",IF(C578&lt;'PlayerGrades+'!$Y$35,"C-",IF(C578&lt;'PlayerGrades+'!$Y$34,"C",IF(C578&lt;'PlayerGrades+'!$Y$33,"C+",IF(C578&lt;'PlayerGrades+'!$Y$32,"B-",IF(C578&lt;'PlayerGrades+'!$Y$31,"B",IF(C578&lt;'PlayerGrades+'!$Y$30,"B+",IF(C578&lt;'PlayerGrades+'!$Y$29,"A-",IF(C578&lt;'PlayerGrades+'!$Y$28,"A",IF(C578&lt;'PlayerGrades+'!$Y$27,"A+",IF(C578&lt;'PlayerGrades+'!$Y$26,"S-",IF(C578&lt;'PlayerGrades+'!$Y$25,"S","S+"))))))))))))))))))))</f>
        <v>#DIV/0!</v>
      </c>
      <c r="C578" s="1422" t="str">
        <f>('PlayerGrades+'!$Y$47*(VLOOKUP(E578, 'PlayerGrades+'!$X$3:$Y$23, 2, FALSE)))+('PlayerGrades+'!$Y$48*(VLOOKUP(G578, 'PlayerGrades+'!$X$3:$Y$23, 2, FALSE)))+('PlayerGrades+'!$Y$49*(VLOOKUP(I578, 'PlayerGrades+'!$X$3:$Y$23, 2, FALSE)))+('PlayerGrades+'!$Y$50*(VLOOKUP(K578, 'PlayerGrades+'!$X$3:$Y$23, 2, FALSE)))+('PlayerGrades+'!$Y$51*(VLOOKUP(M578, 'PlayerGrades+'!$X$3:$Y$23, 2, FALSE)))+('PlayerGrades+'!$Y$52*(VLOOKUP(O578, 'PlayerGrades+'!$X$3:$Y$23, 2, FALSE)))+('PlayerGrades+'!$Y$53*(VLOOKUP(Q578, 'PlayerGrades+'!$X$3:$Y$23, 2, FALSE)))+('PlayerGrades+'!$Y$54*(VLOOKUP(S578, 'PlayerGrades+'!$X$3:$Y$23, 2, FALSE)))+('PlayerGrades+'!$Y$55*(VLOOKUP(U578, 'PlayerGrades+'!$X$3:$Y$23, 2, FALSE)))</f>
        <v>#DIV/0!</v>
      </c>
      <c r="D578" s="1423" t="str">
        <f t="shared" si="12"/>
        <v>#DIV/0!</v>
      </c>
      <c r="E578" s="1423" t="str">
        <f>IF(D578&lt;'PlayerGrades+'!$AA$21,"F-",IF(D578&lt;'PlayerGrades+'!$AA$20,"F",IF(D578&lt;'PlayerGrades+'!$AA$19,"F+",IF(D578&lt;'PlayerGrades+'!$AA$18,"E-",IF(D578&lt;'PlayerGrades+'!$AA$17,"E",IF(D578&lt;'PlayerGrades+'!$AA$16,"E+",IF(D578&lt;'PlayerGrades+'!$AA$15,"D-",IF(D578&lt;'PlayerGrades+'!$AA$14,"D",IF(D578&lt;'PlayerGrades+'!$AA$13,"D+",IF(D578&lt;'PlayerGrades+'!$AA$12,"C-",IF(D578&lt;'PlayerGrades+'!$AA$11,"C",IF(D578&lt;'PlayerGrades+'!$AA$10,"C+",IF(D578&lt;'PlayerGrades+'!$AA$9,"B-",IF(D578&lt;'PlayerGrades+'!$AA$8,"B",IF(D578&lt;'PlayerGrades+'!$AA$7,"B+",IF(D578&lt;'PlayerGrades+'!$AA$6,"A-",IF(D578&lt;'PlayerGrades+'!$AA$5,"A",IF(D578&lt;'PlayerGrades+'!$AA$4,"A+",IF(D578&lt;'PlayerGrades+'!$AA$3,"S-",IF(D578&lt;'PlayerGrades+'!$AA$2,"S","S+"))))))))))))))))))))</f>
        <v>#DIV/0!</v>
      </c>
      <c r="F578" s="1423" t="str">
        <f t="shared" si="13"/>
        <v>#DIV/0!</v>
      </c>
      <c r="G578" s="1423" t="str">
        <f>IF(F578&lt;'PlayerGrades+'!$AB$21,"F-",IF(F578&lt;'PlayerGrades+'!$AB$20,"F",IF(F578&lt;'PlayerGrades+'!$AB$19,"F+",IF(F578&lt;'PlayerGrades+'!$AB$18,"E-",IF(F578&lt;'PlayerGrades+'!$AB$17,"E",IF(F578&lt;'PlayerGrades+'!$AB$16,"E+",IF(F578&lt;'PlayerGrades+'!$AB$15,"D-",IF(F578&lt;'PlayerGrades+'!$AB$14,"D",IF(F578&lt;'PlayerGrades+'!$AB$13,"D+",IF(F578&lt;'PlayerGrades+'!$AB$12,"C-",IF(F578&lt;'PlayerGrades+'!$AB$11,"C",IF(F578&lt;'PlayerGrades+'!$AB$10,"C+",IF(F578&lt;'PlayerGrades+'!$AB$9,"B-",IF(F578&lt;'PlayerGrades+'!$AB$8,"B",IF(F578&lt;'PlayerGrades+'!$AB$7,"B+",IF(F578&lt;'PlayerGrades+'!$AB$6,"A-",IF(F578&lt;'PlayerGrades+'!$AB$5,"A",IF(F578&lt;'PlayerGrades+'!$AB$4,"A+",IF(F578&lt;'PlayerGrades+'!$AB$3,"S-",IF(F578&lt;'PlayerGrades+'!$AB$2,"S","S+"))))))))))))))))))))</f>
        <v>#DIV/0!</v>
      </c>
      <c r="H578" s="1423" t="str">
        <f t="shared" si="14"/>
        <v>#DIV/0!</v>
      </c>
      <c r="I578" s="1423" t="str">
        <f>IF(H578&lt;'PlayerGrades+'!$AC$21,"F-",IF(H578&lt;'PlayerGrades+'!$AC$20,"F",IF(H578&lt;'PlayerGrades+'!$AC$19,"F+",IF(H578&lt;'PlayerGrades+'!$AC$18,"E-",IF(H578&lt;'PlayerGrades+'!$AC$17,"E",IF(H578&lt;'PlayerGrades+'!$AC$16,"E+",IF(H578&lt;'PlayerGrades+'!$AC$15,"D-",IF(H578&lt;'PlayerGrades+'!$AC$14,"D",IF(H578&lt;'PlayerGrades+'!$AC$13,"D+",IF(H578&lt;'PlayerGrades+'!$AC$12,"C-",IF(H578&lt;'PlayerGrades+'!$AC$11,"C",IF(H578&lt;'PlayerGrades+'!$AC$10,"C+",IF(H578&lt;'PlayerGrades+'!$AC$9,"B-",IF(H578&lt;'PlayerGrades+'!$AC$8,"B",IF(H578&lt;'PlayerGrades+'!$AC$7,"B+",IF(H578&lt;'PlayerGrades+'!$AC$6,"A-",IF(H578&lt;'PlayerGrades+'!$AC$5,"A",IF(H578&lt;'PlayerGrades+'!$AC$4,"A+",IF(H578&lt;'PlayerGrades+'!$AC$3,"S-",IF(H578&lt;'PlayerGrades+'!$AC$2,"S","S+"))))))))))))))))))))</f>
        <v>#DIV/0!</v>
      </c>
      <c r="J578" s="1423" t="str">
        <f t="shared" si="15"/>
        <v>#DIV/0!</v>
      </c>
      <c r="K578" s="1423" t="str">
        <f>IF(J578&lt;'PlayerGrades+'!$AD$21,"F-",IF(J578&lt;'PlayerGrades+'!$AD$20,"F",IF(J578&lt;'PlayerGrades+'!$AD$19,"F+",IF(J578&lt;'PlayerGrades+'!$AD$18,"E-",IF(J578&lt;'PlayerGrades+'!$AD$17,"E",IF(J578&lt;'PlayerGrades+'!$AD$16,"E+",IF(J578&lt;'PlayerGrades+'!$AD$15,"D-",IF(J578&lt;'PlayerGrades+'!$AD$14,"D",IF(J578&lt;'PlayerGrades+'!$AD$13,"D+",IF(J578&lt;'PlayerGrades+'!$AD$12,"C-",IF(J578&lt;'PlayerGrades+'!$AD$11,"C",IF(J578&lt;'PlayerGrades+'!$AD$10,"C+",IF(J578&lt;'PlayerGrades+'!$AD$9,"B-",IF(J578&lt;'PlayerGrades+'!$AD$8,"B",IF(J578&lt;'PlayerGrades+'!$AD$7,"B+",IF(J578&lt;'PlayerGrades+'!$AD$6,"A-",IF(J578&lt;'PlayerGrades+'!$AD$5,"A",IF(J578&lt;'PlayerGrades+'!$AD$4,"A+",IF(J578&lt;'PlayerGrades+'!$AD$3,"S-",IF(J578&lt;'PlayerGrades+'!$AD$2,"S","S+"))))))))))))))))))))</f>
        <v>#DIV/0!</v>
      </c>
      <c r="L578" s="1176" t="str">
        <f t="shared" si="16"/>
        <v>#DIV/0!</v>
      </c>
      <c r="M578" s="992" t="str">
        <f>IF(L578&lt;'PlayerGrades+'!$AE$21,"F-",IF(L578&lt;'PlayerGrades+'!$AE$20,"F",IF(L578&lt;'PlayerGrades+'!$AE$19,"F+",IF(L578&lt;'PlayerGrades+'!$AE$18,"E-",IF(L578&lt;'PlayerGrades+'!$AE$17,"E",IF(L578&lt;'PlayerGrades+'!$AE$16,"E+",IF(L578&lt;'PlayerGrades+'!$AE$15,"D-",IF(L578&lt;'PlayerGrades+'!$AE$14,"D",IF(L578&lt;'PlayerGrades+'!$AE$13,"D+",IF(L578&lt;'PlayerGrades+'!$AE$12,"C-",IF(L578&lt;'PlayerGrades+'!$AE$11,"C",IF(L578&lt;'PlayerGrades+'!$AE$10,"C+",IF(L578&lt;'PlayerGrades+'!$AE$9,"B-",IF(L578&lt;'PlayerGrades+'!$AE$8,"B",IF(L578&lt;'PlayerGrades+'!$AE$7,"B+",IF(L578&lt;'PlayerGrades+'!$AE$6,"A-",IF(L578&lt;'PlayerGrades+'!$AE$5,"A",IF(L578&lt;'PlayerGrades+'!$AE$4,"A+",IF(L578&lt;'PlayerGrades+'!$AE$3,"S-",IF(L578&lt;'PlayerGrades+'!$AE$2,"S","S+"))))))))))))))))))))</f>
        <v>#DIV/0!</v>
      </c>
      <c r="N578" s="1423" t="str">
        <f t="shared" si="17"/>
        <v>#DIV/0!</v>
      </c>
      <c r="O578" s="1423" t="str">
        <f>IF(N578&lt;'PlayerGrades+'!$AF$21,"F-",IF(N578&lt;'PlayerGrades+'!$AF$20,"F",IF(N578&lt;'PlayerGrades+'!$AF$19,"F+",IF(N578&lt;'PlayerGrades+'!$AF$18,"E-",IF(N578&lt;'PlayerGrades+'!$AF$17,"E",IF(N578&lt;'PlayerGrades+'!$AF$16,"E+",IF(N578&lt;'PlayerGrades+'!$AF$15,"D-",IF(N578&lt;'PlayerGrades+'!$AF$14,"D",IF(N578&lt;'PlayerGrades+'!$AF$13,"D+",IF(N578&lt;'PlayerGrades+'!$AF$12,"C-",IF(N578&lt;'PlayerGrades+'!$AF$11,"C",IF(N578&lt;'PlayerGrades+'!$AF$10,"C+",IF(N578&lt;'PlayerGrades+'!$AF$9,"B-",IF(N578&lt;'PlayerGrades+'!$AF$8,"B",IF(N578&lt;'PlayerGrades+'!$AF$7,"B+",IF(N578&lt;'PlayerGrades+'!$AF$6,"A-",IF(N578&lt;'PlayerGrades+'!$AF$5,"A",IF(N578&lt;'PlayerGrades+'!$AF$4,"A+",IF(N578&lt;'PlayerGrades+'!$AF$3,"S-",IF(N578&lt;'PlayerGrades+'!$AF$2,"S","S+"))))))))))))))))))))</f>
        <v>#DIV/0!</v>
      </c>
      <c r="P578" s="1423" t="str">
        <f t="shared" si="18"/>
        <v>#DIV/0!</v>
      </c>
      <c r="Q578" s="1423" t="str">
        <f>IF(P578&lt;'PlayerGrades+'!$AG$21,"F-",IF(P578&lt;'PlayerGrades+'!$AG$20,"F",IF(P578&lt;'PlayerGrades+'!$AG$19,"F+",IF(P578&lt;'PlayerGrades+'!$AG$18,"E-",IF(P578&lt;'PlayerGrades+'!$AG$17,"E",IF(P578&lt;'PlayerGrades+'!$AG$16,"E+",IF(P578&lt;'PlayerGrades+'!$AG$15,"D-",IF(P578&lt;'PlayerGrades+'!$AG$14,"D",IF(P578&lt;'PlayerGrades+'!$AG$13,"D+",IF(P578&lt;'PlayerGrades+'!$AG$12,"C-",IF(P578&lt;'PlayerGrades+'!$AG$11,"C",IF(P578&lt;'PlayerGrades+'!$AG$10,"C+",IF(P578&lt;'PlayerGrades+'!$AG$9,"B-",IF(P578&lt;'PlayerGrades+'!$AG$8,"B",IF(P578&lt;'PlayerGrades+'!$AG$7,"B+",IF(P578&lt;'PlayerGrades+'!$AG$6,"A-",IF(P578&lt;'PlayerGrades+'!$AG$5,"A",IF(P578&lt;'PlayerGrades+'!$AG$4,"A+",IF(P578&lt;'PlayerGrades+'!$AG$3,"S-",IF(P578&lt;'PlayerGrades+'!$AG$2,"S","S+"))))))))))))))))))))</f>
        <v>#DIV/0!</v>
      </c>
      <c r="R578" s="1423" t="str">
        <f t="shared" si="19"/>
        <v>#REF!</v>
      </c>
      <c r="S578" s="1423" t="str">
        <f>IF(R578&lt;'PlayerGrades+'!$AH$21,"F-",IF(R578&lt;'PlayerGrades+'!$AH$20,"F",IF(R578&lt;'PlayerGrades+'!$AH$19,"F+",IF(R578&lt;'PlayerGrades+'!$AH$18,"E-",IF(R578&lt;'PlayerGrades+'!$AH$17,"E",IF(R578&lt;'PlayerGrades+'!$AH$16,"E+",IF(R578&lt;'PlayerGrades+'!$AH$15,"D-",IF(R578&lt;'PlayerGrades+'!$AH$14,"D",IF(R578&lt;'PlayerGrades+'!$AH$13,"D+",IF(R578&lt;'PlayerGrades+'!$AH$12,"C-",IF(R578&lt;'PlayerGrades+'!$AH$11,"C",IF(R578&lt;'PlayerGrades+'!$AH$10,"C+",IF(R578&lt;'PlayerGrades+'!$AH$9,"B-",IF(R578&lt;'PlayerGrades+'!$AH$8,"B",IF(R578&lt;'PlayerGrades+'!$AH$7,"B+",IF(R578&lt;'PlayerGrades+'!$AH$6,"A-",IF(R578&lt;'PlayerGrades+'!$AH$5,"A",IF(R578&lt;'PlayerGrades+'!$AH$4,"A+",IF(R578&lt;'PlayerGrades+'!$AH$3,"S-",IF(R578&lt;'PlayerGrades+'!$AH$2,"S","S+"))))))))))))))))))))</f>
        <v>#REF!</v>
      </c>
      <c r="T578" s="1423" t="str">
        <f t="shared" si="20"/>
        <v>#REF!</v>
      </c>
      <c r="U578" s="1423" t="str">
        <f>IF(T578&lt;'PlayerGrades+'!$AI$21,"F-",IF(T578&lt;'PlayerGrades+'!$AI$20,"F",IF(T578&lt;'PlayerGrades+'!$AI$19,"F+",IF(T578&lt;'PlayerGrades+'!$AI$18,"E-",IF(T578&lt;'PlayerGrades+'!$AI$17,"E",IF(T578&lt;'PlayerGrades+'!$AI$16,"E+",IF(T578&lt;'PlayerGrades+'!$AI$15,"D-",IF(T578&lt;'PlayerGrades+'!$AI$14,"D",IF(T578&lt;'PlayerGrades+'!$AI$13,"D+",IF(T578&lt;'PlayerGrades+'!$AI$12,"C-",IF(T578&lt;'PlayerGrades+'!$AI$11,"C",IF(T578&lt;'PlayerGrades+'!$AI$10,"C+",IF(T578&lt;'PlayerGrades+'!$AI$9,"B-",IF(T578&lt;'PlayerGrades+'!$AI$8,"B",IF(T578&lt;'PlayerGrades+'!$AI$7,"B+",IF(T578&lt;'PlayerGrades+'!$AI$6,"A-",IF(T578&lt;'PlayerGrades+'!$AI$5,"A",IF(T578&lt;'PlayerGrades+'!$AI$4,"A+",IF(T578&lt;'PlayerGrades+'!$AI$3,"S-",IF(T578&lt;'PlayerGrades+'!$AI$2,"S","S+"))))))))))))))))))))</f>
        <v>#REF!</v>
      </c>
      <c r="AC578" s="1392"/>
    </row>
    <row r="579">
      <c r="B579" s="1421" t="str">
        <f>IF(C579&lt;'PlayerGrades+'!$Y$44,"F-",IF(C579&lt;'PlayerGrades+'!$Y$43,"F",IF(C579&lt;'PlayerGrades+'!$Y$42,"F+",IF(C579&lt;'PlayerGrades+'!$Y$41,"E-",IF(C579&lt;'PlayerGrades+'!$Y$40,"E",IF(C579&lt;'PlayerGrades+'!$Y$39,"E+",IF(C579&lt;'PlayerGrades+'!$Y$38,"D-",IF(C579&lt;'PlayerGrades+'!$Y$37,"D",IF(C579&lt;'PlayerGrades+'!$Y$36,"D+",IF(C579&lt;'PlayerGrades+'!$Y$35,"C-",IF(C579&lt;'PlayerGrades+'!$Y$34,"C",IF(C579&lt;'PlayerGrades+'!$Y$33,"C+",IF(C579&lt;'PlayerGrades+'!$Y$32,"B-",IF(C579&lt;'PlayerGrades+'!$Y$31,"B",IF(C579&lt;'PlayerGrades+'!$Y$30,"B+",IF(C579&lt;'PlayerGrades+'!$Y$29,"A-",IF(C579&lt;'PlayerGrades+'!$Y$28,"A",IF(C579&lt;'PlayerGrades+'!$Y$27,"A+",IF(C579&lt;'PlayerGrades+'!$Y$26,"S-",IF(C579&lt;'PlayerGrades+'!$Y$25,"S","S+"))))))))))))))))))))</f>
        <v>#DIV/0!</v>
      </c>
      <c r="C579" s="1422" t="str">
        <f>('PlayerGrades+'!$Y$47*(VLOOKUP(E579, 'PlayerGrades+'!$X$3:$Y$23, 2, FALSE)))+('PlayerGrades+'!$Y$48*(VLOOKUP(G579, 'PlayerGrades+'!$X$3:$Y$23, 2, FALSE)))+('PlayerGrades+'!$Y$49*(VLOOKUP(I579, 'PlayerGrades+'!$X$3:$Y$23, 2, FALSE)))+('PlayerGrades+'!$Y$50*(VLOOKUP(K579, 'PlayerGrades+'!$X$3:$Y$23, 2, FALSE)))+('PlayerGrades+'!$Y$51*(VLOOKUP(M579, 'PlayerGrades+'!$X$3:$Y$23, 2, FALSE)))+('PlayerGrades+'!$Y$52*(VLOOKUP(O579, 'PlayerGrades+'!$X$3:$Y$23, 2, FALSE)))+('PlayerGrades+'!$Y$53*(VLOOKUP(Q579, 'PlayerGrades+'!$X$3:$Y$23, 2, FALSE)))+('PlayerGrades+'!$Y$54*(VLOOKUP(S579, 'PlayerGrades+'!$X$3:$Y$23, 2, FALSE)))+('PlayerGrades+'!$Y$55*(VLOOKUP(U579, 'PlayerGrades+'!$X$3:$Y$23, 2, FALSE)))</f>
        <v>#DIV/0!</v>
      </c>
      <c r="D579" s="1423" t="str">
        <f t="shared" si="12"/>
        <v>#DIV/0!</v>
      </c>
      <c r="E579" s="1423" t="str">
        <f>IF(D579&lt;'PlayerGrades+'!$AA$21,"F-",IF(D579&lt;'PlayerGrades+'!$AA$20,"F",IF(D579&lt;'PlayerGrades+'!$AA$19,"F+",IF(D579&lt;'PlayerGrades+'!$AA$18,"E-",IF(D579&lt;'PlayerGrades+'!$AA$17,"E",IF(D579&lt;'PlayerGrades+'!$AA$16,"E+",IF(D579&lt;'PlayerGrades+'!$AA$15,"D-",IF(D579&lt;'PlayerGrades+'!$AA$14,"D",IF(D579&lt;'PlayerGrades+'!$AA$13,"D+",IF(D579&lt;'PlayerGrades+'!$AA$12,"C-",IF(D579&lt;'PlayerGrades+'!$AA$11,"C",IF(D579&lt;'PlayerGrades+'!$AA$10,"C+",IF(D579&lt;'PlayerGrades+'!$AA$9,"B-",IF(D579&lt;'PlayerGrades+'!$AA$8,"B",IF(D579&lt;'PlayerGrades+'!$AA$7,"B+",IF(D579&lt;'PlayerGrades+'!$AA$6,"A-",IF(D579&lt;'PlayerGrades+'!$AA$5,"A",IF(D579&lt;'PlayerGrades+'!$AA$4,"A+",IF(D579&lt;'PlayerGrades+'!$AA$3,"S-",IF(D579&lt;'PlayerGrades+'!$AA$2,"S","S+"))))))))))))))))))))</f>
        <v>#DIV/0!</v>
      </c>
      <c r="F579" s="1423" t="str">
        <f t="shared" si="13"/>
        <v>#DIV/0!</v>
      </c>
      <c r="G579" s="1423" t="str">
        <f>IF(F579&lt;'PlayerGrades+'!$AB$21,"F-",IF(F579&lt;'PlayerGrades+'!$AB$20,"F",IF(F579&lt;'PlayerGrades+'!$AB$19,"F+",IF(F579&lt;'PlayerGrades+'!$AB$18,"E-",IF(F579&lt;'PlayerGrades+'!$AB$17,"E",IF(F579&lt;'PlayerGrades+'!$AB$16,"E+",IF(F579&lt;'PlayerGrades+'!$AB$15,"D-",IF(F579&lt;'PlayerGrades+'!$AB$14,"D",IF(F579&lt;'PlayerGrades+'!$AB$13,"D+",IF(F579&lt;'PlayerGrades+'!$AB$12,"C-",IF(F579&lt;'PlayerGrades+'!$AB$11,"C",IF(F579&lt;'PlayerGrades+'!$AB$10,"C+",IF(F579&lt;'PlayerGrades+'!$AB$9,"B-",IF(F579&lt;'PlayerGrades+'!$AB$8,"B",IF(F579&lt;'PlayerGrades+'!$AB$7,"B+",IF(F579&lt;'PlayerGrades+'!$AB$6,"A-",IF(F579&lt;'PlayerGrades+'!$AB$5,"A",IF(F579&lt;'PlayerGrades+'!$AB$4,"A+",IF(F579&lt;'PlayerGrades+'!$AB$3,"S-",IF(F579&lt;'PlayerGrades+'!$AB$2,"S","S+"))))))))))))))))))))</f>
        <v>#DIV/0!</v>
      </c>
      <c r="H579" s="1423" t="str">
        <f t="shared" si="14"/>
        <v>#DIV/0!</v>
      </c>
      <c r="I579" s="1423" t="str">
        <f>IF(H579&lt;'PlayerGrades+'!$AC$21,"F-",IF(H579&lt;'PlayerGrades+'!$AC$20,"F",IF(H579&lt;'PlayerGrades+'!$AC$19,"F+",IF(H579&lt;'PlayerGrades+'!$AC$18,"E-",IF(H579&lt;'PlayerGrades+'!$AC$17,"E",IF(H579&lt;'PlayerGrades+'!$AC$16,"E+",IF(H579&lt;'PlayerGrades+'!$AC$15,"D-",IF(H579&lt;'PlayerGrades+'!$AC$14,"D",IF(H579&lt;'PlayerGrades+'!$AC$13,"D+",IF(H579&lt;'PlayerGrades+'!$AC$12,"C-",IF(H579&lt;'PlayerGrades+'!$AC$11,"C",IF(H579&lt;'PlayerGrades+'!$AC$10,"C+",IF(H579&lt;'PlayerGrades+'!$AC$9,"B-",IF(H579&lt;'PlayerGrades+'!$AC$8,"B",IF(H579&lt;'PlayerGrades+'!$AC$7,"B+",IF(H579&lt;'PlayerGrades+'!$AC$6,"A-",IF(H579&lt;'PlayerGrades+'!$AC$5,"A",IF(H579&lt;'PlayerGrades+'!$AC$4,"A+",IF(H579&lt;'PlayerGrades+'!$AC$3,"S-",IF(H579&lt;'PlayerGrades+'!$AC$2,"S","S+"))))))))))))))))))))</f>
        <v>#DIV/0!</v>
      </c>
      <c r="J579" s="1423" t="str">
        <f t="shared" si="15"/>
        <v>#DIV/0!</v>
      </c>
      <c r="K579" s="1423" t="str">
        <f>IF(J579&lt;'PlayerGrades+'!$AD$21,"F-",IF(J579&lt;'PlayerGrades+'!$AD$20,"F",IF(J579&lt;'PlayerGrades+'!$AD$19,"F+",IF(J579&lt;'PlayerGrades+'!$AD$18,"E-",IF(J579&lt;'PlayerGrades+'!$AD$17,"E",IF(J579&lt;'PlayerGrades+'!$AD$16,"E+",IF(J579&lt;'PlayerGrades+'!$AD$15,"D-",IF(J579&lt;'PlayerGrades+'!$AD$14,"D",IF(J579&lt;'PlayerGrades+'!$AD$13,"D+",IF(J579&lt;'PlayerGrades+'!$AD$12,"C-",IF(J579&lt;'PlayerGrades+'!$AD$11,"C",IF(J579&lt;'PlayerGrades+'!$AD$10,"C+",IF(J579&lt;'PlayerGrades+'!$AD$9,"B-",IF(J579&lt;'PlayerGrades+'!$AD$8,"B",IF(J579&lt;'PlayerGrades+'!$AD$7,"B+",IF(J579&lt;'PlayerGrades+'!$AD$6,"A-",IF(J579&lt;'PlayerGrades+'!$AD$5,"A",IF(J579&lt;'PlayerGrades+'!$AD$4,"A+",IF(J579&lt;'PlayerGrades+'!$AD$3,"S-",IF(J579&lt;'PlayerGrades+'!$AD$2,"S","S+"))))))))))))))))))))</f>
        <v>#DIV/0!</v>
      </c>
      <c r="L579" s="1176" t="str">
        <f t="shared" si="16"/>
        <v>#DIV/0!</v>
      </c>
      <c r="M579" s="992" t="str">
        <f>IF(L579&lt;'PlayerGrades+'!$AE$21,"F-",IF(L579&lt;'PlayerGrades+'!$AE$20,"F",IF(L579&lt;'PlayerGrades+'!$AE$19,"F+",IF(L579&lt;'PlayerGrades+'!$AE$18,"E-",IF(L579&lt;'PlayerGrades+'!$AE$17,"E",IF(L579&lt;'PlayerGrades+'!$AE$16,"E+",IF(L579&lt;'PlayerGrades+'!$AE$15,"D-",IF(L579&lt;'PlayerGrades+'!$AE$14,"D",IF(L579&lt;'PlayerGrades+'!$AE$13,"D+",IF(L579&lt;'PlayerGrades+'!$AE$12,"C-",IF(L579&lt;'PlayerGrades+'!$AE$11,"C",IF(L579&lt;'PlayerGrades+'!$AE$10,"C+",IF(L579&lt;'PlayerGrades+'!$AE$9,"B-",IF(L579&lt;'PlayerGrades+'!$AE$8,"B",IF(L579&lt;'PlayerGrades+'!$AE$7,"B+",IF(L579&lt;'PlayerGrades+'!$AE$6,"A-",IF(L579&lt;'PlayerGrades+'!$AE$5,"A",IF(L579&lt;'PlayerGrades+'!$AE$4,"A+",IF(L579&lt;'PlayerGrades+'!$AE$3,"S-",IF(L579&lt;'PlayerGrades+'!$AE$2,"S","S+"))))))))))))))))))))</f>
        <v>#DIV/0!</v>
      </c>
      <c r="N579" s="1423" t="str">
        <f t="shared" si="17"/>
        <v>#DIV/0!</v>
      </c>
      <c r="O579" s="1423" t="str">
        <f>IF(N579&lt;'PlayerGrades+'!$AF$21,"F-",IF(N579&lt;'PlayerGrades+'!$AF$20,"F",IF(N579&lt;'PlayerGrades+'!$AF$19,"F+",IF(N579&lt;'PlayerGrades+'!$AF$18,"E-",IF(N579&lt;'PlayerGrades+'!$AF$17,"E",IF(N579&lt;'PlayerGrades+'!$AF$16,"E+",IF(N579&lt;'PlayerGrades+'!$AF$15,"D-",IF(N579&lt;'PlayerGrades+'!$AF$14,"D",IF(N579&lt;'PlayerGrades+'!$AF$13,"D+",IF(N579&lt;'PlayerGrades+'!$AF$12,"C-",IF(N579&lt;'PlayerGrades+'!$AF$11,"C",IF(N579&lt;'PlayerGrades+'!$AF$10,"C+",IF(N579&lt;'PlayerGrades+'!$AF$9,"B-",IF(N579&lt;'PlayerGrades+'!$AF$8,"B",IF(N579&lt;'PlayerGrades+'!$AF$7,"B+",IF(N579&lt;'PlayerGrades+'!$AF$6,"A-",IF(N579&lt;'PlayerGrades+'!$AF$5,"A",IF(N579&lt;'PlayerGrades+'!$AF$4,"A+",IF(N579&lt;'PlayerGrades+'!$AF$3,"S-",IF(N579&lt;'PlayerGrades+'!$AF$2,"S","S+"))))))))))))))))))))</f>
        <v>#DIV/0!</v>
      </c>
      <c r="P579" s="1423" t="str">
        <f t="shared" si="18"/>
        <v>#DIV/0!</v>
      </c>
      <c r="Q579" s="1423" t="str">
        <f>IF(P579&lt;'PlayerGrades+'!$AG$21,"F-",IF(P579&lt;'PlayerGrades+'!$AG$20,"F",IF(P579&lt;'PlayerGrades+'!$AG$19,"F+",IF(P579&lt;'PlayerGrades+'!$AG$18,"E-",IF(P579&lt;'PlayerGrades+'!$AG$17,"E",IF(P579&lt;'PlayerGrades+'!$AG$16,"E+",IF(P579&lt;'PlayerGrades+'!$AG$15,"D-",IF(P579&lt;'PlayerGrades+'!$AG$14,"D",IF(P579&lt;'PlayerGrades+'!$AG$13,"D+",IF(P579&lt;'PlayerGrades+'!$AG$12,"C-",IF(P579&lt;'PlayerGrades+'!$AG$11,"C",IF(P579&lt;'PlayerGrades+'!$AG$10,"C+",IF(P579&lt;'PlayerGrades+'!$AG$9,"B-",IF(P579&lt;'PlayerGrades+'!$AG$8,"B",IF(P579&lt;'PlayerGrades+'!$AG$7,"B+",IF(P579&lt;'PlayerGrades+'!$AG$6,"A-",IF(P579&lt;'PlayerGrades+'!$AG$5,"A",IF(P579&lt;'PlayerGrades+'!$AG$4,"A+",IF(P579&lt;'PlayerGrades+'!$AG$3,"S-",IF(P579&lt;'PlayerGrades+'!$AG$2,"S","S+"))))))))))))))))))))</f>
        <v>#DIV/0!</v>
      </c>
      <c r="R579" s="1423" t="str">
        <f t="shared" si="19"/>
        <v>#REF!</v>
      </c>
      <c r="S579" s="1423" t="str">
        <f>IF(R579&lt;'PlayerGrades+'!$AH$21,"F-",IF(R579&lt;'PlayerGrades+'!$AH$20,"F",IF(R579&lt;'PlayerGrades+'!$AH$19,"F+",IF(R579&lt;'PlayerGrades+'!$AH$18,"E-",IF(R579&lt;'PlayerGrades+'!$AH$17,"E",IF(R579&lt;'PlayerGrades+'!$AH$16,"E+",IF(R579&lt;'PlayerGrades+'!$AH$15,"D-",IF(R579&lt;'PlayerGrades+'!$AH$14,"D",IF(R579&lt;'PlayerGrades+'!$AH$13,"D+",IF(R579&lt;'PlayerGrades+'!$AH$12,"C-",IF(R579&lt;'PlayerGrades+'!$AH$11,"C",IF(R579&lt;'PlayerGrades+'!$AH$10,"C+",IF(R579&lt;'PlayerGrades+'!$AH$9,"B-",IF(R579&lt;'PlayerGrades+'!$AH$8,"B",IF(R579&lt;'PlayerGrades+'!$AH$7,"B+",IF(R579&lt;'PlayerGrades+'!$AH$6,"A-",IF(R579&lt;'PlayerGrades+'!$AH$5,"A",IF(R579&lt;'PlayerGrades+'!$AH$4,"A+",IF(R579&lt;'PlayerGrades+'!$AH$3,"S-",IF(R579&lt;'PlayerGrades+'!$AH$2,"S","S+"))))))))))))))))))))</f>
        <v>#REF!</v>
      </c>
      <c r="T579" s="1423" t="str">
        <f t="shared" si="20"/>
        <v>#REF!</v>
      </c>
      <c r="U579" s="1423" t="str">
        <f>IF(T579&lt;'PlayerGrades+'!$AI$21,"F-",IF(T579&lt;'PlayerGrades+'!$AI$20,"F",IF(T579&lt;'PlayerGrades+'!$AI$19,"F+",IF(T579&lt;'PlayerGrades+'!$AI$18,"E-",IF(T579&lt;'PlayerGrades+'!$AI$17,"E",IF(T579&lt;'PlayerGrades+'!$AI$16,"E+",IF(T579&lt;'PlayerGrades+'!$AI$15,"D-",IF(T579&lt;'PlayerGrades+'!$AI$14,"D",IF(T579&lt;'PlayerGrades+'!$AI$13,"D+",IF(T579&lt;'PlayerGrades+'!$AI$12,"C-",IF(T579&lt;'PlayerGrades+'!$AI$11,"C",IF(T579&lt;'PlayerGrades+'!$AI$10,"C+",IF(T579&lt;'PlayerGrades+'!$AI$9,"B-",IF(T579&lt;'PlayerGrades+'!$AI$8,"B",IF(T579&lt;'PlayerGrades+'!$AI$7,"B+",IF(T579&lt;'PlayerGrades+'!$AI$6,"A-",IF(T579&lt;'PlayerGrades+'!$AI$5,"A",IF(T579&lt;'PlayerGrades+'!$AI$4,"A+",IF(T579&lt;'PlayerGrades+'!$AI$3,"S-",IF(T579&lt;'PlayerGrades+'!$AI$2,"S","S+"))))))))))))))))))))</f>
        <v>#REF!</v>
      </c>
      <c r="AC579" s="1392"/>
    </row>
    <row r="580">
      <c r="B580" s="1421" t="str">
        <f>IF(C580&lt;'PlayerGrades+'!$Y$44,"F-",IF(C580&lt;'PlayerGrades+'!$Y$43,"F",IF(C580&lt;'PlayerGrades+'!$Y$42,"F+",IF(C580&lt;'PlayerGrades+'!$Y$41,"E-",IF(C580&lt;'PlayerGrades+'!$Y$40,"E",IF(C580&lt;'PlayerGrades+'!$Y$39,"E+",IF(C580&lt;'PlayerGrades+'!$Y$38,"D-",IF(C580&lt;'PlayerGrades+'!$Y$37,"D",IF(C580&lt;'PlayerGrades+'!$Y$36,"D+",IF(C580&lt;'PlayerGrades+'!$Y$35,"C-",IF(C580&lt;'PlayerGrades+'!$Y$34,"C",IF(C580&lt;'PlayerGrades+'!$Y$33,"C+",IF(C580&lt;'PlayerGrades+'!$Y$32,"B-",IF(C580&lt;'PlayerGrades+'!$Y$31,"B",IF(C580&lt;'PlayerGrades+'!$Y$30,"B+",IF(C580&lt;'PlayerGrades+'!$Y$29,"A-",IF(C580&lt;'PlayerGrades+'!$Y$28,"A",IF(C580&lt;'PlayerGrades+'!$Y$27,"A+",IF(C580&lt;'PlayerGrades+'!$Y$26,"S-",IF(C580&lt;'PlayerGrades+'!$Y$25,"S","S+"))))))))))))))))))))</f>
        <v>#DIV/0!</v>
      </c>
      <c r="C580" s="1422" t="str">
        <f>('PlayerGrades+'!$Y$47*(VLOOKUP(E580, 'PlayerGrades+'!$X$3:$Y$23, 2, FALSE)))+('PlayerGrades+'!$Y$48*(VLOOKUP(G580, 'PlayerGrades+'!$X$3:$Y$23, 2, FALSE)))+('PlayerGrades+'!$Y$49*(VLOOKUP(I580, 'PlayerGrades+'!$X$3:$Y$23, 2, FALSE)))+('PlayerGrades+'!$Y$50*(VLOOKUP(K580, 'PlayerGrades+'!$X$3:$Y$23, 2, FALSE)))+('PlayerGrades+'!$Y$51*(VLOOKUP(M580, 'PlayerGrades+'!$X$3:$Y$23, 2, FALSE)))+('PlayerGrades+'!$Y$52*(VLOOKUP(O580, 'PlayerGrades+'!$X$3:$Y$23, 2, FALSE)))+('PlayerGrades+'!$Y$53*(VLOOKUP(Q580, 'PlayerGrades+'!$X$3:$Y$23, 2, FALSE)))+('PlayerGrades+'!$Y$54*(VLOOKUP(S580, 'PlayerGrades+'!$X$3:$Y$23, 2, FALSE)))+('PlayerGrades+'!$Y$55*(VLOOKUP(U580, 'PlayerGrades+'!$X$3:$Y$23, 2, FALSE)))</f>
        <v>#DIV/0!</v>
      </c>
      <c r="D580" s="1423" t="str">
        <f t="shared" si="12"/>
        <v>#DIV/0!</v>
      </c>
      <c r="E580" s="1423" t="str">
        <f>IF(D580&lt;'PlayerGrades+'!$AA$21,"F-",IF(D580&lt;'PlayerGrades+'!$AA$20,"F",IF(D580&lt;'PlayerGrades+'!$AA$19,"F+",IF(D580&lt;'PlayerGrades+'!$AA$18,"E-",IF(D580&lt;'PlayerGrades+'!$AA$17,"E",IF(D580&lt;'PlayerGrades+'!$AA$16,"E+",IF(D580&lt;'PlayerGrades+'!$AA$15,"D-",IF(D580&lt;'PlayerGrades+'!$AA$14,"D",IF(D580&lt;'PlayerGrades+'!$AA$13,"D+",IF(D580&lt;'PlayerGrades+'!$AA$12,"C-",IF(D580&lt;'PlayerGrades+'!$AA$11,"C",IF(D580&lt;'PlayerGrades+'!$AA$10,"C+",IF(D580&lt;'PlayerGrades+'!$AA$9,"B-",IF(D580&lt;'PlayerGrades+'!$AA$8,"B",IF(D580&lt;'PlayerGrades+'!$AA$7,"B+",IF(D580&lt;'PlayerGrades+'!$AA$6,"A-",IF(D580&lt;'PlayerGrades+'!$AA$5,"A",IF(D580&lt;'PlayerGrades+'!$AA$4,"A+",IF(D580&lt;'PlayerGrades+'!$AA$3,"S-",IF(D580&lt;'PlayerGrades+'!$AA$2,"S","S+"))))))))))))))))))))</f>
        <v>#DIV/0!</v>
      </c>
      <c r="F580" s="1423" t="str">
        <f t="shared" si="13"/>
        <v>#DIV/0!</v>
      </c>
      <c r="G580" s="1423" t="str">
        <f>IF(F580&lt;'PlayerGrades+'!$AB$21,"F-",IF(F580&lt;'PlayerGrades+'!$AB$20,"F",IF(F580&lt;'PlayerGrades+'!$AB$19,"F+",IF(F580&lt;'PlayerGrades+'!$AB$18,"E-",IF(F580&lt;'PlayerGrades+'!$AB$17,"E",IF(F580&lt;'PlayerGrades+'!$AB$16,"E+",IF(F580&lt;'PlayerGrades+'!$AB$15,"D-",IF(F580&lt;'PlayerGrades+'!$AB$14,"D",IF(F580&lt;'PlayerGrades+'!$AB$13,"D+",IF(F580&lt;'PlayerGrades+'!$AB$12,"C-",IF(F580&lt;'PlayerGrades+'!$AB$11,"C",IF(F580&lt;'PlayerGrades+'!$AB$10,"C+",IF(F580&lt;'PlayerGrades+'!$AB$9,"B-",IF(F580&lt;'PlayerGrades+'!$AB$8,"B",IF(F580&lt;'PlayerGrades+'!$AB$7,"B+",IF(F580&lt;'PlayerGrades+'!$AB$6,"A-",IF(F580&lt;'PlayerGrades+'!$AB$5,"A",IF(F580&lt;'PlayerGrades+'!$AB$4,"A+",IF(F580&lt;'PlayerGrades+'!$AB$3,"S-",IF(F580&lt;'PlayerGrades+'!$AB$2,"S","S+"))))))))))))))))))))</f>
        <v>#DIV/0!</v>
      </c>
      <c r="H580" s="1423" t="str">
        <f t="shared" si="14"/>
        <v>#DIV/0!</v>
      </c>
      <c r="I580" s="1423" t="str">
        <f>IF(H580&lt;'PlayerGrades+'!$AC$21,"F-",IF(H580&lt;'PlayerGrades+'!$AC$20,"F",IF(H580&lt;'PlayerGrades+'!$AC$19,"F+",IF(H580&lt;'PlayerGrades+'!$AC$18,"E-",IF(H580&lt;'PlayerGrades+'!$AC$17,"E",IF(H580&lt;'PlayerGrades+'!$AC$16,"E+",IF(H580&lt;'PlayerGrades+'!$AC$15,"D-",IF(H580&lt;'PlayerGrades+'!$AC$14,"D",IF(H580&lt;'PlayerGrades+'!$AC$13,"D+",IF(H580&lt;'PlayerGrades+'!$AC$12,"C-",IF(H580&lt;'PlayerGrades+'!$AC$11,"C",IF(H580&lt;'PlayerGrades+'!$AC$10,"C+",IF(H580&lt;'PlayerGrades+'!$AC$9,"B-",IF(H580&lt;'PlayerGrades+'!$AC$8,"B",IF(H580&lt;'PlayerGrades+'!$AC$7,"B+",IF(H580&lt;'PlayerGrades+'!$AC$6,"A-",IF(H580&lt;'PlayerGrades+'!$AC$5,"A",IF(H580&lt;'PlayerGrades+'!$AC$4,"A+",IF(H580&lt;'PlayerGrades+'!$AC$3,"S-",IF(H580&lt;'PlayerGrades+'!$AC$2,"S","S+"))))))))))))))))))))</f>
        <v>#DIV/0!</v>
      </c>
      <c r="J580" s="1423" t="str">
        <f t="shared" si="15"/>
        <v>#DIV/0!</v>
      </c>
      <c r="K580" s="1423" t="str">
        <f>IF(J580&lt;'PlayerGrades+'!$AD$21,"F-",IF(J580&lt;'PlayerGrades+'!$AD$20,"F",IF(J580&lt;'PlayerGrades+'!$AD$19,"F+",IF(J580&lt;'PlayerGrades+'!$AD$18,"E-",IF(J580&lt;'PlayerGrades+'!$AD$17,"E",IF(J580&lt;'PlayerGrades+'!$AD$16,"E+",IF(J580&lt;'PlayerGrades+'!$AD$15,"D-",IF(J580&lt;'PlayerGrades+'!$AD$14,"D",IF(J580&lt;'PlayerGrades+'!$AD$13,"D+",IF(J580&lt;'PlayerGrades+'!$AD$12,"C-",IF(J580&lt;'PlayerGrades+'!$AD$11,"C",IF(J580&lt;'PlayerGrades+'!$AD$10,"C+",IF(J580&lt;'PlayerGrades+'!$AD$9,"B-",IF(J580&lt;'PlayerGrades+'!$AD$8,"B",IF(J580&lt;'PlayerGrades+'!$AD$7,"B+",IF(J580&lt;'PlayerGrades+'!$AD$6,"A-",IF(J580&lt;'PlayerGrades+'!$AD$5,"A",IF(J580&lt;'PlayerGrades+'!$AD$4,"A+",IF(J580&lt;'PlayerGrades+'!$AD$3,"S-",IF(J580&lt;'PlayerGrades+'!$AD$2,"S","S+"))))))))))))))))))))</f>
        <v>#DIV/0!</v>
      </c>
      <c r="L580" s="1176" t="str">
        <f t="shared" si="16"/>
        <v>#DIV/0!</v>
      </c>
      <c r="M580" s="992" t="str">
        <f>IF(L580&lt;'PlayerGrades+'!$AE$21,"F-",IF(L580&lt;'PlayerGrades+'!$AE$20,"F",IF(L580&lt;'PlayerGrades+'!$AE$19,"F+",IF(L580&lt;'PlayerGrades+'!$AE$18,"E-",IF(L580&lt;'PlayerGrades+'!$AE$17,"E",IF(L580&lt;'PlayerGrades+'!$AE$16,"E+",IF(L580&lt;'PlayerGrades+'!$AE$15,"D-",IF(L580&lt;'PlayerGrades+'!$AE$14,"D",IF(L580&lt;'PlayerGrades+'!$AE$13,"D+",IF(L580&lt;'PlayerGrades+'!$AE$12,"C-",IF(L580&lt;'PlayerGrades+'!$AE$11,"C",IF(L580&lt;'PlayerGrades+'!$AE$10,"C+",IF(L580&lt;'PlayerGrades+'!$AE$9,"B-",IF(L580&lt;'PlayerGrades+'!$AE$8,"B",IF(L580&lt;'PlayerGrades+'!$AE$7,"B+",IF(L580&lt;'PlayerGrades+'!$AE$6,"A-",IF(L580&lt;'PlayerGrades+'!$AE$5,"A",IF(L580&lt;'PlayerGrades+'!$AE$4,"A+",IF(L580&lt;'PlayerGrades+'!$AE$3,"S-",IF(L580&lt;'PlayerGrades+'!$AE$2,"S","S+"))))))))))))))))))))</f>
        <v>#DIV/0!</v>
      </c>
      <c r="N580" s="1423" t="str">
        <f t="shared" si="17"/>
        <v>#DIV/0!</v>
      </c>
      <c r="O580" s="1423" t="str">
        <f>IF(N580&lt;'PlayerGrades+'!$AF$21,"F-",IF(N580&lt;'PlayerGrades+'!$AF$20,"F",IF(N580&lt;'PlayerGrades+'!$AF$19,"F+",IF(N580&lt;'PlayerGrades+'!$AF$18,"E-",IF(N580&lt;'PlayerGrades+'!$AF$17,"E",IF(N580&lt;'PlayerGrades+'!$AF$16,"E+",IF(N580&lt;'PlayerGrades+'!$AF$15,"D-",IF(N580&lt;'PlayerGrades+'!$AF$14,"D",IF(N580&lt;'PlayerGrades+'!$AF$13,"D+",IF(N580&lt;'PlayerGrades+'!$AF$12,"C-",IF(N580&lt;'PlayerGrades+'!$AF$11,"C",IF(N580&lt;'PlayerGrades+'!$AF$10,"C+",IF(N580&lt;'PlayerGrades+'!$AF$9,"B-",IF(N580&lt;'PlayerGrades+'!$AF$8,"B",IF(N580&lt;'PlayerGrades+'!$AF$7,"B+",IF(N580&lt;'PlayerGrades+'!$AF$6,"A-",IF(N580&lt;'PlayerGrades+'!$AF$5,"A",IF(N580&lt;'PlayerGrades+'!$AF$4,"A+",IF(N580&lt;'PlayerGrades+'!$AF$3,"S-",IF(N580&lt;'PlayerGrades+'!$AF$2,"S","S+"))))))))))))))))))))</f>
        <v>#DIV/0!</v>
      </c>
      <c r="P580" s="1423" t="str">
        <f t="shared" si="18"/>
        <v>#DIV/0!</v>
      </c>
      <c r="Q580" s="1423" t="str">
        <f>IF(P580&lt;'PlayerGrades+'!$AG$21,"F-",IF(P580&lt;'PlayerGrades+'!$AG$20,"F",IF(P580&lt;'PlayerGrades+'!$AG$19,"F+",IF(P580&lt;'PlayerGrades+'!$AG$18,"E-",IF(P580&lt;'PlayerGrades+'!$AG$17,"E",IF(P580&lt;'PlayerGrades+'!$AG$16,"E+",IF(P580&lt;'PlayerGrades+'!$AG$15,"D-",IF(P580&lt;'PlayerGrades+'!$AG$14,"D",IF(P580&lt;'PlayerGrades+'!$AG$13,"D+",IF(P580&lt;'PlayerGrades+'!$AG$12,"C-",IF(P580&lt;'PlayerGrades+'!$AG$11,"C",IF(P580&lt;'PlayerGrades+'!$AG$10,"C+",IF(P580&lt;'PlayerGrades+'!$AG$9,"B-",IF(P580&lt;'PlayerGrades+'!$AG$8,"B",IF(P580&lt;'PlayerGrades+'!$AG$7,"B+",IF(P580&lt;'PlayerGrades+'!$AG$6,"A-",IF(P580&lt;'PlayerGrades+'!$AG$5,"A",IF(P580&lt;'PlayerGrades+'!$AG$4,"A+",IF(P580&lt;'PlayerGrades+'!$AG$3,"S-",IF(P580&lt;'PlayerGrades+'!$AG$2,"S","S+"))))))))))))))))))))</f>
        <v>#DIV/0!</v>
      </c>
      <c r="R580" s="1423" t="str">
        <f t="shared" si="19"/>
        <v>#REF!</v>
      </c>
      <c r="S580" s="1423" t="str">
        <f>IF(R580&lt;'PlayerGrades+'!$AH$21,"F-",IF(R580&lt;'PlayerGrades+'!$AH$20,"F",IF(R580&lt;'PlayerGrades+'!$AH$19,"F+",IF(R580&lt;'PlayerGrades+'!$AH$18,"E-",IF(R580&lt;'PlayerGrades+'!$AH$17,"E",IF(R580&lt;'PlayerGrades+'!$AH$16,"E+",IF(R580&lt;'PlayerGrades+'!$AH$15,"D-",IF(R580&lt;'PlayerGrades+'!$AH$14,"D",IF(R580&lt;'PlayerGrades+'!$AH$13,"D+",IF(R580&lt;'PlayerGrades+'!$AH$12,"C-",IF(R580&lt;'PlayerGrades+'!$AH$11,"C",IF(R580&lt;'PlayerGrades+'!$AH$10,"C+",IF(R580&lt;'PlayerGrades+'!$AH$9,"B-",IF(R580&lt;'PlayerGrades+'!$AH$8,"B",IF(R580&lt;'PlayerGrades+'!$AH$7,"B+",IF(R580&lt;'PlayerGrades+'!$AH$6,"A-",IF(R580&lt;'PlayerGrades+'!$AH$5,"A",IF(R580&lt;'PlayerGrades+'!$AH$4,"A+",IF(R580&lt;'PlayerGrades+'!$AH$3,"S-",IF(R580&lt;'PlayerGrades+'!$AH$2,"S","S+"))))))))))))))))))))</f>
        <v>#REF!</v>
      </c>
      <c r="T580" s="1423" t="str">
        <f t="shared" si="20"/>
        <v>#REF!</v>
      </c>
      <c r="U580" s="1423" t="str">
        <f>IF(T580&lt;'PlayerGrades+'!$AI$21,"F-",IF(T580&lt;'PlayerGrades+'!$AI$20,"F",IF(T580&lt;'PlayerGrades+'!$AI$19,"F+",IF(T580&lt;'PlayerGrades+'!$AI$18,"E-",IF(T580&lt;'PlayerGrades+'!$AI$17,"E",IF(T580&lt;'PlayerGrades+'!$AI$16,"E+",IF(T580&lt;'PlayerGrades+'!$AI$15,"D-",IF(T580&lt;'PlayerGrades+'!$AI$14,"D",IF(T580&lt;'PlayerGrades+'!$AI$13,"D+",IF(T580&lt;'PlayerGrades+'!$AI$12,"C-",IF(T580&lt;'PlayerGrades+'!$AI$11,"C",IF(T580&lt;'PlayerGrades+'!$AI$10,"C+",IF(T580&lt;'PlayerGrades+'!$AI$9,"B-",IF(T580&lt;'PlayerGrades+'!$AI$8,"B",IF(T580&lt;'PlayerGrades+'!$AI$7,"B+",IF(T580&lt;'PlayerGrades+'!$AI$6,"A-",IF(T580&lt;'PlayerGrades+'!$AI$5,"A",IF(T580&lt;'PlayerGrades+'!$AI$4,"A+",IF(T580&lt;'PlayerGrades+'!$AI$3,"S-",IF(T580&lt;'PlayerGrades+'!$AI$2,"S","S+"))))))))))))))))))))</f>
        <v>#REF!</v>
      </c>
      <c r="AC580" s="1392"/>
    </row>
    <row r="581">
      <c r="B581" s="1421" t="str">
        <f>IF(C581&lt;'PlayerGrades+'!$Y$44,"F-",IF(C581&lt;'PlayerGrades+'!$Y$43,"F",IF(C581&lt;'PlayerGrades+'!$Y$42,"F+",IF(C581&lt;'PlayerGrades+'!$Y$41,"E-",IF(C581&lt;'PlayerGrades+'!$Y$40,"E",IF(C581&lt;'PlayerGrades+'!$Y$39,"E+",IF(C581&lt;'PlayerGrades+'!$Y$38,"D-",IF(C581&lt;'PlayerGrades+'!$Y$37,"D",IF(C581&lt;'PlayerGrades+'!$Y$36,"D+",IF(C581&lt;'PlayerGrades+'!$Y$35,"C-",IF(C581&lt;'PlayerGrades+'!$Y$34,"C",IF(C581&lt;'PlayerGrades+'!$Y$33,"C+",IF(C581&lt;'PlayerGrades+'!$Y$32,"B-",IF(C581&lt;'PlayerGrades+'!$Y$31,"B",IF(C581&lt;'PlayerGrades+'!$Y$30,"B+",IF(C581&lt;'PlayerGrades+'!$Y$29,"A-",IF(C581&lt;'PlayerGrades+'!$Y$28,"A",IF(C581&lt;'PlayerGrades+'!$Y$27,"A+",IF(C581&lt;'PlayerGrades+'!$Y$26,"S-",IF(C581&lt;'PlayerGrades+'!$Y$25,"S","S+"))))))))))))))))))))</f>
        <v>#DIV/0!</v>
      </c>
      <c r="C581" s="1422" t="str">
        <f>('PlayerGrades+'!$Y$47*(VLOOKUP(E581, 'PlayerGrades+'!$X$3:$Y$23, 2, FALSE)))+('PlayerGrades+'!$Y$48*(VLOOKUP(G581, 'PlayerGrades+'!$X$3:$Y$23, 2, FALSE)))+('PlayerGrades+'!$Y$49*(VLOOKUP(I581, 'PlayerGrades+'!$X$3:$Y$23, 2, FALSE)))+('PlayerGrades+'!$Y$50*(VLOOKUP(K581, 'PlayerGrades+'!$X$3:$Y$23, 2, FALSE)))+('PlayerGrades+'!$Y$51*(VLOOKUP(M581, 'PlayerGrades+'!$X$3:$Y$23, 2, FALSE)))+('PlayerGrades+'!$Y$52*(VLOOKUP(O581, 'PlayerGrades+'!$X$3:$Y$23, 2, FALSE)))+('PlayerGrades+'!$Y$53*(VLOOKUP(Q581, 'PlayerGrades+'!$X$3:$Y$23, 2, FALSE)))+('PlayerGrades+'!$Y$54*(VLOOKUP(S581, 'PlayerGrades+'!$X$3:$Y$23, 2, FALSE)))+('PlayerGrades+'!$Y$55*(VLOOKUP(U581, 'PlayerGrades+'!$X$3:$Y$23, 2, FALSE)))</f>
        <v>#DIV/0!</v>
      </c>
      <c r="D581" s="1423" t="str">
        <f t="shared" si="12"/>
        <v>#DIV/0!</v>
      </c>
      <c r="E581" s="1423" t="str">
        <f>IF(D581&lt;'PlayerGrades+'!$AA$21,"F-",IF(D581&lt;'PlayerGrades+'!$AA$20,"F",IF(D581&lt;'PlayerGrades+'!$AA$19,"F+",IF(D581&lt;'PlayerGrades+'!$AA$18,"E-",IF(D581&lt;'PlayerGrades+'!$AA$17,"E",IF(D581&lt;'PlayerGrades+'!$AA$16,"E+",IF(D581&lt;'PlayerGrades+'!$AA$15,"D-",IF(D581&lt;'PlayerGrades+'!$AA$14,"D",IF(D581&lt;'PlayerGrades+'!$AA$13,"D+",IF(D581&lt;'PlayerGrades+'!$AA$12,"C-",IF(D581&lt;'PlayerGrades+'!$AA$11,"C",IF(D581&lt;'PlayerGrades+'!$AA$10,"C+",IF(D581&lt;'PlayerGrades+'!$AA$9,"B-",IF(D581&lt;'PlayerGrades+'!$AA$8,"B",IF(D581&lt;'PlayerGrades+'!$AA$7,"B+",IF(D581&lt;'PlayerGrades+'!$AA$6,"A-",IF(D581&lt;'PlayerGrades+'!$AA$5,"A",IF(D581&lt;'PlayerGrades+'!$AA$4,"A+",IF(D581&lt;'PlayerGrades+'!$AA$3,"S-",IF(D581&lt;'PlayerGrades+'!$AA$2,"S","S+"))))))))))))))))))))</f>
        <v>#DIV/0!</v>
      </c>
      <c r="F581" s="1423" t="str">
        <f t="shared" si="13"/>
        <v>#DIV/0!</v>
      </c>
      <c r="G581" s="1423" t="str">
        <f>IF(F581&lt;'PlayerGrades+'!$AB$21,"F-",IF(F581&lt;'PlayerGrades+'!$AB$20,"F",IF(F581&lt;'PlayerGrades+'!$AB$19,"F+",IF(F581&lt;'PlayerGrades+'!$AB$18,"E-",IF(F581&lt;'PlayerGrades+'!$AB$17,"E",IF(F581&lt;'PlayerGrades+'!$AB$16,"E+",IF(F581&lt;'PlayerGrades+'!$AB$15,"D-",IF(F581&lt;'PlayerGrades+'!$AB$14,"D",IF(F581&lt;'PlayerGrades+'!$AB$13,"D+",IF(F581&lt;'PlayerGrades+'!$AB$12,"C-",IF(F581&lt;'PlayerGrades+'!$AB$11,"C",IF(F581&lt;'PlayerGrades+'!$AB$10,"C+",IF(F581&lt;'PlayerGrades+'!$AB$9,"B-",IF(F581&lt;'PlayerGrades+'!$AB$8,"B",IF(F581&lt;'PlayerGrades+'!$AB$7,"B+",IF(F581&lt;'PlayerGrades+'!$AB$6,"A-",IF(F581&lt;'PlayerGrades+'!$AB$5,"A",IF(F581&lt;'PlayerGrades+'!$AB$4,"A+",IF(F581&lt;'PlayerGrades+'!$AB$3,"S-",IF(F581&lt;'PlayerGrades+'!$AB$2,"S","S+"))))))))))))))))))))</f>
        <v>#DIV/0!</v>
      </c>
      <c r="H581" s="1423" t="str">
        <f t="shared" si="14"/>
        <v>#DIV/0!</v>
      </c>
      <c r="I581" s="1423" t="str">
        <f>IF(H581&lt;'PlayerGrades+'!$AC$21,"F-",IF(H581&lt;'PlayerGrades+'!$AC$20,"F",IF(H581&lt;'PlayerGrades+'!$AC$19,"F+",IF(H581&lt;'PlayerGrades+'!$AC$18,"E-",IF(H581&lt;'PlayerGrades+'!$AC$17,"E",IF(H581&lt;'PlayerGrades+'!$AC$16,"E+",IF(H581&lt;'PlayerGrades+'!$AC$15,"D-",IF(H581&lt;'PlayerGrades+'!$AC$14,"D",IF(H581&lt;'PlayerGrades+'!$AC$13,"D+",IF(H581&lt;'PlayerGrades+'!$AC$12,"C-",IF(H581&lt;'PlayerGrades+'!$AC$11,"C",IF(H581&lt;'PlayerGrades+'!$AC$10,"C+",IF(H581&lt;'PlayerGrades+'!$AC$9,"B-",IF(H581&lt;'PlayerGrades+'!$AC$8,"B",IF(H581&lt;'PlayerGrades+'!$AC$7,"B+",IF(H581&lt;'PlayerGrades+'!$AC$6,"A-",IF(H581&lt;'PlayerGrades+'!$AC$5,"A",IF(H581&lt;'PlayerGrades+'!$AC$4,"A+",IF(H581&lt;'PlayerGrades+'!$AC$3,"S-",IF(H581&lt;'PlayerGrades+'!$AC$2,"S","S+"))))))))))))))))))))</f>
        <v>#DIV/0!</v>
      </c>
      <c r="J581" s="1423" t="str">
        <f t="shared" si="15"/>
        <v>#DIV/0!</v>
      </c>
      <c r="K581" s="1423" t="str">
        <f>IF(J581&lt;'PlayerGrades+'!$AD$21,"F-",IF(J581&lt;'PlayerGrades+'!$AD$20,"F",IF(J581&lt;'PlayerGrades+'!$AD$19,"F+",IF(J581&lt;'PlayerGrades+'!$AD$18,"E-",IF(J581&lt;'PlayerGrades+'!$AD$17,"E",IF(J581&lt;'PlayerGrades+'!$AD$16,"E+",IF(J581&lt;'PlayerGrades+'!$AD$15,"D-",IF(J581&lt;'PlayerGrades+'!$AD$14,"D",IF(J581&lt;'PlayerGrades+'!$AD$13,"D+",IF(J581&lt;'PlayerGrades+'!$AD$12,"C-",IF(J581&lt;'PlayerGrades+'!$AD$11,"C",IF(J581&lt;'PlayerGrades+'!$AD$10,"C+",IF(J581&lt;'PlayerGrades+'!$AD$9,"B-",IF(J581&lt;'PlayerGrades+'!$AD$8,"B",IF(J581&lt;'PlayerGrades+'!$AD$7,"B+",IF(J581&lt;'PlayerGrades+'!$AD$6,"A-",IF(J581&lt;'PlayerGrades+'!$AD$5,"A",IF(J581&lt;'PlayerGrades+'!$AD$4,"A+",IF(J581&lt;'PlayerGrades+'!$AD$3,"S-",IF(J581&lt;'PlayerGrades+'!$AD$2,"S","S+"))))))))))))))))))))</f>
        <v>#DIV/0!</v>
      </c>
      <c r="L581" s="1176" t="str">
        <f t="shared" si="16"/>
        <v>#DIV/0!</v>
      </c>
      <c r="M581" s="992" t="str">
        <f>IF(L581&lt;'PlayerGrades+'!$AE$21,"F-",IF(L581&lt;'PlayerGrades+'!$AE$20,"F",IF(L581&lt;'PlayerGrades+'!$AE$19,"F+",IF(L581&lt;'PlayerGrades+'!$AE$18,"E-",IF(L581&lt;'PlayerGrades+'!$AE$17,"E",IF(L581&lt;'PlayerGrades+'!$AE$16,"E+",IF(L581&lt;'PlayerGrades+'!$AE$15,"D-",IF(L581&lt;'PlayerGrades+'!$AE$14,"D",IF(L581&lt;'PlayerGrades+'!$AE$13,"D+",IF(L581&lt;'PlayerGrades+'!$AE$12,"C-",IF(L581&lt;'PlayerGrades+'!$AE$11,"C",IF(L581&lt;'PlayerGrades+'!$AE$10,"C+",IF(L581&lt;'PlayerGrades+'!$AE$9,"B-",IF(L581&lt;'PlayerGrades+'!$AE$8,"B",IF(L581&lt;'PlayerGrades+'!$AE$7,"B+",IF(L581&lt;'PlayerGrades+'!$AE$6,"A-",IF(L581&lt;'PlayerGrades+'!$AE$5,"A",IF(L581&lt;'PlayerGrades+'!$AE$4,"A+",IF(L581&lt;'PlayerGrades+'!$AE$3,"S-",IF(L581&lt;'PlayerGrades+'!$AE$2,"S","S+"))))))))))))))))))))</f>
        <v>#DIV/0!</v>
      </c>
      <c r="N581" s="1423" t="str">
        <f t="shared" si="17"/>
        <v>#DIV/0!</v>
      </c>
      <c r="O581" s="1423" t="str">
        <f>IF(N581&lt;'PlayerGrades+'!$AF$21,"F-",IF(N581&lt;'PlayerGrades+'!$AF$20,"F",IF(N581&lt;'PlayerGrades+'!$AF$19,"F+",IF(N581&lt;'PlayerGrades+'!$AF$18,"E-",IF(N581&lt;'PlayerGrades+'!$AF$17,"E",IF(N581&lt;'PlayerGrades+'!$AF$16,"E+",IF(N581&lt;'PlayerGrades+'!$AF$15,"D-",IF(N581&lt;'PlayerGrades+'!$AF$14,"D",IF(N581&lt;'PlayerGrades+'!$AF$13,"D+",IF(N581&lt;'PlayerGrades+'!$AF$12,"C-",IF(N581&lt;'PlayerGrades+'!$AF$11,"C",IF(N581&lt;'PlayerGrades+'!$AF$10,"C+",IF(N581&lt;'PlayerGrades+'!$AF$9,"B-",IF(N581&lt;'PlayerGrades+'!$AF$8,"B",IF(N581&lt;'PlayerGrades+'!$AF$7,"B+",IF(N581&lt;'PlayerGrades+'!$AF$6,"A-",IF(N581&lt;'PlayerGrades+'!$AF$5,"A",IF(N581&lt;'PlayerGrades+'!$AF$4,"A+",IF(N581&lt;'PlayerGrades+'!$AF$3,"S-",IF(N581&lt;'PlayerGrades+'!$AF$2,"S","S+"))))))))))))))))))))</f>
        <v>#DIV/0!</v>
      </c>
      <c r="P581" s="1423" t="str">
        <f t="shared" si="18"/>
        <v>#DIV/0!</v>
      </c>
      <c r="Q581" s="1423" t="str">
        <f>IF(P581&lt;'PlayerGrades+'!$AG$21,"F-",IF(P581&lt;'PlayerGrades+'!$AG$20,"F",IF(P581&lt;'PlayerGrades+'!$AG$19,"F+",IF(P581&lt;'PlayerGrades+'!$AG$18,"E-",IF(P581&lt;'PlayerGrades+'!$AG$17,"E",IF(P581&lt;'PlayerGrades+'!$AG$16,"E+",IF(P581&lt;'PlayerGrades+'!$AG$15,"D-",IF(P581&lt;'PlayerGrades+'!$AG$14,"D",IF(P581&lt;'PlayerGrades+'!$AG$13,"D+",IF(P581&lt;'PlayerGrades+'!$AG$12,"C-",IF(P581&lt;'PlayerGrades+'!$AG$11,"C",IF(P581&lt;'PlayerGrades+'!$AG$10,"C+",IF(P581&lt;'PlayerGrades+'!$AG$9,"B-",IF(P581&lt;'PlayerGrades+'!$AG$8,"B",IF(P581&lt;'PlayerGrades+'!$AG$7,"B+",IF(P581&lt;'PlayerGrades+'!$AG$6,"A-",IF(P581&lt;'PlayerGrades+'!$AG$5,"A",IF(P581&lt;'PlayerGrades+'!$AG$4,"A+",IF(P581&lt;'PlayerGrades+'!$AG$3,"S-",IF(P581&lt;'PlayerGrades+'!$AG$2,"S","S+"))))))))))))))))))))</f>
        <v>#DIV/0!</v>
      </c>
      <c r="R581" s="1423" t="str">
        <f t="shared" si="19"/>
        <v>#REF!</v>
      </c>
      <c r="S581" s="1423" t="str">
        <f>IF(R581&lt;'PlayerGrades+'!$AH$21,"F-",IF(R581&lt;'PlayerGrades+'!$AH$20,"F",IF(R581&lt;'PlayerGrades+'!$AH$19,"F+",IF(R581&lt;'PlayerGrades+'!$AH$18,"E-",IF(R581&lt;'PlayerGrades+'!$AH$17,"E",IF(R581&lt;'PlayerGrades+'!$AH$16,"E+",IF(R581&lt;'PlayerGrades+'!$AH$15,"D-",IF(R581&lt;'PlayerGrades+'!$AH$14,"D",IF(R581&lt;'PlayerGrades+'!$AH$13,"D+",IF(R581&lt;'PlayerGrades+'!$AH$12,"C-",IF(R581&lt;'PlayerGrades+'!$AH$11,"C",IF(R581&lt;'PlayerGrades+'!$AH$10,"C+",IF(R581&lt;'PlayerGrades+'!$AH$9,"B-",IF(R581&lt;'PlayerGrades+'!$AH$8,"B",IF(R581&lt;'PlayerGrades+'!$AH$7,"B+",IF(R581&lt;'PlayerGrades+'!$AH$6,"A-",IF(R581&lt;'PlayerGrades+'!$AH$5,"A",IF(R581&lt;'PlayerGrades+'!$AH$4,"A+",IF(R581&lt;'PlayerGrades+'!$AH$3,"S-",IF(R581&lt;'PlayerGrades+'!$AH$2,"S","S+"))))))))))))))))))))</f>
        <v>#REF!</v>
      </c>
      <c r="T581" s="1423" t="str">
        <f t="shared" si="20"/>
        <v>#REF!</v>
      </c>
      <c r="U581" s="1423" t="str">
        <f>IF(T581&lt;'PlayerGrades+'!$AI$21,"F-",IF(T581&lt;'PlayerGrades+'!$AI$20,"F",IF(T581&lt;'PlayerGrades+'!$AI$19,"F+",IF(T581&lt;'PlayerGrades+'!$AI$18,"E-",IF(T581&lt;'PlayerGrades+'!$AI$17,"E",IF(T581&lt;'PlayerGrades+'!$AI$16,"E+",IF(T581&lt;'PlayerGrades+'!$AI$15,"D-",IF(T581&lt;'PlayerGrades+'!$AI$14,"D",IF(T581&lt;'PlayerGrades+'!$AI$13,"D+",IF(T581&lt;'PlayerGrades+'!$AI$12,"C-",IF(T581&lt;'PlayerGrades+'!$AI$11,"C",IF(T581&lt;'PlayerGrades+'!$AI$10,"C+",IF(T581&lt;'PlayerGrades+'!$AI$9,"B-",IF(T581&lt;'PlayerGrades+'!$AI$8,"B",IF(T581&lt;'PlayerGrades+'!$AI$7,"B+",IF(T581&lt;'PlayerGrades+'!$AI$6,"A-",IF(T581&lt;'PlayerGrades+'!$AI$5,"A",IF(T581&lt;'PlayerGrades+'!$AI$4,"A+",IF(T581&lt;'PlayerGrades+'!$AI$3,"S-",IF(T581&lt;'PlayerGrades+'!$AI$2,"S","S+"))))))))))))))))))))</f>
        <v>#REF!</v>
      </c>
      <c r="AC581" s="1392"/>
    </row>
    <row r="582">
      <c r="B582" s="1421" t="str">
        <f>IF(C582&lt;'PlayerGrades+'!$Y$44,"F-",IF(C582&lt;'PlayerGrades+'!$Y$43,"F",IF(C582&lt;'PlayerGrades+'!$Y$42,"F+",IF(C582&lt;'PlayerGrades+'!$Y$41,"E-",IF(C582&lt;'PlayerGrades+'!$Y$40,"E",IF(C582&lt;'PlayerGrades+'!$Y$39,"E+",IF(C582&lt;'PlayerGrades+'!$Y$38,"D-",IF(C582&lt;'PlayerGrades+'!$Y$37,"D",IF(C582&lt;'PlayerGrades+'!$Y$36,"D+",IF(C582&lt;'PlayerGrades+'!$Y$35,"C-",IF(C582&lt;'PlayerGrades+'!$Y$34,"C",IF(C582&lt;'PlayerGrades+'!$Y$33,"C+",IF(C582&lt;'PlayerGrades+'!$Y$32,"B-",IF(C582&lt;'PlayerGrades+'!$Y$31,"B",IF(C582&lt;'PlayerGrades+'!$Y$30,"B+",IF(C582&lt;'PlayerGrades+'!$Y$29,"A-",IF(C582&lt;'PlayerGrades+'!$Y$28,"A",IF(C582&lt;'PlayerGrades+'!$Y$27,"A+",IF(C582&lt;'PlayerGrades+'!$Y$26,"S-",IF(C582&lt;'PlayerGrades+'!$Y$25,"S","S+"))))))))))))))))))))</f>
        <v>#DIV/0!</v>
      </c>
      <c r="C582" s="1422" t="str">
        <f>('PlayerGrades+'!$Y$47*(VLOOKUP(E582, 'PlayerGrades+'!$X$3:$Y$23, 2, FALSE)))+('PlayerGrades+'!$Y$48*(VLOOKUP(G582, 'PlayerGrades+'!$X$3:$Y$23, 2, FALSE)))+('PlayerGrades+'!$Y$49*(VLOOKUP(I582, 'PlayerGrades+'!$X$3:$Y$23, 2, FALSE)))+('PlayerGrades+'!$Y$50*(VLOOKUP(K582, 'PlayerGrades+'!$X$3:$Y$23, 2, FALSE)))+('PlayerGrades+'!$Y$51*(VLOOKUP(M582, 'PlayerGrades+'!$X$3:$Y$23, 2, FALSE)))+('PlayerGrades+'!$Y$52*(VLOOKUP(O582, 'PlayerGrades+'!$X$3:$Y$23, 2, FALSE)))+('PlayerGrades+'!$Y$53*(VLOOKUP(Q582, 'PlayerGrades+'!$X$3:$Y$23, 2, FALSE)))+('PlayerGrades+'!$Y$54*(VLOOKUP(S582, 'PlayerGrades+'!$X$3:$Y$23, 2, FALSE)))+('PlayerGrades+'!$Y$55*(VLOOKUP(U582, 'PlayerGrades+'!$X$3:$Y$23, 2, FALSE)))</f>
        <v>#DIV/0!</v>
      </c>
      <c r="D582" s="1423" t="str">
        <f t="shared" si="12"/>
        <v>#DIV/0!</v>
      </c>
      <c r="E582" s="1423" t="str">
        <f>IF(D582&lt;'PlayerGrades+'!$AA$21,"F-",IF(D582&lt;'PlayerGrades+'!$AA$20,"F",IF(D582&lt;'PlayerGrades+'!$AA$19,"F+",IF(D582&lt;'PlayerGrades+'!$AA$18,"E-",IF(D582&lt;'PlayerGrades+'!$AA$17,"E",IF(D582&lt;'PlayerGrades+'!$AA$16,"E+",IF(D582&lt;'PlayerGrades+'!$AA$15,"D-",IF(D582&lt;'PlayerGrades+'!$AA$14,"D",IF(D582&lt;'PlayerGrades+'!$AA$13,"D+",IF(D582&lt;'PlayerGrades+'!$AA$12,"C-",IF(D582&lt;'PlayerGrades+'!$AA$11,"C",IF(D582&lt;'PlayerGrades+'!$AA$10,"C+",IF(D582&lt;'PlayerGrades+'!$AA$9,"B-",IF(D582&lt;'PlayerGrades+'!$AA$8,"B",IF(D582&lt;'PlayerGrades+'!$AA$7,"B+",IF(D582&lt;'PlayerGrades+'!$AA$6,"A-",IF(D582&lt;'PlayerGrades+'!$AA$5,"A",IF(D582&lt;'PlayerGrades+'!$AA$4,"A+",IF(D582&lt;'PlayerGrades+'!$AA$3,"S-",IF(D582&lt;'PlayerGrades+'!$AA$2,"S","S+"))))))))))))))))))))</f>
        <v>#DIV/0!</v>
      </c>
      <c r="F582" s="1423" t="str">
        <f t="shared" si="13"/>
        <v>#DIV/0!</v>
      </c>
      <c r="G582" s="1423" t="str">
        <f>IF(F582&lt;'PlayerGrades+'!$AB$21,"F-",IF(F582&lt;'PlayerGrades+'!$AB$20,"F",IF(F582&lt;'PlayerGrades+'!$AB$19,"F+",IF(F582&lt;'PlayerGrades+'!$AB$18,"E-",IF(F582&lt;'PlayerGrades+'!$AB$17,"E",IF(F582&lt;'PlayerGrades+'!$AB$16,"E+",IF(F582&lt;'PlayerGrades+'!$AB$15,"D-",IF(F582&lt;'PlayerGrades+'!$AB$14,"D",IF(F582&lt;'PlayerGrades+'!$AB$13,"D+",IF(F582&lt;'PlayerGrades+'!$AB$12,"C-",IF(F582&lt;'PlayerGrades+'!$AB$11,"C",IF(F582&lt;'PlayerGrades+'!$AB$10,"C+",IF(F582&lt;'PlayerGrades+'!$AB$9,"B-",IF(F582&lt;'PlayerGrades+'!$AB$8,"B",IF(F582&lt;'PlayerGrades+'!$AB$7,"B+",IF(F582&lt;'PlayerGrades+'!$AB$6,"A-",IF(F582&lt;'PlayerGrades+'!$AB$5,"A",IF(F582&lt;'PlayerGrades+'!$AB$4,"A+",IF(F582&lt;'PlayerGrades+'!$AB$3,"S-",IF(F582&lt;'PlayerGrades+'!$AB$2,"S","S+"))))))))))))))))))))</f>
        <v>#DIV/0!</v>
      </c>
      <c r="H582" s="1423" t="str">
        <f t="shared" si="14"/>
        <v>#DIV/0!</v>
      </c>
      <c r="I582" s="1423" t="str">
        <f>IF(H582&lt;'PlayerGrades+'!$AC$21,"F-",IF(H582&lt;'PlayerGrades+'!$AC$20,"F",IF(H582&lt;'PlayerGrades+'!$AC$19,"F+",IF(H582&lt;'PlayerGrades+'!$AC$18,"E-",IF(H582&lt;'PlayerGrades+'!$AC$17,"E",IF(H582&lt;'PlayerGrades+'!$AC$16,"E+",IF(H582&lt;'PlayerGrades+'!$AC$15,"D-",IF(H582&lt;'PlayerGrades+'!$AC$14,"D",IF(H582&lt;'PlayerGrades+'!$AC$13,"D+",IF(H582&lt;'PlayerGrades+'!$AC$12,"C-",IF(H582&lt;'PlayerGrades+'!$AC$11,"C",IF(H582&lt;'PlayerGrades+'!$AC$10,"C+",IF(H582&lt;'PlayerGrades+'!$AC$9,"B-",IF(H582&lt;'PlayerGrades+'!$AC$8,"B",IF(H582&lt;'PlayerGrades+'!$AC$7,"B+",IF(H582&lt;'PlayerGrades+'!$AC$6,"A-",IF(H582&lt;'PlayerGrades+'!$AC$5,"A",IF(H582&lt;'PlayerGrades+'!$AC$4,"A+",IF(H582&lt;'PlayerGrades+'!$AC$3,"S-",IF(H582&lt;'PlayerGrades+'!$AC$2,"S","S+"))))))))))))))))))))</f>
        <v>#DIV/0!</v>
      </c>
      <c r="J582" s="1423" t="str">
        <f t="shared" si="15"/>
        <v>#DIV/0!</v>
      </c>
      <c r="K582" s="1423" t="str">
        <f>IF(J582&lt;'PlayerGrades+'!$AD$21,"F-",IF(J582&lt;'PlayerGrades+'!$AD$20,"F",IF(J582&lt;'PlayerGrades+'!$AD$19,"F+",IF(J582&lt;'PlayerGrades+'!$AD$18,"E-",IF(J582&lt;'PlayerGrades+'!$AD$17,"E",IF(J582&lt;'PlayerGrades+'!$AD$16,"E+",IF(J582&lt;'PlayerGrades+'!$AD$15,"D-",IF(J582&lt;'PlayerGrades+'!$AD$14,"D",IF(J582&lt;'PlayerGrades+'!$AD$13,"D+",IF(J582&lt;'PlayerGrades+'!$AD$12,"C-",IF(J582&lt;'PlayerGrades+'!$AD$11,"C",IF(J582&lt;'PlayerGrades+'!$AD$10,"C+",IF(J582&lt;'PlayerGrades+'!$AD$9,"B-",IF(J582&lt;'PlayerGrades+'!$AD$8,"B",IF(J582&lt;'PlayerGrades+'!$AD$7,"B+",IF(J582&lt;'PlayerGrades+'!$AD$6,"A-",IF(J582&lt;'PlayerGrades+'!$AD$5,"A",IF(J582&lt;'PlayerGrades+'!$AD$4,"A+",IF(J582&lt;'PlayerGrades+'!$AD$3,"S-",IF(J582&lt;'PlayerGrades+'!$AD$2,"S","S+"))))))))))))))))))))</f>
        <v>#DIV/0!</v>
      </c>
      <c r="L582" s="1176" t="str">
        <f t="shared" si="16"/>
        <v>#DIV/0!</v>
      </c>
      <c r="M582" s="992" t="str">
        <f>IF(L582&lt;'PlayerGrades+'!$AE$21,"F-",IF(L582&lt;'PlayerGrades+'!$AE$20,"F",IF(L582&lt;'PlayerGrades+'!$AE$19,"F+",IF(L582&lt;'PlayerGrades+'!$AE$18,"E-",IF(L582&lt;'PlayerGrades+'!$AE$17,"E",IF(L582&lt;'PlayerGrades+'!$AE$16,"E+",IF(L582&lt;'PlayerGrades+'!$AE$15,"D-",IF(L582&lt;'PlayerGrades+'!$AE$14,"D",IF(L582&lt;'PlayerGrades+'!$AE$13,"D+",IF(L582&lt;'PlayerGrades+'!$AE$12,"C-",IF(L582&lt;'PlayerGrades+'!$AE$11,"C",IF(L582&lt;'PlayerGrades+'!$AE$10,"C+",IF(L582&lt;'PlayerGrades+'!$AE$9,"B-",IF(L582&lt;'PlayerGrades+'!$AE$8,"B",IF(L582&lt;'PlayerGrades+'!$AE$7,"B+",IF(L582&lt;'PlayerGrades+'!$AE$6,"A-",IF(L582&lt;'PlayerGrades+'!$AE$5,"A",IF(L582&lt;'PlayerGrades+'!$AE$4,"A+",IF(L582&lt;'PlayerGrades+'!$AE$3,"S-",IF(L582&lt;'PlayerGrades+'!$AE$2,"S","S+"))))))))))))))))))))</f>
        <v>#DIV/0!</v>
      </c>
      <c r="N582" s="1423" t="str">
        <f t="shared" si="17"/>
        <v>#DIV/0!</v>
      </c>
      <c r="O582" s="1423" t="str">
        <f>IF(N582&lt;'PlayerGrades+'!$AF$21,"F-",IF(N582&lt;'PlayerGrades+'!$AF$20,"F",IF(N582&lt;'PlayerGrades+'!$AF$19,"F+",IF(N582&lt;'PlayerGrades+'!$AF$18,"E-",IF(N582&lt;'PlayerGrades+'!$AF$17,"E",IF(N582&lt;'PlayerGrades+'!$AF$16,"E+",IF(N582&lt;'PlayerGrades+'!$AF$15,"D-",IF(N582&lt;'PlayerGrades+'!$AF$14,"D",IF(N582&lt;'PlayerGrades+'!$AF$13,"D+",IF(N582&lt;'PlayerGrades+'!$AF$12,"C-",IF(N582&lt;'PlayerGrades+'!$AF$11,"C",IF(N582&lt;'PlayerGrades+'!$AF$10,"C+",IF(N582&lt;'PlayerGrades+'!$AF$9,"B-",IF(N582&lt;'PlayerGrades+'!$AF$8,"B",IF(N582&lt;'PlayerGrades+'!$AF$7,"B+",IF(N582&lt;'PlayerGrades+'!$AF$6,"A-",IF(N582&lt;'PlayerGrades+'!$AF$5,"A",IF(N582&lt;'PlayerGrades+'!$AF$4,"A+",IF(N582&lt;'PlayerGrades+'!$AF$3,"S-",IF(N582&lt;'PlayerGrades+'!$AF$2,"S","S+"))))))))))))))))))))</f>
        <v>#DIV/0!</v>
      </c>
      <c r="P582" s="1423" t="str">
        <f t="shared" si="18"/>
        <v>#DIV/0!</v>
      </c>
      <c r="Q582" s="1423" t="str">
        <f>IF(P582&lt;'PlayerGrades+'!$AG$21,"F-",IF(P582&lt;'PlayerGrades+'!$AG$20,"F",IF(P582&lt;'PlayerGrades+'!$AG$19,"F+",IF(P582&lt;'PlayerGrades+'!$AG$18,"E-",IF(P582&lt;'PlayerGrades+'!$AG$17,"E",IF(P582&lt;'PlayerGrades+'!$AG$16,"E+",IF(P582&lt;'PlayerGrades+'!$AG$15,"D-",IF(P582&lt;'PlayerGrades+'!$AG$14,"D",IF(P582&lt;'PlayerGrades+'!$AG$13,"D+",IF(P582&lt;'PlayerGrades+'!$AG$12,"C-",IF(P582&lt;'PlayerGrades+'!$AG$11,"C",IF(P582&lt;'PlayerGrades+'!$AG$10,"C+",IF(P582&lt;'PlayerGrades+'!$AG$9,"B-",IF(P582&lt;'PlayerGrades+'!$AG$8,"B",IF(P582&lt;'PlayerGrades+'!$AG$7,"B+",IF(P582&lt;'PlayerGrades+'!$AG$6,"A-",IF(P582&lt;'PlayerGrades+'!$AG$5,"A",IF(P582&lt;'PlayerGrades+'!$AG$4,"A+",IF(P582&lt;'PlayerGrades+'!$AG$3,"S-",IF(P582&lt;'PlayerGrades+'!$AG$2,"S","S+"))))))))))))))))))))</f>
        <v>#DIV/0!</v>
      </c>
      <c r="R582" s="1423" t="str">
        <f t="shared" si="19"/>
        <v>#REF!</v>
      </c>
      <c r="S582" s="1423" t="str">
        <f>IF(R582&lt;'PlayerGrades+'!$AH$21,"F-",IF(R582&lt;'PlayerGrades+'!$AH$20,"F",IF(R582&lt;'PlayerGrades+'!$AH$19,"F+",IF(R582&lt;'PlayerGrades+'!$AH$18,"E-",IF(R582&lt;'PlayerGrades+'!$AH$17,"E",IF(R582&lt;'PlayerGrades+'!$AH$16,"E+",IF(R582&lt;'PlayerGrades+'!$AH$15,"D-",IF(R582&lt;'PlayerGrades+'!$AH$14,"D",IF(R582&lt;'PlayerGrades+'!$AH$13,"D+",IF(R582&lt;'PlayerGrades+'!$AH$12,"C-",IF(R582&lt;'PlayerGrades+'!$AH$11,"C",IF(R582&lt;'PlayerGrades+'!$AH$10,"C+",IF(R582&lt;'PlayerGrades+'!$AH$9,"B-",IF(R582&lt;'PlayerGrades+'!$AH$8,"B",IF(R582&lt;'PlayerGrades+'!$AH$7,"B+",IF(R582&lt;'PlayerGrades+'!$AH$6,"A-",IF(R582&lt;'PlayerGrades+'!$AH$5,"A",IF(R582&lt;'PlayerGrades+'!$AH$4,"A+",IF(R582&lt;'PlayerGrades+'!$AH$3,"S-",IF(R582&lt;'PlayerGrades+'!$AH$2,"S","S+"))))))))))))))))))))</f>
        <v>#REF!</v>
      </c>
      <c r="T582" s="1423" t="str">
        <f t="shared" si="20"/>
        <v>#REF!</v>
      </c>
      <c r="U582" s="1423" t="str">
        <f>IF(T582&lt;'PlayerGrades+'!$AI$21,"F-",IF(T582&lt;'PlayerGrades+'!$AI$20,"F",IF(T582&lt;'PlayerGrades+'!$AI$19,"F+",IF(T582&lt;'PlayerGrades+'!$AI$18,"E-",IF(T582&lt;'PlayerGrades+'!$AI$17,"E",IF(T582&lt;'PlayerGrades+'!$AI$16,"E+",IF(T582&lt;'PlayerGrades+'!$AI$15,"D-",IF(T582&lt;'PlayerGrades+'!$AI$14,"D",IF(T582&lt;'PlayerGrades+'!$AI$13,"D+",IF(T582&lt;'PlayerGrades+'!$AI$12,"C-",IF(T582&lt;'PlayerGrades+'!$AI$11,"C",IF(T582&lt;'PlayerGrades+'!$AI$10,"C+",IF(T582&lt;'PlayerGrades+'!$AI$9,"B-",IF(T582&lt;'PlayerGrades+'!$AI$8,"B",IF(T582&lt;'PlayerGrades+'!$AI$7,"B+",IF(T582&lt;'PlayerGrades+'!$AI$6,"A-",IF(T582&lt;'PlayerGrades+'!$AI$5,"A",IF(T582&lt;'PlayerGrades+'!$AI$4,"A+",IF(T582&lt;'PlayerGrades+'!$AI$3,"S-",IF(T582&lt;'PlayerGrades+'!$AI$2,"S","S+"))))))))))))))))))))</f>
        <v>#REF!</v>
      </c>
      <c r="AC582" s="1392"/>
    </row>
    <row r="583">
      <c r="B583" s="1421" t="str">
        <f>IF(C583&lt;'PlayerGrades+'!$Y$44,"F-",IF(C583&lt;'PlayerGrades+'!$Y$43,"F",IF(C583&lt;'PlayerGrades+'!$Y$42,"F+",IF(C583&lt;'PlayerGrades+'!$Y$41,"E-",IF(C583&lt;'PlayerGrades+'!$Y$40,"E",IF(C583&lt;'PlayerGrades+'!$Y$39,"E+",IF(C583&lt;'PlayerGrades+'!$Y$38,"D-",IF(C583&lt;'PlayerGrades+'!$Y$37,"D",IF(C583&lt;'PlayerGrades+'!$Y$36,"D+",IF(C583&lt;'PlayerGrades+'!$Y$35,"C-",IF(C583&lt;'PlayerGrades+'!$Y$34,"C",IF(C583&lt;'PlayerGrades+'!$Y$33,"C+",IF(C583&lt;'PlayerGrades+'!$Y$32,"B-",IF(C583&lt;'PlayerGrades+'!$Y$31,"B",IF(C583&lt;'PlayerGrades+'!$Y$30,"B+",IF(C583&lt;'PlayerGrades+'!$Y$29,"A-",IF(C583&lt;'PlayerGrades+'!$Y$28,"A",IF(C583&lt;'PlayerGrades+'!$Y$27,"A+",IF(C583&lt;'PlayerGrades+'!$Y$26,"S-",IF(C583&lt;'PlayerGrades+'!$Y$25,"S","S+"))))))))))))))))))))</f>
        <v>#DIV/0!</v>
      </c>
      <c r="C583" s="1422" t="str">
        <f>('PlayerGrades+'!$Y$47*(VLOOKUP(E583, 'PlayerGrades+'!$X$3:$Y$23, 2, FALSE)))+('PlayerGrades+'!$Y$48*(VLOOKUP(G583, 'PlayerGrades+'!$X$3:$Y$23, 2, FALSE)))+('PlayerGrades+'!$Y$49*(VLOOKUP(I583, 'PlayerGrades+'!$X$3:$Y$23, 2, FALSE)))+('PlayerGrades+'!$Y$50*(VLOOKUP(K583, 'PlayerGrades+'!$X$3:$Y$23, 2, FALSE)))+('PlayerGrades+'!$Y$51*(VLOOKUP(M583, 'PlayerGrades+'!$X$3:$Y$23, 2, FALSE)))+('PlayerGrades+'!$Y$52*(VLOOKUP(O583, 'PlayerGrades+'!$X$3:$Y$23, 2, FALSE)))+('PlayerGrades+'!$Y$53*(VLOOKUP(Q583, 'PlayerGrades+'!$X$3:$Y$23, 2, FALSE)))+('PlayerGrades+'!$Y$54*(VLOOKUP(S583, 'PlayerGrades+'!$X$3:$Y$23, 2, FALSE)))+('PlayerGrades+'!$Y$55*(VLOOKUP(U583, 'PlayerGrades+'!$X$3:$Y$23, 2, FALSE)))</f>
        <v>#DIV/0!</v>
      </c>
      <c r="D583" s="1423" t="str">
        <f t="shared" si="12"/>
        <v>#DIV/0!</v>
      </c>
      <c r="E583" s="1423" t="str">
        <f>IF(D583&lt;'PlayerGrades+'!$AA$21,"F-",IF(D583&lt;'PlayerGrades+'!$AA$20,"F",IF(D583&lt;'PlayerGrades+'!$AA$19,"F+",IF(D583&lt;'PlayerGrades+'!$AA$18,"E-",IF(D583&lt;'PlayerGrades+'!$AA$17,"E",IF(D583&lt;'PlayerGrades+'!$AA$16,"E+",IF(D583&lt;'PlayerGrades+'!$AA$15,"D-",IF(D583&lt;'PlayerGrades+'!$AA$14,"D",IF(D583&lt;'PlayerGrades+'!$AA$13,"D+",IF(D583&lt;'PlayerGrades+'!$AA$12,"C-",IF(D583&lt;'PlayerGrades+'!$AA$11,"C",IF(D583&lt;'PlayerGrades+'!$AA$10,"C+",IF(D583&lt;'PlayerGrades+'!$AA$9,"B-",IF(D583&lt;'PlayerGrades+'!$AA$8,"B",IF(D583&lt;'PlayerGrades+'!$AA$7,"B+",IF(D583&lt;'PlayerGrades+'!$AA$6,"A-",IF(D583&lt;'PlayerGrades+'!$AA$5,"A",IF(D583&lt;'PlayerGrades+'!$AA$4,"A+",IF(D583&lt;'PlayerGrades+'!$AA$3,"S-",IF(D583&lt;'PlayerGrades+'!$AA$2,"S","S+"))))))))))))))))))))</f>
        <v>#DIV/0!</v>
      </c>
      <c r="F583" s="1423" t="str">
        <f t="shared" si="13"/>
        <v>#DIV/0!</v>
      </c>
      <c r="G583" s="1423" t="str">
        <f>IF(F583&lt;'PlayerGrades+'!$AB$21,"F-",IF(F583&lt;'PlayerGrades+'!$AB$20,"F",IF(F583&lt;'PlayerGrades+'!$AB$19,"F+",IF(F583&lt;'PlayerGrades+'!$AB$18,"E-",IF(F583&lt;'PlayerGrades+'!$AB$17,"E",IF(F583&lt;'PlayerGrades+'!$AB$16,"E+",IF(F583&lt;'PlayerGrades+'!$AB$15,"D-",IF(F583&lt;'PlayerGrades+'!$AB$14,"D",IF(F583&lt;'PlayerGrades+'!$AB$13,"D+",IF(F583&lt;'PlayerGrades+'!$AB$12,"C-",IF(F583&lt;'PlayerGrades+'!$AB$11,"C",IF(F583&lt;'PlayerGrades+'!$AB$10,"C+",IF(F583&lt;'PlayerGrades+'!$AB$9,"B-",IF(F583&lt;'PlayerGrades+'!$AB$8,"B",IF(F583&lt;'PlayerGrades+'!$AB$7,"B+",IF(F583&lt;'PlayerGrades+'!$AB$6,"A-",IF(F583&lt;'PlayerGrades+'!$AB$5,"A",IF(F583&lt;'PlayerGrades+'!$AB$4,"A+",IF(F583&lt;'PlayerGrades+'!$AB$3,"S-",IF(F583&lt;'PlayerGrades+'!$AB$2,"S","S+"))))))))))))))))))))</f>
        <v>#DIV/0!</v>
      </c>
      <c r="H583" s="1423" t="str">
        <f t="shared" si="14"/>
        <v>#DIV/0!</v>
      </c>
      <c r="I583" s="1423" t="str">
        <f>IF(H583&lt;'PlayerGrades+'!$AC$21,"F-",IF(H583&lt;'PlayerGrades+'!$AC$20,"F",IF(H583&lt;'PlayerGrades+'!$AC$19,"F+",IF(H583&lt;'PlayerGrades+'!$AC$18,"E-",IF(H583&lt;'PlayerGrades+'!$AC$17,"E",IF(H583&lt;'PlayerGrades+'!$AC$16,"E+",IF(H583&lt;'PlayerGrades+'!$AC$15,"D-",IF(H583&lt;'PlayerGrades+'!$AC$14,"D",IF(H583&lt;'PlayerGrades+'!$AC$13,"D+",IF(H583&lt;'PlayerGrades+'!$AC$12,"C-",IF(H583&lt;'PlayerGrades+'!$AC$11,"C",IF(H583&lt;'PlayerGrades+'!$AC$10,"C+",IF(H583&lt;'PlayerGrades+'!$AC$9,"B-",IF(H583&lt;'PlayerGrades+'!$AC$8,"B",IF(H583&lt;'PlayerGrades+'!$AC$7,"B+",IF(H583&lt;'PlayerGrades+'!$AC$6,"A-",IF(H583&lt;'PlayerGrades+'!$AC$5,"A",IF(H583&lt;'PlayerGrades+'!$AC$4,"A+",IF(H583&lt;'PlayerGrades+'!$AC$3,"S-",IF(H583&lt;'PlayerGrades+'!$AC$2,"S","S+"))))))))))))))))))))</f>
        <v>#DIV/0!</v>
      </c>
      <c r="J583" s="1423" t="str">
        <f t="shared" si="15"/>
        <v>#DIV/0!</v>
      </c>
      <c r="K583" s="1423" t="str">
        <f>IF(J583&lt;'PlayerGrades+'!$AD$21,"F-",IF(J583&lt;'PlayerGrades+'!$AD$20,"F",IF(J583&lt;'PlayerGrades+'!$AD$19,"F+",IF(J583&lt;'PlayerGrades+'!$AD$18,"E-",IF(J583&lt;'PlayerGrades+'!$AD$17,"E",IF(J583&lt;'PlayerGrades+'!$AD$16,"E+",IF(J583&lt;'PlayerGrades+'!$AD$15,"D-",IF(J583&lt;'PlayerGrades+'!$AD$14,"D",IF(J583&lt;'PlayerGrades+'!$AD$13,"D+",IF(J583&lt;'PlayerGrades+'!$AD$12,"C-",IF(J583&lt;'PlayerGrades+'!$AD$11,"C",IF(J583&lt;'PlayerGrades+'!$AD$10,"C+",IF(J583&lt;'PlayerGrades+'!$AD$9,"B-",IF(J583&lt;'PlayerGrades+'!$AD$8,"B",IF(J583&lt;'PlayerGrades+'!$AD$7,"B+",IF(J583&lt;'PlayerGrades+'!$AD$6,"A-",IF(J583&lt;'PlayerGrades+'!$AD$5,"A",IF(J583&lt;'PlayerGrades+'!$AD$4,"A+",IF(J583&lt;'PlayerGrades+'!$AD$3,"S-",IF(J583&lt;'PlayerGrades+'!$AD$2,"S","S+"))))))))))))))))))))</f>
        <v>#DIV/0!</v>
      </c>
      <c r="L583" s="1176" t="str">
        <f t="shared" si="16"/>
        <v>#DIV/0!</v>
      </c>
      <c r="M583" s="992" t="str">
        <f>IF(L583&lt;'PlayerGrades+'!$AE$21,"F-",IF(L583&lt;'PlayerGrades+'!$AE$20,"F",IF(L583&lt;'PlayerGrades+'!$AE$19,"F+",IF(L583&lt;'PlayerGrades+'!$AE$18,"E-",IF(L583&lt;'PlayerGrades+'!$AE$17,"E",IF(L583&lt;'PlayerGrades+'!$AE$16,"E+",IF(L583&lt;'PlayerGrades+'!$AE$15,"D-",IF(L583&lt;'PlayerGrades+'!$AE$14,"D",IF(L583&lt;'PlayerGrades+'!$AE$13,"D+",IF(L583&lt;'PlayerGrades+'!$AE$12,"C-",IF(L583&lt;'PlayerGrades+'!$AE$11,"C",IF(L583&lt;'PlayerGrades+'!$AE$10,"C+",IF(L583&lt;'PlayerGrades+'!$AE$9,"B-",IF(L583&lt;'PlayerGrades+'!$AE$8,"B",IF(L583&lt;'PlayerGrades+'!$AE$7,"B+",IF(L583&lt;'PlayerGrades+'!$AE$6,"A-",IF(L583&lt;'PlayerGrades+'!$AE$5,"A",IF(L583&lt;'PlayerGrades+'!$AE$4,"A+",IF(L583&lt;'PlayerGrades+'!$AE$3,"S-",IF(L583&lt;'PlayerGrades+'!$AE$2,"S","S+"))))))))))))))))))))</f>
        <v>#DIV/0!</v>
      </c>
      <c r="N583" s="1423" t="str">
        <f t="shared" si="17"/>
        <v>#DIV/0!</v>
      </c>
      <c r="O583" s="1423" t="str">
        <f>IF(N583&lt;'PlayerGrades+'!$AF$21,"F-",IF(N583&lt;'PlayerGrades+'!$AF$20,"F",IF(N583&lt;'PlayerGrades+'!$AF$19,"F+",IF(N583&lt;'PlayerGrades+'!$AF$18,"E-",IF(N583&lt;'PlayerGrades+'!$AF$17,"E",IF(N583&lt;'PlayerGrades+'!$AF$16,"E+",IF(N583&lt;'PlayerGrades+'!$AF$15,"D-",IF(N583&lt;'PlayerGrades+'!$AF$14,"D",IF(N583&lt;'PlayerGrades+'!$AF$13,"D+",IF(N583&lt;'PlayerGrades+'!$AF$12,"C-",IF(N583&lt;'PlayerGrades+'!$AF$11,"C",IF(N583&lt;'PlayerGrades+'!$AF$10,"C+",IF(N583&lt;'PlayerGrades+'!$AF$9,"B-",IF(N583&lt;'PlayerGrades+'!$AF$8,"B",IF(N583&lt;'PlayerGrades+'!$AF$7,"B+",IF(N583&lt;'PlayerGrades+'!$AF$6,"A-",IF(N583&lt;'PlayerGrades+'!$AF$5,"A",IF(N583&lt;'PlayerGrades+'!$AF$4,"A+",IF(N583&lt;'PlayerGrades+'!$AF$3,"S-",IF(N583&lt;'PlayerGrades+'!$AF$2,"S","S+"))))))))))))))))))))</f>
        <v>#DIV/0!</v>
      </c>
      <c r="P583" s="1423" t="str">
        <f t="shared" si="18"/>
        <v>#DIV/0!</v>
      </c>
      <c r="Q583" s="1423" t="str">
        <f>IF(P583&lt;'PlayerGrades+'!$AG$21,"F-",IF(P583&lt;'PlayerGrades+'!$AG$20,"F",IF(P583&lt;'PlayerGrades+'!$AG$19,"F+",IF(P583&lt;'PlayerGrades+'!$AG$18,"E-",IF(P583&lt;'PlayerGrades+'!$AG$17,"E",IF(P583&lt;'PlayerGrades+'!$AG$16,"E+",IF(P583&lt;'PlayerGrades+'!$AG$15,"D-",IF(P583&lt;'PlayerGrades+'!$AG$14,"D",IF(P583&lt;'PlayerGrades+'!$AG$13,"D+",IF(P583&lt;'PlayerGrades+'!$AG$12,"C-",IF(P583&lt;'PlayerGrades+'!$AG$11,"C",IF(P583&lt;'PlayerGrades+'!$AG$10,"C+",IF(P583&lt;'PlayerGrades+'!$AG$9,"B-",IF(P583&lt;'PlayerGrades+'!$AG$8,"B",IF(P583&lt;'PlayerGrades+'!$AG$7,"B+",IF(P583&lt;'PlayerGrades+'!$AG$6,"A-",IF(P583&lt;'PlayerGrades+'!$AG$5,"A",IF(P583&lt;'PlayerGrades+'!$AG$4,"A+",IF(P583&lt;'PlayerGrades+'!$AG$3,"S-",IF(P583&lt;'PlayerGrades+'!$AG$2,"S","S+"))))))))))))))))))))</f>
        <v>#DIV/0!</v>
      </c>
      <c r="R583" s="1423" t="str">
        <f t="shared" si="19"/>
        <v>#REF!</v>
      </c>
      <c r="S583" s="1423" t="str">
        <f>IF(R583&lt;'PlayerGrades+'!$AH$21,"F-",IF(R583&lt;'PlayerGrades+'!$AH$20,"F",IF(R583&lt;'PlayerGrades+'!$AH$19,"F+",IF(R583&lt;'PlayerGrades+'!$AH$18,"E-",IF(R583&lt;'PlayerGrades+'!$AH$17,"E",IF(R583&lt;'PlayerGrades+'!$AH$16,"E+",IF(R583&lt;'PlayerGrades+'!$AH$15,"D-",IF(R583&lt;'PlayerGrades+'!$AH$14,"D",IF(R583&lt;'PlayerGrades+'!$AH$13,"D+",IF(R583&lt;'PlayerGrades+'!$AH$12,"C-",IF(R583&lt;'PlayerGrades+'!$AH$11,"C",IF(R583&lt;'PlayerGrades+'!$AH$10,"C+",IF(R583&lt;'PlayerGrades+'!$AH$9,"B-",IF(R583&lt;'PlayerGrades+'!$AH$8,"B",IF(R583&lt;'PlayerGrades+'!$AH$7,"B+",IF(R583&lt;'PlayerGrades+'!$AH$6,"A-",IF(R583&lt;'PlayerGrades+'!$AH$5,"A",IF(R583&lt;'PlayerGrades+'!$AH$4,"A+",IF(R583&lt;'PlayerGrades+'!$AH$3,"S-",IF(R583&lt;'PlayerGrades+'!$AH$2,"S","S+"))))))))))))))))))))</f>
        <v>#REF!</v>
      </c>
      <c r="T583" s="1423" t="str">
        <f t="shared" si="20"/>
        <v>#REF!</v>
      </c>
      <c r="U583" s="1423" t="str">
        <f>IF(T583&lt;'PlayerGrades+'!$AI$21,"F-",IF(T583&lt;'PlayerGrades+'!$AI$20,"F",IF(T583&lt;'PlayerGrades+'!$AI$19,"F+",IF(T583&lt;'PlayerGrades+'!$AI$18,"E-",IF(T583&lt;'PlayerGrades+'!$AI$17,"E",IF(T583&lt;'PlayerGrades+'!$AI$16,"E+",IF(T583&lt;'PlayerGrades+'!$AI$15,"D-",IF(T583&lt;'PlayerGrades+'!$AI$14,"D",IF(T583&lt;'PlayerGrades+'!$AI$13,"D+",IF(T583&lt;'PlayerGrades+'!$AI$12,"C-",IF(T583&lt;'PlayerGrades+'!$AI$11,"C",IF(T583&lt;'PlayerGrades+'!$AI$10,"C+",IF(T583&lt;'PlayerGrades+'!$AI$9,"B-",IF(T583&lt;'PlayerGrades+'!$AI$8,"B",IF(T583&lt;'PlayerGrades+'!$AI$7,"B+",IF(T583&lt;'PlayerGrades+'!$AI$6,"A-",IF(T583&lt;'PlayerGrades+'!$AI$5,"A",IF(T583&lt;'PlayerGrades+'!$AI$4,"A+",IF(T583&lt;'PlayerGrades+'!$AI$3,"S-",IF(T583&lt;'PlayerGrades+'!$AI$2,"S","S+"))))))))))))))))))))</f>
        <v>#REF!</v>
      </c>
      <c r="AC583" s="1392"/>
    </row>
    <row r="584">
      <c r="B584" s="1421" t="str">
        <f>IF(C584&lt;'PlayerGrades+'!$Y$44,"F-",IF(C584&lt;'PlayerGrades+'!$Y$43,"F",IF(C584&lt;'PlayerGrades+'!$Y$42,"F+",IF(C584&lt;'PlayerGrades+'!$Y$41,"E-",IF(C584&lt;'PlayerGrades+'!$Y$40,"E",IF(C584&lt;'PlayerGrades+'!$Y$39,"E+",IF(C584&lt;'PlayerGrades+'!$Y$38,"D-",IF(C584&lt;'PlayerGrades+'!$Y$37,"D",IF(C584&lt;'PlayerGrades+'!$Y$36,"D+",IF(C584&lt;'PlayerGrades+'!$Y$35,"C-",IF(C584&lt;'PlayerGrades+'!$Y$34,"C",IF(C584&lt;'PlayerGrades+'!$Y$33,"C+",IF(C584&lt;'PlayerGrades+'!$Y$32,"B-",IF(C584&lt;'PlayerGrades+'!$Y$31,"B",IF(C584&lt;'PlayerGrades+'!$Y$30,"B+",IF(C584&lt;'PlayerGrades+'!$Y$29,"A-",IF(C584&lt;'PlayerGrades+'!$Y$28,"A",IF(C584&lt;'PlayerGrades+'!$Y$27,"A+",IF(C584&lt;'PlayerGrades+'!$Y$26,"S-",IF(C584&lt;'PlayerGrades+'!$Y$25,"S","S+"))))))))))))))))))))</f>
        <v>#DIV/0!</v>
      </c>
      <c r="C584" s="1422" t="str">
        <f>('PlayerGrades+'!$Y$47*(VLOOKUP(E584, 'PlayerGrades+'!$X$3:$Y$23, 2, FALSE)))+('PlayerGrades+'!$Y$48*(VLOOKUP(G584, 'PlayerGrades+'!$X$3:$Y$23, 2, FALSE)))+('PlayerGrades+'!$Y$49*(VLOOKUP(I584, 'PlayerGrades+'!$X$3:$Y$23, 2, FALSE)))+('PlayerGrades+'!$Y$50*(VLOOKUP(K584, 'PlayerGrades+'!$X$3:$Y$23, 2, FALSE)))+('PlayerGrades+'!$Y$51*(VLOOKUP(M584, 'PlayerGrades+'!$X$3:$Y$23, 2, FALSE)))+('PlayerGrades+'!$Y$52*(VLOOKUP(O584, 'PlayerGrades+'!$X$3:$Y$23, 2, FALSE)))+('PlayerGrades+'!$Y$53*(VLOOKUP(Q584, 'PlayerGrades+'!$X$3:$Y$23, 2, FALSE)))+('PlayerGrades+'!$Y$54*(VLOOKUP(S584, 'PlayerGrades+'!$X$3:$Y$23, 2, FALSE)))+('PlayerGrades+'!$Y$55*(VLOOKUP(U584, 'PlayerGrades+'!$X$3:$Y$23, 2, FALSE)))</f>
        <v>#DIV/0!</v>
      </c>
      <c r="D584" s="1423" t="str">
        <f t="shared" si="12"/>
        <v>#DIV/0!</v>
      </c>
      <c r="E584" s="1423" t="str">
        <f>IF(D584&lt;'PlayerGrades+'!$AA$21,"F-",IF(D584&lt;'PlayerGrades+'!$AA$20,"F",IF(D584&lt;'PlayerGrades+'!$AA$19,"F+",IF(D584&lt;'PlayerGrades+'!$AA$18,"E-",IF(D584&lt;'PlayerGrades+'!$AA$17,"E",IF(D584&lt;'PlayerGrades+'!$AA$16,"E+",IF(D584&lt;'PlayerGrades+'!$AA$15,"D-",IF(D584&lt;'PlayerGrades+'!$AA$14,"D",IF(D584&lt;'PlayerGrades+'!$AA$13,"D+",IF(D584&lt;'PlayerGrades+'!$AA$12,"C-",IF(D584&lt;'PlayerGrades+'!$AA$11,"C",IF(D584&lt;'PlayerGrades+'!$AA$10,"C+",IF(D584&lt;'PlayerGrades+'!$AA$9,"B-",IF(D584&lt;'PlayerGrades+'!$AA$8,"B",IF(D584&lt;'PlayerGrades+'!$AA$7,"B+",IF(D584&lt;'PlayerGrades+'!$AA$6,"A-",IF(D584&lt;'PlayerGrades+'!$AA$5,"A",IF(D584&lt;'PlayerGrades+'!$AA$4,"A+",IF(D584&lt;'PlayerGrades+'!$AA$3,"S-",IF(D584&lt;'PlayerGrades+'!$AA$2,"S","S+"))))))))))))))))))))</f>
        <v>#DIV/0!</v>
      </c>
      <c r="F584" s="1423" t="str">
        <f t="shared" si="13"/>
        <v>#DIV/0!</v>
      </c>
      <c r="G584" s="1423" t="str">
        <f>IF(F584&lt;'PlayerGrades+'!$AB$21,"F-",IF(F584&lt;'PlayerGrades+'!$AB$20,"F",IF(F584&lt;'PlayerGrades+'!$AB$19,"F+",IF(F584&lt;'PlayerGrades+'!$AB$18,"E-",IF(F584&lt;'PlayerGrades+'!$AB$17,"E",IF(F584&lt;'PlayerGrades+'!$AB$16,"E+",IF(F584&lt;'PlayerGrades+'!$AB$15,"D-",IF(F584&lt;'PlayerGrades+'!$AB$14,"D",IF(F584&lt;'PlayerGrades+'!$AB$13,"D+",IF(F584&lt;'PlayerGrades+'!$AB$12,"C-",IF(F584&lt;'PlayerGrades+'!$AB$11,"C",IF(F584&lt;'PlayerGrades+'!$AB$10,"C+",IF(F584&lt;'PlayerGrades+'!$AB$9,"B-",IF(F584&lt;'PlayerGrades+'!$AB$8,"B",IF(F584&lt;'PlayerGrades+'!$AB$7,"B+",IF(F584&lt;'PlayerGrades+'!$AB$6,"A-",IF(F584&lt;'PlayerGrades+'!$AB$5,"A",IF(F584&lt;'PlayerGrades+'!$AB$4,"A+",IF(F584&lt;'PlayerGrades+'!$AB$3,"S-",IF(F584&lt;'PlayerGrades+'!$AB$2,"S","S+"))))))))))))))))))))</f>
        <v>#DIV/0!</v>
      </c>
      <c r="H584" s="1423" t="str">
        <f t="shared" si="14"/>
        <v>#DIV/0!</v>
      </c>
      <c r="I584" s="1423" t="str">
        <f>IF(H584&lt;'PlayerGrades+'!$AC$21,"F-",IF(H584&lt;'PlayerGrades+'!$AC$20,"F",IF(H584&lt;'PlayerGrades+'!$AC$19,"F+",IF(H584&lt;'PlayerGrades+'!$AC$18,"E-",IF(H584&lt;'PlayerGrades+'!$AC$17,"E",IF(H584&lt;'PlayerGrades+'!$AC$16,"E+",IF(H584&lt;'PlayerGrades+'!$AC$15,"D-",IF(H584&lt;'PlayerGrades+'!$AC$14,"D",IF(H584&lt;'PlayerGrades+'!$AC$13,"D+",IF(H584&lt;'PlayerGrades+'!$AC$12,"C-",IF(H584&lt;'PlayerGrades+'!$AC$11,"C",IF(H584&lt;'PlayerGrades+'!$AC$10,"C+",IF(H584&lt;'PlayerGrades+'!$AC$9,"B-",IF(H584&lt;'PlayerGrades+'!$AC$8,"B",IF(H584&lt;'PlayerGrades+'!$AC$7,"B+",IF(H584&lt;'PlayerGrades+'!$AC$6,"A-",IF(H584&lt;'PlayerGrades+'!$AC$5,"A",IF(H584&lt;'PlayerGrades+'!$AC$4,"A+",IF(H584&lt;'PlayerGrades+'!$AC$3,"S-",IF(H584&lt;'PlayerGrades+'!$AC$2,"S","S+"))))))))))))))))))))</f>
        <v>#DIV/0!</v>
      </c>
      <c r="J584" s="1423" t="str">
        <f t="shared" si="15"/>
        <v>#DIV/0!</v>
      </c>
      <c r="K584" s="1423" t="str">
        <f>IF(J584&lt;'PlayerGrades+'!$AD$21,"F-",IF(J584&lt;'PlayerGrades+'!$AD$20,"F",IF(J584&lt;'PlayerGrades+'!$AD$19,"F+",IF(J584&lt;'PlayerGrades+'!$AD$18,"E-",IF(J584&lt;'PlayerGrades+'!$AD$17,"E",IF(J584&lt;'PlayerGrades+'!$AD$16,"E+",IF(J584&lt;'PlayerGrades+'!$AD$15,"D-",IF(J584&lt;'PlayerGrades+'!$AD$14,"D",IF(J584&lt;'PlayerGrades+'!$AD$13,"D+",IF(J584&lt;'PlayerGrades+'!$AD$12,"C-",IF(J584&lt;'PlayerGrades+'!$AD$11,"C",IF(J584&lt;'PlayerGrades+'!$AD$10,"C+",IF(J584&lt;'PlayerGrades+'!$AD$9,"B-",IF(J584&lt;'PlayerGrades+'!$AD$8,"B",IF(J584&lt;'PlayerGrades+'!$AD$7,"B+",IF(J584&lt;'PlayerGrades+'!$AD$6,"A-",IF(J584&lt;'PlayerGrades+'!$AD$5,"A",IF(J584&lt;'PlayerGrades+'!$AD$4,"A+",IF(J584&lt;'PlayerGrades+'!$AD$3,"S-",IF(J584&lt;'PlayerGrades+'!$AD$2,"S","S+"))))))))))))))))))))</f>
        <v>#DIV/0!</v>
      </c>
      <c r="L584" s="1176" t="str">
        <f t="shared" si="16"/>
        <v>#DIV/0!</v>
      </c>
      <c r="M584" s="992" t="str">
        <f>IF(L584&lt;'PlayerGrades+'!$AE$21,"F-",IF(L584&lt;'PlayerGrades+'!$AE$20,"F",IF(L584&lt;'PlayerGrades+'!$AE$19,"F+",IF(L584&lt;'PlayerGrades+'!$AE$18,"E-",IF(L584&lt;'PlayerGrades+'!$AE$17,"E",IF(L584&lt;'PlayerGrades+'!$AE$16,"E+",IF(L584&lt;'PlayerGrades+'!$AE$15,"D-",IF(L584&lt;'PlayerGrades+'!$AE$14,"D",IF(L584&lt;'PlayerGrades+'!$AE$13,"D+",IF(L584&lt;'PlayerGrades+'!$AE$12,"C-",IF(L584&lt;'PlayerGrades+'!$AE$11,"C",IF(L584&lt;'PlayerGrades+'!$AE$10,"C+",IF(L584&lt;'PlayerGrades+'!$AE$9,"B-",IF(L584&lt;'PlayerGrades+'!$AE$8,"B",IF(L584&lt;'PlayerGrades+'!$AE$7,"B+",IF(L584&lt;'PlayerGrades+'!$AE$6,"A-",IF(L584&lt;'PlayerGrades+'!$AE$5,"A",IF(L584&lt;'PlayerGrades+'!$AE$4,"A+",IF(L584&lt;'PlayerGrades+'!$AE$3,"S-",IF(L584&lt;'PlayerGrades+'!$AE$2,"S","S+"))))))))))))))))))))</f>
        <v>#DIV/0!</v>
      </c>
      <c r="N584" s="1423" t="str">
        <f t="shared" si="17"/>
        <v>#DIV/0!</v>
      </c>
      <c r="O584" s="1423" t="str">
        <f>IF(N584&lt;'PlayerGrades+'!$AF$21,"F-",IF(N584&lt;'PlayerGrades+'!$AF$20,"F",IF(N584&lt;'PlayerGrades+'!$AF$19,"F+",IF(N584&lt;'PlayerGrades+'!$AF$18,"E-",IF(N584&lt;'PlayerGrades+'!$AF$17,"E",IF(N584&lt;'PlayerGrades+'!$AF$16,"E+",IF(N584&lt;'PlayerGrades+'!$AF$15,"D-",IF(N584&lt;'PlayerGrades+'!$AF$14,"D",IF(N584&lt;'PlayerGrades+'!$AF$13,"D+",IF(N584&lt;'PlayerGrades+'!$AF$12,"C-",IF(N584&lt;'PlayerGrades+'!$AF$11,"C",IF(N584&lt;'PlayerGrades+'!$AF$10,"C+",IF(N584&lt;'PlayerGrades+'!$AF$9,"B-",IF(N584&lt;'PlayerGrades+'!$AF$8,"B",IF(N584&lt;'PlayerGrades+'!$AF$7,"B+",IF(N584&lt;'PlayerGrades+'!$AF$6,"A-",IF(N584&lt;'PlayerGrades+'!$AF$5,"A",IF(N584&lt;'PlayerGrades+'!$AF$4,"A+",IF(N584&lt;'PlayerGrades+'!$AF$3,"S-",IF(N584&lt;'PlayerGrades+'!$AF$2,"S","S+"))))))))))))))))))))</f>
        <v>#DIV/0!</v>
      </c>
      <c r="P584" s="1423" t="str">
        <f t="shared" si="18"/>
        <v>#DIV/0!</v>
      </c>
      <c r="Q584" s="1423" t="str">
        <f>IF(P584&lt;'PlayerGrades+'!$AG$21,"F-",IF(P584&lt;'PlayerGrades+'!$AG$20,"F",IF(P584&lt;'PlayerGrades+'!$AG$19,"F+",IF(P584&lt;'PlayerGrades+'!$AG$18,"E-",IF(P584&lt;'PlayerGrades+'!$AG$17,"E",IF(P584&lt;'PlayerGrades+'!$AG$16,"E+",IF(P584&lt;'PlayerGrades+'!$AG$15,"D-",IF(P584&lt;'PlayerGrades+'!$AG$14,"D",IF(P584&lt;'PlayerGrades+'!$AG$13,"D+",IF(P584&lt;'PlayerGrades+'!$AG$12,"C-",IF(P584&lt;'PlayerGrades+'!$AG$11,"C",IF(P584&lt;'PlayerGrades+'!$AG$10,"C+",IF(P584&lt;'PlayerGrades+'!$AG$9,"B-",IF(P584&lt;'PlayerGrades+'!$AG$8,"B",IF(P584&lt;'PlayerGrades+'!$AG$7,"B+",IF(P584&lt;'PlayerGrades+'!$AG$6,"A-",IF(P584&lt;'PlayerGrades+'!$AG$5,"A",IF(P584&lt;'PlayerGrades+'!$AG$4,"A+",IF(P584&lt;'PlayerGrades+'!$AG$3,"S-",IF(P584&lt;'PlayerGrades+'!$AG$2,"S","S+"))))))))))))))))))))</f>
        <v>#DIV/0!</v>
      </c>
      <c r="R584" s="1423" t="str">
        <f t="shared" si="19"/>
        <v>#REF!</v>
      </c>
      <c r="S584" s="1423" t="str">
        <f>IF(R584&lt;'PlayerGrades+'!$AH$21,"F-",IF(R584&lt;'PlayerGrades+'!$AH$20,"F",IF(R584&lt;'PlayerGrades+'!$AH$19,"F+",IF(R584&lt;'PlayerGrades+'!$AH$18,"E-",IF(R584&lt;'PlayerGrades+'!$AH$17,"E",IF(R584&lt;'PlayerGrades+'!$AH$16,"E+",IF(R584&lt;'PlayerGrades+'!$AH$15,"D-",IF(R584&lt;'PlayerGrades+'!$AH$14,"D",IF(R584&lt;'PlayerGrades+'!$AH$13,"D+",IF(R584&lt;'PlayerGrades+'!$AH$12,"C-",IF(R584&lt;'PlayerGrades+'!$AH$11,"C",IF(R584&lt;'PlayerGrades+'!$AH$10,"C+",IF(R584&lt;'PlayerGrades+'!$AH$9,"B-",IF(R584&lt;'PlayerGrades+'!$AH$8,"B",IF(R584&lt;'PlayerGrades+'!$AH$7,"B+",IF(R584&lt;'PlayerGrades+'!$AH$6,"A-",IF(R584&lt;'PlayerGrades+'!$AH$5,"A",IF(R584&lt;'PlayerGrades+'!$AH$4,"A+",IF(R584&lt;'PlayerGrades+'!$AH$3,"S-",IF(R584&lt;'PlayerGrades+'!$AH$2,"S","S+"))))))))))))))))))))</f>
        <v>#REF!</v>
      </c>
      <c r="T584" s="1423" t="str">
        <f t="shared" si="20"/>
        <v>#REF!</v>
      </c>
      <c r="U584" s="1423" t="str">
        <f>IF(T584&lt;'PlayerGrades+'!$AI$21,"F-",IF(T584&lt;'PlayerGrades+'!$AI$20,"F",IF(T584&lt;'PlayerGrades+'!$AI$19,"F+",IF(T584&lt;'PlayerGrades+'!$AI$18,"E-",IF(T584&lt;'PlayerGrades+'!$AI$17,"E",IF(T584&lt;'PlayerGrades+'!$AI$16,"E+",IF(T584&lt;'PlayerGrades+'!$AI$15,"D-",IF(T584&lt;'PlayerGrades+'!$AI$14,"D",IF(T584&lt;'PlayerGrades+'!$AI$13,"D+",IF(T584&lt;'PlayerGrades+'!$AI$12,"C-",IF(T584&lt;'PlayerGrades+'!$AI$11,"C",IF(T584&lt;'PlayerGrades+'!$AI$10,"C+",IF(T584&lt;'PlayerGrades+'!$AI$9,"B-",IF(T584&lt;'PlayerGrades+'!$AI$8,"B",IF(T584&lt;'PlayerGrades+'!$AI$7,"B+",IF(T584&lt;'PlayerGrades+'!$AI$6,"A-",IF(T584&lt;'PlayerGrades+'!$AI$5,"A",IF(T584&lt;'PlayerGrades+'!$AI$4,"A+",IF(T584&lt;'PlayerGrades+'!$AI$3,"S-",IF(T584&lt;'PlayerGrades+'!$AI$2,"S","S+"))))))))))))))))))))</f>
        <v>#REF!</v>
      </c>
      <c r="AC584" s="1392"/>
    </row>
    <row r="585">
      <c r="A585" s="1411"/>
      <c r="B585" s="1421" t="str">
        <f>IF(C585&lt;'PlayerGrades+'!$Y$44,"F-",IF(C585&lt;'PlayerGrades+'!$Y$43,"F",IF(C585&lt;'PlayerGrades+'!$Y$42,"F+",IF(C585&lt;'PlayerGrades+'!$Y$41,"E-",IF(C585&lt;'PlayerGrades+'!$Y$40,"E",IF(C585&lt;'PlayerGrades+'!$Y$39,"E+",IF(C585&lt;'PlayerGrades+'!$Y$38,"D-",IF(C585&lt;'PlayerGrades+'!$Y$37,"D",IF(C585&lt;'PlayerGrades+'!$Y$36,"D+",IF(C585&lt;'PlayerGrades+'!$Y$35,"C-",IF(C585&lt;'PlayerGrades+'!$Y$34,"C",IF(C585&lt;'PlayerGrades+'!$Y$33,"C+",IF(C585&lt;'PlayerGrades+'!$Y$32,"B-",IF(C585&lt;'PlayerGrades+'!$Y$31,"B",IF(C585&lt;'PlayerGrades+'!$Y$30,"B+",IF(C585&lt;'PlayerGrades+'!$Y$29,"A-",IF(C585&lt;'PlayerGrades+'!$Y$28,"A",IF(C585&lt;'PlayerGrades+'!$Y$27,"A+",IF(C585&lt;'PlayerGrades+'!$Y$26,"S-",IF(C585&lt;'PlayerGrades+'!$Y$25,"S","S+"))))))))))))))))))))</f>
        <v>#DIV/0!</v>
      </c>
      <c r="C585" s="1422" t="str">
        <f>('PlayerGrades+'!$Y$47*(VLOOKUP(E585, 'PlayerGrades+'!$X$3:$Y$23, 2, FALSE)))+('PlayerGrades+'!$Y$48*(VLOOKUP(G585, 'PlayerGrades+'!$X$3:$Y$23, 2, FALSE)))+('PlayerGrades+'!$Y$49*(VLOOKUP(I585, 'PlayerGrades+'!$X$3:$Y$23, 2, FALSE)))+('PlayerGrades+'!$Y$50*(VLOOKUP(K585, 'PlayerGrades+'!$X$3:$Y$23, 2, FALSE)))+('PlayerGrades+'!$Y$51*(VLOOKUP(M585, 'PlayerGrades+'!$X$3:$Y$23, 2, FALSE)))+('PlayerGrades+'!$Y$52*(VLOOKUP(O585, 'PlayerGrades+'!$X$3:$Y$23, 2, FALSE)))+('PlayerGrades+'!$Y$53*(VLOOKUP(Q585, 'PlayerGrades+'!$X$3:$Y$23, 2, FALSE)))+('PlayerGrades+'!$Y$54*(VLOOKUP(S585, 'PlayerGrades+'!$X$3:$Y$23, 2, FALSE)))+('PlayerGrades+'!$Y$55*(VLOOKUP(U585, 'PlayerGrades+'!$X$3:$Y$23, 2, FALSE)))</f>
        <v>#DIV/0!</v>
      </c>
      <c r="D585" s="1423" t="str">
        <f t="shared" si="12"/>
        <v>#DIV/0!</v>
      </c>
      <c r="E585" s="1423" t="str">
        <f>IF(D585&lt;'PlayerGrades+'!$AA$21,"F-",IF(D585&lt;'PlayerGrades+'!$AA$20,"F",IF(D585&lt;'PlayerGrades+'!$AA$19,"F+",IF(D585&lt;'PlayerGrades+'!$AA$18,"E-",IF(D585&lt;'PlayerGrades+'!$AA$17,"E",IF(D585&lt;'PlayerGrades+'!$AA$16,"E+",IF(D585&lt;'PlayerGrades+'!$AA$15,"D-",IF(D585&lt;'PlayerGrades+'!$AA$14,"D",IF(D585&lt;'PlayerGrades+'!$AA$13,"D+",IF(D585&lt;'PlayerGrades+'!$AA$12,"C-",IF(D585&lt;'PlayerGrades+'!$AA$11,"C",IF(D585&lt;'PlayerGrades+'!$AA$10,"C+",IF(D585&lt;'PlayerGrades+'!$AA$9,"B-",IF(D585&lt;'PlayerGrades+'!$AA$8,"B",IF(D585&lt;'PlayerGrades+'!$AA$7,"B+",IF(D585&lt;'PlayerGrades+'!$AA$6,"A-",IF(D585&lt;'PlayerGrades+'!$AA$5,"A",IF(D585&lt;'PlayerGrades+'!$AA$4,"A+",IF(D585&lt;'PlayerGrades+'!$AA$3,"S-",IF(D585&lt;'PlayerGrades+'!$AA$2,"S","S+"))))))))))))))))))))</f>
        <v>#DIV/0!</v>
      </c>
      <c r="F585" s="1423" t="str">
        <f t="shared" si="13"/>
        <v>#DIV/0!</v>
      </c>
      <c r="G585" s="1423" t="str">
        <f>IF(F585&lt;'PlayerGrades+'!$AB$21,"F-",IF(F585&lt;'PlayerGrades+'!$AB$20,"F",IF(F585&lt;'PlayerGrades+'!$AB$19,"F+",IF(F585&lt;'PlayerGrades+'!$AB$18,"E-",IF(F585&lt;'PlayerGrades+'!$AB$17,"E",IF(F585&lt;'PlayerGrades+'!$AB$16,"E+",IF(F585&lt;'PlayerGrades+'!$AB$15,"D-",IF(F585&lt;'PlayerGrades+'!$AB$14,"D",IF(F585&lt;'PlayerGrades+'!$AB$13,"D+",IF(F585&lt;'PlayerGrades+'!$AB$12,"C-",IF(F585&lt;'PlayerGrades+'!$AB$11,"C",IF(F585&lt;'PlayerGrades+'!$AB$10,"C+",IF(F585&lt;'PlayerGrades+'!$AB$9,"B-",IF(F585&lt;'PlayerGrades+'!$AB$8,"B",IF(F585&lt;'PlayerGrades+'!$AB$7,"B+",IF(F585&lt;'PlayerGrades+'!$AB$6,"A-",IF(F585&lt;'PlayerGrades+'!$AB$5,"A",IF(F585&lt;'PlayerGrades+'!$AB$4,"A+",IF(F585&lt;'PlayerGrades+'!$AB$3,"S-",IF(F585&lt;'PlayerGrades+'!$AB$2,"S","S+"))))))))))))))))))))</f>
        <v>#DIV/0!</v>
      </c>
      <c r="H585" s="1423" t="str">
        <f t="shared" si="14"/>
        <v>#DIV/0!</v>
      </c>
      <c r="I585" s="1423" t="str">
        <f>IF(H585&lt;'PlayerGrades+'!$AC$21,"F-",IF(H585&lt;'PlayerGrades+'!$AC$20,"F",IF(H585&lt;'PlayerGrades+'!$AC$19,"F+",IF(H585&lt;'PlayerGrades+'!$AC$18,"E-",IF(H585&lt;'PlayerGrades+'!$AC$17,"E",IF(H585&lt;'PlayerGrades+'!$AC$16,"E+",IF(H585&lt;'PlayerGrades+'!$AC$15,"D-",IF(H585&lt;'PlayerGrades+'!$AC$14,"D",IF(H585&lt;'PlayerGrades+'!$AC$13,"D+",IF(H585&lt;'PlayerGrades+'!$AC$12,"C-",IF(H585&lt;'PlayerGrades+'!$AC$11,"C",IF(H585&lt;'PlayerGrades+'!$AC$10,"C+",IF(H585&lt;'PlayerGrades+'!$AC$9,"B-",IF(H585&lt;'PlayerGrades+'!$AC$8,"B",IF(H585&lt;'PlayerGrades+'!$AC$7,"B+",IF(H585&lt;'PlayerGrades+'!$AC$6,"A-",IF(H585&lt;'PlayerGrades+'!$AC$5,"A",IF(H585&lt;'PlayerGrades+'!$AC$4,"A+",IF(H585&lt;'PlayerGrades+'!$AC$3,"S-",IF(H585&lt;'PlayerGrades+'!$AC$2,"S","S+"))))))))))))))))))))</f>
        <v>#DIV/0!</v>
      </c>
      <c r="J585" s="1423" t="str">
        <f t="shared" si="15"/>
        <v>#DIV/0!</v>
      </c>
      <c r="K585" s="1423" t="str">
        <f>IF(J585&lt;'PlayerGrades+'!$AD$21,"F-",IF(J585&lt;'PlayerGrades+'!$AD$20,"F",IF(J585&lt;'PlayerGrades+'!$AD$19,"F+",IF(J585&lt;'PlayerGrades+'!$AD$18,"E-",IF(J585&lt;'PlayerGrades+'!$AD$17,"E",IF(J585&lt;'PlayerGrades+'!$AD$16,"E+",IF(J585&lt;'PlayerGrades+'!$AD$15,"D-",IF(J585&lt;'PlayerGrades+'!$AD$14,"D",IF(J585&lt;'PlayerGrades+'!$AD$13,"D+",IF(J585&lt;'PlayerGrades+'!$AD$12,"C-",IF(J585&lt;'PlayerGrades+'!$AD$11,"C",IF(J585&lt;'PlayerGrades+'!$AD$10,"C+",IF(J585&lt;'PlayerGrades+'!$AD$9,"B-",IF(J585&lt;'PlayerGrades+'!$AD$8,"B",IF(J585&lt;'PlayerGrades+'!$AD$7,"B+",IF(J585&lt;'PlayerGrades+'!$AD$6,"A-",IF(J585&lt;'PlayerGrades+'!$AD$5,"A",IF(J585&lt;'PlayerGrades+'!$AD$4,"A+",IF(J585&lt;'PlayerGrades+'!$AD$3,"S-",IF(J585&lt;'PlayerGrades+'!$AD$2,"S","S+"))))))))))))))))))))</f>
        <v>#DIV/0!</v>
      </c>
      <c r="L585" s="1176" t="str">
        <f t="shared" si="16"/>
        <v>#DIV/0!</v>
      </c>
      <c r="M585" s="992" t="str">
        <f>IF(L585&lt;'PlayerGrades+'!$AE$21,"F-",IF(L585&lt;'PlayerGrades+'!$AE$20,"F",IF(L585&lt;'PlayerGrades+'!$AE$19,"F+",IF(L585&lt;'PlayerGrades+'!$AE$18,"E-",IF(L585&lt;'PlayerGrades+'!$AE$17,"E",IF(L585&lt;'PlayerGrades+'!$AE$16,"E+",IF(L585&lt;'PlayerGrades+'!$AE$15,"D-",IF(L585&lt;'PlayerGrades+'!$AE$14,"D",IF(L585&lt;'PlayerGrades+'!$AE$13,"D+",IF(L585&lt;'PlayerGrades+'!$AE$12,"C-",IF(L585&lt;'PlayerGrades+'!$AE$11,"C",IF(L585&lt;'PlayerGrades+'!$AE$10,"C+",IF(L585&lt;'PlayerGrades+'!$AE$9,"B-",IF(L585&lt;'PlayerGrades+'!$AE$8,"B",IF(L585&lt;'PlayerGrades+'!$AE$7,"B+",IF(L585&lt;'PlayerGrades+'!$AE$6,"A-",IF(L585&lt;'PlayerGrades+'!$AE$5,"A",IF(L585&lt;'PlayerGrades+'!$AE$4,"A+",IF(L585&lt;'PlayerGrades+'!$AE$3,"S-",IF(L585&lt;'PlayerGrades+'!$AE$2,"S","S+"))))))))))))))))))))</f>
        <v>#DIV/0!</v>
      </c>
      <c r="N585" s="1423" t="str">
        <f t="shared" si="17"/>
        <v>#DIV/0!</v>
      </c>
      <c r="O585" s="1423" t="str">
        <f>IF(N585&lt;'PlayerGrades+'!$AF$21,"F-",IF(N585&lt;'PlayerGrades+'!$AF$20,"F",IF(N585&lt;'PlayerGrades+'!$AF$19,"F+",IF(N585&lt;'PlayerGrades+'!$AF$18,"E-",IF(N585&lt;'PlayerGrades+'!$AF$17,"E",IF(N585&lt;'PlayerGrades+'!$AF$16,"E+",IF(N585&lt;'PlayerGrades+'!$AF$15,"D-",IF(N585&lt;'PlayerGrades+'!$AF$14,"D",IF(N585&lt;'PlayerGrades+'!$AF$13,"D+",IF(N585&lt;'PlayerGrades+'!$AF$12,"C-",IF(N585&lt;'PlayerGrades+'!$AF$11,"C",IF(N585&lt;'PlayerGrades+'!$AF$10,"C+",IF(N585&lt;'PlayerGrades+'!$AF$9,"B-",IF(N585&lt;'PlayerGrades+'!$AF$8,"B",IF(N585&lt;'PlayerGrades+'!$AF$7,"B+",IF(N585&lt;'PlayerGrades+'!$AF$6,"A-",IF(N585&lt;'PlayerGrades+'!$AF$5,"A",IF(N585&lt;'PlayerGrades+'!$AF$4,"A+",IF(N585&lt;'PlayerGrades+'!$AF$3,"S-",IF(N585&lt;'PlayerGrades+'!$AF$2,"S","S+"))))))))))))))))))))</f>
        <v>#DIV/0!</v>
      </c>
      <c r="P585" s="1423" t="str">
        <f t="shared" si="18"/>
        <v>#DIV/0!</v>
      </c>
      <c r="Q585" s="1423" t="str">
        <f>IF(P585&lt;'PlayerGrades+'!$AG$21,"F-",IF(P585&lt;'PlayerGrades+'!$AG$20,"F",IF(P585&lt;'PlayerGrades+'!$AG$19,"F+",IF(P585&lt;'PlayerGrades+'!$AG$18,"E-",IF(P585&lt;'PlayerGrades+'!$AG$17,"E",IF(P585&lt;'PlayerGrades+'!$AG$16,"E+",IF(P585&lt;'PlayerGrades+'!$AG$15,"D-",IF(P585&lt;'PlayerGrades+'!$AG$14,"D",IF(P585&lt;'PlayerGrades+'!$AG$13,"D+",IF(P585&lt;'PlayerGrades+'!$AG$12,"C-",IF(P585&lt;'PlayerGrades+'!$AG$11,"C",IF(P585&lt;'PlayerGrades+'!$AG$10,"C+",IF(P585&lt;'PlayerGrades+'!$AG$9,"B-",IF(P585&lt;'PlayerGrades+'!$AG$8,"B",IF(P585&lt;'PlayerGrades+'!$AG$7,"B+",IF(P585&lt;'PlayerGrades+'!$AG$6,"A-",IF(P585&lt;'PlayerGrades+'!$AG$5,"A",IF(P585&lt;'PlayerGrades+'!$AG$4,"A+",IF(P585&lt;'PlayerGrades+'!$AG$3,"S-",IF(P585&lt;'PlayerGrades+'!$AG$2,"S","S+"))))))))))))))))))))</f>
        <v>#DIV/0!</v>
      </c>
      <c r="R585" s="1423" t="str">
        <f t="shared" si="19"/>
        <v>#REF!</v>
      </c>
      <c r="S585" s="1423" t="str">
        <f>IF(R585&lt;'PlayerGrades+'!$AH$21,"F-",IF(R585&lt;'PlayerGrades+'!$AH$20,"F",IF(R585&lt;'PlayerGrades+'!$AH$19,"F+",IF(R585&lt;'PlayerGrades+'!$AH$18,"E-",IF(R585&lt;'PlayerGrades+'!$AH$17,"E",IF(R585&lt;'PlayerGrades+'!$AH$16,"E+",IF(R585&lt;'PlayerGrades+'!$AH$15,"D-",IF(R585&lt;'PlayerGrades+'!$AH$14,"D",IF(R585&lt;'PlayerGrades+'!$AH$13,"D+",IF(R585&lt;'PlayerGrades+'!$AH$12,"C-",IF(R585&lt;'PlayerGrades+'!$AH$11,"C",IF(R585&lt;'PlayerGrades+'!$AH$10,"C+",IF(R585&lt;'PlayerGrades+'!$AH$9,"B-",IF(R585&lt;'PlayerGrades+'!$AH$8,"B",IF(R585&lt;'PlayerGrades+'!$AH$7,"B+",IF(R585&lt;'PlayerGrades+'!$AH$6,"A-",IF(R585&lt;'PlayerGrades+'!$AH$5,"A",IF(R585&lt;'PlayerGrades+'!$AH$4,"A+",IF(R585&lt;'PlayerGrades+'!$AH$3,"S-",IF(R585&lt;'PlayerGrades+'!$AH$2,"S","S+"))))))))))))))))))))</f>
        <v>#REF!</v>
      </c>
      <c r="T585" s="1423" t="str">
        <f t="shared" si="20"/>
        <v>#REF!</v>
      </c>
      <c r="U585" s="1423" t="str">
        <f>IF(T585&lt;'PlayerGrades+'!$AI$21,"F-",IF(T585&lt;'PlayerGrades+'!$AI$20,"F",IF(T585&lt;'PlayerGrades+'!$AI$19,"F+",IF(T585&lt;'PlayerGrades+'!$AI$18,"E-",IF(T585&lt;'PlayerGrades+'!$AI$17,"E",IF(T585&lt;'PlayerGrades+'!$AI$16,"E+",IF(T585&lt;'PlayerGrades+'!$AI$15,"D-",IF(T585&lt;'PlayerGrades+'!$AI$14,"D",IF(T585&lt;'PlayerGrades+'!$AI$13,"D+",IF(T585&lt;'PlayerGrades+'!$AI$12,"C-",IF(T585&lt;'PlayerGrades+'!$AI$11,"C",IF(T585&lt;'PlayerGrades+'!$AI$10,"C+",IF(T585&lt;'PlayerGrades+'!$AI$9,"B-",IF(T585&lt;'PlayerGrades+'!$AI$8,"B",IF(T585&lt;'PlayerGrades+'!$AI$7,"B+",IF(T585&lt;'PlayerGrades+'!$AI$6,"A-",IF(T585&lt;'PlayerGrades+'!$AI$5,"A",IF(T585&lt;'PlayerGrades+'!$AI$4,"A+",IF(T585&lt;'PlayerGrades+'!$AI$3,"S-",IF(T585&lt;'PlayerGrades+'!$AI$2,"S","S+"))))))))))))))))))))</f>
        <v>#REF!</v>
      </c>
      <c r="V585" s="1386"/>
      <c r="W585" s="1386"/>
      <c r="X585" s="1386"/>
      <c r="Y585" s="1386"/>
      <c r="Z585" s="1386"/>
      <c r="AA585" s="1386"/>
      <c r="AB585" s="1386"/>
      <c r="AC585" s="1397"/>
      <c r="AD585" s="1386"/>
      <c r="AE585" s="1386"/>
      <c r="AF585" s="1386"/>
      <c r="AG585" s="1386"/>
      <c r="AH585" s="1386"/>
      <c r="AI585" s="1386"/>
      <c r="AJ585" s="1386"/>
      <c r="AK585" s="1386"/>
      <c r="AL585" s="1386"/>
      <c r="AM585" s="1386"/>
      <c r="AN585" s="1386"/>
      <c r="AO585" s="1386"/>
      <c r="AP585" s="1386"/>
      <c r="AQ585" s="1386"/>
      <c r="AR585" s="1386"/>
      <c r="AS585" s="1386"/>
      <c r="AT585" s="1386"/>
      <c r="AU585" s="1386"/>
      <c r="AV585" s="1386"/>
      <c r="AW585" s="1386"/>
      <c r="AX585" s="1386"/>
      <c r="AY585" s="1386"/>
      <c r="AZ585" s="1386"/>
    </row>
    <row r="586">
      <c r="B586" s="1421" t="str">
        <f>IF(C586&lt;'PlayerGrades+'!$Y$44,"F-",IF(C586&lt;'PlayerGrades+'!$Y$43,"F",IF(C586&lt;'PlayerGrades+'!$Y$42,"F+",IF(C586&lt;'PlayerGrades+'!$Y$41,"E-",IF(C586&lt;'PlayerGrades+'!$Y$40,"E",IF(C586&lt;'PlayerGrades+'!$Y$39,"E+",IF(C586&lt;'PlayerGrades+'!$Y$38,"D-",IF(C586&lt;'PlayerGrades+'!$Y$37,"D",IF(C586&lt;'PlayerGrades+'!$Y$36,"D+",IF(C586&lt;'PlayerGrades+'!$Y$35,"C-",IF(C586&lt;'PlayerGrades+'!$Y$34,"C",IF(C586&lt;'PlayerGrades+'!$Y$33,"C+",IF(C586&lt;'PlayerGrades+'!$Y$32,"B-",IF(C586&lt;'PlayerGrades+'!$Y$31,"B",IF(C586&lt;'PlayerGrades+'!$Y$30,"B+",IF(C586&lt;'PlayerGrades+'!$Y$29,"A-",IF(C586&lt;'PlayerGrades+'!$Y$28,"A",IF(C586&lt;'PlayerGrades+'!$Y$27,"A+",IF(C586&lt;'PlayerGrades+'!$Y$26,"S-",IF(C586&lt;'PlayerGrades+'!$Y$25,"S","S+"))))))))))))))))))))</f>
        <v>#DIV/0!</v>
      </c>
      <c r="C586" s="1422" t="str">
        <f>('PlayerGrades+'!$Y$47*(VLOOKUP(E586, 'PlayerGrades+'!$X$3:$Y$23, 2, FALSE)))+('PlayerGrades+'!$Y$48*(VLOOKUP(G586, 'PlayerGrades+'!$X$3:$Y$23, 2, FALSE)))+('PlayerGrades+'!$Y$49*(VLOOKUP(I586, 'PlayerGrades+'!$X$3:$Y$23, 2, FALSE)))+('PlayerGrades+'!$Y$50*(VLOOKUP(K586, 'PlayerGrades+'!$X$3:$Y$23, 2, FALSE)))+('PlayerGrades+'!$Y$51*(VLOOKUP(M586, 'PlayerGrades+'!$X$3:$Y$23, 2, FALSE)))+('PlayerGrades+'!$Y$52*(VLOOKUP(O586, 'PlayerGrades+'!$X$3:$Y$23, 2, FALSE)))+('PlayerGrades+'!$Y$53*(VLOOKUP(Q586, 'PlayerGrades+'!$X$3:$Y$23, 2, FALSE)))+('PlayerGrades+'!$Y$54*(VLOOKUP(S586, 'PlayerGrades+'!$X$3:$Y$23, 2, FALSE)))+('PlayerGrades+'!$Y$55*(VLOOKUP(U586, 'PlayerGrades+'!$X$3:$Y$23, 2, FALSE)))</f>
        <v>#DIV/0!</v>
      </c>
      <c r="D586" s="1423" t="str">
        <f t="shared" si="12"/>
        <v>#DIV/0!</v>
      </c>
      <c r="E586" s="1423" t="str">
        <f>IF(D586&lt;'PlayerGrades+'!$AA$21,"F-",IF(D586&lt;'PlayerGrades+'!$AA$20,"F",IF(D586&lt;'PlayerGrades+'!$AA$19,"F+",IF(D586&lt;'PlayerGrades+'!$AA$18,"E-",IF(D586&lt;'PlayerGrades+'!$AA$17,"E",IF(D586&lt;'PlayerGrades+'!$AA$16,"E+",IF(D586&lt;'PlayerGrades+'!$AA$15,"D-",IF(D586&lt;'PlayerGrades+'!$AA$14,"D",IF(D586&lt;'PlayerGrades+'!$AA$13,"D+",IF(D586&lt;'PlayerGrades+'!$AA$12,"C-",IF(D586&lt;'PlayerGrades+'!$AA$11,"C",IF(D586&lt;'PlayerGrades+'!$AA$10,"C+",IF(D586&lt;'PlayerGrades+'!$AA$9,"B-",IF(D586&lt;'PlayerGrades+'!$AA$8,"B",IF(D586&lt;'PlayerGrades+'!$AA$7,"B+",IF(D586&lt;'PlayerGrades+'!$AA$6,"A-",IF(D586&lt;'PlayerGrades+'!$AA$5,"A",IF(D586&lt;'PlayerGrades+'!$AA$4,"A+",IF(D586&lt;'PlayerGrades+'!$AA$3,"S-",IF(D586&lt;'PlayerGrades+'!$AA$2,"S","S+"))))))))))))))))))))</f>
        <v>#DIV/0!</v>
      </c>
      <c r="F586" s="1423" t="str">
        <f t="shared" si="13"/>
        <v>#DIV/0!</v>
      </c>
      <c r="G586" s="1423" t="str">
        <f>IF(F586&lt;'PlayerGrades+'!$AB$21,"F-",IF(F586&lt;'PlayerGrades+'!$AB$20,"F",IF(F586&lt;'PlayerGrades+'!$AB$19,"F+",IF(F586&lt;'PlayerGrades+'!$AB$18,"E-",IF(F586&lt;'PlayerGrades+'!$AB$17,"E",IF(F586&lt;'PlayerGrades+'!$AB$16,"E+",IF(F586&lt;'PlayerGrades+'!$AB$15,"D-",IF(F586&lt;'PlayerGrades+'!$AB$14,"D",IF(F586&lt;'PlayerGrades+'!$AB$13,"D+",IF(F586&lt;'PlayerGrades+'!$AB$12,"C-",IF(F586&lt;'PlayerGrades+'!$AB$11,"C",IF(F586&lt;'PlayerGrades+'!$AB$10,"C+",IF(F586&lt;'PlayerGrades+'!$AB$9,"B-",IF(F586&lt;'PlayerGrades+'!$AB$8,"B",IF(F586&lt;'PlayerGrades+'!$AB$7,"B+",IF(F586&lt;'PlayerGrades+'!$AB$6,"A-",IF(F586&lt;'PlayerGrades+'!$AB$5,"A",IF(F586&lt;'PlayerGrades+'!$AB$4,"A+",IF(F586&lt;'PlayerGrades+'!$AB$3,"S-",IF(F586&lt;'PlayerGrades+'!$AB$2,"S","S+"))))))))))))))))))))</f>
        <v>#DIV/0!</v>
      </c>
      <c r="H586" s="1423" t="str">
        <f t="shared" si="14"/>
        <v>#DIV/0!</v>
      </c>
      <c r="I586" s="1423" t="str">
        <f>IF(H586&lt;'PlayerGrades+'!$AC$21,"F-",IF(H586&lt;'PlayerGrades+'!$AC$20,"F",IF(H586&lt;'PlayerGrades+'!$AC$19,"F+",IF(H586&lt;'PlayerGrades+'!$AC$18,"E-",IF(H586&lt;'PlayerGrades+'!$AC$17,"E",IF(H586&lt;'PlayerGrades+'!$AC$16,"E+",IF(H586&lt;'PlayerGrades+'!$AC$15,"D-",IF(H586&lt;'PlayerGrades+'!$AC$14,"D",IF(H586&lt;'PlayerGrades+'!$AC$13,"D+",IF(H586&lt;'PlayerGrades+'!$AC$12,"C-",IF(H586&lt;'PlayerGrades+'!$AC$11,"C",IF(H586&lt;'PlayerGrades+'!$AC$10,"C+",IF(H586&lt;'PlayerGrades+'!$AC$9,"B-",IF(H586&lt;'PlayerGrades+'!$AC$8,"B",IF(H586&lt;'PlayerGrades+'!$AC$7,"B+",IF(H586&lt;'PlayerGrades+'!$AC$6,"A-",IF(H586&lt;'PlayerGrades+'!$AC$5,"A",IF(H586&lt;'PlayerGrades+'!$AC$4,"A+",IF(H586&lt;'PlayerGrades+'!$AC$3,"S-",IF(H586&lt;'PlayerGrades+'!$AC$2,"S","S+"))))))))))))))))))))</f>
        <v>#DIV/0!</v>
      </c>
      <c r="J586" s="1423" t="str">
        <f t="shared" si="15"/>
        <v>#DIV/0!</v>
      </c>
      <c r="K586" s="1423" t="str">
        <f>IF(J586&lt;'PlayerGrades+'!$AD$21,"F-",IF(J586&lt;'PlayerGrades+'!$AD$20,"F",IF(J586&lt;'PlayerGrades+'!$AD$19,"F+",IF(J586&lt;'PlayerGrades+'!$AD$18,"E-",IF(J586&lt;'PlayerGrades+'!$AD$17,"E",IF(J586&lt;'PlayerGrades+'!$AD$16,"E+",IF(J586&lt;'PlayerGrades+'!$AD$15,"D-",IF(J586&lt;'PlayerGrades+'!$AD$14,"D",IF(J586&lt;'PlayerGrades+'!$AD$13,"D+",IF(J586&lt;'PlayerGrades+'!$AD$12,"C-",IF(J586&lt;'PlayerGrades+'!$AD$11,"C",IF(J586&lt;'PlayerGrades+'!$AD$10,"C+",IF(J586&lt;'PlayerGrades+'!$AD$9,"B-",IF(J586&lt;'PlayerGrades+'!$AD$8,"B",IF(J586&lt;'PlayerGrades+'!$AD$7,"B+",IF(J586&lt;'PlayerGrades+'!$AD$6,"A-",IF(J586&lt;'PlayerGrades+'!$AD$5,"A",IF(J586&lt;'PlayerGrades+'!$AD$4,"A+",IF(J586&lt;'PlayerGrades+'!$AD$3,"S-",IF(J586&lt;'PlayerGrades+'!$AD$2,"S","S+"))))))))))))))))))))</f>
        <v>#DIV/0!</v>
      </c>
      <c r="L586" s="1176" t="str">
        <f t="shared" si="16"/>
        <v>#DIV/0!</v>
      </c>
      <c r="M586" s="992" t="str">
        <f>IF(L586&lt;'PlayerGrades+'!$AE$21,"F-",IF(L586&lt;'PlayerGrades+'!$AE$20,"F",IF(L586&lt;'PlayerGrades+'!$AE$19,"F+",IF(L586&lt;'PlayerGrades+'!$AE$18,"E-",IF(L586&lt;'PlayerGrades+'!$AE$17,"E",IF(L586&lt;'PlayerGrades+'!$AE$16,"E+",IF(L586&lt;'PlayerGrades+'!$AE$15,"D-",IF(L586&lt;'PlayerGrades+'!$AE$14,"D",IF(L586&lt;'PlayerGrades+'!$AE$13,"D+",IF(L586&lt;'PlayerGrades+'!$AE$12,"C-",IF(L586&lt;'PlayerGrades+'!$AE$11,"C",IF(L586&lt;'PlayerGrades+'!$AE$10,"C+",IF(L586&lt;'PlayerGrades+'!$AE$9,"B-",IF(L586&lt;'PlayerGrades+'!$AE$8,"B",IF(L586&lt;'PlayerGrades+'!$AE$7,"B+",IF(L586&lt;'PlayerGrades+'!$AE$6,"A-",IF(L586&lt;'PlayerGrades+'!$AE$5,"A",IF(L586&lt;'PlayerGrades+'!$AE$4,"A+",IF(L586&lt;'PlayerGrades+'!$AE$3,"S-",IF(L586&lt;'PlayerGrades+'!$AE$2,"S","S+"))))))))))))))))))))</f>
        <v>#DIV/0!</v>
      </c>
      <c r="N586" s="1423" t="str">
        <f t="shared" si="17"/>
        <v>#DIV/0!</v>
      </c>
      <c r="O586" s="1423" t="str">
        <f>IF(N586&lt;'PlayerGrades+'!$AF$21,"F-",IF(N586&lt;'PlayerGrades+'!$AF$20,"F",IF(N586&lt;'PlayerGrades+'!$AF$19,"F+",IF(N586&lt;'PlayerGrades+'!$AF$18,"E-",IF(N586&lt;'PlayerGrades+'!$AF$17,"E",IF(N586&lt;'PlayerGrades+'!$AF$16,"E+",IF(N586&lt;'PlayerGrades+'!$AF$15,"D-",IF(N586&lt;'PlayerGrades+'!$AF$14,"D",IF(N586&lt;'PlayerGrades+'!$AF$13,"D+",IF(N586&lt;'PlayerGrades+'!$AF$12,"C-",IF(N586&lt;'PlayerGrades+'!$AF$11,"C",IF(N586&lt;'PlayerGrades+'!$AF$10,"C+",IF(N586&lt;'PlayerGrades+'!$AF$9,"B-",IF(N586&lt;'PlayerGrades+'!$AF$8,"B",IF(N586&lt;'PlayerGrades+'!$AF$7,"B+",IF(N586&lt;'PlayerGrades+'!$AF$6,"A-",IF(N586&lt;'PlayerGrades+'!$AF$5,"A",IF(N586&lt;'PlayerGrades+'!$AF$4,"A+",IF(N586&lt;'PlayerGrades+'!$AF$3,"S-",IF(N586&lt;'PlayerGrades+'!$AF$2,"S","S+"))))))))))))))))))))</f>
        <v>#DIV/0!</v>
      </c>
      <c r="P586" s="1423" t="str">
        <f t="shared" si="18"/>
        <v>#DIV/0!</v>
      </c>
      <c r="Q586" s="1423" t="str">
        <f>IF(P586&lt;'PlayerGrades+'!$AG$21,"F-",IF(P586&lt;'PlayerGrades+'!$AG$20,"F",IF(P586&lt;'PlayerGrades+'!$AG$19,"F+",IF(P586&lt;'PlayerGrades+'!$AG$18,"E-",IF(P586&lt;'PlayerGrades+'!$AG$17,"E",IF(P586&lt;'PlayerGrades+'!$AG$16,"E+",IF(P586&lt;'PlayerGrades+'!$AG$15,"D-",IF(P586&lt;'PlayerGrades+'!$AG$14,"D",IF(P586&lt;'PlayerGrades+'!$AG$13,"D+",IF(P586&lt;'PlayerGrades+'!$AG$12,"C-",IF(P586&lt;'PlayerGrades+'!$AG$11,"C",IF(P586&lt;'PlayerGrades+'!$AG$10,"C+",IF(P586&lt;'PlayerGrades+'!$AG$9,"B-",IF(P586&lt;'PlayerGrades+'!$AG$8,"B",IF(P586&lt;'PlayerGrades+'!$AG$7,"B+",IF(P586&lt;'PlayerGrades+'!$AG$6,"A-",IF(P586&lt;'PlayerGrades+'!$AG$5,"A",IF(P586&lt;'PlayerGrades+'!$AG$4,"A+",IF(P586&lt;'PlayerGrades+'!$AG$3,"S-",IF(P586&lt;'PlayerGrades+'!$AG$2,"S","S+"))))))))))))))))))))</f>
        <v>#DIV/0!</v>
      </c>
      <c r="R586" s="1423" t="str">
        <f t="shared" si="19"/>
        <v>#REF!</v>
      </c>
      <c r="S586" s="1423" t="str">
        <f>IF(R586&lt;'PlayerGrades+'!$AH$21,"F-",IF(R586&lt;'PlayerGrades+'!$AH$20,"F",IF(R586&lt;'PlayerGrades+'!$AH$19,"F+",IF(R586&lt;'PlayerGrades+'!$AH$18,"E-",IF(R586&lt;'PlayerGrades+'!$AH$17,"E",IF(R586&lt;'PlayerGrades+'!$AH$16,"E+",IF(R586&lt;'PlayerGrades+'!$AH$15,"D-",IF(R586&lt;'PlayerGrades+'!$AH$14,"D",IF(R586&lt;'PlayerGrades+'!$AH$13,"D+",IF(R586&lt;'PlayerGrades+'!$AH$12,"C-",IF(R586&lt;'PlayerGrades+'!$AH$11,"C",IF(R586&lt;'PlayerGrades+'!$AH$10,"C+",IF(R586&lt;'PlayerGrades+'!$AH$9,"B-",IF(R586&lt;'PlayerGrades+'!$AH$8,"B",IF(R586&lt;'PlayerGrades+'!$AH$7,"B+",IF(R586&lt;'PlayerGrades+'!$AH$6,"A-",IF(R586&lt;'PlayerGrades+'!$AH$5,"A",IF(R586&lt;'PlayerGrades+'!$AH$4,"A+",IF(R586&lt;'PlayerGrades+'!$AH$3,"S-",IF(R586&lt;'PlayerGrades+'!$AH$2,"S","S+"))))))))))))))))))))</f>
        <v>#REF!</v>
      </c>
      <c r="T586" s="1423" t="str">
        <f t="shared" si="20"/>
        <v>#REF!</v>
      </c>
      <c r="U586" s="1423" t="str">
        <f>IF(T586&lt;'PlayerGrades+'!$AI$21,"F-",IF(T586&lt;'PlayerGrades+'!$AI$20,"F",IF(T586&lt;'PlayerGrades+'!$AI$19,"F+",IF(T586&lt;'PlayerGrades+'!$AI$18,"E-",IF(T586&lt;'PlayerGrades+'!$AI$17,"E",IF(T586&lt;'PlayerGrades+'!$AI$16,"E+",IF(T586&lt;'PlayerGrades+'!$AI$15,"D-",IF(T586&lt;'PlayerGrades+'!$AI$14,"D",IF(T586&lt;'PlayerGrades+'!$AI$13,"D+",IF(T586&lt;'PlayerGrades+'!$AI$12,"C-",IF(T586&lt;'PlayerGrades+'!$AI$11,"C",IF(T586&lt;'PlayerGrades+'!$AI$10,"C+",IF(T586&lt;'PlayerGrades+'!$AI$9,"B-",IF(T586&lt;'PlayerGrades+'!$AI$8,"B",IF(T586&lt;'PlayerGrades+'!$AI$7,"B+",IF(T586&lt;'PlayerGrades+'!$AI$6,"A-",IF(T586&lt;'PlayerGrades+'!$AI$5,"A",IF(T586&lt;'PlayerGrades+'!$AI$4,"A+",IF(T586&lt;'PlayerGrades+'!$AI$3,"S-",IF(T586&lt;'PlayerGrades+'!$AI$2,"S","S+"))))))))))))))))))))</f>
        <v>#REF!</v>
      </c>
      <c r="AC586" s="1392"/>
    </row>
    <row r="587">
      <c r="B587" s="1421" t="str">
        <f>IF(C587&lt;'PlayerGrades+'!$Y$44,"F-",IF(C587&lt;'PlayerGrades+'!$Y$43,"F",IF(C587&lt;'PlayerGrades+'!$Y$42,"F+",IF(C587&lt;'PlayerGrades+'!$Y$41,"E-",IF(C587&lt;'PlayerGrades+'!$Y$40,"E",IF(C587&lt;'PlayerGrades+'!$Y$39,"E+",IF(C587&lt;'PlayerGrades+'!$Y$38,"D-",IF(C587&lt;'PlayerGrades+'!$Y$37,"D",IF(C587&lt;'PlayerGrades+'!$Y$36,"D+",IF(C587&lt;'PlayerGrades+'!$Y$35,"C-",IF(C587&lt;'PlayerGrades+'!$Y$34,"C",IF(C587&lt;'PlayerGrades+'!$Y$33,"C+",IF(C587&lt;'PlayerGrades+'!$Y$32,"B-",IF(C587&lt;'PlayerGrades+'!$Y$31,"B",IF(C587&lt;'PlayerGrades+'!$Y$30,"B+",IF(C587&lt;'PlayerGrades+'!$Y$29,"A-",IF(C587&lt;'PlayerGrades+'!$Y$28,"A",IF(C587&lt;'PlayerGrades+'!$Y$27,"A+",IF(C587&lt;'PlayerGrades+'!$Y$26,"S-",IF(C587&lt;'PlayerGrades+'!$Y$25,"S","S+"))))))))))))))))))))</f>
        <v>#DIV/0!</v>
      </c>
      <c r="C587" s="1422" t="str">
        <f>('PlayerGrades+'!$Y$47*(VLOOKUP(E587, 'PlayerGrades+'!$X$3:$Y$23, 2, FALSE)))+('PlayerGrades+'!$Y$48*(VLOOKUP(G587, 'PlayerGrades+'!$X$3:$Y$23, 2, FALSE)))+('PlayerGrades+'!$Y$49*(VLOOKUP(I587, 'PlayerGrades+'!$X$3:$Y$23, 2, FALSE)))+('PlayerGrades+'!$Y$50*(VLOOKUP(K587, 'PlayerGrades+'!$X$3:$Y$23, 2, FALSE)))+('PlayerGrades+'!$Y$51*(VLOOKUP(M587, 'PlayerGrades+'!$X$3:$Y$23, 2, FALSE)))+('PlayerGrades+'!$Y$52*(VLOOKUP(O587, 'PlayerGrades+'!$X$3:$Y$23, 2, FALSE)))+('PlayerGrades+'!$Y$53*(VLOOKUP(Q587, 'PlayerGrades+'!$X$3:$Y$23, 2, FALSE)))+('PlayerGrades+'!$Y$54*(VLOOKUP(S587, 'PlayerGrades+'!$X$3:$Y$23, 2, FALSE)))+('PlayerGrades+'!$Y$55*(VLOOKUP(U587, 'PlayerGrades+'!$X$3:$Y$23, 2, FALSE)))</f>
        <v>#DIV/0!</v>
      </c>
      <c r="D587" s="1423" t="str">
        <f t="shared" si="12"/>
        <v>#DIV/0!</v>
      </c>
      <c r="E587" s="1423" t="str">
        <f>IF(D587&lt;'PlayerGrades+'!$AA$21,"F-",IF(D587&lt;'PlayerGrades+'!$AA$20,"F",IF(D587&lt;'PlayerGrades+'!$AA$19,"F+",IF(D587&lt;'PlayerGrades+'!$AA$18,"E-",IF(D587&lt;'PlayerGrades+'!$AA$17,"E",IF(D587&lt;'PlayerGrades+'!$AA$16,"E+",IF(D587&lt;'PlayerGrades+'!$AA$15,"D-",IF(D587&lt;'PlayerGrades+'!$AA$14,"D",IF(D587&lt;'PlayerGrades+'!$AA$13,"D+",IF(D587&lt;'PlayerGrades+'!$AA$12,"C-",IF(D587&lt;'PlayerGrades+'!$AA$11,"C",IF(D587&lt;'PlayerGrades+'!$AA$10,"C+",IF(D587&lt;'PlayerGrades+'!$AA$9,"B-",IF(D587&lt;'PlayerGrades+'!$AA$8,"B",IF(D587&lt;'PlayerGrades+'!$AA$7,"B+",IF(D587&lt;'PlayerGrades+'!$AA$6,"A-",IF(D587&lt;'PlayerGrades+'!$AA$5,"A",IF(D587&lt;'PlayerGrades+'!$AA$4,"A+",IF(D587&lt;'PlayerGrades+'!$AA$3,"S-",IF(D587&lt;'PlayerGrades+'!$AA$2,"S","S+"))))))))))))))))))))</f>
        <v>#DIV/0!</v>
      </c>
      <c r="F587" s="1423" t="str">
        <f t="shared" si="13"/>
        <v>#DIV/0!</v>
      </c>
      <c r="G587" s="1423" t="str">
        <f>IF(F587&lt;'PlayerGrades+'!$AB$21,"F-",IF(F587&lt;'PlayerGrades+'!$AB$20,"F",IF(F587&lt;'PlayerGrades+'!$AB$19,"F+",IF(F587&lt;'PlayerGrades+'!$AB$18,"E-",IF(F587&lt;'PlayerGrades+'!$AB$17,"E",IF(F587&lt;'PlayerGrades+'!$AB$16,"E+",IF(F587&lt;'PlayerGrades+'!$AB$15,"D-",IF(F587&lt;'PlayerGrades+'!$AB$14,"D",IF(F587&lt;'PlayerGrades+'!$AB$13,"D+",IF(F587&lt;'PlayerGrades+'!$AB$12,"C-",IF(F587&lt;'PlayerGrades+'!$AB$11,"C",IF(F587&lt;'PlayerGrades+'!$AB$10,"C+",IF(F587&lt;'PlayerGrades+'!$AB$9,"B-",IF(F587&lt;'PlayerGrades+'!$AB$8,"B",IF(F587&lt;'PlayerGrades+'!$AB$7,"B+",IF(F587&lt;'PlayerGrades+'!$AB$6,"A-",IF(F587&lt;'PlayerGrades+'!$AB$5,"A",IF(F587&lt;'PlayerGrades+'!$AB$4,"A+",IF(F587&lt;'PlayerGrades+'!$AB$3,"S-",IF(F587&lt;'PlayerGrades+'!$AB$2,"S","S+"))))))))))))))))))))</f>
        <v>#DIV/0!</v>
      </c>
      <c r="H587" s="1423" t="str">
        <f t="shared" si="14"/>
        <v>#DIV/0!</v>
      </c>
      <c r="I587" s="1423" t="str">
        <f>IF(H587&lt;'PlayerGrades+'!$AC$21,"F-",IF(H587&lt;'PlayerGrades+'!$AC$20,"F",IF(H587&lt;'PlayerGrades+'!$AC$19,"F+",IF(H587&lt;'PlayerGrades+'!$AC$18,"E-",IF(H587&lt;'PlayerGrades+'!$AC$17,"E",IF(H587&lt;'PlayerGrades+'!$AC$16,"E+",IF(H587&lt;'PlayerGrades+'!$AC$15,"D-",IF(H587&lt;'PlayerGrades+'!$AC$14,"D",IF(H587&lt;'PlayerGrades+'!$AC$13,"D+",IF(H587&lt;'PlayerGrades+'!$AC$12,"C-",IF(H587&lt;'PlayerGrades+'!$AC$11,"C",IF(H587&lt;'PlayerGrades+'!$AC$10,"C+",IF(H587&lt;'PlayerGrades+'!$AC$9,"B-",IF(H587&lt;'PlayerGrades+'!$AC$8,"B",IF(H587&lt;'PlayerGrades+'!$AC$7,"B+",IF(H587&lt;'PlayerGrades+'!$AC$6,"A-",IF(H587&lt;'PlayerGrades+'!$AC$5,"A",IF(H587&lt;'PlayerGrades+'!$AC$4,"A+",IF(H587&lt;'PlayerGrades+'!$AC$3,"S-",IF(H587&lt;'PlayerGrades+'!$AC$2,"S","S+"))))))))))))))))))))</f>
        <v>#DIV/0!</v>
      </c>
      <c r="J587" s="1423" t="str">
        <f t="shared" si="15"/>
        <v>#DIV/0!</v>
      </c>
      <c r="K587" s="1423" t="str">
        <f>IF(J587&lt;'PlayerGrades+'!$AD$21,"F-",IF(J587&lt;'PlayerGrades+'!$AD$20,"F",IF(J587&lt;'PlayerGrades+'!$AD$19,"F+",IF(J587&lt;'PlayerGrades+'!$AD$18,"E-",IF(J587&lt;'PlayerGrades+'!$AD$17,"E",IF(J587&lt;'PlayerGrades+'!$AD$16,"E+",IF(J587&lt;'PlayerGrades+'!$AD$15,"D-",IF(J587&lt;'PlayerGrades+'!$AD$14,"D",IF(J587&lt;'PlayerGrades+'!$AD$13,"D+",IF(J587&lt;'PlayerGrades+'!$AD$12,"C-",IF(J587&lt;'PlayerGrades+'!$AD$11,"C",IF(J587&lt;'PlayerGrades+'!$AD$10,"C+",IF(J587&lt;'PlayerGrades+'!$AD$9,"B-",IF(J587&lt;'PlayerGrades+'!$AD$8,"B",IF(J587&lt;'PlayerGrades+'!$AD$7,"B+",IF(J587&lt;'PlayerGrades+'!$AD$6,"A-",IF(J587&lt;'PlayerGrades+'!$AD$5,"A",IF(J587&lt;'PlayerGrades+'!$AD$4,"A+",IF(J587&lt;'PlayerGrades+'!$AD$3,"S-",IF(J587&lt;'PlayerGrades+'!$AD$2,"S","S+"))))))))))))))))))))</f>
        <v>#DIV/0!</v>
      </c>
      <c r="L587" s="1176" t="str">
        <f t="shared" si="16"/>
        <v>#DIV/0!</v>
      </c>
      <c r="M587" s="992" t="str">
        <f>IF(L587&lt;'PlayerGrades+'!$AE$21,"F-",IF(L587&lt;'PlayerGrades+'!$AE$20,"F",IF(L587&lt;'PlayerGrades+'!$AE$19,"F+",IF(L587&lt;'PlayerGrades+'!$AE$18,"E-",IF(L587&lt;'PlayerGrades+'!$AE$17,"E",IF(L587&lt;'PlayerGrades+'!$AE$16,"E+",IF(L587&lt;'PlayerGrades+'!$AE$15,"D-",IF(L587&lt;'PlayerGrades+'!$AE$14,"D",IF(L587&lt;'PlayerGrades+'!$AE$13,"D+",IF(L587&lt;'PlayerGrades+'!$AE$12,"C-",IF(L587&lt;'PlayerGrades+'!$AE$11,"C",IF(L587&lt;'PlayerGrades+'!$AE$10,"C+",IF(L587&lt;'PlayerGrades+'!$AE$9,"B-",IF(L587&lt;'PlayerGrades+'!$AE$8,"B",IF(L587&lt;'PlayerGrades+'!$AE$7,"B+",IF(L587&lt;'PlayerGrades+'!$AE$6,"A-",IF(L587&lt;'PlayerGrades+'!$AE$5,"A",IF(L587&lt;'PlayerGrades+'!$AE$4,"A+",IF(L587&lt;'PlayerGrades+'!$AE$3,"S-",IF(L587&lt;'PlayerGrades+'!$AE$2,"S","S+"))))))))))))))))))))</f>
        <v>#DIV/0!</v>
      </c>
      <c r="N587" s="1423" t="str">
        <f t="shared" si="17"/>
        <v>#DIV/0!</v>
      </c>
      <c r="O587" s="1423" t="str">
        <f>IF(N587&lt;'PlayerGrades+'!$AF$21,"F-",IF(N587&lt;'PlayerGrades+'!$AF$20,"F",IF(N587&lt;'PlayerGrades+'!$AF$19,"F+",IF(N587&lt;'PlayerGrades+'!$AF$18,"E-",IF(N587&lt;'PlayerGrades+'!$AF$17,"E",IF(N587&lt;'PlayerGrades+'!$AF$16,"E+",IF(N587&lt;'PlayerGrades+'!$AF$15,"D-",IF(N587&lt;'PlayerGrades+'!$AF$14,"D",IF(N587&lt;'PlayerGrades+'!$AF$13,"D+",IF(N587&lt;'PlayerGrades+'!$AF$12,"C-",IF(N587&lt;'PlayerGrades+'!$AF$11,"C",IF(N587&lt;'PlayerGrades+'!$AF$10,"C+",IF(N587&lt;'PlayerGrades+'!$AF$9,"B-",IF(N587&lt;'PlayerGrades+'!$AF$8,"B",IF(N587&lt;'PlayerGrades+'!$AF$7,"B+",IF(N587&lt;'PlayerGrades+'!$AF$6,"A-",IF(N587&lt;'PlayerGrades+'!$AF$5,"A",IF(N587&lt;'PlayerGrades+'!$AF$4,"A+",IF(N587&lt;'PlayerGrades+'!$AF$3,"S-",IF(N587&lt;'PlayerGrades+'!$AF$2,"S","S+"))))))))))))))))))))</f>
        <v>#DIV/0!</v>
      </c>
      <c r="P587" s="1423" t="str">
        <f t="shared" si="18"/>
        <v>#DIV/0!</v>
      </c>
      <c r="Q587" s="1423" t="str">
        <f>IF(P587&lt;'PlayerGrades+'!$AG$21,"F-",IF(P587&lt;'PlayerGrades+'!$AG$20,"F",IF(P587&lt;'PlayerGrades+'!$AG$19,"F+",IF(P587&lt;'PlayerGrades+'!$AG$18,"E-",IF(P587&lt;'PlayerGrades+'!$AG$17,"E",IF(P587&lt;'PlayerGrades+'!$AG$16,"E+",IF(P587&lt;'PlayerGrades+'!$AG$15,"D-",IF(P587&lt;'PlayerGrades+'!$AG$14,"D",IF(P587&lt;'PlayerGrades+'!$AG$13,"D+",IF(P587&lt;'PlayerGrades+'!$AG$12,"C-",IF(P587&lt;'PlayerGrades+'!$AG$11,"C",IF(P587&lt;'PlayerGrades+'!$AG$10,"C+",IF(P587&lt;'PlayerGrades+'!$AG$9,"B-",IF(P587&lt;'PlayerGrades+'!$AG$8,"B",IF(P587&lt;'PlayerGrades+'!$AG$7,"B+",IF(P587&lt;'PlayerGrades+'!$AG$6,"A-",IF(P587&lt;'PlayerGrades+'!$AG$5,"A",IF(P587&lt;'PlayerGrades+'!$AG$4,"A+",IF(P587&lt;'PlayerGrades+'!$AG$3,"S-",IF(P587&lt;'PlayerGrades+'!$AG$2,"S","S+"))))))))))))))))))))</f>
        <v>#DIV/0!</v>
      </c>
      <c r="R587" s="1423" t="str">
        <f t="shared" si="19"/>
        <v>#REF!</v>
      </c>
      <c r="S587" s="1423" t="str">
        <f>IF(R587&lt;'PlayerGrades+'!$AH$21,"F-",IF(R587&lt;'PlayerGrades+'!$AH$20,"F",IF(R587&lt;'PlayerGrades+'!$AH$19,"F+",IF(R587&lt;'PlayerGrades+'!$AH$18,"E-",IF(R587&lt;'PlayerGrades+'!$AH$17,"E",IF(R587&lt;'PlayerGrades+'!$AH$16,"E+",IF(R587&lt;'PlayerGrades+'!$AH$15,"D-",IF(R587&lt;'PlayerGrades+'!$AH$14,"D",IF(R587&lt;'PlayerGrades+'!$AH$13,"D+",IF(R587&lt;'PlayerGrades+'!$AH$12,"C-",IF(R587&lt;'PlayerGrades+'!$AH$11,"C",IF(R587&lt;'PlayerGrades+'!$AH$10,"C+",IF(R587&lt;'PlayerGrades+'!$AH$9,"B-",IF(R587&lt;'PlayerGrades+'!$AH$8,"B",IF(R587&lt;'PlayerGrades+'!$AH$7,"B+",IF(R587&lt;'PlayerGrades+'!$AH$6,"A-",IF(R587&lt;'PlayerGrades+'!$AH$5,"A",IF(R587&lt;'PlayerGrades+'!$AH$4,"A+",IF(R587&lt;'PlayerGrades+'!$AH$3,"S-",IF(R587&lt;'PlayerGrades+'!$AH$2,"S","S+"))))))))))))))))))))</f>
        <v>#REF!</v>
      </c>
      <c r="T587" s="1423" t="str">
        <f t="shared" si="20"/>
        <v>#REF!</v>
      </c>
      <c r="U587" s="1423" t="str">
        <f>IF(T587&lt;'PlayerGrades+'!$AI$21,"F-",IF(T587&lt;'PlayerGrades+'!$AI$20,"F",IF(T587&lt;'PlayerGrades+'!$AI$19,"F+",IF(T587&lt;'PlayerGrades+'!$AI$18,"E-",IF(T587&lt;'PlayerGrades+'!$AI$17,"E",IF(T587&lt;'PlayerGrades+'!$AI$16,"E+",IF(T587&lt;'PlayerGrades+'!$AI$15,"D-",IF(T587&lt;'PlayerGrades+'!$AI$14,"D",IF(T587&lt;'PlayerGrades+'!$AI$13,"D+",IF(T587&lt;'PlayerGrades+'!$AI$12,"C-",IF(T587&lt;'PlayerGrades+'!$AI$11,"C",IF(T587&lt;'PlayerGrades+'!$AI$10,"C+",IF(T587&lt;'PlayerGrades+'!$AI$9,"B-",IF(T587&lt;'PlayerGrades+'!$AI$8,"B",IF(T587&lt;'PlayerGrades+'!$AI$7,"B+",IF(T587&lt;'PlayerGrades+'!$AI$6,"A-",IF(T587&lt;'PlayerGrades+'!$AI$5,"A",IF(T587&lt;'PlayerGrades+'!$AI$4,"A+",IF(T587&lt;'PlayerGrades+'!$AI$3,"S-",IF(T587&lt;'PlayerGrades+'!$AI$2,"S","S+"))))))))))))))))))))</f>
        <v>#REF!</v>
      </c>
      <c r="AC587" s="1392"/>
    </row>
    <row r="588">
      <c r="B588" s="1421" t="str">
        <f>IF(C588&lt;'PlayerGrades+'!$Y$44,"F-",IF(C588&lt;'PlayerGrades+'!$Y$43,"F",IF(C588&lt;'PlayerGrades+'!$Y$42,"F+",IF(C588&lt;'PlayerGrades+'!$Y$41,"E-",IF(C588&lt;'PlayerGrades+'!$Y$40,"E",IF(C588&lt;'PlayerGrades+'!$Y$39,"E+",IF(C588&lt;'PlayerGrades+'!$Y$38,"D-",IF(C588&lt;'PlayerGrades+'!$Y$37,"D",IF(C588&lt;'PlayerGrades+'!$Y$36,"D+",IF(C588&lt;'PlayerGrades+'!$Y$35,"C-",IF(C588&lt;'PlayerGrades+'!$Y$34,"C",IF(C588&lt;'PlayerGrades+'!$Y$33,"C+",IF(C588&lt;'PlayerGrades+'!$Y$32,"B-",IF(C588&lt;'PlayerGrades+'!$Y$31,"B",IF(C588&lt;'PlayerGrades+'!$Y$30,"B+",IF(C588&lt;'PlayerGrades+'!$Y$29,"A-",IF(C588&lt;'PlayerGrades+'!$Y$28,"A",IF(C588&lt;'PlayerGrades+'!$Y$27,"A+",IF(C588&lt;'PlayerGrades+'!$Y$26,"S-",IF(C588&lt;'PlayerGrades+'!$Y$25,"S","S+"))))))))))))))))))))</f>
        <v>#DIV/0!</v>
      </c>
      <c r="C588" s="1422" t="str">
        <f>('PlayerGrades+'!$Y$47*(VLOOKUP(E588, 'PlayerGrades+'!$X$3:$Y$23, 2, FALSE)))+('PlayerGrades+'!$Y$48*(VLOOKUP(G588, 'PlayerGrades+'!$X$3:$Y$23, 2, FALSE)))+('PlayerGrades+'!$Y$49*(VLOOKUP(I588, 'PlayerGrades+'!$X$3:$Y$23, 2, FALSE)))+('PlayerGrades+'!$Y$50*(VLOOKUP(K588, 'PlayerGrades+'!$X$3:$Y$23, 2, FALSE)))+('PlayerGrades+'!$Y$51*(VLOOKUP(M588, 'PlayerGrades+'!$X$3:$Y$23, 2, FALSE)))+('PlayerGrades+'!$Y$52*(VLOOKUP(O588, 'PlayerGrades+'!$X$3:$Y$23, 2, FALSE)))+('PlayerGrades+'!$Y$53*(VLOOKUP(Q588, 'PlayerGrades+'!$X$3:$Y$23, 2, FALSE)))+('PlayerGrades+'!$Y$54*(VLOOKUP(S588, 'PlayerGrades+'!$X$3:$Y$23, 2, FALSE)))+('PlayerGrades+'!$Y$55*(VLOOKUP(U588, 'PlayerGrades+'!$X$3:$Y$23, 2, FALSE)))</f>
        <v>#DIV/0!</v>
      </c>
      <c r="D588" s="1423" t="str">
        <f t="shared" si="12"/>
        <v>#DIV/0!</v>
      </c>
      <c r="E588" s="1423" t="str">
        <f>IF(D588&lt;'PlayerGrades+'!$AA$21,"F-",IF(D588&lt;'PlayerGrades+'!$AA$20,"F",IF(D588&lt;'PlayerGrades+'!$AA$19,"F+",IF(D588&lt;'PlayerGrades+'!$AA$18,"E-",IF(D588&lt;'PlayerGrades+'!$AA$17,"E",IF(D588&lt;'PlayerGrades+'!$AA$16,"E+",IF(D588&lt;'PlayerGrades+'!$AA$15,"D-",IF(D588&lt;'PlayerGrades+'!$AA$14,"D",IF(D588&lt;'PlayerGrades+'!$AA$13,"D+",IF(D588&lt;'PlayerGrades+'!$AA$12,"C-",IF(D588&lt;'PlayerGrades+'!$AA$11,"C",IF(D588&lt;'PlayerGrades+'!$AA$10,"C+",IF(D588&lt;'PlayerGrades+'!$AA$9,"B-",IF(D588&lt;'PlayerGrades+'!$AA$8,"B",IF(D588&lt;'PlayerGrades+'!$AA$7,"B+",IF(D588&lt;'PlayerGrades+'!$AA$6,"A-",IF(D588&lt;'PlayerGrades+'!$AA$5,"A",IF(D588&lt;'PlayerGrades+'!$AA$4,"A+",IF(D588&lt;'PlayerGrades+'!$AA$3,"S-",IF(D588&lt;'PlayerGrades+'!$AA$2,"S","S+"))))))))))))))))))))</f>
        <v>#DIV/0!</v>
      </c>
      <c r="F588" s="1423" t="str">
        <f t="shared" si="13"/>
        <v>#DIV/0!</v>
      </c>
      <c r="G588" s="1423" t="str">
        <f>IF(F588&lt;'PlayerGrades+'!$AB$21,"F-",IF(F588&lt;'PlayerGrades+'!$AB$20,"F",IF(F588&lt;'PlayerGrades+'!$AB$19,"F+",IF(F588&lt;'PlayerGrades+'!$AB$18,"E-",IF(F588&lt;'PlayerGrades+'!$AB$17,"E",IF(F588&lt;'PlayerGrades+'!$AB$16,"E+",IF(F588&lt;'PlayerGrades+'!$AB$15,"D-",IF(F588&lt;'PlayerGrades+'!$AB$14,"D",IF(F588&lt;'PlayerGrades+'!$AB$13,"D+",IF(F588&lt;'PlayerGrades+'!$AB$12,"C-",IF(F588&lt;'PlayerGrades+'!$AB$11,"C",IF(F588&lt;'PlayerGrades+'!$AB$10,"C+",IF(F588&lt;'PlayerGrades+'!$AB$9,"B-",IF(F588&lt;'PlayerGrades+'!$AB$8,"B",IF(F588&lt;'PlayerGrades+'!$AB$7,"B+",IF(F588&lt;'PlayerGrades+'!$AB$6,"A-",IF(F588&lt;'PlayerGrades+'!$AB$5,"A",IF(F588&lt;'PlayerGrades+'!$AB$4,"A+",IF(F588&lt;'PlayerGrades+'!$AB$3,"S-",IF(F588&lt;'PlayerGrades+'!$AB$2,"S","S+"))))))))))))))))))))</f>
        <v>#DIV/0!</v>
      </c>
      <c r="H588" s="1423" t="str">
        <f t="shared" si="14"/>
        <v>#DIV/0!</v>
      </c>
      <c r="I588" s="1423" t="str">
        <f>IF(H588&lt;'PlayerGrades+'!$AC$21,"F-",IF(H588&lt;'PlayerGrades+'!$AC$20,"F",IF(H588&lt;'PlayerGrades+'!$AC$19,"F+",IF(H588&lt;'PlayerGrades+'!$AC$18,"E-",IF(H588&lt;'PlayerGrades+'!$AC$17,"E",IF(H588&lt;'PlayerGrades+'!$AC$16,"E+",IF(H588&lt;'PlayerGrades+'!$AC$15,"D-",IF(H588&lt;'PlayerGrades+'!$AC$14,"D",IF(H588&lt;'PlayerGrades+'!$AC$13,"D+",IF(H588&lt;'PlayerGrades+'!$AC$12,"C-",IF(H588&lt;'PlayerGrades+'!$AC$11,"C",IF(H588&lt;'PlayerGrades+'!$AC$10,"C+",IF(H588&lt;'PlayerGrades+'!$AC$9,"B-",IF(H588&lt;'PlayerGrades+'!$AC$8,"B",IF(H588&lt;'PlayerGrades+'!$AC$7,"B+",IF(H588&lt;'PlayerGrades+'!$AC$6,"A-",IF(H588&lt;'PlayerGrades+'!$AC$5,"A",IF(H588&lt;'PlayerGrades+'!$AC$4,"A+",IF(H588&lt;'PlayerGrades+'!$AC$3,"S-",IF(H588&lt;'PlayerGrades+'!$AC$2,"S","S+"))))))))))))))))))))</f>
        <v>#DIV/0!</v>
      </c>
      <c r="J588" s="1423" t="str">
        <f t="shared" si="15"/>
        <v>#DIV/0!</v>
      </c>
      <c r="K588" s="1423" t="str">
        <f>IF(J588&lt;'PlayerGrades+'!$AD$21,"F-",IF(J588&lt;'PlayerGrades+'!$AD$20,"F",IF(J588&lt;'PlayerGrades+'!$AD$19,"F+",IF(J588&lt;'PlayerGrades+'!$AD$18,"E-",IF(J588&lt;'PlayerGrades+'!$AD$17,"E",IF(J588&lt;'PlayerGrades+'!$AD$16,"E+",IF(J588&lt;'PlayerGrades+'!$AD$15,"D-",IF(J588&lt;'PlayerGrades+'!$AD$14,"D",IF(J588&lt;'PlayerGrades+'!$AD$13,"D+",IF(J588&lt;'PlayerGrades+'!$AD$12,"C-",IF(J588&lt;'PlayerGrades+'!$AD$11,"C",IF(J588&lt;'PlayerGrades+'!$AD$10,"C+",IF(J588&lt;'PlayerGrades+'!$AD$9,"B-",IF(J588&lt;'PlayerGrades+'!$AD$8,"B",IF(J588&lt;'PlayerGrades+'!$AD$7,"B+",IF(J588&lt;'PlayerGrades+'!$AD$6,"A-",IF(J588&lt;'PlayerGrades+'!$AD$5,"A",IF(J588&lt;'PlayerGrades+'!$AD$4,"A+",IF(J588&lt;'PlayerGrades+'!$AD$3,"S-",IF(J588&lt;'PlayerGrades+'!$AD$2,"S","S+"))))))))))))))))))))</f>
        <v>#DIV/0!</v>
      </c>
      <c r="L588" s="1176" t="str">
        <f t="shared" si="16"/>
        <v>#DIV/0!</v>
      </c>
      <c r="M588" s="992" t="str">
        <f>IF(L588&lt;'PlayerGrades+'!$AE$21,"F-",IF(L588&lt;'PlayerGrades+'!$AE$20,"F",IF(L588&lt;'PlayerGrades+'!$AE$19,"F+",IF(L588&lt;'PlayerGrades+'!$AE$18,"E-",IF(L588&lt;'PlayerGrades+'!$AE$17,"E",IF(L588&lt;'PlayerGrades+'!$AE$16,"E+",IF(L588&lt;'PlayerGrades+'!$AE$15,"D-",IF(L588&lt;'PlayerGrades+'!$AE$14,"D",IF(L588&lt;'PlayerGrades+'!$AE$13,"D+",IF(L588&lt;'PlayerGrades+'!$AE$12,"C-",IF(L588&lt;'PlayerGrades+'!$AE$11,"C",IF(L588&lt;'PlayerGrades+'!$AE$10,"C+",IF(L588&lt;'PlayerGrades+'!$AE$9,"B-",IF(L588&lt;'PlayerGrades+'!$AE$8,"B",IF(L588&lt;'PlayerGrades+'!$AE$7,"B+",IF(L588&lt;'PlayerGrades+'!$AE$6,"A-",IF(L588&lt;'PlayerGrades+'!$AE$5,"A",IF(L588&lt;'PlayerGrades+'!$AE$4,"A+",IF(L588&lt;'PlayerGrades+'!$AE$3,"S-",IF(L588&lt;'PlayerGrades+'!$AE$2,"S","S+"))))))))))))))))))))</f>
        <v>#DIV/0!</v>
      </c>
      <c r="N588" s="1423" t="str">
        <f t="shared" si="17"/>
        <v>#DIV/0!</v>
      </c>
      <c r="O588" s="1423" t="str">
        <f>IF(N588&lt;'PlayerGrades+'!$AF$21,"F-",IF(N588&lt;'PlayerGrades+'!$AF$20,"F",IF(N588&lt;'PlayerGrades+'!$AF$19,"F+",IF(N588&lt;'PlayerGrades+'!$AF$18,"E-",IF(N588&lt;'PlayerGrades+'!$AF$17,"E",IF(N588&lt;'PlayerGrades+'!$AF$16,"E+",IF(N588&lt;'PlayerGrades+'!$AF$15,"D-",IF(N588&lt;'PlayerGrades+'!$AF$14,"D",IF(N588&lt;'PlayerGrades+'!$AF$13,"D+",IF(N588&lt;'PlayerGrades+'!$AF$12,"C-",IF(N588&lt;'PlayerGrades+'!$AF$11,"C",IF(N588&lt;'PlayerGrades+'!$AF$10,"C+",IF(N588&lt;'PlayerGrades+'!$AF$9,"B-",IF(N588&lt;'PlayerGrades+'!$AF$8,"B",IF(N588&lt;'PlayerGrades+'!$AF$7,"B+",IF(N588&lt;'PlayerGrades+'!$AF$6,"A-",IF(N588&lt;'PlayerGrades+'!$AF$5,"A",IF(N588&lt;'PlayerGrades+'!$AF$4,"A+",IF(N588&lt;'PlayerGrades+'!$AF$3,"S-",IF(N588&lt;'PlayerGrades+'!$AF$2,"S","S+"))))))))))))))))))))</f>
        <v>#DIV/0!</v>
      </c>
      <c r="P588" s="1423" t="str">
        <f t="shared" si="18"/>
        <v>#DIV/0!</v>
      </c>
      <c r="Q588" s="1423" t="str">
        <f>IF(P588&lt;'PlayerGrades+'!$AG$21,"F-",IF(P588&lt;'PlayerGrades+'!$AG$20,"F",IF(P588&lt;'PlayerGrades+'!$AG$19,"F+",IF(P588&lt;'PlayerGrades+'!$AG$18,"E-",IF(P588&lt;'PlayerGrades+'!$AG$17,"E",IF(P588&lt;'PlayerGrades+'!$AG$16,"E+",IF(P588&lt;'PlayerGrades+'!$AG$15,"D-",IF(P588&lt;'PlayerGrades+'!$AG$14,"D",IF(P588&lt;'PlayerGrades+'!$AG$13,"D+",IF(P588&lt;'PlayerGrades+'!$AG$12,"C-",IF(P588&lt;'PlayerGrades+'!$AG$11,"C",IF(P588&lt;'PlayerGrades+'!$AG$10,"C+",IF(P588&lt;'PlayerGrades+'!$AG$9,"B-",IF(P588&lt;'PlayerGrades+'!$AG$8,"B",IF(P588&lt;'PlayerGrades+'!$AG$7,"B+",IF(P588&lt;'PlayerGrades+'!$AG$6,"A-",IF(P588&lt;'PlayerGrades+'!$AG$5,"A",IF(P588&lt;'PlayerGrades+'!$AG$4,"A+",IF(P588&lt;'PlayerGrades+'!$AG$3,"S-",IF(P588&lt;'PlayerGrades+'!$AG$2,"S","S+"))))))))))))))))))))</f>
        <v>#DIV/0!</v>
      </c>
      <c r="R588" s="1423" t="str">
        <f t="shared" si="19"/>
        <v>#REF!</v>
      </c>
      <c r="S588" s="1423" t="str">
        <f>IF(R588&lt;'PlayerGrades+'!$AH$21,"F-",IF(R588&lt;'PlayerGrades+'!$AH$20,"F",IF(R588&lt;'PlayerGrades+'!$AH$19,"F+",IF(R588&lt;'PlayerGrades+'!$AH$18,"E-",IF(R588&lt;'PlayerGrades+'!$AH$17,"E",IF(R588&lt;'PlayerGrades+'!$AH$16,"E+",IF(R588&lt;'PlayerGrades+'!$AH$15,"D-",IF(R588&lt;'PlayerGrades+'!$AH$14,"D",IF(R588&lt;'PlayerGrades+'!$AH$13,"D+",IF(R588&lt;'PlayerGrades+'!$AH$12,"C-",IF(R588&lt;'PlayerGrades+'!$AH$11,"C",IF(R588&lt;'PlayerGrades+'!$AH$10,"C+",IF(R588&lt;'PlayerGrades+'!$AH$9,"B-",IF(R588&lt;'PlayerGrades+'!$AH$8,"B",IF(R588&lt;'PlayerGrades+'!$AH$7,"B+",IF(R588&lt;'PlayerGrades+'!$AH$6,"A-",IF(R588&lt;'PlayerGrades+'!$AH$5,"A",IF(R588&lt;'PlayerGrades+'!$AH$4,"A+",IF(R588&lt;'PlayerGrades+'!$AH$3,"S-",IF(R588&lt;'PlayerGrades+'!$AH$2,"S","S+"))))))))))))))))))))</f>
        <v>#REF!</v>
      </c>
      <c r="T588" s="1423" t="str">
        <f t="shared" si="20"/>
        <v>#REF!</v>
      </c>
      <c r="U588" s="1423" t="str">
        <f>IF(T588&lt;'PlayerGrades+'!$AI$21,"F-",IF(T588&lt;'PlayerGrades+'!$AI$20,"F",IF(T588&lt;'PlayerGrades+'!$AI$19,"F+",IF(T588&lt;'PlayerGrades+'!$AI$18,"E-",IF(T588&lt;'PlayerGrades+'!$AI$17,"E",IF(T588&lt;'PlayerGrades+'!$AI$16,"E+",IF(T588&lt;'PlayerGrades+'!$AI$15,"D-",IF(T588&lt;'PlayerGrades+'!$AI$14,"D",IF(T588&lt;'PlayerGrades+'!$AI$13,"D+",IF(T588&lt;'PlayerGrades+'!$AI$12,"C-",IF(T588&lt;'PlayerGrades+'!$AI$11,"C",IF(T588&lt;'PlayerGrades+'!$AI$10,"C+",IF(T588&lt;'PlayerGrades+'!$AI$9,"B-",IF(T588&lt;'PlayerGrades+'!$AI$8,"B",IF(T588&lt;'PlayerGrades+'!$AI$7,"B+",IF(T588&lt;'PlayerGrades+'!$AI$6,"A-",IF(T588&lt;'PlayerGrades+'!$AI$5,"A",IF(T588&lt;'PlayerGrades+'!$AI$4,"A+",IF(T588&lt;'PlayerGrades+'!$AI$3,"S-",IF(T588&lt;'PlayerGrades+'!$AI$2,"S","S+"))))))))))))))))))))</f>
        <v>#REF!</v>
      </c>
      <c r="AC588" s="1392"/>
    </row>
    <row r="589">
      <c r="B589" s="1421" t="str">
        <f>IF(C589&lt;'PlayerGrades+'!$Y$44,"F-",IF(C589&lt;'PlayerGrades+'!$Y$43,"F",IF(C589&lt;'PlayerGrades+'!$Y$42,"F+",IF(C589&lt;'PlayerGrades+'!$Y$41,"E-",IF(C589&lt;'PlayerGrades+'!$Y$40,"E",IF(C589&lt;'PlayerGrades+'!$Y$39,"E+",IF(C589&lt;'PlayerGrades+'!$Y$38,"D-",IF(C589&lt;'PlayerGrades+'!$Y$37,"D",IF(C589&lt;'PlayerGrades+'!$Y$36,"D+",IF(C589&lt;'PlayerGrades+'!$Y$35,"C-",IF(C589&lt;'PlayerGrades+'!$Y$34,"C",IF(C589&lt;'PlayerGrades+'!$Y$33,"C+",IF(C589&lt;'PlayerGrades+'!$Y$32,"B-",IF(C589&lt;'PlayerGrades+'!$Y$31,"B",IF(C589&lt;'PlayerGrades+'!$Y$30,"B+",IF(C589&lt;'PlayerGrades+'!$Y$29,"A-",IF(C589&lt;'PlayerGrades+'!$Y$28,"A",IF(C589&lt;'PlayerGrades+'!$Y$27,"A+",IF(C589&lt;'PlayerGrades+'!$Y$26,"S-",IF(C589&lt;'PlayerGrades+'!$Y$25,"S","S+"))))))))))))))))))))</f>
        <v>#DIV/0!</v>
      </c>
      <c r="C589" s="1422" t="str">
        <f>('PlayerGrades+'!$Y$47*(VLOOKUP(E589, 'PlayerGrades+'!$X$3:$Y$23, 2, FALSE)))+('PlayerGrades+'!$Y$48*(VLOOKUP(G589, 'PlayerGrades+'!$X$3:$Y$23, 2, FALSE)))+('PlayerGrades+'!$Y$49*(VLOOKUP(I589, 'PlayerGrades+'!$X$3:$Y$23, 2, FALSE)))+('PlayerGrades+'!$Y$50*(VLOOKUP(K589, 'PlayerGrades+'!$X$3:$Y$23, 2, FALSE)))+('PlayerGrades+'!$Y$51*(VLOOKUP(M589, 'PlayerGrades+'!$X$3:$Y$23, 2, FALSE)))+('PlayerGrades+'!$Y$52*(VLOOKUP(O589, 'PlayerGrades+'!$X$3:$Y$23, 2, FALSE)))+('PlayerGrades+'!$Y$53*(VLOOKUP(Q589, 'PlayerGrades+'!$X$3:$Y$23, 2, FALSE)))+('PlayerGrades+'!$Y$54*(VLOOKUP(S589, 'PlayerGrades+'!$X$3:$Y$23, 2, FALSE)))+('PlayerGrades+'!$Y$55*(VLOOKUP(U589, 'PlayerGrades+'!$X$3:$Y$23, 2, FALSE)))</f>
        <v>#DIV/0!</v>
      </c>
      <c r="D589" s="1423" t="str">
        <f t="shared" si="12"/>
        <v>#DIV/0!</v>
      </c>
      <c r="E589" s="1423" t="str">
        <f>IF(D589&lt;'PlayerGrades+'!$AA$21,"F-",IF(D589&lt;'PlayerGrades+'!$AA$20,"F",IF(D589&lt;'PlayerGrades+'!$AA$19,"F+",IF(D589&lt;'PlayerGrades+'!$AA$18,"E-",IF(D589&lt;'PlayerGrades+'!$AA$17,"E",IF(D589&lt;'PlayerGrades+'!$AA$16,"E+",IF(D589&lt;'PlayerGrades+'!$AA$15,"D-",IF(D589&lt;'PlayerGrades+'!$AA$14,"D",IF(D589&lt;'PlayerGrades+'!$AA$13,"D+",IF(D589&lt;'PlayerGrades+'!$AA$12,"C-",IF(D589&lt;'PlayerGrades+'!$AA$11,"C",IF(D589&lt;'PlayerGrades+'!$AA$10,"C+",IF(D589&lt;'PlayerGrades+'!$AA$9,"B-",IF(D589&lt;'PlayerGrades+'!$AA$8,"B",IF(D589&lt;'PlayerGrades+'!$AA$7,"B+",IF(D589&lt;'PlayerGrades+'!$AA$6,"A-",IF(D589&lt;'PlayerGrades+'!$AA$5,"A",IF(D589&lt;'PlayerGrades+'!$AA$4,"A+",IF(D589&lt;'PlayerGrades+'!$AA$3,"S-",IF(D589&lt;'PlayerGrades+'!$AA$2,"S","S+"))))))))))))))))))))</f>
        <v>#DIV/0!</v>
      </c>
      <c r="F589" s="1423" t="str">
        <f t="shared" si="13"/>
        <v>#DIV/0!</v>
      </c>
      <c r="G589" s="1423" t="str">
        <f>IF(F589&lt;'PlayerGrades+'!$AB$21,"F-",IF(F589&lt;'PlayerGrades+'!$AB$20,"F",IF(F589&lt;'PlayerGrades+'!$AB$19,"F+",IF(F589&lt;'PlayerGrades+'!$AB$18,"E-",IF(F589&lt;'PlayerGrades+'!$AB$17,"E",IF(F589&lt;'PlayerGrades+'!$AB$16,"E+",IF(F589&lt;'PlayerGrades+'!$AB$15,"D-",IF(F589&lt;'PlayerGrades+'!$AB$14,"D",IF(F589&lt;'PlayerGrades+'!$AB$13,"D+",IF(F589&lt;'PlayerGrades+'!$AB$12,"C-",IF(F589&lt;'PlayerGrades+'!$AB$11,"C",IF(F589&lt;'PlayerGrades+'!$AB$10,"C+",IF(F589&lt;'PlayerGrades+'!$AB$9,"B-",IF(F589&lt;'PlayerGrades+'!$AB$8,"B",IF(F589&lt;'PlayerGrades+'!$AB$7,"B+",IF(F589&lt;'PlayerGrades+'!$AB$6,"A-",IF(F589&lt;'PlayerGrades+'!$AB$5,"A",IF(F589&lt;'PlayerGrades+'!$AB$4,"A+",IF(F589&lt;'PlayerGrades+'!$AB$3,"S-",IF(F589&lt;'PlayerGrades+'!$AB$2,"S","S+"))))))))))))))))))))</f>
        <v>#DIV/0!</v>
      </c>
      <c r="H589" s="1423" t="str">
        <f t="shared" si="14"/>
        <v>#DIV/0!</v>
      </c>
      <c r="I589" s="1423" t="str">
        <f>IF(H589&lt;'PlayerGrades+'!$AC$21,"F-",IF(H589&lt;'PlayerGrades+'!$AC$20,"F",IF(H589&lt;'PlayerGrades+'!$AC$19,"F+",IF(H589&lt;'PlayerGrades+'!$AC$18,"E-",IF(H589&lt;'PlayerGrades+'!$AC$17,"E",IF(H589&lt;'PlayerGrades+'!$AC$16,"E+",IF(H589&lt;'PlayerGrades+'!$AC$15,"D-",IF(H589&lt;'PlayerGrades+'!$AC$14,"D",IF(H589&lt;'PlayerGrades+'!$AC$13,"D+",IF(H589&lt;'PlayerGrades+'!$AC$12,"C-",IF(H589&lt;'PlayerGrades+'!$AC$11,"C",IF(H589&lt;'PlayerGrades+'!$AC$10,"C+",IF(H589&lt;'PlayerGrades+'!$AC$9,"B-",IF(H589&lt;'PlayerGrades+'!$AC$8,"B",IF(H589&lt;'PlayerGrades+'!$AC$7,"B+",IF(H589&lt;'PlayerGrades+'!$AC$6,"A-",IF(H589&lt;'PlayerGrades+'!$AC$5,"A",IF(H589&lt;'PlayerGrades+'!$AC$4,"A+",IF(H589&lt;'PlayerGrades+'!$AC$3,"S-",IF(H589&lt;'PlayerGrades+'!$AC$2,"S","S+"))))))))))))))))))))</f>
        <v>#DIV/0!</v>
      </c>
      <c r="J589" s="1423" t="str">
        <f t="shared" si="15"/>
        <v>#DIV/0!</v>
      </c>
      <c r="K589" s="1423" t="str">
        <f>IF(J589&lt;'PlayerGrades+'!$AD$21,"F-",IF(J589&lt;'PlayerGrades+'!$AD$20,"F",IF(J589&lt;'PlayerGrades+'!$AD$19,"F+",IF(J589&lt;'PlayerGrades+'!$AD$18,"E-",IF(J589&lt;'PlayerGrades+'!$AD$17,"E",IF(J589&lt;'PlayerGrades+'!$AD$16,"E+",IF(J589&lt;'PlayerGrades+'!$AD$15,"D-",IF(J589&lt;'PlayerGrades+'!$AD$14,"D",IF(J589&lt;'PlayerGrades+'!$AD$13,"D+",IF(J589&lt;'PlayerGrades+'!$AD$12,"C-",IF(J589&lt;'PlayerGrades+'!$AD$11,"C",IF(J589&lt;'PlayerGrades+'!$AD$10,"C+",IF(J589&lt;'PlayerGrades+'!$AD$9,"B-",IF(J589&lt;'PlayerGrades+'!$AD$8,"B",IF(J589&lt;'PlayerGrades+'!$AD$7,"B+",IF(J589&lt;'PlayerGrades+'!$AD$6,"A-",IF(J589&lt;'PlayerGrades+'!$AD$5,"A",IF(J589&lt;'PlayerGrades+'!$AD$4,"A+",IF(J589&lt;'PlayerGrades+'!$AD$3,"S-",IF(J589&lt;'PlayerGrades+'!$AD$2,"S","S+"))))))))))))))))))))</f>
        <v>#DIV/0!</v>
      </c>
      <c r="L589" s="1176" t="str">
        <f t="shared" si="16"/>
        <v>#DIV/0!</v>
      </c>
      <c r="M589" s="992" t="str">
        <f>IF(L589&lt;'PlayerGrades+'!$AE$21,"F-",IF(L589&lt;'PlayerGrades+'!$AE$20,"F",IF(L589&lt;'PlayerGrades+'!$AE$19,"F+",IF(L589&lt;'PlayerGrades+'!$AE$18,"E-",IF(L589&lt;'PlayerGrades+'!$AE$17,"E",IF(L589&lt;'PlayerGrades+'!$AE$16,"E+",IF(L589&lt;'PlayerGrades+'!$AE$15,"D-",IF(L589&lt;'PlayerGrades+'!$AE$14,"D",IF(L589&lt;'PlayerGrades+'!$AE$13,"D+",IF(L589&lt;'PlayerGrades+'!$AE$12,"C-",IF(L589&lt;'PlayerGrades+'!$AE$11,"C",IF(L589&lt;'PlayerGrades+'!$AE$10,"C+",IF(L589&lt;'PlayerGrades+'!$AE$9,"B-",IF(L589&lt;'PlayerGrades+'!$AE$8,"B",IF(L589&lt;'PlayerGrades+'!$AE$7,"B+",IF(L589&lt;'PlayerGrades+'!$AE$6,"A-",IF(L589&lt;'PlayerGrades+'!$AE$5,"A",IF(L589&lt;'PlayerGrades+'!$AE$4,"A+",IF(L589&lt;'PlayerGrades+'!$AE$3,"S-",IF(L589&lt;'PlayerGrades+'!$AE$2,"S","S+"))))))))))))))))))))</f>
        <v>#DIV/0!</v>
      </c>
      <c r="N589" s="1423" t="str">
        <f t="shared" si="17"/>
        <v>#DIV/0!</v>
      </c>
      <c r="O589" s="1423" t="str">
        <f>IF(N589&lt;'PlayerGrades+'!$AF$21,"F-",IF(N589&lt;'PlayerGrades+'!$AF$20,"F",IF(N589&lt;'PlayerGrades+'!$AF$19,"F+",IF(N589&lt;'PlayerGrades+'!$AF$18,"E-",IF(N589&lt;'PlayerGrades+'!$AF$17,"E",IF(N589&lt;'PlayerGrades+'!$AF$16,"E+",IF(N589&lt;'PlayerGrades+'!$AF$15,"D-",IF(N589&lt;'PlayerGrades+'!$AF$14,"D",IF(N589&lt;'PlayerGrades+'!$AF$13,"D+",IF(N589&lt;'PlayerGrades+'!$AF$12,"C-",IF(N589&lt;'PlayerGrades+'!$AF$11,"C",IF(N589&lt;'PlayerGrades+'!$AF$10,"C+",IF(N589&lt;'PlayerGrades+'!$AF$9,"B-",IF(N589&lt;'PlayerGrades+'!$AF$8,"B",IF(N589&lt;'PlayerGrades+'!$AF$7,"B+",IF(N589&lt;'PlayerGrades+'!$AF$6,"A-",IF(N589&lt;'PlayerGrades+'!$AF$5,"A",IF(N589&lt;'PlayerGrades+'!$AF$4,"A+",IF(N589&lt;'PlayerGrades+'!$AF$3,"S-",IF(N589&lt;'PlayerGrades+'!$AF$2,"S","S+"))))))))))))))))))))</f>
        <v>#DIV/0!</v>
      </c>
      <c r="P589" s="1423" t="str">
        <f t="shared" si="18"/>
        <v>#DIV/0!</v>
      </c>
      <c r="Q589" s="1423" t="str">
        <f>IF(P589&lt;'PlayerGrades+'!$AG$21,"F-",IF(P589&lt;'PlayerGrades+'!$AG$20,"F",IF(P589&lt;'PlayerGrades+'!$AG$19,"F+",IF(P589&lt;'PlayerGrades+'!$AG$18,"E-",IF(P589&lt;'PlayerGrades+'!$AG$17,"E",IF(P589&lt;'PlayerGrades+'!$AG$16,"E+",IF(P589&lt;'PlayerGrades+'!$AG$15,"D-",IF(P589&lt;'PlayerGrades+'!$AG$14,"D",IF(P589&lt;'PlayerGrades+'!$AG$13,"D+",IF(P589&lt;'PlayerGrades+'!$AG$12,"C-",IF(P589&lt;'PlayerGrades+'!$AG$11,"C",IF(P589&lt;'PlayerGrades+'!$AG$10,"C+",IF(P589&lt;'PlayerGrades+'!$AG$9,"B-",IF(P589&lt;'PlayerGrades+'!$AG$8,"B",IF(P589&lt;'PlayerGrades+'!$AG$7,"B+",IF(P589&lt;'PlayerGrades+'!$AG$6,"A-",IF(P589&lt;'PlayerGrades+'!$AG$5,"A",IF(P589&lt;'PlayerGrades+'!$AG$4,"A+",IF(P589&lt;'PlayerGrades+'!$AG$3,"S-",IF(P589&lt;'PlayerGrades+'!$AG$2,"S","S+"))))))))))))))))))))</f>
        <v>#DIV/0!</v>
      </c>
      <c r="R589" s="1423" t="str">
        <f t="shared" si="19"/>
        <v>#REF!</v>
      </c>
      <c r="S589" s="1423" t="str">
        <f>IF(R589&lt;'PlayerGrades+'!$AH$21,"F-",IF(R589&lt;'PlayerGrades+'!$AH$20,"F",IF(R589&lt;'PlayerGrades+'!$AH$19,"F+",IF(R589&lt;'PlayerGrades+'!$AH$18,"E-",IF(R589&lt;'PlayerGrades+'!$AH$17,"E",IF(R589&lt;'PlayerGrades+'!$AH$16,"E+",IF(R589&lt;'PlayerGrades+'!$AH$15,"D-",IF(R589&lt;'PlayerGrades+'!$AH$14,"D",IF(R589&lt;'PlayerGrades+'!$AH$13,"D+",IF(R589&lt;'PlayerGrades+'!$AH$12,"C-",IF(R589&lt;'PlayerGrades+'!$AH$11,"C",IF(R589&lt;'PlayerGrades+'!$AH$10,"C+",IF(R589&lt;'PlayerGrades+'!$AH$9,"B-",IF(R589&lt;'PlayerGrades+'!$AH$8,"B",IF(R589&lt;'PlayerGrades+'!$AH$7,"B+",IF(R589&lt;'PlayerGrades+'!$AH$6,"A-",IF(R589&lt;'PlayerGrades+'!$AH$5,"A",IF(R589&lt;'PlayerGrades+'!$AH$4,"A+",IF(R589&lt;'PlayerGrades+'!$AH$3,"S-",IF(R589&lt;'PlayerGrades+'!$AH$2,"S","S+"))))))))))))))))))))</f>
        <v>#REF!</v>
      </c>
      <c r="T589" s="1423" t="str">
        <f t="shared" si="20"/>
        <v>#REF!</v>
      </c>
      <c r="U589" s="1423" t="str">
        <f>IF(T589&lt;'PlayerGrades+'!$AI$21,"F-",IF(T589&lt;'PlayerGrades+'!$AI$20,"F",IF(T589&lt;'PlayerGrades+'!$AI$19,"F+",IF(T589&lt;'PlayerGrades+'!$AI$18,"E-",IF(T589&lt;'PlayerGrades+'!$AI$17,"E",IF(T589&lt;'PlayerGrades+'!$AI$16,"E+",IF(T589&lt;'PlayerGrades+'!$AI$15,"D-",IF(T589&lt;'PlayerGrades+'!$AI$14,"D",IF(T589&lt;'PlayerGrades+'!$AI$13,"D+",IF(T589&lt;'PlayerGrades+'!$AI$12,"C-",IF(T589&lt;'PlayerGrades+'!$AI$11,"C",IF(T589&lt;'PlayerGrades+'!$AI$10,"C+",IF(T589&lt;'PlayerGrades+'!$AI$9,"B-",IF(T589&lt;'PlayerGrades+'!$AI$8,"B",IF(T589&lt;'PlayerGrades+'!$AI$7,"B+",IF(T589&lt;'PlayerGrades+'!$AI$6,"A-",IF(T589&lt;'PlayerGrades+'!$AI$5,"A",IF(T589&lt;'PlayerGrades+'!$AI$4,"A+",IF(T589&lt;'PlayerGrades+'!$AI$3,"S-",IF(T589&lt;'PlayerGrades+'!$AI$2,"S","S+"))))))))))))))))))))</f>
        <v>#REF!</v>
      </c>
      <c r="AC589" s="1392"/>
    </row>
    <row r="590">
      <c r="B590" s="1421" t="str">
        <f>IF(C590&lt;'PlayerGrades+'!$Y$44,"F-",IF(C590&lt;'PlayerGrades+'!$Y$43,"F",IF(C590&lt;'PlayerGrades+'!$Y$42,"F+",IF(C590&lt;'PlayerGrades+'!$Y$41,"E-",IF(C590&lt;'PlayerGrades+'!$Y$40,"E",IF(C590&lt;'PlayerGrades+'!$Y$39,"E+",IF(C590&lt;'PlayerGrades+'!$Y$38,"D-",IF(C590&lt;'PlayerGrades+'!$Y$37,"D",IF(C590&lt;'PlayerGrades+'!$Y$36,"D+",IF(C590&lt;'PlayerGrades+'!$Y$35,"C-",IF(C590&lt;'PlayerGrades+'!$Y$34,"C",IF(C590&lt;'PlayerGrades+'!$Y$33,"C+",IF(C590&lt;'PlayerGrades+'!$Y$32,"B-",IF(C590&lt;'PlayerGrades+'!$Y$31,"B",IF(C590&lt;'PlayerGrades+'!$Y$30,"B+",IF(C590&lt;'PlayerGrades+'!$Y$29,"A-",IF(C590&lt;'PlayerGrades+'!$Y$28,"A",IF(C590&lt;'PlayerGrades+'!$Y$27,"A+",IF(C590&lt;'PlayerGrades+'!$Y$26,"S-",IF(C590&lt;'PlayerGrades+'!$Y$25,"S","S+"))))))))))))))))))))</f>
        <v>#DIV/0!</v>
      </c>
      <c r="C590" s="1422" t="str">
        <f>('PlayerGrades+'!$Y$47*(VLOOKUP(E590, 'PlayerGrades+'!$X$3:$Y$23, 2, FALSE)))+('PlayerGrades+'!$Y$48*(VLOOKUP(G590, 'PlayerGrades+'!$X$3:$Y$23, 2, FALSE)))+('PlayerGrades+'!$Y$49*(VLOOKUP(I590, 'PlayerGrades+'!$X$3:$Y$23, 2, FALSE)))+('PlayerGrades+'!$Y$50*(VLOOKUP(K590, 'PlayerGrades+'!$X$3:$Y$23, 2, FALSE)))+('PlayerGrades+'!$Y$51*(VLOOKUP(M590, 'PlayerGrades+'!$X$3:$Y$23, 2, FALSE)))+('PlayerGrades+'!$Y$52*(VLOOKUP(O590, 'PlayerGrades+'!$X$3:$Y$23, 2, FALSE)))+('PlayerGrades+'!$Y$53*(VLOOKUP(Q590, 'PlayerGrades+'!$X$3:$Y$23, 2, FALSE)))+('PlayerGrades+'!$Y$54*(VLOOKUP(S590, 'PlayerGrades+'!$X$3:$Y$23, 2, FALSE)))+('PlayerGrades+'!$Y$55*(VLOOKUP(U590, 'PlayerGrades+'!$X$3:$Y$23, 2, FALSE)))</f>
        <v>#DIV/0!</v>
      </c>
      <c r="D590" s="1423" t="str">
        <f t="shared" si="12"/>
        <v>#DIV/0!</v>
      </c>
      <c r="E590" s="1423" t="str">
        <f>IF(D590&lt;'PlayerGrades+'!$AA$21,"F-",IF(D590&lt;'PlayerGrades+'!$AA$20,"F",IF(D590&lt;'PlayerGrades+'!$AA$19,"F+",IF(D590&lt;'PlayerGrades+'!$AA$18,"E-",IF(D590&lt;'PlayerGrades+'!$AA$17,"E",IF(D590&lt;'PlayerGrades+'!$AA$16,"E+",IF(D590&lt;'PlayerGrades+'!$AA$15,"D-",IF(D590&lt;'PlayerGrades+'!$AA$14,"D",IF(D590&lt;'PlayerGrades+'!$AA$13,"D+",IF(D590&lt;'PlayerGrades+'!$AA$12,"C-",IF(D590&lt;'PlayerGrades+'!$AA$11,"C",IF(D590&lt;'PlayerGrades+'!$AA$10,"C+",IF(D590&lt;'PlayerGrades+'!$AA$9,"B-",IF(D590&lt;'PlayerGrades+'!$AA$8,"B",IF(D590&lt;'PlayerGrades+'!$AA$7,"B+",IF(D590&lt;'PlayerGrades+'!$AA$6,"A-",IF(D590&lt;'PlayerGrades+'!$AA$5,"A",IF(D590&lt;'PlayerGrades+'!$AA$4,"A+",IF(D590&lt;'PlayerGrades+'!$AA$3,"S-",IF(D590&lt;'PlayerGrades+'!$AA$2,"S","S+"))))))))))))))))))))</f>
        <v>#DIV/0!</v>
      </c>
      <c r="F590" s="1423" t="str">
        <f t="shared" si="13"/>
        <v>#DIV/0!</v>
      </c>
      <c r="G590" s="1423" t="str">
        <f>IF(F590&lt;'PlayerGrades+'!$AB$21,"F-",IF(F590&lt;'PlayerGrades+'!$AB$20,"F",IF(F590&lt;'PlayerGrades+'!$AB$19,"F+",IF(F590&lt;'PlayerGrades+'!$AB$18,"E-",IF(F590&lt;'PlayerGrades+'!$AB$17,"E",IF(F590&lt;'PlayerGrades+'!$AB$16,"E+",IF(F590&lt;'PlayerGrades+'!$AB$15,"D-",IF(F590&lt;'PlayerGrades+'!$AB$14,"D",IF(F590&lt;'PlayerGrades+'!$AB$13,"D+",IF(F590&lt;'PlayerGrades+'!$AB$12,"C-",IF(F590&lt;'PlayerGrades+'!$AB$11,"C",IF(F590&lt;'PlayerGrades+'!$AB$10,"C+",IF(F590&lt;'PlayerGrades+'!$AB$9,"B-",IF(F590&lt;'PlayerGrades+'!$AB$8,"B",IF(F590&lt;'PlayerGrades+'!$AB$7,"B+",IF(F590&lt;'PlayerGrades+'!$AB$6,"A-",IF(F590&lt;'PlayerGrades+'!$AB$5,"A",IF(F590&lt;'PlayerGrades+'!$AB$4,"A+",IF(F590&lt;'PlayerGrades+'!$AB$3,"S-",IF(F590&lt;'PlayerGrades+'!$AB$2,"S","S+"))))))))))))))))))))</f>
        <v>#DIV/0!</v>
      </c>
      <c r="H590" s="1423" t="str">
        <f t="shared" si="14"/>
        <v>#DIV/0!</v>
      </c>
      <c r="I590" s="1423" t="str">
        <f>IF(H590&lt;'PlayerGrades+'!$AC$21,"F-",IF(H590&lt;'PlayerGrades+'!$AC$20,"F",IF(H590&lt;'PlayerGrades+'!$AC$19,"F+",IF(H590&lt;'PlayerGrades+'!$AC$18,"E-",IF(H590&lt;'PlayerGrades+'!$AC$17,"E",IF(H590&lt;'PlayerGrades+'!$AC$16,"E+",IF(H590&lt;'PlayerGrades+'!$AC$15,"D-",IF(H590&lt;'PlayerGrades+'!$AC$14,"D",IF(H590&lt;'PlayerGrades+'!$AC$13,"D+",IF(H590&lt;'PlayerGrades+'!$AC$12,"C-",IF(H590&lt;'PlayerGrades+'!$AC$11,"C",IF(H590&lt;'PlayerGrades+'!$AC$10,"C+",IF(H590&lt;'PlayerGrades+'!$AC$9,"B-",IF(H590&lt;'PlayerGrades+'!$AC$8,"B",IF(H590&lt;'PlayerGrades+'!$AC$7,"B+",IF(H590&lt;'PlayerGrades+'!$AC$6,"A-",IF(H590&lt;'PlayerGrades+'!$AC$5,"A",IF(H590&lt;'PlayerGrades+'!$AC$4,"A+",IF(H590&lt;'PlayerGrades+'!$AC$3,"S-",IF(H590&lt;'PlayerGrades+'!$AC$2,"S","S+"))))))))))))))))))))</f>
        <v>#DIV/0!</v>
      </c>
      <c r="J590" s="1423" t="str">
        <f t="shared" si="15"/>
        <v>#DIV/0!</v>
      </c>
      <c r="K590" s="1423" t="str">
        <f>IF(J590&lt;'PlayerGrades+'!$AD$21,"F-",IF(J590&lt;'PlayerGrades+'!$AD$20,"F",IF(J590&lt;'PlayerGrades+'!$AD$19,"F+",IF(J590&lt;'PlayerGrades+'!$AD$18,"E-",IF(J590&lt;'PlayerGrades+'!$AD$17,"E",IF(J590&lt;'PlayerGrades+'!$AD$16,"E+",IF(J590&lt;'PlayerGrades+'!$AD$15,"D-",IF(J590&lt;'PlayerGrades+'!$AD$14,"D",IF(J590&lt;'PlayerGrades+'!$AD$13,"D+",IF(J590&lt;'PlayerGrades+'!$AD$12,"C-",IF(J590&lt;'PlayerGrades+'!$AD$11,"C",IF(J590&lt;'PlayerGrades+'!$AD$10,"C+",IF(J590&lt;'PlayerGrades+'!$AD$9,"B-",IF(J590&lt;'PlayerGrades+'!$AD$8,"B",IF(J590&lt;'PlayerGrades+'!$AD$7,"B+",IF(J590&lt;'PlayerGrades+'!$AD$6,"A-",IF(J590&lt;'PlayerGrades+'!$AD$5,"A",IF(J590&lt;'PlayerGrades+'!$AD$4,"A+",IF(J590&lt;'PlayerGrades+'!$AD$3,"S-",IF(J590&lt;'PlayerGrades+'!$AD$2,"S","S+"))))))))))))))))))))</f>
        <v>#DIV/0!</v>
      </c>
      <c r="L590" s="1176" t="str">
        <f t="shared" si="16"/>
        <v>#DIV/0!</v>
      </c>
      <c r="M590" s="992" t="str">
        <f>IF(L590&lt;'PlayerGrades+'!$AE$21,"F-",IF(L590&lt;'PlayerGrades+'!$AE$20,"F",IF(L590&lt;'PlayerGrades+'!$AE$19,"F+",IF(L590&lt;'PlayerGrades+'!$AE$18,"E-",IF(L590&lt;'PlayerGrades+'!$AE$17,"E",IF(L590&lt;'PlayerGrades+'!$AE$16,"E+",IF(L590&lt;'PlayerGrades+'!$AE$15,"D-",IF(L590&lt;'PlayerGrades+'!$AE$14,"D",IF(L590&lt;'PlayerGrades+'!$AE$13,"D+",IF(L590&lt;'PlayerGrades+'!$AE$12,"C-",IF(L590&lt;'PlayerGrades+'!$AE$11,"C",IF(L590&lt;'PlayerGrades+'!$AE$10,"C+",IF(L590&lt;'PlayerGrades+'!$AE$9,"B-",IF(L590&lt;'PlayerGrades+'!$AE$8,"B",IF(L590&lt;'PlayerGrades+'!$AE$7,"B+",IF(L590&lt;'PlayerGrades+'!$AE$6,"A-",IF(L590&lt;'PlayerGrades+'!$AE$5,"A",IF(L590&lt;'PlayerGrades+'!$AE$4,"A+",IF(L590&lt;'PlayerGrades+'!$AE$3,"S-",IF(L590&lt;'PlayerGrades+'!$AE$2,"S","S+"))))))))))))))))))))</f>
        <v>#DIV/0!</v>
      </c>
      <c r="N590" s="1423" t="str">
        <f t="shared" si="17"/>
        <v>#DIV/0!</v>
      </c>
      <c r="O590" s="1423" t="str">
        <f>IF(N590&lt;'PlayerGrades+'!$AF$21,"F-",IF(N590&lt;'PlayerGrades+'!$AF$20,"F",IF(N590&lt;'PlayerGrades+'!$AF$19,"F+",IF(N590&lt;'PlayerGrades+'!$AF$18,"E-",IF(N590&lt;'PlayerGrades+'!$AF$17,"E",IF(N590&lt;'PlayerGrades+'!$AF$16,"E+",IF(N590&lt;'PlayerGrades+'!$AF$15,"D-",IF(N590&lt;'PlayerGrades+'!$AF$14,"D",IF(N590&lt;'PlayerGrades+'!$AF$13,"D+",IF(N590&lt;'PlayerGrades+'!$AF$12,"C-",IF(N590&lt;'PlayerGrades+'!$AF$11,"C",IF(N590&lt;'PlayerGrades+'!$AF$10,"C+",IF(N590&lt;'PlayerGrades+'!$AF$9,"B-",IF(N590&lt;'PlayerGrades+'!$AF$8,"B",IF(N590&lt;'PlayerGrades+'!$AF$7,"B+",IF(N590&lt;'PlayerGrades+'!$AF$6,"A-",IF(N590&lt;'PlayerGrades+'!$AF$5,"A",IF(N590&lt;'PlayerGrades+'!$AF$4,"A+",IF(N590&lt;'PlayerGrades+'!$AF$3,"S-",IF(N590&lt;'PlayerGrades+'!$AF$2,"S","S+"))))))))))))))))))))</f>
        <v>#DIV/0!</v>
      </c>
      <c r="P590" s="1423" t="str">
        <f t="shared" si="18"/>
        <v>#DIV/0!</v>
      </c>
      <c r="Q590" s="1423" t="str">
        <f>IF(P590&lt;'PlayerGrades+'!$AG$21,"F-",IF(P590&lt;'PlayerGrades+'!$AG$20,"F",IF(P590&lt;'PlayerGrades+'!$AG$19,"F+",IF(P590&lt;'PlayerGrades+'!$AG$18,"E-",IF(P590&lt;'PlayerGrades+'!$AG$17,"E",IF(P590&lt;'PlayerGrades+'!$AG$16,"E+",IF(P590&lt;'PlayerGrades+'!$AG$15,"D-",IF(P590&lt;'PlayerGrades+'!$AG$14,"D",IF(P590&lt;'PlayerGrades+'!$AG$13,"D+",IF(P590&lt;'PlayerGrades+'!$AG$12,"C-",IF(P590&lt;'PlayerGrades+'!$AG$11,"C",IF(P590&lt;'PlayerGrades+'!$AG$10,"C+",IF(P590&lt;'PlayerGrades+'!$AG$9,"B-",IF(P590&lt;'PlayerGrades+'!$AG$8,"B",IF(P590&lt;'PlayerGrades+'!$AG$7,"B+",IF(P590&lt;'PlayerGrades+'!$AG$6,"A-",IF(P590&lt;'PlayerGrades+'!$AG$5,"A",IF(P590&lt;'PlayerGrades+'!$AG$4,"A+",IF(P590&lt;'PlayerGrades+'!$AG$3,"S-",IF(P590&lt;'PlayerGrades+'!$AG$2,"S","S+"))))))))))))))))))))</f>
        <v>#DIV/0!</v>
      </c>
      <c r="R590" s="1423" t="str">
        <f t="shared" si="19"/>
        <v>#REF!</v>
      </c>
      <c r="S590" s="1423" t="str">
        <f>IF(R590&lt;'PlayerGrades+'!$AH$21,"F-",IF(R590&lt;'PlayerGrades+'!$AH$20,"F",IF(R590&lt;'PlayerGrades+'!$AH$19,"F+",IF(R590&lt;'PlayerGrades+'!$AH$18,"E-",IF(R590&lt;'PlayerGrades+'!$AH$17,"E",IF(R590&lt;'PlayerGrades+'!$AH$16,"E+",IF(R590&lt;'PlayerGrades+'!$AH$15,"D-",IF(R590&lt;'PlayerGrades+'!$AH$14,"D",IF(R590&lt;'PlayerGrades+'!$AH$13,"D+",IF(R590&lt;'PlayerGrades+'!$AH$12,"C-",IF(R590&lt;'PlayerGrades+'!$AH$11,"C",IF(R590&lt;'PlayerGrades+'!$AH$10,"C+",IF(R590&lt;'PlayerGrades+'!$AH$9,"B-",IF(R590&lt;'PlayerGrades+'!$AH$8,"B",IF(R590&lt;'PlayerGrades+'!$AH$7,"B+",IF(R590&lt;'PlayerGrades+'!$AH$6,"A-",IF(R590&lt;'PlayerGrades+'!$AH$5,"A",IF(R590&lt;'PlayerGrades+'!$AH$4,"A+",IF(R590&lt;'PlayerGrades+'!$AH$3,"S-",IF(R590&lt;'PlayerGrades+'!$AH$2,"S","S+"))))))))))))))))))))</f>
        <v>#REF!</v>
      </c>
      <c r="T590" s="1423" t="str">
        <f t="shared" si="20"/>
        <v>#REF!</v>
      </c>
      <c r="U590" s="1423" t="str">
        <f>IF(T590&lt;'PlayerGrades+'!$AI$21,"F-",IF(T590&lt;'PlayerGrades+'!$AI$20,"F",IF(T590&lt;'PlayerGrades+'!$AI$19,"F+",IF(T590&lt;'PlayerGrades+'!$AI$18,"E-",IF(T590&lt;'PlayerGrades+'!$AI$17,"E",IF(T590&lt;'PlayerGrades+'!$AI$16,"E+",IF(T590&lt;'PlayerGrades+'!$AI$15,"D-",IF(T590&lt;'PlayerGrades+'!$AI$14,"D",IF(T590&lt;'PlayerGrades+'!$AI$13,"D+",IF(T590&lt;'PlayerGrades+'!$AI$12,"C-",IF(T590&lt;'PlayerGrades+'!$AI$11,"C",IF(T590&lt;'PlayerGrades+'!$AI$10,"C+",IF(T590&lt;'PlayerGrades+'!$AI$9,"B-",IF(T590&lt;'PlayerGrades+'!$AI$8,"B",IF(T590&lt;'PlayerGrades+'!$AI$7,"B+",IF(T590&lt;'PlayerGrades+'!$AI$6,"A-",IF(T590&lt;'PlayerGrades+'!$AI$5,"A",IF(T590&lt;'PlayerGrades+'!$AI$4,"A+",IF(T590&lt;'PlayerGrades+'!$AI$3,"S-",IF(T590&lt;'PlayerGrades+'!$AI$2,"S","S+"))))))))))))))))))))</f>
        <v>#REF!</v>
      </c>
      <c r="AC590" s="1392"/>
    </row>
    <row r="591">
      <c r="B591" s="1421" t="str">
        <f>IF(C591&lt;'PlayerGrades+'!$Y$44,"F-",IF(C591&lt;'PlayerGrades+'!$Y$43,"F",IF(C591&lt;'PlayerGrades+'!$Y$42,"F+",IF(C591&lt;'PlayerGrades+'!$Y$41,"E-",IF(C591&lt;'PlayerGrades+'!$Y$40,"E",IF(C591&lt;'PlayerGrades+'!$Y$39,"E+",IF(C591&lt;'PlayerGrades+'!$Y$38,"D-",IF(C591&lt;'PlayerGrades+'!$Y$37,"D",IF(C591&lt;'PlayerGrades+'!$Y$36,"D+",IF(C591&lt;'PlayerGrades+'!$Y$35,"C-",IF(C591&lt;'PlayerGrades+'!$Y$34,"C",IF(C591&lt;'PlayerGrades+'!$Y$33,"C+",IF(C591&lt;'PlayerGrades+'!$Y$32,"B-",IF(C591&lt;'PlayerGrades+'!$Y$31,"B",IF(C591&lt;'PlayerGrades+'!$Y$30,"B+",IF(C591&lt;'PlayerGrades+'!$Y$29,"A-",IF(C591&lt;'PlayerGrades+'!$Y$28,"A",IF(C591&lt;'PlayerGrades+'!$Y$27,"A+",IF(C591&lt;'PlayerGrades+'!$Y$26,"S-",IF(C591&lt;'PlayerGrades+'!$Y$25,"S","S+"))))))))))))))))))))</f>
        <v>#DIV/0!</v>
      </c>
      <c r="C591" s="1422" t="str">
        <f>('PlayerGrades+'!$Y$47*(VLOOKUP(E591, 'PlayerGrades+'!$X$3:$Y$23, 2, FALSE)))+('PlayerGrades+'!$Y$48*(VLOOKUP(G591, 'PlayerGrades+'!$X$3:$Y$23, 2, FALSE)))+('PlayerGrades+'!$Y$49*(VLOOKUP(I591, 'PlayerGrades+'!$X$3:$Y$23, 2, FALSE)))+('PlayerGrades+'!$Y$50*(VLOOKUP(K591, 'PlayerGrades+'!$X$3:$Y$23, 2, FALSE)))+('PlayerGrades+'!$Y$51*(VLOOKUP(M591, 'PlayerGrades+'!$X$3:$Y$23, 2, FALSE)))+('PlayerGrades+'!$Y$52*(VLOOKUP(O591, 'PlayerGrades+'!$X$3:$Y$23, 2, FALSE)))+('PlayerGrades+'!$Y$53*(VLOOKUP(Q591, 'PlayerGrades+'!$X$3:$Y$23, 2, FALSE)))+('PlayerGrades+'!$Y$54*(VLOOKUP(S591, 'PlayerGrades+'!$X$3:$Y$23, 2, FALSE)))+('PlayerGrades+'!$Y$55*(VLOOKUP(U591, 'PlayerGrades+'!$X$3:$Y$23, 2, FALSE)))</f>
        <v>#DIV/0!</v>
      </c>
      <c r="D591" s="1423" t="str">
        <f t="shared" si="12"/>
        <v>#DIV/0!</v>
      </c>
      <c r="E591" s="1423" t="str">
        <f>IF(D591&lt;'PlayerGrades+'!$AA$21,"F-",IF(D591&lt;'PlayerGrades+'!$AA$20,"F",IF(D591&lt;'PlayerGrades+'!$AA$19,"F+",IF(D591&lt;'PlayerGrades+'!$AA$18,"E-",IF(D591&lt;'PlayerGrades+'!$AA$17,"E",IF(D591&lt;'PlayerGrades+'!$AA$16,"E+",IF(D591&lt;'PlayerGrades+'!$AA$15,"D-",IF(D591&lt;'PlayerGrades+'!$AA$14,"D",IF(D591&lt;'PlayerGrades+'!$AA$13,"D+",IF(D591&lt;'PlayerGrades+'!$AA$12,"C-",IF(D591&lt;'PlayerGrades+'!$AA$11,"C",IF(D591&lt;'PlayerGrades+'!$AA$10,"C+",IF(D591&lt;'PlayerGrades+'!$AA$9,"B-",IF(D591&lt;'PlayerGrades+'!$AA$8,"B",IF(D591&lt;'PlayerGrades+'!$AA$7,"B+",IF(D591&lt;'PlayerGrades+'!$AA$6,"A-",IF(D591&lt;'PlayerGrades+'!$AA$5,"A",IF(D591&lt;'PlayerGrades+'!$AA$4,"A+",IF(D591&lt;'PlayerGrades+'!$AA$3,"S-",IF(D591&lt;'PlayerGrades+'!$AA$2,"S","S+"))))))))))))))))))))</f>
        <v>#DIV/0!</v>
      </c>
      <c r="F591" s="1423" t="str">
        <f t="shared" si="13"/>
        <v>#DIV/0!</v>
      </c>
      <c r="G591" s="1423" t="str">
        <f>IF(F591&lt;'PlayerGrades+'!$AB$21,"F-",IF(F591&lt;'PlayerGrades+'!$AB$20,"F",IF(F591&lt;'PlayerGrades+'!$AB$19,"F+",IF(F591&lt;'PlayerGrades+'!$AB$18,"E-",IF(F591&lt;'PlayerGrades+'!$AB$17,"E",IF(F591&lt;'PlayerGrades+'!$AB$16,"E+",IF(F591&lt;'PlayerGrades+'!$AB$15,"D-",IF(F591&lt;'PlayerGrades+'!$AB$14,"D",IF(F591&lt;'PlayerGrades+'!$AB$13,"D+",IF(F591&lt;'PlayerGrades+'!$AB$12,"C-",IF(F591&lt;'PlayerGrades+'!$AB$11,"C",IF(F591&lt;'PlayerGrades+'!$AB$10,"C+",IF(F591&lt;'PlayerGrades+'!$AB$9,"B-",IF(F591&lt;'PlayerGrades+'!$AB$8,"B",IF(F591&lt;'PlayerGrades+'!$AB$7,"B+",IF(F591&lt;'PlayerGrades+'!$AB$6,"A-",IF(F591&lt;'PlayerGrades+'!$AB$5,"A",IF(F591&lt;'PlayerGrades+'!$AB$4,"A+",IF(F591&lt;'PlayerGrades+'!$AB$3,"S-",IF(F591&lt;'PlayerGrades+'!$AB$2,"S","S+"))))))))))))))))))))</f>
        <v>#DIV/0!</v>
      </c>
      <c r="H591" s="1423" t="str">
        <f t="shared" si="14"/>
        <v>#DIV/0!</v>
      </c>
      <c r="I591" s="1423" t="str">
        <f>IF(H591&lt;'PlayerGrades+'!$AC$21,"F-",IF(H591&lt;'PlayerGrades+'!$AC$20,"F",IF(H591&lt;'PlayerGrades+'!$AC$19,"F+",IF(H591&lt;'PlayerGrades+'!$AC$18,"E-",IF(H591&lt;'PlayerGrades+'!$AC$17,"E",IF(H591&lt;'PlayerGrades+'!$AC$16,"E+",IF(H591&lt;'PlayerGrades+'!$AC$15,"D-",IF(H591&lt;'PlayerGrades+'!$AC$14,"D",IF(H591&lt;'PlayerGrades+'!$AC$13,"D+",IF(H591&lt;'PlayerGrades+'!$AC$12,"C-",IF(H591&lt;'PlayerGrades+'!$AC$11,"C",IF(H591&lt;'PlayerGrades+'!$AC$10,"C+",IF(H591&lt;'PlayerGrades+'!$AC$9,"B-",IF(H591&lt;'PlayerGrades+'!$AC$8,"B",IF(H591&lt;'PlayerGrades+'!$AC$7,"B+",IF(H591&lt;'PlayerGrades+'!$AC$6,"A-",IF(H591&lt;'PlayerGrades+'!$AC$5,"A",IF(H591&lt;'PlayerGrades+'!$AC$4,"A+",IF(H591&lt;'PlayerGrades+'!$AC$3,"S-",IF(H591&lt;'PlayerGrades+'!$AC$2,"S","S+"))))))))))))))))))))</f>
        <v>#DIV/0!</v>
      </c>
      <c r="J591" s="1423" t="str">
        <f t="shared" si="15"/>
        <v>#DIV/0!</v>
      </c>
      <c r="K591" s="1423" t="str">
        <f>IF(J591&lt;'PlayerGrades+'!$AD$21,"F-",IF(J591&lt;'PlayerGrades+'!$AD$20,"F",IF(J591&lt;'PlayerGrades+'!$AD$19,"F+",IF(J591&lt;'PlayerGrades+'!$AD$18,"E-",IF(J591&lt;'PlayerGrades+'!$AD$17,"E",IF(J591&lt;'PlayerGrades+'!$AD$16,"E+",IF(J591&lt;'PlayerGrades+'!$AD$15,"D-",IF(J591&lt;'PlayerGrades+'!$AD$14,"D",IF(J591&lt;'PlayerGrades+'!$AD$13,"D+",IF(J591&lt;'PlayerGrades+'!$AD$12,"C-",IF(J591&lt;'PlayerGrades+'!$AD$11,"C",IF(J591&lt;'PlayerGrades+'!$AD$10,"C+",IF(J591&lt;'PlayerGrades+'!$AD$9,"B-",IF(J591&lt;'PlayerGrades+'!$AD$8,"B",IF(J591&lt;'PlayerGrades+'!$AD$7,"B+",IF(J591&lt;'PlayerGrades+'!$AD$6,"A-",IF(J591&lt;'PlayerGrades+'!$AD$5,"A",IF(J591&lt;'PlayerGrades+'!$AD$4,"A+",IF(J591&lt;'PlayerGrades+'!$AD$3,"S-",IF(J591&lt;'PlayerGrades+'!$AD$2,"S","S+"))))))))))))))))))))</f>
        <v>#DIV/0!</v>
      </c>
      <c r="L591" s="1176" t="str">
        <f t="shared" si="16"/>
        <v>#DIV/0!</v>
      </c>
      <c r="M591" s="992" t="str">
        <f>IF(L591&lt;'PlayerGrades+'!$AE$21,"F-",IF(L591&lt;'PlayerGrades+'!$AE$20,"F",IF(L591&lt;'PlayerGrades+'!$AE$19,"F+",IF(L591&lt;'PlayerGrades+'!$AE$18,"E-",IF(L591&lt;'PlayerGrades+'!$AE$17,"E",IF(L591&lt;'PlayerGrades+'!$AE$16,"E+",IF(L591&lt;'PlayerGrades+'!$AE$15,"D-",IF(L591&lt;'PlayerGrades+'!$AE$14,"D",IF(L591&lt;'PlayerGrades+'!$AE$13,"D+",IF(L591&lt;'PlayerGrades+'!$AE$12,"C-",IF(L591&lt;'PlayerGrades+'!$AE$11,"C",IF(L591&lt;'PlayerGrades+'!$AE$10,"C+",IF(L591&lt;'PlayerGrades+'!$AE$9,"B-",IF(L591&lt;'PlayerGrades+'!$AE$8,"B",IF(L591&lt;'PlayerGrades+'!$AE$7,"B+",IF(L591&lt;'PlayerGrades+'!$AE$6,"A-",IF(L591&lt;'PlayerGrades+'!$AE$5,"A",IF(L591&lt;'PlayerGrades+'!$AE$4,"A+",IF(L591&lt;'PlayerGrades+'!$AE$3,"S-",IF(L591&lt;'PlayerGrades+'!$AE$2,"S","S+"))))))))))))))))))))</f>
        <v>#DIV/0!</v>
      </c>
      <c r="N591" s="1423" t="str">
        <f t="shared" si="17"/>
        <v>#DIV/0!</v>
      </c>
      <c r="O591" s="1423" t="str">
        <f>IF(N591&lt;'PlayerGrades+'!$AF$21,"F-",IF(N591&lt;'PlayerGrades+'!$AF$20,"F",IF(N591&lt;'PlayerGrades+'!$AF$19,"F+",IF(N591&lt;'PlayerGrades+'!$AF$18,"E-",IF(N591&lt;'PlayerGrades+'!$AF$17,"E",IF(N591&lt;'PlayerGrades+'!$AF$16,"E+",IF(N591&lt;'PlayerGrades+'!$AF$15,"D-",IF(N591&lt;'PlayerGrades+'!$AF$14,"D",IF(N591&lt;'PlayerGrades+'!$AF$13,"D+",IF(N591&lt;'PlayerGrades+'!$AF$12,"C-",IF(N591&lt;'PlayerGrades+'!$AF$11,"C",IF(N591&lt;'PlayerGrades+'!$AF$10,"C+",IF(N591&lt;'PlayerGrades+'!$AF$9,"B-",IF(N591&lt;'PlayerGrades+'!$AF$8,"B",IF(N591&lt;'PlayerGrades+'!$AF$7,"B+",IF(N591&lt;'PlayerGrades+'!$AF$6,"A-",IF(N591&lt;'PlayerGrades+'!$AF$5,"A",IF(N591&lt;'PlayerGrades+'!$AF$4,"A+",IF(N591&lt;'PlayerGrades+'!$AF$3,"S-",IF(N591&lt;'PlayerGrades+'!$AF$2,"S","S+"))))))))))))))))))))</f>
        <v>#DIV/0!</v>
      </c>
      <c r="P591" s="1423" t="str">
        <f t="shared" si="18"/>
        <v>#DIV/0!</v>
      </c>
      <c r="Q591" s="1423" t="str">
        <f>IF(P591&lt;'PlayerGrades+'!$AG$21,"F-",IF(P591&lt;'PlayerGrades+'!$AG$20,"F",IF(P591&lt;'PlayerGrades+'!$AG$19,"F+",IF(P591&lt;'PlayerGrades+'!$AG$18,"E-",IF(P591&lt;'PlayerGrades+'!$AG$17,"E",IF(P591&lt;'PlayerGrades+'!$AG$16,"E+",IF(P591&lt;'PlayerGrades+'!$AG$15,"D-",IF(P591&lt;'PlayerGrades+'!$AG$14,"D",IF(P591&lt;'PlayerGrades+'!$AG$13,"D+",IF(P591&lt;'PlayerGrades+'!$AG$12,"C-",IF(P591&lt;'PlayerGrades+'!$AG$11,"C",IF(P591&lt;'PlayerGrades+'!$AG$10,"C+",IF(P591&lt;'PlayerGrades+'!$AG$9,"B-",IF(P591&lt;'PlayerGrades+'!$AG$8,"B",IF(P591&lt;'PlayerGrades+'!$AG$7,"B+",IF(P591&lt;'PlayerGrades+'!$AG$6,"A-",IF(P591&lt;'PlayerGrades+'!$AG$5,"A",IF(P591&lt;'PlayerGrades+'!$AG$4,"A+",IF(P591&lt;'PlayerGrades+'!$AG$3,"S-",IF(P591&lt;'PlayerGrades+'!$AG$2,"S","S+"))))))))))))))))))))</f>
        <v>#DIV/0!</v>
      </c>
      <c r="R591" s="1423" t="str">
        <f t="shared" si="19"/>
        <v>#REF!</v>
      </c>
      <c r="S591" s="1423" t="str">
        <f>IF(R591&lt;'PlayerGrades+'!$AH$21,"F-",IF(R591&lt;'PlayerGrades+'!$AH$20,"F",IF(R591&lt;'PlayerGrades+'!$AH$19,"F+",IF(R591&lt;'PlayerGrades+'!$AH$18,"E-",IF(R591&lt;'PlayerGrades+'!$AH$17,"E",IF(R591&lt;'PlayerGrades+'!$AH$16,"E+",IF(R591&lt;'PlayerGrades+'!$AH$15,"D-",IF(R591&lt;'PlayerGrades+'!$AH$14,"D",IF(R591&lt;'PlayerGrades+'!$AH$13,"D+",IF(R591&lt;'PlayerGrades+'!$AH$12,"C-",IF(R591&lt;'PlayerGrades+'!$AH$11,"C",IF(R591&lt;'PlayerGrades+'!$AH$10,"C+",IF(R591&lt;'PlayerGrades+'!$AH$9,"B-",IF(R591&lt;'PlayerGrades+'!$AH$8,"B",IF(R591&lt;'PlayerGrades+'!$AH$7,"B+",IF(R591&lt;'PlayerGrades+'!$AH$6,"A-",IF(R591&lt;'PlayerGrades+'!$AH$5,"A",IF(R591&lt;'PlayerGrades+'!$AH$4,"A+",IF(R591&lt;'PlayerGrades+'!$AH$3,"S-",IF(R591&lt;'PlayerGrades+'!$AH$2,"S","S+"))))))))))))))))))))</f>
        <v>#REF!</v>
      </c>
      <c r="T591" s="1423" t="str">
        <f t="shared" si="20"/>
        <v>#REF!</v>
      </c>
      <c r="U591" s="1423" t="str">
        <f>IF(T591&lt;'PlayerGrades+'!$AI$21,"F-",IF(T591&lt;'PlayerGrades+'!$AI$20,"F",IF(T591&lt;'PlayerGrades+'!$AI$19,"F+",IF(T591&lt;'PlayerGrades+'!$AI$18,"E-",IF(T591&lt;'PlayerGrades+'!$AI$17,"E",IF(T591&lt;'PlayerGrades+'!$AI$16,"E+",IF(T591&lt;'PlayerGrades+'!$AI$15,"D-",IF(T591&lt;'PlayerGrades+'!$AI$14,"D",IF(T591&lt;'PlayerGrades+'!$AI$13,"D+",IF(T591&lt;'PlayerGrades+'!$AI$12,"C-",IF(T591&lt;'PlayerGrades+'!$AI$11,"C",IF(T591&lt;'PlayerGrades+'!$AI$10,"C+",IF(T591&lt;'PlayerGrades+'!$AI$9,"B-",IF(T591&lt;'PlayerGrades+'!$AI$8,"B",IF(T591&lt;'PlayerGrades+'!$AI$7,"B+",IF(T591&lt;'PlayerGrades+'!$AI$6,"A-",IF(T591&lt;'PlayerGrades+'!$AI$5,"A",IF(T591&lt;'PlayerGrades+'!$AI$4,"A+",IF(T591&lt;'PlayerGrades+'!$AI$3,"S-",IF(T591&lt;'PlayerGrades+'!$AI$2,"S","S+"))))))))))))))))))))</f>
        <v>#REF!</v>
      </c>
      <c r="AC591" s="1392"/>
    </row>
    <row r="592">
      <c r="B592" s="1421" t="str">
        <f>IF(C592&lt;'PlayerGrades+'!$Y$44,"F-",IF(C592&lt;'PlayerGrades+'!$Y$43,"F",IF(C592&lt;'PlayerGrades+'!$Y$42,"F+",IF(C592&lt;'PlayerGrades+'!$Y$41,"E-",IF(C592&lt;'PlayerGrades+'!$Y$40,"E",IF(C592&lt;'PlayerGrades+'!$Y$39,"E+",IF(C592&lt;'PlayerGrades+'!$Y$38,"D-",IF(C592&lt;'PlayerGrades+'!$Y$37,"D",IF(C592&lt;'PlayerGrades+'!$Y$36,"D+",IF(C592&lt;'PlayerGrades+'!$Y$35,"C-",IF(C592&lt;'PlayerGrades+'!$Y$34,"C",IF(C592&lt;'PlayerGrades+'!$Y$33,"C+",IF(C592&lt;'PlayerGrades+'!$Y$32,"B-",IF(C592&lt;'PlayerGrades+'!$Y$31,"B",IF(C592&lt;'PlayerGrades+'!$Y$30,"B+",IF(C592&lt;'PlayerGrades+'!$Y$29,"A-",IF(C592&lt;'PlayerGrades+'!$Y$28,"A",IF(C592&lt;'PlayerGrades+'!$Y$27,"A+",IF(C592&lt;'PlayerGrades+'!$Y$26,"S-",IF(C592&lt;'PlayerGrades+'!$Y$25,"S","S+"))))))))))))))))))))</f>
        <v>#DIV/0!</v>
      </c>
      <c r="C592" s="1422" t="str">
        <f>('PlayerGrades+'!$Y$47*(VLOOKUP(E592, 'PlayerGrades+'!$X$3:$Y$23, 2, FALSE)))+('PlayerGrades+'!$Y$48*(VLOOKUP(G592, 'PlayerGrades+'!$X$3:$Y$23, 2, FALSE)))+('PlayerGrades+'!$Y$49*(VLOOKUP(I592, 'PlayerGrades+'!$X$3:$Y$23, 2, FALSE)))+('PlayerGrades+'!$Y$50*(VLOOKUP(K592, 'PlayerGrades+'!$X$3:$Y$23, 2, FALSE)))+('PlayerGrades+'!$Y$51*(VLOOKUP(M592, 'PlayerGrades+'!$X$3:$Y$23, 2, FALSE)))+('PlayerGrades+'!$Y$52*(VLOOKUP(O592, 'PlayerGrades+'!$X$3:$Y$23, 2, FALSE)))+('PlayerGrades+'!$Y$53*(VLOOKUP(Q592, 'PlayerGrades+'!$X$3:$Y$23, 2, FALSE)))+('PlayerGrades+'!$Y$54*(VLOOKUP(S592, 'PlayerGrades+'!$X$3:$Y$23, 2, FALSE)))+('PlayerGrades+'!$Y$55*(VLOOKUP(U592, 'PlayerGrades+'!$X$3:$Y$23, 2, FALSE)))</f>
        <v>#DIV/0!</v>
      </c>
      <c r="D592" s="1423" t="str">
        <f t="shared" si="12"/>
        <v>#DIV/0!</v>
      </c>
      <c r="E592" s="1423" t="str">
        <f>IF(D592&lt;'PlayerGrades+'!$AA$21,"F-",IF(D592&lt;'PlayerGrades+'!$AA$20,"F",IF(D592&lt;'PlayerGrades+'!$AA$19,"F+",IF(D592&lt;'PlayerGrades+'!$AA$18,"E-",IF(D592&lt;'PlayerGrades+'!$AA$17,"E",IF(D592&lt;'PlayerGrades+'!$AA$16,"E+",IF(D592&lt;'PlayerGrades+'!$AA$15,"D-",IF(D592&lt;'PlayerGrades+'!$AA$14,"D",IF(D592&lt;'PlayerGrades+'!$AA$13,"D+",IF(D592&lt;'PlayerGrades+'!$AA$12,"C-",IF(D592&lt;'PlayerGrades+'!$AA$11,"C",IF(D592&lt;'PlayerGrades+'!$AA$10,"C+",IF(D592&lt;'PlayerGrades+'!$AA$9,"B-",IF(D592&lt;'PlayerGrades+'!$AA$8,"B",IF(D592&lt;'PlayerGrades+'!$AA$7,"B+",IF(D592&lt;'PlayerGrades+'!$AA$6,"A-",IF(D592&lt;'PlayerGrades+'!$AA$5,"A",IF(D592&lt;'PlayerGrades+'!$AA$4,"A+",IF(D592&lt;'PlayerGrades+'!$AA$3,"S-",IF(D592&lt;'PlayerGrades+'!$AA$2,"S","S+"))))))))))))))))))))</f>
        <v>#DIV/0!</v>
      </c>
      <c r="F592" s="1423" t="str">
        <f t="shared" si="13"/>
        <v>#DIV/0!</v>
      </c>
      <c r="G592" s="1423" t="str">
        <f>IF(F592&lt;'PlayerGrades+'!$AB$21,"F-",IF(F592&lt;'PlayerGrades+'!$AB$20,"F",IF(F592&lt;'PlayerGrades+'!$AB$19,"F+",IF(F592&lt;'PlayerGrades+'!$AB$18,"E-",IF(F592&lt;'PlayerGrades+'!$AB$17,"E",IF(F592&lt;'PlayerGrades+'!$AB$16,"E+",IF(F592&lt;'PlayerGrades+'!$AB$15,"D-",IF(F592&lt;'PlayerGrades+'!$AB$14,"D",IF(F592&lt;'PlayerGrades+'!$AB$13,"D+",IF(F592&lt;'PlayerGrades+'!$AB$12,"C-",IF(F592&lt;'PlayerGrades+'!$AB$11,"C",IF(F592&lt;'PlayerGrades+'!$AB$10,"C+",IF(F592&lt;'PlayerGrades+'!$AB$9,"B-",IF(F592&lt;'PlayerGrades+'!$AB$8,"B",IF(F592&lt;'PlayerGrades+'!$AB$7,"B+",IF(F592&lt;'PlayerGrades+'!$AB$6,"A-",IF(F592&lt;'PlayerGrades+'!$AB$5,"A",IF(F592&lt;'PlayerGrades+'!$AB$4,"A+",IF(F592&lt;'PlayerGrades+'!$AB$3,"S-",IF(F592&lt;'PlayerGrades+'!$AB$2,"S","S+"))))))))))))))))))))</f>
        <v>#DIV/0!</v>
      </c>
      <c r="H592" s="1423" t="str">
        <f t="shared" si="14"/>
        <v>#DIV/0!</v>
      </c>
      <c r="I592" s="1423" t="str">
        <f>IF(H592&lt;'PlayerGrades+'!$AC$21,"F-",IF(H592&lt;'PlayerGrades+'!$AC$20,"F",IF(H592&lt;'PlayerGrades+'!$AC$19,"F+",IF(H592&lt;'PlayerGrades+'!$AC$18,"E-",IF(H592&lt;'PlayerGrades+'!$AC$17,"E",IF(H592&lt;'PlayerGrades+'!$AC$16,"E+",IF(H592&lt;'PlayerGrades+'!$AC$15,"D-",IF(H592&lt;'PlayerGrades+'!$AC$14,"D",IF(H592&lt;'PlayerGrades+'!$AC$13,"D+",IF(H592&lt;'PlayerGrades+'!$AC$12,"C-",IF(H592&lt;'PlayerGrades+'!$AC$11,"C",IF(H592&lt;'PlayerGrades+'!$AC$10,"C+",IF(H592&lt;'PlayerGrades+'!$AC$9,"B-",IF(H592&lt;'PlayerGrades+'!$AC$8,"B",IF(H592&lt;'PlayerGrades+'!$AC$7,"B+",IF(H592&lt;'PlayerGrades+'!$AC$6,"A-",IF(H592&lt;'PlayerGrades+'!$AC$5,"A",IF(H592&lt;'PlayerGrades+'!$AC$4,"A+",IF(H592&lt;'PlayerGrades+'!$AC$3,"S-",IF(H592&lt;'PlayerGrades+'!$AC$2,"S","S+"))))))))))))))))))))</f>
        <v>#DIV/0!</v>
      </c>
      <c r="J592" s="1423" t="str">
        <f t="shared" si="15"/>
        <v>#DIV/0!</v>
      </c>
      <c r="K592" s="1423" t="str">
        <f>IF(J592&lt;'PlayerGrades+'!$AD$21,"F-",IF(J592&lt;'PlayerGrades+'!$AD$20,"F",IF(J592&lt;'PlayerGrades+'!$AD$19,"F+",IF(J592&lt;'PlayerGrades+'!$AD$18,"E-",IF(J592&lt;'PlayerGrades+'!$AD$17,"E",IF(J592&lt;'PlayerGrades+'!$AD$16,"E+",IF(J592&lt;'PlayerGrades+'!$AD$15,"D-",IF(J592&lt;'PlayerGrades+'!$AD$14,"D",IF(J592&lt;'PlayerGrades+'!$AD$13,"D+",IF(J592&lt;'PlayerGrades+'!$AD$12,"C-",IF(J592&lt;'PlayerGrades+'!$AD$11,"C",IF(J592&lt;'PlayerGrades+'!$AD$10,"C+",IF(J592&lt;'PlayerGrades+'!$AD$9,"B-",IF(J592&lt;'PlayerGrades+'!$AD$8,"B",IF(J592&lt;'PlayerGrades+'!$AD$7,"B+",IF(J592&lt;'PlayerGrades+'!$AD$6,"A-",IF(J592&lt;'PlayerGrades+'!$AD$5,"A",IF(J592&lt;'PlayerGrades+'!$AD$4,"A+",IF(J592&lt;'PlayerGrades+'!$AD$3,"S-",IF(J592&lt;'PlayerGrades+'!$AD$2,"S","S+"))))))))))))))))))))</f>
        <v>#DIV/0!</v>
      </c>
      <c r="L592" s="1176" t="str">
        <f t="shared" si="16"/>
        <v>#DIV/0!</v>
      </c>
      <c r="M592" s="992" t="str">
        <f>IF(L592&lt;'PlayerGrades+'!$AE$21,"F-",IF(L592&lt;'PlayerGrades+'!$AE$20,"F",IF(L592&lt;'PlayerGrades+'!$AE$19,"F+",IF(L592&lt;'PlayerGrades+'!$AE$18,"E-",IF(L592&lt;'PlayerGrades+'!$AE$17,"E",IF(L592&lt;'PlayerGrades+'!$AE$16,"E+",IF(L592&lt;'PlayerGrades+'!$AE$15,"D-",IF(L592&lt;'PlayerGrades+'!$AE$14,"D",IF(L592&lt;'PlayerGrades+'!$AE$13,"D+",IF(L592&lt;'PlayerGrades+'!$AE$12,"C-",IF(L592&lt;'PlayerGrades+'!$AE$11,"C",IF(L592&lt;'PlayerGrades+'!$AE$10,"C+",IF(L592&lt;'PlayerGrades+'!$AE$9,"B-",IF(L592&lt;'PlayerGrades+'!$AE$8,"B",IF(L592&lt;'PlayerGrades+'!$AE$7,"B+",IF(L592&lt;'PlayerGrades+'!$AE$6,"A-",IF(L592&lt;'PlayerGrades+'!$AE$5,"A",IF(L592&lt;'PlayerGrades+'!$AE$4,"A+",IF(L592&lt;'PlayerGrades+'!$AE$3,"S-",IF(L592&lt;'PlayerGrades+'!$AE$2,"S","S+"))))))))))))))))))))</f>
        <v>#DIV/0!</v>
      </c>
      <c r="N592" s="1423" t="str">
        <f t="shared" si="17"/>
        <v>#DIV/0!</v>
      </c>
      <c r="O592" s="1423" t="str">
        <f>IF(N592&lt;'PlayerGrades+'!$AF$21,"F-",IF(N592&lt;'PlayerGrades+'!$AF$20,"F",IF(N592&lt;'PlayerGrades+'!$AF$19,"F+",IF(N592&lt;'PlayerGrades+'!$AF$18,"E-",IF(N592&lt;'PlayerGrades+'!$AF$17,"E",IF(N592&lt;'PlayerGrades+'!$AF$16,"E+",IF(N592&lt;'PlayerGrades+'!$AF$15,"D-",IF(N592&lt;'PlayerGrades+'!$AF$14,"D",IF(N592&lt;'PlayerGrades+'!$AF$13,"D+",IF(N592&lt;'PlayerGrades+'!$AF$12,"C-",IF(N592&lt;'PlayerGrades+'!$AF$11,"C",IF(N592&lt;'PlayerGrades+'!$AF$10,"C+",IF(N592&lt;'PlayerGrades+'!$AF$9,"B-",IF(N592&lt;'PlayerGrades+'!$AF$8,"B",IF(N592&lt;'PlayerGrades+'!$AF$7,"B+",IF(N592&lt;'PlayerGrades+'!$AF$6,"A-",IF(N592&lt;'PlayerGrades+'!$AF$5,"A",IF(N592&lt;'PlayerGrades+'!$AF$4,"A+",IF(N592&lt;'PlayerGrades+'!$AF$3,"S-",IF(N592&lt;'PlayerGrades+'!$AF$2,"S","S+"))))))))))))))))))))</f>
        <v>#DIV/0!</v>
      </c>
      <c r="P592" s="1423" t="str">
        <f t="shared" si="18"/>
        <v>#DIV/0!</v>
      </c>
      <c r="Q592" s="1423" t="str">
        <f>IF(P592&lt;'PlayerGrades+'!$AG$21,"F-",IF(P592&lt;'PlayerGrades+'!$AG$20,"F",IF(P592&lt;'PlayerGrades+'!$AG$19,"F+",IF(P592&lt;'PlayerGrades+'!$AG$18,"E-",IF(P592&lt;'PlayerGrades+'!$AG$17,"E",IF(P592&lt;'PlayerGrades+'!$AG$16,"E+",IF(P592&lt;'PlayerGrades+'!$AG$15,"D-",IF(P592&lt;'PlayerGrades+'!$AG$14,"D",IF(P592&lt;'PlayerGrades+'!$AG$13,"D+",IF(P592&lt;'PlayerGrades+'!$AG$12,"C-",IF(P592&lt;'PlayerGrades+'!$AG$11,"C",IF(P592&lt;'PlayerGrades+'!$AG$10,"C+",IF(P592&lt;'PlayerGrades+'!$AG$9,"B-",IF(P592&lt;'PlayerGrades+'!$AG$8,"B",IF(P592&lt;'PlayerGrades+'!$AG$7,"B+",IF(P592&lt;'PlayerGrades+'!$AG$6,"A-",IF(P592&lt;'PlayerGrades+'!$AG$5,"A",IF(P592&lt;'PlayerGrades+'!$AG$4,"A+",IF(P592&lt;'PlayerGrades+'!$AG$3,"S-",IF(P592&lt;'PlayerGrades+'!$AG$2,"S","S+"))))))))))))))))))))</f>
        <v>#DIV/0!</v>
      </c>
      <c r="R592" s="1423" t="str">
        <f t="shared" si="19"/>
        <v>#REF!</v>
      </c>
      <c r="S592" s="1423" t="str">
        <f>IF(R592&lt;'PlayerGrades+'!$AH$21,"F-",IF(R592&lt;'PlayerGrades+'!$AH$20,"F",IF(R592&lt;'PlayerGrades+'!$AH$19,"F+",IF(R592&lt;'PlayerGrades+'!$AH$18,"E-",IF(R592&lt;'PlayerGrades+'!$AH$17,"E",IF(R592&lt;'PlayerGrades+'!$AH$16,"E+",IF(R592&lt;'PlayerGrades+'!$AH$15,"D-",IF(R592&lt;'PlayerGrades+'!$AH$14,"D",IF(R592&lt;'PlayerGrades+'!$AH$13,"D+",IF(R592&lt;'PlayerGrades+'!$AH$12,"C-",IF(R592&lt;'PlayerGrades+'!$AH$11,"C",IF(R592&lt;'PlayerGrades+'!$AH$10,"C+",IF(R592&lt;'PlayerGrades+'!$AH$9,"B-",IF(R592&lt;'PlayerGrades+'!$AH$8,"B",IF(R592&lt;'PlayerGrades+'!$AH$7,"B+",IF(R592&lt;'PlayerGrades+'!$AH$6,"A-",IF(R592&lt;'PlayerGrades+'!$AH$5,"A",IF(R592&lt;'PlayerGrades+'!$AH$4,"A+",IF(R592&lt;'PlayerGrades+'!$AH$3,"S-",IF(R592&lt;'PlayerGrades+'!$AH$2,"S","S+"))))))))))))))))))))</f>
        <v>#REF!</v>
      </c>
      <c r="T592" s="1423" t="str">
        <f t="shared" si="20"/>
        <v>#REF!</v>
      </c>
      <c r="U592" s="1423" t="str">
        <f>IF(T592&lt;'PlayerGrades+'!$AI$21,"F-",IF(T592&lt;'PlayerGrades+'!$AI$20,"F",IF(T592&lt;'PlayerGrades+'!$AI$19,"F+",IF(T592&lt;'PlayerGrades+'!$AI$18,"E-",IF(T592&lt;'PlayerGrades+'!$AI$17,"E",IF(T592&lt;'PlayerGrades+'!$AI$16,"E+",IF(T592&lt;'PlayerGrades+'!$AI$15,"D-",IF(T592&lt;'PlayerGrades+'!$AI$14,"D",IF(T592&lt;'PlayerGrades+'!$AI$13,"D+",IF(T592&lt;'PlayerGrades+'!$AI$12,"C-",IF(T592&lt;'PlayerGrades+'!$AI$11,"C",IF(T592&lt;'PlayerGrades+'!$AI$10,"C+",IF(T592&lt;'PlayerGrades+'!$AI$9,"B-",IF(T592&lt;'PlayerGrades+'!$AI$8,"B",IF(T592&lt;'PlayerGrades+'!$AI$7,"B+",IF(T592&lt;'PlayerGrades+'!$AI$6,"A-",IF(T592&lt;'PlayerGrades+'!$AI$5,"A",IF(T592&lt;'PlayerGrades+'!$AI$4,"A+",IF(T592&lt;'PlayerGrades+'!$AI$3,"S-",IF(T592&lt;'PlayerGrades+'!$AI$2,"S","S+"))))))))))))))))))))</f>
        <v>#REF!</v>
      </c>
      <c r="AC592" s="1392"/>
    </row>
    <row r="593">
      <c r="A593" s="1411"/>
      <c r="B593" s="1421" t="str">
        <f>IF(C593&lt;'PlayerGrades+'!$Y$44,"F-",IF(C593&lt;'PlayerGrades+'!$Y$43,"F",IF(C593&lt;'PlayerGrades+'!$Y$42,"F+",IF(C593&lt;'PlayerGrades+'!$Y$41,"E-",IF(C593&lt;'PlayerGrades+'!$Y$40,"E",IF(C593&lt;'PlayerGrades+'!$Y$39,"E+",IF(C593&lt;'PlayerGrades+'!$Y$38,"D-",IF(C593&lt;'PlayerGrades+'!$Y$37,"D",IF(C593&lt;'PlayerGrades+'!$Y$36,"D+",IF(C593&lt;'PlayerGrades+'!$Y$35,"C-",IF(C593&lt;'PlayerGrades+'!$Y$34,"C",IF(C593&lt;'PlayerGrades+'!$Y$33,"C+",IF(C593&lt;'PlayerGrades+'!$Y$32,"B-",IF(C593&lt;'PlayerGrades+'!$Y$31,"B",IF(C593&lt;'PlayerGrades+'!$Y$30,"B+",IF(C593&lt;'PlayerGrades+'!$Y$29,"A-",IF(C593&lt;'PlayerGrades+'!$Y$28,"A",IF(C593&lt;'PlayerGrades+'!$Y$27,"A+",IF(C593&lt;'PlayerGrades+'!$Y$26,"S-",IF(C593&lt;'PlayerGrades+'!$Y$25,"S","S+"))))))))))))))))))))</f>
        <v>#DIV/0!</v>
      </c>
      <c r="C593" s="1422" t="str">
        <f>('PlayerGrades+'!$Y$47*(VLOOKUP(E593, 'PlayerGrades+'!$X$3:$Y$23, 2, FALSE)))+('PlayerGrades+'!$Y$48*(VLOOKUP(G593, 'PlayerGrades+'!$X$3:$Y$23, 2, FALSE)))+('PlayerGrades+'!$Y$49*(VLOOKUP(I593, 'PlayerGrades+'!$X$3:$Y$23, 2, FALSE)))+('PlayerGrades+'!$Y$50*(VLOOKUP(K593, 'PlayerGrades+'!$X$3:$Y$23, 2, FALSE)))+('PlayerGrades+'!$Y$51*(VLOOKUP(M593, 'PlayerGrades+'!$X$3:$Y$23, 2, FALSE)))+('PlayerGrades+'!$Y$52*(VLOOKUP(O593, 'PlayerGrades+'!$X$3:$Y$23, 2, FALSE)))+('PlayerGrades+'!$Y$53*(VLOOKUP(Q593, 'PlayerGrades+'!$X$3:$Y$23, 2, FALSE)))+('PlayerGrades+'!$Y$54*(VLOOKUP(S593, 'PlayerGrades+'!$X$3:$Y$23, 2, FALSE)))+('PlayerGrades+'!$Y$55*(VLOOKUP(U593, 'PlayerGrades+'!$X$3:$Y$23, 2, FALSE)))</f>
        <v>#DIV/0!</v>
      </c>
      <c r="D593" s="1423" t="str">
        <f t="shared" si="12"/>
        <v>#DIV/0!</v>
      </c>
      <c r="E593" s="1423" t="str">
        <f>IF(D593&lt;'PlayerGrades+'!$AA$21,"F-",IF(D593&lt;'PlayerGrades+'!$AA$20,"F",IF(D593&lt;'PlayerGrades+'!$AA$19,"F+",IF(D593&lt;'PlayerGrades+'!$AA$18,"E-",IF(D593&lt;'PlayerGrades+'!$AA$17,"E",IF(D593&lt;'PlayerGrades+'!$AA$16,"E+",IF(D593&lt;'PlayerGrades+'!$AA$15,"D-",IF(D593&lt;'PlayerGrades+'!$AA$14,"D",IF(D593&lt;'PlayerGrades+'!$AA$13,"D+",IF(D593&lt;'PlayerGrades+'!$AA$12,"C-",IF(D593&lt;'PlayerGrades+'!$AA$11,"C",IF(D593&lt;'PlayerGrades+'!$AA$10,"C+",IF(D593&lt;'PlayerGrades+'!$AA$9,"B-",IF(D593&lt;'PlayerGrades+'!$AA$8,"B",IF(D593&lt;'PlayerGrades+'!$AA$7,"B+",IF(D593&lt;'PlayerGrades+'!$AA$6,"A-",IF(D593&lt;'PlayerGrades+'!$AA$5,"A",IF(D593&lt;'PlayerGrades+'!$AA$4,"A+",IF(D593&lt;'PlayerGrades+'!$AA$3,"S-",IF(D593&lt;'PlayerGrades+'!$AA$2,"S","S+"))))))))))))))))))))</f>
        <v>#DIV/0!</v>
      </c>
      <c r="F593" s="1423" t="str">
        <f t="shared" si="13"/>
        <v>#DIV/0!</v>
      </c>
      <c r="G593" s="1423" t="str">
        <f>IF(F593&lt;'PlayerGrades+'!$AB$21,"F-",IF(F593&lt;'PlayerGrades+'!$AB$20,"F",IF(F593&lt;'PlayerGrades+'!$AB$19,"F+",IF(F593&lt;'PlayerGrades+'!$AB$18,"E-",IF(F593&lt;'PlayerGrades+'!$AB$17,"E",IF(F593&lt;'PlayerGrades+'!$AB$16,"E+",IF(F593&lt;'PlayerGrades+'!$AB$15,"D-",IF(F593&lt;'PlayerGrades+'!$AB$14,"D",IF(F593&lt;'PlayerGrades+'!$AB$13,"D+",IF(F593&lt;'PlayerGrades+'!$AB$12,"C-",IF(F593&lt;'PlayerGrades+'!$AB$11,"C",IF(F593&lt;'PlayerGrades+'!$AB$10,"C+",IF(F593&lt;'PlayerGrades+'!$AB$9,"B-",IF(F593&lt;'PlayerGrades+'!$AB$8,"B",IF(F593&lt;'PlayerGrades+'!$AB$7,"B+",IF(F593&lt;'PlayerGrades+'!$AB$6,"A-",IF(F593&lt;'PlayerGrades+'!$AB$5,"A",IF(F593&lt;'PlayerGrades+'!$AB$4,"A+",IF(F593&lt;'PlayerGrades+'!$AB$3,"S-",IF(F593&lt;'PlayerGrades+'!$AB$2,"S","S+"))))))))))))))))))))</f>
        <v>#DIV/0!</v>
      </c>
      <c r="H593" s="1423" t="str">
        <f t="shared" si="14"/>
        <v>#DIV/0!</v>
      </c>
      <c r="I593" s="1423" t="str">
        <f>IF(H593&lt;'PlayerGrades+'!$AC$21,"F-",IF(H593&lt;'PlayerGrades+'!$AC$20,"F",IF(H593&lt;'PlayerGrades+'!$AC$19,"F+",IF(H593&lt;'PlayerGrades+'!$AC$18,"E-",IF(H593&lt;'PlayerGrades+'!$AC$17,"E",IF(H593&lt;'PlayerGrades+'!$AC$16,"E+",IF(H593&lt;'PlayerGrades+'!$AC$15,"D-",IF(H593&lt;'PlayerGrades+'!$AC$14,"D",IF(H593&lt;'PlayerGrades+'!$AC$13,"D+",IF(H593&lt;'PlayerGrades+'!$AC$12,"C-",IF(H593&lt;'PlayerGrades+'!$AC$11,"C",IF(H593&lt;'PlayerGrades+'!$AC$10,"C+",IF(H593&lt;'PlayerGrades+'!$AC$9,"B-",IF(H593&lt;'PlayerGrades+'!$AC$8,"B",IF(H593&lt;'PlayerGrades+'!$AC$7,"B+",IF(H593&lt;'PlayerGrades+'!$AC$6,"A-",IF(H593&lt;'PlayerGrades+'!$AC$5,"A",IF(H593&lt;'PlayerGrades+'!$AC$4,"A+",IF(H593&lt;'PlayerGrades+'!$AC$3,"S-",IF(H593&lt;'PlayerGrades+'!$AC$2,"S","S+"))))))))))))))))))))</f>
        <v>#DIV/0!</v>
      </c>
      <c r="J593" s="1423" t="str">
        <f t="shared" si="15"/>
        <v>#DIV/0!</v>
      </c>
      <c r="K593" s="1423" t="str">
        <f>IF(J593&lt;'PlayerGrades+'!$AD$21,"F-",IF(J593&lt;'PlayerGrades+'!$AD$20,"F",IF(J593&lt;'PlayerGrades+'!$AD$19,"F+",IF(J593&lt;'PlayerGrades+'!$AD$18,"E-",IF(J593&lt;'PlayerGrades+'!$AD$17,"E",IF(J593&lt;'PlayerGrades+'!$AD$16,"E+",IF(J593&lt;'PlayerGrades+'!$AD$15,"D-",IF(J593&lt;'PlayerGrades+'!$AD$14,"D",IF(J593&lt;'PlayerGrades+'!$AD$13,"D+",IF(J593&lt;'PlayerGrades+'!$AD$12,"C-",IF(J593&lt;'PlayerGrades+'!$AD$11,"C",IF(J593&lt;'PlayerGrades+'!$AD$10,"C+",IF(J593&lt;'PlayerGrades+'!$AD$9,"B-",IF(J593&lt;'PlayerGrades+'!$AD$8,"B",IF(J593&lt;'PlayerGrades+'!$AD$7,"B+",IF(J593&lt;'PlayerGrades+'!$AD$6,"A-",IF(J593&lt;'PlayerGrades+'!$AD$5,"A",IF(J593&lt;'PlayerGrades+'!$AD$4,"A+",IF(J593&lt;'PlayerGrades+'!$AD$3,"S-",IF(J593&lt;'PlayerGrades+'!$AD$2,"S","S+"))))))))))))))))))))</f>
        <v>#DIV/0!</v>
      </c>
      <c r="L593" s="1176" t="str">
        <f t="shared" si="16"/>
        <v>#DIV/0!</v>
      </c>
      <c r="M593" s="992" t="str">
        <f>IF(L593&lt;'PlayerGrades+'!$AE$21,"F-",IF(L593&lt;'PlayerGrades+'!$AE$20,"F",IF(L593&lt;'PlayerGrades+'!$AE$19,"F+",IF(L593&lt;'PlayerGrades+'!$AE$18,"E-",IF(L593&lt;'PlayerGrades+'!$AE$17,"E",IF(L593&lt;'PlayerGrades+'!$AE$16,"E+",IF(L593&lt;'PlayerGrades+'!$AE$15,"D-",IF(L593&lt;'PlayerGrades+'!$AE$14,"D",IF(L593&lt;'PlayerGrades+'!$AE$13,"D+",IF(L593&lt;'PlayerGrades+'!$AE$12,"C-",IF(L593&lt;'PlayerGrades+'!$AE$11,"C",IF(L593&lt;'PlayerGrades+'!$AE$10,"C+",IF(L593&lt;'PlayerGrades+'!$AE$9,"B-",IF(L593&lt;'PlayerGrades+'!$AE$8,"B",IF(L593&lt;'PlayerGrades+'!$AE$7,"B+",IF(L593&lt;'PlayerGrades+'!$AE$6,"A-",IF(L593&lt;'PlayerGrades+'!$AE$5,"A",IF(L593&lt;'PlayerGrades+'!$AE$4,"A+",IF(L593&lt;'PlayerGrades+'!$AE$3,"S-",IF(L593&lt;'PlayerGrades+'!$AE$2,"S","S+"))))))))))))))))))))</f>
        <v>#DIV/0!</v>
      </c>
      <c r="N593" s="1423" t="str">
        <f t="shared" si="17"/>
        <v>#DIV/0!</v>
      </c>
      <c r="O593" s="1423" t="str">
        <f>IF(N593&lt;'PlayerGrades+'!$AF$21,"F-",IF(N593&lt;'PlayerGrades+'!$AF$20,"F",IF(N593&lt;'PlayerGrades+'!$AF$19,"F+",IF(N593&lt;'PlayerGrades+'!$AF$18,"E-",IF(N593&lt;'PlayerGrades+'!$AF$17,"E",IF(N593&lt;'PlayerGrades+'!$AF$16,"E+",IF(N593&lt;'PlayerGrades+'!$AF$15,"D-",IF(N593&lt;'PlayerGrades+'!$AF$14,"D",IF(N593&lt;'PlayerGrades+'!$AF$13,"D+",IF(N593&lt;'PlayerGrades+'!$AF$12,"C-",IF(N593&lt;'PlayerGrades+'!$AF$11,"C",IF(N593&lt;'PlayerGrades+'!$AF$10,"C+",IF(N593&lt;'PlayerGrades+'!$AF$9,"B-",IF(N593&lt;'PlayerGrades+'!$AF$8,"B",IF(N593&lt;'PlayerGrades+'!$AF$7,"B+",IF(N593&lt;'PlayerGrades+'!$AF$6,"A-",IF(N593&lt;'PlayerGrades+'!$AF$5,"A",IF(N593&lt;'PlayerGrades+'!$AF$4,"A+",IF(N593&lt;'PlayerGrades+'!$AF$3,"S-",IF(N593&lt;'PlayerGrades+'!$AF$2,"S","S+"))))))))))))))))))))</f>
        <v>#DIV/0!</v>
      </c>
      <c r="P593" s="1423" t="str">
        <f t="shared" si="18"/>
        <v>#DIV/0!</v>
      </c>
      <c r="Q593" s="1423" t="str">
        <f>IF(P593&lt;'PlayerGrades+'!$AG$21,"F-",IF(P593&lt;'PlayerGrades+'!$AG$20,"F",IF(P593&lt;'PlayerGrades+'!$AG$19,"F+",IF(P593&lt;'PlayerGrades+'!$AG$18,"E-",IF(P593&lt;'PlayerGrades+'!$AG$17,"E",IF(P593&lt;'PlayerGrades+'!$AG$16,"E+",IF(P593&lt;'PlayerGrades+'!$AG$15,"D-",IF(P593&lt;'PlayerGrades+'!$AG$14,"D",IF(P593&lt;'PlayerGrades+'!$AG$13,"D+",IF(P593&lt;'PlayerGrades+'!$AG$12,"C-",IF(P593&lt;'PlayerGrades+'!$AG$11,"C",IF(P593&lt;'PlayerGrades+'!$AG$10,"C+",IF(P593&lt;'PlayerGrades+'!$AG$9,"B-",IF(P593&lt;'PlayerGrades+'!$AG$8,"B",IF(P593&lt;'PlayerGrades+'!$AG$7,"B+",IF(P593&lt;'PlayerGrades+'!$AG$6,"A-",IF(P593&lt;'PlayerGrades+'!$AG$5,"A",IF(P593&lt;'PlayerGrades+'!$AG$4,"A+",IF(P593&lt;'PlayerGrades+'!$AG$3,"S-",IF(P593&lt;'PlayerGrades+'!$AG$2,"S","S+"))))))))))))))))))))</f>
        <v>#DIV/0!</v>
      </c>
      <c r="R593" s="1423" t="str">
        <f t="shared" si="19"/>
        <v>#REF!</v>
      </c>
      <c r="S593" s="1423" t="str">
        <f>IF(R593&lt;'PlayerGrades+'!$AH$21,"F-",IF(R593&lt;'PlayerGrades+'!$AH$20,"F",IF(R593&lt;'PlayerGrades+'!$AH$19,"F+",IF(R593&lt;'PlayerGrades+'!$AH$18,"E-",IF(R593&lt;'PlayerGrades+'!$AH$17,"E",IF(R593&lt;'PlayerGrades+'!$AH$16,"E+",IF(R593&lt;'PlayerGrades+'!$AH$15,"D-",IF(R593&lt;'PlayerGrades+'!$AH$14,"D",IF(R593&lt;'PlayerGrades+'!$AH$13,"D+",IF(R593&lt;'PlayerGrades+'!$AH$12,"C-",IF(R593&lt;'PlayerGrades+'!$AH$11,"C",IF(R593&lt;'PlayerGrades+'!$AH$10,"C+",IF(R593&lt;'PlayerGrades+'!$AH$9,"B-",IF(R593&lt;'PlayerGrades+'!$AH$8,"B",IF(R593&lt;'PlayerGrades+'!$AH$7,"B+",IF(R593&lt;'PlayerGrades+'!$AH$6,"A-",IF(R593&lt;'PlayerGrades+'!$AH$5,"A",IF(R593&lt;'PlayerGrades+'!$AH$4,"A+",IF(R593&lt;'PlayerGrades+'!$AH$3,"S-",IF(R593&lt;'PlayerGrades+'!$AH$2,"S","S+"))))))))))))))))))))</f>
        <v>#REF!</v>
      </c>
      <c r="T593" s="1423" t="str">
        <f t="shared" si="20"/>
        <v>#REF!</v>
      </c>
      <c r="U593" s="1423" t="str">
        <f>IF(T593&lt;'PlayerGrades+'!$AI$21,"F-",IF(T593&lt;'PlayerGrades+'!$AI$20,"F",IF(T593&lt;'PlayerGrades+'!$AI$19,"F+",IF(T593&lt;'PlayerGrades+'!$AI$18,"E-",IF(T593&lt;'PlayerGrades+'!$AI$17,"E",IF(T593&lt;'PlayerGrades+'!$AI$16,"E+",IF(T593&lt;'PlayerGrades+'!$AI$15,"D-",IF(T593&lt;'PlayerGrades+'!$AI$14,"D",IF(T593&lt;'PlayerGrades+'!$AI$13,"D+",IF(T593&lt;'PlayerGrades+'!$AI$12,"C-",IF(T593&lt;'PlayerGrades+'!$AI$11,"C",IF(T593&lt;'PlayerGrades+'!$AI$10,"C+",IF(T593&lt;'PlayerGrades+'!$AI$9,"B-",IF(T593&lt;'PlayerGrades+'!$AI$8,"B",IF(T593&lt;'PlayerGrades+'!$AI$7,"B+",IF(T593&lt;'PlayerGrades+'!$AI$6,"A-",IF(T593&lt;'PlayerGrades+'!$AI$5,"A",IF(T593&lt;'PlayerGrades+'!$AI$4,"A+",IF(T593&lt;'PlayerGrades+'!$AI$3,"S-",IF(T593&lt;'PlayerGrades+'!$AI$2,"S","S+"))))))))))))))))))))</f>
        <v>#REF!</v>
      </c>
      <c r="V593" s="1386"/>
      <c r="W593" s="1386"/>
      <c r="X593" s="1386"/>
      <c r="Y593" s="1386"/>
      <c r="Z593" s="1386"/>
      <c r="AA593" s="1386"/>
      <c r="AB593" s="1386"/>
      <c r="AC593" s="1397"/>
      <c r="AD593" s="1386"/>
      <c r="AE593" s="1386"/>
      <c r="AF593" s="1386"/>
      <c r="AG593" s="1386"/>
      <c r="AH593" s="1386"/>
      <c r="AI593" s="1386"/>
      <c r="AJ593" s="1386"/>
      <c r="AK593" s="1386"/>
      <c r="AL593" s="1386"/>
      <c r="AM593" s="1386"/>
      <c r="AN593" s="1386"/>
      <c r="AO593" s="1386"/>
      <c r="AP593" s="1386"/>
      <c r="AQ593" s="1386"/>
      <c r="AR593" s="1386"/>
      <c r="AS593" s="1386"/>
      <c r="AT593" s="1386"/>
      <c r="AU593" s="1386"/>
      <c r="AV593" s="1386"/>
      <c r="AW593" s="1386"/>
      <c r="AX593" s="1386"/>
      <c r="AY593" s="1386"/>
      <c r="AZ593" s="1386"/>
    </row>
    <row r="594">
      <c r="B594" s="1421" t="str">
        <f>IF(C594&lt;'PlayerGrades+'!$Y$44,"F-",IF(C594&lt;'PlayerGrades+'!$Y$43,"F",IF(C594&lt;'PlayerGrades+'!$Y$42,"F+",IF(C594&lt;'PlayerGrades+'!$Y$41,"E-",IF(C594&lt;'PlayerGrades+'!$Y$40,"E",IF(C594&lt;'PlayerGrades+'!$Y$39,"E+",IF(C594&lt;'PlayerGrades+'!$Y$38,"D-",IF(C594&lt;'PlayerGrades+'!$Y$37,"D",IF(C594&lt;'PlayerGrades+'!$Y$36,"D+",IF(C594&lt;'PlayerGrades+'!$Y$35,"C-",IF(C594&lt;'PlayerGrades+'!$Y$34,"C",IF(C594&lt;'PlayerGrades+'!$Y$33,"C+",IF(C594&lt;'PlayerGrades+'!$Y$32,"B-",IF(C594&lt;'PlayerGrades+'!$Y$31,"B",IF(C594&lt;'PlayerGrades+'!$Y$30,"B+",IF(C594&lt;'PlayerGrades+'!$Y$29,"A-",IF(C594&lt;'PlayerGrades+'!$Y$28,"A",IF(C594&lt;'PlayerGrades+'!$Y$27,"A+",IF(C594&lt;'PlayerGrades+'!$Y$26,"S-",IF(C594&lt;'PlayerGrades+'!$Y$25,"S","S+"))))))))))))))))))))</f>
        <v>#DIV/0!</v>
      </c>
      <c r="C594" s="1422" t="str">
        <f>('PlayerGrades+'!$Y$47*(VLOOKUP(E594, 'PlayerGrades+'!$X$3:$Y$23, 2, FALSE)))+('PlayerGrades+'!$Y$48*(VLOOKUP(G594, 'PlayerGrades+'!$X$3:$Y$23, 2, FALSE)))+('PlayerGrades+'!$Y$49*(VLOOKUP(I594, 'PlayerGrades+'!$X$3:$Y$23, 2, FALSE)))+('PlayerGrades+'!$Y$50*(VLOOKUP(K594, 'PlayerGrades+'!$X$3:$Y$23, 2, FALSE)))+('PlayerGrades+'!$Y$51*(VLOOKUP(M594, 'PlayerGrades+'!$X$3:$Y$23, 2, FALSE)))+('PlayerGrades+'!$Y$52*(VLOOKUP(O594, 'PlayerGrades+'!$X$3:$Y$23, 2, FALSE)))+('PlayerGrades+'!$Y$53*(VLOOKUP(Q594, 'PlayerGrades+'!$X$3:$Y$23, 2, FALSE)))+('PlayerGrades+'!$Y$54*(VLOOKUP(S594, 'PlayerGrades+'!$X$3:$Y$23, 2, FALSE)))+('PlayerGrades+'!$Y$55*(VLOOKUP(U594, 'PlayerGrades+'!$X$3:$Y$23, 2, FALSE)))</f>
        <v>#DIV/0!</v>
      </c>
      <c r="D594" s="1423" t="str">
        <f t="shared" si="12"/>
        <v>#DIV/0!</v>
      </c>
      <c r="E594" s="1423" t="str">
        <f>IF(D594&lt;'PlayerGrades+'!$AA$21,"F-",IF(D594&lt;'PlayerGrades+'!$AA$20,"F",IF(D594&lt;'PlayerGrades+'!$AA$19,"F+",IF(D594&lt;'PlayerGrades+'!$AA$18,"E-",IF(D594&lt;'PlayerGrades+'!$AA$17,"E",IF(D594&lt;'PlayerGrades+'!$AA$16,"E+",IF(D594&lt;'PlayerGrades+'!$AA$15,"D-",IF(D594&lt;'PlayerGrades+'!$AA$14,"D",IF(D594&lt;'PlayerGrades+'!$AA$13,"D+",IF(D594&lt;'PlayerGrades+'!$AA$12,"C-",IF(D594&lt;'PlayerGrades+'!$AA$11,"C",IF(D594&lt;'PlayerGrades+'!$AA$10,"C+",IF(D594&lt;'PlayerGrades+'!$AA$9,"B-",IF(D594&lt;'PlayerGrades+'!$AA$8,"B",IF(D594&lt;'PlayerGrades+'!$AA$7,"B+",IF(D594&lt;'PlayerGrades+'!$AA$6,"A-",IF(D594&lt;'PlayerGrades+'!$AA$5,"A",IF(D594&lt;'PlayerGrades+'!$AA$4,"A+",IF(D594&lt;'PlayerGrades+'!$AA$3,"S-",IF(D594&lt;'PlayerGrades+'!$AA$2,"S","S+"))))))))))))))))))))</f>
        <v>#DIV/0!</v>
      </c>
      <c r="F594" s="1423" t="str">
        <f t="shared" si="13"/>
        <v>#DIV/0!</v>
      </c>
      <c r="G594" s="1423" t="str">
        <f>IF(F594&lt;'PlayerGrades+'!$AB$21,"F-",IF(F594&lt;'PlayerGrades+'!$AB$20,"F",IF(F594&lt;'PlayerGrades+'!$AB$19,"F+",IF(F594&lt;'PlayerGrades+'!$AB$18,"E-",IF(F594&lt;'PlayerGrades+'!$AB$17,"E",IF(F594&lt;'PlayerGrades+'!$AB$16,"E+",IF(F594&lt;'PlayerGrades+'!$AB$15,"D-",IF(F594&lt;'PlayerGrades+'!$AB$14,"D",IF(F594&lt;'PlayerGrades+'!$AB$13,"D+",IF(F594&lt;'PlayerGrades+'!$AB$12,"C-",IF(F594&lt;'PlayerGrades+'!$AB$11,"C",IF(F594&lt;'PlayerGrades+'!$AB$10,"C+",IF(F594&lt;'PlayerGrades+'!$AB$9,"B-",IF(F594&lt;'PlayerGrades+'!$AB$8,"B",IF(F594&lt;'PlayerGrades+'!$AB$7,"B+",IF(F594&lt;'PlayerGrades+'!$AB$6,"A-",IF(F594&lt;'PlayerGrades+'!$AB$5,"A",IF(F594&lt;'PlayerGrades+'!$AB$4,"A+",IF(F594&lt;'PlayerGrades+'!$AB$3,"S-",IF(F594&lt;'PlayerGrades+'!$AB$2,"S","S+"))))))))))))))))))))</f>
        <v>#DIV/0!</v>
      </c>
      <c r="H594" s="1423" t="str">
        <f t="shared" si="14"/>
        <v>#DIV/0!</v>
      </c>
      <c r="I594" s="1423" t="str">
        <f>IF(H594&lt;'PlayerGrades+'!$AC$21,"F-",IF(H594&lt;'PlayerGrades+'!$AC$20,"F",IF(H594&lt;'PlayerGrades+'!$AC$19,"F+",IF(H594&lt;'PlayerGrades+'!$AC$18,"E-",IF(H594&lt;'PlayerGrades+'!$AC$17,"E",IF(H594&lt;'PlayerGrades+'!$AC$16,"E+",IF(H594&lt;'PlayerGrades+'!$AC$15,"D-",IF(H594&lt;'PlayerGrades+'!$AC$14,"D",IF(H594&lt;'PlayerGrades+'!$AC$13,"D+",IF(H594&lt;'PlayerGrades+'!$AC$12,"C-",IF(H594&lt;'PlayerGrades+'!$AC$11,"C",IF(H594&lt;'PlayerGrades+'!$AC$10,"C+",IF(H594&lt;'PlayerGrades+'!$AC$9,"B-",IF(H594&lt;'PlayerGrades+'!$AC$8,"B",IF(H594&lt;'PlayerGrades+'!$AC$7,"B+",IF(H594&lt;'PlayerGrades+'!$AC$6,"A-",IF(H594&lt;'PlayerGrades+'!$AC$5,"A",IF(H594&lt;'PlayerGrades+'!$AC$4,"A+",IF(H594&lt;'PlayerGrades+'!$AC$3,"S-",IF(H594&lt;'PlayerGrades+'!$AC$2,"S","S+"))))))))))))))))))))</f>
        <v>#DIV/0!</v>
      </c>
      <c r="J594" s="1423" t="str">
        <f t="shared" si="15"/>
        <v>#DIV/0!</v>
      </c>
      <c r="K594" s="1423" t="str">
        <f>IF(J594&lt;'PlayerGrades+'!$AD$21,"F-",IF(J594&lt;'PlayerGrades+'!$AD$20,"F",IF(J594&lt;'PlayerGrades+'!$AD$19,"F+",IF(J594&lt;'PlayerGrades+'!$AD$18,"E-",IF(J594&lt;'PlayerGrades+'!$AD$17,"E",IF(J594&lt;'PlayerGrades+'!$AD$16,"E+",IF(J594&lt;'PlayerGrades+'!$AD$15,"D-",IF(J594&lt;'PlayerGrades+'!$AD$14,"D",IF(J594&lt;'PlayerGrades+'!$AD$13,"D+",IF(J594&lt;'PlayerGrades+'!$AD$12,"C-",IF(J594&lt;'PlayerGrades+'!$AD$11,"C",IF(J594&lt;'PlayerGrades+'!$AD$10,"C+",IF(J594&lt;'PlayerGrades+'!$AD$9,"B-",IF(J594&lt;'PlayerGrades+'!$AD$8,"B",IF(J594&lt;'PlayerGrades+'!$AD$7,"B+",IF(J594&lt;'PlayerGrades+'!$AD$6,"A-",IF(J594&lt;'PlayerGrades+'!$AD$5,"A",IF(J594&lt;'PlayerGrades+'!$AD$4,"A+",IF(J594&lt;'PlayerGrades+'!$AD$3,"S-",IF(J594&lt;'PlayerGrades+'!$AD$2,"S","S+"))))))))))))))))))))</f>
        <v>#DIV/0!</v>
      </c>
      <c r="L594" s="1176" t="str">
        <f t="shared" si="16"/>
        <v>#DIV/0!</v>
      </c>
      <c r="M594" s="992" t="str">
        <f>IF(L594&lt;'PlayerGrades+'!$AE$21,"F-",IF(L594&lt;'PlayerGrades+'!$AE$20,"F",IF(L594&lt;'PlayerGrades+'!$AE$19,"F+",IF(L594&lt;'PlayerGrades+'!$AE$18,"E-",IF(L594&lt;'PlayerGrades+'!$AE$17,"E",IF(L594&lt;'PlayerGrades+'!$AE$16,"E+",IF(L594&lt;'PlayerGrades+'!$AE$15,"D-",IF(L594&lt;'PlayerGrades+'!$AE$14,"D",IF(L594&lt;'PlayerGrades+'!$AE$13,"D+",IF(L594&lt;'PlayerGrades+'!$AE$12,"C-",IF(L594&lt;'PlayerGrades+'!$AE$11,"C",IF(L594&lt;'PlayerGrades+'!$AE$10,"C+",IF(L594&lt;'PlayerGrades+'!$AE$9,"B-",IF(L594&lt;'PlayerGrades+'!$AE$8,"B",IF(L594&lt;'PlayerGrades+'!$AE$7,"B+",IF(L594&lt;'PlayerGrades+'!$AE$6,"A-",IF(L594&lt;'PlayerGrades+'!$AE$5,"A",IF(L594&lt;'PlayerGrades+'!$AE$4,"A+",IF(L594&lt;'PlayerGrades+'!$AE$3,"S-",IF(L594&lt;'PlayerGrades+'!$AE$2,"S","S+"))))))))))))))))))))</f>
        <v>#DIV/0!</v>
      </c>
      <c r="N594" s="1423" t="str">
        <f t="shared" si="17"/>
        <v>#DIV/0!</v>
      </c>
      <c r="O594" s="1423" t="str">
        <f>IF(N594&lt;'PlayerGrades+'!$AF$21,"F-",IF(N594&lt;'PlayerGrades+'!$AF$20,"F",IF(N594&lt;'PlayerGrades+'!$AF$19,"F+",IF(N594&lt;'PlayerGrades+'!$AF$18,"E-",IF(N594&lt;'PlayerGrades+'!$AF$17,"E",IF(N594&lt;'PlayerGrades+'!$AF$16,"E+",IF(N594&lt;'PlayerGrades+'!$AF$15,"D-",IF(N594&lt;'PlayerGrades+'!$AF$14,"D",IF(N594&lt;'PlayerGrades+'!$AF$13,"D+",IF(N594&lt;'PlayerGrades+'!$AF$12,"C-",IF(N594&lt;'PlayerGrades+'!$AF$11,"C",IF(N594&lt;'PlayerGrades+'!$AF$10,"C+",IF(N594&lt;'PlayerGrades+'!$AF$9,"B-",IF(N594&lt;'PlayerGrades+'!$AF$8,"B",IF(N594&lt;'PlayerGrades+'!$AF$7,"B+",IF(N594&lt;'PlayerGrades+'!$AF$6,"A-",IF(N594&lt;'PlayerGrades+'!$AF$5,"A",IF(N594&lt;'PlayerGrades+'!$AF$4,"A+",IF(N594&lt;'PlayerGrades+'!$AF$3,"S-",IF(N594&lt;'PlayerGrades+'!$AF$2,"S","S+"))))))))))))))))))))</f>
        <v>#DIV/0!</v>
      </c>
      <c r="P594" s="1423" t="str">
        <f t="shared" si="18"/>
        <v>#DIV/0!</v>
      </c>
      <c r="Q594" s="1423" t="str">
        <f>IF(P594&lt;'PlayerGrades+'!$AG$21,"F-",IF(P594&lt;'PlayerGrades+'!$AG$20,"F",IF(P594&lt;'PlayerGrades+'!$AG$19,"F+",IF(P594&lt;'PlayerGrades+'!$AG$18,"E-",IF(P594&lt;'PlayerGrades+'!$AG$17,"E",IF(P594&lt;'PlayerGrades+'!$AG$16,"E+",IF(P594&lt;'PlayerGrades+'!$AG$15,"D-",IF(P594&lt;'PlayerGrades+'!$AG$14,"D",IF(P594&lt;'PlayerGrades+'!$AG$13,"D+",IF(P594&lt;'PlayerGrades+'!$AG$12,"C-",IF(P594&lt;'PlayerGrades+'!$AG$11,"C",IF(P594&lt;'PlayerGrades+'!$AG$10,"C+",IF(P594&lt;'PlayerGrades+'!$AG$9,"B-",IF(P594&lt;'PlayerGrades+'!$AG$8,"B",IF(P594&lt;'PlayerGrades+'!$AG$7,"B+",IF(P594&lt;'PlayerGrades+'!$AG$6,"A-",IF(P594&lt;'PlayerGrades+'!$AG$5,"A",IF(P594&lt;'PlayerGrades+'!$AG$4,"A+",IF(P594&lt;'PlayerGrades+'!$AG$3,"S-",IF(P594&lt;'PlayerGrades+'!$AG$2,"S","S+"))))))))))))))))))))</f>
        <v>#DIV/0!</v>
      </c>
      <c r="R594" s="1423" t="str">
        <f t="shared" si="19"/>
        <v>#REF!</v>
      </c>
      <c r="S594" s="1423" t="str">
        <f>IF(R594&lt;'PlayerGrades+'!$AH$21,"F-",IF(R594&lt;'PlayerGrades+'!$AH$20,"F",IF(R594&lt;'PlayerGrades+'!$AH$19,"F+",IF(R594&lt;'PlayerGrades+'!$AH$18,"E-",IF(R594&lt;'PlayerGrades+'!$AH$17,"E",IF(R594&lt;'PlayerGrades+'!$AH$16,"E+",IF(R594&lt;'PlayerGrades+'!$AH$15,"D-",IF(R594&lt;'PlayerGrades+'!$AH$14,"D",IF(R594&lt;'PlayerGrades+'!$AH$13,"D+",IF(R594&lt;'PlayerGrades+'!$AH$12,"C-",IF(R594&lt;'PlayerGrades+'!$AH$11,"C",IF(R594&lt;'PlayerGrades+'!$AH$10,"C+",IF(R594&lt;'PlayerGrades+'!$AH$9,"B-",IF(R594&lt;'PlayerGrades+'!$AH$8,"B",IF(R594&lt;'PlayerGrades+'!$AH$7,"B+",IF(R594&lt;'PlayerGrades+'!$AH$6,"A-",IF(R594&lt;'PlayerGrades+'!$AH$5,"A",IF(R594&lt;'PlayerGrades+'!$AH$4,"A+",IF(R594&lt;'PlayerGrades+'!$AH$3,"S-",IF(R594&lt;'PlayerGrades+'!$AH$2,"S","S+"))))))))))))))))))))</f>
        <v>#REF!</v>
      </c>
      <c r="T594" s="1423" t="str">
        <f t="shared" si="20"/>
        <v>#REF!</v>
      </c>
      <c r="U594" s="1423" t="str">
        <f>IF(T594&lt;'PlayerGrades+'!$AI$21,"F-",IF(T594&lt;'PlayerGrades+'!$AI$20,"F",IF(T594&lt;'PlayerGrades+'!$AI$19,"F+",IF(T594&lt;'PlayerGrades+'!$AI$18,"E-",IF(T594&lt;'PlayerGrades+'!$AI$17,"E",IF(T594&lt;'PlayerGrades+'!$AI$16,"E+",IF(T594&lt;'PlayerGrades+'!$AI$15,"D-",IF(T594&lt;'PlayerGrades+'!$AI$14,"D",IF(T594&lt;'PlayerGrades+'!$AI$13,"D+",IF(T594&lt;'PlayerGrades+'!$AI$12,"C-",IF(T594&lt;'PlayerGrades+'!$AI$11,"C",IF(T594&lt;'PlayerGrades+'!$AI$10,"C+",IF(T594&lt;'PlayerGrades+'!$AI$9,"B-",IF(T594&lt;'PlayerGrades+'!$AI$8,"B",IF(T594&lt;'PlayerGrades+'!$AI$7,"B+",IF(T594&lt;'PlayerGrades+'!$AI$6,"A-",IF(T594&lt;'PlayerGrades+'!$AI$5,"A",IF(T594&lt;'PlayerGrades+'!$AI$4,"A+",IF(T594&lt;'PlayerGrades+'!$AI$3,"S-",IF(T594&lt;'PlayerGrades+'!$AI$2,"S","S+"))))))))))))))))))))</f>
        <v>#REF!</v>
      </c>
      <c r="AC594" s="1392"/>
    </row>
    <row r="595">
      <c r="B595" s="1421" t="str">
        <f>IF(C595&lt;'PlayerGrades+'!$Y$44,"F-",IF(C595&lt;'PlayerGrades+'!$Y$43,"F",IF(C595&lt;'PlayerGrades+'!$Y$42,"F+",IF(C595&lt;'PlayerGrades+'!$Y$41,"E-",IF(C595&lt;'PlayerGrades+'!$Y$40,"E",IF(C595&lt;'PlayerGrades+'!$Y$39,"E+",IF(C595&lt;'PlayerGrades+'!$Y$38,"D-",IF(C595&lt;'PlayerGrades+'!$Y$37,"D",IF(C595&lt;'PlayerGrades+'!$Y$36,"D+",IF(C595&lt;'PlayerGrades+'!$Y$35,"C-",IF(C595&lt;'PlayerGrades+'!$Y$34,"C",IF(C595&lt;'PlayerGrades+'!$Y$33,"C+",IF(C595&lt;'PlayerGrades+'!$Y$32,"B-",IF(C595&lt;'PlayerGrades+'!$Y$31,"B",IF(C595&lt;'PlayerGrades+'!$Y$30,"B+",IF(C595&lt;'PlayerGrades+'!$Y$29,"A-",IF(C595&lt;'PlayerGrades+'!$Y$28,"A",IF(C595&lt;'PlayerGrades+'!$Y$27,"A+",IF(C595&lt;'PlayerGrades+'!$Y$26,"S-",IF(C595&lt;'PlayerGrades+'!$Y$25,"S","S+"))))))))))))))))))))</f>
        <v>#DIV/0!</v>
      </c>
      <c r="C595" s="1422" t="str">
        <f>('PlayerGrades+'!$Y$47*(VLOOKUP(E595, 'PlayerGrades+'!$X$3:$Y$23, 2, FALSE)))+('PlayerGrades+'!$Y$48*(VLOOKUP(G595, 'PlayerGrades+'!$X$3:$Y$23, 2, FALSE)))+('PlayerGrades+'!$Y$49*(VLOOKUP(I595, 'PlayerGrades+'!$X$3:$Y$23, 2, FALSE)))+('PlayerGrades+'!$Y$50*(VLOOKUP(K595, 'PlayerGrades+'!$X$3:$Y$23, 2, FALSE)))+('PlayerGrades+'!$Y$51*(VLOOKUP(M595, 'PlayerGrades+'!$X$3:$Y$23, 2, FALSE)))+('PlayerGrades+'!$Y$52*(VLOOKUP(O595, 'PlayerGrades+'!$X$3:$Y$23, 2, FALSE)))+('PlayerGrades+'!$Y$53*(VLOOKUP(Q595, 'PlayerGrades+'!$X$3:$Y$23, 2, FALSE)))+('PlayerGrades+'!$Y$54*(VLOOKUP(S595, 'PlayerGrades+'!$X$3:$Y$23, 2, FALSE)))+('PlayerGrades+'!$Y$55*(VLOOKUP(U595, 'PlayerGrades+'!$X$3:$Y$23, 2, FALSE)))</f>
        <v>#DIV/0!</v>
      </c>
      <c r="D595" s="1423" t="str">
        <f t="shared" si="12"/>
        <v>#DIV/0!</v>
      </c>
      <c r="E595" s="1423" t="str">
        <f>IF(D595&lt;'PlayerGrades+'!$AA$21,"F-",IF(D595&lt;'PlayerGrades+'!$AA$20,"F",IF(D595&lt;'PlayerGrades+'!$AA$19,"F+",IF(D595&lt;'PlayerGrades+'!$AA$18,"E-",IF(D595&lt;'PlayerGrades+'!$AA$17,"E",IF(D595&lt;'PlayerGrades+'!$AA$16,"E+",IF(D595&lt;'PlayerGrades+'!$AA$15,"D-",IF(D595&lt;'PlayerGrades+'!$AA$14,"D",IF(D595&lt;'PlayerGrades+'!$AA$13,"D+",IF(D595&lt;'PlayerGrades+'!$AA$12,"C-",IF(D595&lt;'PlayerGrades+'!$AA$11,"C",IF(D595&lt;'PlayerGrades+'!$AA$10,"C+",IF(D595&lt;'PlayerGrades+'!$AA$9,"B-",IF(D595&lt;'PlayerGrades+'!$AA$8,"B",IF(D595&lt;'PlayerGrades+'!$AA$7,"B+",IF(D595&lt;'PlayerGrades+'!$AA$6,"A-",IF(D595&lt;'PlayerGrades+'!$AA$5,"A",IF(D595&lt;'PlayerGrades+'!$AA$4,"A+",IF(D595&lt;'PlayerGrades+'!$AA$3,"S-",IF(D595&lt;'PlayerGrades+'!$AA$2,"S","S+"))))))))))))))))))))</f>
        <v>#DIV/0!</v>
      </c>
      <c r="F595" s="1423" t="str">
        <f t="shared" si="13"/>
        <v>#DIV/0!</v>
      </c>
      <c r="G595" s="1423" t="str">
        <f>IF(F595&lt;'PlayerGrades+'!$AB$21,"F-",IF(F595&lt;'PlayerGrades+'!$AB$20,"F",IF(F595&lt;'PlayerGrades+'!$AB$19,"F+",IF(F595&lt;'PlayerGrades+'!$AB$18,"E-",IF(F595&lt;'PlayerGrades+'!$AB$17,"E",IF(F595&lt;'PlayerGrades+'!$AB$16,"E+",IF(F595&lt;'PlayerGrades+'!$AB$15,"D-",IF(F595&lt;'PlayerGrades+'!$AB$14,"D",IF(F595&lt;'PlayerGrades+'!$AB$13,"D+",IF(F595&lt;'PlayerGrades+'!$AB$12,"C-",IF(F595&lt;'PlayerGrades+'!$AB$11,"C",IF(F595&lt;'PlayerGrades+'!$AB$10,"C+",IF(F595&lt;'PlayerGrades+'!$AB$9,"B-",IF(F595&lt;'PlayerGrades+'!$AB$8,"B",IF(F595&lt;'PlayerGrades+'!$AB$7,"B+",IF(F595&lt;'PlayerGrades+'!$AB$6,"A-",IF(F595&lt;'PlayerGrades+'!$AB$5,"A",IF(F595&lt;'PlayerGrades+'!$AB$4,"A+",IF(F595&lt;'PlayerGrades+'!$AB$3,"S-",IF(F595&lt;'PlayerGrades+'!$AB$2,"S","S+"))))))))))))))))))))</f>
        <v>#DIV/0!</v>
      </c>
      <c r="H595" s="1423" t="str">
        <f t="shared" si="14"/>
        <v>#DIV/0!</v>
      </c>
      <c r="I595" s="1423" t="str">
        <f>IF(H595&lt;'PlayerGrades+'!$AC$21,"F-",IF(H595&lt;'PlayerGrades+'!$AC$20,"F",IF(H595&lt;'PlayerGrades+'!$AC$19,"F+",IF(H595&lt;'PlayerGrades+'!$AC$18,"E-",IF(H595&lt;'PlayerGrades+'!$AC$17,"E",IF(H595&lt;'PlayerGrades+'!$AC$16,"E+",IF(H595&lt;'PlayerGrades+'!$AC$15,"D-",IF(H595&lt;'PlayerGrades+'!$AC$14,"D",IF(H595&lt;'PlayerGrades+'!$AC$13,"D+",IF(H595&lt;'PlayerGrades+'!$AC$12,"C-",IF(H595&lt;'PlayerGrades+'!$AC$11,"C",IF(H595&lt;'PlayerGrades+'!$AC$10,"C+",IF(H595&lt;'PlayerGrades+'!$AC$9,"B-",IF(H595&lt;'PlayerGrades+'!$AC$8,"B",IF(H595&lt;'PlayerGrades+'!$AC$7,"B+",IF(H595&lt;'PlayerGrades+'!$AC$6,"A-",IF(H595&lt;'PlayerGrades+'!$AC$5,"A",IF(H595&lt;'PlayerGrades+'!$AC$4,"A+",IF(H595&lt;'PlayerGrades+'!$AC$3,"S-",IF(H595&lt;'PlayerGrades+'!$AC$2,"S","S+"))))))))))))))))))))</f>
        <v>#DIV/0!</v>
      </c>
      <c r="J595" s="1423" t="str">
        <f t="shared" si="15"/>
        <v>#DIV/0!</v>
      </c>
      <c r="K595" s="1423" t="str">
        <f>IF(J595&lt;'PlayerGrades+'!$AD$21,"F-",IF(J595&lt;'PlayerGrades+'!$AD$20,"F",IF(J595&lt;'PlayerGrades+'!$AD$19,"F+",IF(J595&lt;'PlayerGrades+'!$AD$18,"E-",IF(J595&lt;'PlayerGrades+'!$AD$17,"E",IF(J595&lt;'PlayerGrades+'!$AD$16,"E+",IF(J595&lt;'PlayerGrades+'!$AD$15,"D-",IF(J595&lt;'PlayerGrades+'!$AD$14,"D",IF(J595&lt;'PlayerGrades+'!$AD$13,"D+",IF(J595&lt;'PlayerGrades+'!$AD$12,"C-",IF(J595&lt;'PlayerGrades+'!$AD$11,"C",IF(J595&lt;'PlayerGrades+'!$AD$10,"C+",IF(J595&lt;'PlayerGrades+'!$AD$9,"B-",IF(J595&lt;'PlayerGrades+'!$AD$8,"B",IF(J595&lt;'PlayerGrades+'!$AD$7,"B+",IF(J595&lt;'PlayerGrades+'!$AD$6,"A-",IF(J595&lt;'PlayerGrades+'!$AD$5,"A",IF(J595&lt;'PlayerGrades+'!$AD$4,"A+",IF(J595&lt;'PlayerGrades+'!$AD$3,"S-",IF(J595&lt;'PlayerGrades+'!$AD$2,"S","S+"))))))))))))))))))))</f>
        <v>#DIV/0!</v>
      </c>
      <c r="L595" s="1176" t="str">
        <f t="shared" si="16"/>
        <v>#DIV/0!</v>
      </c>
      <c r="M595" s="992" t="str">
        <f>IF(L595&lt;'PlayerGrades+'!$AE$21,"F-",IF(L595&lt;'PlayerGrades+'!$AE$20,"F",IF(L595&lt;'PlayerGrades+'!$AE$19,"F+",IF(L595&lt;'PlayerGrades+'!$AE$18,"E-",IF(L595&lt;'PlayerGrades+'!$AE$17,"E",IF(L595&lt;'PlayerGrades+'!$AE$16,"E+",IF(L595&lt;'PlayerGrades+'!$AE$15,"D-",IF(L595&lt;'PlayerGrades+'!$AE$14,"D",IF(L595&lt;'PlayerGrades+'!$AE$13,"D+",IF(L595&lt;'PlayerGrades+'!$AE$12,"C-",IF(L595&lt;'PlayerGrades+'!$AE$11,"C",IF(L595&lt;'PlayerGrades+'!$AE$10,"C+",IF(L595&lt;'PlayerGrades+'!$AE$9,"B-",IF(L595&lt;'PlayerGrades+'!$AE$8,"B",IF(L595&lt;'PlayerGrades+'!$AE$7,"B+",IF(L595&lt;'PlayerGrades+'!$AE$6,"A-",IF(L595&lt;'PlayerGrades+'!$AE$5,"A",IF(L595&lt;'PlayerGrades+'!$AE$4,"A+",IF(L595&lt;'PlayerGrades+'!$AE$3,"S-",IF(L595&lt;'PlayerGrades+'!$AE$2,"S","S+"))))))))))))))))))))</f>
        <v>#DIV/0!</v>
      </c>
      <c r="N595" s="1423" t="str">
        <f t="shared" si="17"/>
        <v>#DIV/0!</v>
      </c>
      <c r="O595" s="1423" t="str">
        <f>IF(N595&lt;'PlayerGrades+'!$AF$21,"F-",IF(N595&lt;'PlayerGrades+'!$AF$20,"F",IF(N595&lt;'PlayerGrades+'!$AF$19,"F+",IF(N595&lt;'PlayerGrades+'!$AF$18,"E-",IF(N595&lt;'PlayerGrades+'!$AF$17,"E",IF(N595&lt;'PlayerGrades+'!$AF$16,"E+",IF(N595&lt;'PlayerGrades+'!$AF$15,"D-",IF(N595&lt;'PlayerGrades+'!$AF$14,"D",IF(N595&lt;'PlayerGrades+'!$AF$13,"D+",IF(N595&lt;'PlayerGrades+'!$AF$12,"C-",IF(N595&lt;'PlayerGrades+'!$AF$11,"C",IF(N595&lt;'PlayerGrades+'!$AF$10,"C+",IF(N595&lt;'PlayerGrades+'!$AF$9,"B-",IF(N595&lt;'PlayerGrades+'!$AF$8,"B",IF(N595&lt;'PlayerGrades+'!$AF$7,"B+",IF(N595&lt;'PlayerGrades+'!$AF$6,"A-",IF(N595&lt;'PlayerGrades+'!$AF$5,"A",IF(N595&lt;'PlayerGrades+'!$AF$4,"A+",IF(N595&lt;'PlayerGrades+'!$AF$3,"S-",IF(N595&lt;'PlayerGrades+'!$AF$2,"S","S+"))))))))))))))))))))</f>
        <v>#DIV/0!</v>
      </c>
      <c r="P595" s="1423" t="str">
        <f t="shared" si="18"/>
        <v>#DIV/0!</v>
      </c>
      <c r="Q595" s="1423" t="str">
        <f>IF(P595&lt;'PlayerGrades+'!$AG$21,"F-",IF(P595&lt;'PlayerGrades+'!$AG$20,"F",IF(P595&lt;'PlayerGrades+'!$AG$19,"F+",IF(P595&lt;'PlayerGrades+'!$AG$18,"E-",IF(P595&lt;'PlayerGrades+'!$AG$17,"E",IF(P595&lt;'PlayerGrades+'!$AG$16,"E+",IF(P595&lt;'PlayerGrades+'!$AG$15,"D-",IF(P595&lt;'PlayerGrades+'!$AG$14,"D",IF(P595&lt;'PlayerGrades+'!$AG$13,"D+",IF(P595&lt;'PlayerGrades+'!$AG$12,"C-",IF(P595&lt;'PlayerGrades+'!$AG$11,"C",IF(P595&lt;'PlayerGrades+'!$AG$10,"C+",IF(P595&lt;'PlayerGrades+'!$AG$9,"B-",IF(P595&lt;'PlayerGrades+'!$AG$8,"B",IF(P595&lt;'PlayerGrades+'!$AG$7,"B+",IF(P595&lt;'PlayerGrades+'!$AG$6,"A-",IF(P595&lt;'PlayerGrades+'!$AG$5,"A",IF(P595&lt;'PlayerGrades+'!$AG$4,"A+",IF(P595&lt;'PlayerGrades+'!$AG$3,"S-",IF(P595&lt;'PlayerGrades+'!$AG$2,"S","S+"))))))))))))))))))))</f>
        <v>#DIV/0!</v>
      </c>
      <c r="R595" s="1423" t="str">
        <f t="shared" si="19"/>
        <v>#REF!</v>
      </c>
      <c r="S595" s="1423" t="str">
        <f>IF(R595&lt;'PlayerGrades+'!$AH$21,"F-",IF(R595&lt;'PlayerGrades+'!$AH$20,"F",IF(R595&lt;'PlayerGrades+'!$AH$19,"F+",IF(R595&lt;'PlayerGrades+'!$AH$18,"E-",IF(R595&lt;'PlayerGrades+'!$AH$17,"E",IF(R595&lt;'PlayerGrades+'!$AH$16,"E+",IF(R595&lt;'PlayerGrades+'!$AH$15,"D-",IF(R595&lt;'PlayerGrades+'!$AH$14,"D",IF(R595&lt;'PlayerGrades+'!$AH$13,"D+",IF(R595&lt;'PlayerGrades+'!$AH$12,"C-",IF(R595&lt;'PlayerGrades+'!$AH$11,"C",IF(R595&lt;'PlayerGrades+'!$AH$10,"C+",IF(R595&lt;'PlayerGrades+'!$AH$9,"B-",IF(R595&lt;'PlayerGrades+'!$AH$8,"B",IF(R595&lt;'PlayerGrades+'!$AH$7,"B+",IF(R595&lt;'PlayerGrades+'!$AH$6,"A-",IF(R595&lt;'PlayerGrades+'!$AH$5,"A",IF(R595&lt;'PlayerGrades+'!$AH$4,"A+",IF(R595&lt;'PlayerGrades+'!$AH$3,"S-",IF(R595&lt;'PlayerGrades+'!$AH$2,"S","S+"))))))))))))))))))))</f>
        <v>#REF!</v>
      </c>
      <c r="T595" s="1423" t="str">
        <f t="shared" si="20"/>
        <v>#REF!</v>
      </c>
      <c r="U595" s="1423" t="str">
        <f>IF(T595&lt;'PlayerGrades+'!$AI$21,"F-",IF(T595&lt;'PlayerGrades+'!$AI$20,"F",IF(T595&lt;'PlayerGrades+'!$AI$19,"F+",IF(T595&lt;'PlayerGrades+'!$AI$18,"E-",IF(T595&lt;'PlayerGrades+'!$AI$17,"E",IF(T595&lt;'PlayerGrades+'!$AI$16,"E+",IF(T595&lt;'PlayerGrades+'!$AI$15,"D-",IF(T595&lt;'PlayerGrades+'!$AI$14,"D",IF(T595&lt;'PlayerGrades+'!$AI$13,"D+",IF(T595&lt;'PlayerGrades+'!$AI$12,"C-",IF(T595&lt;'PlayerGrades+'!$AI$11,"C",IF(T595&lt;'PlayerGrades+'!$AI$10,"C+",IF(T595&lt;'PlayerGrades+'!$AI$9,"B-",IF(T595&lt;'PlayerGrades+'!$AI$8,"B",IF(T595&lt;'PlayerGrades+'!$AI$7,"B+",IF(T595&lt;'PlayerGrades+'!$AI$6,"A-",IF(T595&lt;'PlayerGrades+'!$AI$5,"A",IF(T595&lt;'PlayerGrades+'!$AI$4,"A+",IF(T595&lt;'PlayerGrades+'!$AI$3,"S-",IF(T595&lt;'PlayerGrades+'!$AI$2,"S","S+"))))))))))))))))))))</f>
        <v>#REF!</v>
      </c>
      <c r="AC595" s="1392"/>
    </row>
    <row r="596">
      <c r="B596" s="1421" t="str">
        <f>IF(C596&lt;'PlayerGrades+'!$Y$44,"F-",IF(C596&lt;'PlayerGrades+'!$Y$43,"F",IF(C596&lt;'PlayerGrades+'!$Y$42,"F+",IF(C596&lt;'PlayerGrades+'!$Y$41,"E-",IF(C596&lt;'PlayerGrades+'!$Y$40,"E",IF(C596&lt;'PlayerGrades+'!$Y$39,"E+",IF(C596&lt;'PlayerGrades+'!$Y$38,"D-",IF(C596&lt;'PlayerGrades+'!$Y$37,"D",IF(C596&lt;'PlayerGrades+'!$Y$36,"D+",IF(C596&lt;'PlayerGrades+'!$Y$35,"C-",IF(C596&lt;'PlayerGrades+'!$Y$34,"C",IF(C596&lt;'PlayerGrades+'!$Y$33,"C+",IF(C596&lt;'PlayerGrades+'!$Y$32,"B-",IF(C596&lt;'PlayerGrades+'!$Y$31,"B",IF(C596&lt;'PlayerGrades+'!$Y$30,"B+",IF(C596&lt;'PlayerGrades+'!$Y$29,"A-",IF(C596&lt;'PlayerGrades+'!$Y$28,"A",IF(C596&lt;'PlayerGrades+'!$Y$27,"A+",IF(C596&lt;'PlayerGrades+'!$Y$26,"S-",IF(C596&lt;'PlayerGrades+'!$Y$25,"S","S+"))))))))))))))))))))</f>
        <v>#DIV/0!</v>
      </c>
      <c r="C596" s="1422" t="str">
        <f>('PlayerGrades+'!$Y$47*(VLOOKUP(E596, 'PlayerGrades+'!$X$3:$Y$23, 2, FALSE)))+('PlayerGrades+'!$Y$48*(VLOOKUP(G596, 'PlayerGrades+'!$X$3:$Y$23, 2, FALSE)))+('PlayerGrades+'!$Y$49*(VLOOKUP(I596, 'PlayerGrades+'!$X$3:$Y$23, 2, FALSE)))+('PlayerGrades+'!$Y$50*(VLOOKUP(K596, 'PlayerGrades+'!$X$3:$Y$23, 2, FALSE)))+('PlayerGrades+'!$Y$51*(VLOOKUP(M596, 'PlayerGrades+'!$X$3:$Y$23, 2, FALSE)))+('PlayerGrades+'!$Y$52*(VLOOKUP(O596, 'PlayerGrades+'!$X$3:$Y$23, 2, FALSE)))+('PlayerGrades+'!$Y$53*(VLOOKUP(Q596, 'PlayerGrades+'!$X$3:$Y$23, 2, FALSE)))+('PlayerGrades+'!$Y$54*(VLOOKUP(S596, 'PlayerGrades+'!$X$3:$Y$23, 2, FALSE)))+('PlayerGrades+'!$Y$55*(VLOOKUP(U596, 'PlayerGrades+'!$X$3:$Y$23, 2, FALSE)))</f>
        <v>#DIV/0!</v>
      </c>
      <c r="D596" s="1423" t="str">
        <f t="shared" si="12"/>
        <v>#DIV/0!</v>
      </c>
      <c r="E596" s="1423" t="str">
        <f>IF(D596&lt;'PlayerGrades+'!$AA$21,"F-",IF(D596&lt;'PlayerGrades+'!$AA$20,"F",IF(D596&lt;'PlayerGrades+'!$AA$19,"F+",IF(D596&lt;'PlayerGrades+'!$AA$18,"E-",IF(D596&lt;'PlayerGrades+'!$AA$17,"E",IF(D596&lt;'PlayerGrades+'!$AA$16,"E+",IF(D596&lt;'PlayerGrades+'!$AA$15,"D-",IF(D596&lt;'PlayerGrades+'!$AA$14,"D",IF(D596&lt;'PlayerGrades+'!$AA$13,"D+",IF(D596&lt;'PlayerGrades+'!$AA$12,"C-",IF(D596&lt;'PlayerGrades+'!$AA$11,"C",IF(D596&lt;'PlayerGrades+'!$AA$10,"C+",IF(D596&lt;'PlayerGrades+'!$AA$9,"B-",IF(D596&lt;'PlayerGrades+'!$AA$8,"B",IF(D596&lt;'PlayerGrades+'!$AA$7,"B+",IF(D596&lt;'PlayerGrades+'!$AA$6,"A-",IF(D596&lt;'PlayerGrades+'!$AA$5,"A",IF(D596&lt;'PlayerGrades+'!$AA$4,"A+",IF(D596&lt;'PlayerGrades+'!$AA$3,"S-",IF(D596&lt;'PlayerGrades+'!$AA$2,"S","S+"))))))))))))))))))))</f>
        <v>#DIV/0!</v>
      </c>
      <c r="F596" s="1423" t="str">
        <f t="shared" si="13"/>
        <v>#DIV/0!</v>
      </c>
      <c r="G596" s="1423" t="str">
        <f>IF(F596&lt;'PlayerGrades+'!$AB$21,"F-",IF(F596&lt;'PlayerGrades+'!$AB$20,"F",IF(F596&lt;'PlayerGrades+'!$AB$19,"F+",IF(F596&lt;'PlayerGrades+'!$AB$18,"E-",IF(F596&lt;'PlayerGrades+'!$AB$17,"E",IF(F596&lt;'PlayerGrades+'!$AB$16,"E+",IF(F596&lt;'PlayerGrades+'!$AB$15,"D-",IF(F596&lt;'PlayerGrades+'!$AB$14,"D",IF(F596&lt;'PlayerGrades+'!$AB$13,"D+",IF(F596&lt;'PlayerGrades+'!$AB$12,"C-",IF(F596&lt;'PlayerGrades+'!$AB$11,"C",IF(F596&lt;'PlayerGrades+'!$AB$10,"C+",IF(F596&lt;'PlayerGrades+'!$AB$9,"B-",IF(F596&lt;'PlayerGrades+'!$AB$8,"B",IF(F596&lt;'PlayerGrades+'!$AB$7,"B+",IF(F596&lt;'PlayerGrades+'!$AB$6,"A-",IF(F596&lt;'PlayerGrades+'!$AB$5,"A",IF(F596&lt;'PlayerGrades+'!$AB$4,"A+",IF(F596&lt;'PlayerGrades+'!$AB$3,"S-",IF(F596&lt;'PlayerGrades+'!$AB$2,"S","S+"))))))))))))))))))))</f>
        <v>#DIV/0!</v>
      </c>
      <c r="H596" s="1423" t="str">
        <f t="shared" si="14"/>
        <v>#DIV/0!</v>
      </c>
      <c r="I596" s="1423" t="str">
        <f>IF(H596&lt;'PlayerGrades+'!$AC$21,"F-",IF(H596&lt;'PlayerGrades+'!$AC$20,"F",IF(H596&lt;'PlayerGrades+'!$AC$19,"F+",IF(H596&lt;'PlayerGrades+'!$AC$18,"E-",IF(H596&lt;'PlayerGrades+'!$AC$17,"E",IF(H596&lt;'PlayerGrades+'!$AC$16,"E+",IF(H596&lt;'PlayerGrades+'!$AC$15,"D-",IF(H596&lt;'PlayerGrades+'!$AC$14,"D",IF(H596&lt;'PlayerGrades+'!$AC$13,"D+",IF(H596&lt;'PlayerGrades+'!$AC$12,"C-",IF(H596&lt;'PlayerGrades+'!$AC$11,"C",IF(H596&lt;'PlayerGrades+'!$AC$10,"C+",IF(H596&lt;'PlayerGrades+'!$AC$9,"B-",IF(H596&lt;'PlayerGrades+'!$AC$8,"B",IF(H596&lt;'PlayerGrades+'!$AC$7,"B+",IF(H596&lt;'PlayerGrades+'!$AC$6,"A-",IF(H596&lt;'PlayerGrades+'!$AC$5,"A",IF(H596&lt;'PlayerGrades+'!$AC$4,"A+",IF(H596&lt;'PlayerGrades+'!$AC$3,"S-",IF(H596&lt;'PlayerGrades+'!$AC$2,"S","S+"))))))))))))))))))))</f>
        <v>#DIV/0!</v>
      </c>
      <c r="J596" s="1423" t="str">
        <f t="shared" si="15"/>
        <v>#DIV/0!</v>
      </c>
      <c r="K596" s="1423" t="str">
        <f>IF(J596&lt;'PlayerGrades+'!$AD$21,"F-",IF(J596&lt;'PlayerGrades+'!$AD$20,"F",IF(J596&lt;'PlayerGrades+'!$AD$19,"F+",IF(J596&lt;'PlayerGrades+'!$AD$18,"E-",IF(J596&lt;'PlayerGrades+'!$AD$17,"E",IF(J596&lt;'PlayerGrades+'!$AD$16,"E+",IF(J596&lt;'PlayerGrades+'!$AD$15,"D-",IF(J596&lt;'PlayerGrades+'!$AD$14,"D",IF(J596&lt;'PlayerGrades+'!$AD$13,"D+",IF(J596&lt;'PlayerGrades+'!$AD$12,"C-",IF(J596&lt;'PlayerGrades+'!$AD$11,"C",IF(J596&lt;'PlayerGrades+'!$AD$10,"C+",IF(J596&lt;'PlayerGrades+'!$AD$9,"B-",IF(J596&lt;'PlayerGrades+'!$AD$8,"B",IF(J596&lt;'PlayerGrades+'!$AD$7,"B+",IF(J596&lt;'PlayerGrades+'!$AD$6,"A-",IF(J596&lt;'PlayerGrades+'!$AD$5,"A",IF(J596&lt;'PlayerGrades+'!$AD$4,"A+",IF(J596&lt;'PlayerGrades+'!$AD$3,"S-",IF(J596&lt;'PlayerGrades+'!$AD$2,"S","S+"))))))))))))))))))))</f>
        <v>#DIV/0!</v>
      </c>
      <c r="L596" s="1176" t="str">
        <f t="shared" si="16"/>
        <v>#DIV/0!</v>
      </c>
      <c r="M596" s="992" t="str">
        <f>IF(L596&lt;'PlayerGrades+'!$AE$21,"F-",IF(L596&lt;'PlayerGrades+'!$AE$20,"F",IF(L596&lt;'PlayerGrades+'!$AE$19,"F+",IF(L596&lt;'PlayerGrades+'!$AE$18,"E-",IF(L596&lt;'PlayerGrades+'!$AE$17,"E",IF(L596&lt;'PlayerGrades+'!$AE$16,"E+",IF(L596&lt;'PlayerGrades+'!$AE$15,"D-",IF(L596&lt;'PlayerGrades+'!$AE$14,"D",IF(L596&lt;'PlayerGrades+'!$AE$13,"D+",IF(L596&lt;'PlayerGrades+'!$AE$12,"C-",IF(L596&lt;'PlayerGrades+'!$AE$11,"C",IF(L596&lt;'PlayerGrades+'!$AE$10,"C+",IF(L596&lt;'PlayerGrades+'!$AE$9,"B-",IF(L596&lt;'PlayerGrades+'!$AE$8,"B",IF(L596&lt;'PlayerGrades+'!$AE$7,"B+",IF(L596&lt;'PlayerGrades+'!$AE$6,"A-",IF(L596&lt;'PlayerGrades+'!$AE$5,"A",IF(L596&lt;'PlayerGrades+'!$AE$4,"A+",IF(L596&lt;'PlayerGrades+'!$AE$3,"S-",IF(L596&lt;'PlayerGrades+'!$AE$2,"S","S+"))))))))))))))))))))</f>
        <v>#DIV/0!</v>
      </c>
      <c r="N596" s="1423" t="str">
        <f t="shared" si="17"/>
        <v>#DIV/0!</v>
      </c>
      <c r="O596" s="1423" t="str">
        <f>IF(N596&lt;'PlayerGrades+'!$AF$21,"F-",IF(N596&lt;'PlayerGrades+'!$AF$20,"F",IF(N596&lt;'PlayerGrades+'!$AF$19,"F+",IF(N596&lt;'PlayerGrades+'!$AF$18,"E-",IF(N596&lt;'PlayerGrades+'!$AF$17,"E",IF(N596&lt;'PlayerGrades+'!$AF$16,"E+",IF(N596&lt;'PlayerGrades+'!$AF$15,"D-",IF(N596&lt;'PlayerGrades+'!$AF$14,"D",IF(N596&lt;'PlayerGrades+'!$AF$13,"D+",IF(N596&lt;'PlayerGrades+'!$AF$12,"C-",IF(N596&lt;'PlayerGrades+'!$AF$11,"C",IF(N596&lt;'PlayerGrades+'!$AF$10,"C+",IF(N596&lt;'PlayerGrades+'!$AF$9,"B-",IF(N596&lt;'PlayerGrades+'!$AF$8,"B",IF(N596&lt;'PlayerGrades+'!$AF$7,"B+",IF(N596&lt;'PlayerGrades+'!$AF$6,"A-",IF(N596&lt;'PlayerGrades+'!$AF$5,"A",IF(N596&lt;'PlayerGrades+'!$AF$4,"A+",IF(N596&lt;'PlayerGrades+'!$AF$3,"S-",IF(N596&lt;'PlayerGrades+'!$AF$2,"S","S+"))))))))))))))))))))</f>
        <v>#DIV/0!</v>
      </c>
      <c r="P596" s="1423" t="str">
        <f t="shared" si="18"/>
        <v>#DIV/0!</v>
      </c>
      <c r="Q596" s="1423" t="str">
        <f>IF(P596&lt;'PlayerGrades+'!$AG$21,"F-",IF(P596&lt;'PlayerGrades+'!$AG$20,"F",IF(P596&lt;'PlayerGrades+'!$AG$19,"F+",IF(P596&lt;'PlayerGrades+'!$AG$18,"E-",IF(P596&lt;'PlayerGrades+'!$AG$17,"E",IF(P596&lt;'PlayerGrades+'!$AG$16,"E+",IF(P596&lt;'PlayerGrades+'!$AG$15,"D-",IF(P596&lt;'PlayerGrades+'!$AG$14,"D",IF(P596&lt;'PlayerGrades+'!$AG$13,"D+",IF(P596&lt;'PlayerGrades+'!$AG$12,"C-",IF(P596&lt;'PlayerGrades+'!$AG$11,"C",IF(P596&lt;'PlayerGrades+'!$AG$10,"C+",IF(P596&lt;'PlayerGrades+'!$AG$9,"B-",IF(P596&lt;'PlayerGrades+'!$AG$8,"B",IF(P596&lt;'PlayerGrades+'!$AG$7,"B+",IF(P596&lt;'PlayerGrades+'!$AG$6,"A-",IF(P596&lt;'PlayerGrades+'!$AG$5,"A",IF(P596&lt;'PlayerGrades+'!$AG$4,"A+",IF(P596&lt;'PlayerGrades+'!$AG$3,"S-",IF(P596&lt;'PlayerGrades+'!$AG$2,"S","S+"))))))))))))))))))))</f>
        <v>#DIV/0!</v>
      </c>
      <c r="R596" s="1423" t="str">
        <f t="shared" si="19"/>
        <v>#REF!</v>
      </c>
      <c r="S596" s="1423" t="str">
        <f>IF(R596&lt;'PlayerGrades+'!$AH$21,"F-",IF(R596&lt;'PlayerGrades+'!$AH$20,"F",IF(R596&lt;'PlayerGrades+'!$AH$19,"F+",IF(R596&lt;'PlayerGrades+'!$AH$18,"E-",IF(R596&lt;'PlayerGrades+'!$AH$17,"E",IF(R596&lt;'PlayerGrades+'!$AH$16,"E+",IF(R596&lt;'PlayerGrades+'!$AH$15,"D-",IF(R596&lt;'PlayerGrades+'!$AH$14,"D",IF(R596&lt;'PlayerGrades+'!$AH$13,"D+",IF(R596&lt;'PlayerGrades+'!$AH$12,"C-",IF(R596&lt;'PlayerGrades+'!$AH$11,"C",IF(R596&lt;'PlayerGrades+'!$AH$10,"C+",IF(R596&lt;'PlayerGrades+'!$AH$9,"B-",IF(R596&lt;'PlayerGrades+'!$AH$8,"B",IF(R596&lt;'PlayerGrades+'!$AH$7,"B+",IF(R596&lt;'PlayerGrades+'!$AH$6,"A-",IF(R596&lt;'PlayerGrades+'!$AH$5,"A",IF(R596&lt;'PlayerGrades+'!$AH$4,"A+",IF(R596&lt;'PlayerGrades+'!$AH$3,"S-",IF(R596&lt;'PlayerGrades+'!$AH$2,"S","S+"))))))))))))))))))))</f>
        <v>#REF!</v>
      </c>
      <c r="T596" s="1423" t="str">
        <f t="shared" si="20"/>
        <v>#REF!</v>
      </c>
      <c r="U596" s="1423" t="str">
        <f>IF(T596&lt;'PlayerGrades+'!$AI$21,"F-",IF(T596&lt;'PlayerGrades+'!$AI$20,"F",IF(T596&lt;'PlayerGrades+'!$AI$19,"F+",IF(T596&lt;'PlayerGrades+'!$AI$18,"E-",IF(T596&lt;'PlayerGrades+'!$AI$17,"E",IF(T596&lt;'PlayerGrades+'!$AI$16,"E+",IF(T596&lt;'PlayerGrades+'!$AI$15,"D-",IF(T596&lt;'PlayerGrades+'!$AI$14,"D",IF(T596&lt;'PlayerGrades+'!$AI$13,"D+",IF(T596&lt;'PlayerGrades+'!$AI$12,"C-",IF(T596&lt;'PlayerGrades+'!$AI$11,"C",IF(T596&lt;'PlayerGrades+'!$AI$10,"C+",IF(T596&lt;'PlayerGrades+'!$AI$9,"B-",IF(T596&lt;'PlayerGrades+'!$AI$8,"B",IF(T596&lt;'PlayerGrades+'!$AI$7,"B+",IF(T596&lt;'PlayerGrades+'!$AI$6,"A-",IF(T596&lt;'PlayerGrades+'!$AI$5,"A",IF(T596&lt;'PlayerGrades+'!$AI$4,"A+",IF(T596&lt;'PlayerGrades+'!$AI$3,"S-",IF(T596&lt;'PlayerGrades+'!$AI$2,"S","S+"))))))))))))))))))))</f>
        <v>#REF!</v>
      </c>
      <c r="AC596" s="1392"/>
    </row>
    <row r="597">
      <c r="B597" s="1421" t="str">
        <f>IF(C597&lt;'PlayerGrades+'!$Y$44,"F-",IF(C597&lt;'PlayerGrades+'!$Y$43,"F",IF(C597&lt;'PlayerGrades+'!$Y$42,"F+",IF(C597&lt;'PlayerGrades+'!$Y$41,"E-",IF(C597&lt;'PlayerGrades+'!$Y$40,"E",IF(C597&lt;'PlayerGrades+'!$Y$39,"E+",IF(C597&lt;'PlayerGrades+'!$Y$38,"D-",IF(C597&lt;'PlayerGrades+'!$Y$37,"D",IF(C597&lt;'PlayerGrades+'!$Y$36,"D+",IF(C597&lt;'PlayerGrades+'!$Y$35,"C-",IF(C597&lt;'PlayerGrades+'!$Y$34,"C",IF(C597&lt;'PlayerGrades+'!$Y$33,"C+",IF(C597&lt;'PlayerGrades+'!$Y$32,"B-",IF(C597&lt;'PlayerGrades+'!$Y$31,"B",IF(C597&lt;'PlayerGrades+'!$Y$30,"B+",IF(C597&lt;'PlayerGrades+'!$Y$29,"A-",IF(C597&lt;'PlayerGrades+'!$Y$28,"A",IF(C597&lt;'PlayerGrades+'!$Y$27,"A+",IF(C597&lt;'PlayerGrades+'!$Y$26,"S-",IF(C597&lt;'PlayerGrades+'!$Y$25,"S","S+"))))))))))))))))))))</f>
        <v>#DIV/0!</v>
      </c>
      <c r="C597" s="1422" t="str">
        <f>('PlayerGrades+'!$Y$47*(VLOOKUP(E597, 'PlayerGrades+'!$X$3:$Y$23, 2, FALSE)))+('PlayerGrades+'!$Y$48*(VLOOKUP(G597, 'PlayerGrades+'!$X$3:$Y$23, 2, FALSE)))+('PlayerGrades+'!$Y$49*(VLOOKUP(I597, 'PlayerGrades+'!$X$3:$Y$23, 2, FALSE)))+('PlayerGrades+'!$Y$50*(VLOOKUP(K597, 'PlayerGrades+'!$X$3:$Y$23, 2, FALSE)))+('PlayerGrades+'!$Y$51*(VLOOKUP(M597, 'PlayerGrades+'!$X$3:$Y$23, 2, FALSE)))+('PlayerGrades+'!$Y$52*(VLOOKUP(O597, 'PlayerGrades+'!$X$3:$Y$23, 2, FALSE)))+('PlayerGrades+'!$Y$53*(VLOOKUP(Q597, 'PlayerGrades+'!$X$3:$Y$23, 2, FALSE)))+('PlayerGrades+'!$Y$54*(VLOOKUP(S597, 'PlayerGrades+'!$X$3:$Y$23, 2, FALSE)))+('PlayerGrades+'!$Y$55*(VLOOKUP(U597, 'PlayerGrades+'!$X$3:$Y$23, 2, FALSE)))</f>
        <v>#DIV/0!</v>
      </c>
      <c r="D597" s="1423" t="str">
        <f t="shared" si="12"/>
        <v>#DIV/0!</v>
      </c>
      <c r="E597" s="1423" t="str">
        <f>IF(D597&lt;'PlayerGrades+'!$AA$21,"F-",IF(D597&lt;'PlayerGrades+'!$AA$20,"F",IF(D597&lt;'PlayerGrades+'!$AA$19,"F+",IF(D597&lt;'PlayerGrades+'!$AA$18,"E-",IF(D597&lt;'PlayerGrades+'!$AA$17,"E",IF(D597&lt;'PlayerGrades+'!$AA$16,"E+",IF(D597&lt;'PlayerGrades+'!$AA$15,"D-",IF(D597&lt;'PlayerGrades+'!$AA$14,"D",IF(D597&lt;'PlayerGrades+'!$AA$13,"D+",IF(D597&lt;'PlayerGrades+'!$AA$12,"C-",IF(D597&lt;'PlayerGrades+'!$AA$11,"C",IF(D597&lt;'PlayerGrades+'!$AA$10,"C+",IF(D597&lt;'PlayerGrades+'!$AA$9,"B-",IF(D597&lt;'PlayerGrades+'!$AA$8,"B",IF(D597&lt;'PlayerGrades+'!$AA$7,"B+",IF(D597&lt;'PlayerGrades+'!$AA$6,"A-",IF(D597&lt;'PlayerGrades+'!$AA$5,"A",IF(D597&lt;'PlayerGrades+'!$AA$4,"A+",IF(D597&lt;'PlayerGrades+'!$AA$3,"S-",IF(D597&lt;'PlayerGrades+'!$AA$2,"S","S+"))))))))))))))))))))</f>
        <v>#DIV/0!</v>
      </c>
      <c r="F597" s="1423" t="str">
        <f t="shared" si="13"/>
        <v>#DIV/0!</v>
      </c>
      <c r="G597" s="1423" t="str">
        <f>IF(F597&lt;'PlayerGrades+'!$AB$21,"F-",IF(F597&lt;'PlayerGrades+'!$AB$20,"F",IF(F597&lt;'PlayerGrades+'!$AB$19,"F+",IF(F597&lt;'PlayerGrades+'!$AB$18,"E-",IF(F597&lt;'PlayerGrades+'!$AB$17,"E",IF(F597&lt;'PlayerGrades+'!$AB$16,"E+",IF(F597&lt;'PlayerGrades+'!$AB$15,"D-",IF(F597&lt;'PlayerGrades+'!$AB$14,"D",IF(F597&lt;'PlayerGrades+'!$AB$13,"D+",IF(F597&lt;'PlayerGrades+'!$AB$12,"C-",IF(F597&lt;'PlayerGrades+'!$AB$11,"C",IF(F597&lt;'PlayerGrades+'!$AB$10,"C+",IF(F597&lt;'PlayerGrades+'!$AB$9,"B-",IF(F597&lt;'PlayerGrades+'!$AB$8,"B",IF(F597&lt;'PlayerGrades+'!$AB$7,"B+",IF(F597&lt;'PlayerGrades+'!$AB$6,"A-",IF(F597&lt;'PlayerGrades+'!$AB$5,"A",IF(F597&lt;'PlayerGrades+'!$AB$4,"A+",IF(F597&lt;'PlayerGrades+'!$AB$3,"S-",IF(F597&lt;'PlayerGrades+'!$AB$2,"S","S+"))))))))))))))))))))</f>
        <v>#DIV/0!</v>
      </c>
      <c r="H597" s="1423" t="str">
        <f t="shared" si="14"/>
        <v>#DIV/0!</v>
      </c>
      <c r="I597" s="1423" t="str">
        <f>IF(H597&lt;'PlayerGrades+'!$AC$21,"F-",IF(H597&lt;'PlayerGrades+'!$AC$20,"F",IF(H597&lt;'PlayerGrades+'!$AC$19,"F+",IF(H597&lt;'PlayerGrades+'!$AC$18,"E-",IF(H597&lt;'PlayerGrades+'!$AC$17,"E",IF(H597&lt;'PlayerGrades+'!$AC$16,"E+",IF(H597&lt;'PlayerGrades+'!$AC$15,"D-",IF(H597&lt;'PlayerGrades+'!$AC$14,"D",IF(H597&lt;'PlayerGrades+'!$AC$13,"D+",IF(H597&lt;'PlayerGrades+'!$AC$12,"C-",IF(H597&lt;'PlayerGrades+'!$AC$11,"C",IF(H597&lt;'PlayerGrades+'!$AC$10,"C+",IF(H597&lt;'PlayerGrades+'!$AC$9,"B-",IF(H597&lt;'PlayerGrades+'!$AC$8,"B",IF(H597&lt;'PlayerGrades+'!$AC$7,"B+",IF(H597&lt;'PlayerGrades+'!$AC$6,"A-",IF(H597&lt;'PlayerGrades+'!$AC$5,"A",IF(H597&lt;'PlayerGrades+'!$AC$4,"A+",IF(H597&lt;'PlayerGrades+'!$AC$3,"S-",IF(H597&lt;'PlayerGrades+'!$AC$2,"S","S+"))))))))))))))))))))</f>
        <v>#DIV/0!</v>
      </c>
      <c r="J597" s="1423" t="str">
        <f t="shared" si="15"/>
        <v>#DIV/0!</v>
      </c>
      <c r="K597" s="1423" t="str">
        <f>IF(J597&lt;'PlayerGrades+'!$AD$21,"F-",IF(J597&lt;'PlayerGrades+'!$AD$20,"F",IF(J597&lt;'PlayerGrades+'!$AD$19,"F+",IF(J597&lt;'PlayerGrades+'!$AD$18,"E-",IF(J597&lt;'PlayerGrades+'!$AD$17,"E",IF(J597&lt;'PlayerGrades+'!$AD$16,"E+",IF(J597&lt;'PlayerGrades+'!$AD$15,"D-",IF(J597&lt;'PlayerGrades+'!$AD$14,"D",IF(J597&lt;'PlayerGrades+'!$AD$13,"D+",IF(J597&lt;'PlayerGrades+'!$AD$12,"C-",IF(J597&lt;'PlayerGrades+'!$AD$11,"C",IF(J597&lt;'PlayerGrades+'!$AD$10,"C+",IF(J597&lt;'PlayerGrades+'!$AD$9,"B-",IF(J597&lt;'PlayerGrades+'!$AD$8,"B",IF(J597&lt;'PlayerGrades+'!$AD$7,"B+",IF(J597&lt;'PlayerGrades+'!$AD$6,"A-",IF(J597&lt;'PlayerGrades+'!$AD$5,"A",IF(J597&lt;'PlayerGrades+'!$AD$4,"A+",IF(J597&lt;'PlayerGrades+'!$AD$3,"S-",IF(J597&lt;'PlayerGrades+'!$AD$2,"S","S+"))))))))))))))))))))</f>
        <v>#DIV/0!</v>
      </c>
      <c r="L597" s="1176" t="str">
        <f t="shared" si="16"/>
        <v>#DIV/0!</v>
      </c>
      <c r="M597" s="992" t="str">
        <f>IF(L597&lt;'PlayerGrades+'!$AE$21,"F-",IF(L597&lt;'PlayerGrades+'!$AE$20,"F",IF(L597&lt;'PlayerGrades+'!$AE$19,"F+",IF(L597&lt;'PlayerGrades+'!$AE$18,"E-",IF(L597&lt;'PlayerGrades+'!$AE$17,"E",IF(L597&lt;'PlayerGrades+'!$AE$16,"E+",IF(L597&lt;'PlayerGrades+'!$AE$15,"D-",IF(L597&lt;'PlayerGrades+'!$AE$14,"D",IF(L597&lt;'PlayerGrades+'!$AE$13,"D+",IF(L597&lt;'PlayerGrades+'!$AE$12,"C-",IF(L597&lt;'PlayerGrades+'!$AE$11,"C",IF(L597&lt;'PlayerGrades+'!$AE$10,"C+",IF(L597&lt;'PlayerGrades+'!$AE$9,"B-",IF(L597&lt;'PlayerGrades+'!$AE$8,"B",IF(L597&lt;'PlayerGrades+'!$AE$7,"B+",IF(L597&lt;'PlayerGrades+'!$AE$6,"A-",IF(L597&lt;'PlayerGrades+'!$AE$5,"A",IF(L597&lt;'PlayerGrades+'!$AE$4,"A+",IF(L597&lt;'PlayerGrades+'!$AE$3,"S-",IF(L597&lt;'PlayerGrades+'!$AE$2,"S","S+"))))))))))))))))))))</f>
        <v>#DIV/0!</v>
      </c>
      <c r="N597" s="1423" t="str">
        <f t="shared" si="17"/>
        <v>#DIV/0!</v>
      </c>
      <c r="O597" s="1423" t="str">
        <f>IF(N597&lt;'PlayerGrades+'!$AF$21,"F-",IF(N597&lt;'PlayerGrades+'!$AF$20,"F",IF(N597&lt;'PlayerGrades+'!$AF$19,"F+",IF(N597&lt;'PlayerGrades+'!$AF$18,"E-",IF(N597&lt;'PlayerGrades+'!$AF$17,"E",IF(N597&lt;'PlayerGrades+'!$AF$16,"E+",IF(N597&lt;'PlayerGrades+'!$AF$15,"D-",IF(N597&lt;'PlayerGrades+'!$AF$14,"D",IF(N597&lt;'PlayerGrades+'!$AF$13,"D+",IF(N597&lt;'PlayerGrades+'!$AF$12,"C-",IF(N597&lt;'PlayerGrades+'!$AF$11,"C",IF(N597&lt;'PlayerGrades+'!$AF$10,"C+",IF(N597&lt;'PlayerGrades+'!$AF$9,"B-",IF(N597&lt;'PlayerGrades+'!$AF$8,"B",IF(N597&lt;'PlayerGrades+'!$AF$7,"B+",IF(N597&lt;'PlayerGrades+'!$AF$6,"A-",IF(N597&lt;'PlayerGrades+'!$AF$5,"A",IF(N597&lt;'PlayerGrades+'!$AF$4,"A+",IF(N597&lt;'PlayerGrades+'!$AF$3,"S-",IF(N597&lt;'PlayerGrades+'!$AF$2,"S","S+"))))))))))))))))))))</f>
        <v>#DIV/0!</v>
      </c>
      <c r="P597" s="1423" t="str">
        <f t="shared" si="18"/>
        <v>#DIV/0!</v>
      </c>
      <c r="Q597" s="1423" t="str">
        <f>IF(P597&lt;'PlayerGrades+'!$AG$21,"F-",IF(P597&lt;'PlayerGrades+'!$AG$20,"F",IF(P597&lt;'PlayerGrades+'!$AG$19,"F+",IF(P597&lt;'PlayerGrades+'!$AG$18,"E-",IF(P597&lt;'PlayerGrades+'!$AG$17,"E",IF(P597&lt;'PlayerGrades+'!$AG$16,"E+",IF(P597&lt;'PlayerGrades+'!$AG$15,"D-",IF(P597&lt;'PlayerGrades+'!$AG$14,"D",IF(P597&lt;'PlayerGrades+'!$AG$13,"D+",IF(P597&lt;'PlayerGrades+'!$AG$12,"C-",IF(P597&lt;'PlayerGrades+'!$AG$11,"C",IF(P597&lt;'PlayerGrades+'!$AG$10,"C+",IF(P597&lt;'PlayerGrades+'!$AG$9,"B-",IF(P597&lt;'PlayerGrades+'!$AG$8,"B",IF(P597&lt;'PlayerGrades+'!$AG$7,"B+",IF(P597&lt;'PlayerGrades+'!$AG$6,"A-",IF(P597&lt;'PlayerGrades+'!$AG$5,"A",IF(P597&lt;'PlayerGrades+'!$AG$4,"A+",IF(P597&lt;'PlayerGrades+'!$AG$3,"S-",IF(P597&lt;'PlayerGrades+'!$AG$2,"S","S+"))))))))))))))))))))</f>
        <v>#DIV/0!</v>
      </c>
      <c r="R597" s="1423" t="str">
        <f t="shared" si="19"/>
        <v>#REF!</v>
      </c>
      <c r="S597" s="1423" t="str">
        <f>IF(R597&lt;'PlayerGrades+'!$AH$21,"F-",IF(R597&lt;'PlayerGrades+'!$AH$20,"F",IF(R597&lt;'PlayerGrades+'!$AH$19,"F+",IF(R597&lt;'PlayerGrades+'!$AH$18,"E-",IF(R597&lt;'PlayerGrades+'!$AH$17,"E",IF(R597&lt;'PlayerGrades+'!$AH$16,"E+",IF(R597&lt;'PlayerGrades+'!$AH$15,"D-",IF(R597&lt;'PlayerGrades+'!$AH$14,"D",IF(R597&lt;'PlayerGrades+'!$AH$13,"D+",IF(R597&lt;'PlayerGrades+'!$AH$12,"C-",IF(R597&lt;'PlayerGrades+'!$AH$11,"C",IF(R597&lt;'PlayerGrades+'!$AH$10,"C+",IF(R597&lt;'PlayerGrades+'!$AH$9,"B-",IF(R597&lt;'PlayerGrades+'!$AH$8,"B",IF(R597&lt;'PlayerGrades+'!$AH$7,"B+",IF(R597&lt;'PlayerGrades+'!$AH$6,"A-",IF(R597&lt;'PlayerGrades+'!$AH$5,"A",IF(R597&lt;'PlayerGrades+'!$AH$4,"A+",IF(R597&lt;'PlayerGrades+'!$AH$3,"S-",IF(R597&lt;'PlayerGrades+'!$AH$2,"S","S+"))))))))))))))))))))</f>
        <v>#REF!</v>
      </c>
      <c r="T597" s="1423" t="str">
        <f t="shared" si="20"/>
        <v>#REF!</v>
      </c>
      <c r="U597" s="1423" t="str">
        <f>IF(T597&lt;'PlayerGrades+'!$AI$21,"F-",IF(T597&lt;'PlayerGrades+'!$AI$20,"F",IF(T597&lt;'PlayerGrades+'!$AI$19,"F+",IF(T597&lt;'PlayerGrades+'!$AI$18,"E-",IF(T597&lt;'PlayerGrades+'!$AI$17,"E",IF(T597&lt;'PlayerGrades+'!$AI$16,"E+",IF(T597&lt;'PlayerGrades+'!$AI$15,"D-",IF(T597&lt;'PlayerGrades+'!$AI$14,"D",IF(T597&lt;'PlayerGrades+'!$AI$13,"D+",IF(T597&lt;'PlayerGrades+'!$AI$12,"C-",IF(T597&lt;'PlayerGrades+'!$AI$11,"C",IF(T597&lt;'PlayerGrades+'!$AI$10,"C+",IF(T597&lt;'PlayerGrades+'!$AI$9,"B-",IF(T597&lt;'PlayerGrades+'!$AI$8,"B",IF(T597&lt;'PlayerGrades+'!$AI$7,"B+",IF(T597&lt;'PlayerGrades+'!$AI$6,"A-",IF(T597&lt;'PlayerGrades+'!$AI$5,"A",IF(T597&lt;'PlayerGrades+'!$AI$4,"A+",IF(T597&lt;'PlayerGrades+'!$AI$3,"S-",IF(T597&lt;'PlayerGrades+'!$AI$2,"S","S+"))))))))))))))))))))</f>
        <v>#REF!</v>
      </c>
      <c r="AC597" s="1392"/>
    </row>
    <row r="598">
      <c r="B598" s="1421" t="str">
        <f>IF(C598&lt;'PlayerGrades+'!$Y$44,"F-",IF(C598&lt;'PlayerGrades+'!$Y$43,"F",IF(C598&lt;'PlayerGrades+'!$Y$42,"F+",IF(C598&lt;'PlayerGrades+'!$Y$41,"E-",IF(C598&lt;'PlayerGrades+'!$Y$40,"E",IF(C598&lt;'PlayerGrades+'!$Y$39,"E+",IF(C598&lt;'PlayerGrades+'!$Y$38,"D-",IF(C598&lt;'PlayerGrades+'!$Y$37,"D",IF(C598&lt;'PlayerGrades+'!$Y$36,"D+",IF(C598&lt;'PlayerGrades+'!$Y$35,"C-",IF(C598&lt;'PlayerGrades+'!$Y$34,"C",IF(C598&lt;'PlayerGrades+'!$Y$33,"C+",IF(C598&lt;'PlayerGrades+'!$Y$32,"B-",IF(C598&lt;'PlayerGrades+'!$Y$31,"B",IF(C598&lt;'PlayerGrades+'!$Y$30,"B+",IF(C598&lt;'PlayerGrades+'!$Y$29,"A-",IF(C598&lt;'PlayerGrades+'!$Y$28,"A",IF(C598&lt;'PlayerGrades+'!$Y$27,"A+",IF(C598&lt;'PlayerGrades+'!$Y$26,"S-",IF(C598&lt;'PlayerGrades+'!$Y$25,"S","S+"))))))))))))))))))))</f>
        <v>#DIV/0!</v>
      </c>
      <c r="C598" s="1422" t="str">
        <f>('PlayerGrades+'!$Y$47*(VLOOKUP(E598, 'PlayerGrades+'!$X$3:$Y$23, 2, FALSE)))+('PlayerGrades+'!$Y$48*(VLOOKUP(G598, 'PlayerGrades+'!$X$3:$Y$23, 2, FALSE)))+('PlayerGrades+'!$Y$49*(VLOOKUP(I598, 'PlayerGrades+'!$X$3:$Y$23, 2, FALSE)))+('PlayerGrades+'!$Y$50*(VLOOKUP(K598, 'PlayerGrades+'!$X$3:$Y$23, 2, FALSE)))+('PlayerGrades+'!$Y$51*(VLOOKUP(M598, 'PlayerGrades+'!$X$3:$Y$23, 2, FALSE)))+('PlayerGrades+'!$Y$52*(VLOOKUP(O598, 'PlayerGrades+'!$X$3:$Y$23, 2, FALSE)))+('PlayerGrades+'!$Y$53*(VLOOKUP(Q598, 'PlayerGrades+'!$X$3:$Y$23, 2, FALSE)))+('PlayerGrades+'!$Y$54*(VLOOKUP(S598, 'PlayerGrades+'!$X$3:$Y$23, 2, FALSE)))+('PlayerGrades+'!$Y$55*(VLOOKUP(U598, 'PlayerGrades+'!$X$3:$Y$23, 2, FALSE)))</f>
        <v>#DIV/0!</v>
      </c>
      <c r="D598" s="1423" t="str">
        <f t="shared" si="12"/>
        <v>#DIV/0!</v>
      </c>
      <c r="E598" s="1423" t="str">
        <f>IF(D598&lt;'PlayerGrades+'!$AA$21,"F-",IF(D598&lt;'PlayerGrades+'!$AA$20,"F",IF(D598&lt;'PlayerGrades+'!$AA$19,"F+",IF(D598&lt;'PlayerGrades+'!$AA$18,"E-",IF(D598&lt;'PlayerGrades+'!$AA$17,"E",IF(D598&lt;'PlayerGrades+'!$AA$16,"E+",IF(D598&lt;'PlayerGrades+'!$AA$15,"D-",IF(D598&lt;'PlayerGrades+'!$AA$14,"D",IF(D598&lt;'PlayerGrades+'!$AA$13,"D+",IF(D598&lt;'PlayerGrades+'!$AA$12,"C-",IF(D598&lt;'PlayerGrades+'!$AA$11,"C",IF(D598&lt;'PlayerGrades+'!$AA$10,"C+",IF(D598&lt;'PlayerGrades+'!$AA$9,"B-",IF(D598&lt;'PlayerGrades+'!$AA$8,"B",IF(D598&lt;'PlayerGrades+'!$AA$7,"B+",IF(D598&lt;'PlayerGrades+'!$AA$6,"A-",IF(D598&lt;'PlayerGrades+'!$AA$5,"A",IF(D598&lt;'PlayerGrades+'!$AA$4,"A+",IF(D598&lt;'PlayerGrades+'!$AA$3,"S-",IF(D598&lt;'PlayerGrades+'!$AA$2,"S","S+"))))))))))))))))))))</f>
        <v>#DIV/0!</v>
      </c>
      <c r="F598" s="1423" t="str">
        <f t="shared" si="13"/>
        <v>#DIV/0!</v>
      </c>
      <c r="G598" s="1423" t="str">
        <f>IF(F598&lt;'PlayerGrades+'!$AB$21,"F-",IF(F598&lt;'PlayerGrades+'!$AB$20,"F",IF(F598&lt;'PlayerGrades+'!$AB$19,"F+",IF(F598&lt;'PlayerGrades+'!$AB$18,"E-",IF(F598&lt;'PlayerGrades+'!$AB$17,"E",IF(F598&lt;'PlayerGrades+'!$AB$16,"E+",IF(F598&lt;'PlayerGrades+'!$AB$15,"D-",IF(F598&lt;'PlayerGrades+'!$AB$14,"D",IF(F598&lt;'PlayerGrades+'!$AB$13,"D+",IF(F598&lt;'PlayerGrades+'!$AB$12,"C-",IF(F598&lt;'PlayerGrades+'!$AB$11,"C",IF(F598&lt;'PlayerGrades+'!$AB$10,"C+",IF(F598&lt;'PlayerGrades+'!$AB$9,"B-",IF(F598&lt;'PlayerGrades+'!$AB$8,"B",IF(F598&lt;'PlayerGrades+'!$AB$7,"B+",IF(F598&lt;'PlayerGrades+'!$AB$6,"A-",IF(F598&lt;'PlayerGrades+'!$AB$5,"A",IF(F598&lt;'PlayerGrades+'!$AB$4,"A+",IF(F598&lt;'PlayerGrades+'!$AB$3,"S-",IF(F598&lt;'PlayerGrades+'!$AB$2,"S","S+"))))))))))))))))))))</f>
        <v>#DIV/0!</v>
      </c>
      <c r="H598" s="1423" t="str">
        <f t="shared" si="14"/>
        <v>#DIV/0!</v>
      </c>
      <c r="I598" s="1423" t="str">
        <f>IF(H598&lt;'PlayerGrades+'!$AC$21,"F-",IF(H598&lt;'PlayerGrades+'!$AC$20,"F",IF(H598&lt;'PlayerGrades+'!$AC$19,"F+",IF(H598&lt;'PlayerGrades+'!$AC$18,"E-",IF(H598&lt;'PlayerGrades+'!$AC$17,"E",IF(H598&lt;'PlayerGrades+'!$AC$16,"E+",IF(H598&lt;'PlayerGrades+'!$AC$15,"D-",IF(H598&lt;'PlayerGrades+'!$AC$14,"D",IF(H598&lt;'PlayerGrades+'!$AC$13,"D+",IF(H598&lt;'PlayerGrades+'!$AC$12,"C-",IF(H598&lt;'PlayerGrades+'!$AC$11,"C",IF(H598&lt;'PlayerGrades+'!$AC$10,"C+",IF(H598&lt;'PlayerGrades+'!$AC$9,"B-",IF(H598&lt;'PlayerGrades+'!$AC$8,"B",IF(H598&lt;'PlayerGrades+'!$AC$7,"B+",IF(H598&lt;'PlayerGrades+'!$AC$6,"A-",IF(H598&lt;'PlayerGrades+'!$AC$5,"A",IF(H598&lt;'PlayerGrades+'!$AC$4,"A+",IF(H598&lt;'PlayerGrades+'!$AC$3,"S-",IF(H598&lt;'PlayerGrades+'!$AC$2,"S","S+"))))))))))))))))))))</f>
        <v>#DIV/0!</v>
      </c>
      <c r="J598" s="1423" t="str">
        <f t="shared" si="15"/>
        <v>#DIV/0!</v>
      </c>
      <c r="K598" s="1423" t="str">
        <f>IF(J598&lt;'PlayerGrades+'!$AD$21,"F-",IF(J598&lt;'PlayerGrades+'!$AD$20,"F",IF(J598&lt;'PlayerGrades+'!$AD$19,"F+",IF(J598&lt;'PlayerGrades+'!$AD$18,"E-",IF(J598&lt;'PlayerGrades+'!$AD$17,"E",IF(J598&lt;'PlayerGrades+'!$AD$16,"E+",IF(J598&lt;'PlayerGrades+'!$AD$15,"D-",IF(J598&lt;'PlayerGrades+'!$AD$14,"D",IF(J598&lt;'PlayerGrades+'!$AD$13,"D+",IF(J598&lt;'PlayerGrades+'!$AD$12,"C-",IF(J598&lt;'PlayerGrades+'!$AD$11,"C",IF(J598&lt;'PlayerGrades+'!$AD$10,"C+",IF(J598&lt;'PlayerGrades+'!$AD$9,"B-",IF(J598&lt;'PlayerGrades+'!$AD$8,"B",IF(J598&lt;'PlayerGrades+'!$AD$7,"B+",IF(J598&lt;'PlayerGrades+'!$AD$6,"A-",IF(J598&lt;'PlayerGrades+'!$AD$5,"A",IF(J598&lt;'PlayerGrades+'!$AD$4,"A+",IF(J598&lt;'PlayerGrades+'!$AD$3,"S-",IF(J598&lt;'PlayerGrades+'!$AD$2,"S","S+"))))))))))))))))))))</f>
        <v>#DIV/0!</v>
      </c>
      <c r="L598" s="1176" t="str">
        <f t="shared" si="16"/>
        <v>#DIV/0!</v>
      </c>
      <c r="M598" s="992" t="str">
        <f>IF(L598&lt;'PlayerGrades+'!$AE$21,"F-",IF(L598&lt;'PlayerGrades+'!$AE$20,"F",IF(L598&lt;'PlayerGrades+'!$AE$19,"F+",IF(L598&lt;'PlayerGrades+'!$AE$18,"E-",IF(L598&lt;'PlayerGrades+'!$AE$17,"E",IF(L598&lt;'PlayerGrades+'!$AE$16,"E+",IF(L598&lt;'PlayerGrades+'!$AE$15,"D-",IF(L598&lt;'PlayerGrades+'!$AE$14,"D",IF(L598&lt;'PlayerGrades+'!$AE$13,"D+",IF(L598&lt;'PlayerGrades+'!$AE$12,"C-",IF(L598&lt;'PlayerGrades+'!$AE$11,"C",IF(L598&lt;'PlayerGrades+'!$AE$10,"C+",IF(L598&lt;'PlayerGrades+'!$AE$9,"B-",IF(L598&lt;'PlayerGrades+'!$AE$8,"B",IF(L598&lt;'PlayerGrades+'!$AE$7,"B+",IF(L598&lt;'PlayerGrades+'!$AE$6,"A-",IF(L598&lt;'PlayerGrades+'!$AE$5,"A",IF(L598&lt;'PlayerGrades+'!$AE$4,"A+",IF(L598&lt;'PlayerGrades+'!$AE$3,"S-",IF(L598&lt;'PlayerGrades+'!$AE$2,"S","S+"))))))))))))))))))))</f>
        <v>#DIV/0!</v>
      </c>
      <c r="N598" s="1423" t="str">
        <f t="shared" si="17"/>
        <v>#DIV/0!</v>
      </c>
      <c r="O598" s="1423" t="str">
        <f>IF(N598&lt;'PlayerGrades+'!$AF$21,"F-",IF(N598&lt;'PlayerGrades+'!$AF$20,"F",IF(N598&lt;'PlayerGrades+'!$AF$19,"F+",IF(N598&lt;'PlayerGrades+'!$AF$18,"E-",IF(N598&lt;'PlayerGrades+'!$AF$17,"E",IF(N598&lt;'PlayerGrades+'!$AF$16,"E+",IF(N598&lt;'PlayerGrades+'!$AF$15,"D-",IF(N598&lt;'PlayerGrades+'!$AF$14,"D",IF(N598&lt;'PlayerGrades+'!$AF$13,"D+",IF(N598&lt;'PlayerGrades+'!$AF$12,"C-",IF(N598&lt;'PlayerGrades+'!$AF$11,"C",IF(N598&lt;'PlayerGrades+'!$AF$10,"C+",IF(N598&lt;'PlayerGrades+'!$AF$9,"B-",IF(N598&lt;'PlayerGrades+'!$AF$8,"B",IF(N598&lt;'PlayerGrades+'!$AF$7,"B+",IF(N598&lt;'PlayerGrades+'!$AF$6,"A-",IF(N598&lt;'PlayerGrades+'!$AF$5,"A",IF(N598&lt;'PlayerGrades+'!$AF$4,"A+",IF(N598&lt;'PlayerGrades+'!$AF$3,"S-",IF(N598&lt;'PlayerGrades+'!$AF$2,"S","S+"))))))))))))))))))))</f>
        <v>#DIV/0!</v>
      </c>
      <c r="P598" s="1423" t="str">
        <f t="shared" si="18"/>
        <v>#DIV/0!</v>
      </c>
      <c r="Q598" s="1423" t="str">
        <f>IF(P598&lt;'PlayerGrades+'!$AG$21,"F-",IF(P598&lt;'PlayerGrades+'!$AG$20,"F",IF(P598&lt;'PlayerGrades+'!$AG$19,"F+",IF(P598&lt;'PlayerGrades+'!$AG$18,"E-",IF(P598&lt;'PlayerGrades+'!$AG$17,"E",IF(P598&lt;'PlayerGrades+'!$AG$16,"E+",IF(P598&lt;'PlayerGrades+'!$AG$15,"D-",IF(P598&lt;'PlayerGrades+'!$AG$14,"D",IF(P598&lt;'PlayerGrades+'!$AG$13,"D+",IF(P598&lt;'PlayerGrades+'!$AG$12,"C-",IF(P598&lt;'PlayerGrades+'!$AG$11,"C",IF(P598&lt;'PlayerGrades+'!$AG$10,"C+",IF(P598&lt;'PlayerGrades+'!$AG$9,"B-",IF(P598&lt;'PlayerGrades+'!$AG$8,"B",IF(P598&lt;'PlayerGrades+'!$AG$7,"B+",IF(P598&lt;'PlayerGrades+'!$AG$6,"A-",IF(P598&lt;'PlayerGrades+'!$AG$5,"A",IF(P598&lt;'PlayerGrades+'!$AG$4,"A+",IF(P598&lt;'PlayerGrades+'!$AG$3,"S-",IF(P598&lt;'PlayerGrades+'!$AG$2,"S","S+"))))))))))))))))))))</f>
        <v>#DIV/0!</v>
      </c>
      <c r="R598" s="1423" t="str">
        <f t="shared" si="19"/>
        <v>#REF!</v>
      </c>
      <c r="S598" s="1423" t="str">
        <f>IF(R598&lt;'PlayerGrades+'!$AH$21,"F-",IF(R598&lt;'PlayerGrades+'!$AH$20,"F",IF(R598&lt;'PlayerGrades+'!$AH$19,"F+",IF(R598&lt;'PlayerGrades+'!$AH$18,"E-",IF(R598&lt;'PlayerGrades+'!$AH$17,"E",IF(R598&lt;'PlayerGrades+'!$AH$16,"E+",IF(R598&lt;'PlayerGrades+'!$AH$15,"D-",IF(R598&lt;'PlayerGrades+'!$AH$14,"D",IF(R598&lt;'PlayerGrades+'!$AH$13,"D+",IF(R598&lt;'PlayerGrades+'!$AH$12,"C-",IF(R598&lt;'PlayerGrades+'!$AH$11,"C",IF(R598&lt;'PlayerGrades+'!$AH$10,"C+",IF(R598&lt;'PlayerGrades+'!$AH$9,"B-",IF(R598&lt;'PlayerGrades+'!$AH$8,"B",IF(R598&lt;'PlayerGrades+'!$AH$7,"B+",IF(R598&lt;'PlayerGrades+'!$AH$6,"A-",IF(R598&lt;'PlayerGrades+'!$AH$5,"A",IF(R598&lt;'PlayerGrades+'!$AH$4,"A+",IF(R598&lt;'PlayerGrades+'!$AH$3,"S-",IF(R598&lt;'PlayerGrades+'!$AH$2,"S","S+"))))))))))))))))))))</f>
        <v>#REF!</v>
      </c>
      <c r="T598" s="1423" t="str">
        <f t="shared" si="20"/>
        <v>#REF!</v>
      </c>
      <c r="U598" s="1423" t="str">
        <f>IF(T598&lt;'PlayerGrades+'!$AI$21,"F-",IF(T598&lt;'PlayerGrades+'!$AI$20,"F",IF(T598&lt;'PlayerGrades+'!$AI$19,"F+",IF(T598&lt;'PlayerGrades+'!$AI$18,"E-",IF(T598&lt;'PlayerGrades+'!$AI$17,"E",IF(T598&lt;'PlayerGrades+'!$AI$16,"E+",IF(T598&lt;'PlayerGrades+'!$AI$15,"D-",IF(T598&lt;'PlayerGrades+'!$AI$14,"D",IF(T598&lt;'PlayerGrades+'!$AI$13,"D+",IF(T598&lt;'PlayerGrades+'!$AI$12,"C-",IF(T598&lt;'PlayerGrades+'!$AI$11,"C",IF(T598&lt;'PlayerGrades+'!$AI$10,"C+",IF(T598&lt;'PlayerGrades+'!$AI$9,"B-",IF(T598&lt;'PlayerGrades+'!$AI$8,"B",IF(T598&lt;'PlayerGrades+'!$AI$7,"B+",IF(T598&lt;'PlayerGrades+'!$AI$6,"A-",IF(T598&lt;'PlayerGrades+'!$AI$5,"A",IF(T598&lt;'PlayerGrades+'!$AI$4,"A+",IF(T598&lt;'PlayerGrades+'!$AI$3,"S-",IF(T598&lt;'PlayerGrades+'!$AI$2,"S","S+"))))))))))))))))))))</f>
        <v>#REF!</v>
      </c>
      <c r="AC598" s="1392"/>
    </row>
    <row r="599">
      <c r="B599" s="1421" t="str">
        <f>IF(C599&lt;'PlayerGrades+'!$Y$44,"F-",IF(C599&lt;'PlayerGrades+'!$Y$43,"F",IF(C599&lt;'PlayerGrades+'!$Y$42,"F+",IF(C599&lt;'PlayerGrades+'!$Y$41,"E-",IF(C599&lt;'PlayerGrades+'!$Y$40,"E",IF(C599&lt;'PlayerGrades+'!$Y$39,"E+",IF(C599&lt;'PlayerGrades+'!$Y$38,"D-",IF(C599&lt;'PlayerGrades+'!$Y$37,"D",IF(C599&lt;'PlayerGrades+'!$Y$36,"D+",IF(C599&lt;'PlayerGrades+'!$Y$35,"C-",IF(C599&lt;'PlayerGrades+'!$Y$34,"C",IF(C599&lt;'PlayerGrades+'!$Y$33,"C+",IF(C599&lt;'PlayerGrades+'!$Y$32,"B-",IF(C599&lt;'PlayerGrades+'!$Y$31,"B",IF(C599&lt;'PlayerGrades+'!$Y$30,"B+",IF(C599&lt;'PlayerGrades+'!$Y$29,"A-",IF(C599&lt;'PlayerGrades+'!$Y$28,"A",IF(C599&lt;'PlayerGrades+'!$Y$27,"A+",IF(C599&lt;'PlayerGrades+'!$Y$26,"S-",IF(C599&lt;'PlayerGrades+'!$Y$25,"S","S+"))))))))))))))))))))</f>
        <v>#DIV/0!</v>
      </c>
      <c r="C599" s="1422" t="str">
        <f>('PlayerGrades+'!$Y$47*(VLOOKUP(E599, 'PlayerGrades+'!$X$3:$Y$23, 2, FALSE)))+('PlayerGrades+'!$Y$48*(VLOOKUP(G599, 'PlayerGrades+'!$X$3:$Y$23, 2, FALSE)))+('PlayerGrades+'!$Y$49*(VLOOKUP(I599, 'PlayerGrades+'!$X$3:$Y$23, 2, FALSE)))+('PlayerGrades+'!$Y$50*(VLOOKUP(K599, 'PlayerGrades+'!$X$3:$Y$23, 2, FALSE)))+('PlayerGrades+'!$Y$51*(VLOOKUP(M599, 'PlayerGrades+'!$X$3:$Y$23, 2, FALSE)))+('PlayerGrades+'!$Y$52*(VLOOKUP(O599, 'PlayerGrades+'!$X$3:$Y$23, 2, FALSE)))+('PlayerGrades+'!$Y$53*(VLOOKUP(Q599, 'PlayerGrades+'!$X$3:$Y$23, 2, FALSE)))+('PlayerGrades+'!$Y$54*(VLOOKUP(S599, 'PlayerGrades+'!$X$3:$Y$23, 2, FALSE)))+('PlayerGrades+'!$Y$55*(VLOOKUP(U599, 'PlayerGrades+'!$X$3:$Y$23, 2, FALSE)))</f>
        <v>#DIV/0!</v>
      </c>
      <c r="D599" s="1423" t="str">
        <f t="shared" si="12"/>
        <v>#DIV/0!</v>
      </c>
      <c r="E599" s="1423" t="str">
        <f>IF(D599&lt;'PlayerGrades+'!$AA$21,"F-",IF(D599&lt;'PlayerGrades+'!$AA$20,"F",IF(D599&lt;'PlayerGrades+'!$AA$19,"F+",IF(D599&lt;'PlayerGrades+'!$AA$18,"E-",IF(D599&lt;'PlayerGrades+'!$AA$17,"E",IF(D599&lt;'PlayerGrades+'!$AA$16,"E+",IF(D599&lt;'PlayerGrades+'!$AA$15,"D-",IF(D599&lt;'PlayerGrades+'!$AA$14,"D",IF(D599&lt;'PlayerGrades+'!$AA$13,"D+",IF(D599&lt;'PlayerGrades+'!$AA$12,"C-",IF(D599&lt;'PlayerGrades+'!$AA$11,"C",IF(D599&lt;'PlayerGrades+'!$AA$10,"C+",IF(D599&lt;'PlayerGrades+'!$AA$9,"B-",IF(D599&lt;'PlayerGrades+'!$AA$8,"B",IF(D599&lt;'PlayerGrades+'!$AA$7,"B+",IF(D599&lt;'PlayerGrades+'!$AA$6,"A-",IF(D599&lt;'PlayerGrades+'!$AA$5,"A",IF(D599&lt;'PlayerGrades+'!$AA$4,"A+",IF(D599&lt;'PlayerGrades+'!$AA$3,"S-",IF(D599&lt;'PlayerGrades+'!$AA$2,"S","S+"))))))))))))))))))))</f>
        <v>#DIV/0!</v>
      </c>
      <c r="F599" s="1423" t="str">
        <f t="shared" si="13"/>
        <v>#DIV/0!</v>
      </c>
      <c r="G599" s="1423" t="str">
        <f>IF(F599&lt;'PlayerGrades+'!$AB$21,"F-",IF(F599&lt;'PlayerGrades+'!$AB$20,"F",IF(F599&lt;'PlayerGrades+'!$AB$19,"F+",IF(F599&lt;'PlayerGrades+'!$AB$18,"E-",IF(F599&lt;'PlayerGrades+'!$AB$17,"E",IF(F599&lt;'PlayerGrades+'!$AB$16,"E+",IF(F599&lt;'PlayerGrades+'!$AB$15,"D-",IF(F599&lt;'PlayerGrades+'!$AB$14,"D",IF(F599&lt;'PlayerGrades+'!$AB$13,"D+",IF(F599&lt;'PlayerGrades+'!$AB$12,"C-",IF(F599&lt;'PlayerGrades+'!$AB$11,"C",IF(F599&lt;'PlayerGrades+'!$AB$10,"C+",IF(F599&lt;'PlayerGrades+'!$AB$9,"B-",IF(F599&lt;'PlayerGrades+'!$AB$8,"B",IF(F599&lt;'PlayerGrades+'!$AB$7,"B+",IF(F599&lt;'PlayerGrades+'!$AB$6,"A-",IF(F599&lt;'PlayerGrades+'!$AB$5,"A",IF(F599&lt;'PlayerGrades+'!$AB$4,"A+",IF(F599&lt;'PlayerGrades+'!$AB$3,"S-",IF(F599&lt;'PlayerGrades+'!$AB$2,"S","S+"))))))))))))))))))))</f>
        <v>#DIV/0!</v>
      </c>
      <c r="H599" s="1423" t="str">
        <f t="shared" si="14"/>
        <v>#DIV/0!</v>
      </c>
      <c r="I599" s="1423" t="str">
        <f>IF(H599&lt;'PlayerGrades+'!$AC$21,"F-",IF(H599&lt;'PlayerGrades+'!$AC$20,"F",IF(H599&lt;'PlayerGrades+'!$AC$19,"F+",IF(H599&lt;'PlayerGrades+'!$AC$18,"E-",IF(H599&lt;'PlayerGrades+'!$AC$17,"E",IF(H599&lt;'PlayerGrades+'!$AC$16,"E+",IF(H599&lt;'PlayerGrades+'!$AC$15,"D-",IF(H599&lt;'PlayerGrades+'!$AC$14,"D",IF(H599&lt;'PlayerGrades+'!$AC$13,"D+",IF(H599&lt;'PlayerGrades+'!$AC$12,"C-",IF(H599&lt;'PlayerGrades+'!$AC$11,"C",IF(H599&lt;'PlayerGrades+'!$AC$10,"C+",IF(H599&lt;'PlayerGrades+'!$AC$9,"B-",IF(H599&lt;'PlayerGrades+'!$AC$8,"B",IF(H599&lt;'PlayerGrades+'!$AC$7,"B+",IF(H599&lt;'PlayerGrades+'!$AC$6,"A-",IF(H599&lt;'PlayerGrades+'!$AC$5,"A",IF(H599&lt;'PlayerGrades+'!$AC$4,"A+",IF(H599&lt;'PlayerGrades+'!$AC$3,"S-",IF(H599&lt;'PlayerGrades+'!$AC$2,"S","S+"))))))))))))))))))))</f>
        <v>#DIV/0!</v>
      </c>
      <c r="J599" s="1423" t="str">
        <f t="shared" si="15"/>
        <v>#DIV/0!</v>
      </c>
      <c r="K599" s="1423" t="str">
        <f>IF(J599&lt;'PlayerGrades+'!$AD$21,"F-",IF(J599&lt;'PlayerGrades+'!$AD$20,"F",IF(J599&lt;'PlayerGrades+'!$AD$19,"F+",IF(J599&lt;'PlayerGrades+'!$AD$18,"E-",IF(J599&lt;'PlayerGrades+'!$AD$17,"E",IF(J599&lt;'PlayerGrades+'!$AD$16,"E+",IF(J599&lt;'PlayerGrades+'!$AD$15,"D-",IF(J599&lt;'PlayerGrades+'!$AD$14,"D",IF(J599&lt;'PlayerGrades+'!$AD$13,"D+",IF(J599&lt;'PlayerGrades+'!$AD$12,"C-",IF(J599&lt;'PlayerGrades+'!$AD$11,"C",IF(J599&lt;'PlayerGrades+'!$AD$10,"C+",IF(J599&lt;'PlayerGrades+'!$AD$9,"B-",IF(J599&lt;'PlayerGrades+'!$AD$8,"B",IF(J599&lt;'PlayerGrades+'!$AD$7,"B+",IF(J599&lt;'PlayerGrades+'!$AD$6,"A-",IF(J599&lt;'PlayerGrades+'!$AD$5,"A",IF(J599&lt;'PlayerGrades+'!$AD$4,"A+",IF(J599&lt;'PlayerGrades+'!$AD$3,"S-",IF(J599&lt;'PlayerGrades+'!$AD$2,"S","S+"))))))))))))))))))))</f>
        <v>#DIV/0!</v>
      </c>
      <c r="L599" s="1176" t="str">
        <f t="shared" si="16"/>
        <v>#DIV/0!</v>
      </c>
      <c r="M599" s="992" t="str">
        <f>IF(L599&lt;'PlayerGrades+'!$AE$21,"F-",IF(L599&lt;'PlayerGrades+'!$AE$20,"F",IF(L599&lt;'PlayerGrades+'!$AE$19,"F+",IF(L599&lt;'PlayerGrades+'!$AE$18,"E-",IF(L599&lt;'PlayerGrades+'!$AE$17,"E",IF(L599&lt;'PlayerGrades+'!$AE$16,"E+",IF(L599&lt;'PlayerGrades+'!$AE$15,"D-",IF(L599&lt;'PlayerGrades+'!$AE$14,"D",IF(L599&lt;'PlayerGrades+'!$AE$13,"D+",IF(L599&lt;'PlayerGrades+'!$AE$12,"C-",IF(L599&lt;'PlayerGrades+'!$AE$11,"C",IF(L599&lt;'PlayerGrades+'!$AE$10,"C+",IF(L599&lt;'PlayerGrades+'!$AE$9,"B-",IF(L599&lt;'PlayerGrades+'!$AE$8,"B",IF(L599&lt;'PlayerGrades+'!$AE$7,"B+",IF(L599&lt;'PlayerGrades+'!$AE$6,"A-",IF(L599&lt;'PlayerGrades+'!$AE$5,"A",IF(L599&lt;'PlayerGrades+'!$AE$4,"A+",IF(L599&lt;'PlayerGrades+'!$AE$3,"S-",IF(L599&lt;'PlayerGrades+'!$AE$2,"S","S+"))))))))))))))))))))</f>
        <v>#DIV/0!</v>
      </c>
      <c r="N599" s="1423" t="str">
        <f t="shared" si="17"/>
        <v>#DIV/0!</v>
      </c>
      <c r="O599" s="1423" t="str">
        <f>IF(N599&lt;'PlayerGrades+'!$AF$21,"F-",IF(N599&lt;'PlayerGrades+'!$AF$20,"F",IF(N599&lt;'PlayerGrades+'!$AF$19,"F+",IF(N599&lt;'PlayerGrades+'!$AF$18,"E-",IF(N599&lt;'PlayerGrades+'!$AF$17,"E",IF(N599&lt;'PlayerGrades+'!$AF$16,"E+",IF(N599&lt;'PlayerGrades+'!$AF$15,"D-",IF(N599&lt;'PlayerGrades+'!$AF$14,"D",IF(N599&lt;'PlayerGrades+'!$AF$13,"D+",IF(N599&lt;'PlayerGrades+'!$AF$12,"C-",IF(N599&lt;'PlayerGrades+'!$AF$11,"C",IF(N599&lt;'PlayerGrades+'!$AF$10,"C+",IF(N599&lt;'PlayerGrades+'!$AF$9,"B-",IF(N599&lt;'PlayerGrades+'!$AF$8,"B",IF(N599&lt;'PlayerGrades+'!$AF$7,"B+",IF(N599&lt;'PlayerGrades+'!$AF$6,"A-",IF(N599&lt;'PlayerGrades+'!$AF$5,"A",IF(N599&lt;'PlayerGrades+'!$AF$4,"A+",IF(N599&lt;'PlayerGrades+'!$AF$3,"S-",IF(N599&lt;'PlayerGrades+'!$AF$2,"S","S+"))))))))))))))))))))</f>
        <v>#DIV/0!</v>
      </c>
      <c r="P599" s="1423" t="str">
        <f t="shared" si="18"/>
        <v>#DIV/0!</v>
      </c>
      <c r="Q599" s="1423" t="str">
        <f>IF(P599&lt;'PlayerGrades+'!$AG$21,"F-",IF(P599&lt;'PlayerGrades+'!$AG$20,"F",IF(P599&lt;'PlayerGrades+'!$AG$19,"F+",IF(P599&lt;'PlayerGrades+'!$AG$18,"E-",IF(P599&lt;'PlayerGrades+'!$AG$17,"E",IF(P599&lt;'PlayerGrades+'!$AG$16,"E+",IF(P599&lt;'PlayerGrades+'!$AG$15,"D-",IF(P599&lt;'PlayerGrades+'!$AG$14,"D",IF(P599&lt;'PlayerGrades+'!$AG$13,"D+",IF(P599&lt;'PlayerGrades+'!$AG$12,"C-",IF(P599&lt;'PlayerGrades+'!$AG$11,"C",IF(P599&lt;'PlayerGrades+'!$AG$10,"C+",IF(P599&lt;'PlayerGrades+'!$AG$9,"B-",IF(P599&lt;'PlayerGrades+'!$AG$8,"B",IF(P599&lt;'PlayerGrades+'!$AG$7,"B+",IF(P599&lt;'PlayerGrades+'!$AG$6,"A-",IF(P599&lt;'PlayerGrades+'!$AG$5,"A",IF(P599&lt;'PlayerGrades+'!$AG$4,"A+",IF(P599&lt;'PlayerGrades+'!$AG$3,"S-",IF(P599&lt;'PlayerGrades+'!$AG$2,"S","S+"))))))))))))))))))))</f>
        <v>#DIV/0!</v>
      </c>
      <c r="R599" s="1423" t="str">
        <f t="shared" si="19"/>
        <v>#REF!</v>
      </c>
      <c r="S599" s="1423" t="str">
        <f>IF(R599&lt;'PlayerGrades+'!$AH$21,"F-",IF(R599&lt;'PlayerGrades+'!$AH$20,"F",IF(R599&lt;'PlayerGrades+'!$AH$19,"F+",IF(R599&lt;'PlayerGrades+'!$AH$18,"E-",IF(R599&lt;'PlayerGrades+'!$AH$17,"E",IF(R599&lt;'PlayerGrades+'!$AH$16,"E+",IF(R599&lt;'PlayerGrades+'!$AH$15,"D-",IF(R599&lt;'PlayerGrades+'!$AH$14,"D",IF(R599&lt;'PlayerGrades+'!$AH$13,"D+",IF(R599&lt;'PlayerGrades+'!$AH$12,"C-",IF(R599&lt;'PlayerGrades+'!$AH$11,"C",IF(R599&lt;'PlayerGrades+'!$AH$10,"C+",IF(R599&lt;'PlayerGrades+'!$AH$9,"B-",IF(R599&lt;'PlayerGrades+'!$AH$8,"B",IF(R599&lt;'PlayerGrades+'!$AH$7,"B+",IF(R599&lt;'PlayerGrades+'!$AH$6,"A-",IF(R599&lt;'PlayerGrades+'!$AH$5,"A",IF(R599&lt;'PlayerGrades+'!$AH$4,"A+",IF(R599&lt;'PlayerGrades+'!$AH$3,"S-",IF(R599&lt;'PlayerGrades+'!$AH$2,"S","S+"))))))))))))))))))))</f>
        <v>#REF!</v>
      </c>
      <c r="T599" s="1423" t="str">
        <f t="shared" si="20"/>
        <v>#REF!</v>
      </c>
      <c r="U599" s="1423" t="str">
        <f>IF(T599&lt;'PlayerGrades+'!$AI$21,"F-",IF(T599&lt;'PlayerGrades+'!$AI$20,"F",IF(T599&lt;'PlayerGrades+'!$AI$19,"F+",IF(T599&lt;'PlayerGrades+'!$AI$18,"E-",IF(T599&lt;'PlayerGrades+'!$AI$17,"E",IF(T599&lt;'PlayerGrades+'!$AI$16,"E+",IF(T599&lt;'PlayerGrades+'!$AI$15,"D-",IF(T599&lt;'PlayerGrades+'!$AI$14,"D",IF(T599&lt;'PlayerGrades+'!$AI$13,"D+",IF(T599&lt;'PlayerGrades+'!$AI$12,"C-",IF(T599&lt;'PlayerGrades+'!$AI$11,"C",IF(T599&lt;'PlayerGrades+'!$AI$10,"C+",IF(T599&lt;'PlayerGrades+'!$AI$9,"B-",IF(T599&lt;'PlayerGrades+'!$AI$8,"B",IF(T599&lt;'PlayerGrades+'!$AI$7,"B+",IF(T599&lt;'PlayerGrades+'!$AI$6,"A-",IF(T599&lt;'PlayerGrades+'!$AI$5,"A",IF(T599&lt;'PlayerGrades+'!$AI$4,"A+",IF(T599&lt;'PlayerGrades+'!$AI$3,"S-",IF(T599&lt;'PlayerGrades+'!$AI$2,"S","S+"))))))))))))))))))))</f>
        <v>#REF!</v>
      </c>
      <c r="AC599" s="1392"/>
    </row>
    <row r="600">
      <c r="B600" s="1421" t="str">
        <f>IF(C600&lt;'PlayerGrades+'!$Y$44,"F-",IF(C600&lt;'PlayerGrades+'!$Y$43,"F",IF(C600&lt;'PlayerGrades+'!$Y$42,"F+",IF(C600&lt;'PlayerGrades+'!$Y$41,"E-",IF(C600&lt;'PlayerGrades+'!$Y$40,"E",IF(C600&lt;'PlayerGrades+'!$Y$39,"E+",IF(C600&lt;'PlayerGrades+'!$Y$38,"D-",IF(C600&lt;'PlayerGrades+'!$Y$37,"D",IF(C600&lt;'PlayerGrades+'!$Y$36,"D+",IF(C600&lt;'PlayerGrades+'!$Y$35,"C-",IF(C600&lt;'PlayerGrades+'!$Y$34,"C",IF(C600&lt;'PlayerGrades+'!$Y$33,"C+",IF(C600&lt;'PlayerGrades+'!$Y$32,"B-",IF(C600&lt;'PlayerGrades+'!$Y$31,"B",IF(C600&lt;'PlayerGrades+'!$Y$30,"B+",IF(C600&lt;'PlayerGrades+'!$Y$29,"A-",IF(C600&lt;'PlayerGrades+'!$Y$28,"A",IF(C600&lt;'PlayerGrades+'!$Y$27,"A+",IF(C600&lt;'PlayerGrades+'!$Y$26,"S-",IF(C600&lt;'PlayerGrades+'!$Y$25,"S","S+"))))))))))))))))))))</f>
        <v>#DIV/0!</v>
      </c>
      <c r="C600" s="1422" t="str">
        <f>('PlayerGrades+'!$Y$47*(VLOOKUP(E600, 'PlayerGrades+'!$X$3:$Y$23, 2, FALSE)))+('PlayerGrades+'!$Y$48*(VLOOKUP(G600, 'PlayerGrades+'!$X$3:$Y$23, 2, FALSE)))+('PlayerGrades+'!$Y$49*(VLOOKUP(I600, 'PlayerGrades+'!$X$3:$Y$23, 2, FALSE)))+('PlayerGrades+'!$Y$50*(VLOOKUP(K600, 'PlayerGrades+'!$X$3:$Y$23, 2, FALSE)))+('PlayerGrades+'!$Y$51*(VLOOKUP(M600, 'PlayerGrades+'!$X$3:$Y$23, 2, FALSE)))+('PlayerGrades+'!$Y$52*(VLOOKUP(O600, 'PlayerGrades+'!$X$3:$Y$23, 2, FALSE)))+('PlayerGrades+'!$Y$53*(VLOOKUP(Q600, 'PlayerGrades+'!$X$3:$Y$23, 2, FALSE)))+('PlayerGrades+'!$Y$54*(VLOOKUP(S600, 'PlayerGrades+'!$X$3:$Y$23, 2, FALSE)))+('PlayerGrades+'!$Y$55*(VLOOKUP(U600, 'PlayerGrades+'!$X$3:$Y$23, 2, FALSE)))</f>
        <v>#DIV/0!</v>
      </c>
      <c r="D600" s="1423" t="str">
        <f t="shared" si="12"/>
        <v>#DIV/0!</v>
      </c>
      <c r="E600" s="1423" t="str">
        <f>IF(D600&lt;'PlayerGrades+'!$AA$21,"F-",IF(D600&lt;'PlayerGrades+'!$AA$20,"F",IF(D600&lt;'PlayerGrades+'!$AA$19,"F+",IF(D600&lt;'PlayerGrades+'!$AA$18,"E-",IF(D600&lt;'PlayerGrades+'!$AA$17,"E",IF(D600&lt;'PlayerGrades+'!$AA$16,"E+",IF(D600&lt;'PlayerGrades+'!$AA$15,"D-",IF(D600&lt;'PlayerGrades+'!$AA$14,"D",IF(D600&lt;'PlayerGrades+'!$AA$13,"D+",IF(D600&lt;'PlayerGrades+'!$AA$12,"C-",IF(D600&lt;'PlayerGrades+'!$AA$11,"C",IF(D600&lt;'PlayerGrades+'!$AA$10,"C+",IF(D600&lt;'PlayerGrades+'!$AA$9,"B-",IF(D600&lt;'PlayerGrades+'!$AA$8,"B",IF(D600&lt;'PlayerGrades+'!$AA$7,"B+",IF(D600&lt;'PlayerGrades+'!$AA$6,"A-",IF(D600&lt;'PlayerGrades+'!$AA$5,"A",IF(D600&lt;'PlayerGrades+'!$AA$4,"A+",IF(D600&lt;'PlayerGrades+'!$AA$3,"S-",IF(D600&lt;'PlayerGrades+'!$AA$2,"S","S+"))))))))))))))))))))</f>
        <v>#DIV/0!</v>
      </c>
      <c r="F600" s="1423" t="str">
        <f t="shared" si="13"/>
        <v>#DIV/0!</v>
      </c>
      <c r="G600" s="1423" t="str">
        <f>IF(F600&lt;'PlayerGrades+'!$AB$21,"F-",IF(F600&lt;'PlayerGrades+'!$AB$20,"F",IF(F600&lt;'PlayerGrades+'!$AB$19,"F+",IF(F600&lt;'PlayerGrades+'!$AB$18,"E-",IF(F600&lt;'PlayerGrades+'!$AB$17,"E",IF(F600&lt;'PlayerGrades+'!$AB$16,"E+",IF(F600&lt;'PlayerGrades+'!$AB$15,"D-",IF(F600&lt;'PlayerGrades+'!$AB$14,"D",IF(F600&lt;'PlayerGrades+'!$AB$13,"D+",IF(F600&lt;'PlayerGrades+'!$AB$12,"C-",IF(F600&lt;'PlayerGrades+'!$AB$11,"C",IF(F600&lt;'PlayerGrades+'!$AB$10,"C+",IF(F600&lt;'PlayerGrades+'!$AB$9,"B-",IF(F600&lt;'PlayerGrades+'!$AB$8,"B",IF(F600&lt;'PlayerGrades+'!$AB$7,"B+",IF(F600&lt;'PlayerGrades+'!$AB$6,"A-",IF(F600&lt;'PlayerGrades+'!$AB$5,"A",IF(F600&lt;'PlayerGrades+'!$AB$4,"A+",IF(F600&lt;'PlayerGrades+'!$AB$3,"S-",IF(F600&lt;'PlayerGrades+'!$AB$2,"S","S+"))))))))))))))))))))</f>
        <v>#DIV/0!</v>
      </c>
      <c r="H600" s="1423" t="str">
        <f t="shared" si="14"/>
        <v>#DIV/0!</v>
      </c>
      <c r="I600" s="1423" t="str">
        <f>IF(H600&lt;'PlayerGrades+'!$AC$21,"F-",IF(H600&lt;'PlayerGrades+'!$AC$20,"F",IF(H600&lt;'PlayerGrades+'!$AC$19,"F+",IF(H600&lt;'PlayerGrades+'!$AC$18,"E-",IF(H600&lt;'PlayerGrades+'!$AC$17,"E",IF(H600&lt;'PlayerGrades+'!$AC$16,"E+",IF(H600&lt;'PlayerGrades+'!$AC$15,"D-",IF(H600&lt;'PlayerGrades+'!$AC$14,"D",IF(H600&lt;'PlayerGrades+'!$AC$13,"D+",IF(H600&lt;'PlayerGrades+'!$AC$12,"C-",IF(H600&lt;'PlayerGrades+'!$AC$11,"C",IF(H600&lt;'PlayerGrades+'!$AC$10,"C+",IF(H600&lt;'PlayerGrades+'!$AC$9,"B-",IF(H600&lt;'PlayerGrades+'!$AC$8,"B",IF(H600&lt;'PlayerGrades+'!$AC$7,"B+",IF(H600&lt;'PlayerGrades+'!$AC$6,"A-",IF(H600&lt;'PlayerGrades+'!$AC$5,"A",IF(H600&lt;'PlayerGrades+'!$AC$4,"A+",IF(H600&lt;'PlayerGrades+'!$AC$3,"S-",IF(H600&lt;'PlayerGrades+'!$AC$2,"S","S+"))))))))))))))))))))</f>
        <v>#DIV/0!</v>
      </c>
      <c r="J600" s="1423" t="str">
        <f t="shared" si="15"/>
        <v>#DIV/0!</v>
      </c>
      <c r="K600" s="1423" t="str">
        <f>IF(J600&lt;'PlayerGrades+'!$AD$21,"F-",IF(J600&lt;'PlayerGrades+'!$AD$20,"F",IF(J600&lt;'PlayerGrades+'!$AD$19,"F+",IF(J600&lt;'PlayerGrades+'!$AD$18,"E-",IF(J600&lt;'PlayerGrades+'!$AD$17,"E",IF(J600&lt;'PlayerGrades+'!$AD$16,"E+",IF(J600&lt;'PlayerGrades+'!$AD$15,"D-",IF(J600&lt;'PlayerGrades+'!$AD$14,"D",IF(J600&lt;'PlayerGrades+'!$AD$13,"D+",IF(J600&lt;'PlayerGrades+'!$AD$12,"C-",IF(J600&lt;'PlayerGrades+'!$AD$11,"C",IF(J600&lt;'PlayerGrades+'!$AD$10,"C+",IF(J600&lt;'PlayerGrades+'!$AD$9,"B-",IF(J600&lt;'PlayerGrades+'!$AD$8,"B",IF(J600&lt;'PlayerGrades+'!$AD$7,"B+",IF(J600&lt;'PlayerGrades+'!$AD$6,"A-",IF(J600&lt;'PlayerGrades+'!$AD$5,"A",IF(J600&lt;'PlayerGrades+'!$AD$4,"A+",IF(J600&lt;'PlayerGrades+'!$AD$3,"S-",IF(J600&lt;'PlayerGrades+'!$AD$2,"S","S+"))))))))))))))))))))</f>
        <v>#DIV/0!</v>
      </c>
      <c r="L600" s="1176" t="str">
        <f t="shared" si="16"/>
        <v>#DIV/0!</v>
      </c>
      <c r="M600" s="992" t="str">
        <f>IF(L600&lt;'PlayerGrades+'!$AE$21,"F-",IF(L600&lt;'PlayerGrades+'!$AE$20,"F",IF(L600&lt;'PlayerGrades+'!$AE$19,"F+",IF(L600&lt;'PlayerGrades+'!$AE$18,"E-",IF(L600&lt;'PlayerGrades+'!$AE$17,"E",IF(L600&lt;'PlayerGrades+'!$AE$16,"E+",IF(L600&lt;'PlayerGrades+'!$AE$15,"D-",IF(L600&lt;'PlayerGrades+'!$AE$14,"D",IF(L600&lt;'PlayerGrades+'!$AE$13,"D+",IF(L600&lt;'PlayerGrades+'!$AE$12,"C-",IF(L600&lt;'PlayerGrades+'!$AE$11,"C",IF(L600&lt;'PlayerGrades+'!$AE$10,"C+",IF(L600&lt;'PlayerGrades+'!$AE$9,"B-",IF(L600&lt;'PlayerGrades+'!$AE$8,"B",IF(L600&lt;'PlayerGrades+'!$AE$7,"B+",IF(L600&lt;'PlayerGrades+'!$AE$6,"A-",IF(L600&lt;'PlayerGrades+'!$AE$5,"A",IF(L600&lt;'PlayerGrades+'!$AE$4,"A+",IF(L600&lt;'PlayerGrades+'!$AE$3,"S-",IF(L600&lt;'PlayerGrades+'!$AE$2,"S","S+"))))))))))))))))))))</f>
        <v>#DIV/0!</v>
      </c>
      <c r="N600" s="1423" t="str">
        <f t="shared" si="17"/>
        <v>#DIV/0!</v>
      </c>
      <c r="O600" s="1423" t="str">
        <f>IF(N600&lt;'PlayerGrades+'!$AF$21,"F-",IF(N600&lt;'PlayerGrades+'!$AF$20,"F",IF(N600&lt;'PlayerGrades+'!$AF$19,"F+",IF(N600&lt;'PlayerGrades+'!$AF$18,"E-",IF(N600&lt;'PlayerGrades+'!$AF$17,"E",IF(N600&lt;'PlayerGrades+'!$AF$16,"E+",IF(N600&lt;'PlayerGrades+'!$AF$15,"D-",IF(N600&lt;'PlayerGrades+'!$AF$14,"D",IF(N600&lt;'PlayerGrades+'!$AF$13,"D+",IF(N600&lt;'PlayerGrades+'!$AF$12,"C-",IF(N600&lt;'PlayerGrades+'!$AF$11,"C",IF(N600&lt;'PlayerGrades+'!$AF$10,"C+",IF(N600&lt;'PlayerGrades+'!$AF$9,"B-",IF(N600&lt;'PlayerGrades+'!$AF$8,"B",IF(N600&lt;'PlayerGrades+'!$AF$7,"B+",IF(N600&lt;'PlayerGrades+'!$AF$6,"A-",IF(N600&lt;'PlayerGrades+'!$AF$5,"A",IF(N600&lt;'PlayerGrades+'!$AF$4,"A+",IF(N600&lt;'PlayerGrades+'!$AF$3,"S-",IF(N600&lt;'PlayerGrades+'!$AF$2,"S","S+"))))))))))))))))))))</f>
        <v>#DIV/0!</v>
      </c>
      <c r="P600" s="1423" t="str">
        <f t="shared" si="18"/>
        <v>#DIV/0!</v>
      </c>
      <c r="Q600" s="1423" t="str">
        <f>IF(P600&lt;'PlayerGrades+'!$AG$21,"F-",IF(P600&lt;'PlayerGrades+'!$AG$20,"F",IF(P600&lt;'PlayerGrades+'!$AG$19,"F+",IF(P600&lt;'PlayerGrades+'!$AG$18,"E-",IF(P600&lt;'PlayerGrades+'!$AG$17,"E",IF(P600&lt;'PlayerGrades+'!$AG$16,"E+",IF(P600&lt;'PlayerGrades+'!$AG$15,"D-",IF(P600&lt;'PlayerGrades+'!$AG$14,"D",IF(P600&lt;'PlayerGrades+'!$AG$13,"D+",IF(P600&lt;'PlayerGrades+'!$AG$12,"C-",IF(P600&lt;'PlayerGrades+'!$AG$11,"C",IF(P600&lt;'PlayerGrades+'!$AG$10,"C+",IF(P600&lt;'PlayerGrades+'!$AG$9,"B-",IF(P600&lt;'PlayerGrades+'!$AG$8,"B",IF(P600&lt;'PlayerGrades+'!$AG$7,"B+",IF(P600&lt;'PlayerGrades+'!$AG$6,"A-",IF(P600&lt;'PlayerGrades+'!$AG$5,"A",IF(P600&lt;'PlayerGrades+'!$AG$4,"A+",IF(P600&lt;'PlayerGrades+'!$AG$3,"S-",IF(P600&lt;'PlayerGrades+'!$AG$2,"S","S+"))))))))))))))))))))</f>
        <v>#DIV/0!</v>
      </c>
      <c r="R600" s="1423" t="str">
        <f t="shared" si="19"/>
        <v>#REF!</v>
      </c>
      <c r="S600" s="1423" t="str">
        <f>IF(R600&lt;'PlayerGrades+'!$AH$21,"F-",IF(R600&lt;'PlayerGrades+'!$AH$20,"F",IF(R600&lt;'PlayerGrades+'!$AH$19,"F+",IF(R600&lt;'PlayerGrades+'!$AH$18,"E-",IF(R600&lt;'PlayerGrades+'!$AH$17,"E",IF(R600&lt;'PlayerGrades+'!$AH$16,"E+",IF(R600&lt;'PlayerGrades+'!$AH$15,"D-",IF(R600&lt;'PlayerGrades+'!$AH$14,"D",IF(R600&lt;'PlayerGrades+'!$AH$13,"D+",IF(R600&lt;'PlayerGrades+'!$AH$12,"C-",IF(R600&lt;'PlayerGrades+'!$AH$11,"C",IF(R600&lt;'PlayerGrades+'!$AH$10,"C+",IF(R600&lt;'PlayerGrades+'!$AH$9,"B-",IF(R600&lt;'PlayerGrades+'!$AH$8,"B",IF(R600&lt;'PlayerGrades+'!$AH$7,"B+",IF(R600&lt;'PlayerGrades+'!$AH$6,"A-",IF(R600&lt;'PlayerGrades+'!$AH$5,"A",IF(R600&lt;'PlayerGrades+'!$AH$4,"A+",IF(R600&lt;'PlayerGrades+'!$AH$3,"S-",IF(R600&lt;'PlayerGrades+'!$AH$2,"S","S+"))))))))))))))))))))</f>
        <v>#REF!</v>
      </c>
      <c r="T600" s="1423" t="str">
        <f t="shared" si="20"/>
        <v>#REF!</v>
      </c>
      <c r="U600" s="1423" t="str">
        <f>IF(T600&lt;'PlayerGrades+'!$AI$21,"F-",IF(T600&lt;'PlayerGrades+'!$AI$20,"F",IF(T600&lt;'PlayerGrades+'!$AI$19,"F+",IF(T600&lt;'PlayerGrades+'!$AI$18,"E-",IF(T600&lt;'PlayerGrades+'!$AI$17,"E",IF(T600&lt;'PlayerGrades+'!$AI$16,"E+",IF(T600&lt;'PlayerGrades+'!$AI$15,"D-",IF(T600&lt;'PlayerGrades+'!$AI$14,"D",IF(T600&lt;'PlayerGrades+'!$AI$13,"D+",IF(T600&lt;'PlayerGrades+'!$AI$12,"C-",IF(T600&lt;'PlayerGrades+'!$AI$11,"C",IF(T600&lt;'PlayerGrades+'!$AI$10,"C+",IF(T600&lt;'PlayerGrades+'!$AI$9,"B-",IF(T600&lt;'PlayerGrades+'!$AI$8,"B",IF(T600&lt;'PlayerGrades+'!$AI$7,"B+",IF(T600&lt;'PlayerGrades+'!$AI$6,"A-",IF(T600&lt;'PlayerGrades+'!$AI$5,"A",IF(T600&lt;'PlayerGrades+'!$AI$4,"A+",IF(T600&lt;'PlayerGrades+'!$AI$3,"S-",IF(T600&lt;'PlayerGrades+'!$AI$2,"S","S+"))))))))))))))))))))</f>
        <v>#REF!</v>
      </c>
      <c r="AC600" s="1392"/>
    </row>
    <row r="601">
      <c r="A601" s="1411"/>
      <c r="B601" s="1421" t="str">
        <f>IF(C601&lt;'PlayerGrades+'!$Y$44,"F-",IF(C601&lt;'PlayerGrades+'!$Y$43,"F",IF(C601&lt;'PlayerGrades+'!$Y$42,"F+",IF(C601&lt;'PlayerGrades+'!$Y$41,"E-",IF(C601&lt;'PlayerGrades+'!$Y$40,"E",IF(C601&lt;'PlayerGrades+'!$Y$39,"E+",IF(C601&lt;'PlayerGrades+'!$Y$38,"D-",IF(C601&lt;'PlayerGrades+'!$Y$37,"D",IF(C601&lt;'PlayerGrades+'!$Y$36,"D+",IF(C601&lt;'PlayerGrades+'!$Y$35,"C-",IF(C601&lt;'PlayerGrades+'!$Y$34,"C",IF(C601&lt;'PlayerGrades+'!$Y$33,"C+",IF(C601&lt;'PlayerGrades+'!$Y$32,"B-",IF(C601&lt;'PlayerGrades+'!$Y$31,"B",IF(C601&lt;'PlayerGrades+'!$Y$30,"B+",IF(C601&lt;'PlayerGrades+'!$Y$29,"A-",IF(C601&lt;'PlayerGrades+'!$Y$28,"A",IF(C601&lt;'PlayerGrades+'!$Y$27,"A+",IF(C601&lt;'PlayerGrades+'!$Y$26,"S-",IF(C601&lt;'PlayerGrades+'!$Y$25,"S","S+"))))))))))))))))))))</f>
        <v>#DIV/0!</v>
      </c>
      <c r="C601" s="1422" t="str">
        <f>('PlayerGrades+'!$Y$47*(VLOOKUP(E601, 'PlayerGrades+'!$X$3:$Y$23, 2, FALSE)))+('PlayerGrades+'!$Y$48*(VLOOKUP(G601, 'PlayerGrades+'!$X$3:$Y$23, 2, FALSE)))+('PlayerGrades+'!$Y$49*(VLOOKUP(I601, 'PlayerGrades+'!$X$3:$Y$23, 2, FALSE)))+('PlayerGrades+'!$Y$50*(VLOOKUP(K601, 'PlayerGrades+'!$X$3:$Y$23, 2, FALSE)))+('PlayerGrades+'!$Y$51*(VLOOKUP(M601, 'PlayerGrades+'!$X$3:$Y$23, 2, FALSE)))+('PlayerGrades+'!$Y$52*(VLOOKUP(O601, 'PlayerGrades+'!$X$3:$Y$23, 2, FALSE)))+('PlayerGrades+'!$Y$53*(VLOOKUP(Q601, 'PlayerGrades+'!$X$3:$Y$23, 2, FALSE)))+('PlayerGrades+'!$Y$54*(VLOOKUP(S601, 'PlayerGrades+'!$X$3:$Y$23, 2, FALSE)))+('PlayerGrades+'!$Y$55*(VLOOKUP(U601, 'PlayerGrades+'!$X$3:$Y$23, 2, FALSE)))</f>
        <v>#DIV/0!</v>
      </c>
      <c r="D601" s="1423" t="str">
        <f t="shared" si="12"/>
        <v>#DIV/0!</v>
      </c>
      <c r="E601" s="1423" t="str">
        <f>IF(D601&lt;'PlayerGrades+'!$AA$21,"F-",IF(D601&lt;'PlayerGrades+'!$AA$20,"F",IF(D601&lt;'PlayerGrades+'!$AA$19,"F+",IF(D601&lt;'PlayerGrades+'!$AA$18,"E-",IF(D601&lt;'PlayerGrades+'!$AA$17,"E",IF(D601&lt;'PlayerGrades+'!$AA$16,"E+",IF(D601&lt;'PlayerGrades+'!$AA$15,"D-",IF(D601&lt;'PlayerGrades+'!$AA$14,"D",IF(D601&lt;'PlayerGrades+'!$AA$13,"D+",IF(D601&lt;'PlayerGrades+'!$AA$12,"C-",IF(D601&lt;'PlayerGrades+'!$AA$11,"C",IF(D601&lt;'PlayerGrades+'!$AA$10,"C+",IF(D601&lt;'PlayerGrades+'!$AA$9,"B-",IF(D601&lt;'PlayerGrades+'!$AA$8,"B",IF(D601&lt;'PlayerGrades+'!$AA$7,"B+",IF(D601&lt;'PlayerGrades+'!$AA$6,"A-",IF(D601&lt;'PlayerGrades+'!$AA$5,"A",IF(D601&lt;'PlayerGrades+'!$AA$4,"A+",IF(D601&lt;'PlayerGrades+'!$AA$3,"S-",IF(D601&lt;'PlayerGrades+'!$AA$2,"S","S+"))))))))))))))))))))</f>
        <v>#DIV/0!</v>
      </c>
      <c r="F601" s="1423" t="str">
        <f t="shared" si="13"/>
        <v>#DIV/0!</v>
      </c>
      <c r="G601" s="1423" t="str">
        <f>IF(F601&lt;'PlayerGrades+'!$AB$21,"F-",IF(F601&lt;'PlayerGrades+'!$AB$20,"F",IF(F601&lt;'PlayerGrades+'!$AB$19,"F+",IF(F601&lt;'PlayerGrades+'!$AB$18,"E-",IF(F601&lt;'PlayerGrades+'!$AB$17,"E",IF(F601&lt;'PlayerGrades+'!$AB$16,"E+",IF(F601&lt;'PlayerGrades+'!$AB$15,"D-",IF(F601&lt;'PlayerGrades+'!$AB$14,"D",IF(F601&lt;'PlayerGrades+'!$AB$13,"D+",IF(F601&lt;'PlayerGrades+'!$AB$12,"C-",IF(F601&lt;'PlayerGrades+'!$AB$11,"C",IF(F601&lt;'PlayerGrades+'!$AB$10,"C+",IF(F601&lt;'PlayerGrades+'!$AB$9,"B-",IF(F601&lt;'PlayerGrades+'!$AB$8,"B",IF(F601&lt;'PlayerGrades+'!$AB$7,"B+",IF(F601&lt;'PlayerGrades+'!$AB$6,"A-",IF(F601&lt;'PlayerGrades+'!$AB$5,"A",IF(F601&lt;'PlayerGrades+'!$AB$4,"A+",IF(F601&lt;'PlayerGrades+'!$AB$3,"S-",IF(F601&lt;'PlayerGrades+'!$AB$2,"S","S+"))))))))))))))))))))</f>
        <v>#DIV/0!</v>
      </c>
      <c r="H601" s="1423" t="str">
        <f t="shared" si="14"/>
        <v>#DIV/0!</v>
      </c>
      <c r="I601" s="1423" t="str">
        <f>IF(H601&lt;'PlayerGrades+'!$AC$21,"F-",IF(H601&lt;'PlayerGrades+'!$AC$20,"F",IF(H601&lt;'PlayerGrades+'!$AC$19,"F+",IF(H601&lt;'PlayerGrades+'!$AC$18,"E-",IF(H601&lt;'PlayerGrades+'!$AC$17,"E",IF(H601&lt;'PlayerGrades+'!$AC$16,"E+",IF(H601&lt;'PlayerGrades+'!$AC$15,"D-",IF(H601&lt;'PlayerGrades+'!$AC$14,"D",IF(H601&lt;'PlayerGrades+'!$AC$13,"D+",IF(H601&lt;'PlayerGrades+'!$AC$12,"C-",IF(H601&lt;'PlayerGrades+'!$AC$11,"C",IF(H601&lt;'PlayerGrades+'!$AC$10,"C+",IF(H601&lt;'PlayerGrades+'!$AC$9,"B-",IF(H601&lt;'PlayerGrades+'!$AC$8,"B",IF(H601&lt;'PlayerGrades+'!$AC$7,"B+",IF(H601&lt;'PlayerGrades+'!$AC$6,"A-",IF(H601&lt;'PlayerGrades+'!$AC$5,"A",IF(H601&lt;'PlayerGrades+'!$AC$4,"A+",IF(H601&lt;'PlayerGrades+'!$AC$3,"S-",IF(H601&lt;'PlayerGrades+'!$AC$2,"S","S+"))))))))))))))))))))</f>
        <v>#DIV/0!</v>
      </c>
      <c r="J601" s="1423" t="str">
        <f t="shared" si="15"/>
        <v>#DIV/0!</v>
      </c>
      <c r="K601" s="1423" t="str">
        <f>IF(J601&lt;'PlayerGrades+'!$AD$21,"F-",IF(J601&lt;'PlayerGrades+'!$AD$20,"F",IF(J601&lt;'PlayerGrades+'!$AD$19,"F+",IF(J601&lt;'PlayerGrades+'!$AD$18,"E-",IF(J601&lt;'PlayerGrades+'!$AD$17,"E",IF(J601&lt;'PlayerGrades+'!$AD$16,"E+",IF(J601&lt;'PlayerGrades+'!$AD$15,"D-",IF(J601&lt;'PlayerGrades+'!$AD$14,"D",IF(J601&lt;'PlayerGrades+'!$AD$13,"D+",IF(J601&lt;'PlayerGrades+'!$AD$12,"C-",IF(J601&lt;'PlayerGrades+'!$AD$11,"C",IF(J601&lt;'PlayerGrades+'!$AD$10,"C+",IF(J601&lt;'PlayerGrades+'!$AD$9,"B-",IF(J601&lt;'PlayerGrades+'!$AD$8,"B",IF(J601&lt;'PlayerGrades+'!$AD$7,"B+",IF(J601&lt;'PlayerGrades+'!$AD$6,"A-",IF(J601&lt;'PlayerGrades+'!$AD$5,"A",IF(J601&lt;'PlayerGrades+'!$AD$4,"A+",IF(J601&lt;'PlayerGrades+'!$AD$3,"S-",IF(J601&lt;'PlayerGrades+'!$AD$2,"S","S+"))))))))))))))))))))</f>
        <v>#DIV/0!</v>
      </c>
      <c r="L601" s="1176" t="str">
        <f t="shared" si="16"/>
        <v>#DIV/0!</v>
      </c>
      <c r="M601" s="992" t="str">
        <f>IF(L601&lt;'PlayerGrades+'!$AE$21,"F-",IF(L601&lt;'PlayerGrades+'!$AE$20,"F",IF(L601&lt;'PlayerGrades+'!$AE$19,"F+",IF(L601&lt;'PlayerGrades+'!$AE$18,"E-",IF(L601&lt;'PlayerGrades+'!$AE$17,"E",IF(L601&lt;'PlayerGrades+'!$AE$16,"E+",IF(L601&lt;'PlayerGrades+'!$AE$15,"D-",IF(L601&lt;'PlayerGrades+'!$AE$14,"D",IF(L601&lt;'PlayerGrades+'!$AE$13,"D+",IF(L601&lt;'PlayerGrades+'!$AE$12,"C-",IF(L601&lt;'PlayerGrades+'!$AE$11,"C",IF(L601&lt;'PlayerGrades+'!$AE$10,"C+",IF(L601&lt;'PlayerGrades+'!$AE$9,"B-",IF(L601&lt;'PlayerGrades+'!$AE$8,"B",IF(L601&lt;'PlayerGrades+'!$AE$7,"B+",IF(L601&lt;'PlayerGrades+'!$AE$6,"A-",IF(L601&lt;'PlayerGrades+'!$AE$5,"A",IF(L601&lt;'PlayerGrades+'!$AE$4,"A+",IF(L601&lt;'PlayerGrades+'!$AE$3,"S-",IF(L601&lt;'PlayerGrades+'!$AE$2,"S","S+"))))))))))))))))))))</f>
        <v>#DIV/0!</v>
      </c>
      <c r="N601" s="1423" t="str">
        <f t="shared" si="17"/>
        <v>#DIV/0!</v>
      </c>
      <c r="O601" s="1423" t="str">
        <f>IF(N601&lt;'PlayerGrades+'!$AF$21,"F-",IF(N601&lt;'PlayerGrades+'!$AF$20,"F",IF(N601&lt;'PlayerGrades+'!$AF$19,"F+",IF(N601&lt;'PlayerGrades+'!$AF$18,"E-",IF(N601&lt;'PlayerGrades+'!$AF$17,"E",IF(N601&lt;'PlayerGrades+'!$AF$16,"E+",IF(N601&lt;'PlayerGrades+'!$AF$15,"D-",IF(N601&lt;'PlayerGrades+'!$AF$14,"D",IF(N601&lt;'PlayerGrades+'!$AF$13,"D+",IF(N601&lt;'PlayerGrades+'!$AF$12,"C-",IF(N601&lt;'PlayerGrades+'!$AF$11,"C",IF(N601&lt;'PlayerGrades+'!$AF$10,"C+",IF(N601&lt;'PlayerGrades+'!$AF$9,"B-",IF(N601&lt;'PlayerGrades+'!$AF$8,"B",IF(N601&lt;'PlayerGrades+'!$AF$7,"B+",IF(N601&lt;'PlayerGrades+'!$AF$6,"A-",IF(N601&lt;'PlayerGrades+'!$AF$5,"A",IF(N601&lt;'PlayerGrades+'!$AF$4,"A+",IF(N601&lt;'PlayerGrades+'!$AF$3,"S-",IF(N601&lt;'PlayerGrades+'!$AF$2,"S","S+"))))))))))))))))))))</f>
        <v>#DIV/0!</v>
      </c>
      <c r="P601" s="1423" t="str">
        <f t="shared" si="18"/>
        <v>#DIV/0!</v>
      </c>
      <c r="Q601" s="1423" t="str">
        <f>IF(P601&lt;'PlayerGrades+'!$AG$21,"F-",IF(P601&lt;'PlayerGrades+'!$AG$20,"F",IF(P601&lt;'PlayerGrades+'!$AG$19,"F+",IF(P601&lt;'PlayerGrades+'!$AG$18,"E-",IF(P601&lt;'PlayerGrades+'!$AG$17,"E",IF(P601&lt;'PlayerGrades+'!$AG$16,"E+",IF(P601&lt;'PlayerGrades+'!$AG$15,"D-",IF(P601&lt;'PlayerGrades+'!$AG$14,"D",IF(P601&lt;'PlayerGrades+'!$AG$13,"D+",IF(P601&lt;'PlayerGrades+'!$AG$12,"C-",IF(P601&lt;'PlayerGrades+'!$AG$11,"C",IF(P601&lt;'PlayerGrades+'!$AG$10,"C+",IF(P601&lt;'PlayerGrades+'!$AG$9,"B-",IF(P601&lt;'PlayerGrades+'!$AG$8,"B",IF(P601&lt;'PlayerGrades+'!$AG$7,"B+",IF(P601&lt;'PlayerGrades+'!$AG$6,"A-",IF(P601&lt;'PlayerGrades+'!$AG$5,"A",IF(P601&lt;'PlayerGrades+'!$AG$4,"A+",IF(P601&lt;'PlayerGrades+'!$AG$3,"S-",IF(P601&lt;'PlayerGrades+'!$AG$2,"S","S+"))))))))))))))))))))</f>
        <v>#DIV/0!</v>
      </c>
      <c r="R601" s="1423" t="str">
        <f t="shared" si="19"/>
        <v>#REF!</v>
      </c>
      <c r="S601" s="1423" t="str">
        <f>IF(R601&lt;'PlayerGrades+'!$AH$21,"F-",IF(R601&lt;'PlayerGrades+'!$AH$20,"F",IF(R601&lt;'PlayerGrades+'!$AH$19,"F+",IF(R601&lt;'PlayerGrades+'!$AH$18,"E-",IF(R601&lt;'PlayerGrades+'!$AH$17,"E",IF(R601&lt;'PlayerGrades+'!$AH$16,"E+",IF(R601&lt;'PlayerGrades+'!$AH$15,"D-",IF(R601&lt;'PlayerGrades+'!$AH$14,"D",IF(R601&lt;'PlayerGrades+'!$AH$13,"D+",IF(R601&lt;'PlayerGrades+'!$AH$12,"C-",IF(R601&lt;'PlayerGrades+'!$AH$11,"C",IF(R601&lt;'PlayerGrades+'!$AH$10,"C+",IF(R601&lt;'PlayerGrades+'!$AH$9,"B-",IF(R601&lt;'PlayerGrades+'!$AH$8,"B",IF(R601&lt;'PlayerGrades+'!$AH$7,"B+",IF(R601&lt;'PlayerGrades+'!$AH$6,"A-",IF(R601&lt;'PlayerGrades+'!$AH$5,"A",IF(R601&lt;'PlayerGrades+'!$AH$4,"A+",IF(R601&lt;'PlayerGrades+'!$AH$3,"S-",IF(R601&lt;'PlayerGrades+'!$AH$2,"S","S+"))))))))))))))))))))</f>
        <v>#REF!</v>
      </c>
      <c r="T601" s="1423" t="str">
        <f t="shared" si="20"/>
        <v>#REF!</v>
      </c>
      <c r="U601" s="1423" t="str">
        <f>IF(T601&lt;'PlayerGrades+'!$AI$21,"F-",IF(T601&lt;'PlayerGrades+'!$AI$20,"F",IF(T601&lt;'PlayerGrades+'!$AI$19,"F+",IF(T601&lt;'PlayerGrades+'!$AI$18,"E-",IF(T601&lt;'PlayerGrades+'!$AI$17,"E",IF(T601&lt;'PlayerGrades+'!$AI$16,"E+",IF(T601&lt;'PlayerGrades+'!$AI$15,"D-",IF(T601&lt;'PlayerGrades+'!$AI$14,"D",IF(T601&lt;'PlayerGrades+'!$AI$13,"D+",IF(T601&lt;'PlayerGrades+'!$AI$12,"C-",IF(T601&lt;'PlayerGrades+'!$AI$11,"C",IF(T601&lt;'PlayerGrades+'!$AI$10,"C+",IF(T601&lt;'PlayerGrades+'!$AI$9,"B-",IF(T601&lt;'PlayerGrades+'!$AI$8,"B",IF(T601&lt;'PlayerGrades+'!$AI$7,"B+",IF(T601&lt;'PlayerGrades+'!$AI$6,"A-",IF(T601&lt;'PlayerGrades+'!$AI$5,"A",IF(T601&lt;'PlayerGrades+'!$AI$4,"A+",IF(T601&lt;'PlayerGrades+'!$AI$3,"S-",IF(T601&lt;'PlayerGrades+'!$AI$2,"S","S+"))))))))))))))))))))</f>
        <v>#REF!</v>
      </c>
      <c r="V601" s="1386"/>
      <c r="W601" s="1386"/>
      <c r="X601" s="1386"/>
      <c r="Y601" s="1386"/>
      <c r="Z601" s="1386"/>
      <c r="AA601" s="1386"/>
      <c r="AB601" s="1386"/>
      <c r="AC601" s="1397"/>
      <c r="AD601" s="1386"/>
      <c r="AE601" s="1386"/>
      <c r="AF601" s="1386"/>
      <c r="AG601" s="1386"/>
      <c r="AH601" s="1386"/>
      <c r="AI601" s="1386"/>
      <c r="AJ601" s="1386"/>
      <c r="AK601" s="1386"/>
      <c r="AL601" s="1386"/>
      <c r="AM601" s="1386"/>
      <c r="AN601" s="1386"/>
      <c r="AO601" s="1386"/>
      <c r="AP601" s="1386"/>
      <c r="AQ601" s="1386"/>
      <c r="AR601" s="1386"/>
      <c r="AS601" s="1386"/>
      <c r="AT601" s="1386"/>
      <c r="AU601" s="1386"/>
      <c r="AV601" s="1386"/>
      <c r="AW601" s="1386"/>
      <c r="AX601" s="1386"/>
      <c r="AY601" s="1386"/>
      <c r="AZ601" s="1386"/>
    </row>
    <row r="602">
      <c r="A602" s="1389"/>
      <c r="B602" s="1421" t="str">
        <f>IF(C602&lt;'PlayerGrades+'!$Y$44,"F-",IF(C602&lt;'PlayerGrades+'!$Y$43,"F",IF(C602&lt;'PlayerGrades+'!$Y$42,"F+",IF(C602&lt;'PlayerGrades+'!$Y$41,"E-",IF(C602&lt;'PlayerGrades+'!$Y$40,"E",IF(C602&lt;'PlayerGrades+'!$Y$39,"E+",IF(C602&lt;'PlayerGrades+'!$Y$38,"D-",IF(C602&lt;'PlayerGrades+'!$Y$37,"D",IF(C602&lt;'PlayerGrades+'!$Y$36,"D+",IF(C602&lt;'PlayerGrades+'!$Y$35,"C-",IF(C602&lt;'PlayerGrades+'!$Y$34,"C",IF(C602&lt;'PlayerGrades+'!$Y$33,"C+",IF(C602&lt;'PlayerGrades+'!$Y$32,"B-",IF(C602&lt;'PlayerGrades+'!$Y$31,"B",IF(C602&lt;'PlayerGrades+'!$Y$30,"B+",IF(C602&lt;'PlayerGrades+'!$Y$29,"A-",IF(C602&lt;'PlayerGrades+'!$Y$28,"A",IF(C602&lt;'PlayerGrades+'!$Y$27,"A+",IF(C602&lt;'PlayerGrades+'!$Y$26,"S-",IF(C602&lt;'PlayerGrades+'!$Y$25,"S","S+"))))))))))))))))))))</f>
        <v>#DIV/0!</v>
      </c>
      <c r="C602" s="1422" t="str">
        <f>('PlayerGrades+'!$Y$47*(VLOOKUP(E602, 'PlayerGrades+'!$X$3:$Y$23, 2, FALSE)))+('PlayerGrades+'!$Y$48*(VLOOKUP(G602, 'PlayerGrades+'!$X$3:$Y$23, 2, FALSE)))+('PlayerGrades+'!$Y$49*(VLOOKUP(I602, 'PlayerGrades+'!$X$3:$Y$23, 2, FALSE)))+('PlayerGrades+'!$Y$50*(VLOOKUP(K602, 'PlayerGrades+'!$X$3:$Y$23, 2, FALSE)))+('PlayerGrades+'!$Y$51*(VLOOKUP(M602, 'PlayerGrades+'!$X$3:$Y$23, 2, FALSE)))+('PlayerGrades+'!$Y$52*(VLOOKUP(O602, 'PlayerGrades+'!$X$3:$Y$23, 2, FALSE)))+('PlayerGrades+'!$Y$53*(VLOOKUP(Q602, 'PlayerGrades+'!$X$3:$Y$23, 2, FALSE)))+('PlayerGrades+'!$Y$54*(VLOOKUP(S602, 'PlayerGrades+'!$X$3:$Y$23, 2, FALSE)))+('PlayerGrades+'!$Y$55*(VLOOKUP(U602, 'PlayerGrades+'!$X$3:$Y$23, 2, FALSE)))</f>
        <v>#DIV/0!</v>
      </c>
      <c r="D602" s="1423" t="str">
        <f t="shared" si="12"/>
        <v>#DIV/0!</v>
      </c>
      <c r="E602" s="1423" t="str">
        <f>IF(D602&lt;'PlayerGrades+'!$AA$21,"F-",IF(D602&lt;'PlayerGrades+'!$AA$20,"F",IF(D602&lt;'PlayerGrades+'!$AA$19,"F+",IF(D602&lt;'PlayerGrades+'!$AA$18,"E-",IF(D602&lt;'PlayerGrades+'!$AA$17,"E",IF(D602&lt;'PlayerGrades+'!$AA$16,"E+",IF(D602&lt;'PlayerGrades+'!$AA$15,"D-",IF(D602&lt;'PlayerGrades+'!$AA$14,"D",IF(D602&lt;'PlayerGrades+'!$AA$13,"D+",IF(D602&lt;'PlayerGrades+'!$AA$12,"C-",IF(D602&lt;'PlayerGrades+'!$AA$11,"C",IF(D602&lt;'PlayerGrades+'!$AA$10,"C+",IF(D602&lt;'PlayerGrades+'!$AA$9,"B-",IF(D602&lt;'PlayerGrades+'!$AA$8,"B",IF(D602&lt;'PlayerGrades+'!$AA$7,"B+",IF(D602&lt;'PlayerGrades+'!$AA$6,"A-",IF(D602&lt;'PlayerGrades+'!$AA$5,"A",IF(D602&lt;'PlayerGrades+'!$AA$4,"A+",IF(D602&lt;'PlayerGrades+'!$AA$3,"S-",IF(D602&lt;'PlayerGrades+'!$AA$2,"S","S+"))))))))))))))))))))</f>
        <v>#DIV/0!</v>
      </c>
      <c r="F602" s="1423" t="str">
        <f t="shared" si="13"/>
        <v>#DIV/0!</v>
      </c>
      <c r="G602" s="1423" t="str">
        <f>IF(F602&lt;'PlayerGrades+'!$AB$21,"F-",IF(F602&lt;'PlayerGrades+'!$AB$20,"F",IF(F602&lt;'PlayerGrades+'!$AB$19,"F+",IF(F602&lt;'PlayerGrades+'!$AB$18,"E-",IF(F602&lt;'PlayerGrades+'!$AB$17,"E",IF(F602&lt;'PlayerGrades+'!$AB$16,"E+",IF(F602&lt;'PlayerGrades+'!$AB$15,"D-",IF(F602&lt;'PlayerGrades+'!$AB$14,"D",IF(F602&lt;'PlayerGrades+'!$AB$13,"D+",IF(F602&lt;'PlayerGrades+'!$AB$12,"C-",IF(F602&lt;'PlayerGrades+'!$AB$11,"C",IF(F602&lt;'PlayerGrades+'!$AB$10,"C+",IF(F602&lt;'PlayerGrades+'!$AB$9,"B-",IF(F602&lt;'PlayerGrades+'!$AB$8,"B",IF(F602&lt;'PlayerGrades+'!$AB$7,"B+",IF(F602&lt;'PlayerGrades+'!$AB$6,"A-",IF(F602&lt;'PlayerGrades+'!$AB$5,"A",IF(F602&lt;'PlayerGrades+'!$AB$4,"A+",IF(F602&lt;'PlayerGrades+'!$AB$3,"S-",IF(F602&lt;'PlayerGrades+'!$AB$2,"S","S+"))))))))))))))))))))</f>
        <v>#DIV/0!</v>
      </c>
      <c r="H602" s="1423" t="str">
        <f t="shared" si="14"/>
        <v>#DIV/0!</v>
      </c>
      <c r="I602" s="1423" t="str">
        <f>IF(H602&lt;'PlayerGrades+'!$AC$21,"F-",IF(H602&lt;'PlayerGrades+'!$AC$20,"F",IF(H602&lt;'PlayerGrades+'!$AC$19,"F+",IF(H602&lt;'PlayerGrades+'!$AC$18,"E-",IF(H602&lt;'PlayerGrades+'!$AC$17,"E",IF(H602&lt;'PlayerGrades+'!$AC$16,"E+",IF(H602&lt;'PlayerGrades+'!$AC$15,"D-",IF(H602&lt;'PlayerGrades+'!$AC$14,"D",IF(H602&lt;'PlayerGrades+'!$AC$13,"D+",IF(H602&lt;'PlayerGrades+'!$AC$12,"C-",IF(H602&lt;'PlayerGrades+'!$AC$11,"C",IF(H602&lt;'PlayerGrades+'!$AC$10,"C+",IF(H602&lt;'PlayerGrades+'!$AC$9,"B-",IF(H602&lt;'PlayerGrades+'!$AC$8,"B",IF(H602&lt;'PlayerGrades+'!$AC$7,"B+",IF(H602&lt;'PlayerGrades+'!$AC$6,"A-",IF(H602&lt;'PlayerGrades+'!$AC$5,"A",IF(H602&lt;'PlayerGrades+'!$AC$4,"A+",IF(H602&lt;'PlayerGrades+'!$AC$3,"S-",IF(H602&lt;'PlayerGrades+'!$AC$2,"S","S+"))))))))))))))))))))</f>
        <v>#DIV/0!</v>
      </c>
      <c r="J602" s="1423" t="str">
        <f t="shared" si="15"/>
        <v>#DIV/0!</v>
      </c>
      <c r="K602" s="1423" t="str">
        <f>IF(J602&lt;'PlayerGrades+'!$AD$21,"F-",IF(J602&lt;'PlayerGrades+'!$AD$20,"F",IF(J602&lt;'PlayerGrades+'!$AD$19,"F+",IF(J602&lt;'PlayerGrades+'!$AD$18,"E-",IF(J602&lt;'PlayerGrades+'!$AD$17,"E",IF(J602&lt;'PlayerGrades+'!$AD$16,"E+",IF(J602&lt;'PlayerGrades+'!$AD$15,"D-",IF(J602&lt;'PlayerGrades+'!$AD$14,"D",IF(J602&lt;'PlayerGrades+'!$AD$13,"D+",IF(J602&lt;'PlayerGrades+'!$AD$12,"C-",IF(J602&lt;'PlayerGrades+'!$AD$11,"C",IF(J602&lt;'PlayerGrades+'!$AD$10,"C+",IF(J602&lt;'PlayerGrades+'!$AD$9,"B-",IF(J602&lt;'PlayerGrades+'!$AD$8,"B",IF(J602&lt;'PlayerGrades+'!$AD$7,"B+",IF(J602&lt;'PlayerGrades+'!$AD$6,"A-",IF(J602&lt;'PlayerGrades+'!$AD$5,"A",IF(J602&lt;'PlayerGrades+'!$AD$4,"A+",IF(J602&lt;'PlayerGrades+'!$AD$3,"S-",IF(J602&lt;'PlayerGrades+'!$AD$2,"S","S+"))))))))))))))))))))</f>
        <v>#DIV/0!</v>
      </c>
      <c r="L602" s="1176" t="str">
        <f t="shared" si="16"/>
        <v>#DIV/0!</v>
      </c>
      <c r="M602" s="992" t="str">
        <f>IF(L602&lt;'PlayerGrades+'!$AE$21,"F-",IF(L602&lt;'PlayerGrades+'!$AE$20,"F",IF(L602&lt;'PlayerGrades+'!$AE$19,"F+",IF(L602&lt;'PlayerGrades+'!$AE$18,"E-",IF(L602&lt;'PlayerGrades+'!$AE$17,"E",IF(L602&lt;'PlayerGrades+'!$AE$16,"E+",IF(L602&lt;'PlayerGrades+'!$AE$15,"D-",IF(L602&lt;'PlayerGrades+'!$AE$14,"D",IF(L602&lt;'PlayerGrades+'!$AE$13,"D+",IF(L602&lt;'PlayerGrades+'!$AE$12,"C-",IF(L602&lt;'PlayerGrades+'!$AE$11,"C",IF(L602&lt;'PlayerGrades+'!$AE$10,"C+",IF(L602&lt;'PlayerGrades+'!$AE$9,"B-",IF(L602&lt;'PlayerGrades+'!$AE$8,"B",IF(L602&lt;'PlayerGrades+'!$AE$7,"B+",IF(L602&lt;'PlayerGrades+'!$AE$6,"A-",IF(L602&lt;'PlayerGrades+'!$AE$5,"A",IF(L602&lt;'PlayerGrades+'!$AE$4,"A+",IF(L602&lt;'PlayerGrades+'!$AE$3,"S-",IF(L602&lt;'PlayerGrades+'!$AE$2,"S","S+"))))))))))))))))))))</f>
        <v>#DIV/0!</v>
      </c>
      <c r="N602" s="1423" t="str">
        <f t="shared" si="17"/>
        <v>#DIV/0!</v>
      </c>
      <c r="O602" s="1423" t="str">
        <f>IF(N602&lt;'PlayerGrades+'!$AF$21,"F-",IF(N602&lt;'PlayerGrades+'!$AF$20,"F",IF(N602&lt;'PlayerGrades+'!$AF$19,"F+",IF(N602&lt;'PlayerGrades+'!$AF$18,"E-",IF(N602&lt;'PlayerGrades+'!$AF$17,"E",IF(N602&lt;'PlayerGrades+'!$AF$16,"E+",IF(N602&lt;'PlayerGrades+'!$AF$15,"D-",IF(N602&lt;'PlayerGrades+'!$AF$14,"D",IF(N602&lt;'PlayerGrades+'!$AF$13,"D+",IF(N602&lt;'PlayerGrades+'!$AF$12,"C-",IF(N602&lt;'PlayerGrades+'!$AF$11,"C",IF(N602&lt;'PlayerGrades+'!$AF$10,"C+",IF(N602&lt;'PlayerGrades+'!$AF$9,"B-",IF(N602&lt;'PlayerGrades+'!$AF$8,"B",IF(N602&lt;'PlayerGrades+'!$AF$7,"B+",IF(N602&lt;'PlayerGrades+'!$AF$6,"A-",IF(N602&lt;'PlayerGrades+'!$AF$5,"A",IF(N602&lt;'PlayerGrades+'!$AF$4,"A+",IF(N602&lt;'PlayerGrades+'!$AF$3,"S-",IF(N602&lt;'PlayerGrades+'!$AF$2,"S","S+"))))))))))))))))))))</f>
        <v>#DIV/0!</v>
      </c>
      <c r="P602" s="1423" t="str">
        <f t="shared" si="18"/>
        <v>#DIV/0!</v>
      </c>
      <c r="Q602" s="1423" t="str">
        <f>IF(P602&lt;'PlayerGrades+'!$AG$21,"F-",IF(P602&lt;'PlayerGrades+'!$AG$20,"F",IF(P602&lt;'PlayerGrades+'!$AG$19,"F+",IF(P602&lt;'PlayerGrades+'!$AG$18,"E-",IF(P602&lt;'PlayerGrades+'!$AG$17,"E",IF(P602&lt;'PlayerGrades+'!$AG$16,"E+",IF(P602&lt;'PlayerGrades+'!$AG$15,"D-",IF(P602&lt;'PlayerGrades+'!$AG$14,"D",IF(P602&lt;'PlayerGrades+'!$AG$13,"D+",IF(P602&lt;'PlayerGrades+'!$AG$12,"C-",IF(P602&lt;'PlayerGrades+'!$AG$11,"C",IF(P602&lt;'PlayerGrades+'!$AG$10,"C+",IF(P602&lt;'PlayerGrades+'!$AG$9,"B-",IF(P602&lt;'PlayerGrades+'!$AG$8,"B",IF(P602&lt;'PlayerGrades+'!$AG$7,"B+",IF(P602&lt;'PlayerGrades+'!$AG$6,"A-",IF(P602&lt;'PlayerGrades+'!$AG$5,"A",IF(P602&lt;'PlayerGrades+'!$AG$4,"A+",IF(P602&lt;'PlayerGrades+'!$AG$3,"S-",IF(P602&lt;'PlayerGrades+'!$AG$2,"S","S+"))))))))))))))))))))</f>
        <v>#DIV/0!</v>
      </c>
      <c r="R602" s="1423" t="str">
        <f t="shared" si="19"/>
        <v>#REF!</v>
      </c>
      <c r="S602" s="1423" t="str">
        <f>IF(R602&lt;'PlayerGrades+'!$AH$21,"F-",IF(R602&lt;'PlayerGrades+'!$AH$20,"F",IF(R602&lt;'PlayerGrades+'!$AH$19,"F+",IF(R602&lt;'PlayerGrades+'!$AH$18,"E-",IF(R602&lt;'PlayerGrades+'!$AH$17,"E",IF(R602&lt;'PlayerGrades+'!$AH$16,"E+",IF(R602&lt;'PlayerGrades+'!$AH$15,"D-",IF(R602&lt;'PlayerGrades+'!$AH$14,"D",IF(R602&lt;'PlayerGrades+'!$AH$13,"D+",IF(R602&lt;'PlayerGrades+'!$AH$12,"C-",IF(R602&lt;'PlayerGrades+'!$AH$11,"C",IF(R602&lt;'PlayerGrades+'!$AH$10,"C+",IF(R602&lt;'PlayerGrades+'!$AH$9,"B-",IF(R602&lt;'PlayerGrades+'!$AH$8,"B",IF(R602&lt;'PlayerGrades+'!$AH$7,"B+",IF(R602&lt;'PlayerGrades+'!$AH$6,"A-",IF(R602&lt;'PlayerGrades+'!$AH$5,"A",IF(R602&lt;'PlayerGrades+'!$AH$4,"A+",IF(R602&lt;'PlayerGrades+'!$AH$3,"S-",IF(R602&lt;'PlayerGrades+'!$AH$2,"S","S+"))))))))))))))))))))</f>
        <v>#REF!</v>
      </c>
      <c r="T602" s="1423" t="str">
        <f t="shared" si="20"/>
        <v>#REF!</v>
      </c>
      <c r="U602" s="1423" t="str">
        <f>IF(T602&lt;'PlayerGrades+'!$AI$21,"F-",IF(T602&lt;'PlayerGrades+'!$AI$20,"F",IF(T602&lt;'PlayerGrades+'!$AI$19,"F+",IF(T602&lt;'PlayerGrades+'!$AI$18,"E-",IF(T602&lt;'PlayerGrades+'!$AI$17,"E",IF(T602&lt;'PlayerGrades+'!$AI$16,"E+",IF(T602&lt;'PlayerGrades+'!$AI$15,"D-",IF(T602&lt;'PlayerGrades+'!$AI$14,"D",IF(T602&lt;'PlayerGrades+'!$AI$13,"D+",IF(T602&lt;'PlayerGrades+'!$AI$12,"C-",IF(T602&lt;'PlayerGrades+'!$AI$11,"C",IF(T602&lt;'PlayerGrades+'!$AI$10,"C+",IF(T602&lt;'PlayerGrades+'!$AI$9,"B-",IF(T602&lt;'PlayerGrades+'!$AI$8,"B",IF(T602&lt;'PlayerGrades+'!$AI$7,"B+",IF(T602&lt;'PlayerGrades+'!$AI$6,"A-",IF(T602&lt;'PlayerGrades+'!$AI$5,"A",IF(T602&lt;'PlayerGrades+'!$AI$4,"A+",IF(T602&lt;'PlayerGrades+'!$AI$3,"S-",IF(T602&lt;'PlayerGrades+'!$AI$2,"S","S+"))))))))))))))))))))</f>
        <v>#REF!</v>
      </c>
      <c r="V602" s="1379"/>
      <c r="W602" s="1379"/>
      <c r="X602" s="1379"/>
      <c r="Y602" s="1379"/>
      <c r="Z602" s="1379"/>
      <c r="AA602" s="1379"/>
      <c r="AB602" s="1379"/>
      <c r="AC602" s="1390"/>
      <c r="AD602" s="1379"/>
      <c r="AE602" s="1379"/>
      <c r="AF602" s="1410"/>
      <c r="AG602" s="1379"/>
      <c r="AH602" s="1379"/>
      <c r="AI602" s="1379"/>
      <c r="AJ602" s="1379"/>
      <c r="AK602" s="1379"/>
      <c r="AL602" s="1379"/>
      <c r="AM602" s="1379"/>
      <c r="AN602" s="1379"/>
      <c r="AO602" s="1379"/>
      <c r="AP602" s="1379"/>
      <c r="AQ602" s="1379"/>
      <c r="AR602" s="1379"/>
      <c r="AS602" s="1379"/>
      <c r="AT602" s="1379"/>
      <c r="AU602" s="1379"/>
      <c r="AV602" s="1379"/>
      <c r="AW602" s="1379"/>
      <c r="AX602" s="1379"/>
      <c r="AY602" s="1379"/>
      <c r="AZ602" s="1379"/>
    </row>
    <row r="603">
      <c r="A603" s="1391"/>
      <c r="B603" s="1421" t="str">
        <f>IF(C603&lt;'PlayerGrades+'!$Y$44,"F-",IF(C603&lt;'PlayerGrades+'!$Y$43,"F",IF(C603&lt;'PlayerGrades+'!$Y$42,"F+",IF(C603&lt;'PlayerGrades+'!$Y$41,"E-",IF(C603&lt;'PlayerGrades+'!$Y$40,"E",IF(C603&lt;'PlayerGrades+'!$Y$39,"E+",IF(C603&lt;'PlayerGrades+'!$Y$38,"D-",IF(C603&lt;'PlayerGrades+'!$Y$37,"D",IF(C603&lt;'PlayerGrades+'!$Y$36,"D+",IF(C603&lt;'PlayerGrades+'!$Y$35,"C-",IF(C603&lt;'PlayerGrades+'!$Y$34,"C",IF(C603&lt;'PlayerGrades+'!$Y$33,"C+",IF(C603&lt;'PlayerGrades+'!$Y$32,"B-",IF(C603&lt;'PlayerGrades+'!$Y$31,"B",IF(C603&lt;'PlayerGrades+'!$Y$30,"B+",IF(C603&lt;'PlayerGrades+'!$Y$29,"A-",IF(C603&lt;'PlayerGrades+'!$Y$28,"A",IF(C603&lt;'PlayerGrades+'!$Y$27,"A+",IF(C603&lt;'PlayerGrades+'!$Y$26,"S-",IF(C603&lt;'PlayerGrades+'!$Y$25,"S","S+"))))))))))))))))))))</f>
        <v>#DIV/0!</v>
      </c>
      <c r="C603" s="1422" t="str">
        <f>('PlayerGrades+'!$Y$47*(VLOOKUP(E603, 'PlayerGrades+'!$X$3:$Y$23, 2, FALSE)))+('PlayerGrades+'!$Y$48*(VLOOKUP(G603, 'PlayerGrades+'!$X$3:$Y$23, 2, FALSE)))+('PlayerGrades+'!$Y$49*(VLOOKUP(I603, 'PlayerGrades+'!$X$3:$Y$23, 2, FALSE)))+('PlayerGrades+'!$Y$50*(VLOOKUP(K603, 'PlayerGrades+'!$X$3:$Y$23, 2, FALSE)))+('PlayerGrades+'!$Y$51*(VLOOKUP(M603, 'PlayerGrades+'!$X$3:$Y$23, 2, FALSE)))+('PlayerGrades+'!$Y$52*(VLOOKUP(O603, 'PlayerGrades+'!$X$3:$Y$23, 2, FALSE)))+('PlayerGrades+'!$Y$53*(VLOOKUP(Q603, 'PlayerGrades+'!$X$3:$Y$23, 2, FALSE)))+('PlayerGrades+'!$Y$54*(VLOOKUP(S603, 'PlayerGrades+'!$X$3:$Y$23, 2, FALSE)))+('PlayerGrades+'!$Y$55*(VLOOKUP(U603, 'PlayerGrades+'!$X$3:$Y$23, 2, FALSE)))</f>
        <v>#DIV/0!</v>
      </c>
      <c r="D603" s="1423" t="str">
        <f t="shared" si="12"/>
        <v>#DIV/0!</v>
      </c>
      <c r="E603" s="1423" t="str">
        <f>IF(D603&lt;'PlayerGrades+'!$AA$21,"F-",IF(D603&lt;'PlayerGrades+'!$AA$20,"F",IF(D603&lt;'PlayerGrades+'!$AA$19,"F+",IF(D603&lt;'PlayerGrades+'!$AA$18,"E-",IF(D603&lt;'PlayerGrades+'!$AA$17,"E",IF(D603&lt;'PlayerGrades+'!$AA$16,"E+",IF(D603&lt;'PlayerGrades+'!$AA$15,"D-",IF(D603&lt;'PlayerGrades+'!$AA$14,"D",IF(D603&lt;'PlayerGrades+'!$AA$13,"D+",IF(D603&lt;'PlayerGrades+'!$AA$12,"C-",IF(D603&lt;'PlayerGrades+'!$AA$11,"C",IF(D603&lt;'PlayerGrades+'!$AA$10,"C+",IF(D603&lt;'PlayerGrades+'!$AA$9,"B-",IF(D603&lt;'PlayerGrades+'!$AA$8,"B",IF(D603&lt;'PlayerGrades+'!$AA$7,"B+",IF(D603&lt;'PlayerGrades+'!$AA$6,"A-",IF(D603&lt;'PlayerGrades+'!$AA$5,"A",IF(D603&lt;'PlayerGrades+'!$AA$4,"A+",IF(D603&lt;'PlayerGrades+'!$AA$3,"S-",IF(D603&lt;'PlayerGrades+'!$AA$2,"S","S+"))))))))))))))))))))</f>
        <v>#DIV/0!</v>
      </c>
      <c r="F603" s="1423" t="str">
        <f t="shared" si="13"/>
        <v>#DIV/0!</v>
      </c>
      <c r="G603" s="1423" t="str">
        <f>IF(F603&lt;'PlayerGrades+'!$AB$21,"F-",IF(F603&lt;'PlayerGrades+'!$AB$20,"F",IF(F603&lt;'PlayerGrades+'!$AB$19,"F+",IF(F603&lt;'PlayerGrades+'!$AB$18,"E-",IF(F603&lt;'PlayerGrades+'!$AB$17,"E",IF(F603&lt;'PlayerGrades+'!$AB$16,"E+",IF(F603&lt;'PlayerGrades+'!$AB$15,"D-",IF(F603&lt;'PlayerGrades+'!$AB$14,"D",IF(F603&lt;'PlayerGrades+'!$AB$13,"D+",IF(F603&lt;'PlayerGrades+'!$AB$12,"C-",IF(F603&lt;'PlayerGrades+'!$AB$11,"C",IF(F603&lt;'PlayerGrades+'!$AB$10,"C+",IF(F603&lt;'PlayerGrades+'!$AB$9,"B-",IF(F603&lt;'PlayerGrades+'!$AB$8,"B",IF(F603&lt;'PlayerGrades+'!$AB$7,"B+",IF(F603&lt;'PlayerGrades+'!$AB$6,"A-",IF(F603&lt;'PlayerGrades+'!$AB$5,"A",IF(F603&lt;'PlayerGrades+'!$AB$4,"A+",IF(F603&lt;'PlayerGrades+'!$AB$3,"S-",IF(F603&lt;'PlayerGrades+'!$AB$2,"S","S+"))))))))))))))))))))</f>
        <v>#DIV/0!</v>
      </c>
      <c r="H603" s="1423" t="str">
        <f t="shared" si="14"/>
        <v>#DIV/0!</v>
      </c>
      <c r="I603" s="1423" t="str">
        <f>IF(H603&lt;'PlayerGrades+'!$AC$21,"F-",IF(H603&lt;'PlayerGrades+'!$AC$20,"F",IF(H603&lt;'PlayerGrades+'!$AC$19,"F+",IF(H603&lt;'PlayerGrades+'!$AC$18,"E-",IF(H603&lt;'PlayerGrades+'!$AC$17,"E",IF(H603&lt;'PlayerGrades+'!$AC$16,"E+",IF(H603&lt;'PlayerGrades+'!$AC$15,"D-",IF(H603&lt;'PlayerGrades+'!$AC$14,"D",IF(H603&lt;'PlayerGrades+'!$AC$13,"D+",IF(H603&lt;'PlayerGrades+'!$AC$12,"C-",IF(H603&lt;'PlayerGrades+'!$AC$11,"C",IF(H603&lt;'PlayerGrades+'!$AC$10,"C+",IF(H603&lt;'PlayerGrades+'!$AC$9,"B-",IF(H603&lt;'PlayerGrades+'!$AC$8,"B",IF(H603&lt;'PlayerGrades+'!$AC$7,"B+",IF(H603&lt;'PlayerGrades+'!$AC$6,"A-",IF(H603&lt;'PlayerGrades+'!$AC$5,"A",IF(H603&lt;'PlayerGrades+'!$AC$4,"A+",IF(H603&lt;'PlayerGrades+'!$AC$3,"S-",IF(H603&lt;'PlayerGrades+'!$AC$2,"S","S+"))))))))))))))))))))</f>
        <v>#DIV/0!</v>
      </c>
      <c r="J603" s="1423" t="str">
        <f t="shared" si="15"/>
        <v>#DIV/0!</v>
      </c>
      <c r="K603" s="1423" t="str">
        <f>IF(J603&lt;'PlayerGrades+'!$AD$21,"F-",IF(J603&lt;'PlayerGrades+'!$AD$20,"F",IF(J603&lt;'PlayerGrades+'!$AD$19,"F+",IF(J603&lt;'PlayerGrades+'!$AD$18,"E-",IF(J603&lt;'PlayerGrades+'!$AD$17,"E",IF(J603&lt;'PlayerGrades+'!$AD$16,"E+",IF(J603&lt;'PlayerGrades+'!$AD$15,"D-",IF(J603&lt;'PlayerGrades+'!$AD$14,"D",IF(J603&lt;'PlayerGrades+'!$AD$13,"D+",IF(J603&lt;'PlayerGrades+'!$AD$12,"C-",IF(J603&lt;'PlayerGrades+'!$AD$11,"C",IF(J603&lt;'PlayerGrades+'!$AD$10,"C+",IF(J603&lt;'PlayerGrades+'!$AD$9,"B-",IF(J603&lt;'PlayerGrades+'!$AD$8,"B",IF(J603&lt;'PlayerGrades+'!$AD$7,"B+",IF(J603&lt;'PlayerGrades+'!$AD$6,"A-",IF(J603&lt;'PlayerGrades+'!$AD$5,"A",IF(J603&lt;'PlayerGrades+'!$AD$4,"A+",IF(J603&lt;'PlayerGrades+'!$AD$3,"S-",IF(J603&lt;'PlayerGrades+'!$AD$2,"S","S+"))))))))))))))))))))</f>
        <v>#DIV/0!</v>
      </c>
      <c r="L603" s="1176" t="str">
        <f t="shared" si="16"/>
        <v>#DIV/0!</v>
      </c>
      <c r="M603" s="992" t="str">
        <f>IF(L603&lt;'PlayerGrades+'!$AE$21,"F-",IF(L603&lt;'PlayerGrades+'!$AE$20,"F",IF(L603&lt;'PlayerGrades+'!$AE$19,"F+",IF(L603&lt;'PlayerGrades+'!$AE$18,"E-",IF(L603&lt;'PlayerGrades+'!$AE$17,"E",IF(L603&lt;'PlayerGrades+'!$AE$16,"E+",IF(L603&lt;'PlayerGrades+'!$AE$15,"D-",IF(L603&lt;'PlayerGrades+'!$AE$14,"D",IF(L603&lt;'PlayerGrades+'!$AE$13,"D+",IF(L603&lt;'PlayerGrades+'!$AE$12,"C-",IF(L603&lt;'PlayerGrades+'!$AE$11,"C",IF(L603&lt;'PlayerGrades+'!$AE$10,"C+",IF(L603&lt;'PlayerGrades+'!$AE$9,"B-",IF(L603&lt;'PlayerGrades+'!$AE$8,"B",IF(L603&lt;'PlayerGrades+'!$AE$7,"B+",IF(L603&lt;'PlayerGrades+'!$AE$6,"A-",IF(L603&lt;'PlayerGrades+'!$AE$5,"A",IF(L603&lt;'PlayerGrades+'!$AE$4,"A+",IF(L603&lt;'PlayerGrades+'!$AE$3,"S-",IF(L603&lt;'PlayerGrades+'!$AE$2,"S","S+"))))))))))))))))))))</f>
        <v>#DIV/0!</v>
      </c>
      <c r="N603" s="1423" t="str">
        <f t="shared" si="17"/>
        <v>#DIV/0!</v>
      </c>
      <c r="O603" s="1423" t="str">
        <f>IF(N603&lt;'PlayerGrades+'!$AF$21,"F-",IF(N603&lt;'PlayerGrades+'!$AF$20,"F",IF(N603&lt;'PlayerGrades+'!$AF$19,"F+",IF(N603&lt;'PlayerGrades+'!$AF$18,"E-",IF(N603&lt;'PlayerGrades+'!$AF$17,"E",IF(N603&lt;'PlayerGrades+'!$AF$16,"E+",IF(N603&lt;'PlayerGrades+'!$AF$15,"D-",IF(N603&lt;'PlayerGrades+'!$AF$14,"D",IF(N603&lt;'PlayerGrades+'!$AF$13,"D+",IF(N603&lt;'PlayerGrades+'!$AF$12,"C-",IF(N603&lt;'PlayerGrades+'!$AF$11,"C",IF(N603&lt;'PlayerGrades+'!$AF$10,"C+",IF(N603&lt;'PlayerGrades+'!$AF$9,"B-",IF(N603&lt;'PlayerGrades+'!$AF$8,"B",IF(N603&lt;'PlayerGrades+'!$AF$7,"B+",IF(N603&lt;'PlayerGrades+'!$AF$6,"A-",IF(N603&lt;'PlayerGrades+'!$AF$5,"A",IF(N603&lt;'PlayerGrades+'!$AF$4,"A+",IF(N603&lt;'PlayerGrades+'!$AF$3,"S-",IF(N603&lt;'PlayerGrades+'!$AF$2,"S","S+"))))))))))))))))))))</f>
        <v>#DIV/0!</v>
      </c>
      <c r="P603" s="1423" t="str">
        <f t="shared" si="18"/>
        <v>#DIV/0!</v>
      </c>
      <c r="Q603" s="1423" t="str">
        <f>IF(P603&lt;'PlayerGrades+'!$AG$21,"F-",IF(P603&lt;'PlayerGrades+'!$AG$20,"F",IF(P603&lt;'PlayerGrades+'!$AG$19,"F+",IF(P603&lt;'PlayerGrades+'!$AG$18,"E-",IF(P603&lt;'PlayerGrades+'!$AG$17,"E",IF(P603&lt;'PlayerGrades+'!$AG$16,"E+",IF(P603&lt;'PlayerGrades+'!$AG$15,"D-",IF(P603&lt;'PlayerGrades+'!$AG$14,"D",IF(P603&lt;'PlayerGrades+'!$AG$13,"D+",IF(P603&lt;'PlayerGrades+'!$AG$12,"C-",IF(P603&lt;'PlayerGrades+'!$AG$11,"C",IF(P603&lt;'PlayerGrades+'!$AG$10,"C+",IF(P603&lt;'PlayerGrades+'!$AG$9,"B-",IF(P603&lt;'PlayerGrades+'!$AG$8,"B",IF(P603&lt;'PlayerGrades+'!$AG$7,"B+",IF(P603&lt;'PlayerGrades+'!$AG$6,"A-",IF(P603&lt;'PlayerGrades+'!$AG$5,"A",IF(P603&lt;'PlayerGrades+'!$AG$4,"A+",IF(P603&lt;'PlayerGrades+'!$AG$3,"S-",IF(P603&lt;'PlayerGrades+'!$AG$2,"S","S+"))))))))))))))))))))</f>
        <v>#DIV/0!</v>
      </c>
      <c r="R603" s="1423" t="str">
        <f t="shared" si="19"/>
        <v>#REF!</v>
      </c>
      <c r="S603" s="1423" t="str">
        <f>IF(R603&lt;'PlayerGrades+'!$AH$21,"F-",IF(R603&lt;'PlayerGrades+'!$AH$20,"F",IF(R603&lt;'PlayerGrades+'!$AH$19,"F+",IF(R603&lt;'PlayerGrades+'!$AH$18,"E-",IF(R603&lt;'PlayerGrades+'!$AH$17,"E",IF(R603&lt;'PlayerGrades+'!$AH$16,"E+",IF(R603&lt;'PlayerGrades+'!$AH$15,"D-",IF(R603&lt;'PlayerGrades+'!$AH$14,"D",IF(R603&lt;'PlayerGrades+'!$AH$13,"D+",IF(R603&lt;'PlayerGrades+'!$AH$12,"C-",IF(R603&lt;'PlayerGrades+'!$AH$11,"C",IF(R603&lt;'PlayerGrades+'!$AH$10,"C+",IF(R603&lt;'PlayerGrades+'!$AH$9,"B-",IF(R603&lt;'PlayerGrades+'!$AH$8,"B",IF(R603&lt;'PlayerGrades+'!$AH$7,"B+",IF(R603&lt;'PlayerGrades+'!$AH$6,"A-",IF(R603&lt;'PlayerGrades+'!$AH$5,"A",IF(R603&lt;'PlayerGrades+'!$AH$4,"A+",IF(R603&lt;'PlayerGrades+'!$AH$3,"S-",IF(R603&lt;'PlayerGrades+'!$AH$2,"S","S+"))))))))))))))))))))</f>
        <v>#REF!</v>
      </c>
      <c r="T603" s="1423" t="str">
        <f t="shared" si="20"/>
        <v>#REF!</v>
      </c>
      <c r="U603" s="1423" t="str">
        <f>IF(T603&lt;'PlayerGrades+'!$AI$21,"F-",IF(T603&lt;'PlayerGrades+'!$AI$20,"F",IF(T603&lt;'PlayerGrades+'!$AI$19,"F+",IF(T603&lt;'PlayerGrades+'!$AI$18,"E-",IF(T603&lt;'PlayerGrades+'!$AI$17,"E",IF(T603&lt;'PlayerGrades+'!$AI$16,"E+",IF(T603&lt;'PlayerGrades+'!$AI$15,"D-",IF(T603&lt;'PlayerGrades+'!$AI$14,"D",IF(T603&lt;'PlayerGrades+'!$AI$13,"D+",IF(T603&lt;'PlayerGrades+'!$AI$12,"C-",IF(T603&lt;'PlayerGrades+'!$AI$11,"C",IF(T603&lt;'PlayerGrades+'!$AI$10,"C+",IF(T603&lt;'PlayerGrades+'!$AI$9,"B-",IF(T603&lt;'PlayerGrades+'!$AI$8,"B",IF(T603&lt;'PlayerGrades+'!$AI$7,"B+",IF(T603&lt;'PlayerGrades+'!$AI$6,"A-",IF(T603&lt;'PlayerGrades+'!$AI$5,"A",IF(T603&lt;'PlayerGrades+'!$AI$4,"A+",IF(T603&lt;'PlayerGrades+'!$AI$3,"S-",IF(T603&lt;'PlayerGrades+'!$AI$2,"S","S+"))))))))))))))))))))</f>
        <v>#REF!</v>
      </c>
      <c r="AC603" s="1392"/>
    </row>
    <row r="604">
      <c r="A604" s="1391"/>
      <c r="B604" s="1421" t="str">
        <f>IF(C604&lt;'PlayerGrades+'!$Y$44,"F-",IF(C604&lt;'PlayerGrades+'!$Y$43,"F",IF(C604&lt;'PlayerGrades+'!$Y$42,"F+",IF(C604&lt;'PlayerGrades+'!$Y$41,"E-",IF(C604&lt;'PlayerGrades+'!$Y$40,"E",IF(C604&lt;'PlayerGrades+'!$Y$39,"E+",IF(C604&lt;'PlayerGrades+'!$Y$38,"D-",IF(C604&lt;'PlayerGrades+'!$Y$37,"D",IF(C604&lt;'PlayerGrades+'!$Y$36,"D+",IF(C604&lt;'PlayerGrades+'!$Y$35,"C-",IF(C604&lt;'PlayerGrades+'!$Y$34,"C",IF(C604&lt;'PlayerGrades+'!$Y$33,"C+",IF(C604&lt;'PlayerGrades+'!$Y$32,"B-",IF(C604&lt;'PlayerGrades+'!$Y$31,"B",IF(C604&lt;'PlayerGrades+'!$Y$30,"B+",IF(C604&lt;'PlayerGrades+'!$Y$29,"A-",IF(C604&lt;'PlayerGrades+'!$Y$28,"A",IF(C604&lt;'PlayerGrades+'!$Y$27,"A+",IF(C604&lt;'PlayerGrades+'!$Y$26,"S-",IF(C604&lt;'PlayerGrades+'!$Y$25,"S","S+"))))))))))))))))))))</f>
        <v>#DIV/0!</v>
      </c>
      <c r="C604" s="1422" t="str">
        <f>('PlayerGrades+'!$Y$47*(VLOOKUP(E604, 'PlayerGrades+'!$X$3:$Y$23, 2, FALSE)))+('PlayerGrades+'!$Y$48*(VLOOKUP(G604, 'PlayerGrades+'!$X$3:$Y$23, 2, FALSE)))+('PlayerGrades+'!$Y$49*(VLOOKUP(I604, 'PlayerGrades+'!$X$3:$Y$23, 2, FALSE)))+('PlayerGrades+'!$Y$50*(VLOOKUP(K604, 'PlayerGrades+'!$X$3:$Y$23, 2, FALSE)))+('PlayerGrades+'!$Y$51*(VLOOKUP(M604, 'PlayerGrades+'!$X$3:$Y$23, 2, FALSE)))+('PlayerGrades+'!$Y$52*(VLOOKUP(O604, 'PlayerGrades+'!$X$3:$Y$23, 2, FALSE)))+('PlayerGrades+'!$Y$53*(VLOOKUP(Q604, 'PlayerGrades+'!$X$3:$Y$23, 2, FALSE)))+('PlayerGrades+'!$Y$54*(VLOOKUP(S604, 'PlayerGrades+'!$X$3:$Y$23, 2, FALSE)))+('PlayerGrades+'!$Y$55*(VLOOKUP(U604, 'PlayerGrades+'!$X$3:$Y$23, 2, FALSE)))</f>
        <v>#DIV/0!</v>
      </c>
      <c r="D604" s="1423" t="str">
        <f t="shared" si="12"/>
        <v>#DIV/0!</v>
      </c>
      <c r="E604" s="1423" t="str">
        <f>IF(D604&lt;'PlayerGrades+'!$AA$21,"F-",IF(D604&lt;'PlayerGrades+'!$AA$20,"F",IF(D604&lt;'PlayerGrades+'!$AA$19,"F+",IF(D604&lt;'PlayerGrades+'!$AA$18,"E-",IF(D604&lt;'PlayerGrades+'!$AA$17,"E",IF(D604&lt;'PlayerGrades+'!$AA$16,"E+",IF(D604&lt;'PlayerGrades+'!$AA$15,"D-",IF(D604&lt;'PlayerGrades+'!$AA$14,"D",IF(D604&lt;'PlayerGrades+'!$AA$13,"D+",IF(D604&lt;'PlayerGrades+'!$AA$12,"C-",IF(D604&lt;'PlayerGrades+'!$AA$11,"C",IF(D604&lt;'PlayerGrades+'!$AA$10,"C+",IF(D604&lt;'PlayerGrades+'!$AA$9,"B-",IF(D604&lt;'PlayerGrades+'!$AA$8,"B",IF(D604&lt;'PlayerGrades+'!$AA$7,"B+",IF(D604&lt;'PlayerGrades+'!$AA$6,"A-",IF(D604&lt;'PlayerGrades+'!$AA$5,"A",IF(D604&lt;'PlayerGrades+'!$AA$4,"A+",IF(D604&lt;'PlayerGrades+'!$AA$3,"S-",IF(D604&lt;'PlayerGrades+'!$AA$2,"S","S+"))))))))))))))))))))</f>
        <v>#DIV/0!</v>
      </c>
      <c r="F604" s="1423" t="str">
        <f t="shared" si="13"/>
        <v>#DIV/0!</v>
      </c>
      <c r="G604" s="1423" t="str">
        <f>IF(F604&lt;'PlayerGrades+'!$AB$21,"F-",IF(F604&lt;'PlayerGrades+'!$AB$20,"F",IF(F604&lt;'PlayerGrades+'!$AB$19,"F+",IF(F604&lt;'PlayerGrades+'!$AB$18,"E-",IF(F604&lt;'PlayerGrades+'!$AB$17,"E",IF(F604&lt;'PlayerGrades+'!$AB$16,"E+",IF(F604&lt;'PlayerGrades+'!$AB$15,"D-",IF(F604&lt;'PlayerGrades+'!$AB$14,"D",IF(F604&lt;'PlayerGrades+'!$AB$13,"D+",IF(F604&lt;'PlayerGrades+'!$AB$12,"C-",IF(F604&lt;'PlayerGrades+'!$AB$11,"C",IF(F604&lt;'PlayerGrades+'!$AB$10,"C+",IF(F604&lt;'PlayerGrades+'!$AB$9,"B-",IF(F604&lt;'PlayerGrades+'!$AB$8,"B",IF(F604&lt;'PlayerGrades+'!$AB$7,"B+",IF(F604&lt;'PlayerGrades+'!$AB$6,"A-",IF(F604&lt;'PlayerGrades+'!$AB$5,"A",IF(F604&lt;'PlayerGrades+'!$AB$4,"A+",IF(F604&lt;'PlayerGrades+'!$AB$3,"S-",IF(F604&lt;'PlayerGrades+'!$AB$2,"S","S+"))))))))))))))))))))</f>
        <v>#DIV/0!</v>
      </c>
      <c r="H604" s="1423" t="str">
        <f t="shared" si="14"/>
        <v>#DIV/0!</v>
      </c>
      <c r="I604" s="1423" t="str">
        <f>IF(H604&lt;'PlayerGrades+'!$AC$21,"F-",IF(H604&lt;'PlayerGrades+'!$AC$20,"F",IF(H604&lt;'PlayerGrades+'!$AC$19,"F+",IF(H604&lt;'PlayerGrades+'!$AC$18,"E-",IF(H604&lt;'PlayerGrades+'!$AC$17,"E",IF(H604&lt;'PlayerGrades+'!$AC$16,"E+",IF(H604&lt;'PlayerGrades+'!$AC$15,"D-",IF(H604&lt;'PlayerGrades+'!$AC$14,"D",IF(H604&lt;'PlayerGrades+'!$AC$13,"D+",IF(H604&lt;'PlayerGrades+'!$AC$12,"C-",IF(H604&lt;'PlayerGrades+'!$AC$11,"C",IF(H604&lt;'PlayerGrades+'!$AC$10,"C+",IF(H604&lt;'PlayerGrades+'!$AC$9,"B-",IF(H604&lt;'PlayerGrades+'!$AC$8,"B",IF(H604&lt;'PlayerGrades+'!$AC$7,"B+",IF(H604&lt;'PlayerGrades+'!$AC$6,"A-",IF(H604&lt;'PlayerGrades+'!$AC$5,"A",IF(H604&lt;'PlayerGrades+'!$AC$4,"A+",IF(H604&lt;'PlayerGrades+'!$AC$3,"S-",IF(H604&lt;'PlayerGrades+'!$AC$2,"S","S+"))))))))))))))))))))</f>
        <v>#DIV/0!</v>
      </c>
      <c r="J604" s="1423" t="str">
        <f t="shared" si="15"/>
        <v>#DIV/0!</v>
      </c>
      <c r="K604" s="1423" t="str">
        <f>IF(J604&lt;'PlayerGrades+'!$AD$21,"F-",IF(J604&lt;'PlayerGrades+'!$AD$20,"F",IF(J604&lt;'PlayerGrades+'!$AD$19,"F+",IF(J604&lt;'PlayerGrades+'!$AD$18,"E-",IF(J604&lt;'PlayerGrades+'!$AD$17,"E",IF(J604&lt;'PlayerGrades+'!$AD$16,"E+",IF(J604&lt;'PlayerGrades+'!$AD$15,"D-",IF(J604&lt;'PlayerGrades+'!$AD$14,"D",IF(J604&lt;'PlayerGrades+'!$AD$13,"D+",IF(J604&lt;'PlayerGrades+'!$AD$12,"C-",IF(J604&lt;'PlayerGrades+'!$AD$11,"C",IF(J604&lt;'PlayerGrades+'!$AD$10,"C+",IF(J604&lt;'PlayerGrades+'!$AD$9,"B-",IF(J604&lt;'PlayerGrades+'!$AD$8,"B",IF(J604&lt;'PlayerGrades+'!$AD$7,"B+",IF(J604&lt;'PlayerGrades+'!$AD$6,"A-",IF(J604&lt;'PlayerGrades+'!$AD$5,"A",IF(J604&lt;'PlayerGrades+'!$AD$4,"A+",IF(J604&lt;'PlayerGrades+'!$AD$3,"S-",IF(J604&lt;'PlayerGrades+'!$AD$2,"S","S+"))))))))))))))))))))</f>
        <v>#DIV/0!</v>
      </c>
      <c r="L604" s="1176" t="str">
        <f t="shared" si="16"/>
        <v>#DIV/0!</v>
      </c>
      <c r="M604" s="992" t="str">
        <f>IF(L604&lt;'PlayerGrades+'!$AE$21,"F-",IF(L604&lt;'PlayerGrades+'!$AE$20,"F",IF(L604&lt;'PlayerGrades+'!$AE$19,"F+",IF(L604&lt;'PlayerGrades+'!$AE$18,"E-",IF(L604&lt;'PlayerGrades+'!$AE$17,"E",IF(L604&lt;'PlayerGrades+'!$AE$16,"E+",IF(L604&lt;'PlayerGrades+'!$AE$15,"D-",IF(L604&lt;'PlayerGrades+'!$AE$14,"D",IF(L604&lt;'PlayerGrades+'!$AE$13,"D+",IF(L604&lt;'PlayerGrades+'!$AE$12,"C-",IF(L604&lt;'PlayerGrades+'!$AE$11,"C",IF(L604&lt;'PlayerGrades+'!$AE$10,"C+",IF(L604&lt;'PlayerGrades+'!$AE$9,"B-",IF(L604&lt;'PlayerGrades+'!$AE$8,"B",IF(L604&lt;'PlayerGrades+'!$AE$7,"B+",IF(L604&lt;'PlayerGrades+'!$AE$6,"A-",IF(L604&lt;'PlayerGrades+'!$AE$5,"A",IF(L604&lt;'PlayerGrades+'!$AE$4,"A+",IF(L604&lt;'PlayerGrades+'!$AE$3,"S-",IF(L604&lt;'PlayerGrades+'!$AE$2,"S","S+"))))))))))))))))))))</f>
        <v>#DIV/0!</v>
      </c>
      <c r="N604" s="1423" t="str">
        <f t="shared" si="17"/>
        <v>#DIV/0!</v>
      </c>
      <c r="O604" s="1423" t="str">
        <f>IF(N604&lt;'PlayerGrades+'!$AF$21,"F-",IF(N604&lt;'PlayerGrades+'!$AF$20,"F",IF(N604&lt;'PlayerGrades+'!$AF$19,"F+",IF(N604&lt;'PlayerGrades+'!$AF$18,"E-",IF(N604&lt;'PlayerGrades+'!$AF$17,"E",IF(N604&lt;'PlayerGrades+'!$AF$16,"E+",IF(N604&lt;'PlayerGrades+'!$AF$15,"D-",IF(N604&lt;'PlayerGrades+'!$AF$14,"D",IF(N604&lt;'PlayerGrades+'!$AF$13,"D+",IF(N604&lt;'PlayerGrades+'!$AF$12,"C-",IF(N604&lt;'PlayerGrades+'!$AF$11,"C",IF(N604&lt;'PlayerGrades+'!$AF$10,"C+",IF(N604&lt;'PlayerGrades+'!$AF$9,"B-",IF(N604&lt;'PlayerGrades+'!$AF$8,"B",IF(N604&lt;'PlayerGrades+'!$AF$7,"B+",IF(N604&lt;'PlayerGrades+'!$AF$6,"A-",IF(N604&lt;'PlayerGrades+'!$AF$5,"A",IF(N604&lt;'PlayerGrades+'!$AF$4,"A+",IF(N604&lt;'PlayerGrades+'!$AF$3,"S-",IF(N604&lt;'PlayerGrades+'!$AF$2,"S","S+"))))))))))))))))))))</f>
        <v>#DIV/0!</v>
      </c>
      <c r="P604" s="1423" t="str">
        <f t="shared" si="18"/>
        <v>#DIV/0!</v>
      </c>
      <c r="Q604" s="1423" t="str">
        <f>IF(P604&lt;'PlayerGrades+'!$AG$21,"F-",IF(P604&lt;'PlayerGrades+'!$AG$20,"F",IF(P604&lt;'PlayerGrades+'!$AG$19,"F+",IF(P604&lt;'PlayerGrades+'!$AG$18,"E-",IF(P604&lt;'PlayerGrades+'!$AG$17,"E",IF(P604&lt;'PlayerGrades+'!$AG$16,"E+",IF(P604&lt;'PlayerGrades+'!$AG$15,"D-",IF(P604&lt;'PlayerGrades+'!$AG$14,"D",IF(P604&lt;'PlayerGrades+'!$AG$13,"D+",IF(P604&lt;'PlayerGrades+'!$AG$12,"C-",IF(P604&lt;'PlayerGrades+'!$AG$11,"C",IF(P604&lt;'PlayerGrades+'!$AG$10,"C+",IF(P604&lt;'PlayerGrades+'!$AG$9,"B-",IF(P604&lt;'PlayerGrades+'!$AG$8,"B",IF(P604&lt;'PlayerGrades+'!$AG$7,"B+",IF(P604&lt;'PlayerGrades+'!$AG$6,"A-",IF(P604&lt;'PlayerGrades+'!$AG$5,"A",IF(P604&lt;'PlayerGrades+'!$AG$4,"A+",IF(P604&lt;'PlayerGrades+'!$AG$3,"S-",IF(P604&lt;'PlayerGrades+'!$AG$2,"S","S+"))))))))))))))))))))</f>
        <v>#DIV/0!</v>
      </c>
      <c r="R604" s="1423" t="str">
        <f t="shared" si="19"/>
        <v>#REF!</v>
      </c>
      <c r="S604" s="1423" t="str">
        <f>IF(R604&lt;'PlayerGrades+'!$AH$21,"F-",IF(R604&lt;'PlayerGrades+'!$AH$20,"F",IF(R604&lt;'PlayerGrades+'!$AH$19,"F+",IF(R604&lt;'PlayerGrades+'!$AH$18,"E-",IF(R604&lt;'PlayerGrades+'!$AH$17,"E",IF(R604&lt;'PlayerGrades+'!$AH$16,"E+",IF(R604&lt;'PlayerGrades+'!$AH$15,"D-",IF(R604&lt;'PlayerGrades+'!$AH$14,"D",IF(R604&lt;'PlayerGrades+'!$AH$13,"D+",IF(R604&lt;'PlayerGrades+'!$AH$12,"C-",IF(R604&lt;'PlayerGrades+'!$AH$11,"C",IF(R604&lt;'PlayerGrades+'!$AH$10,"C+",IF(R604&lt;'PlayerGrades+'!$AH$9,"B-",IF(R604&lt;'PlayerGrades+'!$AH$8,"B",IF(R604&lt;'PlayerGrades+'!$AH$7,"B+",IF(R604&lt;'PlayerGrades+'!$AH$6,"A-",IF(R604&lt;'PlayerGrades+'!$AH$5,"A",IF(R604&lt;'PlayerGrades+'!$AH$4,"A+",IF(R604&lt;'PlayerGrades+'!$AH$3,"S-",IF(R604&lt;'PlayerGrades+'!$AH$2,"S","S+"))))))))))))))))))))</f>
        <v>#REF!</v>
      </c>
      <c r="T604" s="1423" t="str">
        <f t="shared" si="20"/>
        <v>#REF!</v>
      </c>
      <c r="U604" s="1423" t="str">
        <f>IF(T604&lt;'PlayerGrades+'!$AI$21,"F-",IF(T604&lt;'PlayerGrades+'!$AI$20,"F",IF(T604&lt;'PlayerGrades+'!$AI$19,"F+",IF(T604&lt;'PlayerGrades+'!$AI$18,"E-",IF(T604&lt;'PlayerGrades+'!$AI$17,"E",IF(T604&lt;'PlayerGrades+'!$AI$16,"E+",IF(T604&lt;'PlayerGrades+'!$AI$15,"D-",IF(T604&lt;'PlayerGrades+'!$AI$14,"D",IF(T604&lt;'PlayerGrades+'!$AI$13,"D+",IF(T604&lt;'PlayerGrades+'!$AI$12,"C-",IF(T604&lt;'PlayerGrades+'!$AI$11,"C",IF(T604&lt;'PlayerGrades+'!$AI$10,"C+",IF(T604&lt;'PlayerGrades+'!$AI$9,"B-",IF(T604&lt;'PlayerGrades+'!$AI$8,"B",IF(T604&lt;'PlayerGrades+'!$AI$7,"B+",IF(T604&lt;'PlayerGrades+'!$AI$6,"A-",IF(T604&lt;'PlayerGrades+'!$AI$5,"A",IF(T604&lt;'PlayerGrades+'!$AI$4,"A+",IF(T604&lt;'PlayerGrades+'!$AI$3,"S-",IF(T604&lt;'PlayerGrades+'!$AI$2,"S","S+"))))))))))))))))))))</f>
        <v>#REF!</v>
      </c>
      <c r="AC604" s="1392"/>
    </row>
    <row r="605">
      <c r="A605" s="1391"/>
      <c r="B605" s="1421" t="str">
        <f>IF(C605&lt;'PlayerGrades+'!$Y$44,"F-",IF(C605&lt;'PlayerGrades+'!$Y$43,"F",IF(C605&lt;'PlayerGrades+'!$Y$42,"F+",IF(C605&lt;'PlayerGrades+'!$Y$41,"E-",IF(C605&lt;'PlayerGrades+'!$Y$40,"E",IF(C605&lt;'PlayerGrades+'!$Y$39,"E+",IF(C605&lt;'PlayerGrades+'!$Y$38,"D-",IF(C605&lt;'PlayerGrades+'!$Y$37,"D",IF(C605&lt;'PlayerGrades+'!$Y$36,"D+",IF(C605&lt;'PlayerGrades+'!$Y$35,"C-",IF(C605&lt;'PlayerGrades+'!$Y$34,"C",IF(C605&lt;'PlayerGrades+'!$Y$33,"C+",IF(C605&lt;'PlayerGrades+'!$Y$32,"B-",IF(C605&lt;'PlayerGrades+'!$Y$31,"B",IF(C605&lt;'PlayerGrades+'!$Y$30,"B+",IF(C605&lt;'PlayerGrades+'!$Y$29,"A-",IF(C605&lt;'PlayerGrades+'!$Y$28,"A",IF(C605&lt;'PlayerGrades+'!$Y$27,"A+",IF(C605&lt;'PlayerGrades+'!$Y$26,"S-",IF(C605&lt;'PlayerGrades+'!$Y$25,"S","S+"))))))))))))))))))))</f>
        <v>#DIV/0!</v>
      </c>
      <c r="C605" s="1422" t="str">
        <f>('PlayerGrades+'!$Y$47*(VLOOKUP(E605, 'PlayerGrades+'!$X$3:$Y$23, 2, FALSE)))+('PlayerGrades+'!$Y$48*(VLOOKUP(G605, 'PlayerGrades+'!$X$3:$Y$23, 2, FALSE)))+('PlayerGrades+'!$Y$49*(VLOOKUP(I605, 'PlayerGrades+'!$X$3:$Y$23, 2, FALSE)))+('PlayerGrades+'!$Y$50*(VLOOKUP(K605, 'PlayerGrades+'!$X$3:$Y$23, 2, FALSE)))+('PlayerGrades+'!$Y$51*(VLOOKUP(M605, 'PlayerGrades+'!$X$3:$Y$23, 2, FALSE)))+('PlayerGrades+'!$Y$52*(VLOOKUP(O605, 'PlayerGrades+'!$X$3:$Y$23, 2, FALSE)))+('PlayerGrades+'!$Y$53*(VLOOKUP(Q605, 'PlayerGrades+'!$X$3:$Y$23, 2, FALSE)))+('PlayerGrades+'!$Y$54*(VLOOKUP(S605, 'PlayerGrades+'!$X$3:$Y$23, 2, FALSE)))+('PlayerGrades+'!$Y$55*(VLOOKUP(U605, 'PlayerGrades+'!$X$3:$Y$23, 2, FALSE)))</f>
        <v>#DIV/0!</v>
      </c>
      <c r="D605" s="1423" t="str">
        <f t="shared" si="12"/>
        <v>#DIV/0!</v>
      </c>
      <c r="E605" s="1423" t="str">
        <f>IF(D605&lt;'PlayerGrades+'!$AA$21,"F-",IF(D605&lt;'PlayerGrades+'!$AA$20,"F",IF(D605&lt;'PlayerGrades+'!$AA$19,"F+",IF(D605&lt;'PlayerGrades+'!$AA$18,"E-",IF(D605&lt;'PlayerGrades+'!$AA$17,"E",IF(D605&lt;'PlayerGrades+'!$AA$16,"E+",IF(D605&lt;'PlayerGrades+'!$AA$15,"D-",IF(D605&lt;'PlayerGrades+'!$AA$14,"D",IF(D605&lt;'PlayerGrades+'!$AA$13,"D+",IF(D605&lt;'PlayerGrades+'!$AA$12,"C-",IF(D605&lt;'PlayerGrades+'!$AA$11,"C",IF(D605&lt;'PlayerGrades+'!$AA$10,"C+",IF(D605&lt;'PlayerGrades+'!$AA$9,"B-",IF(D605&lt;'PlayerGrades+'!$AA$8,"B",IF(D605&lt;'PlayerGrades+'!$AA$7,"B+",IF(D605&lt;'PlayerGrades+'!$AA$6,"A-",IF(D605&lt;'PlayerGrades+'!$AA$5,"A",IF(D605&lt;'PlayerGrades+'!$AA$4,"A+",IF(D605&lt;'PlayerGrades+'!$AA$3,"S-",IF(D605&lt;'PlayerGrades+'!$AA$2,"S","S+"))))))))))))))))))))</f>
        <v>#DIV/0!</v>
      </c>
      <c r="F605" s="1423" t="str">
        <f t="shared" si="13"/>
        <v>#DIV/0!</v>
      </c>
      <c r="G605" s="1423" t="str">
        <f>IF(F605&lt;'PlayerGrades+'!$AB$21,"F-",IF(F605&lt;'PlayerGrades+'!$AB$20,"F",IF(F605&lt;'PlayerGrades+'!$AB$19,"F+",IF(F605&lt;'PlayerGrades+'!$AB$18,"E-",IF(F605&lt;'PlayerGrades+'!$AB$17,"E",IF(F605&lt;'PlayerGrades+'!$AB$16,"E+",IF(F605&lt;'PlayerGrades+'!$AB$15,"D-",IF(F605&lt;'PlayerGrades+'!$AB$14,"D",IF(F605&lt;'PlayerGrades+'!$AB$13,"D+",IF(F605&lt;'PlayerGrades+'!$AB$12,"C-",IF(F605&lt;'PlayerGrades+'!$AB$11,"C",IF(F605&lt;'PlayerGrades+'!$AB$10,"C+",IF(F605&lt;'PlayerGrades+'!$AB$9,"B-",IF(F605&lt;'PlayerGrades+'!$AB$8,"B",IF(F605&lt;'PlayerGrades+'!$AB$7,"B+",IF(F605&lt;'PlayerGrades+'!$AB$6,"A-",IF(F605&lt;'PlayerGrades+'!$AB$5,"A",IF(F605&lt;'PlayerGrades+'!$AB$4,"A+",IF(F605&lt;'PlayerGrades+'!$AB$3,"S-",IF(F605&lt;'PlayerGrades+'!$AB$2,"S","S+"))))))))))))))))))))</f>
        <v>#DIV/0!</v>
      </c>
      <c r="H605" s="1423" t="str">
        <f t="shared" si="14"/>
        <v>#DIV/0!</v>
      </c>
      <c r="I605" s="1423" t="str">
        <f>IF(H605&lt;'PlayerGrades+'!$AC$21,"F-",IF(H605&lt;'PlayerGrades+'!$AC$20,"F",IF(H605&lt;'PlayerGrades+'!$AC$19,"F+",IF(H605&lt;'PlayerGrades+'!$AC$18,"E-",IF(H605&lt;'PlayerGrades+'!$AC$17,"E",IF(H605&lt;'PlayerGrades+'!$AC$16,"E+",IF(H605&lt;'PlayerGrades+'!$AC$15,"D-",IF(H605&lt;'PlayerGrades+'!$AC$14,"D",IF(H605&lt;'PlayerGrades+'!$AC$13,"D+",IF(H605&lt;'PlayerGrades+'!$AC$12,"C-",IF(H605&lt;'PlayerGrades+'!$AC$11,"C",IF(H605&lt;'PlayerGrades+'!$AC$10,"C+",IF(H605&lt;'PlayerGrades+'!$AC$9,"B-",IF(H605&lt;'PlayerGrades+'!$AC$8,"B",IF(H605&lt;'PlayerGrades+'!$AC$7,"B+",IF(H605&lt;'PlayerGrades+'!$AC$6,"A-",IF(H605&lt;'PlayerGrades+'!$AC$5,"A",IF(H605&lt;'PlayerGrades+'!$AC$4,"A+",IF(H605&lt;'PlayerGrades+'!$AC$3,"S-",IF(H605&lt;'PlayerGrades+'!$AC$2,"S","S+"))))))))))))))))))))</f>
        <v>#DIV/0!</v>
      </c>
      <c r="J605" s="1423" t="str">
        <f t="shared" si="15"/>
        <v>#DIV/0!</v>
      </c>
      <c r="K605" s="1423" t="str">
        <f>IF(J605&lt;'PlayerGrades+'!$AD$21,"F-",IF(J605&lt;'PlayerGrades+'!$AD$20,"F",IF(J605&lt;'PlayerGrades+'!$AD$19,"F+",IF(J605&lt;'PlayerGrades+'!$AD$18,"E-",IF(J605&lt;'PlayerGrades+'!$AD$17,"E",IF(J605&lt;'PlayerGrades+'!$AD$16,"E+",IF(J605&lt;'PlayerGrades+'!$AD$15,"D-",IF(J605&lt;'PlayerGrades+'!$AD$14,"D",IF(J605&lt;'PlayerGrades+'!$AD$13,"D+",IF(J605&lt;'PlayerGrades+'!$AD$12,"C-",IF(J605&lt;'PlayerGrades+'!$AD$11,"C",IF(J605&lt;'PlayerGrades+'!$AD$10,"C+",IF(J605&lt;'PlayerGrades+'!$AD$9,"B-",IF(J605&lt;'PlayerGrades+'!$AD$8,"B",IF(J605&lt;'PlayerGrades+'!$AD$7,"B+",IF(J605&lt;'PlayerGrades+'!$AD$6,"A-",IF(J605&lt;'PlayerGrades+'!$AD$5,"A",IF(J605&lt;'PlayerGrades+'!$AD$4,"A+",IF(J605&lt;'PlayerGrades+'!$AD$3,"S-",IF(J605&lt;'PlayerGrades+'!$AD$2,"S","S+"))))))))))))))))))))</f>
        <v>#DIV/0!</v>
      </c>
      <c r="L605" s="1176" t="str">
        <f t="shared" si="16"/>
        <v>#DIV/0!</v>
      </c>
      <c r="M605" s="992" t="str">
        <f>IF(L605&lt;'PlayerGrades+'!$AE$21,"F-",IF(L605&lt;'PlayerGrades+'!$AE$20,"F",IF(L605&lt;'PlayerGrades+'!$AE$19,"F+",IF(L605&lt;'PlayerGrades+'!$AE$18,"E-",IF(L605&lt;'PlayerGrades+'!$AE$17,"E",IF(L605&lt;'PlayerGrades+'!$AE$16,"E+",IF(L605&lt;'PlayerGrades+'!$AE$15,"D-",IF(L605&lt;'PlayerGrades+'!$AE$14,"D",IF(L605&lt;'PlayerGrades+'!$AE$13,"D+",IF(L605&lt;'PlayerGrades+'!$AE$12,"C-",IF(L605&lt;'PlayerGrades+'!$AE$11,"C",IF(L605&lt;'PlayerGrades+'!$AE$10,"C+",IF(L605&lt;'PlayerGrades+'!$AE$9,"B-",IF(L605&lt;'PlayerGrades+'!$AE$8,"B",IF(L605&lt;'PlayerGrades+'!$AE$7,"B+",IF(L605&lt;'PlayerGrades+'!$AE$6,"A-",IF(L605&lt;'PlayerGrades+'!$AE$5,"A",IF(L605&lt;'PlayerGrades+'!$AE$4,"A+",IF(L605&lt;'PlayerGrades+'!$AE$3,"S-",IF(L605&lt;'PlayerGrades+'!$AE$2,"S","S+"))))))))))))))))))))</f>
        <v>#DIV/0!</v>
      </c>
      <c r="N605" s="1423" t="str">
        <f t="shared" si="17"/>
        <v>#DIV/0!</v>
      </c>
      <c r="O605" s="1423" t="str">
        <f>IF(N605&lt;'PlayerGrades+'!$AF$21,"F-",IF(N605&lt;'PlayerGrades+'!$AF$20,"F",IF(N605&lt;'PlayerGrades+'!$AF$19,"F+",IF(N605&lt;'PlayerGrades+'!$AF$18,"E-",IF(N605&lt;'PlayerGrades+'!$AF$17,"E",IF(N605&lt;'PlayerGrades+'!$AF$16,"E+",IF(N605&lt;'PlayerGrades+'!$AF$15,"D-",IF(N605&lt;'PlayerGrades+'!$AF$14,"D",IF(N605&lt;'PlayerGrades+'!$AF$13,"D+",IF(N605&lt;'PlayerGrades+'!$AF$12,"C-",IF(N605&lt;'PlayerGrades+'!$AF$11,"C",IF(N605&lt;'PlayerGrades+'!$AF$10,"C+",IF(N605&lt;'PlayerGrades+'!$AF$9,"B-",IF(N605&lt;'PlayerGrades+'!$AF$8,"B",IF(N605&lt;'PlayerGrades+'!$AF$7,"B+",IF(N605&lt;'PlayerGrades+'!$AF$6,"A-",IF(N605&lt;'PlayerGrades+'!$AF$5,"A",IF(N605&lt;'PlayerGrades+'!$AF$4,"A+",IF(N605&lt;'PlayerGrades+'!$AF$3,"S-",IF(N605&lt;'PlayerGrades+'!$AF$2,"S","S+"))))))))))))))))))))</f>
        <v>#DIV/0!</v>
      </c>
      <c r="P605" s="1423" t="str">
        <f t="shared" si="18"/>
        <v>#DIV/0!</v>
      </c>
      <c r="Q605" s="1423" t="str">
        <f>IF(P605&lt;'PlayerGrades+'!$AG$21,"F-",IF(P605&lt;'PlayerGrades+'!$AG$20,"F",IF(P605&lt;'PlayerGrades+'!$AG$19,"F+",IF(P605&lt;'PlayerGrades+'!$AG$18,"E-",IF(P605&lt;'PlayerGrades+'!$AG$17,"E",IF(P605&lt;'PlayerGrades+'!$AG$16,"E+",IF(P605&lt;'PlayerGrades+'!$AG$15,"D-",IF(P605&lt;'PlayerGrades+'!$AG$14,"D",IF(P605&lt;'PlayerGrades+'!$AG$13,"D+",IF(P605&lt;'PlayerGrades+'!$AG$12,"C-",IF(P605&lt;'PlayerGrades+'!$AG$11,"C",IF(P605&lt;'PlayerGrades+'!$AG$10,"C+",IF(P605&lt;'PlayerGrades+'!$AG$9,"B-",IF(P605&lt;'PlayerGrades+'!$AG$8,"B",IF(P605&lt;'PlayerGrades+'!$AG$7,"B+",IF(P605&lt;'PlayerGrades+'!$AG$6,"A-",IF(P605&lt;'PlayerGrades+'!$AG$5,"A",IF(P605&lt;'PlayerGrades+'!$AG$4,"A+",IF(P605&lt;'PlayerGrades+'!$AG$3,"S-",IF(P605&lt;'PlayerGrades+'!$AG$2,"S","S+"))))))))))))))))))))</f>
        <v>#DIV/0!</v>
      </c>
      <c r="R605" s="1423" t="str">
        <f t="shared" si="19"/>
        <v>#REF!</v>
      </c>
      <c r="S605" s="1423" t="str">
        <f>IF(R605&lt;'PlayerGrades+'!$AH$21,"F-",IF(R605&lt;'PlayerGrades+'!$AH$20,"F",IF(R605&lt;'PlayerGrades+'!$AH$19,"F+",IF(R605&lt;'PlayerGrades+'!$AH$18,"E-",IF(R605&lt;'PlayerGrades+'!$AH$17,"E",IF(R605&lt;'PlayerGrades+'!$AH$16,"E+",IF(R605&lt;'PlayerGrades+'!$AH$15,"D-",IF(R605&lt;'PlayerGrades+'!$AH$14,"D",IF(R605&lt;'PlayerGrades+'!$AH$13,"D+",IF(R605&lt;'PlayerGrades+'!$AH$12,"C-",IF(R605&lt;'PlayerGrades+'!$AH$11,"C",IF(R605&lt;'PlayerGrades+'!$AH$10,"C+",IF(R605&lt;'PlayerGrades+'!$AH$9,"B-",IF(R605&lt;'PlayerGrades+'!$AH$8,"B",IF(R605&lt;'PlayerGrades+'!$AH$7,"B+",IF(R605&lt;'PlayerGrades+'!$AH$6,"A-",IF(R605&lt;'PlayerGrades+'!$AH$5,"A",IF(R605&lt;'PlayerGrades+'!$AH$4,"A+",IF(R605&lt;'PlayerGrades+'!$AH$3,"S-",IF(R605&lt;'PlayerGrades+'!$AH$2,"S","S+"))))))))))))))))))))</f>
        <v>#REF!</v>
      </c>
      <c r="T605" s="1423" t="str">
        <f t="shared" si="20"/>
        <v>#REF!</v>
      </c>
      <c r="U605" s="1423" t="str">
        <f>IF(T605&lt;'PlayerGrades+'!$AI$21,"F-",IF(T605&lt;'PlayerGrades+'!$AI$20,"F",IF(T605&lt;'PlayerGrades+'!$AI$19,"F+",IF(T605&lt;'PlayerGrades+'!$AI$18,"E-",IF(T605&lt;'PlayerGrades+'!$AI$17,"E",IF(T605&lt;'PlayerGrades+'!$AI$16,"E+",IF(T605&lt;'PlayerGrades+'!$AI$15,"D-",IF(T605&lt;'PlayerGrades+'!$AI$14,"D",IF(T605&lt;'PlayerGrades+'!$AI$13,"D+",IF(T605&lt;'PlayerGrades+'!$AI$12,"C-",IF(T605&lt;'PlayerGrades+'!$AI$11,"C",IF(T605&lt;'PlayerGrades+'!$AI$10,"C+",IF(T605&lt;'PlayerGrades+'!$AI$9,"B-",IF(T605&lt;'PlayerGrades+'!$AI$8,"B",IF(T605&lt;'PlayerGrades+'!$AI$7,"B+",IF(T605&lt;'PlayerGrades+'!$AI$6,"A-",IF(T605&lt;'PlayerGrades+'!$AI$5,"A",IF(T605&lt;'PlayerGrades+'!$AI$4,"A+",IF(T605&lt;'PlayerGrades+'!$AI$3,"S-",IF(T605&lt;'PlayerGrades+'!$AI$2,"S","S+"))))))))))))))))))))</f>
        <v>#REF!</v>
      </c>
      <c r="AC605" s="1392"/>
    </row>
    <row r="606">
      <c r="A606" s="1391"/>
      <c r="B606" s="1421" t="str">
        <f>IF(C606&lt;'PlayerGrades+'!$Y$44,"F-",IF(C606&lt;'PlayerGrades+'!$Y$43,"F",IF(C606&lt;'PlayerGrades+'!$Y$42,"F+",IF(C606&lt;'PlayerGrades+'!$Y$41,"E-",IF(C606&lt;'PlayerGrades+'!$Y$40,"E",IF(C606&lt;'PlayerGrades+'!$Y$39,"E+",IF(C606&lt;'PlayerGrades+'!$Y$38,"D-",IF(C606&lt;'PlayerGrades+'!$Y$37,"D",IF(C606&lt;'PlayerGrades+'!$Y$36,"D+",IF(C606&lt;'PlayerGrades+'!$Y$35,"C-",IF(C606&lt;'PlayerGrades+'!$Y$34,"C",IF(C606&lt;'PlayerGrades+'!$Y$33,"C+",IF(C606&lt;'PlayerGrades+'!$Y$32,"B-",IF(C606&lt;'PlayerGrades+'!$Y$31,"B",IF(C606&lt;'PlayerGrades+'!$Y$30,"B+",IF(C606&lt;'PlayerGrades+'!$Y$29,"A-",IF(C606&lt;'PlayerGrades+'!$Y$28,"A",IF(C606&lt;'PlayerGrades+'!$Y$27,"A+",IF(C606&lt;'PlayerGrades+'!$Y$26,"S-",IF(C606&lt;'PlayerGrades+'!$Y$25,"S","S+"))))))))))))))))))))</f>
        <v>#DIV/0!</v>
      </c>
      <c r="C606" s="1422" t="str">
        <f>('PlayerGrades+'!$Y$47*(VLOOKUP(E606, 'PlayerGrades+'!$X$3:$Y$23, 2, FALSE)))+('PlayerGrades+'!$Y$48*(VLOOKUP(G606, 'PlayerGrades+'!$X$3:$Y$23, 2, FALSE)))+('PlayerGrades+'!$Y$49*(VLOOKUP(I606, 'PlayerGrades+'!$X$3:$Y$23, 2, FALSE)))+('PlayerGrades+'!$Y$50*(VLOOKUP(K606, 'PlayerGrades+'!$X$3:$Y$23, 2, FALSE)))+('PlayerGrades+'!$Y$51*(VLOOKUP(M606, 'PlayerGrades+'!$X$3:$Y$23, 2, FALSE)))+('PlayerGrades+'!$Y$52*(VLOOKUP(O606, 'PlayerGrades+'!$X$3:$Y$23, 2, FALSE)))+('PlayerGrades+'!$Y$53*(VLOOKUP(Q606, 'PlayerGrades+'!$X$3:$Y$23, 2, FALSE)))+('PlayerGrades+'!$Y$54*(VLOOKUP(S606, 'PlayerGrades+'!$X$3:$Y$23, 2, FALSE)))+('PlayerGrades+'!$Y$55*(VLOOKUP(U606, 'PlayerGrades+'!$X$3:$Y$23, 2, FALSE)))</f>
        <v>#DIV/0!</v>
      </c>
      <c r="D606" s="1423" t="str">
        <f t="shared" si="12"/>
        <v>#DIV/0!</v>
      </c>
      <c r="E606" s="1423" t="str">
        <f>IF(D606&lt;'PlayerGrades+'!$AA$21,"F-",IF(D606&lt;'PlayerGrades+'!$AA$20,"F",IF(D606&lt;'PlayerGrades+'!$AA$19,"F+",IF(D606&lt;'PlayerGrades+'!$AA$18,"E-",IF(D606&lt;'PlayerGrades+'!$AA$17,"E",IF(D606&lt;'PlayerGrades+'!$AA$16,"E+",IF(D606&lt;'PlayerGrades+'!$AA$15,"D-",IF(D606&lt;'PlayerGrades+'!$AA$14,"D",IF(D606&lt;'PlayerGrades+'!$AA$13,"D+",IF(D606&lt;'PlayerGrades+'!$AA$12,"C-",IF(D606&lt;'PlayerGrades+'!$AA$11,"C",IF(D606&lt;'PlayerGrades+'!$AA$10,"C+",IF(D606&lt;'PlayerGrades+'!$AA$9,"B-",IF(D606&lt;'PlayerGrades+'!$AA$8,"B",IF(D606&lt;'PlayerGrades+'!$AA$7,"B+",IF(D606&lt;'PlayerGrades+'!$AA$6,"A-",IF(D606&lt;'PlayerGrades+'!$AA$5,"A",IF(D606&lt;'PlayerGrades+'!$AA$4,"A+",IF(D606&lt;'PlayerGrades+'!$AA$3,"S-",IF(D606&lt;'PlayerGrades+'!$AA$2,"S","S+"))))))))))))))))))))</f>
        <v>#DIV/0!</v>
      </c>
      <c r="F606" s="1423" t="str">
        <f t="shared" si="13"/>
        <v>#DIV/0!</v>
      </c>
      <c r="G606" s="1423" t="str">
        <f>IF(F606&lt;'PlayerGrades+'!$AB$21,"F-",IF(F606&lt;'PlayerGrades+'!$AB$20,"F",IF(F606&lt;'PlayerGrades+'!$AB$19,"F+",IF(F606&lt;'PlayerGrades+'!$AB$18,"E-",IF(F606&lt;'PlayerGrades+'!$AB$17,"E",IF(F606&lt;'PlayerGrades+'!$AB$16,"E+",IF(F606&lt;'PlayerGrades+'!$AB$15,"D-",IF(F606&lt;'PlayerGrades+'!$AB$14,"D",IF(F606&lt;'PlayerGrades+'!$AB$13,"D+",IF(F606&lt;'PlayerGrades+'!$AB$12,"C-",IF(F606&lt;'PlayerGrades+'!$AB$11,"C",IF(F606&lt;'PlayerGrades+'!$AB$10,"C+",IF(F606&lt;'PlayerGrades+'!$AB$9,"B-",IF(F606&lt;'PlayerGrades+'!$AB$8,"B",IF(F606&lt;'PlayerGrades+'!$AB$7,"B+",IF(F606&lt;'PlayerGrades+'!$AB$6,"A-",IF(F606&lt;'PlayerGrades+'!$AB$5,"A",IF(F606&lt;'PlayerGrades+'!$AB$4,"A+",IF(F606&lt;'PlayerGrades+'!$AB$3,"S-",IF(F606&lt;'PlayerGrades+'!$AB$2,"S","S+"))))))))))))))))))))</f>
        <v>#DIV/0!</v>
      </c>
      <c r="H606" s="1423" t="str">
        <f t="shared" si="14"/>
        <v>#DIV/0!</v>
      </c>
      <c r="I606" s="1423" t="str">
        <f>IF(H606&lt;'PlayerGrades+'!$AC$21,"F-",IF(H606&lt;'PlayerGrades+'!$AC$20,"F",IF(H606&lt;'PlayerGrades+'!$AC$19,"F+",IF(H606&lt;'PlayerGrades+'!$AC$18,"E-",IF(H606&lt;'PlayerGrades+'!$AC$17,"E",IF(H606&lt;'PlayerGrades+'!$AC$16,"E+",IF(H606&lt;'PlayerGrades+'!$AC$15,"D-",IF(H606&lt;'PlayerGrades+'!$AC$14,"D",IF(H606&lt;'PlayerGrades+'!$AC$13,"D+",IF(H606&lt;'PlayerGrades+'!$AC$12,"C-",IF(H606&lt;'PlayerGrades+'!$AC$11,"C",IF(H606&lt;'PlayerGrades+'!$AC$10,"C+",IF(H606&lt;'PlayerGrades+'!$AC$9,"B-",IF(H606&lt;'PlayerGrades+'!$AC$8,"B",IF(H606&lt;'PlayerGrades+'!$AC$7,"B+",IF(H606&lt;'PlayerGrades+'!$AC$6,"A-",IF(H606&lt;'PlayerGrades+'!$AC$5,"A",IF(H606&lt;'PlayerGrades+'!$AC$4,"A+",IF(H606&lt;'PlayerGrades+'!$AC$3,"S-",IF(H606&lt;'PlayerGrades+'!$AC$2,"S","S+"))))))))))))))))))))</f>
        <v>#DIV/0!</v>
      </c>
      <c r="J606" s="1423" t="str">
        <f t="shared" si="15"/>
        <v>#DIV/0!</v>
      </c>
      <c r="K606" s="1423" t="str">
        <f>IF(J606&lt;'PlayerGrades+'!$AD$21,"F-",IF(J606&lt;'PlayerGrades+'!$AD$20,"F",IF(J606&lt;'PlayerGrades+'!$AD$19,"F+",IF(J606&lt;'PlayerGrades+'!$AD$18,"E-",IF(J606&lt;'PlayerGrades+'!$AD$17,"E",IF(J606&lt;'PlayerGrades+'!$AD$16,"E+",IF(J606&lt;'PlayerGrades+'!$AD$15,"D-",IF(J606&lt;'PlayerGrades+'!$AD$14,"D",IF(J606&lt;'PlayerGrades+'!$AD$13,"D+",IF(J606&lt;'PlayerGrades+'!$AD$12,"C-",IF(J606&lt;'PlayerGrades+'!$AD$11,"C",IF(J606&lt;'PlayerGrades+'!$AD$10,"C+",IF(J606&lt;'PlayerGrades+'!$AD$9,"B-",IF(J606&lt;'PlayerGrades+'!$AD$8,"B",IF(J606&lt;'PlayerGrades+'!$AD$7,"B+",IF(J606&lt;'PlayerGrades+'!$AD$6,"A-",IF(J606&lt;'PlayerGrades+'!$AD$5,"A",IF(J606&lt;'PlayerGrades+'!$AD$4,"A+",IF(J606&lt;'PlayerGrades+'!$AD$3,"S-",IF(J606&lt;'PlayerGrades+'!$AD$2,"S","S+"))))))))))))))))))))</f>
        <v>#DIV/0!</v>
      </c>
      <c r="L606" s="1176" t="str">
        <f t="shared" si="16"/>
        <v>#DIV/0!</v>
      </c>
      <c r="M606" s="992" t="str">
        <f>IF(L606&lt;'PlayerGrades+'!$AE$21,"F-",IF(L606&lt;'PlayerGrades+'!$AE$20,"F",IF(L606&lt;'PlayerGrades+'!$AE$19,"F+",IF(L606&lt;'PlayerGrades+'!$AE$18,"E-",IF(L606&lt;'PlayerGrades+'!$AE$17,"E",IF(L606&lt;'PlayerGrades+'!$AE$16,"E+",IF(L606&lt;'PlayerGrades+'!$AE$15,"D-",IF(L606&lt;'PlayerGrades+'!$AE$14,"D",IF(L606&lt;'PlayerGrades+'!$AE$13,"D+",IF(L606&lt;'PlayerGrades+'!$AE$12,"C-",IF(L606&lt;'PlayerGrades+'!$AE$11,"C",IF(L606&lt;'PlayerGrades+'!$AE$10,"C+",IF(L606&lt;'PlayerGrades+'!$AE$9,"B-",IF(L606&lt;'PlayerGrades+'!$AE$8,"B",IF(L606&lt;'PlayerGrades+'!$AE$7,"B+",IF(L606&lt;'PlayerGrades+'!$AE$6,"A-",IF(L606&lt;'PlayerGrades+'!$AE$5,"A",IF(L606&lt;'PlayerGrades+'!$AE$4,"A+",IF(L606&lt;'PlayerGrades+'!$AE$3,"S-",IF(L606&lt;'PlayerGrades+'!$AE$2,"S","S+"))))))))))))))))))))</f>
        <v>#DIV/0!</v>
      </c>
      <c r="N606" s="1423" t="str">
        <f t="shared" si="17"/>
        <v>#DIV/0!</v>
      </c>
      <c r="O606" s="1423" t="str">
        <f>IF(N606&lt;'PlayerGrades+'!$AF$21,"F-",IF(N606&lt;'PlayerGrades+'!$AF$20,"F",IF(N606&lt;'PlayerGrades+'!$AF$19,"F+",IF(N606&lt;'PlayerGrades+'!$AF$18,"E-",IF(N606&lt;'PlayerGrades+'!$AF$17,"E",IF(N606&lt;'PlayerGrades+'!$AF$16,"E+",IF(N606&lt;'PlayerGrades+'!$AF$15,"D-",IF(N606&lt;'PlayerGrades+'!$AF$14,"D",IF(N606&lt;'PlayerGrades+'!$AF$13,"D+",IF(N606&lt;'PlayerGrades+'!$AF$12,"C-",IF(N606&lt;'PlayerGrades+'!$AF$11,"C",IF(N606&lt;'PlayerGrades+'!$AF$10,"C+",IF(N606&lt;'PlayerGrades+'!$AF$9,"B-",IF(N606&lt;'PlayerGrades+'!$AF$8,"B",IF(N606&lt;'PlayerGrades+'!$AF$7,"B+",IF(N606&lt;'PlayerGrades+'!$AF$6,"A-",IF(N606&lt;'PlayerGrades+'!$AF$5,"A",IF(N606&lt;'PlayerGrades+'!$AF$4,"A+",IF(N606&lt;'PlayerGrades+'!$AF$3,"S-",IF(N606&lt;'PlayerGrades+'!$AF$2,"S","S+"))))))))))))))))))))</f>
        <v>#DIV/0!</v>
      </c>
      <c r="P606" s="1423" t="str">
        <f t="shared" si="18"/>
        <v>#DIV/0!</v>
      </c>
      <c r="Q606" s="1423" t="str">
        <f>IF(P606&lt;'PlayerGrades+'!$AG$21,"F-",IF(P606&lt;'PlayerGrades+'!$AG$20,"F",IF(P606&lt;'PlayerGrades+'!$AG$19,"F+",IF(P606&lt;'PlayerGrades+'!$AG$18,"E-",IF(P606&lt;'PlayerGrades+'!$AG$17,"E",IF(P606&lt;'PlayerGrades+'!$AG$16,"E+",IF(P606&lt;'PlayerGrades+'!$AG$15,"D-",IF(P606&lt;'PlayerGrades+'!$AG$14,"D",IF(P606&lt;'PlayerGrades+'!$AG$13,"D+",IF(P606&lt;'PlayerGrades+'!$AG$12,"C-",IF(P606&lt;'PlayerGrades+'!$AG$11,"C",IF(P606&lt;'PlayerGrades+'!$AG$10,"C+",IF(P606&lt;'PlayerGrades+'!$AG$9,"B-",IF(P606&lt;'PlayerGrades+'!$AG$8,"B",IF(P606&lt;'PlayerGrades+'!$AG$7,"B+",IF(P606&lt;'PlayerGrades+'!$AG$6,"A-",IF(P606&lt;'PlayerGrades+'!$AG$5,"A",IF(P606&lt;'PlayerGrades+'!$AG$4,"A+",IF(P606&lt;'PlayerGrades+'!$AG$3,"S-",IF(P606&lt;'PlayerGrades+'!$AG$2,"S","S+"))))))))))))))))))))</f>
        <v>#DIV/0!</v>
      </c>
      <c r="R606" s="1423" t="str">
        <f t="shared" si="19"/>
        <v>#REF!</v>
      </c>
      <c r="S606" s="1423" t="str">
        <f>IF(R606&lt;'PlayerGrades+'!$AH$21,"F-",IF(R606&lt;'PlayerGrades+'!$AH$20,"F",IF(R606&lt;'PlayerGrades+'!$AH$19,"F+",IF(R606&lt;'PlayerGrades+'!$AH$18,"E-",IF(R606&lt;'PlayerGrades+'!$AH$17,"E",IF(R606&lt;'PlayerGrades+'!$AH$16,"E+",IF(R606&lt;'PlayerGrades+'!$AH$15,"D-",IF(R606&lt;'PlayerGrades+'!$AH$14,"D",IF(R606&lt;'PlayerGrades+'!$AH$13,"D+",IF(R606&lt;'PlayerGrades+'!$AH$12,"C-",IF(R606&lt;'PlayerGrades+'!$AH$11,"C",IF(R606&lt;'PlayerGrades+'!$AH$10,"C+",IF(R606&lt;'PlayerGrades+'!$AH$9,"B-",IF(R606&lt;'PlayerGrades+'!$AH$8,"B",IF(R606&lt;'PlayerGrades+'!$AH$7,"B+",IF(R606&lt;'PlayerGrades+'!$AH$6,"A-",IF(R606&lt;'PlayerGrades+'!$AH$5,"A",IF(R606&lt;'PlayerGrades+'!$AH$4,"A+",IF(R606&lt;'PlayerGrades+'!$AH$3,"S-",IF(R606&lt;'PlayerGrades+'!$AH$2,"S","S+"))))))))))))))))))))</f>
        <v>#REF!</v>
      </c>
      <c r="T606" s="1423" t="str">
        <f t="shared" si="20"/>
        <v>#REF!</v>
      </c>
      <c r="U606" s="1423" t="str">
        <f>IF(T606&lt;'PlayerGrades+'!$AI$21,"F-",IF(T606&lt;'PlayerGrades+'!$AI$20,"F",IF(T606&lt;'PlayerGrades+'!$AI$19,"F+",IF(T606&lt;'PlayerGrades+'!$AI$18,"E-",IF(T606&lt;'PlayerGrades+'!$AI$17,"E",IF(T606&lt;'PlayerGrades+'!$AI$16,"E+",IF(T606&lt;'PlayerGrades+'!$AI$15,"D-",IF(T606&lt;'PlayerGrades+'!$AI$14,"D",IF(T606&lt;'PlayerGrades+'!$AI$13,"D+",IF(T606&lt;'PlayerGrades+'!$AI$12,"C-",IF(T606&lt;'PlayerGrades+'!$AI$11,"C",IF(T606&lt;'PlayerGrades+'!$AI$10,"C+",IF(T606&lt;'PlayerGrades+'!$AI$9,"B-",IF(T606&lt;'PlayerGrades+'!$AI$8,"B",IF(T606&lt;'PlayerGrades+'!$AI$7,"B+",IF(T606&lt;'PlayerGrades+'!$AI$6,"A-",IF(T606&lt;'PlayerGrades+'!$AI$5,"A",IF(T606&lt;'PlayerGrades+'!$AI$4,"A+",IF(T606&lt;'PlayerGrades+'!$AI$3,"S-",IF(T606&lt;'PlayerGrades+'!$AI$2,"S","S+"))))))))))))))))))))</f>
        <v>#REF!</v>
      </c>
      <c r="AC606" s="1392"/>
    </row>
    <row r="607">
      <c r="A607" s="1391"/>
      <c r="B607" s="1421" t="str">
        <f>IF(C607&lt;'PlayerGrades+'!$Y$44,"F-",IF(C607&lt;'PlayerGrades+'!$Y$43,"F",IF(C607&lt;'PlayerGrades+'!$Y$42,"F+",IF(C607&lt;'PlayerGrades+'!$Y$41,"E-",IF(C607&lt;'PlayerGrades+'!$Y$40,"E",IF(C607&lt;'PlayerGrades+'!$Y$39,"E+",IF(C607&lt;'PlayerGrades+'!$Y$38,"D-",IF(C607&lt;'PlayerGrades+'!$Y$37,"D",IF(C607&lt;'PlayerGrades+'!$Y$36,"D+",IF(C607&lt;'PlayerGrades+'!$Y$35,"C-",IF(C607&lt;'PlayerGrades+'!$Y$34,"C",IF(C607&lt;'PlayerGrades+'!$Y$33,"C+",IF(C607&lt;'PlayerGrades+'!$Y$32,"B-",IF(C607&lt;'PlayerGrades+'!$Y$31,"B",IF(C607&lt;'PlayerGrades+'!$Y$30,"B+",IF(C607&lt;'PlayerGrades+'!$Y$29,"A-",IF(C607&lt;'PlayerGrades+'!$Y$28,"A",IF(C607&lt;'PlayerGrades+'!$Y$27,"A+",IF(C607&lt;'PlayerGrades+'!$Y$26,"S-",IF(C607&lt;'PlayerGrades+'!$Y$25,"S","S+"))))))))))))))))))))</f>
        <v>#DIV/0!</v>
      </c>
      <c r="C607" s="1422" t="str">
        <f>('PlayerGrades+'!$Y$47*(VLOOKUP(E607, 'PlayerGrades+'!$X$3:$Y$23, 2, FALSE)))+('PlayerGrades+'!$Y$48*(VLOOKUP(G607, 'PlayerGrades+'!$X$3:$Y$23, 2, FALSE)))+('PlayerGrades+'!$Y$49*(VLOOKUP(I607, 'PlayerGrades+'!$X$3:$Y$23, 2, FALSE)))+('PlayerGrades+'!$Y$50*(VLOOKUP(K607, 'PlayerGrades+'!$X$3:$Y$23, 2, FALSE)))+('PlayerGrades+'!$Y$51*(VLOOKUP(M607, 'PlayerGrades+'!$X$3:$Y$23, 2, FALSE)))+('PlayerGrades+'!$Y$52*(VLOOKUP(O607, 'PlayerGrades+'!$X$3:$Y$23, 2, FALSE)))+('PlayerGrades+'!$Y$53*(VLOOKUP(Q607, 'PlayerGrades+'!$X$3:$Y$23, 2, FALSE)))+('PlayerGrades+'!$Y$54*(VLOOKUP(S607, 'PlayerGrades+'!$X$3:$Y$23, 2, FALSE)))+('PlayerGrades+'!$Y$55*(VLOOKUP(U607, 'PlayerGrades+'!$X$3:$Y$23, 2, FALSE)))</f>
        <v>#DIV/0!</v>
      </c>
      <c r="D607" s="1423" t="str">
        <f t="shared" si="12"/>
        <v>#DIV/0!</v>
      </c>
      <c r="E607" s="1423" t="str">
        <f>IF(D607&lt;'PlayerGrades+'!$AA$21,"F-",IF(D607&lt;'PlayerGrades+'!$AA$20,"F",IF(D607&lt;'PlayerGrades+'!$AA$19,"F+",IF(D607&lt;'PlayerGrades+'!$AA$18,"E-",IF(D607&lt;'PlayerGrades+'!$AA$17,"E",IF(D607&lt;'PlayerGrades+'!$AA$16,"E+",IF(D607&lt;'PlayerGrades+'!$AA$15,"D-",IF(D607&lt;'PlayerGrades+'!$AA$14,"D",IF(D607&lt;'PlayerGrades+'!$AA$13,"D+",IF(D607&lt;'PlayerGrades+'!$AA$12,"C-",IF(D607&lt;'PlayerGrades+'!$AA$11,"C",IF(D607&lt;'PlayerGrades+'!$AA$10,"C+",IF(D607&lt;'PlayerGrades+'!$AA$9,"B-",IF(D607&lt;'PlayerGrades+'!$AA$8,"B",IF(D607&lt;'PlayerGrades+'!$AA$7,"B+",IF(D607&lt;'PlayerGrades+'!$AA$6,"A-",IF(D607&lt;'PlayerGrades+'!$AA$5,"A",IF(D607&lt;'PlayerGrades+'!$AA$4,"A+",IF(D607&lt;'PlayerGrades+'!$AA$3,"S-",IF(D607&lt;'PlayerGrades+'!$AA$2,"S","S+"))))))))))))))))))))</f>
        <v>#DIV/0!</v>
      </c>
      <c r="F607" s="1423" t="str">
        <f t="shared" si="13"/>
        <v>#DIV/0!</v>
      </c>
      <c r="G607" s="1423" t="str">
        <f>IF(F607&lt;'PlayerGrades+'!$AB$21,"F-",IF(F607&lt;'PlayerGrades+'!$AB$20,"F",IF(F607&lt;'PlayerGrades+'!$AB$19,"F+",IF(F607&lt;'PlayerGrades+'!$AB$18,"E-",IF(F607&lt;'PlayerGrades+'!$AB$17,"E",IF(F607&lt;'PlayerGrades+'!$AB$16,"E+",IF(F607&lt;'PlayerGrades+'!$AB$15,"D-",IF(F607&lt;'PlayerGrades+'!$AB$14,"D",IF(F607&lt;'PlayerGrades+'!$AB$13,"D+",IF(F607&lt;'PlayerGrades+'!$AB$12,"C-",IF(F607&lt;'PlayerGrades+'!$AB$11,"C",IF(F607&lt;'PlayerGrades+'!$AB$10,"C+",IF(F607&lt;'PlayerGrades+'!$AB$9,"B-",IF(F607&lt;'PlayerGrades+'!$AB$8,"B",IF(F607&lt;'PlayerGrades+'!$AB$7,"B+",IF(F607&lt;'PlayerGrades+'!$AB$6,"A-",IF(F607&lt;'PlayerGrades+'!$AB$5,"A",IF(F607&lt;'PlayerGrades+'!$AB$4,"A+",IF(F607&lt;'PlayerGrades+'!$AB$3,"S-",IF(F607&lt;'PlayerGrades+'!$AB$2,"S","S+"))))))))))))))))))))</f>
        <v>#DIV/0!</v>
      </c>
      <c r="H607" s="1423" t="str">
        <f t="shared" si="14"/>
        <v>#DIV/0!</v>
      </c>
      <c r="I607" s="1423" t="str">
        <f>IF(H607&lt;'PlayerGrades+'!$AC$21,"F-",IF(H607&lt;'PlayerGrades+'!$AC$20,"F",IF(H607&lt;'PlayerGrades+'!$AC$19,"F+",IF(H607&lt;'PlayerGrades+'!$AC$18,"E-",IF(H607&lt;'PlayerGrades+'!$AC$17,"E",IF(H607&lt;'PlayerGrades+'!$AC$16,"E+",IF(H607&lt;'PlayerGrades+'!$AC$15,"D-",IF(H607&lt;'PlayerGrades+'!$AC$14,"D",IF(H607&lt;'PlayerGrades+'!$AC$13,"D+",IF(H607&lt;'PlayerGrades+'!$AC$12,"C-",IF(H607&lt;'PlayerGrades+'!$AC$11,"C",IF(H607&lt;'PlayerGrades+'!$AC$10,"C+",IF(H607&lt;'PlayerGrades+'!$AC$9,"B-",IF(H607&lt;'PlayerGrades+'!$AC$8,"B",IF(H607&lt;'PlayerGrades+'!$AC$7,"B+",IF(H607&lt;'PlayerGrades+'!$AC$6,"A-",IF(H607&lt;'PlayerGrades+'!$AC$5,"A",IF(H607&lt;'PlayerGrades+'!$AC$4,"A+",IF(H607&lt;'PlayerGrades+'!$AC$3,"S-",IF(H607&lt;'PlayerGrades+'!$AC$2,"S","S+"))))))))))))))))))))</f>
        <v>#DIV/0!</v>
      </c>
      <c r="J607" s="1423" t="str">
        <f t="shared" si="15"/>
        <v>#DIV/0!</v>
      </c>
      <c r="K607" s="1423" t="str">
        <f>IF(J607&lt;'PlayerGrades+'!$AD$21,"F-",IF(J607&lt;'PlayerGrades+'!$AD$20,"F",IF(J607&lt;'PlayerGrades+'!$AD$19,"F+",IF(J607&lt;'PlayerGrades+'!$AD$18,"E-",IF(J607&lt;'PlayerGrades+'!$AD$17,"E",IF(J607&lt;'PlayerGrades+'!$AD$16,"E+",IF(J607&lt;'PlayerGrades+'!$AD$15,"D-",IF(J607&lt;'PlayerGrades+'!$AD$14,"D",IF(J607&lt;'PlayerGrades+'!$AD$13,"D+",IF(J607&lt;'PlayerGrades+'!$AD$12,"C-",IF(J607&lt;'PlayerGrades+'!$AD$11,"C",IF(J607&lt;'PlayerGrades+'!$AD$10,"C+",IF(J607&lt;'PlayerGrades+'!$AD$9,"B-",IF(J607&lt;'PlayerGrades+'!$AD$8,"B",IF(J607&lt;'PlayerGrades+'!$AD$7,"B+",IF(J607&lt;'PlayerGrades+'!$AD$6,"A-",IF(J607&lt;'PlayerGrades+'!$AD$5,"A",IF(J607&lt;'PlayerGrades+'!$AD$4,"A+",IF(J607&lt;'PlayerGrades+'!$AD$3,"S-",IF(J607&lt;'PlayerGrades+'!$AD$2,"S","S+"))))))))))))))))))))</f>
        <v>#DIV/0!</v>
      </c>
      <c r="L607" s="1176" t="str">
        <f t="shared" si="16"/>
        <v>#DIV/0!</v>
      </c>
      <c r="M607" s="992" t="str">
        <f>IF(L607&lt;'PlayerGrades+'!$AE$21,"F-",IF(L607&lt;'PlayerGrades+'!$AE$20,"F",IF(L607&lt;'PlayerGrades+'!$AE$19,"F+",IF(L607&lt;'PlayerGrades+'!$AE$18,"E-",IF(L607&lt;'PlayerGrades+'!$AE$17,"E",IF(L607&lt;'PlayerGrades+'!$AE$16,"E+",IF(L607&lt;'PlayerGrades+'!$AE$15,"D-",IF(L607&lt;'PlayerGrades+'!$AE$14,"D",IF(L607&lt;'PlayerGrades+'!$AE$13,"D+",IF(L607&lt;'PlayerGrades+'!$AE$12,"C-",IF(L607&lt;'PlayerGrades+'!$AE$11,"C",IF(L607&lt;'PlayerGrades+'!$AE$10,"C+",IF(L607&lt;'PlayerGrades+'!$AE$9,"B-",IF(L607&lt;'PlayerGrades+'!$AE$8,"B",IF(L607&lt;'PlayerGrades+'!$AE$7,"B+",IF(L607&lt;'PlayerGrades+'!$AE$6,"A-",IF(L607&lt;'PlayerGrades+'!$AE$5,"A",IF(L607&lt;'PlayerGrades+'!$AE$4,"A+",IF(L607&lt;'PlayerGrades+'!$AE$3,"S-",IF(L607&lt;'PlayerGrades+'!$AE$2,"S","S+"))))))))))))))))))))</f>
        <v>#DIV/0!</v>
      </c>
      <c r="N607" s="1423" t="str">
        <f t="shared" si="17"/>
        <v>#DIV/0!</v>
      </c>
      <c r="O607" s="1423" t="str">
        <f>IF(N607&lt;'PlayerGrades+'!$AF$21,"F-",IF(N607&lt;'PlayerGrades+'!$AF$20,"F",IF(N607&lt;'PlayerGrades+'!$AF$19,"F+",IF(N607&lt;'PlayerGrades+'!$AF$18,"E-",IF(N607&lt;'PlayerGrades+'!$AF$17,"E",IF(N607&lt;'PlayerGrades+'!$AF$16,"E+",IF(N607&lt;'PlayerGrades+'!$AF$15,"D-",IF(N607&lt;'PlayerGrades+'!$AF$14,"D",IF(N607&lt;'PlayerGrades+'!$AF$13,"D+",IF(N607&lt;'PlayerGrades+'!$AF$12,"C-",IF(N607&lt;'PlayerGrades+'!$AF$11,"C",IF(N607&lt;'PlayerGrades+'!$AF$10,"C+",IF(N607&lt;'PlayerGrades+'!$AF$9,"B-",IF(N607&lt;'PlayerGrades+'!$AF$8,"B",IF(N607&lt;'PlayerGrades+'!$AF$7,"B+",IF(N607&lt;'PlayerGrades+'!$AF$6,"A-",IF(N607&lt;'PlayerGrades+'!$AF$5,"A",IF(N607&lt;'PlayerGrades+'!$AF$4,"A+",IF(N607&lt;'PlayerGrades+'!$AF$3,"S-",IF(N607&lt;'PlayerGrades+'!$AF$2,"S","S+"))))))))))))))))))))</f>
        <v>#DIV/0!</v>
      </c>
      <c r="P607" s="1423" t="str">
        <f t="shared" si="18"/>
        <v>#DIV/0!</v>
      </c>
      <c r="Q607" s="1423" t="str">
        <f>IF(P607&lt;'PlayerGrades+'!$AG$21,"F-",IF(P607&lt;'PlayerGrades+'!$AG$20,"F",IF(P607&lt;'PlayerGrades+'!$AG$19,"F+",IF(P607&lt;'PlayerGrades+'!$AG$18,"E-",IF(P607&lt;'PlayerGrades+'!$AG$17,"E",IF(P607&lt;'PlayerGrades+'!$AG$16,"E+",IF(P607&lt;'PlayerGrades+'!$AG$15,"D-",IF(P607&lt;'PlayerGrades+'!$AG$14,"D",IF(P607&lt;'PlayerGrades+'!$AG$13,"D+",IF(P607&lt;'PlayerGrades+'!$AG$12,"C-",IF(P607&lt;'PlayerGrades+'!$AG$11,"C",IF(P607&lt;'PlayerGrades+'!$AG$10,"C+",IF(P607&lt;'PlayerGrades+'!$AG$9,"B-",IF(P607&lt;'PlayerGrades+'!$AG$8,"B",IF(P607&lt;'PlayerGrades+'!$AG$7,"B+",IF(P607&lt;'PlayerGrades+'!$AG$6,"A-",IF(P607&lt;'PlayerGrades+'!$AG$5,"A",IF(P607&lt;'PlayerGrades+'!$AG$4,"A+",IF(P607&lt;'PlayerGrades+'!$AG$3,"S-",IF(P607&lt;'PlayerGrades+'!$AG$2,"S","S+"))))))))))))))))))))</f>
        <v>#DIV/0!</v>
      </c>
      <c r="R607" s="1423" t="str">
        <f t="shared" si="19"/>
        <v>#REF!</v>
      </c>
      <c r="S607" s="1423" t="str">
        <f>IF(R607&lt;'PlayerGrades+'!$AH$21,"F-",IF(R607&lt;'PlayerGrades+'!$AH$20,"F",IF(R607&lt;'PlayerGrades+'!$AH$19,"F+",IF(R607&lt;'PlayerGrades+'!$AH$18,"E-",IF(R607&lt;'PlayerGrades+'!$AH$17,"E",IF(R607&lt;'PlayerGrades+'!$AH$16,"E+",IF(R607&lt;'PlayerGrades+'!$AH$15,"D-",IF(R607&lt;'PlayerGrades+'!$AH$14,"D",IF(R607&lt;'PlayerGrades+'!$AH$13,"D+",IF(R607&lt;'PlayerGrades+'!$AH$12,"C-",IF(R607&lt;'PlayerGrades+'!$AH$11,"C",IF(R607&lt;'PlayerGrades+'!$AH$10,"C+",IF(R607&lt;'PlayerGrades+'!$AH$9,"B-",IF(R607&lt;'PlayerGrades+'!$AH$8,"B",IF(R607&lt;'PlayerGrades+'!$AH$7,"B+",IF(R607&lt;'PlayerGrades+'!$AH$6,"A-",IF(R607&lt;'PlayerGrades+'!$AH$5,"A",IF(R607&lt;'PlayerGrades+'!$AH$4,"A+",IF(R607&lt;'PlayerGrades+'!$AH$3,"S-",IF(R607&lt;'PlayerGrades+'!$AH$2,"S","S+"))))))))))))))))))))</f>
        <v>#REF!</v>
      </c>
      <c r="T607" s="1423" t="str">
        <f t="shared" si="20"/>
        <v>#REF!</v>
      </c>
      <c r="U607" s="1423" t="str">
        <f>IF(T607&lt;'PlayerGrades+'!$AI$21,"F-",IF(T607&lt;'PlayerGrades+'!$AI$20,"F",IF(T607&lt;'PlayerGrades+'!$AI$19,"F+",IF(T607&lt;'PlayerGrades+'!$AI$18,"E-",IF(T607&lt;'PlayerGrades+'!$AI$17,"E",IF(T607&lt;'PlayerGrades+'!$AI$16,"E+",IF(T607&lt;'PlayerGrades+'!$AI$15,"D-",IF(T607&lt;'PlayerGrades+'!$AI$14,"D",IF(T607&lt;'PlayerGrades+'!$AI$13,"D+",IF(T607&lt;'PlayerGrades+'!$AI$12,"C-",IF(T607&lt;'PlayerGrades+'!$AI$11,"C",IF(T607&lt;'PlayerGrades+'!$AI$10,"C+",IF(T607&lt;'PlayerGrades+'!$AI$9,"B-",IF(T607&lt;'PlayerGrades+'!$AI$8,"B",IF(T607&lt;'PlayerGrades+'!$AI$7,"B+",IF(T607&lt;'PlayerGrades+'!$AI$6,"A-",IF(T607&lt;'PlayerGrades+'!$AI$5,"A",IF(T607&lt;'PlayerGrades+'!$AI$4,"A+",IF(T607&lt;'PlayerGrades+'!$AI$3,"S-",IF(T607&lt;'PlayerGrades+'!$AI$2,"S","S+"))))))))))))))))))))</f>
        <v>#REF!</v>
      </c>
      <c r="AC607" s="1392"/>
    </row>
    <row r="608">
      <c r="A608" s="1391"/>
      <c r="B608" s="1421" t="str">
        <f>IF(C608&lt;'PlayerGrades+'!$Y$44,"F-",IF(C608&lt;'PlayerGrades+'!$Y$43,"F",IF(C608&lt;'PlayerGrades+'!$Y$42,"F+",IF(C608&lt;'PlayerGrades+'!$Y$41,"E-",IF(C608&lt;'PlayerGrades+'!$Y$40,"E",IF(C608&lt;'PlayerGrades+'!$Y$39,"E+",IF(C608&lt;'PlayerGrades+'!$Y$38,"D-",IF(C608&lt;'PlayerGrades+'!$Y$37,"D",IF(C608&lt;'PlayerGrades+'!$Y$36,"D+",IF(C608&lt;'PlayerGrades+'!$Y$35,"C-",IF(C608&lt;'PlayerGrades+'!$Y$34,"C",IF(C608&lt;'PlayerGrades+'!$Y$33,"C+",IF(C608&lt;'PlayerGrades+'!$Y$32,"B-",IF(C608&lt;'PlayerGrades+'!$Y$31,"B",IF(C608&lt;'PlayerGrades+'!$Y$30,"B+",IF(C608&lt;'PlayerGrades+'!$Y$29,"A-",IF(C608&lt;'PlayerGrades+'!$Y$28,"A",IF(C608&lt;'PlayerGrades+'!$Y$27,"A+",IF(C608&lt;'PlayerGrades+'!$Y$26,"S-",IF(C608&lt;'PlayerGrades+'!$Y$25,"S","S+"))))))))))))))))))))</f>
        <v>#DIV/0!</v>
      </c>
      <c r="C608" s="1422" t="str">
        <f>('PlayerGrades+'!$Y$47*(VLOOKUP(E608, 'PlayerGrades+'!$X$3:$Y$23, 2, FALSE)))+('PlayerGrades+'!$Y$48*(VLOOKUP(G608, 'PlayerGrades+'!$X$3:$Y$23, 2, FALSE)))+('PlayerGrades+'!$Y$49*(VLOOKUP(I608, 'PlayerGrades+'!$X$3:$Y$23, 2, FALSE)))+('PlayerGrades+'!$Y$50*(VLOOKUP(K608, 'PlayerGrades+'!$X$3:$Y$23, 2, FALSE)))+('PlayerGrades+'!$Y$51*(VLOOKUP(M608, 'PlayerGrades+'!$X$3:$Y$23, 2, FALSE)))+('PlayerGrades+'!$Y$52*(VLOOKUP(O608, 'PlayerGrades+'!$X$3:$Y$23, 2, FALSE)))+('PlayerGrades+'!$Y$53*(VLOOKUP(Q608, 'PlayerGrades+'!$X$3:$Y$23, 2, FALSE)))+('PlayerGrades+'!$Y$54*(VLOOKUP(S608, 'PlayerGrades+'!$X$3:$Y$23, 2, FALSE)))+('PlayerGrades+'!$Y$55*(VLOOKUP(U608, 'PlayerGrades+'!$X$3:$Y$23, 2, FALSE)))</f>
        <v>#DIV/0!</v>
      </c>
      <c r="D608" s="1423" t="str">
        <f t="shared" si="12"/>
        <v>#DIV/0!</v>
      </c>
      <c r="E608" s="1423" t="str">
        <f>IF(D608&lt;'PlayerGrades+'!$AA$21,"F-",IF(D608&lt;'PlayerGrades+'!$AA$20,"F",IF(D608&lt;'PlayerGrades+'!$AA$19,"F+",IF(D608&lt;'PlayerGrades+'!$AA$18,"E-",IF(D608&lt;'PlayerGrades+'!$AA$17,"E",IF(D608&lt;'PlayerGrades+'!$AA$16,"E+",IF(D608&lt;'PlayerGrades+'!$AA$15,"D-",IF(D608&lt;'PlayerGrades+'!$AA$14,"D",IF(D608&lt;'PlayerGrades+'!$AA$13,"D+",IF(D608&lt;'PlayerGrades+'!$AA$12,"C-",IF(D608&lt;'PlayerGrades+'!$AA$11,"C",IF(D608&lt;'PlayerGrades+'!$AA$10,"C+",IF(D608&lt;'PlayerGrades+'!$AA$9,"B-",IF(D608&lt;'PlayerGrades+'!$AA$8,"B",IF(D608&lt;'PlayerGrades+'!$AA$7,"B+",IF(D608&lt;'PlayerGrades+'!$AA$6,"A-",IF(D608&lt;'PlayerGrades+'!$AA$5,"A",IF(D608&lt;'PlayerGrades+'!$AA$4,"A+",IF(D608&lt;'PlayerGrades+'!$AA$3,"S-",IF(D608&lt;'PlayerGrades+'!$AA$2,"S","S+"))))))))))))))))))))</f>
        <v>#DIV/0!</v>
      </c>
      <c r="F608" s="1423" t="str">
        <f t="shared" si="13"/>
        <v>#DIV/0!</v>
      </c>
      <c r="G608" s="1423" t="str">
        <f>IF(F608&lt;'PlayerGrades+'!$AB$21,"F-",IF(F608&lt;'PlayerGrades+'!$AB$20,"F",IF(F608&lt;'PlayerGrades+'!$AB$19,"F+",IF(F608&lt;'PlayerGrades+'!$AB$18,"E-",IF(F608&lt;'PlayerGrades+'!$AB$17,"E",IF(F608&lt;'PlayerGrades+'!$AB$16,"E+",IF(F608&lt;'PlayerGrades+'!$AB$15,"D-",IF(F608&lt;'PlayerGrades+'!$AB$14,"D",IF(F608&lt;'PlayerGrades+'!$AB$13,"D+",IF(F608&lt;'PlayerGrades+'!$AB$12,"C-",IF(F608&lt;'PlayerGrades+'!$AB$11,"C",IF(F608&lt;'PlayerGrades+'!$AB$10,"C+",IF(F608&lt;'PlayerGrades+'!$AB$9,"B-",IF(F608&lt;'PlayerGrades+'!$AB$8,"B",IF(F608&lt;'PlayerGrades+'!$AB$7,"B+",IF(F608&lt;'PlayerGrades+'!$AB$6,"A-",IF(F608&lt;'PlayerGrades+'!$AB$5,"A",IF(F608&lt;'PlayerGrades+'!$AB$4,"A+",IF(F608&lt;'PlayerGrades+'!$AB$3,"S-",IF(F608&lt;'PlayerGrades+'!$AB$2,"S","S+"))))))))))))))))))))</f>
        <v>#DIV/0!</v>
      </c>
      <c r="H608" s="1423" t="str">
        <f t="shared" si="14"/>
        <v>#DIV/0!</v>
      </c>
      <c r="I608" s="1423" t="str">
        <f>IF(H608&lt;'PlayerGrades+'!$AC$21,"F-",IF(H608&lt;'PlayerGrades+'!$AC$20,"F",IF(H608&lt;'PlayerGrades+'!$AC$19,"F+",IF(H608&lt;'PlayerGrades+'!$AC$18,"E-",IF(H608&lt;'PlayerGrades+'!$AC$17,"E",IF(H608&lt;'PlayerGrades+'!$AC$16,"E+",IF(H608&lt;'PlayerGrades+'!$AC$15,"D-",IF(H608&lt;'PlayerGrades+'!$AC$14,"D",IF(H608&lt;'PlayerGrades+'!$AC$13,"D+",IF(H608&lt;'PlayerGrades+'!$AC$12,"C-",IF(H608&lt;'PlayerGrades+'!$AC$11,"C",IF(H608&lt;'PlayerGrades+'!$AC$10,"C+",IF(H608&lt;'PlayerGrades+'!$AC$9,"B-",IF(H608&lt;'PlayerGrades+'!$AC$8,"B",IF(H608&lt;'PlayerGrades+'!$AC$7,"B+",IF(H608&lt;'PlayerGrades+'!$AC$6,"A-",IF(H608&lt;'PlayerGrades+'!$AC$5,"A",IF(H608&lt;'PlayerGrades+'!$AC$4,"A+",IF(H608&lt;'PlayerGrades+'!$AC$3,"S-",IF(H608&lt;'PlayerGrades+'!$AC$2,"S","S+"))))))))))))))))))))</f>
        <v>#DIV/0!</v>
      </c>
      <c r="J608" s="1423" t="str">
        <f t="shared" si="15"/>
        <v>#DIV/0!</v>
      </c>
      <c r="K608" s="1423" t="str">
        <f>IF(J608&lt;'PlayerGrades+'!$AD$21,"F-",IF(J608&lt;'PlayerGrades+'!$AD$20,"F",IF(J608&lt;'PlayerGrades+'!$AD$19,"F+",IF(J608&lt;'PlayerGrades+'!$AD$18,"E-",IF(J608&lt;'PlayerGrades+'!$AD$17,"E",IF(J608&lt;'PlayerGrades+'!$AD$16,"E+",IF(J608&lt;'PlayerGrades+'!$AD$15,"D-",IF(J608&lt;'PlayerGrades+'!$AD$14,"D",IF(J608&lt;'PlayerGrades+'!$AD$13,"D+",IF(J608&lt;'PlayerGrades+'!$AD$12,"C-",IF(J608&lt;'PlayerGrades+'!$AD$11,"C",IF(J608&lt;'PlayerGrades+'!$AD$10,"C+",IF(J608&lt;'PlayerGrades+'!$AD$9,"B-",IF(J608&lt;'PlayerGrades+'!$AD$8,"B",IF(J608&lt;'PlayerGrades+'!$AD$7,"B+",IF(J608&lt;'PlayerGrades+'!$AD$6,"A-",IF(J608&lt;'PlayerGrades+'!$AD$5,"A",IF(J608&lt;'PlayerGrades+'!$AD$4,"A+",IF(J608&lt;'PlayerGrades+'!$AD$3,"S-",IF(J608&lt;'PlayerGrades+'!$AD$2,"S","S+"))))))))))))))))))))</f>
        <v>#DIV/0!</v>
      </c>
      <c r="L608" s="1176" t="str">
        <f t="shared" si="16"/>
        <v>#DIV/0!</v>
      </c>
      <c r="M608" s="992" t="str">
        <f>IF(L608&lt;'PlayerGrades+'!$AE$21,"F-",IF(L608&lt;'PlayerGrades+'!$AE$20,"F",IF(L608&lt;'PlayerGrades+'!$AE$19,"F+",IF(L608&lt;'PlayerGrades+'!$AE$18,"E-",IF(L608&lt;'PlayerGrades+'!$AE$17,"E",IF(L608&lt;'PlayerGrades+'!$AE$16,"E+",IF(L608&lt;'PlayerGrades+'!$AE$15,"D-",IF(L608&lt;'PlayerGrades+'!$AE$14,"D",IF(L608&lt;'PlayerGrades+'!$AE$13,"D+",IF(L608&lt;'PlayerGrades+'!$AE$12,"C-",IF(L608&lt;'PlayerGrades+'!$AE$11,"C",IF(L608&lt;'PlayerGrades+'!$AE$10,"C+",IF(L608&lt;'PlayerGrades+'!$AE$9,"B-",IF(L608&lt;'PlayerGrades+'!$AE$8,"B",IF(L608&lt;'PlayerGrades+'!$AE$7,"B+",IF(L608&lt;'PlayerGrades+'!$AE$6,"A-",IF(L608&lt;'PlayerGrades+'!$AE$5,"A",IF(L608&lt;'PlayerGrades+'!$AE$4,"A+",IF(L608&lt;'PlayerGrades+'!$AE$3,"S-",IF(L608&lt;'PlayerGrades+'!$AE$2,"S","S+"))))))))))))))))))))</f>
        <v>#DIV/0!</v>
      </c>
      <c r="N608" s="1423" t="str">
        <f t="shared" si="17"/>
        <v>#DIV/0!</v>
      </c>
      <c r="O608" s="1423" t="str">
        <f>IF(N608&lt;'PlayerGrades+'!$AF$21,"F-",IF(N608&lt;'PlayerGrades+'!$AF$20,"F",IF(N608&lt;'PlayerGrades+'!$AF$19,"F+",IF(N608&lt;'PlayerGrades+'!$AF$18,"E-",IF(N608&lt;'PlayerGrades+'!$AF$17,"E",IF(N608&lt;'PlayerGrades+'!$AF$16,"E+",IF(N608&lt;'PlayerGrades+'!$AF$15,"D-",IF(N608&lt;'PlayerGrades+'!$AF$14,"D",IF(N608&lt;'PlayerGrades+'!$AF$13,"D+",IF(N608&lt;'PlayerGrades+'!$AF$12,"C-",IF(N608&lt;'PlayerGrades+'!$AF$11,"C",IF(N608&lt;'PlayerGrades+'!$AF$10,"C+",IF(N608&lt;'PlayerGrades+'!$AF$9,"B-",IF(N608&lt;'PlayerGrades+'!$AF$8,"B",IF(N608&lt;'PlayerGrades+'!$AF$7,"B+",IF(N608&lt;'PlayerGrades+'!$AF$6,"A-",IF(N608&lt;'PlayerGrades+'!$AF$5,"A",IF(N608&lt;'PlayerGrades+'!$AF$4,"A+",IF(N608&lt;'PlayerGrades+'!$AF$3,"S-",IF(N608&lt;'PlayerGrades+'!$AF$2,"S","S+"))))))))))))))))))))</f>
        <v>#DIV/0!</v>
      </c>
      <c r="P608" s="1423" t="str">
        <f t="shared" si="18"/>
        <v>#DIV/0!</v>
      </c>
      <c r="Q608" s="1423" t="str">
        <f>IF(P608&lt;'PlayerGrades+'!$AG$21,"F-",IF(P608&lt;'PlayerGrades+'!$AG$20,"F",IF(P608&lt;'PlayerGrades+'!$AG$19,"F+",IF(P608&lt;'PlayerGrades+'!$AG$18,"E-",IF(P608&lt;'PlayerGrades+'!$AG$17,"E",IF(P608&lt;'PlayerGrades+'!$AG$16,"E+",IF(P608&lt;'PlayerGrades+'!$AG$15,"D-",IF(P608&lt;'PlayerGrades+'!$AG$14,"D",IF(P608&lt;'PlayerGrades+'!$AG$13,"D+",IF(P608&lt;'PlayerGrades+'!$AG$12,"C-",IF(P608&lt;'PlayerGrades+'!$AG$11,"C",IF(P608&lt;'PlayerGrades+'!$AG$10,"C+",IF(P608&lt;'PlayerGrades+'!$AG$9,"B-",IF(P608&lt;'PlayerGrades+'!$AG$8,"B",IF(P608&lt;'PlayerGrades+'!$AG$7,"B+",IF(P608&lt;'PlayerGrades+'!$AG$6,"A-",IF(P608&lt;'PlayerGrades+'!$AG$5,"A",IF(P608&lt;'PlayerGrades+'!$AG$4,"A+",IF(P608&lt;'PlayerGrades+'!$AG$3,"S-",IF(P608&lt;'PlayerGrades+'!$AG$2,"S","S+"))))))))))))))))))))</f>
        <v>#DIV/0!</v>
      </c>
      <c r="R608" s="1423" t="str">
        <f t="shared" si="19"/>
        <v>#REF!</v>
      </c>
      <c r="S608" s="1423" t="str">
        <f>IF(R608&lt;'PlayerGrades+'!$AH$21,"F-",IF(R608&lt;'PlayerGrades+'!$AH$20,"F",IF(R608&lt;'PlayerGrades+'!$AH$19,"F+",IF(R608&lt;'PlayerGrades+'!$AH$18,"E-",IF(R608&lt;'PlayerGrades+'!$AH$17,"E",IF(R608&lt;'PlayerGrades+'!$AH$16,"E+",IF(R608&lt;'PlayerGrades+'!$AH$15,"D-",IF(R608&lt;'PlayerGrades+'!$AH$14,"D",IF(R608&lt;'PlayerGrades+'!$AH$13,"D+",IF(R608&lt;'PlayerGrades+'!$AH$12,"C-",IF(R608&lt;'PlayerGrades+'!$AH$11,"C",IF(R608&lt;'PlayerGrades+'!$AH$10,"C+",IF(R608&lt;'PlayerGrades+'!$AH$9,"B-",IF(R608&lt;'PlayerGrades+'!$AH$8,"B",IF(R608&lt;'PlayerGrades+'!$AH$7,"B+",IF(R608&lt;'PlayerGrades+'!$AH$6,"A-",IF(R608&lt;'PlayerGrades+'!$AH$5,"A",IF(R608&lt;'PlayerGrades+'!$AH$4,"A+",IF(R608&lt;'PlayerGrades+'!$AH$3,"S-",IF(R608&lt;'PlayerGrades+'!$AH$2,"S","S+"))))))))))))))))))))</f>
        <v>#REF!</v>
      </c>
      <c r="T608" s="1423" t="str">
        <f t="shared" si="20"/>
        <v>#REF!</v>
      </c>
      <c r="U608" s="1423" t="str">
        <f>IF(T608&lt;'PlayerGrades+'!$AI$21,"F-",IF(T608&lt;'PlayerGrades+'!$AI$20,"F",IF(T608&lt;'PlayerGrades+'!$AI$19,"F+",IF(T608&lt;'PlayerGrades+'!$AI$18,"E-",IF(T608&lt;'PlayerGrades+'!$AI$17,"E",IF(T608&lt;'PlayerGrades+'!$AI$16,"E+",IF(T608&lt;'PlayerGrades+'!$AI$15,"D-",IF(T608&lt;'PlayerGrades+'!$AI$14,"D",IF(T608&lt;'PlayerGrades+'!$AI$13,"D+",IF(T608&lt;'PlayerGrades+'!$AI$12,"C-",IF(T608&lt;'PlayerGrades+'!$AI$11,"C",IF(T608&lt;'PlayerGrades+'!$AI$10,"C+",IF(T608&lt;'PlayerGrades+'!$AI$9,"B-",IF(T608&lt;'PlayerGrades+'!$AI$8,"B",IF(T608&lt;'PlayerGrades+'!$AI$7,"B+",IF(T608&lt;'PlayerGrades+'!$AI$6,"A-",IF(T608&lt;'PlayerGrades+'!$AI$5,"A",IF(T608&lt;'PlayerGrades+'!$AI$4,"A+",IF(T608&lt;'PlayerGrades+'!$AI$3,"S-",IF(T608&lt;'PlayerGrades+'!$AI$2,"S","S+"))))))))))))))))))))</f>
        <v>#REF!</v>
      </c>
      <c r="AC608" s="1392"/>
    </row>
    <row r="609">
      <c r="A609" s="1393"/>
      <c r="B609" s="1421" t="str">
        <f>IF(C609&lt;'PlayerGrades+'!$Y$44,"F-",IF(C609&lt;'PlayerGrades+'!$Y$43,"F",IF(C609&lt;'PlayerGrades+'!$Y$42,"F+",IF(C609&lt;'PlayerGrades+'!$Y$41,"E-",IF(C609&lt;'PlayerGrades+'!$Y$40,"E",IF(C609&lt;'PlayerGrades+'!$Y$39,"E+",IF(C609&lt;'PlayerGrades+'!$Y$38,"D-",IF(C609&lt;'PlayerGrades+'!$Y$37,"D",IF(C609&lt;'PlayerGrades+'!$Y$36,"D+",IF(C609&lt;'PlayerGrades+'!$Y$35,"C-",IF(C609&lt;'PlayerGrades+'!$Y$34,"C",IF(C609&lt;'PlayerGrades+'!$Y$33,"C+",IF(C609&lt;'PlayerGrades+'!$Y$32,"B-",IF(C609&lt;'PlayerGrades+'!$Y$31,"B",IF(C609&lt;'PlayerGrades+'!$Y$30,"B+",IF(C609&lt;'PlayerGrades+'!$Y$29,"A-",IF(C609&lt;'PlayerGrades+'!$Y$28,"A",IF(C609&lt;'PlayerGrades+'!$Y$27,"A+",IF(C609&lt;'PlayerGrades+'!$Y$26,"S-",IF(C609&lt;'PlayerGrades+'!$Y$25,"S","S+"))))))))))))))))))))</f>
        <v>#DIV/0!</v>
      </c>
      <c r="C609" s="1422" t="str">
        <f>('PlayerGrades+'!$Y$47*(VLOOKUP(E609, 'PlayerGrades+'!$X$3:$Y$23, 2, FALSE)))+('PlayerGrades+'!$Y$48*(VLOOKUP(G609, 'PlayerGrades+'!$X$3:$Y$23, 2, FALSE)))+('PlayerGrades+'!$Y$49*(VLOOKUP(I609, 'PlayerGrades+'!$X$3:$Y$23, 2, FALSE)))+('PlayerGrades+'!$Y$50*(VLOOKUP(K609, 'PlayerGrades+'!$X$3:$Y$23, 2, FALSE)))+('PlayerGrades+'!$Y$51*(VLOOKUP(M609, 'PlayerGrades+'!$X$3:$Y$23, 2, FALSE)))+('PlayerGrades+'!$Y$52*(VLOOKUP(O609, 'PlayerGrades+'!$X$3:$Y$23, 2, FALSE)))+('PlayerGrades+'!$Y$53*(VLOOKUP(Q609, 'PlayerGrades+'!$X$3:$Y$23, 2, FALSE)))+('PlayerGrades+'!$Y$54*(VLOOKUP(S609, 'PlayerGrades+'!$X$3:$Y$23, 2, FALSE)))+('PlayerGrades+'!$Y$55*(VLOOKUP(U609, 'PlayerGrades+'!$X$3:$Y$23, 2, FALSE)))</f>
        <v>#DIV/0!</v>
      </c>
      <c r="D609" s="1423" t="str">
        <f t="shared" si="12"/>
        <v>#DIV/0!</v>
      </c>
      <c r="E609" s="1423" t="str">
        <f>IF(D609&lt;'PlayerGrades+'!$AA$21,"F-",IF(D609&lt;'PlayerGrades+'!$AA$20,"F",IF(D609&lt;'PlayerGrades+'!$AA$19,"F+",IF(D609&lt;'PlayerGrades+'!$AA$18,"E-",IF(D609&lt;'PlayerGrades+'!$AA$17,"E",IF(D609&lt;'PlayerGrades+'!$AA$16,"E+",IF(D609&lt;'PlayerGrades+'!$AA$15,"D-",IF(D609&lt;'PlayerGrades+'!$AA$14,"D",IF(D609&lt;'PlayerGrades+'!$AA$13,"D+",IF(D609&lt;'PlayerGrades+'!$AA$12,"C-",IF(D609&lt;'PlayerGrades+'!$AA$11,"C",IF(D609&lt;'PlayerGrades+'!$AA$10,"C+",IF(D609&lt;'PlayerGrades+'!$AA$9,"B-",IF(D609&lt;'PlayerGrades+'!$AA$8,"B",IF(D609&lt;'PlayerGrades+'!$AA$7,"B+",IF(D609&lt;'PlayerGrades+'!$AA$6,"A-",IF(D609&lt;'PlayerGrades+'!$AA$5,"A",IF(D609&lt;'PlayerGrades+'!$AA$4,"A+",IF(D609&lt;'PlayerGrades+'!$AA$3,"S-",IF(D609&lt;'PlayerGrades+'!$AA$2,"S","S+"))))))))))))))))))))</f>
        <v>#DIV/0!</v>
      </c>
      <c r="F609" s="1423" t="str">
        <f t="shared" si="13"/>
        <v>#DIV/0!</v>
      </c>
      <c r="G609" s="1423" t="str">
        <f>IF(F609&lt;'PlayerGrades+'!$AB$21,"F-",IF(F609&lt;'PlayerGrades+'!$AB$20,"F",IF(F609&lt;'PlayerGrades+'!$AB$19,"F+",IF(F609&lt;'PlayerGrades+'!$AB$18,"E-",IF(F609&lt;'PlayerGrades+'!$AB$17,"E",IF(F609&lt;'PlayerGrades+'!$AB$16,"E+",IF(F609&lt;'PlayerGrades+'!$AB$15,"D-",IF(F609&lt;'PlayerGrades+'!$AB$14,"D",IF(F609&lt;'PlayerGrades+'!$AB$13,"D+",IF(F609&lt;'PlayerGrades+'!$AB$12,"C-",IF(F609&lt;'PlayerGrades+'!$AB$11,"C",IF(F609&lt;'PlayerGrades+'!$AB$10,"C+",IF(F609&lt;'PlayerGrades+'!$AB$9,"B-",IF(F609&lt;'PlayerGrades+'!$AB$8,"B",IF(F609&lt;'PlayerGrades+'!$AB$7,"B+",IF(F609&lt;'PlayerGrades+'!$AB$6,"A-",IF(F609&lt;'PlayerGrades+'!$AB$5,"A",IF(F609&lt;'PlayerGrades+'!$AB$4,"A+",IF(F609&lt;'PlayerGrades+'!$AB$3,"S-",IF(F609&lt;'PlayerGrades+'!$AB$2,"S","S+"))))))))))))))))))))</f>
        <v>#DIV/0!</v>
      </c>
      <c r="H609" s="1423" t="str">
        <f t="shared" si="14"/>
        <v>#DIV/0!</v>
      </c>
      <c r="I609" s="1423" t="str">
        <f>IF(H609&lt;'PlayerGrades+'!$AC$21,"F-",IF(H609&lt;'PlayerGrades+'!$AC$20,"F",IF(H609&lt;'PlayerGrades+'!$AC$19,"F+",IF(H609&lt;'PlayerGrades+'!$AC$18,"E-",IF(H609&lt;'PlayerGrades+'!$AC$17,"E",IF(H609&lt;'PlayerGrades+'!$AC$16,"E+",IF(H609&lt;'PlayerGrades+'!$AC$15,"D-",IF(H609&lt;'PlayerGrades+'!$AC$14,"D",IF(H609&lt;'PlayerGrades+'!$AC$13,"D+",IF(H609&lt;'PlayerGrades+'!$AC$12,"C-",IF(H609&lt;'PlayerGrades+'!$AC$11,"C",IF(H609&lt;'PlayerGrades+'!$AC$10,"C+",IF(H609&lt;'PlayerGrades+'!$AC$9,"B-",IF(H609&lt;'PlayerGrades+'!$AC$8,"B",IF(H609&lt;'PlayerGrades+'!$AC$7,"B+",IF(H609&lt;'PlayerGrades+'!$AC$6,"A-",IF(H609&lt;'PlayerGrades+'!$AC$5,"A",IF(H609&lt;'PlayerGrades+'!$AC$4,"A+",IF(H609&lt;'PlayerGrades+'!$AC$3,"S-",IF(H609&lt;'PlayerGrades+'!$AC$2,"S","S+"))))))))))))))))))))</f>
        <v>#DIV/0!</v>
      </c>
      <c r="J609" s="1423" t="str">
        <f t="shared" si="15"/>
        <v>#DIV/0!</v>
      </c>
      <c r="K609" s="1423" t="str">
        <f>IF(J609&lt;'PlayerGrades+'!$AD$21,"F-",IF(J609&lt;'PlayerGrades+'!$AD$20,"F",IF(J609&lt;'PlayerGrades+'!$AD$19,"F+",IF(J609&lt;'PlayerGrades+'!$AD$18,"E-",IF(J609&lt;'PlayerGrades+'!$AD$17,"E",IF(J609&lt;'PlayerGrades+'!$AD$16,"E+",IF(J609&lt;'PlayerGrades+'!$AD$15,"D-",IF(J609&lt;'PlayerGrades+'!$AD$14,"D",IF(J609&lt;'PlayerGrades+'!$AD$13,"D+",IF(J609&lt;'PlayerGrades+'!$AD$12,"C-",IF(J609&lt;'PlayerGrades+'!$AD$11,"C",IF(J609&lt;'PlayerGrades+'!$AD$10,"C+",IF(J609&lt;'PlayerGrades+'!$AD$9,"B-",IF(J609&lt;'PlayerGrades+'!$AD$8,"B",IF(J609&lt;'PlayerGrades+'!$AD$7,"B+",IF(J609&lt;'PlayerGrades+'!$AD$6,"A-",IF(J609&lt;'PlayerGrades+'!$AD$5,"A",IF(J609&lt;'PlayerGrades+'!$AD$4,"A+",IF(J609&lt;'PlayerGrades+'!$AD$3,"S-",IF(J609&lt;'PlayerGrades+'!$AD$2,"S","S+"))))))))))))))))))))</f>
        <v>#DIV/0!</v>
      </c>
      <c r="L609" s="1176" t="str">
        <f t="shared" si="16"/>
        <v>#DIV/0!</v>
      </c>
      <c r="M609" s="992" t="str">
        <f>IF(L609&lt;'PlayerGrades+'!$AE$21,"F-",IF(L609&lt;'PlayerGrades+'!$AE$20,"F",IF(L609&lt;'PlayerGrades+'!$AE$19,"F+",IF(L609&lt;'PlayerGrades+'!$AE$18,"E-",IF(L609&lt;'PlayerGrades+'!$AE$17,"E",IF(L609&lt;'PlayerGrades+'!$AE$16,"E+",IF(L609&lt;'PlayerGrades+'!$AE$15,"D-",IF(L609&lt;'PlayerGrades+'!$AE$14,"D",IF(L609&lt;'PlayerGrades+'!$AE$13,"D+",IF(L609&lt;'PlayerGrades+'!$AE$12,"C-",IF(L609&lt;'PlayerGrades+'!$AE$11,"C",IF(L609&lt;'PlayerGrades+'!$AE$10,"C+",IF(L609&lt;'PlayerGrades+'!$AE$9,"B-",IF(L609&lt;'PlayerGrades+'!$AE$8,"B",IF(L609&lt;'PlayerGrades+'!$AE$7,"B+",IF(L609&lt;'PlayerGrades+'!$AE$6,"A-",IF(L609&lt;'PlayerGrades+'!$AE$5,"A",IF(L609&lt;'PlayerGrades+'!$AE$4,"A+",IF(L609&lt;'PlayerGrades+'!$AE$3,"S-",IF(L609&lt;'PlayerGrades+'!$AE$2,"S","S+"))))))))))))))))))))</f>
        <v>#DIV/0!</v>
      </c>
      <c r="N609" s="1423" t="str">
        <f t="shared" si="17"/>
        <v>#DIV/0!</v>
      </c>
      <c r="O609" s="1423" t="str">
        <f>IF(N609&lt;'PlayerGrades+'!$AF$21,"F-",IF(N609&lt;'PlayerGrades+'!$AF$20,"F",IF(N609&lt;'PlayerGrades+'!$AF$19,"F+",IF(N609&lt;'PlayerGrades+'!$AF$18,"E-",IF(N609&lt;'PlayerGrades+'!$AF$17,"E",IF(N609&lt;'PlayerGrades+'!$AF$16,"E+",IF(N609&lt;'PlayerGrades+'!$AF$15,"D-",IF(N609&lt;'PlayerGrades+'!$AF$14,"D",IF(N609&lt;'PlayerGrades+'!$AF$13,"D+",IF(N609&lt;'PlayerGrades+'!$AF$12,"C-",IF(N609&lt;'PlayerGrades+'!$AF$11,"C",IF(N609&lt;'PlayerGrades+'!$AF$10,"C+",IF(N609&lt;'PlayerGrades+'!$AF$9,"B-",IF(N609&lt;'PlayerGrades+'!$AF$8,"B",IF(N609&lt;'PlayerGrades+'!$AF$7,"B+",IF(N609&lt;'PlayerGrades+'!$AF$6,"A-",IF(N609&lt;'PlayerGrades+'!$AF$5,"A",IF(N609&lt;'PlayerGrades+'!$AF$4,"A+",IF(N609&lt;'PlayerGrades+'!$AF$3,"S-",IF(N609&lt;'PlayerGrades+'!$AF$2,"S","S+"))))))))))))))))))))</f>
        <v>#DIV/0!</v>
      </c>
      <c r="P609" s="1423" t="str">
        <f t="shared" si="18"/>
        <v>#DIV/0!</v>
      </c>
      <c r="Q609" s="1423" t="str">
        <f>IF(P609&lt;'PlayerGrades+'!$AG$21,"F-",IF(P609&lt;'PlayerGrades+'!$AG$20,"F",IF(P609&lt;'PlayerGrades+'!$AG$19,"F+",IF(P609&lt;'PlayerGrades+'!$AG$18,"E-",IF(P609&lt;'PlayerGrades+'!$AG$17,"E",IF(P609&lt;'PlayerGrades+'!$AG$16,"E+",IF(P609&lt;'PlayerGrades+'!$AG$15,"D-",IF(P609&lt;'PlayerGrades+'!$AG$14,"D",IF(P609&lt;'PlayerGrades+'!$AG$13,"D+",IF(P609&lt;'PlayerGrades+'!$AG$12,"C-",IF(P609&lt;'PlayerGrades+'!$AG$11,"C",IF(P609&lt;'PlayerGrades+'!$AG$10,"C+",IF(P609&lt;'PlayerGrades+'!$AG$9,"B-",IF(P609&lt;'PlayerGrades+'!$AG$8,"B",IF(P609&lt;'PlayerGrades+'!$AG$7,"B+",IF(P609&lt;'PlayerGrades+'!$AG$6,"A-",IF(P609&lt;'PlayerGrades+'!$AG$5,"A",IF(P609&lt;'PlayerGrades+'!$AG$4,"A+",IF(P609&lt;'PlayerGrades+'!$AG$3,"S-",IF(P609&lt;'PlayerGrades+'!$AG$2,"S","S+"))))))))))))))))))))</f>
        <v>#DIV/0!</v>
      </c>
      <c r="R609" s="1423" t="str">
        <f t="shared" si="19"/>
        <v>#REF!</v>
      </c>
      <c r="S609" s="1423" t="str">
        <f>IF(R609&lt;'PlayerGrades+'!$AH$21,"F-",IF(R609&lt;'PlayerGrades+'!$AH$20,"F",IF(R609&lt;'PlayerGrades+'!$AH$19,"F+",IF(R609&lt;'PlayerGrades+'!$AH$18,"E-",IF(R609&lt;'PlayerGrades+'!$AH$17,"E",IF(R609&lt;'PlayerGrades+'!$AH$16,"E+",IF(R609&lt;'PlayerGrades+'!$AH$15,"D-",IF(R609&lt;'PlayerGrades+'!$AH$14,"D",IF(R609&lt;'PlayerGrades+'!$AH$13,"D+",IF(R609&lt;'PlayerGrades+'!$AH$12,"C-",IF(R609&lt;'PlayerGrades+'!$AH$11,"C",IF(R609&lt;'PlayerGrades+'!$AH$10,"C+",IF(R609&lt;'PlayerGrades+'!$AH$9,"B-",IF(R609&lt;'PlayerGrades+'!$AH$8,"B",IF(R609&lt;'PlayerGrades+'!$AH$7,"B+",IF(R609&lt;'PlayerGrades+'!$AH$6,"A-",IF(R609&lt;'PlayerGrades+'!$AH$5,"A",IF(R609&lt;'PlayerGrades+'!$AH$4,"A+",IF(R609&lt;'PlayerGrades+'!$AH$3,"S-",IF(R609&lt;'PlayerGrades+'!$AH$2,"S","S+"))))))))))))))))))))</f>
        <v>#REF!</v>
      </c>
      <c r="T609" s="1423" t="str">
        <f t="shared" si="20"/>
        <v>#REF!</v>
      </c>
      <c r="U609" s="1423" t="str">
        <f>IF(T609&lt;'PlayerGrades+'!$AI$21,"F-",IF(T609&lt;'PlayerGrades+'!$AI$20,"F",IF(T609&lt;'PlayerGrades+'!$AI$19,"F+",IF(T609&lt;'PlayerGrades+'!$AI$18,"E-",IF(T609&lt;'PlayerGrades+'!$AI$17,"E",IF(T609&lt;'PlayerGrades+'!$AI$16,"E+",IF(T609&lt;'PlayerGrades+'!$AI$15,"D-",IF(T609&lt;'PlayerGrades+'!$AI$14,"D",IF(T609&lt;'PlayerGrades+'!$AI$13,"D+",IF(T609&lt;'PlayerGrades+'!$AI$12,"C-",IF(T609&lt;'PlayerGrades+'!$AI$11,"C",IF(T609&lt;'PlayerGrades+'!$AI$10,"C+",IF(T609&lt;'PlayerGrades+'!$AI$9,"B-",IF(T609&lt;'PlayerGrades+'!$AI$8,"B",IF(T609&lt;'PlayerGrades+'!$AI$7,"B+",IF(T609&lt;'PlayerGrades+'!$AI$6,"A-",IF(T609&lt;'PlayerGrades+'!$AI$5,"A",IF(T609&lt;'PlayerGrades+'!$AI$4,"A+",IF(T609&lt;'PlayerGrades+'!$AI$3,"S-",IF(T609&lt;'PlayerGrades+'!$AI$2,"S","S+"))))))))))))))))))))</f>
        <v>#REF!</v>
      </c>
      <c r="V609" s="1386"/>
      <c r="W609" s="1386"/>
      <c r="X609" s="1386"/>
      <c r="Y609" s="1386"/>
      <c r="Z609" s="1386"/>
      <c r="AA609" s="1386"/>
      <c r="AB609" s="1386"/>
      <c r="AC609" s="1397"/>
      <c r="AD609" s="1386"/>
      <c r="AE609" s="1386"/>
      <c r="AF609" s="1411"/>
      <c r="AG609" s="1386"/>
      <c r="AH609" s="1386"/>
      <c r="AI609" s="1386"/>
      <c r="AJ609" s="1386"/>
      <c r="AK609" s="1386"/>
      <c r="AL609" s="1386"/>
      <c r="AM609" s="1386"/>
      <c r="AN609" s="1386"/>
      <c r="AO609" s="1386"/>
      <c r="AP609" s="1386"/>
      <c r="AQ609" s="1386"/>
      <c r="AR609" s="1386"/>
      <c r="AS609" s="1386"/>
      <c r="AT609" s="1386"/>
      <c r="AU609" s="1386"/>
      <c r="AV609" s="1386"/>
      <c r="AW609" s="1386"/>
      <c r="AX609" s="1386"/>
      <c r="AY609" s="1386"/>
      <c r="AZ609" s="1386"/>
    </row>
    <row r="610">
      <c r="A610" s="1389"/>
      <c r="B610" s="1421" t="str">
        <f>IF(C610&lt;'PlayerGrades+'!$Y$44,"F-",IF(C610&lt;'PlayerGrades+'!$Y$43,"F",IF(C610&lt;'PlayerGrades+'!$Y$42,"F+",IF(C610&lt;'PlayerGrades+'!$Y$41,"E-",IF(C610&lt;'PlayerGrades+'!$Y$40,"E",IF(C610&lt;'PlayerGrades+'!$Y$39,"E+",IF(C610&lt;'PlayerGrades+'!$Y$38,"D-",IF(C610&lt;'PlayerGrades+'!$Y$37,"D",IF(C610&lt;'PlayerGrades+'!$Y$36,"D+",IF(C610&lt;'PlayerGrades+'!$Y$35,"C-",IF(C610&lt;'PlayerGrades+'!$Y$34,"C",IF(C610&lt;'PlayerGrades+'!$Y$33,"C+",IF(C610&lt;'PlayerGrades+'!$Y$32,"B-",IF(C610&lt;'PlayerGrades+'!$Y$31,"B",IF(C610&lt;'PlayerGrades+'!$Y$30,"B+",IF(C610&lt;'PlayerGrades+'!$Y$29,"A-",IF(C610&lt;'PlayerGrades+'!$Y$28,"A",IF(C610&lt;'PlayerGrades+'!$Y$27,"A+",IF(C610&lt;'PlayerGrades+'!$Y$26,"S-",IF(C610&lt;'PlayerGrades+'!$Y$25,"S","S+"))))))))))))))))))))</f>
        <v>#DIV/0!</v>
      </c>
      <c r="C610" s="1422" t="str">
        <f>('PlayerGrades+'!$Y$47*(VLOOKUP(E610, 'PlayerGrades+'!$X$3:$Y$23, 2, FALSE)))+('PlayerGrades+'!$Y$48*(VLOOKUP(G610, 'PlayerGrades+'!$X$3:$Y$23, 2, FALSE)))+('PlayerGrades+'!$Y$49*(VLOOKUP(I610, 'PlayerGrades+'!$X$3:$Y$23, 2, FALSE)))+('PlayerGrades+'!$Y$50*(VLOOKUP(K610, 'PlayerGrades+'!$X$3:$Y$23, 2, FALSE)))+('PlayerGrades+'!$Y$51*(VLOOKUP(M610, 'PlayerGrades+'!$X$3:$Y$23, 2, FALSE)))+('PlayerGrades+'!$Y$52*(VLOOKUP(O610, 'PlayerGrades+'!$X$3:$Y$23, 2, FALSE)))+('PlayerGrades+'!$Y$53*(VLOOKUP(Q610, 'PlayerGrades+'!$X$3:$Y$23, 2, FALSE)))+('PlayerGrades+'!$Y$54*(VLOOKUP(S610, 'PlayerGrades+'!$X$3:$Y$23, 2, FALSE)))+('PlayerGrades+'!$Y$55*(VLOOKUP(U610, 'PlayerGrades+'!$X$3:$Y$23, 2, FALSE)))</f>
        <v>#DIV/0!</v>
      </c>
      <c r="D610" s="1423" t="str">
        <f t="shared" si="12"/>
        <v>#DIV/0!</v>
      </c>
      <c r="E610" s="1423" t="str">
        <f>IF(D610&lt;'PlayerGrades+'!$AA$21,"F-",IF(D610&lt;'PlayerGrades+'!$AA$20,"F",IF(D610&lt;'PlayerGrades+'!$AA$19,"F+",IF(D610&lt;'PlayerGrades+'!$AA$18,"E-",IF(D610&lt;'PlayerGrades+'!$AA$17,"E",IF(D610&lt;'PlayerGrades+'!$AA$16,"E+",IF(D610&lt;'PlayerGrades+'!$AA$15,"D-",IF(D610&lt;'PlayerGrades+'!$AA$14,"D",IF(D610&lt;'PlayerGrades+'!$AA$13,"D+",IF(D610&lt;'PlayerGrades+'!$AA$12,"C-",IF(D610&lt;'PlayerGrades+'!$AA$11,"C",IF(D610&lt;'PlayerGrades+'!$AA$10,"C+",IF(D610&lt;'PlayerGrades+'!$AA$9,"B-",IF(D610&lt;'PlayerGrades+'!$AA$8,"B",IF(D610&lt;'PlayerGrades+'!$AA$7,"B+",IF(D610&lt;'PlayerGrades+'!$AA$6,"A-",IF(D610&lt;'PlayerGrades+'!$AA$5,"A",IF(D610&lt;'PlayerGrades+'!$AA$4,"A+",IF(D610&lt;'PlayerGrades+'!$AA$3,"S-",IF(D610&lt;'PlayerGrades+'!$AA$2,"S","S+"))))))))))))))))))))</f>
        <v>#DIV/0!</v>
      </c>
      <c r="F610" s="1423" t="str">
        <f t="shared" si="13"/>
        <v>#DIV/0!</v>
      </c>
      <c r="G610" s="1423" t="str">
        <f>IF(F610&lt;'PlayerGrades+'!$AB$21,"F-",IF(F610&lt;'PlayerGrades+'!$AB$20,"F",IF(F610&lt;'PlayerGrades+'!$AB$19,"F+",IF(F610&lt;'PlayerGrades+'!$AB$18,"E-",IF(F610&lt;'PlayerGrades+'!$AB$17,"E",IF(F610&lt;'PlayerGrades+'!$AB$16,"E+",IF(F610&lt;'PlayerGrades+'!$AB$15,"D-",IF(F610&lt;'PlayerGrades+'!$AB$14,"D",IF(F610&lt;'PlayerGrades+'!$AB$13,"D+",IF(F610&lt;'PlayerGrades+'!$AB$12,"C-",IF(F610&lt;'PlayerGrades+'!$AB$11,"C",IF(F610&lt;'PlayerGrades+'!$AB$10,"C+",IF(F610&lt;'PlayerGrades+'!$AB$9,"B-",IF(F610&lt;'PlayerGrades+'!$AB$8,"B",IF(F610&lt;'PlayerGrades+'!$AB$7,"B+",IF(F610&lt;'PlayerGrades+'!$AB$6,"A-",IF(F610&lt;'PlayerGrades+'!$AB$5,"A",IF(F610&lt;'PlayerGrades+'!$AB$4,"A+",IF(F610&lt;'PlayerGrades+'!$AB$3,"S-",IF(F610&lt;'PlayerGrades+'!$AB$2,"S","S+"))))))))))))))))))))</f>
        <v>#DIV/0!</v>
      </c>
      <c r="H610" s="1423" t="str">
        <f t="shared" si="14"/>
        <v>#DIV/0!</v>
      </c>
      <c r="I610" s="1423" t="str">
        <f>IF(H610&lt;'PlayerGrades+'!$AC$21,"F-",IF(H610&lt;'PlayerGrades+'!$AC$20,"F",IF(H610&lt;'PlayerGrades+'!$AC$19,"F+",IF(H610&lt;'PlayerGrades+'!$AC$18,"E-",IF(H610&lt;'PlayerGrades+'!$AC$17,"E",IF(H610&lt;'PlayerGrades+'!$AC$16,"E+",IF(H610&lt;'PlayerGrades+'!$AC$15,"D-",IF(H610&lt;'PlayerGrades+'!$AC$14,"D",IF(H610&lt;'PlayerGrades+'!$AC$13,"D+",IF(H610&lt;'PlayerGrades+'!$AC$12,"C-",IF(H610&lt;'PlayerGrades+'!$AC$11,"C",IF(H610&lt;'PlayerGrades+'!$AC$10,"C+",IF(H610&lt;'PlayerGrades+'!$AC$9,"B-",IF(H610&lt;'PlayerGrades+'!$AC$8,"B",IF(H610&lt;'PlayerGrades+'!$AC$7,"B+",IF(H610&lt;'PlayerGrades+'!$AC$6,"A-",IF(H610&lt;'PlayerGrades+'!$AC$5,"A",IF(H610&lt;'PlayerGrades+'!$AC$4,"A+",IF(H610&lt;'PlayerGrades+'!$AC$3,"S-",IF(H610&lt;'PlayerGrades+'!$AC$2,"S","S+"))))))))))))))))))))</f>
        <v>#DIV/0!</v>
      </c>
      <c r="J610" s="1423" t="str">
        <f t="shared" si="15"/>
        <v>#DIV/0!</v>
      </c>
      <c r="K610" s="1423" t="str">
        <f>IF(J610&lt;'PlayerGrades+'!$AD$21,"F-",IF(J610&lt;'PlayerGrades+'!$AD$20,"F",IF(J610&lt;'PlayerGrades+'!$AD$19,"F+",IF(J610&lt;'PlayerGrades+'!$AD$18,"E-",IF(J610&lt;'PlayerGrades+'!$AD$17,"E",IF(J610&lt;'PlayerGrades+'!$AD$16,"E+",IF(J610&lt;'PlayerGrades+'!$AD$15,"D-",IF(J610&lt;'PlayerGrades+'!$AD$14,"D",IF(J610&lt;'PlayerGrades+'!$AD$13,"D+",IF(J610&lt;'PlayerGrades+'!$AD$12,"C-",IF(J610&lt;'PlayerGrades+'!$AD$11,"C",IF(J610&lt;'PlayerGrades+'!$AD$10,"C+",IF(J610&lt;'PlayerGrades+'!$AD$9,"B-",IF(J610&lt;'PlayerGrades+'!$AD$8,"B",IF(J610&lt;'PlayerGrades+'!$AD$7,"B+",IF(J610&lt;'PlayerGrades+'!$AD$6,"A-",IF(J610&lt;'PlayerGrades+'!$AD$5,"A",IF(J610&lt;'PlayerGrades+'!$AD$4,"A+",IF(J610&lt;'PlayerGrades+'!$AD$3,"S-",IF(J610&lt;'PlayerGrades+'!$AD$2,"S","S+"))))))))))))))))))))</f>
        <v>#DIV/0!</v>
      </c>
      <c r="L610" s="1176" t="str">
        <f t="shared" si="16"/>
        <v>#DIV/0!</v>
      </c>
      <c r="M610" s="992" t="str">
        <f>IF(L610&lt;'PlayerGrades+'!$AE$21,"F-",IF(L610&lt;'PlayerGrades+'!$AE$20,"F",IF(L610&lt;'PlayerGrades+'!$AE$19,"F+",IF(L610&lt;'PlayerGrades+'!$AE$18,"E-",IF(L610&lt;'PlayerGrades+'!$AE$17,"E",IF(L610&lt;'PlayerGrades+'!$AE$16,"E+",IF(L610&lt;'PlayerGrades+'!$AE$15,"D-",IF(L610&lt;'PlayerGrades+'!$AE$14,"D",IF(L610&lt;'PlayerGrades+'!$AE$13,"D+",IF(L610&lt;'PlayerGrades+'!$AE$12,"C-",IF(L610&lt;'PlayerGrades+'!$AE$11,"C",IF(L610&lt;'PlayerGrades+'!$AE$10,"C+",IF(L610&lt;'PlayerGrades+'!$AE$9,"B-",IF(L610&lt;'PlayerGrades+'!$AE$8,"B",IF(L610&lt;'PlayerGrades+'!$AE$7,"B+",IF(L610&lt;'PlayerGrades+'!$AE$6,"A-",IF(L610&lt;'PlayerGrades+'!$AE$5,"A",IF(L610&lt;'PlayerGrades+'!$AE$4,"A+",IF(L610&lt;'PlayerGrades+'!$AE$3,"S-",IF(L610&lt;'PlayerGrades+'!$AE$2,"S","S+"))))))))))))))))))))</f>
        <v>#DIV/0!</v>
      </c>
      <c r="N610" s="1423" t="str">
        <f t="shared" si="17"/>
        <v>#DIV/0!</v>
      </c>
      <c r="O610" s="1423" t="str">
        <f>IF(N610&lt;'PlayerGrades+'!$AF$21,"F-",IF(N610&lt;'PlayerGrades+'!$AF$20,"F",IF(N610&lt;'PlayerGrades+'!$AF$19,"F+",IF(N610&lt;'PlayerGrades+'!$AF$18,"E-",IF(N610&lt;'PlayerGrades+'!$AF$17,"E",IF(N610&lt;'PlayerGrades+'!$AF$16,"E+",IF(N610&lt;'PlayerGrades+'!$AF$15,"D-",IF(N610&lt;'PlayerGrades+'!$AF$14,"D",IF(N610&lt;'PlayerGrades+'!$AF$13,"D+",IF(N610&lt;'PlayerGrades+'!$AF$12,"C-",IF(N610&lt;'PlayerGrades+'!$AF$11,"C",IF(N610&lt;'PlayerGrades+'!$AF$10,"C+",IF(N610&lt;'PlayerGrades+'!$AF$9,"B-",IF(N610&lt;'PlayerGrades+'!$AF$8,"B",IF(N610&lt;'PlayerGrades+'!$AF$7,"B+",IF(N610&lt;'PlayerGrades+'!$AF$6,"A-",IF(N610&lt;'PlayerGrades+'!$AF$5,"A",IF(N610&lt;'PlayerGrades+'!$AF$4,"A+",IF(N610&lt;'PlayerGrades+'!$AF$3,"S-",IF(N610&lt;'PlayerGrades+'!$AF$2,"S","S+"))))))))))))))))))))</f>
        <v>#DIV/0!</v>
      </c>
      <c r="P610" s="1423" t="str">
        <f t="shared" si="18"/>
        <v>#DIV/0!</v>
      </c>
      <c r="Q610" s="1423" t="str">
        <f>IF(P610&lt;'PlayerGrades+'!$AG$21,"F-",IF(P610&lt;'PlayerGrades+'!$AG$20,"F",IF(P610&lt;'PlayerGrades+'!$AG$19,"F+",IF(P610&lt;'PlayerGrades+'!$AG$18,"E-",IF(P610&lt;'PlayerGrades+'!$AG$17,"E",IF(P610&lt;'PlayerGrades+'!$AG$16,"E+",IF(P610&lt;'PlayerGrades+'!$AG$15,"D-",IF(P610&lt;'PlayerGrades+'!$AG$14,"D",IF(P610&lt;'PlayerGrades+'!$AG$13,"D+",IF(P610&lt;'PlayerGrades+'!$AG$12,"C-",IF(P610&lt;'PlayerGrades+'!$AG$11,"C",IF(P610&lt;'PlayerGrades+'!$AG$10,"C+",IF(P610&lt;'PlayerGrades+'!$AG$9,"B-",IF(P610&lt;'PlayerGrades+'!$AG$8,"B",IF(P610&lt;'PlayerGrades+'!$AG$7,"B+",IF(P610&lt;'PlayerGrades+'!$AG$6,"A-",IF(P610&lt;'PlayerGrades+'!$AG$5,"A",IF(P610&lt;'PlayerGrades+'!$AG$4,"A+",IF(P610&lt;'PlayerGrades+'!$AG$3,"S-",IF(P610&lt;'PlayerGrades+'!$AG$2,"S","S+"))))))))))))))))))))</f>
        <v>#DIV/0!</v>
      </c>
      <c r="R610" s="1423" t="str">
        <f t="shared" si="19"/>
        <v>#REF!</v>
      </c>
      <c r="S610" s="1423" t="str">
        <f>IF(R610&lt;'PlayerGrades+'!$AH$21,"F-",IF(R610&lt;'PlayerGrades+'!$AH$20,"F",IF(R610&lt;'PlayerGrades+'!$AH$19,"F+",IF(R610&lt;'PlayerGrades+'!$AH$18,"E-",IF(R610&lt;'PlayerGrades+'!$AH$17,"E",IF(R610&lt;'PlayerGrades+'!$AH$16,"E+",IF(R610&lt;'PlayerGrades+'!$AH$15,"D-",IF(R610&lt;'PlayerGrades+'!$AH$14,"D",IF(R610&lt;'PlayerGrades+'!$AH$13,"D+",IF(R610&lt;'PlayerGrades+'!$AH$12,"C-",IF(R610&lt;'PlayerGrades+'!$AH$11,"C",IF(R610&lt;'PlayerGrades+'!$AH$10,"C+",IF(R610&lt;'PlayerGrades+'!$AH$9,"B-",IF(R610&lt;'PlayerGrades+'!$AH$8,"B",IF(R610&lt;'PlayerGrades+'!$AH$7,"B+",IF(R610&lt;'PlayerGrades+'!$AH$6,"A-",IF(R610&lt;'PlayerGrades+'!$AH$5,"A",IF(R610&lt;'PlayerGrades+'!$AH$4,"A+",IF(R610&lt;'PlayerGrades+'!$AH$3,"S-",IF(R610&lt;'PlayerGrades+'!$AH$2,"S","S+"))))))))))))))))))))</f>
        <v>#REF!</v>
      </c>
      <c r="T610" s="1423" t="str">
        <f t="shared" si="20"/>
        <v>#REF!</v>
      </c>
      <c r="U610" s="1423" t="str">
        <f>IF(T610&lt;'PlayerGrades+'!$AI$21,"F-",IF(T610&lt;'PlayerGrades+'!$AI$20,"F",IF(T610&lt;'PlayerGrades+'!$AI$19,"F+",IF(T610&lt;'PlayerGrades+'!$AI$18,"E-",IF(T610&lt;'PlayerGrades+'!$AI$17,"E",IF(T610&lt;'PlayerGrades+'!$AI$16,"E+",IF(T610&lt;'PlayerGrades+'!$AI$15,"D-",IF(T610&lt;'PlayerGrades+'!$AI$14,"D",IF(T610&lt;'PlayerGrades+'!$AI$13,"D+",IF(T610&lt;'PlayerGrades+'!$AI$12,"C-",IF(T610&lt;'PlayerGrades+'!$AI$11,"C",IF(T610&lt;'PlayerGrades+'!$AI$10,"C+",IF(T610&lt;'PlayerGrades+'!$AI$9,"B-",IF(T610&lt;'PlayerGrades+'!$AI$8,"B",IF(T610&lt;'PlayerGrades+'!$AI$7,"B+",IF(T610&lt;'PlayerGrades+'!$AI$6,"A-",IF(T610&lt;'PlayerGrades+'!$AI$5,"A",IF(T610&lt;'PlayerGrades+'!$AI$4,"A+",IF(T610&lt;'PlayerGrades+'!$AI$3,"S-",IF(T610&lt;'PlayerGrades+'!$AI$2,"S","S+"))))))))))))))))))))</f>
        <v>#REF!</v>
      </c>
      <c r="V610" s="1379"/>
      <c r="W610" s="1379"/>
      <c r="X610" s="1379"/>
      <c r="Y610" s="1379"/>
      <c r="Z610" s="1379"/>
      <c r="AA610" s="1379"/>
      <c r="AB610" s="1379"/>
      <c r="AC610" s="1390"/>
      <c r="AD610" s="1379"/>
      <c r="AE610" s="1379"/>
      <c r="AF610" s="1379"/>
      <c r="AG610" s="1379"/>
      <c r="AH610" s="1379"/>
      <c r="AI610" s="1379"/>
      <c r="AJ610" s="1379"/>
      <c r="AK610" s="1379"/>
      <c r="AL610" s="1379"/>
      <c r="AM610" s="1379"/>
      <c r="AN610" s="1379"/>
      <c r="AO610" s="1379"/>
      <c r="AP610" s="1379"/>
      <c r="AQ610" s="1379"/>
      <c r="AR610" s="1379"/>
      <c r="AS610" s="1379"/>
      <c r="AT610" s="1379"/>
      <c r="AU610" s="1379"/>
      <c r="AV610" s="1379"/>
      <c r="AW610" s="1379"/>
      <c r="AX610" s="1379"/>
      <c r="AY610" s="1379"/>
      <c r="AZ610" s="1379"/>
    </row>
    <row r="611">
      <c r="A611" s="1391"/>
      <c r="B611" s="1421" t="str">
        <f>IF(C611&lt;'PlayerGrades+'!$Y$44,"F-",IF(C611&lt;'PlayerGrades+'!$Y$43,"F",IF(C611&lt;'PlayerGrades+'!$Y$42,"F+",IF(C611&lt;'PlayerGrades+'!$Y$41,"E-",IF(C611&lt;'PlayerGrades+'!$Y$40,"E",IF(C611&lt;'PlayerGrades+'!$Y$39,"E+",IF(C611&lt;'PlayerGrades+'!$Y$38,"D-",IF(C611&lt;'PlayerGrades+'!$Y$37,"D",IF(C611&lt;'PlayerGrades+'!$Y$36,"D+",IF(C611&lt;'PlayerGrades+'!$Y$35,"C-",IF(C611&lt;'PlayerGrades+'!$Y$34,"C",IF(C611&lt;'PlayerGrades+'!$Y$33,"C+",IF(C611&lt;'PlayerGrades+'!$Y$32,"B-",IF(C611&lt;'PlayerGrades+'!$Y$31,"B",IF(C611&lt;'PlayerGrades+'!$Y$30,"B+",IF(C611&lt;'PlayerGrades+'!$Y$29,"A-",IF(C611&lt;'PlayerGrades+'!$Y$28,"A",IF(C611&lt;'PlayerGrades+'!$Y$27,"A+",IF(C611&lt;'PlayerGrades+'!$Y$26,"S-",IF(C611&lt;'PlayerGrades+'!$Y$25,"S","S+"))))))))))))))))))))</f>
        <v>#DIV/0!</v>
      </c>
      <c r="C611" s="1422" t="str">
        <f>('PlayerGrades+'!$Y$47*(VLOOKUP(E611, 'PlayerGrades+'!$X$3:$Y$23, 2, FALSE)))+('PlayerGrades+'!$Y$48*(VLOOKUP(G611, 'PlayerGrades+'!$X$3:$Y$23, 2, FALSE)))+('PlayerGrades+'!$Y$49*(VLOOKUP(I611, 'PlayerGrades+'!$X$3:$Y$23, 2, FALSE)))+('PlayerGrades+'!$Y$50*(VLOOKUP(K611, 'PlayerGrades+'!$X$3:$Y$23, 2, FALSE)))+('PlayerGrades+'!$Y$51*(VLOOKUP(M611, 'PlayerGrades+'!$X$3:$Y$23, 2, FALSE)))+('PlayerGrades+'!$Y$52*(VLOOKUP(O611, 'PlayerGrades+'!$X$3:$Y$23, 2, FALSE)))+('PlayerGrades+'!$Y$53*(VLOOKUP(Q611, 'PlayerGrades+'!$X$3:$Y$23, 2, FALSE)))+('PlayerGrades+'!$Y$54*(VLOOKUP(S611, 'PlayerGrades+'!$X$3:$Y$23, 2, FALSE)))+('PlayerGrades+'!$Y$55*(VLOOKUP(U611, 'PlayerGrades+'!$X$3:$Y$23, 2, FALSE)))</f>
        <v>#DIV/0!</v>
      </c>
      <c r="D611" s="1423" t="str">
        <f t="shared" si="12"/>
        <v>#DIV/0!</v>
      </c>
      <c r="E611" s="1423" t="str">
        <f>IF(D611&lt;'PlayerGrades+'!$AA$21,"F-",IF(D611&lt;'PlayerGrades+'!$AA$20,"F",IF(D611&lt;'PlayerGrades+'!$AA$19,"F+",IF(D611&lt;'PlayerGrades+'!$AA$18,"E-",IF(D611&lt;'PlayerGrades+'!$AA$17,"E",IF(D611&lt;'PlayerGrades+'!$AA$16,"E+",IF(D611&lt;'PlayerGrades+'!$AA$15,"D-",IF(D611&lt;'PlayerGrades+'!$AA$14,"D",IF(D611&lt;'PlayerGrades+'!$AA$13,"D+",IF(D611&lt;'PlayerGrades+'!$AA$12,"C-",IF(D611&lt;'PlayerGrades+'!$AA$11,"C",IF(D611&lt;'PlayerGrades+'!$AA$10,"C+",IF(D611&lt;'PlayerGrades+'!$AA$9,"B-",IF(D611&lt;'PlayerGrades+'!$AA$8,"B",IF(D611&lt;'PlayerGrades+'!$AA$7,"B+",IF(D611&lt;'PlayerGrades+'!$AA$6,"A-",IF(D611&lt;'PlayerGrades+'!$AA$5,"A",IF(D611&lt;'PlayerGrades+'!$AA$4,"A+",IF(D611&lt;'PlayerGrades+'!$AA$3,"S-",IF(D611&lt;'PlayerGrades+'!$AA$2,"S","S+"))))))))))))))))))))</f>
        <v>#DIV/0!</v>
      </c>
      <c r="F611" s="1423" t="str">
        <f t="shared" si="13"/>
        <v>#DIV/0!</v>
      </c>
      <c r="G611" s="1423" t="str">
        <f>IF(F611&lt;'PlayerGrades+'!$AB$21,"F-",IF(F611&lt;'PlayerGrades+'!$AB$20,"F",IF(F611&lt;'PlayerGrades+'!$AB$19,"F+",IF(F611&lt;'PlayerGrades+'!$AB$18,"E-",IF(F611&lt;'PlayerGrades+'!$AB$17,"E",IF(F611&lt;'PlayerGrades+'!$AB$16,"E+",IF(F611&lt;'PlayerGrades+'!$AB$15,"D-",IF(F611&lt;'PlayerGrades+'!$AB$14,"D",IF(F611&lt;'PlayerGrades+'!$AB$13,"D+",IF(F611&lt;'PlayerGrades+'!$AB$12,"C-",IF(F611&lt;'PlayerGrades+'!$AB$11,"C",IF(F611&lt;'PlayerGrades+'!$AB$10,"C+",IF(F611&lt;'PlayerGrades+'!$AB$9,"B-",IF(F611&lt;'PlayerGrades+'!$AB$8,"B",IF(F611&lt;'PlayerGrades+'!$AB$7,"B+",IF(F611&lt;'PlayerGrades+'!$AB$6,"A-",IF(F611&lt;'PlayerGrades+'!$AB$5,"A",IF(F611&lt;'PlayerGrades+'!$AB$4,"A+",IF(F611&lt;'PlayerGrades+'!$AB$3,"S-",IF(F611&lt;'PlayerGrades+'!$AB$2,"S","S+"))))))))))))))))))))</f>
        <v>#DIV/0!</v>
      </c>
      <c r="H611" s="1423" t="str">
        <f t="shared" si="14"/>
        <v>#DIV/0!</v>
      </c>
      <c r="I611" s="1423" t="str">
        <f>IF(H611&lt;'PlayerGrades+'!$AC$21,"F-",IF(H611&lt;'PlayerGrades+'!$AC$20,"F",IF(H611&lt;'PlayerGrades+'!$AC$19,"F+",IF(H611&lt;'PlayerGrades+'!$AC$18,"E-",IF(H611&lt;'PlayerGrades+'!$AC$17,"E",IF(H611&lt;'PlayerGrades+'!$AC$16,"E+",IF(H611&lt;'PlayerGrades+'!$AC$15,"D-",IF(H611&lt;'PlayerGrades+'!$AC$14,"D",IF(H611&lt;'PlayerGrades+'!$AC$13,"D+",IF(H611&lt;'PlayerGrades+'!$AC$12,"C-",IF(H611&lt;'PlayerGrades+'!$AC$11,"C",IF(H611&lt;'PlayerGrades+'!$AC$10,"C+",IF(H611&lt;'PlayerGrades+'!$AC$9,"B-",IF(H611&lt;'PlayerGrades+'!$AC$8,"B",IF(H611&lt;'PlayerGrades+'!$AC$7,"B+",IF(H611&lt;'PlayerGrades+'!$AC$6,"A-",IF(H611&lt;'PlayerGrades+'!$AC$5,"A",IF(H611&lt;'PlayerGrades+'!$AC$4,"A+",IF(H611&lt;'PlayerGrades+'!$AC$3,"S-",IF(H611&lt;'PlayerGrades+'!$AC$2,"S","S+"))))))))))))))))))))</f>
        <v>#DIV/0!</v>
      </c>
      <c r="J611" s="1423" t="str">
        <f t="shared" si="15"/>
        <v>#DIV/0!</v>
      </c>
      <c r="K611" s="1423" t="str">
        <f>IF(J611&lt;'PlayerGrades+'!$AD$21,"F-",IF(J611&lt;'PlayerGrades+'!$AD$20,"F",IF(J611&lt;'PlayerGrades+'!$AD$19,"F+",IF(J611&lt;'PlayerGrades+'!$AD$18,"E-",IF(J611&lt;'PlayerGrades+'!$AD$17,"E",IF(J611&lt;'PlayerGrades+'!$AD$16,"E+",IF(J611&lt;'PlayerGrades+'!$AD$15,"D-",IF(J611&lt;'PlayerGrades+'!$AD$14,"D",IF(J611&lt;'PlayerGrades+'!$AD$13,"D+",IF(J611&lt;'PlayerGrades+'!$AD$12,"C-",IF(J611&lt;'PlayerGrades+'!$AD$11,"C",IF(J611&lt;'PlayerGrades+'!$AD$10,"C+",IF(J611&lt;'PlayerGrades+'!$AD$9,"B-",IF(J611&lt;'PlayerGrades+'!$AD$8,"B",IF(J611&lt;'PlayerGrades+'!$AD$7,"B+",IF(J611&lt;'PlayerGrades+'!$AD$6,"A-",IF(J611&lt;'PlayerGrades+'!$AD$5,"A",IF(J611&lt;'PlayerGrades+'!$AD$4,"A+",IF(J611&lt;'PlayerGrades+'!$AD$3,"S-",IF(J611&lt;'PlayerGrades+'!$AD$2,"S","S+"))))))))))))))))))))</f>
        <v>#DIV/0!</v>
      </c>
      <c r="L611" s="1176" t="str">
        <f t="shared" si="16"/>
        <v>#DIV/0!</v>
      </c>
      <c r="M611" s="992" t="str">
        <f>IF(L611&lt;'PlayerGrades+'!$AE$21,"F-",IF(L611&lt;'PlayerGrades+'!$AE$20,"F",IF(L611&lt;'PlayerGrades+'!$AE$19,"F+",IF(L611&lt;'PlayerGrades+'!$AE$18,"E-",IF(L611&lt;'PlayerGrades+'!$AE$17,"E",IF(L611&lt;'PlayerGrades+'!$AE$16,"E+",IF(L611&lt;'PlayerGrades+'!$AE$15,"D-",IF(L611&lt;'PlayerGrades+'!$AE$14,"D",IF(L611&lt;'PlayerGrades+'!$AE$13,"D+",IF(L611&lt;'PlayerGrades+'!$AE$12,"C-",IF(L611&lt;'PlayerGrades+'!$AE$11,"C",IF(L611&lt;'PlayerGrades+'!$AE$10,"C+",IF(L611&lt;'PlayerGrades+'!$AE$9,"B-",IF(L611&lt;'PlayerGrades+'!$AE$8,"B",IF(L611&lt;'PlayerGrades+'!$AE$7,"B+",IF(L611&lt;'PlayerGrades+'!$AE$6,"A-",IF(L611&lt;'PlayerGrades+'!$AE$5,"A",IF(L611&lt;'PlayerGrades+'!$AE$4,"A+",IF(L611&lt;'PlayerGrades+'!$AE$3,"S-",IF(L611&lt;'PlayerGrades+'!$AE$2,"S","S+"))))))))))))))))))))</f>
        <v>#DIV/0!</v>
      </c>
      <c r="N611" s="1423" t="str">
        <f t="shared" si="17"/>
        <v>#DIV/0!</v>
      </c>
      <c r="O611" s="1423" t="str">
        <f>IF(N611&lt;'PlayerGrades+'!$AF$21,"F-",IF(N611&lt;'PlayerGrades+'!$AF$20,"F",IF(N611&lt;'PlayerGrades+'!$AF$19,"F+",IF(N611&lt;'PlayerGrades+'!$AF$18,"E-",IF(N611&lt;'PlayerGrades+'!$AF$17,"E",IF(N611&lt;'PlayerGrades+'!$AF$16,"E+",IF(N611&lt;'PlayerGrades+'!$AF$15,"D-",IF(N611&lt;'PlayerGrades+'!$AF$14,"D",IF(N611&lt;'PlayerGrades+'!$AF$13,"D+",IF(N611&lt;'PlayerGrades+'!$AF$12,"C-",IF(N611&lt;'PlayerGrades+'!$AF$11,"C",IF(N611&lt;'PlayerGrades+'!$AF$10,"C+",IF(N611&lt;'PlayerGrades+'!$AF$9,"B-",IF(N611&lt;'PlayerGrades+'!$AF$8,"B",IF(N611&lt;'PlayerGrades+'!$AF$7,"B+",IF(N611&lt;'PlayerGrades+'!$AF$6,"A-",IF(N611&lt;'PlayerGrades+'!$AF$5,"A",IF(N611&lt;'PlayerGrades+'!$AF$4,"A+",IF(N611&lt;'PlayerGrades+'!$AF$3,"S-",IF(N611&lt;'PlayerGrades+'!$AF$2,"S","S+"))))))))))))))))))))</f>
        <v>#DIV/0!</v>
      </c>
      <c r="P611" s="1423" t="str">
        <f t="shared" si="18"/>
        <v>#DIV/0!</v>
      </c>
      <c r="Q611" s="1423" t="str">
        <f>IF(P611&lt;'PlayerGrades+'!$AG$21,"F-",IF(P611&lt;'PlayerGrades+'!$AG$20,"F",IF(P611&lt;'PlayerGrades+'!$AG$19,"F+",IF(P611&lt;'PlayerGrades+'!$AG$18,"E-",IF(P611&lt;'PlayerGrades+'!$AG$17,"E",IF(P611&lt;'PlayerGrades+'!$AG$16,"E+",IF(P611&lt;'PlayerGrades+'!$AG$15,"D-",IF(P611&lt;'PlayerGrades+'!$AG$14,"D",IF(P611&lt;'PlayerGrades+'!$AG$13,"D+",IF(P611&lt;'PlayerGrades+'!$AG$12,"C-",IF(P611&lt;'PlayerGrades+'!$AG$11,"C",IF(P611&lt;'PlayerGrades+'!$AG$10,"C+",IF(P611&lt;'PlayerGrades+'!$AG$9,"B-",IF(P611&lt;'PlayerGrades+'!$AG$8,"B",IF(P611&lt;'PlayerGrades+'!$AG$7,"B+",IF(P611&lt;'PlayerGrades+'!$AG$6,"A-",IF(P611&lt;'PlayerGrades+'!$AG$5,"A",IF(P611&lt;'PlayerGrades+'!$AG$4,"A+",IF(P611&lt;'PlayerGrades+'!$AG$3,"S-",IF(P611&lt;'PlayerGrades+'!$AG$2,"S","S+"))))))))))))))))))))</f>
        <v>#DIV/0!</v>
      </c>
      <c r="R611" s="1423" t="str">
        <f t="shared" si="19"/>
        <v>#REF!</v>
      </c>
      <c r="S611" s="1423" t="str">
        <f>IF(R611&lt;'PlayerGrades+'!$AH$21,"F-",IF(R611&lt;'PlayerGrades+'!$AH$20,"F",IF(R611&lt;'PlayerGrades+'!$AH$19,"F+",IF(R611&lt;'PlayerGrades+'!$AH$18,"E-",IF(R611&lt;'PlayerGrades+'!$AH$17,"E",IF(R611&lt;'PlayerGrades+'!$AH$16,"E+",IF(R611&lt;'PlayerGrades+'!$AH$15,"D-",IF(R611&lt;'PlayerGrades+'!$AH$14,"D",IF(R611&lt;'PlayerGrades+'!$AH$13,"D+",IF(R611&lt;'PlayerGrades+'!$AH$12,"C-",IF(R611&lt;'PlayerGrades+'!$AH$11,"C",IF(R611&lt;'PlayerGrades+'!$AH$10,"C+",IF(R611&lt;'PlayerGrades+'!$AH$9,"B-",IF(R611&lt;'PlayerGrades+'!$AH$8,"B",IF(R611&lt;'PlayerGrades+'!$AH$7,"B+",IF(R611&lt;'PlayerGrades+'!$AH$6,"A-",IF(R611&lt;'PlayerGrades+'!$AH$5,"A",IF(R611&lt;'PlayerGrades+'!$AH$4,"A+",IF(R611&lt;'PlayerGrades+'!$AH$3,"S-",IF(R611&lt;'PlayerGrades+'!$AH$2,"S","S+"))))))))))))))))))))</f>
        <v>#REF!</v>
      </c>
      <c r="T611" s="1423" t="str">
        <f t="shared" si="20"/>
        <v>#REF!</v>
      </c>
      <c r="U611" s="1423" t="str">
        <f>IF(T611&lt;'PlayerGrades+'!$AI$21,"F-",IF(T611&lt;'PlayerGrades+'!$AI$20,"F",IF(T611&lt;'PlayerGrades+'!$AI$19,"F+",IF(T611&lt;'PlayerGrades+'!$AI$18,"E-",IF(T611&lt;'PlayerGrades+'!$AI$17,"E",IF(T611&lt;'PlayerGrades+'!$AI$16,"E+",IF(T611&lt;'PlayerGrades+'!$AI$15,"D-",IF(T611&lt;'PlayerGrades+'!$AI$14,"D",IF(T611&lt;'PlayerGrades+'!$AI$13,"D+",IF(T611&lt;'PlayerGrades+'!$AI$12,"C-",IF(T611&lt;'PlayerGrades+'!$AI$11,"C",IF(T611&lt;'PlayerGrades+'!$AI$10,"C+",IF(T611&lt;'PlayerGrades+'!$AI$9,"B-",IF(T611&lt;'PlayerGrades+'!$AI$8,"B",IF(T611&lt;'PlayerGrades+'!$AI$7,"B+",IF(T611&lt;'PlayerGrades+'!$AI$6,"A-",IF(T611&lt;'PlayerGrades+'!$AI$5,"A",IF(T611&lt;'PlayerGrades+'!$AI$4,"A+",IF(T611&lt;'PlayerGrades+'!$AI$3,"S-",IF(T611&lt;'PlayerGrades+'!$AI$2,"S","S+"))))))))))))))))))))</f>
        <v>#REF!</v>
      </c>
      <c r="AC611" s="1392"/>
    </row>
    <row r="612">
      <c r="A612" s="1391"/>
      <c r="B612" s="1421" t="str">
        <f>IF(C612&lt;'PlayerGrades+'!$Y$44,"F-",IF(C612&lt;'PlayerGrades+'!$Y$43,"F",IF(C612&lt;'PlayerGrades+'!$Y$42,"F+",IF(C612&lt;'PlayerGrades+'!$Y$41,"E-",IF(C612&lt;'PlayerGrades+'!$Y$40,"E",IF(C612&lt;'PlayerGrades+'!$Y$39,"E+",IF(C612&lt;'PlayerGrades+'!$Y$38,"D-",IF(C612&lt;'PlayerGrades+'!$Y$37,"D",IF(C612&lt;'PlayerGrades+'!$Y$36,"D+",IF(C612&lt;'PlayerGrades+'!$Y$35,"C-",IF(C612&lt;'PlayerGrades+'!$Y$34,"C",IF(C612&lt;'PlayerGrades+'!$Y$33,"C+",IF(C612&lt;'PlayerGrades+'!$Y$32,"B-",IF(C612&lt;'PlayerGrades+'!$Y$31,"B",IF(C612&lt;'PlayerGrades+'!$Y$30,"B+",IF(C612&lt;'PlayerGrades+'!$Y$29,"A-",IF(C612&lt;'PlayerGrades+'!$Y$28,"A",IF(C612&lt;'PlayerGrades+'!$Y$27,"A+",IF(C612&lt;'PlayerGrades+'!$Y$26,"S-",IF(C612&lt;'PlayerGrades+'!$Y$25,"S","S+"))))))))))))))))))))</f>
        <v>#DIV/0!</v>
      </c>
      <c r="C612" s="1422" t="str">
        <f>('PlayerGrades+'!$Y$47*(VLOOKUP(E612, 'PlayerGrades+'!$X$3:$Y$23, 2, FALSE)))+('PlayerGrades+'!$Y$48*(VLOOKUP(G612, 'PlayerGrades+'!$X$3:$Y$23, 2, FALSE)))+('PlayerGrades+'!$Y$49*(VLOOKUP(I612, 'PlayerGrades+'!$X$3:$Y$23, 2, FALSE)))+('PlayerGrades+'!$Y$50*(VLOOKUP(K612, 'PlayerGrades+'!$X$3:$Y$23, 2, FALSE)))+('PlayerGrades+'!$Y$51*(VLOOKUP(M612, 'PlayerGrades+'!$X$3:$Y$23, 2, FALSE)))+('PlayerGrades+'!$Y$52*(VLOOKUP(O612, 'PlayerGrades+'!$X$3:$Y$23, 2, FALSE)))+('PlayerGrades+'!$Y$53*(VLOOKUP(Q612, 'PlayerGrades+'!$X$3:$Y$23, 2, FALSE)))+('PlayerGrades+'!$Y$54*(VLOOKUP(S612, 'PlayerGrades+'!$X$3:$Y$23, 2, FALSE)))+('PlayerGrades+'!$Y$55*(VLOOKUP(U612, 'PlayerGrades+'!$X$3:$Y$23, 2, FALSE)))</f>
        <v>#DIV/0!</v>
      </c>
      <c r="D612" s="1423" t="str">
        <f t="shared" si="12"/>
        <v>#DIV/0!</v>
      </c>
      <c r="E612" s="1423" t="str">
        <f>IF(D612&lt;'PlayerGrades+'!$AA$21,"F-",IF(D612&lt;'PlayerGrades+'!$AA$20,"F",IF(D612&lt;'PlayerGrades+'!$AA$19,"F+",IF(D612&lt;'PlayerGrades+'!$AA$18,"E-",IF(D612&lt;'PlayerGrades+'!$AA$17,"E",IF(D612&lt;'PlayerGrades+'!$AA$16,"E+",IF(D612&lt;'PlayerGrades+'!$AA$15,"D-",IF(D612&lt;'PlayerGrades+'!$AA$14,"D",IF(D612&lt;'PlayerGrades+'!$AA$13,"D+",IF(D612&lt;'PlayerGrades+'!$AA$12,"C-",IF(D612&lt;'PlayerGrades+'!$AA$11,"C",IF(D612&lt;'PlayerGrades+'!$AA$10,"C+",IF(D612&lt;'PlayerGrades+'!$AA$9,"B-",IF(D612&lt;'PlayerGrades+'!$AA$8,"B",IF(D612&lt;'PlayerGrades+'!$AA$7,"B+",IF(D612&lt;'PlayerGrades+'!$AA$6,"A-",IF(D612&lt;'PlayerGrades+'!$AA$5,"A",IF(D612&lt;'PlayerGrades+'!$AA$4,"A+",IF(D612&lt;'PlayerGrades+'!$AA$3,"S-",IF(D612&lt;'PlayerGrades+'!$AA$2,"S","S+"))))))))))))))))))))</f>
        <v>#DIV/0!</v>
      </c>
      <c r="F612" s="1423" t="str">
        <f t="shared" si="13"/>
        <v>#DIV/0!</v>
      </c>
      <c r="G612" s="1423" t="str">
        <f>IF(F612&lt;'PlayerGrades+'!$AB$21,"F-",IF(F612&lt;'PlayerGrades+'!$AB$20,"F",IF(F612&lt;'PlayerGrades+'!$AB$19,"F+",IF(F612&lt;'PlayerGrades+'!$AB$18,"E-",IF(F612&lt;'PlayerGrades+'!$AB$17,"E",IF(F612&lt;'PlayerGrades+'!$AB$16,"E+",IF(F612&lt;'PlayerGrades+'!$AB$15,"D-",IF(F612&lt;'PlayerGrades+'!$AB$14,"D",IF(F612&lt;'PlayerGrades+'!$AB$13,"D+",IF(F612&lt;'PlayerGrades+'!$AB$12,"C-",IF(F612&lt;'PlayerGrades+'!$AB$11,"C",IF(F612&lt;'PlayerGrades+'!$AB$10,"C+",IF(F612&lt;'PlayerGrades+'!$AB$9,"B-",IF(F612&lt;'PlayerGrades+'!$AB$8,"B",IF(F612&lt;'PlayerGrades+'!$AB$7,"B+",IF(F612&lt;'PlayerGrades+'!$AB$6,"A-",IF(F612&lt;'PlayerGrades+'!$AB$5,"A",IF(F612&lt;'PlayerGrades+'!$AB$4,"A+",IF(F612&lt;'PlayerGrades+'!$AB$3,"S-",IF(F612&lt;'PlayerGrades+'!$AB$2,"S","S+"))))))))))))))))))))</f>
        <v>#DIV/0!</v>
      </c>
      <c r="H612" s="1423" t="str">
        <f t="shared" si="14"/>
        <v>#DIV/0!</v>
      </c>
      <c r="I612" s="1423" t="str">
        <f>IF(H612&lt;'PlayerGrades+'!$AC$21,"F-",IF(H612&lt;'PlayerGrades+'!$AC$20,"F",IF(H612&lt;'PlayerGrades+'!$AC$19,"F+",IF(H612&lt;'PlayerGrades+'!$AC$18,"E-",IF(H612&lt;'PlayerGrades+'!$AC$17,"E",IF(H612&lt;'PlayerGrades+'!$AC$16,"E+",IF(H612&lt;'PlayerGrades+'!$AC$15,"D-",IF(H612&lt;'PlayerGrades+'!$AC$14,"D",IF(H612&lt;'PlayerGrades+'!$AC$13,"D+",IF(H612&lt;'PlayerGrades+'!$AC$12,"C-",IF(H612&lt;'PlayerGrades+'!$AC$11,"C",IF(H612&lt;'PlayerGrades+'!$AC$10,"C+",IF(H612&lt;'PlayerGrades+'!$AC$9,"B-",IF(H612&lt;'PlayerGrades+'!$AC$8,"B",IF(H612&lt;'PlayerGrades+'!$AC$7,"B+",IF(H612&lt;'PlayerGrades+'!$AC$6,"A-",IF(H612&lt;'PlayerGrades+'!$AC$5,"A",IF(H612&lt;'PlayerGrades+'!$AC$4,"A+",IF(H612&lt;'PlayerGrades+'!$AC$3,"S-",IF(H612&lt;'PlayerGrades+'!$AC$2,"S","S+"))))))))))))))))))))</f>
        <v>#DIV/0!</v>
      </c>
      <c r="J612" s="1423" t="str">
        <f t="shared" si="15"/>
        <v>#DIV/0!</v>
      </c>
      <c r="K612" s="1423" t="str">
        <f>IF(J612&lt;'PlayerGrades+'!$AD$21,"F-",IF(J612&lt;'PlayerGrades+'!$AD$20,"F",IF(J612&lt;'PlayerGrades+'!$AD$19,"F+",IF(J612&lt;'PlayerGrades+'!$AD$18,"E-",IF(J612&lt;'PlayerGrades+'!$AD$17,"E",IF(J612&lt;'PlayerGrades+'!$AD$16,"E+",IF(J612&lt;'PlayerGrades+'!$AD$15,"D-",IF(J612&lt;'PlayerGrades+'!$AD$14,"D",IF(J612&lt;'PlayerGrades+'!$AD$13,"D+",IF(J612&lt;'PlayerGrades+'!$AD$12,"C-",IF(J612&lt;'PlayerGrades+'!$AD$11,"C",IF(J612&lt;'PlayerGrades+'!$AD$10,"C+",IF(J612&lt;'PlayerGrades+'!$AD$9,"B-",IF(J612&lt;'PlayerGrades+'!$AD$8,"B",IF(J612&lt;'PlayerGrades+'!$AD$7,"B+",IF(J612&lt;'PlayerGrades+'!$AD$6,"A-",IF(J612&lt;'PlayerGrades+'!$AD$5,"A",IF(J612&lt;'PlayerGrades+'!$AD$4,"A+",IF(J612&lt;'PlayerGrades+'!$AD$3,"S-",IF(J612&lt;'PlayerGrades+'!$AD$2,"S","S+"))))))))))))))))))))</f>
        <v>#DIV/0!</v>
      </c>
      <c r="L612" s="1176" t="str">
        <f t="shared" si="16"/>
        <v>#DIV/0!</v>
      </c>
      <c r="M612" s="992" t="str">
        <f>IF(L612&lt;'PlayerGrades+'!$AE$21,"F-",IF(L612&lt;'PlayerGrades+'!$AE$20,"F",IF(L612&lt;'PlayerGrades+'!$AE$19,"F+",IF(L612&lt;'PlayerGrades+'!$AE$18,"E-",IF(L612&lt;'PlayerGrades+'!$AE$17,"E",IF(L612&lt;'PlayerGrades+'!$AE$16,"E+",IF(L612&lt;'PlayerGrades+'!$AE$15,"D-",IF(L612&lt;'PlayerGrades+'!$AE$14,"D",IF(L612&lt;'PlayerGrades+'!$AE$13,"D+",IF(L612&lt;'PlayerGrades+'!$AE$12,"C-",IF(L612&lt;'PlayerGrades+'!$AE$11,"C",IF(L612&lt;'PlayerGrades+'!$AE$10,"C+",IF(L612&lt;'PlayerGrades+'!$AE$9,"B-",IF(L612&lt;'PlayerGrades+'!$AE$8,"B",IF(L612&lt;'PlayerGrades+'!$AE$7,"B+",IF(L612&lt;'PlayerGrades+'!$AE$6,"A-",IF(L612&lt;'PlayerGrades+'!$AE$5,"A",IF(L612&lt;'PlayerGrades+'!$AE$4,"A+",IF(L612&lt;'PlayerGrades+'!$AE$3,"S-",IF(L612&lt;'PlayerGrades+'!$AE$2,"S","S+"))))))))))))))))))))</f>
        <v>#DIV/0!</v>
      </c>
      <c r="N612" s="1423" t="str">
        <f t="shared" si="17"/>
        <v>#DIV/0!</v>
      </c>
      <c r="O612" s="1423" t="str">
        <f>IF(N612&lt;'PlayerGrades+'!$AF$21,"F-",IF(N612&lt;'PlayerGrades+'!$AF$20,"F",IF(N612&lt;'PlayerGrades+'!$AF$19,"F+",IF(N612&lt;'PlayerGrades+'!$AF$18,"E-",IF(N612&lt;'PlayerGrades+'!$AF$17,"E",IF(N612&lt;'PlayerGrades+'!$AF$16,"E+",IF(N612&lt;'PlayerGrades+'!$AF$15,"D-",IF(N612&lt;'PlayerGrades+'!$AF$14,"D",IF(N612&lt;'PlayerGrades+'!$AF$13,"D+",IF(N612&lt;'PlayerGrades+'!$AF$12,"C-",IF(N612&lt;'PlayerGrades+'!$AF$11,"C",IF(N612&lt;'PlayerGrades+'!$AF$10,"C+",IF(N612&lt;'PlayerGrades+'!$AF$9,"B-",IF(N612&lt;'PlayerGrades+'!$AF$8,"B",IF(N612&lt;'PlayerGrades+'!$AF$7,"B+",IF(N612&lt;'PlayerGrades+'!$AF$6,"A-",IF(N612&lt;'PlayerGrades+'!$AF$5,"A",IF(N612&lt;'PlayerGrades+'!$AF$4,"A+",IF(N612&lt;'PlayerGrades+'!$AF$3,"S-",IF(N612&lt;'PlayerGrades+'!$AF$2,"S","S+"))))))))))))))))))))</f>
        <v>#DIV/0!</v>
      </c>
      <c r="P612" s="1423" t="str">
        <f t="shared" si="18"/>
        <v>#DIV/0!</v>
      </c>
      <c r="Q612" s="1423" t="str">
        <f>IF(P612&lt;'PlayerGrades+'!$AG$21,"F-",IF(P612&lt;'PlayerGrades+'!$AG$20,"F",IF(P612&lt;'PlayerGrades+'!$AG$19,"F+",IF(P612&lt;'PlayerGrades+'!$AG$18,"E-",IF(P612&lt;'PlayerGrades+'!$AG$17,"E",IF(P612&lt;'PlayerGrades+'!$AG$16,"E+",IF(P612&lt;'PlayerGrades+'!$AG$15,"D-",IF(P612&lt;'PlayerGrades+'!$AG$14,"D",IF(P612&lt;'PlayerGrades+'!$AG$13,"D+",IF(P612&lt;'PlayerGrades+'!$AG$12,"C-",IF(P612&lt;'PlayerGrades+'!$AG$11,"C",IF(P612&lt;'PlayerGrades+'!$AG$10,"C+",IF(P612&lt;'PlayerGrades+'!$AG$9,"B-",IF(P612&lt;'PlayerGrades+'!$AG$8,"B",IF(P612&lt;'PlayerGrades+'!$AG$7,"B+",IF(P612&lt;'PlayerGrades+'!$AG$6,"A-",IF(P612&lt;'PlayerGrades+'!$AG$5,"A",IF(P612&lt;'PlayerGrades+'!$AG$4,"A+",IF(P612&lt;'PlayerGrades+'!$AG$3,"S-",IF(P612&lt;'PlayerGrades+'!$AG$2,"S","S+"))))))))))))))))))))</f>
        <v>#DIV/0!</v>
      </c>
      <c r="R612" s="1423" t="str">
        <f t="shared" si="19"/>
        <v>#REF!</v>
      </c>
      <c r="S612" s="1423" t="str">
        <f>IF(R612&lt;'PlayerGrades+'!$AH$21,"F-",IF(R612&lt;'PlayerGrades+'!$AH$20,"F",IF(R612&lt;'PlayerGrades+'!$AH$19,"F+",IF(R612&lt;'PlayerGrades+'!$AH$18,"E-",IF(R612&lt;'PlayerGrades+'!$AH$17,"E",IF(R612&lt;'PlayerGrades+'!$AH$16,"E+",IF(R612&lt;'PlayerGrades+'!$AH$15,"D-",IF(R612&lt;'PlayerGrades+'!$AH$14,"D",IF(R612&lt;'PlayerGrades+'!$AH$13,"D+",IF(R612&lt;'PlayerGrades+'!$AH$12,"C-",IF(R612&lt;'PlayerGrades+'!$AH$11,"C",IF(R612&lt;'PlayerGrades+'!$AH$10,"C+",IF(R612&lt;'PlayerGrades+'!$AH$9,"B-",IF(R612&lt;'PlayerGrades+'!$AH$8,"B",IF(R612&lt;'PlayerGrades+'!$AH$7,"B+",IF(R612&lt;'PlayerGrades+'!$AH$6,"A-",IF(R612&lt;'PlayerGrades+'!$AH$5,"A",IF(R612&lt;'PlayerGrades+'!$AH$4,"A+",IF(R612&lt;'PlayerGrades+'!$AH$3,"S-",IF(R612&lt;'PlayerGrades+'!$AH$2,"S","S+"))))))))))))))))))))</f>
        <v>#REF!</v>
      </c>
      <c r="T612" s="1423" t="str">
        <f t="shared" si="20"/>
        <v>#REF!</v>
      </c>
      <c r="U612" s="1423" t="str">
        <f>IF(T612&lt;'PlayerGrades+'!$AI$21,"F-",IF(T612&lt;'PlayerGrades+'!$AI$20,"F",IF(T612&lt;'PlayerGrades+'!$AI$19,"F+",IF(T612&lt;'PlayerGrades+'!$AI$18,"E-",IF(T612&lt;'PlayerGrades+'!$AI$17,"E",IF(T612&lt;'PlayerGrades+'!$AI$16,"E+",IF(T612&lt;'PlayerGrades+'!$AI$15,"D-",IF(T612&lt;'PlayerGrades+'!$AI$14,"D",IF(T612&lt;'PlayerGrades+'!$AI$13,"D+",IF(T612&lt;'PlayerGrades+'!$AI$12,"C-",IF(T612&lt;'PlayerGrades+'!$AI$11,"C",IF(T612&lt;'PlayerGrades+'!$AI$10,"C+",IF(T612&lt;'PlayerGrades+'!$AI$9,"B-",IF(T612&lt;'PlayerGrades+'!$AI$8,"B",IF(T612&lt;'PlayerGrades+'!$AI$7,"B+",IF(T612&lt;'PlayerGrades+'!$AI$6,"A-",IF(T612&lt;'PlayerGrades+'!$AI$5,"A",IF(T612&lt;'PlayerGrades+'!$AI$4,"A+",IF(T612&lt;'PlayerGrades+'!$AI$3,"S-",IF(T612&lt;'PlayerGrades+'!$AI$2,"S","S+"))))))))))))))))))))</f>
        <v>#REF!</v>
      </c>
      <c r="AC612" s="1392"/>
    </row>
    <row r="613">
      <c r="A613" s="1391"/>
      <c r="B613" s="1421" t="str">
        <f>IF(C613&lt;'PlayerGrades+'!$Y$44,"F-",IF(C613&lt;'PlayerGrades+'!$Y$43,"F",IF(C613&lt;'PlayerGrades+'!$Y$42,"F+",IF(C613&lt;'PlayerGrades+'!$Y$41,"E-",IF(C613&lt;'PlayerGrades+'!$Y$40,"E",IF(C613&lt;'PlayerGrades+'!$Y$39,"E+",IF(C613&lt;'PlayerGrades+'!$Y$38,"D-",IF(C613&lt;'PlayerGrades+'!$Y$37,"D",IF(C613&lt;'PlayerGrades+'!$Y$36,"D+",IF(C613&lt;'PlayerGrades+'!$Y$35,"C-",IF(C613&lt;'PlayerGrades+'!$Y$34,"C",IF(C613&lt;'PlayerGrades+'!$Y$33,"C+",IF(C613&lt;'PlayerGrades+'!$Y$32,"B-",IF(C613&lt;'PlayerGrades+'!$Y$31,"B",IF(C613&lt;'PlayerGrades+'!$Y$30,"B+",IF(C613&lt;'PlayerGrades+'!$Y$29,"A-",IF(C613&lt;'PlayerGrades+'!$Y$28,"A",IF(C613&lt;'PlayerGrades+'!$Y$27,"A+",IF(C613&lt;'PlayerGrades+'!$Y$26,"S-",IF(C613&lt;'PlayerGrades+'!$Y$25,"S","S+"))))))))))))))))))))</f>
        <v>#DIV/0!</v>
      </c>
      <c r="C613" s="1422" t="str">
        <f>('PlayerGrades+'!$Y$47*(VLOOKUP(E613, 'PlayerGrades+'!$X$3:$Y$23, 2, FALSE)))+('PlayerGrades+'!$Y$48*(VLOOKUP(G613, 'PlayerGrades+'!$X$3:$Y$23, 2, FALSE)))+('PlayerGrades+'!$Y$49*(VLOOKUP(I613, 'PlayerGrades+'!$X$3:$Y$23, 2, FALSE)))+('PlayerGrades+'!$Y$50*(VLOOKUP(K613, 'PlayerGrades+'!$X$3:$Y$23, 2, FALSE)))+('PlayerGrades+'!$Y$51*(VLOOKUP(M613, 'PlayerGrades+'!$X$3:$Y$23, 2, FALSE)))+('PlayerGrades+'!$Y$52*(VLOOKUP(O613, 'PlayerGrades+'!$X$3:$Y$23, 2, FALSE)))+('PlayerGrades+'!$Y$53*(VLOOKUP(Q613, 'PlayerGrades+'!$X$3:$Y$23, 2, FALSE)))+('PlayerGrades+'!$Y$54*(VLOOKUP(S613, 'PlayerGrades+'!$X$3:$Y$23, 2, FALSE)))+('PlayerGrades+'!$Y$55*(VLOOKUP(U613, 'PlayerGrades+'!$X$3:$Y$23, 2, FALSE)))</f>
        <v>#DIV/0!</v>
      </c>
      <c r="D613" s="1423" t="str">
        <f t="shared" si="12"/>
        <v>#DIV/0!</v>
      </c>
      <c r="E613" s="1423" t="str">
        <f>IF(D613&lt;'PlayerGrades+'!$AA$21,"F-",IF(D613&lt;'PlayerGrades+'!$AA$20,"F",IF(D613&lt;'PlayerGrades+'!$AA$19,"F+",IF(D613&lt;'PlayerGrades+'!$AA$18,"E-",IF(D613&lt;'PlayerGrades+'!$AA$17,"E",IF(D613&lt;'PlayerGrades+'!$AA$16,"E+",IF(D613&lt;'PlayerGrades+'!$AA$15,"D-",IF(D613&lt;'PlayerGrades+'!$AA$14,"D",IF(D613&lt;'PlayerGrades+'!$AA$13,"D+",IF(D613&lt;'PlayerGrades+'!$AA$12,"C-",IF(D613&lt;'PlayerGrades+'!$AA$11,"C",IF(D613&lt;'PlayerGrades+'!$AA$10,"C+",IF(D613&lt;'PlayerGrades+'!$AA$9,"B-",IF(D613&lt;'PlayerGrades+'!$AA$8,"B",IF(D613&lt;'PlayerGrades+'!$AA$7,"B+",IF(D613&lt;'PlayerGrades+'!$AA$6,"A-",IF(D613&lt;'PlayerGrades+'!$AA$5,"A",IF(D613&lt;'PlayerGrades+'!$AA$4,"A+",IF(D613&lt;'PlayerGrades+'!$AA$3,"S-",IF(D613&lt;'PlayerGrades+'!$AA$2,"S","S+"))))))))))))))))))))</f>
        <v>#DIV/0!</v>
      </c>
      <c r="F613" s="1423" t="str">
        <f t="shared" si="13"/>
        <v>#DIV/0!</v>
      </c>
      <c r="G613" s="1423" t="str">
        <f>IF(F613&lt;'PlayerGrades+'!$AB$21,"F-",IF(F613&lt;'PlayerGrades+'!$AB$20,"F",IF(F613&lt;'PlayerGrades+'!$AB$19,"F+",IF(F613&lt;'PlayerGrades+'!$AB$18,"E-",IF(F613&lt;'PlayerGrades+'!$AB$17,"E",IF(F613&lt;'PlayerGrades+'!$AB$16,"E+",IF(F613&lt;'PlayerGrades+'!$AB$15,"D-",IF(F613&lt;'PlayerGrades+'!$AB$14,"D",IF(F613&lt;'PlayerGrades+'!$AB$13,"D+",IF(F613&lt;'PlayerGrades+'!$AB$12,"C-",IF(F613&lt;'PlayerGrades+'!$AB$11,"C",IF(F613&lt;'PlayerGrades+'!$AB$10,"C+",IF(F613&lt;'PlayerGrades+'!$AB$9,"B-",IF(F613&lt;'PlayerGrades+'!$AB$8,"B",IF(F613&lt;'PlayerGrades+'!$AB$7,"B+",IF(F613&lt;'PlayerGrades+'!$AB$6,"A-",IF(F613&lt;'PlayerGrades+'!$AB$5,"A",IF(F613&lt;'PlayerGrades+'!$AB$4,"A+",IF(F613&lt;'PlayerGrades+'!$AB$3,"S-",IF(F613&lt;'PlayerGrades+'!$AB$2,"S","S+"))))))))))))))))))))</f>
        <v>#DIV/0!</v>
      </c>
      <c r="H613" s="1423" t="str">
        <f t="shared" si="14"/>
        <v>#DIV/0!</v>
      </c>
      <c r="I613" s="1423" t="str">
        <f>IF(H613&lt;'PlayerGrades+'!$AC$21,"F-",IF(H613&lt;'PlayerGrades+'!$AC$20,"F",IF(H613&lt;'PlayerGrades+'!$AC$19,"F+",IF(H613&lt;'PlayerGrades+'!$AC$18,"E-",IF(H613&lt;'PlayerGrades+'!$AC$17,"E",IF(H613&lt;'PlayerGrades+'!$AC$16,"E+",IF(H613&lt;'PlayerGrades+'!$AC$15,"D-",IF(H613&lt;'PlayerGrades+'!$AC$14,"D",IF(H613&lt;'PlayerGrades+'!$AC$13,"D+",IF(H613&lt;'PlayerGrades+'!$AC$12,"C-",IF(H613&lt;'PlayerGrades+'!$AC$11,"C",IF(H613&lt;'PlayerGrades+'!$AC$10,"C+",IF(H613&lt;'PlayerGrades+'!$AC$9,"B-",IF(H613&lt;'PlayerGrades+'!$AC$8,"B",IF(H613&lt;'PlayerGrades+'!$AC$7,"B+",IF(H613&lt;'PlayerGrades+'!$AC$6,"A-",IF(H613&lt;'PlayerGrades+'!$AC$5,"A",IF(H613&lt;'PlayerGrades+'!$AC$4,"A+",IF(H613&lt;'PlayerGrades+'!$AC$3,"S-",IF(H613&lt;'PlayerGrades+'!$AC$2,"S","S+"))))))))))))))))))))</f>
        <v>#DIV/0!</v>
      </c>
      <c r="J613" s="1423" t="str">
        <f t="shared" si="15"/>
        <v>#DIV/0!</v>
      </c>
      <c r="K613" s="1423" t="str">
        <f>IF(J613&lt;'PlayerGrades+'!$AD$21,"F-",IF(J613&lt;'PlayerGrades+'!$AD$20,"F",IF(J613&lt;'PlayerGrades+'!$AD$19,"F+",IF(J613&lt;'PlayerGrades+'!$AD$18,"E-",IF(J613&lt;'PlayerGrades+'!$AD$17,"E",IF(J613&lt;'PlayerGrades+'!$AD$16,"E+",IF(J613&lt;'PlayerGrades+'!$AD$15,"D-",IF(J613&lt;'PlayerGrades+'!$AD$14,"D",IF(J613&lt;'PlayerGrades+'!$AD$13,"D+",IF(J613&lt;'PlayerGrades+'!$AD$12,"C-",IF(J613&lt;'PlayerGrades+'!$AD$11,"C",IF(J613&lt;'PlayerGrades+'!$AD$10,"C+",IF(J613&lt;'PlayerGrades+'!$AD$9,"B-",IF(J613&lt;'PlayerGrades+'!$AD$8,"B",IF(J613&lt;'PlayerGrades+'!$AD$7,"B+",IF(J613&lt;'PlayerGrades+'!$AD$6,"A-",IF(J613&lt;'PlayerGrades+'!$AD$5,"A",IF(J613&lt;'PlayerGrades+'!$AD$4,"A+",IF(J613&lt;'PlayerGrades+'!$AD$3,"S-",IF(J613&lt;'PlayerGrades+'!$AD$2,"S","S+"))))))))))))))))))))</f>
        <v>#DIV/0!</v>
      </c>
      <c r="L613" s="1176" t="str">
        <f t="shared" si="16"/>
        <v>#DIV/0!</v>
      </c>
      <c r="M613" s="992" t="str">
        <f>IF(L613&lt;'PlayerGrades+'!$AE$21,"F-",IF(L613&lt;'PlayerGrades+'!$AE$20,"F",IF(L613&lt;'PlayerGrades+'!$AE$19,"F+",IF(L613&lt;'PlayerGrades+'!$AE$18,"E-",IF(L613&lt;'PlayerGrades+'!$AE$17,"E",IF(L613&lt;'PlayerGrades+'!$AE$16,"E+",IF(L613&lt;'PlayerGrades+'!$AE$15,"D-",IF(L613&lt;'PlayerGrades+'!$AE$14,"D",IF(L613&lt;'PlayerGrades+'!$AE$13,"D+",IF(L613&lt;'PlayerGrades+'!$AE$12,"C-",IF(L613&lt;'PlayerGrades+'!$AE$11,"C",IF(L613&lt;'PlayerGrades+'!$AE$10,"C+",IF(L613&lt;'PlayerGrades+'!$AE$9,"B-",IF(L613&lt;'PlayerGrades+'!$AE$8,"B",IF(L613&lt;'PlayerGrades+'!$AE$7,"B+",IF(L613&lt;'PlayerGrades+'!$AE$6,"A-",IF(L613&lt;'PlayerGrades+'!$AE$5,"A",IF(L613&lt;'PlayerGrades+'!$AE$4,"A+",IF(L613&lt;'PlayerGrades+'!$AE$3,"S-",IF(L613&lt;'PlayerGrades+'!$AE$2,"S","S+"))))))))))))))))))))</f>
        <v>#DIV/0!</v>
      </c>
      <c r="N613" s="1423" t="str">
        <f t="shared" si="17"/>
        <v>#DIV/0!</v>
      </c>
      <c r="O613" s="1423" t="str">
        <f>IF(N613&lt;'PlayerGrades+'!$AF$21,"F-",IF(N613&lt;'PlayerGrades+'!$AF$20,"F",IF(N613&lt;'PlayerGrades+'!$AF$19,"F+",IF(N613&lt;'PlayerGrades+'!$AF$18,"E-",IF(N613&lt;'PlayerGrades+'!$AF$17,"E",IF(N613&lt;'PlayerGrades+'!$AF$16,"E+",IF(N613&lt;'PlayerGrades+'!$AF$15,"D-",IF(N613&lt;'PlayerGrades+'!$AF$14,"D",IF(N613&lt;'PlayerGrades+'!$AF$13,"D+",IF(N613&lt;'PlayerGrades+'!$AF$12,"C-",IF(N613&lt;'PlayerGrades+'!$AF$11,"C",IF(N613&lt;'PlayerGrades+'!$AF$10,"C+",IF(N613&lt;'PlayerGrades+'!$AF$9,"B-",IF(N613&lt;'PlayerGrades+'!$AF$8,"B",IF(N613&lt;'PlayerGrades+'!$AF$7,"B+",IF(N613&lt;'PlayerGrades+'!$AF$6,"A-",IF(N613&lt;'PlayerGrades+'!$AF$5,"A",IF(N613&lt;'PlayerGrades+'!$AF$4,"A+",IF(N613&lt;'PlayerGrades+'!$AF$3,"S-",IF(N613&lt;'PlayerGrades+'!$AF$2,"S","S+"))))))))))))))))))))</f>
        <v>#DIV/0!</v>
      </c>
      <c r="P613" s="1423" t="str">
        <f t="shared" si="18"/>
        <v>#DIV/0!</v>
      </c>
      <c r="Q613" s="1423" t="str">
        <f>IF(P613&lt;'PlayerGrades+'!$AG$21,"F-",IF(P613&lt;'PlayerGrades+'!$AG$20,"F",IF(P613&lt;'PlayerGrades+'!$AG$19,"F+",IF(P613&lt;'PlayerGrades+'!$AG$18,"E-",IF(P613&lt;'PlayerGrades+'!$AG$17,"E",IF(P613&lt;'PlayerGrades+'!$AG$16,"E+",IF(P613&lt;'PlayerGrades+'!$AG$15,"D-",IF(P613&lt;'PlayerGrades+'!$AG$14,"D",IF(P613&lt;'PlayerGrades+'!$AG$13,"D+",IF(P613&lt;'PlayerGrades+'!$AG$12,"C-",IF(P613&lt;'PlayerGrades+'!$AG$11,"C",IF(P613&lt;'PlayerGrades+'!$AG$10,"C+",IF(P613&lt;'PlayerGrades+'!$AG$9,"B-",IF(P613&lt;'PlayerGrades+'!$AG$8,"B",IF(P613&lt;'PlayerGrades+'!$AG$7,"B+",IF(P613&lt;'PlayerGrades+'!$AG$6,"A-",IF(P613&lt;'PlayerGrades+'!$AG$5,"A",IF(P613&lt;'PlayerGrades+'!$AG$4,"A+",IF(P613&lt;'PlayerGrades+'!$AG$3,"S-",IF(P613&lt;'PlayerGrades+'!$AG$2,"S","S+"))))))))))))))))))))</f>
        <v>#DIV/0!</v>
      </c>
      <c r="R613" s="1423" t="str">
        <f t="shared" si="19"/>
        <v>#REF!</v>
      </c>
      <c r="S613" s="1423" t="str">
        <f>IF(R613&lt;'PlayerGrades+'!$AH$21,"F-",IF(R613&lt;'PlayerGrades+'!$AH$20,"F",IF(R613&lt;'PlayerGrades+'!$AH$19,"F+",IF(R613&lt;'PlayerGrades+'!$AH$18,"E-",IF(R613&lt;'PlayerGrades+'!$AH$17,"E",IF(R613&lt;'PlayerGrades+'!$AH$16,"E+",IF(R613&lt;'PlayerGrades+'!$AH$15,"D-",IF(R613&lt;'PlayerGrades+'!$AH$14,"D",IF(R613&lt;'PlayerGrades+'!$AH$13,"D+",IF(R613&lt;'PlayerGrades+'!$AH$12,"C-",IF(R613&lt;'PlayerGrades+'!$AH$11,"C",IF(R613&lt;'PlayerGrades+'!$AH$10,"C+",IF(R613&lt;'PlayerGrades+'!$AH$9,"B-",IF(R613&lt;'PlayerGrades+'!$AH$8,"B",IF(R613&lt;'PlayerGrades+'!$AH$7,"B+",IF(R613&lt;'PlayerGrades+'!$AH$6,"A-",IF(R613&lt;'PlayerGrades+'!$AH$5,"A",IF(R613&lt;'PlayerGrades+'!$AH$4,"A+",IF(R613&lt;'PlayerGrades+'!$AH$3,"S-",IF(R613&lt;'PlayerGrades+'!$AH$2,"S","S+"))))))))))))))))))))</f>
        <v>#REF!</v>
      </c>
      <c r="T613" s="1423" t="str">
        <f t="shared" si="20"/>
        <v>#REF!</v>
      </c>
      <c r="U613" s="1423" t="str">
        <f>IF(T613&lt;'PlayerGrades+'!$AI$21,"F-",IF(T613&lt;'PlayerGrades+'!$AI$20,"F",IF(T613&lt;'PlayerGrades+'!$AI$19,"F+",IF(T613&lt;'PlayerGrades+'!$AI$18,"E-",IF(T613&lt;'PlayerGrades+'!$AI$17,"E",IF(T613&lt;'PlayerGrades+'!$AI$16,"E+",IF(T613&lt;'PlayerGrades+'!$AI$15,"D-",IF(T613&lt;'PlayerGrades+'!$AI$14,"D",IF(T613&lt;'PlayerGrades+'!$AI$13,"D+",IF(T613&lt;'PlayerGrades+'!$AI$12,"C-",IF(T613&lt;'PlayerGrades+'!$AI$11,"C",IF(T613&lt;'PlayerGrades+'!$AI$10,"C+",IF(T613&lt;'PlayerGrades+'!$AI$9,"B-",IF(T613&lt;'PlayerGrades+'!$AI$8,"B",IF(T613&lt;'PlayerGrades+'!$AI$7,"B+",IF(T613&lt;'PlayerGrades+'!$AI$6,"A-",IF(T613&lt;'PlayerGrades+'!$AI$5,"A",IF(T613&lt;'PlayerGrades+'!$AI$4,"A+",IF(T613&lt;'PlayerGrades+'!$AI$3,"S-",IF(T613&lt;'PlayerGrades+'!$AI$2,"S","S+"))))))))))))))))))))</f>
        <v>#REF!</v>
      </c>
      <c r="AC613" s="1392"/>
    </row>
    <row r="614">
      <c r="A614" s="1391"/>
      <c r="B614" s="1421" t="str">
        <f>IF(C614&lt;'PlayerGrades+'!$Y$44,"F-",IF(C614&lt;'PlayerGrades+'!$Y$43,"F",IF(C614&lt;'PlayerGrades+'!$Y$42,"F+",IF(C614&lt;'PlayerGrades+'!$Y$41,"E-",IF(C614&lt;'PlayerGrades+'!$Y$40,"E",IF(C614&lt;'PlayerGrades+'!$Y$39,"E+",IF(C614&lt;'PlayerGrades+'!$Y$38,"D-",IF(C614&lt;'PlayerGrades+'!$Y$37,"D",IF(C614&lt;'PlayerGrades+'!$Y$36,"D+",IF(C614&lt;'PlayerGrades+'!$Y$35,"C-",IF(C614&lt;'PlayerGrades+'!$Y$34,"C",IF(C614&lt;'PlayerGrades+'!$Y$33,"C+",IF(C614&lt;'PlayerGrades+'!$Y$32,"B-",IF(C614&lt;'PlayerGrades+'!$Y$31,"B",IF(C614&lt;'PlayerGrades+'!$Y$30,"B+",IF(C614&lt;'PlayerGrades+'!$Y$29,"A-",IF(C614&lt;'PlayerGrades+'!$Y$28,"A",IF(C614&lt;'PlayerGrades+'!$Y$27,"A+",IF(C614&lt;'PlayerGrades+'!$Y$26,"S-",IF(C614&lt;'PlayerGrades+'!$Y$25,"S","S+"))))))))))))))))))))</f>
        <v>#DIV/0!</v>
      </c>
      <c r="C614" s="1422" t="str">
        <f>('PlayerGrades+'!$Y$47*(VLOOKUP(E614, 'PlayerGrades+'!$X$3:$Y$23, 2, FALSE)))+('PlayerGrades+'!$Y$48*(VLOOKUP(G614, 'PlayerGrades+'!$X$3:$Y$23, 2, FALSE)))+('PlayerGrades+'!$Y$49*(VLOOKUP(I614, 'PlayerGrades+'!$X$3:$Y$23, 2, FALSE)))+('PlayerGrades+'!$Y$50*(VLOOKUP(K614, 'PlayerGrades+'!$X$3:$Y$23, 2, FALSE)))+('PlayerGrades+'!$Y$51*(VLOOKUP(M614, 'PlayerGrades+'!$X$3:$Y$23, 2, FALSE)))+('PlayerGrades+'!$Y$52*(VLOOKUP(O614, 'PlayerGrades+'!$X$3:$Y$23, 2, FALSE)))+('PlayerGrades+'!$Y$53*(VLOOKUP(Q614, 'PlayerGrades+'!$X$3:$Y$23, 2, FALSE)))+('PlayerGrades+'!$Y$54*(VLOOKUP(S614, 'PlayerGrades+'!$X$3:$Y$23, 2, FALSE)))+('PlayerGrades+'!$Y$55*(VLOOKUP(U614, 'PlayerGrades+'!$X$3:$Y$23, 2, FALSE)))</f>
        <v>#DIV/0!</v>
      </c>
      <c r="D614" s="1423" t="str">
        <f t="shared" si="12"/>
        <v>#DIV/0!</v>
      </c>
      <c r="E614" s="1423" t="str">
        <f>IF(D614&lt;'PlayerGrades+'!$AA$21,"F-",IF(D614&lt;'PlayerGrades+'!$AA$20,"F",IF(D614&lt;'PlayerGrades+'!$AA$19,"F+",IF(D614&lt;'PlayerGrades+'!$AA$18,"E-",IF(D614&lt;'PlayerGrades+'!$AA$17,"E",IF(D614&lt;'PlayerGrades+'!$AA$16,"E+",IF(D614&lt;'PlayerGrades+'!$AA$15,"D-",IF(D614&lt;'PlayerGrades+'!$AA$14,"D",IF(D614&lt;'PlayerGrades+'!$AA$13,"D+",IF(D614&lt;'PlayerGrades+'!$AA$12,"C-",IF(D614&lt;'PlayerGrades+'!$AA$11,"C",IF(D614&lt;'PlayerGrades+'!$AA$10,"C+",IF(D614&lt;'PlayerGrades+'!$AA$9,"B-",IF(D614&lt;'PlayerGrades+'!$AA$8,"B",IF(D614&lt;'PlayerGrades+'!$AA$7,"B+",IF(D614&lt;'PlayerGrades+'!$AA$6,"A-",IF(D614&lt;'PlayerGrades+'!$AA$5,"A",IF(D614&lt;'PlayerGrades+'!$AA$4,"A+",IF(D614&lt;'PlayerGrades+'!$AA$3,"S-",IF(D614&lt;'PlayerGrades+'!$AA$2,"S","S+"))))))))))))))))))))</f>
        <v>#DIV/0!</v>
      </c>
      <c r="F614" s="1423" t="str">
        <f t="shared" si="13"/>
        <v>#DIV/0!</v>
      </c>
      <c r="G614" s="1423" t="str">
        <f>IF(F614&lt;'PlayerGrades+'!$AB$21,"F-",IF(F614&lt;'PlayerGrades+'!$AB$20,"F",IF(F614&lt;'PlayerGrades+'!$AB$19,"F+",IF(F614&lt;'PlayerGrades+'!$AB$18,"E-",IF(F614&lt;'PlayerGrades+'!$AB$17,"E",IF(F614&lt;'PlayerGrades+'!$AB$16,"E+",IF(F614&lt;'PlayerGrades+'!$AB$15,"D-",IF(F614&lt;'PlayerGrades+'!$AB$14,"D",IF(F614&lt;'PlayerGrades+'!$AB$13,"D+",IF(F614&lt;'PlayerGrades+'!$AB$12,"C-",IF(F614&lt;'PlayerGrades+'!$AB$11,"C",IF(F614&lt;'PlayerGrades+'!$AB$10,"C+",IF(F614&lt;'PlayerGrades+'!$AB$9,"B-",IF(F614&lt;'PlayerGrades+'!$AB$8,"B",IF(F614&lt;'PlayerGrades+'!$AB$7,"B+",IF(F614&lt;'PlayerGrades+'!$AB$6,"A-",IF(F614&lt;'PlayerGrades+'!$AB$5,"A",IF(F614&lt;'PlayerGrades+'!$AB$4,"A+",IF(F614&lt;'PlayerGrades+'!$AB$3,"S-",IF(F614&lt;'PlayerGrades+'!$AB$2,"S","S+"))))))))))))))))))))</f>
        <v>#DIV/0!</v>
      </c>
      <c r="H614" s="1423" t="str">
        <f t="shared" si="14"/>
        <v>#DIV/0!</v>
      </c>
      <c r="I614" s="1423" t="str">
        <f>IF(H614&lt;'PlayerGrades+'!$AC$21,"F-",IF(H614&lt;'PlayerGrades+'!$AC$20,"F",IF(H614&lt;'PlayerGrades+'!$AC$19,"F+",IF(H614&lt;'PlayerGrades+'!$AC$18,"E-",IF(H614&lt;'PlayerGrades+'!$AC$17,"E",IF(H614&lt;'PlayerGrades+'!$AC$16,"E+",IF(H614&lt;'PlayerGrades+'!$AC$15,"D-",IF(H614&lt;'PlayerGrades+'!$AC$14,"D",IF(H614&lt;'PlayerGrades+'!$AC$13,"D+",IF(H614&lt;'PlayerGrades+'!$AC$12,"C-",IF(H614&lt;'PlayerGrades+'!$AC$11,"C",IF(H614&lt;'PlayerGrades+'!$AC$10,"C+",IF(H614&lt;'PlayerGrades+'!$AC$9,"B-",IF(H614&lt;'PlayerGrades+'!$AC$8,"B",IF(H614&lt;'PlayerGrades+'!$AC$7,"B+",IF(H614&lt;'PlayerGrades+'!$AC$6,"A-",IF(H614&lt;'PlayerGrades+'!$AC$5,"A",IF(H614&lt;'PlayerGrades+'!$AC$4,"A+",IF(H614&lt;'PlayerGrades+'!$AC$3,"S-",IF(H614&lt;'PlayerGrades+'!$AC$2,"S","S+"))))))))))))))))))))</f>
        <v>#DIV/0!</v>
      </c>
      <c r="J614" s="1423" t="str">
        <f t="shared" si="15"/>
        <v>#DIV/0!</v>
      </c>
      <c r="K614" s="1423" t="str">
        <f>IF(J614&lt;'PlayerGrades+'!$AD$21,"F-",IF(J614&lt;'PlayerGrades+'!$AD$20,"F",IF(J614&lt;'PlayerGrades+'!$AD$19,"F+",IF(J614&lt;'PlayerGrades+'!$AD$18,"E-",IF(J614&lt;'PlayerGrades+'!$AD$17,"E",IF(J614&lt;'PlayerGrades+'!$AD$16,"E+",IF(J614&lt;'PlayerGrades+'!$AD$15,"D-",IF(J614&lt;'PlayerGrades+'!$AD$14,"D",IF(J614&lt;'PlayerGrades+'!$AD$13,"D+",IF(J614&lt;'PlayerGrades+'!$AD$12,"C-",IF(J614&lt;'PlayerGrades+'!$AD$11,"C",IF(J614&lt;'PlayerGrades+'!$AD$10,"C+",IF(J614&lt;'PlayerGrades+'!$AD$9,"B-",IF(J614&lt;'PlayerGrades+'!$AD$8,"B",IF(J614&lt;'PlayerGrades+'!$AD$7,"B+",IF(J614&lt;'PlayerGrades+'!$AD$6,"A-",IF(J614&lt;'PlayerGrades+'!$AD$5,"A",IF(J614&lt;'PlayerGrades+'!$AD$4,"A+",IF(J614&lt;'PlayerGrades+'!$AD$3,"S-",IF(J614&lt;'PlayerGrades+'!$AD$2,"S","S+"))))))))))))))))))))</f>
        <v>#DIV/0!</v>
      </c>
      <c r="L614" s="1176" t="str">
        <f t="shared" si="16"/>
        <v>#DIV/0!</v>
      </c>
      <c r="M614" s="992" t="str">
        <f>IF(L614&lt;'PlayerGrades+'!$AE$21,"F-",IF(L614&lt;'PlayerGrades+'!$AE$20,"F",IF(L614&lt;'PlayerGrades+'!$AE$19,"F+",IF(L614&lt;'PlayerGrades+'!$AE$18,"E-",IF(L614&lt;'PlayerGrades+'!$AE$17,"E",IF(L614&lt;'PlayerGrades+'!$AE$16,"E+",IF(L614&lt;'PlayerGrades+'!$AE$15,"D-",IF(L614&lt;'PlayerGrades+'!$AE$14,"D",IF(L614&lt;'PlayerGrades+'!$AE$13,"D+",IF(L614&lt;'PlayerGrades+'!$AE$12,"C-",IF(L614&lt;'PlayerGrades+'!$AE$11,"C",IF(L614&lt;'PlayerGrades+'!$AE$10,"C+",IF(L614&lt;'PlayerGrades+'!$AE$9,"B-",IF(L614&lt;'PlayerGrades+'!$AE$8,"B",IF(L614&lt;'PlayerGrades+'!$AE$7,"B+",IF(L614&lt;'PlayerGrades+'!$AE$6,"A-",IF(L614&lt;'PlayerGrades+'!$AE$5,"A",IF(L614&lt;'PlayerGrades+'!$AE$4,"A+",IF(L614&lt;'PlayerGrades+'!$AE$3,"S-",IF(L614&lt;'PlayerGrades+'!$AE$2,"S","S+"))))))))))))))))))))</f>
        <v>#DIV/0!</v>
      </c>
      <c r="N614" s="1423" t="str">
        <f t="shared" si="17"/>
        <v>#DIV/0!</v>
      </c>
      <c r="O614" s="1423" t="str">
        <f>IF(N614&lt;'PlayerGrades+'!$AF$21,"F-",IF(N614&lt;'PlayerGrades+'!$AF$20,"F",IF(N614&lt;'PlayerGrades+'!$AF$19,"F+",IF(N614&lt;'PlayerGrades+'!$AF$18,"E-",IF(N614&lt;'PlayerGrades+'!$AF$17,"E",IF(N614&lt;'PlayerGrades+'!$AF$16,"E+",IF(N614&lt;'PlayerGrades+'!$AF$15,"D-",IF(N614&lt;'PlayerGrades+'!$AF$14,"D",IF(N614&lt;'PlayerGrades+'!$AF$13,"D+",IF(N614&lt;'PlayerGrades+'!$AF$12,"C-",IF(N614&lt;'PlayerGrades+'!$AF$11,"C",IF(N614&lt;'PlayerGrades+'!$AF$10,"C+",IF(N614&lt;'PlayerGrades+'!$AF$9,"B-",IF(N614&lt;'PlayerGrades+'!$AF$8,"B",IF(N614&lt;'PlayerGrades+'!$AF$7,"B+",IF(N614&lt;'PlayerGrades+'!$AF$6,"A-",IF(N614&lt;'PlayerGrades+'!$AF$5,"A",IF(N614&lt;'PlayerGrades+'!$AF$4,"A+",IF(N614&lt;'PlayerGrades+'!$AF$3,"S-",IF(N614&lt;'PlayerGrades+'!$AF$2,"S","S+"))))))))))))))))))))</f>
        <v>#DIV/0!</v>
      </c>
      <c r="P614" s="1423" t="str">
        <f t="shared" si="18"/>
        <v>#DIV/0!</v>
      </c>
      <c r="Q614" s="1423" t="str">
        <f>IF(P614&lt;'PlayerGrades+'!$AG$21,"F-",IF(P614&lt;'PlayerGrades+'!$AG$20,"F",IF(P614&lt;'PlayerGrades+'!$AG$19,"F+",IF(P614&lt;'PlayerGrades+'!$AG$18,"E-",IF(P614&lt;'PlayerGrades+'!$AG$17,"E",IF(P614&lt;'PlayerGrades+'!$AG$16,"E+",IF(P614&lt;'PlayerGrades+'!$AG$15,"D-",IF(P614&lt;'PlayerGrades+'!$AG$14,"D",IF(P614&lt;'PlayerGrades+'!$AG$13,"D+",IF(P614&lt;'PlayerGrades+'!$AG$12,"C-",IF(P614&lt;'PlayerGrades+'!$AG$11,"C",IF(P614&lt;'PlayerGrades+'!$AG$10,"C+",IF(P614&lt;'PlayerGrades+'!$AG$9,"B-",IF(P614&lt;'PlayerGrades+'!$AG$8,"B",IF(P614&lt;'PlayerGrades+'!$AG$7,"B+",IF(P614&lt;'PlayerGrades+'!$AG$6,"A-",IF(P614&lt;'PlayerGrades+'!$AG$5,"A",IF(P614&lt;'PlayerGrades+'!$AG$4,"A+",IF(P614&lt;'PlayerGrades+'!$AG$3,"S-",IF(P614&lt;'PlayerGrades+'!$AG$2,"S","S+"))))))))))))))))))))</f>
        <v>#DIV/0!</v>
      </c>
      <c r="R614" s="1423" t="str">
        <f t="shared" si="19"/>
        <v>#REF!</v>
      </c>
      <c r="S614" s="1423" t="str">
        <f>IF(R614&lt;'PlayerGrades+'!$AH$21,"F-",IF(R614&lt;'PlayerGrades+'!$AH$20,"F",IF(R614&lt;'PlayerGrades+'!$AH$19,"F+",IF(R614&lt;'PlayerGrades+'!$AH$18,"E-",IF(R614&lt;'PlayerGrades+'!$AH$17,"E",IF(R614&lt;'PlayerGrades+'!$AH$16,"E+",IF(R614&lt;'PlayerGrades+'!$AH$15,"D-",IF(R614&lt;'PlayerGrades+'!$AH$14,"D",IF(R614&lt;'PlayerGrades+'!$AH$13,"D+",IF(R614&lt;'PlayerGrades+'!$AH$12,"C-",IF(R614&lt;'PlayerGrades+'!$AH$11,"C",IF(R614&lt;'PlayerGrades+'!$AH$10,"C+",IF(R614&lt;'PlayerGrades+'!$AH$9,"B-",IF(R614&lt;'PlayerGrades+'!$AH$8,"B",IF(R614&lt;'PlayerGrades+'!$AH$7,"B+",IF(R614&lt;'PlayerGrades+'!$AH$6,"A-",IF(R614&lt;'PlayerGrades+'!$AH$5,"A",IF(R614&lt;'PlayerGrades+'!$AH$4,"A+",IF(R614&lt;'PlayerGrades+'!$AH$3,"S-",IF(R614&lt;'PlayerGrades+'!$AH$2,"S","S+"))))))))))))))))))))</f>
        <v>#REF!</v>
      </c>
      <c r="T614" s="1423" t="str">
        <f t="shared" si="20"/>
        <v>#REF!</v>
      </c>
      <c r="U614" s="1423" t="str">
        <f>IF(T614&lt;'PlayerGrades+'!$AI$21,"F-",IF(T614&lt;'PlayerGrades+'!$AI$20,"F",IF(T614&lt;'PlayerGrades+'!$AI$19,"F+",IF(T614&lt;'PlayerGrades+'!$AI$18,"E-",IF(T614&lt;'PlayerGrades+'!$AI$17,"E",IF(T614&lt;'PlayerGrades+'!$AI$16,"E+",IF(T614&lt;'PlayerGrades+'!$AI$15,"D-",IF(T614&lt;'PlayerGrades+'!$AI$14,"D",IF(T614&lt;'PlayerGrades+'!$AI$13,"D+",IF(T614&lt;'PlayerGrades+'!$AI$12,"C-",IF(T614&lt;'PlayerGrades+'!$AI$11,"C",IF(T614&lt;'PlayerGrades+'!$AI$10,"C+",IF(T614&lt;'PlayerGrades+'!$AI$9,"B-",IF(T614&lt;'PlayerGrades+'!$AI$8,"B",IF(T614&lt;'PlayerGrades+'!$AI$7,"B+",IF(T614&lt;'PlayerGrades+'!$AI$6,"A-",IF(T614&lt;'PlayerGrades+'!$AI$5,"A",IF(T614&lt;'PlayerGrades+'!$AI$4,"A+",IF(T614&lt;'PlayerGrades+'!$AI$3,"S-",IF(T614&lt;'PlayerGrades+'!$AI$2,"S","S+"))))))))))))))))))))</f>
        <v>#REF!</v>
      </c>
      <c r="AC614" s="1392"/>
    </row>
    <row r="615">
      <c r="A615" s="1391"/>
      <c r="B615" s="1421" t="str">
        <f>IF(C615&lt;'PlayerGrades+'!$Y$44,"F-",IF(C615&lt;'PlayerGrades+'!$Y$43,"F",IF(C615&lt;'PlayerGrades+'!$Y$42,"F+",IF(C615&lt;'PlayerGrades+'!$Y$41,"E-",IF(C615&lt;'PlayerGrades+'!$Y$40,"E",IF(C615&lt;'PlayerGrades+'!$Y$39,"E+",IF(C615&lt;'PlayerGrades+'!$Y$38,"D-",IF(C615&lt;'PlayerGrades+'!$Y$37,"D",IF(C615&lt;'PlayerGrades+'!$Y$36,"D+",IF(C615&lt;'PlayerGrades+'!$Y$35,"C-",IF(C615&lt;'PlayerGrades+'!$Y$34,"C",IF(C615&lt;'PlayerGrades+'!$Y$33,"C+",IF(C615&lt;'PlayerGrades+'!$Y$32,"B-",IF(C615&lt;'PlayerGrades+'!$Y$31,"B",IF(C615&lt;'PlayerGrades+'!$Y$30,"B+",IF(C615&lt;'PlayerGrades+'!$Y$29,"A-",IF(C615&lt;'PlayerGrades+'!$Y$28,"A",IF(C615&lt;'PlayerGrades+'!$Y$27,"A+",IF(C615&lt;'PlayerGrades+'!$Y$26,"S-",IF(C615&lt;'PlayerGrades+'!$Y$25,"S","S+"))))))))))))))))))))</f>
        <v>#DIV/0!</v>
      </c>
      <c r="C615" s="1422" t="str">
        <f>('PlayerGrades+'!$Y$47*(VLOOKUP(E615, 'PlayerGrades+'!$X$3:$Y$23, 2, FALSE)))+('PlayerGrades+'!$Y$48*(VLOOKUP(G615, 'PlayerGrades+'!$X$3:$Y$23, 2, FALSE)))+('PlayerGrades+'!$Y$49*(VLOOKUP(I615, 'PlayerGrades+'!$X$3:$Y$23, 2, FALSE)))+('PlayerGrades+'!$Y$50*(VLOOKUP(K615, 'PlayerGrades+'!$X$3:$Y$23, 2, FALSE)))+('PlayerGrades+'!$Y$51*(VLOOKUP(M615, 'PlayerGrades+'!$X$3:$Y$23, 2, FALSE)))+('PlayerGrades+'!$Y$52*(VLOOKUP(O615, 'PlayerGrades+'!$X$3:$Y$23, 2, FALSE)))+('PlayerGrades+'!$Y$53*(VLOOKUP(Q615, 'PlayerGrades+'!$X$3:$Y$23, 2, FALSE)))+('PlayerGrades+'!$Y$54*(VLOOKUP(S615, 'PlayerGrades+'!$X$3:$Y$23, 2, FALSE)))+('PlayerGrades+'!$Y$55*(VLOOKUP(U615, 'PlayerGrades+'!$X$3:$Y$23, 2, FALSE)))</f>
        <v>#DIV/0!</v>
      </c>
      <c r="D615" s="1423" t="str">
        <f t="shared" si="12"/>
        <v>#DIV/0!</v>
      </c>
      <c r="E615" s="1423" t="str">
        <f>IF(D615&lt;'PlayerGrades+'!$AA$21,"F-",IF(D615&lt;'PlayerGrades+'!$AA$20,"F",IF(D615&lt;'PlayerGrades+'!$AA$19,"F+",IF(D615&lt;'PlayerGrades+'!$AA$18,"E-",IF(D615&lt;'PlayerGrades+'!$AA$17,"E",IF(D615&lt;'PlayerGrades+'!$AA$16,"E+",IF(D615&lt;'PlayerGrades+'!$AA$15,"D-",IF(D615&lt;'PlayerGrades+'!$AA$14,"D",IF(D615&lt;'PlayerGrades+'!$AA$13,"D+",IF(D615&lt;'PlayerGrades+'!$AA$12,"C-",IF(D615&lt;'PlayerGrades+'!$AA$11,"C",IF(D615&lt;'PlayerGrades+'!$AA$10,"C+",IF(D615&lt;'PlayerGrades+'!$AA$9,"B-",IF(D615&lt;'PlayerGrades+'!$AA$8,"B",IF(D615&lt;'PlayerGrades+'!$AA$7,"B+",IF(D615&lt;'PlayerGrades+'!$AA$6,"A-",IF(D615&lt;'PlayerGrades+'!$AA$5,"A",IF(D615&lt;'PlayerGrades+'!$AA$4,"A+",IF(D615&lt;'PlayerGrades+'!$AA$3,"S-",IF(D615&lt;'PlayerGrades+'!$AA$2,"S","S+"))))))))))))))))))))</f>
        <v>#DIV/0!</v>
      </c>
      <c r="F615" s="1423" t="str">
        <f t="shared" si="13"/>
        <v>#DIV/0!</v>
      </c>
      <c r="G615" s="1423" t="str">
        <f>IF(F615&lt;'PlayerGrades+'!$AB$21,"F-",IF(F615&lt;'PlayerGrades+'!$AB$20,"F",IF(F615&lt;'PlayerGrades+'!$AB$19,"F+",IF(F615&lt;'PlayerGrades+'!$AB$18,"E-",IF(F615&lt;'PlayerGrades+'!$AB$17,"E",IF(F615&lt;'PlayerGrades+'!$AB$16,"E+",IF(F615&lt;'PlayerGrades+'!$AB$15,"D-",IF(F615&lt;'PlayerGrades+'!$AB$14,"D",IF(F615&lt;'PlayerGrades+'!$AB$13,"D+",IF(F615&lt;'PlayerGrades+'!$AB$12,"C-",IF(F615&lt;'PlayerGrades+'!$AB$11,"C",IF(F615&lt;'PlayerGrades+'!$AB$10,"C+",IF(F615&lt;'PlayerGrades+'!$AB$9,"B-",IF(F615&lt;'PlayerGrades+'!$AB$8,"B",IF(F615&lt;'PlayerGrades+'!$AB$7,"B+",IF(F615&lt;'PlayerGrades+'!$AB$6,"A-",IF(F615&lt;'PlayerGrades+'!$AB$5,"A",IF(F615&lt;'PlayerGrades+'!$AB$4,"A+",IF(F615&lt;'PlayerGrades+'!$AB$3,"S-",IF(F615&lt;'PlayerGrades+'!$AB$2,"S","S+"))))))))))))))))))))</f>
        <v>#DIV/0!</v>
      </c>
      <c r="H615" s="1423" t="str">
        <f t="shared" si="14"/>
        <v>#DIV/0!</v>
      </c>
      <c r="I615" s="1423" t="str">
        <f>IF(H615&lt;'PlayerGrades+'!$AC$21,"F-",IF(H615&lt;'PlayerGrades+'!$AC$20,"F",IF(H615&lt;'PlayerGrades+'!$AC$19,"F+",IF(H615&lt;'PlayerGrades+'!$AC$18,"E-",IF(H615&lt;'PlayerGrades+'!$AC$17,"E",IF(H615&lt;'PlayerGrades+'!$AC$16,"E+",IF(H615&lt;'PlayerGrades+'!$AC$15,"D-",IF(H615&lt;'PlayerGrades+'!$AC$14,"D",IF(H615&lt;'PlayerGrades+'!$AC$13,"D+",IF(H615&lt;'PlayerGrades+'!$AC$12,"C-",IF(H615&lt;'PlayerGrades+'!$AC$11,"C",IF(H615&lt;'PlayerGrades+'!$AC$10,"C+",IF(H615&lt;'PlayerGrades+'!$AC$9,"B-",IF(H615&lt;'PlayerGrades+'!$AC$8,"B",IF(H615&lt;'PlayerGrades+'!$AC$7,"B+",IF(H615&lt;'PlayerGrades+'!$AC$6,"A-",IF(H615&lt;'PlayerGrades+'!$AC$5,"A",IF(H615&lt;'PlayerGrades+'!$AC$4,"A+",IF(H615&lt;'PlayerGrades+'!$AC$3,"S-",IF(H615&lt;'PlayerGrades+'!$AC$2,"S","S+"))))))))))))))))))))</f>
        <v>#DIV/0!</v>
      </c>
      <c r="J615" s="1423" t="str">
        <f t="shared" si="15"/>
        <v>#DIV/0!</v>
      </c>
      <c r="K615" s="1423" t="str">
        <f>IF(J615&lt;'PlayerGrades+'!$AD$21,"F-",IF(J615&lt;'PlayerGrades+'!$AD$20,"F",IF(J615&lt;'PlayerGrades+'!$AD$19,"F+",IF(J615&lt;'PlayerGrades+'!$AD$18,"E-",IF(J615&lt;'PlayerGrades+'!$AD$17,"E",IF(J615&lt;'PlayerGrades+'!$AD$16,"E+",IF(J615&lt;'PlayerGrades+'!$AD$15,"D-",IF(J615&lt;'PlayerGrades+'!$AD$14,"D",IF(J615&lt;'PlayerGrades+'!$AD$13,"D+",IF(J615&lt;'PlayerGrades+'!$AD$12,"C-",IF(J615&lt;'PlayerGrades+'!$AD$11,"C",IF(J615&lt;'PlayerGrades+'!$AD$10,"C+",IF(J615&lt;'PlayerGrades+'!$AD$9,"B-",IF(J615&lt;'PlayerGrades+'!$AD$8,"B",IF(J615&lt;'PlayerGrades+'!$AD$7,"B+",IF(J615&lt;'PlayerGrades+'!$AD$6,"A-",IF(J615&lt;'PlayerGrades+'!$AD$5,"A",IF(J615&lt;'PlayerGrades+'!$AD$4,"A+",IF(J615&lt;'PlayerGrades+'!$AD$3,"S-",IF(J615&lt;'PlayerGrades+'!$AD$2,"S","S+"))))))))))))))))))))</f>
        <v>#DIV/0!</v>
      </c>
      <c r="L615" s="1176" t="str">
        <f t="shared" si="16"/>
        <v>#DIV/0!</v>
      </c>
      <c r="M615" s="992" t="str">
        <f>IF(L615&lt;'PlayerGrades+'!$AE$21,"F-",IF(L615&lt;'PlayerGrades+'!$AE$20,"F",IF(L615&lt;'PlayerGrades+'!$AE$19,"F+",IF(L615&lt;'PlayerGrades+'!$AE$18,"E-",IF(L615&lt;'PlayerGrades+'!$AE$17,"E",IF(L615&lt;'PlayerGrades+'!$AE$16,"E+",IF(L615&lt;'PlayerGrades+'!$AE$15,"D-",IF(L615&lt;'PlayerGrades+'!$AE$14,"D",IF(L615&lt;'PlayerGrades+'!$AE$13,"D+",IF(L615&lt;'PlayerGrades+'!$AE$12,"C-",IF(L615&lt;'PlayerGrades+'!$AE$11,"C",IF(L615&lt;'PlayerGrades+'!$AE$10,"C+",IF(L615&lt;'PlayerGrades+'!$AE$9,"B-",IF(L615&lt;'PlayerGrades+'!$AE$8,"B",IF(L615&lt;'PlayerGrades+'!$AE$7,"B+",IF(L615&lt;'PlayerGrades+'!$AE$6,"A-",IF(L615&lt;'PlayerGrades+'!$AE$5,"A",IF(L615&lt;'PlayerGrades+'!$AE$4,"A+",IF(L615&lt;'PlayerGrades+'!$AE$3,"S-",IF(L615&lt;'PlayerGrades+'!$AE$2,"S","S+"))))))))))))))))))))</f>
        <v>#DIV/0!</v>
      </c>
      <c r="N615" s="1423" t="str">
        <f t="shared" si="17"/>
        <v>#DIV/0!</v>
      </c>
      <c r="O615" s="1423" t="str">
        <f>IF(N615&lt;'PlayerGrades+'!$AF$21,"F-",IF(N615&lt;'PlayerGrades+'!$AF$20,"F",IF(N615&lt;'PlayerGrades+'!$AF$19,"F+",IF(N615&lt;'PlayerGrades+'!$AF$18,"E-",IF(N615&lt;'PlayerGrades+'!$AF$17,"E",IF(N615&lt;'PlayerGrades+'!$AF$16,"E+",IF(N615&lt;'PlayerGrades+'!$AF$15,"D-",IF(N615&lt;'PlayerGrades+'!$AF$14,"D",IF(N615&lt;'PlayerGrades+'!$AF$13,"D+",IF(N615&lt;'PlayerGrades+'!$AF$12,"C-",IF(N615&lt;'PlayerGrades+'!$AF$11,"C",IF(N615&lt;'PlayerGrades+'!$AF$10,"C+",IF(N615&lt;'PlayerGrades+'!$AF$9,"B-",IF(N615&lt;'PlayerGrades+'!$AF$8,"B",IF(N615&lt;'PlayerGrades+'!$AF$7,"B+",IF(N615&lt;'PlayerGrades+'!$AF$6,"A-",IF(N615&lt;'PlayerGrades+'!$AF$5,"A",IF(N615&lt;'PlayerGrades+'!$AF$4,"A+",IF(N615&lt;'PlayerGrades+'!$AF$3,"S-",IF(N615&lt;'PlayerGrades+'!$AF$2,"S","S+"))))))))))))))))))))</f>
        <v>#DIV/0!</v>
      </c>
      <c r="P615" s="1423" t="str">
        <f t="shared" si="18"/>
        <v>#DIV/0!</v>
      </c>
      <c r="Q615" s="1423" t="str">
        <f>IF(P615&lt;'PlayerGrades+'!$AG$21,"F-",IF(P615&lt;'PlayerGrades+'!$AG$20,"F",IF(P615&lt;'PlayerGrades+'!$AG$19,"F+",IF(P615&lt;'PlayerGrades+'!$AG$18,"E-",IF(P615&lt;'PlayerGrades+'!$AG$17,"E",IF(P615&lt;'PlayerGrades+'!$AG$16,"E+",IF(P615&lt;'PlayerGrades+'!$AG$15,"D-",IF(P615&lt;'PlayerGrades+'!$AG$14,"D",IF(P615&lt;'PlayerGrades+'!$AG$13,"D+",IF(P615&lt;'PlayerGrades+'!$AG$12,"C-",IF(P615&lt;'PlayerGrades+'!$AG$11,"C",IF(P615&lt;'PlayerGrades+'!$AG$10,"C+",IF(P615&lt;'PlayerGrades+'!$AG$9,"B-",IF(P615&lt;'PlayerGrades+'!$AG$8,"B",IF(P615&lt;'PlayerGrades+'!$AG$7,"B+",IF(P615&lt;'PlayerGrades+'!$AG$6,"A-",IF(P615&lt;'PlayerGrades+'!$AG$5,"A",IF(P615&lt;'PlayerGrades+'!$AG$4,"A+",IF(P615&lt;'PlayerGrades+'!$AG$3,"S-",IF(P615&lt;'PlayerGrades+'!$AG$2,"S","S+"))))))))))))))))))))</f>
        <v>#DIV/0!</v>
      </c>
      <c r="R615" s="1423" t="str">
        <f t="shared" si="19"/>
        <v>#REF!</v>
      </c>
      <c r="S615" s="1423" t="str">
        <f>IF(R615&lt;'PlayerGrades+'!$AH$21,"F-",IF(R615&lt;'PlayerGrades+'!$AH$20,"F",IF(R615&lt;'PlayerGrades+'!$AH$19,"F+",IF(R615&lt;'PlayerGrades+'!$AH$18,"E-",IF(R615&lt;'PlayerGrades+'!$AH$17,"E",IF(R615&lt;'PlayerGrades+'!$AH$16,"E+",IF(R615&lt;'PlayerGrades+'!$AH$15,"D-",IF(R615&lt;'PlayerGrades+'!$AH$14,"D",IF(R615&lt;'PlayerGrades+'!$AH$13,"D+",IF(R615&lt;'PlayerGrades+'!$AH$12,"C-",IF(R615&lt;'PlayerGrades+'!$AH$11,"C",IF(R615&lt;'PlayerGrades+'!$AH$10,"C+",IF(R615&lt;'PlayerGrades+'!$AH$9,"B-",IF(R615&lt;'PlayerGrades+'!$AH$8,"B",IF(R615&lt;'PlayerGrades+'!$AH$7,"B+",IF(R615&lt;'PlayerGrades+'!$AH$6,"A-",IF(R615&lt;'PlayerGrades+'!$AH$5,"A",IF(R615&lt;'PlayerGrades+'!$AH$4,"A+",IF(R615&lt;'PlayerGrades+'!$AH$3,"S-",IF(R615&lt;'PlayerGrades+'!$AH$2,"S","S+"))))))))))))))))))))</f>
        <v>#REF!</v>
      </c>
      <c r="T615" s="1423" t="str">
        <f t="shared" si="20"/>
        <v>#REF!</v>
      </c>
      <c r="U615" s="1423" t="str">
        <f>IF(T615&lt;'PlayerGrades+'!$AI$21,"F-",IF(T615&lt;'PlayerGrades+'!$AI$20,"F",IF(T615&lt;'PlayerGrades+'!$AI$19,"F+",IF(T615&lt;'PlayerGrades+'!$AI$18,"E-",IF(T615&lt;'PlayerGrades+'!$AI$17,"E",IF(T615&lt;'PlayerGrades+'!$AI$16,"E+",IF(T615&lt;'PlayerGrades+'!$AI$15,"D-",IF(T615&lt;'PlayerGrades+'!$AI$14,"D",IF(T615&lt;'PlayerGrades+'!$AI$13,"D+",IF(T615&lt;'PlayerGrades+'!$AI$12,"C-",IF(T615&lt;'PlayerGrades+'!$AI$11,"C",IF(T615&lt;'PlayerGrades+'!$AI$10,"C+",IF(T615&lt;'PlayerGrades+'!$AI$9,"B-",IF(T615&lt;'PlayerGrades+'!$AI$8,"B",IF(T615&lt;'PlayerGrades+'!$AI$7,"B+",IF(T615&lt;'PlayerGrades+'!$AI$6,"A-",IF(T615&lt;'PlayerGrades+'!$AI$5,"A",IF(T615&lt;'PlayerGrades+'!$AI$4,"A+",IF(T615&lt;'PlayerGrades+'!$AI$3,"S-",IF(T615&lt;'PlayerGrades+'!$AI$2,"S","S+"))))))))))))))))))))</f>
        <v>#REF!</v>
      </c>
      <c r="AC615" s="1392"/>
    </row>
    <row r="616">
      <c r="A616" s="1391"/>
      <c r="B616" s="1421" t="str">
        <f>IF(C616&lt;'PlayerGrades+'!$Y$44,"F-",IF(C616&lt;'PlayerGrades+'!$Y$43,"F",IF(C616&lt;'PlayerGrades+'!$Y$42,"F+",IF(C616&lt;'PlayerGrades+'!$Y$41,"E-",IF(C616&lt;'PlayerGrades+'!$Y$40,"E",IF(C616&lt;'PlayerGrades+'!$Y$39,"E+",IF(C616&lt;'PlayerGrades+'!$Y$38,"D-",IF(C616&lt;'PlayerGrades+'!$Y$37,"D",IF(C616&lt;'PlayerGrades+'!$Y$36,"D+",IF(C616&lt;'PlayerGrades+'!$Y$35,"C-",IF(C616&lt;'PlayerGrades+'!$Y$34,"C",IF(C616&lt;'PlayerGrades+'!$Y$33,"C+",IF(C616&lt;'PlayerGrades+'!$Y$32,"B-",IF(C616&lt;'PlayerGrades+'!$Y$31,"B",IF(C616&lt;'PlayerGrades+'!$Y$30,"B+",IF(C616&lt;'PlayerGrades+'!$Y$29,"A-",IF(C616&lt;'PlayerGrades+'!$Y$28,"A",IF(C616&lt;'PlayerGrades+'!$Y$27,"A+",IF(C616&lt;'PlayerGrades+'!$Y$26,"S-",IF(C616&lt;'PlayerGrades+'!$Y$25,"S","S+"))))))))))))))))))))</f>
        <v>#DIV/0!</v>
      </c>
      <c r="C616" s="1422" t="str">
        <f>('PlayerGrades+'!$Y$47*(VLOOKUP(E616, 'PlayerGrades+'!$X$3:$Y$23, 2, FALSE)))+('PlayerGrades+'!$Y$48*(VLOOKUP(G616, 'PlayerGrades+'!$X$3:$Y$23, 2, FALSE)))+('PlayerGrades+'!$Y$49*(VLOOKUP(I616, 'PlayerGrades+'!$X$3:$Y$23, 2, FALSE)))+('PlayerGrades+'!$Y$50*(VLOOKUP(K616, 'PlayerGrades+'!$X$3:$Y$23, 2, FALSE)))+('PlayerGrades+'!$Y$51*(VLOOKUP(M616, 'PlayerGrades+'!$X$3:$Y$23, 2, FALSE)))+('PlayerGrades+'!$Y$52*(VLOOKUP(O616, 'PlayerGrades+'!$X$3:$Y$23, 2, FALSE)))+('PlayerGrades+'!$Y$53*(VLOOKUP(Q616, 'PlayerGrades+'!$X$3:$Y$23, 2, FALSE)))+('PlayerGrades+'!$Y$54*(VLOOKUP(S616, 'PlayerGrades+'!$X$3:$Y$23, 2, FALSE)))+('PlayerGrades+'!$Y$55*(VLOOKUP(U616, 'PlayerGrades+'!$X$3:$Y$23, 2, FALSE)))</f>
        <v>#DIV/0!</v>
      </c>
      <c r="D616" s="1423" t="str">
        <f t="shared" si="12"/>
        <v>#DIV/0!</v>
      </c>
      <c r="E616" s="1423" t="str">
        <f>IF(D616&lt;'PlayerGrades+'!$AA$21,"F-",IF(D616&lt;'PlayerGrades+'!$AA$20,"F",IF(D616&lt;'PlayerGrades+'!$AA$19,"F+",IF(D616&lt;'PlayerGrades+'!$AA$18,"E-",IF(D616&lt;'PlayerGrades+'!$AA$17,"E",IF(D616&lt;'PlayerGrades+'!$AA$16,"E+",IF(D616&lt;'PlayerGrades+'!$AA$15,"D-",IF(D616&lt;'PlayerGrades+'!$AA$14,"D",IF(D616&lt;'PlayerGrades+'!$AA$13,"D+",IF(D616&lt;'PlayerGrades+'!$AA$12,"C-",IF(D616&lt;'PlayerGrades+'!$AA$11,"C",IF(D616&lt;'PlayerGrades+'!$AA$10,"C+",IF(D616&lt;'PlayerGrades+'!$AA$9,"B-",IF(D616&lt;'PlayerGrades+'!$AA$8,"B",IF(D616&lt;'PlayerGrades+'!$AA$7,"B+",IF(D616&lt;'PlayerGrades+'!$AA$6,"A-",IF(D616&lt;'PlayerGrades+'!$AA$5,"A",IF(D616&lt;'PlayerGrades+'!$AA$4,"A+",IF(D616&lt;'PlayerGrades+'!$AA$3,"S-",IF(D616&lt;'PlayerGrades+'!$AA$2,"S","S+"))))))))))))))))))))</f>
        <v>#DIV/0!</v>
      </c>
      <c r="F616" s="1423" t="str">
        <f t="shared" si="13"/>
        <v>#DIV/0!</v>
      </c>
      <c r="G616" s="1423" t="str">
        <f>IF(F616&lt;'PlayerGrades+'!$AB$21,"F-",IF(F616&lt;'PlayerGrades+'!$AB$20,"F",IF(F616&lt;'PlayerGrades+'!$AB$19,"F+",IF(F616&lt;'PlayerGrades+'!$AB$18,"E-",IF(F616&lt;'PlayerGrades+'!$AB$17,"E",IF(F616&lt;'PlayerGrades+'!$AB$16,"E+",IF(F616&lt;'PlayerGrades+'!$AB$15,"D-",IF(F616&lt;'PlayerGrades+'!$AB$14,"D",IF(F616&lt;'PlayerGrades+'!$AB$13,"D+",IF(F616&lt;'PlayerGrades+'!$AB$12,"C-",IF(F616&lt;'PlayerGrades+'!$AB$11,"C",IF(F616&lt;'PlayerGrades+'!$AB$10,"C+",IF(F616&lt;'PlayerGrades+'!$AB$9,"B-",IF(F616&lt;'PlayerGrades+'!$AB$8,"B",IF(F616&lt;'PlayerGrades+'!$AB$7,"B+",IF(F616&lt;'PlayerGrades+'!$AB$6,"A-",IF(F616&lt;'PlayerGrades+'!$AB$5,"A",IF(F616&lt;'PlayerGrades+'!$AB$4,"A+",IF(F616&lt;'PlayerGrades+'!$AB$3,"S-",IF(F616&lt;'PlayerGrades+'!$AB$2,"S","S+"))))))))))))))))))))</f>
        <v>#DIV/0!</v>
      </c>
      <c r="H616" s="1423" t="str">
        <f t="shared" si="14"/>
        <v>#DIV/0!</v>
      </c>
      <c r="I616" s="1423" t="str">
        <f>IF(H616&lt;'PlayerGrades+'!$AC$21,"F-",IF(H616&lt;'PlayerGrades+'!$AC$20,"F",IF(H616&lt;'PlayerGrades+'!$AC$19,"F+",IF(H616&lt;'PlayerGrades+'!$AC$18,"E-",IF(H616&lt;'PlayerGrades+'!$AC$17,"E",IF(H616&lt;'PlayerGrades+'!$AC$16,"E+",IF(H616&lt;'PlayerGrades+'!$AC$15,"D-",IF(H616&lt;'PlayerGrades+'!$AC$14,"D",IF(H616&lt;'PlayerGrades+'!$AC$13,"D+",IF(H616&lt;'PlayerGrades+'!$AC$12,"C-",IF(H616&lt;'PlayerGrades+'!$AC$11,"C",IF(H616&lt;'PlayerGrades+'!$AC$10,"C+",IF(H616&lt;'PlayerGrades+'!$AC$9,"B-",IF(H616&lt;'PlayerGrades+'!$AC$8,"B",IF(H616&lt;'PlayerGrades+'!$AC$7,"B+",IF(H616&lt;'PlayerGrades+'!$AC$6,"A-",IF(H616&lt;'PlayerGrades+'!$AC$5,"A",IF(H616&lt;'PlayerGrades+'!$AC$4,"A+",IF(H616&lt;'PlayerGrades+'!$AC$3,"S-",IF(H616&lt;'PlayerGrades+'!$AC$2,"S","S+"))))))))))))))))))))</f>
        <v>#DIV/0!</v>
      </c>
      <c r="J616" s="1423" t="str">
        <f t="shared" si="15"/>
        <v>#DIV/0!</v>
      </c>
      <c r="K616" s="1423" t="str">
        <f>IF(J616&lt;'PlayerGrades+'!$AD$21,"F-",IF(J616&lt;'PlayerGrades+'!$AD$20,"F",IF(J616&lt;'PlayerGrades+'!$AD$19,"F+",IF(J616&lt;'PlayerGrades+'!$AD$18,"E-",IF(J616&lt;'PlayerGrades+'!$AD$17,"E",IF(J616&lt;'PlayerGrades+'!$AD$16,"E+",IF(J616&lt;'PlayerGrades+'!$AD$15,"D-",IF(J616&lt;'PlayerGrades+'!$AD$14,"D",IF(J616&lt;'PlayerGrades+'!$AD$13,"D+",IF(J616&lt;'PlayerGrades+'!$AD$12,"C-",IF(J616&lt;'PlayerGrades+'!$AD$11,"C",IF(J616&lt;'PlayerGrades+'!$AD$10,"C+",IF(J616&lt;'PlayerGrades+'!$AD$9,"B-",IF(J616&lt;'PlayerGrades+'!$AD$8,"B",IF(J616&lt;'PlayerGrades+'!$AD$7,"B+",IF(J616&lt;'PlayerGrades+'!$AD$6,"A-",IF(J616&lt;'PlayerGrades+'!$AD$5,"A",IF(J616&lt;'PlayerGrades+'!$AD$4,"A+",IF(J616&lt;'PlayerGrades+'!$AD$3,"S-",IF(J616&lt;'PlayerGrades+'!$AD$2,"S","S+"))))))))))))))))))))</f>
        <v>#DIV/0!</v>
      </c>
      <c r="L616" s="1176" t="str">
        <f t="shared" si="16"/>
        <v>#DIV/0!</v>
      </c>
      <c r="M616" s="992" t="str">
        <f>IF(L616&lt;'PlayerGrades+'!$AE$21,"F-",IF(L616&lt;'PlayerGrades+'!$AE$20,"F",IF(L616&lt;'PlayerGrades+'!$AE$19,"F+",IF(L616&lt;'PlayerGrades+'!$AE$18,"E-",IF(L616&lt;'PlayerGrades+'!$AE$17,"E",IF(L616&lt;'PlayerGrades+'!$AE$16,"E+",IF(L616&lt;'PlayerGrades+'!$AE$15,"D-",IF(L616&lt;'PlayerGrades+'!$AE$14,"D",IF(L616&lt;'PlayerGrades+'!$AE$13,"D+",IF(L616&lt;'PlayerGrades+'!$AE$12,"C-",IF(L616&lt;'PlayerGrades+'!$AE$11,"C",IF(L616&lt;'PlayerGrades+'!$AE$10,"C+",IF(L616&lt;'PlayerGrades+'!$AE$9,"B-",IF(L616&lt;'PlayerGrades+'!$AE$8,"B",IF(L616&lt;'PlayerGrades+'!$AE$7,"B+",IF(L616&lt;'PlayerGrades+'!$AE$6,"A-",IF(L616&lt;'PlayerGrades+'!$AE$5,"A",IF(L616&lt;'PlayerGrades+'!$AE$4,"A+",IF(L616&lt;'PlayerGrades+'!$AE$3,"S-",IF(L616&lt;'PlayerGrades+'!$AE$2,"S","S+"))))))))))))))))))))</f>
        <v>#DIV/0!</v>
      </c>
      <c r="N616" s="1423" t="str">
        <f t="shared" si="17"/>
        <v>#DIV/0!</v>
      </c>
      <c r="O616" s="1423" t="str">
        <f>IF(N616&lt;'PlayerGrades+'!$AF$21,"F-",IF(N616&lt;'PlayerGrades+'!$AF$20,"F",IF(N616&lt;'PlayerGrades+'!$AF$19,"F+",IF(N616&lt;'PlayerGrades+'!$AF$18,"E-",IF(N616&lt;'PlayerGrades+'!$AF$17,"E",IF(N616&lt;'PlayerGrades+'!$AF$16,"E+",IF(N616&lt;'PlayerGrades+'!$AF$15,"D-",IF(N616&lt;'PlayerGrades+'!$AF$14,"D",IF(N616&lt;'PlayerGrades+'!$AF$13,"D+",IF(N616&lt;'PlayerGrades+'!$AF$12,"C-",IF(N616&lt;'PlayerGrades+'!$AF$11,"C",IF(N616&lt;'PlayerGrades+'!$AF$10,"C+",IF(N616&lt;'PlayerGrades+'!$AF$9,"B-",IF(N616&lt;'PlayerGrades+'!$AF$8,"B",IF(N616&lt;'PlayerGrades+'!$AF$7,"B+",IF(N616&lt;'PlayerGrades+'!$AF$6,"A-",IF(N616&lt;'PlayerGrades+'!$AF$5,"A",IF(N616&lt;'PlayerGrades+'!$AF$4,"A+",IF(N616&lt;'PlayerGrades+'!$AF$3,"S-",IF(N616&lt;'PlayerGrades+'!$AF$2,"S","S+"))))))))))))))))))))</f>
        <v>#DIV/0!</v>
      </c>
      <c r="P616" s="1423" t="str">
        <f t="shared" si="18"/>
        <v>#DIV/0!</v>
      </c>
      <c r="Q616" s="1423" t="str">
        <f>IF(P616&lt;'PlayerGrades+'!$AG$21,"F-",IF(P616&lt;'PlayerGrades+'!$AG$20,"F",IF(P616&lt;'PlayerGrades+'!$AG$19,"F+",IF(P616&lt;'PlayerGrades+'!$AG$18,"E-",IF(P616&lt;'PlayerGrades+'!$AG$17,"E",IF(P616&lt;'PlayerGrades+'!$AG$16,"E+",IF(P616&lt;'PlayerGrades+'!$AG$15,"D-",IF(P616&lt;'PlayerGrades+'!$AG$14,"D",IF(P616&lt;'PlayerGrades+'!$AG$13,"D+",IF(P616&lt;'PlayerGrades+'!$AG$12,"C-",IF(P616&lt;'PlayerGrades+'!$AG$11,"C",IF(P616&lt;'PlayerGrades+'!$AG$10,"C+",IF(P616&lt;'PlayerGrades+'!$AG$9,"B-",IF(P616&lt;'PlayerGrades+'!$AG$8,"B",IF(P616&lt;'PlayerGrades+'!$AG$7,"B+",IF(P616&lt;'PlayerGrades+'!$AG$6,"A-",IF(P616&lt;'PlayerGrades+'!$AG$5,"A",IF(P616&lt;'PlayerGrades+'!$AG$4,"A+",IF(P616&lt;'PlayerGrades+'!$AG$3,"S-",IF(P616&lt;'PlayerGrades+'!$AG$2,"S","S+"))))))))))))))))))))</f>
        <v>#DIV/0!</v>
      </c>
      <c r="R616" s="1423" t="str">
        <f t="shared" si="19"/>
        <v>#REF!</v>
      </c>
      <c r="S616" s="1423" t="str">
        <f>IF(R616&lt;'PlayerGrades+'!$AH$21,"F-",IF(R616&lt;'PlayerGrades+'!$AH$20,"F",IF(R616&lt;'PlayerGrades+'!$AH$19,"F+",IF(R616&lt;'PlayerGrades+'!$AH$18,"E-",IF(R616&lt;'PlayerGrades+'!$AH$17,"E",IF(R616&lt;'PlayerGrades+'!$AH$16,"E+",IF(R616&lt;'PlayerGrades+'!$AH$15,"D-",IF(R616&lt;'PlayerGrades+'!$AH$14,"D",IF(R616&lt;'PlayerGrades+'!$AH$13,"D+",IF(R616&lt;'PlayerGrades+'!$AH$12,"C-",IF(R616&lt;'PlayerGrades+'!$AH$11,"C",IF(R616&lt;'PlayerGrades+'!$AH$10,"C+",IF(R616&lt;'PlayerGrades+'!$AH$9,"B-",IF(R616&lt;'PlayerGrades+'!$AH$8,"B",IF(R616&lt;'PlayerGrades+'!$AH$7,"B+",IF(R616&lt;'PlayerGrades+'!$AH$6,"A-",IF(R616&lt;'PlayerGrades+'!$AH$5,"A",IF(R616&lt;'PlayerGrades+'!$AH$4,"A+",IF(R616&lt;'PlayerGrades+'!$AH$3,"S-",IF(R616&lt;'PlayerGrades+'!$AH$2,"S","S+"))))))))))))))))))))</f>
        <v>#REF!</v>
      </c>
      <c r="T616" s="1423" t="str">
        <f t="shared" si="20"/>
        <v>#REF!</v>
      </c>
      <c r="U616" s="1423" t="str">
        <f>IF(T616&lt;'PlayerGrades+'!$AI$21,"F-",IF(T616&lt;'PlayerGrades+'!$AI$20,"F",IF(T616&lt;'PlayerGrades+'!$AI$19,"F+",IF(T616&lt;'PlayerGrades+'!$AI$18,"E-",IF(T616&lt;'PlayerGrades+'!$AI$17,"E",IF(T616&lt;'PlayerGrades+'!$AI$16,"E+",IF(T616&lt;'PlayerGrades+'!$AI$15,"D-",IF(T616&lt;'PlayerGrades+'!$AI$14,"D",IF(T616&lt;'PlayerGrades+'!$AI$13,"D+",IF(T616&lt;'PlayerGrades+'!$AI$12,"C-",IF(T616&lt;'PlayerGrades+'!$AI$11,"C",IF(T616&lt;'PlayerGrades+'!$AI$10,"C+",IF(T616&lt;'PlayerGrades+'!$AI$9,"B-",IF(T616&lt;'PlayerGrades+'!$AI$8,"B",IF(T616&lt;'PlayerGrades+'!$AI$7,"B+",IF(T616&lt;'PlayerGrades+'!$AI$6,"A-",IF(T616&lt;'PlayerGrades+'!$AI$5,"A",IF(T616&lt;'PlayerGrades+'!$AI$4,"A+",IF(T616&lt;'PlayerGrades+'!$AI$3,"S-",IF(T616&lt;'PlayerGrades+'!$AI$2,"S","S+"))))))))))))))))))))</f>
        <v>#REF!</v>
      </c>
      <c r="AC616" s="1392"/>
    </row>
    <row r="617">
      <c r="A617" s="1393"/>
      <c r="B617" s="1421" t="str">
        <f>IF(C617&lt;'PlayerGrades+'!$Y$44,"F-",IF(C617&lt;'PlayerGrades+'!$Y$43,"F",IF(C617&lt;'PlayerGrades+'!$Y$42,"F+",IF(C617&lt;'PlayerGrades+'!$Y$41,"E-",IF(C617&lt;'PlayerGrades+'!$Y$40,"E",IF(C617&lt;'PlayerGrades+'!$Y$39,"E+",IF(C617&lt;'PlayerGrades+'!$Y$38,"D-",IF(C617&lt;'PlayerGrades+'!$Y$37,"D",IF(C617&lt;'PlayerGrades+'!$Y$36,"D+",IF(C617&lt;'PlayerGrades+'!$Y$35,"C-",IF(C617&lt;'PlayerGrades+'!$Y$34,"C",IF(C617&lt;'PlayerGrades+'!$Y$33,"C+",IF(C617&lt;'PlayerGrades+'!$Y$32,"B-",IF(C617&lt;'PlayerGrades+'!$Y$31,"B",IF(C617&lt;'PlayerGrades+'!$Y$30,"B+",IF(C617&lt;'PlayerGrades+'!$Y$29,"A-",IF(C617&lt;'PlayerGrades+'!$Y$28,"A",IF(C617&lt;'PlayerGrades+'!$Y$27,"A+",IF(C617&lt;'PlayerGrades+'!$Y$26,"S-",IF(C617&lt;'PlayerGrades+'!$Y$25,"S","S+"))))))))))))))))))))</f>
        <v>#DIV/0!</v>
      </c>
      <c r="C617" s="1422" t="str">
        <f>('PlayerGrades+'!$Y$47*(VLOOKUP(E617, 'PlayerGrades+'!$X$3:$Y$23, 2, FALSE)))+('PlayerGrades+'!$Y$48*(VLOOKUP(G617, 'PlayerGrades+'!$X$3:$Y$23, 2, FALSE)))+('PlayerGrades+'!$Y$49*(VLOOKUP(I617, 'PlayerGrades+'!$X$3:$Y$23, 2, FALSE)))+('PlayerGrades+'!$Y$50*(VLOOKUP(K617, 'PlayerGrades+'!$X$3:$Y$23, 2, FALSE)))+('PlayerGrades+'!$Y$51*(VLOOKUP(M617, 'PlayerGrades+'!$X$3:$Y$23, 2, FALSE)))+('PlayerGrades+'!$Y$52*(VLOOKUP(O617, 'PlayerGrades+'!$X$3:$Y$23, 2, FALSE)))+('PlayerGrades+'!$Y$53*(VLOOKUP(Q617, 'PlayerGrades+'!$X$3:$Y$23, 2, FALSE)))+('PlayerGrades+'!$Y$54*(VLOOKUP(S617, 'PlayerGrades+'!$X$3:$Y$23, 2, FALSE)))+('PlayerGrades+'!$Y$55*(VLOOKUP(U617, 'PlayerGrades+'!$X$3:$Y$23, 2, FALSE)))</f>
        <v>#DIV/0!</v>
      </c>
      <c r="D617" s="1423" t="str">
        <f t="shared" si="12"/>
        <v>#DIV/0!</v>
      </c>
      <c r="E617" s="1423" t="str">
        <f>IF(D617&lt;'PlayerGrades+'!$AA$21,"F-",IF(D617&lt;'PlayerGrades+'!$AA$20,"F",IF(D617&lt;'PlayerGrades+'!$AA$19,"F+",IF(D617&lt;'PlayerGrades+'!$AA$18,"E-",IF(D617&lt;'PlayerGrades+'!$AA$17,"E",IF(D617&lt;'PlayerGrades+'!$AA$16,"E+",IF(D617&lt;'PlayerGrades+'!$AA$15,"D-",IF(D617&lt;'PlayerGrades+'!$AA$14,"D",IF(D617&lt;'PlayerGrades+'!$AA$13,"D+",IF(D617&lt;'PlayerGrades+'!$AA$12,"C-",IF(D617&lt;'PlayerGrades+'!$AA$11,"C",IF(D617&lt;'PlayerGrades+'!$AA$10,"C+",IF(D617&lt;'PlayerGrades+'!$AA$9,"B-",IF(D617&lt;'PlayerGrades+'!$AA$8,"B",IF(D617&lt;'PlayerGrades+'!$AA$7,"B+",IF(D617&lt;'PlayerGrades+'!$AA$6,"A-",IF(D617&lt;'PlayerGrades+'!$AA$5,"A",IF(D617&lt;'PlayerGrades+'!$AA$4,"A+",IF(D617&lt;'PlayerGrades+'!$AA$3,"S-",IF(D617&lt;'PlayerGrades+'!$AA$2,"S","S+"))))))))))))))))))))</f>
        <v>#DIV/0!</v>
      </c>
      <c r="F617" s="1423" t="str">
        <f t="shared" si="13"/>
        <v>#DIV/0!</v>
      </c>
      <c r="G617" s="1423" t="str">
        <f>IF(F617&lt;'PlayerGrades+'!$AB$21,"F-",IF(F617&lt;'PlayerGrades+'!$AB$20,"F",IF(F617&lt;'PlayerGrades+'!$AB$19,"F+",IF(F617&lt;'PlayerGrades+'!$AB$18,"E-",IF(F617&lt;'PlayerGrades+'!$AB$17,"E",IF(F617&lt;'PlayerGrades+'!$AB$16,"E+",IF(F617&lt;'PlayerGrades+'!$AB$15,"D-",IF(F617&lt;'PlayerGrades+'!$AB$14,"D",IF(F617&lt;'PlayerGrades+'!$AB$13,"D+",IF(F617&lt;'PlayerGrades+'!$AB$12,"C-",IF(F617&lt;'PlayerGrades+'!$AB$11,"C",IF(F617&lt;'PlayerGrades+'!$AB$10,"C+",IF(F617&lt;'PlayerGrades+'!$AB$9,"B-",IF(F617&lt;'PlayerGrades+'!$AB$8,"B",IF(F617&lt;'PlayerGrades+'!$AB$7,"B+",IF(F617&lt;'PlayerGrades+'!$AB$6,"A-",IF(F617&lt;'PlayerGrades+'!$AB$5,"A",IF(F617&lt;'PlayerGrades+'!$AB$4,"A+",IF(F617&lt;'PlayerGrades+'!$AB$3,"S-",IF(F617&lt;'PlayerGrades+'!$AB$2,"S","S+"))))))))))))))))))))</f>
        <v>#DIV/0!</v>
      </c>
      <c r="H617" s="1423" t="str">
        <f t="shared" si="14"/>
        <v>#DIV/0!</v>
      </c>
      <c r="I617" s="1423" t="str">
        <f>IF(H617&lt;'PlayerGrades+'!$AC$21,"F-",IF(H617&lt;'PlayerGrades+'!$AC$20,"F",IF(H617&lt;'PlayerGrades+'!$AC$19,"F+",IF(H617&lt;'PlayerGrades+'!$AC$18,"E-",IF(H617&lt;'PlayerGrades+'!$AC$17,"E",IF(H617&lt;'PlayerGrades+'!$AC$16,"E+",IF(H617&lt;'PlayerGrades+'!$AC$15,"D-",IF(H617&lt;'PlayerGrades+'!$AC$14,"D",IF(H617&lt;'PlayerGrades+'!$AC$13,"D+",IF(H617&lt;'PlayerGrades+'!$AC$12,"C-",IF(H617&lt;'PlayerGrades+'!$AC$11,"C",IF(H617&lt;'PlayerGrades+'!$AC$10,"C+",IF(H617&lt;'PlayerGrades+'!$AC$9,"B-",IF(H617&lt;'PlayerGrades+'!$AC$8,"B",IF(H617&lt;'PlayerGrades+'!$AC$7,"B+",IF(H617&lt;'PlayerGrades+'!$AC$6,"A-",IF(H617&lt;'PlayerGrades+'!$AC$5,"A",IF(H617&lt;'PlayerGrades+'!$AC$4,"A+",IF(H617&lt;'PlayerGrades+'!$AC$3,"S-",IF(H617&lt;'PlayerGrades+'!$AC$2,"S","S+"))))))))))))))))))))</f>
        <v>#DIV/0!</v>
      </c>
      <c r="J617" s="1423" t="str">
        <f t="shared" si="15"/>
        <v>#DIV/0!</v>
      </c>
      <c r="K617" s="1423" t="str">
        <f>IF(J617&lt;'PlayerGrades+'!$AD$21,"F-",IF(J617&lt;'PlayerGrades+'!$AD$20,"F",IF(J617&lt;'PlayerGrades+'!$AD$19,"F+",IF(J617&lt;'PlayerGrades+'!$AD$18,"E-",IF(J617&lt;'PlayerGrades+'!$AD$17,"E",IF(J617&lt;'PlayerGrades+'!$AD$16,"E+",IF(J617&lt;'PlayerGrades+'!$AD$15,"D-",IF(J617&lt;'PlayerGrades+'!$AD$14,"D",IF(J617&lt;'PlayerGrades+'!$AD$13,"D+",IF(J617&lt;'PlayerGrades+'!$AD$12,"C-",IF(J617&lt;'PlayerGrades+'!$AD$11,"C",IF(J617&lt;'PlayerGrades+'!$AD$10,"C+",IF(J617&lt;'PlayerGrades+'!$AD$9,"B-",IF(J617&lt;'PlayerGrades+'!$AD$8,"B",IF(J617&lt;'PlayerGrades+'!$AD$7,"B+",IF(J617&lt;'PlayerGrades+'!$AD$6,"A-",IF(J617&lt;'PlayerGrades+'!$AD$5,"A",IF(J617&lt;'PlayerGrades+'!$AD$4,"A+",IF(J617&lt;'PlayerGrades+'!$AD$3,"S-",IF(J617&lt;'PlayerGrades+'!$AD$2,"S","S+"))))))))))))))))))))</f>
        <v>#DIV/0!</v>
      </c>
      <c r="L617" s="1176" t="str">
        <f t="shared" si="16"/>
        <v>#DIV/0!</v>
      </c>
      <c r="M617" s="992" t="str">
        <f>IF(L617&lt;'PlayerGrades+'!$AE$21,"F-",IF(L617&lt;'PlayerGrades+'!$AE$20,"F",IF(L617&lt;'PlayerGrades+'!$AE$19,"F+",IF(L617&lt;'PlayerGrades+'!$AE$18,"E-",IF(L617&lt;'PlayerGrades+'!$AE$17,"E",IF(L617&lt;'PlayerGrades+'!$AE$16,"E+",IF(L617&lt;'PlayerGrades+'!$AE$15,"D-",IF(L617&lt;'PlayerGrades+'!$AE$14,"D",IF(L617&lt;'PlayerGrades+'!$AE$13,"D+",IF(L617&lt;'PlayerGrades+'!$AE$12,"C-",IF(L617&lt;'PlayerGrades+'!$AE$11,"C",IF(L617&lt;'PlayerGrades+'!$AE$10,"C+",IF(L617&lt;'PlayerGrades+'!$AE$9,"B-",IF(L617&lt;'PlayerGrades+'!$AE$8,"B",IF(L617&lt;'PlayerGrades+'!$AE$7,"B+",IF(L617&lt;'PlayerGrades+'!$AE$6,"A-",IF(L617&lt;'PlayerGrades+'!$AE$5,"A",IF(L617&lt;'PlayerGrades+'!$AE$4,"A+",IF(L617&lt;'PlayerGrades+'!$AE$3,"S-",IF(L617&lt;'PlayerGrades+'!$AE$2,"S","S+"))))))))))))))))))))</f>
        <v>#DIV/0!</v>
      </c>
      <c r="N617" s="1423" t="str">
        <f t="shared" si="17"/>
        <v>#DIV/0!</v>
      </c>
      <c r="O617" s="1423" t="str">
        <f>IF(N617&lt;'PlayerGrades+'!$AF$21,"F-",IF(N617&lt;'PlayerGrades+'!$AF$20,"F",IF(N617&lt;'PlayerGrades+'!$AF$19,"F+",IF(N617&lt;'PlayerGrades+'!$AF$18,"E-",IF(N617&lt;'PlayerGrades+'!$AF$17,"E",IF(N617&lt;'PlayerGrades+'!$AF$16,"E+",IF(N617&lt;'PlayerGrades+'!$AF$15,"D-",IF(N617&lt;'PlayerGrades+'!$AF$14,"D",IF(N617&lt;'PlayerGrades+'!$AF$13,"D+",IF(N617&lt;'PlayerGrades+'!$AF$12,"C-",IF(N617&lt;'PlayerGrades+'!$AF$11,"C",IF(N617&lt;'PlayerGrades+'!$AF$10,"C+",IF(N617&lt;'PlayerGrades+'!$AF$9,"B-",IF(N617&lt;'PlayerGrades+'!$AF$8,"B",IF(N617&lt;'PlayerGrades+'!$AF$7,"B+",IF(N617&lt;'PlayerGrades+'!$AF$6,"A-",IF(N617&lt;'PlayerGrades+'!$AF$5,"A",IF(N617&lt;'PlayerGrades+'!$AF$4,"A+",IF(N617&lt;'PlayerGrades+'!$AF$3,"S-",IF(N617&lt;'PlayerGrades+'!$AF$2,"S","S+"))))))))))))))))))))</f>
        <v>#DIV/0!</v>
      </c>
      <c r="P617" s="1423" t="str">
        <f t="shared" si="18"/>
        <v>#DIV/0!</v>
      </c>
      <c r="Q617" s="1423" t="str">
        <f>IF(P617&lt;'PlayerGrades+'!$AG$21,"F-",IF(P617&lt;'PlayerGrades+'!$AG$20,"F",IF(P617&lt;'PlayerGrades+'!$AG$19,"F+",IF(P617&lt;'PlayerGrades+'!$AG$18,"E-",IF(P617&lt;'PlayerGrades+'!$AG$17,"E",IF(P617&lt;'PlayerGrades+'!$AG$16,"E+",IF(P617&lt;'PlayerGrades+'!$AG$15,"D-",IF(P617&lt;'PlayerGrades+'!$AG$14,"D",IF(P617&lt;'PlayerGrades+'!$AG$13,"D+",IF(P617&lt;'PlayerGrades+'!$AG$12,"C-",IF(P617&lt;'PlayerGrades+'!$AG$11,"C",IF(P617&lt;'PlayerGrades+'!$AG$10,"C+",IF(P617&lt;'PlayerGrades+'!$AG$9,"B-",IF(P617&lt;'PlayerGrades+'!$AG$8,"B",IF(P617&lt;'PlayerGrades+'!$AG$7,"B+",IF(P617&lt;'PlayerGrades+'!$AG$6,"A-",IF(P617&lt;'PlayerGrades+'!$AG$5,"A",IF(P617&lt;'PlayerGrades+'!$AG$4,"A+",IF(P617&lt;'PlayerGrades+'!$AG$3,"S-",IF(P617&lt;'PlayerGrades+'!$AG$2,"S","S+"))))))))))))))))))))</f>
        <v>#DIV/0!</v>
      </c>
      <c r="R617" s="1423" t="str">
        <f t="shared" si="19"/>
        <v>#REF!</v>
      </c>
      <c r="S617" s="1423" t="str">
        <f>IF(R617&lt;'PlayerGrades+'!$AH$21,"F-",IF(R617&lt;'PlayerGrades+'!$AH$20,"F",IF(R617&lt;'PlayerGrades+'!$AH$19,"F+",IF(R617&lt;'PlayerGrades+'!$AH$18,"E-",IF(R617&lt;'PlayerGrades+'!$AH$17,"E",IF(R617&lt;'PlayerGrades+'!$AH$16,"E+",IF(R617&lt;'PlayerGrades+'!$AH$15,"D-",IF(R617&lt;'PlayerGrades+'!$AH$14,"D",IF(R617&lt;'PlayerGrades+'!$AH$13,"D+",IF(R617&lt;'PlayerGrades+'!$AH$12,"C-",IF(R617&lt;'PlayerGrades+'!$AH$11,"C",IF(R617&lt;'PlayerGrades+'!$AH$10,"C+",IF(R617&lt;'PlayerGrades+'!$AH$9,"B-",IF(R617&lt;'PlayerGrades+'!$AH$8,"B",IF(R617&lt;'PlayerGrades+'!$AH$7,"B+",IF(R617&lt;'PlayerGrades+'!$AH$6,"A-",IF(R617&lt;'PlayerGrades+'!$AH$5,"A",IF(R617&lt;'PlayerGrades+'!$AH$4,"A+",IF(R617&lt;'PlayerGrades+'!$AH$3,"S-",IF(R617&lt;'PlayerGrades+'!$AH$2,"S","S+"))))))))))))))))))))</f>
        <v>#REF!</v>
      </c>
      <c r="T617" s="1423" t="str">
        <f t="shared" si="20"/>
        <v>#REF!</v>
      </c>
      <c r="U617" s="1423" t="str">
        <f>IF(T617&lt;'PlayerGrades+'!$AI$21,"F-",IF(T617&lt;'PlayerGrades+'!$AI$20,"F",IF(T617&lt;'PlayerGrades+'!$AI$19,"F+",IF(T617&lt;'PlayerGrades+'!$AI$18,"E-",IF(T617&lt;'PlayerGrades+'!$AI$17,"E",IF(T617&lt;'PlayerGrades+'!$AI$16,"E+",IF(T617&lt;'PlayerGrades+'!$AI$15,"D-",IF(T617&lt;'PlayerGrades+'!$AI$14,"D",IF(T617&lt;'PlayerGrades+'!$AI$13,"D+",IF(T617&lt;'PlayerGrades+'!$AI$12,"C-",IF(T617&lt;'PlayerGrades+'!$AI$11,"C",IF(T617&lt;'PlayerGrades+'!$AI$10,"C+",IF(T617&lt;'PlayerGrades+'!$AI$9,"B-",IF(T617&lt;'PlayerGrades+'!$AI$8,"B",IF(T617&lt;'PlayerGrades+'!$AI$7,"B+",IF(T617&lt;'PlayerGrades+'!$AI$6,"A-",IF(T617&lt;'PlayerGrades+'!$AI$5,"A",IF(T617&lt;'PlayerGrades+'!$AI$4,"A+",IF(T617&lt;'PlayerGrades+'!$AI$3,"S-",IF(T617&lt;'PlayerGrades+'!$AI$2,"S","S+"))))))))))))))))))))</f>
        <v>#REF!</v>
      </c>
      <c r="V617" s="1386"/>
      <c r="W617" s="1386"/>
      <c r="X617" s="1386"/>
      <c r="Y617" s="1386"/>
      <c r="Z617" s="1386"/>
      <c r="AA617" s="1386"/>
      <c r="AB617" s="1386"/>
      <c r="AC617" s="1397"/>
      <c r="AD617" s="1386"/>
      <c r="AE617" s="1386"/>
      <c r="AF617" s="1386"/>
      <c r="AG617" s="1386"/>
      <c r="AH617" s="1386"/>
      <c r="AI617" s="1386"/>
      <c r="AJ617" s="1386"/>
      <c r="AK617" s="1386"/>
      <c r="AL617" s="1386"/>
      <c r="AM617" s="1386"/>
      <c r="AN617" s="1386"/>
      <c r="AO617" s="1386"/>
      <c r="AP617" s="1386"/>
      <c r="AQ617" s="1386"/>
      <c r="AR617" s="1386"/>
      <c r="AS617" s="1386"/>
      <c r="AT617" s="1386"/>
      <c r="AU617" s="1386"/>
      <c r="AV617" s="1386"/>
      <c r="AW617" s="1386"/>
      <c r="AX617" s="1386"/>
      <c r="AY617" s="1386"/>
      <c r="AZ617" s="1386"/>
    </row>
    <row r="618">
      <c r="A618" s="1389"/>
      <c r="B618" s="1421" t="str">
        <f>IF(C618&lt;'PlayerGrades+'!$Y$44,"F-",IF(C618&lt;'PlayerGrades+'!$Y$43,"F",IF(C618&lt;'PlayerGrades+'!$Y$42,"F+",IF(C618&lt;'PlayerGrades+'!$Y$41,"E-",IF(C618&lt;'PlayerGrades+'!$Y$40,"E",IF(C618&lt;'PlayerGrades+'!$Y$39,"E+",IF(C618&lt;'PlayerGrades+'!$Y$38,"D-",IF(C618&lt;'PlayerGrades+'!$Y$37,"D",IF(C618&lt;'PlayerGrades+'!$Y$36,"D+",IF(C618&lt;'PlayerGrades+'!$Y$35,"C-",IF(C618&lt;'PlayerGrades+'!$Y$34,"C",IF(C618&lt;'PlayerGrades+'!$Y$33,"C+",IF(C618&lt;'PlayerGrades+'!$Y$32,"B-",IF(C618&lt;'PlayerGrades+'!$Y$31,"B",IF(C618&lt;'PlayerGrades+'!$Y$30,"B+",IF(C618&lt;'PlayerGrades+'!$Y$29,"A-",IF(C618&lt;'PlayerGrades+'!$Y$28,"A",IF(C618&lt;'PlayerGrades+'!$Y$27,"A+",IF(C618&lt;'PlayerGrades+'!$Y$26,"S-",IF(C618&lt;'PlayerGrades+'!$Y$25,"S","S+"))))))))))))))))))))</f>
        <v>#DIV/0!</v>
      </c>
      <c r="C618" s="1422" t="str">
        <f>('PlayerGrades+'!$Y$47*(VLOOKUP(E618, 'PlayerGrades+'!$X$3:$Y$23, 2, FALSE)))+('PlayerGrades+'!$Y$48*(VLOOKUP(G618, 'PlayerGrades+'!$X$3:$Y$23, 2, FALSE)))+('PlayerGrades+'!$Y$49*(VLOOKUP(I618, 'PlayerGrades+'!$X$3:$Y$23, 2, FALSE)))+('PlayerGrades+'!$Y$50*(VLOOKUP(K618, 'PlayerGrades+'!$X$3:$Y$23, 2, FALSE)))+('PlayerGrades+'!$Y$51*(VLOOKUP(M618, 'PlayerGrades+'!$X$3:$Y$23, 2, FALSE)))+('PlayerGrades+'!$Y$52*(VLOOKUP(O618, 'PlayerGrades+'!$X$3:$Y$23, 2, FALSE)))+('PlayerGrades+'!$Y$53*(VLOOKUP(Q618, 'PlayerGrades+'!$X$3:$Y$23, 2, FALSE)))+('PlayerGrades+'!$Y$54*(VLOOKUP(S618, 'PlayerGrades+'!$X$3:$Y$23, 2, FALSE)))+('PlayerGrades+'!$Y$55*(VLOOKUP(U618, 'PlayerGrades+'!$X$3:$Y$23, 2, FALSE)))</f>
        <v>#DIV/0!</v>
      </c>
      <c r="D618" s="1423" t="str">
        <f t="shared" si="12"/>
        <v>#DIV/0!</v>
      </c>
      <c r="E618" s="1423" t="str">
        <f>IF(D618&lt;'PlayerGrades+'!$AA$21,"F-",IF(D618&lt;'PlayerGrades+'!$AA$20,"F",IF(D618&lt;'PlayerGrades+'!$AA$19,"F+",IF(D618&lt;'PlayerGrades+'!$AA$18,"E-",IF(D618&lt;'PlayerGrades+'!$AA$17,"E",IF(D618&lt;'PlayerGrades+'!$AA$16,"E+",IF(D618&lt;'PlayerGrades+'!$AA$15,"D-",IF(D618&lt;'PlayerGrades+'!$AA$14,"D",IF(D618&lt;'PlayerGrades+'!$AA$13,"D+",IF(D618&lt;'PlayerGrades+'!$AA$12,"C-",IF(D618&lt;'PlayerGrades+'!$AA$11,"C",IF(D618&lt;'PlayerGrades+'!$AA$10,"C+",IF(D618&lt;'PlayerGrades+'!$AA$9,"B-",IF(D618&lt;'PlayerGrades+'!$AA$8,"B",IF(D618&lt;'PlayerGrades+'!$AA$7,"B+",IF(D618&lt;'PlayerGrades+'!$AA$6,"A-",IF(D618&lt;'PlayerGrades+'!$AA$5,"A",IF(D618&lt;'PlayerGrades+'!$AA$4,"A+",IF(D618&lt;'PlayerGrades+'!$AA$3,"S-",IF(D618&lt;'PlayerGrades+'!$AA$2,"S","S+"))))))))))))))))))))</f>
        <v>#DIV/0!</v>
      </c>
      <c r="F618" s="1423" t="str">
        <f t="shared" si="13"/>
        <v>#DIV/0!</v>
      </c>
      <c r="G618" s="1423" t="str">
        <f>IF(F618&lt;'PlayerGrades+'!$AB$21,"F-",IF(F618&lt;'PlayerGrades+'!$AB$20,"F",IF(F618&lt;'PlayerGrades+'!$AB$19,"F+",IF(F618&lt;'PlayerGrades+'!$AB$18,"E-",IF(F618&lt;'PlayerGrades+'!$AB$17,"E",IF(F618&lt;'PlayerGrades+'!$AB$16,"E+",IF(F618&lt;'PlayerGrades+'!$AB$15,"D-",IF(F618&lt;'PlayerGrades+'!$AB$14,"D",IF(F618&lt;'PlayerGrades+'!$AB$13,"D+",IF(F618&lt;'PlayerGrades+'!$AB$12,"C-",IF(F618&lt;'PlayerGrades+'!$AB$11,"C",IF(F618&lt;'PlayerGrades+'!$AB$10,"C+",IF(F618&lt;'PlayerGrades+'!$AB$9,"B-",IF(F618&lt;'PlayerGrades+'!$AB$8,"B",IF(F618&lt;'PlayerGrades+'!$AB$7,"B+",IF(F618&lt;'PlayerGrades+'!$AB$6,"A-",IF(F618&lt;'PlayerGrades+'!$AB$5,"A",IF(F618&lt;'PlayerGrades+'!$AB$4,"A+",IF(F618&lt;'PlayerGrades+'!$AB$3,"S-",IF(F618&lt;'PlayerGrades+'!$AB$2,"S","S+"))))))))))))))))))))</f>
        <v>#DIV/0!</v>
      </c>
      <c r="H618" s="1423" t="str">
        <f t="shared" si="14"/>
        <v>#DIV/0!</v>
      </c>
      <c r="I618" s="1423" t="str">
        <f>IF(H618&lt;'PlayerGrades+'!$AC$21,"F-",IF(H618&lt;'PlayerGrades+'!$AC$20,"F",IF(H618&lt;'PlayerGrades+'!$AC$19,"F+",IF(H618&lt;'PlayerGrades+'!$AC$18,"E-",IF(H618&lt;'PlayerGrades+'!$AC$17,"E",IF(H618&lt;'PlayerGrades+'!$AC$16,"E+",IF(H618&lt;'PlayerGrades+'!$AC$15,"D-",IF(H618&lt;'PlayerGrades+'!$AC$14,"D",IF(H618&lt;'PlayerGrades+'!$AC$13,"D+",IF(H618&lt;'PlayerGrades+'!$AC$12,"C-",IF(H618&lt;'PlayerGrades+'!$AC$11,"C",IF(H618&lt;'PlayerGrades+'!$AC$10,"C+",IF(H618&lt;'PlayerGrades+'!$AC$9,"B-",IF(H618&lt;'PlayerGrades+'!$AC$8,"B",IF(H618&lt;'PlayerGrades+'!$AC$7,"B+",IF(H618&lt;'PlayerGrades+'!$AC$6,"A-",IF(H618&lt;'PlayerGrades+'!$AC$5,"A",IF(H618&lt;'PlayerGrades+'!$AC$4,"A+",IF(H618&lt;'PlayerGrades+'!$AC$3,"S-",IF(H618&lt;'PlayerGrades+'!$AC$2,"S","S+"))))))))))))))))))))</f>
        <v>#DIV/0!</v>
      </c>
      <c r="J618" s="1423" t="str">
        <f t="shared" si="15"/>
        <v>#DIV/0!</v>
      </c>
      <c r="K618" s="1423" t="str">
        <f>IF(J618&lt;'PlayerGrades+'!$AD$21,"F-",IF(J618&lt;'PlayerGrades+'!$AD$20,"F",IF(J618&lt;'PlayerGrades+'!$AD$19,"F+",IF(J618&lt;'PlayerGrades+'!$AD$18,"E-",IF(J618&lt;'PlayerGrades+'!$AD$17,"E",IF(J618&lt;'PlayerGrades+'!$AD$16,"E+",IF(J618&lt;'PlayerGrades+'!$AD$15,"D-",IF(J618&lt;'PlayerGrades+'!$AD$14,"D",IF(J618&lt;'PlayerGrades+'!$AD$13,"D+",IF(J618&lt;'PlayerGrades+'!$AD$12,"C-",IF(J618&lt;'PlayerGrades+'!$AD$11,"C",IF(J618&lt;'PlayerGrades+'!$AD$10,"C+",IF(J618&lt;'PlayerGrades+'!$AD$9,"B-",IF(J618&lt;'PlayerGrades+'!$AD$8,"B",IF(J618&lt;'PlayerGrades+'!$AD$7,"B+",IF(J618&lt;'PlayerGrades+'!$AD$6,"A-",IF(J618&lt;'PlayerGrades+'!$AD$5,"A",IF(J618&lt;'PlayerGrades+'!$AD$4,"A+",IF(J618&lt;'PlayerGrades+'!$AD$3,"S-",IF(J618&lt;'PlayerGrades+'!$AD$2,"S","S+"))))))))))))))))))))</f>
        <v>#DIV/0!</v>
      </c>
      <c r="L618" s="1176" t="str">
        <f t="shared" si="16"/>
        <v>#DIV/0!</v>
      </c>
      <c r="M618" s="992" t="str">
        <f>IF(L618&lt;'PlayerGrades+'!$AE$21,"F-",IF(L618&lt;'PlayerGrades+'!$AE$20,"F",IF(L618&lt;'PlayerGrades+'!$AE$19,"F+",IF(L618&lt;'PlayerGrades+'!$AE$18,"E-",IF(L618&lt;'PlayerGrades+'!$AE$17,"E",IF(L618&lt;'PlayerGrades+'!$AE$16,"E+",IF(L618&lt;'PlayerGrades+'!$AE$15,"D-",IF(L618&lt;'PlayerGrades+'!$AE$14,"D",IF(L618&lt;'PlayerGrades+'!$AE$13,"D+",IF(L618&lt;'PlayerGrades+'!$AE$12,"C-",IF(L618&lt;'PlayerGrades+'!$AE$11,"C",IF(L618&lt;'PlayerGrades+'!$AE$10,"C+",IF(L618&lt;'PlayerGrades+'!$AE$9,"B-",IF(L618&lt;'PlayerGrades+'!$AE$8,"B",IF(L618&lt;'PlayerGrades+'!$AE$7,"B+",IF(L618&lt;'PlayerGrades+'!$AE$6,"A-",IF(L618&lt;'PlayerGrades+'!$AE$5,"A",IF(L618&lt;'PlayerGrades+'!$AE$4,"A+",IF(L618&lt;'PlayerGrades+'!$AE$3,"S-",IF(L618&lt;'PlayerGrades+'!$AE$2,"S","S+"))))))))))))))))))))</f>
        <v>#DIV/0!</v>
      </c>
      <c r="N618" s="1423" t="str">
        <f t="shared" si="17"/>
        <v>#DIV/0!</v>
      </c>
      <c r="O618" s="1423" t="str">
        <f>IF(N618&lt;'PlayerGrades+'!$AF$21,"F-",IF(N618&lt;'PlayerGrades+'!$AF$20,"F",IF(N618&lt;'PlayerGrades+'!$AF$19,"F+",IF(N618&lt;'PlayerGrades+'!$AF$18,"E-",IF(N618&lt;'PlayerGrades+'!$AF$17,"E",IF(N618&lt;'PlayerGrades+'!$AF$16,"E+",IF(N618&lt;'PlayerGrades+'!$AF$15,"D-",IF(N618&lt;'PlayerGrades+'!$AF$14,"D",IF(N618&lt;'PlayerGrades+'!$AF$13,"D+",IF(N618&lt;'PlayerGrades+'!$AF$12,"C-",IF(N618&lt;'PlayerGrades+'!$AF$11,"C",IF(N618&lt;'PlayerGrades+'!$AF$10,"C+",IF(N618&lt;'PlayerGrades+'!$AF$9,"B-",IF(N618&lt;'PlayerGrades+'!$AF$8,"B",IF(N618&lt;'PlayerGrades+'!$AF$7,"B+",IF(N618&lt;'PlayerGrades+'!$AF$6,"A-",IF(N618&lt;'PlayerGrades+'!$AF$5,"A",IF(N618&lt;'PlayerGrades+'!$AF$4,"A+",IF(N618&lt;'PlayerGrades+'!$AF$3,"S-",IF(N618&lt;'PlayerGrades+'!$AF$2,"S","S+"))))))))))))))))))))</f>
        <v>#DIV/0!</v>
      </c>
      <c r="P618" s="1423" t="str">
        <f t="shared" si="18"/>
        <v>#DIV/0!</v>
      </c>
      <c r="Q618" s="1423" t="str">
        <f>IF(P618&lt;'PlayerGrades+'!$AG$21,"F-",IF(P618&lt;'PlayerGrades+'!$AG$20,"F",IF(P618&lt;'PlayerGrades+'!$AG$19,"F+",IF(P618&lt;'PlayerGrades+'!$AG$18,"E-",IF(P618&lt;'PlayerGrades+'!$AG$17,"E",IF(P618&lt;'PlayerGrades+'!$AG$16,"E+",IF(P618&lt;'PlayerGrades+'!$AG$15,"D-",IF(P618&lt;'PlayerGrades+'!$AG$14,"D",IF(P618&lt;'PlayerGrades+'!$AG$13,"D+",IF(P618&lt;'PlayerGrades+'!$AG$12,"C-",IF(P618&lt;'PlayerGrades+'!$AG$11,"C",IF(P618&lt;'PlayerGrades+'!$AG$10,"C+",IF(P618&lt;'PlayerGrades+'!$AG$9,"B-",IF(P618&lt;'PlayerGrades+'!$AG$8,"B",IF(P618&lt;'PlayerGrades+'!$AG$7,"B+",IF(P618&lt;'PlayerGrades+'!$AG$6,"A-",IF(P618&lt;'PlayerGrades+'!$AG$5,"A",IF(P618&lt;'PlayerGrades+'!$AG$4,"A+",IF(P618&lt;'PlayerGrades+'!$AG$3,"S-",IF(P618&lt;'PlayerGrades+'!$AG$2,"S","S+"))))))))))))))))))))</f>
        <v>#DIV/0!</v>
      </c>
      <c r="R618" s="1423" t="str">
        <f t="shared" si="19"/>
        <v>#REF!</v>
      </c>
      <c r="S618" s="1423" t="str">
        <f>IF(R618&lt;'PlayerGrades+'!$AH$21,"F-",IF(R618&lt;'PlayerGrades+'!$AH$20,"F",IF(R618&lt;'PlayerGrades+'!$AH$19,"F+",IF(R618&lt;'PlayerGrades+'!$AH$18,"E-",IF(R618&lt;'PlayerGrades+'!$AH$17,"E",IF(R618&lt;'PlayerGrades+'!$AH$16,"E+",IF(R618&lt;'PlayerGrades+'!$AH$15,"D-",IF(R618&lt;'PlayerGrades+'!$AH$14,"D",IF(R618&lt;'PlayerGrades+'!$AH$13,"D+",IF(R618&lt;'PlayerGrades+'!$AH$12,"C-",IF(R618&lt;'PlayerGrades+'!$AH$11,"C",IF(R618&lt;'PlayerGrades+'!$AH$10,"C+",IF(R618&lt;'PlayerGrades+'!$AH$9,"B-",IF(R618&lt;'PlayerGrades+'!$AH$8,"B",IF(R618&lt;'PlayerGrades+'!$AH$7,"B+",IF(R618&lt;'PlayerGrades+'!$AH$6,"A-",IF(R618&lt;'PlayerGrades+'!$AH$5,"A",IF(R618&lt;'PlayerGrades+'!$AH$4,"A+",IF(R618&lt;'PlayerGrades+'!$AH$3,"S-",IF(R618&lt;'PlayerGrades+'!$AH$2,"S","S+"))))))))))))))))))))</f>
        <v>#REF!</v>
      </c>
      <c r="T618" s="1423" t="str">
        <f t="shared" si="20"/>
        <v>#REF!</v>
      </c>
      <c r="U618" s="1423" t="str">
        <f>IF(T618&lt;'PlayerGrades+'!$AI$21,"F-",IF(T618&lt;'PlayerGrades+'!$AI$20,"F",IF(T618&lt;'PlayerGrades+'!$AI$19,"F+",IF(T618&lt;'PlayerGrades+'!$AI$18,"E-",IF(T618&lt;'PlayerGrades+'!$AI$17,"E",IF(T618&lt;'PlayerGrades+'!$AI$16,"E+",IF(T618&lt;'PlayerGrades+'!$AI$15,"D-",IF(T618&lt;'PlayerGrades+'!$AI$14,"D",IF(T618&lt;'PlayerGrades+'!$AI$13,"D+",IF(T618&lt;'PlayerGrades+'!$AI$12,"C-",IF(T618&lt;'PlayerGrades+'!$AI$11,"C",IF(T618&lt;'PlayerGrades+'!$AI$10,"C+",IF(T618&lt;'PlayerGrades+'!$AI$9,"B-",IF(T618&lt;'PlayerGrades+'!$AI$8,"B",IF(T618&lt;'PlayerGrades+'!$AI$7,"B+",IF(T618&lt;'PlayerGrades+'!$AI$6,"A-",IF(T618&lt;'PlayerGrades+'!$AI$5,"A",IF(T618&lt;'PlayerGrades+'!$AI$4,"A+",IF(T618&lt;'PlayerGrades+'!$AI$3,"S-",IF(T618&lt;'PlayerGrades+'!$AI$2,"S","S+"))))))))))))))))))))</f>
        <v>#REF!</v>
      </c>
      <c r="V618" s="1379"/>
      <c r="W618" s="1379"/>
      <c r="X618" s="1379"/>
      <c r="Y618" s="1379"/>
      <c r="Z618" s="1379"/>
      <c r="AA618" s="1379"/>
      <c r="AB618" s="1379"/>
      <c r="AC618" s="1390"/>
      <c r="AD618" s="1379"/>
      <c r="AE618" s="1379"/>
      <c r="AF618" s="1379"/>
      <c r="AG618" s="1379"/>
      <c r="AH618" s="1379"/>
      <c r="AI618" s="1379"/>
      <c r="AJ618" s="1379"/>
      <c r="AK618" s="1379"/>
      <c r="AL618" s="1379"/>
      <c r="AM618" s="1379"/>
      <c r="AN618" s="1379"/>
      <c r="AO618" s="1379"/>
      <c r="AP618" s="1379"/>
      <c r="AQ618" s="1379"/>
      <c r="AR618" s="1379"/>
      <c r="AS618" s="1379"/>
      <c r="AT618" s="1379"/>
      <c r="AU618" s="1379"/>
      <c r="AV618" s="1379"/>
      <c r="AW618" s="1379"/>
      <c r="AX618" s="1379"/>
      <c r="AY618" s="1379"/>
      <c r="AZ618" s="1379"/>
    </row>
    <row r="619">
      <c r="A619" s="1391"/>
      <c r="B619" s="1421" t="str">
        <f>IF(C619&lt;'PlayerGrades+'!$Y$44,"F-",IF(C619&lt;'PlayerGrades+'!$Y$43,"F",IF(C619&lt;'PlayerGrades+'!$Y$42,"F+",IF(C619&lt;'PlayerGrades+'!$Y$41,"E-",IF(C619&lt;'PlayerGrades+'!$Y$40,"E",IF(C619&lt;'PlayerGrades+'!$Y$39,"E+",IF(C619&lt;'PlayerGrades+'!$Y$38,"D-",IF(C619&lt;'PlayerGrades+'!$Y$37,"D",IF(C619&lt;'PlayerGrades+'!$Y$36,"D+",IF(C619&lt;'PlayerGrades+'!$Y$35,"C-",IF(C619&lt;'PlayerGrades+'!$Y$34,"C",IF(C619&lt;'PlayerGrades+'!$Y$33,"C+",IF(C619&lt;'PlayerGrades+'!$Y$32,"B-",IF(C619&lt;'PlayerGrades+'!$Y$31,"B",IF(C619&lt;'PlayerGrades+'!$Y$30,"B+",IF(C619&lt;'PlayerGrades+'!$Y$29,"A-",IF(C619&lt;'PlayerGrades+'!$Y$28,"A",IF(C619&lt;'PlayerGrades+'!$Y$27,"A+",IF(C619&lt;'PlayerGrades+'!$Y$26,"S-",IF(C619&lt;'PlayerGrades+'!$Y$25,"S","S+"))))))))))))))))))))</f>
        <v>#DIV/0!</v>
      </c>
      <c r="C619" s="1422" t="str">
        <f>('PlayerGrades+'!$Y$47*(VLOOKUP(E619, 'PlayerGrades+'!$X$3:$Y$23, 2, FALSE)))+('PlayerGrades+'!$Y$48*(VLOOKUP(G619, 'PlayerGrades+'!$X$3:$Y$23, 2, FALSE)))+('PlayerGrades+'!$Y$49*(VLOOKUP(I619, 'PlayerGrades+'!$X$3:$Y$23, 2, FALSE)))+('PlayerGrades+'!$Y$50*(VLOOKUP(K619, 'PlayerGrades+'!$X$3:$Y$23, 2, FALSE)))+('PlayerGrades+'!$Y$51*(VLOOKUP(M619, 'PlayerGrades+'!$X$3:$Y$23, 2, FALSE)))+('PlayerGrades+'!$Y$52*(VLOOKUP(O619, 'PlayerGrades+'!$X$3:$Y$23, 2, FALSE)))+('PlayerGrades+'!$Y$53*(VLOOKUP(Q619, 'PlayerGrades+'!$X$3:$Y$23, 2, FALSE)))+('PlayerGrades+'!$Y$54*(VLOOKUP(S619, 'PlayerGrades+'!$X$3:$Y$23, 2, FALSE)))+('PlayerGrades+'!$Y$55*(VLOOKUP(U619, 'PlayerGrades+'!$X$3:$Y$23, 2, FALSE)))</f>
        <v>#DIV/0!</v>
      </c>
      <c r="D619" s="1423" t="str">
        <f t="shared" si="12"/>
        <v>#DIV/0!</v>
      </c>
      <c r="E619" s="1423" t="str">
        <f>IF(D619&lt;'PlayerGrades+'!$AA$21,"F-",IF(D619&lt;'PlayerGrades+'!$AA$20,"F",IF(D619&lt;'PlayerGrades+'!$AA$19,"F+",IF(D619&lt;'PlayerGrades+'!$AA$18,"E-",IF(D619&lt;'PlayerGrades+'!$AA$17,"E",IF(D619&lt;'PlayerGrades+'!$AA$16,"E+",IF(D619&lt;'PlayerGrades+'!$AA$15,"D-",IF(D619&lt;'PlayerGrades+'!$AA$14,"D",IF(D619&lt;'PlayerGrades+'!$AA$13,"D+",IF(D619&lt;'PlayerGrades+'!$AA$12,"C-",IF(D619&lt;'PlayerGrades+'!$AA$11,"C",IF(D619&lt;'PlayerGrades+'!$AA$10,"C+",IF(D619&lt;'PlayerGrades+'!$AA$9,"B-",IF(D619&lt;'PlayerGrades+'!$AA$8,"B",IF(D619&lt;'PlayerGrades+'!$AA$7,"B+",IF(D619&lt;'PlayerGrades+'!$AA$6,"A-",IF(D619&lt;'PlayerGrades+'!$AA$5,"A",IF(D619&lt;'PlayerGrades+'!$AA$4,"A+",IF(D619&lt;'PlayerGrades+'!$AA$3,"S-",IF(D619&lt;'PlayerGrades+'!$AA$2,"S","S+"))))))))))))))))))))</f>
        <v>#DIV/0!</v>
      </c>
      <c r="F619" s="1423" t="str">
        <f t="shared" si="13"/>
        <v>#DIV/0!</v>
      </c>
      <c r="G619" s="1423" t="str">
        <f>IF(F619&lt;'PlayerGrades+'!$AB$21,"F-",IF(F619&lt;'PlayerGrades+'!$AB$20,"F",IF(F619&lt;'PlayerGrades+'!$AB$19,"F+",IF(F619&lt;'PlayerGrades+'!$AB$18,"E-",IF(F619&lt;'PlayerGrades+'!$AB$17,"E",IF(F619&lt;'PlayerGrades+'!$AB$16,"E+",IF(F619&lt;'PlayerGrades+'!$AB$15,"D-",IF(F619&lt;'PlayerGrades+'!$AB$14,"D",IF(F619&lt;'PlayerGrades+'!$AB$13,"D+",IF(F619&lt;'PlayerGrades+'!$AB$12,"C-",IF(F619&lt;'PlayerGrades+'!$AB$11,"C",IF(F619&lt;'PlayerGrades+'!$AB$10,"C+",IF(F619&lt;'PlayerGrades+'!$AB$9,"B-",IF(F619&lt;'PlayerGrades+'!$AB$8,"B",IF(F619&lt;'PlayerGrades+'!$AB$7,"B+",IF(F619&lt;'PlayerGrades+'!$AB$6,"A-",IF(F619&lt;'PlayerGrades+'!$AB$5,"A",IF(F619&lt;'PlayerGrades+'!$AB$4,"A+",IF(F619&lt;'PlayerGrades+'!$AB$3,"S-",IF(F619&lt;'PlayerGrades+'!$AB$2,"S","S+"))))))))))))))))))))</f>
        <v>#DIV/0!</v>
      </c>
      <c r="H619" s="1423" t="str">
        <f t="shared" si="14"/>
        <v>#DIV/0!</v>
      </c>
      <c r="I619" s="1423" t="str">
        <f>IF(H619&lt;'PlayerGrades+'!$AC$21,"F-",IF(H619&lt;'PlayerGrades+'!$AC$20,"F",IF(H619&lt;'PlayerGrades+'!$AC$19,"F+",IF(H619&lt;'PlayerGrades+'!$AC$18,"E-",IF(H619&lt;'PlayerGrades+'!$AC$17,"E",IF(H619&lt;'PlayerGrades+'!$AC$16,"E+",IF(H619&lt;'PlayerGrades+'!$AC$15,"D-",IF(H619&lt;'PlayerGrades+'!$AC$14,"D",IF(H619&lt;'PlayerGrades+'!$AC$13,"D+",IF(H619&lt;'PlayerGrades+'!$AC$12,"C-",IF(H619&lt;'PlayerGrades+'!$AC$11,"C",IF(H619&lt;'PlayerGrades+'!$AC$10,"C+",IF(H619&lt;'PlayerGrades+'!$AC$9,"B-",IF(H619&lt;'PlayerGrades+'!$AC$8,"B",IF(H619&lt;'PlayerGrades+'!$AC$7,"B+",IF(H619&lt;'PlayerGrades+'!$AC$6,"A-",IF(H619&lt;'PlayerGrades+'!$AC$5,"A",IF(H619&lt;'PlayerGrades+'!$AC$4,"A+",IF(H619&lt;'PlayerGrades+'!$AC$3,"S-",IF(H619&lt;'PlayerGrades+'!$AC$2,"S","S+"))))))))))))))))))))</f>
        <v>#DIV/0!</v>
      </c>
      <c r="J619" s="1423" t="str">
        <f t="shared" si="15"/>
        <v>#DIV/0!</v>
      </c>
      <c r="K619" s="1423" t="str">
        <f>IF(J619&lt;'PlayerGrades+'!$AD$21,"F-",IF(J619&lt;'PlayerGrades+'!$AD$20,"F",IF(J619&lt;'PlayerGrades+'!$AD$19,"F+",IF(J619&lt;'PlayerGrades+'!$AD$18,"E-",IF(J619&lt;'PlayerGrades+'!$AD$17,"E",IF(J619&lt;'PlayerGrades+'!$AD$16,"E+",IF(J619&lt;'PlayerGrades+'!$AD$15,"D-",IF(J619&lt;'PlayerGrades+'!$AD$14,"D",IF(J619&lt;'PlayerGrades+'!$AD$13,"D+",IF(J619&lt;'PlayerGrades+'!$AD$12,"C-",IF(J619&lt;'PlayerGrades+'!$AD$11,"C",IF(J619&lt;'PlayerGrades+'!$AD$10,"C+",IF(J619&lt;'PlayerGrades+'!$AD$9,"B-",IF(J619&lt;'PlayerGrades+'!$AD$8,"B",IF(J619&lt;'PlayerGrades+'!$AD$7,"B+",IF(J619&lt;'PlayerGrades+'!$AD$6,"A-",IF(J619&lt;'PlayerGrades+'!$AD$5,"A",IF(J619&lt;'PlayerGrades+'!$AD$4,"A+",IF(J619&lt;'PlayerGrades+'!$AD$3,"S-",IF(J619&lt;'PlayerGrades+'!$AD$2,"S","S+"))))))))))))))))))))</f>
        <v>#DIV/0!</v>
      </c>
      <c r="L619" s="1176" t="str">
        <f t="shared" si="16"/>
        <v>#DIV/0!</v>
      </c>
      <c r="M619" s="992" t="str">
        <f>IF(L619&lt;'PlayerGrades+'!$AE$21,"F-",IF(L619&lt;'PlayerGrades+'!$AE$20,"F",IF(L619&lt;'PlayerGrades+'!$AE$19,"F+",IF(L619&lt;'PlayerGrades+'!$AE$18,"E-",IF(L619&lt;'PlayerGrades+'!$AE$17,"E",IF(L619&lt;'PlayerGrades+'!$AE$16,"E+",IF(L619&lt;'PlayerGrades+'!$AE$15,"D-",IF(L619&lt;'PlayerGrades+'!$AE$14,"D",IF(L619&lt;'PlayerGrades+'!$AE$13,"D+",IF(L619&lt;'PlayerGrades+'!$AE$12,"C-",IF(L619&lt;'PlayerGrades+'!$AE$11,"C",IF(L619&lt;'PlayerGrades+'!$AE$10,"C+",IF(L619&lt;'PlayerGrades+'!$AE$9,"B-",IF(L619&lt;'PlayerGrades+'!$AE$8,"B",IF(L619&lt;'PlayerGrades+'!$AE$7,"B+",IF(L619&lt;'PlayerGrades+'!$AE$6,"A-",IF(L619&lt;'PlayerGrades+'!$AE$5,"A",IF(L619&lt;'PlayerGrades+'!$AE$4,"A+",IF(L619&lt;'PlayerGrades+'!$AE$3,"S-",IF(L619&lt;'PlayerGrades+'!$AE$2,"S","S+"))))))))))))))))))))</f>
        <v>#DIV/0!</v>
      </c>
      <c r="N619" s="1423" t="str">
        <f t="shared" si="17"/>
        <v>#DIV/0!</v>
      </c>
      <c r="O619" s="1423" t="str">
        <f>IF(N619&lt;'PlayerGrades+'!$AF$21,"F-",IF(N619&lt;'PlayerGrades+'!$AF$20,"F",IF(N619&lt;'PlayerGrades+'!$AF$19,"F+",IF(N619&lt;'PlayerGrades+'!$AF$18,"E-",IF(N619&lt;'PlayerGrades+'!$AF$17,"E",IF(N619&lt;'PlayerGrades+'!$AF$16,"E+",IF(N619&lt;'PlayerGrades+'!$AF$15,"D-",IF(N619&lt;'PlayerGrades+'!$AF$14,"D",IF(N619&lt;'PlayerGrades+'!$AF$13,"D+",IF(N619&lt;'PlayerGrades+'!$AF$12,"C-",IF(N619&lt;'PlayerGrades+'!$AF$11,"C",IF(N619&lt;'PlayerGrades+'!$AF$10,"C+",IF(N619&lt;'PlayerGrades+'!$AF$9,"B-",IF(N619&lt;'PlayerGrades+'!$AF$8,"B",IF(N619&lt;'PlayerGrades+'!$AF$7,"B+",IF(N619&lt;'PlayerGrades+'!$AF$6,"A-",IF(N619&lt;'PlayerGrades+'!$AF$5,"A",IF(N619&lt;'PlayerGrades+'!$AF$4,"A+",IF(N619&lt;'PlayerGrades+'!$AF$3,"S-",IF(N619&lt;'PlayerGrades+'!$AF$2,"S","S+"))))))))))))))))))))</f>
        <v>#DIV/0!</v>
      </c>
      <c r="P619" s="1423" t="str">
        <f t="shared" si="18"/>
        <v>#DIV/0!</v>
      </c>
      <c r="Q619" s="1423" t="str">
        <f>IF(P619&lt;'PlayerGrades+'!$AG$21,"F-",IF(P619&lt;'PlayerGrades+'!$AG$20,"F",IF(P619&lt;'PlayerGrades+'!$AG$19,"F+",IF(P619&lt;'PlayerGrades+'!$AG$18,"E-",IF(P619&lt;'PlayerGrades+'!$AG$17,"E",IF(P619&lt;'PlayerGrades+'!$AG$16,"E+",IF(P619&lt;'PlayerGrades+'!$AG$15,"D-",IF(P619&lt;'PlayerGrades+'!$AG$14,"D",IF(P619&lt;'PlayerGrades+'!$AG$13,"D+",IF(P619&lt;'PlayerGrades+'!$AG$12,"C-",IF(P619&lt;'PlayerGrades+'!$AG$11,"C",IF(P619&lt;'PlayerGrades+'!$AG$10,"C+",IF(P619&lt;'PlayerGrades+'!$AG$9,"B-",IF(P619&lt;'PlayerGrades+'!$AG$8,"B",IF(P619&lt;'PlayerGrades+'!$AG$7,"B+",IF(P619&lt;'PlayerGrades+'!$AG$6,"A-",IF(P619&lt;'PlayerGrades+'!$AG$5,"A",IF(P619&lt;'PlayerGrades+'!$AG$4,"A+",IF(P619&lt;'PlayerGrades+'!$AG$3,"S-",IF(P619&lt;'PlayerGrades+'!$AG$2,"S","S+"))))))))))))))))))))</f>
        <v>#DIV/0!</v>
      </c>
      <c r="R619" s="1423" t="str">
        <f t="shared" si="19"/>
        <v>#REF!</v>
      </c>
      <c r="S619" s="1423" t="str">
        <f>IF(R619&lt;'PlayerGrades+'!$AH$21,"F-",IF(R619&lt;'PlayerGrades+'!$AH$20,"F",IF(R619&lt;'PlayerGrades+'!$AH$19,"F+",IF(R619&lt;'PlayerGrades+'!$AH$18,"E-",IF(R619&lt;'PlayerGrades+'!$AH$17,"E",IF(R619&lt;'PlayerGrades+'!$AH$16,"E+",IF(R619&lt;'PlayerGrades+'!$AH$15,"D-",IF(R619&lt;'PlayerGrades+'!$AH$14,"D",IF(R619&lt;'PlayerGrades+'!$AH$13,"D+",IF(R619&lt;'PlayerGrades+'!$AH$12,"C-",IF(R619&lt;'PlayerGrades+'!$AH$11,"C",IF(R619&lt;'PlayerGrades+'!$AH$10,"C+",IF(R619&lt;'PlayerGrades+'!$AH$9,"B-",IF(R619&lt;'PlayerGrades+'!$AH$8,"B",IF(R619&lt;'PlayerGrades+'!$AH$7,"B+",IF(R619&lt;'PlayerGrades+'!$AH$6,"A-",IF(R619&lt;'PlayerGrades+'!$AH$5,"A",IF(R619&lt;'PlayerGrades+'!$AH$4,"A+",IF(R619&lt;'PlayerGrades+'!$AH$3,"S-",IF(R619&lt;'PlayerGrades+'!$AH$2,"S","S+"))))))))))))))))))))</f>
        <v>#REF!</v>
      </c>
      <c r="T619" s="1423" t="str">
        <f t="shared" si="20"/>
        <v>#REF!</v>
      </c>
      <c r="U619" s="1423" t="str">
        <f>IF(T619&lt;'PlayerGrades+'!$AI$21,"F-",IF(T619&lt;'PlayerGrades+'!$AI$20,"F",IF(T619&lt;'PlayerGrades+'!$AI$19,"F+",IF(T619&lt;'PlayerGrades+'!$AI$18,"E-",IF(T619&lt;'PlayerGrades+'!$AI$17,"E",IF(T619&lt;'PlayerGrades+'!$AI$16,"E+",IF(T619&lt;'PlayerGrades+'!$AI$15,"D-",IF(T619&lt;'PlayerGrades+'!$AI$14,"D",IF(T619&lt;'PlayerGrades+'!$AI$13,"D+",IF(T619&lt;'PlayerGrades+'!$AI$12,"C-",IF(T619&lt;'PlayerGrades+'!$AI$11,"C",IF(T619&lt;'PlayerGrades+'!$AI$10,"C+",IF(T619&lt;'PlayerGrades+'!$AI$9,"B-",IF(T619&lt;'PlayerGrades+'!$AI$8,"B",IF(T619&lt;'PlayerGrades+'!$AI$7,"B+",IF(T619&lt;'PlayerGrades+'!$AI$6,"A-",IF(T619&lt;'PlayerGrades+'!$AI$5,"A",IF(T619&lt;'PlayerGrades+'!$AI$4,"A+",IF(T619&lt;'PlayerGrades+'!$AI$3,"S-",IF(T619&lt;'PlayerGrades+'!$AI$2,"S","S+"))))))))))))))))))))</f>
        <v>#REF!</v>
      </c>
      <c r="AC619" s="1392"/>
    </row>
    <row r="620">
      <c r="A620" s="1391"/>
      <c r="B620" s="1421" t="str">
        <f>IF(C620&lt;'PlayerGrades+'!$Y$44,"F-",IF(C620&lt;'PlayerGrades+'!$Y$43,"F",IF(C620&lt;'PlayerGrades+'!$Y$42,"F+",IF(C620&lt;'PlayerGrades+'!$Y$41,"E-",IF(C620&lt;'PlayerGrades+'!$Y$40,"E",IF(C620&lt;'PlayerGrades+'!$Y$39,"E+",IF(C620&lt;'PlayerGrades+'!$Y$38,"D-",IF(C620&lt;'PlayerGrades+'!$Y$37,"D",IF(C620&lt;'PlayerGrades+'!$Y$36,"D+",IF(C620&lt;'PlayerGrades+'!$Y$35,"C-",IF(C620&lt;'PlayerGrades+'!$Y$34,"C",IF(C620&lt;'PlayerGrades+'!$Y$33,"C+",IF(C620&lt;'PlayerGrades+'!$Y$32,"B-",IF(C620&lt;'PlayerGrades+'!$Y$31,"B",IF(C620&lt;'PlayerGrades+'!$Y$30,"B+",IF(C620&lt;'PlayerGrades+'!$Y$29,"A-",IF(C620&lt;'PlayerGrades+'!$Y$28,"A",IF(C620&lt;'PlayerGrades+'!$Y$27,"A+",IF(C620&lt;'PlayerGrades+'!$Y$26,"S-",IF(C620&lt;'PlayerGrades+'!$Y$25,"S","S+"))))))))))))))))))))</f>
        <v>#DIV/0!</v>
      </c>
      <c r="C620" s="1422" t="str">
        <f>('PlayerGrades+'!$Y$47*(VLOOKUP(E620, 'PlayerGrades+'!$X$3:$Y$23, 2, FALSE)))+('PlayerGrades+'!$Y$48*(VLOOKUP(G620, 'PlayerGrades+'!$X$3:$Y$23, 2, FALSE)))+('PlayerGrades+'!$Y$49*(VLOOKUP(I620, 'PlayerGrades+'!$X$3:$Y$23, 2, FALSE)))+('PlayerGrades+'!$Y$50*(VLOOKUP(K620, 'PlayerGrades+'!$X$3:$Y$23, 2, FALSE)))+('PlayerGrades+'!$Y$51*(VLOOKUP(M620, 'PlayerGrades+'!$X$3:$Y$23, 2, FALSE)))+('PlayerGrades+'!$Y$52*(VLOOKUP(O620, 'PlayerGrades+'!$X$3:$Y$23, 2, FALSE)))+('PlayerGrades+'!$Y$53*(VLOOKUP(Q620, 'PlayerGrades+'!$X$3:$Y$23, 2, FALSE)))+('PlayerGrades+'!$Y$54*(VLOOKUP(S620, 'PlayerGrades+'!$X$3:$Y$23, 2, FALSE)))+('PlayerGrades+'!$Y$55*(VLOOKUP(U620, 'PlayerGrades+'!$X$3:$Y$23, 2, FALSE)))</f>
        <v>#DIV/0!</v>
      </c>
      <c r="D620" s="1423" t="str">
        <f t="shared" si="12"/>
        <v>#DIV/0!</v>
      </c>
      <c r="E620" s="1423" t="str">
        <f>IF(D620&lt;'PlayerGrades+'!$AA$21,"F-",IF(D620&lt;'PlayerGrades+'!$AA$20,"F",IF(D620&lt;'PlayerGrades+'!$AA$19,"F+",IF(D620&lt;'PlayerGrades+'!$AA$18,"E-",IF(D620&lt;'PlayerGrades+'!$AA$17,"E",IF(D620&lt;'PlayerGrades+'!$AA$16,"E+",IF(D620&lt;'PlayerGrades+'!$AA$15,"D-",IF(D620&lt;'PlayerGrades+'!$AA$14,"D",IF(D620&lt;'PlayerGrades+'!$AA$13,"D+",IF(D620&lt;'PlayerGrades+'!$AA$12,"C-",IF(D620&lt;'PlayerGrades+'!$AA$11,"C",IF(D620&lt;'PlayerGrades+'!$AA$10,"C+",IF(D620&lt;'PlayerGrades+'!$AA$9,"B-",IF(D620&lt;'PlayerGrades+'!$AA$8,"B",IF(D620&lt;'PlayerGrades+'!$AA$7,"B+",IF(D620&lt;'PlayerGrades+'!$AA$6,"A-",IF(D620&lt;'PlayerGrades+'!$AA$5,"A",IF(D620&lt;'PlayerGrades+'!$AA$4,"A+",IF(D620&lt;'PlayerGrades+'!$AA$3,"S-",IF(D620&lt;'PlayerGrades+'!$AA$2,"S","S+"))))))))))))))))))))</f>
        <v>#DIV/0!</v>
      </c>
      <c r="F620" s="1423" t="str">
        <f t="shared" si="13"/>
        <v>#DIV/0!</v>
      </c>
      <c r="G620" s="1423" t="str">
        <f>IF(F620&lt;'PlayerGrades+'!$AB$21,"F-",IF(F620&lt;'PlayerGrades+'!$AB$20,"F",IF(F620&lt;'PlayerGrades+'!$AB$19,"F+",IF(F620&lt;'PlayerGrades+'!$AB$18,"E-",IF(F620&lt;'PlayerGrades+'!$AB$17,"E",IF(F620&lt;'PlayerGrades+'!$AB$16,"E+",IF(F620&lt;'PlayerGrades+'!$AB$15,"D-",IF(F620&lt;'PlayerGrades+'!$AB$14,"D",IF(F620&lt;'PlayerGrades+'!$AB$13,"D+",IF(F620&lt;'PlayerGrades+'!$AB$12,"C-",IF(F620&lt;'PlayerGrades+'!$AB$11,"C",IF(F620&lt;'PlayerGrades+'!$AB$10,"C+",IF(F620&lt;'PlayerGrades+'!$AB$9,"B-",IF(F620&lt;'PlayerGrades+'!$AB$8,"B",IF(F620&lt;'PlayerGrades+'!$AB$7,"B+",IF(F620&lt;'PlayerGrades+'!$AB$6,"A-",IF(F620&lt;'PlayerGrades+'!$AB$5,"A",IF(F620&lt;'PlayerGrades+'!$AB$4,"A+",IF(F620&lt;'PlayerGrades+'!$AB$3,"S-",IF(F620&lt;'PlayerGrades+'!$AB$2,"S","S+"))))))))))))))))))))</f>
        <v>#DIV/0!</v>
      </c>
      <c r="H620" s="1423" t="str">
        <f t="shared" si="14"/>
        <v>#DIV/0!</v>
      </c>
      <c r="I620" s="1423" t="str">
        <f>IF(H620&lt;'PlayerGrades+'!$AC$21,"F-",IF(H620&lt;'PlayerGrades+'!$AC$20,"F",IF(H620&lt;'PlayerGrades+'!$AC$19,"F+",IF(H620&lt;'PlayerGrades+'!$AC$18,"E-",IF(H620&lt;'PlayerGrades+'!$AC$17,"E",IF(H620&lt;'PlayerGrades+'!$AC$16,"E+",IF(H620&lt;'PlayerGrades+'!$AC$15,"D-",IF(H620&lt;'PlayerGrades+'!$AC$14,"D",IF(H620&lt;'PlayerGrades+'!$AC$13,"D+",IF(H620&lt;'PlayerGrades+'!$AC$12,"C-",IF(H620&lt;'PlayerGrades+'!$AC$11,"C",IF(H620&lt;'PlayerGrades+'!$AC$10,"C+",IF(H620&lt;'PlayerGrades+'!$AC$9,"B-",IF(H620&lt;'PlayerGrades+'!$AC$8,"B",IF(H620&lt;'PlayerGrades+'!$AC$7,"B+",IF(H620&lt;'PlayerGrades+'!$AC$6,"A-",IF(H620&lt;'PlayerGrades+'!$AC$5,"A",IF(H620&lt;'PlayerGrades+'!$AC$4,"A+",IF(H620&lt;'PlayerGrades+'!$AC$3,"S-",IF(H620&lt;'PlayerGrades+'!$AC$2,"S","S+"))))))))))))))))))))</f>
        <v>#DIV/0!</v>
      </c>
      <c r="J620" s="1423" t="str">
        <f t="shared" si="15"/>
        <v>#DIV/0!</v>
      </c>
      <c r="K620" s="1423" t="str">
        <f>IF(J620&lt;'PlayerGrades+'!$AD$21,"F-",IF(J620&lt;'PlayerGrades+'!$AD$20,"F",IF(J620&lt;'PlayerGrades+'!$AD$19,"F+",IF(J620&lt;'PlayerGrades+'!$AD$18,"E-",IF(J620&lt;'PlayerGrades+'!$AD$17,"E",IF(J620&lt;'PlayerGrades+'!$AD$16,"E+",IF(J620&lt;'PlayerGrades+'!$AD$15,"D-",IF(J620&lt;'PlayerGrades+'!$AD$14,"D",IF(J620&lt;'PlayerGrades+'!$AD$13,"D+",IF(J620&lt;'PlayerGrades+'!$AD$12,"C-",IF(J620&lt;'PlayerGrades+'!$AD$11,"C",IF(J620&lt;'PlayerGrades+'!$AD$10,"C+",IF(J620&lt;'PlayerGrades+'!$AD$9,"B-",IF(J620&lt;'PlayerGrades+'!$AD$8,"B",IF(J620&lt;'PlayerGrades+'!$AD$7,"B+",IF(J620&lt;'PlayerGrades+'!$AD$6,"A-",IF(J620&lt;'PlayerGrades+'!$AD$5,"A",IF(J620&lt;'PlayerGrades+'!$AD$4,"A+",IF(J620&lt;'PlayerGrades+'!$AD$3,"S-",IF(J620&lt;'PlayerGrades+'!$AD$2,"S","S+"))))))))))))))))))))</f>
        <v>#DIV/0!</v>
      </c>
      <c r="L620" s="1176" t="str">
        <f t="shared" si="16"/>
        <v>#DIV/0!</v>
      </c>
      <c r="M620" s="992" t="str">
        <f>IF(L620&lt;'PlayerGrades+'!$AE$21,"F-",IF(L620&lt;'PlayerGrades+'!$AE$20,"F",IF(L620&lt;'PlayerGrades+'!$AE$19,"F+",IF(L620&lt;'PlayerGrades+'!$AE$18,"E-",IF(L620&lt;'PlayerGrades+'!$AE$17,"E",IF(L620&lt;'PlayerGrades+'!$AE$16,"E+",IF(L620&lt;'PlayerGrades+'!$AE$15,"D-",IF(L620&lt;'PlayerGrades+'!$AE$14,"D",IF(L620&lt;'PlayerGrades+'!$AE$13,"D+",IF(L620&lt;'PlayerGrades+'!$AE$12,"C-",IF(L620&lt;'PlayerGrades+'!$AE$11,"C",IF(L620&lt;'PlayerGrades+'!$AE$10,"C+",IF(L620&lt;'PlayerGrades+'!$AE$9,"B-",IF(L620&lt;'PlayerGrades+'!$AE$8,"B",IF(L620&lt;'PlayerGrades+'!$AE$7,"B+",IF(L620&lt;'PlayerGrades+'!$AE$6,"A-",IF(L620&lt;'PlayerGrades+'!$AE$5,"A",IF(L620&lt;'PlayerGrades+'!$AE$4,"A+",IF(L620&lt;'PlayerGrades+'!$AE$3,"S-",IF(L620&lt;'PlayerGrades+'!$AE$2,"S","S+"))))))))))))))))))))</f>
        <v>#DIV/0!</v>
      </c>
      <c r="N620" s="1423" t="str">
        <f t="shared" si="17"/>
        <v>#DIV/0!</v>
      </c>
      <c r="O620" s="1423" t="str">
        <f>IF(N620&lt;'PlayerGrades+'!$AF$21,"F-",IF(N620&lt;'PlayerGrades+'!$AF$20,"F",IF(N620&lt;'PlayerGrades+'!$AF$19,"F+",IF(N620&lt;'PlayerGrades+'!$AF$18,"E-",IF(N620&lt;'PlayerGrades+'!$AF$17,"E",IF(N620&lt;'PlayerGrades+'!$AF$16,"E+",IF(N620&lt;'PlayerGrades+'!$AF$15,"D-",IF(N620&lt;'PlayerGrades+'!$AF$14,"D",IF(N620&lt;'PlayerGrades+'!$AF$13,"D+",IF(N620&lt;'PlayerGrades+'!$AF$12,"C-",IF(N620&lt;'PlayerGrades+'!$AF$11,"C",IF(N620&lt;'PlayerGrades+'!$AF$10,"C+",IF(N620&lt;'PlayerGrades+'!$AF$9,"B-",IF(N620&lt;'PlayerGrades+'!$AF$8,"B",IF(N620&lt;'PlayerGrades+'!$AF$7,"B+",IF(N620&lt;'PlayerGrades+'!$AF$6,"A-",IF(N620&lt;'PlayerGrades+'!$AF$5,"A",IF(N620&lt;'PlayerGrades+'!$AF$4,"A+",IF(N620&lt;'PlayerGrades+'!$AF$3,"S-",IF(N620&lt;'PlayerGrades+'!$AF$2,"S","S+"))))))))))))))))))))</f>
        <v>#DIV/0!</v>
      </c>
      <c r="P620" s="1423" t="str">
        <f t="shared" si="18"/>
        <v>#DIV/0!</v>
      </c>
      <c r="Q620" s="1423" t="str">
        <f>IF(P620&lt;'PlayerGrades+'!$AG$21,"F-",IF(P620&lt;'PlayerGrades+'!$AG$20,"F",IF(P620&lt;'PlayerGrades+'!$AG$19,"F+",IF(P620&lt;'PlayerGrades+'!$AG$18,"E-",IF(P620&lt;'PlayerGrades+'!$AG$17,"E",IF(P620&lt;'PlayerGrades+'!$AG$16,"E+",IF(P620&lt;'PlayerGrades+'!$AG$15,"D-",IF(P620&lt;'PlayerGrades+'!$AG$14,"D",IF(P620&lt;'PlayerGrades+'!$AG$13,"D+",IF(P620&lt;'PlayerGrades+'!$AG$12,"C-",IF(P620&lt;'PlayerGrades+'!$AG$11,"C",IF(P620&lt;'PlayerGrades+'!$AG$10,"C+",IF(P620&lt;'PlayerGrades+'!$AG$9,"B-",IF(P620&lt;'PlayerGrades+'!$AG$8,"B",IF(P620&lt;'PlayerGrades+'!$AG$7,"B+",IF(P620&lt;'PlayerGrades+'!$AG$6,"A-",IF(P620&lt;'PlayerGrades+'!$AG$5,"A",IF(P620&lt;'PlayerGrades+'!$AG$4,"A+",IF(P620&lt;'PlayerGrades+'!$AG$3,"S-",IF(P620&lt;'PlayerGrades+'!$AG$2,"S","S+"))))))))))))))))))))</f>
        <v>#DIV/0!</v>
      </c>
      <c r="R620" s="1423" t="str">
        <f t="shared" si="19"/>
        <v>#REF!</v>
      </c>
      <c r="S620" s="1423" t="str">
        <f>IF(R620&lt;'PlayerGrades+'!$AH$21,"F-",IF(R620&lt;'PlayerGrades+'!$AH$20,"F",IF(R620&lt;'PlayerGrades+'!$AH$19,"F+",IF(R620&lt;'PlayerGrades+'!$AH$18,"E-",IF(R620&lt;'PlayerGrades+'!$AH$17,"E",IF(R620&lt;'PlayerGrades+'!$AH$16,"E+",IF(R620&lt;'PlayerGrades+'!$AH$15,"D-",IF(R620&lt;'PlayerGrades+'!$AH$14,"D",IF(R620&lt;'PlayerGrades+'!$AH$13,"D+",IF(R620&lt;'PlayerGrades+'!$AH$12,"C-",IF(R620&lt;'PlayerGrades+'!$AH$11,"C",IF(R620&lt;'PlayerGrades+'!$AH$10,"C+",IF(R620&lt;'PlayerGrades+'!$AH$9,"B-",IF(R620&lt;'PlayerGrades+'!$AH$8,"B",IF(R620&lt;'PlayerGrades+'!$AH$7,"B+",IF(R620&lt;'PlayerGrades+'!$AH$6,"A-",IF(R620&lt;'PlayerGrades+'!$AH$5,"A",IF(R620&lt;'PlayerGrades+'!$AH$4,"A+",IF(R620&lt;'PlayerGrades+'!$AH$3,"S-",IF(R620&lt;'PlayerGrades+'!$AH$2,"S","S+"))))))))))))))))))))</f>
        <v>#REF!</v>
      </c>
      <c r="T620" s="1423" t="str">
        <f t="shared" si="20"/>
        <v>#REF!</v>
      </c>
      <c r="U620" s="1423" t="str">
        <f>IF(T620&lt;'PlayerGrades+'!$AI$21,"F-",IF(T620&lt;'PlayerGrades+'!$AI$20,"F",IF(T620&lt;'PlayerGrades+'!$AI$19,"F+",IF(T620&lt;'PlayerGrades+'!$AI$18,"E-",IF(T620&lt;'PlayerGrades+'!$AI$17,"E",IF(T620&lt;'PlayerGrades+'!$AI$16,"E+",IF(T620&lt;'PlayerGrades+'!$AI$15,"D-",IF(T620&lt;'PlayerGrades+'!$AI$14,"D",IF(T620&lt;'PlayerGrades+'!$AI$13,"D+",IF(T620&lt;'PlayerGrades+'!$AI$12,"C-",IF(T620&lt;'PlayerGrades+'!$AI$11,"C",IF(T620&lt;'PlayerGrades+'!$AI$10,"C+",IF(T620&lt;'PlayerGrades+'!$AI$9,"B-",IF(T620&lt;'PlayerGrades+'!$AI$8,"B",IF(T620&lt;'PlayerGrades+'!$AI$7,"B+",IF(T620&lt;'PlayerGrades+'!$AI$6,"A-",IF(T620&lt;'PlayerGrades+'!$AI$5,"A",IF(T620&lt;'PlayerGrades+'!$AI$4,"A+",IF(T620&lt;'PlayerGrades+'!$AI$3,"S-",IF(T620&lt;'PlayerGrades+'!$AI$2,"S","S+"))))))))))))))))))))</f>
        <v>#REF!</v>
      </c>
      <c r="AC620" s="1392"/>
    </row>
    <row r="621">
      <c r="A621" s="1391"/>
      <c r="B621" s="1421" t="str">
        <f>IF(C621&lt;'PlayerGrades+'!$Y$44,"F-",IF(C621&lt;'PlayerGrades+'!$Y$43,"F",IF(C621&lt;'PlayerGrades+'!$Y$42,"F+",IF(C621&lt;'PlayerGrades+'!$Y$41,"E-",IF(C621&lt;'PlayerGrades+'!$Y$40,"E",IF(C621&lt;'PlayerGrades+'!$Y$39,"E+",IF(C621&lt;'PlayerGrades+'!$Y$38,"D-",IF(C621&lt;'PlayerGrades+'!$Y$37,"D",IF(C621&lt;'PlayerGrades+'!$Y$36,"D+",IF(C621&lt;'PlayerGrades+'!$Y$35,"C-",IF(C621&lt;'PlayerGrades+'!$Y$34,"C",IF(C621&lt;'PlayerGrades+'!$Y$33,"C+",IF(C621&lt;'PlayerGrades+'!$Y$32,"B-",IF(C621&lt;'PlayerGrades+'!$Y$31,"B",IF(C621&lt;'PlayerGrades+'!$Y$30,"B+",IF(C621&lt;'PlayerGrades+'!$Y$29,"A-",IF(C621&lt;'PlayerGrades+'!$Y$28,"A",IF(C621&lt;'PlayerGrades+'!$Y$27,"A+",IF(C621&lt;'PlayerGrades+'!$Y$26,"S-",IF(C621&lt;'PlayerGrades+'!$Y$25,"S","S+"))))))))))))))))))))</f>
        <v>#DIV/0!</v>
      </c>
      <c r="C621" s="1422" t="str">
        <f>('PlayerGrades+'!$Y$47*(VLOOKUP(E621, 'PlayerGrades+'!$X$3:$Y$23, 2, FALSE)))+('PlayerGrades+'!$Y$48*(VLOOKUP(G621, 'PlayerGrades+'!$X$3:$Y$23, 2, FALSE)))+('PlayerGrades+'!$Y$49*(VLOOKUP(I621, 'PlayerGrades+'!$X$3:$Y$23, 2, FALSE)))+('PlayerGrades+'!$Y$50*(VLOOKUP(K621, 'PlayerGrades+'!$X$3:$Y$23, 2, FALSE)))+('PlayerGrades+'!$Y$51*(VLOOKUP(M621, 'PlayerGrades+'!$X$3:$Y$23, 2, FALSE)))+('PlayerGrades+'!$Y$52*(VLOOKUP(O621, 'PlayerGrades+'!$X$3:$Y$23, 2, FALSE)))+('PlayerGrades+'!$Y$53*(VLOOKUP(Q621, 'PlayerGrades+'!$X$3:$Y$23, 2, FALSE)))+('PlayerGrades+'!$Y$54*(VLOOKUP(S621, 'PlayerGrades+'!$X$3:$Y$23, 2, FALSE)))+('PlayerGrades+'!$Y$55*(VLOOKUP(U621, 'PlayerGrades+'!$X$3:$Y$23, 2, FALSE)))</f>
        <v>#DIV/0!</v>
      </c>
      <c r="D621" s="1423" t="str">
        <f t="shared" si="12"/>
        <v>#DIV/0!</v>
      </c>
      <c r="E621" s="1423" t="str">
        <f>IF(D621&lt;'PlayerGrades+'!$AA$21,"F-",IF(D621&lt;'PlayerGrades+'!$AA$20,"F",IF(D621&lt;'PlayerGrades+'!$AA$19,"F+",IF(D621&lt;'PlayerGrades+'!$AA$18,"E-",IF(D621&lt;'PlayerGrades+'!$AA$17,"E",IF(D621&lt;'PlayerGrades+'!$AA$16,"E+",IF(D621&lt;'PlayerGrades+'!$AA$15,"D-",IF(D621&lt;'PlayerGrades+'!$AA$14,"D",IF(D621&lt;'PlayerGrades+'!$AA$13,"D+",IF(D621&lt;'PlayerGrades+'!$AA$12,"C-",IF(D621&lt;'PlayerGrades+'!$AA$11,"C",IF(D621&lt;'PlayerGrades+'!$AA$10,"C+",IF(D621&lt;'PlayerGrades+'!$AA$9,"B-",IF(D621&lt;'PlayerGrades+'!$AA$8,"B",IF(D621&lt;'PlayerGrades+'!$AA$7,"B+",IF(D621&lt;'PlayerGrades+'!$AA$6,"A-",IF(D621&lt;'PlayerGrades+'!$AA$5,"A",IF(D621&lt;'PlayerGrades+'!$AA$4,"A+",IF(D621&lt;'PlayerGrades+'!$AA$3,"S-",IF(D621&lt;'PlayerGrades+'!$AA$2,"S","S+"))))))))))))))))))))</f>
        <v>#DIV/0!</v>
      </c>
      <c r="F621" s="1423" t="str">
        <f t="shared" si="13"/>
        <v>#DIV/0!</v>
      </c>
      <c r="G621" s="1423" t="str">
        <f>IF(F621&lt;'PlayerGrades+'!$AB$21,"F-",IF(F621&lt;'PlayerGrades+'!$AB$20,"F",IF(F621&lt;'PlayerGrades+'!$AB$19,"F+",IF(F621&lt;'PlayerGrades+'!$AB$18,"E-",IF(F621&lt;'PlayerGrades+'!$AB$17,"E",IF(F621&lt;'PlayerGrades+'!$AB$16,"E+",IF(F621&lt;'PlayerGrades+'!$AB$15,"D-",IF(F621&lt;'PlayerGrades+'!$AB$14,"D",IF(F621&lt;'PlayerGrades+'!$AB$13,"D+",IF(F621&lt;'PlayerGrades+'!$AB$12,"C-",IF(F621&lt;'PlayerGrades+'!$AB$11,"C",IF(F621&lt;'PlayerGrades+'!$AB$10,"C+",IF(F621&lt;'PlayerGrades+'!$AB$9,"B-",IF(F621&lt;'PlayerGrades+'!$AB$8,"B",IF(F621&lt;'PlayerGrades+'!$AB$7,"B+",IF(F621&lt;'PlayerGrades+'!$AB$6,"A-",IF(F621&lt;'PlayerGrades+'!$AB$5,"A",IF(F621&lt;'PlayerGrades+'!$AB$4,"A+",IF(F621&lt;'PlayerGrades+'!$AB$3,"S-",IF(F621&lt;'PlayerGrades+'!$AB$2,"S","S+"))))))))))))))))))))</f>
        <v>#DIV/0!</v>
      </c>
      <c r="H621" s="1423" t="str">
        <f t="shared" si="14"/>
        <v>#DIV/0!</v>
      </c>
      <c r="I621" s="1423" t="str">
        <f>IF(H621&lt;'PlayerGrades+'!$AC$21,"F-",IF(H621&lt;'PlayerGrades+'!$AC$20,"F",IF(H621&lt;'PlayerGrades+'!$AC$19,"F+",IF(H621&lt;'PlayerGrades+'!$AC$18,"E-",IF(H621&lt;'PlayerGrades+'!$AC$17,"E",IF(H621&lt;'PlayerGrades+'!$AC$16,"E+",IF(H621&lt;'PlayerGrades+'!$AC$15,"D-",IF(H621&lt;'PlayerGrades+'!$AC$14,"D",IF(H621&lt;'PlayerGrades+'!$AC$13,"D+",IF(H621&lt;'PlayerGrades+'!$AC$12,"C-",IF(H621&lt;'PlayerGrades+'!$AC$11,"C",IF(H621&lt;'PlayerGrades+'!$AC$10,"C+",IF(H621&lt;'PlayerGrades+'!$AC$9,"B-",IF(H621&lt;'PlayerGrades+'!$AC$8,"B",IF(H621&lt;'PlayerGrades+'!$AC$7,"B+",IF(H621&lt;'PlayerGrades+'!$AC$6,"A-",IF(H621&lt;'PlayerGrades+'!$AC$5,"A",IF(H621&lt;'PlayerGrades+'!$AC$4,"A+",IF(H621&lt;'PlayerGrades+'!$AC$3,"S-",IF(H621&lt;'PlayerGrades+'!$AC$2,"S","S+"))))))))))))))))))))</f>
        <v>#DIV/0!</v>
      </c>
      <c r="J621" s="1423" t="str">
        <f t="shared" si="15"/>
        <v>#DIV/0!</v>
      </c>
      <c r="K621" s="1423" t="str">
        <f>IF(J621&lt;'PlayerGrades+'!$AD$21,"F-",IF(J621&lt;'PlayerGrades+'!$AD$20,"F",IF(J621&lt;'PlayerGrades+'!$AD$19,"F+",IF(J621&lt;'PlayerGrades+'!$AD$18,"E-",IF(J621&lt;'PlayerGrades+'!$AD$17,"E",IF(J621&lt;'PlayerGrades+'!$AD$16,"E+",IF(J621&lt;'PlayerGrades+'!$AD$15,"D-",IF(J621&lt;'PlayerGrades+'!$AD$14,"D",IF(J621&lt;'PlayerGrades+'!$AD$13,"D+",IF(J621&lt;'PlayerGrades+'!$AD$12,"C-",IF(J621&lt;'PlayerGrades+'!$AD$11,"C",IF(J621&lt;'PlayerGrades+'!$AD$10,"C+",IF(J621&lt;'PlayerGrades+'!$AD$9,"B-",IF(J621&lt;'PlayerGrades+'!$AD$8,"B",IF(J621&lt;'PlayerGrades+'!$AD$7,"B+",IF(J621&lt;'PlayerGrades+'!$AD$6,"A-",IF(J621&lt;'PlayerGrades+'!$AD$5,"A",IF(J621&lt;'PlayerGrades+'!$AD$4,"A+",IF(J621&lt;'PlayerGrades+'!$AD$3,"S-",IF(J621&lt;'PlayerGrades+'!$AD$2,"S","S+"))))))))))))))))))))</f>
        <v>#DIV/0!</v>
      </c>
      <c r="L621" s="1176" t="str">
        <f t="shared" si="16"/>
        <v>#DIV/0!</v>
      </c>
      <c r="M621" s="992" t="str">
        <f>IF(L621&lt;'PlayerGrades+'!$AE$21,"F-",IF(L621&lt;'PlayerGrades+'!$AE$20,"F",IF(L621&lt;'PlayerGrades+'!$AE$19,"F+",IF(L621&lt;'PlayerGrades+'!$AE$18,"E-",IF(L621&lt;'PlayerGrades+'!$AE$17,"E",IF(L621&lt;'PlayerGrades+'!$AE$16,"E+",IF(L621&lt;'PlayerGrades+'!$AE$15,"D-",IF(L621&lt;'PlayerGrades+'!$AE$14,"D",IF(L621&lt;'PlayerGrades+'!$AE$13,"D+",IF(L621&lt;'PlayerGrades+'!$AE$12,"C-",IF(L621&lt;'PlayerGrades+'!$AE$11,"C",IF(L621&lt;'PlayerGrades+'!$AE$10,"C+",IF(L621&lt;'PlayerGrades+'!$AE$9,"B-",IF(L621&lt;'PlayerGrades+'!$AE$8,"B",IF(L621&lt;'PlayerGrades+'!$AE$7,"B+",IF(L621&lt;'PlayerGrades+'!$AE$6,"A-",IF(L621&lt;'PlayerGrades+'!$AE$5,"A",IF(L621&lt;'PlayerGrades+'!$AE$4,"A+",IF(L621&lt;'PlayerGrades+'!$AE$3,"S-",IF(L621&lt;'PlayerGrades+'!$AE$2,"S","S+"))))))))))))))))))))</f>
        <v>#DIV/0!</v>
      </c>
      <c r="N621" s="1423" t="str">
        <f t="shared" si="17"/>
        <v>#DIV/0!</v>
      </c>
      <c r="O621" s="1423" t="str">
        <f>IF(N621&lt;'PlayerGrades+'!$AF$21,"F-",IF(N621&lt;'PlayerGrades+'!$AF$20,"F",IF(N621&lt;'PlayerGrades+'!$AF$19,"F+",IF(N621&lt;'PlayerGrades+'!$AF$18,"E-",IF(N621&lt;'PlayerGrades+'!$AF$17,"E",IF(N621&lt;'PlayerGrades+'!$AF$16,"E+",IF(N621&lt;'PlayerGrades+'!$AF$15,"D-",IF(N621&lt;'PlayerGrades+'!$AF$14,"D",IF(N621&lt;'PlayerGrades+'!$AF$13,"D+",IF(N621&lt;'PlayerGrades+'!$AF$12,"C-",IF(N621&lt;'PlayerGrades+'!$AF$11,"C",IF(N621&lt;'PlayerGrades+'!$AF$10,"C+",IF(N621&lt;'PlayerGrades+'!$AF$9,"B-",IF(N621&lt;'PlayerGrades+'!$AF$8,"B",IF(N621&lt;'PlayerGrades+'!$AF$7,"B+",IF(N621&lt;'PlayerGrades+'!$AF$6,"A-",IF(N621&lt;'PlayerGrades+'!$AF$5,"A",IF(N621&lt;'PlayerGrades+'!$AF$4,"A+",IF(N621&lt;'PlayerGrades+'!$AF$3,"S-",IF(N621&lt;'PlayerGrades+'!$AF$2,"S","S+"))))))))))))))))))))</f>
        <v>#DIV/0!</v>
      </c>
      <c r="P621" s="1423" t="str">
        <f t="shared" si="18"/>
        <v>#DIV/0!</v>
      </c>
      <c r="Q621" s="1423" t="str">
        <f>IF(P621&lt;'PlayerGrades+'!$AG$21,"F-",IF(P621&lt;'PlayerGrades+'!$AG$20,"F",IF(P621&lt;'PlayerGrades+'!$AG$19,"F+",IF(P621&lt;'PlayerGrades+'!$AG$18,"E-",IF(P621&lt;'PlayerGrades+'!$AG$17,"E",IF(P621&lt;'PlayerGrades+'!$AG$16,"E+",IF(P621&lt;'PlayerGrades+'!$AG$15,"D-",IF(P621&lt;'PlayerGrades+'!$AG$14,"D",IF(P621&lt;'PlayerGrades+'!$AG$13,"D+",IF(P621&lt;'PlayerGrades+'!$AG$12,"C-",IF(P621&lt;'PlayerGrades+'!$AG$11,"C",IF(P621&lt;'PlayerGrades+'!$AG$10,"C+",IF(P621&lt;'PlayerGrades+'!$AG$9,"B-",IF(P621&lt;'PlayerGrades+'!$AG$8,"B",IF(P621&lt;'PlayerGrades+'!$AG$7,"B+",IF(P621&lt;'PlayerGrades+'!$AG$6,"A-",IF(P621&lt;'PlayerGrades+'!$AG$5,"A",IF(P621&lt;'PlayerGrades+'!$AG$4,"A+",IF(P621&lt;'PlayerGrades+'!$AG$3,"S-",IF(P621&lt;'PlayerGrades+'!$AG$2,"S","S+"))))))))))))))))))))</f>
        <v>#DIV/0!</v>
      </c>
      <c r="R621" s="1423" t="str">
        <f t="shared" si="19"/>
        <v>#REF!</v>
      </c>
      <c r="S621" s="1423" t="str">
        <f>IF(R621&lt;'PlayerGrades+'!$AH$21,"F-",IF(R621&lt;'PlayerGrades+'!$AH$20,"F",IF(R621&lt;'PlayerGrades+'!$AH$19,"F+",IF(R621&lt;'PlayerGrades+'!$AH$18,"E-",IF(R621&lt;'PlayerGrades+'!$AH$17,"E",IF(R621&lt;'PlayerGrades+'!$AH$16,"E+",IF(R621&lt;'PlayerGrades+'!$AH$15,"D-",IF(R621&lt;'PlayerGrades+'!$AH$14,"D",IF(R621&lt;'PlayerGrades+'!$AH$13,"D+",IF(R621&lt;'PlayerGrades+'!$AH$12,"C-",IF(R621&lt;'PlayerGrades+'!$AH$11,"C",IF(R621&lt;'PlayerGrades+'!$AH$10,"C+",IF(R621&lt;'PlayerGrades+'!$AH$9,"B-",IF(R621&lt;'PlayerGrades+'!$AH$8,"B",IF(R621&lt;'PlayerGrades+'!$AH$7,"B+",IF(R621&lt;'PlayerGrades+'!$AH$6,"A-",IF(R621&lt;'PlayerGrades+'!$AH$5,"A",IF(R621&lt;'PlayerGrades+'!$AH$4,"A+",IF(R621&lt;'PlayerGrades+'!$AH$3,"S-",IF(R621&lt;'PlayerGrades+'!$AH$2,"S","S+"))))))))))))))))))))</f>
        <v>#REF!</v>
      </c>
      <c r="T621" s="1423" t="str">
        <f t="shared" si="20"/>
        <v>#REF!</v>
      </c>
      <c r="U621" s="1423" t="str">
        <f>IF(T621&lt;'PlayerGrades+'!$AI$21,"F-",IF(T621&lt;'PlayerGrades+'!$AI$20,"F",IF(T621&lt;'PlayerGrades+'!$AI$19,"F+",IF(T621&lt;'PlayerGrades+'!$AI$18,"E-",IF(T621&lt;'PlayerGrades+'!$AI$17,"E",IF(T621&lt;'PlayerGrades+'!$AI$16,"E+",IF(T621&lt;'PlayerGrades+'!$AI$15,"D-",IF(T621&lt;'PlayerGrades+'!$AI$14,"D",IF(T621&lt;'PlayerGrades+'!$AI$13,"D+",IF(T621&lt;'PlayerGrades+'!$AI$12,"C-",IF(T621&lt;'PlayerGrades+'!$AI$11,"C",IF(T621&lt;'PlayerGrades+'!$AI$10,"C+",IF(T621&lt;'PlayerGrades+'!$AI$9,"B-",IF(T621&lt;'PlayerGrades+'!$AI$8,"B",IF(T621&lt;'PlayerGrades+'!$AI$7,"B+",IF(T621&lt;'PlayerGrades+'!$AI$6,"A-",IF(T621&lt;'PlayerGrades+'!$AI$5,"A",IF(T621&lt;'PlayerGrades+'!$AI$4,"A+",IF(T621&lt;'PlayerGrades+'!$AI$3,"S-",IF(T621&lt;'PlayerGrades+'!$AI$2,"S","S+"))))))))))))))))))))</f>
        <v>#REF!</v>
      </c>
      <c r="AC621" s="1392"/>
    </row>
    <row r="622">
      <c r="A622" s="1391"/>
      <c r="B622" s="1421" t="str">
        <f>IF(C622&lt;'PlayerGrades+'!$Y$44,"F-",IF(C622&lt;'PlayerGrades+'!$Y$43,"F",IF(C622&lt;'PlayerGrades+'!$Y$42,"F+",IF(C622&lt;'PlayerGrades+'!$Y$41,"E-",IF(C622&lt;'PlayerGrades+'!$Y$40,"E",IF(C622&lt;'PlayerGrades+'!$Y$39,"E+",IF(C622&lt;'PlayerGrades+'!$Y$38,"D-",IF(C622&lt;'PlayerGrades+'!$Y$37,"D",IF(C622&lt;'PlayerGrades+'!$Y$36,"D+",IF(C622&lt;'PlayerGrades+'!$Y$35,"C-",IF(C622&lt;'PlayerGrades+'!$Y$34,"C",IF(C622&lt;'PlayerGrades+'!$Y$33,"C+",IF(C622&lt;'PlayerGrades+'!$Y$32,"B-",IF(C622&lt;'PlayerGrades+'!$Y$31,"B",IF(C622&lt;'PlayerGrades+'!$Y$30,"B+",IF(C622&lt;'PlayerGrades+'!$Y$29,"A-",IF(C622&lt;'PlayerGrades+'!$Y$28,"A",IF(C622&lt;'PlayerGrades+'!$Y$27,"A+",IF(C622&lt;'PlayerGrades+'!$Y$26,"S-",IF(C622&lt;'PlayerGrades+'!$Y$25,"S","S+"))))))))))))))))))))</f>
        <v>#DIV/0!</v>
      </c>
      <c r="C622" s="1422" t="str">
        <f>('PlayerGrades+'!$Y$47*(VLOOKUP(E622, 'PlayerGrades+'!$X$3:$Y$23, 2, FALSE)))+('PlayerGrades+'!$Y$48*(VLOOKUP(G622, 'PlayerGrades+'!$X$3:$Y$23, 2, FALSE)))+('PlayerGrades+'!$Y$49*(VLOOKUP(I622, 'PlayerGrades+'!$X$3:$Y$23, 2, FALSE)))+('PlayerGrades+'!$Y$50*(VLOOKUP(K622, 'PlayerGrades+'!$X$3:$Y$23, 2, FALSE)))+('PlayerGrades+'!$Y$51*(VLOOKUP(M622, 'PlayerGrades+'!$X$3:$Y$23, 2, FALSE)))+('PlayerGrades+'!$Y$52*(VLOOKUP(O622, 'PlayerGrades+'!$X$3:$Y$23, 2, FALSE)))+('PlayerGrades+'!$Y$53*(VLOOKUP(Q622, 'PlayerGrades+'!$X$3:$Y$23, 2, FALSE)))+('PlayerGrades+'!$Y$54*(VLOOKUP(S622, 'PlayerGrades+'!$X$3:$Y$23, 2, FALSE)))+('PlayerGrades+'!$Y$55*(VLOOKUP(U622, 'PlayerGrades+'!$X$3:$Y$23, 2, FALSE)))</f>
        <v>#DIV/0!</v>
      </c>
      <c r="D622" s="1423" t="str">
        <f t="shared" si="12"/>
        <v>#DIV/0!</v>
      </c>
      <c r="E622" s="1423" t="str">
        <f>IF(D622&lt;'PlayerGrades+'!$AA$21,"F-",IF(D622&lt;'PlayerGrades+'!$AA$20,"F",IF(D622&lt;'PlayerGrades+'!$AA$19,"F+",IF(D622&lt;'PlayerGrades+'!$AA$18,"E-",IF(D622&lt;'PlayerGrades+'!$AA$17,"E",IF(D622&lt;'PlayerGrades+'!$AA$16,"E+",IF(D622&lt;'PlayerGrades+'!$AA$15,"D-",IF(D622&lt;'PlayerGrades+'!$AA$14,"D",IF(D622&lt;'PlayerGrades+'!$AA$13,"D+",IF(D622&lt;'PlayerGrades+'!$AA$12,"C-",IF(D622&lt;'PlayerGrades+'!$AA$11,"C",IF(D622&lt;'PlayerGrades+'!$AA$10,"C+",IF(D622&lt;'PlayerGrades+'!$AA$9,"B-",IF(D622&lt;'PlayerGrades+'!$AA$8,"B",IF(D622&lt;'PlayerGrades+'!$AA$7,"B+",IF(D622&lt;'PlayerGrades+'!$AA$6,"A-",IF(D622&lt;'PlayerGrades+'!$AA$5,"A",IF(D622&lt;'PlayerGrades+'!$AA$4,"A+",IF(D622&lt;'PlayerGrades+'!$AA$3,"S-",IF(D622&lt;'PlayerGrades+'!$AA$2,"S","S+"))))))))))))))))))))</f>
        <v>#DIV/0!</v>
      </c>
      <c r="F622" s="1423" t="str">
        <f t="shared" si="13"/>
        <v>#DIV/0!</v>
      </c>
      <c r="G622" s="1423" t="str">
        <f>IF(F622&lt;'PlayerGrades+'!$AB$21,"F-",IF(F622&lt;'PlayerGrades+'!$AB$20,"F",IF(F622&lt;'PlayerGrades+'!$AB$19,"F+",IF(F622&lt;'PlayerGrades+'!$AB$18,"E-",IF(F622&lt;'PlayerGrades+'!$AB$17,"E",IF(F622&lt;'PlayerGrades+'!$AB$16,"E+",IF(F622&lt;'PlayerGrades+'!$AB$15,"D-",IF(F622&lt;'PlayerGrades+'!$AB$14,"D",IF(F622&lt;'PlayerGrades+'!$AB$13,"D+",IF(F622&lt;'PlayerGrades+'!$AB$12,"C-",IF(F622&lt;'PlayerGrades+'!$AB$11,"C",IF(F622&lt;'PlayerGrades+'!$AB$10,"C+",IF(F622&lt;'PlayerGrades+'!$AB$9,"B-",IF(F622&lt;'PlayerGrades+'!$AB$8,"B",IF(F622&lt;'PlayerGrades+'!$AB$7,"B+",IF(F622&lt;'PlayerGrades+'!$AB$6,"A-",IF(F622&lt;'PlayerGrades+'!$AB$5,"A",IF(F622&lt;'PlayerGrades+'!$AB$4,"A+",IF(F622&lt;'PlayerGrades+'!$AB$3,"S-",IF(F622&lt;'PlayerGrades+'!$AB$2,"S","S+"))))))))))))))))))))</f>
        <v>#DIV/0!</v>
      </c>
      <c r="H622" s="1423" t="str">
        <f t="shared" si="14"/>
        <v>#DIV/0!</v>
      </c>
      <c r="I622" s="1423" t="str">
        <f>IF(H622&lt;'PlayerGrades+'!$AC$21,"F-",IF(H622&lt;'PlayerGrades+'!$AC$20,"F",IF(H622&lt;'PlayerGrades+'!$AC$19,"F+",IF(H622&lt;'PlayerGrades+'!$AC$18,"E-",IF(H622&lt;'PlayerGrades+'!$AC$17,"E",IF(H622&lt;'PlayerGrades+'!$AC$16,"E+",IF(H622&lt;'PlayerGrades+'!$AC$15,"D-",IF(H622&lt;'PlayerGrades+'!$AC$14,"D",IF(H622&lt;'PlayerGrades+'!$AC$13,"D+",IF(H622&lt;'PlayerGrades+'!$AC$12,"C-",IF(H622&lt;'PlayerGrades+'!$AC$11,"C",IF(H622&lt;'PlayerGrades+'!$AC$10,"C+",IF(H622&lt;'PlayerGrades+'!$AC$9,"B-",IF(H622&lt;'PlayerGrades+'!$AC$8,"B",IF(H622&lt;'PlayerGrades+'!$AC$7,"B+",IF(H622&lt;'PlayerGrades+'!$AC$6,"A-",IF(H622&lt;'PlayerGrades+'!$AC$5,"A",IF(H622&lt;'PlayerGrades+'!$AC$4,"A+",IF(H622&lt;'PlayerGrades+'!$AC$3,"S-",IF(H622&lt;'PlayerGrades+'!$AC$2,"S","S+"))))))))))))))))))))</f>
        <v>#DIV/0!</v>
      </c>
      <c r="J622" s="1423" t="str">
        <f t="shared" si="15"/>
        <v>#DIV/0!</v>
      </c>
      <c r="K622" s="1423" t="str">
        <f>IF(J622&lt;'PlayerGrades+'!$AD$21,"F-",IF(J622&lt;'PlayerGrades+'!$AD$20,"F",IF(J622&lt;'PlayerGrades+'!$AD$19,"F+",IF(J622&lt;'PlayerGrades+'!$AD$18,"E-",IF(J622&lt;'PlayerGrades+'!$AD$17,"E",IF(J622&lt;'PlayerGrades+'!$AD$16,"E+",IF(J622&lt;'PlayerGrades+'!$AD$15,"D-",IF(J622&lt;'PlayerGrades+'!$AD$14,"D",IF(J622&lt;'PlayerGrades+'!$AD$13,"D+",IF(J622&lt;'PlayerGrades+'!$AD$12,"C-",IF(J622&lt;'PlayerGrades+'!$AD$11,"C",IF(J622&lt;'PlayerGrades+'!$AD$10,"C+",IF(J622&lt;'PlayerGrades+'!$AD$9,"B-",IF(J622&lt;'PlayerGrades+'!$AD$8,"B",IF(J622&lt;'PlayerGrades+'!$AD$7,"B+",IF(J622&lt;'PlayerGrades+'!$AD$6,"A-",IF(J622&lt;'PlayerGrades+'!$AD$5,"A",IF(J622&lt;'PlayerGrades+'!$AD$4,"A+",IF(J622&lt;'PlayerGrades+'!$AD$3,"S-",IF(J622&lt;'PlayerGrades+'!$AD$2,"S","S+"))))))))))))))))))))</f>
        <v>#DIV/0!</v>
      </c>
      <c r="L622" s="1176" t="str">
        <f t="shared" si="16"/>
        <v>#DIV/0!</v>
      </c>
      <c r="M622" s="992" t="str">
        <f>IF(L622&lt;'PlayerGrades+'!$AE$21,"F-",IF(L622&lt;'PlayerGrades+'!$AE$20,"F",IF(L622&lt;'PlayerGrades+'!$AE$19,"F+",IF(L622&lt;'PlayerGrades+'!$AE$18,"E-",IF(L622&lt;'PlayerGrades+'!$AE$17,"E",IF(L622&lt;'PlayerGrades+'!$AE$16,"E+",IF(L622&lt;'PlayerGrades+'!$AE$15,"D-",IF(L622&lt;'PlayerGrades+'!$AE$14,"D",IF(L622&lt;'PlayerGrades+'!$AE$13,"D+",IF(L622&lt;'PlayerGrades+'!$AE$12,"C-",IF(L622&lt;'PlayerGrades+'!$AE$11,"C",IF(L622&lt;'PlayerGrades+'!$AE$10,"C+",IF(L622&lt;'PlayerGrades+'!$AE$9,"B-",IF(L622&lt;'PlayerGrades+'!$AE$8,"B",IF(L622&lt;'PlayerGrades+'!$AE$7,"B+",IF(L622&lt;'PlayerGrades+'!$AE$6,"A-",IF(L622&lt;'PlayerGrades+'!$AE$5,"A",IF(L622&lt;'PlayerGrades+'!$AE$4,"A+",IF(L622&lt;'PlayerGrades+'!$AE$3,"S-",IF(L622&lt;'PlayerGrades+'!$AE$2,"S","S+"))))))))))))))))))))</f>
        <v>#DIV/0!</v>
      </c>
      <c r="N622" s="1423" t="str">
        <f t="shared" si="17"/>
        <v>#DIV/0!</v>
      </c>
      <c r="O622" s="1423" t="str">
        <f>IF(N622&lt;'PlayerGrades+'!$AF$21,"F-",IF(N622&lt;'PlayerGrades+'!$AF$20,"F",IF(N622&lt;'PlayerGrades+'!$AF$19,"F+",IF(N622&lt;'PlayerGrades+'!$AF$18,"E-",IF(N622&lt;'PlayerGrades+'!$AF$17,"E",IF(N622&lt;'PlayerGrades+'!$AF$16,"E+",IF(N622&lt;'PlayerGrades+'!$AF$15,"D-",IF(N622&lt;'PlayerGrades+'!$AF$14,"D",IF(N622&lt;'PlayerGrades+'!$AF$13,"D+",IF(N622&lt;'PlayerGrades+'!$AF$12,"C-",IF(N622&lt;'PlayerGrades+'!$AF$11,"C",IF(N622&lt;'PlayerGrades+'!$AF$10,"C+",IF(N622&lt;'PlayerGrades+'!$AF$9,"B-",IF(N622&lt;'PlayerGrades+'!$AF$8,"B",IF(N622&lt;'PlayerGrades+'!$AF$7,"B+",IF(N622&lt;'PlayerGrades+'!$AF$6,"A-",IF(N622&lt;'PlayerGrades+'!$AF$5,"A",IF(N622&lt;'PlayerGrades+'!$AF$4,"A+",IF(N622&lt;'PlayerGrades+'!$AF$3,"S-",IF(N622&lt;'PlayerGrades+'!$AF$2,"S","S+"))))))))))))))))))))</f>
        <v>#DIV/0!</v>
      </c>
      <c r="P622" s="1423" t="str">
        <f t="shared" si="18"/>
        <v>#DIV/0!</v>
      </c>
      <c r="Q622" s="1423" t="str">
        <f>IF(P622&lt;'PlayerGrades+'!$AG$21,"F-",IF(P622&lt;'PlayerGrades+'!$AG$20,"F",IF(P622&lt;'PlayerGrades+'!$AG$19,"F+",IF(P622&lt;'PlayerGrades+'!$AG$18,"E-",IF(P622&lt;'PlayerGrades+'!$AG$17,"E",IF(P622&lt;'PlayerGrades+'!$AG$16,"E+",IF(P622&lt;'PlayerGrades+'!$AG$15,"D-",IF(P622&lt;'PlayerGrades+'!$AG$14,"D",IF(P622&lt;'PlayerGrades+'!$AG$13,"D+",IF(P622&lt;'PlayerGrades+'!$AG$12,"C-",IF(P622&lt;'PlayerGrades+'!$AG$11,"C",IF(P622&lt;'PlayerGrades+'!$AG$10,"C+",IF(P622&lt;'PlayerGrades+'!$AG$9,"B-",IF(P622&lt;'PlayerGrades+'!$AG$8,"B",IF(P622&lt;'PlayerGrades+'!$AG$7,"B+",IF(P622&lt;'PlayerGrades+'!$AG$6,"A-",IF(P622&lt;'PlayerGrades+'!$AG$5,"A",IF(P622&lt;'PlayerGrades+'!$AG$4,"A+",IF(P622&lt;'PlayerGrades+'!$AG$3,"S-",IF(P622&lt;'PlayerGrades+'!$AG$2,"S","S+"))))))))))))))))))))</f>
        <v>#DIV/0!</v>
      </c>
      <c r="R622" s="1423" t="str">
        <f t="shared" si="19"/>
        <v>#REF!</v>
      </c>
      <c r="S622" s="1423" t="str">
        <f>IF(R622&lt;'PlayerGrades+'!$AH$21,"F-",IF(R622&lt;'PlayerGrades+'!$AH$20,"F",IF(R622&lt;'PlayerGrades+'!$AH$19,"F+",IF(R622&lt;'PlayerGrades+'!$AH$18,"E-",IF(R622&lt;'PlayerGrades+'!$AH$17,"E",IF(R622&lt;'PlayerGrades+'!$AH$16,"E+",IF(R622&lt;'PlayerGrades+'!$AH$15,"D-",IF(R622&lt;'PlayerGrades+'!$AH$14,"D",IF(R622&lt;'PlayerGrades+'!$AH$13,"D+",IF(R622&lt;'PlayerGrades+'!$AH$12,"C-",IF(R622&lt;'PlayerGrades+'!$AH$11,"C",IF(R622&lt;'PlayerGrades+'!$AH$10,"C+",IF(R622&lt;'PlayerGrades+'!$AH$9,"B-",IF(R622&lt;'PlayerGrades+'!$AH$8,"B",IF(R622&lt;'PlayerGrades+'!$AH$7,"B+",IF(R622&lt;'PlayerGrades+'!$AH$6,"A-",IF(R622&lt;'PlayerGrades+'!$AH$5,"A",IF(R622&lt;'PlayerGrades+'!$AH$4,"A+",IF(R622&lt;'PlayerGrades+'!$AH$3,"S-",IF(R622&lt;'PlayerGrades+'!$AH$2,"S","S+"))))))))))))))))))))</f>
        <v>#REF!</v>
      </c>
      <c r="T622" s="1423" t="str">
        <f t="shared" si="20"/>
        <v>#REF!</v>
      </c>
      <c r="U622" s="1423" t="str">
        <f>IF(T622&lt;'PlayerGrades+'!$AI$21,"F-",IF(T622&lt;'PlayerGrades+'!$AI$20,"F",IF(T622&lt;'PlayerGrades+'!$AI$19,"F+",IF(T622&lt;'PlayerGrades+'!$AI$18,"E-",IF(T622&lt;'PlayerGrades+'!$AI$17,"E",IF(T622&lt;'PlayerGrades+'!$AI$16,"E+",IF(T622&lt;'PlayerGrades+'!$AI$15,"D-",IF(T622&lt;'PlayerGrades+'!$AI$14,"D",IF(T622&lt;'PlayerGrades+'!$AI$13,"D+",IF(T622&lt;'PlayerGrades+'!$AI$12,"C-",IF(T622&lt;'PlayerGrades+'!$AI$11,"C",IF(T622&lt;'PlayerGrades+'!$AI$10,"C+",IF(T622&lt;'PlayerGrades+'!$AI$9,"B-",IF(T622&lt;'PlayerGrades+'!$AI$8,"B",IF(T622&lt;'PlayerGrades+'!$AI$7,"B+",IF(T622&lt;'PlayerGrades+'!$AI$6,"A-",IF(T622&lt;'PlayerGrades+'!$AI$5,"A",IF(T622&lt;'PlayerGrades+'!$AI$4,"A+",IF(T622&lt;'PlayerGrades+'!$AI$3,"S-",IF(T622&lt;'PlayerGrades+'!$AI$2,"S","S+"))))))))))))))))))))</f>
        <v>#REF!</v>
      </c>
      <c r="AC622" s="1392"/>
    </row>
    <row r="623">
      <c r="A623" s="1391"/>
      <c r="B623" s="1421" t="str">
        <f>IF(C623&lt;'PlayerGrades+'!$Y$44,"F-",IF(C623&lt;'PlayerGrades+'!$Y$43,"F",IF(C623&lt;'PlayerGrades+'!$Y$42,"F+",IF(C623&lt;'PlayerGrades+'!$Y$41,"E-",IF(C623&lt;'PlayerGrades+'!$Y$40,"E",IF(C623&lt;'PlayerGrades+'!$Y$39,"E+",IF(C623&lt;'PlayerGrades+'!$Y$38,"D-",IF(C623&lt;'PlayerGrades+'!$Y$37,"D",IF(C623&lt;'PlayerGrades+'!$Y$36,"D+",IF(C623&lt;'PlayerGrades+'!$Y$35,"C-",IF(C623&lt;'PlayerGrades+'!$Y$34,"C",IF(C623&lt;'PlayerGrades+'!$Y$33,"C+",IF(C623&lt;'PlayerGrades+'!$Y$32,"B-",IF(C623&lt;'PlayerGrades+'!$Y$31,"B",IF(C623&lt;'PlayerGrades+'!$Y$30,"B+",IF(C623&lt;'PlayerGrades+'!$Y$29,"A-",IF(C623&lt;'PlayerGrades+'!$Y$28,"A",IF(C623&lt;'PlayerGrades+'!$Y$27,"A+",IF(C623&lt;'PlayerGrades+'!$Y$26,"S-",IF(C623&lt;'PlayerGrades+'!$Y$25,"S","S+"))))))))))))))))))))</f>
        <v>#DIV/0!</v>
      </c>
      <c r="C623" s="1422" t="str">
        <f>('PlayerGrades+'!$Y$47*(VLOOKUP(E623, 'PlayerGrades+'!$X$3:$Y$23, 2, FALSE)))+('PlayerGrades+'!$Y$48*(VLOOKUP(G623, 'PlayerGrades+'!$X$3:$Y$23, 2, FALSE)))+('PlayerGrades+'!$Y$49*(VLOOKUP(I623, 'PlayerGrades+'!$X$3:$Y$23, 2, FALSE)))+('PlayerGrades+'!$Y$50*(VLOOKUP(K623, 'PlayerGrades+'!$X$3:$Y$23, 2, FALSE)))+('PlayerGrades+'!$Y$51*(VLOOKUP(M623, 'PlayerGrades+'!$X$3:$Y$23, 2, FALSE)))+('PlayerGrades+'!$Y$52*(VLOOKUP(O623, 'PlayerGrades+'!$X$3:$Y$23, 2, FALSE)))+('PlayerGrades+'!$Y$53*(VLOOKUP(Q623, 'PlayerGrades+'!$X$3:$Y$23, 2, FALSE)))+('PlayerGrades+'!$Y$54*(VLOOKUP(S623, 'PlayerGrades+'!$X$3:$Y$23, 2, FALSE)))+('PlayerGrades+'!$Y$55*(VLOOKUP(U623, 'PlayerGrades+'!$X$3:$Y$23, 2, FALSE)))</f>
        <v>#DIV/0!</v>
      </c>
      <c r="D623" s="1423" t="str">
        <f t="shared" si="12"/>
        <v>#DIV/0!</v>
      </c>
      <c r="E623" s="1423" t="str">
        <f>IF(D623&lt;'PlayerGrades+'!$AA$21,"F-",IF(D623&lt;'PlayerGrades+'!$AA$20,"F",IF(D623&lt;'PlayerGrades+'!$AA$19,"F+",IF(D623&lt;'PlayerGrades+'!$AA$18,"E-",IF(D623&lt;'PlayerGrades+'!$AA$17,"E",IF(D623&lt;'PlayerGrades+'!$AA$16,"E+",IF(D623&lt;'PlayerGrades+'!$AA$15,"D-",IF(D623&lt;'PlayerGrades+'!$AA$14,"D",IF(D623&lt;'PlayerGrades+'!$AA$13,"D+",IF(D623&lt;'PlayerGrades+'!$AA$12,"C-",IF(D623&lt;'PlayerGrades+'!$AA$11,"C",IF(D623&lt;'PlayerGrades+'!$AA$10,"C+",IF(D623&lt;'PlayerGrades+'!$AA$9,"B-",IF(D623&lt;'PlayerGrades+'!$AA$8,"B",IF(D623&lt;'PlayerGrades+'!$AA$7,"B+",IF(D623&lt;'PlayerGrades+'!$AA$6,"A-",IF(D623&lt;'PlayerGrades+'!$AA$5,"A",IF(D623&lt;'PlayerGrades+'!$AA$4,"A+",IF(D623&lt;'PlayerGrades+'!$AA$3,"S-",IF(D623&lt;'PlayerGrades+'!$AA$2,"S","S+"))))))))))))))))))))</f>
        <v>#DIV/0!</v>
      </c>
      <c r="F623" s="1423" t="str">
        <f t="shared" si="13"/>
        <v>#DIV/0!</v>
      </c>
      <c r="G623" s="1423" t="str">
        <f>IF(F623&lt;'PlayerGrades+'!$AB$21,"F-",IF(F623&lt;'PlayerGrades+'!$AB$20,"F",IF(F623&lt;'PlayerGrades+'!$AB$19,"F+",IF(F623&lt;'PlayerGrades+'!$AB$18,"E-",IF(F623&lt;'PlayerGrades+'!$AB$17,"E",IF(F623&lt;'PlayerGrades+'!$AB$16,"E+",IF(F623&lt;'PlayerGrades+'!$AB$15,"D-",IF(F623&lt;'PlayerGrades+'!$AB$14,"D",IF(F623&lt;'PlayerGrades+'!$AB$13,"D+",IF(F623&lt;'PlayerGrades+'!$AB$12,"C-",IF(F623&lt;'PlayerGrades+'!$AB$11,"C",IF(F623&lt;'PlayerGrades+'!$AB$10,"C+",IF(F623&lt;'PlayerGrades+'!$AB$9,"B-",IF(F623&lt;'PlayerGrades+'!$AB$8,"B",IF(F623&lt;'PlayerGrades+'!$AB$7,"B+",IF(F623&lt;'PlayerGrades+'!$AB$6,"A-",IF(F623&lt;'PlayerGrades+'!$AB$5,"A",IF(F623&lt;'PlayerGrades+'!$AB$4,"A+",IF(F623&lt;'PlayerGrades+'!$AB$3,"S-",IF(F623&lt;'PlayerGrades+'!$AB$2,"S","S+"))))))))))))))))))))</f>
        <v>#DIV/0!</v>
      </c>
      <c r="H623" s="1423" t="str">
        <f t="shared" si="14"/>
        <v>#DIV/0!</v>
      </c>
      <c r="I623" s="1423" t="str">
        <f>IF(H623&lt;'PlayerGrades+'!$AC$21,"F-",IF(H623&lt;'PlayerGrades+'!$AC$20,"F",IF(H623&lt;'PlayerGrades+'!$AC$19,"F+",IF(H623&lt;'PlayerGrades+'!$AC$18,"E-",IF(H623&lt;'PlayerGrades+'!$AC$17,"E",IF(H623&lt;'PlayerGrades+'!$AC$16,"E+",IF(H623&lt;'PlayerGrades+'!$AC$15,"D-",IF(H623&lt;'PlayerGrades+'!$AC$14,"D",IF(H623&lt;'PlayerGrades+'!$AC$13,"D+",IF(H623&lt;'PlayerGrades+'!$AC$12,"C-",IF(H623&lt;'PlayerGrades+'!$AC$11,"C",IF(H623&lt;'PlayerGrades+'!$AC$10,"C+",IF(H623&lt;'PlayerGrades+'!$AC$9,"B-",IF(H623&lt;'PlayerGrades+'!$AC$8,"B",IF(H623&lt;'PlayerGrades+'!$AC$7,"B+",IF(H623&lt;'PlayerGrades+'!$AC$6,"A-",IF(H623&lt;'PlayerGrades+'!$AC$5,"A",IF(H623&lt;'PlayerGrades+'!$AC$4,"A+",IF(H623&lt;'PlayerGrades+'!$AC$3,"S-",IF(H623&lt;'PlayerGrades+'!$AC$2,"S","S+"))))))))))))))))))))</f>
        <v>#DIV/0!</v>
      </c>
      <c r="J623" s="1423" t="str">
        <f t="shared" si="15"/>
        <v>#DIV/0!</v>
      </c>
      <c r="K623" s="1423" t="str">
        <f>IF(J623&lt;'PlayerGrades+'!$AD$21,"F-",IF(J623&lt;'PlayerGrades+'!$AD$20,"F",IF(J623&lt;'PlayerGrades+'!$AD$19,"F+",IF(J623&lt;'PlayerGrades+'!$AD$18,"E-",IF(J623&lt;'PlayerGrades+'!$AD$17,"E",IF(J623&lt;'PlayerGrades+'!$AD$16,"E+",IF(J623&lt;'PlayerGrades+'!$AD$15,"D-",IF(J623&lt;'PlayerGrades+'!$AD$14,"D",IF(J623&lt;'PlayerGrades+'!$AD$13,"D+",IF(J623&lt;'PlayerGrades+'!$AD$12,"C-",IF(J623&lt;'PlayerGrades+'!$AD$11,"C",IF(J623&lt;'PlayerGrades+'!$AD$10,"C+",IF(J623&lt;'PlayerGrades+'!$AD$9,"B-",IF(J623&lt;'PlayerGrades+'!$AD$8,"B",IF(J623&lt;'PlayerGrades+'!$AD$7,"B+",IF(J623&lt;'PlayerGrades+'!$AD$6,"A-",IF(J623&lt;'PlayerGrades+'!$AD$5,"A",IF(J623&lt;'PlayerGrades+'!$AD$4,"A+",IF(J623&lt;'PlayerGrades+'!$AD$3,"S-",IF(J623&lt;'PlayerGrades+'!$AD$2,"S","S+"))))))))))))))))))))</f>
        <v>#DIV/0!</v>
      </c>
      <c r="L623" s="1176" t="str">
        <f t="shared" si="16"/>
        <v>#DIV/0!</v>
      </c>
      <c r="M623" s="992" t="str">
        <f>IF(L623&lt;'PlayerGrades+'!$AE$21,"F-",IF(L623&lt;'PlayerGrades+'!$AE$20,"F",IF(L623&lt;'PlayerGrades+'!$AE$19,"F+",IF(L623&lt;'PlayerGrades+'!$AE$18,"E-",IF(L623&lt;'PlayerGrades+'!$AE$17,"E",IF(L623&lt;'PlayerGrades+'!$AE$16,"E+",IF(L623&lt;'PlayerGrades+'!$AE$15,"D-",IF(L623&lt;'PlayerGrades+'!$AE$14,"D",IF(L623&lt;'PlayerGrades+'!$AE$13,"D+",IF(L623&lt;'PlayerGrades+'!$AE$12,"C-",IF(L623&lt;'PlayerGrades+'!$AE$11,"C",IF(L623&lt;'PlayerGrades+'!$AE$10,"C+",IF(L623&lt;'PlayerGrades+'!$AE$9,"B-",IF(L623&lt;'PlayerGrades+'!$AE$8,"B",IF(L623&lt;'PlayerGrades+'!$AE$7,"B+",IF(L623&lt;'PlayerGrades+'!$AE$6,"A-",IF(L623&lt;'PlayerGrades+'!$AE$5,"A",IF(L623&lt;'PlayerGrades+'!$AE$4,"A+",IF(L623&lt;'PlayerGrades+'!$AE$3,"S-",IF(L623&lt;'PlayerGrades+'!$AE$2,"S","S+"))))))))))))))))))))</f>
        <v>#DIV/0!</v>
      </c>
      <c r="N623" s="1423" t="str">
        <f t="shared" si="17"/>
        <v>#DIV/0!</v>
      </c>
      <c r="O623" s="1423" t="str">
        <f>IF(N623&lt;'PlayerGrades+'!$AF$21,"F-",IF(N623&lt;'PlayerGrades+'!$AF$20,"F",IF(N623&lt;'PlayerGrades+'!$AF$19,"F+",IF(N623&lt;'PlayerGrades+'!$AF$18,"E-",IF(N623&lt;'PlayerGrades+'!$AF$17,"E",IF(N623&lt;'PlayerGrades+'!$AF$16,"E+",IF(N623&lt;'PlayerGrades+'!$AF$15,"D-",IF(N623&lt;'PlayerGrades+'!$AF$14,"D",IF(N623&lt;'PlayerGrades+'!$AF$13,"D+",IF(N623&lt;'PlayerGrades+'!$AF$12,"C-",IF(N623&lt;'PlayerGrades+'!$AF$11,"C",IF(N623&lt;'PlayerGrades+'!$AF$10,"C+",IF(N623&lt;'PlayerGrades+'!$AF$9,"B-",IF(N623&lt;'PlayerGrades+'!$AF$8,"B",IF(N623&lt;'PlayerGrades+'!$AF$7,"B+",IF(N623&lt;'PlayerGrades+'!$AF$6,"A-",IF(N623&lt;'PlayerGrades+'!$AF$5,"A",IF(N623&lt;'PlayerGrades+'!$AF$4,"A+",IF(N623&lt;'PlayerGrades+'!$AF$3,"S-",IF(N623&lt;'PlayerGrades+'!$AF$2,"S","S+"))))))))))))))))))))</f>
        <v>#DIV/0!</v>
      </c>
      <c r="P623" s="1423" t="str">
        <f t="shared" si="18"/>
        <v>#DIV/0!</v>
      </c>
      <c r="Q623" s="1423" t="str">
        <f>IF(P623&lt;'PlayerGrades+'!$AG$21,"F-",IF(P623&lt;'PlayerGrades+'!$AG$20,"F",IF(P623&lt;'PlayerGrades+'!$AG$19,"F+",IF(P623&lt;'PlayerGrades+'!$AG$18,"E-",IF(P623&lt;'PlayerGrades+'!$AG$17,"E",IF(P623&lt;'PlayerGrades+'!$AG$16,"E+",IF(P623&lt;'PlayerGrades+'!$AG$15,"D-",IF(P623&lt;'PlayerGrades+'!$AG$14,"D",IF(P623&lt;'PlayerGrades+'!$AG$13,"D+",IF(P623&lt;'PlayerGrades+'!$AG$12,"C-",IF(P623&lt;'PlayerGrades+'!$AG$11,"C",IF(P623&lt;'PlayerGrades+'!$AG$10,"C+",IF(P623&lt;'PlayerGrades+'!$AG$9,"B-",IF(P623&lt;'PlayerGrades+'!$AG$8,"B",IF(P623&lt;'PlayerGrades+'!$AG$7,"B+",IF(P623&lt;'PlayerGrades+'!$AG$6,"A-",IF(P623&lt;'PlayerGrades+'!$AG$5,"A",IF(P623&lt;'PlayerGrades+'!$AG$4,"A+",IF(P623&lt;'PlayerGrades+'!$AG$3,"S-",IF(P623&lt;'PlayerGrades+'!$AG$2,"S","S+"))))))))))))))))))))</f>
        <v>#DIV/0!</v>
      </c>
      <c r="R623" s="1423" t="str">
        <f t="shared" si="19"/>
        <v>#REF!</v>
      </c>
      <c r="S623" s="1423" t="str">
        <f>IF(R623&lt;'PlayerGrades+'!$AH$21,"F-",IF(R623&lt;'PlayerGrades+'!$AH$20,"F",IF(R623&lt;'PlayerGrades+'!$AH$19,"F+",IF(R623&lt;'PlayerGrades+'!$AH$18,"E-",IF(R623&lt;'PlayerGrades+'!$AH$17,"E",IF(R623&lt;'PlayerGrades+'!$AH$16,"E+",IF(R623&lt;'PlayerGrades+'!$AH$15,"D-",IF(R623&lt;'PlayerGrades+'!$AH$14,"D",IF(R623&lt;'PlayerGrades+'!$AH$13,"D+",IF(R623&lt;'PlayerGrades+'!$AH$12,"C-",IF(R623&lt;'PlayerGrades+'!$AH$11,"C",IF(R623&lt;'PlayerGrades+'!$AH$10,"C+",IF(R623&lt;'PlayerGrades+'!$AH$9,"B-",IF(R623&lt;'PlayerGrades+'!$AH$8,"B",IF(R623&lt;'PlayerGrades+'!$AH$7,"B+",IF(R623&lt;'PlayerGrades+'!$AH$6,"A-",IF(R623&lt;'PlayerGrades+'!$AH$5,"A",IF(R623&lt;'PlayerGrades+'!$AH$4,"A+",IF(R623&lt;'PlayerGrades+'!$AH$3,"S-",IF(R623&lt;'PlayerGrades+'!$AH$2,"S","S+"))))))))))))))))))))</f>
        <v>#REF!</v>
      </c>
      <c r="T623" s="1423" t="str">
        <f t="shared" si="20"/>
        <v>#REF!</v>
      </c>
      <c r="U623" s="1423" t="str">
        <f>IF(T623&lt;'PlayerGrades+'!$AI$21,"F-",IF(T623&lt;'PlayerGrades+'!$AI$20,"F",IF(T623&lt;'PlayerGrades+'!$AI$19,"F+",IF(T623&lt;'PlayerGrades+'!$AI$18,"E-",IF(T623&lt;'PlayerGrades+'!$AI$17,"E",IF(T623&lt;'PlayerGrades+'!$AI$16,"E+",IF(T623&lt;'PlayerGrades+'!$AI$15,"D-",IF(T623&lt;'PlayerGrades+'!$AI$14,"D",IF(T623&lt;'PlayerGrades+'!$AI$13,"D+",IF(T623&lt;'PlayerGrades+'!$AI$12,"C-",IF(T623&lt;'PlayerGrades+'!$AI$11,"C",IF(T623&lt;'PlayerGrades+'!$AI$10,"C+",IF(T623&lt;'PlayerGrades+'!$AI$9,"B-",IF(T623&lt;'PlayerGrades+'!$AI$8,"B",IF(T623&lt;'PlayerGrades+'!$AI$7,"B+",IF(T623&lt;'PlayerGrades+'!$AI$6,"A-",IF(T623&lt;'PlayerGrades+'!$AI$5,"A",IF(T623&lt;'PlayerGrades+'!$AI$4,"A+",IF(T623&lt;'PlayerGrades+'!$AI$3,"S-",IF(T623&lt;'PlayerGrades+'!$AI$2,"S","S+"))))))))))))))))))))</f>
        <v>#REF!</v>
      </c>
      <c r="AC623" s="1392"/>
    </row>
    <row r="624">
      <c r="A624" s="1391"/>
      <c r="B624" s="1421" t="str">
        <f>IF(C624&lt;'PlayerGrades+'!$Y$44,"F-",IF(C624&lt;'PlayerGrades+'!$Y$43,"F",IF(C624&lt;'PlayerGrades+'!$Y$42,"F+",IF(C624&lt;'PlayerGrades+'!$Y$41,"E-",IF(C624&lt;'PlayerGrades+'!$Y$40,"E",IF(C624&lt;'PlayerGrades+'!$Y$39,"E+",IF(C624&lt;'PlayerGrades+'!$Y$38,"D-",IF(C624&lt;'PlayerGrades+'!$Y$37,"D",IF(C624&lt;'PlayerGrades+'!$Y$36,"D+",IF(C624&lt;'PlayerGrades+'!$Y$35,"C-",IF(C624&lt;'PlayerGrades+'!$Y$34,"C",IF(C624&lt;'PlayerGrades+'!$Y$33,"C+",IF(C624&lt;'PlayerGrades+'!$Y$32,"B-",IF(C624&lt;'PlayerGrades+'!$Y$31,"B",IF(C624&lt;'PlayerGrades+'!$Y$30,"B+",IF(C624&lt;'PlayerGrades+'!$Y$29,"A-",IF(C624&lt;'PlayerGrades+'!$Y$28,"A",IF(C624&lt;'PlayerGrades+'!$Y$27,"A+",IF(C624&lt;'PlayerGrades+'!$Y$26,"S-",IF(C624&lt;'PlayerGrades+'!$Y$25,"S","S+"))))))))))))))))))))</f>
        <v>#DIV/0!</v>
      </c>
      <c r="C624" s="1422" t="str">
        <f>('PlayerGrades+'!$Y$47*(VLOOKUP(E624, 'PlayerGrades+'!$X$3:$Y$23, 2, FALSE)))+('PlayerGrades+'!$Y$48*(VLOOKUP(G624, 'PlayerGrades+'!$X$3:$Y$23, 2, FALSE)))+('PlayerGrades+'!$Y$49*(VLOOKUP(I624, 'PlayerGrades+'!$X$3:$Y$23, 2, FALSE)))+('PlayerGrades+'!$Y$50*(VLOOKUP(K624, 'PlayerGrades+'!$X$3:$Y$23, 2, FALSE)))+('PlayerGrades+'!$Y$51*(VLOOKUP(M624, 'PlayerGrades+'!$X$3:$Y$23, 2, FALSE)))+('PlayerGrades+'!$Y$52*(VLOOKUP(O624, 'PlayerGrades+'!$X$3:$Y$23, 2, FALSE)))+('PlayerGrades+'!$Y$53*(VLOOKUP(Q624, 'PlayerGrades+'!$X$3:$Y$23, 2, FALSE)))+('PlayerGrades+'!$Y$54*(VLOOKUP(S624, 'PlayerGrades+'!$X$3:$Y$23, 2, FALSE)))+('PlayerGrades+'!$Y$55*(VLOOKUP(U624, 'PlayerGrades+'!$X$3:$Y$23, 2, FALSE)))</f>
        <v>#DIV/0!</v>
      </c>
      <c r="D624" s="1423" t="str">
        <f t="shared" si="12"/>
        <v>#DIV/0!</v>
      </c>
      <c r="E624" s="1423" t="str">
        <f>IF(D624&lt;'PlayerGrades+'!$AA$21,"F-",IF(D624&lt;'PlayerGrades+'!$AA$20,"F",IF(D624&lt;'PlayerGrades+'!$AA$19,"F+",IF(D624&lt;'PlayerGrades+'!$AA$18,"E-",IF(D624&lt;'PlayerGrades+'!$AA$17,"E",IF(D624&lt;'PlayerGrades+'!$AA$16,"E+",IF(D624&lt;'PlayerGrades+'!$AA$15,"D-",IF(D624&lt;'PlayerGrades+'!$AA$14,"D",IF(D624&lt;'PlayerGrades+'!$AA$13,"D+",IF(D624&lt;'PlayerGrades+'!$AA$12,"C-",IF(D624&lt;'PlayerGrades+'!$AA$11,"C",IF(D624&lt;'PlayerGrades+'!$AA$10,"C+",IF(D624&lt;'PlayerGrades+'!$AA$9,"B-",IF(D624&lt;'PlayerGrades+'!$AA$8,"B",IF(D624&lt;'PlayerGrades+'!$AA$7,"B+",IF(D624&lt;'PlayerGrades+'!$AA$6,"A-",IF(D624&lt;'PlayerGrades+'!$AA$5,"A",IF(D624&lt;'PlayerGrades+'!$AA$4,"A+",IF(D624&lt;'PlayerGrades+'!$AA$3,"S-",IF(D624&lt;'PlayerGrades+'!$AA$2,"S","S+"))))))))))))))))))))</f>
        <v>#DIV/0!</v>
      </c>
      <c r="F624" s="1423" t="str">
        <f t="shared" si="13"/>
        <v>#DIV/0!</v>
      </c>
      <c r="G624" s="1423" t="str">
        <f>IF(F624&lt;'PlayerGrades+'!$AB$21,"F-",IF(F624&lt;'PlayerGrades+'!$AB$20,"F",IF(F624&lt;'PlayerGrades+'!$AB$19,"F+",IF(F624&lt;'PlayerGrades+'!$AB$18,"E-",IF(F624&lt;'PlayerGrades+'!$AB$17,"E",IF(F624&lt;'PlayerGrades+'!$AB$16,"E+",IF(F624&lt;'PlayerGrades+'!$AB$15,"D-",IF(F624&lt;'PlayerGrades+'!$AB$14,"D",IF(F624&lt;'PlayerGrades+'!$AB$13,"D+",IF(F624&lt;'PlayerGrades+'!$AB$12,"C-",IF(F624&lt;'PlayerGrades+'!$AB$11,"C",IF(F624&lt;'PlayerGrades+'!$AB$10,"C+",IF(F624&lt;'PlayerGrades+'!$AB$9,"B-",IF(F624&lt;'PlayerGrades+'!$AB$8,"B",IF(F624&lt;'PlayerGrades+'!$AB$7,"B+",IF(F624&lt;'PlayerGrades+'!$AB$6,"A-",IF(F624&lt;'PlayerGrades+'!$AB$5,"A",IF(F624&lt;'PlayerGrades+'!$AB$4,"A+",IF(F624&lt;'PlayerGrades+'!$AB$3,"S-",IF(F624&lt;'PlayerGrades+'!$AB$2,"S","S+"))))))))))))))))))))</f>
        <v>#DIV/0!</v>
      </c>
      <c r="H624" s="1423" t="str">
        <f t="shared" si="14"/>
        <v>#DIV/0!</v>
      </c>
      <c r="I624" s="1423" t="str">
        <f>IF(H624&lt;'PlayerGrades+'!$AC$21,"F-",IF(H624&lt;'PlayerGrades+'!$AC$20,"F",IF(H624&lt;'PlayerGrades+'!$AC$19,"F+",IF(H624&lt;'PlayerGrades+'!$AC$18,"E-",IF(H624&lt;'PlayerGrades+'!$AC$17,"E",IF(H624&lt;'PlayerGrades+'!$AC$16,"E+",IF(H624&lt;'PlayerGrades+'!$AC$15,"D-",IF(H624&lt;'PlayerGrades+'!$AC$14,"D",IF(H624&lt;'PlayerGrades+'!$AC$13,"D+",IF(H624&lt;'PlayerGrades+'!$AC$12,"C-",IF(H624&lt;'PlayerGrades+'!$AC$11,"C",IF(H624&lt;'PlayerGrades+'!$AC$10,"C+",IF(H624&lt;'PlayerGrades+'!$AC$9,"B-",IF(H624&lt;'PlayerGrades+'!$AC$8,"B",IF(H624&lt;'PlayerGrades+'!$AC$7,"B+",IF(H624&lt;'PlayerGrades+'!$AC$6,"A-",IF(H624&lt;'PlayerGrades+'!$AC$5,"A",IF(H624&lt;'PlayerGrades+'!$AC$4,"A+",IF(H624&lt;'PlayerGrades+'!$AC$3,"S-",IF(H624&lt;'PlayerGrades+'!$AC$2,"S","S+"))))))))))))))))))))</f>
        <v>#DIV/0!</v>
      </c>
      <c r="J624" s="1423" t="str">
        <f t="shared" si="15"/>
        <v>#DIV/0!</v>
      </c>
      <c r="K624" s="1423" t="str">
        <f>IF(J624&lt;'PlayerGrades+'!$AD$21,"F-",IF(J624&lt;'PlayerGrades+'!$AD$20,"F",IF(J624&lt;'PlayerGrades+'!$AD$19,"F+",IF(J624&lt;'PlayerGrades+'!$AD$18,"E-",IF(J624&lt;'PlayerGrades+'!$AD$17,"E",IF(J624&lt;'PlayerGrades+'!$AD$16,"E+",IF(J624&lt;'PlayerGrades+'!$AD$15,"D-",IF(J624&lt;'PlayerGrades+'!$AD$14,"D",IF(J624&lt;'PlayerGrades+'!$AD$13,"D+",IF(J624&lt;'PlayerGrades+'!$AD$12,"C-",IF(J624&lt;'PlayerGrades+'!$AD$11,"C",IF(J624&lt;'PlayerGrades+'!$AD$10,"C+",IF(J624&lt;'PlayerGrades+'!$AD$9,"B-",IF(J624&lt;'PlayerGrades+'!$AD$8,"B",IF(J624&lt;'PlayerGrades+'!$AD$7,"B+",IF(J624&lt;'PlayerGrades+'!$AD$6,"A-",IF(J624&lt;'PlayerGrades+'!$AD$5,"A",IF(J624&lt;'PlayerGrades+'!$AD$4,"A+",IF(J624&lt;'PlayerGrades+'!$AD$3,"S-",IF(J624&lt;'PlayerGrades+'!$AD$2,"S","S+"))))))))))))))))))))</f>
        <v>#DIV/0!</v>
      </c>
      <c r="L624" s="1176" t="str">
        <f t="shared" si="16"/>
        <v>#DIV/0!</v>
      </c>
      <c r="M624" s="992" t="str">
        <f>IF(L624&lt;'PlayerGrades+'!$AE$21,"F-",IF(L624&lt;'PlayerGrades+'!$AE$20,"F",IF(L624&lt;'PlayerGrades+'!$AE$19,"F+",IF(L624&lt;'PlayerGrades+'!$AE$18,"E-",IF(L624&lt;'PlayerGrades+'!$AE$17,"E",IF(L624&lt;'PlayerGrades+'!$AE$16,"E+",IF(L624&lt;'PlayerGrades+'!$AE$15,"D-",IF(L624&lt;'PlayerGrades+'!$AE$14,"D",IF(L624&lt;'PlayerGrades+'!$AE$13,"D+",IF(L624&lt;'PlayerGrades+'!$AE$12,"C-",IF(L624&lt;'PlayerGrades+'!$AE$11,"C",IF(L624&lt;'PlayerGrades+'!$AE$10,"C+",IF(L624&lt;'PlayerGrades+'!$AE$9,"B-",IF(L624&lt;'PlayerGrades+'!$AE$8,"B",IF(L624&lt;'PlayerGrades+'!$AE$7,"B+",IF(L624&lt;'PlayerGrades+'!$AE$6,"A-",IF(L624&lt;'PlayerGrades+'!$AE$5,"A",IF(L624&lt;'PlayerGrades+'!$AE$4,"A+",IF(L624&lt;'PlayerGrades+'!$AE$3,"S-",IF(L624&lt;'PlayerGrades+'!$AE$2,"S","S+"))))))))))))))))))))</f>
        <v>#DIV/0!</v>
      </c>
      <c r="N624" s="1423" t="str">
        <f t="shared" si="17"/>
        <v>#DIV/0!</v>
      </c>
      <c r="O624" s="1423" t="str">
        <f>IF(N624&lt;'PlayerGrades+'!$AF$21,"F-",IF(N624&lt;'PlayerGrades+'!$AF$20,"F",IF(N624&lt;'PlayerGrades+'!$AF$19,"F+",IF(N624&lt;'PlayerGrades+'!$AF$18,"E-",IF(N624&lt;'PlayerGrades+'!$AF$17,"E",IF(N624&lt;'PlayerGrades+'!$AF$16,"E+",IF(N624&lt;'PlayerGrades+'!$AF$15,"D-",IF(N624&lt;'PlayerGrades+'!$AF$14,"D",IF(N624&lt;'PlayerGrades+'!$AF$13,"D+",IF(N624&lt;'PlayerGrades+'!$AF$12,"C-",IF(N624&lt;'PlayerGrades+'!$AF$11,"C",IF(N624&lt;'PlayerGrades+'!$AF$10,"C+",IF(N624&lt;'PlayerGrades+'!$AF$9,"B-",IF(N624&lt;'PlayerGrades+'!$AF$8,"B",IF(N624&lt;'PlayerGrades+'!$AF$7,"B+",IF(N624&lt;'PlayerGrades+'!$AF$6,"A-",IF(N624&lt;'PlayerGrades+'!$AF$5,"A",IF(N624&lt;'PlayerGrades+'!$AF$4,"A+",IF(N624&lt;'PlayerGrades+'!$AF$3,"S-",IF(N624&lt;'PlayerGrades+'!$AF$2,"S","S+"))))))))))))))))))))</f>
        <v>#DIV/0!</v>
      </c>
      <c r="P624" s="1423" t="str">
        <f t="shared" si="18"/>
        <v>#DIV/0!</v>
      </c>
      <c r="Q624" s="1423" t="str">
        <f>IF(P624&lt;'PlayerGrades+'!$AG$21,"F-",IF(P624&lt;'PlayerGrades+'!$AG$20,"F",IF(P624&lt;'PlayerGrades+'!$AG$19,"F+",IF(P624&lt;'PlayerGrades+'!$AG$18,"E-",IF(P624&lt;'PlayerGrades+'!$AG$17,"E",IF(P624&lt;'PlayerGrades+'!$AG$16,"E+",IF(P624&lt;'PlayerGrades+'!$AG$15,"D-",IF(P624&lt;'PlayerGrades+'!$AG$14,"D",IF(P624&lt;'PlayerGrades+'!$AG$13,"D+",IF(P624&lt;'PlayerGrades+'!$AG$12,"C-",IF(P624&lt;'PlayerGrades+'!$AG$11,"C",IF(P624&lt;'PlayerGrades+'!$AG$10,"C+",IF(P624&lt;'PlayerGrades+'!$AG$9,"B-",IF(P624&lt;'PlayerGrades+'!$AG$8,"B",IF(P624&lt;'PlayerGrades+'!$AG$7,"B+",IF(P624&lt;'PlayerGrades+'!$AG$6,"A-",IF(P624&lt;'PlayerGrades+'!$AG$5,"A",IF(P624&lt;'PlayerGrades+'!$AG$4,"A+",IF(P624&lt;'PlayerGrades+'!$AG$3,"S-",IF(P624&lt;'PlayerGrades+'!$AG$2,"S","S+"))))))))))))))))))))</f>
        <v>#DIV/0!</v>
      </c>
      <c r="R624" s="1423" t="str">
        <f t="shared" si="19"/>
        <v>#REF!</v>
      </c>
      <c r="S624" s="1423" t="str">
        <f>IF(R624&lt;'PlayerGrades+'!$AH$21,"F-",IF(R624&lt;'PlayerGrades+'!$AH$20,"F",IF(R624&lt;'PlayerGrades+'!$AH$19,"F+",IF(R624&lt;'PlayerGrades+'!$AH$18,"E-",IF(R624&lt;'PlayerGrades+'!$AH$17,"E",IF(R624&lt;'PlayerGrades+'!$AH$16,"E+",IF(R624&lt;'PlayerGrades+'!$AH$15,"D-",IF(R624&lt;'PlayerGrades+'!$AH$14,"D",IF(R624&lt;'PlayerGrades+'!$AH$13,"D+",IF(R624&lt;'PlayerGrades+'!$AH$12,"C-",IF(R624&lt;'PlayerGrades+'!$AH$11,"C",IF(R624&lt;'PlayerGrades+'!$AH$10,"C+",IF(R624&lt;'PlayerGrades+'!$AH$9,"B-",IF(R624&lt;'PlayerGrades+'!$AH$8,"B",IF(R624&lt;'PlayerGrades+'!$AH$7,"B+",IF(R624&lt;'PlayerGrades+'!$AH$6,"A-",IF(R624&lt;'PlayerGrades+'!$AH$5,"A",IF(R624&lt;'PlayerGrades+'!$AH$4,"A+",IF(R624&lt;'PlayerGrades+'!$AH$3,"S-",IF(R624&lt;'PlayerGrades+'!$AH$2,"S","S+"))))))))))))))))))))</f>
        <v>#REF!</v>
      </c>
      <c r="T624" s="1423" t="str">
        <f t="shared" si="20"/>
        <v>#REF!</v>
      </c>
      <c r="U624" s="1423" t="str">
        <f>IF(T624&lt;'PlayerGrades+'!$AI$21,"F-",IF(T624&lt;'PlayerGrades+'!$AI$20,"F",IF(T624&lt;'PlayerGrades+'!$AI$19,"F+",IF(T624&lt;'PlayerGrades+'!$AI$18,"E-",IF(T624&lt;'PlayerGrades+'!$AI$17,"E",IF(T624&lt;'PlayerGrades+'!$AI$16,"E+",IF(T624&lt;'PlayerGrades+'!$AI$15,"D-",IF(T624&lt;'PlayerGrades+'!$AI$14,"D",IF(T624&lt;'PlayerGrades+'!$AI$13,"D+",IF(T624&lt;'PlayerGrades+'!$AI$12,"C-",IF(T624&lt;'PlayerGrades+'!$AI$11,"C",IF(T624&lt;'PlayerGrades+'!$AI$10,"C+",IF(T624&lt;'PlayerGrades+'!$AI$9,"B-",IF(T624&lt;'PlayerGrades+'!$AI$8,"B",IF(T624&lt;'PlayerGrades+'!$AI$7,"B+",IF(T624&lt;'PlayerGrades+'!$AI$6,"A-",IF(T624&lt;'PlayerGrades+'!$AI$5,"A",IF(T624&lt;'PlayerGrades+'!$AI$4,"A+",IF(T624&lt;'PlayerGrades+'!$AI$3,"S-",IF(T624&lt;'PlayerGrades+'!$AI$2,"S","S+"))))))))))))))))))))</f>
        <v>#REF!</v>
      </c>
      <c r="AC624" s="1392"/>
    </row>
    <row r="625">
      <c r="A625" s="1393"/>
      <c r="B625" s="1421" t="str">
        <f>IF(C625&lt;'PlayerGrades+'!$Y$44,"F-",IF(C625&lt;'PlayerGrades+'!$Y$43,"F",IF(C625&lt;'PlayerGrades+'!$Y$42,"F+",IF(C625&lt;'PlayerGrades+'!$Y$41,"E-",IF(C625&lt;'PlayerGrades+'!$Y$40,"E",IF(C625&lt;'PlayerGrades+'!$Y$39,"E+",IF(C625&lt;'PlayerGrades+'!$Y$38,"D-",IF(C625&lt;'PlayerGrades+'!$Y$37,"D",IF(C625&lt;'PlayerGrades+'!$Y$36,"D+",IF(C625&lt;'PlayerGrades+'!$Y$35,"C-",IF(C625&lt;'PlayerGrades+'!$Y$34,"C",IF(C625&lt;'PlayerGrades+'!$Y$33,"C+",IF(C625&lt;'PlayerGrades+'!$Y$32,"B-",IF(C625&lt;'PlayerGrades+'!$Y$31,"B",IF(C625&lt;'PlayerGrades+'!$Y$30,"B+",IF(C625&lt;'PlayerGrades+'!$Y$29,"A-",IF(C625&lt;'PlayerGrades+'!$Y$28,"A",IF(C625&lt;'PlayerGrades+'!$Y$27,"A+",IF(C625&lt;'PlayerGrades+'!$Y$26,"S-",IF(C625&lt;'PlayerGrades+'!$Y$25,"S","S+"))))))))))))))))))))</f>
        <v>#DIV/0!</v>
      </c>
      <c r="C625" s="1422" t="str">
        <f>('PlayerGrades+'!$Y$47*(VLOOKUP(E625, 'PlayerGrades+'!$X$3:$Y$23, 2, FALSE)))+('PlayerGrades+'!$Y$48*(VLOOKUP(G625, 'PlayerGrades+'!$X$3:$Y$23, 2, FALSE)))+('PlayerGrades+'!$Y$49*(VLOOKUP(I625, 'PlayerGrades+'!$X$3:$Y$23, 2, FALSE)))+('PlayerGrades+'!$Y$50*(VLOOKUP(K625, 'PlayerGrades+'!$X$3:$Y$23, 2, FALSE)))+('PlayerGrades+'!$Y$51*(VLOOKUP(M625, 'PlayerGrades+'!$X$3:$Y$23, 2, FALSE)))+('PlayerGrades+'!$Y$52*(VLOOKUP(O625, 'PlayerGrades+'!$X$3:$Y$23, 2, FALSE)))+('PlayerGrades+'!$Y$53*(VLOOKUP(Q625, 'PlayerGrades+'!$X$3:$Y$23, 2, FALSE)))+('PlayerGrades+'!$Y$54*(VLOOKUP(S625, 'PlayerGrades+'!$X$3:$Y$23, 2, FALSE)))+('PlayerGrades+'!$Y$55*(VLOOKUP(U625, 'PlayerGrades+'!$X$3:$Y$23, 2, FALSE)))</f>
        <v>#DIV/0!</v>
      </c>
      <c r="D625" s="1423" t="str">
        <f t="shared" si="12"/>
        <v>#DIV/0!</v>
      </c>
      <c r="E625" s="1423" t="str">
        <f>IF(D625&lt;'PlayerGrades+'!$AA$21,"F-",IF(D625&lt;'PlayerGrades+'!$AA$20,"F",IF(D625&lt;'PlayerGrades+'!$AA$19,"F+",IF(D625&lt;'PlayerGrades+'!$AA$18,"E-",IF(D625&lt;'PlayerGrades+'!$AA$17,"E",IF(D625&lt;'PlayerGrades+'!$AA$16,"E+",IF(D625&lt;'PlayerGrades+'!$AA$15,"D-",IF(D625&lt;'PlayerGrades+'!$AA$14,"D",IF(D625&lt;'PlayerGrades+'!$AA$13,"D+",IF(D625&lt;'PlayerGrades+'!$AA$12,"C-",IF(D625&lt;'PlayerGrades+'!$AA$11,"C",IF(D625&lt;'PlayerGrades+'!$AA$10,"C+",IF(D625&lt;'PlayerGrades+'!$AA$9,"B-",IF(D625&lt;'PlayerGrades+'!$AA$8,"B",IF(D625&lt;'PlayerGrades+'!$AA$7,"B+",IF(D625&lt;'PlayerGrades+'!$AA$6,"A-",IF(D625&lt;'PlayerGrades+'!$AA$5,"A",IF(D625&lt;'PlayerGrades+'!$AA$4,"A+",IF(D625&lt;'PlayerGrades+'!$AA$3,"S-",IF(D625&lt;'PlayerGrades+'!$AA$2,"S","S+"))))))))))))))))))))</f>
        <v>#DIV/0!</v>
      </c>
      <c r="F625" s="1423" t="str">
        <f t="shared" si="13"/>
        <v>#DIV/0!</v>
      </c>
      <c r="G625" s="1423" t="str">
        <f>IF(F625&lt;'PlayerGrades+'!$AB$21,"F-",IF(F625&lt;'PlayerGrades+'!$AB$20,"F",IF(F625&lt;'PlayerGrades+'!$AB$19,"F+",IF(F625&lt;'PlayerGrades+'!$AB$18,"E-",IF(F625&lt;'PlayerGrades+'!$AB$17,"E",IF(F625&lt;'PlayerGrades+'!$AB$16,"E+",IF(F625&lt;'PlayerGrades+'!$AB$15,"D-",IF(F625&lt;'PlayerGrades+'!$AB$14,"D",IF(F625&lt;'PlayerGrades+'!$AB$13,"D+",IF(F625&lt;'PlayerGrades+'!$AB$12,"C-",IF(F625&lt;'PlayerGrades+'!$AB$11,"C",IF(F625&lt;'PlayerGrades+'!$AB$10,"C+",IF(F625&lt;'PlayerGrades+'!$AB$9,"B-",IF(F625&lt;'PlayerGrades+'!$AB$8,"B",IF(F625&lt;'PlayerGrades+'!$AB$7,"B+",IF(F625&lt;'PlayerGrades+'!$AB$6,"A-",IF(F625&lt;'PlayerGrades+'!$AB$5,"A",IF(F625&lt;'PlayerGrades+'!$AB$4,"A+",IF(F625&lt;'PlayerGrades+'!$AB$3,"S-",IF(F625&lt;'PlayerGrades+'!$AB$2,"S","S+"))))))))))))))))))))</f>
        <v>#DIV/0!</v>
      </c>
      <c r="H625" s="1423" t="str">
        <f t="shared" si="14"/>
        <v>#DIV/0!</v>
      </c>
      <c r="I625" s="1423" t="str">
        <f>IF(H625&lt;'PlayerGrades+'!$AC$21,"F-",IF(H625&lt;'PlayerGrades+'!$AC$20,"F",IF(H625&lt;'PlayerGrades+'!$AC$19,"F+",IF(H625&lt;'PlayerGrades+'!$AC$18,"E-",IF(H625&lt;'PlayerGrades+'!$AC$17,"E",IF(H625&lt;'PlayerGrades+'!$AC$16,"E+",IF(H625&lt;'PlayerGrades+'!$AC$15,"D-",IF(H625&lt;'PlayerGrades+'!$AC$14,"D",IF(H625&lt;'PlayerGrades+'!$AC$13,"D+",IF(H625&lt;'PlayerGrades+'!$AC$12,"C-",IF(H625&lt;'PlayerGrades+'!$AC$11,"C",IF(H625&lt;'PlayerGrades+'!$AC$10,"C+",IF(H625&lt;'PlayerGrades+'!$AC$9,"B-",IF(H625&lt;'PlayerGrades+'!$AC$8,"B",IF(H625&lt;'PlayerGrades+'!$AC$7,"B+",IF(H625&lt;'PlayerGrades+'!$AC$6,"A-",IF(H625&lt;'PlayerGrades+'!$AC$5,"A",IF(H625&lt;'PlayerGrades+'!$AC$4,"A+",IF(H625&lt;'PlayerGrades+'!$AC$3,"S-",IF(H625&lt;'PlayerGrades+'!$AC$2,"S","S+"))))))))))))))))))))</f>
        <v>#DIV/0!</v>
      </c>
      <c r="J625" s="1423" t="str">
        <f t="shared" si="15"/>
        <v>#DIV/0!</v>
      </c>
      <c r="K625" s="1423" t="str">
        <f>IF(J625&lt;'PlayerGrades+'!$AD$21,"F-",IF(J625&lt;'PlayerGrades+'!$AD$20,"F",IF(J625&lt;'PlayerGrades+'!$AD$19,"F+",IF(J625&lt;'PlayerGrades+'!$AD$18,"E-",IF(J625&lt;'PlayerGrades+'!$AD$17,"E",IF(J625&lt;'PlayerGrades+'!$AD$16,"E+",IF(J625&lt;'PlayerGrades+'!$AD$15,"D-",IF(J625&lt;'PlayerGrades+'!$AD$14,"D",IF(J625&lt;'PlayerGrades+'!$AD$13,"D+",IF(J625&lt;'PlayerGrades+'!$AD$12,"C-",IF(J625&lt;'PlayerGrades+'!$AD$11,"C",IF(J625&lt;'PlayerGrades+'!$AD$10,"C+",IF(J625&lt;'PlayerGrades+'!$AD$9,"B-",IF(J625&lt;'PlayerGrades+'!$AD$8,"B",IF(J625&lt;'PlayerGrades+'!$AD$7,"B+",IF(J625&lt;'PlayerGrades+'!$AD$6,"A-",IF(J625&lt;'PlayerGrades+'!$AD$5,"A",IF(J625&lt;'PlayerGrades+'!$AD$4,"A+",IF(J625&lt;'PlayerGrades+'!$AD$3,"S-",IF(J625&lt;'PlayerGrades+'!$AD$2,"S","S+"))))))))))))))))))))</f>
        <v>#DIV/0!</v>
      </c>
      <c r="L625" s="1176" t="str">
        <f t="shared" si="16"/>
        <v>#DIV/0!</v>
      </c>
      <c r="M625" s="992" t="str">
        <f>IF(L625&lt;'PlayerGrades+'!$AE$21,"F-",IF(L625&lt;'PlayerGrades+'!$AE$20,"F",IF(L625&lt;'PlayerGrades+'!$AE$19,"F+",IF(L625&lt;'PlayerGrades+'!$AE$18,"E-",IF(L625&lt;'PlayerGrades+'!$AE$17,"E",IF(L625&lt;'PlayerGrades+'!$AE$16,"E+",IF(L625&lt;'PlayerGrades+'!$AE$15,"D-",IF(L625&lt;'PlayerGrades+'!$AE$14,"D",IF(L625&lt;'PlayerGrades+'!$AE$13,"D+",IF(L625&lt;'PlayerGrades+'!$AE$12,"C-",IF(L625&lt;'PlayerGrades+'!$AE$11,"C",IF(L625&lt;'PlayerGrades+'!$AE$10,"C+",IF(L625&lt;'PlayerGrades+'!$AE$9,"B-",IF(L625&lt;'PlayerGrades+'!$AE$8,"B",IF(L625&lt;'PlayerGrades+'!$AE$7,"B+",IF(L625&lt;'PlayerGrades+'!$AE$6,"A-",IF(L625&lt;'PlayerGrades+'!$AE$5,"A",IF(L625&lt;'PlayerGrades+'!$AE$4,"A+",IF(L625&lt;'PlayerGrades+'!$AE$3,"S-",IF(L625&lt;'PlayerGrades+'!$AE$2,"S","S+"))))))))))))))))))))</f>
        <v>#DIV/0!</v>
      </c>
      <c r="N625" s="1423" t="str">
        <f t="shared" si="17"/>
        <v>#DIV/0!</v>
      </c>
      <c r="O625" s="1423" t="str">
        <f>IF(N625&lt;'PlayerGrades+'!$AF$21,"F-",IF(N625&lt;'PlayerGrades+'!$AF$20,"F",IF(N625&lt;'PlayerGrades+'!$AF$19,"F+",IF(N625&lt;'PlayerGrades+'!$AF$18,"E-",IF(N625&lt;'PlayerGrades+'!$AF$17,"E",IF(N625&lt;'PlayerGrades+'!$AF$16,"E+",IF(N625&lt;'PlayerGrades+'!$AF$15,"D-",IF(N625&lt;'PlayerGrades+'!$AF$14,"D",IF(N625&lt;'PlayerGrades+'!$AF$13,"D+",IF(N625&lt;'PlayerGrades+'!$AF$12,"C-",IF(N625&lt;'PlayerGrades+'!$AF$11,"C",IF(N625&lt;'PlayerGrades+'!$AF$10,"C+",IF(N625&lt;'PlayerGrades+'!$AF$9,"B-",IF(N625&lt;'PlayerGrades+'!$AF$8,"B",IF(N625&lt;'PlayerGrades+'!$AF$7,"B+",IF(N625&lt;'PlayerGrades+'!$AF$6,"A-",IF(N625&lt;'PlayerGrades+'!$AF$5,"A",IF(N625&lt;'PlayerGrades+'!$AF$4,"A+",IF(N625&lt;'PlayerGrades+'!$AF$3,"S-",IF(N625&lt;'PlayerGrades+'!$AF$2,"S","S+"))))))))))))))))))))</f>
        <v>#DIV/0!</v>
      </c>
      <c r="P625" s="1423" t="str">
        <f t="shared" si="18"/>
        <v>#DIV/0!</v>
      </c>
      <c r="Q625" s="1423" t="str">
        <f>IF(P625&lt;'PlayerGrades+'!$AG$21,"F-",IF(P625&lt;'PlayerGrades+'!$AG$20,"F",IF(P625&lt;'PlayerGrades+'!$AG$19,"F+",IF(P625&lt;'PlayerGrades+'!$AG$18,"E-",IF(P625&lt;'PlayerGrades+'!$AG$17,"E",IF(P625&lt;'PlayerGrades+'!$AG$16,"E+",IF(P625&lt;'PlayerGrades+'!$AG$15,"D-",IF(P625&lt;'PlayerGrades+'!$AG$14,"D",IF(P625&lt;'PlayerGrades+'!$AG$13,"D+",IF(P625&lt;'PlayerGrades+'!$AG$12,"C-",IF(P625&lt;'PlayerGrades+'!$AG$11,"C",IF(P625&lt;'PlayerGrades+'!$AG$10,"C+",IF(P625&lt;'PlayerGrades+'!$AG$9,"B-",IF(P625&lt;'PlayerGrades+'!$AG$8,"B",IF(P625&lt;'PlayerGrades+'!$AG$7,"B+",IF(P625&lt;'PlayerGrades+'!$AG$6,"A-",IF(P625&lt;'PlayerGrades+'!$AG$5,"A",IF(P625&lt;'PlayerGrades+'!$AG$4,"A+",IF(P625&lt;'PlayerGrades+'!$AG$3,"S-",IF(P625&lt;'PlayerGrades+'!$AG$2,"S","S+"))))))))))))))))))))</f>
        <v>#DIV/0!</v>
      </c>
      <c r="R625" s="1423" t="str">
        <f t="shared" si="19"/>
        <v>#REF!</v>
      </c>
      <c r="S625" s="1423" t="str">
        <f>IF(R625&lt;'PlayerGrades+'!$AH$21,"F-",IF(R625&lt;'PlayerGrades+'!$AH$20,"F",IF(R625&lt;'PlayerGrades+'!$AH$19,"F+",IF(R625&lt;'PlayerGrades+'!$AH$18,"E-",IF(R625&lt;'PlayerGrades+'!$AH$17,"E",IF(R625&lt;'PlayerGrades+'!$AH$16,"E+",IF(R625&lt;'PlayerGrades+'!$AH$15,"D-",IF(R625&lt;'PlayerGrades+'!$AH$14,"D",IF(R625&lt;'PlayerGrades+'!$AH$13,"D+",IF(R625&lt;'PlayerGrades+'!$AH$12,"C-",IF(R625&lt;'PlayerGrades+'!$AH$11,"C",IF(R625&lt;'PlayerGrades+'!$AH$10,"C+",IF(R625&lt;'PlayerGrades+'!$AH$9,"B-",IF(R625&lt;'PlayerGrades+'!$AH$8,"B",IF(R625&lt;'PlayerGrades+'!$AH$7,"B+",IF(R625&lt;'PlayerGrades+'!$AH$6,"A-",IF(R625&lt;'PlayerGrades+'!$AH$5,"A",IF(R625&lt;'PlayerGrades+'!$AH$4,"A+",IF(R625&lt;'PlayerGrades+'!$AH$3,"S-",IF(R625&lt;'PlayerGrades+'!$AH$2,"S","S+"))))))))))))))))))))</f>
        <v>#REF!</v>
      </c>
      <c r="T625" s="1423" t="str">
        <f t="shared" si="20"/>
        <v>#REF!</v>
      </c>
      <c r="U625" s="1423" t="str">
        <f>IF(T625&lt;'PlayerGrades+'!$AI$21,"F-",IF(T625&lt;'PlayerGrades+'!$AI$20,"F",IF(T625&lt;'PlayerGrades+'!$AI$19,"F+",IF(T625&lt;'PlayerGrades+'!$AI$18,"E-",IF(T625&lt;'PlayerGrades+'!$AI$17,"E",IF(T625&lt;'PlayerGrades+'!$AI$16,"E+",IF(T625&lt;'PlayerGrades+'!$AI$15,"D-",IF(T625&lt;'PlayerGrades+'!$AI$14,"D",IF(T625&lt;'PlayerGrades+'!$AI$13,"D+",IF(T625&lt;'PlayerGrades+'!$AI$12,"C-",IF(T625&lt;'PlayerGrades+'!$AI$11,"C",IF(T625&lt;'PlayerGrades+'!$AI$10,"C+",IF(T625&lt;'PlayerGrades+'!$AI$9,"B-",IF(T625&lt;'PlayerGrades+'!$AI$8,"B",IF(T625&lt;'PlayerGrades+'!$AI$7,"B+",IF(T625&lt;'PlayerGrades+'!$AI$6,"A-",IF(T625&lt;'PlayerGrades+'!$AI$5,"A",IF(T625&lt;'PlayerGrades+'!$AI$4,"A+",IF(T625&lt;'PlayerGrades+'!$AI$3,"S-",IF(T625&lt;'PlayerGrades+'!$AI$2,"S","S+"))))))))))))))))))))</f>
        <v>#REF!</v>
      </c>
      <c r="V625" s="1386"/>
      <c r="W625" s="1386"/>
      <c r="X625" s="1386"/>
      <c r="Y625" s="1386"/>
      <c r="Z625" s="1386"/>
      <c r="AA625" s="1386"/>
      <c r="AB625" s="1386"/>
      <c r="AC625" s="1397"/>
      <c r="AD625" s="1386"/>
      <c r="AE625" s="1386"/>
      <c r="AF625" s="1386"/>
      <c r="AG625" s="1386"/>
      <c r="AH625" s="1386"/>
      <c r="AI625" s="1386"/>
      <c r="AJ625" s="1386"/>
      <c r="AK625" s="1386"/>
      <c r="AL625" s="1386"/>
      <c r="AM625" s="1386"/>
      <c r="AN625" s="1386"/>
      <c r="AO625" s="1386"/>
      <c r="AP625" s="1386"/>
      <c r="AQ625" s="1386"/>
      <c r="AR625" s="1386"/>
      <c r="AS625" s="1386"/>
      <c r="AT625" s="1386"/>
      <c r="AU625" s="1386"/>
      <c r="AV625" s="1386"/>
      <c r="AW625" s="1386"/>
      <c r="AX625" s="1386"/>
      <c r="AY625" s="1386"/>
      <c r="AZ625" s="1386"/>
    </row>
    <row r="626">
      <c r="A626" s="1389"/>
      <c r="B626" s="1421" t="str">
        <f>IF(C626&lt;'PlayerGrades+'!$Y$44,"F-",IF(C626&lt;'PlayerGrades+'!$Y$43,"F",IF(C626&lt;'PlayerGrades+'!$Y$42,"F+",IF(C626&lt;'PlayerGrades+'!$Y$41,"E-",IF(C626&lt;'PlayerGrades+'!$Y$40,"E",IF(C626&lt;'PlayerGrades+'!$Y$39,"E+",IF(C626&lt;'PlayerGrades+'!$Y$38,"D-",IF(C626&lt;'PlayerGrades+'!$Y$37,"D",IF(C626&lt;'PlayerGrades+'!$Y$36,"D+",IF(C626&lt;'PlayerGrades+'!$Y$35,"C-",IF(C626&lt;'PlayerGrades+'!$Y$34,"C",IF(C626&lt;'PlayerGrades+'!$Y$33,"C+",IF(C626&lt;'PlayerGrades+'!$Y$32,"B-",IF(C626&lt;'PlayerGrades+'!$Y$31,"B",IF(C626&lt;'PlayerGrades+'!$Y$30,"B+",IF(C626&lt;'PlayerGrades+'!$Y$29,"A-",IF(C626&lt;'PlayerGrades+'!$Y$28,"A",IF(C626&lt;'PlayerGrades+'!$Y$27,"A+",IF(C626&lt;'PlayerGrades+'!$Y$26,"S-",IF(C626&lt;'PlayerGrades+'!$Y$25,"S","S+"))))))))))))))))))))</f>
        <v>#DIV/0!</v>
      </c>
      <c r="C626" s="1422" t="str">
        <f>('PlayerGrades+'!$Y$47*(VLOOKUP(E626, 'PlayerGrades+'!$X$3:$Y$23, 2, FALSE)))+('PlayerGrades+'!$Y$48*(VLOOKUP(G626, 'PlayerGrades+'!$X$3:$Y$23, 2, FALSE)))+('PlayerGrades+'!$Y$49*(VLOOKUP(I626, 'PlayerGrades+'!$X$3:$Y$23, 2, FALSE)))+('PlayerGrades+'!$Y$50*(VLOOKUP(K626, 'PlayerGrades+'!$X$3:$Y$23, 2, FALSE)))+('PlayerGrades+'!$Y$51*(VLOOKUP(M626, 'PlayerGrades+'!$X$3:$Y$23, 2, FALSE)))+('PlayerGrades+'!$Y$52*(VLOOKUP(O626, 'PlayerGrades+'!$X$3:$Y$23, 2, FALSE)))+('PlayerGrades+'!$Y$53*(VLOOKUP(Q626, 'PlayerGrades+'!$X$3:$Y$23, 2, FALSE)))+('PlayerGrades+'!$Y$54*(VLOOKUP(S626, 'PlayerGrades+'!$X$3:$Y$23, 2, FALSE)))+('PlayerGrades+'!$Y$55*(VLOOKUP(U626, 'PlayerGrades+'!$X$3:$Y$23, 2, FALSE)))</f>
        <v>#DIV/0!</v>
      </c>
      <c r="D626" s="1423" t="str">
        <f t="shared" si="12"/>
        <v>#DIV/0!</v>
      </c>
      <c r="E626" s="1423" t="str">
        <f>IF(D626&lt;'PlayerGrades+'!$AA$21,"F-",IF(D626&lt;'PlayerGrades+'!$AA$20,"F",IF(D626&lt;'PlayerGrades+'!$AA$19,"F+",IF(D626&lt;'PlayerGrades+'!$AA$18,"E-",IF(D626&lt;'PlayerGrades+'!$AA$17,"E",IF(D626&lt;'PlayerGrades+'!$AA$16,"E+",IF(D626&lt;'PlayerGrades+'!$AA$15,"D-",IF(D626&lt;'PlayerGrades+'!$AA$14,"D",IF(D626&lt;'PlayerGrades+'!$AA$13,"D+",IF(D626&lt;'PlayerGrades+'!$AA$12,"C-",IF(D626&lt;'PlayerGrades+'!$AA$11,"C",IF(D626&lt;'PlayerGrades+'!$AA$10,"C+",IF(D626&lt;'PlayerGrades+'!$AA$9,"B-",IF(D626&lt;'PlayerGrades+'!$AA$8,"B",IF(D626&lt;'PlayerGrades+'!$AA$7,"B+",IF(D626&lt;'PlayerGrades+'!$AA$6,"A-",IF(D626&lt;'PlayerGrades+'!$AA$5,"A",IF(D626&lt;'PlayerGrades+'!$AA$4,"A+",IF(D626&lt;'PlayerGrades+'!$AA$3,"S-",IF(D626&lt;'PlayerGrades+'!$AA$2,"S","S+"))))))))))))))))))))</f>
        <v>#DIV/0!</v>
      </c>
      <c r="F626" s="1423" t="str">
        <f t="shared" si="13"/>
        <v>#DIV/0!</v>
      </c>
      <c r="G626" s="1423" t="str">
        <f>IF(F626&lt;'PlayerGrades+'!$AB$21,"F-",IF(F626&lt;'PlayerGrades+'!$AB$20,"F",IF(F626&lt;'PlayerGrades+'!$AB$19,"F+",IF(F626&lt;'PlayerGrades+'!$AB$18,"E-",IF(F626&lt;'PlayerGrades+'!$AB$17,"E",IF(F626&lt;'PlayerGrades+'!$AB$16,"E+",IF(F626&lt;'PlayerGrades+'!$AB$15,"D-",IF(F626&lt;'PlayerGrades+'!$AB$14,"D",IF(F626&lt;'PlayerGrades+'!$AB$13,"D+",IF(F626&lt;'PlayerGrades+'!$AB$12,"C-",IF(F626&lt;'PlayerGrades+'!$AB$11,"C",IF(F626&lt;'PlayerGrades+'!$AB$10,"C+",IF(F626&lt;'PlayerGrades+'!$AB$9,"B-",IF(F626&lt;'PlayerGrades+'!$AB$8,"B",IF(F626&lt;'PlayerGrades+'!$AB$7,"B+",IF(F626&lt;'PlayerGrades+'!$AB$6,"A-",IF(F626&lt;'PlayerGrades+'!$AB$5,"A",IF(F626&lt;'PlayerGrades+'!$AB$4,"A+",IF(F626&lt;'PlayerGrades+'!$AB$3,"S-",IF(F626&lt;'PlayerGrades+'!$AB$2,"S","S+"))))))))))))))))))))</f>
        <v>#DIV/0!</v>
      </c>
      <c r="H626" s="1423" t="str">
        <f t="shared" si="14"/>
        <v>#DIV/0!</v>
      </c>
      <c r="I626" s="1423" t="str">
        <f>IF(H626&lt;'PlayerGrades+'!$AC$21,"F-",IF(H626&lt;'PlayerGrades+'!$AC$20,"F",IF(H626&lt;'PlayerGrades+'!$AC$19,"F+",IF(H626&lt;'PlayerGrades+'!$AC$18,"E-",IF(H626&lt;'PlayerGrades+'!$AC$17,"E",IF(H626&lt;'PlayerGrades+'!$AC$16,"E+",IF(H626&lt;'PlayerGrades+'!$AC$15,"D-",IF(H626&lt;'PlayerGrades+'!$AC$14,"D",IF(H626&lt;'PlayerGrades+'!$AC$13,"D+",IF(H626&lt;'PlayerGrades+'!$AC$12,"C-",IF(H626&lt;'PlayerGrades+'!$AC$11,"C",IF(H626&lt;'PlayerGrades+'!$AC$10,"C+",IF(H626&lt;'PlayerGrades+'!$AC$9,"B-",IF(H626&lt;'PlayerGrades+'!$AC$8,"B",IF(H626&lt;'PlayerGrades+'!$AC$7,"B+",IF(H626&lt;'PlayerGrades+'!$AC$6,"A-",IF(H626&lt;'PlayerGrades+'!$AC$5,"A",IF(H626&lt;'PlayerGrades+'!$AC$4,"A+",IF(H626&lt;'PlayerGrades+'!$AC$3,"S-",IF(H626&lt;'PlayerGrades+'!$AC$2,"S","S+"))))))))))))))))))))</f>
        <v>#DIV/0!</v>
      </c>
      <c r="J626" s="1423" t="str">
        <f t="shared" si="15"/>
        <v>#DIV/0!</v>
      </c>
      <c r="K626" s="1423" t="str">
        <f>IF(J626&lt;'PlayerGrades+'!$AD$21,"F-",IF(J626&lt;'PlayerGrades+'!$AD$20,"F",IF(J626&lt;'PlayerGrades+'!$AD$19,"F+",IF(J626&lt;'PlayerGrades+'!$AD$18,"E-",IF(J626&lt;'PlayerGrades+'!$AD$17,"E",IF(J626&lt;'PlayerGrades+'!$AD$16,"E+",IF(J626&lt;'PlayerGrades+'!$AD$15,"D-",IF(J626&lt;'PlayerGrades+'!$AD$14,"D",IF(J626&lt;'PlayerGrades+'!$AD$13,"D+",IF(J626&lt;'PlayerGrades+'!$AD$12,"C-",IF(J626&lt;'PlayerGrades+'!$AD$11,"C",IF(J626&lt;'PlayerGrades+'!$AD$10,"C+",IF(J626&lt;'PlayerGrades+'!$AD$9,"B-",IF(J626&lt;'PlayerGrades+'!$AD$8,"B",IF(J626&lt;'PlayerGrades+'!$AD$7,"B+",IF(J626&lt;'PlayerGrades+'!$AD$6,"A-",IF(J626&lt;'PlayerGrades+'!$AD$5,"A",IF(J626&lt;'PlayerGrades+'!$AD$4,"A+",IF(J626&lt;'PlayerGrades+'!$AD$3,"S-",IF(J626&lt;'PlayerGrades+'!$AD$2,"S","S+"))))))))))))))))))))</f>
        <v>#DIV/0!</v>
      </c>
      <c r="L626" s="1176" t="str">
        <f t="shared" si="16"/>
        <v>#DIV/0!</v>
      </c>
      <c r="M626" s="992" t="str">
        <f>IF(L626&lt;'PlayerGrades+'!$AE$21,"F-",IF(L626&lt;'PlayerGrades+'!$AE$20,"F",IF(L626&lt;'PlayerGrades+'!$AE$19,"F+",IF(L626&lt;'PlayerGrades+'!$AE$18,"E-",IF(L626&lt;'PlayerGrades+'!$AE$17,"E",IF(L626&lt;'PlayerGrades+'!$AE$16,"E+",IF(L626&lt;'PlayerGrades+'!$AE$15,"D-",IF(L626&lt;'PlayerGrades+'!$AE$14,"D",IF(L626&lt;'PlayerGrades+'!$AE$13,"D+",IF(L626&lt;'PlayerGrades+'!$AE$12,"C-",IF(L626&lt;'PlayerGrades+'!$AE$11,"C",IF(L626&lt;'PlayerGrades+'!$AE$10,"C+",IF(L626&lt;'PlayerGrades+'!$AE$9,"B-",IF(L626&lt;'PlayerGrades+'!$AE$8,"B",IF(L626&lt;'PlayerGrades+'!$AE$7,"B+",IF(L626&lt;'PlayerGrades+'!$AE$6,"A-",IF(L626&lt;'PlayerGrades+'!$AE$5,"A",IF(L626&lt;'PlayerGrades+'!$AE$4,"A+",IF(L626&lt;'PlayerGrades+'!$AE$3,"S-",IF(L626&lt;'PlayerGrades+'!$AE$2,"S","S+"))))))))))))))))))))</f>
        <v>#DIV/0!</v>
      </c>
      <c r="N626" s="1423" t="str">
        <f t="shared" si="17"/>
        <v>#DIV/0!</v>
      </c>
      <c r="O626" s="1423" t="str">
        <f>IF(N626&lt;'PlayerGrades+'!$AF$21,"F-",IF(N626&lt;'PlayerGrades+'!$AF$20,"F",IF(N626&lt;'PlayerGrades+'!$AF$19,"F+",IF(N626&lt;'PlayerGrades+'!$AF$18,"E-",IF(N626&lt;'PlayerGrades+'!$AF$17,"E",IF(N626&lt;'PlayerGrades+'!$AF$16,"E+",IF(N626&lt;'PlayerGrades+'!$AF$15,"D-",IF(N626&lt;'PlayerGrades+'!$AF$14,"D",IF(N626&lt;'PlayerGrades+'!$AF$13,"D+",IF(N626&lt;'PlayerGrades+'!$AF$12,"C-",IF(N626&lt;'PlayerGrades+'!$AF$11,"C",IF(N626&lt;'PlayerGrades+'!$AF$10,"C+",IF(N626&lt;'PlayerGrades+'!$AF$9,"B-",IF(N626&lt;'PlayerGrades+'!$AF$8,"B",IF(N626&lt;'PlayerGrades+'!$AF$7,"B+",IF(N626&lt;'PlayerGrades+'!$AF$6,"A-",IF(N626&lt;'PlayerGrades+'!$AF$5,"A",IF(N626&lt;'PlayerGrades+'!$AF$4,"A+",IF(N626&lt;'PlayerGrades+'!$AF$3,"S-",IF(N626&lt;'PlayerGrades+'!$AF$2,"S","S+"))))))))))))))))))))</f>
        <v>#DIV/0!</v>
      </c>
      <c r="P626" s="1423" t="str">
        <f t="shared" si="18"/>
        <v>#DIV/0!</v>
      </c>
      <c r="Q626" s="1423" t="str">
        <f>IF(P626&lt;'PlayerGrades+'!$AG$21,"F-",IF(P626&lt;'PlayerGrades+'!$AG$20,"F",IF(P626&lt;'PlayerGrades+'!$AG$19,"F+",IF(P626&lt;'PlayerGrades+'!$AG$18,"E-",IF(P626&lt;'PlayerGrades+'!$AG$17,"E",IF(P626&lt;'PlayerGrades+'!$AG$16,"E+",IF(P626&lt;'PlayerGrades+'!$AG$15,"D-",IF(P626&lt;'PlayerGrades+'!$AG$14,"D",IF(P626&lt;'PlayerGrades+'!$AG$13,"D+",IF(P626&lt;'PlayerGrades+'!$AG$12,"C-",IF(P626&lt;'PlayerGrades+'!$AG$11,"C",IF(P626&lt;'PlayerGrades+'!$AG$10,"C+",IF(P626&lt;'PlayerGrades+'!$AG$9,"B-",IF(P626&lt;'PlayerGrades+'!$AG$8,"B",IF(P626&lt;'PlayerGrades+'!$AG$7,"B+",IF(P626&lt;'PlayerGrades+'!$AG$6,"A-",IF(P626&lt;'PlayerGrades+'!$AG$5,"A",IF(P626&lt;'PlayerGrades+'!$AG$4,"A+",IF(P626&lt;'PlayerGrades+'!$AG$3,"S-",IF(P626&lt;'PlayerGrades+'!$AG$2,"S","S+"))))))))))))))))))))</f>
        <v>#DIV/0!</v>
      </c>
      <c r="R626" s="1423" t="str">
        <f t="shared" si="19"/>
        <v>#REF!</v>
      </c>
      <c r="S626" s="1423" t="str">
        <f>IF(R626&lt;'PlayerGrades+'!$AH$21,"F-",IF(R626&lt;'PlayerGrades+'!$AH$20,"F",IF(R626&lt;'PlayerGrades+'!$AH$19,"F+",IF(R626&lt;'PlayerGrades+'!$AH$18,"E-",IF(R626&lt;'PlayerGrades+'!$AH$17,"E",IF(R626&lt;'PlayerGrades+'!$AH$16,"E+",IF(R626&lt;'PlayerGrades+'!$AH$15,"D-",IF(R626&lt;'PlayerGrades+'!$AH$14,"D",IF(R626&lt;'PlayerGrades+'!$AH$13,"D+",IF(R626&lt;'PlayerGrades+'!$AH$12,"C-",IF(R626&lt;'PlayerGrades+'!$AH$11,"C",IF(R626&lt;'PlayerGrades+'!$AH$10,"C+",IF(R626&lt;'PlayerGrades+'!$AH$9,"B-",IF(R626&lt;'PlayerGrades+'!$AH$8,"B",IF(R626&lt;'PlayerGrades+'!$AH$7,"B+",IF(R626&lt;'PlayerGrades+'!$AH$6,"A-",IF(R626&lt;'PlayerGrades+'!$AH$5,"A",IF(R626&lt;'PlayerGrades+'!$AH$4,"A+",IF(R626&lt;'PlayerGrades+'!$AH$3,"S-",IF(R626&lt;'PlayerGrades+'!$AH$2,"S","S+"))))))))))))))))))))</f>
        <v>#REF!</v>
      </c>
      <c r="T626" s="1423" t="str">
        <f t="shared" si="20"/>
        <v>#REF!</v>
      </c>
      <c r="U626" s="1423" t="str">
        <f>IF(T626&lt;'PlayerGrades+'!$AI$21,"F-",IF(T626&lt;'PlayerGrades+'!$AI$20,"F",IF(T626&lt;'PlayerGrades+'!$AI$19,"F+",IF(T626&lt;'PlayerGrades+'!$AI$18,"E-",IF(T626&lt;'PlayerGrades+'!$AI$17,"E",IF(T626&lt;'PlayerGrades+'!$AI$16,"E+",IF(T626&lt;'PlayerGrades+'!$AI$15,"D-",IF(T626&lt;'PlayerGrades+'!$AI$14,"D",IF(T626&lt;'PlayerGrades+'!$AI$13,"D+",IF(T626&lt;'PlayerGrades+'!$AI$12,"C-",IF(T626&lt;'PlayerGrades+'!$AI$11,"C",IF(T626&lt;'PlayerGrades+'!$AI$10,"C+",IF(T626&lt;'PlayerGrades+'!$AI$9,"B-",IF(T626&lt;'PlayerGrades+'!$AI$8,"B",IF(T626&lt;'PlayerGrades+'!$AI$7,"B+",IF(T626&lt;'PlayerGrades+'!$AI$6,"A-",IF(T626&lt;'PlayerGrades+'!$AI$5,"A",IF(T626&lt;'PlayerGrades+'!$AI$4,"A+",IF(T626&lt;'PlayerGrades+'!$AI$3,"S-",IF(T626&lt;'PlayerGrades+'!$AI$2,"S","S+"))))))))))))))))))))</f>
        <v>#REF!</v>
      </c>
      <c r="V626" s="1410"/>
      <c r="W626" s="1379"/>
      <c r="X626" s="1379"/>
      <c r="Y626" s="1379"/>
      <c r="Z626" s="1379"/>
      <c r="AA626" s="1379"/>
      <c r="AB626" s="1379"/>
      <c r="AC626" s="1390"/>
      <c r="AD626" s="1379"/>
      <c r="AE626" s="1379"/>
      <c r="AF626" s="1379"/>
      <c r="AG626" s="1379"/>
      <c r="AH626" s="1379"/>
      <c r="AI626" s="1379"/>
      <c r="AJ626" s="1379"/>
      <c r="AK626" s="1379"/>
      <c r="AL626" s="1379"/>
      <c r="AM626" s="1379"/>
      <c r="AN626" s="1379"/>
      <c r="AO626" s="1379"/>
      <c r="AP626" s="1379"/>
      <c r="AQ626" s="1379"/>
      <c r="AR626" s="1379"/>
      <c r="AS626" s="1379"/>
      <c r="AT626" s="1379"/>
      <c r="AU626" s="1379"/>
      <c r="AV626" s="1379"/>
      <c r="AW626" s="1379"/>
      <c r="AX626" s="1379"/>
      <c r="AY626" s="1379"/>
      <c r="AZ626" s="1379"/>
    </row>
    <row r="627">
      <c r="A627" s="1391"/>
      <c r="B627" s="1421" t="str">
        <f>IF(C627&lt;'PlayerGrades+'!$Y$44,"F-",IF(C627&lt;'PlayerGrades+'!$Y$43,"F",IF(C627&lt;'PlayerGrades+'!$Y$42,"F+",IF(C627&lt;'PlayerGrades+'!$Y$41,"E-",IF(C627&lt;'PlayerGrades+'!$Y$40,"E",IF(C627&lt;'PlayerGrades+'!$Y$39,"E+",IF(C627&lt;'PlayerGrades+'!$Y$38,"D-",IF(C627&lt;'PlayerGrades+'!$Y$37,"D",IF(C627&lt;'PlayerGrades+'!$Y$36,"D+",IF(C627&lt;'PlayerGrades+'!$Y$35,"C-",IF(C627&lt;'PlayerGrades+'!$Y$34,"C",IF(C627&lt;'PlayerGrades+'!$Y$33,"C+",IF(C627&lt;'PlayerGrades+'!$Y$32,"B-",IF(C627&lt;'PlayerGrades+'!$Y$31,"B",IF(C627&lt;'PlayerGrades+'!$Y$30,"B+",IF(C627&lt;'PlayerGrades+'!$Y$29,"A-",IF(C627&lt;'PlayerGrades+'!$Y$28,"A",IF(C627&lt;'PlayerGrades+'!$Y$27,"A+",IF(C627&lt;'PlayerGrades+'!$Y$26,"S-",IF(C627&lt;'PlayerGrades+'!$Y$25,"S","S+"))))))))))))))))))))</f>
        <v>#DIV/0!</v>
      </c>
      <c r="C627" s="1422" t="str">
        <f>('PlayerGrades+'!$Y$47*(VLOOKUP(E627, 'PlayerGrades+'!$X$3:$Y$23, 2, FALSE)))+('PlayerGrades+'!$Y$48*(VLOOKUP(G627, 'PlayerGrades+'!$X$3:$Y$23, 2, FALSE)))+('PlayerGrades+'!$Y$49*(VLOOKUP(I627, 'PlayerGrades+'!$X$3:$Y$23, 2, FALSE)))+('PlayerGrades+'!$Y$50*(VLOOKUP(K627, 'PlayerGrades+'!$X$3:$Y$23, 2, FALSE)))+('PlayerGrades+'!$Y$51*(VLOOKUP(M627, 'PlayerGrades+'!$X$3:$Y$23, 2, FALSE)))+('PlayerGrades+'!$Y$52*(VLOOKUP(O627, 'PlayerGrades+'!$X$3:$Y$23, 2, FALSE)))+('PlayerGrades+'!$Y$53*(VLOOKUP(Q627, 'PlayerGrades+'!$X$3:$Y$23, 2, FALSE)))+('PlayerGrades+'!$Y$54*(VLOOKUP(S627, 'PlayerGrades+'!$X$3:$Y$23, 2, FALSE)))+('PlayerGrades+'!$Y$55*(VLOOKUP(U627, 'PlayerGrades+'!$X$3:$Y$23, 2, FALSE)))</f>
        <v>#DIV/0!</v>
      </c>
      <c r="D627" s="1423" t="str">
        <f t="shared" si="12"/>
        <v>#DIV/0!</v>
      </c>
      <c r="E627" s="1423" t="str">
        <f>IF(D627&lt;'PlayerGrades+'!$AA$21,"F-",IF(D627&lt;'PlayerGrades+'!$AA$20,"F",IF(D627&lt;'PlayerGrades+'!$AA$19,"F+",IF(D627&lt;'PlayerGrades+'!$AA$18,"E-",IF(D627&lt;'PlayerGrades+'!$AA$17,"E",IF(D627&lt;'PlayerGrades+'!$AA$16,"E+",IF(D627&lt;'PlayerGrades+'!$AA$15,"D-",IF(D627&lt;'PlayerGrades+'!$AA$14,"D",IF(D627&lt;'PlayerGrades+'!$AA$13,"D+",IF(D627&lt;'PlayerGrades+'!$AA$12,"C-",IF(D627&lt;'PlayerGrades+'!$AA$11,"C",IF(D627&lt;'PlayerGrades+'!$AA$10,"C+",IF(D627&lt;'PlayerGrades+'!$AA$9,"B-",IF(D627&lt;'PlayerGrades+'!$AA$8,"B",IF(D627&lt;'PlayerGrades+'!$AA$7,"B+",IF(D627&lt;'PlayerGrades+'!$AA$6,"A-",IF(D627&lt;'PlayerGrades+'!$AA$5,"A",IF(D627&lt;'PlayerGrades+'!$AA$4,"A+",IF(D627&lt;'PlayerGrades+'!$AA$3,"S-",IF(D627&lt;'PlayerGrades+'!$AA$2,"S","S+"))))))))))))))))))))</f>
        <v>#DIV/0!</v>
      </c>
      <c r="F627" s="1423" t="str">
        <f t="shared" si="13"/>
        <v>#DIV/0!</v>
      </c>
      <c r="G627" s="1423" t="str">
        <f>IF(F627&lt;'PlayerGrades+'!$AB$21,"F-",IF(F627&lt;'PlayerGrades+'!$AB$20,"F",IF(F627&lt;'PlayerGrades+'!$AB$19,"F+",IF(F627&lt;'PlayerGrades+'!$AB$18,"E-",IF(F627&lt;'PlayerGrades+'!$AB$17,"E",IF(F627&lt;'PlayerGrades+'!$AB$16,"E+",IF(F627&lt;'PlayerGrades+'!$AB$15,"D-",IF(F627&lt;'PlayerGrades+'!$AB$14,"D",IF(F627&lt;'PlayerGrades+'!$AB$13,"D+",IF(F627&lt;'PlayerGrades+'!$AB$12,"C-",IF(F627&lt;'PlayerGrades+'!$AB$11,"C",IF(F627&lt;'PlayerGrades+'!$AB$10,"C+",IF(F627&lt;'PlayerGrades+'!$AB$9,"B-",IF(F627&lt;'PlayerGrades+'!$AB$8,"B",IF(F627&lt;'PlayerGrades+'!$AB$7,"B+",IF(F627&lt;'PlayerGrades+'!$AB$6,"A-",IF(F627&lt;'PlayerGrades+'!$AB$5,"A",IF(F627&lt;'PlayerGrades+'!$AB$4,"A+",IF(F627&lt;'PlayerGrades+'!$AB$3,"S-",IF(F627&lt;'PlayerGrades+'!$AB$2,"S","S+"))))))))))))))))))))</f>
        <v>#DIV/0!</v>
      </c>
      <c r="H627" s="1423" t="str">
        <f t="shared" si="14"/>
        <v>#DIV/0!</v>
      </c>
      <c r="I627" s="1423" t="str">
        <f>IF(H627&lt;'PlayerGrades+'!$AC$21,"F-",IF(H627&lt;'PlayerGrades+'!$AC$20,"F",IF(H627&lt;'PlayerGrades+'!$AC$19,"F+",IF(H627&lt;'PlayerGrades+'!$AC$18,"E-",IF(H627&lt;'PlayerGrades+'!$AC$17,"E",IF(H627&lt;'PlayerGrades+'!$AC$16,"E+",IF(H627&lt;'PlayerGrades+'!$AC$15,"D-",IF(H627&lt;'PlayerGrades+'!$AC$14,"D",IF(H627&lt;'PlayerGrades+'!$AC$13,"D+",IF(H627&lt;'PlayerGrades+'!$AC$12,"C-",IF(H627&lt;'PlayerGrades+'!$AC$11,"C",IF(H627&lt;'PlayerGrades+'!$AC$10,"C+",IF(H627&lt;'PlayerGrades+'!$AC$9,"B-",IF(H627&lt;'PlayerGrades+'!$AC$8,"B",IF(H627&lt;'PlayerGrades+'!$AC$7,"B+",IF(H627&lt;'PlayerGrades+'!$AC$6,"A-",IF(H627&lt;'PlayerGrades+'!$AC$5,"A",IF(H627&lt;'PlayerGrades+'!$AC$4,"A+",IF(H627&lt;'PlayerGrades+'!$AC$3,"S-",IF(H627&lt;'PlayerGrades+'!$AC$2,"S","S+"))))))))))))))))))))</f>
        <v>#DIV/0!</v>
      </c>
      <c r="J627" s="1423" t="str">
        <f t="shared" si="15"/>
        <v>#DIV/0!</v>
      </c>
      <c r="K627" s="1423" t="str">
        <f>IF(J627&lt;'PlayerGrades+'!$AD$21,"F-",IF(J627&lt;'PlayerGrades+'!$AD$20,"F",IF(J627&lt;'PlayerGrades+'!$AD$19,"F+",IF(J627&lt;'PlayerGrades+'!$AD$18,"E-",IF(J627&lt;'PlayerGrades+'!$AD$17,"E",IF(J627&lt;'PlayerGrades+'!$AD$16,"E+",IF(J627&lt;'PlayerGrades+'!$AD$15,"D-",IF(J627&lt;'PlayerGrades+'!$AD$14,"D",IF(J627&lt;'PlayerGrades+'!$AD$13,"D+",IF(J627&lt;'PlayerGrades+'!$AD$12,"C-",IF(J627&lt;'PlayerGrades+'!$AD$11,"C",IF(J627&lt;'PlayerGrades+'!$AD$10,"C+",IF(J627&lt;'PlayerGrades+'!$AD$9,"B-",IF(J627&lt;'PlayerGrades+'!$AD$8,"B",IF(J627&lt;'PlayerGrades+'!$AD$7,"B+",IF(J627&lt;'PlayerGrades+'!$AD$6,"A-",IF(J627&lt;'PlayerGrades+'!$AD$5,"A",IF(J627&lt;'PlayerGrades+'!$AD$4,"A+",IF(J627&lt;'PlayerGrades+'!$AD$3,"S-",IF(J627&lt;'PlayerGrades+'!$AD$2,"S","S+"))))))))))))))))))))</f>
        <v>#DIV/0!</v>
      </c>
      <c r="L627" s="1176" t="str">
        <f t="shared" si="16"/>
        <v>#DIV/0!</v>
      </c>
      <c r="M627" s="992" t="str">
        <f>IF(L627&lt;'PlayerGrades+'!$AE$21,"F-",IF(L627&lt;'PlayerGrades+'!$AE$20,"F",IF(L627&lt;'PlayerGrades+'!$AE$19,"F+",IF(L627&lt;'PlayerGrades+'!$AE$18,"E-",IF(L627&lt;'PlayerGrades+'!$AE$17,"E",IF(L627&lt;'PlayerGrades+'!$AE$16,"E+",IF(L627&lt;'PlayerGrades+'!$AE$15,"D-",IF(L627&lt;'PlayerGrades+'!$AE$14,"D",IF(L627&lt;'PlayerGrades+'!$AE$13,"D+",IF(L627&lt;'PlayerGrades+'!$AE$12,"C-",IF(L627&lt;'PlayerGrades+'!$AE$11,"C",IF(L627&lt;'PlayerGrades+'!$AE$10,"C+",IF(L627&lt;'PlayerGrades+'!$AE$9,"B-",IF(L627&lt;'PlayerGrades+'!$AE$8,"B",IF(L627&lt;'PlayerGrades+'!$AE$7,"B+",IF(L627&lt;'PlayerGrades+'!$AE$6,"A-",IF(L627&lt;'PlayerGrades+'!$AE$5,"A",IF(L627&lt;'PlayerGrades+'!$AE$4,"A+",IF(L627&lt;'PlayerGrades+'!$AE$3,"S-",IF(L627&lt;'PlayerGrades+'!$AE$2,"S","S+"))))))))))))))))))))</f>
        <v>#DIV/0!</v>
      </c>
      <c r="N627" s="1423" t="str">
        <f t="shared" si="17"/>
        <v>#DIV/0!</v>
      </c>
      <c r="O627" s="1423" t="str">
        <f>IF(N627&lt;'PlayerGrades+'!$AF$21,"F-",IF(N627&lt;'PlayerGrades+'!$AF$20,"F",IF(N627&lt;'PlayerGrades+'!$AF$19,"F+",IF(N627&lt;'PlayerGrades+'!$AF$18,"E-",IF(N627&lt;'PlayerGrades+'!$AF$17,"E",IF(N627&lt;'PlayerGrades+'!$AF$16,"E+",IF(N627&lt;'PlayerGrades+'!$AF$15,"D-",IF(N627&lt;'PlayerGrades+'!$AF$14,"D",IF(N627&lt;'PlayerGrades+'!$AF$13,"D+",IF(N627&lt;'PlayerGrades+'!$AF$12,"C-",IF(N627&lt;'PlayerGrades+'!$AF$11,"C",IF(N627&lt;'PlayerGrades+'!$AF$10,"C+",IF(N627&lt;'PlayerGrades+'!$AF$9,"B-",IF(N627&lt;'PlayerGrades+'!$AF$8,"B",IF(N627&lt;'PlayerGrades+'!$AF$7,"B+",IF(N627&lt;'PlayerGrades+'!$AF$6,"A-",IF(N627&lt;'PlayerGrades+'!$AF$5,"A",IF(N627&lt;'PlayerGrades+'!$AF$4,"A+",IF(N627&lt;'PlayerGrades+'!$AF$3,"S-",IF(N627&lt;'PlayerGrades+'!$AF$2,"S","S+"))))))))))))))))))))</f>
        <v>#DIV/0!</v>
      </c>
      <c r="P627" s="1423" t="str">
        <f t="shared" si="18"/>
        <v>#DIV/0!</v>
      </c>
      <c r="Q627" s="1423" t="str">
        <f>IF(P627&lt;'PlayerGrades+'!$AG$21,"F-",IF(P627&lt;'PlayerGrades+'!$AG$20,"F",IF(P627&lt;'PlayerGrades+'!$AG$19,"F+",IF(P627&lt;'PlayerGrades+'!$AG$18,"E-",IF(P627&lt;'PlayerGrades+'!$AG$17,"E",IF(P627&lt;'PlayerGrades+'!$AG$16,"E+",IF(P627&lt;'PlayerGrades+'!$AG$15,"D-",IF(P627&lt;'PlayerGrades+'!$AG$14,"D",IF(P627&lt;'PlayerGrades+'!$AG$13,"D+",IF(P627&lt;'PlayerGrades+'!$AG$12,"C-",IF(P627&lt;'PlayerGrades+'!$AG$11,"C",IF(P627&lt;'PlayerGrades+'!$AG$10,"C+",IF(P627&lt;'PlayerGrades+'!$AG$9,"B-",IF(P627&lt;'PlayerGrades+'!$AG$8,"B",IF(P627&lt;'PlayerGrades+'!$AG$7,"B+",IF(P627&lt;'PlayerGrades+'!$AG$6,"A-",IF(P627&lt;'PlayerGrades+'!$AG$5,"A",IF(P627&lt;'PlayerGrades+'!$AG$4,"A+",IF(P627&lt;'PlayerGrades+'!$AG$3,"S-",IF(P627&lt;'PlayerGrades+'!$AG$2,"S","S+"))))))))))))))))))))</f>
        <v>#DIV/0!</v>
      </c>
      <c r="R627" s="1423" t="str">
        <f t="shared" si="19"/>
        <v>#REF!</v>
      </c>
      <c r="S627" s="1423" t="str">
        <f>IF(R627&lt;'PlayerGrades+'!$AH$21,"F-",IF(R627&lt;'PlayerGrades+'!$AH$20,"F",IF(R627&lt;'PlayerGrades+'!$AH$19,"F+",IF(R627&lt;'PlayerGrades+'!$AH$18,"E-",IF(R627&lt;'PlayerGrades+'!$AH$17,"E",IF(R627&lt;'PlayerGrades+'!$AH$16,"E+",IF(R627&lt;'PlayerGrades+'!$AH$15,"D-",IF(R627&lt;'PlayerGrades+'!$AH$14,"D",IF(R627&lt;'PlayerGrades+'!$AH$13,"D+",IF(R627&lt;'PlayerGrades+'!$AH$12,"C-",IF(R627&lt;'PlayerGrades+'!$AH$11,"C",IF(R627&lt;'PlayerGrades+'!$AH$10,"C+",IF(R627&lt;'PlayerGrades+'!$AH$9,"B-",IF(R627&lt;'PlayerGrades+'!$AH$8,"B",IF(R627&lt;'PlayerGrades+'!$AH$7,"B+",IF(R627&lt;'PlayerGrades+'!$AH$6,"A-",IF(R627&lt;'PlayerGrades+'!$AH$5,"A",IF(R627&lt;'PlayerGrades+'!$AH$4,"A+",IF(R627&lt;'PlayerGrades+'!$AH$3,"S-",IF(R627&lt;'PlayerGrades+'!$AH$2,"S","S+"))))))))))))))))))))</f>
        <v>#REF!</v>
      </c>
      <c r="T627" s="1423" t="str">
        <f t="shared" si="20"/>
        <v>#REF!</v>
      </c>
      <c r="U627" s="1423" t="str">
        <f>IF(T627&lt;'PlayerGrades+'!$AI$21,"F-",IF(T627&lt;'PlayerGrades+'!$AI$20,"F",IF(T627&lt;'PlayerGrades+'!$AI$19,"F+",IF(T627&lt;'PlayerGrades+'!$AI$18,"E-",IF(T627&lt;'PlayerGrades+'!$AI$17,"E",IF(T627&lt;'PlayerGrades+'!$AI$16,"E+",IF(T627&lt;'PlayerGrades+'!$AI$15,"D-",IF(T627&lt;'PlayerGrades+'!$AI$14,"D",IF(T627&lt;'PlayerGrades+'!$AI$13,"D+",IF(T627&lt;'PlayerGrades+'!$AI$12,"C-",IF(T627&lt;'PlayerGrades+'!$AI$11,"C",IF(T627&lt;'PlayerGrades+'!$AI$10,"C+",IF(T627&lt;'PlayerGrades+'!$AI$9,"B-",IF(T627&lt;'PlayerGrades+'!$AI$8,"B",IF(T627&lt;'PlayerGrades+'!$AI$7,"B+",IF(T627&lt;'PlayerGrades+'!$AI$6,"A-",IF(T627&lt;'PlayerGrades+'!$AI$5,"A",IF(T627&lt;'PlayerGrades+'!$AI$4,"A+",IF(T627&lt;'PlayerGrades+'!$AI$3,"S-",IF(T627&lt;'PlayerGrades+'!$AI$2,"S","S+"))))))))))))))))))))</f>
        <v>#REF!</v>
      </c>
      <c r="AC627" s="1392"/>
    </row>
    <row r="628">
      <c r="A628" s="1391"/>
      <c r="B628" s="1421" t="str">
        <f>IF(C628&lt;'PlayerGrades+'!$Y$44,"F-",IF(C628&lt;'PlayerGrades+'!$Y$43,"F",IF(C628&lt;'PlayerGrades+'!$Y$42,"F+",IF(C628&lt;'PlayerGrades+'!$Y$41,"E-",IF(C628&lt;'PlayerGrades+'!$Y$40,"E",IF(C628&lt;'PlayerGrades+'!$Y$39,"E+",IF(C628&lt;'PlayerGrades+'!$Y$38,"D-",IF(C628&lt;'PlayerGrades+'!$Y$37,"D",IF(C628&lt;'PlayerGrades+'!$Y$36,"D+",IF(C628&lt;'PlayerGrades+'!$Y$35,"C-",IF(C628&lt;'PlayerGrades+'!$Y$34,"C",IF(C628&lt;'PlayerGrades+'!$Y$33,"C+",IF(C628&lt;'PlayerGrades+'!$Y$32,"B-",IF(C628&lt;'PlayerGrades+'!$Y$31,"B",IF(C628&lt;'PlayerGrades+'!$Y$30,"B+",IF(C628&lt;'PlayerGrades+'!$Y$29,"A-",IF(C628&lt;'PlayerGrades+'!$Y$28,"A",IF(C628&lt;'PlayerGrades+'!$Y$27,"A+",IF(C628&lt;'PlayerGrades+'!$Y$26,"S-",IF(C628&lt;'PlayerGrades+'!$Y$25,"S","S+"))))))))))))))))))))</f>
        <v>#DIV/0!</v>
      </c>
      <c r="C628" s="1422" t="str">
        <f>('PlayerGrades+'!$Y$47*(VLOOKUP(E628, 'PlayerGrades+'!$X$3:$Y$23, 2, FALSE)))+('PlayerGrades+'!$Y$48*(VLOOKUP(G628, 'PlayerGrades+'!$X$3:$Y$23, 2, FALSE)))+('PlayerGrades+'!$Y$49*(VLOOKUP(I628, 'PlayerGrades+'!$X$3:$Y$23, 2, FALSE)))+('PlayerGrades+'!$Y$50*(VLOOKUP(K628, 'PlayerGrades+'!$X$3:$Y$23, 2, FALSE)))+('PlayerGrades+'!$Y$51*(VLOOKUP(M628, 'PlayerGrades+'!$X$3:$Y$23, 2, FALSE)))+('PlayerGrades+'!$Y$52*(VLOOKUP(O628, 'PlayerGrades+'!$X$3:$Y$23, 2, FALSE)))+('PlayerGrades+'!$Y$53*(VLOOKUP(Q628, 'PlayerGrades+'!$X$3:$Y$23, 2, FALSE)))+('PlayerGrades+'!$Y$54*(VLOOKUP(S628, 'PlayerGrades+'!$X$3:$Y$23, 2, FALSE)))+('PlayerGrades+'!$Y$55*(VLOOKUP(U628, 'PlayerGrades+'!$X$3:$Y$23, 2, FALSE)))</f>
        <v>#DIV/0!</v>
      </c>
      <c r="D628" s="1423" t="str">
        <f t="shared" si="12"/>
        <v>#DIV/0!</v>
      </c>
      <c r="E628" s="1423" t="str">
        <f>IF(D628&lt;'PlayerGrades+'!$AA$21,"F-",IF(D628&lt;'PlayerGrades+'!$AA$20,"F",IF(D628&lt;'PlayerGrades+'!$AA$19,"F+",IF(D628&lt;'PlayerGrades+'!$AA$18,"E-",IF(D628&lt;'PlayerGrades+'!$AA$17,"E",IF(D628&lt;'PlayerGrades+'!$AA$16,"E+",IF(D628&lt;'PlayerGrades+'!$AA$15,"D-",IF(D628&lt;'PlayerGrades+'!$AA$14,"D",IF(D628&lt;'PlayerGrades+'!$AA$13,"D+",IF(D628&lt;'PlayerGrades+'!$AA$12,"C-",IF(D628&lt;'PlayerGrades+'!$AA$11,"C",IF(D628&lt;'PlayerGrades+'!$AA$10,"C+",IF(D628&lt;'PlayerGrades+'!$AA$9,"B-",IF(D628&lt;'PlayerGrades+'!$AA$8,"B",IF(D628&lt;'PlayerGrades+'!$AA$7,"B+",IF(D628&lt;'PlayerGrades+'!$AA$6,"A-",IF(D628&lt;'PlayerGrades+'!$AA$5,"A",IF(D628&lt;'PlayerGrades+'!$AA$4,"A+",IF(D628&lt;'PlayerGrades+'!$AA$3,"S-",IF(D628&lt;'PlayerGrades+'!$AA$2,"S","S+"))))))))))))))))))))</f>
        <v>#DIV/0!</v>
      </c>
      <c r="F628" s="1423" t="str">
        <f t="shared" si="13"/>
        <v>#DIV/0!</v>
      </c>
      <c r="G628" s="1423" t="str">
        <f>IF(F628&lt;'PlayerGrades+'!$AB$21,"F-",IF(F628&lt;'PlayerGrades+'!$AB$20,"F",IF(F628&lt;'PlayerGrades+'!$AB$19,"F+",IF(F628&lt;'PlayerGrades+'!$AB$18,"E-",IF(F628&lt;'PlayerGrades+'!$AB$17,"E",IF(F628&lt;'PlayerGrades+'!$AB$16,"E+",IF(F628&lt;'PlayerGrades+'!$AB$15,"D-",IF(F628&lt;'PlayerGrades+'!$AB$14,"D",IF(F628&lt;'PlayerGrades+'!$AB$13,"D+",IF(F628&lt;'PlayerGrades+'!$AB$12,"C-",IF(F628&lt;'PlayerGrades+'!$AB$11,"C",IF(F628&lt;'PlayerGrades+'!$AB$10,"C+",IF(F628&lt;'PlayerGrades+'!$AB$9,"B-",IF(F628&lt;'PlayerGrades+'!$AB$8,"B",IF(F628&lt;'PlayerGrades+'!$AB$7,"B+",IF(F628&lt;'PlayerGrades+'!$AB$6,"A-",IF(F628&lt;'PlayerGrades+'!$AB$5,"A",IF(F628&lt;'PlayerGrades+'!$AB$4,"A+",IF(F628&lt;'PlayerGrades+'!$AB$3,"S-",IF(F628&lt;'PlayerGrades+'!$AB$2,"S","S+"))))))))))))))))))))</f>
        <v>#DIV/0!</v>
      </c>
      <c r="H628" s="1423" t="str">
        <f t="shared" si="14"/>
        <v>#DIV/0!</v>
      </c>
      <c r="I628" s="1423" t="str">
        <f>IF(H628&lt;'PlayerGrades+'!$AC$21,"F-",IF(H628&lt;'PlayerGrades+'!$AC$20,"F",IF(H628&lt;'PlayerGrades+'!$AC$19,"F+",IF(H628&lt;'PlayerGrades+'!$AC$18,"E-",IF(H628&lt;'PlayerGrades+'!$AC$17,"E",IF(H628&lt;'PlayerGrades+'!$AC$16,"E+",IF(H628&lt;'PlayerGrades+'!$AC$15,"D-",IF(H628&lt;'PlayerGrades+'!$AC$14,"D",IF(H628&lt;'PlayerGrades+'!$AC$13,"D+",IF(H628&lt;'PlayerGrades+'!$AC$12,"C-",IF(H628&lt;'PlayerGrades+'!$AC$11,"C",IF(H628&lt;'PlayerGrades+'!$AC$10,"C+",IF(H628&lt;'PlayerGrades+'!$AC$9,"B-",IF(H628&lt;'PlayerGrades+'!$AC$8,"B",IF(H628&lt;'PlayerGrades+'!$AC$7,"B+",IF(H628&lt;'PlayerGrades+'!$AC$6,"A-",IF(H628&lt;'PlayerGrades+'!$AC$5,"A",IF(H628&lt;'PlayerGrades+'!$AC$4,"A+",IF(H628&lt;'PlayerGrades+'!$AC$3,"S-",IF(H628&lt;'PlayerGrades+'!$AC$2,"S","S+"))))))))))))))))))))</f>
        <v>#DIV/0!</v>
      </c>
      <c r="J628" s="1423" t="str">
        <f t="shared" si="15"/>
        <v>#DIV/0!</v>
      </c>
      <c r="K628" s="1423" t="str">
        <f>IF(J628&lt;'PlayerGrades+'!$AD$21,"F-",IF(J628&lt;'PlayerGrades+'!$AD$20,"F",IF(J628&lt;'PlayerGrades+'!$AD$19,"F+",IF(J628&lt;'PlayerGrades+'!$AD$18,"E-",IF(J628&lt;'PlayerGrades+'!$AD$17,"E",IF(J628&lt;'PlayerGrades+'!$AD$16,"E+",IF(J628&lt;'PlayerGrades+'!$AD$15,"D-",IF(J628&lt;'PlayerGrades+'!$AD$14,"D",IF(J628&lt;'PlayerGrades+'!$AD$13,"D+",IF(J628&lt;'PlayerGrades+'!$AD$12,"C-",IF(J628&lt;'PlayerGrades+'!$AD$11,"C",IF(J628&lt;'PlayerGrades+'!$AD$10,"C+",IF(J628&lt;'PlayerGrades+'!$AD$9,"B-",IF(J628&lt;'PlayerGrades+'!$AD$8,"B",IF(J628&lt;'PlayerGrades+'!$AD$7,"B+",IF(J628&lt;'PlayerGrades+'!$AD$6,"A-",IF(J628&lt;'PlayerGrades+'!$AD$5,"A",IF(J628&lt;'PlayerGrades+'!$AD$4,"A+",IF(J628&lt;'PlayerGrades+'!$AD$3,"S-",IF(J628&lt;'PlayerGrades+'!$AD$2,"S","S+"))))))))))))))))))))</f>
        <v>#DIV/0!</v>
      </c>
      <c r="L628" s="1176" t="str">
        <f t="shared" si="16"/>
        <v>#DIV/0!</v>
      </c>
      <c r="M628" s="992" t="str">
        <f>IF(L628&lt;'PlayerGrades+'!$AE$21,"F-",IF(L628&lt;'PlayerGrades+'!$AE$20,"F",IF(L628&lt;'PlayerGrades+'!$AE$19,"F+",IF(L628&lt;'PlayerGrades+'!$AE$18,"E-",IF(L628&lt;'PlayerGrades+'!$AE$17,"E",IF(L628&lt;'PlayerGrades+'!$AE$16,"E+",IF(L628&lt;'PlayerGrades+'!$AE$15,"D-",IF(L628&lt;'PlayerGrades+'!$AE$14,"D",IF(L628&lt;'PlayerGrades+'!$AE$13,"D+",IF(L628&lt;'PlayerGrades+'!$AE$12,"C-",IF(L628&lt;'PlayerGrades+'!$AE$11,"C",IF(L628&lt;'PlayerGrades+'!$AE$10,"C+",IF(L628&lt;'PlayerGrades+'!$AE$9,"B-",IF(L628&lt;'PlayerGrades+'!$AE$8,"B",IF(L628&lt;'PlayerGrades+'!$AE$7,"B+",IF(L628&lt;'PlayerGrades+'!$AE$6,"A-",IF(L628&lt;'PlayerGrades+'!$AE$5,"A",IF(L628&lt;'PlayerGrades+'!$AE$4,"A+",IF(L628&lt;'PlayerGrades+'!$AE$3,"S-",IF(L628&lt;'PlayerGrades+'!$AE$2,"S","S+"))))))))))))))))))))</f>
        <v>#DIV/0!</v>
      </c>
      <c r="N628" s="1423" t="str">
        <f t="shared" si="17"/>
        <v>#DIV/0!</v>
      </c>
      <c r="O628" s="1423" t="str">
        <f>IF(N628&lt;'PlayerGrades+'!$AF$21,"F-",IF(N628&lt;'PlayerGrades+'!$AF$20,"F",IF(N628&lt;'PlayerGrades+'!$AF$19,"F+",IF(N628&lt;'PlayerGrades+'!$AF$18,"E-",IF(N628&lt;'PlayerGrades+'!$AF$17,"E",IF(N628&lt;'PlayerGrades+'!$AF$16,"E+",IF(N628&lt;'PlayerGrades+'!$AF$15,"D-",IF(N628&lt;'PlayerGrades+'!$AF$14,"D",IF(N628&lt;'PlayerGrades+'!$AF$13,"D+",IF(N628&lt;'PlayerGrades+'!$AF$12,"C-",IF(N628&lt;'PlayerGrades+'!$AF$11,"C",IF(N628&lt;'PlayerGrades+'!$AF$10,"C+",IF(N628&lt;'PlayerGrades+'!$AF$9,"B-",IF(N628&lt;'PlayerGrades+'!$AF$8,"B",IF(N628&lt;'PlayerGrades+'!$AF$7,"B+",IF(N628&lt;'PlayerGrades+'!$AF$6,"A-",IF(N628&lt;'PlayerGrades+'!$AF$5,"A",IF(N628&lt;'PlayerGrades+'!$AF$4,"A+",IF(N628&lt;'PlayerGrades+'!$AF$3,"S-",IF(N628&lt;'PlayerGrades+'!$AF$2,"S","S+"))))))))))))))))))))</f>
        <v>#DIV/0!</v>
      </c>
      <c r="P628" s="1423" t="str">
        <f t="shared" si="18"/>
        <v>#DIV/0!</v>
      </c>
      <c r="Q628" s="1423" t="str">
        <f>IF(P628&lt;'PlayerGrades+'!$AG$21,"F-",IF(P628&lt;'PlayerGrades+'!$AG$20,"F",IF(P628&lt;'PlayerGrades+'!$AG$19,"F+",IF(P628&lt;'PlayerGrades+'!$AG$18,"E-",IF(P628&lt;'PlayerGrades+'!$AG$17,"E",IF(P628&lt;'PlayerGrades+'!$AG$16,"E+",IF(P628&lt;'PlayerGrades+'!$AG$15,"D-",IF(P628&lt;'PlayerGrades+'!$AG$14,"D",IF(P628&lt;'PlayerGrades+'!$AG$13,"D+",IF(P628&lt;'PlayerGrades+'!$AG$12,"C-",IF(P628&lt;'PlayerGrades+'!$AG$11,"C",IF(P628&lt;'PlayerGrades+'!$AG$10,"C+",IF(P628&lt;'PlayerGrades+'!$AG$9,"B-",IF(P628&lt;'PlayerGrades+'!$AG$8,"B",IF(P628&lt;'PlayerGrades+'!$AG$7,"B+",IF(P628&lt;'PlayerGrades+'!$AG$6,"A-",IF(P628&lt;'PlayerGrades+'!$AG$5,"A",IF(P628&lt;'PlayerGrades+'!$AG$4,"A+",IF(P628&lt;'PlayerGrades+'!$AG$3,"S-",IF(P628&lt;'PlayerGrades+'!$AG$2,"S","S+"))))))))))))))))))))</f>
        <v>#DIV/0!</v>
      </c>
      <c r="R628" s="1423" t="str">
        <f t="shared" si="19"/>
        <v>#REF!</v>
      </c>
      <c r="S628" s="1423" t="str">
        <f>IF(R628&lt;'PlayerGrades+'!$AH$21,"F-",IF(R628&lt;'PlayerGrades+'!$AH$20,"F",IF(R628&lt;'PlayerGrades+'!$AH$19,"F+",IF(R628&lt;'PlayerGrades+'!$AH$18,"E-",IF(R628&lt;'PlayerGrades+'!$AH$17,"E",IF(R628&lt;'PlayerGrades+'!$AH$16,"E+",IF(R628&lt;'PlayerGrades+'!$AH$15,"D-",IF(R628&lt;'PlayerGrades+'!$AH$14,"D",IF(R628&lt;'PlayerGrades+'!$AH$13,"D+",IF(R628&lt;'PlayerGrades+'!$AH$12,"C-",IF(R628&lt;'PlayerGrades+'!$AH$11,"C",IF(R628&lt;'PlayerGrades+'!$AH$10,"C+",IF(R628&lt;'PlayerGrades+'!$AH$9,"B-",IF(R628&lt;'PlayerGrades+'!$AH$8,"B",IF(R628&lt;'PlayerGrades+'!$AH$7,"B+",IF(R628&lt;'PlayerGrades+'!$AH$6,"A-",IF(R628&lt;'PlayerGrades+'!$AH$5,"A",IF(R628&lt;'PlayerGrades+'!$AH$4,"A+",IF(R628&lt;'PlayerGrades+'!$AH$3,"S-",IF(R628&lt;'PlayerGrades+'!$AH$2,"S","S+"))))))))))))))))))))</f>
        <v>#REF!</v>
      </c>
      <c r="T628" s="1423" t="str">
        <f t="shared" si="20"/>
        <v>#REF!</v>
      </c>
      <c r="U628" s="1423" t="str">
        <f>IF(T628&lt;'PlayerGrades+'!$AI$21,"F-",IF(T628&lt;'PlayerGrades+'!$AI$20,"F",IF(T628&lt;'PlayerGrades+'!$AI$19,"F+",IF(T628&lt;'PlayerGrades+'!$AI$18,"E-",IF(T628&lt;'PlayerGrades+'!$AI$17,"E",IF(T628&lt;'PlayerGrades+'!$AI$16,"E+",IF(T628&lt;'PlayerGrades+'!$AI$15,"D-",IF(T628&lt;'PlayerGrades+'!$AI$14,"D",IF(T628&lt;'PlayerGrades+'!$AI$13,"D+",IF(T628&lt;'PlayerGrades+'!$AI$12,"C-",IF(T628&lt;'PlayerGrades+'!$AI$11,"C",IF(T628&lt;'PlayerGrades+'!$AI$10,"C+",IF(T628&lt;'PlayerGrades+'!$AI$9,"B-",IF(T628&lt;'PlayerGrades+'!$AI$8,"B",IF(T628&lt;'PlayerGrades+'!$AI$7,"B+",IF(T628&lt;'PlayerGrades+'!$AI$6,"A-",IF(T628&lt;'PlayerGrades+'!$AI$5,"A",IF(T628&lt;'PlayerGrades+'!$AI$4,"A+",IF(T628&lt;'PlayerGrades+'!$AI$3,"S-",IF(T628&lt;'PlayerGrades+'!$AI$2,"S","S+"))))))))))))))))))))</f>
        <v>#REF!</v>
      </c>
      <c r="AC628" s="1392"/>
    </row>
    <row r="629">
      <c r="A629" s="1391"/>
      <c r="B629" s="1421" t="str">
        <f>IF(C629&lt;'PlayerGrades+'!$Y$44,"F-",IF(C629&lt;'PlayerGrades+'!$Y$43,"F",IF(C629&lt;'PlayerGrades+'!$Y$42,"F+",IF(C629&lt;'PlayerGrades+'!$Y$41,"E-",IF(C629&lt;'PlayerGrades+'!$Y$40,"E",IF(C629&lt;'PlayerGrades+'!$Y$39,"E+",IF(C629&lt;'PlayerGrades+'!$Y$38,"D-",IF(C629&lt;'PlayerGrades+'!$Y$37,"D",IF(C629&lt;'PlayerGrades+'!$Y$36,"D+",IF(C629&lt;'PlayerGrades+'!$Y$35,"C-",IF(C629&lt;'PlayerGrades+'!$Y$34,"C",IF(C629&lt;'PlayerGrades+'!$Y$33,"C+",IF(C629&lt;'PlayerGrades+'!$Y$32,"B-",IF(C629&lt;'PlayerGrades+'!$Y$31,"B",IF(C629&lt;'PlayerGrades+'!$Y$30,"B+",IF(C629&lt;'PlayerGrades+'!$Y$29,"A-",IF(C629&lt;'PlayerGrades+'!$Y$28,"A",IF(C629&lt;'PlayerGrades+'!$Y$27,"A+",IF(C629&lt;'PlayerGrades+'!$Y$26,"S-",IF(C629&lt;'PlayerGrades+'!$Y$25,"S","S+"))))))))))))))))))))</f>
        <v>#DIV/0!</v>
      </c>
      <c r="C629" s="1422" t="str">
        <f>('PlayerGrades+'!$Y$47*(VLOOKUP(E629, 'PlayerGrades+'!$X$3:$Y$23, 2, FALSE)))+('PlayerGrades+'!$Y$48*(VLOOKUP(G629, 'PlayerGrades+'!$X$3:$Y$23, 2, FALSE)))+('PlayerGrades+'!$Y$49*(VLOOKUP(I629, 'PlayerGrades+'!$X$3:$Y$23, 2, FALSE)))+('PlayerGrades+'!$Y$50*(VLOOKUP(K629, 'PlayerGrades+'!$X$3:$Y$23, 2, FALSE)))+('PlayerGrades+'!$Y$51*(VLOOKUP(M629, 'PlayerGrades+'!$X$3:$Y$23, 2, FALSE)))+('PlayerGrades+'!$Y$52*(VLOOKUP(O629, 'PlayerGrades+'!$X$3:$Y$23, 2, FALSE)))+('PlayerGrades+'!$Y$53*(VLOOKUP(Q629, 'PlayerGrades+'!$X$3:$Y$23, 2, FALSE)))+('PlayerGrades+'!$Y$54*(VLOOKUP(S629, 'PlayerGrades+'!$X$3:$Y$23, 2, FALSE)))+('PlayerGrades+'!$Y$55*(VLOOKUP(U629, 'PlayerGrades+'!$X$3:$Y$23, 2, FALSE)))</f>
        <v>#DIV/0!</v>
      </c>
      <c r="D629" s="1423" t="str">
        <f t="shared" si="12"/>
        <v>#DIV/0!</v>
      </c>
      <c r="E629" s="1423" t="str">
        <f>IF(D629&lt;'PlayerGrades+'!$AA$21,"F-",IF(D629&lt;'PlayerGrades+'!$AA$20,"F",IF(D629&lt;'PlayerGrades+'!$AA$19,"F+",IF(D629&lt;'PlayerGrades+'!$AA$18,"E-",IF(D629&lt;'PlayerGrades+'!$AA$17,"E",IF(D629&lt;'PlayerGrades+'!$AA$16,"E+",IF(D629&lt;'PlayerGrades+'!$AA$15,"D-",IF(D629&lt;'PlayerGrades+'!$AA$14,"D",IF(D629&lt;'PlayerGrades+'!$AA$13,"D+",IF(D629&lt;'PlayerGrades+'!$AA$12,"C-",IF(D629&lt;'PlayerGrades+'!$AA$11,"C",IF(D629&lt;'PlayerGrades+'!$AA$10,"C+",IF(D629&lt;'PlayerGrades+'!$AA$9,"B-",IF(D629&lt;'PlayerGrades+'!$AA$8,"B",IF(D629&lt;'PlayerGrades+'!$AA$7,"B+",IF(D629&lt;'PlayerGrades+'!$AA$6,"A-",IF(D629&lt;'PlayerGrades+'!$AA$5,"A",IF(D629&lt;'PlayerGrades+'!$AA$4,"A+",IF(D629&lt;'PlayerGrades+'!$AA$3,"S-",IF(D629&lt;'PlayerGrades+'!$AA$2,"S","S+"))))))))))))))))))))</f>
        <v>#DIV/0!</v>
      </c>
      <c r="F629" s="1423" t="str">
        <f t="shared" si="13"/>
        <v>#DIV/0!</v>
      </c>
      <c r="G629" s="1423" t="str">
        <f>IF(F629&lt;'PlayerGrades+'!$AB$21,"F-",IF(F629&lt;'PlayerGrades+'!$AB$20,"F",IF(F629&lt;'PlayerGrades+'!$AB$19,"F+",IF(F629&lt;'PlayerGrades+'!$AB$18,"E-",IF(F629&lt;'PlayerGrades+'!$AB$17,"E",IF(F629&lt;'PlayerGrades+'!$AB$16,"E+",IF(F629&lt;'PlayerGrades+'!$AB$15,"D-",IF(F629&lt;'PlayerGrades+'!$AB$14,"D",IF(F629&lt;'PlayerGrades+'!$AB$13,"D+",IF(F629&lt;'PlayerGrades+'!$AB$12,"C-",IF(F629&lt;'PlayerGrades+'!$AB$11,"C",IF(F629&lt;'PlayerGrades+'!$AB$10,"C+",IF(F629&lt;'PlayerGrades+'!$AB$9,"B-",IF(F629&lt;'PlayerGrades+'!$AB$8,"B",IF(F629&lt;'PlayerGrades+'!$AB$7,"B+",IF(F629&lt;'PlayerGrades+'!$AB$6,"A-",IF(F629&lt;'PlayerGrades+'!$AB$5,"A",IF(F629&lt;'PlayerGrades+'!$AB$4,"A+",IF(F629&lt;'PlayerGrades+'!$AB$3,"S-",IF(F629&lt;'PlayerGrades+'!$AB$2,"S","S+"))))))))))))))))))))</f>
        <v>#DIV/0!</v>
      </c>
      <c r="H629" s="1423" t="str">
        <f t="shared" si="14"/>
        <v>#DIV/0!</v>
      </c>
      <c r="I629" s="1423" t="str">
        <f>IF(H629&lt;'PlayerGrades+'!$AC$21,"F-",IF(H629&lt;'PlayerGrades+'!$AC$20,"F",IF(H629&lt;'PlayerGrades+'!$AC$19,"F+",IF(H629&lt;'PlayerGrades+'!$AC$18,"E-",IF(H629&lt;'PlayerGrades+'!$AC$17,"E",IF(H629&lt;'PlayerGrades+'!$AC$16,"E+",IF(H629&lt;'PlayerGrades+'!$AC$15,"D-",IF(H629&lt;'PlayerGrades+'!$AC$14,"D",IF(H629&lt;'PlayerGrades+'!$AC$13,"D+",IF(H629&lt;'PlayerGrades+'!$AC$12,"C-",IF(H629&lt;'PlayerGrades+'!$AC$11,"C",IF(H629&lt;'PlayerGrades+'!$AC$10,"C+",IF(H629&lt;'PlayerGrades+'!$AC$9,"B-",IF(H629&lt;'PlayerGrades+'!$AC$8,"B",IF(H629&lt;'PlayerGrades+'!$AC$7,"B+",IF(H629&lt;'PlayerGrades+'!$AC$6,"A-",IF(H629&lt;'PlayerGrades+'!$AC$5,"A",IF(H629&lt;'PlayerGrades+'!$AC$4,"A+",IF(H629&lt;'PlayerGrades+'!$AC$3,"S-",IF(H629&lt;'PlayerGrades+'!$AC$2,"S","S+"))))))))))))))))))))</f>
        <v>#DIV/0!</v>
      </c>
      <c r="J629" s="1423" t="str">
        <f t="shared" si="15"/>
        <v>#DIV/0!</v>
      </c>
      <c r="K629" s="1423" t="str">
        <f>IF(J629&lt;'PlayerGrades+'!$AD$21,"F-",IF(J629&lt;'PlayerGrades+'!$AD$20,"F",IF(J629&lt;'PlayerGrades+'!$AD$19,"F+",IF(J629&lt;'PlayerGrades+'!$AD$18,"E-",IF(J629&lt;'PlayerGrades+'!$AD$17,"E",IF(J629&lt;'PlayerGrades+'!$AD$16,"E+",IF(J629&lt;'PlayerGrades+'!$AD$15,"D-",IF(J629&lt;'PlayerGrades+'!$AD$14,"D",IF(J629&lt;'PlayerGrades+'!$AD$13,"D+",IF(J629&lt;'PlayerGrades+'!$AD$12,"C-",IF(J629&lt;'PlayerGrades+'!$AD$11,"C",IF(J629&lt;'PlayerGrades+'!$AD$10,"C+",IF(J629&lt;'PlayerGrades+'!$AD$9,"B-",IF(J629&lt;'PlayerGrades+'!$AD$8,"B",IF(J629&lt;'PlayerGrades+'!$AD$7,"B+",IF(J629&lt;'PlayerGrades+'!$AD$6,"A-",IF(J629&lt;'PlayerGrades+'!$AD$5,"A",IF(J629&lt;'PlayerGrades+'!$AD$4,"A+",IF(J629&lt;'PlayerGrades+'!$AD$3,"S-",IF(J629&lt;'PlayerGrades+'!$AD$2,"S","S+"))))))))))))))))))))</f>
        <v>#DIV/0!</v>
      </c>
      <c r="L629" s="1176" t="str">
        <f t="shared" si="16"/>
        <v>#DIV/0!</v>
      </c>
      <c r="M629" s="992" t="str">
        <f>IF(L629&lt;'PlayerGrades+'!$AE$21,"F-",IF(L629&lt;'PlayerGrades+'!$AE$20,"F",IF(L629&lt;'PlayerGrades+'!$AE$19,"F+",IF(L629&lt;'PlayerGrades+'!$AE$18,"E-",IF(L629&lt;'PlayerGrades+'!$AE$17,"E",IF(L629&lt;'PlayerGrades+'!$AE$16,"E+",IF(L629&lt;'PlayerGrades+'!$AE$15,"D-",IF(L629&lt;'PlayerGrades+'!$AE$14,"D",IF(L629&lt;'PlayerGrades+'!$AE$13,"D+",IF(L629&lt;'PlayerGrades+'!$AE$12,"C-",IF(L629&lt;'PlayerGrades+'!$AE$11,"C",IF(L629&lt;'PlayerGrades+'!$AE$10,"C+",IF(L629&lt;'PlayerGrades+'!$AE$9,"B-",IF(L629&lt;'PlayerGrades+'!$AE$8,"B",IF(L629&lt;'PlayerGrades+'!$AE$7,"B+",IF(L629&lt;'PlayerGrades+'!$AE$6,"A-",IF(L629&lt;'PlayerGrades+'!$AE$5,"A",IF(L629&lt;'PlayerGrades+'!$AE$4,"A+",IF(L629&lt;'PlayerGrades+'!$AE$3,"S-",IF(L629&lt;'PlayerGrades+'!$AE$2,"S","S+"))))))))))))))))))))</f>
        <v>#DIV/0!</v>
      </c>
      <c r="N629" s="1423" t="str">
        <f t="shared" si="17"/>
        <v>#DIV/0!</v>
      </c>
      <c r="O629" s="1423" t="str">
        <f>IF(N629&lt;'PlayerGrades+'!$AF$21,"F-",IF(N629&lt;'PlayerGrades+'!$AF$20,"F",IF(N629&lt;'PlayerGrades+'!$AF$19,"F+",IF(N629&lt;'PlayerGrades+'!$AF$18,"E-",IF(N629&lt;'PlayerGrades+'!$AF$17,"E",IF(N629&lt;'PlayerGrades+'!$AF$16,"E+",IF(N629&lt;'PlayerGrades+'!$AF$15,"D-",IF(N629&lt;'PlayerGrades+'!$AF$14,"D",IF(N629&lt;'PlayerGrades+'!$AF$13,"D+",IF(N629&lt;'PlayerGrades+'!$AF$12,"C-",IF(N629&lt;'PlayerGrades+'!$AF$11,"C",IF(N629&lt;'PlayerGrades+'!$AF$10,"C+",IF(N629&lt;'PlayerGrades+'!$AF$9,"B-",IF(N629&lt;'PlayerGrades+'!$AF$8,"B",IF(N629&lt;'PlayerGrades+'!$AF$7,"B+",IF(N629&lt;'PlayerGrades+'!$AF$6,"A-",IF(N629&lt;'PlayerGrades+'!$AF$5,"A",IF(N629&lt;'PlayerGrades+'!$AF$4,"A+",IF(N629&lt;'PlayerGrades+'!$AF$3,"S-",IF(N629&lt;'PlayerGrades+'!$AF$2,"S","S+"))))))))))))))))))))</f>
        <v>#DIV/0!</v>
      </c>
      <c r="P629" s="1423" t="str">
        <f t="shared" si="18"/>
        <v>#DIV/0!</v>
      </c>
      <c r="Q629" s="1423" t="str">
        <f>IF(P629&lt;'PlayerGrades+'!$AG$21,"F-",IF(P629&lt;'PlayerGrades+'!$AG$20,"F",IF(P629&lt;'PlayerGrades+'!$AG$19,"F+",IF(P629&lt;'PlayerGrades+'!$AG$18,"E-",IF(P629&lt;'PlayerGrades+'!$AG$17,"E",IF(P629&lt;'PlayerGrades+'!$AG$16,"E+",IF(P629&lt;'PlayerGrades+'!$AG$15,"D-",IF(P629&lt;'PlayerGrades+'!$AG$14,"D",IF(P629&lt;'PlayerGrades+'!$AG$13,"D+",IF(P629&lt;'PlayerGrades+'!$AG$12,"C-",IF(P629&lt;'PlayerGrades+'!$AG$11,"C",IF(P629&lt;'PlayerGrades+'!$AG$10,"C+",IF(P629&lt;'PlayerGrades+'!$AG$9,"B-",IF(P629&lt;'PlayerGrades+'!$AG$8,"B",IF(P629&lt;'PlayerGrades+'!$AG$7,"B+",IF(P629&lt;'PlayerGrades+'!$AG$6,"A-",IF(P629&lt;'PlayerGrades+'!$AG$5,"A",IF(P629&lt;'PlayerGrades+'!$AG$4,"A+",IF(P629&lt;'PlayerGrades+'!$AG$3,"S-",IF(P629&lt;'PlayerGrades+'!$AG$2,"S","S+"))))))))))))))))))))</f>
        <v>#DIV/0!</v>
      </c>
      <c r="R629" s="1423" t="str">
        <f t="shared" si="19"/>
        <v>#REF!</v>
      </c>
      <c r="S629" s="1423" t="str">
        <f>IF(R629&lt;'PlayerGrades+'!$AH$21,"F-",IF(R629&lt;'PlayerGrades+'!$AH$20,"F",IF(R629&lt;'PlayerGrades+'!$AH$19,"F+",IF(R629&lt;'PlayerGrades+'!$AH$18,"E-",IF(R629&lt;'PlayerGrades+'!$AH$17,"E",IF(R629&lt;'PlayerGrades+'!$AH$16,"E+",IF(R629&lt;'PlayerGrades+'!$AH$15,"D-",IF(R629&lt;'PlayerGrades+'!$AH$14,"D",IF(R629&lt;'PlayerGrades+'!$AH$13,"D+",IF(R629&lt;'PlayerGrades+'!$AH$12,"C-",IF(R629&lt;'PlayerGrades+'!$AH$11,"C",IF(R629&lt;'PlayerGrades+'!$AH$10,"C+",IF(R629&lt;'PlayerGrades+'!$AH$9,"B-",IF(R629&lt;'PlayerGrades+'!$AH$8,"B",IF(R629&lt;'PlayerGrades+'!$AH$7,"B+",IF(R629&lt;'PlayerGrades+'!$AH$6,"A-",IF(R629&lt;'PlayerGrades+'!$AH$5,"A",IF(R629&lt;'PlayerGrades+'!$AH$4,"A+",IF(R629&lt;'PlayerGrades+'!$AH$3,"S-",IF(R629&lt;'PlayerGrades+'!$AH$2,"S","S+"))))))))))))))))))))</f>
        <v>#REF!</v>
      </c>
      <c r="T629" s="1423" t="str">
        <f t="shared" si="20"/>
        <v>#REF!</v>
      </c>
      <c r="U629" s="1423" t="str">
        <f>IF(T629&lt;'PlayerGrades+'!$AI$21,"F-",IF(T629&lt;'PlayerGrades+'!$AI$20,"F",IF(T629&lt;'PlayerGrades+'!$AI$19,"F+",IF(T629&lt;'PlayerGrades+'!$AI$18,"E-",IF(T629&lt;'PlayerGrades+'!$AI$17,"E",IF(T629&lt;'PlayerGrades+'!$AI$16,"E+",IF(T629&lt;'PlayerGrades+'!$AI$15,"D-",IF(T629&lt;'PlayerGrades+'!$AI$14,"D",IF(T629&lt;'PlayerGrades+'!$AI$13,"D+",IF(T629&lt;'PlayerGrades+'!$AI$12,"C-",IF(T629&lt;'PlayerGrades+'!$AI$11,"C",IF(T629&lt;'PlayerGrades+'!$AI$10,"C+",IF(T629&lt;'PlayerGrades+'!$AI$9,"B-",IF(T629&lt;'PlayerGrades+'!$AI$8,"B",IF(T629&lt;'PlayerGrades+'!$AI$7,"B+",IF(T629&lt;'PlayerGrades+'!$AI$6,"A-",IF(T629&lt;'PlayerGrades+'!$AI$5,"A",IF(T629&lt;'PlayerGrades+'!$AI$4,"A+",IF(T629&lt;'PlayerGrades+'!$AI$3,"S-",IF(T629&lt;'PlayerGrades+'!$AI$2,"S","S+"))))))))))))))))))))</f>
        <v>#REF!</v>
      </c>
      <c r="AC629" s="1392"/>
    </row>
    <row r="630">
      <c r="A630" s="1391"/>
      <c r="B630" s="1421" t="str">
        <f>IF(C630&lt;'PlayerGrades+'!$Y$44,"F-",IF(C630&lt;'PlayerGrades+'!$Y$43,"F",IF(C630&lt;'PlayerGrades+'!$Y$42,"F+",IF(C630&lt;'PlayerGrades+'!$Y$41,"E-",IF(C630&lt;'PlayerGrades+'!$Y$40,"E",IF(C630&lt;'PlayerGrades+'!$Y$39,"E+",IF(C630&lt;'PlayerGrades+'!$Y$38,"D-",IF(C630&lt;'PlayerGrades+'!$Y$37,"D",IF(C630&lt;'PlayerGrades+'!$Y$36,"D+",IF(C630&lt;'PlayerGrades+'!$Y$35,"C-",IF(C630&lt;'PlayerGrades+'!$Y$34,"C",IF(C630&lt;'PlayerGrades+'!$Y$33,"C+",IF(C630&lt;'PlayerGrades+'!$Y$32,"B-",IF(C630&lt;'PlayerGrades+'!$Y$31,"B",IF(C630&lt;'PlayerGrades+'!$Y$30,"B+",IF(C630&lt;'PlayerGrades+'!$Y$29,"A-",IF(C630&lt;'PlayerGrades+'!$Y$28,"A",IF(C630&lt;'PlayerGrades+'!$Y$27,"A+",IF(C630&lt;'PlayerGrades+'!$Y$26,"S-",IF(C630&lt;'PlayerGrades+'!$Y$25,"S","S+"))))))))))))))))))))</f>
        <v>#DIV/0!</v>
      </c>
      <c r="C630" s="1422" t="str">
        <f>('PlayerGrades+'!$Y$47*(VLOOKUP(E630, 'PlayerGrades+'!$X$3:$Y$23, 2, FALSE)))+('PlayerGrades+'!$Y$48*(VLOOKUP(G630, 'PlayerGrades+'!$X$3:$Y$23, 2, FALSE)))+('PlayerGrades+'!$Y$49*(VLOOKUP(I630, 'PlayerGrades+'!$X$3:$Y$23, 2, FALSE)))+('PlayerGrades+'!$Y$50*(VLOOKUP(K630, 'PlayerGrades+'!$X$3:$Y$23, 2, FALSE)))+('PlayerGrades+'!$Y$51*(VLOOKUP(M630, 'PlayerGrades+'!$X$3:$Y$23, 2, FALSE)))+('PlayerGrades+'!$Y$52*(VLOOKUP(O630, 'PlayerGrades+'!$X$3:$Y$23, 2, FALSE)))+('PlayerGrades+'!$Y$53*(VLOOKUP(Q630, 'PlayerGrades+'!$X$3:$Y$23, 2, FALSE)))+('PlayerGrades+'!$Y$54*(VLOOKUP(S630, 'PlayerGrades+'!$X$3:$Y$23, 2, FALSE)))+('PlayerGrades+'!$Y$55*(VLOOKUP(U630, 'PlayerGrades+'!$X$3:$Y$23, 2, FALSE)))</f>
        <v>#DIV/0!</v>
      </c>
      <c r="D630" s="1423" t="str">
        <f t="shared" si="12"/>
        <v>#DIV/0!</v>
      </c>
      <c r="E630" s="1423" t="str">
        <f>IF(D630&lt;'PlayerGrades+'!$AA$21,"F-",IF(D630&lt;'PlayerGrades+'!$AA$20,"F",IF(D630&lt;'PlayerGrades+'!$AA$19,"F+",IF(D630&lt;'PlayerGrades+'!$AA$18,"E-",IF(D630&lt;'PlayerGrades+'!$AA$17,"E",IF(D630&lt;'PlayerGrades+'!$AA$16,"E+",IF(D630&lt;'PlayerGrades+'!$AA$15,"D-",IF(D630&lt;'PlayerGrades+'!$AA$14,"D",IF(D630&lt;'PlayerGrades+'!$AA$13,"D+",IF(D630&lt;'PlayerGrades+'!$AA$12,"C-",IF(D630&lt;'PlayerGrades+'!$AA$11,"C",IF(D630&lt;'PlayerGrades+'!$AA$10,"C+",IF(D630&lt;'PlayerGrades+'!$AA$9,"B-",IF(D630&lt;'PlayerGrades+'!$AA$8,"B",IF(D630&lt;'PlayerGrades+'!$AA$7,"B+",IF(D630&lt;'PlayerGrades+'!$AA$6,"A-",IF(D630&lt;'PlayerGrades+'!$AA$5,"A",IF(D630&lt;'PlayerGrades+'!$AA$4,"A+",IF(D630&lt;'PlayerGrades+'!$AA$3,"S-",IF(D630&lt;'PlayerGrades+'!$AA$2,"S","S+"))))))))))))))))))))</f>
        <v>#DIV/0!</v>
      </c>
      <c r="F630" s="1423" t="str">
        <f t="shared" si="13"/>
        <v>#DIV/0!</v>
      </c>
      <c r="G630" s="1423" t="str">
        <f>IF(F630&lt;'PlayerGrades+'!$AB$21,"F-",IF(F630&lt;'PlayerGrades+'!$AB$20,"F",IF(F630&lt;'PlayerGrades+'!$AB$19,"F+",IF(F630&lt;'PlayerGrades+'!$AB$18,"E-",IF(F630&lt;'PlayerGrades+'!$AB$17,"E",IF(F630&lt;'PlayerGrades+'!$AB$16,"E+",IF(F630&lt;'PlayerGrades+'!$AB$15,"D-",IF(F630&lt;'PlayerGrades+'!$AB$14,"D",IF(F630&lt;'PlayerGrades+'!$AB$13,"D+",IF(F630&lt;'PlayerGrades+'!$AB$12,"C-",IF(F630&lt;'PlayerGrades+'!$AB$11,"C",IF(F630&lt;'PlayerGrades+'!$AB$10,"C+",IF(F630&lt;'PlayerGrades+'!$AB$9,"B-",IF(F630&lt;'PlayerGrades+'!$AB$8,"B",IF(F630&lt;'PlayerGrades+'!$AB$7,"B+",IF(F630&lt;'PlayerGrades+'!$AB$6,"A-",IF(F630&lt;'PlayerGrades+'!$AB$5,"A",IF(F630&lt;'PlayerGrades+'!$AB$4,"A+",IF(F630&lt;'PlayerGrades+'!$AB$3,"S-",IF(F630&lt;'PlayerGrades+'!$AB$2,"S","S+"))))))))))))))))))))</f>
        <v>#DIV/0!</v>
      </c>
      <c r="H630" s="1423" t="str">
        <f t="shared" si="14"/>
        <v>#DIV/0!</v>
      </c>
      <c r="I630" s="1423" t="str">
        <f>IF(H630&lt;'PlayerGrades+'!$AC$21,"F-",IF(H630&lt;'PlayerGrades+'!$AC$20,"F",IF(H630&lt;'PlayerGrades+'!$AC$19,"F+",IF(H630&lt;'PlayerGrades+'!$AC$18,"E-",IF(H630&lt;'PlayerGrades+'!$AC$17,"E",IF(H630&lt;'PlayerGrades+'!$AC$16,"E+",IF(H630&lt;'PlayerGrades+'!$AC$15,"D-",IF(H630&lt;'PlayerGrades+'!$AC$14,"D",IF(H630&lt;'PlayerGrades+'!$AC$13,"D+",IF(H630&lt;'PlayerGrades+'!$AC$12,"C-",IF(H630&lt;'PlayerGrades+'!$AC$11,"C",IF(H630&lt;'PlayerGrades+'!$AC$10,"C+",IF(H630&lt;'PlayerGrades+'!$AC$9,"B-",IF(H630&lt;'PlayerGrades+'!$AC$8,"B",IF(H630&lt;'PlayerGrades+'!$AC$7,"B+",IF(H630&lt;'PlayerGrades+'!$AC$6,"A-",IF(H630&lt;'PlayerGrades+'!$AC$5,"A",IF(H630&lt;'PlayerGrades+'!$AC$4,"A+",IF(H630&lt;'PlayerGrades+'!$AC$3,"S-",IF(H630&lt;'PlayerGrades+'!$AC$2,"S","S+"))))))))))))))))))))</f>
        <v>#DIV/0!</v>
      </c>
      <c r="J630" s="1423" t="str">
        <f t="shared" si="15"/>
        <v>#DIV/0!</v>
      </c>
      <c r="K630" s="1423" t="str">
        <f>IF(J630&lt;'PlayerGrades+'!$AD$21,"F-",IF(J630&lt;'PlayerGrades+'!$AD$20,"F",IF(J630&lt;'PlayerGrades+'!$AD$19,"F+",IF(J630&lt;'PlayerGrades+'!$AD$18,"E-",IF(J630&lt;'PlayerGrades+'!$AD$17,"E",IF(J630&lt;'PlayerGrades+'!$AD$16,"E+",IF(J630&lt;'PlayerGrades+'!$AD$15,"D-",IF(J630&lt;'PlayerGrades+'!$AD$14,"D",IF(J630&lt;'PlayerGrades+'!$AD$13,"D+",IF(J630&lt;'PlayerGrades+'!$AD$12,"C-",IF(J630&lt;'PlayerGrades+'!$AD$11,"C",IF(J630&lt;'PlayerGrades+'!$AD$10,"C+",IF(J630&lt;'PlayerGrades+'!$AD$9,"B-",IF(J630&lt;'PlayerGrades+'!$AD$8,"B",IF(J630&lt;'PlayerGrades+'!$AD$7,"B+",IF(J630&lt;'PlayerGrades+'!$AD$6,"A-",IF(J630&lt;'PlayerGrades+'!$AD$5,"A",IF(J630&lt;'PlayerGrades+'!$AD$4,"A+",IF(J630&lt;'PlayerGrades+'!$AD$3,"S-",IF(J630&lt;'PlayerGrades+'!$AD$2,"S","S+"))))))))))))))))))))</f>
        <v>#DIV/0!</v>
      </c>
      <c r="L630" s="1176" t="str">
        <f t="shared" si="16"/>
        <v>#DIV/0!</v>
      </c>
      <c r="M630" s="992" t="str">
        <f>IF(L630&lt;'PlayerGrades+'!$AE$21,"F-",IF(L630&lt;'PlayerGrades+'!$AE$20,"F",IF(L630&lt;'PlayerGrades+'!$AE$19,"F+",IF(L630&lt;'PlayerGrades+'!$AE$18,"E-",IF(L630&lt;'PlayerGrades+'!$AE$17,"E",IF(L630&lt;'PlayerGrades+'!$AE$16,"E+",IF(L630&lt;'PlayerGrades+'!$AE$15,"D-",IF(L630&lt;'PlayerGrades+'!$AE$14,"D",IF(L630&lt;'PlayerGrades+'!$AE$13,"D+",IF(L630&lt;'PlayerGrades+'!$AE$12,"C-",IF(L630&lt;'PlayerGrades+'!$AE$11,"C",IF(L630&lt;'PlayerGrades+'!$AE$10,"C+",IF(L630&lt;'PlayerGrades+'!$AE$9,"B-",IF(L630&lt;'PlayerGrades+'!$AE$8,"B",IF(L630&lt;'PlayerGrades+'!$AE$7,"B+",IF(L630&lt;'PlayerGrades+'!$AE$6,"A-",IF(L630&lt;'PlayerGrades+'!$AE$5,"A",IF(L630&lt;'PlayerGrades+'!$AE$4,"A+",IF(L630&lt;'PlayerGrades+'!$AE$3,"S-",IF(L630&lt;'PlayerGrades+'!$AE$2,"S","S+"))))))))))))))))))))</f>
        <v>#DIV/0!</v>
      </c>
      <c r="N630" s="1423" t="str">
        <f t="shared" si="17"/>
        <v>#DIV/0!</v>
      </c>
      <c r="O630" s="1423" t="str">
        <f>IF(N630&lt;'PlayerGrades+'!$AF$21,"F-",IF(N630&lt;'PlayerGrades+'!$AF$20,"F",IF(N630&lt;'PlayerGrades+'!$AF$19,"F+",IF(N630&lt;'PlayerGrades+'!$AF$18,"E-",IF(N630&lt;'PlayerGrades+'!$AF$17,"E",IF(N630&lt;'PlayerGrades+'!$AF$16,"E+",IF(N630&lt;'PlayerGrades+'!$AF$15,"D-",IF(N630&lt;'PlayerGrades+'!$AF$14,"D",IF(N630&lt;'PlayerGrades+'!$AF$13,"D+",IF(N630&lt;'PlayerGrades+'!$AF$12,"C-",IF(N630&lt;'PlayerGrades+'!$AF$11,"C",IF(N630&lt;'PlayerGrades+'!$AF$10,"C+",IF(N630&lt;'PlayerGrades+'!$AF$9,"B-",IF(N630&lt;'PlayerGrades+'!$AF$8,"B",IF(N630&lt;'PlayerGrades+'!$AF$7,"B+",IF(N630&lt;'PlayerGrades+'!$AF$6,"A-",IF(N630&lt;'PlayerGrades+'!$AF$5,"A",IF(N630&lt;'PlayerGrades+'!$AF$4,"A+",IF(N630&lt;'PlayerGrades+'!$AF$3,"S-",IF(N630&lt;'PlayerGrades+'!$AF$2,"S","S+"))))))))))))))))))))</f>
        <v>#DIV/0!</v>
      </c>
      <c r="P630" s="1423" t="str">
        <f t="shared" si="18"/>
        <v>#DIV/0!</v>
      </c>
      <c r="Q630" s="1423" t="str">
        <f>IF(P630&lt;'PlayerGrades+'!$AG$21,"F-",IF(P630&lt;'PlayerGrades+'!$AG$20,"F",IF(P630&lt;'PlayerGrades+'!$AG$19,"F+",IF(P630&lt;'PlayerGrades+'!$AG$18,"E-",IF(P630&lt;'PlayerGrades+'!$AG$17,"E",IF(P630&lt;'PlayerGrades+'!$AG$16,"E+",IF(P630&lt;'PlayerGrades+'!$AG$15,"D-",IF(P630&lt;'PlayerGrades+'!$AG$14,"D",IF(P630&lt;'PlayerGrades+'!$AG$13,"D+",IF(P630&lt;'PlayerGrades+'!$AG$12,"C-",IF(P630&lt;'PlayerGrades+'!$AG$11,"C",IF(P630&lt;'PlayerGrades+'!$AG$10,"C+",IF(P630&lt;'PlayerGrades+'!$AG$9,"B-",IF(P630&lt;'PlayerGrades+'!$AG$8,"B",IF(P630&lt;'PlayerGrades+'!$AG$7,"B+",IF(P630&lt;'PlayerGrades+'!$AG$6,"A-",IF(P630&lt;'PlayerGrades+'!$AG$5,"A",IF(P630&lt;'PlayerGrades+'!$AG$4,"A+",IF(P630&lt;'PlayerGrades+'!$AG$3,"S-",IF(P630&lt;'PlayerGrades+'!$AG$2,"S","S+"))))))))))))))))))))</f>
        <v>#DIV/0!</v>
      </c>
      <c r="R630" s="1423" t="str">
        <f t="shared" si="19"/>
        <v>#REF!</v>
      </c>
      <c r="S630" s="1423" t="str">
        <f>IF(R630&lt;'PlayerGrades+'!$AH$21,"F-",IF(R630&lt;'PlayerGrades+'!$AH$20,"F",IF(R630&lt;'PlayerGrades+'!$AH$19,"F+",IF(R630&lt;'PlayerGrades+'!$AH$18,"E-",IF(R630&lt;'PlayerGrades+'!$AH$17,"E",IF(R630&lt;'PlayerGrades+'!$AH$16,"E+",IF(R630&lt;'PlayerGrades+'!$AH$15,"D-",IF(R630&lt;'PlayerGrades+'!$AH$14,"D",IF(R630&lt;'PlayerGrades+'!$AH$13,"D+",IF(R630&lt;'PlayerGrades+'!$AH$12,"C-",IF(R630&lt;'PlayerGrades+'!$AH$11,"C",IF(R630&lt;'PlayerGrades+'!$AH$10,"C+",IF(R630&lt;'PlayerGrades+'!$AH$9,"B-",IF(R630&lt;'PlayerGrades+'!$AH$8,"B",IF(R630&lt;'PlayerGrades+'!$AH$7,"B+",IF(R630&lt;'PlayerGrades+'!$AH$6,"A-",IF(R630&lt;'PlayerGrades+'!$AH$5,"A",IF(R630&lt;'PlayerGrades+'!$AH$4,"A+",IF(R630&lt;'PlayerGrades+'!$AH$3,"S-",IF(R630&lt;'PlayerGrades+'!$AH$2,"S","S+"))))))))))))))))))))</f>
        <v>#REF!</v>
      </c>
      <c r="T630" s="1423" t="str">
        <f t="shared" si="20"/>
        <v>#REF!</v>
      </c>
      <c r="U630" s="1423" t="str">
        <f>IF(T630&lt;'PlayerGrades+'!$AI$21,"F-",IF(T630&lt;'PlayerGrades+'!$AI$20,"F",IF(T630&lt;'PlayerGrades+'!$AI$19,"F+",IF(T630&lt;'PlayerGrades+'!$AI$18,"E-",IF(T630&lt;'PlayerGrades+'!$AI$17,"E",IF(T630&lt;'PlayerGrades+'!$AI$16,"E+",IF(T630&lt;'PlayerGrades+'!$AI$15,"D-",IF(T630&lt;'PlayerGrades+'!$AI$14,"D",IF(T630&lt;'PlayerGrades+'!$AI$13,"D+",IF(T630&lt;'PlayerGrades+'!$AI$12,"C-",IF(T630&lt;'PlayerGrades+'!$AI$11,"C",IF(T630&lt;'PlayerGrades+'!$AI$10,"C+",IF(T630&lt;'PlayerGrades+'!$AI$9,"B-",IF(T630&lt;'PlayerGrades+'!$AI$8,"B",IF(T630&lt;'PlayerGrades+'!$AI$7,"B+",IF(T630&lt;'PlayerGrades+'!$AI$6,"A-",IF(T630&lt;'PlayerGrades+'!$AI$5,"A",IF(T630&lt;'PlayerGrades+'!$AI$4,"A+",IF(T630&lt;'PlayerGrades+'!$AI$3,"S-",IF(T630&lt;'PlayerGrades+'!$AI$2,"S","S+"))))))))))))))))))))</f>
        <v>#REF!</v>
      </c>
      <c r="AC630" s="1392"/>
    </row>
    <row r="631">
      <c r="A631" s="1391"/>
      <c r="B631" s="1421" t="str">
        <f>IF(C631&lt;'PlayerGrades+'!$Y$44,"F-",IF(C631&lt;'PlayerGrades+'!$Y$43,"F",IF(C631&lt;'PlayerGrades+'!$Y$42,"F+",IF(C631&lt;'PlayerGrades+'!$Y$41,"E-",IF(C631&lt;'PlayerGrades+'!$Y$40,"E",IF(C631&lt;'PlayerGrades+'!$Y$39,"E+",IF(C631&lt;'PlayerGrades+'!$Y$38,"D-",IF(C631&lt;'PlayerGrades+'!$Y$37,"D",IF(C631&lt;'PlayerGrades+'!$Y$36,"D+",IF(C631&lt;'PlayerGrades+'!$Y$35,"C-",IF(C631&lt;'PlayerGrades+'!$Y$34,"C",IF(C631&lt;'PlayerGrades+'!$Y$33,"C+",IF(C631&lt;'PlayerGrades+'!$Y$32,"B-",IF(C631&lt;'PlayerGrades+'!$Y$31,"B",IF(C631&lt;'PlayerGrades+'!$Y$30,"B+",IF(C631&lt;'PlayerGrades+'!$Y$29,"A-",IF(C631&lt;'PlayerGrades+'!$Y$28,"A",IF(C631&lt;'PlayerGrades+'!$Y$27,"A+",IF(C631&lt;'PlayerGrades+'!$Y$26,"S-",IF(C631&lt;'PlayerGrades+'!$Y$25,"S","S+"))))))))))))))))))))</f>
        <v>#DIV/0!</v>
      </c>
      <c r="C631" s="1422" t="str">
        <f>('PlayerGrades+'!$Y$47*(VLOOKUP(E631, 'PlayerGrades+'!$X$3:$Y$23, 2, FALSE)))+('PlayerGrades+'!$Y$48*(VLOOKUP(G631, 'PlayerGrades+'!$X$3:$Y$23, 2, FALSE)))+('PlayerGrades+'!$Y$49*(VLOOKUP(I631, 'PlayerGrades+'!$X$3:$Y$23, 2, FALSE)))+('PlayerGrades+'!$Y$50*(VLOOKUP(K631, 'PlayerGrades+'!$X$3:$Y$23, 2, FALSE)))+('PlayerGrades+'!$Y$51*(VLOOKUP(M631, 'PlayerGrades+'!$X$3:$Y$23, 2, FALSE)))+('PlayerGrades+'!$Y$52*(VLOOKUP(O631, 'PlayerGrades+'!$X$3:$Y$23, 2, FALSE)))+('PlayerGrades+'!$Y$53*(VLOOKUP(Q631, 'PlayerGrades+'!$X$3:$Y$23, 2, FALSE)))+('PlayerGrades+'!$Y$54*(VLOOKUP(S631, 'PlayerGrades+'!$X$3:$Y$23, 2, FALSE)))+('PlayerGrades+'!$Y$55*(VLOOKUP(U631, 'PlayerGrades+'!$X$3:$Y$23, 2, FALSE)))</f>
        <v>#DIV/0!</v>
      </c>
      <c r="D631" s="1423" t="str">
        <f t="shared" si="12"/>
        <v>#DIV/0!</v>
      </c>
      <c r="E631" s="1423" t="str">
        <f>IF(D631&lt;'PlayerGrades+'!$AA$21,"F-",IF(D631&lt;'PlayerGrades+'!$AA$20,"F",IF(D631&lt;'PlayerGrades+'!$AA$19,"F+",IF(D631&lt;'PlayerGrades+'!$AA$18,"E-",IF(D631&lt;'PlayerGrades+'!$AA$17,"E",IF(D631&lt;'PlayerGrades+'!$AA$16,"E+",IF(D631&lt;'PlayerGrades+'!$AA$15,"D-",IF(D631&lt;'PlayerGrades+'!$AA$14,"D",IF(D631&lt;'PlayerGrades+'!$AA$13,"D+",IF(D631&lt;'PlayerGrades+'!$AA$12,"C-",IF(D631&lt;'PlayerGrades+'!$AA$11,"C",IF(D631&lt;'PlayerGrades+'!$AA$10,"C+",IF(D631&lt;'PlayerGrades+'!$AA$9,"B-",IF(D631&lt;'PlayerGrades+'!$AA$8,"B",IF(D631&lt;'PlayerGrades+'!$AA$7,"B+",IF(D631&lt;'PlayerGrades+'!$AA$6,"A-",IF(D631&lt;'PlayerGrades+'!$AA$5,"A",IF(D631&lt;'PlayerGrades+'!$AA$4,"A+",IF(D631&lt;'PlayerGrades+'!$AA$3,"S-",IF(D631&lt;'PlayerGrades+'!$AA$2,"S","S+"))))))))))))))))))))</f>
        <v>#DIV/0!</v>
      </c>
      <c r="F631" s="1423" t="str">
        <f t="shared" si="13"/>
        <v>#DIV/0!</v>
      </c>
      <c r="G631" s="1423" t="str">
        <f>IF(F631&lt;'PlayerGrades+'!$AB$21,"F-",IF(F631&lt;'PlayerGrades+'!$AB$20,"F",IF(F631&lt;'PlayerGrades+'!$AB$19,"F+",IF(F631&lt;'PlayerGrades+'!$AB$18,"E-",IF(F631&lt;'PlayerGrades+'!$AB$17,"E",IF(F631&lt;'PlayerGrades+'!$AB$16,"E+",IF(F631&lt;'PlayerGrades+'!$AB$15,"D-",IF(F631&lt;'PlayerGrades+'!$AB$14,"D",IF(F631&lt;'PlayerGrades+'!$AB$13,"D+",IF(F631&lt;'PlayerGrades+'!$AB$12,"C-",IF(F631&lt;'PlayerGrades+'!$AB$11,"C",IF(F631&lt;'PlayerGrades+'!$AB$10,"C+",IF(F631&lt;'PlayerGrades+'!$AB$9,"B-",IF(F631&lt;'PlayerGrades+'!$AB$8,"B",IF(F631&lt;'PlayerGrades+'!$AB$7,"B+",IF(F631&lt;'PlayerGrades+'!$AB$6,"A-",IF(F631&lt;'PlayerGrades+'!$AB$5,"A",IF(F631&lt;'PlayerGrades+'!$AB$4,"A+",IF(F631&lt;'PlayerGrades+'!$AB$3,"S-",IF(F631&lt;'PlayerGrades+'!$AB$2,"S","S+"))))))))))))))))))))</f>
        <v>#DIV/0!</v>
      </c>
      <c r="H631" s="1423" t="str">
        <f t="shared" si="14"/>
        <v>#DIV/0!</v>
      </c>
      <c r="I631" s="1423" t="str">
        <f>IF(H631&lt;'PlayerGrades+'!$AC$21,"F-",IF(H631&lt;'PlayerGrades+'!$AC$20,"F",IF(H631&lt;'PlayerGrades+'!$AC$19,"F+",IF(H631&lt;'PlayerGrades+'!$AC$18,"E-",IF(H631&lt;'PlayerGrades+'!$AC$17,"E",IF(H631&lt;'PlayerGrades+'!$AC$16,"E+",IF(H631&lt;'PlayerGrades+'!$AC$15,"D-",IF(H631&lt;'PlayerGrades+'!$AC$14,"D",IF(H631&lt;'PlayerGrades+'!$AC$13,"D+",IF(H631&lt;'PlayerGrades+'!$AC$12,"C-",IF(H631&lt;'PlayerGrades+'!$AC$11,"C",IF(H631&lt;'PlayerGrades+'!$AC$10,"C+",IF(H631&lt;'PlayerGrades+'!$AC$9,"B-",IF(H631&lt;'PlayerGrades+'!$AC$8,"B",IF(H631&lt;'PlayerGrades+'!$AC$7,"B+",IF(H631&lt;'PlayerGrades+'!$AC$6,"A-",IF(H631&lt;'PlayerGrades+'!$AC$5,"A",IF(H631&lt;'PlayerGrades+'!$AC$4,"A+",IF(H631&lt;'PlayerGrades+'!$AC$3,"S-",IF(H631&lt;'PlayerGrades+'!$AC$2,"S","S+"))))))))))))))))))))</f>
        <v>#DIV/0!</v>
      </c>
      <c r="J631" s="1423" t="str">
        <f t="shared" si="15"/>
        <v>#DIV/0!</v>
      </c>
      <c r="K631" s="1423" t="str">
        <f>IF(J631&lt;'PlayerGrades+'!$AD$21,"F-",IF(J631&lt;'PlayerGrades+'!$AD$20,"F",IF(J631&lt;'PlayerGrades+'!$AD$19,"F+",IF(J631&lt;'PlayerGrades+'!$AD$18,"E-",IF(J631&lt;'PlayerGrades+'!$AD$17,"E",IF(J631&lt;'PlayerGrades+'!$AD$16,"E+",IF(J631&lt;'PlayerGrades+'!$AD$15,"D-",IF(J631&lt;'PlayerGrades+'!$AD$14,"D",IF(J631&lt;'PlayerGrades+'!$AD$13,"D+",IF(J631&lt;'PlayerGrades+'!$AD$12,"C-",IF(J631&lt;'PlayerGrades+'!$AD$11,"C",IF(J631&lt;'PlayerGrades+'!$AD$10,"C+",IF(J631&lt;'PlayerGrades+'!$AD$9,"B-",IF(J631&lt;'PlayerGrades+'!$AD$8,"B",IF(J631&lt;'PlayerGrades+'!$AD$7,"B+",IF(J631&lt;'PlayerGrades+'!$AD$6,"A-",IF(J631&lt;'PlayerGrades+'!$AD$5,"A",IF(J631&lt;'PlayerGrades+'!$AD$4,"A+",IF(J631&lt;'PlayerGrades+'!$AD$3,"S-",IF(J631&lt;'PlayerGrades+'!$AD$2,"S","S+"))))))))))))))))))))</f>
        <v>#DIV/0!</v>
      </c>
      <c r="L631" s="1176" t="str">
        <f t="shared" si="16"/>
        <v>#DIV/0!</v>
      </c>
      <c r="M631" s="992" t="str">
        <f>IF(L631&lt;'PlayerGrades+'!$AE$21,"F-",IF(L631&lt;'PlayerGrades+'!$AE$20,"F",IF(L631&lt;'PlayerGrades+'!$AE$19,"F+",IF(L631&lt;'PlayerGrades+'!$AE$18,"E-",IF(L631&lt;'PlayerGrades+'!$AE$17,"E",IF(L631&lt;'PlayerGrades+'!$AE$16,"E+",IF(L631&lt;'PlayerGrades+'!$AE$15,"D-",IF(L631&lt;'PlayerGrades+'!$AE$14,"D",IF(L631&lt;'PlayerGrades+'!$AE$13,"D+",IF(L631&lt;'PlayerGrades+'!$AE$12,"C-",IF(L631&lt;'PlayerGrades+'!$AE$11,"C",IF(L631&lt;'PlayerGrades+'!$AE$10,"C+",IF(L631&lt;'PlayerGrades+'!$AE$9,"B-",IF(L631&lt;'PlayerGrades+'!$AE$8,"B",IF(L631&lt;'PlayerGrades+'!$AE$7,"B+",IF(L631&lt;'PlayerGrades+'!$AE$6,"A-",IF(L631&lt;'PlayerGrades+'!$AE$5,"A",IF(L631&lt;'PlayerGrades+'!$AE$4,"A+",IF(L631&lt;'PlayerGrades+'!$AE$3,"S-",IF(L631&lt;'PlayerGrades+'!$AE$2,"S","S+"))))))))))))))))))))</f>
        <v>#DIV/0!</v>
      </c>
      <c r="N631" s="1423" t="str">
        <f t="shared" si="17"/>
        <v>#DIV/0!</v>
      </c>
      <c r="O631" s="1423" t="str">
        <f>IF(N631&lt;'PlayerGrades+'!$AF$21,"F-",IF(N631&lt;'PlayerGrades+'!$AF$20,"F",IF(N631&lt;'PlayerGrades+'!$AF$19,"F+",IF(N631&lt;'PlayerGrades+'!$AF$18,"E-",IF(N631&lt;'PlayerGrades+'!$AF$17,"E",IF(N631&lt;'PlayerGrades+'!$AF$16,"E+",IF(N631&lt;'PlayerGrades+'!$AF$15,"D-",IF(N631&lt;'PlayerGrades+'!$AF$14,"D",IF(N631&lt;'PlayerGrades+'!$AF$13,"D+",IF(N631&lt;'PlayerGrades+'!$AF$12,"C-",IF(N631&lt;'PlayerGrades+'!$AF$11,"C",IF(N631&lt;'PlayerGrades+'!$AF$10,"C+",IF(N631&lt;'PlayerGrades+'!$AF$9,"B-",IF(N631&lt;'PlayerGrades+'!$AF$8,"B",IF(N631&lt;'PlayerGrades+'!$AF$7,"B+",IF(N631&lt;'PlayerGrades+'!$AF$6,"A-",IF(N631&lt;'PlayerGrades+'!$AF$5,"A",IF(N631&lt;'PlayerGrades+'!$AF$4,"A+",IF(N631&lt;'PlayerGrades+'!$AF$3,"S-",IF(N631&lt;'PlayerGrades+'!$AF$2,"S","S+"))))))))))))))))))))</f>
        <v>#DIV/0!</v>
      </c>
      <c r="P631" s="1423" t="str">
        <f t="shared" si="18"/>
        <v>#DIV/0!</v>
      </c>
      <c r="Q631" s="1423" t="str">
        <f>IF(P631&lt;'PlayerGrades+'!$AG$21,"F-",IF(P631&lt;'PlayerGrades+'!$AG$20,"F",IF(P631&lt;'PlayerGrades+'!$AG$19,"F+",IF(P631&lt;'PlayerGrades+'!$AG$18,"E-",IF(P631&lt;'PlayerGrades+'!$AG$17,"E",IF(P631&lt;'PlayerGrades+'!$AG$16,"E+",IF(P631&lt;'PlayerGrades+'!$AG$15,"D-",IF(P631&lt;'PlayerGrades+'!$AG$14,"D",IF(P631&lt;'PlayerGrades+'!$AG$13,"D+",IF(P631&lt;'PlayerGrades+'!$AG$12,"C-",IF(P631&lt;'PlayerGrades+'!$AG$11,"C",IF(P631&lt;'PlayerGrades+'!$AG$10,"C+",IF(P631&lt;'PlayerGrades+'!$AG$9,"B-",IF(P631&lt;'PlayerGrades+'!$AG$8,"B",IF(P631&lt;'PlayerGrades+'!$AG$7,"B+",IF(P631&lt;'PlayerGrades+'!$AG$6,"A-",IF(P631&lt;'PlayerGrades+'!$AG$5,"A",IF(P631&lt;'PlayerGrades+'!$AG$4,"A+",IF(P631&lt;'PlayerGrades+'!$AG$3,"S-",IF(P631&lt;'PlayerGrades+'!$AG$2,"S","S+"))))))))))))))))))))</f>
        <v>#DIV/0!</v>
      </c>
      <c r="R631" s="1423" t="str">
        <f t="shared" si="19"/>
        <v>#REF!</v>
      </c>
      <c r="S631" s="1423" t="str">
        <f>IF(R631&lt;'PlayerGrades+'!$AH$21,"F-",IF(R631&lt;'PlayerGrades+'!$AH$20,"F",IF(R631&lt;'PlayerGrades+'!$AH$19,"F+",IF(R631&lt;'PlayerGrades+'!$AH$18,"E-",IF(R631&lt;'PlayerGrades+'!$AH$17,"E",IF(R631&lt;'PlayerGrades+'!$AH$16,"E+",IF(R631&lt;'PlayerGrades+'!$AH$15,"D-",IF(R631&lt;'PlayerGrades+'!$AH$14,"D",IF(R631&lt;'PlayerGrades+'!$AH$13,"D+",IF(R631&lt;'PlayerGrades+'!$AH$12,"C-",IF(R631&lt;'PlayerGrades+'!$AH$11,"C",IF(R631&lt;'PlayerGrades+'!$AH$10,"C+",IF(R631&lt;'PlayerGrades+'!$AH$9,"B-",IF(R631&lt;'PlayerGrades+'!$AH$8,"B",IF(R631&lt;'PlayerGrades+'!$AH$7,"B+",IF(R631&lt;'PlayerGrades+'!$AH$6,"A-",IF(R631&lt;'PlayerGrades+'!$AH$5,"A",IF(R631&lt;'PlayerGrades+'!$AH$4,"A+",IF(R631&lt;'PlayerGrades+'!$AH$3,"S-",IF(R631&lt;'PlayerGrades+'!$AH$2,"S","S+"))))))))))))))))))))</f>
        <v>#REF!</v>
      </c>
      <c r="T631" s="1423" t="str">
        <f t="shared" si="20"/>
        <v>#REF!</v>
      </c>
      <c r="U631" s="1423" t="str">
        <f>IF(T631&lt;'PlayerGrades+'!$AI$21,"F-",IF(T631&lt;'PlayerGrades+'!$AI$20,"F",IF(T631&lt;'PlayerGrades+'!$AI$19,"F+",IF(T631&lt;'PlayerGrades+'!$AI$18,"E-",IF(T631&lt;'PlayerGrades+'!$AI$17,"E",IF(T631&lt;'PlayerGrades+'!$AI$16,"E+",IF(T631&lt;'PlayerGrades+'!$AI$15,"D-",IF(T631&lt;'PlayerGrades+'!$AI$14,"D",IF(T631&lt;'PlayerGrades+'!$AI$13,"D+",IF(T631&lt;'PlayerGrades+'!$AI$12,"C-",IF(T631&lt;'PlayerGrades+'!$AI$11,"C",IF(T631&lt;'PlayerGrades+'!$AI$10,"C+",IF(T631&lt;'PlayerGrades+'!$AI$9,"B-",IF(T631&lt;'PlayerGrades+'!$AI$8,"B",IF(T631&lt;'PlayerGrades+'!$AI$7,"B+",IF(T631&lt;'PlayerGrades+'!$AI$6,"A-",IF(T631&lt;'PlayerGrades+'!$AI$5,"A",IF(T631&lt;'PlayerGrades+'!$AI$4,"A+",IF(T631&lt;'PlayerGrades+'!$AI$3,"S-",IF(T631&lt;'PlayerGrades+'!$AI$2,"S","S+"))))))))))))))))))))</f>
        <v>#REF!</v>
      </c>
      <c r="AC631" s="1392"/>
    </row>
    <row r="632">
      <c r="A632" s="1391"/>
      <c r="B632" s="1421" t="str">
        <f>IF(C632&lt;'PlayerGrades+'!$Y$44,"F-",IF(C632&lt;'PlayerGrades+'!$Y$43,"F",IF(C632&lt;'PlayerGrades+'!$Y$42,"F+",IF(C632&lt;'PlayerGrades+'!$Y$41,"E-",IF(C632&lt;'PlayerGrades+'!$Y$40,"E",IF(C632&lt;'PlayerGrades+'!$Y$39,"E+",IF(C632&lt;'PlayerGrades+'!$Y$38,"D-",IF(C632&lt;'PlayerGrades+'!$Y$37,"D",IF(C632&lt;'PlayerGrades+'!$Y$36,"D+",IF(C632&lt;'PlayerGrades+'!$Y$35,"C-",IF(C632&lt;'PlayerGrades+'!$Y$34,"C",IF(C632&lt;'PlayerGrades+'!$Y$33,"C+",IF(C632&lt;'PlayerGrades+'!$Y$32,"B-",IF(C632&lt;'PlayerGrades+'!$Y$31,"B",IF(C632&lt;'PlayerGrades+'!$Y$30,"B+",IF(C632&lt;'PlayerGrades+'!$Y$29,"A-",IF(C632&lt;'PlayerGrades+'!$Y$28,"A",IF(C632&lt;'PlayerGrades+'!$Y$27,"A+",IF(C632&lt;'PlayerGrades+'!$Y$26,"S-",IF(C632&lt;'PlayerGrades+'!$Y$25,"S","S+"))))))))))))))))))))</f>
        <v>#DIV/0!</v>
      </c>
      <c r="C632" s="1422" t="str">
        <f>('PlayerGrades+'!$Y$47*(VLOOKUP(E632, 'PlayerGrades+'!$X$3:$Y$23, 2, FALSE)))+('PlayerGrades+'!$Y$48*(VLOOKUP(G632, 'PlayerGrades+'!$X$3:$Y$23, 2, FALSE)))+('PlayerGrades+'!$Y$49*(VLOOKUP(I632, 'PlayerGrades+'!$X$3:$Y$23, 2, FALSE)))+('PlayerGrades+'!$Y$50*(VLOOKUP(K632, 'PlayerGrades+'!$X$3:$Y$23, 2, FALSE)))+('PlayerGrades+'!$Y$51*(VLOOKUP(M632, 'PlayerGrades+'!$X$3:$Y$23, 2, FALSE)))+('PlayerGrades+'!$Y$52*(VLOOKUP(O632, 'PlayerGrades+'!$X$3:$Y$23, 2, FALSE)))+('PlayerGrades+'!$Y$53*(VLOOKUP(Q632, 'PlayerGrades+'!$X$3:$Y$23, 2, FALSE)))+('PlayerGrades+'!$Y$54*(VLOOKUP(S632, 'PlayerGrades+'!$X$3:$Y$23, 2, FALSE)))+('PlayerGrades+'!$Y$55*(VLOOKUP(U632, 'PlayerGrades+'!$X$3:$Y$23, 2, FALSE)))</f>
        <v>#DIV/0!</v>
      </c>
      <c r="D632" s="1423" t="str">
        <f t="shared" si="12"/>
        <v>#DIV/0!</v>
      </c>
      <c r="E632" s="1423" t="str">
        <f>IF(D632&lt;'PlayerGrades+'!$AA$21,"F-",IF(D632&lt;'PlayerGrades+'!$AA$20,"F",IF(D632&lt;'PlayerGrades+'!$AA$19,"F+",IF(D632&lt;'PlayerGrades+'!$AA$18,"E-",IF(D632&lt;'PlayerGrades+'!$AA$17,"E",IF(D632&lt;'PlayerGrades+'!$AA$16,"E+",IF(D632&lt;'PlayerGrades+'!$AA$15,"D-",IF(D632&lt;'PlayerGrades+'!$AA$14,"D",IF(D632&lt;'PlayerGrades+'!$AA$13,"D+",IF(D632&lt;'PlayerGrades+'!$AA$12,"C-",IF(D632&lt;'PlayerGrades+'!$AA$11,"C",IF(D632&lt;'PlayerGrades+'!$AA$10,"C+",IF(D632&lt;'PlayerGrades+'!$AA$9,"B-",IF(D632&lt;'PlayerGrades+'!$AA$8,"B",IF(D632&lt;'PlayerGrades+'!$AA$7,"B+",IF(D632&lt;'PlayerGrades+'!$AA$6,"A-",IF(D632&lt;'PlayerGrades+'!$AA$5,"A",IF(D632&lt;'PlayerGrades+'!$AA$4,"A+",IF(D632&lt;'PlayerGrades+'!$AA$3,"S-",IF(D632&lt;'PlayerGrades+'!$AA$2,"S","S+"))))))))))))))))))))</f>
        <v>#DIV/0!</v>
      </c>
      <c r="F632" s="1423" t="str">
        <f t="shared" si="13"/>
        <v>#DIV/0!</v>
      </c>
      <c r="G632" s="1423" t="str">
        <f>IF(F632&lt;'PlayerGrades+'!$AB$21,"F-",IF(F632&lt;'PlayerGrades+'!$AB$20,"F",IF(F632&lt;'PlayerGrades+'!$AB$19,"F+",IF(F632&lt;'PlayerGrades+'!$AB$18,"E-",IF(F632&lt;'PlayerGrades+'!$AB$17,"E",IF(F632&lt;'PlayerGrades+'!$AB$16,"E+",IF(F632&lt;'PlayerGrades+'!$AB$15,"D-",IF(F632&lt;'PlayerGrades+'!$AB$14,"D",IF(F632&lt;'PlayerGrades+'!$AB$13,"D+",IF(F632&lt;'PlayerGrades+'!$AB$12,"C-",IF(F632&lt;'PlayerGrades+'!$AB$11,"C",IF(F632&lt;'PlayerGrades+'!$AB$10,"C+",IF(F632&lt;'PlayerGrades+'!$AB$9,"B-",IF(F632&lt;'PlayerGrades+'!$AB$8,"B",IF(F632&lt;'PlayerGrades+'!$AB$7,"B+",IF(F632&lt;'PlayerGrades+'!$AB$6,"A-",IF(F632&lt;'PlayerGrades+'!$AB$5,"A",IF(F632&lt;'PlayerGrades+'!$AB$4,"A+",IF(F632&lt;'PlayerGrades+'!$AB$3,"S-",IF(F632&lt;'PlayerGrades+'!$AB$2,"S","S+"))))))))))))))))))))</f>
        <v>#DIV/0!</v>
      </c>
      <c r="H632" s="1423" t="str">
        <f t="shared" si="14"/>
        <v>#DIV/0!</v>
      </c>
      <c r="I632" s="1423" t="str">
        <f>IF(H632&lt;'PlayerGrades+'!$AC$21,"F-",IF(H632&lt;'PlayerGrades+'!$AC$20,"F",IF(H632&lt;'PlayerGrades+'!$AC$19,"F+",IF(H632&lt;'PlayerGrades+'!$AC$18,"E-",IF(H632&lt;'PlayerGrades+'!$AC$17,"E",IF(H632&lt;'PlayerGrades+'!$AC$16,"E+",IF(H632&lt;'PlayerGrades+'!$AC$15,"D-",IF(H632&lt;'PlayerGrades+'!$AC$14,"D",IF(H632&lt;'PlayerGrades+'!$AC$13,"D+",IF(H632&lt;'PlayerGrades+'!$AC$12,"C-",IF(H632&lt;'PlayerGrades+'!$AC$11,"C",IF(H632&lt;'PlayerGrades+'!$AC$10,"C+",IF(H632&lt;'PlayerGrades+'!$AC$9,"B-",IF(H632&lt;'PlayerGrades+'!$AC$8,"B",IF(H632&lt;'PlayerGrades+'!$AC$7,"B+",IF(H632&lt;'PlayerGrades+'!$AC$6,"A-",IF(H632&lt;'PlayerGrades+'!$AC$5,"A",IF(H632&lt;'PlayerGrades+'!$AC$4,"A+",IF(H632&lt;'PlayerGrades+'!$AC$3,"S-",IF(H632&lt;'PlayerGrades+'!$AC$2,"S","S+"))))))))))))))))))))</f>
        <v>#DIV/0!</v>
      </c>
      <c r="J632" s="1423" t="str">
        <f t="shared" si="15"/>
        <v>#DIV/0!</v>
      </c>
      <c r="K632" s="1423" t="str">
        <f>IF(J632&lt;'PlayerGrades+'!$AD$21,"F-",IF(J632&lt;'PlayerGrades+'!$AD$20,"F",IF(J632&lt;'PlayerGrades+'!$AD$19,"F+",IF(J632&lt;'PlayerGrades+'!$AD$18,"E-",IF(J632&lt;'PlayerGrades+'!$AD$17,"E",IF(J632&lt;'PlayerGrades+'!$AD$16,"E+",IF(J632&lt;'PlayerGrades+'!$AD$15,"D-",IF(J632&lt;'PlayerGrades+'!$AD$14,"D",IF(J632&lt;'PlayerGrades+'!$AD$13,"D+",IF(J632&lt;'PlayerGrades+'!$AD$12,"C-",IF(J632&lt;'PlayerGrades+'!$AD$11,"C",IF(J632&lt;'PlayerGrades+'!$AD$10,"C+",IF(J632&lt;'PlayerGrades+'!$AD$9,"B-",IF(J632&lt;'PlayerGrades+'!$AD$8,"B",IF(J632&lt;'PlayerGrades+'!$AD$7,"B+",IF(J632&lt;'PlayerGrades+'!$AD$6,"A-",IF(J632&lt;'PlayerGrades+'!$AD$5,"A",IF(J632&lt;'PlayerGrades+'!$AD$4,"A+",IF(J632&lt;'PlayerGrades+'!$AD$3,"S-",IF(J632&lt;'PlayerGrades+'!$AD$2,"S","S+"))))))))))))))))))))</f>
        <v>#DIV/0!</v>
      </c>
      <c r="L632" s="1176" t="str">
        <f t="shared" si="16"/>
        <v>#DIV/0!</v>
      </c>
      <c r="M632" s="992" t="str">
        <f>IF(L632&lt;'PlayerGrades+'!$AE$21,"F-",IF(L632&lt;'PlayerGrades+'!$AE$20,"F",IF(L632&lt;'PlayerGrades+'!$AE$19,"F+",IF(L632&lt;'PlayerGrades+'!$AE$18,"E-",IF(L632&lt;'PlayerGrades+'!$AE$17,"E",IF(L632&lt;'PlayerGrades+'!$AE$16,"E+",IF(L632&lt;'PlayerGrades+'!$AE$15,"D-",IF(L632&lt;'PlayerGrades+'!$AE$14,"D",IF(L632&lt;'PlayerGrades+'!$AE$13,"D+",IF(L632&lt;'PlayerGrades+'!$AE$12,"C-",IF(L632&lt;'PlayerGrades+'!$AE$11,"C",IF(L632&lt;'PlayerGrades+'!$AE$10,"C+",IF(L632&lt;'PlayerGrades+'!$AE$9,"B-",IF(L632&lt;'PlayerGrades+'!$AE$8,"B",IF(L632&lt;'PlayerGrades+'!$AE$7,"B+",IF(L632&lt;'PlayerGrades+'!$AE$6,"A-",IF(L632&lt;'PlayerGrades+'!$AE$5,"A",IF(L632&lt;'PlayerGrades+'!$AE$4,"A+",IF(L632&lt;'PlayerGrades+'!$AE$3,"S-",IF(L632&lt;'PlayerGrades+'!$AE$2,"S","S+"))))))))))))))))))))</f>
        <v>#DIV/0!</v>
      </c>
      <c r="N632" s="1423" t="str">
        <f t="shared" si="17"/>
        <v>#DIV/0!</v>
      </c>
      <c r="O632" s="1423" t="str">
        <f>IF(N632&lt;'PlayerGrades+'!$AF$21,"F-",IF(N632&lt;'PlayerGrades+'!$AF$20,"F",IF(N632&lt;'PlayerGrades+'!$AF$19,"F+",IF(N632&lt;'PlayerGrades+'!$AF$18,"E-",IF(N632&lt;'PlayerGrades+'!$AF$17,"E",IF(N632&lt;'PlayerGrades+'!$AF$16,"E+",IF(N632&lt;'PlayerGrades+'!$AF$15,"D-",IF(N632&lt;'PlayerGrades+'!$AF$14,"D",IF(N632&lt;'PlayerGrades+'!$AF$13,"D+",IF(N632&lt;'PlayerGrades+'!$AF$12,"C-",IF(N632&lt;'PlayerGrades+'!$AF$11,"C",IF(N632&lt;'PlayerGrades+'!$AF$10,"C+",IF(N632&lt;'PlayerGrades+'!$AF$9,"B-",IF(N632&lt;'PlayerGrades+'!$AF$8,"B",IF(N632&lt;'PlayerGrades+'!$AF$7,"B+",IF(N632&lt;'PlayerGrades+'!$AF$6,"A-",IF(N632&lt;'PlayerGrades+'!$AF$5,"A",IF(N632&lt;'PlayerGrades+'!$AF$4,"A+",IF(N632&lt;'PlayerGrades+'!$AF$3,"S-",IF(N632&lt;'PlayerGrades+'!$AF$2,"S","S+"))))))))))))))))))))</f>
        <v>#DIV/0!</v>
      </c>
      <c r="P632" s="1423" t="str">
        <f t="shared" si="18"/>
        <v>#DIV/0!</v>
      </c>
      <c r="Q632" s="1423" t="str">
        <f>IF(P632&lt;'PlayerGrades+'!$AG$21,"F-",IF(P632&lt;'PlayerGrades+'!$AG$20,"F",IF(P632&lt;'PlayerGrades+'!$AG$19,"F+",IF(P632&lt;'PlayerGrades+'!$AG$18,"E-",IF(P632&lt;'PlayerGrades+'!$AG$17,"E",IF(P632&lt;'PlayerGrades+'!$AG$16,"E+",IF(P632&lt;'PlayerGrades+'!$AG$15,"D-",IF(P632&lt;'PlayerGrades+'!$AG$14,"D",IF(P632&lt;'PlayerGrades+'!$AG$13,"D+",IF(P632&lt;'PlayerGrades+'!$AG$12,"C-",IF(P632&lt;'PlayerGrades+'!$AG$11,"C",IF(P632&lt;'PlayerGrades+'!$AG$10,"C+",IF(P632&lt;'PlayerGrades+'!$AG$9,"B-",IF(P632&lt;'PlayerGrades+'!$AG$8,"B",IF(P632&lt;'PlayerGrades+'!$AG$7,"B+",IF(P632&lt;'PlayerGrades+'!$AG$6,"A-",IF(P632&lt;'PlayerGrades+'!$AG$5,"A",IF(P632&lt;'PlayerGrades+'!$AG$4,"A+",IF(P632&lt;'PlayerGrades+'!$AG$3,"S-",IF(P632&lt;'PlayerGrades+'!$AG$2,"S","S+"))))))))))))))))))))</f>
        <v>#DIV/0!</v>
      </c>
      <c r="R632" s="1423" t="str">
        <f t="shared" si="19"/>
        <v>#REF!</v>
      </c>
      <c r="S632" s="1423" t="str">
        <f>IF(R632&lt;'PlayerGrades+'!$AH$21,"F-",IF(R632&lt;'PlayerGrades+'!$AH$20,"F",IF(R632&lt;'PlayerGrades+'!$AH$19,"F+",IF(R632&lt;'PlayerGrades+'!$AH$18,"E-",IF(R632&lt;'PlayerGrades+'!$AH$17,"E",IF(R632&lt;'PlayerGrades+'!$AH$16,"E+",IF(R632&lt;'PlayerGrades+'!$AH$15,"D-",IF(R632&lt;'PlayerGrades+'!$AH$14,"D",IF(R632&lt;'PlayerGrades+'!$AH$13,"D+",IF(R632&lt;'PlayerGrades+'!$AH$12,"C-",IF(R632&lt;'PlayerGrades+'!$AH$11,"C",IF(R632&lt;'PlayerGrades+'!$AH$10,"C+",IF(R632&lt;'PlayerGrades+'!$AH$9,"B-",IF(R632&lt;'PlayerGrades+'!$AH$8,"B",IF(R632&lt;'PlayerGrades+'!$AH$7,"B+",IF(R632&lt;'PlayerGrades+'!$AH$6,"A-",IF(R632&lt;'PlayerGrades+'!$AH$5,"A",IF(R632&lt;'PlayerGrades+'!$AH$4,"A+",IF(R632&lt;'PlayerGrades+'!$AH$3,"S-",IF(R632&lt;'PlayerGrades+'!$AH$2,"S","S+"))))))))))))))))))))</f>
        <v>#REF!</v>
      </c>
      <c r="T632" s="1423" t="str">
        <f t="shared" si="20"/>
        <v>#REF!</v>
      </c>
      <c r="U632" s="1423" t="str">
        <f>IF(T632&lt;'PlayerGrades+'!$AI$21,"F-",IF(T632&lt;'PlayerGrades+'!$AI$20,"F",IF(T632&lt;'PlayerGrades+'!$AI$19,"F+",IF(T632&lt;'PlayerGrades+'!$AI$18,"E-",IF(T632&lt;'PlayerGrades+'!$AI$17,"E",IF(T632&lt;'PlayerGrades+'!$AI$16,"E+",IF(T632&lt;'PlayerGrades+'!$AI$15,"D-",IF(T632&lt;'PlayerGrades+'!$AI$14,"D",IF(T632&lt;'PlayerGrades+'!$AI$13,"D+",IF(T632&lt;'PlayerGrades+'!$AI$12,"C-",IF(T632&lt;'PlayerGrades+'!$AI$11,"C",IF(T632&lt;'PlayerGrades+'!$AI$10,"C+",IF(T632&lt;'PlayerGrades+'!$AI$9,"B-",IF(T632&lt;'PlayerGrades+'!$AI$8,"B",IF(T632&lt;'PlayerGrades+'!$AI$7,"B+",IF(T632&lt;'PlayerGrades+'!$AI$6,"A-",IF(T632&lt;'PlayerGrades+'!$AI$5,"A",IF(T632&lt;'PlayerGrades+'!$AI$4,"A+",IF(T632&lt;'PlayerGrades+'!$AI$3,"S-",IF(T632&lt;'PlayerGrades+'!$AI$2,"S","S+"))))))))))))))))))))</f>
        <v>#REF!</v>
      </c>
      <c r="AC632" s="1392"/>
    </row>
    <row r="633">
      <c r="A633" s="1393"/>
      <c r="B633" s="1421" t="str">
        <f>IF(C633&lt;'PlayerGrades+'!$Y$44,"F-",IF(C633&lt;'PlayerGrades+'!$Y$43,"F",IF(C633&lt;'PlayerGrades+'!$Y$42,"F+",IF(C633&lt;'PlayerGrades+'!$Y$41,"E-",IF(C633&lt;'PlayerGrades+'!$Y$40,"E",IF(C633&lt;'PlayerGrades+'!$Y$39,"E+",IF(C633&lt;'PlayerGrades+'!$Y$38,"D-",IF(C633&lt;'PlayerGrades+'!$Y$37,"D",IF(C633&lt;'PlayerGrades+'!$Y$36,"D+",IF(C633&lt;'PlayerGrades+'!$Y$35,"C-",IF(C633&lt;'PlayerGrades+'!$Y$34,"C",IF(C633&lt;'PlayerGrades+'!$Y$33,"C+",IF(C633&lt;'PlayerGrades+'!$Y$32,"B-",IF(C633&lt;'PlayerGrades+'!$Y$31,"B",IF(C633&lt;'PlayerGrades+'!$Y$30,"B+",IF(C633&lt;'PlayerGrades+'!$Y$29,"A-",IF(C633&lt;'PlayerGrades+'!$Y$28,"A",IF(C633&lt;'PlayerGrades+'!$Y$27,"A+",IF(C633&lt;'PlayerGrades+'!$Y$26,"S-",IF(C633&lt;'PlayerGrades+'!$Y$25,"S","S+"))))))))))))))))))))</f>
        <v>#DIV/0!</v>
      </c>
      <c r="C633" s="1422" t="str">
        <f>('PlayerGrades+'!$Y$47*(VLOOKUP(E633, 'PlayerGrades+'!$X$3:$Y$23, 2, FALSE)))+('PlayerGrades+'!$Y$48*(VLOOKUP(G633, 'PlayerGrades+'!$X$3:$Y$23, 2, FALSE)))+('PlayerGrades+'!$Y$49*(VLOOKUP(I633, 'PlayerGrades+'!$X$3:$Y$23, 2, FALSE)))+('PlayerGrades+'!$Y$50*(VLOOKUP(K633, 'PlayerGrades+'!$X$3:$Y$23, 2, FALSE)))+('PlayerGrades+'!$Y$51*(VLOOKUP(M633, 'PlayerGrades+'!$X$3:$Y$23, 2, FALSE)))+('PlayerGrades+'!$Y$52*(VLOOKUP(O633, 'PlayerGrades+'!$X$3:$Y$23, 2, FALSE)))+('PlayerGrades+'!$Y$53*(VLOOKUP(Q633, 'PlayerGrades+'!$X$3:$Y$23, 2, FALSE)))+('PlayerGrades+'!$Y$54*(VLOOKUP(S633, 'PlayerGrades+'!$X$3:$Y$23, 2, FALSE)))+('PlayerGrades+'!$Y$55*(VLOOKUP(U633, 'PlayerGrades+'!$X$3:$Y$23, 2, FALSE)))</f>
        <v>#DIV/0!</v>
      </c>
      <c r="D633" s="1423" t="str">
        <f t="shared" si="12"/>
        <v>#DIV/0!</v>
      </c>
      <c r="E633" s="1423" t="str">
        <f>IF(D633&lt;'PlayerGrades+'!$AA$21,"F-",IF(D633&lt;'PlayerGrades+'!$AA$20,"F",IF(D633&lt;'PlayerGrades+'!$AA$19,"F+",IF(D633&lt;'PlayerGrades+'!$AA$18,"E-",IF(D633&lt;'PlayerGrades+'!$AA$17,"E",IF(D633&lt;'PlayerGrades+'!$AA$16,"E+",IF(D633&lt;'PlayerGrades+'!$AA$15,"D-",IF(D633&lt;'PlayerGrades+'!$AA$14,"D",IF(D633&lt;'PlayerGrades+'!$AA$13,"D+",IF(D633&lt;'PlayerGrades+'!$AA$12,"C-",IF(D633&lt;'PlayerGrades+'!$AA$11,"C",IF(D633&lt;'PlayerGrades+'!$AA$10,"C+",IF(D633&lt;'PlayerGrades+'!$AA$9,"B-",IF(D633&lt;'PlayerGrades+'!$AA$8,"B",IF(D633&lt;'PlayerGrades+'!$AA$7,"B+",IF(D633&lt;'PlayerGrades+'!$AA$6,"A-",IF(D633&lt;'PlayerGrades+'!$AA$5,"A",IF(D633&lt;'PlayerGrades+'!$AA$4,"A+",IF(D633&lt;'PlayerGrades+'!$AA$3,"S-",IF(D633&lt;'PlayerGrades+'!$AA$2,"S","S+"))))))))))))))))))))</f>
        <v>#DIV/0!</v>
      </c>
      <c r="F633" s="1423" t="str">
        <f t="shared" si="13"/>
        <v>#DIV/0!</v>
      </c>
      <c r="G633" s="1423" t="str">
        <f>IF(F633&lt;'PlayerGrades+'!$AB$21,"F-",IF(F633&lt;'PlayerGrades+'!$AB$20,"F",IF(F633&lt;'PlayerGrades+'!$AB$19,"F+",IF(F633&lt;'PlayerGrades+'!$AB$18,"E-",IF(F633&lt;'PlayerGrades+'!$AB$17,"E",IF(F633&lt;'PlayerGrades+'!$AB$16,"E+",IF(F633&lt;'PlayerGrades+'!$AB$15,"D-",IF(F633&lt;'PlayerGrades+'!$AB$14,"D",IF(F633&lt;'PlayerGrades+'!$AB$13,"D+",IF(F633&lt;'PlayerGrades+'!$AB$12,"C-",IF(F633&lt;'PlayerGrades+'!$AB$11,"C",IF(F633&lt;'PlayerGrades+'!$AB$10,"C+",IF(F633&lt;'PlayerGrades+'!$AB$9,"B-",IF(F633&lt;'PlayerGrades+'!$AB$8,"B",IF(F633&lt;'PlayerGrades+'!$AB$7,"B+",IF(F633&lt;'PlayerGrades+'!$AB$6,"A-",IF(F633&lt;'PlayerGrades+'!$AB$5,"A",IF(F633&lt;'PlayerGrades+'!$AB$4,"A+",IF(F633&lt;'PlayerGrades+'!$AB$3,"S-",IF(F633&lt;'PlayerGrades+'!$AB$2,"S","S+"))))))))))))))))))))</f>
        <v>#DIV/0!</v>
      </c>
      <c r="H633" s="1423" t="str">
        <f t="shared" si="14"/>
        <v>#DIV/0!</v>
      </c>
      <c r="I633" s="1423" t="str">
        <f>IF(H633&lt;'PlayerGrades+'!$AC$21,"F-",IF(H633&lt;'PlayerGrades+'!$AC$20,"F",IF(H633&lt;'PlayerGrades+'!$AC$19,"F+",IF(H633&lt;'PlayerGrades+'!$AC$18,"E-",IF(H633&lt;'PlayerGrades+'!$AC$17,"E",IF(H633&lt;'PlayerGrades+'!$AC$16,"E+",IF(H633&lt;'PlayerGrades+'!$AC$15,"D-",IF(H633&lt;'PlayerGrades+'!$AC$14,"D",IF(H633&lt;'PlayerGrades+'!$AC$13,"D+",IF(H633&lt;'PlayerGrades+'!$AC$12,"C-",IF(H633&lt;'PlayerGrades+'!$AC$11,"C",IF(H633&lt;'PlayerGrades+'!$AC$10,"C+",IF(H633&lt;'PlayerGrades+'!$AC$9,"B-",IF(H633&lt;'PlayerGrades+'!$AC$8,"B",IF(H633&lt;'PlayerGrades+'!$AC$7,"B+",IF(H633&lt;'PlayerGrades+'!$AC$6,"A-",IF(H633&lt;'PlayerGrades+'!$AC$5,"A",IF(H633&lt;'PlayerGrades+'!$AC$4,"A+",IF(H633&lt;'PlayerGrades+'!$AC$3,"S-",IF(H633&lt;'PlayerGrades+'!$AC$2,"S","S+"))))))))))))))))))))</f>
        <v>#DIV/0!</v>
      </c>
      <c r="J633" s="1423" t="str">
        <f t="shared" si="15"/>
        <v>#DIV/0!</v>
      </c>
      <c r="K633" s="1423" t="str">
        <f>IF(J633&lt;'PlayerGrades+'!$AD$21,"F-",IF(J633&lt;'PlayerGrades+'!$AD$20,"F",IF(J633&lt;'PlayerGrades+'!$AD$19,"F+",IF(J633&lt;'PlayerGrades+'!$AD$18,"E-",IF(J633&lt;'PlayerGrades+'!$AD$17,"E",IF(J633&lt;'PlayerGrades+'!$AD$16,"E+",IF(J633&lt;'PlayerGrades+'!$AD$15,"D-",IF(J633&lt;'PlayerGrades+'!$AD$14,"D",IF(J633&lt;'PlayerGrades+'!$AD$13,"D+",IF(J633&lt;'PlayerGrades+'!$AD$12,"C-",IF(J633&lt;'PlayerGrades+'!$AD$11,"C",IF(J633&lt;'PlayerGrades+'!$AD$10,"C+",IF(J633&lt;'PlayerGrades+'!$AD$9,"B-",IF(J633&lt;'PlayerGrades+'!$AD$8,"B",IF(J633&lt;'PlayerGrades+'!$AD$7,"B+",IF(J633&lt;'PlayerGrades+'!$AD$6,"A-",IF(J633&lt;'PlayerGrades+'!$AD$5,"A",IF(J633&lt;'PlayerGrades+'!$AD$4,"A+",IF(J633&lt;'PlayerGrades+'!$AD$3,"S-",IF(J633&lt;'PlayerGrades+'!$AD$2,"S","S+"))))))))))))))))))))</f>
        <v>#DIV/0!</v>
      </c>
      <c r="L633" s="1176" t="str">
        <f t="shared" si="16"/>
        <v>#DIV/0!</v>
      </c>
      <c r="M633" s="992" t="str">
        <f>IF(L633&lt;'PlayerGrades+'!$AE$21,"F-",IF(L633&lt;'PlayerGrades+'!$AE$20,"F",IF(L633&lt;'PlayerGrades+'!$AE$19,"F+",IF(L633&lt;'PlayerGrades+'!$AE$18,"E-",IF(L633&lt;'PlayerGrades+'!$AE$17,"E",IF(L633&lt;'PlayerGrades+'!$AE$16,"E+",IF(L633&lt;'PlayerGrades+'!$AE$15,"D-",IF(L633&lt;'PlayerGrades+'!$AE$14,"D",IF(L633&lt;'PlayerGrades+'!$AE$13,"D+",IF(L633&lt;'PlayerGrades+'!$AE$12,"C-",IF(L633&lt;'PlayerGrades+'!$AE$11,"C",IF(L633&lt;'PlayerGrades+'!$AE$10,"C+",IF(L633&lt;'PlayerGrades+'!$AE$9,"B-",IF(L633&lt;'PlayerGrades+'!$AE$8,"B",IF(L633&lt;'PlayerGrades+'!$AE$7,"B+",IF(L633&lt;'PlayerGrades+'!$AE$6,"A-",IF(L633&lt;'PlayerGrades+'!$AE$5,"A",IF(L633&lt;'PlayerGrades+'!$AE$4,"A+",IF(L633&lt;'PlayerGrades+'!$AE$3,"S-",IF(L633&lt;'PlayerGrades+'!$AE$2,"S","S+"))))))))))))))))))))</f>
        <v>#DIV/0!</v>
      </c>
      <c r="N633" s="1423" t="str">
        <f t="shared" si="17"/>
        <v>#DIV/0!</v>
      </c>
      <c r="O633" s="1423" t="str">
        <f>IF(N633&lt;'PlayerGrades+'!$AF$21,"F-",IF(N633&lt;'PlayerGrades+'!$AF$20,"F",IF(N633&lt;'PlayerGrades+'!$AF$19,"F+",IF(N633&lt;'PlayerGrades+'!$AF$18,"E-",IF(N633&lt;'PlayerGrades+'!$AF$17,"E",IF(N633&lt;'PlayerGrades+'!$AF$16,"E+",IF(N633&lt;'PlayerGrades+'!$AF$15,"D-",IF(N633&lt;'PlayerGrades+'!$AF$14,"D",IF(N633&lt;'PlayerGrades+'!$AF$13,"D+",IF(N633&lt;'PlayerGrades+'!$AF$12,"C-",IF(N633&lt;'PlayerGrades+'!$AF$11,"C",IF(N633&lt;'PlayerGrades+'!$AF$10,"C+",IF(N633&lt;'PlayerGrades+'!$AF$9,"B-",IF(N633&lt;'PlayerGrades+'!$AF$8,"B",IF(N633&lt;'PlayerGrades+'!$AF$7,"B+",IF(N633&lt;'PlayerGrades+'!$AF$6,"A-",IF(N633&lt;'PlayerGrades+'!$AF$5,"A",IF(N633&lt;'PlayerGrades+'!$AF$4,"A+",IF(N633&lt;'PlayerGrades+'!$AF$3,"S-",IF(N633&lt;'PlayerGrades+'!$AF$2,"S","S+"))))))))))))))))))))</f>
        <v>#DIV/0!</v>
      </c>
      <c r="P633" s="1423" t="str">
        <f t="shared" si="18"/>
        <v>#DIV/0!</v>
      </c>
      <c r="Q633" s="1423" t="str">
        <f>IF(P633&lt;'PlayerGrades+'!$AG$21,"F-",IF(P633&lt;'PlayerGrades+'!$AG$20,"F",IF(P633&lt;'PlayerGrades+'!$AG$19,"F+",IF(P633&lt;'PlayerGrades+'!$AG$18,"E-",IF(P633&lt;'PlayerGrades+'!$AG$17,"E",IF(P633&lt;'PlayerGrades+'!$AG$16,"E+",IF(P633&lt;'PlayerGrades+'!$AG$15,"D-",IF(P633&lt;'PlayerGrades+'!$AG$14,"D",IF(P633&lt;'PlayerGrades+'!$AG$13,"D+",IF(P633&lt;'PlayerGrades+'!$AG$12,"C-",IF(P633&lt;'PlayerGrades+'!$AG$11,"C",IF(P633&lt;'PlayerGrades+'!$AG$10,"C+",IF(P633&lt;'PlayerGrades+'!$AG$9,"B-",IF(P633&lt;'PlayerGrades+'!$AG$8,"B",IF(P633&lt;'PlayerGrades+'!$AG$7,"B+",IF(P633&lt;'PlayerGrades+'!$AG$6,"A-",IF(P633&lt;'PlayerGrades+'!$AG$5,"A",IF(P633&lt;'PlayerGrades+'!$AG$4,"A+",IF(P633&lt;'PlayerGrades+'!$AG$3,"S-",IF(P633&lt;'PlayerGrades+'!$AG$2,"S","S+"))))))))))))))))))))</f>
        <v>#DIV/0!</v>
      </c>
      <c r="R633" s="1423" t="str">
        <f t="shared" si="19"/>
        <v>#REF!</v>
      </c>
      <c r="S633" s="1423" t="str">
        <f>IF(R633&lt;'PlayerGrades+'!$AH$21,"F-",IF(R633&lt;'PlayerGrades+'!$AH$20,"F",IF(R633&lt;'PlayerGrades+'!$AH$19,"F+",IF(R633&lt;'PlayerGrades+'!$AH$18,"E-",IF(R633&lt;'PlayerGrades+'!$AH$17,"E",IF(R633&lt;'PlayerGrades+'!$AH$16,"E+",IF(R633&lt;'PlayerGrades+'!$AH$15,"D-",IF(R633&lt;'PlayerGrades+'!$AH$14,"D",IF(R633&lt;'PlayerGrades+'!$AH$13,"D+",IF(R633&lt;'PlayerGrades+'!$AH$12,"C-",IF(R633&lt;'PlayerGrades+'!$AH$11,"C",IF(R633&lt;'PlayerGrades+'!$AH$10,"C+",IF(R633&lt;'PlayerGrades+'!$AH$9,"B-",IF(R633&lt;'PlayerGrades+'!$AH$8,"B",IF(R633&lt;'PlayerGrades+'!$AH$7,"B+",IF(R633&lt;'PlayerGrades+'!$AH$6,"A-",IF(R633&lt;'PlayerGrades+'!$AH$5,"A",IF(R633&lt;'PlayerGrades+'!$AH$4,"A+",IF(R633&lt;'PlayerGrades+'!$AH$3,"S-",IF(R633&lt;'PlayerGrades+'!$AH$2,"S","S+"))))))))))))))))))))</f>
        <v>#REF!</v>
      </c>
      <c r="T633" s="1423" t="str">
        <f t="shared" si="20"/>
        <v>#REF!</v>
      </c>
      <c r="U633" s="1423" t="str">
        <f>IF(T633&lt;'PlayerGrades+'!$AI$21,"F-",IF(T633&lt;'PlayerGrades+'!$AI$20,"F",IF(T633&lt;'PlayerGrades+'!$AI$19,"F+",IF(T633&lt;'PlayerGrades+'!$AI$18,"E-",IF(T633&lt;'PlayerGrades+'!$AI$17,"E",IF(T633&lt;'PlayerGrades+'!$AI$16,"E+",IF(T633&lt;'PlayerGrades+'!$AI$15,"D-",IF(T633&lt;'PlayerGrades+'!$AI$14,"D",IF(T633&lt;'PlayerGrades+'!$AI$13,"D+",IF(T633&lt;'PlayerGrades+'!$AI$12,"C-",IF(T633&lt;'PlayerGrades+'!$AI$11,"C",IF(T633&lt;'PlayerGrades+'!$AI$10,"C+",IF(T633&lt;'PlayerGrades+'!$AI$9,"B-",IF(T633&lt;'PlayerGrades+'!$AI$8,"B",IF(T633&lt;'PlayerGrades+'!$AI$7,"B+",IF(T633&lt;'PlayerGrades+'!$AI$6,"A-",IF(T633&lt;'PlayerGrades+'!$AI$5,"A",IF(T633&lt;'PlayerGrades+'!$AI$4,"A+",IF(T633&lt;'PlayerGrades+'!$AI$3,"S-",IF(T633&lt;'PlayerGrades+'!$AI$2,"S","S+"))))))))))))))))))))</f>
        <v>#REF!</v>
      </c>
      <c r="V633" s="1386"/>
      <c r="W633" s="1411"/>
      <c r="X633" s="1386"/>
      <c r="Y633" s="1386"/>
      <c r="Z633" s="1386"/>
      <c r="AA633" s="1386"/>
      <c r="AB633" s="1386"/>
      <c r="AC633" s="1397"/>
      <c r="AD633" s="1386"/>
      <c r="AE633" s="1386"/>
      <c r="AF633" s="1386"/>
      <c r="AG633" s="1386"/>
      <c r="AH633" s="1386"/>
      <c r="AI633" s="1386"/>
      <c r="AJ633" s="1386"/>
      <c r="AK633" s="1386"/>
      <c r="AL633" s="1386"/>
      <c r="AM633" s="1386"/>
      <c r="AN633" s="1386"/>
      <c r="AO633" s="1386"/>
      <c r="AP633" s="1386"/>
      <c r="AQ633" s="1386"/>
      <c r="AR633" s="1386"/>
      <c r="AS633" s="1386"/>
      <c r="AT633" s="1386"/>
      <c r="AU633" s="1386"/>
      <c r="AV633" s="1386"/>
      <c r="AW633" s="1386"/>
      <c r="AX633" s="1386"/>
      <c r="AY633" s="1386"/>
      <c r="AZ633" s="1386"/>
    </row>
    <row r="634">
      <c r="A634" s="1389"/>
      <c r="B634" s="1421" t="str">
        <f>IF(C634&lt;'PlayerGrades+'!$Y$44,"F-",IF(C634&lt;'PlayerGrades+'!$Y$43,"F",IF(C634&lt;'PlayerGrades+'!$Y$42,"F+",IF(C634&lt;'PlayerGrades+'!$Y$41,"E-",IF(C634&lt;'PlayerGrades+'!$Y$40,"E",IF(C634&lt;'PlayerGrades+'!$Y$39,"E+",IF(C634&lt;'PlayerGrades+'!$Y$38,"D-",IF(C634&lt;'PlayerGrades+'!$Y$37,"D",IF(C634&lt;'PlayerGrades+'!$Y$36,"D+",IF(C634&lt;'PlayerGrades+'!$Y$35,"C-",IF(C634&lt;'PlayerGrades+'!$Y$34,"C",IF(C634&lt;'PlayerGrades+'!$Y$33,"C+",IF(C634&lt;'PlayerGrades+'!$Y$32,"B-",IF(C634&lt;'PlayerGrades+'!$Y$31,"B",IF(C634&lt;'PlayerGrades+'!$Y$30,"B+",IF(C634&lt;'PlayerGrades+'!$Y$29,"A-",IF(C634&lt;'PlayerGrades+'!$Y$28,"A",IF(C634&lt;'PlayerGrades+'!$Y$27,"A+",IF(C634&lt;'PlayerGrades+'!$Y$26,"S-",IF(C634&lt;'PlayerGrades+'!$Y$25,"S","S+"))))))))))))))))))))</f>
        <v>#DIV/0!</v>
      </c>
      <c r="C634" s="1422" t="str">
        <f>('PlayerGrades+'!$Y$47*(VLOOKUP(E634, 'PlayerGrades+'!$X$3:$Y$23, 2, FALSE)))+('PlayerGrades+'!$Y$48*(VLOOKUP(G634, 'PlayerGrades+'!$X$3:$Y$23, 2, FALSE)))+('PlayerGrades+'!$Y$49*(VLOOKUP(I634, 'PlayerGrades+'!$X$3:$Y$23, 2, FALSE)))+('PlayerGrades+'!$Y$50*(VLOOKUP(K634, 'PlayerGrades+'!$X$3:$Y$23, 2, FALSE)))+('PlayerGrades+'!$Y$51*(VLOOKUP(M634, 'PlayerGrades+'!$X$3:$Y$23, 2, FALSE)))+('PlayerGrades+'!$Y$52*(VLOOKUP(O634, 'PlayerGrades+'!$X$3:$Y$23, 2, FALSE)))+('PlayerGrades+'!$Y$53*(VLOOKUP(Q634, 'PlayerGrades+'!$X$3:$Y$23, 2, FALSE)))+('PlayerGrades+'!$Y$54*(VLOOKUP(S634, 'PlayerGrades+'!$X$3:$Y$23, 2, FALSE)))+('PlayerGrades+'!$Y$55*(VLOOKUP(U634, 'PlayerGrades+'!$X$3:$Y$23, 2, FALSE)))</f>
        <v>#DIV/0!</v>
      </c>
      <c r="D634" s="1423" t="str">
        <f t="shared" si="12"/>
        <v>#DIV/0!</v>
      </c>
      <c r="E634" s="1423" t="str">
        <f>IF(D634&lt;'PlayerGrades+'!$AA$21,"F-",IF(D634&lt;'PlayerGrades+'!$AA$20,"F",IF(D634&lt;'PlayerGrades+'!$AA$19,"F+",IF(D634&lt;'PlayerGrades+'!$AA$18,"E-",IF(D634&lt;'PlayerGrades+'!$AA$17,"E",IF(D634&lt;'PlayerGrades+'!$AA$16,"E+",IF(D634&lt;'PlayerGrades+'!$AA$15,"D-",IF(D634&lt;'PlayerGrades+'!$AA$14,"D",IF(D634&lt;'PlayerGrades+'!$AA$13,"D+",IF(D634&lt;'PlayerGrades+'!$AA$12,"C-",IF(D634&lt;'PlayerGrades+'!$AA$11,"C",IF(D634&lt;'PlayerGrades+'!$AA$10,"C+",IF(D634&lt;'PlayerGrades+'!$AA$9,"B-",IF(D634&lt;'PlayerGrades+'!$AA$8,"B",IF(D634&lt;'PlayerGrades+'!$AA$7,"B+",IF(D634&lt;'PlayerGrades+'!$AA$6,"A-",IF(D634&lt;'PlayerGrades+'!$AA$5,"A",IF(D634&lt;'PlayerGrades+'!$AA$4,"A+",IF(D634&lt;'PlayerGrades+'!$AA$3,"S-",IF(D634&lt;'PlayerGrades+'!$AA$2,"S","S+"))))))))))))))))))))</f>
        <v>#DIV/0!</v>
      </c>
      <c r="F634" s="1423" t="str">
        <f t="shared" si="13"/>
        <v>#DIV/0!</v>
      </c>
      <c r="G634" s="1423" t="str">
        <f>IF(F634&lt;'PlayerGrades+'!$AB$21,"F-",IF(F634&lt;'PlayerGrades+'!$AB$20,"F",IF(F634&lt;'PlayerGrades+'!$AB$19,"F+",IF(F634&lt;'PlayerGrades+'!$AB$18,"E-",IF(F634&lt;'PlayerGrades+'!$AB$17,"E",IF(F634&lt;'PlayerGrades+'!$AB$16,"E+",IF(F634&lt;'PlayerGrades+'!$AB$15,"D-",IF(F634&lt;'PlayerGrades+'!$AB$14,"D",IF(F634&lt;'PlayerGrades+'!$AB$13,"D+",IF(F634&lt;'PlayerGrades+'!$AB$12,"C-",IF(F634&lt;'PlayerGrades+'!$AB$11,"C",IF(F634&lt;'PlayerGrades+'!$AB$10,"C+",IF(F634&lt;'PlayerGrades+'!$AB$9,"B-",IF(F634&lt;'PlayerGrades+'!$AB$8,"B",IF(F634&lt;'PlayerGrades+'!$AB$7,"B+",IF(F634&lt;'PlayerGrades+'!$AB$6,"A-",IF(F634&lt;'PlayerGrades+'!$AB$5,"A",IF(F634&lt;'PlayerGrades+'!$AB$4,"A+",IF(F634&lt;'PlayerGrades+'!$AB$3,"S-",IF(F634&lt;'PlayerGrades+'!$AB$2,"S","S+"))))))))))))))))))))</f>
        <v>#DIV/0!</v>
      </c>
      <c r="H634" s="1423" t="str">
        <f t="shared" si="14"/>
        <v>#DIV/0!</v>
      </c>
      <c r="I634" s="1423" t="str">
        <f>IF(H634&lt;'PlayerGrades+'!$AC$21,"F-",IF(H634&lt;'PlayerGrades+'!$AC$20,"F",IF(H634&lt;'PlayerGrades+'!$AC$19,"F+",IF(H634&lt;'PlayerGrades+'!$AC$18,"E-",IF(H634&lt;'PlayerGrades+'!$AC$17,"E",IF(H634&lt;'PlayerGrades+'!$AC$16,"E+",IF(H634&lt;'PlayerGrades+'!$AC$15,"D-",IF(H634&lt;'PlayerGrades+'!$AC$14,"D",IF(H634&lt;'PlayerGrades+'!$AC$13,"D+",IF(H634&lt;'PlayerGrades+'!$AC$12,"C-",IF(H634&lt;'PlayerGrades+'!$AC$11,"C",IF(H634&lt;'PlayerGrades+'!$AC$10,"C+",IF(H634&lt;'PlayerGrades+'!$AC$9,"B-",IF(H634&lt;'PlayerGrades+'!$AC$8,"B",IF(H634&lt;'PlayerGrades+'!$AC$7,"B+",IF(H634&lt;'PlayerGrades+'!$AC$6,"A-",IF(H634&lt;'PlayerGrades+'!$AC$5,"A",IF(H634&lt;'PlayerGrades+'!$AC$4,"A+",IF(H634&lt;'PlayerGrades+'!$AC$3,"S-",IF(H634&lt;'PlayerGrades+'!$AC$2,"S","S+"))))))))))))))))))))</f>
        <v>#DIV/0!</v>
      </c>
      <c r="J634" s="1423" t="str">
        <f t="shared" si="15"/>
        <v>#DIV/0!</v>
      </c>
      <c r="K634" s="1423" t="str">
        <f>IF(J634&lt;'PlayerGrades+'!$AD$21,"F-",IF(J634&lt;'PlayerGrades+'!$AD$20,"F",IF(J634&lt;'PlayerGrades+'!$AD$19,"F+",IF(J634&lt;'PlayerGrades+'!$AD$18,"E-",IF(J634&lt;'PlayerGrades+'!$AD$17,"E",IF(J634&lt;'PlayerGrades+'!$AD$16,"E+",IF(J634&lt;'PlayerGrades+'!$AD$15,"D-",IF(J634&lt;'PlayerGrades+'!$AD$14,"D",IF(J634&lt;'PlayerGrades+'!$AD$13,"D+",IF(J634&lt;'PlayerGrades+'!$AD$12,"C-",IF(J634&lt;'PlayerGrades+'!$AD$11,"C",IF(J634&lt;'PlayerGrades+'!$AD$10,"C+",IF(J634&lt;'PlayerGrades+'!$AD$9,"B-",IF(J634&lt;'PlayerGrades+'!$AD$8,"B",IF(J634&lt;'PlayerGrades+'!$AD$7,"B+",IF(J634&lt;'PlayerGrades+'!$AD$6,"A-",IF(J634&lt;'PlayerGrades+'!$AD$5,"A",IF(J634&lt;'PlayerGrades+'!$AD$4,"A+",IF(J634&lt;'PlayerGrades+'!$AD$3,"S-",IF(J634&lt;'PlayerGrades+'!$AD$2,"S","S+"))))))))))))))))))))</f>
        <v>#DIV/0!</v>
      </c>
      <c r="L634" s="1176" t="str">
        <f t="shared" si="16"/>
        <v>#DIV/0!</v>
      </c>
      <c r="M634" s="992" t="str">
        <f>IF(L634&lt;'PlayerGrades+'!$AE$21,"F-",IF(L634&lt;'PlayerGrades+'!$AE$20,"F",IF(L634&lt;'PlayerGrades+'!$AE$19,"F+",IF(L634&lt;'PlayerGrades+'!$AE$18,"E-",IF(L634&lt;'PlayerGrades+'!$AE$17,"E",IF(L634&lt;'PlayerGrades+'!$AE$16,"E+",IF(L634&lt;'PlayerGrades+'!$AE$15,"D-",IF(L634&lt;'PlayerGrades+'!$AE$14,"D",IF(L634&lt;'PlayerGrades+'!$AE$13,"D+",IF(L634&lt;'PlayerGrades+'!$AE$12,"C-",IF(L634&lt;'PlayerGrades+'!$AE$11,"C",IF(L634&lt;'PlayerGrades+'!$AE$10,"C+",IF(L634&lt;'PlayerGrades+'!$AE$9,"B-",IF(L634&lt;'PlayerGrades+'!$AE$8,"B",IF(L634&lt;'PlayerGrades+'!$AE$7,"B+",IF(L634&lt;'PlayerGrades+'!$AE$6,"A-",IF(L634&lt;'PlayerGrades+'!$AE$5,"A",IF(L634&lt;'PlayerGrades+'!$AE$4,"A+",IF(L634&lt;'PlayerGrades+'!$AE$3,"S-",IF(L634&lt;'PlayerGrades+'!$AE$2,"S","S+"))))))))))))))))))))</f>
        <v>#DIV/0!</v>
      </c>
      <c r="N634" s="1423" t="str">
        <f t="shared" si="17"/>
        <v>#DIV/0!</v>
      </c>
      <c r="O634" s="1423" t="str">
        <f>IF(N634&lt;'PlayerGrades+'!$AF$21,"F-",IF(N634&lt;'PlayerGrades+'!$AF$20,"F",IF(N634&lt;'PlayerGrades+'!$AF$19,"F+",IF(N634&lt;'PlayerGrades+'!$AF$18,"E-",IF(N634&lt;'PlayerGrades+'!$AF$17,"E",IF(N634&lt;'PlayerGrades+'!$AF$16,"E+",IF(N634&lt;'PlayerGrades+'!$AF$15,"D-",IF(N634&lt;'PlayerGrades+'!$AF$14,"D",IF(N634&lt;'PlayerGrades+'!$AF$13,"D+",IF(N634&lt;'PlayerGrades+'!$AF$12,"C-",IF(N634&lt;'PlayerGrades+'!$AF$11,"C",IF(N634&lt;'PlayerGrades+'!$AF$10,"C+",IF(N634&lt;'PlayerGrades+'!$AF$9,"B-",IF(N634&lt;'PlayerGrades+'!$AF$8,"B",IF(N634&lt;'PlayerGrades+'!$AF$7,"B+",IF(N634&lt;'PlayerGrades+'!$AF$6,"A-",IF(N634&lt;'PlayerGrades+'!$AF$5,"A",IF(N634&lt;'PlayerGrades+'!$AF$4,"A+",IF(N634&lt;'PlayerGrades+'!$AF$3,"S-",IF(N634&lt;'PlayerGrades+'!$AF$2,"S","S+"))))))))))))))))))))</f>
        <v>#DIV/0!</v>
      </c>
      <c r="P634" s="1423" t="str">
        <f t="shared" si="18"/>
        <v>#DIV/0!</v>
      </c>
      <c r="Q634" s="1423" t="str">
        <f>IF(P634&lt;'PlayerGrades+'!$AG$21,"F-",IF(P634&lt;'PlayerGrades+'!$AG$20,"F",IF(P634&lt;'PlayerGrades+'!$AG$19,"F+",IF(P634&lt;'PlayerGrades+'!$AG$18,"E-",IF(P634&lt;'PlayerGrades+'!$AG$17,"E",IF(P634&lt;'PlayerGrades+'!$AG$16,"E+",IF(P634&lt;'PlayerGrades+'!$AG$15,"D-",IF(P634&lt;'PlayerGrades+'!$AG$14,"D",IF(P634&lt;'PlayerGrades+'!$AG$13,"D+",IF(P634&lt;'PlayerGrades+'!$AG$12,"C-",IF(P634&lt;'PlayerGrades+'!$AG$11,"C",IF(P634&lt;'PlayerGrades+'!$AG$10,"C+",IF(P634&lt;'PlayerGrades+'!$AG$9,"B-",IF(P634&lt;'PlayerGrades+'!$AG$8,"B",IF(P634&lt;'PlayerGrades+'!$AG$7,"B+",IF(P634&lt;'PlayerGrades+'!$AG$6,"A-",IF(P634&lt;'PlayerGrades+'!$AG$5,"A",IF(P634&lt;'PlayerGrades+'!$AG$4,"A+",IF(P634&lt;'PlayerGrades+'!$AG$3,"S-",IF(P634&lt;'PlayerGrades+'!$AG$2,"S","S+"))))))))))))))))))))</f>
        <v>#DIV/0!</v>
      </c>
      <c r="R634" s="1423" t="str">
        <f t="shared" si="19"/>
        <v>#REF!</v>
      </c>
      <c r="S634" s="1423" t="str">
        <f>IF(R634&lt;'PlayerGrades+'!$AH$21,"F-",IF(R634&lt;'PlayerGrades+'!$AH$20,"F",IF(R634&lt;'PlayerGrades+'!$AH$19,"F+",IF(R634&lt;'PlayerGrades+'!$AH$18,"E-",IF(R634&lt;'PlayerGrades+'!$AH$17,"E",IF(R634&lt;'PlayerGrades+'!$AH$16,"E+",IF(R634&lt;'PlayerGrades+'!$AH$15,"D-",IF(R634&lt;'PlayerGrades+'!$AH$14,"D",IF(R634&lt;'PlayerGrades+'!$AH$13,"D+",IF(R634&lt;'PlayerGrades+'!$AH$12,"C-",IF(R634&lt;'PlayerGrades+'!$AH$11,"C",IF(R634&lt;'PlayerGrades+'!$AH$10,"C+",IF(R634&lt;'PlayerGrades+'!$AH$9,"B-",IF(R634&lt;'PlayerGrades+'!$AH$8,"B",IF(R634&lt;'PlayerGrades+'!$AH$7,"B+",IF(R634&lt;'PlayerGrades+'!$AH$6,"A-",IF(R634&lt;'PlayerGrades+'!$AH$5,"A",IF(R634&lt;'PlayerGrades+'!$AH$4,"A+",IF(R634&lt;'PlayerGrades+'!$AH$3,"S-",IF(R634&lt;'PlayerGrades+'!$AH$2,"S","S+"))))))))))))))))))))</f>
        <v>#REF!</v>
      </c>
      <c r="T634" s="1423" t="str">
        <f t="shared" si="20"/>
        <v>#REF!</v>
      </c>
      <c r="U634" s="1423" t="str">
        <f>IF(T634&lt;'PlayerGrades+'!$AI$21,"F-",IF(T634&lt;'PlayerGrades+'!$AI$20,"F",IF(T634&lt;'PlayerGrades+'!$AI$19,"F+",IF(T634&lt;'PlayerGrades+'!$AI$18,"E-",IF(T634&lt;'PlayerGrades+'!$AI$17,"E",IF(T634&lt;'PlayerGrades+'!$AI$16,"E+",IF(T634&lt;'PlayerGrades+'!$AI$15,"D-",IF(T634&lt;'PlayerGrades+'!$AI$14,"D",IF(T634&lt;'PlayerGrades+'!$AI$13,"D+",IF(T634&lt;'PlayerGrades+'!$AI$12,"C-",IF(T634&lt;'PlayerGrades+'!$AI$11,"C",IF(T634&lt;'PlayerGrades+'!$AI$10,"C+",IF(T634&lt;'PlayerGrades+'!$AI$9,"B-",IF(T634&lt;'PlayerGrades+'!$AI$8,"B",IF(T634&lt;'PlayerGrades+'!$AI$7,"B+",IF(T634&lt;'PlayerGrades+'!$AI$6,"A-",IF(T634&lt;'PlayerGrades+'!$AI$5,"A",IF(T634&lt;'PlayerGrades+'!$AI$4,"A+",IF(T634&lt;'PlayerGrades+'!$AI$3,"S-",IF(T634&lt;'PlayerGrades+'!$AI$2,"S","S+"))))))))))))))))))))</f>
        <v>#REF!</v>
      </c>
      <c r="V634" s="1379"/>
      <c r="W634" s="1379"/>
      <c r="X634" s="1379"/>
      <c r="Y634" s="1379"/>
      <c r="Z634" s="1379"/>
      <c r="AA634" s="1379"/>
      <c r="AB634" s="1379"/>
      <c r="AC634" s="1390"/>
      <c r="AD634" s="1379"/>
      <c r="AE634" s="1379"/>
      <c r="AF634" s="1379"/>
      <c r="AG634" s="1379"/>
      <c r="AH634" s="1379"/>
      <c r="AI634" s="1379"/>
      <c r="AJ634" s="1379"/>
      <c r="AK634" s="1379"/>
      <c r="AL634" s="1379"/>
      <c r="AM634" s="1379"/>
      <c r="AN634" s="1379"/>
      <c r="AO634" s="1379"/>
      <c r="AP634" s="1379"/>
      <c r="AQ634" s="1379"/>
      <c r="AR634" s="1379"/>
      <c r="AS634" s="1379"/>
      <c r="AT634" s="1379"/>
      <c r="AU634" s="1379"/>
      <c r="AV634" s="1379"/>
      <c r="AW634" s="1379"/>
      <c r="AX634" s="1379"/>
      <c r="AY634" s="1379"/>
      <c r="AZ634" s="1379"/>
    </row>
    <row r="635">
      <c r="A635" s="1391"/>
      <c r="B635" s="1421" t="str">
        <f>IF(C635&lt;'PlayerGrades+'!$Y$44,"F-",IF(C635&lt;'PlayerGrades+'!$Y$43,"F",IF(C635&lt;'PlayerGrades+'!$Y$42,"F+",IF(C635&lt;'PlayerGrades+'!$Y$41,"E-",IF(C635&lt;'PlayerGrades+'!$Y$40,"E",IF(C635&lt;'PlayerGrades+'!$Y$39,"E+",IF(C635&lt;'PlayerGrades+'!$Y$38,"D-",IF(C635&lt;'PlayerGrades+'!$Y$37,"D",IF(C635&lt;'PlayerGrades+'!$Y$36,"D+",IF(C635&lt;'PlayerGrades+'!$Y$35,"C-",IF(C635&lt;'PlayerGrades+'!$Y$34,"C",IF(C635&lt;'PlayerGrades+'!$Y$33,"C+",IF(C635&lt;'PlayerGrades+'!$Y$32,"B-",IF(C635&lt;'PlayerGrades+'!$Y$31,"B",IF(C635&lt;'PlayerGrades+'!$Y$30,"B+",IF(C635&lt;'PlayerGrades+'!$Y$29,"A-",IF(C635&lt;'PlayerGrades+'!$Y$28,"A",IF(C635&lt;'PlayerGrades+'!$Y$27,"A+",IF(C635&lt;'PlayerGrades+'!$Y$26,"S-",IF(C635&lt;'PlayerGrades+'!$Y$25,"S","S+"))))))))))))))))))))</f>
        <v>#DIV/0!</v>
      </c>
      <c r="C635" s="1422" t="str">
        <f>('PlayerGrades+'!$Y$47*(VLOOKUP(E635, 'PlayerGrades+'!$X$3:$Y$23, 2, FALSE)))+('PlayerGrades+'!$Y$48*(VLOOKUP(G635, 'PlayerGrades+'!$X$3:$Y$23, 2, FALSE)))+('PlayerGrades+'!$Y$49*(VLOOKUP(I635, 'PlayerGrades+'!$X$3:$Y$23, 2, FALSE)))+('PlayerGrades+'!$Y$50*(VLOOKUP(K635, 'PlayerGrades+'!$X$3:$Y$23, 2, FALSE)))+('PlayerGrades+'!$Y$51*(VLOOKUP(M635, 'PlayerGrades+'!$X$3:$Y$23, 2, FALSE)))+('PlayerGrades+'!$Y$52*(VLOOKUP(O635, 'PlayerGrades+'!$X$3:$Y$23, 2, FALSE)))+('PlayerGrades+'!$Y$53*(VLOOKUP(Q635, 'PlayerGrades+'!$X$3:$Y$23, 2, FALSE)))+('PlayerGrades+'!$Y$54*(VLOOKUP(S635, 'PlayerGrades+'!$X$3:$Y$23, 2, FALSE)))+('PlayerGrades+'!$Y$55*(VLOOKUP(U635, 'PlayerGrades+'!$X$3:$Y$23, 2, FALSE)))</f>
        <v>#DIV/0!</v>
      </c>
      <c r="D635" s="1423" t="str">
        <f t="shared" si="12"/>
        <v>#DIV/0!</v>
      </c>
      <c r="E635" s="1423" t="str">
        <f>IF(D635&lt;'PlayerGrades+'!$AA$21,"F-",IF(D635&lt;'PlayerGrades+'!$AA$20,"F",IF(D635&lt;'PlayerGrades+'!$AA$19,"F+",IF(D635&lt;'PlayerGrades+'!$AA$18,"E-",IF(D635&lt;'PlayerGrades+'!$AA$17,"E",IF(D635&lt;'PlayerGrades+'!$AA$16,"E+",IF(D635&lt;'PlayerGrades+'!$AA$15,"D-",IF(D635&lt;'PlayerGrades+'!$AA$14,"D",IF(D635&lt;'PlayerGrades+'!$AA$13,"D+",IF(D635&lt;'PlayerGrades+'!$AA$12,"C-",IF(D635&lt;'PlayerGrades+'!$AA$11,"C",IF(D635&lt;'PlayerGrades+'!$AA$10,"C+",IF(D635&lt;'PlayerGrades+'!$AA$9,"B-",IF(D635&lt;'PlayerGrades+'!$AA$8,"B",IF(D635&lt;'PlayerGrades+'!$AA$7,"B+",IF(D635&lt;'PlayerGrades+'!$AA$6,"A-",IF(D635&lt;'PlayerGrades+'!$AA$5,"A",IF(D635&lt;'PlayerGrades+'!$AA$4,"A+",IF(D635&lt;'PlayerGrades+'!$AA$3,"S-",IF(D635&lt;'PlayerGrades+'!$AA$2,"S","S+"))))))))))))))))))))</f>
        <v>#DIV/0!</v>
      </c>
      <c r="F635" s="1423" t="str">
        <f t="shared" si="13"/>
        <v>#DIV/0!</v>
      </c>
      <c r="G635" s="1423" t="str">
        <f>IF(F635&lt;'PlayerGrades+'!$AB$21,"F-",IF(F635&lt;'PlayerGrades+'!$AB$20,"F",IF(F635&lt;'PlayerGrades+'!$AB$19,"F+",IF(F635&lt;'PlayerGrades+'!$AB$18,"E-",IF(F635&lt;'PlayerGrades+'!$AB$17,"E",IF(F635&lt;'PlayerGrades+'!$AB$16,"E+",IF(F635&lt;'PlayerGrades+'!$AB$15,"D-",IF(F635&lt;'PlayerGrades+'!$AB$14,"D",IF(F635&lt;'PlayerGrades+'!$AB$13,"D+",IF(F635&lt;'PlayerGrades+'!$AB$12,"C-",IF(F635&lt;'PlayerGrades+'!$AB$11,"C",IF(F635&lt;'PlayerGrades+'!$AB$10,"C+",IF(F635&lt;'PlayerGrades+'!$AB$9,"B-",IF(F635&lt;'PlayerGrades+'!$AB$8,"B",IF(F635&lt;'PlayerGrades+'!$AB$7,"B+",IF(F635&lt;'PlayerGrades+'!$AB$6,"A-",IF(F635&lt;'PlayerGrades+'!$AB$5,"A",IF(F635&lt;'PlayerGrades+'!$AB$4,"A+",IF(F635&lt;'PlayerGrades+'!$AB$3,"S-",IF(F635&lt;'PlayerGrades+'!$AB$2,"S","S+"))))))))))))))))))))</f>
        <v>#DIV/0!</v>
      </c>
      <c r="H635" s="1423" t="str">
        <f t="shared" si="14"/>
        <v>#DIV/0!</v>
      </c>
      <c r="I635" s="1423" t="str">
        <f>IF(H635&lt;'PlayerGrades+'!$AC$21,"F-",IF(H635&lt;'PlayerGrades+'!$AC$20,"F",IF(H635&lt;'PlayerGrades+'!$AC$19,"F+",IF(H635&lt;'PlayerGrades+'!$AC$18,"E-",IF(H635&lt;'PlayerGrades+'!$AC$17,"E",IF(H635&lt;'PlayerGrades+'!$AC$16,"E+",IF(H635&lt;'PlayerGrades+'!$AC$15,"D-",IF(H635&lt;'PlayerGrades+'!$AC$14,"D",IF(H635&lt;'PlayerGrades+'!$AC$13,"D+",IF(H635&lt;'PlayerGrades+'!$AC$12,"C-",IF(H635&lt;'PlayerGrades+'!$AC$11,"C",IF(H635&lt;'PlayerGrades+'!$AC$10,"C+",IF(H635&lt;'PlayerGrades+'!$AC$9,"B-",IF(H635&lt;'PlayerGrades+'!$AC$8,"B",IF(H635&lt;'PlayerGrades+'!$AC$7,"B+",IF(H635&lt;'PlayerGrades+'!$AC$6,"A-",IF(H635&lt;'PlayerGrades+'!$AC$5,"A",IF(H635&lt;'PlayerGrades+'!$AC$4,"A+",IF(H635&lt;'PlayerGrades+'!$AC$3,"S-",IF(H635&lt;'PlayerGrades+'!$AC$2,"S","S+"))))))))))))))))))))</f>
        <v>#DIV/0!</v>
      </c>
      <c r="J635" s="1423" t="str">
        <f t="shared" si="15"/>
        <v>#DIV/0!</v>
      </c>
      <c r="K635" s="1423" t="str">
        <f>IF(J635&lt;'PlayerGrades+'!$AD$21,"F-",IF(J635&lt;'PlayerGrades+'!$AD$20,"F",IF(J635&lt;'PlayerGrades+'!$AD$19,"F+",IF(J635&lt;'PlayerGrades+'!$AD$18,"E-",IF(J635&lt;'PlayerGrades+'!$AD$17,"E",IF(J635&lt;'PlayerGrades+'!$AD$16,"E+",IF(J635&lt;'PlayerGrades+'!$AD$15,"D-",IF(J635&lt;'PlayerGrades+'!$AD$14,"D",IF(J635&lt;'PlayerGrades+'!$AD$13,"D+",IF(J635&lt;'PlayerGrades+'!$AD$12,"C-",IF(J635&lt;'PlayerGrades+'!$AD$11,"C",IF(J635&lt;'PlayerGrades+'!$AD$10,"C+",IF(J635&lt;'PlayerGrades+'!$AD$9,"B-",IF(J635&lt;'PlayerGrades+'!$AD$8,"B",IF(J635&lt;'PlayerGrades+'!$AD$7,"B+",IF(J635&lt;'PlayerGrades+'!$AD$6,"A-",IF(J635&lt;'PlayerGrades+'!$AD$5,"A",IF(J635&lt;'PlayerGrades+'!$AD$4,"A+",IF(J635&lt;'PlayerGrades+'!$AD$3,"S-",IF(J635&lt;'PlayerGrades+'!$AD$2,"S","S+"))))))))))))))))))))</f>
        <v>#DIV/0!</v>
      </c>
      <c r="L635" s="1176" t="str">
        <f t="shared" si="16"/>
        <v>#DIV/0!</v>
      </c>
      <c r="M635" s="992" t="str">
        <f>IF(L635&lt;'PlayerGrades+'!$AE$21,"F-",IF(L635&lt;'PlayerGrades+'!$AE$20,"F",IF(L635&lt;'PlayerGrades+'!$AE$19,"F+",IF(L635&lt;'PlayerGrades+'!$AE$18,"E-",IF(L635&lt;'PlayerGrades+'!$AE$17,"E",IF(L635&lt;'PlayerGrades+'!$AE$16,"E+",IF(L635&lt;'PlayerGrades+'!$AE$15,"D-",IF(L635&lt;'PlayerGrades+'!$AE$14,"D",IF(L635&lt;'PlayerGrades+'!$AE$13,"D+",IF(L635&lt;'PlayerGrades+'!$AE$12,"C-",IF(L635&lt;'PlayerGrades+'!$AE$11,"C",IF(L635&lt;'PlayerGrades+'!$AE$10,"C+",IF(L635&lt;'PlayerGrades+'!$AE$9,"B-",IF(L635&lt;'PlayerGrades+'!$AE$8,"B",IF(L635&lt;'PlayerGrades+'!$AE$7,"B+",IF(L635&lt;'PlayerGrades+'!$AE$6,"A-",IF(L635&lt;'PlayerGrades+'!$AE$5,"A",IF(L635&lt;'PlayerGrades+'!$AE$4,"A+",IF(L635&lt;'PlayerGrades+'!$AE$3,"S-",IF(L635&lt;'PlayerGrades+'!$AE$2,"S","S+"))))))))))))))))))))</f>
        <v>#DIV/0!</v>
      </c>
      <c r="N635" s="1423" t="str">
        <f t="shared" si="17"/>
        <v>#DIV/0!</v>
      </c>
      <c r="O635" s="1423" t="str">
        <f>IF(N635&lt;'PlayerGrades+'!$AF$21,"F-",IF(N635&lt;'PlayerGrades+'!$AF$20,"F",IF(N635&lt;'PlayerGrades+'!$AF$19,"F+",IF(N635&lt;'PlayerGrades+'!$AF$18,"E-",IF(N635&lt;'PlayerGrades+'!$AF$17,"E",IF(N635&lt;'PlayerGrades+'!$AF$16,"E+",IF(N635&lt;'PlayerGrades+'!$AF$15,"D-",IF(N635&lt;'PlayerGrades+'!$AF$14,"D",IF(N635&lt;'PlayerGrades+'!$AF$13,"D+",IF(N635&lt;'PlayerGrades+'!$AF$12,"C-",IF(N635&lt;'PlayerGrades+'!$AF$11,"C",IF(N635&lt;'PlayerGrades+'!$AF$10,"C+",IF(N635&lt;'PlayerGrades+'!$AF$9,"B-",IF(N635&lt;'PlayerGrades+'!$AF$8,"B",IF(N635&lt;'PlayerGrades+'!$AF$7,"B+",IF(N635&lt;'PlayerGrades+'!$AF$6,"A-",IF(N635&lt;'PlayerGrades+'!$AF$5,"A",IF(N635&lt;'PlayerGrades+'!$AF$4,"A+",IF(N635&lt;'PlayerGrades+'!$AF$3,"S-",IF(N635&lt;'PlayerGrades+'!$AF$2,"S","S+"))))))))))))))))))))</f>
        <v>#DIV/0!</v>
      </c>
      <c r="P635" s="1423" t="str">
        <f t="shared" si="18"/>
        <v>#DIV/0!</v>
      </c>
      <c r="Q635" s="1423" t="str">
        <f>IF(P635&lt;'PlayerGrades+'!$AG$21,"F-",IF(P635&lt;'PlayerGrades+'!$AG$20,"F",IF(P635&lt;'PlayerGrades+'!$AG$19,"F+",IF(P635&lt;'PlayerGrades+'!$AG$18,"E-",IF(P635&lt;'PlayerGrades+'!$AG$17,"E",IF(P635&lt;'PlayerGrades+'!$AG$16,"E+",IF(P635&lt;'PlayerGrades+'!$AG$15,"D-",IF(P635&lt;'PlayerGrades+'!$AG$14,"D",IF(P635&lt;'PlayerGrades+'!$AG$13,"D+",IF(P635&lt;'PlayerGrades+'!$AG$12,"C-",IF(P635&lt;'PlayerGrades+'!$AG$11,"C",IF(P635&lt;'PlayerGrades+'!$AG$10,"C+",IF(P635&lt;'PlayerGrades+'!$AG$9,"B-",IF(P635&lt;'PlayerGrades+'!$AG$8,"B",IF(P635&lt;'PlayerGrades+'!$AG$7,"B+",IF(P635&lt;'PlayerGrades+'!$AG$6,"A-",IF(P635&lt;'PlayerGrades+'!$AG$5,"A",IF(P635&lt;'PlayerGrades+'!$AG$4,"A+",IF(P635&lt;'PlayerGrades+'!$AG$3,"S-",IF(P635&lt;'PlayerGrades+'!$AG$2,"S","S+"))))))))))))))))))))</f>
        <v>#DIV/0!</v>
      </c>
      <c r="R635" s="1423" t="str">
        <f t="shared" si="19"/>
        <v>#REF!</v>
      </c>
      <c r="S635" s="1423" t="str">
        <f>IF(R635&lt;'PlayerGrades+'!$AH$21,"F-",IF(R635&lt;'PlayerGrades+'!$AH$20,"F",IF(R635&lt;'PlayerGrades+'!$AH$19,"F+",IF(R635&lt;'PlayerGrades+'!$AH$18,"E-",IF(R635&lt;'PlayerGrades+'!$AH$17,"E",IF(R635&lt;'PlayerGrades+'!$AH$16,"E+",IF(R635&lt;'PlayerGrades+'!$AH$15,"D-",IF(R635&lt;'PlayerGrades+'!$AH$14,"D",IF(R635&lt;'PlayerGrades+'!$AH$13,"D+",IF(R635&lt;'PlayerGrades+'!$AH$12,"C-",IF(R635&lt;'PlayerGrades+'!$AH$11,"C",IF(R635&lt;'PlayerGrades+'!$AH$10,"C+",IF(R635&lt;'PlayerGrades+'!$AH$9,"B-",IF(R635&lt;'PlayerGrades+'!$AH$8,"B",IF(R635&lt;'PlayerGrades+'!$AH$7,"B+",IF(R635&lt;'PlayerGrades+'!$AH$6,"A-",IF(R635&lt;'PlayerGrades+'!$AH$5,"A",IF(R635&lt;'PlayerGrades+'!$AH$4,"A+",IF(R635&lt;'PlayerGrades+'!$AH$3,"S-",IF(R635&lt;'PlayerGrades+'!$AH$2,"S","S+"))))))))))))))))))))</f>
        <v>#REF!</v>
      </c>
      <c r="T635" s="1423" t="str">
        <f t="shared" si="20"/>
        <v>#REF!</v>
      </c>
      <c r="U635" s="1423" t="str">
        <f>IF(T635&lt;'PlayerGrades+'!$AI$21,"F-",IF(T635&lt;'PlayerGrades+'!$AI$20,"F",IF(T635&lt;'PlayerGrades+'!$AI$19,"F+",IF(T635&lt;'PlayerGrades+'!$AI$18,"E-",IF(T635&lt;'PlayerGrades+'!$AI$17,"E",IF(T635&lt;'PlayerGrades+'!$AI$16,"E+",IF(T635&lt;'PlayerGrades+'!$AI$15,"D-",IF(T635&lt;'PlayerGrades+'!$AI$14,"D",IF(T635&lt;'PlayerGrades+'!$AI$13,"D+",IF(T635&lt;'PlayerGrades+'!$AI$12,"C-",IF(T635&lt;'PlayerGrades+'!$AI$11,"C",IF(T635&lt;'PlayerGrades+'!$AI$10,"C+",IF(T635&lt;'PlayerGrades+'!$AI$9,"B-",IF(T635&lt;'PlayerGrades+'!$AI$8,"B",IF(T635&lt;'PlayerGrades+'!$AI$7,"B+",IF(T635&lt;'PlayerGrades+'!$AI$6,"A-",IF(T635&lt;'PlayerGrades+'!$AI$5,"A",IF(T635&lt;'PlayerGrades+'!$AI$4,"A+",IF(T635&lt;'PlayerGrades+'!$AI$3,"S-",IF(T635&lt;'PlayerGrades+'!$AI$2,"S","S+"))))))))))))))))))))</f>
        <v>#REF!</v>
      </c>
      <c r="AC635" s="1392"/>
    </row>
    <row r="636">
      <c r="A636" s="1391"/>
      <c r="B636" s="1421" t="str">
        <f>IF(C636&lt;'PlayerGrades+'!$Y$44,"F-",IF(C636&lt;'PlayerGrades+'!$Y$43,"F",IF(C636&lt;'PlayerGrades+'!$Y$42,"F+",IF(C636&lt;'PlayerGrades+'!$Y$41,"E-",IF(C636&lt;'PlayerGrades+'!$Y$40,"E",IF(C636&lt;'PlayerGrades+'!$Y$39,"E+",IF(C636&lt;'PlayerGrades+'!$Y$38,"D-",IF(C636&lt;'PlayerGrades+'!$Y$37,"D",IF(C636&lt;'PlayerGrades+'!$Y$36,"D+",IF(C636&lt;'PlayerGrades+'!$Y$35,"C-",IF(C636&lt;'PlayerGrades+'!$Y$34,"C",IF(C636&lt;'PlayerGrades+'!$Y$33,"C+",IF(C636&lt;'PlayerGrades+'!$Y$32,"B-",IF(C636&lt;'PlayerGrades+'!$Y$31,"B",IF(C636&lt;'PlayerGrades+'!$Y$30,"B+",IF(C636&lt;'PlayerGrades+'!$Y$29,"A-",IF(C636&lt;'PlayerGrades+'!$Y$28,"A",IF(C636&lt;'PlayerGrades+'!$Y$27,"A+",IF(C636&lt;'PlayerGrades+'!$Y$26,"S-",IF(C636&lt;'PlayerGrades+'!$Y$25,"S","S+"))))))))))))))))))))</f>
        <v>#DIV/0!</v>
      </c>
      <c r="C636" s="1422" t="str">
        <f>('PlayerGrades+'!$Y$47*(VLOOKUP(E636, 'PlayerGrades+'!$X$3:$Y$23, 2, FALSE)))+('PlayerGrades+'!$Y$48*(VLOOKUP(G636, 'PlayerGrades+'!$X$3:$Y$23, 2, FALSE)))+('PlayerGrades+'!$Y$49*(VLOOKUP(I636, 'PlayerGrades+'!$X$3:$Y$23, 2, FALSE)))+('PlayerGrades+'!$Y$50*(VLOOKUP(K636, 'PlayerGrades+'!$X$3:$Y$23, 2, FALSE)))+('PlayerGrades+'!$Y$51*(VLOOKUP(M636, 'PlayerGrades+'!$X$3:$Y$23, 2, FALSE)))+('PlayerGrades+'!$Y$52*(VLOOKUP(O636, 'PlayerGrades+'!$X$3:$Y$23, 2, FALSE)))+('PlayerGrades+'!$Y$53*(VLOOKUP(Q636, 'PlayerGrades+'!$X$3:$Y$23, 2, FALSE)))+('PlayerGrades+'!$Y$54*(VLOOKUP(S636, 'PlayerGrades+'!$X$3:$Y$23, 2, FALSE)))+('PlayerGrades+'!$Y$55*(VLOOKUP(U636, 'PlayerGrades+'!$X$3:$Y$23, 2, FALSE)))</f>
        <v>#DIV/0!</v>
      </c>
      <c r="D636" s="1423" t="str">
        <f t="shared" si="12"/>
        <v>#DIV/0!</v>
      </c>
      <c r="E636" s="1423" t="str">
        <f>IF(D636&lt;'PlayerGrades+'!$AA$21,"F-",IF(D636&lt;'PlayerGrades+'!$AA$20,"F",IF(D636&lt;'PlayerGrades+'!$AA$19,"F+",IF(D636&lt;'PlayerGrades+'!$AA$18,"E-",IF(D636&lt;'PlayerGrades+'!$AA$17,"E",IF(D636&lt;'PlayerGrades+'!$AA$16,"E+",IF(D636&lt;'PlayerGrades+'!$AA$15,"D-",IF(D636&lt;'PlayerGrades+'!$AA$14,"D",IF(D636&lt;'PlayerGrades+'!$AA$13,"D+",IF(D636&lt;'PlayerGrades+'!$AA$12,"C-",IF(D636&lt;'PlayerGrades+'!$AA$11,"C",IF(D636&lt;'PlayerGrades+'!$AA$10,"C+",IF(D636&lt;'PlayerGrades+'!$AA$9,"B-",IF(D636&lt;'PlayerGrades+'!$AA$8,"B",IF(D636&lt;'PlayerGrades+'!$AA$7,"B+",IF(D636&lt;'PlayerGrades+'!$AA$6,"A-",IF(D636&lt;'PlayerGrades+'!$AA$5,"A",IF(D636&lt;'PlayerGrades+'!$AA$4,"A+",IF(D636&lt;'PlayerGrades+'!$AA$3,"S-",IF(D636&lt;'PlayerGrades+'!$AA$2,"S","S+"))))))))))))))))))))</f>
        <v>#DIV/0!</v>
      </c>
      <c r="F636" s="1423" t="str">
        <f t="shared" si="13"/>
        <v>#DIV/0!</v>
      </c>
      <c r="G636" s="1423" t="str">
        <f>IF(F636&lt;'PlayerGrades+'!$AB$21,"F-",IF(F636&lt;'PlayerGrades+'!$AB$20,"F",IF(F636&lt;'PlayerGrades+'!$AB$19,"F+",IF(F636&lt;'PlayerGrades+'!$AB$18,"E-",IF(F636&lt;'PlayerGrades+'!$AB$17,"E",IF(F636&lt;'PlayerGrades+'!$AB$16,"E+",IF(F636&lt;'PlayerGrades+'!$AB$15,"D-",IF(F636&lt;'PlayerGrades+'!$AB$14,"D",IF(F636&lt;'PlayerGrades+'!$AB$13,"D+",IF(F636&lt;'PlayerGrades+'!$AB$12,"C-",IF(F636&lt;'PlayerGrades+'!$AB$11,"C",IF(F636&lt;'PlayerGrades+'!$AB$10,"C+",IF(F636&lt;'PlayerGrades+'!$AB$9,"B-",IF(F636&lt;'PlayerGrades+'!$AB$8,"B",IF(F636&lt;'PlayerGrades+'!$AB$7,"B+",IF(F636&lt;'PlayerGrades+'!$AB$6,"A-",IF(F636&lt;'PlayerGrades+'!$AB$5,"A",IF(F636&lt;'PlayerGrades+'!$AB$4,"A+",IF(F636&lt;'PlayerGrades+'!$AB$3,"S-",IF(F636&lt;'PlayerGrades+'!$AB$2,"S","S+"))))))))))))))))))))</f>
        <v>#DIV/0!</v>
      </c>
      <c r="H636" s="1423" t="str">
        <f t="shared" si="14"/>
        <v>#DIV/0!</v>
      </c>
      <c r="I636" s="1423" t="str">
        <f>IF(H636&lt;'PlayerGrades+'!$AC$21,"F-",IF(H636&lt;'PlayerGrades+'!$AC$20,"F",IF(H636&lt;'PlayerGrades+'!$AC$19,"F+",IF(H636&lt;'PlayerGrades+'!$AC$18,"E-",IF(H636&lt;'PlayerGrades+'!$AC$17,"E",IF(H636&lt;'PlayerGrades+'!$AC$16,"E+",IF(H636&lt;'PlayerGrades+'!$AC$15,"D-",IF(H636&lt;'PlayerGrades+'!$AC$14,"D",IF(H636&lt;'PlayerGrades+'!$AC$13,"D+",IF(H636&lt;'PlayerGrades+'!$AC$12,"C-",IF(H636&lt;'PlayerGrades+'!$AC$11,"C",IF(H636&lt;'PlayerGrades+'!$AC$10,"C+",IF(H636&lt;'PlayerGrades+'!$AC$9,"B-",IF(H636&lt;'PlayerGrades+'!$AC$8,"B",IF(H636&lt;'PlayerGrades+'!$AC$7,"B+",IF(H636&lt;'PlayerGrades+'!$AC$6,"A-",IF(H636&lt;'PlayerGrades+'!$AC$5,"A",IF(H636&lt;'PlayerGrades+'!$AC$4,"A+",IF(H636&lt;'PlayerGrades+'!$AC$3,"S-",IF(H636&lt;'PlayerGrades+'!$AC$2,"S","S+"))))))))))))))))))))</f>
        <v>#DIV/0!</v>
      </c>
      <c r="J636" s="1423" t="str">
        <f t="shared" si="15"/>
        <v>#DIV/0!</v>
      </c>
      <c r="K636" s="1423" t="str">
        <f>IF(J636&lt;'PlayerGrades+'!$AD$21,"F-",IF(J636&lt;'PlayerGrades+'!$AD$20,"F",IF(J636&lt;'PlayerGrades+'!$AD$19,"F+",IF(J636&lt;'PlayerGrades+'!$AD$18,"E-",IF(J636&lt;'PlayerGrades+'!$AD$17,"E",IF(J636&lt;'PlayerGrades+'!$AD$16,"E+",IF(J636&lt;'PlayerGrades+'!$AD$15,"D-",IF(J636&lt;'PlayerGrades+'!$AD$14,"D",IF(J636&lt;'PlayerGrades+'!$AD$13,"D+",IF(J636&lt;'PlayerGrades+'!$AD$12,"C-",IF(J636&lt;'PlayerGrades+'!$AD$11,"C",IF(J636&lt;'PlayerGrades+'!$AD$10,"C+",IF(J636&lt;'PlayerGrades+'!$AD$9,"B-",IF(J636&lt;'PlayerGrades+'!$AD$8,"B",IF(J636&lt;'PlayerGrades+'!$AD$7,"B+",IF(J636&lt;'PlayerGrades+'!$AD$6,"A-",IF(J636&lt;'PlayerGrades+'!$AD$5,"A",IF(J636&lt;'PlayerGrades+'!$AD$4,"A+",IF(J636&lt;'PlayerGrades+'!$AD$3,"S-",IF(J636&lt;'PlayerGrades+'!$AD$2,"S","S+"))))))))))))))))))))</f>
        <v>#DIV/0!</v>
      </c>
      <c r="L636" s="1176" t="str">
        <f t="shared" si="16"/>
        <v>#DIV/0!</v>
      </c>
      <c r="M636" s="992" t="str">
        <f>IF(L636&lt;'PlayerGrades+'!$AE$21,"F-",IF(L636&lt;'PlayerGrades+'!$AE$20,"F",IF(L636&lt;'PlayerGrades+'!$AE$19,"F+",IF(L636&lt;'PlayerGrades+'!$AE$18,"E-",IF(L636&lt;'PlayerGrades+'!$AE$17,"E",IF(L636&lt;'PlayerGrades+'!$AE$16,"E+",IF(L636&lt;'PlayerGrades+'!$AE$15,"D-",IF(L636&lt;'PlayerGrades+'!$AE$14,"D",IF(L636&lt;'PlayerGrades+'!$AE$13,"D+",IF(L636&lt;'PlayerGrades+'!$AE$12,"C-",IF(L636&lt;'PlayerGrades+'!$AE$11,"C",IF(L636&lt;'PlayerGrades+'!$AE$10,"C+",IF(L636&lt;'PlayerGrades+'!$AE$9,"B-",IF(L636&lt;'PlayerGrades+'!$AE$8,"B",IF(L636&lt;'PlayerGrades+'!$AE$7,"B+",IF(L636&lt;'PlayerGrades+'!$AE$6,"A-",IF(L636&lt;'PlayerGrades+'!$AE$5,"A",IF(L636&lt;'PlayerGrades+'!$AE$4,"A+",IF(L636&lt;'PlayerGrades+'!$AE$3,"S-",IF(L636&lt;'PlayerGrades+'!$AE$2,"S","S+"))))))))))))))))))))</f>
        <v>#DIV/0!</v>
      </c>
      <c r="N636" s="1423" t="str">
        <f t="shared" si="17"/>
        <v>#DIV/0!</v>
      </c>
      <c r="O636" s="1423" t="str">
        <f>IF(N636&lt;'PlayerGrades+'!$AF$21,"F-",IF(N636&lt;'PlayerGrades+'!$AF$20,"F",IF(N636&lt;'PlayerGrades+'!$AF$19,"F+",IF(N636&lt;'PlayerGrades+'!$AF$18,"E-",IF(N636&lt;'PlayerGrades+'!$AF$17,"E",IF(N636&lt;'PlayerGrades+'!$AF$16,"E+",IF(N636&lt;'PlayerGrades+'!$AF$15,"D-",IF(N636&lt;'PlayerGrades+'!$AF$14,"D",IF(N636&lt;'PlayerGrades+'!$AF$13,"D+",IF(N636&lt;'PlayerGrades+'!$AF$12,"C-",IF(N636&lt;'PlayerGrades+'!$AF$11,"C",IF(N636&lt;'PlayerGrades+'!$AF$10,"C+",IF(N636&lt;'PlayerGrades+'!$AF$9,"B-",IF(N636&lt;'PlayerGrades+'!$AF$8,"B",IF(N636&lt;'PlayerGrades+'!$AF$7,"B+",IF(N636&lt;'PlayerGrades+'!$AF$6,"A-",IF(N636&lt;'PlayerGrades+'!$AF$5,"A",IF(N636&lt;'PlayerGrades+'!$AF$4,"A+",IF(N636&lt;'PlayerGrades+'!$AF$3,"S-",IF(N636&lt;'PlayerGrades+'!$AF$2,"S","S+"))))))))))))))))))))</f>
        <v>#DIV/0!</v>
      </c>
      <c r="P636" s="1423" t="str">
        <f t="shared" si="18"/>
        <v>#DIV/0!</v>
      </c>
      <c r="Q636" s="1423" t="str">
        <f>IF(P636&lt;'PlayerGrades+'!$AG$21,"F-",IF(P636&lt;'PlayerGrades+'!$AG$20,"F",IF(P636&lt;'PlayerGrades+'!$AG$19,"F+",IF(P636&lt;'PlayerGrades+'!$AG$18,"E-",IF(P636&lt;'PlayerGrades+'!$AG$17,"E",IF(P636&lt;'PlayerGrades+'!$AG$16,"E+",IF(P636&lt;'PlayerGrades+'!$AG$15,"D-",IF(P636&lt;'PlayerGrades+'!$AG$14,"D",IF(P636&lt;'PlayerGrades+'!$AG$13,"D+",IF(P636&lt;'PlayerGrades+'!$AG$12,"C-",IF(P636&lt;'PlayerGrades+'!$AG$11,"C",IF(P636&lt;'PlayerGrades+'!$AG$10,"C+",IF(P636&lt;'PlayerGrades+'!$AG$9,"B-",IF(P636&lt;'PlayerGrades+'!$AG$8,"B",IF(P636&lt;'PlayerGrades+'!$AG$7,"B+",IF(P636&lt;'PlayerGrades+'!$AG$6,"A-",IF(P636&lt;'PlayerGrades+'!$AG$5,"A",IF(P636&lt;'PlayerGrades+'!$AG$4,"A+",IF(P636&lt;'PlayerGrades+'!$AG$3,"S-",IF(P636&lt;'PlayerGrades+'!$AG$2,"S","S+"))))))))))))))))))))</f>
        <v>#DIV/0!</v>
      </c>
      <c r="R636" s="1423" t="str">
        <f t="shared" si="19"/>
        <v>#REF!</v>
      </c>
      <c r="S636" s="1423" t="str">
        <f>IF(R636&lt;'PlayerGrades+'!$AH$21,"F-",IF(R636&lt;'PlayerGrades+'!$AH$20,"F",IF(R636&lt;'PlayerGrades+'!$AH$19,"F+",IF(R636&lt;'PlayerGrades+'!$AH$18,"E-",IF(R636&lt;'PlayerGrades+'!$AH$17,"E",IF(R636&lt;'PlayerGrades+'!$AH$16,"E+",IF(R636&lt;'PlayerGrades+'!$AH$15,"D-",IF(R636&lt;'PlayerGrades+'!$AH$14,"D",IF(R636&lt;'PlayerGrades+'!$AH$13,"D+",IF(R636&lt;'PlayerGrades+'!$AH$12,"C-",IF(R636&lt;'PlayerGrades+'!$AH$11,"C",IF(R636&lt;'PlayerGrades+'!$AH$10,"C+",IF(R636&lt;'PlayerGrades+'!$AH$9,"B-",IF(R636&lt;'PlayerGrades+'!$AH$8,"B",IF(R636&lt;'PlayerGrades+'!$AH$7,"B+",IF(R636&lt;'PlayerGrades+'!$AH$6,"A-",IF(R636&lt;'PlayerGrades+'!$AH$5,"A",IF(R636&lt;'PlayerGrades+'!$AH$4,"A+",IF(R636&lt;'PlayerGrades+'!$AH$3,"S-",IF(R636&lt;'PlayerGrades+'!$AH$2,"S","S+"))))))))))))))))))))</f>
        <v>#REF!</v>
      </c>
      <c r="T636" s="1423" t="str">
        <f t="shared" si="20"/>
        <v>#REF!</v>
      </c>
      <c r="U636" s="1423" t="str">
        <f>IF(T636&lt;'PlayerGrades+'!$AI$21,"F-",IF(T636&lt;'PlayerGrades+'!$AI$20,"F",IF(T636&lt;'PlayerGrades+'!$AI$19,"F+",IF(T636&lt;'PlayerGrades+'!$AI$18,"E-",IF(T636&lt;'PlayerGrades+'!$AI$17,"E",IF(T636&lt;'PlayerGrades+'!$AI$16,"E+",IF(T636&lt;'PlayerGrades+'!$AI$15,"D-",IF(T636&lt;'PlayerGrades+'!$AI$14,"D",IF(T636&lt;'PlayerGrades+'!$AI$13,"D+",IF(T636&lt;'PlayerGrades+'!$AI$12,"C-",IF(T636&lt;'PlayerGrades+'!$AI$11,"C",IF(T636&lt;'PlayerGrades+'!$AI$10,"C+",IF(T636&lt;'PlayerGrades+'!$AI$9,"B-",IF(T636&lt;'PlayerGrades+'!$AI$8,"B",IF(T636&lt;'PlayerGrades+'!$AI$7,"B+",IF(T636&lt;'PlayerGrades+'!$AI$6,"A-",IF(T636&lt;'PlayerGrades+'!$AI$5,"A",IF(T636&lt;'PlayerGrades+'!$AI$4,"A+",IF(T636&lt;'PlayerGrades+'!$AI$3,"S-",IF(T636&lt;'PlayerGrades+'!$AI$2,"S","S+"))))))))))))))))))))</f>
        <v>#REF!</v>
      </c>
      <c r="AC636" s="1392"/>
    </row>
    <row r="637">
      <c r="A637" s="1391"/>
      <c r="B637" s="1421" t="str">
        <f>IF(C637&lt;'PlayerGrades+'!$Y$44,"F-",IF(C637&lt;'PlayerGrades+'!$Y$43,"F",IF(C637&lt;'PlayerGrades+'!$Y$42,"F+",IF(C637&lt;'PlayerGrades+'!$Y$41,"E-",IF(C637&lt;'PlayerGrades+'!$Y$40,"E",IF(C637&lt;'PlayerGrades+'!$Y$39,"E+",IF(C637&lt;'PlayerGrades+'!$Y$38,"D-",IF(C637&lt;'PlayerGrades+'!$Y$37,"D",IF(C637&lt;'PlayerGrades+'!$Y$36,"D+",IF(C637&lt;'PlayerGrades+'!$Y$35,"C-",IF(C637&lt;'PlayerGrades+'!$Y$34,"C",IF(C637&lt;'PlayerGrades+'!$Y$33,"C+",IF(C637&lt;'PlayerGrades+'!$Y$32,"B-",IF(C637&lt;'PlayerGrades+'!$Y$31,"B",IF(C637&lt;'PlayerGrades+'!$Y$30,"B+",IF(C637&lt;'PlayerGrades+'!$Y$29,"A-",IF(C637&lt;'PlayerGrades+'!$Y$28,"A",IF(C637&lt;'PlayerGrades+'!$Y$27,"A+",IF(C637&lt;'PlayerGrades+'!$Y$26,"S-",IF(C637&lt;'PlayerGrades+'!$Y$25,"S","S+"))))))))))))))))))))</f>
        <v>#DIV/0!</v>
      </c>
      <c r="C637" s="1422" t="str">
        <f>('PlayerGrades+'!$Y$47*(VLOOKUP(E637, 'PlayerGrades+'!$X$3:$Y$23, 2, FALSE)))+('PlayerGrades+'!$Y$48*(VLOOKUP(G637, 'PlayerGrades+'!$X$3:$Y$23, 2, FALSE)))+('PlayerGrades+'!$Y$49*(VLOOKUP(I637, 'PlayerGrades+'!$X$3:$Y$23, 2, FALSE)))+('PlayerGrades+'!$Y$50*(VLOOKUP(K637, 'PlayerGrades+'!$X$3:$Y$23, 2, FALSE)))+('PlayerGrades+'!$Y$51*(VLOOKUP(M637, 'PlayerGrades+'!$X$3:$Y$23, 2, FALSE)))+('PlayerGrades+'!$Y$52*(VLOOKUP(O637, 'PlayerGrades+'!$X$3:$Y$23, 2, FALSE)))+('PlayerGrades+'!$Y$53*(VLOOKUP(Q637, 'PlayerGrades+'!$X$3:$Y$23, 2, FALSE)))+('PlayerGrades+'!$Y$54*(VLOOKUP(S637, 'PlayerGrades+'!$X$3:$Y$23, 2, FALSE)))+('PlayerGrades+'!$Y$55*(VLOOKUP(U637, 'PlayerGrades+'!$X$3:$Y$23, 2, FALSE)))</f>
        <v>#DIV/0!</v>
      </c>
      <c r="D637" s="1423" t="str">
        <f t="shared" si="12"/>
        <v>#DIV/0!</v>
      </c>
      <c r="E637" s="1423" t="str">
        <f>IF(D637&lt;'PlayerGrades+'!$AA$21,"F-",IF(D637&lt;'PlayerGrades+'!$AA$20,"F",IF(D637&lt;'PlayerGrades+'!$AA$19,"F+",IF(D637&lt;'PlayerGrades+'!$AA$18,"E-",IF(D637&lt;'PlayerGrades+'!$AA$17,"E",IF(D637&lt;'PlayerGrades+'!$AA$16,"E+",IF(D637&lt;'PlayerGrades+'!$AA$15,"D-",IF(D637&lt;'PlayerGrades+'!$AA$14,"D",IF(D637&lt;'PlayerGrades+'!$AA$13,"D+",IF(D637&lt;'PlayerGrades+'!$AA$12,"C-",IF(D637&lt;'PlayerGrades+'!$AA$11,"C",IF(D637&lt;'PlayerGrades+'!$AA$10,"C+",IF(D637&lt;'PlayerGrades+'!$AA$9,"B-",IF(D637&lt;'PlayerGrades+'!$AA$8,"B",IF(D637&lt;'PlayerGrades+'!$AA$7,"B+",IF(D637&lt;'PlayerGrades+'!$AA$6,"A-",IF(D637&lt;'PlayerGrades+'!$AA$5,"A",IF(D637&lt;'PlayerGrades+'!$AA$4,"A+",IF(D637&lt;'PlayerGrades+'!$AA$3,"S-",IF(D637&lt;'PlayerGrades+'!$AA$2,"S","S+"))))))))))))))))))))</f>
        <v>#DIV/0!</v>
      </c>
      <c r="F637" s="1423" t="str">
        <f t="shared" si="13"/>
        <v>#DIV/0!</v>
      </c>
      <c r="G637" s="1423" t="str">
        <f>IF(F637&lt;'PlayerGrades+'!$AB$21,"F-",IF(F637&lt;'PlayerGrades+'!$AB$20,"F",IF(F637&lt;'PlayerGrades+'!$AB$19,"F+",IF(F637&lt;'PlayerGrades+'!$AB$18,"E-",IF(F637&lt;'PlayerGrades+'!$AB$17,"E",IF(F637&lt;'PlayerGrades+'!$AB$16,"E+",IF(F637&lt;'PlayerGrades+'!$AB$15,"D-",IF(F637&lt;'PlayerGrades+'!$AB$14,"D",IF(F637&lt;'PlayerGrades+'!$AB$13,"D+",IF(F637&lt;'PlayerGrades+'!$AB$12,"C-",IF(F637&lt;'PlayerGrades+'!$AB$11,"C",IF(F637&lt;'PlayerGrades+'!$AB$10,"C+",IF(F637&lt;'PlayerGrades+'!$AB$9,"B-",IF(F637&lt;'PlayerGrades+'!$AB$8,"B",IF(F637&lt;'PlayerGrades+'!$AB$7,"B+",IF(F637&lt;'PlayerGrades+'!$AB$6,"A-",IF(F637&lt;'PlayerGrades+'!$AB$5,"A",IF(F637&lt;'PlayerGrades+'!$AB$4,"A+",IF(F637&lt;'PlayerGrades+'!$AB$3,"S-",IF(F637&lt;'PlayerGrades+'!$AB$2,"S","S+"))))))))))))))))))))</f>
        <v>#DIV/0!</v>
      </c>
      <c r="H637" s="1423" t="str">
        <f t="shared" si="14"/>
        <v>#DIV/0!</v>
      </c>
      <c r="I637" s="1423" t="str">
        <f>IF(H637&lt;'PlayerGrades+'!$AC$21,"F-",IF(H637&lt;'PlayerGrades+'!$AC$20,"F",IF(H637&lt;'PlayerGrades+'!$AC$19,"F+",IF(H637&lt;'PlayerGrades+'!$AC$18,"E-",IF(H637&lt;'PlayerGrades+'!$AC$17,"E",IF(H637&lt;'PlayerGrades+'!$AC$16,"E+",IF(H637&lt;'PlayerGrades+'!$AC$15,"D-",IF(H637&lt;'PlayerGrades+'!$AC$14,"D",IF(H637&lt;'PlayerGrades+'!$AC$13,"D+",IF(H637&lt;'PlayerGrades+'!$AC$12,"C-",IF(H637&lt;'PlayerGrades+'!$AC$11,"C",IF(H637&lt;'PlayerGrades+'!$AC$10,"C+",IF(H637&lt;'PlayerGrades+'!$AC$9,"B-",IF(H637&lt;'PlayerGrades+'!$AC$8,"B",IF(H637&lt;'PlayerGrades+'!$AC$7,"B+",IF(H637&lt;'PlayerGrades+'!$AC$6,"A-",IF(H637&lt;'PlayerGrades+'!$AC$5,"A",IF(H637&lt;'PlayerGrades+'!$AC$4,"A+",IF(H637&lt;'PlayerGrades+'!$AC$3,"S-",IF(H637&lt;'PlayerGrades+'!$AC$2,"S","S+"))))))))))))))))))))</f>
        <v>#DIV/0!</v>
      </c>
      <c r="J637" s="1423" t="str">
        <f t="shared" si="15"/>
        <v>#DIV/0!</v>
      </c>
      <c r="K637" s="1423" t="str">
        <f>IF(J637&lt;'PlayerGrades+'!$AD$21,"F-",IF(J637&lt;'PlayerGrades+'!$AD$20,"F",IF(J637&lt;'PlayerGrades+'!$AD$19,"F+",IF(J637&lt;'PlayerGrades+'!$AD$18,"E-",IF(J637&lt;'PlayerGrades+'!$AD$17,"E",IF(J637&lt;'PlayerGrades+'!$AD$16,"E+",IF(J637&lt;'PlayerGrades+'!$AD$15,"D-",IF(J637&lt;'PlayerGrades+'!$AD$14,"D",IF(J637&lt;'PlayerGrades+'!$AD$13,"D+",IF(J637&lt;'PlayerGrades+'!$AD$12,"C-",IF(J637&lt;'PlayerGrades+'!$AD$11,"C",IF(J637&lt;'PlayerGrades+'!$AD$10,"C+",IF(J637&lt;'PlayerGrades+'!$AD$9,"B-",IF(J637&lt;'PlayerGrades+'!$AD$8,"B",IF(J637&lt;'PlayerGrades+'!$AD$7,"B+",IF(J637&lt;'PlayerGrades+'!$AD$6,"A-",IF(J637&lt;'PlayerGrades+'!$AD$5,"A",IF(J637&lt;'PlayerGrades+'!$AD$4,"A+",IF(J637&lt;'PlayerGrades+'!$AD$3,"S-",IF(J637&lt;'PlayerGrades+'!$AD$2,"S","S+"))))))))))))))))))))</f>
        <v>#DIV/0!</v>
      </c>
      <c r="L637" s="1176" t="str">
        <f t="shared" si="16"/>
        <v>#DIV/0!</v>
      </c>
      <c r="M637" s="992" t="str">
        <f>IF(L637&lt;'PlayerGrades+'!$AE$21,"F-",IF(L637&lt;'PlayerGrades+'!$AE$20,"F",IF(L637&lt;'PlayerGrades+'!$AE$19,"F+",IF(L637&lt;'PlayerGrades+'!$AE$18,"E-",IF(L637&lt;'PlayerGrades+'!$AE$17,"E",IF(L637&lt;'PlayerGrades+'!$AE$16,"E+",IF(L637&lt;'PlayerGrades+'!$AE$15,"D-",IF(L637&lt;'PlayerGrades+'!$AE$14,"D",IF(L637&lt;'PlayerGrades+'!$AE$13,"D+",IF(L637&lt;'PlayerGrades+'!$AE$12,"C-",IF(L637&lt;'PlayerGrades+'!$AE$11,"C",IF(L637&lt;'PlayerGrades+'!$AE$10,"C+",IF(L637&lt;'PlayerGrades+'!$AE$9,"B-",IF(L637&lt;'PlayerGrades+'!$AE$8,"B",IF(L637&lt;'PlayerGrades+'!$AE$7,"B+",IF(L637&lt;'PlayerGrades+'!$AE$6,"A-",IF(L637&lt;'PlayerGrades+'!$AE$5,"A",IF(L637&lt;'PlayerGrades+'!$AE$4,"A+",IF(L637&lt;'PlayerGrades+'!$AE$3,"S-",IF(L637&lt;'PlayerGrades+'!$AE$2,"S","S+"))))))))))))))))))))</f>
        <v>#DIV/0!</v>
      </c>
      <c r="N637" s="1423" t="str">
        <f t="shared" si="17"/>
        <v>#DIV/0!</v>
      </c>
      <c r="O637" s="1423" t="str">
        <f>IF(N637&lt;'PlayerGrades+'!$AF$21,"F-",IF(N637&lt;'PlayerGrades+'!$AF$20,"F",IF(N637&lt;'PlayerGrades+'!$AF$19,"F+",IF(N637&lt;'PlayerGrades+'!$AF$18,"E-",IF(N637&lt;'PlayerGrades+'!$AF$17,"E",IF(N637&lt;'PlayerGrades+'!$AF$16,"E+",IF(N637&lt;'PlayerGrades+'!$AF$15,"D-",IF(N637&lt;'PlayerGrades+'!$AF$14,"D",IF(N637&lt;'PlayerGrades+'!$AF$13,"D+",IF(N637&lt;'PlayerGrades+'!$AF$12,"C-",IF(N637&lt;'PlayerGrades+'!$AF$11,"C",IF(N637&lt;'PlayerGrades+'!$AF$10,"C+",IF(N637&lt;'PlayerGrades+'!$AF$9,"B-",IF(N637&lt;'PlayerGrades+'!$AF$8,"B",IF(N637&lt;'PlayerGrades+'!$AF$7,"B+",IF(N637&lt;'PlayerGrades+'!$AF$6,"A-",IF(N637&lt;'PlayerGrades+'!$AF$5,"A",IF(N637&lt;'PlayerGrades+'!$AF$4,"A+",IF(N637&lt;'PlayerGrades+'!$AF$3,"S-",IF(N637&lt;'PlayerGrades+'!$AF$2,"S","S+"))))))))))))))))))))</f>
        <v>#DIV/0!</v>
      </c>
      <c r="P637" s="1423" t="str">
        <f t="shared" si="18"/>
        <v>#DIV/0!</v>
      </c>
      <c r="Q637" s="1423" t="str">
        <f>IF(P637&lt;'PlayerGrades+'!$AG$21,"F-",IF(P637&lt;'PlayerGrades+'!$AG$20,"F",IF(P637&lt;'PlayerGrades+'!$AG$19,"F+",IF(P637&lt;'PlayerGrades+'!$AG$18,"E-",IF(P637&lt;'PlayerGrades+'!$AG$17,"E",IF(P637&lt;'PlayerGrades+'!$AG$16,"E+",IF(P637&lt;'PlayerGrades+'!$AG$15,"D-",IF(P637&lt;'PlayerGrades+'!$AG$14,"D",IF(P637&lt;'PlayerGrades+'!$AG$13,"D+",IF(P637&lt;'PlayerGrades+'!$AG$12,"C-",IF(P637&lt;'PlayerGrades+'!$AG$11,"C",IF(P637&lt;'PlayerGrades+'!$AG$10,"C+",IF(P637&lt;'PlayerGrades+'!$AG$9,"B-",IF(P637&lt;'PlayerGrades+'!$AG$8,"B",IF(P637&lt;'PlayerGrades+'!$AG$7,"B+",IF(P637&lt;'PlayerGrades+'!$AG$6,"A-",IF(P637&lt;'PlayerGrades+'!$AG$5,"A",IF(P637&lt;'PlayerGrades+'!$AG$4,"A+",IF(P637&lt;'PlayerGrades+'!$AG$3,"S-",IF(P637&lt;'PlayerGrades+'!$AG$2,"S","S+"))))))))))))))))))))</f>
        <v>#DIV/0!</v>
      </c>
      <c r="R637" s="1423" t="str">
        <f t="shared" si="19"/>
        <v>#REF!</v>
      </c>
      <c r="S637" s="1423" t="str">
        <f>IF(R637&lt;'PlayerGrades+'!$AH$21,"F-",IF(R637&lt;'PlayerGrades+'!$AH$20,"F",IF(R637&lt;'PlayerGrades+'!$AH$19,"F+",IF(R637&lt;'PlayerGrades+'!$AH$18,"E-",IF(R637&lt;'PlayerGrades+'!$AH$17,"E",IF(R637&lt;'PlayerGrades+'!$AH$16,"E+",IF(R637&lt;'PlayerGrades+'!$AH$15,"D-",IF(R637&lt;'PlayerGrades+'!$AH$14,"D",IF(R637&lt;'PlayerGrades+'!$AH$13,"D+",IF(R637&lt;'PlayerGrades+'!$AH$12,"C-",IF(R637&lt;'PlayerGrades+'!$AH$11,"C",IF(R637&lt;'PlayerGrades+'!$AH$10,"C+",IF(R637&lt;'PlayerGrades+'!$AH$9,"B-",IF(R637&lt;'PlayerGrades+'!$AH$8,"B",IF(R637&lt;'PlayerGrades+'!$AH$7,"B+",IF(R637&lt;'PlayerGrades+'!$AH$6,"A-",IF(R637&lt;'PlayerGrades+'!$AH$5,"A",IF(R637&lt;'PlayerGrades+'!$AH$4,"A+",IF(R637&lt;'PlayerGrades+'!$AH$3,"S-",IF(R637&lt;'PlayerGrades+'!$AH$2,"S","S+"))))))))))))))))))))</f>
        <v>#REF!</v>
      </c>
      <c r="T637" s="1423" t="str">
        <f t="shared" si="20"/>
        <v>#REF!</v>
      </c>
      <c r="U637" s="1423" t="str">
        <f>IF(T637&lt;'PlayerGrades+'!$AI$21,"F-",IF(T637&lt;'PlayerGrades+'!$AI$20,"F",IF(T637&lt;'PlayerGrades+'!$AI$19,"F+",IF(T637&lt;'PlayerGrades+'!$AI$18,"E-",IF(T637&lt;'PlayerGrades+'!$AI$17,"E",IF(T637&lt;'PlayerGrades+'!$AI$16,"E+",IF(T637&lt;'PlayerGrades+'!$AI$15,"D-",IF(T637&lt;'PlayerGrades+'!$AI$14,"D",IF(T637&lt;'PlayerGrades+'!$AI$13,"D+",IF(T637&lt;'PlayerGrades+'!$AI$12,"C-",IF(T637&lt;'PlayerGrades+'!$AI$11,"C",IF(T637&lt;'PlayerGrades+'!$AI$10,"C+",IF(T637&lt;'PlayerGrades+'!$AI$9,"B-",IF(T637&lt;'PlayerGrades+'!$AI$8,"B",IF(T637&lt;'PlayerGrades+'!$AI$7,"B+",IF(T637&lt;'PlayerGrades+'!$AI$6,"A-",IF(T637&lt;'PlayerGrades+'!$AI$5,"A",IF(T637&lt;'PlayerGrades+'!$AI$4,"A+",IF(T637&lt;'PlayerGrades+'!$AI$3,"S-",IF(T637&lt;'PlayerGrades+'!$AI$2,"S","S+"))))))))))))))))))))</f>
        <v>#REF!</v>
      </c>
      <c r="AC637" s="1392"/>
    </row>
    <row r="638">
      <c r="A638" s="1391"/>
      <c r="B638" s="1421" t="str">
        <f>IF(C638&lt;'PlayerGrades+'!$Y$44,"F-",IF(C638&lt;'PlayerGrades+'!$Y$43,"F",IF(C638&lt;'PlayerGrades+'!$Y$42,"F+",IF(C638&lt;'PlayerGrades+'!$Y$41,"E-",IF(C638&lt;'PlayerGrades+'!$Y$40,"E",IF(C638&lt;'PlayerGrades+'!$Y$39,"E+",IF(C638&lt;'PlayerGrades+'!$Y$38,"D-",IF(C638&lt;'PlayerGrades+'!$Y$37,"D",IF(C638&lt;'PlayerGrades+'!$Y$36,"D+",IF(C638&lt;'PlayerGrades+'!$Y$35,"C-",IF(C638&lt;'PlayerGrades+'!$Y$34,"C",IF(C638&lt;'PlayerGrades+'!$Y$33,"C+",IF(C638&lt;'PlayerGrades+'!$Y$32,"B-",IF(C638&lt;'PlayerGrades+'!$Y$31,"B",IF(C638&lt;'PlayerGrades+'!$Y$30,"B+",IF(C638&lt;'PlayerGrades+'!$Y$29,"A-",IF(C638&lt;'PlayerGrades+'!$Y$28,"A",IF(C638&lt;'PlayerGrades+'!$Y$27,"A+",IF(C638&lt;'PlayerGrades+'!$Y$26,"S-",IF(C638&lt;'PlayerGrades+'!$Y$25,"S","S+"))))))))))))))))))))</f>
        <v>#DIV/0!</v>
      </c>
      <c r="C638" s="1422" t="str">
        <f>('PlayerGrades+'!$Y$47*(VLOOKUP(E638, 'PlayerGrades+'!$X$3:$Y$23, 2, FALSE)))+('PlayerGrades+'!$Y$48*(VLOOKUP(G638, 'PlayerGrades+'!$X$3:$Y$23, 2, FALSE)))+('PlayerGrades+'!$Y$49*(VLOOKUP(I638, 'PlayerGrades+'!$X$3:$Y$23, 2, FALSE)))+('PlayerGrades+'!$Y$50*(VLOOKUP(K638, 'PlayerGrades+'!$X$3:$Y$23, 2, FALSE)))+('PlayerGrades+'!$Y$51*(VLOOKUP(M638, 'PlayerGrades+'!$X$3:$Y$23, 2, FALSE)))+('PlayerGrades+'!$Y$52*(VLOOKUP(O638, 'PlayerGrades+'!$X$3:$Y$23, 2, FALSE)))+('PlayerGrades+'!$Y$53*(VLOOKUP(Q638, 'PlayerGrades+'!$X$3:$Y$23, 2, FALSE)))+('PlayerGrades+'!$Y$54*(VLOOKUP(S638, 'PlayerGrades+'!$X$3:$Y$23, 2, FALSE)))+('PlayerGrades+'!$Y$55*(VLOOKUP(U638, 'PlayerGrades+'!$X$3:$Y$23, 2, FALSE)))</f>
        <v>#DIV/0!</v>
      </c>
      <c r="D638" s="1423" t="str">
        <f t="shared" si="12"/>
        <v>#DIV/0!</v>
      </c>
      <c r="E638" s="1423" t="str">
        <f>IF(D638&lt;'PlayerGrades+'!$AA$21,"F-",IF(D638&lt;'PlayerGrades+'!$AA$20,"F",IF(D638&lt;'PlayerGrades+'!$AA$19,"F+",IF(D638&lt;'PlayerGrades+'!$AA$18,"E-",IF(D638&lt;'PlayerGrades+'!$AA$17,"E",IF(D638&lt;'PlayerGrades+'!$AA$16,"E+",IF(D638&lt;'PlayerGrades+'!$AA$15,"D-",IF(D638&lt;'PlayerGrades+'!$AA$14,"D",IF(D638&lt;'PlayerGrades+'!$AA$13,"D+",IF(D638&lt;'PlayerGrades+'!$AA$12,"C-",IF(D638&lt;'PlayerGrades+'!$AA$11,"C",IF(D638&lt;'PlayerGrades+'!$AA$10,"C+",IF(D638&lt;'PlayerGrades+'!$AA$9,"B-",IF(D638&lt;'PlayerGrades+'!$AA$8,"B",IF(D638&lt;'PlayerGrades+'!$AA$7,"B+",IF(D638&lt;'PlayerGrades+'!$AA$6,"A-",IF(D638&lt;'PlayerGrades+'!$AA$5,"A",IF(D638&lt;'PlayerGrades+'!$AA$4,"A+",IF(D638&lt;'PlayerGrades+'!$AA$3,"S-",IF(D638&lt;'PlayerGrades+'!$AA$2,"S","S+"))))))))))))))))))))</f>
        <v>#DIV/0!</v>
      </c>
      <c r="F638" s="1423" t="str">
        <f t="shared" si="13"/>
        <v>#DIV/0!</v>
      </c>
      <c r="G638" s="1423" t="str">
        <f>IF(F638&lt;'PlayerGrades+'!$AB$21,"F-",IF(F638&lt;'PlayerGrades+'!$AB$20,"F",IF(F638&lt;'PlayerGrades+'!$AB$19,"F+",IF(F638&lt;'PlayerGrades+'!$AB$18,"E-",IF(F638&lt;'PlayerGrades+'!$AB$17,"E",IF(F638&lt;'PlayerGrades+'!$AB$16,"E+",IF(F638&lt;'PlayerGrades+'!$AB$15,"D-",IF(F638&lt;'PlayerGrades+'!$AB$14,"D",IF(F638&lt;'PlayerGrades+'!$AB$13,"D+",IF(F638&lt;'PlayerGrades+'!$AB$12,"C-",IF(F638&lt;'PlayerGrades+'!$AB$11,"C",IF(F638&lt;'PlayerGrades+'!$AB$10,"C+",IF(F638&lt;'PlayerGrades+'!$AB$9,"B-",IF(F638&lt;'PlayerGrades+'!$AB$8,"B",IF(F638&lt;'PlayerGrades+'!$AB$7,"B+",IF(F638&lt;'PlayerGrades+'!$AB$6,"A-",IF(F638&lt;'PlayerGrades+'!$AB$5,"A",IF(F638&lt;'PlayerGrades+'!$AB$4,"A+",IF(F638&lt;'PlayerGrades+'!$AB$3,"S-",IF(F638&lt;'PlayerGrades+'!$AB$2,"S","S+"))))))))))))))))))))</f>
        <v>#DIV/0!</v>
      </c>
      <c r="H638" s="1423" t="str">
        <f t="shared" si="14"/>
        <v>#DIV/0!</v>
      </c>
      <c r="I638" s="1423" t="str">
        <f>IF(H638&lt;'PlayerGrades+'!$AC$21,"F-",IF(H638&lt;'PlayerGrades+'!$AC$20,"F",IF(H638&lt;'PlayerGrades+'!$AC$19,"F+",IF(H638&lt;'PlayerGrades+'!$AC$18,"E-",IF(H638&lt;'PlayerGrades+'!$AC$17,"E",IF(H638&lt;'PlayerGrades+'!$AC$16,"E+",IF(H638&lt;'PlayerGrades+'!$AC$15,"D-",IF(H638&lt;'PlayerGrades+'!$AC$14,"D",IF(H638&lt;'PlayerGrades+'!$AC$13,"D+",IF(H638&lt;'PlayerGrades+'!$AC$12,"C-",IF(H638&lt;'PlayerGrades+'!$AC$11,"C",IF(H638&lt;'PlayerGrades+'!$AC$10,"C+",IF(H638&lt;'PlayerGrades+'!$AC$9,"B-",IF(H638&lt;'PlayerGrades+'!$AC$8,"B",IF(H638&lt;'PlayerGrades+'!$AC$7,"B+",IF(H638&lt;'PlayerGrades+'!$AC$6,"A-",IF(H638&lt;'PlayerGrades+'!$AC$5,"A",IF(H638&lt;'PlayerGrades+'!$AC$4,"A+",IF(H638&lt;'PlayerGrades+'!$AC$3,"S-",IF(H638&lt;'PlayerGrades+'!$AC$2,"S","S+"))))))))))))))))))))</f>
        <v>#DIV/0!</v>
      </c>
      <c r="J638" s="1423" t="str">
        <f t="shared" si="15"/>
        <v>#DIV/0!</v>
      </c>
      <c r="K638" s="1423" t="str">
        <f>IF(J638&lt;'PlayerGrades+'!$AD$21,"F-",IF(J638&lt;'PlayerGrades+'!$AD$20,"F",IF(J638&lt;'PlayerGrades+'!$AD$19,"F+",IF(J638&lt;'PlayerGrades+'!$AD$18,"E-",IF(J638&lt;'PlayerGrades+'!$AD$17,"E",IF(J638&lt;'PlayerGrades+'!$AD$16,"E+",IF(J638&lt;'PlayerGrades+'!$AD$15,"D-",IF(J638&lt;'PlayerGrades+'!$AD$14,"D",IF(J638&lt;'PlayerGrades+'!$AD$13,"D+",IF(J638&lt;'PlayerGrades+'!$AD$12,"C-",IF(J638&lt;'PlayerGrades+'!$AD$11,"C",IF(J638&lt;'PlayerGrades+'!$AD$10,"C+",IF(J638&lt;'PlayerGrades+'!$AD$9,"B-",IF(J638&lt;'PlayerGrades+'!$AD$8,"B",IF(J638&lt;'PlayerGrades+'!$AD$7,"B+",IF(J638&lt;'PlayerGrades+'!$AD$6,"A-",IF(J638&lt;'PlayerGrades+'!$AD$5,"A",IF(J638&lt;'PlayerGrades+'!$AD$4,"A+",IF(J638&lt;'PlayerGrades+'!$AD$3,"S-",IF(J638&lt;'PlayerGrades+'!$AD$2,"S","S+"))))))))))))))))))))</f>
        <v>#DIV/0!</v>
      </c>
      <c r="L638" s="1176" t="str">
        <f t="shared" si="16"/>
        <v>#DIV/0!</v>
      </c>
      <c r="M638" s="992" t="str">
        <f>IF(L638&lt;'PlayerGrades+'!$AE$21,"F-",IF(L638&lt;'PlayerGrades+'!$AE$20,"F",IF(L638&lt;'PlayerGrades+'!$AE$19,"F+",IF(L638&lt;'PlayerGrades+'!$AE$18,"E-",IF(L638&lt;'PlayerGrades+'!$AE$17,"E",IF(L638&lt;'PlayerGrades+'!$AE$16,"E+",IF(L638&lt;'PlayerGrades+'!$AE$15,"D-",IF(L638&lt;'PlayerGrades+'!$AE$14,"D",IF(L638&lt;'PlayerGrades+'!$AE$13,"D+",IF(L638&lt;'PlayerGrades+'!$AE$12,"C-",IF(L638&lt;'PlayerGrades+'!$AE$11,"C",IF(L638&lt;'PlayerGrades+'!$AE$10,"C+",IF(L638&lt;'PlayerGrades+'!$AE$9,"B-",IF(L638&lt;'PlayerGrades+'!$AE$8,"B",IF(L638&lt;'PlayerGrades+'!$AE$7,"B+",IF(L638&lt;'PlayerGrades+'!$AE$6,"A-",IF(L638&lt;'PlayerGrades+'!$AE$5,"A",IF(L638&lt;'PlayerGrades+'!$AE$4,"A+",IF(L638&lt;'PlayerGrades+'!$AE$3,"S-",IF(L638&lt;'PlayerGrades+'!$AE$2,"S","S+"))))))))))))))))))))</f>
        <v>#DIV/0!</v>
      </c>
      <c r="N638" s="1423" t="str">
        <f t="shared" si="17"/>
        <v>#DIV/0!</v>
      </c>
      <c r="O638" s="1423" t="str">
        <f>IF(N638&lt;'PlayerGrades+'!$AF$21,"F-",IF(N638&lt;'PlayerGrades+'!$AF$20,"F",IF(N638&lt;'PlayerGrades+'!$AF$19,"F+",IF(N638&lt;'PlayerGrades+'!$AF$18,"E-",IF(N638&lt;'PlayerGrades+'!$AF$17,"E",IF(N638&lt;'PlayerGrades+'!$AF$16,"E+",IF(N638&lt;'PlayerGrades+'!$AF$15,"D-",IF(N638&lt;'PlayerGrades+'!$AF$14,"D",IF(N638&lt;'PlayerGrades+'!$AF$13,"D+",IF(N638&lt;'PlayerGrades+'!$AF$12,"C-",IF(N638&lt;'PlayerGrades+'!$AF$11,"C",IF(N638&lt;'PlayerGrades+'!$AF$10,"C+",IF(N638&lt;'PlayerGrades+'!$AF$9,"B-",IF(N638&lt;'PlayerGrades+'!$AF$8,"B",IF(N638&lt;'PlayerGrades+'!$AF$7,"B+",IF(N638&lt;'PlayerGrades+'!$AF$6,"A-",IF(N638&lt;'PlayerGrades+'!$AF$5,"A",IF(N638&lt;'PlayerGrades+'!$AF$4,"A+",IF(N638&lt;'PlayerGrades+'!$AF$3,"S-",IF(N638&lt;'PlayerGrades+'!$AF$2,"S","S+"))))))))))))))))))))</f>
        <v>#DIV/0!</v>
      </c>
      <c r="P638" s="1423" t="str">
        <f t="shared" si="18"/>
        <v>#DIV/0!</v>
      </c>
      <c r="Q638" s="1423" t="str">
        <f>IF(P638&lt;'PlayerGrades+'!$AG$21,"F-",IF(P638&lt;'PlayerGrades+'!$AG$20,"F",IF(P638&lt;'PlayerGrades+'!$AG$19,"F+",IF(P638&lt;'PlayerGrades+'!$AG$18,"E-",IF(P638&lt;'PlayerGrades+'!$AG$17,"E",IF(P638&lt;'PlayerGrades+'!$AG$16,"E+",IF(P638&lt;'PlayerGrades+'!$AG$15,"D-",IF(P638&lt;'PlayerGrades+'!$AG$14,"D",IF(P638&lt;'PlayerGrades+'!$AG$13,"D+",IF(P638&lt;'PlayerGrades+'!$AG$12,"C-",IF(P638&lt;'PlayerGrades+'!$AG$11,"C",IF(P638&lt;'PlayerGrades+'!$AG$10,"C+",IF(P638&lt;'PlayerGrades+'!$AG$9,"B-",IF(P638&lt;'PlayerGrades+'!$AG$8,"B",IF(P638&lt;'PlayerGrades+'!$AG$7,"B+",IF(P638&lt;'PlayerGrades+'!$AG$6,"A-",IF(P638&lt;'PlayerGrades+'!$AG$5,"A",IF(P638&lt;'PlayerGrades+'!$AG$4,"A+",IF(P638&lt;'PlayerGrades+'!$AG$3,"S-",IF(P638&lt;'PlayerGrades+'!$AG$2,"S","S+"))))))))))))))))))))</f>
        <v>#DIV/0!</v>
      </c>
      <c r="R638" s="1423" t="str">
        <f t="shared" si="19"/>
        <v>#REF!</v>
      </c>
      <c r="S638" s="1423" t="str">
        <f>IF(R638&lt;'PlayerGrades+'!$AH$21,"F-",IF(R638&lt;'PlayerGrades+'!$AH$20,"F",IF(R638&lt;'PlayerGrades+'!$AH$19,"F+",IF(R638&lt;'PlayerGrades+'!$AH$18,"E-",IF(R638&lt;'PlayerGrades+'!$AH$17,"E",IF(R638&lt;'PlayerGrades+'!$AH$16,"E+",IF(R638&lt;'PlayerGrades+'!$AH$15,"D-",IF(R638&lt;'PlayerGrades+'!$AH$14,"D",IF(R638&lt;'PlayerGrades+'!$AH$13,"D+",IF(R638&lt;'PlayerGrades+'!$AH$12,"C-",IF(R638&lt;'PlayerGrades+'!$AH$11,"C",IF(R638&lt;'PlayerGrades+'!$AH$10,"C+",IF(R638&lt;'PlayerGrades+'!$AH$9,"B-",IF(R638&lt;'PlayerGrades+'!$AH$8,"B",IF(R638&lt;'PlayerGrades+'!$AH$7,"B+",IF(R638&lt;'PlayerGrades+'!$AH$6,"A-",IF(R638&lt;'PlayerGrades+'!$AH$5,"A",IF(R638&lt;'PlayerGrades+'!$AH$4,"A+",IF(R638&lt;'PlayerGrades+'!$AH$3,"S-",IF(R638&lt;'PlayerGrades+'!$AH$2,"S","S+"))))))))))))))))))))</f>
        <v>#REF!</v>
      </c>
      <c r="T638" s="1423" t="str">
        <f t="shared" si="20"/>
        <v>#REF!</v>
      </c>
      <c r="U638" s="1423" t="str">
        <f>IF(T638&lt;'PlayerGrades+'!$AI$21,"F-",IF(T638&lt;'PlayerGrades+'!$AI$20,"F",IF(T638&lt;'PlayerGrades+'!$AI$19,"F+",IF(T638&lt;'PlayerGrades+'!$AI$18,"E-",IF(T638&lt;'PlayerGrades+'!$AI$17,"E",IF(T638&lt;'PlayerGrades+'!$AI$16,"E+",IF(T638&lt;'PlayerGrades+'!$AI$15,"D-",IF(T638&lt;'PlayerGrades+'!$AI$14,"D",IF(T638&lt;'PlayerGrades+'!$AI$13,"D+",IF(T638&lt;'PlayerGrades+'!$AI$12,"C-",IF(T638&lt;'PlayerGrades+'!$AI$11,"C",IF(T638&lt;'PlayerGrades+'!$AI$10,"C+",IF(T638&lt;'PlayerGrades+'!$AI$9,"B-",IF(T638&lt;'PlayerGrades+'!$AI$8,"B",IF(T638&lt;'PlayerGrades+'!$AI$7,"B+",IF(T638&lt;'PlayerGrades+'!$AI$6,"A-",IF(T638&lt;'PlayerGrades+'!$AI$5,"A",IF(T638&lt;'PlayerGrades+'!$AI$4,"A+",IF(T638&lt;'PlayerGrades+'!$AI$3,"S-",IF(T638&lt;'PlayerGrades+'!$AI$2,"S","S+"))))))))))))))))))))</f>
        <v>#REF!</v>
      </c>
      <c r="AC638" s="1392"/>
    </row>
    <row r="639">
      <c r="A639" s="1391"/>
      <c r="B639" s="1421" t="str">
        <f>IF(C639&lt;'PlayerGrades+'!$Y$44,"F-",IF(C639&lt;'PlayerGrades+'!$Y$43,"F",IF(C639&lt;'PlayerGrades+'!$Y$42,"F+",IF(C639&lt;'PlayerGrades+'!$Y$41,"E-",IF(C639&lt;'PlayerGrades+'!$Y$40,"E",IF(C639&lt;'PlayerGrades+'!$Y$39,"E+",IF(C639&lt;'PlayerGrades+'!$Y$38,"D-",IF(C639&lt;'PlayerGrades+'!$Y$37,"D",IF(C639&lt;'PlayerGrades+'!$Y$36,"D+",IF(C639&lt;'PlayerGrades+'!$Y$35,"C-",IF(C639&lt;'PlayerGrades+'!$Y$34,"C",IF(C639&lt;'PlayerGrades+'!$Y$33,"C+",IF(C639&lt;'PlayerGrades+'!$Y$32,"B-",IF(C639&lt;'PlayerGrades+'!$Y$31,"B",IF(C639&lt;'PlayerGrades+'!$Y$30,"B+",IF(C639&lt;'PlayerGrades+'!$Y$29,"A-",IF(C639&lt;'PlayerGrades+'!$Y$28,"A",IF(C639&lt;'PlayerGrades+'!$Y$27,"A+",IF(C639&lt;'PlayerGrades+'!$Y$26,"S-",IF(C639&lt;'PlayerGrades+'!$Y$25,"S","S+"))))))))))))))))))))</f>
        <v>#DIV/0!</v>
      </c>
      <c r="C639" s="1422" t="str">
        <f>('PlayerGrades+'!$Y$47*(VLOOKUP(E639, 'PlayerGrades+'!$X$3:$Y$23, 2, FALSE)))+('PlayerGrades+'!$Y$48*(VLOOKUP(G639, 'PlayerGrades+'!$X$3:$Y$23, 2, FALSE)))+('PlayerGrades+'!$Y$49*(VLOOKUP(I639, 'PlayerGrades+'!$X$3:$Y$23, 2, FALSE)))+('PlayerGrades+'!$Y$50*(VLOOKUP(K639, 'PlayerGrades+'!$X$3:$Y$23, 2, FALSE)))+('PlayerGrades+'!$Y$51*(VLOOKUP(M639, 'PlayerGrades+'!$X$3:$Y$23, 2, FALSE)))+('PlayerGrades+'!$Y$52*(VLOOKUP(O639, 'PlayerGrades+'!$X$3:$Y$23, 2, FALSE)))+('PlayerGrades+'!$Y$53*(VLOOKUP(Q639, 'PlayerGrades+'!$X$3:$Y$23, 2, FALSE)))+('PlayerGrades+'!$Y$54*(VLOOKUP(S639, 'PlayerGrades+'!$X$3:$Y$23, 2, FALSE)))+('PlayerGrades+'!$Y$55*(VLOOKUP(U639, 'PlayerGrades+'!$X$3:$Y$23, 2, FALSE)))</f>
        <v>#DIV/0!</v>
      </c>
      <c r="D639" s="1423" t="str">
        <f t="shared" si="12"/>
        <v>#DIV/0!</v>
      </c>
      <c r="E639" s="1423" t="str">
        <f>IF(D639&lt;'PlayerGrades+'!$AA$21,"F-",IF(D639&lt;'PlayerGrades+'!$AA$20,"F",IF(D639&lt;'PlayerGrades+'!$AA$19,"F+",IF(D639&lt;'PlayerGrades+'!$AA$18,"E-",IF(D639&lt;'PlayerGrades+'!$AA$17,"E",IF(D639&lt;'PlayerGrades+'!$AA$16,"E+",IF(D639&lt;'PlayerGrades+'!$AA$15,"D-",IF(D639&lt;'PlayerGrades+'!$AA$14,"D",IF(D639&lt;'PlayerGrades+'!$AA$13,"D+",IF(D639&lt;'PlayerGrades+'!$AA$12,"C-",IF(D639&lt;'PlayerGrades+'!$AA$11,"C",IF(D639&lt;'PlayerGrades+'!$AA$10,"C+",IF(D639&lt;'PlayerGrades+'!$AA$9,"B-",IF(D639&lt;'PlayerGrades+'!$AA$8,"B",IF(D639&lt;'PlayerGrades+'!$AA$7,"B+",IF(D639&lt;'PlayerGrades+'!$AA$6,"A-",IF(D639&lt;'PlayerGrades+'!$AA$5,"A",IF(D639&lt;'PlayerGrades+'!$AA$4,"A+",IF(D639&lt;'PlayerGrades+'!$AA$3,"S-",IF(D639&lt;'PlayerGrades+'!$AA$2,"S","S+"))))))))))))))))))))</f>
        <v>#DIV/0!</v>
      </c>
      <c r="F639" s="1423" t="str">
        <f t="shared" si="13"/>
        <v>#DIV/0!</v>
      </c>
      <c r="G639" s="1423" t="str">
        <f>IF(F639&lt;'PlayerGrades+'!$AB$21,"F-",IF(F639&lt;'PlayerGrades+'!$AB$20,"F",IF(F639&lt;'PlayerGrades+'!$AB$19,"F+",IF(F639&lt;'PlayerGrades+'!$AB$18,"E-",IF(F639&lt;'PlayerGrades+'!$AB$17,"E",IF(F639&lt;'PlayerGrades+'!$AB$16,"E+",IF(F639&lt;'PlayerGrades+'!$AB$15,"D-",IF(F639&lt;'PlayerGrades+'!$AB$14,"D",IF(F639&lt;'PlayerGrades+'!$AB$13,"D+",IF(F639&lt;'PlayerGrades+'!$AB$12,"C-",IF(F639&lt;'PlayerGrades+'!$AB$11,"C",IF(F639&lt;'PlayerGrades+'!$AB$10,"C+",IF(F639&lt;'PlayerGrades+'!$AB$9,"B-",IF(F639&lt;'PlayerGrades+'!$AB$8,"B",IF(F639&lt;'PlayerGrades+'!$AB$7,"B+",IF(F639&lt;'PlayerGrades+'!$AB$6,"A-",IF(F639&lt;'PlayerGrades+'!$AB$5,"A",IF(F639&lt;'PlayerGrades+'!$AB$4,"A+",IF(F639&lt;'PlayerGrades+'!$AB$3,"S-",IF(F639&lt;'PlayerGrades+'!$AB$2,"S","S+"))))))))))))))))))))</f>
        <v>#DIV/0!</v>
      </c>
      <c r="H639" s="1423" t="str">
        <f t="shared" si="14"/>
        <v>#DIV/0!</v>
      </c>
      <c r="I639" s="1423" t="str">
        <f>IF(H639&lt;'PlayerGrades+'!$AC$21,"F-",IF(H639&lt;'PlayerGrades+'!$AC$20,"F",IF(H639&lt;'PlayerGrades+'!$AC$19,"F+",IF(H639&lt;'PlayerGrades+'!$AC$18,"E-",IF(H639&lt;'PlayerGrades+'!$AC$17,"E",IF(H639&lt;'PlayerGrades+'!$AC$16,"E+",IF(H639&lt;'PlayerGrades+'!$AC$15,"D-",IF(H639&lt;'PlayerGrades+'!$AC$14,"D",IF(H639&lt;'PlayerGrades+'!$AC$13,"D+",IF(H639&lt;'PlayerGrades+'!$AC$12,"C-",IF(H639&lt;'PlayerGrades+'!$AC$11,"C",IF(H639&lt;'PlayerGrades+'!$AC$10,"C+",IF(H639&lt;'PlayerGrades+'!$AC$9,"B-",IF(H639&lt;'PlayerGrades+'!$AC$8,"B",IF(H639&lt;'PlayerGrades+'!$AC$7,"B+",IF(H639&lt;'PlayerGrades+'!$AC$6,"A-",IF(H639&lt;'PlayerGrades+'!$AC$5,"A",IF(H639&lt;'PlayerGrades+'!$AC$4,"A+",IF(H639&lt;'PlayerGrades+'!$AC$3,"S-",IF(H639&lt;'PlayerGrades+'!$AC$2,"S","S+"))))))))))))))))))))</f>
        <v>#DIV/0!</v>
      </c>
      <c r="J639" s="1423" t="str">
        <f t="shared" si="15"/>
        <v>#DIV/0!</v>
      </c>
      <c r="K639" s="1423" t="str">
        <f>IF(J639&lt;'PlayerGrades+'!$AD$21,"F-",IF(J639&lt;'PlayerGrades+'!$AD$20,"F",IF(J639&lt;'PlayerGrades+'!$AD$19,"F+",IF(J639&lt;'PlayerGrades+'!$AD$18,"E-",IF(J639&lt;'PlayerGrades+'!$AD$17,"E",IF(J639&lt;'PlayerGrades+'!$AD$16,"E+",IF(J639&lt;'PlayerGrades+'!$AD$15,"D-",IF(J639&lt;'PlayerGrades+'!$AD$14,"D",IF(J639&lt;'PlayerGrades+'!$AD$13,"D+",IF(J639&lt;'PlayerGrades+'!$AD$12,"C-",IF(J639&lt;'PlayerGrades+'!$AD$11,"C",IF(J639&lt;'PlayerGrades+'!$AD$10,"C+",IF(J639&lt;'PlayerGrades+'!$AD$9,"B-",IF(J639&lt;'PlayerGrades+'!$AD$8,"B",IF(J639&lt;'PlayerGrades+'!$AD$7,"B+",IF(J639&lt;'PlayerGrades+'!$AD$6,"A-",IF(J639&lt;'PlayerGrades+'!$AD$5,"A",IF(J639&lt;'PlayerGrades+'!$AD$4,"A+",IF(J639&lt;'PlayerGrades+'!$AD$3,"S-",IF(J639&lt;'PlayerGrades+'!$AD$2,"S","S+"))))))))))))))))))))</f>
        <v>#DIV/0!</v>
      </c>
      <c r="L639" s="1176" t="str">
        <f t="shared" si="16"/>
        <v>#DIV/0!</v>
      </c>
      <c r="M639" s="992" t="str">
        <f>IF(L639&lt;'PlayerGrades+'!$AE$21,"F-",IF(L639&lt;'PlayerGrades+'!$AE$20,"F",IF(L639&lt;'PlayerGrades+'!$AE$19,"F+",IF(L639&lt;'PlayerGrades+'!$AE$18,"E-",IF(L639&lt;'PlayerGrades+'!$AE$17,"E",IF(L639&lt;'PlayerGrades+'!$AE$16,"E+",IF(L639&lt;'PlayerGrades+'!$AE$15,"D-",IF(L639&lt;'PlayerGrades+'!$AE$14,"D",IF(L639&lt;'PlayerGrades+'!$AE$13,"D+",IF(L639&lt;'PlayerGrades+'!$AE$12,"C-",IF(L639&lt;'PlayerGrades+'!$AE$11,"C",IF(L639&lt;'PlayerGrades+'!$AE$10,"C+",IF(L639&lt;'PlayerGrades+'!$AE$9,"B-",IF(L639&lt;'PlayerGrades+'!$AE$8,"B",IF(L639&lt;'PlayerGrades+'!$AE$7,"B+",IF(L639&lt;'PlayerGrades+'!$AE$6,"A-",IF(L639&lt;'PlayerGrades+'!$AE$5,"A",IF(L639&lt;'PlayerGrades+'!$AE$4,"A+",IF(L639&lt;'PlayerGrades+'!$AE$3,"S-",IF(L639&lt;'PlayerGrades+'!$AE$2,"S","S+"))))))))))))))))))))</f>
        <v>#DIV/0!</v>
      </c>
      <c r="N639" s="1423" t="str">
        <f t="shared" si="17"/>
        <v>#DIV/0!</v>
      </c>
      <c r="O639" s="1423" t="str">
        <f>IF(N639&lt;'PlayerGrades+'!$AF$21,"F-",IF(N639&lt;'PlayerGrades+'!$AF$20,"F",IF(N639&lt;'PlayerGrades+'!$AF$19,"F+",IF(N639&lt;'PlayerGrades+'!$AF$18,"E-",IF(N639&lt;'PlayerGrades+'!$AF$17,"E",IF(N639&lt;'PlayerGrades+'!$AF$16,"E+",IF(N639&lt;'PlayerGrades+'!$AF$15,"D-",IF(N639&lt;'PlayerGrades+'!$AF$14,"D",IF(N639&lt;'PlayerGrades+'!$AF$13,"D+",IF(N639&lt;'PlayerGrades+'!$AF$12,"C-",IF(N639&lt;'PlayerGrades+'!$AF$11,"C",IF(N639&lt;'PlayerGrades+'!$AF$10,"C+",IF(N639&lt;'PlayerGrades+'!$AF$9,"B-",IF(N639&lt;'PlayerGrades+'!$AF$8,"B",IF(N639&lt;'PlayerGrades+'!$AF$7,"B+",IF(N639&lt;'PlayerGrades+'!$AF$6,"A-",IF(N639&lt;'PlayerGrades+'!$AF$5,"A",IF(N639&lt;'PlayerGrades+'!$AF$4,"A+",IF(N639&lt;'PlayerGrades+'!$AF$3,"S-",IF(N639&lt;'PlayerGrades+'!$AF$2,"S","S+"))))))))))))))))))))</f>
        <v>#DIV/0!</v>
      </c>
      <c r="P639" s="1423" t="str">
        <f t="shared" si="18"/>
        <v>#DIV/0!</v>
      </c>
      <c r="Q639" s="1423" t="str">
        <f>IF(P639&lt;'PlayerGrades+'!$AG$21,"F-",IF(P639&lt;'PlayerGrades+'!$AG$20,"F",IF(P639&lt;'PlayerGrades+'!$AG$19,"F+",IF(P639&lt;'PlayerGrades+'!$AG$18,"E-",IF(P639&lt;'PlayerGrades+'!$AG$17,"E",IF(P639&lt;'PlayerGrades+'!$AG$16,"E+",IF(P639&lt;'PlayerGrades+'!$AG$15,"D-",IF(P639&lt;'PlayerGrades+'!$AG$14,"D",IF(P639&lt;'PlayerGrades+'!$AG$13,"D+",IF(P639&lt;'PlayerGrades+'!$AG$12,"C-",IF(P639&lt;'PlayerGrades+'!$AG$11,"C",IF(P639&lt;'PlayerGrades+'!$AG$10,"C+",IF(P639&lt;'PlayerGrades+'!$AG$9,"B-",IF(P639&lt;'PlayerGrades+'!$AG$8,"B",IF(P639&lt;'PlayerGrades+'!$AG$7,"B+",IF(P639&lt;'PlayerGrades+'!$AG$6,"A-",IF(P639&lt;'PlayerGrades+'!$AG$5,"A",IF(P639&lt;'PlayerGrades+'!$AG$4,"A+",IF(P639&lt;'PlayerGrades+'!$AG$3,"S-",IF(P639&lt;'PlayerGrades+'!$AG$2,"S","S+"))))))))))))))))))))</f>
        <v>#DIV/0!</v>
      </c>
      <c r="R639" s="1423" t="str">
        <f t="shared" si="19"/>
        <v>#REF!</v>
      </c>
      <c r="S639" s="1423" t="str">
        <f>IF(R639&lt;'PlayerGrades+'!$AH$21,"F-",IF(R639&lt;'PlayerGrades+'!$AH$20,"F",IF(R639&lt;'PlayerGrades+'!$AH$19,"F+",IF(R639&lt;'PlayerGrades+'!$AH$18,"E-",IF(R639&lt;'PlayerGrades+'!$AH$17,"E",IF(R639&lt;'PlayerGrades+'!$AH$16,"E+",IF(R639&lt;'PlayerGrades+'!$AH$15,"D-",IF(R639&lt;'PlayerGrades+'!$AH$14,"D",IF(R639&lt;'PlayerGrades+'!$AH$13,"D+",IF(R639&lt;'PlayerGrades+'!$AH$12,"C-",IF(R639&lt;'PlayerGrades+'!$AH$11,"C",IF(R639&lt;'PlayerGrades+'!$AH$10,"C+",IF(R639&lt;'PlayerGrades+'!$AH$9,"B-",IF(R639&lt;'PlayerGrades+'!$AH$8,"B",IF(R639&lt;'PlayerGrades+'!$AH$7,"B+",IF(R639&lt;'PlayerGrades+'!$AH$6,"A-",IF(R639&lt;'PlayerGrades+'!$AH$5,"A",IF(R639&lt;'PlayerGrades+'!$AH$4,"A+",IF(R639&lt;'PlayerGrades+'!$AH$3,"S-",IF(R639&lt;'PlayerGrades+'!$AH$2,"S","S+"))))))))))))))))))))</f>
        <v>#REF!</v>
      </c>
      <c r="T639" s="1423" t="str">
        <f t="shared" si="20"/>
        <v>#REF!</v>
      </c>
      <c r="U639" s="1423" t="str">
        <f>IF(T639&lt;'PlayerGrades+'!$AI$21,"F-",IF(T639&lt;'PlayerGrades+'!$AI$20,"F",IF(T639&lt;'PlayerGrades+'!$AI$19,"F+",IF(T639&lt;'PlayerGrades+'!$AI$18,"E-",IF(T639&lt;'PlayerGrades+'!$AI$17,"E",IF(T639&lt;'PlayerGrades+'!$AI$16,"E+",IF(T639&lt;'PlayerGrades+'!$AI$15,"D-",IF(T639&lt;'PlayerGrades+'!$AI$14,"D",IF(T639&lt;'PlayerGrades+'!$AI$13,"D+",IF(T639&lt;'PlayerGrades+'!$AI$12,"C-",IF(T639&lt;'PlayerGrades+'!$AI$11,"C",IF(T639&lt;'PlayerGrades+'!$AI$10,"C+",IF(T639&lt;'PlayerGrades+'!$AI$9,"B-",IF(T639&lt;'PlayerGrades+'!$AI$8,"B",IF(T639&lt;'PlayerGrades+'!$AI$7,"B+",IF(T639&lt;'PlayerGrades+'!$AI$6,"A-",IF(T639&lt;'PlayerGrades+'!$AI$5,"A",IF(T639&lt;'PlayerGrades+'!$AI$4,"A+",IF(T639&lt;'PlayerGrades+'!$AI$3,"S-",IF(T639&lt;'PlayerGrades+'!$AI$2,"S","S+"))))))))))))))))))))</f>
        <v>#REF!</v>
      </c>
      <c r="AC639" s="1392"/>
    </row>
    <row r="640">
      <c r="A640" s="1391"/>
      <c r="B640" s="1421" t="str">
        <f>IF(C640&lt;'PlayerGrades+'!$Y$44,"F-",IF(C640&lt;'PlayerGrades+'!$Y$43,"F",IF(C640&lt;'PlayerGrades+'!$Y$42,"F+",IF(C640&lt;'PlayerGrades+'!$Y$41,"E-",IF(C640&lt;'PlayerGrades+'!$Y$40,"E",IF(C640&lt;'PlayerGrades+'!$Y$39,"E+",IF(C640&lt;'PlayerGrades+'!$Y$38,"D-",IF(C640&lt;'PlayerGrades+'!$Y$37,"D",IF(C640&lt;'PlayerGrades+'!$Y$36,"D+",IF(C640&lt;'PlayerGrades+'!$Y$35,"C-",IF(C640&lt;'PlayerGrades+'!$Y$34,"C",IF(C640&lt;'PlayerGrades+'!$Y$33,"C+",IF(C640&lt;'PlayerGrades+'!$Y$32,"B-",IF(C640&lt;'PlayerGrades+'!$Y$31,"B",IF(C640&lt;'PlayerGrades+'!$Y$30,"B+",IF(C640&lt;'PlayerGrades+'!$Y$29,"A-",IF(C640&lt;'PlayerGrades+'!$Y$28,"A",IF(C640&lt;'PlayerGrades+'!$Y$27,"A+",IF(C640&lt;'PlayerGrades+'!$Y$26,"S-",IF(C640&lt;'PlayerGrades+'!$Y$25,"S","S+"))))))))))))))))))))</f>
        <v>#DIV/0!</v>
      </c>
      <c r="C640" s="1422" t="str">
        <f>('PlayerGrades+'!$Y$47*(VLOOKUP(E640, 'PlayerGrades+'!$X$3:$Y$23, 2, FALSE)))+('PlayerGrades+'!$Y$48*(VLOOKUP(G640, 'PlayerGrades+'!$X$3:$Y$23, 2, FALSE)))+('PlayerGrades+'!$Y$49*(VLOOKUP(I640, 'PlayerGrades+'!$X$3:$Y$23, 2, FALSE)))+('PlayerGrades+'!$Y$50*(VLOOKUP(K640, 'PlayerGrades+'!$X$3:$Y$23, 2, FALSE)))+('PlayerGrades+'!$Y$51*(VLOOKUP(M640, 'PlayerGrades+'!$X$3:$Y$23, 2, FALSE)))+('PlayerGrades+'!$Y$52*(VLOOKUP(O640, 'PlayerGrades+'!$X$3:$Y$23, 2, FALSE)))+('PlayerGrades+'!$Y$53*(VLOOKUP(Q640, 'PlayerGrades+'!$X$3:$Y$23, 2, FALSE)))+('PlayerGrades+'!$Y$54*(VLOOKUP(S640, 'PlayerGrades+'!$X$3:$Y$23, 2, FALSE)))+('PlayerGrades+'!$Y$55*(VLOOKUP(U640, 'PlayerGrades+'!$X$3:$Y$23, 2, FALSE)))</f>
        <v>#DIV/0!</v>
      </c>
      <c r="D640" s="1423" t="str">
        <f t="shared" si="12"/>
        <v>#DIV/0!</v>
      </c>
      <c r="E640" s="1423" t="str">
        <f>IF(D640&lt;'PlayerGrades+'!$AA$21,"F-",IF(D640&lt;'PlayerGrades+'!$AA$20,"F",IF(D640&lt;'PlayerGrades+'!$AA$19,"F+",IF(D640&lt;'PlayerGrades+'!$AA$18,"E-",IF(D640&lt;'PlayerGrades+'!$AA$17,"E",IF(D640&lt;'PlayerGrades+'!$AA$16,"E+",IF(D640&lt;'PlayerGrades+'!$AA$15,"D-",IF(D640&lt;'PlayerGrades+'!$AA$14,"D",IF(D640&lt;'PlayerGrades+'!$AA$13,"D+",IF(D640&lt;'PlayerGrades+'!$AA$12,"C-",IF(D640&lt;'PlayerGrades+'!$AA$11,"C",IF(D640&lt;'PlayerGrades+'!$AA$10,"C+",IF(D640&lt;'PlayerGrades+'!$AA$9,"B-",IF(D640&lt;'PlayerGrades+'!$AA$8,"B",IF(D640&lt;'PlayerGrades+'!$AA$7,"B+",IF(D640&lt;'PlayerGrades+'!$AA$6,"A-",IF(D640&lt;'PlayerGrades+'!$AA$5,"A",IF(D640&lt;'PlayerGrades+'!$AA$4,"A+",IF(D640&lt;'PlayerGrades+'!$AA$3,"S-",IF(D640&lt;'PlayerGrades+'!$AA$2,"S","S+"))))))))))))))))))))</f>
        <v>#DIV/0!</v>
      </c>
      <c r="F640" s="1423" t="str">
        <f t="shared" si="13"/>
        <v>#DIV/0!</v>
      </c>
      <c r="G640" s="1423" t="str">
        <f>IF(F640&lt;'PlayerGrades+'!$AB$21,"F-",IF(F640&lt;'PlayerGrades+'!$AB$20,"F",IF(F640&lt;'PlayerGrades+'!$AB$19,"F+",IF(F640&lt;'PlayerGrades+'!$AB$18,"E-",IF(F640&lt;'PlayerGrades+'!$AB$17,"E",IF(F640&lt;'PlayerGrades+'!$AB$16,"E+",IF(F640&lt;'PlayerGrades+'!$AB$15,"D-",IF(F640&lt;'PlayerGrades+'!$AB$14,"D",IF(F640&lt;'PlayerGrades+'!$AB$13,"D+",IF(F640&lt;'PlayerGrades+'!$AB$12,"C-",IF(F640&lt;'PlayerGrades+'!$AB$11,"C",IF(F640&lt;'PlayerGrades+'!$AB$10,"C+",IF(F640&lt;'PlayerGrades+'!$AB$9,"B-",IF(F640&lt;'PlayerGrades+'!$AB$8,"B",IF(F640&lt;'PlayerGrades+'!$AB$7,"B+",IF(F640&lt;'PlayerGrades+'!$AB$6,"A-",IF(F640&lt;'PlayerGrades+'!$AB$5,"A",IF(F640&lt;'PlayerGrades+'!$AB$4,"A+",IF(F640&lt;'PlayerGrades+'!$AB$3,"S-",IF(F640&lt;'PlayerGrades+'!$AB$2,"S","S+"))))))))))))))))))))</f>
        <v>#DIV/0!</v>
      </c>
      <c r="H640" s="1423" t="str">
        <f t="shared" si="14"/>
        <v>#DIV/0!</v>
      </c>
      <c r="I640" s="1423" t="str">
        <f>IF(H640&lt;'PlayerGrades+'!$AC$21,"F-",IF(H640&lt;'PlayerGrades+'!$AC$20,"F",IF(H640&lt;'PlayerGrades+'!$AC$19,"F+",IF(H640&lt;'PlayerGrades+'!$AC$18,"E-",IF(H640&lt;'PlayerGrades+'!$AC$17,"E",IF(H640&lt;'PlayerGrades+'!$AC$16,"E+",IF(H640&lt;'PlayerGrades+'!$AC$15,"D-",IF(H640&lt;'PlayerGrades+'!$AC$14,"D",IF(H640&lt;'PlayerGrades+'!$AC$13,"D+",IF(H640&lt;'PlayerGrades+'!$AC$12,"C-",IF(H640&lt;'PlayerGrades+'!$AC$11,"C",IF(H640&lt;'PlayerGrades+'!$AC$10,"C+",IF(H640&lt;'PlayerGrades+'!$AC$9,"B-",IF(H640&lt;'PlayerGrades+'!$AC$8,"B",IF(H640&lt;'PlayerGrades+'!$AC$7,"B+",IF(H640&lt;'PlayerGrades+'!$AC$6,"A-",IF(H640&lt;'PlayerGrades+'!$AC$5,"A",IF(H640&lt;'PlayerGrades+'!$AC$4,"A+",IF(H640&lt;'PlayerGrades+'!$AC$3,"S-",IF(H640&lt;'PlayerGrades+'!$AC$2,"S","S+"))))))))))))))))))))</f>
        <v>#DIV/0!</v>
      </c>
      <c r="J640" s="1423" t="str">
        <f t="shared" si="15"/>
        <v>#DIV/0!</v>
      </c>
      <c r="K640" s="1423" t="str">
        <f>IF(J640&lt;'PlayerGrades+'!$AD$21,"F-",IF(J640&lt;'PlayerGrades+'!$AD$20,"F",IF(J640&lt;'PlayerGrades+'!$AD$19,"F+",IF(J640&lt;'PlayerGrades+'!$AD$18,"E-",IF(J640&lt;'PlayerGrades+'!$AD$17,"E",IF(J640&lt;'PlayerGrades+'!$AD$16,"E+",IF(J640&lt;'PlayerGrades+'!$AD$15,"D-",IF(J640&lt;'PlayerGrades+'!$AD$14,"D",IF(J640&lt;'PlayerGrades+'!$AD$13,"D+",IF(J640&lt;'PlayerGrades+'!$AD$12,"C-",IF(J640&lt;'PlayerGrades+'!$AD$11,"C",IF(J640&lt;'PlayerGrades+'!$AD$10,"C+",IF(J640&lt;'PlayerGrades+'!$AD$9,"B-",IF(J640&lt;'PlayerGrades+'!$AD$8,"B",IF(J640&lt;'PlayerGrades+'!$AD$7,"B+",IF(J640&lt;'PlayerGrades+'!$AD$6,"A-",IF(J640&lt;'PlayerGrades+'!$AD$5,"A",IF(J640&lt;'PlayerGrades+'!$AD$4,"A+",IF(J640&lt;'PlayerGrades+'!$AD$3,"S-",IF(J640&lt;'PlayerGrades+'!$AD$2,"S","S+"))))))))))))))))))))</f>
        <v>#DIV/0!</v>
      </c>
      <c r="L640" s="1176" t="str">
        <f t="shared" si="16"/>
        <v>#DIV/0!</v>
      </c>
      <c r="M640" s="992" t="str">
        <f>IF(L640&lt;'PlayerGrades+'!$AE$21,"F-",IF(L640&lt;'PlayerGrades+'!$AE$20,"F",IF(L640&lt;'PlayerGrades+'!$AE$19,"F+",IF(L640&lt;'PlayerGrades+'!$AE$18,"E-",IF(L640&lt;'PlayerGrades+'!$AE$17,"E",IF(L640&lt;'PlayerGrades+'!$AE$16,"E+",IF(L640&lt;'PlayerGrades+'!$AE$15,"D-",IF(L640&lt;'PlayerGrades+'!$AE$14,"D",IF(L640&lt;'PlayerGrades+'!$AE$13,"D+",IF(L640&lt;'PlayerGrades+'!$AE$12,"C-",IF(L640&lt;'PlayerGrades+'!$AE$11,"C",IF(L640&lt;'PlayerGrades+'!$AE$10,"C+",IF(L640&lt;'PlayerGrades+'!$AE$9,"B-",IF(L640&lt;'PlayerGrades+'!$AE$8,"B",IF(L640&lt;'PlayerGrades+'!$AE$7,"B+",IF(L640&lt;'PlayerGrades+'!$AE$6,"A-",IF(L640&lt;'PlayerGrades+'!$AE$5,"A",IF(L640&lt;'PlayerGrades+'!$AE$4,"A+",IF(L640&lt;'PlayerGrades+'!$AE$3,"S-",IF(L640&lt;'PlayerGrades+'!$AE$2,"S","S+"))))))))))))))))))))</f>
        <v>#DIV/0!</v>
      </c>
      <c r="N640" s="1423" t="str">
        <f t="shared" si="17"/>
        <v>#DIV/0!</v>
      </c>
      <c r="O640" s="1423" t="str">
        <f>IF(N640&lt;'PlayerGrades+'!$AF$21,"F-",IF(N640&lt;'PlayerGrades+'!$AF$20,"F",IF(N640&lt;'PlayerGrades+'!$AF$19,"F+",IF(N640&lt;'PlayerGrades+'!$AF$18,"E-",IF(N640&lt;'PlayerGrades+'!$AF$17,"E",IF(N640&lt;'PlayerGrades+'!$AF$16,"E+",IF(N640&lt;'PlayerGrades+'!$AF$15,"D-",IF(N640&lt;'PlayerGrades+'!$AF$14,"D",IF(N640&lt;'PlayerGrades+'!$AF$13,"D+",IF(N640&lt;'PlayerGrades+'!$AF$12,"C-",IF(N640&lt;'PlayerGrades+'!$AF$11,"C",IF(N640&lt;'PlayerGrades+'!$AF$10,"C+",IF(N640&lt;'PlayerGrades+'!$AF$9,"B-",IF(N640&lt;'PlayerGrades+'!$AF$8,"B",IF(N640&lt;'PlayerGrades+'!$AF$7,"B+",IF(N640&lt;'PlayerGrades+'!$AF$6,"A-",IF(N640&lt;'PlayerGrades+'!$AF$5,"A",IF(N640&lt;'PlayerGrades+'!$AF$4,"A+",IF(N640&lt;'PlayerGrades+'!$AF$3,"S-",IF(N640&lt;'PlayerGrades+'!$AF$2,"S","S+"))))))))))))))))))))</f>
        <v>#DIV/0!</v>
      </c>
      <c r="P640" s="1423" t="str">
        <f t="shared" si="18"/>
        <v>#DIV/0!</v>
      </c>
      <c r="Q640" s="1423" t="str">
        <f>IF(P640&lt;'PlayerGrades+'!$AG$21,"F-",IF(P640&lt;'PlayerGrades+'!$AG$20,"F",IF(P640&lt;'PlayerGrades+'!$AG$19,"F+",IF(P640&lt;'PlayerGrades+'!$AG$18,"E-",IF(P640&lt;'PlayerGrades+'!$AG$17,"E",IF(P640&lt;'PlayerGrades+'!$AG$16,"E+",IF(P640&lt;'PlayerGrades+'!$AG$15,"D-",IF(P640&lt;'PlayerGrades+'!$AG$14,"D",IF(P640&lt;'PlayerGrades+'!$AG$13,"D+",IF(P640&lt;'PlayerGrades+'!$AG$12,"C-",IF(P640&lt;'PlayerGrades+'!$AG$11,"C",IF(P640&lt;'PlayerGrades+'!$AG$10,"C+",IF(P640&lt;'PlayerGrades+'!$AG$9,"B-",IF(P640&lt;'PlayerGrades+'!$AG$8,"B",IF(P640&lt;'PlayerGrades+'!$AG$7,"B+",IF(P640&lt;'PlayerGrades+'!$AG$6,"A-",IF(P640&lt;'PlayerGrades+'!$AG$5,"A",IF(P640&lt;'PlayerGrades+'!$AG$4,"A+",IF(P640&lt;'PlayerGrades+'!$AG$3,"S-",IF(P640&lt;'PlayerGrades+'!$AG$2,"S","S+"))))))))))))))))))))</f>
        <v>#DIV/0!</v>
      </c>
      <c r="R640" s="1423" t="str">
        <f t="shared" si="19"/>
        <v>#REF!</v>
      </c>
      <c r="S640" s="1423" t="str">
        <f>IF(R640&lt;'PlayerGrades+'!$AH$21,"F-",IF(R640&lt;'PlayerGrades+'!$AH$20,"F",IF(R640&lt;'PlayerGrades+'!$AH$19,"F+",IF(R640&lt;'PlayerGrades+'!$AH$18,"E-",IF(R640&lt;'PlayerGrades+'!$AH$17,"E",IF(R640&lt;'PlayerGrades+'!$AH$16,"E+",IF(R640&lt;'PlayerGrades+'!$AH$15,"D-",IF(R640&lt;'PlayerGrades+'!$AH$14,"D",IF(R640&lt;'PlayerGrades+'!$AH$13,"D+",IF(R640&lt;'PlayerGrades+'!$AH$12,"C-",IF(R640&lt;'PlayerGrades+'!$AH$11,"C",IF(R640&lt;'PlayerGrades+'!$AH$10,"C+",IF(R640&lt;'PlayerGrades+'!$AH$9,"B-",IF(R640&lt;'PlayerGrades+'!$AH$8,"B",IF(R640&lt;'PlayerGrades+'!$AH$7,"B+",IF(R640&lt;'PlayerGrades+'!$AH$6,"A-",IF(R640&lt;'PlayerGrades+'!$AH$5,"A",IF(R640&lt;'PlayerGrades+'!$AH$4,"A+",IF(R640&lt;'PlayerGrades+'!$AH$3,"S-",IF(R640&lt;'PlayerGrades+'!$AH$2,"S","S+"))))))))))))))))))))</f>
        <v>#REF!</v>
      </c>
      <c r="T640" s="1423" t="str">
        <f t="shared" si="20"/>
        <v>#REF!</v>
      </c>
      <c r="U640" s="1423" t="str">
        <f>IF(T640&lt;'PlayerGrades+'!$AI$21,"F-",IF(T640&lt;'PlayerGrades+'!$AI$20,"F",IF(T640&lt;'PlayerGrades+'!$AI$19,"F+",IF(T640&lt;'PlayerGrades+'!$AI$18,"E-",IF(T640&lt;'PlayerGrades+'!$AI$17,"E",IF(T640&lt;'PlayerGrades+'!$AI$16,"E+",IF(T640&lt;'PlayerGrades+'!$AI$15,"D-",IF(T640&lt;'PlayerGrades+'!$AI$14,"D",IF(T640&lt;'PlayerGrades+'!$AI$13,"D+",IF(T640&lt;'PlayerGrades+'!$AI$12,"C-",IF(T640&lt;'PlayerGrades+'!$AI$11,"C",IF(T640&lt;'PlayerGrades+'!$AI$10,"C+",IF(T640&lt;'PlayerGrades+'!$AI$9,"B-",IF(T640&lt;'PlayerGrades+'!$AI$8,"B",IF(T640&lt;'PlayerGrades+'!$AI$7,"B+",IF(T640&lt;'PlayerGrades+'!$AI$6,"A-",IF(T640&lt;'PlayerGrades+'!$AI$5,"A",IF(T640&lt;'PlayerGrades+'!$AI$4,"A+",IF(T640&lt;'PlayerGrades+'!$AI$3,"S-",IF(T640&lt;'PlayerGrades+'!$AI$2,"S","S+"))))))))))))))))))))</f>
        <v>#REF!</v>
      </c>
      <c r="AC640" s="1392"/>
    </row>
    <row r="641">
      <c r="A641" s="1393"/>
      <c r="B641" s="1421" t="str">
        <f>IF(C641&lt;'PlayerGrades+'!$Y$44,"F-",IF(C641&lt;'PlayerGrades+'!$Y$43,"F",IF(C641&lt;'PlayerGrades+'!$Y$42,"F+",IF(C641&lt;'PlayerGrades+'!$Y$41,"E-",IF(C641&lt;'PlayerGrades+'!$Y$40,"E",IF(C641&lt;'PlayerGrades+'!$Y$39,"E+",IF(C641&lt;'PlayerGrades+'!$Y$38,"D-",IF(C641&lt;'PlayerGrades+'!$Y$37,"D",IF(C641&lt;'PlayerGrades+'!$Y$36,"D+",IF(C641&lt;'PlayerGrades+'!$Y$35,"C-",IF(C641&lt;'PlayerGrades+'!$Y$34,"C",IF(C641&lt;'PlayerGrades+'!$Y$33,"C+",IF(C641&lt;'PlayerGrades+'!$Y$32,"B-",IF(C641&lt;'PlayerGrades+'!$Y$31,"B",IF(C641&lt;'PlayerGrades+'!$Y$30,"B+",IF(C641&lt;'PlayerGrades+'!$Y$29,"A-",IF(C641&lt;'PlayerGrades+'!$Y$28,"A",IF(C641&lt;'PlayerGrades+'!$Y$27,"A+",IF(C641&lt;'PlayerGrades+'!$Y$26,"S-",IF(C641&lt;'PlayerGrades+'!$Y$25,"S","S+"))))))))))))))))))))</f>
        <v>#DIV/0!</v>
      </c>
      <c r="C641" s="1422" t="str">
        <f>('PlayerGrades+'!$Y$47*(VLOOKUP(E641, 'PlayerGrades+'!$X$3:$Y$23, 2, FALSE)))+('PlayerGrades+'!$Y$48*(VLOOKUP(G641, 'PlayerGrades+'!$X$3:$Y$23, 2, FALSE)))+('PlayerGrades+'!$Y$49*(VLOOKUP(I641, 'PlayerGrades+'!$X$3:$Y$23, 2, FALSE)))+('PlayerGrades+'!$Y$50*(VLOOKUP(K641, 'PlayerGrades+'!$X$3:$Y$23, 2, FALSE)))+('PlayerGrades+'!$Y$51*(VLOOKUP(M641, 'PlayerGrades+'!$X$3:$Y$23, 2, FALSE)))+('PlayerGrades+'!$Y$52*(VLOOKUP(O641, 'PlayerGrades+'!$X$3:$Y$23, 2, FALSE)))+('PlayerGrades+'!$Y$53*(VLOOKUP(Q641, 'PlayerGrades+'!$X$3:$Y$23, 2, FALSE)))+('PlayerGrades+'!$Y$54*(VLOOKUP(S641, 'PlayerGrades+'!$X$3:$Y$23, 2, FALSE)))+('PlayerGrades+'!$Y$55*(VLOOKUP(U641, 'PlayerGrades+'!$X$3:$Y$23, 2, FALSE)))</f>
        <v>#DIV/0!</v>
      </c>
      <c r="D641" s="1423" t="str">
        <f t="shared" si="12"/>
        <v>#DIV/0!</v>
      </c>
      <c r="E641" s="1423" t="str">
        <f>IF(D641&lt;'PlayerGrades+'!$AA$21,"F-",IF(D641&lt;'PlayerGrades+'!$AA$20,"F",IF(D641&lt;'PlayerGrades+'!$AA$19,"F+",IF(D641&lt;'PlayerGrades+'!$AA$18,"E-",IF(D641&lt;'PlayerGrades+'!$AA$17,"E",IF(D641&lt;'PlayerGrades+'!$AA$16,"E+",IF(D641&lt;'PlayerGrades+'!$AA$15,"D-",IF(D641&lt;'PlayerGrades+'!$AA$14,"D",IF(D641&lt;'PlayerGrades+'!$AA$13,"D+",IF(D641&lt;'PlayerGrades+'!$AA$12,"C-",IF(D641&lt;'PlayerGrades+'!$AA$11,"C",IF(D641&lt;'PlayerGrades+'!$AA$10,"C+",IF(D641&lt;'PlayerGrades+'!$AA$9,"B-",IF(D641&lt;'PlayerGrades+'!$AA$8,"B",IF(D641&lt;'PlayerGrades+'!$AA$7,"B+",IF(D641&lt;'PlayerGrades+'!$AA$6,"A-",IF(D641&lt;'PlayerGrades+'!$AA$5,"A",IF(D641&lt;'PlayerGrades+'!$AA$4,"A+",IF(D641&lt;'PlayerGrades+'!$AA$3,"S-",IF(D641&lt;'PlayerGrades+'!$AA$2,"S","S+"))))))))))))))))))))</f>
        <v>#DIV/0!</v>
      </c>
      <c r="F641" s="1423" t="str">
        <f t="shared" si="13"/>
        <v>#DIV/0!</v>
      </c>
      <c r="G641" s="1423" t="str">
        <f>IF(F641&lt;'PlayerGrades+'!$AB$21,"F-",IF(F641&lt;'PlayerGrades+'!$AB$20,"F",IF(F641&lt;'PlayerGrades+'!$AB$19,"F+",IF(F641&lt;'PlayerGrades+'!$AB$18,"E-",IF(F641&lt;'PlayerGrades+'!$AB$17,"E",IF(F641&lt;'PlayerGrades+'!$AB$16,"E+",IF(F641&lt;'PlayerGrades+'!$AB$15,"D-",IF(F641&lt;'PlayerGrades+'!$AB$14,"D",IF(F641&lt;'PlayerGrades+'!$AB$13,"D+",IF(F641&lt;'PlayerGrades+'!$AB$12,"C-",IF(F641&lt;'PlayerGrades+'!$AB$11,"C",IF(F641&lt;'PlayerGrades+'!$AB$10,"C+",IF(F641&lt;'PlayerGrades+'!$AB$9,"B-",IF(F641&lt;'PlayerGrades+'!$AB$8,"B",IF(F641&lt;'PlayerGrades+'!$AB$7,"B+",IF(F641&lt;'PlayerGrades+'!$AB$6,"A-",IF(F641&lt;'PlayerGrades+'!$AB$5,"A",IF(F641&lt;'PlayerGrades+'!$AB$4,"A+",IF(F641&lt;'PlayerGrades+'!$AB$3,"S-",IF(F641&lt;'PlayerGrades+'!$AB$2,"S","S+"))))))))))))))))))))</f>
        <v>#DIV/0!</v>
      </c>
      <c r="H641" s="1423" t="str">
        <f t="shared" si="14"/>
        <v>#DIV/0!</v>
      </c>
      <c r="I641" s="1423" t="str">
        <f>IF(H641&lt;'PlayerGrades+'!$AC$21,"F-",IF(H641&lt;'PlayerGrades+'!$AC$20,"F",IF(H641&lt;'PlayerGrades+'!$AC$19,"F+",IF(H641&lt;'PlayerGrades+'!$AC$18,"E-",IF(H641&lt;'PlayerGrades+'!$AC$17,"E",IF(H641&lt;'PlayerGrades+'!$AC$16,"E+",IF(H641&lt;'PlayerGrades+'!$AC$15,"D-",IF(H641&lt;'PlayerGrades+'!$AC$14,"D",IF(H641&lt;'PlayerGrades+'!$AC$13,"D+",IF(H641&lt;'PlayerGrades+'!$AC$12,"C-",IF(H641&lt;'PlayerGrades+'!$AC$11,"C",IF(H641&lt;'PlayerGrades+'!$AC$10,"C+",IF(H641&lt;'PlayerGrades+'!$AC$9,"B-",IF(H641&lt;'PlayerGrades+'!$AC$8,"B",IF(H641&lt;'PlayerGrades+'!$AC$7,"B+",IF(H641&lt;'PlayerGrades+'!$AC$6,"A-",IF(H641&lt;'PlayerGrades+'!$AC$5,"A",IF(H641&lt;'PlayerGrades+'!$AC$4,"A+",IF(H641&lt;'PlayerGrades+'!$AC$3,"S-",IF(H641&lt;'PlayerGrades+'!$AC$2,"S","S+"))))))))))))))))))))</f>
        <v>#DIV/0!</v>
      </c>
      <c r="J641" s="1423" t="str">
        <f t="shared" si="15"/>
        <v>#DIV/0!</v>
      </c>
      <c r="K641" s="1423" t="str">
        <f>IF(J641&lt;'PlayerGrades+'!$AD$21,"F-",IF(J641&lt;'PlayerGrades+'!$AD$20,"F",IF(J641&lt;'PlayerGrades+'!$AD$19,"F+",IF(J641&lt;'PlayerGrades+'!$AD$18,"E-",IF(J641&lt;'PlayerGrades+'!$AD$17,"E",IF(J641&lt;'PlayerGrades+'!$AD$16,"E+",IF(J641&lt;'PlayerGrades+'!$AD$15,"D-",IF(J641&lt;'PlayerGrades+'!$AD$14,"D",IF(J641&lt;'PlayerGrades+'!$AD$13,"D+",IF(J641&lt;'PlayerGrades+'!$AD$12,"C-",IF(J641&lt;'PlayerGrades+'!$AD$11,"C",IF(J641&lt;'PlayerGrades+'!$AD$10,"C+",IF(J641&lt;'PlayerGrades+'!$AD$9,"B-",IF(J641&lt;'PlayerGrades+'!$AD$8,"B",IF(J641&lt;'PlayerGrades+'!$AD$7,"B+",IF(J641&lt;'PlayerGrades+'!$AD$6,"A-",IF(J641&lt;'PlayerGrades+'!$AD$5,"A",IF(J641&lt;'PlayerGrades+'!$AD$4,"A+",IF(J641&lt;'PlayerGrades+'!$AD$3,"S-",IF(J641&lt;'PlayerGrades+'!$AD$2,"S","S+"))))))))))))))))))))</f>
        <v>#DIV/0!</v>
      </c>
      <c r="L641" s="1176" t="str">
        <f t="shared" si="16"/>
        <v>#DIV/0!</v>
      </c>
      <c r="M641" s="992" t="str">
        <f>IF(L641&lt;'PlayerGrades+'!$AE$21,"F-",IF(L641&lt;'PlayerGrades+'!$AE$20,"F",IF(L641&lt;'PlayerGrades+'!$AE$19,"F+",IF(L641&lt;'PlayerGrades+'!$AE$18,"E-",IF(L641&lt;'PlayerGrades+'!$AE$17,"E",IF(L641&lt;'PlayerGrades+'!$AE$16,"E+",IF(L641&lt;'PlayerGrades+'!$AE$15,"D-",IF(L641&lt;'PlayerGrades+'!$AE$14,"D",IF(L641&lt;'PlayerGrades+'!$AE$13,"D+",IF(L641&lt;'PlayerGrades+'!$AE$12,"C-",IF(L641&lt;'PlayerGrades+'!$AE$11,"C",IF(L641&lt;'PlayerGrades+'!$AE$10,"C+",IF(L641&lt;'PlayerGrades+'!$AE$9,"B-",IF(L641&lt;'PlayerGrades+'!$AE$8,"B",IF(L641&lt;'PlayerGrades+'!$AE$7,"B+",IF(L641&lt;'PlayerGrades+'!$AE$6,"A-",IF(L641&lt;'PlayerGrades+'!$AE$5,"A",IF(L641&lt;'PlayerGrades+'!$AE$4,"A+",IF(L641&lt;'PlayerGrades+'!$AE$3,"S-",IF(L641&lt;'PlayerGrades+'!$AE$2,"S","S+"))))))))))))))))))))</f>
        <v>#DIV/0!</v>
      </c>
      <c r="N641" s="1423" t="str">
        <f t="shared" si="17"/>
        <v>#DIV/0!</v>
      </c>
      <c r="O641" s="1423" t="str">
        <f>IF(N641&lt;'PlayerGrades+'!$AF$21,"F-",IF(N641&lt;'PlayerGrades+'!$AF$20,"F",IF(N641&lt;'PlayerGrades+'!$AF$19,"F+",IF(N641&lt;'PlayerGrades+'!$AF$18,"E-",IF(N641&lt;'PlayerGrades+'!$AF$17,"E",IF(N641&lt;'PlayerGrades+'!$AF$16,"E+",IF(N641&lt;'PlayerGrades+'!$AF$15,"D-",IF(N641&lt;'PlayerGrades+'!$AF$14,"D",IF(N641&lt;'PlayerGrades+'!$AF$13,"D+",IF(N641&lt;'PlayerGrades+'!$AF$12,"C-",IF(N641&lt;'PlayerGrades+'!$AF$11,"C",IF(N641&lt;'PlayerGrades+'!$AF$10,"C+",IF(N641&lt;'PlayerGrades+'!$AF$9,"B-",IF(N641&lt;'PlayerGrades+'!$AF$8,"B",IF(N641&lt;'PlayerGrades+'!$AF$7,"B+",IF(N641&lt;'PlayerGrades+'!$AF$6,"A-",IF(N641&lt;'PlayerGrades+'!$AF$5,"A",IF(N641&lt;'PlayerGrades+'!$AF$4,"A+",IF(N641&lt;'PlayerGrades+'!$AF$3,"S-",IF(N641&lt;'PlayerGrades+'!$AF$2,"S","S+"))))))))))))))))))))</f>
        <v>#DIV/0!</v>
      </c>
      <c r="P641" s="1423" t="str">
        <f t="shared" si="18"/>
        <v>#DIV/0!</v>
      </c>
      <c r="Q641" s="1423" t="str">
        <f>IF(P641&lt;'PlayerGrades+'!$AG$21,"F-",IF(P641&lt;'PlayerGrades+'!$AG$20,"F",IF(P641&lt;'PlayerGrades+'!$AG$19,"F+",IF(P641&lt;'PlayerGrades+'!$AG$18,"E-",IF(P641&lt;'PlayerGrades+'!$AG$17,"E",IF(P641&lt;'PlayerGrades+'!$AG$16,"E+",IF(P641&lt;'PlayerGrades+'!$AG$15,"D-",IF(P641&lt;'PlayerGrades+'!$AG$14,"D",IF(P641&lt;'PlayerGrades+'!$AG$13,"D+",IF(P641&lt;'PlayerGrades+'!$AG$12,"C-",IF(P641&lt;'PlayerGrades+'!$AG$11,"C",IF(P641&lt;'PlayerGrades+'!$AG$10,"C+",IF(P641&lt;'PlayerGrades+'!$AG$9,"B-",IF(P641&lt;'PlayerGrades+'!$AG$8,"B",IF(P641&lt;'PlayerGrades+'!$AG$7,"B+",IF(P641&lt;'PlayerGrades+'!$AG$6,"A-",IF(P641&lt;'PlayerGrades+'!$AG$5,"A",IF(P641&lt;'PlayerGrades+'!$AG$4,"A+",IF(P641&lt;'PlayerGrades+'!$AG$3,"S-",IF(P641&lt;'PlayerGrades+'!$AG$2,"S","S+"))))))))))))))))))))</f>
        <v>#DIV/0!</v>
      </c>
      <c r="R641" s="1423" t="str">
        <f t="shared" si="19"/>
        <v>#REF!</v>
      </c>
      <c r="S641" s="1423" t="str">
        <f>IF(R641&lt;'PlayerGrades+'!$AH$21,"F-",IF(R641&lt;'PlayerGrades+'!$AH$20,"F",IF(R641&lt;'PlayerGrades+'!$AH$19,"F+",IF(R641&lt;'PlayerGrades+'!$AH$18,"E-",IF(R641&lt;'PlayerGrades+'!$AH$17,"E",IF(R641&lt;'PlayerGrades+'!$AH$16,"E+",IF(R641&lt;'PlayerGrades+'!$AH$15,"D-",IF(R641&lt;'PlayerGrades+'!$AH$14,"D",IF(R641&lt;'PlayerGrades+'!$AH$13,"D+",IF(R641&lt;'PlayerGrades+'!$AH$12,"C-",IF(R641&lt;'PlayerGrades+'!$AH$11,"C",IF(R641&lt;'PlayerGrades+'!$AH$10,"C+",IF(R641&lt;'PlayerGrades+'!$AH$9,"B-",IF(R641&lt;'PlayerGrades+'!$AH$8,"B",IF(R641&lt;'PlayerGrades+'!$AH$7,"B+",IF(R641&lt;'PlayerGrades+'!$AH$6,"A-",IF(R641&lt;'PlayerGrades+'!$AH$5,"A",IF(R641&lt;'PlayerGrades+'!$AH$4,"A+",IF(R641&lt;'PlayerGrades+'!$AH$3,"S-",IF(R641&lt;'PlayerGrades+'!$AH$2,"S","S+"))))))))))))))))))))</f>
        <v>#REF!</v>
      </c>
      <c r="T641" s="1423" t="str">
        <f t="shared" si="20"/>
        <v>#REF!</v>
      </c>
      <c r="U641" s="1423" t="str">
        <f>IF(T641&lt;'PlayerGrades+'!$AI$21,"F-",IF(T641&lt;'PlayerGrades+'!$AI$20,"F",IF(T641&lt;'PlayerGrades+'!$AI$19,"F+",IF(T641&lt;'PlayerGrades+'!$AI$18,"E-",IF(T641&lt;'PlayerGrades+'!$AI$17,"E",IF(T641&lt;'PlayerGrades+'!$AI$16,"E+",IF(T641&lt;'PlayerGrades+'!$AI$15,"D-",IF(T641&lt;'PlayerGrades+'!$AI$14,"D",IF(T641&lt;'PlayerGrades+'!$AI$13,"D+",IF(T641&lt;'PlayerGrades+'!$AI$12,"C-",IF(T641&lt;'PlayerGrades+'!$AI$11,"C",IF(T641&lt;'PlayerGrades+'!$AI$10,"C+",IF(T641&lt;'PlayerGrades+'!$AI$9,"B-",IF(T641&lt;'PlayerGrades+'!$AI$8,"B",IF(T641&lt;'PlayerGrades+'!$AI$7,"B+",IF(T641&lt;'PlayerGrades+'!$AI$6,"A-",IF(T641&lt;'PlayerGrades+'!$AI$5,"A",IF(T641&lt;'PlayerGrades+'!$AI$4,"A+",IF(T641&lt;'PlayerGrades+'!$AI$3,"S-",IF(T641&lt;'PlayerGrades+'!$AI$2,"S","S+"))))))))))))))))))))</f>
        <v>#REF!</v>
      </c>
      <c r="V641" s="1386"/>
      <c r="W641" s="1386"/>
      <c r="X641" s="1386"/>
      <c r="Y641" s="1386"/>
      <c r="Z641" s="1386"/>
      <c r="AA641" s="1386"/>
      <c r="AB641" s="1386"/>
      <c r="AC641" s="1397"/>
      <c r="AD641" s="1386"/>
      <c r="AE641" s="1386"/>
      <c r="AF641" s="1386"/>
      <c r="AG641" s="1386"/>
      <c r="AH641" s="1386"/>
      <c r="AI641" s="1386"/>
      <c r="AJ641" s="1386"/>
      <c r="AK641" s="1386"/>
      <c r="AL641" s="1386"/>
      <c r="AM641" s="1386"/>
      <c r="AN641" s="1386"/>
      <c r="AO641" s="1386"/>
      <c r="AP641" s="1386"/>
      <c r="AQ641" s="1386"/>
      <c r="AR641" s="1386"/>
      <c r="AS641" s="1386"/>
      <c r="AT641" s="1386"/>
      <c r="AU641" s="1386"/>
      <c r="AV641" s="1386"/>
      <c r="AW641" s="1386"/>
      <c r="AX641" s="1386"/>
      <c r="AY641" s="1386"/>
      <c r="AZ641" s="1386"/>
    </row>
    <row r="642">
      <c r="B642" s="1421" t="str">
        <f>IF(C642&lt;'PlayerGrades+'!$Y$44,"F-",IF(C642&lt;'PlayerGrades+'!$Y$43,"F",IF(C642&lt;'PlayerGrades+'!$Y$42,"F+",IF(C642&lt;'PlayerGrades+'!$Y$41,"E-",IF(C642&lt;'PlayerGrades+'!$Y$40,"E",IF(C642&lt;'PlayerGrades+'!$Y$39,"E+",IF(C642&lt;'PlayerGrades+'!$Y$38,"D-",IF(C642&lt;'PlayerGrades+'!$Y$37,"D",IF(C642&lt;'PlayerGrades+'!$Y$36,"D+",IF(C642&lt;'PlayerGrades+'!$Y$35,"C-",IF(C642&lt;'PlayerGrades+'!$Y$34,"C",IF(C642&lt;'PlayerGrades+'!$Y$33,"C+",IF(C642&lt;'PlayerGrades+'!$Y$32,"B-",IF(C642&lt;'PlayerGrades+'!$Y$31,"B",IF(C642&lt;'PlayerGrades+'!$Y$30,"B+",IF(C642&lt;'PlayerGrades+'!$Y$29,"A-",IF(C642&lt;'PlayerGrades+'!$Y$28,"A",IF(C642&lt;'PlayerGrades+'!$Y$27,"A+",IF(C642&lt;'PlayerGrades+'!$Y$26,"S-",IF(C642&lt;'PlayerGrades+'!$Y$25,"S","S+"))))))))))))))))))))</f>
        <v>#DIV/0!</v>
      </c>
      <c r="C642" s="1422" t="str">
        <f>('PlayerGrades+'!$Y$47*(VLOOKUP(E642, 'PlayerGrades+'!$X$3:$Y$23, 2, FALSE)))+('PlayerGrades+'!$Y$48*(VLOOKUP(G642, 'PlayerGrades+'!$X$3:$Y$23, 2, FALSE)))+('PlayerGrades+'!$Y$49*(VLOOKUP(I642, 'PlayerGrades+'!$X$3:$Y$23, 2, FALSE)))+('PlayerGrades+'!$Y$50*(VLOOKUP(K642, 'PlayerGrades+'!$X$3:$Y$23, 2, FALSE)))+('PlayerGrades+'!$Y$51*(VLOOKUP(M642, 'PlayerGrades+'!$X$3:$Y$23, 2, FALSE)))+('PlayerGrades+'!$Y$52*(VLOOKUP(O642, 'PlayerGrades+'!$X$3:$Y$23, 2, FALSE)))+('PlayerGrades+'!$Y$53*(VLOOKUP(Q642, 'PlayerGrades+'!$X$3:$Y$23, 2, FALSE)))+('PlayerGrades+'!$Y$54*(VLOOKUP(S642, 'PlayerGrades+'!$X$3:$Y$23, 2, FALSE)))+('PlayerGrades+'!$Y$55*(VLOOKUP(U642, 'PlayerGrades+'!$X$3:$Y$23, 2, FALSE)))</f>
        <v>#DIV/0!</v>
      </c>
      <c r="D642" s="1423" t="str">
        <f t="shared" si="12"/>
        <v>#DIV/0!</v>
      </c>
      <c r="E642" s="1423" t="str">
        <f>IF(D642&lt;'PlayerGrades+'!$AA$21,"F-",IF(D642&lt;'PlayerGrades+'!$AA$20,"F",IF(D642&lt;'PlayerGrades+'!$AA$19,"F+",IF(D642&lt;'PlayerGrades+'!$AA$18,"E-",IF(D642&lt;'PlayerGrades+'!$AA$17,"E",IF(D642&lt;'PlayerGrades+'!$AA$16,"E+",IF(D642&lt;'PlayerGrades+'!$AA$15,"D-",IF(D642&lt;'PlayerGrades+'!$AA$14,"D",IF(D642&lt;'PlayerGrades+'!$AA$13,"D+",IF(D642&lt;'PlayerGrades+'!$AA$12,"C-",IF(D642&lt;'PlayerGrades+'!$AA$11,"C",IF(D642&lt;'PlayerGrades+'!$AA$10,"C+",IF(D642&lt;'PlayerGrades+'!$AA$9,"B-",IF(D642&lt;'PlayerGrades+'!$AA$8,"B",IF(D642&lt;'PlayerGrades+'!$AA$7,"B+",IF(D642&lt;'PlayerGrades+'!$AA$6,"A-",IF(D642&lt;'PlayerGrades+'!$AA$5,"A",IF(D642&lt;'PlayerGrades+'!$AA$4,"A+",IF(D642&lt;'PlayerGrades+'!$AA$3,"S-",IF(D642&lt;'PlayerGrades+'!$AA$2,"S","S+"))))))))))))))))))))</f>
        <v>#DIV/0!</v>
      </c>
      <c r="F642" s="1423" t="str">
        <f t="shared" si="13"/>
        <v>#DIV/0!</v>
      </c>
      <c r="G642" s="1423" t="str">
        <f>IF(F642&lt;'PlayerGrades+'!$AB$21,"F-",IF(F642&lt;'PlayerGrades+'!$AB$20,"F",IF(F642&lt;'PlayerGrades+'!$AB$19,"F+",IF(F642&lt;'PlayerGrades+'!$AB$18,"E-",IF(F642&lt;'PlayerGrades+'!$AB$17,"E",IF(F642&lt;'PlayerGrades+'!$AB$16,"E+",IF(F642&lt;'PlayerGrades+'!$AB$15,"D-",IF(F642&lt;'PlayerGrades+'!$AB$14,"D",IF(F642&lt;'PlayerGrades+'!$AB$13,"D+",IF(F642&lt;'PlayerGrades+'!$AB$12,"C-",IF(F642&lt;'PlayerGrades+'!$AB$11,"C",IF(F642&lt;'PlayerGrades+'!$AB$10,"C+",IF(F642&lt;'PlayerGrades+'!$AB$9,"B-",IF(F642&lt;'PlayerGrades+'!$AB$8,"B",IF(F642&lt;'PlayerGrades+'!$AB$7,"B+",IF(F642&lt;'PlayerGrades+'!$AB$6,"A-",IF(F642&lt;'PlayerGrades+'!$AB$5,"A",IF(F642&lt;'PlayerGrades+'!$AB$4,"A+",IF(F642&lt;'PlayerGrades+'!$AB$3,"S-",IF(F642&lt;'PlayerGrades+'!$AB$2,"S","S+"))))))))))))))))))))</f>
        <v>#DIV/0!</v>
      </c>
      <c r="H642" s="1423" t="str">
        <f t="shared" si="14"/>
        <v>#DIV/0!</v>
      </c>
      <c r="I642" s="1423" t="str">
        <f>IF(H642&lt;'PlayerGrades+'!$AC$21,"F-",IF(H642&lt;'PlayerGrades+'!$AC$20,"F",IF(H642&lt;'PlayerGrades+'!$AC$19,"F+",IF(H642&lt;'PlayerGrades+'!$AC$18,"E-",IF(H642&lt;'PlayerGrades+'!$AC$17,"E",IF(H642&lt;'PlayerGrades+'!$AC$16,"E+",IF(H642&lt;'PlayerGrades+'!$AC$15,"D-",IF(H642&lt;'PlayerGrades+'!$AC$14,"D",IF(H642&lt;'PlayerGrades+'!$AC$13,"D+",IF(H642&lt;'PlayerGrades+'!$AC$12,"C-",IF(H642&lt;'PlayerGrades+'!$AC$11,"C",IF(H642&lt;'PlayerGrades+'!$AC$10,"C+",IF(H642&lt;'PlayerGrades+'!$AC$9,"B-",IF(H642&lt;'PlayerGrades+'!$AC$8,"B",IF(H642&lt;'PlayerGrades+'!$AC$7,"B+",IF(H642&lt;'PlayerGrades+'!$AC$6,"A-",IF(H642&lt;'PlayerGrades+'!$AC$5,"A",IF(H642&lt;'PlayerGrades+'!$AC$4,"A+",IF(H642&lt;'PlayerGrades+'!$AC$3,"S-",IF(H642&lt;'PlayerGrades+'!$AC$2,"S","S+"))))))))))))))))))))</f>
        <v>#DIV/0!</v>
      </c>
      <c r="J642" s="1423" t="str">
        <f t="shared" si="15"/>
        <v>#DIV/0!</v>
      </c>
      <c r="K642" s="1423" t="str">
        <f>IF(J642&lt;'PlayerGrades+'!$AD$21,"F-",IF(J642&lt;'PlayerGrades+'!$AD$20,"F",IF(J642&lt;'PlayerGrades+'!$AD$19,"F+",IF(J642&lt;'PlayerGrades+'!$AD$18,"E-",IF(J642&lt;'PlayerGrades+'!$AD$17,"E",IF(J642&lt;'PlayerGrades+'!$AD$16,"E+",IF(J642&lt;'PlayerGrades+'!$AD$15,"D-",IF(J642&lt;'PlayerGrades+'!$AD$14,"D",IF(J642&lt;'PlayerGrades+'!$AD$13,"D+",IF(J642&lt;'PlayerGrades+'!$AD$12,"C-",IF(J642&lt;'PlayerGrades+'!$AD$11,"C",IF(J642&lt;'PlayerGrades+'!$AD$10,"C+",IF(J642&lt;'PlayerGrades+'!$AD$9,"B-",IF(J642&lt;'PlayerGrades+'!$AD$8,"B",IF(J642&lt;'PlayerGrades+'!$AD$7,"B+",IF(J642&lt;'PlayerGrades+'!$AD$6,"A-",IF(J642&lt;'PlayerGrades+'!$AD$5,"A",IF(J642&lt;'PlayerGrades+'!$AD$4,"A+",IF(J642&lt;'PlayerGrades+'!$AD$3,"S-",IF(J642&lt;'PlayerGrades+'!$AD$2,"S","S+"))))))))))))))))))))</f>
        <v>#DIV/0!</v>
      </c>
      <c r="L642" s="1176" t="str">
        <f t="shared" si="16"/>
        <v>#DIV/0!</v>
      </c>
      <c r="M642" s="992" t="str">
        <f>IF(L642&lt;'PlayerGrades+'!$AE$21,"F-",IF(L642&lt;'PlayerGrades+'!$AE$20,"F",IF(L642&lt;'PlayerGrades+'!$AE$19,"F+",IF(L642&lt;'PlayerGrades+'!$AE$18,"E-",IF(L642&lt;'PlayerGrades+'!$AE$17,"E",IF(L642&lt;'PlayerGrades+'!$AE$16,"E+",IF(L642&lt;'PlayerGrades+'!$AE$15,"D-",IF(L642&lt;'PlayerGrades+'!$AE$14,"D",IF(L642&lt;'PlayerGrades+'!$AE$13,"D+",IF(L642&lt;'PlayerGrades+'!$AE$12,"C-",IF(L642&lt;'PlayerGrades+'!$AE$11,"C",IF(L642&lt;'PlayerGrades+'!$AE$10,"C+",IF(L642&lt;'PlayerGrades+'!$AE$9,"B-",IF(L642&lt;'PlayerGrades+'!$AE$8,"B",IF(L642&lt;'PlayerGrades+'!$AE$7,"B+",IF(L642&lt;'PlayerGrades+'!$AE$6,"A-",IF(L642&lt;'PlayerGrades+'!$AE$5,"A",IF(L642&lt;'PlayerGrades+'!$AE$4,"A+",IF(L642&lt;'PlayerGrades+'!$AE$3,"S-",IF(L642&lt;'PlayerGrades+'!$AE$2,"S","S+"))))))))))))))))))))</f>
        <v>#DIV/0!</v>
      </c>
      <c r="N642" s="1423" t="str">
        <f t="shared" si="17"/>
        <v>#DIV/0!</v>
      </c>
      <c r="O642" s="1423" t="str">
        <f>IF(N642&lt;'PlayerGrades+'!$AF$21,"F-",IF(N642&lt;'PlayerGrades+'!$AF$20,"F",IF(N642&lt;'PlayerGrades+'!$AF$19,"F+",IF(N642&lt;'PlayerGrades+'!$AF$18,"E-",IF(N642&lt;'PlayerGrades+'!$AF$17,"E",IF(N642&lt;'PlayerGrades+'!$AF$16,"E+",IF(N642&lt;'PlayerGrades+'!$AF$15,"D-",IF(N642&lt;'PlayerGrades+'!$AF$14,"D",IF(N642&lt;'PlayerGrades+'!$AF$13,"D+",IF(N642&lt;'PlayerGrades+'!$AF$12,"C-",IF(N642&lt;'PlayerGrades+'!$AF$11,"C",IF(N642&lt;'PlayerGrades+'!$AF$10,"C+",IF(N642&lt;'PlayerGrades+'!$AF$9,"B-",IF(N642&lt;'PlayerGrades+'!$AF$8,"B",IF(N642&lt;'PlayerGrades+'!$AF$7,"B+",IF(N642&lt;'PlayerGrades+'!$AF$6,"A-",IF(N642&lt;'PlayerGrades+'!$AF$5,"A",IF(N642&lt;'PlayerGrades+'!$AF$4,"A+",IF(N642&lt;'PlayerGrades+'!$AF$3,"S-",IF(N642&lt;'PlayerGrades+'!$AF$2,"S","S+"))))))))))))))))))))</f>
        <v>#DIV/0!</v>
      </c>
      <c r="P642" s="1423" t="str">
        <f t="shared" si="18"/>
        <v>#DIV/0!</v>
      </c>
      <c r="Q642" s="1423" t="str">
        <f>IF(P642&lt;'PlayerGrades+'!$AG$21,"F-",IF(P642&lt;'PlayerGrades+'!$AG$20,"F",IF(P642&lt;'PlayerGrades+'!$AG$19,"F+",IF(P642&lt;'PlayerGrades+'!$AG$18,"E-",IF(P642&lt;'PlayerGrades+'!$AG$17,"E",IF(P642&lt;'PlayerGrades+'!$AG$16,"E+",IF(P642&lt;'PlayerGrades+'!$AG$15,"D-",IF(P642&lt;'PlayerGrades+'!$AG$14,"D",IF(P642&lt;'PlayerGrades+'!$AG$13,"D+",IF(P642&lt;'PlayerGrades+'!$AG$12,"C-",IF(P642&lt;'PlayerGrades+'!$AG$11,"C",IF(P642&lt;'PlayerGrades+'!$AG$10,"C+",IF(P642&lt;'PlayerGrades+'!$AG$9,"B-",IF(P642&lt;'PlayerGrades+'!$AG$8,"B",IF(P642&lt;'PlayerGrades+'!$AG$7,"B+",IF(P642&lt;'PlayerGrades+'!$AG$6,"A-",IF(P642&lt;'PlayerGrades+'!$AG$5,"A",IF(P642&lt;'PlayerGrades+'!$AG$4,"A+",IF(P642&lt;'PlayerGrades+'!$AG$3,"S-",IF(P642&lt;'PlayerGrades+'!$AG$2,"S","S+"))))))))))))))))))))</f>
        <v>#DIV/0!</v>
      </c>
      <c r="R642" s="1423" t="str">
        <f t="shared" si="19"/>
        <v>#REF!</v>
      </c>
      <c r="S642" s="1423" t="str">
        <f>IF(R642&lt;'PlayerGrades+'!$AH$21,"F-",IF(R642&lt;'PlayerGrades+'!$AH$20,"F",IF(R642&lt;'PlayerGrades+'!$AH$19,"F+",IF(R642&lt;'PlayerGrades+'!$AH$18,"E-",IF(R642&lt;'PlayerGrades+'!$AH$17,"E",IF(R642&lt;'PlayerGrades+'!$AH$16,"E+",IF(R642&lt;'PlayerGrades+'!$AH$15,"D-",IF(R642&lt;'PlayerGrades+'!$AH$14,"D",IF(R642&lt;'PlayerGrades+'!$AH$13,"D+",IF(R642&lt;'PlayerGrades+'!$AH$12,"C-",IF(R642&lt;'PlayerGrades+'!$AH$11,"C",IF(R642&lt;'PlayerGrades+'!$AH$10,"C+",IF(R642&lt;'PlayerGrades+'!$AH$9,"B-",IF(R642&lt;'PlayerGrades+'!$AH$8,"B",IF(R642&lt;'PlayerGrades+'!$AH$7,"B+",IF(R642&lt;'PlayerGrades+'!$AH$6,"A-",IF(R642&lt;'PlayerGrades+'!$AH$5,"A",IF(R642&lt;'PlayerGrades+'!$AH$4,"A+",IF(R642&lt;'PlayerGrades+'!$AH$3,"S-",IF(R642&lt;'PlayerGrades+'!$AH$2,"S","S+"))))))))))))))))))))</f>
        <v>#REF!</v>
      </c>
      <c r="T642" s="1423" t="str">
        <f t="shared" si="20"/>
        <v>#REF!</v>
      </c>
      <c r="U642" s="1423" t="str">
        <f>IF(T642&lt;'PlayerGrades+'!$AI$21,"F-",IF(T642&lt;'PlayerGrades+'!$AI$20,"F",IF(T642&lt;'PlayerGrades+'!$AI$19,"F+",IF(T642&lt;'PlayerGrades+'!$AI$18,"E-",IF(T642&lt;'PlayerGrades+'!$AI$17,"E",IF(T642&lt;'PlayerGrades+'!$AI$16,"E+",IF(T642&lt;'PlayerGrades+'!$AI$15,"D-",IF(T642&lt;'PlayerGrades+'!$AI$14,"D",IF(T642&lt;'PlayerGrades+'!$AI$13,"D+",IF(T642&lt;'PlayerGrades+'!$AI$12,"C-",IF(T642&lt;'PlayerGrades+'!$AI$11,"C",IF(T642&lt;'PlayerGrades+'!$AI$10,"C+",IF(T642&lt;'PlayerGrades+'!$AI$9,"B-",IF(T642&lt;'PlayerGrades+'!$AI$8,"B",IF(T642&lt;'PlayerGrades+'!$AI$7,"B+",IF(T642&lt;'PlayerGrades+'!$AI$6,"A-",IF(T642&lt;'PlayerGrades+'!$AI$5,"A",IF(T642&lt;'PlayerGrades+'!$AI$4,"A+",IF(T642&lt;'PlayerGrades+'!$AI$3,"S-",IF(T642&lt;'PlayerGrades+'!$AI$2,"S","S+"))))))))))))))))))))</f>
        <v>#REF!</v>
      </c>
      <c r="AC642" s="1392"/>
    </row>
    <row r="643">
      <c r="B643" s="1421" t="str">
        <f>IF(C643&lt;'PlayerGrades+'!$Y$44,"F-",IF(C643&lt;'PlayerGrades+'!$Y$43,"F",IF(C643&lt;'PlayerGrades+'!$Y$42,"F+",IF(C643&lt;'PlayerGrades+'!$Y$41,"E-",IF(C643&lt;'PlayerGrades+'!$Y$40,"E",IF(C643&lt;'PlayerGrades+'!$Y$39,"E+",IF(C643&lt;'PlayerGrades+'!$Y$38,"D-",IF(C643&lt;'PlayerGrades+'!$Y$37,"D",IF(C643&lt;'PlayerGrades+'!$Y$36,"D+",IF(C643&lt;'PlayerGrades+'!$Y$35,"C-",IF(C643&lt;'PlayerGrades+'!$Y$34,"C",IF(C643&lt;'PlayerGrades+'!$Y$33,"C+",IF(C643&lt;'PlayerGrades+'!$Y$32,"B-",IF(C643&lt;'PlayerGrades+'!$Y$31,"B",IF(C643&lt;'PlayerGrades+'!$Y$30,"B+",IF(C643&lt;'PlayerGrades+'!$Y$29,"A-",IF(C643&lt;'PlayerGrades+'!$Y$28,"A",IF(C643&lt;'PlayerGrades+'!$Y$27,"A+",IF(C643&lt;'PlayerGrades+'!$Y$26,"S-",IF(C643&lt;'PlayerGrades+'!$Y$25,"S","S+"))))))))))))))))))))</f>
        <v>#DIV/0!</v>
      </c>
      <c r="C643" s="1422" t="str">
        <f>('PlayerGrades+'!$Y$47*(VLOOKUP(E643, 'PlayerGrades+'!$X$3:$Y$23, 2, FALSE)))+('PlayerGrades+'!$Y$48*(VLOOKUP(G643, 'PlayerGrades+'!$X$3:$Y$23, 2, FALSE)))+('PlayerGrades+'!$Y$49*(VLOOKUP(I643, 'PlayerGrades+'!$X$3:$Y$23, 2, FALSE)))+('PlayerGrades+'!$Y$50*(VLOOKUP(K643, 'PlayerGrades+'!$X$3:$Y$23, 2, FALSE)))+('PlayerGrades+'!$Y$51*(VLOOKUP(M643, 'PlayerGrades+'!$X$3:$Y$23, 2, FALSE)))+('PlayerGrades+'!$Y$52*(VLOOKUP(O643, 'PlayerGrades+'!$X$3:$Y$23, 2, FALSE)))+('PlayerGrades+'!$Y$53*(VLOOKUP(Q643, 'PlayerGrades+'!$X$3:$Y$23, 2, FALSE)))+('PlayerGrades+'!$Y$54*(VLOOKUP(S643, 'PlayerGrades+'!$X$3:$Y$23, 2, FALSE)))+('PlayerGrades+'!$Y$55*(VLOOKUP(U643, 'PlayerGrades+'!$X$3:$Y$23, 2, FALSE)))</f>
        <v>#DIV/0!</v>
      </c>
      <c r="D643" s="1423" t="str">
        <f t="shared" si="12"/>
        <v>#DIV/0!</v>
      </c>
      <c r="E643" s="1423" t="str">
        <f>IF(D643&lt;'PlayerGrades+'!$AA$21,"F-",IF(D643&lt;'PlayerGrades+'!$AA$20,"F",IF(D643&lt;'PlayerGrades+'!$AA$19,"F+",IF(D643&lt;'PlayerGrades+'!$AA$18,"E-",IF(D643&lt;'PlayerGrades+'!$AA$17,"E",IF(D643&lt;'PlayerGrades+'!$AA$16,"E+",IF(D643&lt;'PlayerGrades+'!$AA$15,"D-",IF(D643&lt;'PlayerGrades+'!$AA$14,"D",IF(D643&lt;'PlayerGrades+'!$AA$13,"D+",IF(D643&lt;'PlayerGrades+'!$AA$12,"C-",IF(D643&lt;'PlayerGrades+'!$AA$11,"C",IF(D643&lt;'PlayerGrades+'!$AA$10,"C+",IF(D643&lt;'PlayerGrades+'!$AA$9,"B-",IF(D643&lt;'PlayerGrades+'!$AA$8,"B",IF(D643&lt;'PlayerGrades+'!$AA$7,"B+",IF(D643&lt;'PlayerGrades+'!$AA$6,"A-",IF(D643&lt;'PlayerGrades+'!$AA$5,"A",IF(D643&lt;'PlayerGrades+'!$AA$4,"A+",IF(D643&lt;'PlayerGrades+'!$AA$3,"S-",IF(D643&lt;'PlayerGrades+'!$AA$2,"S","S+"))))))))))))))))))))</f>
        <v>#DIV/0!</v>
      </c>
      <c r="F643" s="1423" t="str">
        <f t="shared" si="13"/>
        <v>#DIV/0!</v>
      </c>
      <c r="G643" s="1423" t="str">
        <f>IF(F643&lt;'PlayerGrades+'!$AB$21,"F-",IF(F643&lt;'PlayerGrades+'!$AB$20,"F",IF(F643&lt;'PlayerGrades+'!$AB$19,"F+",IF(F643&lt;'PlayerGrades+'!$AB$18,"E-",IF(F643&lt;'PlayerGrades+'!$AB$17,"E",IF(F643&lt;'PlayerGrades+'!$AB$16,"E+",IF(F643&lt;'PlayerGrades+'!$AB$15,"D-",IF(F643&lt;'PlayerGrades+'!$AB$14,"D",IF(F643&lt;'PlayerGrades+'!$AB$13,"D+",IF(F643&lt;'PlayerGrades+'!$AB$12,"C-",IF(F643&lt;'PlayerGrades+'!$AB$11,"C",IF(F643&lt;'PlayerGrades+'!$AB$10,"C+",IF(F643&lt;'PlayerGrades+'!$AB$9,"B-",IF(F643&lt;'PlayerGrades+'!$AB$8,"B",IF(F643&lt;'PlayerGrades+'!$AB$7,"B+",IF(F643&lt;'PlayerGrades+'!$AB$6,"A-",IF(F643&lt;'PlayerGrades+'!$AB$5,"A",IF(F643&lt;'PlayerGrades+'!$AB$4,"A+",IF(F643&lt;'PlayerGrades+'!$AB$3,"S-",IF(F643&lt;'PlayerGrades+'!$AB$2,"S","S+"))))))))))))))))))))</f>
        <v>#DIV/0!</v>
      </c>
      <c r="H643" s="1423" t="str">
        <f t="shared" si="14"/>
        <v>#DIV/0!</v>
      </c>
      <c r="I643" s="1423" t="str">
        <f>IF(H643&lt;'PlayerGrades+'!$AC$21,"F-",IF(H643&lt;'PlayerGrades+'!$AC$20,"F",IF(H643&lt;'PlayerGrades+'!$AC$19,"F+",IF(H643&lt;'PlayerGrades+'!$AC$18,"E-",IF(H643&lt;'PlayerGrades+'!$AC$17,"E",IF(H643&lt;'PlayerGrades+'!$AC$16,"E+",IF(H643&lt;'PlayerGrades+'!$AC$15,"D-",IF(H643&lt;'PlayerGrades+'!$AC$14,"D",IF(H643&lt;'PlayerGrades+'!$AC$13,"D+",IF(H643&lt;'PlayerGrades+'!$AC$12,"C-",IF(H643&lt;'PlayerGrades+'!$AC$11,"C",IF(H643&lt;'PlayerGrades+'!$AC$10,"C+",IF(H643&lt;'PlayerGrades+'!$AC$9,"B-",IF(H643&lt;'PlayerGrades+'!$AC$8,"B",IF(H643&lt;'PlayerGrades+'!$AC$7,"B+",IF(H643&lt;'PlayerGrades+'!$AC$6,"A-",IF(H643&lt;'PlayerGrades+'!$AC$5,"A",IF(H643&lt;'PlayerGrades+'!$AC$4,"A+",IF(H643&lt;'PlayerGrades+'!$AC$3,"S-",IF(H643&lt;'PlayerGrades+'!$AC$2,"S","S+"))))))))))))))))))))</f>
        <v>#DIV/0!</v>
      </c>
      <c r="J643" s="1423" t="str">
        <f t="shared" si="15"/>
        <v>#DIV/0!</v>
      </c>
      <c r="K643" s="1423" t="str">
        <f>IF(J643&lt;'PlayerGrades+'!$AD$21,"F-",IF(J643&lt;'PlayerGrades+'!$AD$20,"F",IF(J643&lt;'PlayerGrades+'!$AD$19,"F+",IF(J643&lt;'PlayerGrades+'!$AD$18,"E-",IF(J643&lt;'PlayerGrades+'!$AD$17,"E",IF(J643&lt;'PlayerGrades+'!$AD$16,"E+",IF(J643&lt;'PlayerGrades+'!$AD$15,"D-",IF(J643&lt;'PlayerGrades+'!$AD$14,"D",IF(J643&lt;'PlayerGrades+'!$AD$13,"D+",IF(J643&lt;'PlayerGrades+'!$AD$12,"C-",IF(J643&lt;'PlayerGrades+'!$AD$11,"C",IF(J643&lt;'PlayerGrades+'!$AD$10,"C+",IF(J643&lt;'PlayerGrades+'!$AD$9,"B-",IF(J643&lt;'PlayerGrades+'!$AD$8,"B",IF(J643&lt;'PlayerGrades+'!$AD$7,"B+",IF(J643&lt;'PlayerGrades+'!$AD$6,"A-",IF(J643&lt;'PlayerGrades+'!$AD$5,"A",IF(J643&lt;'PlayerGrades+'!$AD$4,"A+",IF(J643&lt;'PlayerGrades+'!$AD$3,"S-",IF(J643&lt;'PlayerGrades+'!$AD$2,"S","S+"))))))))))))))))))))</f>
        <v>#DIV/0!</v>
      </c>
      <c r="L643" s="1176" t="str">
        <f t="shared" si="16"/>
        <v>#DIV/0!</v>
      </c>
      <c r="M643" s="992" t="str">
        <f>IF(L643&lt;'PlayerGrades+'!$AE$21,"F-",IF(L643&lt;'PlayerGrades+'!$AE$20,"F",IF(L643&lt;'PlayerGrades+'!$AE$19,"F+",IF(L643&lt;'PlayerGrades+'!$AE$18,"E-",IF(L643&lt;'PlayerGrades+'!$AE$17,"E",IF(L643&lt;'PlayerGrades+'!$AE$16,"E+",IF(L643&lt;'PlayerGrades+'!$AE$15,"D-",IF(L643&lt;'PlayerGrades+'!$AE$14,"D",IF(L643&lt;'PlayerGrades+'!$AE$13,"D+",IF(L643&lt;'PlayerGrades+'!$AE$12,"C-",IF(L643&lt;'PlayerGrades+'!$AE$11,"C",IF(L643&lt;'PlayerGrades+'!$AE$10,"C+",IF(L643&lt;'PlayerGrades+'!$AE$9,"B-",IF(L643&lt;'PlayerGrades+'!$AE$8,"B",IF(L643&lt;'PlayerGrades+'!$AE$7,"B+",IF(L643&lt;'PlayerGrades+'!$AE$6,"A-",IF(L643&lt;'PlayerGrades+'!$AE$5,"A",IF(L643&lt;'PlayerGrades+'!$AE$4,"A+",IF(L643&lt;'PlayerGrades+'!$AE$3,"S-",IF(L643&lt;'PlayerGrades+'!$AE$2,"S","S+"))))))))))))))))))))</f>
        <v>#DIV/0!</v>
      </c>
      <c r="N643" s="1423" t="str">
        <f t="shared" si="17"/>
        <v>#DIV/0!</v>
      </c>
      <c r="O643" s="1423" t="str">
        <f>IF(N643&lt;'PlayerGrades+'!$AF$21,"F-",IF(N643&lt;'PlayerGrades+'!$AF$20,"F",IF(N643&lt;'PlayerGrades+'!$AF$19,"F+",IF(N643&lt;'PlayerGrades+'!$AF$18,"E-",IF(N643&lt;'PlayerGrades+'!$AF$17,"E",IF(N643&lt;'PlayerGrades+'!$AF$16,"E+",IF(N643&lt;'PlayerGrades+'!$AF$15,"D-",IF(N643&lt;'PlayerGrades+'!$AF$14,"D",IF(N643&lt;'PlayerGrades+'!$AF$13,"D+",IF(N643&lt;'PlayerGrades+'!$AF$12,"C-",IF(N643&lt;'PlayerGrades+'!$AF$11,"C",IF(N643&lt;'PlayerGrades+'!$AF$10,"C+",IF(N643&lt;'PlayerGrades+'!$AF$9,"B-",IF(N643&lt;'PlayerGrades+'!$AF$8,"B",IF(N643&lt;'PlayerGrades+'!$AF$7,"B+",IF(N643&lt;'PlayerGrades+'!$AF$6,"A-",IF(N643&lt;'PlayerGrades+'!$AF$5,"A",IF(N643&lt;'PlayerGrades+'!$AF$4,"A+",IF(N643&lt;'PlayerGrades+'!$AF$3,"S-",IF(N643&lt;'PlayerGrades+'!$AF$2,"S","S+"))))))))))))))))))))</f>
        <v>#DIV/0!</v>
      </c>
      <c r="P643" s="1423" t="str">
        <f t="shared" si="18"/>
        <v>#DIV/0!</v>
      </c>
      <c r="Q643" s="1423" t="str">
        <f>IF(P643&lt;'PlayerGrades+'!$AG$21,"F-",IF(P643&lt;'PlayerGrades+'!$AG$20,"F",IF(P643&lt;'PlayerGrades+'!$AG$19,"F+",IF(P643&lt;'PlayerGrades+'!$AG$18,"E-",IF(P643&lt;'PlayerGrades+'!$AG$17,"E",IF(P643&lt;'PlayerGrades+'!$AG$16,"E+",IF(P643&lt;'PlayerGrades+'!$AG$15,"D-",IF(P643&lt;'PlayerGrades+'!$AG$14,"D",IF(P643&lt;'PlayerGrades+'!$AG$13,"D+",IF(P643&lt;'PlayerGrades+'!$AG$12,"C-",IF(P643&lt;'PlayerGrades+'!$AG$11,"C",IF(P643&lt;'PlayerGrades+'!$AG$10,"C+",IF(P643&lt;'PlayerGrades+'!$AG$9,"B-",IF(P643&lt;'PlayerGrades+'!$AG$8,"B",IF(P643&lt;'PlayerGrades+'!$AG$7,"B+",IF(P643&lt;'PlayerGrades+'!$AG$6,"A-",IF(P643&lt;'PlayerGrades+'!$AG$5,"A",IF(P643&lt;'PlayerGrades+'!$AG$4,"A+",IF(P643&lt;'PlayerGrades+'!$AG$3,"S-",IF(P643&lt;'PlayerGrades+'!$AG$2,"S","S+"))))))))))))))))))))</f>
        <v>#DIV/0!</v>
      </c>
      <c r="R643" s="1423" t="str">
        <f t="shared" si="19"/>
        <v>#REF!</v>
      </c>
      <c r="S643" s="1423" t="str">
        <f>IF(R643&lt;'PlayerGrades+'!$AH$21,"F-",IF(R643&lt;'PlayerGrades+'!$AH$20,"F",IF(R643&lt;'PlayerGrades+'!$AH$19,"F+",IF(R643&lt;'PlayerGrades+'!$AH$18,"E-",IF(R643&lt;'PlayerGrades+'!$AH$17,"E",IF(R643&lt;'PlayerGrades+'!$AH$16,"E+",IF(R643&lt;'PlayerGrades+'!$AH$15,"D-",IF(R643&lt;'PlayerGrades+'!$AH$14,"D",IF(R643&lt;'PlayerGrades+'!$AH$13,"D+",IF(R643&lt;'PlayerGrades+'!$AH$12,"C-",IF(R643&lt;'PlayerGrades+'!$AH$11,"C",IF(R643&lt;'PlayerGrades+'!$AH$10,"C+",IF(R643&lt;'PlayerGrades+'!$AH$9,"B-",IF(R643&lt;'PlayerGrades+'!$AH$8,"B",IF(R643&lt;'PlayerGrades+'!$AH$7,"B+",IF(R643&lt;'PlayerGrades+'!$AH$6,"A-",IF(R643&lt;'PlayerGrades+'!$AH$5,"A",IF(R643&lt;'PlayerGrades+'!$AH$4,"A+",IF(R643&lt;'PlayerGrades+'!$AH$3,"S-",IF(R643&lt;'PlayerGrades+'!$AH$2,"S","S+"))))))))))))))))))))</f>
        <v>#REF!</v>
      </c>
      <c r="T643" s="1423" t="str">
        <f t="shared" si="20"/>
        <v>#REF!</v>
      </c>
      <c r="U643" s="1423" t="str">
        <f>IF(T643&lt;'PlayerGrades+'!$AI$21,"F-",IF(T643&lt;'PlayerGrades+'!$AI$20,"F",IF(T643&lt;'PlayerGrades+'!$AI$19,"F+",IF(T643&lt;'PlayerGrades+'!$AI$18,"E-",IF(T643&lt;'PlayerGrades+'!$AI$17,"E",IF(T643&lt;'PlayerGrades+'!$AI$16,"E+",IF(T643&lt;'PlayerGrades+'!$AI$15,"D-",IF(T643&lt;'PlayerGrades+'!$AI$14,"D",IF(T643&lt;'PlayerGrades+'!$AI$13,"D+",IF(T643&lt;'PlayerGrades+'!$AI$12,"C-",IF(T643&lt;'PlayerGrades+'!$AI$11,"C",IF(T643&lt;'PlayerGrades+'!$AI$10,"C+",IF(T643&lt;'PlayerGrades+'!$AI$9,"B-",IF(T643&lt;'PlayerGrades+'!$AI$8,"B",IF(T643&lt;'PlayerGrades+'!$AI$7,"B+",IF(T643&lt;'PlayerGrades+'!$AI$6,"A-",IF(T643&lt;'PlayerGrades+'!$AI$5,"A",IF(T643&lt;'PlayerGrades+'!$AI$4,"A+",IF(T643&lt;'PlayerGrades+'!$AI$3,"S-",IF(T643&lt;'PlayerGrades+'!$AI$2,"S","S+"))))))))))))))))))))</f>
        <v>#REF!</v>
      </c>
      <c r="AC643" s="1392"/>
    </row>
    <row r="644">
      <c r="B644" s="1421" t="str">
        <f>IF(C644&lt;'PlayerGrades+'!$Y$44,"F-",IF(C644&lt;'PlayerGrades+'!$Y$43,"F",IF(C644&lt;'PlayerGrades+'!$Y$42,"F+",IF(C644&lt;'PlayerGrades+'!$Y$41,"E-",IF(C644&lt;'PlayerGrades+'!$Y$40,"E",IF(C644&lt;'PlayerGrades+'!$Y$39,"E+",IF(C644&lt;'PlayerGrades+'!$Y$38,"D-",IF(C644&lt;'PlayerGrades+'!$Y$37,"D",IF(C644&lt;'PlayerGrades+'!$Y$36,"D+",IF(C644&lt;'PlayerGrades+'!$Y$35,"C-",IF(C644&lt;'PlayerGrades+'!$Y$34,"C",IF(C644&lt;'PlayerGrades+'!$Y$33,"C+",IF(C644&lt;'PlayerGrades+'!$Y$32,"B-",IF(C644&lt;'PlayerGrades+'!$Y$31,"B",IF(C644&lt;'PlayerGrades+'!$Y$30,"B+",IF(C644&lt;'PlayerGrades+'!$Y$29,"A-",IF(C644&lt;'PlayerGrades+'!$Y$28,"A",IF(C644&lt;'PlayerGrades+'!$Y$27,"A+",IF(C644&lt;'PlayerGrades+'!$Y$26,"S-",IF(C644&lt;'PlayerGrades+'!$Y$25,"S","S+"))))))))))))))))))))</f>
        <v>#DIV/0!</v>
      </c>
      <c r="C644" s="1422" t="str">
        <f>('PlayerGrades+'!$Y$47*(VLOOKUP(E644, 'PlayerGrades+'!$X$3:$Y$23, 2, FALSE)))+('PlayerGrades+'!$Y$48*(VLOOKUP(G644, 'PlayerGrades+'!$X$3:$Y$23, 2, FALSE)))+('PlayerGrades+'!$Y$49*(VLOOKUP(I644, 'PlayerGrades+'!$X$3:$Y$23, 2, FALSE)))+('PlayerGrades+'!$Y$50*(VLOOKUP(K644, 'PlayerGrades+'!$X$3:$Y$23, 2, FALSE)))+('PlayerGrades+'!$Y$51*(VLOOKUP(M644, 'PlayerGrades+'!$X$3:$Y$23, 2, FALSE)))+('PlayerGrades+'!$Y$52*(VLOOKUP(O644, 'PlayerGrades+'!$X$3:$Y$23, 2, FALSE)))+('PlayerGrades+'!$Y$53*(VLOOKUP(Q644, 'PlayerGrades+'!$X$3:$Y$23, 2, FALSE)))+('PlayerGrades+'!$Y$54*(VLOOKUP(S644, 'PlayerGrades+'!$X$3:$Y$23, 2, FALSE)))+('PlayerGrades+'!$Y$55*(VLOOKUP(U644, 'PlayerGrades+'!$X$3:$Y$23, 2, FALSE)))</f>
        <v>#DIV/0!</v>
      </c>
      <c r="D644" s="1423" t="str">
        <f t="shared" si="12"/>
        <v>#DIV/0!</v>
      </c>
      <c r="E644" s="1423" t="str">
        <f>IF(D644&lt;'PlayerGrades+'!$AA$21,"F-",IF(D644&lt;'PlayerGrades+'!$AA$20,"F",IF(D644&lt;'PlayerGrades+'!$AA$19,"F+",IF(D644&lt;'PlayerGrades+'!$AA$18,"E-",IF(D644&lt;'PlayerGrades+'!$AA$17,"E",IF(D644&lt;'PlayerGrades+'!$AA$16,"E+",IF(D644&lt;'PlayerGrades+'!$AA$15,"D-",IF(D644&lt;'PlayerGrades+'!$AA$14,"D",IF(D644&lt;'PlayerGrades+'!$AA$13,"D+",IF(D644&lt;'PlayerGrades+'!$AA$12,"C-",IF(D644&lt;'PlayerGrades+'!$AA$11,"C",IF(D644&lt;'PlayerGrades+'!$AA$10,"C+",IF(D644&lt;'PlayerGrades+'!$AA$9,"B-",IF(D644&lt;'PlayerGrades+'!$AA$8,"B",IF(D644&lt;'PlayerGrades+'!$AA$7,"B+",IF(D644&lt;'PlayerGrades+'!$AA$6,"A-",IF(D644&lt;'PlayerGrades+'!$AA$5,"A",IF(D644&lt;'PlayerGrades+'!$AA$4,"A+",IF(D644&lt;'PlayerGrades+'!$AA$3,"S-",IF(D644&lt;'PlayerGrades+'!$AA$2,"S","S+"))))))))))))))))))))</f>
        <v>#DIV/0!</v>
      </c>
      <c r="F644" s="1423" t="str">
        <f t="shared" si="13"/>
        <v>#DIV/0!</v>
      </c>
      <c r="G644" s="1423" t="str">
        <f>IF(F644&lt;'PlayerGrades+'!$AB$21,"F-",IF(F644&lt;'PlayerGrades+'!$AB$20,"F",IF(F644&lt;'PlayerGrades+'!$AB$19,"F+",IF(F644&lt;'PlayerGrades+'!$AB$18,"E-",IF(F644&lt;'PlayerGrades+'!$AB$17,"E",IF(F644&lt;'PlayerGrades+'!$AB$16,"E+",IF(F644&lt;'PlayerGrades+'!$AB$15,"D-",IF(F644&lt;'PlayerGrades+'!$AB$14,"D",IF(F644&lt;'PlayerGrades+'!$AB$13,"D+",IF(F644&lt;'PlayerGrades+'!$AB$12,"C-",IF(F644&lt;'PlayerGrades+'!$AB$11,"C",IF(F644&lt;'PlayerGrades+'!$AB$10,"C+",IF(F644&lt;'PlayerGrades+'!$AB$9,"B-",IF(F644&lt;'PlayerGrades+'!$AB$8,"B",IF(F644&lt;'PlayerGrades+'!$AB$7,"B+",IF(F644&lt;'PlayerGrades+'!$AB$6,"A-",IF(F644&lt;'PlayerGrades+'!$AB$5,"A",IF(F644&lt;'PlayerGrades+'!$AB$4,"A+",IF(F644&lt;'PlayerGrades+'!$AB$3,"S-",IF(F644&lt;'PlayerGrades+'!$AB$2,"S","S+"))))))))))))))))))))</f>
        <v>#DIV/0!</v>
      </c>
      <c r="H644" s="1423" t="str">
        <f t="shared" si="14"/>
        <v>#DIV/0!</v>
      </c>
      <c r="I644" s="1423" t="str">
        <f>IF(H644&lt;'PlayerGrades+'!$AC$21,"F-",IF(H644&lt;'PlayerGrades+'!$AC$20,"F",IF(H644&lt;'PlayerGrades+'!$AC$19,"F+",IF(H644&lt;'PlayerGrades+'!$AC$18,"E-",IF(H644&lt;'PlayerGrades+'!$AC$17,"E",IF(H644&lt;'PlayerGrades+'!$AC$16,"E+",IF(H644&lt;'PlayerGrades+'!$AC$15,"D-",IF(H644&lt;'PlayerGrades+'!$AC$14,"D",IF(H644&lt;'PlayerGrades+'!$AC$13,"D+",IF(H644&lt;'PlayerGrades+'!$AC$12,"C-",IF(H644&lt;'PlayerGrades+'!$AC$11,"C",IF(H644&lt;'PlayerGrades+'!$AC$10,"C+",IF(H644&lt;'PlayerGrades+'!$AC$9,"B-",IF(H644&lt;'PlayerGrades+'!$AC$8,"B",IF(H644&lt;'PlayerGrades+'!$AC$7,"B+",IF(H644&lt;'PlayerGrades+'!$AC$6,"A-",IF(H644&lt;'PlayerGrades+'!$AC$5,"A",IF(H644&lt;'PlayerGrades+'!$AC$4,"A+",IF(H644&lt;'PlayerGrades+'!$AC$3,"S-",IF(H644&lt;'PlayerGrades+'!$AC$2,"S","S+"))))))))))))))))))))</f>
        <v>#DIV/0!</v>
      </c>
      <c r="J644" s="1423" t="str">
        <f t="shared" si="15"/>
        <v>#DIV/0!</v>
      </c>
      <c r="K644" s="1423" t="str">
        <f>IF(J644&lt;'PlayerGrades+'!$AD$21,"F-",IF(J644&lt;'PlayerGrades+'!$AD$20,"F",IF(J644&lt;'PlayerGrades+'!$AD$19,"F+",IF(J644&lt;'PlayerGrades+'!$AD$18,"E-",IF(J644&lt;'PlayerGrades+'!$AD$17,"E",IF(J644&lt;'PlayerGrades+'!$AD$16,"E+",IF(J644&lt;'PlayerGrades+'!$AD$15,"D-",IF(J644&lt;'PlayerGrades+'!$AD$14,"D",IF(J644&lt;'PlayerGrades+'!$AD$13,"D+",IF(J644&lt;'PlayerGrades+'!$AD$12,"C-",IF(J644&lt;'PlayerGrades+'!$AD$11,"C",IF(J644&lt;'PlayerGrades+'!$AD$10,"C+",IF(J644&lt;'PlayerGrades+'!$AD$9,"B-",IF(J644&lt;'PlayerGrades+'!$AD$8,"B",IF(J644&lt;'PlayerGrades+'!$AD$7,"B+",IF(J644&lt;'PlayerGrades+'!$AD$6,"A-",IF(J644&lt;'PlayerGrades+'!$AD$5,"A",IF(J644&lt;'PlayerGrades+'!$AD$4,"A+",IF(J644&lt;'PlayerGrades+'!$AD$3,"S-",IF(J644&lt;'PlayerGrades+'!$AD$2,"S","S+"))))))))))))))))))))</f>
        <v>#DIV/0!</v>
      </c>
      <c r="L644" s="1176" t="str">
        <f t="shared" si="16"/>
        <v>#DIV/0!</v>
      </c>
      <c r="M644" s="992" t="str">
        <f>IF(L644&lt;'PlayerGrades+'!$AE$21,"F-",IF(L644&lt;'PlayerGrades+'!$AE$20,"F",IF(L644&lt;'PlayerGrades+'!$AE$19,"F+",IF(L644&lt;'PlayerGrades+'!$AE$18,"E-",IF(L644&lt;'PlayerGrades+'!$AE$17,"E",IF(L644&lt;'PlayerGrades+'!$AE$16,"E+",IF(L644&lt;'PlayerGrades+'!$AE$15,"D-",IF(L644&lt;'PlayerGrades+'!$AE$14,"D",IF(L644&lt;'PlayerGrades+'!$AE$13,"D+",IF(L644&lt;'PlayerGrades+'!$AE$12,"C-",IF(L644&lt;'PlayerGrades+'!$AE$11,"C",IF(L644&lt;'PlayerGrades+'!$AE$10,"C+",IF(L644&lt;'PlayerGrades+'!$AE$9,"B-",IF(L644&lt;'PlayerGrades+'!$AE$8,"B",IF(L644&lt;'PlayerGrades+'!$AE$7,"B+",IF(L644&lt;'PlayerGrades+'!$AE$6,"A-",IF(L644&lt;'PlayerGrades+'!$AE$5,"A",IF(L644&lt;'PlayerGrades+'!$AE$4,"A+",IF(L644&lt;'PlayerGrades+'!$AE$3,"S-",IF(L644&lt;'PlayerGrades+'!$AE$2,"S","S+"))))))))))))))))))))</f>
        <v>#DIV/0!</v>
      </c>
      <c r="N644" s="1423" t="str">
        <f t="shared" si="17"/>
        <v>#DIV/0!</v>
      </c>
      <c r="O644" s="1423" t="str">
        <f>IF(N644&lt;'PlayerGrades+'!$AF$21,"F-",IF(N644&lt;'PlayerGrades+'!$AF$20,"F",IF(N644&lt;'PlayerGrades+'!$AF$19,"F+",IF(N644&lt;'PlayerGrades+'!$AF$18,"E-",IF(N644&lt;'PlayerGrades+'!$AF$17,"E",IF(N644&lt;'PlayerGrades+'!$AF$16,"E+",IF(N644&lt;'PlayerGrades+'!$AF$15,"D-",IF(N644&lt;'PlayerGrades+'!$AF$14,"D",IF(N644&lt;'PlayerGrades+'!$AF$13,"D+",IF(N644&lt;'PlayerGrades+'!$AF$12,"C-",IF(N644&lt;'PlayerGrades+'!$AF$11,"C",IF(N644&lt;'PlayerGrades+'!$AF$10,"C+",IF(N644&lt;'PlayerGrades+'!$AF$9,"B-",IF(N644&lt;'PlayerGrades+'!$AF$8,"B",IF(N644&lt;'PlayerGrades+'!$AF$7,"B+",IF(N644&lt;'PlayerGrades+'!$AF$6,"A-",IF(N644&lt;'PlayerGrades+'!$AF$5,"A",IF(N644&lt;'PlayerGrades+'!$AF$4,"A+",IF(N644&lt;'PlayerGrades+'!$AF$3,"S-",IF(N644&lt;'PlayerGrades+'!$AF$2,"S","S+"))))))))))))))))))))</f>
        <v>#DIV/0!</v>
      </c>
      <c r="P644" s="1423" t="str">
        <f t="shared" si="18"/>
        <v>#DIV/0!</v>
      </c>
      <c r="Q644" s="1423" t="str">
        <f>IF(P644&lt;'PlayerGrades+'!$AG$21,"F-",IF(P644&lt;'PlayerGrades+'!$AG$20,"F",IF(P644&lt;'PlayerGrades+'!$AG$19,"F+",IF(P644&lt;'PlayerGrades+'!$AG$18,"E-",IF(P644&lt;'PlayerGrades+'!$AG$17,"E",IF(P644&lt;'PlayerGrades+'!$AG$16,"E+",IF(P644&lt;'PlayerGrades+'!$AG$15,"D-",IF(P644&lt;'PlayerGrades+'!$AG$14,"D",IF(P644&lt;'PlayerGrades+'!$AG$13,"D+",IF(P644&lt;'PlayerGrades+'!$AG$12,"C-",IF(P644&lt;'PlayerGrades+'!$AG$11,"C",IF(P644&lt;'PlayerGrades+'!$AG$10,"C+",IF(P644&lt;'PlayerGrades+'!$AG$9,"B-",IF(P644&lt;'PlayerGrades+'!$AG$8,"B",IF(P644&lt;'PlayerGrades+'!$AG$7,"B+",IF(P644&lt;'PlayerGrades+'!$AG$6,"A-",IF(P644&lt;'PlayerGrades+'!$AG$5,"A",IF(P644&lt;'PlayerGrades+'!$AG$4,"A+",IF(P644&lt;'PlayerGrades+'!$AG$3,"S-",IF(P644&lt;'PlayerGrades+'!$AG$2,"S","S+"))))))))))))))))))))</f>
        <v>#DIV/0!</v>
      </c>
      <c r="R644" s="1423" t="str">
        <f t="shared" si="19"/>
        <v>#REF!</v>
      </c>
      <c r="S644" s="1423" t="str">
        <f>IF(R644&lt;'PlayerGrades+'!$AH$21,"F-",IF(R644&lt;'PlayerGrades+'!$AH$20,"F",IF(R644&lt;'PlayerGrades+'!$AH$19,"F+",IF(R644&lt;'PlayerGrades+'!$AH$18,"E-",IF(R644&lt;'PlayerGrades+'!$AH$17,"E",IF(R644&lt;'PlayerGrades+'!$AH$16,"E+",IF(R644&lt;'PlayerGrades+'!$AH$15,"D-",IF(R644&lt;'PlayerGrades+'!$AH$14,"D",IF(R644&lt;'PlayerGrades+'!$AH$13,"D+",IF(R644&lt;'PlayerGrades+'!$AH$12,"C-",IF(R644&lt;'PlayerGrades+'!$AH$11,"C",IF(R644&lt;'PlayerGrades+'!$AH$10,"C+",IF(R644&lt;'PlayerGrades+'!$AH$9,"B-",IF(R644&lt;'PlayerGrades+'!$AH$8,"B",IF(R644&lt;'PlayerGrades+'!$AH$7,"B+",IF(R644&lt;'PlayerGrades+'!$AH$6,"A-",IF(R644&lt;'PlayerGrades+'!$AH$5,"A",IF(R644&lt;'PlayerGrades+'!$AH$4,"A+",IF(R644&lt;'PlayerGrades+'!$AH$3,"S-",IF(R644&lt;'PlayerGrades+'!$AH$2,"S","S+"))))))))))))))))))))</f>
        <v>#REF!</v>
      </c>
      <c r="T644" s="1423" t="str">
        <f t="shared" si="20"/>
        <v>#REF!</v>
      </c>
      <c r="U644" s="1423" t="str">
        <f>IF(T644&lt;'PlayerGrades+'!$AI$21,"F-",IF(T644&lt;'PlayerGrades+'!$AI$20,"F",IF(T644&lt;'PlayerGrades+'!$AI$19,"F+",IF(T644&lt;'PlayerGrades+'!$AI$18,"E-",IF(T644&lt;'PlayerGrades+'!$AI$17,"E",IF(T644&lt;'PlayerGrades+'!$AI$16,"E+",IF(T644&lt;'PlayerGrades+'!$AI$15,"D-",IF(T644&lt;'PlayerGrades+'!$AI$14,"D",IF(T644&lt;'PlayerGrades+'!$AI$13,"D+",IF(T644&lt;'PlayerGrades+'!$AI$12,"C-",IF(T644&lt;'PlayerGrades+'!$AI$11,"C",IF(T644&lt;'PlayerGrades+'!$AI$10,"C+",IF(T644&lt;'PlayerGrades+'!$AI$9,"B-",IF(T644&lt;'PlayerGrades+'!$AI$8,"B",IF(T644&lt;'PlayerGrades+'!$AI$7,"B+",IF(T644&lt;'PlayerGrades+'!$AI$6,"A-",IF(T644&lt;'PlayerGrades+'!$AI$5,"A",IF(T644&lt;'PlayerGrades+'!$AI$4,"A+",IF(T644&lt;'PlayerGrades+'!$AI$3,"S-",IF(T644&lt;'PlayerGrades+'!$AI$2,"S","S+"))))))))))))))))))))</f>
        <v>#REF!</v>
      </c>
      <c r="AC644" s="1392"/>
    </row>
    <row r="645">
      <c r="B645" s="1421" t="str">
        <f>IF(C645&lt;'PlayerGrades+'!$Y$44,"F-",IF(C645&lt;'PlayerGrades+'!$Y$43,"F",IF(C645&lt;'PlayerGrades+'!$Y$42,"F+",IF(C645&lt;'PlayerGrades+'!$Y$41,"E-",IF(C645&lt;'PlayerGrades+'!$Y$40,"E",IF(C645&lt;'PlayerGrades+'!$Y$39,"E+",IF(C645&lt;'PlayerGrades+'!$Y$38,"D-",IF(C645&lt;'PlayerGrades+'!$Y$37,"D",IF(C645&lt;'PlayerGrades+'!$Y$36,"D+",IF(C645&lt;'PlayerGrades+'!$Y$35,"C-",IF(C645&lt;'PlayerGrades+'!$Y$34,"C",IF(C645&lt;'PlayerGrades+'!$Y$33,"C+",IF(C645&lt;'PlayerGrades+'!$Y$32,"B-",IF(C645&lt;'PlayerGrades+'!$Y$31,"B",IF(C645&lt;'PlayerGrades+'!$Y$30,"B+",IF(C645&lt;'PlayerGrades+'!$Y$29,"A-",IF(C645&lt;'PlayerGrades+'!$Y$28,"A",IF(C645&lt;'PlayerGrades+'!$Y$27,"A+",IF(C645&lt;'PlayerGrades+'!$Y$26,"S-",IF(C645&lt;'PlayerGrades+'!$Y$25,"S","S+"))))))))))))))))))))</f>
        <v>#DIV/0!</v>
      </c>
      <c r="C645" s="1422" t="str">
        <f>('PlayerGrades+'!$Y$47*(VLOOKUP(E645, 'PlayerGrades+'!$X$3:$Y$23, 2, FALSE)))+('PlayerGrades+'!$Y$48*(VLOOKUP(G645, 'PlayerGrades+'!$X$3:$Y$23, 2, FALSE)))+('PlayerGrades+'!$Y$49*(VLOOKUP(I645, 'PlayerGrades+'!$X$3:$Y$23, 2, FALSE)))+('PlayerGrades+'!$Y$50*(VLOOKUP(K645, 'PlayerGrades+'!$X$3:$Y$23, 2, FALSE)))+('PlayerGrades+'!$Y$51*(VLOOKUP(M645, 'PlayerGrades+'!$X$3:$Y$23, 2, FALSE)))+('PlayerGrades+'!$Y$52*(VLOOKUP(O645, 'PlayerGrades+'!$X$3:$Y$23, 2, FALSE)))+('PlayerGrades+'!$Y$53*(VLOOKUP(Q645, 'PlayerGrades+'!$X$3:$Y$23, 2, FALSE)))+('PlayerGrades+'!$Y$54*(VLOOKUP(S645, 'PlayerGrades+'!$X$3:$Y$23, 2, FALSE)))+('PlayerGrades+'!$Y$55*(VLOOKUP(U645, 'PlayerGrades+'!$X$3:$Y$23, 2, FALSE)))</f>
        <v>#DIV/0!</v>
      </c>
      <c r="D645" s="1423" t="str">
        <f t="shared" si="12"/>
        <v>#DIV/0!</v>
      </c>
      <c r="E645" s="1423" t="str">
        <f>IF(D645&lt;'PlayerGrades+'!$AA$21,"F-",IF(D645&lt;'PlayerGrades+'!$AA$20,"F",IF(D645&lt;'PlayerGrades+'!$AA$19,"F+",IF(D645&lt;'PlayerGrades+'!$AA$18,"E-",IF(D645&lt;'PlayerGrades+'!$AA$17,"E",IF(D645&lt;'PlayerGrades+'!$AA$16,"E+",IF(D645&lt;'PlayerGrades+'!$AA$15,"D-",IF(D645&lt;'PlayerGrades+'!$AA$14,"D",IF(D645&lt;'PlayerGrades+'!$AA$13,"D+",IF(D645&lt;'PlayerGrades+'!$AA$12,"C-",IF(D645&lt;'PlayerGrades+'!$AA$11,"C",IF(D645&lt;'PlayerGrades+'!$AA$10,"C+",IF(D645&lt;'PlayerGrades+'!$AA$9,"B-",IF(D645&lt;'PlayerGrades+'!$AA$8,"B",IF(D645&lt;'PlayerGrades+'!$AA$7,"B+",IF(D645&lt;'PlayerGrades+'!$AA$6,"A-",IF(D645&lt;'PlayerGrades+'!$AA$5,"A",IF(D645&lt;'PlayerGrades+'!$AA$4,"A+",IF(D645&lt;'PlayerGrades+'!$AA$3,"S-",IF(D645&lt;'PlayerGrades+'!$AA$2,"S","S+"))))))))))))))))))))</f>
        <v>#DIV/0!</v>
      </c>
      <c r="F645" s="1423" t="str">
        <f t="shared" si="13"/>
        <v>#DIV/0!</v>
      </c>
      <c r="G645" s="1423" t="str">
        <f>IF(F645&lt;'PlayerGrades+'!$AB$21,"F-",IF(F645&lt;'PlayerGrades+'!$AB$20,"F",IF(F645&lt;'PlayerGrades+'!$AB$19,"F+",IF(F645&lt;'PlayerGrades+'!$AB$18,"E-",IF(F645&lt;'PlayerGrades+'!$AB$17,"E",IF(F645&lt;'PlayerGrades+'!$AB$16,"E+",IF(F645&lt;'PlayerGrades+'!$AB$15,"D-",IF(F645&lt;'PlayerGrades+'!$AB$14,"D",IF(F645&lt;'PlayerGrades+'!$AB$13,"D+",IF(F645&lt;'PlayerGrades+'!$AB$12,"C-",IF(F645&lt;'PlayerGrades+'!$AB$11,"C",IF(F645&lt;'PlayerGrades+'!$AB$10,"C+",IF(F645&lt;'PlayerGrades+'!$AB$9,"B-",IF(F645&lt;'PlayerGrades+'!$AB$8,"B",IF(F645&lt;'PlayerGrades+'!$AB$7,"B+",IF(F645&lt;'PlayerGrades+'!$AB$6,"A-",IF(F645&lt;'PlayerGrades+'!$AB$5,"A",IF(F645&lt;'PlayerGrades+'!$AB$4,"A+",IF(F645&lt;'PlayerGrades+'!$AB$3,"S-",IF(F645&lt;'PlayerGrades+'!$AB$2,"S","S+"))))))))))))))))))))</f>
        <v>#DIV/0!</v>
      </c>
      <c r="H645" s="1423" t="str">
        <f t="shared" si="14"/>
        <v>#DIV/0!</v>
      </c>
      <c r="I645" s="1423" t="str">
        <f>IF(H645&lt;'PlayerGrades+'!$AC$21,"F-",IF(H645&lt;'PlayerGrades+'!$AC$20,"F",IF(H645&lt;'PlayerGrades+'!$AC$19,"F+",IF(H645&lt;'PlayerGrades+'!$AC$18,"E-",IF(H645&lt;'PlayerGrades+'!$AC$17,"E",IF(H645&lt;'PlayerGrades+'!$AC$16,"E+",IF(H645&lt;'PlayerGrades+'!$AC$15,"D-",IF(H645&lt;'PlayerGrades+'!$AC$14,"D",IF(H645&lt;'PlayerGrades+'!$AC$13,"D+",IF(H645&lt;'PlayerGrades+'!$AC$12,"C-",IF(H645&lt;'PlayerGrades+'!$AC$11,"C",IF(H645&lt;'PlayerGrades+'!$AC$10,"C+",IF(H645&lt;'PlayerGrades+'!$AC$9,"B-",IF(H645&lt;'PlayerGrades+'!$AC$8,"B",IF(H645&lt;'PlayerGrades+'!$AC$7,"B+",IF(H645&lt;'PlayerGrades+'!$AC$6,"A-",IF(H645&lt;'PlayerGrades+'!$AC$5,"A",IF(H645&lt;'PlayerGrades+'!$AC$4,"A+",IF(H645&lt;'PlayerGrades+'!$AC$3,"S-",IF(H645&lt;'PlayerGrades+'!$AC$2,"S","S+"))))))))))))))))))))</f>
        <v>#DIV/0!</v>
      </c>
      <c r="J645" s="1423" t="str">
        <f t="shared" si="15"/>
        <v>#DIV/0!</v>
      </c>
      <c r="K645" s="1423" t="str">
        <f>IF(J645&lt;'PlayerGrades+'!$AD$21,"F-",IF(J645&lt;'PlayerGrades+'!$AD$20,"F",IF(J645&lt;'PlayerGrades+'!$AD$19,"F+",IF(J645&lt;'PlayerGrades+'!$AD$18,"E-",IF(J645&lt;'PlayerGrades+'!$AD$17,"E",IF(J645&lt;'PlayerGrades+'!$AD$16,"E+",IF(J645&lt;'PlayerGrades+'!$AD$15,"D-",IF(J645&lt;'PlayerGrades+'!$AD$14,"D",IF(J645&lt;'PlayerGrades+'!$AD$13,"D+",IF(J645&lt;'PlayerGrades+'!$AD$12,"C-",IF(J645&lt;'PlayerGrades+'!$AD$11,"C",IF(J645&lt;'PlayerGrades+'!$AD$10,"C+",IF(J645&lt;'PlayerGrades+'!$AD$9,"B-",IF(J645&lt;'PlayerGrades+'!$AD$8,"B",IF(J645&lt;'PlayerGrades+'!$AD$7,"B+",IF(J645&lt;'PlayerGrades+'!$AD$6,"A-",IF(J645&lt;'PlayerGrades+'!$AD$5,"A",IF(J645&lt;'PlayerGrades+'!$AD$4,"A+",IF(J645&lt;'PlayerGrades+'!$AD$3,"S-",IF(J645&lt;'PlayerGrades+'!$AD$2,"S","S+"))))))))))))))))))))</f>
        <v>#DIV/0!</v>
      </c>
      <c r="L645" s="1176" t="str">
        <f t="shared" si="16"/>
        <v>#DIV/0!</v>
      </c>
      <c r="M645" s="992" t="str">
        <f>IF(L645&lt;'PlayerGrades+'!$AE$21,"F-",IF(L645&lt;'PlayerGrades+'!$AE$20,"F",IF(L645&lt;'PlayerGrades+'!$AE$19,"F+",IF(L645&lt;'PlayerGrades+'!$AE$18,"E-",IF(L645&lt;'PlayerGrades+'!$AE$17,"E",IF(L645&lt;'PlayerGrades+'!$AE$16,"E+",IF(L645&lt;'PlayerGrades+'!$AE$15,"D-",IF(L645&lt;'PlayerGrades+'!$AE$14,"D",IF(L645&lt;'PlayerGrades+'!$AE$13,"D+",IF(L645&lt;'PlayerGrades+'!$AE$12,"C-",IF(L645&lt;'PlayerGrades+'!$AE$11,"C",IF(L645&lt;'PlayerGrades+'!$AE$10,"C+",IF(L645&lt;'PlayerGrades+'!$AE$9,"B-",IF(L645&lt;'PlayerGrades+'!$AE$8,"B",IF(L645&lt;'PlayerGrades+'!$AE$7,"B+",IF(L645&lt;'PlayerGrades+'!$AE$6,"A-",IF(L645&lt;'PlayerGrades+'!$AE$5,"A",IF(L645&lt;'PlayerGrades+'!$AE$4,"A+",IF(L645&lt;'PlayerGrades+'!$AE$3,"S-",IF(L645&lt;'PlayerGrades+'!$AE$2,"S","S+"))))))))))))))))))))</f>
        <v>#DIV/0!</v>
      </c>
      <c r="N645" s="1423" t="str">
        <f t="shared" si="17"/>
        <v>#DIV/0!</v>
      </c>
      <c r="O645" s="1423" t="str">
        <f>IF(N645&lt;'PlayerGrades+'!$AF$21,"F-",IF(N645&lt;'PlayerGrades+'!$AF$20,"F",IF(N645&lt;'PlayerGrades+'!$AF$19,"F+",IF(N645&lt;'PlayerGrades+'!$AF$18,"E-",IF(N645&lt;'PlayerGrades+'!$AF$17,"E",IF(N645&lt;'PlayerGrades+'!$AF$16,"E+",IF(N645&lt;'PlayerGrades+'!$AF$15,"D-",IF(N645&lt;'PlayerGrades+'!$AF$14,"D",IF(N645&lt;'PlayerGrades+'!$AF$13,"D+",IF(N645&lt;'PlayerGrades+'!$AF$12,"C-",IF(N645&lt;'PlayerGrades+'!$AF$11,"C",IF(N645&lt;'PlayerGrades+'!$AF$10,"C+",IF(N645&lt;'PlayerGrades+'!$AF$9,"B-",IF(N645&lt;'PlayerGrades+'!$AF$8,"B",IF(N645&lt;'PlayerGrades+'!$AF$7,"B+",IF(N645&lt;'PlayerGrades+'!$AF$6,"A-",IF(N645&lt;'PlayerGrades+'!$AF$5,"A",IF(N645&lt;'PlayerGrades+'!$AF$4,"A+",IF(N645&lt;'PlayerGrades+'!$AF$3,"S-",IF(N645&lt;'PlayerGrades+'!$AF$2,"S","S+"))))))))))))))))))))</f>
        <v>#DIV/0!</v>
      </c>
      <c r="P645" s="1423" t="str">
        <f t="shared" si="18"/>
        <v>#DIV/0!</v>
      </c>
      <c r="Q645" s="1423" t="str">
        <f>IF(P645&lt;'PlayerGrades+'!$AG$21,"F-",IF(P645&lt;'PlayerGrades+'!$AG$20,"F",IF(P645&lt;'PlayerGrades+'!$AG$19,"F+",IF(P645&lt;'PlayerGrades+'!$AG$18,"E-",IF(P645&lt;'PlayerGrades+'!$AG$17,"E",IF(P645&lt;'PlayerGrades+'!$AG$16,"E+",IF(P645&lt;'PlayerGrades+'!$AG$15,"D-",IF(P645&lt;'PlayerGrades+'!$AG$14,"D",IF(P645&lt;'PlayerGrades+'!$AG$13,"D+",IF(P645&lt;'PlayerGrades+'!$AG$12,"C-",IF(P645&lt;'PlayerGrades+'!$AG$11,"C",IF(P645&lt;'PlayerGrades+'!$AG$10,"C+",IF(P645&lt;'PlayerGrades+'!$AG$9,"B-",IF(P645&lt;'PlayerGrades+'!$AG$8,"B",IF(P645&lt;'PlayerGrades+'!$AG$7,"B+",IF(P645&lt;'PlayerGrades+'!$AG$6,"A-",IF(P645&lt;'PlayerGrades+'!$AG$5,"A",IF(P645&lt;'PlayerGrades+'!$AG$4,"A+",IF(P645&lt;'PlayerGrades+'!$AG$3,"S-",IF(P645&lt;'PlayerGrades+'!$AG$2,"S","S+"))))))))))))))))))))</f>
        <v>#DIV/0!</v>
      </c>
      <c r="R645" s="1423" t="str">
        <f t="shared" si="19"/>
        <v>#REF!</v>
      </c>
      <c r="S645" s="1423" t="str">
        <f>IF(R645&lt;'PlayerGrades+'!$AH$21,"F-",IF(R645&lt;'PlayerGrades+'!$AH$20,"F",IF(R645&lt;'PlayerGrades+'!$AH$19,"F+",IF(R645&lt;'PlayerGrades+'!$AH$18,"E-",IF(R645&lt;'PlayerGrades+'!$AH$17,"E",IF(R645&lt;'PlayerGrades+'!$AH$16,"E+",IF(R645&lt;'PlayerGrades+'!$AH$15,"D-",IF(R645&lt;'PlayerGrades+'!$AH$14,"D",IF(R645&lt;'PlayerGrades+'!$AH$13,"D+",IF(R645&lt;'PlayerGrades+'!$AH$12,"C-",IF(R645&lt;'PlayerGrades+'!$AH$11,"C",IF(R645&lt;'PlayerGrades+'!$AH$10,"C+",IF(R645&lt;'PlayerGrades+'!$AH$9,"B-",IF(R645&lt;'PlayerGrades+'!$AH$8,"B",IF(R645&lt;'PlayerGrades+'!$AH$7,"B+",IF(R645&lt;'PlayerGrades+'!$AH$6,"A-",IF(R645&lt;'PlayerGrades+'!$AH$5,"A",IF(R645&lt;'PlayerGrades+'!$AH$4,"A+",IF(R645&lt;'PlayerGrades+'!$AH$3,"S-",IF(R645&lt;'PlayerGrades+'!$AH$2,"S","S+"))))))))))))))))))))</f>
        <v>#REF!</v>
      </c>
      <c r="T645" s="1423" t="str">
        <f t="shared" si="20"/>
        <v>#REF!</v>
      </c>
      <c r="U645" s="1423" t="str">
        <f>IF(T645&lt;'PlayerGrades+'!$AI$21,"F-",IF(T645&lt;'PlayerGrades+'!$AI$20,"F",IF(T645&lt;'PlayerGrades+'!$AI$19,"F+",IF(T645&lt;'PlayerGrades+'!$AI$18,"E-",IF(T645&lt;'PlayerGrades+'!$AI$17,"E",IF(T645&lt;'PlayerGrades+'!$AI$16,"E+",IF(T645&lt;'PlayerGrades+'!$AI$15,"D-",IF(T645&lt;'PlayerGrades+'!$AI$14,"D",IF(T645&lt;'PlayerGrades+'!$AI$13,"D+",IF(T645&lt;'PlayerGrades+'!$AI$12,"C-",IF(T645&lt;'PlayerGrades+'!$AI$11,"C",IF(T645&lt;'PlayerGrades+'!$AI$10,"C+",IF(T645&lt;'PlayerGrades+'!$AI$9,"B-",IF(T645&lt;'PlayerGrades+'!$AI$8,"B",IF(T645&lt;'PlayerGrades+'!$AI$7,"B+",IF(T645&lt;'PlayerGrades+'!$AI$6,"A-",IF(T645&lt;'PlayerGrades+'!$AI$5,"A",IF(T645&lt;'PlayerGrades+'!$AI$4,"A+",IF(T645&lt;'PlayerGrades+'!$AI$3,"S-",IF(T645&lt;'PlayerGrades+'!$AI$2,"S","S+"))))))))))))))))))))</f>
        <v>#REF!</v>
      </c>
      <c r="AC645" s="1392"/>
    </row>
    <row r="646">
      <c r="B646" s="1421" t="str">
        <f>IF(C646&lt;'PlayerGrades+'!$Y$44,"F-",IF(C646&lt;'PlayerGrades+'!$Y$43,"F",IF(C646&lt;'PlayerGrades+'!$Y$42,"F+",IF(C646&lt;'PlayerGrades+'!$Y$41,"E-",IF(C646&lt;'PlayerGrades+'!$Y$40,"E",IF(C646&lt;'PlayerGrades+'!$Y$39,"E+",IF(C646&lt;'PlayerGrades+'!$Y$38,"D-",IF(C646&lt;'PlayerGrades+'!$Y$37,"D",IF(C646&lt;'PlayerGrades+'!$Y$36,"D+",IF(C646&lt;'PlayerGrades+'!$Y$35,"C-",IF(C646&lt;'PlayerGrades+'!$Y$34,"C",IF(C646&lt;'PlayerGrades+'!$Y$33,"C+",IF(C646&lt;'PlayerGrades+'!$Y$32,"B-",IF(C646&lt;'PlayerGrades+'!$Y$31,"B",IF(C646&lt;'PlayerGrades+'!$Y$30,"B+",IF(C646&lt;'PlayerGrades+'!$Y$29,"A-",IF(C646&lt;'PlayerGrades+'!$Y$28,"A",IF(C646&lt;'PlayerGrades+'!$Y$27,"A+",IF(C646&lt;'PlayerGrades+'!$Y$26,"S-",IF(C646&lt;'PlayerGrades+'!$Y$25,"S","S+"))))))))))))))))))))</f>
        <v>#DIV/0!</v>
      </c>
      <c r="C646" s="1422" t="str">
        <f>('PlayerGrades+'!$Y$47*(VLOOKUP(E646, 'PlayerGrades+'!$X$3:$Y$23, 2, FALSE)))+('PlayerGrades+'!$Y$48*(VLOOKUP(G646, 'PlayerGrades+'!$X$3:$Y$23, 2, FALSE)))+('PlayerGrades+'!$Y$49*(VLOOKUP(I646, 'PlayerGrades+'!$X$3:$Y$23, 2, FALSE)))+('PlayerGrades+'!$Y$50*(VLOOKUP(K646, 'PlayerGrades+'!$X$3:$Y$23, 2, FALSE)))+('PlayerGrades+'!$Y$51*(VLOOKUP(M646, 'PlayerGrades+'!$X$3:$Y$23, 2, FALSE)))+('PlayerGrades+'!$Y$52*(VLOOKUP(O646, 'PlayerGrades+'!$X$3:$Y$23, 2, FALSE)))+('PlayerGrades+'!$Y$53*(VLOOKUP(Q646, 'PlayerGrades+'!$X$3:$Y$23, 2, FALSE)))+('PlayerGrades+'!$Y$54*(VLOOKUP(S646, 'PlayerGrades+'!$X$3:$Y$23, 2, FALSE)))+('PlayerGrades+'!$Y$55*(VLOOKUP(U646, 'PlayerGrades+'!$X$3:$Y$23, 2, FALSE)))</f>
        <v>#DIV/0!</v>
      </c>
      <c r="D646" s="1423" t="str">
        <f t="shared" si="12"/>
        <v>#DIV/0!</v>
      </c>
      <c r="E646" s="1423" t="str">
        <f>IF(D646&lt;'PlayerGrades+'!$AA$21,"F-",IF(D646&lt;'PlayerGrades+'!$AA$20,"F",IF(D646&lt;'PlayerGrades+'!$AA$19,"F+",IF(D646&lt;'PlayerGrades+'!$AA$18,"E-",IF(D646&lt;'PlayerGrades+'!$AA$17,"E",IF(D646&lt;'PlayerGrades+'!$AA$16,"E+",IF(D646&lt;'PlayerGrades+'!$AA$15,"D-",IF(D646&lt;'PlayerGrades+'!$AA$14,"D",IF(D646&lt;'PlayerGrades+'!$AA$13,"D+",IF(D646&lt;'PlayerGrades+'!$AA$12,"C-",IF(D646&lt;'PlayerGrades+'!$AA$11,"C",IF(D646&lt;'PlayerGrades+'!$AA$10,"C+",IF(D646&lt;'PlayerGrades+'!$AA$9,"B-",IF(D646&lt;'PlayerGrades+'!$AA$8,"B",IF(D646&lt;'PlayerGrades+'!$AA$7,"B+",IF(D646&lt;'PlayerGrades+'!$AA$6,"A-",IF(D646&lt;'PlayerGrades+'!$AA$5,"A",IF(D646&lt;'PlayerGrades+'!$AA$4,"A+",IF(D646&lt;'PlayerGrades+'!$AA$3,"S-",IF(D646&lt;'PlayerGrades+'!$AA$2,"S","S+"))))))))))))))))))))</f>
        <v>#DIV/0!</v>
      </c>
      <c r="F646" s="1423" t="str">
        <f t="shared" si="13"/>
        <v>#DIV/0!</v>
      </c>
      <c r="G646" s="1423" t="str">
        <f>IF(F646&lt;'PlayerGrades+'!$AB$21,"F-",IF(F646&lt;'PlayerGrades+'!$AB$20,"F",IF(F646&lt;'PlayerGrades+'!$AB$19,"F+",IF(F646&lt;'PlayerGrades+'!$AB$18,"E-",IF(F646&lt;'PlayerGrades+'!$AB$17,"E",IF(F646&lt;'PlayerGrades+'!$AB$16,"E+",IF(F646&lt;'PlayerGrades+'!$AB$15,"D-",IF(F646&lt;'PlayerGrades+'!$AB$14,"D",IF(F646&lt;'PlayerGrades+'!$AB$13,"D+",IF(F646&lt;'PlayerGrades+'!$AB$12,"C-",IF(F646&lt;'PlayerGrades+'!$AB$11,"C",IF(F646&lt;'PlayerGrades+'!$AB$10,"C+",IF(F646&lt;'PlayerGrades+'!$AB$9,"B-",IF(F646&lt;'PlayerGrades+'!$AB$8,"B",IF(F646&lt;'PlayerGrades+'!$AB$7,"B+",IF(F646&lt;'PlayerGrades+'!$AB$6,"A-",IF(F646&lt;'PlayerGrades+'!$AB$5,"A",IF(F646&lt;'PlayerGrades+'!$AB$4,"A+",IF(F646&lt;'PlayerGrades+'!$AB$3,"S-",IF(F646&lt;'PlayerGrades+'!$AB$2,"S","S+"))))))))))))))))))))</f>
        <v>#DIV/0!</v>
      </c>
      <c r="H646" s="1423" t="str">
        <f t="shared" si="14"/>
        <v>#DIV/0!</v>
      </c>
      <c r="I646" s="1423" t="str">
        <f>IF(H646&lt;'PlayerGrades+'!$AC$21,"F-",IF(H646&lt;'PlayerGrades+'!$AC$20,"F",IF(H646&lt;'PlayerGrades+'!$AC$19,"F+",IF(H646&lt;'PlayerGrades+'!$AC$18,"E-",IF(H646&lt;'PlayerGrades+'!$AC$17,"E",IF(H646&lt;'PlayerGrades+'!$AC$16,"E+",IF(H646&lt;'PlayerGrades+'!$AC$15,"D-",IF(H646&lt;'PlayerGrades+'!$AC$14,"D",IF(H646&lt;'PlayerGrades+'!$AC$13,"D+",IF(H646&lt;'PlayerGrades+'!$AC$12,"C-",IF(H646&lt;'PlayerGrades+'!$AC$11,"C",IF(H646&lt;'PlayerGrades+'!$AC$10,"C+",IF(H646&lt;'PlayerGrades+'!$AC$9,"B-",IF(H646&lt;'PlayerGrades+'!$AC$8,"B",IF(H646&lt;'PlayerGrades+'!$AC$7,"B+",IF(H646&lt;'PlayerGrades+'!$AC$6,"A-",IF(H646&lt;'PlayerGrades+'!$AC$5,"A",IF(H646&lt;'PlayerGrades+'!$AC$4,"A+",IF(H646&lt;'PlayerGrades+'!$AC$3,"S-",IF(H646&lt;'PlayerGrades+'!$AC$2,"S","S+"))))))))))))))))))))</f>
        <v>#DIV/0!</v>
      </c>
      <c r="J646" s="1423" t="str">
        <f t="shared" si="15"/>
        <v>#DIV/0!</v>
      </c>
      <c r="K646" s="1423" t="str">
        <f>IF(J646&lt;'PlayerGrades+'!$AD$21,"F-",IF(J646&lt;'PlayerGrades+'!$AD$20,"F",IF(J646&lt;'PlayerGrades+'!$AD$19,"F+",IF(J646&lt;'PlayerGrades+'!$AD$18,"E-",IF(J646&lt;'PlayerGrades+'!$AD$17,"E",IF(J646&lt;'PlayerGrades+'!$AD$16,"E+",IF(J646&lt;'PlayerGrades+'!$AD$15,"D-",IF(J646&lt;'PlayerGrades+'!$AD$14,"D",IF(J646&lt;'PlayerGrades+'!$AD$13,"D+",IF(J646&lt;'PlayerGrades+'!$AD$12,"C-",IF(J646&lt;'PlayerGrades+'!$AD$11,"C",IF(J646&lt;'PlayerGrades+'!$AD$10,"C+",IF(J646&lt;'PlayerGrades+'!$AD$9,"B-",IF(J646&lt;'PlayerGrades+'!$AD$8,"B",IF(J646&lt;'PlayerGrades+'!$AD$7,"B+",IF(J646&lt;'PlayerGrades+'!$AD$6,"A-",IF(J646&lt;'PlayerGrades+'!$AD$5,"A",IF(J646&lt;'PlayerGrades+'!$AD$4,"A+",IF(J646&lt;'PlayerGrades+'!$AD$3,"S-",IF(J646&lt;'PlayerGrades+'!$AD$2,"S","S+"))))))))))))))))))))</f>
        <v>#DIV/0!</v>
      </c>
      <c r="L646" s="1176" t="str">
        <f t="shared" si="16"/>
        <v>#DIV/0!</v>
      </c>
      <c r="M646" s="992" t="str">
        <f>IF(L646&lt;'PlayerGrades+'!$AE$21,"F-",IF(L646&lt;'PlayerGrades+'!$AE$20,"F",IF(L646&lt;'PlayerGrades+'!$AE$19,"F+",IF(L646&lt;'PlayerGrades+'!$AE$18,"E-",IF(L646&lt;'PlayerGrades+'!$AE$17,"E",IF(L646&lt;'PlayerGrades+'!$AE$16,"E+",IF(L646&lt;'PlayerGrades+'!$AE$15,"D-",IF(L646&lt;'PlayerGrades+'!$AE$14,"D",IF(L646&lt;'PlayerGrades+'!$AE$13,"D+",IF(L646&lt;'PlayerGrades+'!$AE$12,"C-",IF(L646&lt;'PlayerGrades+'!$AE$11,"C",IF(L646&lt;'PlayerGrades+'!$AE$10,"C+",IF(L646&lt;'PlayerGrades+'!$AE$9,"B-",IF(L646&lt;'PlayerGrades+'!$AE$8,"B",IF(L646&lt;'PlayerGrades+'!$AE$7,"B+",IF(L646&lt;'PlayerGrades+'!$AE$6,"A-",IF(L646&lt;'PlayerGrades+'!$AE$5,"A",IF(L646&lt;'PlayerGrades+'!$AE$4,"A+",IF(L646&lt;'PlayerGrades+'!$AE$3,"S-",IF(L646&lt;'PlayerGrades+'!$AE$2,"S","S+"))))))))))))))))))))</f>
        <v>#DIV/0!</v>
      </c>
      <c r="N646" s="1423" t="str">
        <f t="shared" si="17"/>
        <v>#DIV/0!</v>
      </c>
      <c r="O646" s="1423" t="str">
        <f>IF(N646&lt;'PlayerGrades+'!$AF$21,"F-",IF(N646&lt;'PlayerGrades+'!$AF$20,"F",IF(N646&lt;'PlayerGrades+'!$AF$19,"F+",IF(N646&lt;'PlayerGrades+'!$AF$18,"E-",IF(N646&lt;'PlayerGrades+'!$AF$17,"E",IF(N646&lt;'PlayerGrades+'!$AF$16,"E+",IF(N646&lt;'PlayerGrades+'!$AF$15,"D-",IF(N646&lt;'PlayerGrades+'!$AF$14,"D",IF(N646&lt;'PlayerGrades+'!$AF$13,"D+",IF(N646&lt;'PlayerGrades+'!$AF$12,"C-",IF(N646&lt;'PlayerGrades+'!$AF$11,"C",IF(N646&lt;'PlayerGrades+'!$AF$10,"C+",IF(N646&lt;'PlayerGrades+'!$AF$9,"B-",IF(N646&lt;'PlayerGrades+'!$AF$8,"B",IF(N646&lt;'PlayerGrades+'!$AF$7,"B+",IF(N646&lt;'PlayerGrades+'!$AF$6,"A-",IF(N646&lt;'PlayerGrades+'!$AF$5,"A",IF(N646&lt;'PlayerGrades+'!$AF$4,"A+",IF(N646&lt;'PlayerGrades+'!$AF$3,"S-",IF(N646&lt;'PlayerGrades+'!$AF$2,"S","S+"))))))))))))))))))))</f>
        <v>#DIV/0!</v>
      </c>
      <c r="P646" s="1423" t="str">
        <f t="shared" si="18"/>
        <v>#DIV/0!</v>
      </c>
      <c r="Q646" s="1423" t="str">
        <f>IF(P646&lt;'PlayerGrades+'!$AG$21,"F-",IF(P646&lt;'PlayerGrades+'!$AG$20,"F",IF(P646&lt;'PlayerGrades+'!$AG$19,"F+",IF(P646&lt;'PlayerGrades+'!$AG$18,"E-",IF(P646&lt;'PlayerGrades+'!$AG$17,"E",IF(P646&lt;'PlayerGrades+'!$AG$16,"E+",IF(P646&lt;'PlayerGrades+'!$AG$15,"D-",IF(P646&lt;'PlayerGrades+'!$AG$14,"D",IF(P646&lt;'PlayerGrades+'!$AG$13,"D+",IF(P646&lt;'PlayerGrades+'!$AG$12,"C-",IF(P646&lt;'PlayerGrades+'!$AG$11,"C",IF(P646&lt;'PlayerGrades+'!$AG$10,"C+",IF(P646&lt;'PlayerGrades+'!$AG$9,"B-",IF(P646&lt;'PlayerGrades+'!$AG$8,"B",IF(P646&lt;'PlayerGrades+'!$AG$7,"B+",IF(P646&lt;'PlayerGrades+'!$AG$6,"A-",IF(P646&lt;'PlayerGrades+'!$AG$5,"A",IF(P646&lt;'PlayerGrades+'!$AG$4,"A+",IF(P646&lt;'PlayerGrades+'!$AG$3,"S-",IF(P646&lt;'PlayerGrades+'!$AG$2,"S","S+"))))))))))))))))))))</f>
        <v>#DIV/0!</v>
      </c>
      <c r="R646" s="1423" t="str">
        <f t="shared" si="19"/>
        <v>#REF!</v>
      </c>
      <c r="S646" s="1423" t="str">
        <f>IF(R646&lt;'PlayerGrades+'!$AH$21,"F-",IF(R646&lt;'PlayerGrades+'!$AH$20,"F",IF(R646&lt;'PlayerGrades+'!$AH$19,"F+",IF(R646&lt;'PlayerGrades+'!$AH$18,"E-",IF(R646&lt;'PlayerGrades+'!$AH$17,"E",IF(R646&lt;'PlayerGrades+'!$AH$16,"E+",IF(R646&lt;'PlayerGrades+'!$AH$15,"D-",IF(R646&lt;'PlayerGrades+'!$AH$14,"D",IF(R646&lt;'PlayerGrades+'!$AH$13,"D+",IF(R646&lt;'PlayerGrades+'!$AH$12,"C-",IF(R646&lt;'PlayerGrades+'!$AH$11,"C",IF(R646&lt;'PlayerGrades+'!$AH$10,"C+",IF(R646&lt;'PlayerGrades+'!$AH$9,"B-",IF(R646&lt;'PlayerGrades+'!$AH$8,"B",IF(R646&lt;'PlayerGrades+'!$AH$7,"B+",IF(R646&lt;'PlayerGrades+'!$AH$6,"A-",IF(R646&lt;'PlayerGrades+'!$AH$5,"A",IF(R646&lt;'PlayerGrades+'!$AH$4,"A+",IF(R646&lt;'PlayerGrades+'!$AH$3,"S-",IF(R646&lt;'PlayerGrades+'!$AH$2,"S","S+"))))))))))))))))))))</f>
        <v>#REF!</v>
      </c>
      <c r="T646" s="1423" t="str">
        <f t="shared" si="20"/>
        <v>#REF!</v>
      </c>
      <c r="U646" s="1423" t="str">
        <f>IF(T646&lt;'PlayerGrades+'!$AI$21,"F-",IF(T646&lt;'PlayerGrades+'!$AI$20,"F",IF(T646&lt;'PlayerGrades+'!$AI$19,"F+",IF(T646&lt;'PlayerGrades+'!$AI$18,"E-",IF(T646&lt;'PlayerGrades+'!$AI$17,"E",IF(T646&lt;'PlayerGrades+'!$AI$16,"E+",IF(T646&lt;'PlayerGrades+'!$AI$15,"D-",IF(T646&lt;'PlayerGrades+'!$AI$14,"D",IF(T646&lt;'PlayerGrades+'!$AI$13,"D+",IF(T646&lt;'PlayerGrades+'!$AI$12,"C-",IF(T646&lt;'PlayerGrades+'!$AI$11,"C",IF(T646&lt;'PlayerGrades+'!$AI$10,"C+",IF(T646&lt;'PlayerGrades+'!$AI$9,"B-",IF(T646&lt;'PlayerGrades+'!$AI$8,"B",IF(T646&lt;'PlayerGrades+'!$AI$7,"B+",IF(T646&lt;'PlayerGrades+'!$AI$6,"A-",IF(T646&lt;'PlayerGrades+'!$AI$5,"A",IF(T646&lt;'PlayerGrades+'!$AI$4,"A+",IF(T646&lt;'PlayerGrades+'!$AI$3,"S-",IF(T646&lt;'PlayerGrades+'!$AI$2,"S","S+"))))))))))))))))))))</f>
        <v>#REF!</v>
      </c>
      <c r="AC646" s="1392"/>
    </row>
    <row r="647">
      <c r="B647" s="1421" t="str">
        <f>IF(C647&lt;'PlayerGrades+'!$Y$44,"F-",IF(C647&lt;'PlayerGrades+'!$Y$43,"F",IF(C647&lt;'PlayerGrades+'!$Y$42,"F+",IF(C647&lt;'PlayerGrades+'!$Y$41,"E-",IF(C647&lt;'PlayerGrades+'!$Y$40,"E",IF(C647&lt;'PlayerGrades+'!$Y$39,"E+",IF(C647&lt;'PlayerGrades+'!$Y$38,"D-",IF(C647&lt;'PlayerGrades+'!$Y$37,"D",IF(C647&lt;'PlayerGrades+'!$Y$36,"D+",IF(C647&lt;'PlayerGrades+'!$Y$35,"C-",IF(C647&lt;'PlayerGrades+'!$Y$34,"C",IF(C647&lt;'PlayerGrades+'!$Y$33,"C+",IF(C647&lt;'PlayerGrades+'!$Y$32,"B-",IF(C647&lt;'PlayerGrades+'!$Y$31,"B",IF(C647&lt;'PlayerGrades+'!$Y$30,"B+",IF(C647&lt;'PlayerGrades+'!$Y$29,"A-",IF(C647&lt;'PlayerGrades+'!$Y$28,"A",IF(C647&lt;'PlayerGrades+'!$Y$27,"A+",IF(C647&lt;'PlayerGrades+'!$Y$26,"S-",IF(C647&lt;'PlayerGrades+'!$Y$25,"S","S+"))))))))))))))))))))</f>
        <v>#DIV/0!</v>
      </c>
      <c r="C647" s="1422" t="str">
        <f>('PlayerGrades+'!$Y$47*(VLOOKUP(E647, 'PlayerGrades+'!$X$3:$Y$23, 2, FALSE)))+('PlayerGrades+'!$Y$48*(VLOOKUP(G647, 'PlayerGrades+'!$X$3:$Y$23, 2, FALSE)))+('PlayerGrades+'!$Y$49*(VLOOKUP(I647, 'PlayerGrades+'!$X$3:$Y$23, 2, FALSE)))+('PlayerGrades+'!$Y$50*(VLOOKUP(K647, 'PlayerGrades+'!$X$3:$Y$23, 2, FALSE)))+('PlayerGrades+'!$Y$51*(VLOOKUP(M647, 'PlayerGrades+'!$X$3:$Y$23, 2, FALSE)))+('PlayerGrades+'!$Y$52*(VLOOKUP(O647, 'PlayerGrades+'!$X$3:$Y$23, 2, FALSE)))+('PlayerGrades+'!$Y$53*(VLOOKUP(Q647, 'PlayerGrades+'!$X$3:$Y$23, 2, FALSE)))+('PlayerGrades+'!$Y$54*(VLOOKUP(S647, 'PlayerGrades+'!$X$3:$Y$23, 2, FALSE)))+('PlayerGrades+'!$Y$55*(VLOOKUP(U647, 'PlayerGrades+'!$X$3:$Y$23, 2, FALSE)))</f>
        <v>#DIV/0!</v>
      </c>
      <c r="D647" s="1423" t="str">
        <f t="shared" si="12"/>
        <v>#DIV/0!</v>
      </c>
      <c r="E647" s="1423" t="str">
        <f>IF(D647&lt;'PlayerGrades+'!$AA$21,"F-",IF(D647&lt;'PlayerGrades+'!$AA$20,"F",IF(D647&lt;'PlayerGrades+'!$AA$19,"F+",IF(D647&lt;'PlayerGrades+'!$AA$18,"E-",IF(D647&lt;'PlayerGrades+'!$AA$17,"E",IF(D647&lt;'PlayerGrades+'!$AA$16,"E+",IF(D647&lt;'PlayerGrades+'!$AA$15,"D-",IF(D647&lt;'PlayerGrades+'!$AA$14,"D",IF(D647&lt;'PlayerGrades+'!$AA$13,"D+",IF(D647&lt;'PlayerGrades+'!$AA$12,"C-",IF(D647&lt;'PlayerGrades+'!$AA$11,"C",IF(D647&lt;'PlayerGrades+'!$AA$10,"C+",IF(D647&lt;'PlayerGrades+'!$AA$9,"B-",IF(D647&lt;'PlayerGrades+'!$AA$8,"B",IF(D647&lt;'PlayerGrades+'!$AA$7,"B+",IF(D647&lt;'PlayerGrades+'!$AA$6,"A-",IF(D647&lt;'PlayerGrades+'!$AA$5,"A",IF(D647&lt;'PlayerGrades+'!$AA$4,"A+",IF(D647&lt;'PlayerGrades+'!$AA$3,"S-",IF(D647&lt;'PlayerGrades+'!$AA$2,"S","S+"))))))))))))))))))))</f>
        <v>#DIV/0!</v>
      </c>
      <c r="F647" s="1423" t="str">
        <f t="shared" si="13"/>
        <v>#DIV/0!</v>
      </c>
      <c r="G647" s="1423" t="str">
        <f>IF(F647&lt;'PlayerGrades+'!$AB$21,"F-",IF(F647&lt;'PlayerGrades+'!$AB$20,"F",IF(F647&lt;'PlayerGrades+'!$AB$19,"F+",IF(F647&lt;'PlayerGrades+'!$AB$18,"E-",IF(F647&lt;'PlayerGrades+'!$AB$17,"E",IF(F647&lt;'PlayerGrades+'!$AB$16,"E+",IF(F647&lt;'PlayerGrades+'!$AB$15,"D-",IF(F647&lt;'PlayerGrades+'!$AB$14,"D",IF(F647&lt;'PlayerGrades+'!$AB$13,"D+",IF(F647&lt;'PlayerGrades+'!$AB$12,"C-",IF(F647&lt;'PlayerGrades+'!$AB$11,"C",IF(F647&lt;'PlayerGrades+'!$AB$10,"C+",IF(F647&lt;'PlayerGrades+'!$AB$9,"B-",IF(F647&lt;'PlayerGrades+'!$AB$8,"B",IF(F647&lt;'PlayerGrades+'!$AB$7,"B+",IF(F647&lt;'PlayerGrades+'!$AB$6,"A-",IF(F647&lt;'PlayerGrades+'!$AB$5,"A",IF(F647&lt;'PlayerGrades+'!$AB$4,"A+",IF(F647&lt;'PlayerGrades+'!$AB$3,"S-",IF(F647&lt;'PlayerGrades+'!$AB$2,"S","S+"))))))))))))))))))))</f>
        <v>#DIV/0!</v>
      </c>
      <c r="H647" s="1423" t="str">
        <f t="shared" si="14"/>
        <v>#DIV/0!</v>
      </c>
      <c r="I647" s="1423" t="str">
        <f>IF(H647&lt;'PlayerGrades+'!$AC$21,"F-",IF(H647&lt;'PlayerGrades+'!$AC$20,"F",IF(H647&lt;'PlayerGrades+'!$AC$19,"F+",IF(H647&lt;'PlayerGrades+'!$AC$18,"E-",IF(H647&lt;'PlayerGrades+'!$AC$17,"E",IF(H647&lt;'PlayerGrades+'!$AC$16,"E+",IF(H647&lt;'PlayerGrades+'!$AC$15,"D-",IF(H647&lt;'PlayerGrades+'!$AC$14,"D",IF(H647&lt;'PlayerGrades+'!$AC$13,"D+",IF(H647&lt;'PlayerGrades+'!$AC$12,"C-",IF(H647&lt;'PlayerGrades+'!$AC$11,"C",IF(H647&lt;'PlayerGrades+'!$AC$10,"C+",IF(H647&lt;'PlayerGrades+'!$AC$9,"B-",IF(H647&lt;'PlayerGrades+'!$AC$8,"B",IF(H647&lt;'PlayerGrades+'!$AC$7,"B+",IF(H647&lt;'PlayerGrades+'!$AC$6,"A-",IF(H647&lt;'PlayerGrades+'!$AC$5,"A",IF(H647&lt;'PlayerGrades+'!$AC$4,"A+",IF(H647&lt;'PlayerGrades+'!$AC$3,"S-",IF(H647&lt;'PlayerGrades+'!$AC$2,"S","S+"))))))))))))))))))))</f>
        <v>#DIV/0!</v>
      </c>
      <c r="J647" s="1423" t="str">
        <f t="shared" si="15"/>
        <v>#DIV/0!</v>
      </c>
      <c r="K647" s="1423" t="str">
        <f>IF(J647&lt;'PlayerGrades+'!$AD$21,"F-",IF(J647&lt;'PlayerGrades+'!$AD$20,"F",IF(J647&lt;'PlayerGrades+'!$AD$19,"F+",IF(J647&lt;'PlayerGrades+'!$AD$18,"E-",IF(J647&lt;'PlayerGrades+'!$AD$17,"E",IF(J647&lt;'PlayerGrades+'!$AD$16,"E+",IF(J647&lt;'PlayerGrades+'!$AD$15,"D-",IF(J647&lt;'PlayerGrades+'!$AD$14,"D",IF(J647&lt;'PlayerGrades+'!$AD$13,"D+",IF(J647&lt;'PlayerGrades+'!$AD$12,"C-",IF(J647&lt;'PlayerGrades+'!$AD$11,"C",IF(J647&lt;'PlayerGrades+'!$AD$10,"C+",IF(J647&lt;'PlayerGrades+'!$AD$9,"B-",IF(J647&lt;'PlayerGrades+'!$AD$8,"B",IF(J647&lt;'PlayerGrades+'!$AD$7,"B+",IF(J647&lt;'PlayerGrades+'!$AD$6,"A-",IF(J647&lt;'PlayerGrades+'!$AD$5,"A",IF(J647&lt;'PlayerGrades+'!$AD$4,"A+",IF(J647&lt;'PlayerGrades+'!$AD$3,"S-",IF(J647&lt;'PlayerGrades+'!$AD$2,"S","S+"))))))))))))))))))))</f>
        <v>#DIV/0!</v>
      </c>
      <c r="L647" s="1176" t="str">
        <f t="shared" si="16"/>
        <v>#DIV/0!</v>
      </c>
      <c r="M647" s="992" t="str">
        <f>IF(L647&lt;'PlayerGrades+'!$AE$21,"F-",IF(L647&lt;'PlayerGrades+'!$AE$20,"F",IF(L647&lt;'PlayerGrades+'!$AE$19,"F+",IF(L647&lt;'PlayerGrades+'!$AE$18,"E-",IF(L647&lt;'PlayerGrades+'!$AE$17,"E",IF(L647&lt;'PlayerGrades+'!$AE$16,"E+",IF(L647&lt;'PlayerGrades+'!$AE$15,"D-",IF(L647&lt;'PlayerGrades+'!$AE$14,"D",IF(L647&lt;'PlayerGrades+'!$AE$13,"D+",IF(L647&lt;'PlayerGrades+'!$AE$12,"C-",IF(L647&lt;'PlayerGrades+'!$AE$11,"C",IF(L647&lt;'PlayerGrades+'!$AE$10,"C+",IF(L647&lt;'PlayerGrades+'!$AE$9,"B-",IF(L647&lt;'PlayerGrades+'!$AE$8,"B",IF(L647&lt;'PlayerGrades+'!$AE$7,"B+",IF(L647&lt;'PlayerGrades+'!$AE$6,"A-",IF(L647&lt;'PlayerGrades+'!$AE$5,"A",IF(L647&lt;'PlayerGrades+'!$AE$4,"A+",IF(L647&lt;'PlayerGrades+'!$AE$3,"S-",IF(L647&lt;'PlayerGrades+'!$AE$2,"S","S+"))))))))))))))))))))</f>
        <v>#DIV/0!</v>
      </c>
      <c r="N647" s="1423" t="str">
        <f t="shared" si="17"/>
        <v>#DIV/0!</v>
      </c>
      <c r="O647" s="1423" t="str">
        <f>IF(N647&lt;'PlayerGrades+'!$AF$21,"F-",IF(N647&lt;'PlayerGrades+'!$AF$20,"F",IF(N647&lt;'PlayerGrades+'!$AF$19,"F+",IF(N647&lt;'PlayerGrades+'!$AF$18,"E-",IF(N647&lt;'PlayerGrades+'!$AF$17,"E",IF(N647&lt;'PlayerGrades+'!$AF$16,"E+",IF(N647&lt;'PlayerGrades+'!$AF$15,"D-",IF(N647&lt;'PlayerGrades+'!$AF$14,"D",IF(N647&lt;'PlayerGrades+'!$AF$13,"D+",IF(N647&lt;'PlayerGrades+'!$AF$12,"C-",IF(N647&lt;'PlayerGrades+'!$AF$11,"C",IF(N647&lt;'PlayerGrades+'!$AF$10,"C+",IF(N647&lt;'PlayerGrades+'!$AF$9,"B-",IF(N647&lt;'PlayerGrades+'!$AF$8,"B",IF(N647&lt;'PlayerGrades+'!$AF$7,"B+",IF(N647&lt;'PlayerGrades+'!$AF$6,"A-",IF(N647&lt;'PlayerGrades+'!$AF$5,"A",IF(N647&lt;'PlayerGrades+'!$AF$4,"A+",IF(N647&lt;'PlayerGrades+'!$AF$3,"S-",IF(N647&lt;'PlayerGrades+'!$AF$2,"S","S+"))))))))))))))))))))</f>
        <v>#DIV/0!</v>
      </c>
      <c r="P647" s="1423" t="str">
        <f t="shared" si="18"/>
        <v>#DIV/0!</v>
      </c>
      <c r="Q647" s="1423" t="str">
        <f>IF(P647&lt;'PlayerGrades+'!$AG$21,"F-",IF(P647&lt;'PlayerGrades+'!$AG$20,"F",IF(P647&lt;'PlayerGrades+'!$AG$19,"F+",IF(P647&lt;'PlayerGrades+'!$AG$18,"E-",IF(P647&lt;'PlayerGrades+'!$AG$17,"E",IF(P647&lt;'PlayerGrades+'!$AG$16,"E+",IF(P647&lt;'PlayerGrades+'!$AG$15,"D-",IF(P647&lt;'PlayerGrades+'!$AG$14,"D",IF(P647&lt;'PlayerGrades+'!$AG$13,"D+",IF(P647&lt;'PlayerGrades+'!$AG$12,"C-",IF(P647&lt;'PlayerGrades+'!$AG$11,"C",IF(P647&lt;'PlayerGrades+'!$AG$10,"C+",IF(P647&lt;'PlayerGrades+'!$AG$9,"B-",IF(P647&lt;'PlayerGrades+'!$AG$8,"B",IF(P647&lt;'PlayerGrades+'!$AG$7,"B+",IF(P647&lt;'PlayerGrades+'!$AG$6,"A-",IF(P647&lt;'PlayerGrades+'!$AG$5,"A",IF(P647&lt;'PlayerGrades+'!$AG$4,"A+",IF(P647&lt;'PlayerGrades+'!$AG$3,"S-",IF(P647&lt;'PlayerGrades+'!$AG$2,"S","S+"))))))))))))))))))))</f>
        <v>#DIV/0!</v>
      </c>
      <c r="R647" s="1423" t="str">
        <f t="shared" si="19"/>
        <v>#REF!</v>
      </c>
      <c r="S647" s="1423" t="str">
        <f>IF(R647&lt;'PlayerGrades+'!$AH$21,"F-",IF(R647&lt;'PlayerGrades+'!$AH$20,"F",IF(R647&lt;'PlayerGrades+'!$AH$19,"F+",IF(R647&lt;'PlayerGrades+'!$AH$18,"E-",IF(R647&lt;'PlayerGrades+'!$AH$17,"E",IF(R647&lt;'PlayerGrades+'!$AH$16,"E+",IF(R647&lt;'PlayerGrades+'!$AH$15,"D-",IF(R647&lt;'PlayerGrades+'!$AH$14,"D",IF(R647&lt;'PlayerGrades+'!$AH$13,"D+",IF(R647&lt;'PlayerGrades+'!$AH$12,"C-",IF(R647&lt;'PlayerGrades+'!$AH$11,"C",IF(R647&lt;'PlayerGrades+'!$AH$10,"C+",IF(R647&lt;'PlayerGrades+'!$AH$9,"B-",IF(R647&lt;'PlayerGrades+'!$AH$8,"B",IF(R647&lt;'PlayerGrades+'!$AH$7,"B+",IF(R647&lt;'PlayerGrades+'!$AH$6,"A-",IF(R647&lt;'PlayerGrades+'!$AH$5,"A",IF(R647&lt;'PlayerGrades+'!$AH$4,"A+",IF(R647&lt;'PlayerGrades+'!$AH$3,"S-",IF(R647&lt;'PlayerGrades+'!$AH$2,"S","S+"))))))))))))))))))))</f>
        <v>#REF!</v>
      </c>
      <c r="T647" s="1423" t="str">
        <f t="shared" si="20"/>
        <v>#REF!</v>
      </c>
      <c r="U647" s="1423" t="str">
        <f>IF(T647&lt;'PlayerGrades+'!$AI$21,"F-",IF(T647&lt;'PlayerGrades+'!$AI$20,"F",IF(T647&lt;'PlayerGrades+'!$AI$19,"F+",IF(T647&lt;'PlayerGrades+'!$AI$18,"E-",IF(T647&lt;'PlayerGrades+'!$AI$17,"E",IF(T647&lt;'PlayerGrades+'!$AI$16,"E+",IF(T647&lt;'PlayerGrades+'!$AI$15,"D-",IF(T647&lt;'PlayerGrades+'!$AI$14,"D",IF(T647&lt;'PlayerGrades+'!$AI$13,"D+",IF(T647&lt;'PlayerGrades+'!$AI$12,"C-",IF(T647&lt;'PlayerGrades+'!$AI$11,"C",IF(T647&lt;'PlayerGrades+'!$AI$10,"C+",IF(T647&lt;'PlayerGrades+'!$AI$9,"B-",IF(T647&lt;'PlayerGrades+'!$AI$8,"B",IF(T647&lt;'PlayerGrades+'!$AI$7,"B+",IF(T647&lt;'PlayerGrades+'!$AI$6,"A-",IF(T647&lt;'PlayerGrades+'!$AI$5,"A",IF(T647&lt;'PlayerGrades+'!$AI$4,"A+",IF(T647&lt;'PlayerGrades+'!$AI$3,"S-",IF(T647&lt;'PlayerGrades+'!$AI$2,"S","S+"))))))))))))))))))))</f>
        <v>#REF!</v>
      </c>
      <c r="AC647" s="1392"/>
    </row>
    <row r="648">
      <c r="B648" s="1421" t="str">
        <f>IF(C648&lt;'PlayerGrades+'!$Y$44,"F-",IF(C648&lt;'PlayerGrades+'!$Y$43,"F",IF(C648&lt;'PlayerGrades+'!$Y$42,"F+",IF(C648&lt;'PlayerGrades+'!$Y$41,"E-",IF(C648&lt;'PlayerGrades+'!$Y$40,"E",IF(C648&lt;'PlayerGrades+'!$Y$39,"E+",IF(C648&lt;'PlayerGrades+'!$Y$38,"D-",IF(C648&lt;'PlayerGrades+'!$Y$37,"D",IF(C648&lt;'PlayerGrades+'!$Y$36,"D+",IF(C648&lt;'PlayerGrades+'!$Y$35,"C-",IF(C648&lt;'PlayerGrades+'!$Y$34,"C",IF(C648&lt;'PlayerGrades+'!$Y$33,"C+",IF(C648&lt;'PlayerGrades+'!$Y$32,"B-",IF(C648&lt;'PlayerGrades+'!$Y$31,"B",IF(C648&lt;'PlayerGrades+'!$Y$30,"B+",IF(C648&lt;'PlayerGrades+'!$Y$29,"A-",IF(C648&lt;'PlayerGrades+'!$Y$28,"A",IF(C648&lt;'PlayerGrades+'!$Y$27,"A+",IF(C648&lt;'PlayerGrades+'!$Y$26,"S-",IF(C648&lt;'PlayerGrades+'!$Y$25,"S","S+"))))))))))))))))))))</f>
        <v>#DIV/0!</v>
      </c>
      <c r="C648" s="1422" t="str">
        <f>('PlayerGrades+'!$Y$47*(VLOOKUP(E648, 'PlayerGrades+'!$X$3:$Y$23, 2, FALSE)))+('PlayerGrades+'!$Y$48*(VLOOKUP(G648, 'PlayerGrades+'!$X$3:$Y$23, 2, FALSE)))+('PlayerGrades+'!$Y$49*(VLOOKUP(I648, 'PlayerGrades+'!$X$3:$Y$23, 2, FALSE)))+('PlayerGrades+'!$Y$50*(VLOOKUP(K648, 'PlayerGrades+'!$X$3:$Y$23, 2, FALSE)))+('PlayerGrades+'!$Y$51*(VLOOKUP(M648, 'PlayerGrades+'!$X$3:$Y$23, 2, FALSE)))+('PlayerGrades+'!$Y$52*(VLOOKUP(O648, 'PlayerGrades+'!$X$3:$Y$23, 2, FALSE)))+('PlayerGrades+'!$Y$53*(VLOOKUP(Q648, 'PlayerGrades+'!$X$3:$Y$23, 2, FALSE)))+('PlayerGrades+'!$Y$54*(VLOOKUP(S648, 'PlayerGrades+'!$X$3:$Y$23, 2, FALSE)))+('PlayerGrades+'!$Y$55*(VLOOKUP(U648, 'PlayerGrades+'!$X$3:$Y$23, 2, FALSE)))</f>
        <v>#DIV/0!</v>
      </c>
      <c r="D648" s="1423" t="str">
        <f t="shared" si="12"/>
        <v>#DIV/0!</v>
      </c>
      <c r="E648" s="1423" t="str">
        <f>IF(D648&lt;'PlayerGrades+'!$AA$21,"F-",IF(D648&lt;'PlayerGrades+'!$AA$20,"F",IF(D648&lt;'PlayerGrades+'!$AA$19,"F+",IF(D648&lt;'PlayerGrades+'!$AA$18,"E-",IF(D648&lt;'PlayerGrades+'!$AA$17,"E",IF(D648&lt;'PlayerGrades+'!$AA$16,"E+",IF(D648&lt;'PlayerGrades+'!$AA$15,"D-",IF(D648&lt;'PlayerGrades+'!$AA$14,"D",IF(D648&lt;'PlayerGrades+'!$AA$13,"D+",IF(D648&lt;'PlayerGrades+'!$AA$12,"C-",IF(D648&lt;'PlayerGrades+'!$AA$11,"C",IF(D648&lt;'PlayerGrades+'!$AA$10,"C+",IF(D648&lt;'PlayerGrades+'!$AA$9,"B-",IF(D648&lt;'PlayerGrades+'!$AA$8,"B",IF(D648&lt;'PlayerGrades+'!$AA$7,"B+",IF(D648&lt;'PlayerGrades+'!$AA$6,"A-",IF(D648&lt;'PlayerGrades+'!$AA$5,"A",IF(D648&lt;'PlayerGrades+'!$AA$4,"A+",IF(D648&lt;'PlayerGrades+'!$AA$3,"S-",IF(D648&lt;'PlayerGrades+'!$AA$2,"S","S+"))))))))))))))))))))</f>
        <v>#DIV/0!</v>
      </c>
      <c r="F648" s="1423" t="str">
        <f t="shared" si="13"/>
        <v>#DIV/0!</v>
      </c>
      <c r="G648" s="1423" t="str">
        <f>IF(F648&lt;'PlayerGrades+'!$AB$21,"F-",IF(F648&lt;'PlayerGrades+'!$AB$20,"F",IF(F648&lt;'PlayerGrades+'!$AB$19,"F+",IF(F648&lt;'PlayerGrades+'!$AB$18,"E-",IF(F648&lt;'PlayerGrades+'!$AB$17,"E",IF(F648&lt;'PlayerGrades+'!$AB$16,"E+",IF(F648&lt;'PlayerGrades+'!$AB$15,"D-",IF(F648&lt;'PlayerGrades+'!$AB$14,"D",IF(F648&lt;'PlayerGrades+'!$AB$13,"D+",IF(F648&lt;'PlayerGrades+'!$AB$12,"C-",IF(F648&lt;'PlayerGrades+'!$AB$11,"C",IF(F648&lt;'PlayerGrades+'!$AB$10,"C+",IF(F648&lt;'PlayerGrades+'!$AB$9,"B-",IF(F648&lt;'PlayerGrades+'!$AB$8,"B",IF(F648&lt;'PlayerGrades+'!$AB$7,"B+",IF(F648&lt;'PlayerGrades+'!$AB$6,"A-",IF(F648&lt;'PlayerGrades+'!$AB$5,"A",IF(F648&lt;'PlayerGrades+'!$AB$4,"A+",IF(F648&lt;'PlayerGrades+'!$AB$3,"S-",IF(F648&lt;'PlayerGrades+'!$AB$2,"S","S+"))))))))))))))))))))</f>
        <v>#DIV/0!</v>
      </c>
      <c r="H648" s="1423" t="str">
        <f t="shared" si="14"/>
        <v>#DIV/0!</v>
      </c>
      <c r="I648" s="1423" t="str">
        <f>IF(H648&lt;'PlayerGrades+'!$AC$21,"F-",IF(H648&lt;'PlayerGrades+'!$AC$20,"F",IF(H648&lt;'PlayerGrades+'!$AC$19,"F+",IF(H648&lt;'PlayerGrades+'!$AC$18,"E-",IF(H648&lt;'PlayerGrades+'!$AC$17,"E",IF(H648&lt;'PlayerGrades+'!$AC$16,"E+",IF(H648&lt;'PlayerGrades+'!$AC$15,"D-",IF(H648&lt;'PlayerGrades+'!$AC$14,"D",IF(H648&lt;'PlayerGrades+'!$AC$13,"D+",IF(H648&lt;'PlayerGrades+'!$AC$12,"C-",IF(H648&lt;'PlayerGrades+'!$AC$11,"C",IF(H648&lt;'PlayerGrades+'!$AC$10,"C+",IF(H648&lt;'PlayerGrades+'!$AC$9,"B-",IF(H648&lt;'PlayerGrades+'!$AC$8,"B",IF(H648&lt;'PlayerGrades+'!$AC$7,"B+",IF(H648&lt;'PlayerGrades+'!$AC$6,"A-",IF(H648&lt;'PlayerGrades+'!$AC$5,"A",IF(H648&lt;'PlayerGrades+'!$AC$4,"A+",IF(H648&lt;'PlayerGrades+'!$AC$3,"S-",IF(H648&lt;'PlayerGrades+'!$AC$2,"S","S+"))))))))))))))))))))</f>
        <v>#DIV/0!</v>
      </c>
      <c r="J648" s="1423" t="str">
        <f t="shared" si="15"/>
        <v>#DIV/0!</v>
      </c>
      <c r="K648" s="1423" t="str">
        <f>IF(J648&lt;'PlayerGrades+'!$AD$21,"F-",IF(J648&lt;'PlayerGrades+'!$AD$20,"F",IF(J648&lt;'PlayerGrades+'!$AD$19,"F+",IF(J648&lt;'PlayerGrades+'!$AD$18,"E-",IF(J648&lt;'PlayerGrades+'!$AD$17,"E",IF(J648&lt;'PlayerGrades+'!$AD$16,"E+",IF(J648&lt;'PlayerGrades+'!$AD$15,"D-",IF(J648&lt;'PlayerGrades+'!$AD$14,"D",IF(J648&lt;'PlayerGrades+'!$AD$13,"D+",IF(J648&lt;'PlayerGrades+'!$AD$12,"C-",IF(J648&lt;'PlayerGrades+'!$AD$11,"C",IF(J648&lt;'PlayerGrades+'!$AD$10,"C+",IF(J648&lt;'PlayerGrades+'!$AD$9,"B-",IF(J648&lt;'PlayerGrades+'!$AD$8,"B",IF(J648&lt;'PlayerGrades+'!$AD$7,"B+",IF(J648&lt;'PlayerGrades+'!$AD$6,"A-",IF(J648&lt;'PlayerGrades+'!$AD$5,"A",IF(J648&lt;'PlayerGrades+'!$AD$4,"A+",IF(J648&lt;'PlayerGrades+'!$AD$3,"S-",IF(J648&lt;'PlayerGrades+'!$AD$2,"S","S+"))))))))))))))))))))</f>
        <v>#DIV/0!</v>
      </c>
      <c r="L648" s="1176" t="str">
        <f t="shared" si="16"/>
        <v>#DIV/0!</v>
      </c>
      <c r="M648" s="992" t="str">
        <f>IF(L648&lt;'PlayerGrades+'!$AE$21,"F-",IF(L648&lt;'PlayerGrades+'!$AE$20,"F",IF(L648&lt;'PlayerGrades+'!$AE$19,"F+",IF(L648&lt;'PlayerGrades+'!$AE$18,"E-",IF(L648&lt;'PlayerGrades+'!$AE$17,"E",IF(L648&lt;'PlayerGrades+'!$AE$16,"E+",IF(L648&lt;'PlayerGrades+'!$AE$15,"D-",IF(L648&lt;'PlayerGrades+'!$AE$14,"D",IF(L648&lt;'PlayerGrades+'!$AE$13,"D+",IF(L648&lt;'PlayerGrades+'!$AE$12,"C-",IF(L648&lt;'PlayerGrades+'!$AE$11,"C",IF(L648&lt;'PlayerGrades+'!$AE$10,"C+",IF(L648&lt;'PlayerGrades+'!$AE$9,"B-",IF(L648&lt;'PlayerGrades+'!$AE$8,"B",IF(L648&lt;'PlayerGrades+'!$AE$7,"B+",IF(L648&lt;'PlayerGrades+'!$AE$6,"A-",IF(L648&lt;'PlayerGrades+'!$AE$5,"A",IF(L648&lt;'PlayerGrades+'!$AE$4,"A+",IF(L648&lt;'PlayerGrades+'!$AE$3,"S-",IF(L648&lt;'PlayerGrades+'!$AE$2,"S","S+"))))))))))))))))))))</f>
        <v>#DIV/0!</v>
      </c>
      <c r="N648" s="1423" t="str">
        <f t="shared" si="17"/>
        <v>#DIV/0!</v>
      </c>
      <c r="O648" s="1423" t="str">
        <f>IF(N648&lt;'PlayerGrades+'!$AF$21,"F-",IF(N648&lt;'PlayerGrades+'!$AF$20,"F",IF(N648&lt;'PlayerGrades+'!$AF$19,"F+",IF(N648&lt;'PlayerGrades+'!$AF$18,"E-",IF(N648&lt;'PlayerGrades+'!$AF$17,"E",IF(N648&lt;'PlayerGrades+'!$AF$16,"E+",IF(N648&lt;'PlayerGrades+'!$AF$15,"D-",IF(N648&lt;'PlayerGrades+'!$AF$14,"D",IF(N648&lt;'PlayerGrades+'!$AF$13,"D+",IF(N648&lt;'PlayerGrades+'!$AF$12,"C-",IF(N648&lt;'PlayerGrades+'!$AF$11,"C",IF(N648&lt;'PlayerGrades+'!$AF$10,"C+",IF(N648&lt;'PlayerGrades+'!$AF$9,"B-",IF(N648&lt;'PlayerGrades+'!$AF$8,"B",IF(N648&lt;'PlayerGrades+'!$AF$7,"B+",IF(N648&lt;'PlayerGrades+'!$AF$6,"A-",IF(N648&lt;'PlayerGrades+'!$AF$5,"A",IF(N648&lt;'PlayerGrades+'!$AF$4,"A+",IF(N648&lt;'PlayerGrades+'!$AF$3,"S-",IF(N648&lt;'PlayerGrades+'!$AF$2,"S","S+"))))))))))))))))))))</f>
        <v>#DIV/0!</v>
      </c>
      <c r="P648" s="1423" t="str">
        <f t="shared" si="18"/>
        <v>#DIV/0!</v>
      </c>
      <c r="Q648" s="1423" t="str">
        <f>IF(P648&lt;'PlayerGrades+'!$AG$21,"F-",IF(P648&lt;'PlayerGrades+'!$AG$20,"F",IF(P648&lt;'PlayerGrades+'!$AG$19,"F+",IF(P648&lt;'PlayerGrades+'!$AG$18,"E-",IF(P648&lt;'PlayerGrades+'!$AG$17,"E",IF(P648&lt;'PlayerGrades+'!$AG$16,"E+",IF(P648&lt;'PlayerGrades+'!$AG$15,"D-",IF(P648&lt;'PlayerGrades+'!$AG$14,"D",IF(P648&lt;'PlayerGrades+'!$AG$13,"D+",IF(P648&lt;'PlayerGrades+'!$AG$12,"C-",IF(P648&lt;'PlayerGrades+'!$AG$11,"C",IF(P648&lt;'PlayerGrades+'!$AG$10,"C+",IF(P648&lt;'PlayerGrades+'!$AG$9,"B-",IF(P648&lt;'PlayerGrades+'!$AG$8,"B",IF(P648&lt;'PlayerGrades+'!$AG$7,"B+",IF(P648&lt;'PlayerGrades+'!$AG$6,"A-",IF(P648&lt;'PlayerGrades+'!$AG$5,"A",IF(P648&lt;'PlayerGrades+'!$AG$4,"A+",IF(P648&lt;'PlayerGrades+'!$AG$3,"S-",IF(P648&lt;'PlayerGrades+'!$AG$2,"S","S+"))))))))))))))))))))</f>
        <v>#DIV/0!</v>
      </c>
      <c r="R648" s="1423" t="str">
        <f t="shared" si="19"/>
        <v>#REF!</v>
      </c>
      <c r="S648" s="1423" t="str">
        <f>IF(R648&lt;'PlayerGrades+'!$AH$21,"F-",IF(R648&lt;'PlayerGrades+'!$AH$20,"F",IF(R648&lt;'PlayerGrades+'!$AH$19,"F+",IF(R648&lt;'PlayerGrades+'!$AH$18,"E-",IF(R648&lt;'PlayerGrades+'!$AH$17,"E",IF(R648&lt;'PlayerGrades+'!$AH$16,"E+",IF(R648&lt;'PlayerGrades+'!$AH$15,"D-",IF(R648&lt;'PlayerGrades+'!$AH$14,"D",IF(R648&lt;'PlayerGrades+'!$AH$13,"D+",IF(R648&lt;'PlayerGrades+'!$AH$12,"C-",IF(R648&lt;'PlayerGrades+'!$AH$11,"C",IF(R648&lt;'PlayerGrades+'!$AH$10,"C+",IF(R648&lt;'PlayerGrades+'!$AH$9,"B-",IF(R648&lt;'PlayerGrades+'!$AH$8,"B",IF(R648&lt;'PlayerGrades+'!$AH$7,"B+",IF(R648&lt;'PlayerGrades+'!$AH$6,"A-",IF(R648&lt;'PlayerGrades+'!$AH$5,"A",IF(R648&lt;'PlayerGrades+'!$AH$4,"A+",IF(R648&lt;'PlayerGrades+'!$AH$3,"S-",IF(R648&lt;'PlayerGrades+'!$AH$2,"S","S+"))))))))))))))))))))</f>
        <v>#REF!</v>
      </c>
      <c r="T648" s="1423" t="str">
        <f t="shared" si="20"/>
        <v>#REF!</v>
      </c>
      <c r="U648" s="1423" t="str">
        <f>IF(T648&lt;'PlayerGrades+'!$AI$21,"F-",IF(T648&lt;'PlayerGrades+'!$AI$20,"F",IF(T648&lt;'PlayerGrades+'!$AI$19,"F+",IF(T648&lt;'PlayerGrades+'!$AI$18,"E-",IF(T648&lt;'PlayerGrades+'!$AI$17,"E",IF(T648&lt;'PlayerGrades+'!$AI$16,"E+",IF(T648&lt;'PlayerGrades+'!$AI$15,"D-",IF(T648&lt;'PlayerGrades+'!$AI$14,"D",IF(T648&lt;'PlayerGrades+'!$AI$13,"D+",IF(T648&lt;'PlayerGrades+'!$AI$12,"C-",IF(T648&lt;'PlayerGrades+'!$AI$11,"C",IF(T648&lt;'PlayerGrades+'!$AI$10,"C+",IF(T648&lt;'PlayerGrades+'!$AI$9,"B-",IF(T648&lt;'PlayerGrades+'!$AI$8,"B",IF(T648&lt;'PlayerGrades+'!$AI$7,"B+",IF(T648&lt;'PlayerGrades+'!$AI$6,"A-",IF(T648&lt;'PlayerGrades+'!$AI$5,"A",IF(T648&lt;'PlayerGrades+'!$AI$4,"A+",IF(T648&lt;'PlayerGrades+'!$AI$3,"S-",IF(T648&lt;'PlayerGrades+'!$AI$2,"S","S+"))))))))))))))))))))</f>
        <v>#REF!</v>
      </c>
      <c r="AC648" s="1392"/>
    </row>
    <row r="649">
      <c r="A649" s="1411"/>
      <c r="B649" s="1421" t="str">
        <f>IF(C649&lt;'PlayerGrades+'!$Y$44,"F-",IF(C649&lt;'PlayerGrades+'!$Y$43,"F",IF(C649&lt;'PlayerGrades+'!$Y$42,"F+",IF(C649&lt;'PlayerGrades+'!$Y$41,"E-",IF(C649&lt;'PlayerGrades+'!$Y$40,"E",IF(C649&lt;'PlayerGrades+'!$Y$39,"E+",IF(C649&lt;'PlayerGrades+'!$Y$38,"D-",IF(C649&lt;'PlayerGrades+'!$Y$37,"D",IF(C649&lt;'PlayerGrades+'!$Y$36,"D+",IF(C649&lt;'PlayerGrades+'!$Y$35,"C-",IF(C649&lt;'PlayerGrades+'!$Y$34,"C",IF(C649&lt;'PlayerGrades+'!$Y$33,"C+",IF(C649&lt;'PlayerGrades+'!$Y$32,"B-",IF(C649&lt;'PlayerGrades+'!$Y$31,"B",IF(C649&lt;'PlayerGrades+'!$Y$30,"B+",IF(C649&lt;'PlayerGrades+'!$Y$29,"A-",IF(C649&lt;'PlayerGrades+'!$Y$28,"A",IF(C649&lt;'PlayerGrades+'!$Y$27,"A+",IF(C649&lt;'PlayerGrades+'!$Y$26,"S-",IF(C649&lt;'PlayerGrades+'!$Y$25,"S","S+"))))))))))))))))))))</f>
        <v>#DIV/0!</v>
      </c>
      <c r="C649" s="1422" t="str">
        <f>('PlayerGrades+'!$Y$47*(VLOOKUP(E649, 'PlayerGrades+'!$X$3:$Y$23, 2, FALSE)))+('PlayerGrades+'!$Y$48*(VLOOKUP(G649, 'PlayerGrades+'!$X$3:$Y$23, 2, FALSE)))+('PlayerGrades+'!$Y$49*(VLOOKUP(I649, 'PlayerGrades+'!$X$3:$Y$23, 2, FALSE)))+('PlayerGrades+'!$Y$50*(VLOOKUP(K649, 'PlayerGrades+'!$X$3:$Y$23, 2, FALSE)))+('PlayerGrades+'!$Y$51*(VLOOKUP(M649, 'PlayerGrades+'!$X$3:$Y$23, 2, FALSE)))+('PlayerGrades+'!$Y$52*(VLOOKUP(O649, 'PlayerGrades+'!$X$3:$Y$23, 2, FALSE)))+('PlayerGrades+'!$Y$53*(VLOOKUP(Q649, 'PlayerGrades+'!$X$3:$Y$23, 2, FALSE)))+('PlayerGrades+'!$Y$54*(VLOOKUP(S649, 'PlayerGrades+'!$X$3:$Y$23, 2, FALSE)))+('PlayerGrades+'!$Y$55*(VLOOKUP(U649, 'PlayerGrades+'!$X$3:$Y$23, 2, FALSE)))</f>
        <v>#DIV/0!</v>
      </c>
      <c r="D649" s="1423" t="str">
        <f t="shared" si="12"/>
        <v>#DIV/0!</v>
      </c>
      <c r="E649" s="1423" t="str">
        <f>IF(D649&lt;'PlayerGrades+'!$AA$21,"F-",IF(D649&lt;'PlayerGrades+'!$AA$20,"F",IF(D649&lt;'PlayerGrades+'!$AA$19,"F+",IF(D649&lt;'PlayerGrades+'!$AA$18,"E-",IF(D649&lt;'PlayerGrades+'!$AA$17,"E",IF(D649&lt;'PlayerGrades+'!$AA$16,"E+",IF(D649&lt;'PlayerGrades+'!$AA$15,"D-",IF(D649&lt;'PlayerGrades+'!$AA$14,"D",IF(D649&lt;'PlayerGrades+'!$AA$13,"D+",IF(D649&lt;'PlayerGrades+'!$AA$12,"C-",IF(D649&lt;'PlayerGrades+'!$AA$11,"C",IF(D649&lt;'PlayerGrades+'!$AA$10,"C+",IF(D649&lt;'PlayerGrades+'!$AA$9,"B-",IF(D649&lt;'PlayerGrades+'!$AA$8,"B",IF(D649&lt;'PlayerGrades+'!$AA$7,"B+",IF(D649&lt;'PlayerGrades+'!$AA$6,"A-",IF(D649&lt;'PlayerGrades+'!$AA$5,"A",IF(D649&lt;'PlayerGrades+'!$AA$4,"A+",IF(D649&lt;'PlayerGrades+'!$AA$3,"S-",IF(D649&lt;'PlayerGrades+'!$AA$2,"S","S+"))))))))))))))))))))</f>
        <v>#DIV/0!</v>
      </c>
      <c r="F649" s="1423" t="str">
        <f t="shared" si="13"/>
        <v>#DIV/0!</v>
      </c>
      <c r="G649" s="1423" t="str">
        <f>IF(F649&lt;'PlayerGrades+'!$AB$21,"F-",IF(F649&lt;'PlayerGrades+'!$AB$20,"F",IF(F649&lt;'PlayerGrades+'!$AB$19,"F+",IF(F649&lt;'PlayerGrades+'!$AB$18,"E-",IF(F649&lt;'PlayerGrades+'!$AB$17,"E",IF(F649&lt;'PlayerGrades+'!$AB$16,"E+",IF(F649&lt;'PlayerGrades+'!$AB$15,"D-",IF(F649&lt;'PlayerGrades+'!$AB$14,"D",IF(F649&lt;'PlayerGrades+'!$AB$13,"D+",IF(F649&lt;'PlayerGrades+'!$AB$12,"C-",IF(F649&lt;'PlayerGrades+'!$AB$11,"C",IF(F649&lt;'PlayerGrades+'!$AB$10,"C+",IF(F649&lt;'PlayerGrades+'!$AB$9,"B-",IF(F649&lt;'PlayerGrades+'!$AB$8,"B",IF(F649&lt;'PlayerGrades+'!$AB$7,"B+",IF(F649&lt;'PlayerGrades+'!$AB$6,"A-",IF(F649&lt;'PlayerGrades+'!$AB$5,"A",IF(F649&lt;'PlayerGrades+'!$AB$4,"A+",IF(F649&lt;'PlayerGrades+'!$AB$3,"S-",IF(F649&lt;'PlayerGrades+'!$AB$2,"S","S+"))))))))))))))))))))</f>
        <v>#DIV/0!</v>
      </c>
      <c r="H649" s="1423" t="str">
        <f t="shared" si="14"/>
        <v>#DIV/0!</v>
      </c>
      <c r="I649" s="1423" t="str">
        <f>IF(H649&lt;'PlayerGrades+'!$AC$21,"F-",IF(H649&lt;'PlayerGrades+'!$AC$20,"F",IF(H649&lt;'PlayerGrades+'!$AC$19,"F+",IF(H649&lt;'PlayerGrades+'!$AC$18,"E-",IF(H649&lt;'PlayerGrades+'!$AC$17,"E",IF(H649&lt;'PlayerGrades+'!$AC$16,"E+",IF(H649&lt;'PlayerGrades+'!$AC$15,"D-",IF(H649&lt;'PlayerGrades+'!$AC$14,"D",IF(H649&lt;'PlayerGrades+'!$AC$13,"D+",IF(H649&lt;'PlayerGrades+'!$AC$12,"C-",IF(H649&lt;'PlayerGrades+'!$AC$11,"C",IF(H649&lt;'PlayerGrades+'!$AC$10,"C+",IF(H649&lt;'PlayerGrades+'!$AC$9,"B-",IF(H649&lt;'PlayerGrades+'!$AC$8,"B",IF(H649&lt;'PlayerGrades+'!$AC$7,"B+",IF(H649&lt;'PlayerGrades+'!$AC$6,"A-",IF(H649&lt;'PlayerGrades+'!$AC$5,"A",IF(H649&lt;'PlayerGrades+'!$AC$4,"A+",IF(H649&lt;'PlayerGrades+'!$AC$3,"S-",IF(H649&lt;'PlayerGrades+'!$AC$2,"S","S+"))))))))))))))))))))</f>
        <v>#DIV/0!</v>
      </c>
      <c r="J649" s="1423" t="str">
        <f t="shared" si="15"/>
        <v>#DIV/0!</v>
      </c>
      <c r="K649" s="1423" t="str">
        <f>IF(J649&lt;'PlayerGrades+'!$AD$21,"F-",IF(J649&lt;'PlayerGrades+'!$AD$20,"F",IF(J649&lt;'PlayerGrades+'!$AD$19,"F+",IF(J649&lt;'PlayerGrades+'!$AD$18,"E-",IF(J649&lt;'PlayerGrades+'!$AD$17,"E",IF(J649&lt;'PlayerGrades+'!$AD$16,"E+",IF(J649&lt;'PlayerGrades+'!$AD$15,"D-",IF(J649&lt;'PlayerGrades+'!$AD$14,"D",IF(J649&lt;'PlayerGrades+'!$AD$13,"D+",IF(J649&lt;'PlayerGrades+'!$AD$12,"C-",IF(J649&lt;'PlayerGrades+'!$AD$11,"C",IF(J649&lt;'PlayerGrades+'!$AD$10,"C+",IF(J649&lt;'PlayerGrades+'!$AD$9,"B-",IF(J649&lt;'PlayerGrades+'!$AD$8,"B",IF(J649&lt;'PlayerGrades+'!$AD$7,"B+",IF(J649&lt;'PlayerGrades+'!$AD$6,"A-",IF(J649&lt;'PlayerGrades+'!$AD$5,"A",IF(J649&lt;'PlayerGrades+'!$AD$4,"A+",IF(J649&lt;'PlayerGrades+'!$AD$3,"S-",IF(J649&lt;'PlayerGrades+'!$AD$2,"S","S+"))))))))))))))))))))</f>
        <v>#DIV/0!</v>
      </c>
      <c r="L649" s="1176" t="str">
        <f t="shared" si="16"/>
        <v>#DIV/0!</v>
      </c>
      <c r="M649" s="992" t="str">
        <f>IF(L649&lt;'PlayerGrades+'!$AE$21,"F-",IF(L649&lt;'PlayerGrades+'!$AE$20,"F",IF(L649&lt;'PlayerGrades+'!$AE$19,"F+",IF(L649&lt;'PlayerGrades+'!$AE$18,"E-",IF(L649&lt;'PlayerGrades+'!$AE$17,"E",IF(L649&lt;'PlayerGrades+'!$AE$16,"E+",IF(L649&lt;'PlayerGrades+'!$AE$15,"D-",IF(L649&lt;'PlayerGrades+'!$AE$14,"D",IF(L649&lt;'PlayerGrades+'!$AE$13,"D+",IF(L649&lt;'PlayerGrades+'!$AE$12,"C-",IF(L649&lt;'PlayerGrades+'!$AE$11,"C",IF(L649&lt;'PlayerGrades+'!$AE$10,"C+",IF(L649&lt;'PlayerGrades+'!$AE$9,"B-",IF(L649&lt;'PlayerGrades+'!$AE$8,"B",IF(L649&lt;'PlayerGrades+'!$AE$7,"B+",IF(L649&lt;'PlayerGrades+'!$AE$6,"A-",IF(L649&lt;'PlayerGrades+'!$AE$5,"A",IF(L649&lt;'PlayerGrades+'!$AE$4,"A+",IF(L649&lt;'PlayerGrades+'!$AE$3,"S-",IF(L649&lt;'PlayerGrades+'!$AE$2,"S","S+"))))))))))))))))))))</f>
        <v>#DIV/0!</v>
      </c>
      <c r="N649" s="1423" t="str">
        <f t="shared" si="17"/>
        <v>#DIV/0!</v>
      </c>
      <c r="O649" s="1423" t="str">
        <f>IF(N649&lt;'PlayerGrades+'!$AF$21,"F-",IF(N649&lt;'PlayerGrades+'!$AF$20,"F",IF(N649&lt;'PlayerGrades+'!$AF$19,"F+",IF(N649&lt;'PlayerGrades+'!$AF$18,"E-",IF(N649&lt;'PlayerGrades+'!$AF$17,"E",IF(N649&lt;'PlayerGrades+'!$AF$16,"E+",IF(N649&lt;'PlayerGrades+'!$AF$15,"D-",IF(N649&lt;'PlayerGrades+'!$AF$14,"D",IF(N649&lt;'PlayerGrades+'!$AF$13,"D+",IF(N649&lt;'PlayerGrades+'!$AF$12,"C-",IF(N649&lt;'PlayerGrades+'!$AF$11,"C",IF(N649&lt;'PlayerGrades+'!$AF$10,"C+",IF(N649&lt;'PlayerGrades+'!$AF$9,"B-",IF(N649&lt;'PlayerGrades+'!$AF$8,"B",IF(N649&lt;'PlayerGrades+'!$AF$7,"B+",IF(N649&lt;'PlayerGrades+'!$AF$6,"A-",IF(N649&lt;'PlayerGrades+'!$AF$5,"A",IF(N649&lt;'PlayerGrades+'!$AF$4,"A+",IF(N649&lt;'PlayerGrades+'!$AF$3,"S-",IF(N649&lt;'PlayerGrades+'!$AF$2,"S","S+"))))))))))))))))))))</f>
        <v>#DIV/0!</v>
      </c>
      <c r="P649" s="1423" t="str">
        <f t="shared" si="18"/>
        <v>#DIV/0!</v>
      </c>
      <c r="Q649" s="1423" t="str">
        <f>IF(P649&lt;'PlayerGrades+'!$AG$21,"F-",IF(P649&lt;'PlayerGrades+'!$AG$20,"F",IF(P649&lt;'PlayerGrades+'!$AG$19,"F+",IF(P649&lt;'PlayerGrades+'!$AG$18,"E-",IF(P649&lt;'PlayerGrades+'!$AG$17,"E",IF(P649&lt;'PlayerGrades+'!$AG$16,"E+",IF(P649&lt;'PlayerGrades+'!$AG$15,"D-",IF(P649&lt;'PlayerGrades+'!$AG$14,"D",IF(P649&lt;'PlayerGrades+'!$AG$13,"D+",IF(P649&lt;'PlayerGrades+'!$AG$12,"C-",IF(P649&lt;'PlayerGrades+'!$AG$11,"C",IF(P649&lt;'PlayerGrades+'!$AG$10,"C+",IF(P649&lt;'PlayerGrades+'!$AG$9,"B-",IF(P649&lt;'PlayerGrades+'!$AG$8,"B",IF(P649&lt;'PlayerGrades+'!$AG$7,"B+",IF(P649&lt;'PlayerGrades+'!$AG$6,"A-",IF(P649&lt;'PlayerGrades+'!$AG$5,"A",IF(P649&lt;'PlayerGrades+'!$AG$4,"A+",IF(P649&lt;'PlayerGrades+'!$AG$3,"S-",IF(P649&lt;'PlayerGrades+'!$AG$2,"S","S+"))))))))))))))))))))</f>
        <v>#DIV/0!</v>
      </c>
      <c r="R649" s="1423" t="str">
        <f t="shared" si="19"/>
        <v>#REF!</v>
      </c>
      <c r="S649" s="1423" t="str">
        <f>IF(R649&lt;'PlayerGrades+'!$AH$21,"F-",IF(R649&lt;'PlayerGrades+'!$AH$20,"F",IF(R649&lt;'PlayerGrades+'!$AH$19,"F+",IF(R649&lt;'PlayerGrades+'!$AH$18,"E-",IF(R649&lt;'PlayerGrades+'!$AH$17,"E",IF(R649&lt;'PlayerGrades+'!$AH$16,"E+",IF(R649&lt;'PlayerGrades+'!$AH$15,"D-",IF(R649&lt;'PlayerGrades+'!$AH$14,"D",IF(R649&lt;'PlayerGrades+'!$AH$13,"D+",IF(R649&lt;'PlayerGrades+'!$AH$12,"C-",IF(R649&lt;'PlayerGrades+'!$AH$11,"C",IF(R649&lt;'PlayerGrades+'!$AH$10,"C+",IF(R649&lt;'PlayerGrades+'!$AH$9,"B-",IF(R649&lt;'PlayerGrades+'!$AH$8,"B",IF(R649&lt;'PlayerGrades+'!$AH$7,"B+",IF(R649&lt;'PlayerGrades+'!$AH$6,"A-",IF(R649&lt;'PlayerGrades+'!$AH$5,"A",IF(R649&lt;'PlayerGrades+'!$AH$4,"A+",IF(R649&lt;'PlayerGrades+'!$AH$3,"S-",IF(R649&lt;'PlayerGrades+'!$AH$2,"S","S+"))))))))))))))))))))</f>
        <v>#REF!</v>
      </c>
      <c r="T649" s="1423" t="str">
        <f t="shared" si="20"/>
        <v>#REF!</v>
      </c>
      <c r="U649" s="1423" t="str">
        <f>IF(T649&lt;'PlayerGrades+'!$AI$21,"F-",IF(T649&lt;'PlayerGrades+'!$AI$20,"F",IF(T649&lt;'PlayerGrades+'!$AI$19,"F+",IF(T649&lt;'PlayerGrades+'!$AI$18,"E-",IF(T649&lt;'PlayerGrades+'!$AI$17,"E",IF(T649&lt;'PlayerGrades+'!$AI$16,"E+",IF(T649&lt;'PlayerGrades+'!$AI$15,"D-",IF(T649&lt;'PlayerGrades+'!$AI$14,"D",IF(T649&lt;'PlayerGrades+'!$AI$13,"D+",IF(T649&lt;'PlayerGrades+'!$AI$12,"C-",IF(T649&lt;'PlayerGrades+'!$AI$11,"C",IF(T649&lt;'PlayerGrades+'!$AI$10,"C+",IF(T649&lt;'PlayerGrades+'!$AI$9,"B-",IF(T649&lt;'PlayerGrades+'!$AI$8,"B",IF(T649&lt;'PlayerGrades+'!$AI$7,"B+",IF(T649&lt;'PlayerGrades+'!$AI$6,"A-",IF(T649&lt;'PlayerGrades+'!$AI$5,"A",IF(T649&lt;'PlayerGrades+'!$AI$4,"A+",IF(T649&lt;'PlayerGrades+'!$AI$3,"S-",IF(T649&lt;'PlayerGrades+'!$AI$2,"S","S+"))))))))))))))))))))</f>
        <v>#REF!</v>
      </c>
      <c r="V649" s="1386"/>
      <c r="W649" s="1386"/>
      <c r="X649" s="1386"/>
      <c r="Y649" s="1386"/>
      <c r="Z649" s="1386"/>
      <c r="AA649" s="1386"/>
      <c r="AB649" s="1386"/>
      <c r="AC649" s="1397"/>
      <c r="AD649" s="1386"/>
      <c r="AE649" s="1386"/>
      <c r="AF649" s="1386"/>
      <c r="AG649" s="1386"/>
      <c r="AH649" s="1386"/>
      <c r="AI649" s="1386"/>
      <c r="AJ649" s="1386"/>
      <c r="AK649" s="1386"/>
      <c r="AL649" s="1386"/>
      <c r="AM649" s="1386"/>
      <c r="AN649" s="1386"/>
      <c r="AO649" s="1386"/>
      <c r="AP649" s="1386"/>
      <c r="AQ649" s="1386"/>
      <c r="AR649" s="1386"/>
      <c r="AS649" s="1386"/>
      <c r="AT649" s="1386"/>
      <c r="AU649" s="1386"/>
      <c r="AV649" s="1386"/>
      <c r="AW649" s="1386"/>
      <c r="AX649" s="1386"/>
      <c r="AY649" s="1386"/>
      <c r="AZ649" s="1386"/>
    </row>
    <row r="650">
      <c r="B650" s="1421" t="str">
        <f>IF(C650&lt;'PlayerGrades+'!$Y$44,"F-",IF(C650&lt;'PlayerGrades+'!$Y$43,"F",IF(C650&lt;'PlayerGrades+'!$Y$42,"F+",IF(C650&lt;'PlayerGrades+'!$Y$41,"E-",IF(C650&lt;'PlayerGrades+'!$Y$40,"E",IF(C650&lt;'PlayerGrades+'!$Y$39,"E+",IF(C650&lt;'PlayerGrades+'!$Y$38,"D-",IF(C650&lt;'PlayerGrades+'!$Y$37,"D",IF(C650&lt;'PlayerGrades+'!$Y$36,"D+",IF(C650&lt;'PlayerGrades+'!$Y$35,"C-",IF(C650&lt;'PlayerGrades+'!$Y$34,"C",IF(C650&lt;'PlayerGrades+'!$Y$33,"C+",IF(C650&lt;'PlayerGrades+'!$Y$32,"B-",IF(C650&lt;'PlayerGrades+'!$Y$31,"B",IF(C650&lt;'PlayerGrades+'!$Y$30,"B+",IF(C650&lt;'PlayerGrades+'!$Y$29,"A-",IF(C650&lt;'PlayerGrades+'!$Y$28,"A",IF(C650&lt;'PlayerGrades+'!$Y$27,"A+",IF(C650&lt;'PlayerGrades+'!$Y$26,"S-",IF(C650&lt;'PlayerGrades+'!$Y$25,"S","S+"))))))))))))))))))))</f>
        <v>#DIV/0!</v>
      </c>
      <c r="C650" s="1422" t="str">
        <f>('PlayerGrades+'!$Y$47*(VLOOKUP(E650, 'PlayerGrades+'!$X$3:$Y$23, 2, FALSE)))+('PlayerGrades+'!$Y$48*(VLOOKUP(G650, 'PlayerGrades+'!$X$3:$Y$23, 2, FALSE)))+('PlayerGrades+'!$Y$49*(VLOOKUP(I650, 'PlayerGrades+'!$X$3:$Y$23, 2, FALSE)))+('PlayerGrades+'!$Y$50*(VLOOKUP(K650, 'PlayerGrades+'!$X$3:$Y$23, 2, FALSE)))+('PlayerGrades+'!$Y$51*(VLOOKUP(M650, 'PlayerGrades+'!$X$3:$Y$23, 2, FALSE)))+('PlayerGrades+'!$Y$52*(VLOOKUP(O650, 'PlayerGrades+'!$X$3:$Y$23, 2, FALSE)))+('PlayerGrades+'!$Y$53*(VLOOKUP(Q650, 'PlayerGrades+'!$X$3:$Y$23, 2, FALSE)))+('PlayerGrades+'!$Y$54*(VLOOKUP(S650, 'PlayerGrades+'!$X$3:$Y$23, 2, FALSE)))+('PlayerGrades+'!$Y$55*(VLOOKUP(U650, 'PlayerGrades+'!$X$3:$Y$23, 2, FALSE)))</f>
        <v>#DIV/0!</v>
      </c>
      <c r="D650" s="1423" t="str">
        <f t="shared" si="12"/>
        <v>#DIV/0!</v>
      </c>
      <c r="E650" s="1423" t="str">
        <f>IF(D650&lt;'PlayerGrades+'!$AA$21,"F-",IF(D650&lt;'PlayerGrades+'!$AA$20,"F",IF(D650&lt;'PlayerGrades+'!$AA$19,"F+",IF(D650&lt;'PlayerGrades+'!$AA$18,"E-",IF(D650&lt;'PlayerGrades+'!$AA$17,"E",IF(D650&lt;'PlayerGrades+'!$AA$16,"E+",IF(D650&lt;'PlayerGrades+'!$AA$15,"D-",IF(D650&lt;'PlayerGrades+'!$AA$14,"D",IF(D650&lt;'PlayerGrades+'!$AA$13,"D+",IF(D650&lt;'PlayerGrades+'!$AA$12,"C-",IF(D650&lt;'PlayerGrades+'!$AA$11,"C",IF(D650&lt;'PlayerGrades+'!$AA$10,"C+",IF(D650&lt;'PlayerGrades+'!$AA$9,"B-",IF(D650&lt;'PlayerGrades+'!$AA$8,"B",IF(D650&lt;'PlayerGrades+'!$AA$7,"B+",IF(D650&lt;'PlayerGrades+'!$AA$6,"A-",IF(D650&lt;'PlayerGrades+'!$AA$5,"A",IF(D650&lt;'PlayerGrades+'!$AA$4,"A+",IF(D650&lt;'PlayerGrades+'!$AA$3,"S-",IF(D650&lt;'PlayerGrades+'!$AA$2,"S","S+"))))))))))))))))))))</f>
        <v>#DIV/0!</v>
      </c>
      <c r="F650" s="1423" t="str">
        <f t="shared" si="13"/>
        <v>#DIV/0!</v>
      </c>
      <c r="G650" s="1423" t="str">
        <f>IF(F650&lt;'PlayerGrades+'!$AB$21,"F-",IF(F650&lt;'PlayerGrades+'!$AB$20,"F",IF(F650&lt;'PlayerGrades+'!$AB$19,"F+",IF(F650&lt;'PlayerGrades+'!$AB$18,"E-",IF(F650&lt;'PlayerGrades+'!$AB$17,"E",IF(F650&lt;'PlayerGrades+'!$AB$16,"E+",IF(F650&lt;'PlayerGrades+'!$AB$15,"D-",IF(F650&lt;'PlayerGrades+'!$AB$14,"D",IF(F650&lt;'PlayerGrades+'!$AB$13,"D+",IF(F650&lt;'PlayerGrades+'!$AB$12,"C-",IF(F650&lt;'PlayerGrades+'!$AB$11,"C",IF(F650&lt;'PlayerGrades+'!$AB$10,"C+",IF(F650&lt;'PlayerGrades+'!$AB$9,"B-",IF(F650&lt;'PlayerGrades+'!$AB$8,"B",IF(F650&lt;'PlayerGrades+'!$AB$7,"B+",IF(F650&lt;'PlayerGrades+'!$AB$6,"A-",IF(F650&lt;'PlayerGrades+'!$AB$5,"A",IF(F650&lt;'PlayerGrades+'!$AB$4,"A+",IF(F650&lt;'PlayerGrades+'!$AB$3,"S-",IF(F650&lt;'PlayerGrades+'!$AB$2,"S","S+"))))))))))))))))))))</f>
        <v>#DIV/0!</v>
      </c>
      <c r="H650" s="1423" t="str">
        <f t="shared" si="14"/>
        <v>#DIV/0!</v>
      </c>
      <c r="I650" s="1423" t="str">
        <f>IF(H650&lt;'PlayerGrades+'!$AC$21,"F-",IF(H650&lt;'PlayerGrades+'!$AC$20,"F",IF(H650&lt;'PlayerGrades+'!$AC$19,"F+",IF(H650&lt;'PlayerGrades+'!$AC$18,"E-",IF(H650&lt;'PlayerGrades+'!$AC$17,"E",IF(H650&lt;'PlayerGrades+'!$AC$16,"E+",IF(H650&lt;'PlayerGrades+'!$AC$15,"D-",IF(H650&lt;'PlayerGrades+'!$AC$14,"D",IF(H650&lt;'PlayerGrades+'!$AC$13,"D+",IF(H650&lt;'PlayerGrades+'!$AC$12,"C-",IF(H650&lt;'PlayerGrades+'!$AC$11,"C",IF(H650&lt;'PlayerGrades+'!$AC$10,"C+",IF(H650&lt;'PlayerGrades+'!$AC$9,"B-",IF(H650&lt;'PlayerGrades+'!$AC$8,"B",IF(H650&lt;'PlayerGrades+'!$AC$7,"B+",IF(H650&lt;'PlayerGrades+'!$AC$6,"A-",IF(H650&lt;'PlayerGrades+'!$AC$5,"A",IF(H650&lt;'PlayerGrades+'!$AC$4,"A+",IF(H650&lt;'PlayerGrades+'!$AC$3,"S-",IF(H650&lt;'PlayerGrades+'!$AC$2,"S","S+"))))))))))))))))))))</f>
        <v>#DIV/0!</v>
      </c>
      <c r="J650" s="1423" t="str">
        <f t="shared" si="15"/>
        <v>#DIV/0!</v>
      </c>
      <c r="K650" s="1423" t="str">
        <f>IF(J650&lt;'PlayerGrades+'!$AD$21,"F-",IF(J650&lt;'PlayerGrades+'!$AD$20,"F",IF(J650&lt;'PlayerGrades+'!$AD$19,"F+",IF(J650&lt;'PlayerGrades+'!$AD$18,"E-",IF(J650&lt;'PlayerGrades+'!$AD$17,"E",IF(J650&lt;'PlayerGrades+'!$AD$16,"E+",IF(J650&lt;'PlayerGrades+'!$AD$15,"D-",IF(J650&lt;'PlayerGrades+'!$AD$14,"D",IF(J650&lt;'PlayerGrades+'!$AD$13,"D+",IF(J650&lt;'PlayerGrades+'!$AD$12,"C-",IF(J650&lt;'PlayerGrades+'!$AD$11,"C",IF(J650&lt;'PlayerGrades+'!$AD$10,"C+",IF(J650&lt;'PlayerGrades+'!$AD$9,"B-",IF(J650&lt;'PlayerGrades+'!$AD$8,"B",IF(J650&lt;'PlayerGrades+'!$AD$7,"B+",IF(J650&lt;'PlayerGrades+'!$AD$6,"A-",IF(J650&lt;'PlayerGrades+'!$AD$5,"A",IF(J650&lt;'PlayerGrades+'!$AD$4,"A+",IF(J650&lt;'PlayerGrades+'!$AD$3,"S-",IF(J650&lt;'PlayerGrades+'!$AD$2,"S","S+"))))))))))))))))))))</f>
        <v>#DIV/0!</v>
      </c>
      <c r="L650" s="1176" t="str">
        <f t="shared" si="16"/>
        <v>#DIV/0!</v>
      </c>
      <c r="M650" s="992" t="str">
        <f>IF(L650&lt;'PlayerGrades+'!$AE$21,"F-",IF(L650&lt;'PlayerGrades+'!$AE$20,"F",IF(L650&lt;'PlayerGrades+'!$AE$19,"F+",IF(L650&lt;'PlayerGrades+'!$AE$18,"E-",IF(L650&lt;'PlayerGrades+'!$AE$17,"E",IF(L650&lt;'PlayerGrades+'!$AE$16,"E+",IF(L650&lt;'PlayerGrades+'!$AE$15,"D-",IF(L650&lt;'PlayerGrades+'!$AE$14,"D",IF(L650&lt;'PlayerGrades+'!$AE$13,"D+",IF(L650&lt;'PlayerGrades+'!$AE$12,"C-",IF(L650&lt;'PlayerGrades+'!$AE$11,"C",IF(L650&lt;'PlayerGrades+'!$AE$10,"C+",IF(L650&lt;'PlayerGrades+'!$AE$9,"B-",IF(L650&lt;'PlayerGrades+'!$AE$8,"B",IF(L650&lt;'PlayerGrades+'!$AE$7,"B+",IF(L650&lt;'PlayerGrades+'!$AE$6,"A-",IF(L650&lt;'PlayerGrades+'!$AE$5,"A",IF(L650&lt;'PlayerGrades+'!$AE$4,"A+",IF(L650&lt;'PlayerGrades+'!$AE$3,"S-",IF(L650&lt;'PlayerGrades+'!$AE$2,"S","S+"))))))))))))))))))))</f>
        <v>#DIV/0!</v>
      </c>
      <c r="N650" s="1423" t="str">
        <f t="shared" si="17"/>
        <v>#DIV/0!</v>
      </c>
      <c r="O650" s="1423" t="str">
        <f>IF(N650&lt;'PlayerGrades+'!$AF$21,"F-",IF(N650&lt;'PlayerGrades+'!$AF$20,"F",IF(N650&lt;'PlayerGrades+'!$AF$19,"F+",IF(N650&lt;'PlayerGrades+'!$AF$18,"E-",IF(N650&lt;'PlayerGrades+'!$AF$17,"E",IF(N650&lt;'PlayerGrades+'!$AF$16,"E+",IF(N650&lt;'PlayerGrades+'!$AF$15,"D-",IF(N650&lt;'PlayerGrades+'!$AF$14,"D",IF(N650&lt;'PlayerGrades+'!$AF$13,"D+",IF(N650&lt;'PlayerGrades+'!$AF$12,"C-",IF(N650&lt;'PlayerGrades+'!$AF$11,"C",IF(N650&lt;'PlayerGrades+'!$AF$10,"C+",IF(N650&lt;'PlayerGrades+'!$AF$9,"B-",IF(N650&lt;'PlayerGrades+'!$AF$8,"B",IF(N650&lt;'PlayerGrades+'!$AF$7,"B+",IF(N650&lt;'PlayerGrades+'!$AF$6,"A-",IF(N650&lt;'PlayerGrades+'!$AF$5,"A",IF(N650&lt;'PlayerGrades+'!$AF$4,"A+",IF(N650&lt;'PlayerGrades+'!$AF$3,"S-",IF(N650&lt;'PlayerGrades+'!$AF$2,"S","S+"))))))))))))))))))))</f>
        <v>#DIV/0!</v>
      </c>
      <c r="P650" s="1423" t="str">
        <f t="shared" si="18"/>
        <v>#DIV/0!</v>
      </c>
      <c r="Q650" s="1423" t="str">
        <f>IF(P650&lt;'PlayerGrades+'!$AG$21,"F-",IF(P650&lt;'PlayerGrades+'!$AG$20,"F",IF(P650&lt;'PlayerGrades+'!$AG$19,"F+",IF(P650&lt;'PlayerGrades+'!$AG$18,"E-",IF(P650&lt;'PlayerGrades+'!$AG$17,"E",IF(P650&lt;'PlayerGrades+'!$AG$16,"E+",IF(P650&lt;'PlayerGrades+'!$AG$15,"D-",IF(P650&lt;'PlayerGrades+'!$AG$14,"D",IF(P650&lt;'PlayerGrades+'!$AG$13,"D+",IF(P650&lt;'PlayerGrades+'!$AG$12,"C-",IF(P650&lt;'PlayerGrades+'!$AG$11,"C",IF(P650&lt;'PlayerGrades+'!$AG$10,"C+",IF(P650&lt;'PlayerGrades+'!$AG$9,"B-",IF(P650&lt;'PlayerGrades+'!$AG$8,"B",IF(P650&lt;'PlayerGrades+'!$AG$7,"B+",IF(P650&lt;'PlayerGrades+'!$AG$6,"A-",IF(P650&lt;'PlayerGrades+'!$AG$5,"A",IF(P650&lt;'PlayerGrades+'!$AG$4,"A+",IF(P650&lt;'PlayerGrades+'!$AG$3,"S-",IF(P650&lt;'PlayerGrades+'!$AG$2,"S","S+"))))))))))))))))))))</f>
        <v>#DIV/0!</v>
      </c>
      <c r="R650" s="1423" t="str">
        <f t="shared" si="19"/>
        <v>#REF!</v>
      </c>
      <c r="S650" s="1423" t="str">
        <f>IF(R650&lt;'PlayerGrades+'!$AH$21,"F-",IF(R650&lt;'PlayerGrades+'!$AH$20,"F",IF(R650&lt;'PlayerGrades+'!$AH$19,"F+",IF(R650&lt;'PlayerGrades+'!$AH$18,"E-",IF(R650&lt;'PlayerGrades+'!$AH$17,"E",IF(R650&lt;'PlayerGrades+'!$AH$16,"E+",IF(R650&lt;'PlayerGrades+'!$AH$15,"D-",IF(R650&lt;'PlayerGrades+'!$AH$14,"D",IF(R650&lt;'PlayerGrades+'!$AH$13,"D+",IF(R650&lt;'PlayerGrades+'!$AH$12,"C-",IF(R650&lt;'PlayerGrades+'!$AH$11,"C",IF(R650&lt;'PlayerGrades+'!$AH$10,"C+",IF(R650&lt;'PlayerGrades+'!$AH$9,"B-",IF(R650&lt;'PlayerGrades+'!$AH$8,"B",IF(R650&lt;'PlayerGrades+'!$AH$7,"B+",IF(R650&lt;'PlayerGrades+'!$AH$6,"A-",IF(R650&lt;'PlayerGrades+'!$AH$5,"A",IF(R650&lt;'PlayerGrades+'!$AH$4,"A+",IF(R650&lt;'PlayerGrades+'!$AH$3,"S-",IF(R650&lt;'PlayerGrades+'!$AH$2,"S","S+"))))))))))))))))))))</f>
        <v>#REF!</v>
      </c>
      <c r="T650" s="1423" t="str">
        <f t="shared" si="20"/>
        <v>#REF!</v>
      </c>
      <c r="U650" s="1423" t="str">
        <f>IF(T650&lt;'PlayerGrades+'!$AI$21,"F-",IF(T650&lt;'PlayerGrades+'!$AI$20,"F",IF(T650&lt;'PlayerGrades+'!$AI$19,"F+",IF(T650&lt;'PlayerGrades+'!$AI$18,"E-",IF(T650&lt;'PlayerGrades+'!$AI$17,"E",IF(T650&lt;'PlayerGrades+'!$AI$16,"E+",IF(T650&lt;'PlayerGrades+'!$AI$15,"D-",IF(T650&lt;'PlayerGrades+'!$AI$14,"D",IF(T650&lt;'PlayerGrades+'!$AI$13,"D+",IF(T650&lt;'PlayerGrades+'!$AI$12,"C-",IF(T650&lt;'PlayerGrades+'!$AI$11,"C",IF(T650&lt;'PlayerGrades+'!$AI$10,"C+",IF(T650&lt;'PlayerGrades+'!$AI$9,"B-",IF(T650&lt;'PlayerGrades+'!$AI$8,"B",IF(T650&lt;'PlayerGrades+'!$AI$7,"B+",IF(T650&lt;'PlayerGrades+'!$AI$6,"A-",IF(T650&lt;'PlayerGrades+'!$AI$5,"A",IF(T650&lt;'PlayerGrades+'!$AI$4,"A+",IF(T650&lt;'PlayerGrades+'!$AI$3,"S-",IF(T650&lt;'PlayerGrades+'!$AI$2,"S","S+"))))))))))))))))))))</f>
        <v>#REF!</v>
      </c>
      <c r="AC650" s="1392"/>
    </row>
    <row r="651">
      <c r="B651" s="1421" t="str">
        <f>IF(C651&lt;'PlayerGrades+'!$Y$44,"F-",IF(C651&lt;'PlayerGrades+'!$Y$43,"F",IF(C651&lt;'PlayerGrades+'!$Y$42,"F+",IF(C651&lt;'PlayerGrades+'!$Y$41,"E-",IF(C651&lt;'PlayerGrades+'!$Y$40,"E",IF(C651&lt;'PlayerGrades+'!$Y$39,"E+",IF(C651&lt;'PlayerGrades+'!$Y$38,"D-",IF(C651&lt;'PlayerGrades+'!$Y$37,"D",IF(C651&lt;'PlayerGrades+'!$Y$36,"D+",IF(C651&lt;'PlayerGrades+'!$Y$35,"C-",IF(C651&lt;'PlayerGrades+'!$Y$34,"C",IF(C651&lt;'PlayerGrades+'!$Y$33,"C+",IF(C651&lt;'PlayerGrades+'!$Y$32,"B-",IF(C651&lt;'PlayerGrades+'!$Y$31,"B",IF(C651&lt;'PlayerGrades+'!$Y$30,"B+",IF(C651&lt;'PlayerGrades+'!$Y$29,"A-",IF(C651&lt;'PlayerGrades+'!$Y$28,"A",IF(C651&lt;'PlayerGrades+'!$Y$27,"A+",IF(C651&lt;'PlayerGrades+'!$Y$26,"S-",IF(C651&lt;'PlayerGrades+'!$Y$25,"S","S+"))))))))))))))))))))</f>
        <v>#DIV/0!</v>
      </c>
      <c r="C651" s="1422" t="str">
        <f>('PlayerGrades+'!$Y$47*(VLOOKUP(E651, 'PlayerGrades+'!$X$3:$Y$23, 2, FALSE)))+('PlayerGrades+'!$Y$48*(VLOOKUP(G651, 'PlayerGrades+'!$X$3:$Y$23, 2, FALSE)))+('PlayerGrades+'!$Y$49*(VLOOKUP(I651, 'PlayerGrades+'!$X$3:$Y$23, 2, FALSE)))+('PlayerGrades+'!$Y$50*(VLOOKUP(K651, 'PlayerGrades+'!$X$3:$Y$23, 2, FALSE)))+('PlayerGrades+'!$Y$51*(VLOOKUP(M651, 'PlayerGrades+'!$X$3:$Y$23, 2, FALSE)))+('PlayerGrades+'!$Y$52*(VLOOKUP(O651, 'PlayerGrades+'!$X$3:$Y$23, 2, FALSE)))+('PlayerGrades+'!$Y$53*(VLOOKUP(Q651, 'PlayerGrades+'!$X$3:$Y$23, 2, FALSE)))+('PlayerGrades+'!$Y$54*(VLOOKUP(S651, 'PlayerGrades+'!$X$3:$Y$23, 2, FALSE)))+('PlayerGrades+'!$Y$55*(VLOOKUP(U651, 'PlayerGrades+'!$X$3:$Y$23, 2, FALSE)))</f>
        <v>#DIV/0!</v>
      </c>
      <c r="D651" s="1423" t="str">
        <f t="shared" si="12"/>
        <v>#DIV/0!</v>
      </c>
      <c r="E651" s="1423" t="str">
        <f>IF(D651&lt;'PlayerGrades+'!$AA$21,"F-",IF(D651&lt;'PlayerGrades+'!$AA$20,"F",IF(D651&lt;'PlayerGrades+'!$AA$19,"F+",IF(D651&lt;'PlayerGrades+'!$AA$18,"E-",IF(D651&lt;'PlayerGrades+'!$AA$17,"E",IF(D651&lt;'PlayerGrades+'!$AA$16,"E+",IF(D651&lt;'PlayerGrades+'!$AA$15,"D-",IF(D651&lt;'PlayerGrades+'!$AA$14,"D",IF(D651&lt;'PlayerGrades+'!$AA$13,"D+",IF(D651&lt;'PlayerGrades+'!$AA$12,"C-",IF(D651&lt;'PlayerGrades+'!$AA$11,"C",IF(D651&lt;'PlayerGrades+'!$AA$10,"C+",IF(D651&lt;'PlayerGrades+'!$AA$9,"B-",IF(D651&lt;'PlayerGrades+'!$AA$8,"B",IF(D651&lt;'PlayerGrades+'!$AA$7,"B+",IF(D651&lt;'PlayerGrades+'!$AA$6,"A-",IF(D651&lt;'PlayerGrades+'!$AA$5,"A",IF(D651&lt;'PlayerGrades+'!$AA$4,"A+",IF(D651&lt;'PlayerGrades+'!$AA$3,"S-",IF(D651&lt;'PlayerGrades+'!$AA$2,"S","S+"))))))))))))))))))))</f>
        <v>#DIV/0!</v>
      </c>
      <c r="F651" s="1423" t="str">
        <f t="shared" si="13"/>
        <v>#DIV/0!</v>
      </c>
      <c r="G651" s="1423" t="str">
        <f>IF(F651&lt;'PlayerGrades+'!$AB$21,"F-",IF(F651&lt;'PlayerGrades+'!$AB$20,"F",IF(F651&lt;'PlayerGrades+'!$AB$19,"F+",IF(F651&lt;'PlayerGrades+'!$AB$18,"E-",IF(F651&lt;'PlayerGrades+'!$AB$17,"E",IF(F651&lt;'PlayerGrades+'!$AB$16,"E+",IF(F651&lt;'PlayerGrades+'!$AB$15,"D-",IF(F651&lt;'PlayerGrades+'!$AB$14,"D",IF(F651&lt;'PlayerGrades+'!$AB$13,"D+",IF(F651&lt;'PlayerGrades+'!$AB$12,"C-",IF(F651&lt;'PlayerGrades+'!$AB$11,"C",IF(F651&lt;'PlayerGrades+'!$AB$10,"C+",IF(F651&lt;'PlayerGrades+'!$AB$9,"B-",IF(F651&lt;'PlayerGrades+'!$AB$8,"B",IF(F651&lt;'PlayerGrades+'!$AB$7,"B+",IF(F651&lt;'PlayerGrades+'!$AB$6,"A-",IF(F651&lt;'PlayerGrades+'!$AB$5,"A",IF(F651&lt;'PlayerGrades+'!$AB$4,"A+",IF(F651&lt;'PlayerGrades+'!$AB$3,"S-",IF(F651&lt;'PlayerGrades+'!$AB$2,"S","S+"))))))))))))))))))))</f>
        <v>#DIV/0!</v>
      </c>
      <c r="H651" s="1423" t="str">
        <f t="shared" si="14"/>
        <v>#DIV/0!</v>
      </c>
      <c r="I651" s="1423" t="str">
        <f>IF(H651&lt;'PlayerGrades+'!$AC$21,"F-",IF(H651&lt;'PlayerGrades+'!$AC$20,"F",IF(H651&lt;'PlayerGrades+'!$AC$19,"F+",IF(H651&lt;'PlayerGrades+'!$AC$18,"E-",IF(H651&lt;'PlayerGrades+'!$AC$17,"E",IF(H651&lt;'PlayerGrades+'!$AC$16,"E+",IF(H651&lt;'PlayerGrades+'!$AC$15,"D-",IF(H651&lt;'PlayerGrades+'!$AC$14,"D",IF(H651&lt;'PlayerGrades+'!$AC$13,"D+",IF(H651&lt;'PlayerGrades+'!$AC$12,"C-",IF(H651&lt;'PlayerGrades+'!$AC$11,"C",IF(H651&lt;'PlayerGrades+'!$AC$10,"C+",IF(H651&lt;'PlayerGrades+'!$AC$9,"B-",IF(H651&lt;'PlayerGrades+'!$AC$8,"B",IF(H651&lt;'PlayerGrades+'!$AC$7,"B+",IF(H651&lt;'PlayerGrades+'!$AC$6,"A-",IF(H651&lt;'PlayerGrades+'!$AC$5,"A",IF(H651&lt;'PlayerGrades+'!$AC$4,"A+",IF(H651&lt;'PlayerGrades+'!$AC$3,"S-",IF(H651&lt;'PlayerGrades+'!$AC$2,"S","S+"))))))))))))))))))))</f>
        <v>#DIV/0!</v>
      </c>
      <c r="J651" s="1423" t="str">
        <f t="shared" si="15"/>
        <v>#DIV/0!</v>
      </c>
      <c r="K651" s="1423" t="str">
        <f>IF(J651&lt;'PlayerGrades+'!$AD$21,"F-",IF(J651&lt;'PlayerGrades+'!$AD$20,"F",IF(J651&lt;'PlayerGrades+'!$AD$19,"F+",IF(J651&lt;'PlayerGrades+'!$AD$18,"E-",IF(J651&lt;'PlayerGrades+'!$AD$17,"E",IF(J651&lt;'PlayerGrades+'!$AD$16,"E+",IF(J651&lt;'PlayerGrades+'!$AD$15,"D-",IF(J651&lt;'PlayerGrades+'!$AD$14,"D",IF(J651&lt;'PlayerGrades+'!$AD$13,"D+",IF(J651&lt;'PlayerGrades+'!$AD$12,"C-",IF(J651&lt;'PlayerGrades+'!$AD$11,"C",IF(J651&lt;'PlayerGrades+'!$AD$10,"C+",IF(J651&lt;'PlayerGrades+'!$AD$9,"B-",IF(J651&lt;'PlayerGrades+'!$AD$8,"B",IF(J651&lt;'PlayerGrades+'!$AD$7,"B+",IF(J651&lt;'PlayerGrades+'!$AD$6,"A-",IF(J651&lt;'PlayerGrades+'!$AD$5,"A",IF(J651&lt;'PlayerGrades+'!$AD$4,"A+",IF(J651&lt;'PlayerGrades+'!$AD$3,"S-",IF(J651&lt;'PlayerGrades+'!$AD$2,"S","S+"))))))))))))))))))))</f>
        <v>#DIV/0!</v>
      </c>
      <c r="L651" s="1176" t="str">
        <f t="shared" si="16"/>
        <v>#DIV/0!</v>
      </c>
      <c r="M651" s="992" t="str">
        <f>IF(L651&lt;'PlayerGrades+'!$AE$21,"F-",IF(L651&lt;'PlayerGrades+'!$AE$20,"F",IF(L651&lt;'PlayerGrades+'!$AE$19,"F+",IF(L651&lt;'PlayerGrades+'!$AE$18,"E-",IF(L651&lt;'PlayerGrades+'!$AE$17,"E",IF(L651&lt;'PlayerGrades+'!$AE$16,"E+",IF(L651&lt;'PlayerGrades+'!$AE$15,"D-",IF(L651&lt;'PlayerGrades+'!$AE$14,"D",IF(L651&lt;'PlayerGrades+'!$AE$13,"D+",IF(L651&lt;'PlayerGrades+'!$AE$12,"C-",IF(L651&lt;'PlayerGrades+'!$AE$11,"C",IF(L651&lt;'PlayerGrades+'!$AE$10,"C+",IF(L651&lt;'PlayerGrades+'!$AE$9,"B-",IF(L651&lt;'PlayerGrades+'!$AE$8,"B",IF(L651&lt;'PlayerGrades+'!$AE$7,"B+",IF(L651&lt;'PlayerGrades+'!$AE$6,"A-",IF(L651&lt;'PlayerGrades+'!$AE$5,"A",IF(L651&lt;'PlayerGrades+'!$AE$4,"A+",IF(L651&lt;'PlayerGrades+'!$AE$3,"S-",IF(L651&lt;'PlayerGrades+'!$AE$2,"S","S+"))))))))))))))))))))</f>
        <v>#DIV/0!</v>
      </c>
      <c r="N651" s="1423" t="str">
        <f t="shared" si="17"/>
        <v>#DIV/0!</v>
      </c>
      <c r="O651" s="1423" t="str">
        <f>IF(N651&lt;'PlayerGrades+'!$AF$21,"F-",IF(N651&lt;'PlayerGrades+'!$AF$20,"F",IF(N651&lt;'PlayerGrades+'!$AF$19,"F+",IF(N651&lt;'PlayerGrades+'!$AF$18,"E-",IF(N651&lt;'PlayerGrades+'!$AF$17,"E",IF(N651&lt;'PlayerGrades+'!$AF$16,"E+",IF(N651&lt;'PlayerGrades+'!$AF$15,"D-",IF(N651&lt;'PlayerGrades+'!$AF$14,"D",IF(N651&lt;'PlayerGrades+'!$AF$13,"D+",IF(N651&lt;'PlayerGrades+'!$AF$12,"C-",IF(N651&lt;'PlayerGrades+'!$AF$11,"C",IF(N651&lt;'PlayerGrades+'!$AF$10,"C+",IF(N651&lt;'PlayerGrades+'!$AF$9,"B-",IF(N651&lt;'PlayerGrades+'!$AF$8,"B",IF(N651&lt;'PlayerGrades+'!$AF$7,"B+",IF(N651&lt;'PlayerGrades+'!$AF$6,"A-",IF(N651&lt;'PlayerGrades+'!$AF$5,"A",IF(N651&lt;'PlayerGrades+'!$AF$4,"A+",IF(N651&lt;'PlayerGrades+'!$AF$3,"S-",IF(N651&lt;'PlayerGrades+'!$AF$2,"S","S+"))))))))))))))))))))</f>
        <v>#DIV/0!</v>
      </c>
      <c r="P651" s="1423" t="str">
        <f t="shared" si="18"/>
        <v>#DIV/0!</v>
      </c>
      <c r="Q651" s="1423" t="str">
        <f>IF(P651&lt;'PlayerGrades+'!$AG$21,"F-",IF(P651&lt;'PlayerGrades+'!$AG$20,"F",IF(P651&lt;'PlayerGrades+'!$AG$19,"F+",IF(P651&lt;'PlayerGrades+'!$AG$18,"E-",IF(P651&lt;'PlayerGrades+'!$AG$17,"E",IF(P651&lt;'PlayerGrades+'!$AG$16,"E+",IF(P651&lt;'PlayerGrades+'!$AG$15,"D-",IF(P651&lt;'PlayerGrades+'!$AG$14,"D",IF(P651&lt;'PlayerGrades+'!$AG$13,"D+",IF(P651&lt;'PlayerGrades+'!$AG$12,"C-",IF(P651&lt;'PlayerGrades+'!$AG$11,"C",IF(P651&lt;'PlayerGrades+'!$AG$10,"C+",IF(P651&lt;'PlayerGrades+'!$AG$9,"B-",IF(P651&lt;'PlayerGrades+'!$AG$8,"B",IF(P651&lt;'PlayerGrades+'!$AG$7,"B+",IF(P651&lt;'PlayerGrades+'!$AG$6,"A-",IF(P651&lt;'PlayerGrades+'!$AG$5,"A",IF(P651&lt;'PlayerGrades+'!$AG$4,"A+",IF(P651&lt;'PlayerGrades+'!$AG$3,"S-",IF(P651&lt;'PlayerGrades+'!$AG$2,"S","S+"))))))))))))))))))))</f>
        <v>#DIV/0!</v>
      </c>
      <c r="R651" s="1423" t="str">
        <f t="shared" si="19"/>
        <v>#REF!</v>
      </c>
      <c r="S651" s="1423" t="str">
        <f>IF(R651&lt;'PlayerGrades+'!$AH$21,"F-",IF(R651&lt;'PlayerGrades+'!$AH$20,"F",IF(R651&lt;'PlayerGrades+'!$AH$19,"F+",IF(R651&lt;'PlayerGrades+'!$AH$18,"E-",IF(R651&lt;'PlayerGrades+'!$AH$17,"E",IF(R651&lt;'PlayerGrades+'!$AH$16,"E+",IF(R651&lt;'PlayerGrades+'!$AH$15,"D-",IF(R651&lt;'PlayerGrades+'!$AH$14,"D",IF(R651&lt;'PlayerGrades+'!$AH$13,"D+",IF(R651&lt;'PlayerGrades+'!$AH$12,"C-",IF(R651&lt;'PlayerGrades+'!$AH$11,"C",IF(R651&lt;'PlayerGrades+'!$AH$10,"C+",IF(R651&lt;'PlayerGrades+'!$AH$9,"B-",IF(R651&lt;'PlayerGrades+'!$AH$8,"B",IF(R651&lt;'PlayerGrades+'!$AH$7,"B+",IF(R651&lt;'PlayerGrades+'!$AH$6,"A-",IF(R651&lt;'PlayerGrades+'!$AH$5,"A",IF(R651&lt;'PlayerGrades+'!$AH$4,"A+",IF(R651&lt;'PlayerGrades+'!$AH$3,"S-",IF(R651&lt;'PlayerGrades+'!$AH$2,"S","S+"))))))))))))))))))))</f>
        <v>#REF!</v>
      </c>
      <c r="T651" s="1423" t="str">
        <f t="shared" si="20"/>
        <v>#REF!</v>
      </c>
      <c r="U651" s="1423" t="str">
        <f>IF(T651&lt;'PlayerGrades+'!$AI$21,"F-",IF(T651&lt;'PlayerGrades+'!$AI$20,"F",IF(T651&lt;'PlayerGrades+'!$AI$19,"F+",IF(T651&lt;'PlayerGrades+'!$AI$18,"E-",IF(T651&lt;'PlayerGrades+'!$AI$17,"E",IF(T651&lt;'PlayerGrades+'!$AI$16,"E+",IF(T651&lt;'PlayerGrades+'!$AI$15,"D-",IF(T651&lt;'PlayerGrades+'!$AI$14,"D",IF(T651&lt;'PlayerGrades+'!$AI$13,"D+",IF(T651&lt;'PlayerGrades+'!$AI$12,"C-",IF(T651&lt;'PlayerGrades+'!$AI$11,"C",IF(T651&lt;'PlayerGrades+'!$AI$10,"C+",IF(T651&lt;'PlayerGrades+'!$AI$9,"B-",IF(T651&lt;'PlayerGrades+'!$AI$8,"B",IF(T651&lt;'PlayerGrades+'!$AI$7,"B+",IF(T651&lt;'PlayerGrades+'!$AI$6,"A-",IF(T651&lt;'PlayerGrades+'!$AI$5,"A",IF(T651&lt;'PlayerGrades+'!$AI$4,"A+",IF(T651&lt;'PlayerGrades+'!$AI$3,"S-",IF(T651&lt;'PlayerGrades+'!$AI$2,"S","S+"))))))))))))))))))))</f>
        <v>#REF!</v>
      </c>
      <c r="AC651" s="1392"/>
    </row>
    <row r="652">
      <c r="B652" s="1421" t="str">
        <f>IF(C652&lt;'PlayerGrades+'!$Y$44,"F-",IF(C652&lt;'PlayerGrades+'!$Y$43,"F",IF(C652&lt;'PlayerGrades+'!$Y$42,"F+",IF(C652&lt;'PlayerGrades+'!$Y$41,"E-",IF(C652&lt;'PlayerGrades+'!$Y$40,"E",IF(C652&lt;'PlayerGrades+'!$Y$39,"E+",IF(C652&lt;'PlayerGrades+'!$Y$38,"D-",IF(C652&lt;'PlayerGrades+'!$Y$37,"D",IF(C652&lt;'PlayerGrades+'!$Y$36,"D+",IF(C652&lt;'PlayerGrades+'!$Y$35,"C-",IF(C652&lt;'PlayerGrades+'!$Y$34,"C",IF(C652&lt;'PlayerGrades+'!$Y$33,"C+",IF(C652&lt;'PlayerGrades+'!$Y$32,"B-",IF(C652&lt;'PlayerGrades+'!$Y$31,"B",IF(C652&lt;'PlayerGrades+'!$Y$30,"B+",IF(C652&lt;'PlayerGrades+'!$Y$29,"A-",IF(C652&lt;'PlayerGrades+'!$Y$28,"A",IF(C652&lt;'PlayerGrades+'!$Y$27,"A+",IF(C652&lt;'PlayerGrades+'!$Y$26,"S-",IF(C652&lt;'PlayerGrades+'!$Y$25,"S","S+"))))))))))))))))))))</f>
        <v>#DIV/0!</v>
      </c>
      <c r="C652" s="1422" t="str">
        <f>('PlayerGrades+'!$Y$47*(VLOOKUP(E652, 'PlayerGrades+'!$X$3:$Y$23, 2, FALSE)))+('PlayerGrades+'!$Y$48*(VLOOKUP(G652, 'PlayerGrades+'!$X$3:$Y$23, 2, FALSE)))+('PlayerGrades+'!$Y$49*(VLOOKUP(I652, 'PlayerGrades+'!$X$3:$Y$23, 2, FALSE)))+('PlayerGrades+'!$Y$50*(VLOOKUP(K652, 'PlayerGrades+'!$X$3:$Y$23, 2, FALSE)))+('PlayerGrades+'!$Y$51*(VLOOKUP(M652, 'PlayerGrades+'!$X$3:$Y$23, 2, FALSE)))+('PlayerGrades+'!$Y$52*(VLOOKUP(O652, 'PlayerGrades+'!$X$3:$Y$23, 2, FALSE)))+('PlayerGrades+'!$Y$53*(VLOOKUP(Q652, 'PlayerGrades+'!$X$3:$Y$23, 2, FALSE)))+('PlayerGrades+'!$Y$54*(VLOOKUP(S652, 'PlayerGrades+'!$X$3:$Y$23, 2, FALSE)))+('PlayerGrades+'!$Y$55*(VLOOKUP(U652, 'PlayerGrades+'!$X$3:$Y$23, 2, FALSE)))</f>
        <v>#DIV/0!</v>
      </c>
      <c r="D652" s="1423" t="str">
        <f t="shared" si="12"/>
        <v>#DIV/0!</v>
      </c>
      <c r="E652" s="1423" t="str">
        <f>IF(D652&lt;'PlayerGrades+'!$AA$21,"F-",IF(D652&lt;'PlayerGrades+'!$AA$20,"F",IF(D652&lt;'PlayerGrades+'!$AA$19,"F+",IF(D652&lt;'PlayerGrades+'!$AA$18,"E-",IF(D652&lt;'PlayerGrades+'!$AA$17,"E",IF(D652&lt;'PlayerGrades+'!$AA$16,"E+",IF(D652&lt;'PlayerGrades+'!$AA$15,"D-",IF(D652&lt;'PlayerGrades+'!$AA$14,"D",IF(D652&lt;'PlayerGrades+'!$AA$13,"D+",IF(D652&lt;'PlayerGrades+'!$AA$12,"C-",IF(D652&lt;'PlayerGrades+'!$AA$11,"C",IF(D652&lt;'PlayerGrades+'!$AA$10,"C+",IF(D652&lt;'PlayerGrades+'!$AA$9,"B-",IF(D652&lt;'PlayerGrades+'!$AA$8,"B",IF(D652&lt;'PlayerGrades+'!$AA$7,"B+",IF(D652&lt;'PlayerGrades+'!$AA$6,"A-",IF(D652&lt;'PlayerGrades+'!$AA$5,"A",IF(D652&lt;'PlayerGrades+'!$AA$4,"A+",IF(D652&lt;'PlayerGrades+'!$AA$3,"S-",IF(D652&lt;'PlayerGrades+'!$AA$2,"S","S+"))))))))))))))))))))</f>
        <v>#DIV/0!</v>
      </c>
      <c r="F652" s="1423" t="str">
        <f t="shared" si="13"/>
        <v>#DIV/0!</v>
      </c>
      <c r="G652" s="1423" t="str">
        <f>IF(F652&lt;'PlayerGrades+'!$AB$21,"F-",IF(F652&lt;'PlayerGrades+'!$AB$20,"F",IF(F652&lt;'PlayerGrades+'!$AB$19,"F+",IF(F652&lt;'PlayerGrades+'!$AB$18,"E-",IF(F652&lt;'PlayerGrades+'!$AB$17,"E",IF(F652&lt;'PlayerGrades+'!$AB$16,"E+",IF(F652&lt;'PlayerGrades+'!$AB$15,"D-",IF(F652&lt;'PlayerGrades+'!$AB$14,"D",IF(F652&lt;'PlayerGrades+'!$AB$13,"D+",IF(F652&lt;'PlayerGrades+'!$AB$12,"C-",IF(F652&lt;'PlayerGrades+'!$AB$11,"C",IF(F652&lt;'PlayerGrades+'!$AB$10,"C+",IF(F652&lt;'PlayerGrades+'!$AB$9,"B-",IF(F652&lt;'PlayerGrades+'!$AB$8,"B",IF(F652&lt;'PlayerGrades+'!$AB$7,"B+",IF(F652&lt;'PlayerGrades+'!$AB$6,"A-",IF(F652&lt;'PlayerGrades+'!$AB$5,"A",IF(F652&lt;'PlayerGrades+'!$AB$4,"A+",IF(F652&lt;'PlayerGrades+'!$AB$3,"S-",IF(F652&lt;'PlayerGrades+'!$AB$2,"S","S+"))))))))))))))))))))</f>
        <v>#DIV/0!</v>
      </c>
      <c r="H652" s="1423" t="str">
        <f t="shared" si="14"/>
        <v>#DIV/0!</v>
      </c>
      <c r="I652" s="1423" t="str">
        <f>IF(H652&lt;'PlayerGrades+'!$AC$21,"F-",IF(H652&lt;'PlayerGrades+'!$AC$20,"F",IF(H652&lt;'PlayerGrades+'!$AC$19,"F+",IF(H652&lt;'PlayerGrades+'!$AC$18,"E-",IF(H652&lt;'PlayerGrades+'!$AC$17,"E",IF(H652&lt;'PlayerGrades+'!$AC$16,"E+",IF(H652&lt;'PlayerGrades+'!$AC$15,"D-",IF(H652&lt;'PlayerGrades+'!$AC$14,"D",IF(H652&lt;'PlayerGrades+'!$AC$13,"D+",IF(H652&lt;'PlayerGrades+'!$AC$12,"C-",IF(H652&lt;'PlayerGrades+'!$AC$11,"C",IF(H652&lt;'PlayerGrades+'!$AC$10,"C+",IF(H652&lt;'PlayerGrades+'!$AC$9,"B-",IF(H652&lt;'PlayerGrades+'!$AC$8,"B",IF(H652&lt;'PlayerGrades+'!$AC$7,"B+",IF(H652&lt;'PlayerGrades+'!$AC$6,"A-",IF(H652&lt;'PlayerGrades+'!$AC$5,"A",IF(H652&lt;'PlayerGrades+'!$AC$4,"A+",IF(H652&lt;'PlayerGrades+'!$AC$3,"S-",IF(H652&lt;'PlayerGrades+'!$AC$2,"S","S+"))))))))))))))))))))</f>
        <v>#DIV/0!</v>
      </c>
      <c r="J652" s="1423" t="str">
        <f t="shared" si="15"/>
        <v>#DIV/0!</v>
      </c>
      <c r="K652" s="1423" t="str">
        <f>IF(J652&lt;'PlayerGrades+'!$AD$21,"F-",IF(J652&lt;'PlayerGrades+'!$AD$20,"F",IF(J652&lt;'PlayerGrades+'!$AD$19,"F+",IF(J652&lt;'PlayerGrades+'!$AD$18,"E-",IF(J652&lt;'PlayerGrades+'!$AD$17,"E",IF(J652&lt;'PlayerGrades+'!$AD$16,"E+",IF(J652&lt;'PlayerGrades+'!$AD$15,"D-",IF(J652&lt;'PlayerGrades+'!$AD$14,"D",IF(J652&lt;'PlayerGrades+'!$AD$13,"D+",IF(J652&lt;'PlayerGrades+'!$AD$12,"C-",IF(J652&lt;'PlayerGrades+'!$AD$11,"C",IF(J652&lt;'PlayerGrades+'!$AD$10,"C+",IF(J652&lt;'PlayerGrades+'!$AD$9,"B-",IF(J652&lt;'PlayerGrades+'!$AD$8,"B",IF(J652&lt;'PlayerGrades+'!$AD$7,"B+",IF(J652&lt;'PlayerGrades+'!$AD$6,"A-",IF(J652&lt;'PlayerGrades+'!$AD$5,"A",IF(J652&lt;'PlayerGrades+'!$AD$4,"A+",IF(J652&lt;'PlayerGrades+'!$AD$3,"S-",IF(J652&lt;'PlayerGrades+'!$AD$2,"S","S+"))))))))))))))))))))</f>
        <v>#DIV/0!</v>
      </c>
      <c r="L652" s="1176" t="str">
        <f t="shared" si="16"/>
        <v>#DIV/0!</v>
      </c>
      <c r="M652" s="992" t="str">
        <f>IF(L652&lt;'PlayerGrades+'!$AE$21,"F-",IF(L652&lt;'PlayerGrades+'!$AE$20,"F",IF(L652&lt;'PlayerGrades+'!$AE$19,"F+",IF(L652&lt;'PlayerGrades+'!$AE$18,"E-",IF(L652&lt;'PlayerGrades+'!$AE$17,"E",IF(L652&lt;'PlayerGrades+'!$AE$16,"E+",IF(L652&lt;'PlayerGrades+'!$AE$15,"D-",IF(L652&lt;'PlayerGrades+'!$AE$14,"D",IF(L652&lt;'PlayerGrades+'!$AE$13,"D+",IF(L652&lt;'PlayerGrades+'!$AE$12,"C-",IF(L652&lt;'PlayerGrades+'!$AE$11,"C",IF(L652&lt;'PlayerGrades+'!$AE$10,"C+",IF(L652&lt;'PlayerGrades+'!$AE$9,"B-",IF(L652&lt;'PlayerGrades+'!$AE$8,"B",IF(L652&lt;'PlayerGrades+'!$AE$7,"B+",IF(L652&lt;'PlayerGrades+'!$AE$6,"A-",IF(L652&lt;'PlayerGrades+'!$AE$5,"A",IF(L652&lt;'PlayerGrades+'!$AE$4,"A+",IF(L652&lt;'PlayerGrades+'!$AE$3,"S-",IF(L652&lt;'PlayerGrades+'!$AE$2,"S","S+"))))))))))))))))))))</f>
        <v>#DIV/0!</v>
      </c>
      <c r="N652" s="1423" t="str">
        <f t="shared" si="17"/>
        <v>#DIV/0!</v>
      </c>
      <c r="O652" s="1423" t="str">
        <f>IF(N652&lt;'PlayerGrades+'!$AF$21,"F-",IF(N652&lt;'PlayerGrades+'!$AF$20,"F",IF(N652&lt;'PlayerGrades+'!$AF$19,"F+",IF(N652&lt;'PlayerGrades+'!$AF$18,"E-",IF(N652&lt;'PlayerGrades+'!$AF$17,"E",IF(N652&lt;'PlayerGrades+'!$AF$16,"E+",IF(N652&lt;'PlayerGrades+'!$AF$15,"D-",IF(N652&lt;'PlayerGrades+'!$AF$14,"D",IF(N652&lt;'PlayerGrades+'!$AF$13,"D+",IF(N652&lt;'PlayerGrades+'!$AF$12,"C-",IF(N652&lt;'PlayerGrades+'!$AF$11,"C",IF(N652&lt;'PlayerGrades+'!$AF$10,"C+",IF(N652&lt;'PlayerGrades+'!$AF$9,"B-",IF(N652&lt;'PlayerGrades+'!$AF$8,"B",IF(N652&lt;'PlayerGrades+'!$AF$7,"B+",IF(N652&lt;'PlayerGrades+'!$AF$6,"A-",IF(N652&lt;'PlayerGrades+'!$AF$5,"A",IF(N652&lt;'PlayerGrades+'!$AF$4,"A+",IF(N652&lt;'PlayerGrades+'!$AF$3,"S-",IF(N652&lt;'PlayerGrades+'!$AF$2,"S","S+"))))))))))))))))))))</f>
        <v>#DIV/0!</v>
      </c>
      <c r="P652" s="1423" t="str">
        <f t="shared" si="18"/>
        <v>#DIV/0!</v>
      </c>
      <c r="Q652" s="1423" t="str">
        <f>IF(P652&lt;'PlayerGrades+'!$AG$21,"F-",IF(P652&lt;'PlayerGrades+'!$AG$20,"F",IF(P652&lt;'PlayerGrades+'!$AG$19,"F+",IF(P652&lt;'PlayerGrades+'!$AG$18,"E-",IF(P652&lt;'PlayerGrades+'!$AG$17,"E",IF(P652&lt;'PlayerGrades+'!$AG$16,"E+",IF(P652&lt;'PlayerGrades+'!$AG$15,"D-",IF(P652&lt;'PlayerGrades+'!$AG$14,"D",IF(P652&lt;'PlayerGrades+'!$AG$13,"D+",IF(P652&lt;'PlayerGrades+'!$AG$12,"C-",IF(P652&lt;'PlayerGrades+'!$AG$11,"C",IF(P652&lt;'PlayerGrades+'!$AG$10,"C+",IF(P652&lt;'PlayerGrades+'!$AG$9,"B-",IF(P652&lt;'PlayerGrades+'!$AG$8,"B",IF(P652&lt;'PlayerGrades+'!$AG$7,"B+",IF(P652&lt;'PlayerGrades+'!$AG$6,"A-",IF(P652&lt;'PlayerGrades+'!$AG$5,"A",IF(P652&lt;'PlayerGrades+'!$AG$4,"A+",IF(P652&lt;'PlayerGrades+'!$AG$3,"S-",IF(P652&lt;'PlayerGrades+'!$AG$2,"S","S+"))))))))))))))))))))</f>
        <v>#DIV/0!</v>
      </c>
      <c r="R652" s="1423" t="str">
        <f t="shared" si="19"/>
        <v>#REF!</v>
      </c>
      <c r="S652" s="1423" t="str">
        <f>IF(R652&lt;'PlayerGrades+'!$AH$21,"F-",IF(R652&lt;'PlayerGrades+'!$AH$20,"F",IF(R652&lt;'PlayerGrades+'!$AH$19,"F+",IF(R652&lt;'PlayerGrades+'!$AH$18,"E-",IF(R652&lt;'PlayerGrades+'!$AH$17,"E",IF(R652&lt;'PlayerGrades+'!$AH$16,"E+",IF(R652&lt;'PlayerGrades+'!$AH$15,"D-",IF(R652&lt;'PlayerGrades+'!$AH$14,"D",IF(R652&lt;'PlayerGrades+'!$AH$13,"D+",IF(R652&lt;'PlayerGrades+'!$AH$12,"C-",IF(R652&lt;'PlayerGrades+'!$AH$11,"C",IF(R652&lt;'PlayerGrades+'!$AH$10,"C+",IF(R652&lt;'PlayerGrades+'!$AH$9,"B-",IF(R652&lt;'PlayerGrades+'!$AH$8,"B",IF(R652&lt;'PlayerGrades+'!$AH$7,"B+",IF(R652&lt;'PlayerGrades+'!$AH$6,"A-",IF(R652&lt;'PlayerGrades+'!$AH$5,"A",IF(R652&lt;'PlayerGrades+'!$AH$4,"A+",IF(R652&lt;'PlayerGrades+'!$AH$3,"S-",IF(R652&lt;'PlayerGrades+'!$AH$2,"S","S+"))))))))))))))))))))</f>
        <v>#REF!</v>
      </c>
      <c r="T652" s="1423" t="str">
        <f t="shared" si="20"/>
        <v>#REF!</v>
      </c>
      <c r="U652" s="1423" t="str">
        <f>IF(T652&lt;'PlayerGrades+'!$AI$21,"F-",IF(T652&lt;'PlayerGrades+'!$AI$20,"F",IF(T652&lt;'PlayerGrades+'!$AI$19,"F+",IF(T652&lt;'PlayerGrades+'!$AI$18,"E-",IF(T652&lt;'PlayerGrades+'!$AI$17,"E",IF(T652&lt;'PlayerGrades+'!$AI$16,"E+",IF(T652&lt;'PlayerGrades+'!$AI$15,"D-",IF(T652&lt;'PlayerGrades+'!$AI$14,"D",IF(T652&lt;'PlayerGrades+'!$AI$13,"D+",IF(T652&lt;'PlayerGrades+'!$AI$12,"C-",IF(T652&lt;'PlayerGrades+'!$AI$11,"C",IF(T652&lt;'PlayerGrades+'!$AI$10,"C+",IF(T652&lt;'PlayerGrades+'!$AI$9,"B-",IF(T652&lt;'PlayerGrades+'!$AI$8,"B",IF(T652&lt;'PlayerGrades+'!$AI$7,"B+",IF(T652&lt;'PlayerGrades+'!$AI$6,"A-",IF(T652&lt;'PlayerGrades+'!$AI$5,"A",IF(T652&lt;'PlayerGrades+'!$AI$4,"A+",IF(T652&lt;'PlayerGrades+'!$AI$3,"S-",IF(T652&lt;'PlayerGrades+'!$AI$2,"S","S+"))))))))))))))))))))</f>
        <v>#REF!</v>
      </c>
      <c r="AC652" s="1392"/>
    </row>
    <row r="653">
      <c r="B653" s="1421" t="str">
        <f>IF(C653&lt;'PlayerGrades+'!$Y$44,"F-",IF(C653&lt;'PlayerGrades+'!$Y$43,"F",IF(C653&lt;'PlayerGrades+'!$Y$42,"F+",IF(C653&lt;'PlayerGrades+'!$Y$41,"E-",IF(C653&lt;'PlayerGrades+'!$Y$40,"E",IF(C653&lt;'PlayerGrades+'!$Y$39,"E+",IF(C653&lt;'PlayerGrades+'!$Y$38,"D-",IF(C653&lt;'PlayerGrades+'!$Y$37,"D",IF(C653&lt;'PlayerGrades+'!$Y$36,"D+",IF(C653&lt;'PlayerGrades+'!$Y$35,"C-",IF(C653&lt;'PlayerGrades+'!$Y$34,"C",IF(C653&lt;'PlayerGrades+'!$Y$33,"C+",IF(C653&lt;'PlayerGrades+'!$Y$32,"B-",IF(C653&lt;'PlayerGrades+'!$Y$31,"B",IF(C653&lt;'PlayerGrades+'!$Y$30,"B+",IF(C653&lt;'PlayerGrades+'!$Y$29,"A-",IF(C653&lt;'PlayerGrades+'!$Y$28,"A",IF(C653&lt;'PlayerGrades+'!$Y$27,"A+",IF(C653&lt;'PlayerGrades+'!$Y$26,"S-",IF(C653&lt;'PlayerGrades+'!$Y$25,"S","S+"))))))))))))))))))))</f>
        <v>#DIV/0!</v>
      </c>
      <c r="C653" s="1422" t="str">
        <f>('PlayerGrades+'!$Y$47*(VLOOKUP(E653, 'PlayerGrades+'!$X$3:$Y$23, 2, FALSE)))+('PlayerGrades+'!$Y$48*(VLOOKUP(G653, 'PlayerGrades+'!$X$3:$Y$23, 2, FALSE)))+('PlayerGrades+'!$Y$49*(VLOOKUP(I653, 'PlayerGrades+'!$X$3:$Y$23, 2, FALSE)))+('PlayerGrades+'!$Y$50*(VLOOKUP(K653, 'PlayerGrades+'!$X$3:$Y$23, 2, FALSE)))+('PlayerGrades+'!$Y$51*(VLOOKUP(M653, 'PlayerGrades+'!$X$3:$Y$23, 2, FALSE)))+('PlayerGrades+'!$Y$52*(VLOOKUP(O653, 'PlayerGrades+'!$X$3:$Y$23, 2, FALSE)))+('PlayerGrades+'!$Y$53*(VLOOKUP(Q653, 'PlayerGrades+'!$X$3:$Y$23, 2, FALSE)))+('PlayerGrades+'!$Y$54*(VLOOKUP(S653, 'PlayerGrades+'!$X$3:$Y$23, 2, FALSE)))+('PlayerGrades+'!$Y$55*(VLOOKUP(U653, 'PlayerGrades+'!$X$3:$Y$23, 2, FALSE)))</f>
        <v>#DIV/0!</v>
      </c>
      <c r="D653" s="1423" t="str">
        <f t="shared" si="12"/>
        <v>#DIV/0!</v>
      </c>
      <c r="E653" s="1423" t="str">
        <f>IF(D653&lt;'PlayerGrades+'!$AA$21,"F-",IF(D653&lt;'PlayerGrades+'!$AA$20,"F",IF(D653&lt;'PlayerGrades+'!$AA$19,"F+",IF(D653&lt;'PlayerGrades+'!$AA$18,"E-",IF(D653&lt;'PlayerGrades+'!$AA$17,"E",IF(D653&lt;'PlayerGrades+'!$AA$16,"E+",IF(D653&lt;'PlayerGrades+'!$AA$15,"D-",IF(D653&lt;'PlayerGrades+'!$AA$14,"D",IF(D653&lt;'PlayerGrades+'!$AA$13,"D+",IF(D653&lt;'PlayerGrades+'!$AA$12,"C-",IF(D653&lt;'PlayerGrades+'!$AA$11,"C",IF(D653&lt;'PlayerGrades+'!$AA$10,"C+",IF(D653&lt;'PlayerGrades+'!$AA$9,"B-",IF(D653&lt;'PlayerGrades+'!$AA$8,"B",IF(D653&lt;'PlayerGrades+'!$AA$7,"B+",IF(D653&lt;'PlayerGrades+'!$AA$6,"A-",IF(D653&lt;'PlayerGrades+'!$AA$5,"A",IF(D653&lt;'PlayerGrades+'!$AA$4,"A+",IF(D653&lt;'PlayerGrades+'!$AA$3,"S-",IF(D653&lt;'PlayerGrades+'!$AA$2,"S","S+"))))))))))))))))))))</f>
        <v>#DIV/0!</v>
      </c>
      <c r="F653" s="1423" t="str">
        <f t="shared" si="13"/>
        <v>#DIV/0!</v>
      </c>
      <c r="G653" s="1423" t="str">
        <f>IF(F653&lt;'PlayerGrades+'!$AB$21,"F-",IF(F653&lt;'PlayerGrades+'!$AB$20,"F",IF(F653&lt;'PlayerGrades+'!$AB$19,"F+",IF(F653&lt;'PlayerGrades+'!$AB$18,"E-",IF(F653&lt;'PlayerGrades+'!$AB$17,"E",IF(F653&lt;'PlayerGrades+'!$AB$16,"E+",IF(F653&lt;'PlayerGrades+'!$AB$15,"D-",IF(F653&lt;'PlayerGrades+'!$AB$14,"D",IF(F653&lt;'PlayerGrades+'!$AB$13,"D+",IF(F653&lt;'PlayerGrades+'!$AB$12,"C-",IF(F653&lt;'PlayerGrades+'!$AB$11,"C",IF(F653&lt;'PlayerGrades+'!$AB$10,"C+",IF(F653&lt;'PlayerGrades+'!$AB$9,"B-",IF(F653&lt;'PlayerGrades+'!$AB$8,"B",IF(F653&lt;'PlayerGrades+'!$AB$7,"B+",IF(F653&lt;'PlayerGrades+'!$AB$6,"A-",IF(F653&lt;'PlayerGrades+'!$AB$5,"A",IF(F653&lt;'PlayerGrades+'!$AB$4,"A+",IF(F653&lt;'PlayerGrades+'!$AB$3,"S-",IF(F653&lt;'PlayerGrades+'!$AB$2,"S","S+"))))))))))))))))))))</f>
        <v>#DIV/0!</v>
      </c>
      <c r="H653" s="1423" t="str">
        <f t="shared" si="14"/>
        <v>#DIV/0!</v>
      </c>
      <c r="I653" s="1423" t="str">
        <f>IF(H653&lt;'PlayerGrades+'!$AC$21,"F-",IF(H653&lt;'PlayerGrades+'!$AC$20,"F",IF(H653&lt;'PlayerGrades+'!$AC$19,"F+",IF(H653&lt;'PlayerGrades+'!$AC$18,"E-",IF(H653&lt;'PlayerGrades+'!$AC$17,"E",IF(H653&lt;'PlayerGrades+'!$AC$16,"E+",IF(H653&lt;'PlayerGrades+'!$AC$15,"D-",IF(H653&lt;'PlayerGrades+'!$AC$14,"D",IF(H653&lt;'PlayerGrades+'!$AC$13,"D+",IF(H653&lt;'PlayerGrades+'!$AC$12,"C-",IF(H653&lt;'PlayerGrades+'!$AC$11,"C",IF(H653&lt;'PlayerGrades+'!$AC$10,"C+",IF(H653&lt;'PlayerGrades+'!$AC$9,"B-",IF(H653&lt;'PlayerGrades+'!$AC$8,"B",IF(H653&lt;'PlayerGrades+'!$AC$7,"B+",IF(H653&lt;'PlayerGrades+'!$AC$6,"A-",IF(H653&lt;'PlayerGrades+'!$AC$5,"A",IF(H653&lt;'PlayerGrades+'!$AC$4,"A+",IF(H653&lt;'PlayerGrades+'!$AC$3,"S-",IF(H653&lt;'PlayerGrades+'!$AC$2,"S","S+"))))))))))))))))))))</f>
        <v>#DIV/0!</v>
      </c>
      <c r="J653" s="1423" t="str">
        <f t="shared" si="15"/>
        <v>#DIV/0!</v>
      </c>
      <c r="K653" s="1423" t="str">
        <f>IF(J653&lt;'PlayerGrades+'!$AD$21,"F-",IF(J653&lt;'PlayerGrades+'!$AD$20,"F",IF(J653&lt;'PlayerGrades+'!$AD$19,"F+",IF(J653&lt;'PlayerGrades+'!$AD$18,"E-",IF(J653&lt;'PlayerGrades+'!$AD$17,"E",IF(J653&lt;'PlayerGrades+'!$AD$16,"E+",IF(J653&lt;'PlayerGrades+'!$AD$15,"D-",IF(J653&lt;'PlayerGrades+'!$AD$14,"D",IF(J653&lt;'PlayerGrades+'!$AD$13,"D+",IF(J653&lt;'PlayerGrades+'!$AD$12,"C-",IF(J653&lt;'PlayerGrades+'!$AD$11,"C",IF(J653&lt;'PlayerGrades+'!$AD$10,"C+",IF(J653&lt;'PlayerGrades+'!$AD$9,"B-",IF(J653&lt;'PlayerGrades+'!$AD$8,"B",IF(J653&lt;'PlayerGrades+'!$AD$7,"B+",IF(J653&lt;'PlayerGrades+'!$AD$6,"A-",IF(J653&lt;'PlayerGrades+'!$AD$5,"A",IF(J653&lt;'PlayerGrades+'!$AD$4,"A+",IF(J653&lt;'PlayerGrades+'!$AD$3,"S-",IF(J653&lt;'PlayerGrades+'!$AD$2,"S","S+"))))))))))))))))))))</f>
        <v>#DIV/0!</v>
      </c>
      <c r="L653" s="1176" t="str">
        <f t="shared" si="16"/>
        <v>#DIV/0!</v>
      </c>
      <c r="M653" s="992" t="str">
        <f>IF(L653&lt;'PlayerGrades+'!$AE$21,"F-",IF(L653&lt;'PlayerGrades+'!$AE$20,"F",IF(L653&lt;'PlayerGrades+'!$AE$19,"F+",IF(L653&lt;'PlayerGrades+'!$AE$18,"E-",IF(L653&lt;'PlayerGrades+'!$AE$17,"E",IF(L653&lt;'PlayerGrades+'!$AE$16,"E+",IF(L653&lt;'PlayerGrades+'!$AE$15,"D-",IF(L653&lt;'PlayerGrades+'!$AE$14,"D",IF(L653&lt;'PlayerGrades+'!$AE$13,"D+",IF(L653&lt;'PlayerGrades+'!$AE$12,"C-",IF(L653&lt;'PlayerGrades+'!$AE$11,"C",IF(L653&lt;'PlayerGrades+'!$AE$10,"C+",IF(L653&lt;'PlayerGrades+'!$AE$9,"B-",IF(L653&lt;'PlayerGrades+'!$AE$8,"B",IF(L653&lt;'PlayerGrades+'!$AE$7,"B+",IF(L653&lt;'PlayerGrades+'!$AE$6,"A-",IF(L653&lt;'PlayerGrades+'!$AE$5,"A",IF(L653&lt;'PlayerGrades+'!$AE$4,"A+",IF(L653&lt;'PlayerGrades+'!$AE$3,"S-",IF(L653&lt;'PlayerGrades+'!$AE$2,"S","S+"))))))))))))))))))))</f>
        <v>#DIV/0!</v>
      </c>
      <c r="N653" s="1423" t="str">
        <f t="shared" si="17"/>
        <v>#DIV/0!</v>
      </c>
      <c r="O653" s="1423" t="str">
        <f>IF(N653&lt;'PlayerGrades+'!$AF$21,"F-",IF(N653&lt;'PlayerGrades+'!$AF$20,"F",IF(N653&lt;'PlayerGrades+'!$AF$19,"F+",IF(N653&lt;'PlayerGrades+'!$AF$18,"E-",IF(N653&lt;'PlayerGrades+'!$AF$17,"E",IF(N653&lt;'PlayerGrades+'!$AF$16,"E+",IF(N653&lt;'PlayerGrades+'!$AF$15,"D-",IF(N653&lt;'PlayerGrades+'!$AF$14,"D",IF(N653&lt;'PlayerGrades+'!$AF$13,"D+",IF(N653&lt;'PlayerGrades+'!$AF$12,"C-",IF(N653&lt;'PlayerGrades+'!$AF$11,"C",IF(N653&lt;'PlayerGrades+'!$AF$10,"C+",IF(N653&lt;'PlayerGrades+'!$AF$9,"B-",IF(N653&lt;'PlayerGrades+'!$AF$8,"B",IF(N653&lt;'PlayerGrades+'!$AF$7,"B+",IF(N653&lt;'PlayerGrades+'!$AF$6,"A-",IF(N653&lt;'PlayerGrades+'!$AF$5,"A",IF(N653&lt;'PlayerGrades+'!$AF$4,"A+",IF(N653&lt;'PlayerGrades+'!$AF$3,"S-",IF(N653&lt;'PlayerGrades+'!$AF$2,"S","S+"))))))))))))))))))))</f>
        <v>#DIV/0!</v>
      </c>
      <c r="P653" s="1423" t="str">
        <f t="shared" si="18"/>
        <v>#DIV/0!</v>
      </c>
      <c r="Q653" s="1423" t="str">
        <f>IF(P653&lt;'PlayerGrades+'!$AG$21,"F-",IF(P653&lt;'PlayerGrades+'!$AG$20,"F",IF(P653&lt;'PlayerGrades+'!$AG$19,"F+",IF(P653&lt;'PlayerGrades+'!$AG$18,"E-",IF(P653&lt;'PlayerGrades+'!$AG$17,"E",IF(P653&lt;'PlayerGrades+'!$AG$16,"E+",IF(P653&lt;'PlayerGrades+'!$AG$15,"D-",IF(P653&lt;'PlayerGrades+'!$AG$14,"D",IF(P653&lt;'PlayerGrades+'!$AG$13,"D+",IF(P653&lt;'PlayerGrades+'!$AG$12,"C-",IF(P653&lt;'PlayerGrades+'!$AG$11,"C",IF(P653&lt;'PlayerGrades+'!$AG$10,"C+",IF(P653&lt;'PlayerGrades+'!$AG$9,"B-",IF(P653&lt;'PlayerGrades+'!$AG$8,"B",IF(P653&lt;'PlayerGrades+'!$AG$7,"B+",IF(P653&lt;'PlayerGrades+'!$AG$6,"A-",IF(P653&lt;'PlayerGrades+'!$AG$5,"A",IF(P653&lt;'PlayerGrades+'!$AG$4,"A+",IF(P653&lt;'PlayerGrades+'!$AG$3,"S-",IF(P653&lt;'PlayerGrades+'!$AG$2,"S","S+"))))))))))))))))))))</f>
        <v>#DIV/0!</v>
      </c>
      <c r="R653" s="1423" t="str">
        <f t="shared" si="19"/>
        <v>#REF!</v>
      </c>
      <c r="S653" s="1423" t="str">
        <f>IF(R653&lt;'PlayerGrades+'!$AH$21,"F-",IF(R653&lt;'PlayerGrades+'!$AH$20,"F",IF(R653&lt;'PlayerGrades+'!$AH$19,"F+",IF(R653&lt;'PlayerGrades+'!$AH$18,"E-",IF(R653&lt;'PlayerGrades+'!$AH$17,"E",IF(R653&lt;'PlayerGrades+'!$AH$16,"E+",IF(R653&lt;'PlayerGrades+'!$AH$15,"D-",IF(R653&lt;'PlayerGrades+'!$AH$14,"D",IF(R653&lt;'PlayerGrades+'!$AH$13,"D+",IF(R653&lt;'PlayerGrades+'!$AH$12,"C-",IF(R653&lt;'PlayerGrades+'!$AH$11,"C",IF(R653&lt;'PlayerGrades+'!$AH$10,"C+",IF(R653&lt;'PlayerGrades+'!$AH$9,"B-",IF(R653&lt;'PlayerGrades+'!$AH$8,"B",IF(R653&lt;'PlayerGrades+'!$AH$7,"B+",IF(R653&lt;'PlayerGrades+'!$AH$6,"A-",IF(R653&lt;'PlayerGrades+'!$AH$5,"A",IF(R653&lt;'PlayerGrades+'!$AH$4,"A+",IF(R653&lt;'PlayerGrades+'!$AH$3,"S-",IF(R653&lt;'PlayerGrades+'!$AH$2,"S","S+"))))))))))))))))))))</f>
        <v>#REF!</v>
      </c>
      <c r="T653" s="1423" t="str">
        <f t="shared" si="20"/>
        <v>#REF!</v>
      </c>
      <c r="U653" s="1423" t="str">
        <f>IF(T653&lt;'PlayerGrades+'!$AI$21,"F-",IF(T653&lt;'PlayerGrades+'!$AI$20,"F",IF(T653&lt;'PlayerGrades+'!$AI$19,"F+",IF(T653&lt;'PlayerGrades+'!$AI$18,"E-",IF(T653&lt;'PlayerGrades+'!$AI$17,"E",IF(T653&lt;'PlayerGrades+'!$AI$16,"E+",IF(T653&lt;'PlayerGrades+'!$AI$15,"D-",IF(T653&lt;'PlayerGrades+'!$AI$14,"D",IF(T653&lt;'PlayerGrades+'!$AI$13,"D+",IF(T653&lt;'PlayerGrades+'!$AI$12,"C-",IF(T653&lt;'PlayerGrades+'!$AI$11,"C",IF(T653&lt;'PlayerGrades+'!$AI$10,"C+",IF(T653&lt;'PlayerGrades+'!$AI$9,"B-",IF(T653&lt;'PlayerGrades+'!$AI$8,"B",IF(T653&lt;'PlayerGrades+'!$AI$7,"B+",IF(T653&lt;'PlayerGrades+'!$AI$6,"A-",IF(T653&lt;'PlayerGrades+'!$AI$5,"A",IF(T653&lt;'PlayerGrades+'!$AI$4,"A+",IF(T653&lt;'PlayerGrades+'!$AI$3,"S-",IF(T653&lt;'PlayerGrades+'!$AI$2,"S","S+"))))))))))))))))))))</f>
        <v>#REF!</v>
      </c>
      <c r="AC653" s="1392"/>
    </row>
    <row r="654">
      <c r="B654" s="1421" t="str">
        <f>IF(C654&lt;'PlayerGrades+'!$Y$44,"F-",IF(C654&lt;'PlayerGrades+'!$Y$43,"F",IF(C654&lt;'PlayerGrades+'!$Y$42,"F+",IF(C654&lt;'PlayerGrades+'!$Y$41,"E-",IF(C654&lt;'PlayerGrades+'!$Y$40,"E",IF(C654&lt;'PlayerGrades+'!$Y$39,"E+",IF(C654&lt;'PlayerGrades+'!$Y$38,"D-",IF(C654&lt;'PlayerGrades+'!$Y$37,"D",IF(C654&lt;'PlayerGrades+'!$Y$36,"D+",IF(C654&lt;'PlayerGrades+'!$Y$35,"C-",IF(C654&lt;'PlayerGrades+'!$Y$34,"C",IF(C654&lt;'PlayerGrades+'!$Y$33,"C+",IF(C654&lt;'PlayerGrades+'!$Y$32,"B-",IF(C654&lt;'PlayerGrades+'!$Y$31,"B",IF(C654&lt;'PlayerGrades+'!$Y$30,"B+",IF(C654&lt;'PlayerGrades+'!$Y$29,"A-",IF(C654&lt;'PlayerGrades+'!$Y$28,"A",IF(C654&lt;'PlayerGrades+'!$Y$27,"A+",IF(C654&lt;'PlayerGrades+'!$Y$26,"S-",IF(C654&lt;'PlayerGrades+'!$Y$25,"S","S+"))))))))))))))))))))</f>
        <v>#DIV/0!</v>
      </c>
      <c r="C654" s="1422" t="str">
        <f>('PlayerGrades+'!$Y$47*(VLOOKUP(E654, 'PlayerGrades+'!$X$3:$Y$23, 2, FALSE)))+('PlayerGrades+'!$Y$48*(VLOOKUP(G654, 'PlayerGrades+'!$X$3:$Y$23, 2, FALSE)))+('PlayerGrades+'!$Y$49*(VLOOKUP(I654, 'PlayerGrades+'!$X$3:$Y$23, 2, FALSE)))+('PlayerGrades+'!$Y$50*(VLOOKUP(K654, 'PlayerGrades+'!$X$3:$Y$23, 2, FALSE)))+('PlayerGrades+'!$Y$51*(VLOOKUP(M654, 'PlayerGrades+'!$X$3:$Y$23, 2, FALSE)))+('PlayerGrades+'!$Y$52*(VLOOKUP(O654, 'PlayerGrades+'!$X$3:$Y$23, 2, FALSE)))+('PlayerGrades+'!$Y$53*(VLOOKUP(Q654, 'PlayerGrades+'!$X$3:$Y$23, 2, FALSE)))+('PlayerGrades+'!$Y$54*(VLOOKUP(S654, 'PlayerGrades+'!$X$3:$Y$23, 2, FALSE)))+('PlayerGrades+'!$Y$55*(VLOOKUP(U654, 'PlayerGrades+'!$X$3:$Y$23, 2, FALSE)))</f>
        <v>#DIV/0!</v>
      </c>
      <c r="D654" s="1423" t="str">
        <f t="shared" si="12"/>
        <v>#DIV/0!</v>
      </c>
      <c r="E654" s="1423" t="str">
        <f>IF(D654&lt;'PlayerGrades+'!$AA$21,"F-",IF(D654&lt;'PlayerGrades+'!$AA$20,"F",IF(D654&lt;'PlayerGrades+'!$AA$19,"F+",IF(D654&lt;'PlayerGrades+'!$AA$18,"E-",IF(D654&lt;'PlayerGrades+'!$AA$17,"E",IF(D654&lt;'PlayerGrades+'!$AA$16,"E+",IF(D654&lt;'PlayerGrades+'!$AA$15,"D-",IF(D654&lt;'PlayerGrades+'!$AA$14,"D",IF(D654&lt;'PlayerGrades+'!$AA$13,"D+",IF(D654&lt;'PlayerGrades+'!$AA$12,"C-",IF(D654&lt;'PlayerGrades+'!$AA$11,"C",IF(D654&lt;'PlayerGrades+'!$AA$10,"C+",IF(D654&lt;'PlayerGrades+'!$AA$9,"B-",IF(D654&lt;'PlayerGrades+'!$AA$8,"B",IF(D654&lt;'PlayerGrades+'!$AA$7,"B+",IF(D654&lt;'PlayerGrades+'!$AA$6,"A-",IF(D654&lt;'PlayerGrades+'!$AA$5,"A",IF(D654&lt;'PlayerGrades+'!$AA$4,"A+",IF(D654&lt;'PlayerGrades+'!$AA$3,"S-",IF(D654&lt;'PlayerGrades+'!$AA$2,"S","S+"))))))))))))))))))))</f>
        <v>#DIV/0!</v>
      </c>
      <c r="F654" s="1423" t="str">
        <f t="shared" si="13"/>
        <v>#DIV/0!</v>
      </c>
      <c r="G654" s="1423" t="str">
        <f>IF(F654&lt;'PlayerGrades+'!$AB$21,"F-",IF(F654&lt;'PlayerGrades+'!$AB$20,"F",IF(F654&lt;'PlayerGrades+'!$AB$19,"F+",IF(F654&lt;'PlayerGrades+'!$AB$18,"E-",IF(F654&lt;'PlayerGrades+'!$AB$17,"E",IF(F654&lt;'PlayerGrades+'!$AB$16,"E+",IF(F654&lt;'PlayerGrades+'!$AB$15,"D-",IF(F654&lt;'PlayerGrades+'!$AB$14,"D",IF(F654&lt;'PlayerGrades+'!$AB$13,"D+",IF(F654&lt;'PlayerGrades+'!$AB$12,"C-",IF(F654&lt;'PlayerGrades+'!$AB$11,"C",IF(F654&lt;'PlayerGrades+'!$AB$10,"C+",IF(F654&lt;'PlayerGrades+'!$AB$9,"B-",IF(F654&lt;'PlayerGrades+'!$AB$8,"B",IF(F654&lt;'PlayerGrades+'!$AB$7,"B+",IF(F654&lt;'PlayerGrades+'!$AB$6,"A-",IF(F654&lt;'PlayerGrades+'!$AB$5,"A",IF(F654&lt;'PlayerGrades+'!$AB$4,"A+",IF(F654&lt;'PlayerGrades+'!$AB$3,"S-",IF(F654&lt;'PlayerGrades+'!$AB$2,"S","S+"))))))))))))))))))))</f>
        <v>#DIV/0!</v>
      </c>
      <c r="H654" s="1423" t="str">
        <f t="shared" si="14"/>
        <v>#DIV/0!</v>
      </c>
      <c r="I654" s="1423" t="str">
        <f>IF(H654&lt;'PlayerGrades+'!$AC$21,"F-",IF(H654&lt;'PlayerGrades+'!$AC$20,"F",IF(H654&lt;'PlayerGrades+'!$AC$19,"F+",IF(H654&lt;'PlayerGrades+'!$AC$18,"E-",IF(H654&lt;'PlayerGrades+'!$AC$17,"E",IF(H654&lt;'PlayerGrades+'!$AC$16,"E+",IF(H654&lt;'PlayerGrades+'!$AC$15,"D-",IF(H654&lt;'PlayerGrades+'!$AC$14,"D",IF(H654&lt;'PlayerGrades+'!$AC$13,"D+",IF(H654&lt;'PlayerGrades+'!$AC$12,"C-",IF(H654&lt;'PlayerGrades+'!$AC$11,"C",IF(H654&lt;'PlayerGrades+'!$AC$10,"C+",IF(H654&lt;'PlayerGrades+'!$AC$9,"B-",IF(H654&lt;'PlayerGrades+'!$AC$8,"B",IF(H654&lt;'PlayerGrades+'!$AC$7,"B+",IF(H654&lt;'PlayerGrades+'!$AC$6,"A-",IF(H654&lt;'PlayerGrades+'!$AC$5,"A",IF(H654&lt;'PlayerGrades+'!$AC$4,"A+",IF(H654&lt;'PlayerGrades+'!$AC$3,"S-",IF(H654&lt;'PlayerGrades+'!$AC$2,"S","S+"))))))))))))))))))))</f>
        <v>#DIV/0!</v>
      </c>
      <c r="J654" s="1423" t="str">
        <f t="shared" si="15"/>
        <v>#DIV/0!</v>
      </c>
      <c r="K654" s="1423" t="str">
        <f>IF(J654&lt;'PlayerGrades+'!$AD$21,"F-",IF(J654&lt;'PlayerGrades+'!$AD$20,"F",IF(J654&lt;'PlayerGrades+'!$AD$19,"F+",IF(J654&lt;'PlayerGrades+'!$AD$18,"E-",IF(J654&lt;'PlayerGrades+'!$AD$17,"E",IF(J654&lt;'PlayerGrades+'!$AD$16,"E+",IF(J654&lt;'PlayerGrades+'!$AD$15,"D-",IF(J654&lt;'PlayerGrades+'!$AD$14,"D",IF(J654&lt;'PlayerGrades+'!$AD$13,"D+",IF(J654&lt;'PlayerGrades+'!$AD$12,"C-",IF(J654&lt;'PlayerGrades+'!$AD$11,"C",IF(J654&lt;'PlayerGrades+'!$AD$10,"C+",IF(J654&lt;'PlayerGrades+'!$AD$9,"B-",IF(J654&lt;'PlayerGrades+'!$AD$8,"B",IF(J654&lt;'PlayerGrades+'!$AD$7,"B+",IF(J654&lt;'PlayerGrades+'!$AD$6,"A-",IF(J654&lt;'PlayerGrades+'!$AD$5,"A",IF(J654&lt;'PlayerGrades+'!$AD$4,"A+",IF(J654&lt;'PlayerGrades+'!$AD$3,"S-",IF(J654&lt;'PlayerGrades+'!$AD$2,"S","S+"))))))))))))))))))))</f>
        <v>#DIV/0!</v>
      </c>
      <c r="L654" s="1176" t="str">
        <f t="shared" si="16"/>
        <v>#DIV/0!</v>
      </c>
      <c r="M654" s="992" t="str">
        <f>IF(L654&lt;'PlayerGrades+'!$AE$21,"F-",IF(L654&lt;'PlayerGrades+'!$AE$20,"F",IF(L654&lt;'PlayerGrades+'!$AE$19,"F+",IF(L654&lt;'PlayerGrades+'!$AE$18,"E-",IF(L654&lt;'PlayerGrades+'!$AE$17,"E",IF(L654&lt;'PlayerGrades+'!$AE$16,"E+",IF(L654&lt;'PlayerGrades+'!$AE$15,"D-",IF(L654&lt;'PlayerGrades+'!$AE$14,"D",IF(L654&lt;'PlayerGrades+'!$AE$13,"D+",IF(L654&lt;'PlayerGrades+'!$AE$12,"C-",IF(L654&lt;'PlayerGrades+'!$AE$11,"C",IF(L654&lt;'PlayerGrades+'!$AE$10,"C+",IF(L654&lt;'PlayerGrades+'!$AE$9,"B-",IF(L654&lt;'PlayerGrades+'!$AE$8,"B",IF(L654&lt;'PlayerGrades+'!$AE$7,"B+",IF(L654&lt;'PlayerGrades+'!$AE$6,"A-",IF(L654&lt;'PlayerGrades+'!$AE$5,"A",IF(L654&lt;'PlayerGrades+'!$AE$4,"A+",IF(L654&lt;'PlayerGrades+'!$AE$3,"S-",IF(L654&lt;'PlayerGrades+'!$AE$2,"S","S+"))))))))))))))))))))</f>
        <v>#DIV/0!</v>
      </c>
      <c r="N654" s="1423" t="str">
        <f t="shared" si="17"/>
        <v>#DIV/0!</v>
      </c>
      <c r="O654" s="1423" t="str">
        <f>IF(N654&lt;'PlayerGrades+'!$AF$21,"F-",IF(N654&lt;'PlayerGrades+'!$AF$20,"F",IF(N654&lt;'PlayerGrades+'!$AF$19,"F+",IF(N654&lt;'PlayerGrades+'!$AF$18,"E-",IF(N654&lt;'PlayerGrades+'!$AF$17,"E",IF(N654&lt;'PlayerGrades+'!$AF$16,"E+",IF(N654&lt;'PlayerGrades+'!$AF$15,"D-",IF(N654&lt;'PlayerGrades+'!$AF$14,"D",IF(N654&lt;'PlayerGrades+'!$AF$13,"D+",IF(N654&lt;'PlayerGrades+'!$AF$12,"C-",IF(N654&lt;'PlayerGrades+'!$AF$11,"C",IF(N654&lt;'PlayerGrades+'!$AF$10,"C+",IF(N654&lt;'PlayerGrades+'!$AF$9,"B-",IF(N654&lt;'PlayerGrades+'!$AF$8,"B",IF(N654&lt;'PlayerGrades+'!$AF$7,"B+",IF(N654&lt;'PlayerGrades+'!$AF$6,"A-",IF(N654&lt;'PlayerGrades+'!$AF$5,"A",IF(N654&lt;'PlayerGrades+'!$AF$4,"A+",IF(N654&lt;'PlayerGrades+'!$AF$3,"S-",IF(N654&lt;'PlayerGrades+'!$AF$2,"S","S+"))))))))))))))))))))</f>
        <v>#DIV/0!</v>
      </c>
      <c r="P654" s="1423" t="str">
        <f t="shared" si="18"/>
        <v>#DIV/0!</v>
      </c>
      <c r="Q654" s="1423" t="str">
        <f>IF(P654&lt;'PlayerGrades+'!$AG$21,"F-",IF(P654&lt;'PlayerGrades+'!$AG$20,"F",IF(P654&lt;'PlayerGrades+'!$AG$19,"F+",IF(P654&lt;'PlayerGrades+'!$AG$18,"E-",IF(P654&lt;'PlayerGrades+'!$AG$17,"E",IF(P654&lt;'PlayerGrades+'!$AG$16,"E+",IF(P654&lt;'PlayerGrades+'!$AG$15,"D-",IF(P654&lt;'PlayerGrades+'!$AG$14,"D",IF(P654&lt;'PlayerGrades+'!$AG$13,"D+",IF(P654&lt;'PlayerGrades+'!$AG$12,"C-",IF(P654&lt;'PlayerGrades+'!$AG$11,"C",IF(P654&lt;'PlayerGrades+'!$AG$10,"C+",IF(P654&lt;'PlayerGrades+'!$AG$9,"B-",IF(P654&lt;'PlayerGrades+'!$AG$8,"B",IF(P654&lt;'PlayerGrades+'!$AG$7,"B+",IF(P654&lt;'PlayerGrades+'!$AG$6,"A-",IF(P654&lt;'PlayerGrades+'!$AG$5,"A",IF(P654&lt;'PlayerGrades+'!$AG$4,"A+",IF(P654&lt;'PlayerGrades+'!$AG$3,"S-",IF(P654&lt;'PlayerGrades+'!$AG$2,"S","S+"))))))))))))))))))))</f>
        <v>#DIV/0!</v>
      </c>
      <c r="R654" s="1423" t="str">
        <f t="shared" si="19"/>
        <v>#REF!</v>
      </c>
      <c r="S654" s="1423" t="str">
        <f>IF(R654&lt;'PlayerGrades+'!$AH$21,"F-",IF(R654&lt;'PlayerGrades+'!$AH$20,"F",IF(R654&lt;'PlayerGrades+'!$AH$19,"F+",IF(R654&lt;'PlayerGrades+'!$AH$18,"E-",IF(R654&lt;'PlayerGrades+'!$AH$17,"E",IF(R654&lt;'PlayerGrades+'!$AH$16,"E+",IF(R654&lt;'PlayerGrades+'!$AH$15,"D-",IF(R654&lt;'PlayerGrades+'!$AH$14,"D",IF(R654&lt;'PlayerGrades+'!$AH$13,"D+",IF(R654&lt;'PlayerGrades+'!$AH$12,"C-",IF(R654&lt;'PlayerGrades+'!$AH$11,"C",IF(R654&lt;'PlayerGrades+'!$AH$10,"C+",IF(R654&lt;'PlayerGrades+'!$AH$9,"B-",IF(R654&lt;'PlayerGrades+'!$AH$8,"B",IF(R654&lt;'PlayerGrades+'!$AH$7,"B+",IF(R654&lt;'PlayerGrades+'!$AH$6,"A-",IF(R654&lt;'PlayerGrades+'!$AH$5,"A",IF(R654&lt;'PlayerGrades+'!$AH$4,"A+",IF(R654&lt;'PlayerGrades+'!$AH$3,"S-",IF(R654&lt;'PlayerGrades+'!$AH$2,"S","S+"))))))))))))))))))))</f>
        <v>#REF!</v>
      </c>
      <c r="T654" s="1423" t="str">
        <f t="shared" si="20"/>
        <v>#REF!</v>
      </c>
      <c r="U654" s="1423" t="str">
        <f>IF(T654&lt;'PlayerGrades+'!$AI$21,"F-",IF(T654&lt;'PlayerGrades+'!$AI$20,"F",IF(T654&lt;'PlayerGrades+'!$AI$19,"F+",IF(T654&lt;'PlayerGrades+'!$AI$18,"E-",IF(T654&lt;'PlayerGrades+'!$AI$17,"E",IF(T654&lt;'PlayerGrades+'!$AI$16,"E+",IF(T654&lt;'PlayerGrades+'!$AI$15,"D-",IF(T654&lt;'PlayerGrades+'!$AI$14,"D",IF(T654&lt;'PlayerGrades+'!$AI$13,"D+",IF(T654&lt;'PlayerGrades+'!$AI$12,"C-",IF(T654&lt;'PlayerGrades+'!$AI$11,"C",IF(T654&lt;'PlayerGrades+'!$AI$10,"C+",IF(T654&lt;'PlayerGrades+'!$AI$9,"B-",IF(T654&lt;'PlayerGrades+'!$AI$8,"B",IF(T654&lt;'PlayerGrades+'!$AI$7,"B+",IF(T654&lt;'PlayerGrades+'!$AI$6,"A-",IF(T654&lt;'PlayerGrades+'!$AI$5,"A",IF(T654&lt;'PlayerGrades+'!$AI$4,"A+",IF(T654&lt;'PlayerGrades+'!$AI$3,"S-",IF(T654&lt;'PlayerGrades+'!$AI$2,"S","S+"))))))))))))))))))))</f>
        <v>#REF!</v>
      </c>
      <c r="AC654" s="1392"/>
    </row>
    <row r="655">
      <c r="B655" s="1421" t="str">
        <f>IF(C655&lt;'PlayerGrades+'!$Y$44,"F-",IF(C655&lt;'PlayerGrades+'!$Y$43,"F",IF(C655&lt;'PlayerGrades+'!$Y$42,"F+",IF(C655&lt;'PlayerGrades+'!$Y$41,"E-",IF(C655&lt;'PlayerGrades+'!$Y$40,"E",IF(C655&lt;'PlayerGrades+'!$Y$39,"E+",IF(C655&lt;'PlayerGrades+'!$Y$38,"D-",IF(C655&lt;'PlayerGrades+'!$Y$37,"D",IF(C655&lt;'PlayerGrades+'!$Y$36,"D+",IF(C655&lt;'PlayerGrades+'!$Y$35,"C-",IF(C655&lt;'PlayerGrades+'!$Y$34,"C",IF(C655&lt;'PlayerGrades+'!$Y$33,"C+",IF(C655&lt;'PlayerGrades+'!$Y$32,"B-",IF(C655&lt;'PlayerGrades+'!$Y$31,"B",IF(C655&lt;'PlayerGrades+'!$Y$30,"B+",IF(C655&lt;'PlayerGrades+'!$Y$29,"A-",IF(C655&lt;'PlayerGrades+'!$Y$28,"A",IF(C655&lt;'PlayerGrades+'!$Y$27,"A+",IF(C655&lt;'PlayerGrades+'!$Y$26,"S-",IF(C655&lt;'PlayerGrades+'!$Y$25,"S","S+"))))))))))))))))))))</f>
        <v>#DIV/0!</v>
      </c>
      <c r="C655" s="1422" t="str">
        <f>('PlayerGrades+'!$Y$47*(VLOOKUP(E655, 'PlayerGrades+'!$X$3:$Y$23, 2, FALSE)))+('PlayerGrades+'!$Y$48*(VLOOKUP(G655, 'PlayerGrades+'!$X$3:$Y$23, 2, FALSE)))+('PlayerGrades+'!$Y$49*(VLOOKUP(I655, 'PlayerGrades+'!$X$3:$Y$23, 2, FALSE)))+('PlayerGrades+'!$Y$50*(VLOOKUP(K655, 'PlayerGrades+'!$X$3:$Y$23, 2, FALSE)))+('PlayerGrades+'!$Y$51*(VLOOKUP(M655, 'PlayerGrades+'!$X$3:$Y$23, 2, FALSE)))+('PlayerGrades+'!$Y$52*(VLOOKUP(O655, 'PlayerGrades+'!$X$3:$Y$23, 2, FALSE)))+('PlayerGrades+'!$Y$53*(VLOOKUP(Q655, 'PlayerGrades+'!$X$3:$Y$23, 2, FALSE)))+('PlayerGrades+'!$Y$54*(VLOOKUP(S655, 'PlayerGrades+'!$X$3:$Y$23, 2, FALSE)))+('PlayerGrades+'!$Y$55*(VLOOKUP(U655, 'PlayerGrades+'!$X$3:$Y$23, 2, FALSE)))</f>
        <v>#DIV/0!</v>
      </c>
      <c r="D655" s="1423" t="str">
        <f t="shared" si="12"/>
        <v>#DIV/0!</v>
      </c>
      <c r="E655" s="1423" t="str">
        <f>IF(D655&lt;'PlayerGrades+'!$AA$21,"F-",IF(D655&lt;'PlayerGrades+'!$AA$20,"F",IF(D655&lt;'PlayerGrades+'!$AA$19,"F+",IF(D655&lt;'PlayerGrades+'!$AA$18,"E-",IF(D655&lt;'PlayerGrades+'!$AA$17,"E",IF(D655&lt;'PlayerGrades+'!$AA$16,"E+",IF(D655&lt;'PlayerGrades+'!$AA$15,"D-",IF(D655&lt;'PlayerGrades+'!$AA$14,"D",IF(D655&lt;'PlayerGrades+'!$AA$13,"D+",IF(D655&lt;'PlayerGrades+'!$AA$12,"C-",IF(D655&lt;'PlayerGrades+'!$AA$11,"C",IF(D655&lt;'PlayerGrades+'!$AA$10,"C+",IF(D655&lt;'PlayerGrades+'!$AA$9,"B-",IF(D655&lt;'PlayerGrades+'!$AA$8,"B",IF(D655&lt;'PlayerGrades+'!$AA$7,"B+",IF(D655&lt;'PlayerGrades+'!$AA$6,"A-",IF(D655&lt;'PlayerGrades+'!$AA$5,"A",IF(D655&lt;'PlayerGrades+'!$AA$4,"A+",IF(D655&lt;'PlayerGrades+'!$AA$3,"S-",IF(D655&lt;'PlayerGrades+'!$AA$2,"S","S+"))))))))))))))))))))</f>
        <v>#DIV/0!</v>
      </c>
      <c r="F655" s="1423" t="str">
        <f t="shared" si="13"/>
        <v>#DIV/0!</v>
      </c>
      <c r="G655" s="1423" t="str">
        <f>IF(F655&lt;'PlayerGrades+'!$AB$21,"F-",IF(F655&lt;'PlayerGrades+'!$AB$20,"F",IF(F655&lt;'PlayerGrades+'!$AB$19,"F+",IF(F655&lt;'PlayerGrades+'!$AB$18,"E-",IF(F655&lt;'PlayerGrades+'!$AB$17,"E",IF(F655&lt;'PlayerGrades+'!$AB$16,"E+",IF(F655&lt;'PlayerGrades+'!$AB$15,"D-",IF(F655&lt;'PlayerGrades+'!$AB$14,"D",IF(F655&lt;'PlayerGrades+'!$AB$13,"D+",IF(F655&lt;'PlayerGrades+'!$AB$12,"C-",IF(F655&lt;'PlayerGrades+'!$AB$11,"C",IF(F655&lt;'PlayerGrades+'!$AB$10,"C+",IF(F655&lt;'PlayerGrades+'!$AB$9,"B-",IF(F655&lt;'PlayerGrades+'!$AB$8,"B",IF(F655&lt;'PlayerGrades+'!$AB$7,"B+",IF(F655&lt;'PlayerGrades+'!$AB$6,"A-",IF(F655&lt;'PlayerGrades+'!$AB$5,"A",IF(F655&lt;'PlayerGrades+'!$AB$4,"A+",IF(F655&lt;'PlayerGrades+'!$AB$3,"S-",IF(F655&lt;'PlayerGrades+'!$AB$2,"S","S+"))))))))))))))))))))</f>
        <v>#DIV/0!</v>
      </c>
      <c r="H655" s="1423" t="str">
        <f t="shared" si="14"/>
        <v>#DIV/0!</v>
      </c>
      <c r="I655" s="1423" t="str">
        <f>IF(H655&lt;'PlayerGrades+'!$AC$21,"F-",IF(H655&lt;'PlayerGrades+'!$AC$20,"F",IF(H655&lt;'PlayerGrades+'!$AC$19,"F+",IF(H655&lt;'PlayerGrades+'!$AC$18,"E-",IF(H655&lt;'PlayerGrades+'!$AC$17,"E",IF(H655&lt;'PlayerGrades+'!$AC$16,"E+",IF(H655&lt;'PlayerGrades+'!$AC$15,"D-",IF(H655&lt;'PlayerGrades+'!$AC$14,"D",IF(H655&lt;'PlayerGrades+'!$AC$13,"D+",IF(H655&lt;'PlayerGrades+'!$AC$12,"C-",IF(H655&lt;'PlayerGrades+'!$AC$11,"C",IF(H655&lt;'PlayerGrades+'!$AC$10,"C+",IF(H655&lt;'PlayerGrades+'!$AC$9,"B-",IF(H655&lt;'PlayerGrades+'!$AC$8,"B",IF(H655&lt;'PlayerGrades+'!$AC$7,"B+",IF(H655&lt;'PlayerGrades+'!$AC$6,"A-",IF(H655&lt;'PlayerGrades+'!$AC$5,"A",IF(H655&lt;'PlayerGrades+'!$AC$4,"A+",IF(H655&lt;'PlayerGrades+'!$AC$3,"S-",IF(H655&lt;'PlayerGrades+'!$AC$2,"S","S+"))))))))))))))))))))</f>
        <v>#DIV/0!</v>
      </c>
      <c r="J655" s="1423" t="str">
        <f t="shared" si="15"/>
        <v>#DIV/0!</v>
      </c>
      <c r="K655" s="1423" t="str">
        <f>IF(J655&lt;'PlayerGrades+'!$AD$21,"F-",IF(J655&lt;'PlayerGrades+'!$AD$20,"F",IF(J655&lt;'PlayerGrades+'!$AD$19,"F+",IF(J655&lt;'PlayerGrades+'!$AD$18,"E-",IF(J655&lt;'PlayerGrades+'!$AD$17,"E",IF(J655&lt;'PlayerGrades+'!$AD$16,"E+",IF(J655&lt;'PlayerGrades+'!$AD$15,"D-",IF(J655&lt;'PlayerGrades+'!$AD$14,"D",IF(J655&lt;'PlayerGrades+'!$AD$13,"D+",IF(J655&lt;'PlayerGrades+'!$AD$12,"C-",IF(J655&lt;'PlayerGrades+'!$AD$11,"C",IF(J655&lt;'PlayerGrades+'!$AD$10,"C+",IF(J655&lt;'PlayerGrades+'!$AD$9,"B-",IF(J655&lt;'PlayerGrades+'!$AD$8,"B",IF(J655&lt;'PlayerGrades+'!$AD$7,"B+",IF(J655&lt;'PlayerGrades+'!$AD$6,"A-",IF(J655&lt;'PlayerGrades+'!$AD$5,"A",IF(J655&lt;'PlayerGrades+'!$AD$4,"A+",IF(J655&lt;'PlayerGrades+'!$AD$3,"S-",IF(J655&lt;'PlayerGrades+'!$AD$2,"S","S+"))))))))))))))))))))</f>
        <v>#DIV/0!</v>
      </c>
      <c r="L655" s="1176" t="str">
        <f t="shared" si="16"/>
        <v>#DIV/0!</v>
      </c>
      <c r="M655" s="992" t="str">
        <f>IF(L655&lt;'PlayerGrades+'!$AE$21,"F-",IF(L655&lt;'PlayerGrades+'!$AE$20,"F",IF(L655&lt;'PlayerGrades+'!$AE$19,"F+",IF(L655&lt;'PlayerGrades+'!$AE$18,"E-",IF(L655&lt;'PlayerGrades+'!$AE$17,"E",IF(L655&lt;'PlayerGrades+'!$AE$16,"E+",IF(L655&lt;'PlayerGrades+'!$AE$15,"D-",IF(L655&lt;'PlayerGrades+'!$AE$14,"D",IF(L655&lt;'PlayerGrades+'!$AE$13,"D+",IF(L655&lt;'PlayerGrades+'!$AE$12,"C-",IF(L655&lt;'PlayerGrades+'!$AE$11,"C",IF(L655&lt;'PlayerGrades+'!$AE$10,"C+",IF(L655&lt;'PlayerGrades+'!$AE$9,"B-",IF(L655&lt;'PlayerGrades+'!$AE$8,"B",IF(L655&lt;'PlayerGrades+'!$AE$7,"B+",IF(L655&lt;'PlayerGrades+'!$AE$6,"A-",IF(L655&lt;'PlayerGrades+'!$AE$5,"A",IF(L655&lt;'PlayerGrades+'!$AE$4,"A+",IF(L655&lt;'PlayerGrades+'!$AE$3,"S-",IF(L655&lt;'PlayerGrades+'!$AE$2,"S","S+"))))))))))))))))))))</f>
        <v>#DIV/0!</v>
      </c>
      <c r="N655" s="1423" t="str">
        <f t="shared" si="17"/>
        <v>#DIV/0!</v>
      </c>
      <c r="O655" s="1423" t="str">
        <f>IF(N655&lt;'PlayerGrades+'!$AF$21,"F-",IF(N655&lt;'PlayerGrades+'!$AF$20,"F",IF(N655&lt;'PlayerGrades+'!$AF$19,"F+",IF(N655&lt;'PlayerGrades+'!$AF$18,"E-",IF(N655&lt;'PlayerGrades+'!$AF$17,"E",IF(N655&lt;'PlayerGrades+'!$AF$16,"E+",IF(N655&lt;'PlayerGrades+'!$AF$15,"D-",IF(N655&lt;'PlayerGrades+'!$AF$14,"D",IF(N655&lt;'PlayerGrades+'!$AF$13,"D+",IF(N655&lt;'PlayerGrades+'!$AF$12,"C-",IF(N655&lt;'PlayerGrades+'!$AF$11,"C",IF(N655&lt;'PlayerGrades+'!$AF$10,"C+",IF(N655&lt;'PlayerGrades+'!$AF$9,"B-",IF(N655&lt;'PlayerGrades+'!$AF$8,"B",IF(N655&lt;'PlayerGrades+'!$AF$7,"B+",IF(N655&lt;'PlayerGrades+'!$AF$6,"A-",IF(N655&lt;'PlayerGrades+'!$AF$5,"A",IF(N655&lt;'PlayerGrades+'!$AF$4,"A+",IF(N655&lt;'PlayerGrades+'!$AF$3,"S-",IF(N655&lt;'PlayerGrades+'!$AF$2,"S","S+"))))))))))))))))))))</f>
        <v>#DIV/0!</v>
      </c>
      <c r="P655" s="1423" t="str">
        <f t="shared" si="18"/>
        <v>#DIV/0!</v>
      </c>
      <c r="Q655" s="1423" t="str">
        <f>IF(P655&lt;'PlayerGrades+'!$AG$21,"F-",IF(P655&lt;'PlayerGrades+'!$AG$20,"F",IF(P655&lt;'PlayerGrades+'!$AG$19,"F+",IF(P655&lt;'PlayerGrades+'!$AG$18,"E-",IF(P655&lt;'PlayerGrades+'!$AG$17,"E",IF(P655&lt;'PlayerGrades+'!$AG$16,"E+",IF(P655&lt;'PlayerGrades+'!$AG$15,"D-",IF(P655&lt;'PlayerGrades+'!$AG$14,"D",IF(P655&lt;'PlayerGrades+'!$AG$13,"D+",IF(P655&lt;'PlayerGrades+'!$AG$12,"C-",IF(P655&lt;'PlayerGrades+'!$AG$11,"C",IF(P655&lt;'PlayerGrades+'!$AG$10,"C+",IF(P655&lt;'PlayerGrades+'!$AG$9,"B-",IF(P655&lt;'PlayerGrades+'!$AG$8,"B",IF(P655&lt;'PlayerGrades+'!$AG$7,"B+",IF(P655&lt;'PlayerGrades+'!$AG$6,"A-",IF(P655&lt;'PlayerGrades+'!$AG$5,"A",IF(P655&lt;'PlayerGrades+'!$AG$4,"A+",IF(P655&lt;'PlayerGrades+'!$AG$3,"S-",IF(P655&lt;'PlayerGrades+'!$AG$2,"S","S+"))))))))))))))))))))</f>
        <v>#DIV/0!</v>
      </c>
      <c r="R655" s="1423" t="str">
        <f t="shared" si="19"/>
        <v>#REF!</v>
      </c>
      <c r="S655" s="1423" t="str">
        <f>IF(R655&lt;'PlayerGrades+'!$AH$21,"F-",IF(R655&lt;'PlayerGrades+'!$AH$20,"F",IF(R655&lt;'PlayerGrades+'!$AH$19,"F+",IF(R655&lt;'PlayerGrades+'!$AH$18,"E-",IF(R655&lt;'PlayerGrades+'!$AH$17,"E",IF(R655&lt;'PlayerGrades+'!$AH$16,"E+",IF(R655&lt;'PlayerGrades+'!$AH$15,"D-",IF(R655&lt;'PlayerGrades+'!$AH$14,"D",IF(R655&lt;'PlayerGrades+'!$AH$13,"D+",IF(R655&lt;'PlayerGrades+'!$AH$12,"C-",IF(R655&lt;'PlayerGrades+'!$AH$11,"C",IF(R655&lt;'PlayerGrades+'!$AH$10,"C+",IF(R655&lt;'PlayerGrades+'!$AH$9,"B-",IF(R655&lt;'PlayerGrades+'!$AH$8,"B",IF(R655&lt;'PlayerGrades+'!$AH$7,"B+",IF(R655&lt;'PlayerGrades+'!$AH$6,"A-",IF(R655&lt;'PlayerGrades+'!$AH$5,"A",IF(R655&lt;'PlayerGrades+'!$AH$4,"A+",IF(R655&lt;'PlayerGrades+'!$AH$3,"S-",IF(R655&lt;'PlayerGrades+'!$AH$2,"S","S+"))))))))))))))))))))</f>
        <v>#REF!</v>
      </c>
      <c r="T655" s="1423" t="str">
        <f t="shared" si="20"/>
        <v>#REF!</v>
      </c>
      <c r="U655" s="1423" t="str">
        <f>IF(T655&lt;'PlayerGrades+'!$AI$21,"F-",IF(T655&lt;'PlayerGrades+'!$AI$20,"F",IF(T655&lt;'PlayerGrades+'!$AI$19,"F+",IF(T655&lt;'PlayerGrades+'!$AI$18,"E-",IF(T655&lt;'PlayerGrades+'!$AI$17,"E",IF(T655&lt;'PlayerGrades+'!$AI$16,"E+",IF(T655&lt;'PlayerGrades+'!$AI$15,"D-",IF(T655&lt;'PlayerGrades+'!$AI$14,"D",IF(T655&lt;'PlayerGrades+'!$AI$13,"D+",IF(T655&lt;'PlayerGrades+'!$AI$12,"C-",IF(T655&lt;'PlayerGrades+'!$AI$11,"C",IF(T655&lt;'PlayerGrades+'!$AI$10,"C+",IF(T655&lt;'PlayerGrades+'!$AI$9,"B-",IF(T655&lt;'PlayerGrades+'!$AI$8,"B",IF(T655&lt;'PlayerGrades+'!$AI$7,"B+",IF(T655&lt;'PlayerGrades+'!$AI$6,"A-",IF(T655&lt;'PlayerGrades+'!$AI$5,"A",IF(T655&lt;'PlayerGrades+'!$AI$4,"A+",IF(T655&lt;'PlayerGrades+'!$AI$3,"S-",IF(T655&lt;'PlayerGrades+'!$AI$2,"S","S+"))))))))))))))))))))</f>
        <v>#REF!</v>
      </c>
      <c r="AC655" s="1392"/>
    </row>
    <row r="656">
      <c r="B656" s="1421" t="str">
        <f>IF(C656&lt;'PlayerGrades+'!$Y$44,"F-",IF(C656&lt;'PlayerGrades+'!$Y$43,"F",IF(C656&lt;'PlayerGrades+'!$Y$42,"F+",IF(C656&lt;'PlayerGrades+'!$Y$41,"E-",IF(C656&lt;'PlayerGrades+'!$Y$40,"E",IF(C656&lt;'PlayerGrades+'!$Y$39,"E+",IF(C656&lt;'PlayerGrades+'!$Y$38,"D-",IF(C656&lt;'PlayerGrades+'!$Y$37,"D",IF(C656&lt;'PlayerGrades+'!$Y$36,"D+",IF(C656&lt;'PlayerGrades+'!$Y$35,"C-",IF(C656&lt;'PlayerGrades+'!$Y$34,"C",IF(C656&lt;'PlayerGrades+'!$Y$33,"C+",IF(C656&lt;'PlayerGrades+'!$Y$32,"B-",IF(C656&lt;'PlayerGrades+'!$Y$31,"B",IF(C656&lt;'PlayerGrades+'!$Y$30,"B+",IF(C656&lt;'PlayerGrades+'!$Y$29,"A-",IF(C656&lt;'PlayerGrades+'!$Y$28,"A",IF(C656&lt;'PlayerGrades+'!$Y$27,"A+",IF(C656&lt;'PlayerGrades+'!$Y$26,"S-",IF(C656&lt;'PlayerGrades+'!$Y$25,"S","S+"))))))))))))))))))))</f>
        <v>#DIV/0!</v>
      </c>
      <c r="C656" s="1422" t="str">
        <f>('PlayerGrades+'!$Y$47*(VLOOKUP(E656, 'PlayerGrades+'!$X$3:$Y$23, 2, FALSE)))+('PlayerGrades+'!$Y$48*(VLOOKUP(G656, 'PlayerGrades+'!$X$3:$Y$23, 2, FALSE)))+('PlayerGrades+'!$Y$49*(VLOOKUP(I656, 'PlayerGrades+'!$X$3:$Y$23, 2, FALSE)))+('PlayerGrades+'!$Y$50*(VLOOKUP(K656, 'PlayerGrades+'!$X$3:$Y$23, 2, FALSE)))+('PlayerGrades+'!$Y$51*(VLOOKUP(M656, 'PlayerGrades+'!$X$3:$Y$23, 2, FALSE)))+('PlayerGrades+'!$Y$52*(VLOOKUP(O656, 'PlayerGrades+'!$X$3:$Y$23, 2, FALSE)))+('PlayerGrades+'!$Y$53*(VLOOKUP(Q656, 'PlayerGrades+'!$X$3:$Y$23, 2, FALSE)))+('PlayerGrades+'!$Y$54*(VLOOKUP(S656, 'PlayerGrades+'!$X$3:$Y$23, 2, FALSE)))+('PlayerGrades+'!$Y$55*(VLOOKUP(U656, 'PlayerGrades+'!$X$3:$Y$23, 2, FALSE)))</f>
        <v>#DIV/0!</v>
      </c>
      <c r="D656" s="1423" t="str">
        <f t="shared" si="12"/>
        <v>#DIV/0!</v>
      </c>
      <c r="E656" s="1423" t="str">
        <f>IF(D656&lt;'PlayerGrades+'!$AA$21,"F-",IF(D656&lt;'PlayerGrades+'!$AA$20,"F",IF(D656&lt;'PlayerGrades+'!$AA$19,"F+",IF(D656&lt;'PlayerGrades+'!$AA$18,"E-",IF(D656&lt;'PlayerGrades+'!$AA$17,"E",IF(D656&lt;'PlayerGrades+'!$AA$16,"E+",IF(D656&lt;'PlayerGrades+'!$AA$15,"D-",IF(D656&lt;'PlayerGrades+'!$AA$14,"D",IF(D656&lt;'PlayerGrades+'!$AA$13,"D+",IF(D656&lt;'PlayerGrades+'!$AA$12,"C-",IF(D656&lt;'PlayerGrades+'!$AA$11,"C",IF(D656&lt;'PlayerGrades+'!$AA$10,"C+",IF(D656&lt;'PlayerGrades+'!$AA$9,"B-",IF(D656&lt;'PlayerGrades+'!$AA$8,"B",IF(D656&lt;'PlayerGrades+'!$AA$7,"B+",IF(D656&lt;'PlayerGrades+'!$AA$6,"A-",IF(D656&lt;'PlayerGrades+'!$AA$5,"A",IF(D656&lt;'PlayerGrades+'!$AA$4,"A+",IF(D656&lt;'PlayerGrades+'!$AA$3,"S-",IF(D656&lt;'PlayerGrades+'!$AA$2,"S","S+"))))))))))))))))))))</f>
        <v>#DIV/0!</v>
      </c>
      <c r="F656" s="1423" t="str">
        <f t="shared" si="13"/>
        <v>#DIV/0!</v>
      </c>
      <c r="G656" s="1423" t="str">
        <f>IF(F656&lt;'PlayerGrades+'!$AB$21,"F-",IF(F656&lt;'PlayerGrades+'!$AB$20,"F",IF(F656&lt;'PlayerGrades+'!$AB$19,"F+",IF(F656&lt;'PlayerGrades+'!$AB$18,"E-",IF(F656&lt;'PlayerGrades+'!$AB$17,"E",IF(F656&lt;'PlayerGrades+'!$AB$16,"E+",IF(F656&lt;'PlayerGrades+'!$AB$15,"D-",IF(F656&lt;'PlayerGrades+'!$AB$14,"D",IF(F656&lt;'PlayerGrades+'!$AB$13,"D+",IF(F656&lt;'PlayerGrades+'!$AB$12,"C-",IF(F656&lt;'PlayerGrades+'!$AB$11,"C",IF(F656&lt;'PlayerGrades+'!$AB$10,"C+",IF(F656&lt;'PlayerGrades+'!$AB$9,"B-",IF(F656&lt;'PlayerGrades+'!$AB$8,"B",IF(F656&lt;'PlayerGrades+'!$AB$7,"B+",IF(F656&lt;'PlayerGrades+'!$AB$6,"A-",IF(F656&lt;'PlayerGrades+'!$AB$5,"A",IF(F656&lt;'PlayerGrades+'!$AB$4,"A+",IF(F656&lt;'PlayerGrades+'!$AB$3,"S-",IF(F656&lt;'PlayerGrades+'!$AB$2,"S","S+"))))))))))))))))))))</f>
        <v>#DIV/0!</v>
      </c>
      <c r="H656" s="1423" t="str">
        <f t="shared" si="14"/>
        <v>#DIV/0!</v>
      </c>
      <c r="I656" s="1423" t="str">
        <f>IF(H656&lt;'PlayerGrades+'!$AC$21,"F-",IF(H656&lt;'PlayerGrades+'!$AC$20,"F",IF(H656&lt;'PlayerGrades+'!$AC$19,"F+",IF(H656&lt;'PlayerGrades+'!$AC$18,"E-",IF(H656&lt;'PlayerGrades+'!$AC$17,"E",IF(H656&lt;'PlayerGrades+'!$AC$16,"E+",IF(H656&lt;'PlayerGrades+'!$AC$15,"D-",IF(H656&lt;'PlayerGrades+'!$AC$14,"D",IF(H656&lt;'PlayerGrades+'!$AC$13,"D+",IF(H656&lt;'PlayerGrades+'!$AC$12,"C-",IF(H656&lt;'PlayerGrades+'!$AC$11,"C",IF(H656&lt;'PlayerGrades+'!$AC$10,"C+",IF(H656&lt;'PlayerGrades+'!$AC$9,"B-",IF(H656&lt;'PlayerGrades+'!$AC$8,"B",IF(H656&lt;'PlayerGrades+'!$AC$7,"B+",IF(H656&lt;'PlayerGrades+'!$AC$6,"A-",IF(H656&lt;'PlayerGrades+'!$AC$5,"A",IF(H656&lt;'PlayerGrades+'!$AC$4,"A+",IF(H656&lt;'PlayerGrades+'!$AC$3,"S-",IF(H656&lt;'PlayerGrades+'!$AC$2,"S","S+"))))))))))))))))))))</f>
        <v>#DIV/0!</v>
      </c>
      <c r="J656" s="1423" t="str">
        <f t="shared" si="15"/>
        <v>#DIV/0!</v>
      </c>
      <c r="K656" s="1423" t="str">
        <f>IF(J656&lt;'PlayerGrades+'!$AD$21,"F-",IF(J656&lt;'PlayerGrades+'!$AD$20,"F",IF(J656&lt;'PlayerGrades+'!$AD$19,"F+",IF(J656&lt;'PlayerGrades+'!$AD$18,"E-",IF(J656&lt;'PlayerGrades+'!$AD$17,"E",IF(J656&lt;'PlayerGrades+'!$AD$16,"E+",IF(J656&lt;'PlayerGrades+'!$AD$15,"D-",IF(J656&lt;'PlayerGrades+'!$AD$14,"D",IF(J656&lt;'PlayerGrades+'!$AD$13,"D+",IF(J656&lt;'PlayerGrades+'!$AD$12,"C-",IF(J656&lt;'PlayerGrades+'!$AD$11,"C",IF(J656&lt;'PlayerGrades+'!$AD$10,"C+",IF(J656&lt;'PlayerGrades+'!$AD$9,"B-",IF(J656&lt;'PlayerGrades+'!$AD$8,"B",IF(J656&lt;'PlayerGrades+'!$AD$7,"B+",IF(J656&lt;'PlayerGrades+'!$AD$6,"A-",IF(J656&lt;'PlayerGrades+'!$AD$5,"A",IF(J656&lt;'PlayerGrades+'!$AD$4,"A+",IF(J656&lt;'PlayerGrades+'!$AD$3,"S-",IF(J656&lt;'PlayerGrades+'!$AD$2,"S","S+"))))))))))))))))))))</f>
        <v>#DIV/0!</v>
      </c>
      <c r="L656" s="1176" t="str">
        <f t="shared" si="16"/>
        <v>#DIV/0!</v>
      </c>
      <c r="M656" s="992" t="str">
        <f>IF(L656&lt;'PlayerGrades+'!$AE$21,"F-",IF(L656&lt;'PlayerGrades+'!$AE$20,"F",IF(L656&lt;'PlayerGrades+'!$AE$19,"F+",IF(L656&lt;'PlayerGrades+'!$AE$18,"E-",IF(L656&lt;'PlayerGrades+'!$AE$17,"E",IF(L656&lt;'PlayerGrades+'!$AE$16,"E+",IF(L656&lt;'PlayerGrades+'!$AE$15,"D-",IF(L656&lt;'PlayerGrades+'!$AE$14,"D",IF(L656&lt;'PlayerGrades+'!$AE$13,"D+",IF(L656&lt;'PlayerGrades+'!$AE$12,"C-",IF(L656&lt;'PlayerGrades+'!$AE$11,"C",IF(L656&lt;'PlayerGrades+'!$AE$10,"C+",IF(L656&lt;'PlayerGrades+'!$AE$9,"B-",IF(L656&lt;'PlayerGrades+'!$AE$8,"B",IF(L656&lt;'PlayerGrades+'!$AE$7,"B+",IF(L656&lt;'PlayerGrades+'!$AE$6,"A-",IF(L656&lt;'PlayerGrades+'!$AE$5,"A",IF(L656&lt;'PlayerGrades+'!$AE$4,"A+",IF(L656&lt;'PlayerGrades+'!$AE$3,"S-",IF(L656&lt;'PlayerGrades+'!$AE$2,"S","S+"))))))))))))))))))))</f>
        <v>#DIV/0!</v>
      </c>
      <c r="N656" s="1423" t="str">
        <f t="shared" si="17"/>
        <v>#DIV/0!</v>
      </c>
      <c r="O656" s="1423" t="str">
        <f>IF(N656&lt;'PlayerGrades+'!$AF$21,"F-",IF(N656&lt;'PlayerGrades+'!$AF$20,"F",IF(N656&lt;'PlayerGrades+'!$AF$19,"F+",IF(N656&lt;'PlayerGrades+'!$AF$18,"E-",IF(N656&lt;'PlayerGrades+'!$AF$17,"E",IF(N656&lt;'PlayerGrades+'!$AF$16,"E+",IF(N656&lt;'PlayerGrades+'!$AF$15,"D-",IF(N656&lt;'PlayerGrades+'!$AF$14,"D",IF(N656&lt;'PlayerGrades+'!$AF$13,"D+",IF(N656&lt;'PlayerGrades+'!$AF$12,"C-",IF(N656&lt;'PlayerGrades+'!$AF$11,"C",IF(N656&lt;'PlayerGrades+'!$AF$10,"C+",IF(N656&lt;'PlayerGrades+'!$AF$9,"B-",IF(N656&lt;'PlayerGrades+'!$AF$8,"B",IF(N656&lt;'PlayerGrades+'!$AF$7,"B+",IF(N656&lt;'PlayerGrades+'!$AF$6,"A-",IF(N656&lt;'PlayerGrades+'!$AF$5,"A",IF(N656&lt;'PlayerGrades+'!$AF$4,"A+",IF(N656&lt;'PlayerGrades+'!$AF$3,"S-",IF(N656&lt;'PlayerGrades+'!$AF$2,"S","S+"))))))))))))))))))))</f>
        <v>#DIV/0!</v>
      </c>
      <c r="P656" s="1423" t="str">
        <f t="shared" si="18"/>
        <v>#DIV/0!</v>
      </c>
      <c r="Q656" s="1423" t="str">
        <f>IF(P656&lt;'PlayerGrades+'!$AG$21,"F-",IF(P656&lt;'PlayerGrades+'!$AG$20,"F",IF(P656&lt;'PlayerGrades+'!$AG$19,"F+",IF(P656&lt;'PlayerGrades+'!$AG$18,"E-",IF(P656&lt;'PlayerGrades+'!$AG$17,"E",IF(P656&lt;'PlayerGrades+'!$AG$16,"E+",IF(P656&lt;'PlayerGrades+'!$AG$15,"D-",IF(P656&lt;'PlayerGrades+'!$AG$14,"D",IF(P656&lt;'PlayerGrades+'!$AG$13,"D+",IF(P656&lt;'PlayerGrades+'!$AG$12,"C-",IF(P656&lt;'PlayerGrades+'!$AG$11,"C",IF(P656&lt;'PlayerGrades+'!$AG$10,"C+",IF(P656&lt;'PlayerGrades+'!$AG$9,"B-",IF(P656&lt;'PlayerGrades+'!$AG$8,"B",IF(P656&lt;'PlayerGrades+'!$AG$7,"B+",IF(P656&lt;'PlayerGrades+'!$AG$6,"A-",IF(P656&lt;'PlayerGrades+'!$AG$5,"A",IF(P656&lt;'PlayerGrades+'!$AG$4,"A+",IF(P656&lt;'PlayerGrades+'!$AG$3,"S-",IF(P656&lt;'PlayerGrades+'!$AG$2,"S","S+"))))))))))))))))))))</f>
        <v>#DIV/0!</v>
      </c>
      <c r="R656" s="1423" t="str">
        <f t="shared" si="19"/>
        <v>#REF!</v>
      </c>
      <c r="S656" s="1423" t="str">
        <f>IF(R656&lt;'PlayerGrades+'!$AH$21,"F-",IF(R656&lt;'PlayerGrades+'!$AH$20,"F",IF(R656&lt;'PlayerGrades+'!$AH$19,"F+",IF(R656&lt;'PlayerGrades+'!$AH$18,"E-",IF(R656&lt;'PlayerGrades+'!$AH$17,"E",IF(R656&lt;'PlayerGrades+'!$AH$16,"E+",IF(R656&lt;'PlayerGrades+'!$AH$15,"D-",IF(R656&lt;'PlayerGrades+'!$AH$14,"D",IF(R656&lt;'PlayerGrades+'!$AH$13,"D+",IF(R656&lt;'PlayerGrades+'!$AH$12,"C-",IF(R656&lt;'PlayerGrades+'!$AH$11,"C",IF(R656&lt;'PlayerGrades+'!$AH$10,"C+",IF(R656&lt;'PlayerGrades+'!$AH$9,"B-",IF(R656&lt;'PlayerGrades+'!$AH$8,"B",IF(R656&lt;'PlayerGrades+'!$AH$7,"B+",IF(R656&lt;'PlayerGrades+'!$AH$6,"A-",IF(R656&lt;'PlayerGrades+'!$AH$5,"A",IF(R656&lt;'PlayerGrades+'!$AH$4,"A+",IF(R656&lt;'PlayerGrades+'!$AH$3,"S-",IF(R656&lt;'PlayerGrades+'!$AH$2,"S","S+"))))))))))))))))))))</f>
        <v>#REF!</v>
      </c>
      <c r="T656" s="1423" t="str">
        <f t="shared" si="20"/>
        <v>#REF!</v>
      </c>
      <c r="U656" s="1423" t="str">
        <f>IF(T656&lt;'PlayerGrades+'!$AI$21,"F-",IF(T656&lt;'PlayerGrades+'!$AI$20,"F",IF(T656&lt;'PlayerGrades+'!$AI$19,"F+",IF(T656&lt;'PlayerGrades+'!$AI$18,"E-",IF(T656&lt;'PlayerGrades+'!$AI$17,"E",IF(T656&lt;'PlayerGrades+'!$AI$16,"E+",IF(T656&lt;'PlayerGrades+'!$AI$15,"D-",IF(T656&lt;'PlayerGrades+'!$AI$14,"D",IF(T656&lt;'PlayerGrades+'!$AI$13,"D+",IF(T656&lt;'PlayerGrades+'!$AI$12,"C-",IF(T656&lt;'PlayerGrades+'!$AI$11,"C",IF(T656&lt;'PlayerGrades+'!$AI$10,"C+",IF(T656&lt;'PlayerGrades+'!$AI$9,"B-",IF(T656&lt;'PlayerGrades+'!$AI$8,"B",IF(T656&lt;'PlayerGrades+'!$AI$7,"B+",IF(T656&lt;'PlayerGrades+'!$AI$6,"A-",IF(T656&lt;'PlayerGrades+'!$AI$5,"A",IF(T656&lt;'PlayerGrades+'!$AI$4,"A+",IF(T656&lt;'PlayerGrades+'!$AI$3,"S-",IF(T656&lt;'PlayerGrades+'!$AI$2,"S","S+"))))))))))))))))))))</f>
        <v>#REF!</v>
      </c>
      <c r="AC656" s="1392"/>
    </row>
    <row r="657">
      <c r="A657" s="1411"/>
      <c r="B657" s="1421" t="str">
        <f>IF(C657&lt;'PlayerGrades+'!$Y$44,"F-",IF(C657&lt;'PlayerGrades+'!$Y$43,"F",IF(C657&lt;'PlayerGrades+'!$Y$42,"F+",IF(C657&lt;'PlayerGrades+'!$Y$41,"E-",IF(C657&lt;'PlayerGrades+'!$Y$40,"E",IF(C657&lt;'PlayerGrades+'!$Y$39,"E+",IF(C657&lt;'PlayerGrades+'!$Y$38,"D-",IF(C657&lt;'PlayerGrades+'!$Y$37,"D",IF(C657&lt;'PlayerGrades+'!$Y$36,"D+",IF(C657&lt;'PlayerGrades+'!$Y$35,"C-",IF(C657&lt;'PlayerGrades+'!$Y$34,"C",IF(C657&lt;'PlayerGrades+'!$Y$33,"C+",IF(C657&lt;'PlayerGrades+'!$Y$32,"B-",IF(C657&lt;'PlayerGrades+'!$Y$31,"B",IF(C657&lt;'PlayerGrades+'!$Y$30,"B+",IF(C657&lt;'PlayerGrades+'!$Y$29,"A-",IF(C657&lt;'PlayerGrades+'!$Y$28,"A",IF(C657&lt;'PlayerGrades+'!$Y$27,"A+",IF(C657&lt;'PlayerGrades+'!$Y$26,"S-",IF(C657&lt;'PlayerGrades+'!$Y$25,"S","S+"))))))))))))))))))))</f>
        <v>#DIV/0!</v>
      </c>
      <c r="C657" s="1422" t="str">
        <f>('PlayerGrades+'!$Y$47*(VLOOKUP(E657, 'PlayerGrades+'!$X$3:$Y$23, 2, FALSE)))+('PlayerGrades+'!$Y$48*(VLOOKUP(G657, 'PlayerGrades+'!$X$3:$Y$23, 2, FALSE)))+('PlayerGrades+'!$Y$49*(VLOOKUP(I657, 'PlayerGrades+'!$X$3:$Y$23, 2, FALSE)))+('PlayerGrades+'!$Y$50*(VLOOKUP(K657, 'PlayerGrades+'!$X$3:$Y$23, 2, FALSE)))+('PlayerGrades+'!$Y$51*(VLOOKUP(M657, 'PlayerGrades+'!$X$3:$Y$23, 2, FALSE)))+('PlayerGrades+'!$Y$52*(VLOOKUP(O657, 'PlayerGrades+'!$X$3:$Y$23, 2, FALSE)))+('PlayerGrades+'!$Y$53*(VLOOKUP(Q657, 'PlayerGrades+'!$X$3:$Y$23, 2, FALSE)))+('PlayerGrades+'!$Y$54*(VLOOKUP(S657, 'PlayerGrades+'!$X$3:$Y$23, 2, FALSE)))+('PlayerGrades+'!$Y$55*(VLOOKUP(U657, 'PlayerGrades+'!$X$3:$Y$23, 2, FALSE)))</f>
        <v>#DIV/0!</v>
      </c>
      <c r="D657" s="1423" t="str">
        <f t="shared" si="12"/>
        <v>#DIV/0!</v>
      </c>
      <c r="E657" s="1423" t="str">
        <f>IF(D657&lt;'PlayerGrades+'!$AA$21,"F-",IF(D657&lt;'PlayerGrades+'!$AA$20,"F",IF(D657&lt;'PlayerGrades+'!$AA$19,"F+",IF(D657&lt;'PlayerGrades+'!$AA$18,"E-",IF(D657&lt;'PlayerGrades+'!$AA$17,"E",IF(D657&lt;'PlayerGrades+'!$AA$16,"E+",IF(D657&lt;'PlayerGrades+'!$AA$15,"D-",IF(D657&lt;'PlayerGrades+'!$AA$14,"D",IF(D657&lt;'PlayerGrades+'!$AA$13,"D+",IF(D657&lt;'PlayerGrades+'!$AA$12,"C-",IF(D657&lt;'PlayerGrades+'!$AA$11,"C",IF(D657&lt;'PlayerGrades+'!$AA$10,"C+",IF(D657&lt;'PlayerGrades+'!$AA$9,"B-",IF(D657&lt;'PlayerGrades+'!$AA$8,"B",IF(D657&lt;'PlayerGrades+'!$AA$7,"B+",IF(D657&lt;'PlayerGrades+'!$AA$6,"A-",IF(D657&lt;'PlayerGrades+'!$AA$5,"A",IF(D657&lt;'PlayerGrades+'!$AA$4,"A+",IF(D657&lt;'PlayerGrades+'!$AA$3,"S-",IF(D657&lt;'PlayerGrades+'!$AA$2,"S","S+"))))))))))))))))))))</f>
        <v>#DIV/0!</v>
      </c>
      <c r="F657" s="1423" t="str">
        <f t="shared" si="13"/>
        <v>#DIV/0!</v>
      </c>
      <c r="G657" s="1423" t="str">
        <f>IF(F657&lt;'PlayerGrades+'!$AB$21,"F-",IF(F657&lt;'PlayerGrades+'!$AB$20,"F",IF(F657&lt;'PlayerGrades+'!$AB$19,"F+",IF(F657&lt;'PlayerGrades+'!$AB$18,"E-",IF(F657&lt;'PlayerGrades+'!$AB$17,"E",IF(F657&lt;'PlayerGrades+'!$AB$16,"E+",IF(F657&lt;'PlayerGrades+'!$AB$15,"D-",IF(F657&lt;'PlayerGrades+'!$AB$14,"D",IF(F657&lt;'PlayerGrades+'!$AB$13,"D+",IF(F657&lt;'PlayerGrades+'!$AB$12,"C-",IF(F657&lt;'PlayerGrades+'!$AB$11,"C",IF(F657&lt;'PlayerGrades+'!$AB$10,"C+",IF(F657&lt;'PlayerGrades+'!$AB$9,"B-",IF(F657&lt;'PlayerGrades+'!$AB$8,"B",IF(F657&lt;'PlayerGrades+'!$AB$7,"B+",IF(F657&lt;'PlayerGrades+'!$AB$6,"A-",IF(F657&lt;'PlayerGrades+'!$AB$5,"A",IF(F657&lt;'PlayerGrades+'!$AB$4,"A+",IF(F657&lt;'PlayerGrades+'!$AB$3,"S-",IF(F657&lt;'PlayerGrades+'!$AB$2,"S","S+"))))))))))))))))))))</f>
        <v>#DIV/0!</v>
      </c>
      <c r="H657" s="1423" t="str">
        <f t="shared" si="14"/>
        <v>#DIV/0!</v>
      </c>
      <c r="I657" s="1423" t="str">
        <f>IF(H657&lt;'PlayerGrades+'!$AC$21,"F-",IF(H657&lt;'PlayerGrades+'!$AC$20,"F",IF(H657&lt;'PlayerGrades+'!$AC$19,"F+",IF(H657&lt;'PlayerGrades+'!$AC$18,"E-",IF(H657&lt;'PlayerGrades+'!$AC$17,"E",IF(H657&lt;'PlayerGrades+'!$AC$16,"E+",IF(H657&lt;'PlayerGrades+'!$AC$15,"D-",IF(H657&lt;'PlayerGrades+'!$AC$14,"D",IF(H657&lt;'PlayerGrades+'!$AC$13,"D+",IF(H657&lt;'PlayerGrades+'!$AC$12,"C-",IF(H657&lt;'PlayerGrades+'!$AC$11,"C",IF(H657&lt;'PlayerGrades+'!$AC$10,"C+",IF(H657&lt;'PlayerGrades+'!$AC$9,"B-",IF(H657&lt;'PlayerGrades+'!$AC$8,"B",IF(H657&lt;'PlayerGrades+'!$AC$7,"B+",IF(H657&lt;'PlayerGrades+'!$AC$6,"A-",IF(H657&lt;'PlayerGrades+'!$AC$5,"A",IF(H657&lt;'PlayerGrades+'!$AC$4,"A+",IF(H657&lt;'PlayerGrades+'!$AC$3,"S-",IF(H657&lt;'PlayerGrades+'!$AC$2,"S","S+"))))))))))))))))))))</f>
        <v>#DIV/0!</v>
      </c>
      <c r="J657" s="1423" t="str">
        <f t="shared" si="15"/>
        <v>#DIV/0!</v>
      </c>
      <c r="K657" s="1423" t="str">
        <f>IF(J657&lt;'PlayerGrades+'!$AD$21,"F-",IF(J657&lt;'PlayerGrades+'!$AD$20,"F",IF(J657&lt;'PlayerGrades+'!$AD$19,"F+",IF(J657&lt;'PlayerGrades+'!$AD$18,"E-",IF(J657&lt;'PlayerGrades+'!$AD$17,"E",IF(J657&lt;'PlayerGrades+'!$AD$16,"E+",IF(J657&lt;'PlayerGrades+'!$AD$15,"D-",IF(J657&lt;'PlayerGrades+'!$AD$14,"D",IF(J657&lt;'PlayerGrades+'!$AD$13,"D+",IF(J657&lt;'PlayerGrades+'!$AD$12,"C-",IF(J657&lt;'PlayerGrades+'!$AD$11,"C",IF(J657&lt;'PlayerGrades+'!$AD$10,"C+",IF(J657&lt;'PlayerGrades+'!$AD$9,"B-",IF(J657&lt;'PlayerGrades+'!$AD$8,"B",IF(J657&lt;'PlayerGrades+'!$AD$7,"B+",IF(J657&lt;'PlayerGrades+'!$AD$6,"A-",IF(J657&lt;'PlayerGrades+'!$AD$5,"A",IF(J657&lt;'PlayerGrades+'!$AD$4,"A+",IF(J657&lt;'PlayerGrades+'!$AD$3,"S-",IF(J657&lt;'PlayerGrades+'!$AD$2,"S","S+"))))))))))))))))))))</f>
        <v>#DIV/0!</v>
      </c>
      <c r="L657" s="1176" t="str">
        <f t="shared" si="16"/>
        <v>#DIV/0!</v>
      </c>
      <c r="M657" s="992" t="str">
        <f>IF(L657&lt;'PlayerGrades+'!$AE$21,"F-",IF(L657&lt;'PlayerGrades+'!$AE$20,"F",IF(L657&lt;'PlayerGrades+'!$AE$19,"F+",IF(L657&lt;'PlayerGrades+'!$AE$18,"E-",IF(L657&lt;'PlayerGrades+'!$AE$17,"E",IF(L657&lt;'PlayerGrades+'!$AE$16,"E+",IF(L657&lt;'PlayerGrades+'!$AE$15,"D-",IF(L657&lt;'PlayerGrades+'!$AE$14,"D",IF(L657&lt;'PlayerGrades+'!$AE$13,"D+",IF(L657&lt;'PlayerGrades+'!$AE$12,"C-",IF(L657&lt;'PlayerGrades+'!$AE$11,"C",IF(L657&lt;'PlayerGrades+'!$AE$10,"C+",IF(L657&lt;'PlayerGrades+'!$AE$9,"B-",IF(L657&lt;'PlayerGrades+'!$AE$8,"B",IF(L657&lt;'PlayerGrades+'!$AE$7,"B+",IF(L657&lt;'PlayerGrades+'!$AE$6,"A-",IF(L657&lt;'PlayerGrades+'!$AE$5,"A",IF(L657&lt;'PlayerGrades+'!$AE$4,"A+",IF(L657&lt;'PlayerGrades+'!$AE$3,"S-",IF(L657&lt;'PlayerGrades+'!$AE$2,"S","S+"))))))))))))))))))))</f>
        <v>#DIV/0!</v>
      </c>
      <c r="N657" s="1423" t="str">
        <f t="shared" si="17"/>
        <v>#DIV/0!</v>
      </c>
      <c r="O657" s="1423" t="str">
        <f>IF(N657&lt;'PlayerGrades+'!$AF$21,"F-",IF(N657&lt;'PlayerGrades+'!$AF$20,"F",IF(N657&lt;'PlayerGrades+'!$AF$19,"F+",IF(N657&lt;'PlayerGrades+'!$AF$18,"E-",IF(N657&lt;'PlayerGrades+'!$AF$17,"E",IF(N657&lt;'PlayerGrades+'!$AF$16,"E+",IF(N657&lt;'PlayerGrades+'!$AF$15,"D-",IF(N657&lt;'PlayerGrades+'!$AF$14,"D",IF(N657&lt;'PlayerGrades+'!$AF$13,"D+",IF(N657&lt;'PlayerGrades+'!$AF$12,"C-",IF(N657&lt;'PlayerGrades+'!$AF$11,"C",IF(N657&lt;'PlayerGrades+'!$AF$10,"C+",IF(N657&lt;'PlayerGrades+'!$AF$9,"B-",IF(N657&lt;'PlayerGrades+'!$AF$8,"B",IF(N657&lt;'PlayerGrades+'!$AF$7,"B+",IF(N657&lt;'PlayerGrades+'!$AF$6,"A-",IF(N657&lt;'PlayerGrades+'!$AF$5,"A",IF(N657&lt;'PlayerGrades+'!$AF$4,"A+",IF(N657&lt;'PlayerGrades+'!$AF$3,"S-",IF(N657&lt;'PlayerGrades+'!$AF$2,"S","S+"))))))))))))))))))))</f>
        <v>#DIV/0!</v>
      </c>
      <c r="P657" s="1423" t="str">
        <f t="shared" si="18"/>
        <v>#DIV/0!</v>
      </c>
      <c r="Q657" s="1423" t="str">
        <f>IF(P657&lt;'PlayerGrades+'!$AG$21,"F-",IF(P657&lt;'PlayerGrades+'!$AG$20,"F",IF(P657&lt;'PlayerGrades+'!$AG$19,"F+",IF(P657&lt;'PlayerGrades+'!$AG$18,"E-",IF(P657&lt;'PlayerGrades+'!$AG$17,"E",IF(P657&lt;'PlayerGrades+'!$AG$16,"E+",IF(P657&lt;'PlayerGrades+'!$AG$15,"D-",IF(P657&lt;'PlayerGrades+'!$AG$14,"D",IF(P657&lt;'PlayerGrades+'!$AG$13,"D+",IF(P657&lt;'PlayerGrades+'!$AG$12,"C-",IF(P657&lt;'PlayerGrades+'!$AG$11,"C",IF(P657&lt;'PlayerGrades+'!$AG$10,"C+",IF(P657&lt;'PlayerGrades+'!$AG$9,"B-",IF(P657&lt;'PlayerGrades+'!$AG$8,"B",IF(P657&lt;'PlayerGrades+'!$AG$7,"B+",IF(P657&lt;'PlayerGrades+'!$AG$6,"A-",IF(P657&lt;'PlayerGrades+'!$AG$5,"A",IF(P657&lt;'PlayerGrades+'!$AG$4,"A+",IF(P657&lt;'PlayerGrades+'!$AG$3,"S-",IF(P657&lt;'PlayerGrades+'!$AG$2,"S","S+"))))))))))))))))))))</f>
        <v>#DIV/0!</v>
      </c>
      <c r="R657" s="1423" t="str">
        <f t="shared" si="19"/>
        <v>#REF!</v>
      </c>
      <c r="S657" s="1423" t="str">
        <f>IF(R657&lt;'PlayerGrades+'!$AH$21,"F-",IF(R657&lt;'PlayerGrades+'!$AH$20,"F",IF(R657&lt;'PlayerGrades+'!$AH$19,"F+",IF(R657&lt;'PlayerGrades+'!$AH$18,"E-",IF(R657&lt;'PlayerGrades+'!$AH$17,"E",IF(R657&lt;'PlayerGrades+'!$AH$16,"E+",IF(R657&lt;'PlayerGrades+'!$AH$15,"D-",IF(R657&lt;'PlayerGrades+'!$AH$14,"D",IF(R657&lt;'PlayerGrades+'!$AH$13,"D+",IF(R657&lt;'PlayerGrades+'!$AH$12,"C-",IF(R657&lt;'PlayerGrades+'!$AH$11,"C",IF(R657&lt;'PlayerGrades+'!$AH$10,"C+",IF(R657&lt;'PlayerGrades+'!$AH$9,"B-",IF(R657&lt;'PlayerGrades+'!$AH$8,"B",IF(R657&lt;'PlayerGrades+'!$AH$7,"B+",IF(R657&lt;'PlayerGrades+'!$AH$6,"A-",IF(R657&lt;'PlayerGrades+'!$AH$5,"A",IF(R657&lt;'PlayerGrades+'!$AH$4,"A+",IF(R657&lt;'PlayerGrades+'!$AH$3,"S-",IF(R657&lt;'PlayerGrades+'!$AH$2,"S","S+"))))))))))))))))))))</f>
        <v>#REF!</v>
      </c>
      <c r="T657" s="1423" t="str">
        <f t="shared" si="20"/>
        <v>#REF!</v>
      </c>
      <c r="U657" s="1423" t="str">
        <f>IF(T657&lt;'PlayerGrades+'!$AI$21,"F-",IF(T657&lt;'PlayerGrades+'!$AI$20,"F",IF(T657&lt;'PlayerGrades+'!$AI$19,"F+",IF(T657&lt;'PlayerGrades+'!$AI$18,"E-",IF(T657&lt;'PlayerGrades+'!$AI$17,"E",IF(T657&lt;'PlayerGrades+'!$AI$16,"E+",IF(T657&lt;'PlayerGrades+'!$AI$15,"D-",IF(T657&lt;'PlayerGrades+'!$AI$14,"D",IF(T657&lt;'PlayerGrades+'!$AI$13,"D+",IF(T657&lt;'PlayerGrades+'!$AI$12,"C-",IF(T657&lt;'PlayerGrades+'!$AI$11,"C",IF(T657&lt;'PlayerGrades+'!$AI$10,"C+",IF(T657&lt;'PlayerGrades+'!$AI$9,"B-",IF(T657&lt;'PlayerGrades+'!$AI$8,"B",IF(T657&lt;'PlayerGrades+'!$AI$7,"B+",IF(T657&lt;'PlayerGrades+'!$AI$6,"A-",IF(T657&lt;'PlayerGrades+'!$AI$5,"A",IF(T657&lt;'PlayerGrades+'!$AI$4,"A+",IF(T657&lt;'PlayerGrades+'!$AI$3,"S-",IF(T657&lt;'PlayerGrades+'!$AI$2,"S","S+"))))))))))))))))))))</f>
        <v>#REF!</v>
      </c>
      <c r="V657" s="1386"/>
      <c r="W657" s="1386"/>
      <c r="X657" s="1386"/>
      <c r="Y657" s="1386"/>
      <c r="Z657" s="1386"/>
      <c r="AA657" s="1386"/>
      <c r="AB657" s="1386"/>
      <c r="AC657" s="1397"/>
      <c r="AD657" s="1386"/>
      <c r="AE657" s="1386"/>
      <c r="AF657" s="1386"/>
      <c r="AG657" s="1386"/>
      <c r="AH657" s="1386"/>
      <c r="AI657" s="1386"/>
      <c r="AJ657" s="1386"/>
      <c r="AK657" s="1386"/>
      <c r="AL657" s="1386"/>
      <c r="AM657" s="1386"/>
      <c r="AN657" s="1386"/>
      <c r="AO657" s="1386"/>
      <c r="AP657" s="1386"/>
      <c r="AQ657" s="1386"/>
      <c r="AR657" s="1386"/>
      <c r="AS657" s="1386"/>
      <c r="AT657" s="1386"/>
      <c r="AU657" s="1386"/>
      <c r="AV657" s="1386"/>
      <c r="AW657" s="1386"/>
      <c r="AX657" s="1386"/>
      <c r="AY657" s="1386"/>
      <c r="AZ657" s="1386"/>
    </row>
    <row r="658">
      <c r="A658" s="1260" t="s">
        <v>286</v>
      </c>
      <c r="B658" s="1421" t="str">
        <f>IF(C658&lt;'PlayerGrades+'!$Y$44,"F-",IF(C658&lt;'PlayerGrades+'!$Y$43,"F",IF(C658&lt;'PlayerGrades+'!$Y$42,"F+",IF(C658&lt;'PlayerGrades+'!$Y$41,"E-",IF(C658&lt;'PlayerGrades+'!$Y$40,"E",IF(C658&lt;'PlayerGrades+'!$Y$39,"E+",IF(C658&lt;'PlayerGrades+'!$Y$38,"D-",IF(C658&lt;'PlayerGrades+'!$Y$37,"D",IF(C658&lt;'PlayerGrades+'!$Y$36,"D+",IF(C658&lt;'PlayerGrades+'!$Y$35,"C-",IF(C658&lt;'PlayerGrades+'!$Y$34,"C",IF(C658&lt;'PlayerGrades+'!$Y$33,"C+",IF(C658&lt;'PlayerGrades+'!$Y$32,"B-",IF(C658&lt;'PlayerGrades+'!$Y$31,"B",IF(C658&lt;'PlayerGrades+'!$Y$30,"B+",IF(C658&lt;'PlayerGrades+'!$Y$29,"A-",IF(C658&lt;'PlayerGrades+'!$Y$28,"A",IF(C658&lt;'PlayerGrades+'!$Y$27,"A+",IF(C658&lt;'PlayerGrades+'!$Y$26,"S-",IF(C658&lt;'PlayerGrades+'!$Y$25,"S","S+"))))))))))))))))))))</f>
        <v>#DIV/0!</v>
      </c>
      <c r="C658" s="1422" t="str">
        <f>('PlayerGrades+'!$Y$47*(VLOOKUP(E658, 'PlayerGrades+'!$X$3:$Y$23, 2, FALSE)))+('PlayerGrades+'!$Y$48*(VLOOKUP(G658, 'PlayerGrades+'!$X$3:$Y$23, 2, FALSE)))+('PlayerGrades+'!$Y$49*(VLOOKUP(I658, 'PlayerGrades+'!$X$3:$Y$23, 2, FALSE)))+('PlayerGrades+'!$Y$50*(VLOOKUP(K658, 'PlayerGrades+'!$X$3:$Y$23, 2, FALSE)))+('PlayerGrades+'!$Y$51*(VLOOKUP(M658, 'PlayerGrades+'!$X$3:$Y$23, 2, FALSE)))+('PlayerGrades+'!$Y$52*(VLOOKUP(O658, 'PlayerGrades+'!$X$3:$Y$23, 2, FALSE)))+('PlayerGrades+'!$Y$53*(VLOOKUP(Q658, 'PlayerGrades+'!$X$3:$Y$23, 2, FALSE)))+('PlayerGrades+'!$Y$54*(VLOOKUP(S658, 'PlayerGrades+'!$X$3:$Y$23, 2, FALSE)))+('PlayerGrades+'!$Y$55*(VLOOKUP(U658, 'PlayerGrades+'!$X$3:$Y$23, 2, FALSE)))</f>
        <v>#DIV/0!</v>
      </c>
      <c r="D658" s="1423" t="str">
        <f t="shared" si="12"/>
        <v>#DIV/0!</v>
      </c>
      <c r="E658" s="1423" t="str">
        <f>IF(D658&lt;'PlayerGrades+'!$AA$21,"F-",IF(D658&lt;'PlayerGrades+'!$AA$20,"F",IF(D658&lt;'PlayerGrades+'!$AA$19,"F+",IF(D658&lt;'PlayerGrades+'!$AA$18,"E-",IF(D658&lt;'PlayerGrades+'!$AA$17,"E",IF(D658&lt;'PlayerGrades+'!$AA$16,"E+",IF(D658&lt;'PlayerGrades+'!$AA$15,"D-",IF(D658&lt;'PlayerGrades+'!$AA$14,"D",IF(D658&lt;'PlayerGrades+'!$AA$13,"D+",IF(D658&lt;'PlayerGrades+'!$AA$12,"C-",IF(D658&lt;'PlayerGrades+'!$AA$11,"C",IF(D658&lt;'PlayerGrades+'!$AA$10,"C+",IF(D658&lt;'PlayerGrades+'!$AA$9,"B-",IF(D658&lt;'PlayerGrades+'!$AA$8,"B",IF(D658&lt;'PlayerGrades+'!$AA$7,"B+",IF(D658&lt;'PlayerGrades+'!$AA$6,"A-",IF(D658&lt;'PlayerGrades+'!$AA$5,"A",IF(D658&lt;'PlayerGrades+'!$AA$4,"A+",IF(D658&lt;'PlayerGrades+'!$AA$3,"S-",IF(D658&lt;'PlayerGrades+'!$AA$2,"S","S+"))))))))))))))))))))</f>
        <v>#DIV/0!</v>
      </c>
      <c r="F658" s="1423" t="str">
        <f t="shared" si="13"/>
        <v>#DIV/0!</v>
      </c>
      <c r="G658" s="1423" t="str">
        <f>IF(F658&lt;'PlayerGrades+'!$AB$21,"F-",IF(F658&lt;'PlayerGrades+'!$AB$20,"F",IF(F658&lt;'PlayerGrades+'!$AB$19,"F+",IF(F658&lt;'PlayerGrades+'!$AB$18,"E-",IF(F658&lt;'PlayerGrades+'!$AB$17,"E",IF(F658&lt;'PlayerGrades+'!$AB$16,"E+",IF(F658&lt;'PlayerGrades+'!$AB$15,"D-",IF(F658&lt;'PlayerGrades+'!$AB$14,"D",IF(F658&lt;'PlayerGrades+'!$AB$13,"D+",IF(F658&lt;'PlayerGrades+'!$AB$12,"C-",IF(F658&lt;'PlayerGrades+'!$AB$11,"C",IF(F658&lt;'PlayerGrades+'!$AB$10,"C+",IF(F658&lt;'PlayerGrades+'!$AB$9,"B-",IF(F658&lt;'PlayerGrades+'!$AB$8,"B",IF(F658&lt;'PlayerGrades+'!$AB$7,"B+",IF(F658&lt;'PlayerGrades+'!$AB$6,"A-",IF(F658&lt;'PlayerGrades+'!$AB$5,"A",IF(F658&lt;'PlayerGrades+'!$AB$4,"A+",IF(F658&lt;'PlayerGrades+'!$AB$3,"S-",IF(F658&lt;'PlayerGrades+'!$AB$2,"S","S+"))))))))))))))))))))</f>
        <v>#DIV/0!</v>
      </c>
      <c r="H658" s="1423" t="str">
        <f t="shared" si="14"/>
        <v>#DIV/0!</v>
      </c>
      <c r="I658" s="1423" t="str">
        <f>IF(H658&lt;'PlayerGrades+'!$AC$21,"F-",IF(H658&lt;'PlayerGrades+'!$AC$20,"F",IF(H658&lt;'PlayerGrades+'!$AC$19,"F+",IF(H658&lt;'PlayerGrades+'!$AC$18,"E-",IF(H658&lt;'PlayerGrades+'!$AC$17,"E",IF(H658&lt;'PlayerGrades+'!$AC$16,"E+",IF(H658&lt;'PlayerGrades+'!$AC$15,"D-",IF(H658&lt;'PlayerGrades+'!$AC$14,"D",IF(H658&lt;'PlayerGrades+'!$AC$13,"D+",IF(H658&lt;'PlayerGrades+'!$AC$12,"C-",IF(H658&lt;'PlayerGrades+'!$AC$11,"C",IF(H658&lt;'PlayerGrades+'!$AC$10,"C+",IF(H658&lt;'PlayerGrades+'!$AC$9,"B-",IF(H658&lt;'PlayerGrades+'!$AC$8,"B",IF(H658&lt;'PlayerGrades+'!$AC$7,"B+",IF(H658&lt;'PlayerGrades+'!$AC$6,"A-",IF(H658&lt;'PlayerGrades+'!$AC$5,"A",IF(H658&lt;'PlayerGrades+'!$AC$4,"A+",IF(H658&lt;'PlayerGrades+'!$AC$3,"S-",IF(H658&lt;'PlayerGrades+'!$AC$2,"S","S+"))))))))))))))))))))</f>
        <v>#DIV/0!</v>
      </c>
      <c r="J658" s="1423" t="str">
        <f t="shared" si="15"/>
        <v>#DIV/0!</v>
      </c>
      <c r="K658" s="1423" t="str">
        <f>IF(J658&lt;'PlayerGrades+'!$AD$21,"F-",IF(J658&lt;'PlayerGrades+'!$AD$20,"F",IF(J658&lt;'PlayerGrades+'!$AD$19,"F+",IF(J658&lt;'PlayerGrades+'!$AD$18,"E-",IF(J658&lt;'PlayerGrades+'!$AD$17,"E",IF(J658&lt;'PlayerGrades+'!$AD$16,"E+",IF(J658&lt;'PlayerGrades+'!$AD$15,"D-",IF(J658&lt;'PlayerGrades+'!$AD$14,"D",IF(J658&lt;'PlayerGrades+'!$AD$13,"D+",IF(J658&lt;'PlayerGrades+'!$AD$12,"C-",IF(J658&lt;'PlayerGrades+'!$AD$11,"C",IF(J658&lt;'PlayerGrades+'!$AD$10,"C+",IF(J658&lt;'PlayerGrades+'!$AD$9,"B-",IF(J658&lt;'PlayerGrades+'!$AD$8,"B",IF(J658&lt;'PlayerGrades+'!$AD$7,"B+",IF(J658&lt;'PlayerGrades+'!$AD$6,"A-",IF(J658&lt;'PlayerGrades+'!$AD$5,"A",IF(J658&lt;'PlayerGrades+'!$AD$4,"A+",IF(J658&lt;'PlayerGrades+'!$AD$3,"S-",IF(J658&lt;'PlayerGrades+'!$AD$2,"S","S+"))))))))))))))))))))</f>
        <v>#DIV/0!</v>
      </c>
      <c r="L658" s="1176" t="str">
        <f t="shared" si="16"/>
        <v>#DIV/0!</v>
      </c>
      <c r="M658" s="992" t="str">
        <f>IF(L658&lt;'PlayerGrades+'!$AE$21,"F-",IF(L658&lt;'PlayerGrades+'!$AE$20,"F",IF(L658&lt;'PlayerGrades+'!$AE$19,"F+",IF(L658&lt;'PlayerGrades+'!$AE$18,"E-",IF(L658&lt;'PlayerGrades+'!$AE$17,"E",IF(L658&lt;'PlayerGrades+'!$AE$16,"E+",IF(L658&lt;'PlayerGrades+'!$AE$15,"D-",IF(L658&lt;'PlayerGrades+'!$AE$14,"D",IF(L658&lt;'PlayerGrades+'!$AE$13,"D+",IF(L658&lt;'PlayerGrades+'!$AE$12,"C-",IF(L658&lt;'PlayerGrades+'!$AE$11,"C",IF(L658&lt;'PlayerGrades+'!$AE$10,"C+",IF(L658&lt;'PlayerGrades+'!$AE$9,"B-",IF(L658&lt;'PlayerGrades+'!$AE$8,"B",IF(L658&lt;'PlayerGrades+'!$AE$7,"B+",IF(L658&lt;'PlayerGrades+'!$AE$6,"A-",IF(L658&lt;'PlayerGrades+'!$AE$5,"A",IF(L658&lt;'PlayerGrades+'!$AE$4,"A+",IF(L658&lt;'PlayerGrades+'!$AE$3,"S-",IF(L658&lt;'PlayerGrades+'!$AE$2,"S","S+"))))))))))))))))))))</f>
        <v>#DIV/0!</v>
      </c>
      <c r="N658" s="1423" t="str">
        <f t="shared" si="17"/>
        <v>#DIV/0!</v>
      </c>
      <c r="O658" s="1423" t="str">
        <f>IF(N658&lt;'PlayerGrades+'!$AF$21,"F-",IF(N658&lt;'PlayerGrades+'!$AF$20,"F",IF(N658&lt;'PlayerGrades+'!$AF$19,"F+",IF(N658&lt;'PlayerGrades+'!$AF$18,"E-",IF(N658&lt;'PlayerGrades+'!$AF$17,"E",IF(N658&lt;'PlayerGrades+'!$AF$16,"E+",IF(N658&lt;'PlayerGrades+'!$AF$15,"D-",IF(N658&lt;'PlayerGrades+'!$AF$14,"D",IF(N658&lt;'PlayerGrades+'!$AF$13,"D+",IF(N658&lt;'PlayerGrades+'!$AF$12,"C-",IF(N658&lt;'PlayerGrades+'!$AF$11,"C",IF(N658&lt;'PlayerGrades+'!$AF$10,"C+",IF(N658&lt;'PlayerGrades+'!$AF$9,"B-",IF(N658&lt;'PlayerGrades+'!$AF$8,"B",IF(N658&lt;'PlayerGrades+'!$AF$7,"B+",IF(N658&lt;'PlayerGrades+'!$AF$6,"A-",IF(N658&lt;'PlayerGrades+'!$AF$5,"A",IF(N658&lt;'PlayerGrades+'!$AF$4,"A+",IF(N658&lt;'PlayerGrades+'!$AF$3,"S-",IF(N658&lt;'PlayerGrades+'!$AF$2,"S","S+"))))))))))))))))))))</f>
        <v>#DIV/0!</v>
      </c>
      <c r="P658" s="1423" t="str">
        <f t="shared" si="18"/>
        <v>#DIV/0!</v>
      </c>
      <c r="Q658" s="1423" t="str">
        <f>IF(P658&lt;'PlayerGrades+'!$AG$21,"F-",IF(P658&lt;'PlayerGrades+'!$AG$20,"F",IF(P658&lt;'PlayerGrades+'!$AG$19,"F+",IF(P658&lt;'PlayerGrades+'!$AG$18,"E-",IF(P658&lt;'PlayerGrades+'!$AG$17,"E",IF(P658&lt;'PlayerGrades+'!$AG$16,"E+",IF(P658&lt;'PlayerGrades+'!$AG$15,"D-",IF(P658&lt;'PlayerGrades+'!$AG$14,"D",IF(P658&lt;'PlayerGrades+'!$AG$13,"D+",IF(P658&lt;'PlayerGrades+'!$AG$12,"C-",IF(P658&lt;'PlayerGrades+'!$AG$11,"C",IF(P658&lt;'PlayerGrades+'!$AG$10,"C+",IF(P658&lt;'PlayerGrades+'!$AG$9,"B-",IF(P658&lt;'PlayerGrades+'!$AG$8,"B",IF(P658&lt;'PlayerGrades+'!$AG$7,"B+",IF(P658&lt;'PlayerGrades+'!$AG$6,"A-",IF(P658&lt;'PlayerGrades+'!$AG$5,"A",IF(P658&lt;'PlayerGrades+'!$AG$4,"A+",IF(P658&lt;'PlayerGrades+'!$AG$3,"S-",IF(P658&lt;'PlayerGrades+'!$AG$2,"S","S+"))))))))))))))))))))</f>
        <v>#DIV/0!</v>
      </c>
      <c r="R658" s="1423" t="str">
        <f t="shared" si="19"/>
        <v>#REF!</v>
      </c>
      <c r="S658" s="1423" t="str">
        <f>IF(R658&lt;'PlayerGrades+'!$AH$21,"F-",IF(R658&lt;'PlayerGrades+'!$AH$20,"F",IF(R658&lt;'PlayerGrades+'!$AH$19,"F+",IF(R658&lt;'PlayerGrades+'!$AH$18,"E-",IF(R658&lt;'PlayerGrades+'!$AH$17,"E",IF(R658&lt;'PlayerGrades+'!$AH$16,"E+",IF(R658&lt;'PlayerGrades+'!$AH$15,"D-",IF(R658&lt;'PlayerGrades+'!$AH$14,"D",IF(R658&lt;'PlayerGrades+'!$AH$13,"D+",IF(R658&lt;'PlayerGrades+'!$AH$12,"C-",IF(R658&lt;'PlayerGrades+'!$AH$11,"C",IF(R658&lt;'PlayerGrades+'!$AH$10,"C+",IF(R658&lt;'PlayerGrades+'!$AH$9,"B-",IF(R658&lt;'PlayerGrades+'!$AH$8,"B",IF(R658&lt;'PlayerGrades+'!$AH$7,"B+",IF(R658&lt;'PlayerGrades+'!$AH$6,"A-",IF(R658&lt;'PlayerGrades+'!$AH$5,"A",IF(R658&lt;'PlayerGrades+'!$AH$4,"A+",IF(R658&lt;'PlayerGrades+'!$AH$3,"S-",IF(R658&lt;'PlayerGrades+'!$AH$2,"S","S+"))))))))))))))))))))</f>
        <v>#REF!</v>
      </c>
      <c r="T658" s="1423" t="str">
        <f t="shared" si="20"/>
        <v>#REF!</v>
      </c>
      <c r="U658" s="1423" t="str">
        <f>IF(T658&lt;'PlayerGrades+'!$AI$21,"F-",IF(T658&lt;'PlayerGrades+'!$AI$20,"F",IF(T658&lt;'PlayerGrades+'!$AI$19,"F+",IF(T658&lt;'PlayerGrades+'!$AI$18,"E-",IF(T658&lt;'PlayerGrades+'!$AI$17,"E",IF(T658&lt;'PlayerGrades+'!$AI$16,"E+",IF(T658&lt;'PlayerGrades+'!$AI$15,"D-",IF(T658&lt;'PlayerGrades+'!$AI$14,"D",IF(T658&lt;'PlayerGrades+'!$AI$13,"D+",IF(T658&lt;'PlayerGrades+'!$AI$12,"C-",IF(T658&lt;'PlayerGrades+'!$AI$11,"C",IF(T658&lt;'PlayerGrades+'!$AI$10,"C+",IF(T658&lt;'PlayerGrades+'!$AI$9,"B-",IF(T658&lt;'PlayerGrades+'!$AI$8,"B",IF(T658&lt;'PlayerGrades+'!$AI$7,"B+",IF(T658&lt;'PlayerGrades+'!$AI$6,"A-",IF(T658&lt;'PlayerGrades+'!$AI$5,"A",IF(T658&lt;'PlayerGrades+'!$AI$4,"A+",IF(T658&lt;'PlayerGrades+'!$AI$3,"S-",IF(T658&lt;'PlayerGrades+'!$AI$2,"S","S+"))))))))))))))))))))</f>
        <v>#REF!</v>
      </c>
      <c r="V658" s="1260">
        <v>1.0</v>
      </c>
      <c r="Z658" s="1260">
        <v>20.0</v>
      </c>
      <c r="AA658" s="1260">
        <v>20.0</v>
      </c>
      <c r="AB658" s="1260">
        <v>0.0</v>
      </c>
      <c r="AC658" s="1392"/>
    </row>
    <row r="659">
      <c r="A659" s="1260" t="s">
        <v>44</v>
      </c>
      <c r="B659" s="1421" t="str">
        <f>IF(C659&lt;'PlayerGrades+'!$Y$44,"F-",IF(C659&lt;'PlayerGrades+'!$Y$43,"F",IF(C659&lt;'PlayerGrades+'!$Y$42,"F+",IF(C659&lt;'PlayerGrades+'!$Y$41,"E-",IF(C659&lt;'PlayerGrades+'!$Y$40,"E",IF(C659&lt;'PlayerGrades+'!$Y$39,"E+",IF(C659&lt;'PlayerGrades+'!$Y$38,"D-",IF(C659&lt;'PlayerGrades+'!$Y$37,"D",IF(C659&lt;'PlayerGrades+'!$Y$36,"D+",IF(C659&lt;'PlayerGrades+'!$Y$35,"C-",IF(C659&lt;'PlayerGrades+'!$Y$34,"C",IF(C659&lt;'PlayerGrades+'!$Y$33,"C+",IF(C659&lt;'PlayerGrades+'!$Y$32,"B-",IF(C659&lt;'PlayerGrades+'!$Y$31,"B",IF(C659&lt;'PlayerGrades+'!$Y$30,"B+",IF(C659&lt;'PlayerGrades+'!$Y$29,"A-",IF(C659&lt;'PlayerGrades+'!$Y$28,"A",IF(C659&lt;'PlayerGrades+'!$Y$27,"A+",IF(C659&lt;'PlayerGrades+'!$Y$26,"S-",IF(C659&lt;'PlayerGrades+'!$Y$25,"S","S+"))))))))))))))))))))</f>
        <v>#DIV/0!</v>
      </c>
      <c r="C659" s="1422" t="str">
        <f>('PlayerGrades+'!$Y$47*(VLOOKUP(E659, 'PlayerGrades+'!$X$3:$Y$23, 2, FALSE)))+('PlayerGrades+'!$Y$48*(VLOOKUP(G659, 'PlayerGrades+'!$X$3:$Y$23, 2, FALSE)))+('PlayerGrades+'!$Y$49*(VLOOKUP(I659, 'PlayerGrades+'!$X$3:$Y$23, 2, FALSE)))+('PlayerGrades+'!$Y$50*(VLOOKUP(K659, 'PlayerGrades+'!$X$3:$Y$23, 2, FALSE)))+('PlayerGrades+'!$Y$51*(VLOOKUP(M659, 'PlayerGrades+'!$X$3:$Y$23, 2, FALSE)))+('PlayerGrades+'!$Y$52*(VLOOKUP(O659, 'PlayerGrades+'!$X$3:$Y$23, 2, FALSE)))+('PlayerGrades+'!$Y$53*(VLOOKUP(Q659, 'PlayerGrades+'!$X$3:$Y$23, 2, FALSE)))+('PlayerGrades+'!$Y$54*(VLOOKUP(S659, 'PlayerGrades+'!$X$3:$Y$23, 2, FALSE)))+('PlayerGrades+'!$Y$55*(VLOOKUP(U659, 'PlayerGrades+'!$X$3:$Y$23, 2, FALSE)))</f>
        <v>#DIV/0!</v>
      </c>
      <c r="D659" s="1423" t="str">
        <f t="shared" si="12"/>
        <v>#DIV/0!</v>
      </c>
      <c r="E659" s="1423" t="str">
        <f>IF(D659&lt;'PlayerGrades+'!$AA$21,"F-",IF(D659&lt;'PlayerGrades+'!$AA$20,"F",IF(D659&lt;'PlayerGrades+'!$AA$19,"F+",IF(D659&lt;'PlayerGrades+'!$AA$18,"E-",IF(D659&lt;'PlayerGrades+'!$AA$17,"E",IF(D659&lt;'PlayerGrades+'!$AA$16,"E+",IF(D659&lt;'PlayerGrades+'!$AA$15,"D-",IF(D659&lt;'PlayerGrades+'!$AA$14,"D",IF(D659&lt;'PlayerGrades+'!$AA$13,"D+",IF(D659&lt;'PlayerGrades+'!$AA$12,"C-",IF(D659&lt;'PlayerGrades+'!$AA$11,"C",IF(D659&lt;'PlayerGrades+'!$AA$10,"C+",IF(D659&lt;'PlayerGrades+'!$AA$9,"B-",IF(D659&lt;'PlayerGrades+'!$AA$8,"B",IF(D659&lt;'PlayerGrades+'!$AA$7,"B+",IF(D659&lt;'PlayerGrades+'!$AA$6,"A-",IF(D659&lt;'PlayerGrades+'!$AA$5,"A",IF(D659&lt;'PlayerGrades+'!$AA$4,"A+",IF(D659&lt;'PlayerGrades+'!$AA$3,"S-",IF(D659&lt;'PlayerGrades+'!$AA$2,"S","S+"))))))))))))))))))))</f>
        <v>#DIV/0!</v>
      </c>
      <c r="F659" s="1423" t="str">
        <f t="shared" si="13"/>
        <v>#DIV/0!</v>
      </c>
      <c r="G659" s="1423" t="str">
        <f>IF(F659&lt;'PlayerGrades+'!$AB$21,"F-",IF(F659&lt;'PlayerGrades+'!$AB$20,"F",IF(F659&lt;'PlayerGrades+'!$AB$19,"F+",IF(F659&lt;'PlayerGrades+'!$AB$18,"E-",IF(F659&lt;'PlayerGrades+'!$AB$17,"E",IF(F659&lt;'PlayerGrades+'!$AB$16,"E+",IF(F659&lt;'PlayerGrades+'!$AB$15,"D-",IF(F659&lt;'PlayerGrades+'!$AB$14,"D",IF(F659&lt;'PlayerGrades+'!$AB$13,"D+",IF(F659&lt;'PlayerGrades+'!$AB$12,"C-",IF(F659&lt;'PlayerGrades+'!$AB$11,"C",IF(F659&lt;'PlayerGrades+'!$AB$10,"C+",IF(F659&lt;'PlayerGrades+'!$AB$9,"B-",IF(F659&lt;'PlayerGrades+'!$AB$8,"B",IF(F659&lt;'PlayerGrades+'!$AB$7,"B+",IF(F659&lt;'PlayerGrades+'!$AB$6,"A-",IF(F659&lt;'PlayerGrades+'!$AB$5,"A",IF(F659&lt;'PlayerGrades+'!$AB$4,"A+",IF(F659&lt;'PlayerGrades+'!$AB$3,"S-",IF(F659&lt;'PlayerGrades+'!$AB$2,"S","S+"))))))))))))))))))))</f>
        <v>#DIV/0!</v>
      </c>
      <c r="H659" s="1423" t="str">
        <f t="shared" si="14"/>
        <v>#DIV/0!</v>
      </c>
      <c r="I659" s="1423" t="str">
        <f>IF(H659&lt;'PlayerGrades+'!$AC$21,"F-",IF(H659&lt;'PlayerGrades+'!$AC$20,"F",IF(H659&lt;'PlayerGrades+'!$AC$19,"F+",IF(H659&lt;'PlayerGrades+'!$AC$18,"E-",IF(H659&lt;'PlayerGrades+'!$AC$17,"E",IF(H659&lt;'PlayerGrades+'!$AC$16,"E+",IF(H659&lt;'PlayerGrades+'!$AC$15,"D-",IF(H659&lt;'PlayerGrades+'!$AC$14,"D",IF(H659&lt;'PlayerGrades+'!$AC$13,"D+",IF(H659&lt;'PlayerGrades+'!$AC$12,"C-",IF(H659&lt;'PlayerGrades+'!$AC$11,"C",IF(H659&lt;'PlayerGrades+'!$AC$10,"C+",IF(H659&lt;'PlayerGrades+'!$AC$9,"B-",IF(H659&lt;'PlayerGrades+'!$AC$8,"B",IF(H659&lt;'PlayerGrades+'!$AC$7,"B+",IF(H659&lt;'PlayerGrades+'!$AC$6,"A-",IF(H659&lt;'PlayerGrades+'!$AC$5,"A",IF(H659&lt;'PlayerGrades+'!$AC$4,"A+",IF(H659&lt;'PlayerGrades+'!$AC$3,"S-",IF(H659&lt;'PlayerGrades+'!$AC$2,"S","S+"))))))))))))))))))))</f>
        <v>#DIV/0!</v>
      </c>
      <c r="J659" s="1423" t="str">
        <f t="shared" si="15"/>
        <v>#DIV/0!</v>
      </c>
      <c r="K659" s="1423" t="str">
        <f>IF(J659&lt;'PlayerGrades+'!$AD$21,"F-",IF(J659&lt;'PlayerGrades+'!$AD$20,"F",IF(J659&lt;'PlayerGrades+'!$AD$19,"F+",IF(J659&lt;'PlayerGrades+'!$AD$18,"E-",IF(J659&lt;'PlayerGrades+'!$AD$17,"E",IF(J659&lt;'PlayerGrades+'!$AD$16,"E+",IF(J659&lt;'PlayerGrades+'!$AD$15,"D-",IF(J659&lt;'PlayerGrades+'!$AD$14,"D",IF(J659&lt;'PlayerGrades+'!$AD$13,"D+",IF(J659&lt;'PlayerGrades+'!$AD$12,"C-",IF(J659&lt;'PlayerGrades+'!$AD$11,"C",IF(J659&lt;'PlayerGrades+'!$AD$10,"C+",IF(J659&lt;'PlayerGrades+'!$AD$9,"B-",IF(J659&lt;'PlayerGrades+'!$AD$8,"B",IF(J659&lt;'PlayerGrades+'!$AD$7,"B+",IF(J659&lt;'PlayerGrades+'!$AD$6,"A-",IF(J659&lt;'PlayerGrades+'!$AD$5,"A",IF(J659&lt;'PlayerGrades+'!$AD$4,"A+",IF(J659&lt;'PlayerGrades+'!$AD$3,"S-",IF(J659&lt;'PlayerGrades+'!$AD$2,"S","S+"))))))))))))))))))))</f>
        <v>#DIV/0!</v>
      </c>
      <c r="L659" s="1176" t="str">
        <f t="shared" si="16"/>
        <v>#DIV/0!</v>
      </c>
      <c r="M659" s="992" t="str">
        <f>IF(L659&lt;'PlayerGrades+'!$AE$21,"F-",IF(L659&lt;'PlayerGrades+'!$AE$20,"F",IF(L659&lt;'PlayerGrades+'!$AE$19,"F+",IF(L659&lt;'PlayerGrades+'!$AE$18,"E-",IF(L659&lt;'PlayerGrades+'!$AE$17,"E",IF(L659&lt;'PlayerGrades+'!$AE$16,"E+",IF(L659&lt;'PlayerGrades+'!$AE$15,"D-",IF(L659&lt;'PlayerGrades+'!$AE$14,"D",IF(L659&lt;'PlayerGrades+'!$AE$13,"D+",IF(L659&lt;'PlayerGrades+'!$AE$12,"C-",IF(L659&lt;'PlayerGrades+'!$AE$11,"C",IF(L659&lt;'PlayerGrades+'!$AE$10,"C+",IF(L659&lt;'PlayerGrades+'!$AE$9,"B-",IF(L659&lt;'PlayerGrades+'!$AE$8,"B",IF(L659&lt;'PlayerGrades+'!$AE$7,"B+",IF(L659&lt;'PlayerGrades+'!$AE$6,"A-",IF(L659&lt;'PlayerGrades+'!$AE$5,"A",IF(L659&lt;'PlayerGrades+'!$AE$4,"A+",IF(L659&lt;'PlayerGrades+'!$AE$3,"S-",IF(L659&lt;'PlayerGrades+'!$AE$2,"S","S+"))))))))))))))))))))</f>
        <v>#DIV/0!</v>
      </c>
      <c r="N659" s="1423" t="str">
        <f t="shared" si="17"/>
        <v>#DIV/0!</v>
      </c>
      <c r="O659" s="1423" t="str">
        <f>IF(N659&lt;'PlayerGrades+'!$AF$21,"F-",IF(N659&lt;'PlayerGrades+'!$AF$20,"F",IF(N659&lt;'PlayerGrades+'!$AF$19,"F+",IF(N659&lt;'PlayerGrades+'!$AF$18,"E-",IF(N659&lt;'PlayerGrades+'!$AF$17,"E",IF(N659&lt;'PlayerGrades+'!$AF$16,"E+",IF(N659&lt;'PlayerGrades+'!$AF$15,"D-",IF(N659&lt;'PlayerGrades+'!$AF$14,"D",IF(N659&lt;'PlayerGrades+'!$AF$13,"D+",IF(N659&lt;'PlayerGrades+'!$AF$12,"C-",IF(N659&lt;'PlayerGrades+'!$AF$11,"C",IF(N659&lt;'PlayerGrades+'!$AF$10,"C+",IF(N659&lt;'PlayerGrades+'!$AF$9,"B-",IF(N659&lt;'PlayerGrades+'!$AF$8,"B",IF(N659&lt;'PlayerGrades+'!$AF$7,"B+",IF(N659&lt;'PlayerGrades+'!$AF$6,"A-",IF(N659&lt;'PlayerGrades+'!$AF$5,"A",IF(N659&lt;'PlayerGrades+'!$AF$4,"A+",IF(N659&lt;'PlayerGrades+'!$AF$3,"S-",IF(N659&lt;'PlayerGrades+'!$AF$2,"S","S+"))))))))))))))))))))</f>
        <v>#DIV/0!</v>
      </c>
      <c r="P659" s="1423" t="str">
        <f t="shared" si="18"/>
        <v>#DIV/0!</v>
      </c>
      <c r="Q659" s="1423" t="str">
        <f>IF(P659&lt;'PlayerGrades+'!$AG$21,"F-",IF(P659&lt;'PlayerGrades+'!$AG$20,"F",IF(P659&lt;'PlayerGrades+'!$AG$19,"F+",IF(P659&lt;'PlayerGrades+'!$AG$18,"E-",IF(P659&lt;'PlayerGrades+'!$AG$17,"E",IF(P659&lt;'PlayerGrades+'!$AG$16,"E+",IF(P659&lt;'PlayerGrades+'!$AG$15,"D-",IF(P659&lt;'PlayerGrades+'!$AG$14,"D",IF(P659&lt;'PlayerGrades+'!$AG$13,"D+",IF(P659&lt;'PlayerGrades+'!$AG$12,"C-",IF(P659&lt;'PlayerGrades+'!$AG$11,"C",IF(P659&lt;'PlayerGrades+'!$AG$10,"C+",IF(P659&lt;'PlayerGrades+'!$AG$9,"B-",IF(P659&lt;'PlayerGrades+'!$AG$8,"B",IF(P659&lt;'PlayerGrades+'!$AG$7,"B+",IF(P659&lt;'PlayerGrades+'!$AG$6,"A-",IF(P659&lt;'PlayerGrades+'!$AG$5,"A",IF(P659&lt;'PlayerGrades+'!$AG$4,"A+",IF(P659&lt;'PlayerGrades+'!$AG$3,"S-",IF(P659&lt;'PlayerGrades+'!$AG$2,"S","S+"))))))))))))))))))))</f>
        <v>#DIV/0!</v>
      </c>
      <c r="R659" s="1423" t="str">
        <f t="shared" si="19"/>
        <v>#REF!</v>
      </c>
      <c r="S659" s="1423" t="str">
        <f>IF(R659&lt;'PlayerGrades+'!$AH$21,"F-",IF(R659&lt;'PlayerGrades+'!$AH$20,"F",IF(R659&lt;'PlayerGrades+'!$AH$19,"F+",IF(R659&lt;'PlayerGrades+'!$AH$18,"E-",IF(R659&lt;'PlayerGrades+'!$AH$17,"E",IF(R659&lt;'PlayerGrades+'!$AH$16,"E+",IF(R659&lt;'PlayerGrades+'!$AH$15,"D-",IF(R659&lt;'PlayerGrades+'!$AH$14,"D",IF(R659&lt;'PlayerGrades+'!$AH$13,"D+",IF(R659&lt;'PlayerGrades+'!$AH$12,"C-",IF(R659&lt;'PlayerGrades+'!$AH$11,"C",IF(R659&lt;'PlayerGrades+'!$AH$10,"C+",IF(R659&lt;'PlayerGrades+'!$AH$9,"B-",IF(R659&lt;'PlayerGrades+'!$AH$8,"B",IF(R659&lt;'PlayerGrades+'!$AH$7,"B+",IF(R659&lt;'PlayerGrades+'!$AH$6,"A-",IF(R659&lt;'PlayerGrades+'!$AH$5,"A",IF(R659&lt;'PlayerGrades+'!$AH$4,"A+",IF(R659&lt;'PlayerGrades+'!$AH$3,"S-",IF(R659&lt;'PlayerGrades+'!$AH$2,"S","S+"))))))))))))))))))))</f>
        <v>#REF!</v>
      </c>
      <c r="T659" s="1423" t="str">
        <f t="shared" si="20"/>
        <v>#REF!</v>
      </c>
      <c r="U659" s="1423" t="str">
        <f>IF(T659&lt;'PlayerGrades+'!$AI$21,"F-",IF(T659&lt;'PlayerGrades+'!$AI$20,"F",IF(T659&lt;'PlayerGrades+'!$AI$19,"F+",IF(T659&lt;'PlayerGrades+'!$AI$18,"E-",IF(T659&lt;'PlayerGrades+'!$AI$17,"E",IF(T659&lt;'PlayerGrades+'!$AI$16,"E+",IF(T659&lt;'PlayerGrades+'!$AI$15,"D-",IF(T659&lt;'PlayerGrades+'!$AI$14,"D",IF(T659&lt;'PlayerGrades+'!$AI$13,"D+",IF(T659&lt;'PlayerGrades+'!$AI$12,"C-",IF(T659&lt;'PlayerGrades+'!$AI$11,"C",IF(T659&lt;'PlayerGrades+'!$AI$10,"C+",IF(T659&lt;'PlayerGrades+'!$AI$9,"B-",IF(T659&lt;'PlayerGrades+'!$AI$8,"B",IF(T659&lt;'PlayerGrades+'!$AI$7,"B+",IF(T659&lt;'PlayerGrades+'!$AI$6,"A-",IF(T659&lt;'PlayerGrades+'!$AI$5,"A",IF(T659&lt;'PlayerGrades+'!$AI$4,"A+",IF(T659&lt;'PlayerGrades+'!$AI$3,"S-",IF(T659&lt;'PlayerGrades+'!$AI$2,"S","S+"))))))))))))))))))))</f>
        <v>#REF!</v>
      </c>
      <c r="V659" s="1260">
        <v>1.0</v>
      </c>
      <c r="Y659" s="1260">
        <v>6.0</v>
      </c>
      <c r="Z659" s="1260">
        <v>19.0</v>
      </c>
      <c r="AA659" s="1260">
        <v>10.0</v>
      </c>
      <c r="AB659" s="1260">
        <v>9.0</v>
      </c>
      <c r="AC659" s="1392"/>
    </row>
    <row r="660">
      <c r="A660" s="1260" t="s">
        <v>66</v>
      </c>
      <c r="B660" s="1421" t="str">
        <f>IF(C660&lt;'PlayerGrades+'!$Y$44,"F-",IF(C660&lt;'PlayerGrades+'!$Y$43,"F",IF(C660&lt;'PlayerGrades+'!$Y$42,"F+",IF(C660&lt;'PlayerGrades+'!$Y$41,"E-",IF(C660&lt;'PlayerGrades+'!$Y$40,"E",IF(C660&lt;'PlayerGrades+'!$Y$39,"E+",IF(C660&lt;'PlayerGrades+'!$Y$38,"D-",IF(C660&lt;'PlayerGrades+'!$Y$37,"D",IF(C660&lt;'PlayerGrades+'!$Y$36,"D+",IF(C660&lt;'PlayerGrades+'!$Y$35,"C-",IF(C660&lt;'PlayerGrades+'!$Y$34,"C",IF(C660&lt;'PlayerGrades+'!$Y$33,"C+",IF(C660&lt;'PlayerGrades+'!$Y$32,"B-",IF(C660&lt;'PlayerGrades+'!$Y$31,"B",IF(C660&lt;'PlayerGrades+'!$Y$30,"B+",IF(C660&lt;'PlayerGrades+'!$Y$29,"A-",IF(C660&lt;'PlayerGrades+'!$Y$28,"A",IF(C660&lt;'PlayerGrades+'!$Y$27,"A+",IF(C660&lt;'PlayerGrades+'!$Y$26,"S-",IF(C660&lt;'PlayerGrades+'!$Y$25,"S","S+"))))))))))))))))))))</f>
        <v>#DIV/0!</v>
      </c>
      <c r="C660" s="1422" t="str">
        <f>('PlayerGrades+'!$Y$47*(VLOOKUP(E660, 'PlayerGrades+'!$X$3:$Y$23, 2, FALSE)))+('PlayerGrades+'!$Y$48*(VLOOKUP(G660, 'PlayerGrades+'!$X$3:$Y$23, 2, FALSE)))+('PlayerGrades+'!$Y$49*(VLOOKUP(I660, 'PlayerGrades+'!$X$3:$Y$23, 2, FALSE)))+('PlayerGrades+'!$Y$50*(VLOOKUP(K660, 'PlayerGrades+'!$X$3:$Y$23, 2, FALSE)))+('PlayerGrades+'!$Y$51*(VLOOKUP(M660, 'PlayerGrades+'!$X$3:$Y$23, 2, FALSE)))+('PlayerGrades+'!$Y$52*(VLOOKUP(O660, 'PlayerGrades+'!$X$3:$Y$23, 2, FALSE)))+('PlayerGrades+'!$Y$53*(VLOOKUP(Q660, 'PlayerGrades+'!$X$3:$Y$23, 2, FALSE)))+('PlayerGrades+'!$Y$54*(VLOOKUP(S660, 'PlayerGrades+'!$X$3:$Y$23, 2, FALSE)))+('PlayerGrades+'!$Y$55*(VLOOKUP(U660, 'PlayerGrades+'!$X$3:$Y$23, 2, FALSE)))</f>
        <v>#DIV/0!</v>
      </c>
      <c r="D660" s="1423" t="str">
        <f t="shared" si="12"/>
        <v>#DIV/0!</v>
      </c>
      <c r="E660" s="1423" t="str">
        <f>IF(D660&lt;'PlayerGrades+'!$AA$21,"F-",IF(D660&lt;'PlayerGrades+'!$AA$20,"F",IF(D660&lt;'PlayerGrades+'!$AA$19,"F+",IF(D660&lt;'PlayerGrades+'!$AA$18,"E-",IF(D660&lt;'PlayerGrades+'!$AA$17,"E",IF(D660&lt;'PlayerGrades+'!$AA$16,"E+",IF(D660&lt;'PlayerGrades+'!$AA$15,"D-",IF(D660&lt;'PlayerGrades+'!$AA$14,"D",IF(D660&lt;'PlayerGrades+'!$AA$13,"D+",IF(D660&lt;'PlayerGrades+'!$AA$12,"C-",IF(D660&lt;'PlayerGrades+'!$AA$11,"C",IF(D660&lt;'PlayerGrades+'!$AA$10,"C+",IF(D660&lt;'PlayerGrades+'!$AA$9,"B-",IF(D660&lt;'PlayerGrades+'!$AA$8,"B",IF(D660&lt;'PlayerGrades+'!$AA$7,"B+",IF(D660&lt;'PlayerGrades+'!$AA$6,"A-",IF(D660&lt;'PlayerGrades+'!$AA$5,"A",IF(D660&lt;'PlayerGrades+'!$AA$4,"A+",IF(D660&lt;'PlayerGrades+'!$AA$3,"S-",IF(D660&lt;'PlayerGrades+'!$AA$2,"S","S+"))))))))))))))))))))</f>
        <v>#DIV/0!</v>
      </c>
      <c r="F660" s="1423" t="str">
        <f t="shared" si="13"/>
        <v>#DIV/0!</v>
      </c>
      <c r="G660" s="1423" t="str">
        <f>IF(F660&lt;'PlayerGrades+'!$AB$21,"F-",IF(F660&lt;'PlayerGrades+'!$AB$20,"F",IF(F660&lt;'PlayerGrades+'!$AB$19,"F+",IF(F660&lt;'PlayerGrades+'!$AB$18,"E-",IF(F660&lt;'PlayerGrades+'!$AB$17,"E",IF(F660&lt;'PlayerGrades+'!$AB$16,"E+",IF(F660&lt;'PlayerGrades+'!$AB$15,"D-",IF(F660&lt;'PlayerGrades+'!$AB$14,"D",IF(F660&lt;'PlayerGrades+'!$AB$13,"D+",IF(F660&lt;'PlayerGrades+'!$AB$12,"C-",IF(F660&lt;'PlayerGrades+'!$AB$11,"C",IF(F660&lt;'PlayerGrades+'!$AB$10,"C+",IF(F660&lt;'PlayerGrades+'!$AB$9,"B-",IF(F660&lt;'PlayerGrades+'!$AB$8,"B",IF(F660&lt;'PlayerGrades+'!$AB$7,"B+",IF(F660&lt;'PlayerGrades+'!$AB$6,"A-",IF(F660&lt;'PlayerGrades+'!$AB$5,"A",IF(F660&lt;'PlayerGrades+'!$AB$4,"A+",IF(F660&lt;'PlayerGrades+'!$AB$3,"S-",IF(F660&lt;'PlayerGrades+'!$AB$2,"S","S+"))))))))))))))))))))</f>
        <v>#DIV/0!</v>
      </c>
      <c r="H660" s="1423" t="str">
        <f t="shared" si="14"/>
        <v>#DIV/0!</v>
      </c>
      <c r="I660" s="1423" t="str">
        <f>IF(H660&lt;'PlayerGrades+'!$AC$21,"F-",IF(H660&lt;'PlayerGrades+'!$AC$20,"F",IF(H660&lt;'PlayerGrades+'!$AC$19,"F+",IF(H660&lt;'PlayerGrades+'!$AC$18,"E-",IF(H660&lt;'PlayerGrades+'!$AC$17,"E",IF(H660&lt;'PlayerGrades+'!$AC$16,"E+",IF(H660&lt;'PlayerGrades+'!$AC$15,"D-",IF(H660&lt;'PlayerGrades+'!$AC$14,"D",IF(H660&lt;'PlayerGrades+'!$AC$13,"D+",IF(H660&lt;'PlayerGrades+'!$AC$12,"C-",IF(H660&lt;'PlayerGrades+'!$AC$11,"C",IF(H660&lt;'PlayerGrades+'!$AC$10,"C+",IF(H660&lt;'PlayerGrades+'!$AC$9,"B-",IF(H660&lt;'PlayerGrades+'!$AC$8,"B",IF(H660&lt;'PlayerGrades+'!$AC$7,"B+",IF(H660&lt;'PlayerGrades+'!$AC$6,"A-",IF(H660&lt;'PlayerGrades+'!$AC$5,"A",IF(H660&lt;'PlayerGrades+'!$AC$4,"A+",IF(H660&lt;'PlayerGrades+'!$AC$3,"S-",IF(H660&lt;'PlayerGrades+'!$AC$2,"S","S+"))))))))))))))))))))</f>
        <v>#DIV/0!</v>
      </c>
      <c r="J660" s="1423" t="str">
        <f t="shared" si="15"/>
        <v>#DIV/0!</v>
      </c>
      <c r="K660" s="1423" t="str">
        <f>IF(J660&lt;'PlayerGrades+'!$AD$21,"F-",IF(J660&lt;'PlayerGrades+'!$AD$20,"F",IF(J660&lt;'PlayerGrades+'!$AD$19,"F+",IF(J660&lt;'PlayerGrades+'!$AD$18,"E-",IF(J660&lt;'PlayerGrades+'!$AD$17,"E",IF(J660&lt;'PlayerGrades+'!$AD$16,"E+",IF(J660&lt;'PlayerGrades+'!$AD$15,"D-",IF(J660&lt;'PlayerGrades+'!$AD$14,"D",IF(J660&lt;'PlayerGrades+'!$AD$13,"D+",IF(J660&lt;'PlayerGrades+'!$AD$12,"C-",IF(J660&lt;'PlayerGrades+'!$AD$11,"C",IF(J660&lt;'PlayerGrades+'!$AD$10,"C+",IF(J660&lt;'PlayerGrades+'!$AD$9,"B-",IF(J660&lt;'PlayerGrades+'!$AD$8,"B",IF(J660&lt;'PlayerGrades+'!$AD$7,"B+",IF(J660&lt;'PlayerGrades+'!$AD$6,"A-",IF(J660&lt;'PlayerGrades+'!$AD$5,"A",IF(J660&lt;'PlayerGrades+'!$AD$4,"A+",IF(J660&lt;'PlayerGrades+'!$AD$3,"S-",IF(J660&lt;'PlayerGrades+'!$AD$2,"S","S+"))))))))))))))))))))</f>
        <v>#DIV/0!</v>
      </c>
      <c r="L660" s="1176" t="str">
        <f t="shared" si="16"/>
        <v>#DIV/0!</v>
      </c>
      <c r="M660" s="992" t="str">
        <f>IF(L660&lt;'PlayerGrades+'!$AE$21,"F-",IF(L660&lt;'PlayerGrades+'!$AE$20,"F",IF(L660&lt;'PlayerGrades+'!$AE$19,"F+",IF(L660&lt;'PlayerGrades+'!$AE$18,"E-",IF(L660&lt;'PlayerGrades+'!$AE$17,"E",IF(L660&lt;'PlayerGrades+'!$AE$16,"E+",IF(L660&lt;'PlayerGrades+'!$AE$15,"D-",IF(L660&lt;'PlayerGrades+'!$AE$14,"D",IF(L660&lt;'PlayerGrades+'!$AE$13,"D+",IF(L660&lt;'PlayerGrades+'!$AE$12,"C-",IF(L660&lt;'PlayerGrades+'!$AE$11,"C",IF(L660&lt;'PlayerGrades+'!$AE$10,"C+",IF(L660&lt;'PlayerGrades+'!$AE$9,"B-",IF(L660&lt;'PlayerGrades+'!$AE$8,"B",IF(L660&lt;'PlayerGrades+'!$AE$7,"B+",IF(L660&lt;'PlayerGrades+'!$AE$6,"A-",IF(L660&lt;'PlayerGrades+'!$AE$5,"A",IF(L660&lt;'PlayerGrades+'!$AE$4,"A+",IF(L660&lt;'PlayerGrades+'!$AE$3,"S-",IF(L660&lt;'PlayerGrades+'!$AE$2,"S","S+"))))))))))))))))))))</f>
        <v>#DIV/0!</v>
      </c>
      <c r="N660" s="1423" t="str">
        <f t="shared" si="17"/>
        <v>#DIV/0!</v>
      </c>
      <c r="O660" s="1423" t="str">
        <f>IF(N660&lt;'PlayerGrades+'!$AF$21,"F-",IF(N660&lt;'PlayerGrades+'!$AF$20,"F",IF(N660&lt;'PlayerGrades+'!$AF$19,"F+",IF(N660&lt;'PlayerGrades+'!$AF$18,"E-",IF(N660&lt;'PlayerGrades+'!$AF$17,"E",IF(N660&lt;'PlayerGrades+'!$AF$16,"E+",IF(N660&lt;'PlayerGrades+'!$AF$15,"D-",IF(N660&lt;'PlayerGrades+'!$AF$14,"D",IF(N660&lt;'PlayerGrades+'!$AF$13,"D+",IF(N660&lt;'PlayerGrades+'!$AF$12,"C-",IF(N660&lt;'PlayerGrades+'!$AF$11,"C",IF(N660&lt;'PlayerGrades+'!$AF$10,"C+",IF(N660&lt;'PlayerGrades+'!$AF$9,"B-",IF(N660&lt;'PlayerGrades+'!$AF$8,"B",IF(N660&lt;'PlayerGrades+'!$AF$7,"B+",IF(N660&lt;'PlayerGrades+'!$AF$6,"A-",IF(N660&lt;'PlayerGrades+'!$AF$5,"A",IF(N660&lt;'PlayerGrades+'!$AF$4,"A+",IF(N660&lt;'PlayerGrades+'!$AF$3,"S-",IF(N660&lt;'PlayerGrades+'!$AF$2,"S","S+"))))))))))))))))))))</f>
        <v>#DIV/0!</v>
      </c>
      <c r="P660" s="1423" t="str">
        <f t="shared" si="18"/>
        <v>#DIV/0!</v>
      </c>
      <c r="Q660" s="1423" t="str">
        <f>IF(P660&lt;'PlayerGrades+'!$AG$21,"F-",IF(P660&lt;'PlayerGrades+'!$AG$20,"F",IF(P660&lt;'PlayerGrades+'!$AG$19,"F+",IF(P660&lt;'PlayerGrades+'!$AG$18,"E-",IF(P660&lt;'PlayerGrades+'!$AG$17,"E",IF(P660&lt;'PlayerGrades+'!$AG$16,"E+",IF(P660&lt;'PlayerGrades+'!$AG$15,"D-",IF(P660&lt;'PlayerGrades+'!$AG$14,"D",IF(P660&lt;'PlayerGrades+'!$AG$13,"D+",IF(P660&lt;'PlayerGrades+'!$AG$12,"C-",IF(P660&lt;'PlayerGrades+'!$AG$11,"C",IF(P660&lt;'PlayerGrades+'!$AG$10,"C+",IF(P660&lt;'PlayerGrades+'!$AG$9,"B-",IF(P660&lt;'PlayerGrades+'!$AG$8,"B",IF(P660&lt;'PlayerGrades+'!$AG$7,"B+",IF(P660&lt;'PlayerGrades+'!$AG$6,"A-",IF(P660&lt;'PlayerGrades+'!$AG$5,"A",IF(P660&lt;'PlayerGrades+'!$AG$4,"A+",IF(P660&lt;'PlayerGrades+'!$AG$3,"S-",IF(P660&lt;'PlayerGrades+'!$AG$2,"S","S+"))))))))))))))))))))</f>
        <v>#DIV/0!</v>
      </c>
      <c r="R660" s="1423" t="str">
        <f t="shared" si="19"/>
        <v>#REF!</v>
      </c>
      <c r="S660" s="1423" t="str">
        <f>IF(R660&lt;'PlayerGrades+'!$AH$21,"F-",IF(R660&lt;'PlayerGrades+'!$AH$20,"F",IF(R660&lt;'PlayerGrades+'!$AH$19,"F+",IF(R660&lt;'PlayerGrades+'!$AH$18,"E-",IF(R660&lt;'PlayerGrades+'!$AH$17,"E",IF(R660&lt;'PlayerGrades+'!$AH$16,"E+",IF(R660&lt;'PlayerGrades+'!$AH$15,"D-",IF(R660&lt;'PlayerGrades+'!$AH$14,"D",IF(R660&lt;'PlayerGrades+'!$AH$13,"D+",IF(R660&lt;'PlayerGrades+'!$AH$12,"C-",IF(R660&lt;'PlayerGrades+'!$AH$11,"C",IF(R660&lt;'PlayerGrades+'!$AH$10,"C+",IF(R660&lt;'PlayerGrades+'!$AH$9,"B-",IF(R660&lt;'PlayerGrades+'!$AH$8,"B",IF(R660&lt;'PlayerGrades+'!$AH$7,"B+",IF(R660&lt;'PlayerGrades+'!$AH$6,"A-",IF(R660&lt;'PlayerGrades+'!$AH$5,"A",IF(R660&lt;'PlayerGrades+'!$AH$4,"A+",IF(R660&lt;'PlayerGrades+'!$AH$3,"S-",IF(R660&lt;'PlayerGrades+'!$AH$2,"S","S+"))))))))))))))))))))</f>
        <v>#REF!</v>
      </c>
      <c r="T660" s="1423" t="str">
        <f t="shared" si="20"/>
        <v>#REF!</v>
      </c>
      <c r="U660" s="1423" t="str">
        <f>IF(T660&lt;'PlayerGrades+'!$AI$21,"F-",IF(T660&lt;'PlayerGrades+'!$AI$20,"F",IF(T660&lt;'PlayerGrades+'!$AI$19,"F+",IF(T660&lt;'PlayerGrades+'!$AI$18,"E-",IF(T660&lt;'PlayerGrades+'!$AI$17,"E",IF(T660&lt;'PlayerGrades+'!$AI$16,"E+",IF(T660&lt;'PlayerGrades+'!$AI$15,"D-",IF(T660&lt;'PlayerGrades+'!$AI$14,"D",IF(T660&lt;'PlayerGrades+'!$AI$13,"D+",IF(T660&lt;'PlayerGrades+'!$AI$12,"C-",IF(T660&lt;'PlayerGrades+'!$AI$11,"C",IF(T660&lt;'PlayerGrades+'!$AI$10,"C+",IF(T660&lt;'PlayerGrades+'!$AI$9,"B-",IF(T660&lt;'PlayerGrades+'!$AI$8,"B",IF(T660&lt;'PlayerGrades+'!$AI$7,"B+",IF(T660&lt;'PlayerGrades+'!$AI$6,"A-",IF(T660&lt;'PlayerGrades+'!$AI$5,"A",IF(T660&lt;'PlayerGrades+'!$AI$4,"A+",IF(T660&lt;'PlayerGrades+'!$AI$3,"S-",IF(T660&lt;'PlayerGrades+'!$AI$2,"S","S+"))))))))))))))))))))</f>
        <v>#REF!</v>
      </c>
      <c r="V660" s="1260">
        <v>1.0</v>
      </c>
      <c r="Z660" s="1260">
        <v>14.0</v>
      </c>
      <c r="AA660" s="1260">
        <v>17.0</v>
      </c>
      <c r="AB660" s="1260">
        <v>-3.0</v>
      </c>
      <c r="AC660" s="1392"/>
    </row>
    <row r="661">
      <c r="A661" s="1260" t="s">
        <v>48</v>
      </c>
      <c r="B661" s="1421" t="str">
        <f>IF(C661&lt;'PlayerGrades+'!$Y$44,"F-",IF(C661&lt;'PlayerGrades+'!$Y$43,"F",IF(C661&lt;'PlayerGrades+'!$Y$42,"F+",IF(C661&lt;'PlayerGrades+'!$Y$41,"E-",IF(C661&lt;'PlayerGrades+'!$Y$40,"E",IF(C661&lt;'PlayerGrades+'!$Y$39,"E+",IF(C661&lt;'PlayerGrades+'!$Y$38,"D-",IF(C661&lt;'PlayerGrades+'!$Y$37,"D",IF(C661&lt;'PlayerGrades+'!$Y$36,"D+",IF(C661&lt;'PlayerGrades+'!$Y$35,"C-",IF(C661&lt;'PlayerGrades+'!$Y$34,"C",IF(C661&lt;'PlayerGrades+'!$Y$33,"C+",IF(C661&lt;'PlayerGrades+'!$Y$32,"B-",IF(C661&lt;'PlayerGrades+'!$Y$31,"B",IF(C661&lt;'PlayerGrades+'!$Y$30,"B+",IF(C661&lt;'PlayerGrades+'!$Y$29,"A-",IF(C661&lt;'PlayerGrades+'!$Y$28,"A",IF(C661&lt;'PlayerGrades+'!$Y$27,"A+",IF(C661&lt;'PlayerGrades+'!$Y$26,"S-",IF(C661&lt;'PlayerGrades+'!$Y$25,"S","S+"))))))))))))))))))))</f>
        <v>#DIV/0!</v>
      </c>
      <c r="C661" s="1422" t="str">
        <f>('PlayerGrades+'!$Y$47*(VLOOKUP(E661, 'PlayerGrades+'!$X$3:$Y$23, 2, FALSE)))+('PlayerGrades+'!$Y$48*(VLOOKUP(G661, 'PlayerGrades+'!$X$3:$Y$23, 2, FALSE)))+('PlayerGrades+'!$Y$49*(VLOOKUP(I661, 'PlayerGrades+'!$X$3:$Y$23, 2, FALSE)))+('PlayerGrades+'!$Y$50*(VLOOKUP(K661, 'PlayerGrades+'!$X$3:$Y$23, 2, FALSE)))+('PlayerGrades+'!$Y$51*(VLOOKUP(M661, 'PlayerGrades+'!$X$3:$Y$23, 2, FALSE)))+('PlayerGrades+'!$Y$52*(VLOOKUP(O661, 'PlayerGrades+'!$X$3:$Y$23, 2, FALSE)))+('PlayerGrades+'!$Y$53*(VLOOKUP(Q661, 'PlayerGrades+'!$X$3:$Y$23, 2, FALSE)))+('PlayerGrades+'!$Y$54*(VLOOKUP(S661, 'PlayerGrades+'!$X$3:$Y$23, 2, FALSE)))+('PlayerGrades+'!$Y$55*(VLOOKUP(U661, 'PlayerGrades+'!$X$3:$Y$23, 2, FALSE)))</f>
        <v>#DIV/0!</v>
      </c>
      <c r="D661" s="1423" t="str">
        <f t="shared" si="12"/>
        <v>#DIV/0!</v>
      </c>
      <c r="E661" s="1423" t="str">
        <f>IF(D661&lt;'PlayerGrades+'!$AA$21,"F-",IF(D661&lt;'PlayerGrades+'!$AA$20,"F",IF(D661&lt;'PlayerGrades+'!$AA$19,"F+",IF(D661&lt;'PlayerGrades+'!$AA$18,"E-",IF(D661&lt;'PlayerGrades+'!$AA$17,"E",IF(D661&lt;'PlayerGrades+'!$AA$16,"E+",IF(D661&lt;'PlayerGrades+'!$AA$15,"D-",IF(D661&lt;'PlayerGrades+'!$AA$14,"D",IF(D661&lt;'PlayerGrades+'!$AA$13,"D+",IF(D661&lt;'PlayerGrades+'!$AA$12,"C-",IF(D661&lt;'PlayerGrades+'!$AA$11,"C",IF(D661&lt;'PlayerGrades+'!$AA$10,"C+",IF(D661&lt;'PlayerGrades+'!$AA$9,"B-",IF(D661&lt;'PlayerGrades+'!$AA$8,"B",IF(D661&lt;'PlayerGrades+'!$AA$7,"B+",IF(D661&lt;'PlayerGrades+'!$AA$6,"A-",IF(D661&lt;'PlayerGrades+'!$AA$5,"A",IF(D661&lt;'PlayerGrades+'!$AA$4,"A+",IF(D661&lt;'PlayerGrades+'!$AA$3,"S-",IF(D661&lt;'PlayerGrades+'!$AA$2,"S","S+"))))))))))))))))))))</f>
        <v>#DIV/0!</v>
      </c>
      <c r="F661" s="1423" t="str">
        <f t="shared" si="13"/>
        <v>#DIV/0!</v>
      </c>
      <c r="G661" s="1423" t="str">
        <f>IF(F661&lt;'PlayerGrades+'!$AB$21,"F-",IF(F661&lt;'PlayerGrades+'!$AB$20,"F",IF(F661&lt;'PlayerGrades+'!$AB$19,"F+",IF(F661&lt;'PlayerGrades+'!$AB$18,"E-",IF(F661&lt;'PlayerGrades+'!$AB$17,"E",IF(F661&lt;'PlayerGrades+'!$AB$16,"E+",IF(F661&lt;'PlayerGrades+'!$AB$15,"D-",IF(F661&lt;'PlayerGrades+'!$AB$14,"D",IF(F661&lt;'PlayerGrades+'!$AB$13,"D+",IF(F661&lt;'PlayerGrades+'!$AB$12,"C-",IF(F661&lt;'PlayerGrades+'!$AB$11,"C",IF(F661&lt;'PlayerGrades+'!$AB$10,"C+",IF(F661&lt;'PlayerGrades+'!$AB$9,"B-",IF(F661&lt;'PlayerGrades+'!$AB$8,"B",IF(F661&lt;'PlayerGrades+'!$AB$7,"B+",IF(F661&lt;'PlayerGrades+'!$AB$6,"A-",IF(F661&lt;'PlayerGrades+'!$AB$5,"A",IF(F661&lt;'PlayerGrades+'!$AB$4,"A+",IF(F661&lt;'PlayerGrades+'!$AB$3,"S-",IF(F661&lt;'PlayerGrades+'!$AB$2,"S","S+"))))))))))))))))))))</f>
        <v>#DIV/0!</v>
      </c>
      <c r="H661" s="1423" t="str">
        <f t="shared" si="14"/>
        <v>#DIV/0!</v>
      </c>
      <c r="I661" s="1423" t="str">
        <f>IF(H661&lt;'PlayerGrades+'!$AC$21,"F-",IF(H661&lt;'PlayerGrades+'!$AC$20,"F",IF(H661&lt;'PlayerGrades+'!$AC$19,"F+",IF(H661&lt;'PlayerGrades+'!$AC$18,"E-",IF(H661&lt;'PlayerGrades+'!$AC$17,"E",IF(H661&lt;'PlayerGrades+'!$AC$16,"E+",IF(H661&lt;'PlayerGrades+'!$AC$15,"D-",IF(H661&lt;'PlayerGrades+'!$AC$14,"D",IF(H661&lt;'PlayerGrades+'!$AC$13,"D+",IF(H661&lt;'PlayerGrades+'!$AC$12,"C-",IF(H661&lt;'PlayerGrades+'!$AC$11,"C",IF(H661&lt;'PlayerGrades+'!$AC$10,"C+",IF(H661&lt;'PlayerGrades+'!$AC$9,"B-",IF(H661&lt;'PlayerGrades+'!$AC$8,"B",IF(H661&lt;'PlayerGrades+'!$AC$7,"B+",IF(H661&lt;'PlayerGrades+'!$AC$6,"A-",IF(H661&lt;'PlayerGrades+'!$AC$5,"A",IF(H661&lt;'PlayerGrades+'!$AC$4,"A+",IF(H661&lt;'PlayerGrades+'!$AC$3,"S-",IF(H661&lt;'PlayerGrades+'!$AC$2,"S","S+"))))))))))))))))))))</f>
        <v>#DIV/0!</v>
      </c>
      <c r="J661" s="1423" t="str">
        <f t="shared" si="15"/>
        <v>#DIV/0!</v>
      </c>
      <c r="K661" s="1423" t="str">
        <f>IF(J661&lt;'PlayerGrades+'!$AD$21,"F-",IF(J661&lt;'PlayerGrades+'!$AD$20,"F",IF(J661&lt;'PlayerGrades+'!$AD$19,"F+",IF(J661&lt;'PlayerGrades+'!$AD$18,"E-",IF(J661&lt;'PlayerGrades+'!$AD$17,"E",IF(J661&lt;'PlayerGrades+'!$AD$16,"E+",IF(J661&lt;'PlayerGrades+'!$AD$15,"D-",IF(J661&lt;'PlayerGrades+'!$AD$14,"D",IF(J661&lt;'PlayerGrades+'!$AD$13,"D+",IF(J661&lt;'PlayerGrades+'!$AD$12,"C-",IF(J661&lt;'PlayerGrades+'!$AD$11,"C",IF(J661&lt;'PlayerGrades+'!$AD$10,"C+",IF(J661&lt;'PlayerGrades+'!$AD$9,"B-",IF(J661&lt;'PlayerGrades+'!$AD$8,"B",IF(J661&lt;'PlayerGrades+'!$AD$7,"B+",IF(J661&lt;'PlayerGrades+'!$AD$6,"A-",IF(J661&lt;'PlayerGrades+'!$AD$5,"A",IF(J661&lt;'PlayerGrades+'!$AD$4,"A+",IF(J661&lt;'PlayerGrades+'!$AD$3,"S-",IF(J661&lt;'PlayerGrades+'!$AD$2,"S","S+"))))))))))))))))))))</f>
        <v>#DIV/0!</v>
      </c>
      <c r="L661" s="1176" t="str">
        <f t="shared" si="16"/>
        <v>#DIV/0!</v>
      </c>
      <c r="M661" s="992" t="str">
        <f>IF(L661&lt;'PlayerGrades+'!$AE$21,"F-",IF(L661&lt;'PlayerGrades+'!$AE$20,"F",IF(L661&lt;'PlayerGrades+'!$AE$19,"F+",IF(L661&lt;'PlayerGrades+'!$AE$18,"E-",IF(L661&lt;'PlayerGrades+'!$AE$17,"E",IF(L661&lt;'PlayerGrades+'!$AE$16,"E+",IF(L661&lt;'PlayerGrades+'!$AE$15,"D-",IF(L661&lt;'PlayerGrades+'!$AE$14,"D",IF(L661&lt;'PlayerGrades+'!$AE$13,"D+",IF(L661&lt;'PlayerGrades+'!$AE$12,"C-",IF(L661&lt;'PlayerGrades+'!$AE$11,"C",IF(L661&lt;'PlayerGrades+'!$AE$10,"C+",IF(L661&lt;'PlayerGrades+'!$AE$9,"B-",IF(L661&lt;'PlayerGrades+'!$AE$8,"B",IF(L661&lt;'PlayerGrades+'!$AE$7,"B+",IF(L661&lt;'PlayerGrades+'!$AE$6,"A-",IF(L661&lt;'PlayerGrades+'!$AE$5,"A",IF(L661&lt;'PlayerGrades+'!$AE$4,"A+",IF(L661&lt;'PlayerGrades+'!$AE$3,"S-",IF(L661&lt;'PlayerGrades+'!$AE$2,"S","S+"))))))))))))))))))))</f>
        <v>#DIV/0!</v>
      </c>
      <c r="N661" s="1423" t="str">
        <f t="shared" si="17"/>
        <v>#DIV/0!</v>
      </c>
      <c r="O661" s="1423" t="str">
        <f>IF(N661&lt;'PlayerGrades+'!$AF$21,"F-",IF(N661&lt;'PlayerGrades+'!$AF$20,"F",IF(N661&lt;'PlayerGrades+'!$AF$19,"F+",IF(N661&lt;'PlayerGrades+'!$AF$18,"E-",IF(N661&lt;'PlayerGrades+'!$AF$17,"E",IF(N661&lt;'PlayerGrades+'!$AF$16,"E+",IF(N661&lt;'PlayerGrades+'!$AF$15,"D-",IF(N661&lt;'PlayerGrades+'!$AF$14,"D",IF(N661&lt;'PlayerGrades+'!$AF$13,"D+",IF(N661&lt;'PlayerGrades+'!$AF$12,"C-",IF(N661&lt;'PlayerGrades+'!$AF$11,"C",IF(N661&lt;'PlayerGrades+'!$AF$10,"C+",IF(N661&lt;'PlayerGrades+'!$AF$9,"B-",IF(N661&lt;'PlayerGrades+'!$AF$8,"B",IF(N661&lt;'PlayerGrades+'!$AF$7,"B+",IF(N661&lt;'PlayerGrades+'!$AF$6,"A-",IF(N661&lt;'PlayerGrades+'!$AF$5,"A",IF(N661&lt;'PlayerGrades+'!$AF$4,"A+",IF(N661&lt;'PlayerGrades+'!$AF$3,"S-",IF(N661&lt;'PlayerGrades+'!$AF$2,"S","S+"))))))))))))))))))))</f>
        <v>#DIV/0!</v>
      </c>
      <c r="P661" s="1423" t="str">
        <f t="shared" si="18"/>
        <v>#DIV/0!</v>
      </c>
      <c r="Q661" s="1423" t="str">
        <f>IF(P661&lt;'PlayerGrades+'!$AG$21,"F-",IF(P661&lt;'PlayerGrades+'!$AG$20,"F",IF(P661&lt;'PlayerGrades+'!$AG$19,"F+",IF(P661&lt;'PlayerGrades+'!$AG$18,"E-",IF(P661&lt;'PlayerGrades+'!$AG$17,"E",IF(P661&lt;'PlayerGrades+'!$AG$16,"E+",IF(P661&lt;'PlayerGrades+'!$AG$15,"D-",IF(P661&lt;'PlayerGrades+'!$AG$14,"D",IF(P661&lt;'PlayerGrades+'!$AG$13,"D+",IF(P661&lt;'PlayerGrades+'!$AG$12,"C-",IF(P661&lt;'PlayerGrades+'!$AG$11,"C",IF(P661&lt;'PlayerGrades+'!$AG$10,"C+",IF(P661&lt;'PlayerGrades+'!$AG$9,"B-",IF(P661&lt;'PlayerGrades+'!$AG$8,"B",IF(P661&lt;'PlayerGrades+'!$AG$7,"B+",IF(P661&lt;'PlayerGrades+'!$AG$6,"A-",IF(P661&lt;'PlayerGrades+'!$AG$5,"A",IF(P661&lt;'PlayerGrades+'!$AG$4,"A+",IF(P661&lt;'PlayerGrades+'!$AG$3,"S-",IF(P661&lt;'PlayerGrades+'!$AG$2,"S","S+"))))))))))))))))))))</f>
        <v>#DIV/0!</v>
      </c>
      <c r="R661" s="1423" t="str">
        <f t="shared" si="19"/>
        <v>#REF!</v>
      </c>
      <c r="S661" s="1423" t="str">
        <f>IF(R661&lt;'PlayerGrades+'!$AH$21,"F-",IF(R661&lt;'PlayerGrades+'!$AH$20,"F",IF(R661&lt;'PlayerGrades+'!$AH$19,"F+",IF(R661&lt;'PlayerGrades+'!$AH$18,"E-",IF(R661&lt;'PlayerGrades+'!$AH$17,"E",IF(R661&lt;'PlayerGrades+'!$AH$16,"E+",IF(R661&lt;'PlayerGrades+'!$AH$15,"D-",IF(R661&lt;'PlayerGrades+'!$AH$14,"D",IF(R661&lt;'PlayerGrades+'!$AH$13,"D+",IF(R661&lt;'PlayerGrades+'!$AH$12,"C-",IF(R661&lt;'PlayerGrades+'!$AH$11,"C",IF(R661&lt;'PlayerGrades+'!$AH$10,"C+",IF(R661&lt;'PlayerGrades+'!$AH$9,"B-",IF(R661&lt;'PlayerGrades+'!$AH$8,"B",IF(R661&lt;'PlayerGrades+'!$AH$7,"B+",IF(R661&lt;'PlayerGrades+'!$AH$6,"A-",IF(R661&lt;'PlayerGrades+'!$AH$5,"A",IF(R661&lt;'PlayerGrades+'!$AH$4,"A+",IF(R661&lt;'PlayerGrades+'!$AH$3,"S-",IF(R661&lt;'PlayerGrades+'!$AH$2,"S","S+"))))))))))))))))))))</f>
        <v>#REF!</v>
      </c>
      <c r="T661" s="1423" t="str">
        <f t="shared" si="20"/>
        <v>#REF!</v>
      </c>
      <c r="U661" s="1423" t="str">
        <f>IF(T661&lt;'PlayerGrades+'!$AI$21,"F-",IF(T661&lt;'PlayerGrades+'!$AI$20,"F",IF(T661&lt;'PlayerGrades+'!$AI$19,"F+",IF(T661&lt;'PlayerGrades+'!$AI$18,"E-",IF(T661&lt;'PlayerGrades+'!$AI$17,"E",IF(T661&lt;'PlayerGrades+'!$AI$16,"E+",IF(T661&lt;'PlayerGrades+'!$AI$15,"D-",IF(T661&lt;'PlayerGrades+'!$AI$14,"D",IF(T661&lt;'PlayerGrades+'!$AI$13,"D+",IF(T661&lt;'PlayerGrades+'!$AI$12,"C-",IF(T661&lt;'PlayerGrades+'!$AI$11,"C",IF(T661&lt;'PlayerGrades+'!$AI$10,"C+",IF(T661&lt;'PlayerGrades+'!$AI$9,"B-",IF(T661&lt;'PlayerGrades+'!$AI$8,"B",IF(T661&lt;'PlayerGrades+'!$AI$7,"B+",IF(T661&lt;'PlayerGrades+'!$AI$6,"A-",IF(T661&lt;'PlayerGrades+'!$AI$5,"A",IF(T661&lt;'PlayerGrades+'!$AI$4,"A+",IF(T661&lt;'PlayerGrades+'!$AI$3,"S-",IF(T661&lt;'PlayerGrades+'!$AI$2,"S","S+"))))))))))))))))))))</f>
        <v>#REF!</v>
      </c>
      <c r="V661" s="1260">
        <v>1.0</v>
      </c>
      <c r="Y661" s="1260">
        <v>1.0</v>
      </c>
      <c r="Z661" s="1260">
        <v>12.0</v>
      </c>
      <c r="AA661" s="1260">
        <v>20.0</v>
      </c>
      <c r="AC661" s="1392"/>
    </row>
    <row r="662">
      <c r="B662" s="1421" t="str">
        <f>IF(C662&lt;'PlayerGrades+'!$Y$44,"F-",IF(C662&lt;'PlayerGrades+'!$Y$43,"F",IF(C662&lt;'PlayerGrades+'!$Y$42,"F+",IF(C662&lt;'PlayerGrades+'!$Y$41,"E-",IF(C662&lt;'PlayerGrades+'!$Y$40,"E",IF(C662&lt;'PlayerGrades+'!$Y$39,"E+",IF(C662&lt;'PlayerGrades+'!$Y$38,"D-",IF(C662&lt;'PlayerGrades+'!$Y$37,"D",IF(C662&lt;'PlayerGrades+'!$Y$36,"D+",IF(C662&lt;'PlayerGrades+'!$Y$35,"C-",IF(C662&lt;'PlayerGrades+'!$Y$34,"C",IF(C662&lt;'PlayerGrades+'!$Y$33,"C+",IF(C662&lt;'PlayerGrades+'!$Y$32,"B-",IF(C662&lt;'PlayerGrades+'!$Y$31,"B",IF(C662&lt;'PlayerGrades+'!$Y$30,"B+",IF(C662&lt;'PlayerGrades+'!$Y$29,"A-",IF(C662&lt;'PlayerGrades+'!$Y$28,"A",IF(C662&lt;'PlayerGrades+'!$Y$27,"A+",IF(C662&lt;'PlayerGrades+'!$Y$26,"S-",IF(C662&lt;'PlayerGrades+'!$Y$25,"S","S+"))))))))))))))))))))</f>
        <v>#DIV/0!</v>
      </c>
      <c r="C662" s="1422" t="str">
        <f>('PlayerGrades+'!$Y$47*(VLOOKUP(E662, 'PlayerGrades+'!$X$3:$Y$23, 2, FALSE)))+('PlayerGrades+'!$Y$48*(VLOOKUP(G662, 'PlayerGrades+'!$X$3:$Y$23, 2, FALSE)))+('PlayerGrades+'!$Y$49*(VLOOKUP(I662, 'PlayerGrades+'!$X$3:$Y$23, 2, FALSE)))+('PlayerGrades+'!$Y$50*(VLOOKUP(K662, 'PlayerGrades+'!$X$3:$Y$23, 2, FALSE)))+('PlayerGrades+'!$Y$51*(VLOOKUP(M662, 'PlayerGrades+'!$X$3:$Y$23, 2, FALSE)))+('PlayerGrades+'!$Y$52*(VLOOKUP(O662, 'PlayerGrades+'!$X$3:$Y$23, 2, FALSE)))+('PlayerGrades+'!$Y$53*(VLOOKUP(Q662, 'PlayerGrades+'!$X$3:$Y$23, 2, FALSE)))+('PlayerGrades+'!$Y$54*(VLOOKUP(S662, 'PlayerGrades+'!$X$3:$Y$23, 2, FALSE)))+('PlayerGrades+'!$Y$55*(VLOOKUP(U662, 'PlayerGrades+'!$X$3:$Y$23, 2, FALSE)))</f>
        <v>#DIV/0!</v>
      </c>
      <c r="D662" s="1423" t="str">
        <f t="shared" si="12"/>
        <v>#DIV/0!</v>
      </c>
      <c r="E662" s="1423" t="str">
        <f>IF(D662&lt;'PlayerGrades+'!$AA$21,"F-",IF(D662&lt;'PlayerGrades+'!$AA$20,"F",IF(D662&lt;'PlayerGrades+'!$AA$19,"F+",IF(D662&lt;'PlayerGrades+'!$AA$18,"E-",IF(D662&lt;'PlayerGrades+'!$AA$17,"E",IF(D662&lt;'PlayerGrades+'!$AA$16,"E+",IF(D662&lt;'PlayerGrades+'!$AA$15,"D-",IF(D662&lt;'PlayerGrades+'!$AA$14,"D",IF(D662&lt;'PlayerGrades+'!$AA$13,"D+",IF(D662&lt;'PlayerGrades+'!$AA$12,"C-",IF(D662&lt;'PlayerGrades+'!$AA$11,"C",IF(D662&lt;'PlayerGrades+'!$AA$10,"C+",IF(D662&lt;'PlayerGrades+'!$AA$9,"B-",IF(D662&lt;'PlayerGrades+'!$AA$8,"B",IF(D662&lt;'PlayerGrades+'!$AA$7,"B+",IF(D662&lt;'PlayerGrades+'!$AA$6,"A-",IF(D662&lt;'PlayerGrades+'!$AA$5,"A",IF(D662&lt;'PlayerGrades+'!$AA$4,"A+",IF(D662&lt;'PlayerGrades+'!$AA$3,"S-",IF(D662&lt;'PlayerGrades+'!$AA$2,"S","S+"))))))))))))))))))))</f>
        <v>#DIV/0!</v>
      </c>
      <c r="F662" s="1423" t="str">
        <f t="shared" si="13"/>
        <v>#DIV/0!</v>
      </c>
      <c r="G662" s="1423" t="str">
        <f>IF(F662&lt;'PlayerGrades+'!$AB$21,"F-",IF(F662&lt;'PlayerGrades+'!$AB$20,"F",IF(F662&lt;'PlayerGrades+'!$AB$19,"F+",IF(F662&lt;'PlayerGrades+'!$AB$18,"E-",IF(F662&lt;'PlayerGrades+'!$AB$17,"E",IF(F662&lt;'PlayerGrades+'!$AB$16,"E+",IF(F662&lt;'PlayerGrades+'!$AB$15,"D-",IF(F662&lt;'PlayerGrades+'!$AB$14,"D",IF(F662&lt;'PlayerGrades+'!$AB$13,"D+",IF(F662&lt;'PlayerGrades+'!$AB$12,"C-",IF(F662&lt;'PlayerGrades+'!$AB$11,"C",IF(F662&lt;'PlayerGrades+'!$AB$10,"C+",IF(F662&lt;'PlayerGrades+'!$AB$9,"B-",IF(F662&lt;'PlayerGrades+'!$AB$8,"B",IF(F662&lt;'PlayerGrades+'!$AB$7,"B+",IF(F662&lt;'PlayerGrades+'!$AB$6,"A-",IF(F662&lt;'PlayerGrades+'!$AB$5,"A",IF(F662&lt;'PlayerGrades+'!$AB$4,"A+",IF(F662&lt;'PlayerGrades+'!$AB$3,"S-",IF(F662&lt;'PlayerGrades+'!$AB$2,"S","S+"))))))))))))))))))))</f>
        <v>#DIV/0!</v>
      </c>
      <c r="H662" s="1423" t="str">
        <f t="shared" si="14"/>
        <v>#DIV/0!</v>
      </c>
      <c r="I662" s="1423" t="str">
        <f>IF(H662&lt;'PlayerGrades+'!$AC$21,"F-",IF(H662&lt;'PlayerGrades+'!$AC$20,"F",IF(H662&lt;'PlayerGrades+'!$AC$19,"F+",IF(H662&lt;'PlayerGrades+'!$AC$18,"E-",IF(H662&lt;'PlayerGrades+'!$AC$17,"E",IF(H662&lt;'PlayerGrades+'!$AC$16,"E+",IF(H662&lt;'PlayerGrades+'!$AC$15,"D-",IF(H662&lt;'PlayerGrades+'!$AC$14,"D",IF(H662&lt;'PlayerGrades+'!$AC$13,"D+",IF(H662&lt;'PlayerGrades+'!$AC$12,"C-",IF(H662&lt;'PlayerGrades+'!$AC$11,"C",IF(H662&lt;'PlayerGrades+'!$AC$10,"C+",IF(H662&lt;'PlayerGrades+'!$AC$9,"B-",IF(H662&lt;'PlayerGrades+'!$AC$8,"B",IF(H662&lt;'PlayerGrades+'!$AC$7,"B+",IF(H662&lt;'PlayerGrades+'!$AC$6,"A-",IF(H662&lt;'PlayerGrades+'!$AC$5,"A",IF(H662&lt;'PlayerGrades+'!$AC$4,"A+",IF(H662&lt;'PlayerGrades+'!$AC$3,"S-",IF(H662&lt;'PlayerGrades+'!$AC$2,"S","S+"))))))))))))))))))))</f>
        <v>#DIV/0!</v>
      </c>
      <c r="J662" s="1423" t="str">
        <f t="shared" si="15"/>
        <v>#DIV/0!</v>
      </c>
      <c r="K662" s="1423" t="str">
        <f>IF(J662&lt;'PlayerGrades+'!$AD$21,"F-",IF(J662&lt;'PlayerGrades+'!$AD$20,"F",IF(J662&lt;'PlayerGrades+'!$AD$19,"F+",IF(J662&lt;'PlayerGrades+'!$AD$18,"E-",IF(J662&lt;'PlayerGrades+'!$AD$17,"E",IF(J662&lt;'PlayerGrades+'!$AD$16,"E+",IF(J662&lt;'PlayerGrades+'!$AD$15,"D-",IF(J662&lt;'PlayerGrades+'!$AD$14,"D",IF(J662&lt;'PlayerGrades+'!$AD$13,"D+",IF(J662&lt;'PlayerGrades+'!$AD$12,"C-",IF(J662&lt;'PlayerGrades+'!$AD$11,"C",IF(J662&lt;'PlayerGrades+'!$AD$10,"C+",IF(J662&lt;'PlayerGrades+'!$AD$9,"B-",IF(J662&lt;'PlayerGrades+'!$AD$8,"B",IF(J662&lt;'PlayerGrades+'!$AD$7,"B+",IF(J662&lt;'PlayerGrades+'!$AD$6,"A-",IF(J662&lt;'PlayerGrades+'!$AD$5,"A",IF(J662&lt;'PlayerGrades+'!$AD$4,"A+",IF(J662&lt;'PlayerGrades+'!$AD$3,"S-",IF(J662&lt;'PlayerGrades+'!$AD$2,"S","S+"))))))))))))))))))))</f>
        <v>#DIV/0!</v>
      </c>
      <c r="L662" s="1176" t="str">
        <f t="shared" si="16"/>
        <v>#DIV/0!</v>
      </c>
      <c r="M662" s="992" t="str">
        <f>IF(L662&lt;'PlayerGrades+'!$AE$21,"F-",IF(L662&lt;'PlayerGrades+'!$AE$20,"F",IF(L662&lt;'PlayerGrades+'!$AE$19,"F+",IF(L662&lt;'PlayerGrades+'!$AE$18,"E-",IF(L662&lt;'PlayerGrades+'!$AE$17,"E",IF(L662&lt;'PlayerGrades+'!$AE$16,"E+",IF(L662&lt;'PlayerGrades+'!$AE$15,"D-",IF(L662&lt;'PlayerGrades+'!$AE$14,"D",IF(L662&lt;'PlayerGrades+'!$AE$13,"D+",IF(L662&lt;'PlayerGrades+'!$AE$12,"C-",IF(L662&lt;'PlayerGrades+'!$AE$11,"C",IF(L662&lt;'PlayerGrades+'!$AE$10,"C+",IF(L662&lt;'PlayerGrades+'!$AE$9,"B-",IF(L662&lt;'PlayerGrades+'!$AE$8,"B",IF(L662&lt;'PlayerGrades+'!$AE$7,"B+",IF(L662&lt;'PlayerGrades+'!$AE$6,"A-",IF(L662&lt;'PlayerGrades+'!$AE$5,"A",IF(L662&lt;'PlayerGrades+'!$AE$4,"A+",IF(L662&lt;'PlayerGrades+'!$AE$3,"S-",IF(L662&lt;'PlayerGrades+'!$AE$2,"S","S+"))))))))))))))))))))</f>
        <v>#DIV/0!</v>
      </c>
      <c r="N662" s="1423" t="str">
        <f t="shared" si="17"/>
        <v>#DIV/0!</v>
      </c>
      <c r="O662" s="1423" t="str">
        <f>IF(N662&lt;'PlayerGrades+'!$AF$21,"F-",IF(N662&lt;'PlayerGrades+'!$AF$20,"F",IF(N662&lt;'PlayerGrades+'!$AF$19,"F+",IF(N662&lt;'PlayerGrades+'!$AF$18,"E-",IF(N662&lt;'PlayerGrades+'!$AF$17,"E",IF(N662&lt;'PlayerGrades+'!$AF$16,"E+",IF(N662&lt;'PlayerGrades+'!$AF$15,"D-",IF(N662&lt;'PlayerGrades+'!$AF$14,"D",IF(N662&lt;'PlayerGrades+'!$AF$13,"D+",IF(N662&lt;'PlayerGrades+'!$AF$12,"C-",IF(N662&lt;'PlayerGrades+'!$AF$11,"C",IF(N662&lt;'PlayerGrades+'!$AF$10,"C+",IF(N662&lt;'PlayerGrades+'!$AF$9,"B-",IF(N662&lt;'PlayerGrades+'!$AF$8,"B",IF(N662&lt;'PlayerGrades+'!$AF$7,"B+",IF(N662&lt;'PlayerGrades+'!$AF$6,"A-",IF(N662&lt;'PlayerGrades+'!$AF$5,"A",IF(N662&lt;'PlayerGrades+'!$AF$4,"A+",IF(N662&lt;'PlayerGrades+'!$AF$3,"S-",IF(N662&lt;'PlayerGrades+'!$AF$2,"S","S+"))))))))))))))))))))</f>
        <v>#DIV/0!</v>
      </c>
      <c r="P662" s="1423" t="str">
        <f t="shared" si="18"/>
        <v>#DIV/0!</v>
      </c>
      <c r="Q662" s="1423" t="str">
        <f>IF(P662&lt;'PlayerGrades+'!$AG$21,"F-",IF(P662&lt;'PlayerGrades+'!$AG$20,"F",IF(P662&lt;'PlayerGrades+'!$AG$19,"F+",IF(P662&lt;'PlayerGrades+'!$AG$18,"E-",IF(P662&lt;'PlayerGrades+'!$AG$17,"E",IF(P662&lt;'PlayerGrades+'!$AG$16,"E+",IF(P662&lt;'PlayerGrades+'!$AG$15,"D-",IF(P662&lt;'PlayerGrades+'!$AG$14,"D",IF(P662&lt;'PlayerGrades+'!$AG$13,"D+",IF(P662&lt;'PlayerGrades+'!$AG$12,"C-",IF(P662&lt;'PlayerGrades+'!$AG$11,"C",IF(P662&lt;'PlayerGrades+'!$AG$10,"C+",IF(P662&lt;'PlayerGrades+'!$AG$9,"B-",IF(P662&lt;'PlayerGrades+'!$AG$8,"B",IF(P662&lt;'PlayerGrades+'!$AG$7,"B+",IF(P662&lt;'PlayerGrades+'!$AG$6,"A-",IF(P662&lt;'PlayerGrades+'!$AG$5,"A",IF(P662&lt;'PlayerGrades+'!$AG$4,"A+",IF(P662&lt;'PlayerGrades+'!$AG$3,"S-",IF(P662&lt;'PlayerGrades+'!$AG$2,"S","S+"))))))))))))))))))))</f>
        <v>#DIV/0!</v>
      </c>
      <c r="R662" s="1423" t="str">
        <f t="shared" si="19"/>
        <v>#REF!</v>
      </c>
      <c r="S662" s="1423" t="str">
        <f>IF(R662&lt;'PlayerGrades+'!$AH$21,"F-",IF(R662&lt;'PlayerGrades+'!$AH$20,"F",IF(R662&lt;'PlayerGrades+'!$AH$19,"F+",IF(R662&lt;'PlayerGrades+'!$AH$18,"E-",IF(R662&lt;'PlayerGrades+'!$AH$17,"E",IF(R662&lt;'PlayerGrades+'!$AH$16,"E+",IF(R662&lt;'PlayerGrades+'!$AH$15,"D-",IF(R662&lt;'PlayerGrades+'!$AH$14,"D",IF(R662&lt;'PlayerGrades+'!$AH$13,"D+",IF(R662&lt;'PlayerGrades+'!$AH$12,"C-",IF(R662&lt;'PlayerGrades+'!$AH$11,"C",IF(R662&lt;'PlayerGrades+'!$AH$10,"C+",IF(R662&lt;'PlayerGrades+'!$AH$9,"B-",IF(R662&lt;'PlayerGrades+'!$AH$8,"B",IF(R662&lt;'PlayerGrades+'!$AH$7,"B+",IF(R662&lt;'PlayerGrades+'!$AH$6,"A-",IF(R662&lt;'PlayerGrades+'!$AH$5,"A",IF(R662&lt;'PlayerGrades+'!$AH$4,"A+",IF(R662&lt;'PlayerGrades+'!$AH$3,"S-",IF(R662&lt;'PlayerGrades+'!$AH$2,"S","S+"))))))))))))))))))))</f>
        <v>#REF!</v>
      </c>
      <c r="T662" s="1423" t="str">
        <f t="shared" si="20"/>
        <v>#REF!</v>
      </c>
      <c r="U662" s="1423" t="str">
        <f>IF(T662&lt;'PlayerGrades+'!$AI$21,"F-",IF(T662&lt;'PlayerGrades+'!$AI$20,"F",IF(T662&lt;'PlayerGrades+'!$AI$19,"F+",IF(T662&lt;'PlayerGrades+'!$AI$18,"E-",IF(T662&lt;'PlayerGrades+'!$AI$17,"E",IF(T662&lt;'PlayerGrades+'!$AI$16,"E+",IF(T662&lt;'PlayerGrades+'!$AI$15,"D-",IF(T662&lt;'PlayerGrades+'!$AI$14,"D",IF(T662&lt;'PlayerGrades+'!$AI$13,"D+",IF(T662&lt;'PlayerGrades+'!$AI$12,"C-",IF(T662&lt;'PlayerGrades+'!$AI$11,"C",IF(T662&lt;'PlayerGrades+'!$AI$10,"C+",IF(T662&lt;'PlayerGrades+'!$AI$9,"B-",IF(T662&lt;'PlayerGrades+'!$AI$8,"B",IF(T662&lt;'PlayerGrades+'!$AI$7,"B+",IF(T662&lt;'PlayerGrades+'!$AI$6,"A-",IF(T662&lt;'PlayerGrades+'!$AI$5,"A",IF(T662&lt;'PlayerGrades+'!$AI$4,"A+",IF(T662&lt;'PlayerGrades+'!$AI$3,"S-",IF(T662&lt;'PlayerGrades+'!$AI$2,"S","S+"))))))))))))))))))))</f>
        <v>#REF!</v>
      </c>
      <c r="AC662" s="1392"/>
    </row>
    <row r="663">
      <c r="B663" s="1421" t="str">
        <f>IF(C663&lt;'PlayerGrades+'!$Y$44,"F-",IF(C663&lt;'PlayerGrades+'!$Y$43,"F",IF(C663&lt;'PlayerGrades+'!$Y$42,"F+",IF(C663&lt;'PlayerGrades+'!$Y$41,"E-",IF(C663&lt;'PlayerGrades+'!$Y$40,"E",IF(C663&lt;'PlayerGrades+'!$Y$39,"E+",IF(C663&lt;'PlayerGrades+'!$Y$38,"D-",IF(C663&lt;'PlayerGrades+'!$Y$37,"D",IF(C663&lt;'PlayerGrades+'!$Y$36,"D+",IF(C663&lt;'PlayerGrades+'!$Y$35,"C-",IF(C663&lt;'PlayerGrades+'!$Y$34,"C",IF(C663&lt;'PlayerGrades+'!$Y$33,"C+",IF(C663&lt;'PlayerGrades+'!$Y$32,"B-",IF(C663&lt;'PlayerGrades+'!$Y$31,"B",IF(C663&lt;'PlayerGrades+'!$Y$30,"B+",IF(C663&lt;'PlayerGrades+'!$Y$29,"A-",IF(C663&lt;'PlayerGrades+'!$Y$28,"A",IF(C663&lt;'PlayerGrades+'!$Y$27,"A+",IF(C663&lt;'PlayerGrades+'!$Y$26,"S-",IF(C663&lt;'PlayerGrades+'!$Y$25,"S","S+"))))))))))))))))))))</f>
        <v>#DIV/0!</v>
      </c>
      <c r="C663" s="1422" t="str">
        <f>('PlayerGrades+'!$Y$47*(VLOOKUP(E663, 'PlayerGrades+'!$X$3:$Y$23, 2, FALSE)))+('PlayerGrades+'!$Y$48*(VLOOKUP(G663, 'PlayerGrades+'!$X$3:$Y$23, 2, FALSE)))+('PlayerGrades+'!$Y$49*(VLOOKUP(I663, 'PlayerGrades+'!$X$3:$Y$23, 2, FALSE)))+('PlayerGrades+'!$Y$50*(VLOOKUP(K663, 'PlayerGrades+'!$X$3:$Y$23, 2, FALSE)))+('PlayerGrades+'!$Y$51*(VLOOKUP(M663, 'PlayerGrades+'!$X$3:$Y$23, 2, FALSE)))+('PlayerGrades+'!$Y$52*(VLOOKUP(O663, 'PlayerGrades+'!$X$3:$Y$23, 2, FALSE)))+('PlayerGrades+'!$Y$53*(VLOOKUP(Q663, 'PlayerGrades+'!$X$3:$Y$23, 2, FALSE)))+('PlayerGrades+'!$Y$54*(VLOOKUP(S663, 'PlayerGrades+'!$X$3:$Y$23, 2, FALSE)))+('PlayerGrades+'!$Y$55*(VLOOKUP(U663, 'PlayerGrades+'!$X$3:$Y$23, 2, FALSE)))</f>
        <v>#DIV/0!</v>
      </c>
      <c r="D663" s="1423" t="str">
        <f t="shared" si="12"/>
        <v>#DIV/0!</v>
      </c>
      <c r="E663" s="1423" t="str">
        <f>IF(D663&lt;'PlayerGrades+'!$AA$21,"F-",IF(D663&lt;'PlayerGrades+'!$AA$20,"F",IF(D663&lt;'PlayerGrades+'!$AA$19,"F+",IF(D663&lt;'PlayerGrades+'!$AA$18,"E-",IF(D663&lt;'PlayerGrades+'!$AA$17,"E",IF(D663&lt;'PlayerGrades+'!$AA$16,"E+",IF(D663&lt;'PlayerGrades+'!$AA$15,"D-",IF(D663&lt;'PlayerGrades+'!$AA$14,"D",IF(D663&lt;'PlayerGrades+'!$AA$13,"D+",IF(D663&lt;'PlayerGrades+'!$AA$12,"C-",IF(D663&lt;'PlayerGrades+'!$AA$11,"C",IF(D663&lt;'PlayerGrades+'!$AA$10,"C+",IF(D663&lt;'PlayerGrades+'!$AA$9,"B-",IF(D663&lt;'PlayerGrades+'!$AA$8,"B",IF(D663&lt;'PlayerGrades+'!$AA$7,"B+",IF(D663&lt;'PlayerGrades+'!$AA$6,"A-",IF(D663&lt;'PlayerGrades+'!$AA$5,"A",IF(D663&lt;'PlayerGrades+'!$AA$4,"A+",IF(D663&lt;'PlayerGrades+'!$AA$3,"S-",IF(D663&lt;'PlayerGrades+'!$AA$2,"S","S+"))))))))))))))))))))</f>
        <v>#DIV/0!</v>
      </c>
      <c r="F663" s="1423" t="str">
        <f t="shared" si="13"/>
        <v>#DIV/0!</v>
      </c>
      <c r="G663" s="1423" t="str">
        <f>IF(F663&lt;'PlayerGrades+'!$AB$21,"F-",IF(F663&lt;'PlayerGrades+'!$AB$20,"F",IF(F663&lt;'PlayerGrades+'!$AB$19,"F+",IF(F663&lt;'PlayerGrades+'!$AB$18,"E-",IF(F663&lt;'PlayerGrades+'!$AB$17,"E",IF(F663&lt;'PlayerGrades+'!$AB$16,"E+",IF(F663&lt;'PlayerGrades+'!$AB$15,"D-",IF(F663&lt;'PlayerGrades+'!$AB$14,"D",IF(F663&lt;'PlayerGrades+'!$AB$13,"D+",IF(F663&lt;'PlayerGrades+'!$AB$12,"C-",IF(F663&lt;'PlayerGrades+'!$AB$11,"C",IF(F663&lt;'PlayerGrades+'!$AB$10,"C+",IF(F663&lt;'PlayerGrades+'!$AB$9,"B-",IF(F663&lt;'PlayerGrades+'!$AB$8,"B",IF(F663&lt;'PlayerGrades+'!$AB$7,"B+",IF(F663&lt;'PlayerGrades+'!$AB$6,"A-",IF(F663&lt;'PlayerGrades+'!$AB$5,"A",IF(F663&lt;'PlayerGrades+'!$AB$4,"A+",IF(F663&lt;'PlayerGrades+'!$AB$3,"S-",IF(F663&lt;'PlayerGrades+'!$AB$2,"S","S+"))))))))))))))))))))</f>
        <v>#DIV/0!</v>
      </c>
      <c r="H663" s="1423" t="str">
        <f t="shared" si="14"/>
        <v>#DIV/0!</v>
      </c>
      <c r="I663" s="1423" t="str">
        <f>IF(H663&lt;'PlayerGrades+'!$AC$21,"F-",IF(H663&lt;'PlayerGrades+'!$AC$20,"F",IF(H663&lt;'PlayerGrades+'!$AC$19,"F+",IF(H663&lt;'PlayerGrades+'!$AC$18,"E-",IF(H663&lt;'PlayerGrades+'!$AC$17,"E",IF(H663&lt;'PlayerGrades+'!$AC$16,"E+",IF(H663&lt;'PlayerGrades+'!$AC$15,"D-",IF(H663&lt;'PlayerGrades+'!$AC$14,"D",IF(H663&lt;'PlayerGrades+'!$AC$13,"D+",IF(H663&lt;'PlayerGrades+'!$AC$12,"C-",IF(H663&lt;'PlayerGrades+'!$AC$11,"C",IF(H663&lt;'PlayerGrades+'!$AC$10,"C+",IF(H663&lt;'PlayerGrades+'!$AC$9,"B-",IF(H663&lt;'PlayerGrades+'!$AC$8,"B",IF(H663&lt;'PlayerGrades+'!$AC$7,"B+",IF(H663&lt;'PlayerGrades+'!$AC$6,"A-",IF(H663&lt;'PlayerGrades+'!$AC$5,"A",IF(H663&lt;'PlayerGrades+'!$AC$4,"A+",IF(H663&lt;'PlayerGrades+'!$AC$3,"S-",IF(H663&lt;'PlayerGrades+'!$AC$2,"S","S+"))))))))))))))))))))</f>
        <v>#DIV/0!</v>
      </c>
      <c r="J663" s="1423" t="str">
        <f t="shared" si="15"/>
        <v>#DIV/0!</v>
      </c>
      <c r="K663" s="1423" t="str">
        <f>IF(J663&lt;'PlayerGrades+'!$AD$21,"F-",IF(J663&lt;'PlayerGrades+'!$AD$20,"F",IF(J663&lt;'PlayerGrades+'!$AD$19,"F+",IF(J663&lt;'PlayerGrades+'!$AD$18,"E-",IF(J663&lt;'PlayerGrades+'!$AD$17,"E",IF(J663&lt;'PlayerGrades+'!$AD$16,"E+",IF(J663&lt;'PlayerGrades+'!$AD$15,"D-",IF(J663&lt;'PlayerGrades+'!$AD$14,"D",IF(J663&lt;'PlayerGrades+'!$AD$13,"D+",IF(J663&lt;'PlayerGrades+'!$AD$12,"C-",IF(J663&lt;'PlayerGrades+'!$AD$11,"C",IF(J663&lt;'PlayerGrades+'!$AD$10,"C+",IF(J663&lt;'PlayerGrades+'!$AD$9,"B-",IF(J663&lt;'PlayerGrades+'!$AD$8,"B",IF(J663&lt;'PlayerGrades+'!$AD$7,"B+",IF(J663&lt;'PlayerGrades+'!$AD$6,"A-",IF(J663&lt;'PlayerGrades+'!$AD$5,"A",IF(J663&lt;'PlayerGrades+'!$AD$4,"A+",IF(J663&lt;'PlayerGrades+'!$AD$3,"S-",IF(J663&lt;'PlayerGrades+'!$AD$2,"S","S+"))))))))))))))))))))</f>
        <v>#DIV/0!</v>
      </c>
      <c r="L663" s="1176" t="str">
        <f t="shared" si="16"/>
        <v>#DIV/0!</v>
      </c>
      <c r="M663" s="992" t="str">
        <f>IF(L663&lt;'PlayerGrades+'!$AE$21,"F-",IF(L663&lt;'PlayerGrades+'!$AE$20,"F",IF(L663&lt;'PlayerGrades+'!$AE$19,"F+",IF(L663&lt;'PlayerGrades+'!$AE$18,"E-",IF(L663&lt;'PlayerGrades+'!$AE$17,"E",IF(L663&lt;'PlayerGrades+'!$AE$16,"E+",IF(L663&lt;'PlayerGrades+'!$AE$15,"D-",IF(L663&lt;'PlayerGrades+'!$AE$14,"D",IF(L663&lt;'PlayerGrades+'!$AE$13,"D+",IF(L663&lt;'PlayerGrades+'!$AE$12,"C-",IF(L663&lt;'PlayerGrades+'!$AE$11,"C",IF(L663&lt;'PlayerGrades+'!$AE$10,"C+",IF(L663&lt;'PlayerGrades+'!$AE$9,"B-",IF(L663&lt;'PlayerGrades+'!$AE$8,"B",IF(L663&lt;'PlayerGrades+'!$AE$7,"B+",IF(L663&lt;'PlayerGrades+'!$AE$6,"A-",IF(L663&lt;'PlayerGrades+'!$AE$5,"A",IF(L663&lt;'PlayerGrades+'!$AE$4,"A+",IF(L663&lt;'PlayerGrades+'!$AE$3,"S-",IF(L663&lt;'PlayerGrades+'!$AE$2,"S","S+"))))))))))))))))))))</f>
        <v>#DIV/0!</v>
      </c>
      <c r="N663" s="1423" t="str">
        <f t="shared" si="17"/>
        <v>#DIV/0!</v>
      </c>
      <c r="O663" s="1423" t="str">
        <f>IF(N663&lt;'PlayerGrades+'!$AF$21,"F-",IF(N663&lt;'PlayerGrades+'!$AF$20,"F",IF(N663&lt;'PlayerGrades+'!$AF$19,"F+",IF(N663&lt;'PlayerGrades+'!$AF$18,"E-",IF(N663&lt;'PlayerGrades+'!$AF$17,"E",IF(N663&lt;'PlayerGrades+'!$AF$16,"E+",IF(N663&lt;'PlayerGrades+'!$AF$15,"D-",IF(N663&lt;'PlayerGrades+'!$AF$14,"D",IF(N663&lt;'PlayerGrades+'!$AF$13,"D+",IF(N663&lt;'PlayerGrades+'!$AF$12,"C-",IF(N663&lt;'PlayerGrades+'!$AF$11,"C",IF(N663&lt;'PlayerGrades+'!$AF$10,"C+",IF(N663&lt;'PlayerGrades+'!$AF$9,"B-",IF(N663&lt;'PlayerGrades+'!$AF$8,"B",IF(N663&lt;'PlayerGrades+'!$AF$7,"B+",IF(N663&lt;'PlayerGrades+'!$AF$6,"A-",IF(N663&lt;'PlayerGrades+'!$AF$5,"A",IF(N663&lt;'PlayerGrades+'!$AF$4,"A+",IF(N663&lt;'PlayerGrades+'!$AF$3,"S-",IF(N663&lt;'PlayerGrades+'!$AF$2,"S","S+"))))))))))))))))))))</f>
        <v>#DIV/0!</v>
      </c>
      <c r="P663" s="1423" t="str">
        <f t="shared" si="18"/>
        <v>#DIV/0!</v>
      </c>
      <c r="Q663" s="1423" t="str">
        <f>IF(P663&lt;'PlayerGrades+'!$AG$21,"F-",IF(P663&lt;'PlayerGrades+'!$AG$20,"F",IF(P663&lt;'PlayerGrades+'!$AG$19,"F+",IF(P663&lt;'PlayerGrades+'!$AG$18,"E-",IF(P663&lt;'PlayerGrades+'!$AG$17,"E",IF(P663&lt;'PlayerGrades+'!$AG$16,"E+",IF(P663&lt;'PlayerGrades+'!$AG$15,"D-",IF(P663&lt;'PlayerGrades+'!$AG$14,"D",IF(P663&lt;'PlayerGrades+'!$AG$13,"D+",IF(P663&lt;'PlayerGrades+'!$AG$12,"C-",IF(P663&lt;'PlayerGrades+'!$AG$11,"C",IF(P663&lt;'PlayerGrades+'!$AG$10,"C+",IF(P663&lt;'PlayerGrades+'!$AG$9,"B-",IF(P663&lt;'PlayerGrades+'!$AG$8,"B",IF(P663&lt;'PlayerGrades+'!$AG$7,"B+",IF(P663&lt;'PlayerGrades+'!$AG$6,"A-",IF(P663&lt;'PlayerGrades+'!$AG$5,"A",IF(P663&lt;'PlayerGrades+'!$AG$4,"A+",IF(P663&lt;'PlayerGrades+'!$AG$3,"S-",IF(P663&lt;'PlayerGrades+'!$AG$2,"S","S+"))))))))))))))))))))</f>
        <v>#DIV/0!</v>
      </c>
      <c r="R663" s="1423" t="str">
        <f t="shared" si="19"/>
        <v>#REF!</v>
      </c>
      <c r="S663" s="1423" t="str">
        <f>IF(R663&lt;'PlayerGrades+'!$AH$21,"F-",IF(R663&lt;'PlayerGrades+'!$AH$20,"F",IF(R663&lt;'PlayerGrades+'!$AH$19,"F+",IF(R663&lt;'PlayerGrades+'!$AH$18,"E-",IF(R663&lt;'PlayerGrades+'!$AH$17,"E",IF(R663&lt;'PlayerGrades+'!$AH$16,"E+",IF(R663&lt;'PlayerGrades+'!$AH$15,"D-",IF(R663&lt;'PlayerGrades+'!$AH$14,"D",IF(R663&lt;'PlayerGrades+'!$AH$13,"D+",IF(R663&lt;'PlayerGrades+'!$AH$12,"C-",IF(R663&lt;'PlayerGrades+'!$AH$11,"C",IF(R663&lt;'PlayerGrades+'!$AH$10,"C+",IF(R663&lt;'PlayerGrades+'!$AH$9,"B-",IF(R663&lt;'PlayerGrades+'!$AH$8,"B",IF(R663&lt;'PlayerGrades+'!$AH$7,"B+",IF(R663&lt;'PlayerGrades+'!$AH$6,"A-",IF(R663&lt;'PlayerGrades+'!$AH$5,"A",IF(R663&lt;'PlayerGrades+'!$AH$4,"A+",IF(R663&lt;'PlayerGrades+'!$AH$3,"S-",IF(R663&lt;'PlayerGrades+'!$AH$2,"S","S+"))))))))))))))))))))</f>
        <v>#REF!</v>
      </c>
      <c r="T663" s="1423" t="str">
        <f t="shared" si="20"/>
        <v>#REF!</v>
      </c>
      <c r="U663" s="1423" t="str">
        <f>IF(T663&lt;'PlayerGrades+'!$AI$21,"F-",IF(T663&lt;'PlayerGrades+'!$AI$20,"F",IF(T663&lt;'PlayerGrades+'!$AI$19,"F+",IF(T663&lt;'PlayerGrades+'!$AI$18,"E-",IF(T663&lt;'PlayerGrades+'!$AI$17,"E",IF(T663&lt;'PlayerGrades+'!$AI$16,"E+",IF(T663&lt;'PlayerGrades+'!$AI$15,"D-",IF(T663&lt;'PlayerGrades+'!$AI$14,"D",IF(T663&lt;'PlayerGrades+'!$AI$13,"D+",IF(T663&lt;'PlayerGrades+'!$AI$12,"C-",IF(T663&lt;'PlayerGrades+'!$AI$11,"C",IF(T663&lt;'PlayerGrades+'!$AI$10,"C+",IF(T663&lt;'PlayerGrades+'!$AI$9,"B-",IF(T663&lt;'PlayerGrades+'!$AI$8,"B",IF(T663&lt;'PlayerGrades+'!$AI$7,"B+",IF(T663&lt;'PlayerGrades+'!$AI$6,"A-",IF(T663&lt;'PlayerGrades+'!$AI$5,"A",IF(T663&lt;'PlayerGrades+'!$AI$4,"A+",IF(T663&lt;'PlayerGrades+'!$AI$3,"S-",IF(T663&lt;'PlayerGrades+'!$AI$2,"S","S+"))))))))))))))))))))</f>
        <v>#REF!</v>
      </c>
      <c r="AC663" s="1392"/>
    </row>
    <row r="664">
      <c r="B664" s="1421" t="str">
        <f>IF(C664&lt;'PlayerGrades+'!$Y$44,"F-",IF(C664&lt;'PlayerGrades+'!$Y$43,"F",IF(C664&lt;'PlayerGrades+'!$Y$42,"F+",IF(C664&lt;'PlayerGrades+'!$Y$41,"E-",IF(C664&lt;'PlayerGrades+'!$Y$40,"E",IF(C664&lt;'PlayerGrades+'!$Y$39,"E+",IF(C664&lt;'PlayerGrades+'!$Y$38,"D-",IF(C664&lt;'PlayerGrades+'!$Y$37,"D",IF(C664&lt;'PlayerGrades+'!$Y$36,"D+",IF(C664&lt;'PlayerGrades+'!$Y$35,"C-",IF(C664&lt;'PlayerGrades+'!$Y$34,"C",IF(C664&lt;'PlayerGrades+'!$Y$33,"C+",IF(C664&lt;'PlayerGrades+'!$Y$32,"B-",IF(C664&lt;'PlayerGrades+'!$Y$31,"B",IF(C664&lt;'PlayerGrades+'!$Y$30,"B+",IF(C664&lt;'PlayerGrades+'!$Y$29,"A-",IF(C664&lt;'PlayerGrades+'!$Y$28,"A",IF(C664&lt;'PlayerGrades+'!$Y$27,"A+",IF(C664&lt;'PlayerGrades+'!$Y$26,"S-",IF(C664&lt;'PlayerGrades+'!$Y$25,"S","S+"))))))))))))))))))))</f>
        <v>#DIV/0!</v>
      </c>
      <c r="C664" s="1422" t="str">
        <f>('PlayerGrades+'!$Y$47*(VLOOKUP(E664, 'PlayerGrades+'!$X$3:$Y$23, 2, FALSE)))+('PlayerGrades+'!$Y$48*(VLOOKUP(G664, 'PlayerGrades+'!$X$3:$Y$23, 2, FALSE)))+('PlayerGrades+'!$Y$49*(VLOOKUP(I664, 'PlayerGrades+'!$X$3:$Y$23, 2, FALSE)))+('PlayerGrades+'!$Y$50*(VLOOKUP(K664, 'PlayerGrades+'!$X$3:$Y$23, 2, FALSE)))+('PlayerGrades+'!$Y$51*(VLOOKUP(M664, 'PlayerGrades+'!$X$3:$Y$23, 2, FALSE)))+('PlayerGrades+'!$Y$52*(VLOOKUP(O664, 'PlayerGrades+'!$X$3:$Y$23, 2, FALSE)))+('PlayerGrades+'!$Y$53*(VLOOKUP(Q664, 'PlayerGrades+'!$X$3:$Y$23, 2, FALSE)))+('PlayerGrades+'!$Y$54*(VLOOKUP(S664, 'PlayerGrades+'!$X$3:$Y$23, 2, FALSE)))+('PlayerGrades+'!$Y$55*(VLOOKUP(U664, 'PlayerGrades+'!$X$3:$Y$23, 2, FALSE)))</f>
        <v>#DIV/0!</v>
      </c>
      <c r="D664" s="1423" t="str">
        <f t="shared" si="12"/>
        <v>#DIV/0!</v>
      </c>
      <c r="E664" s="1423" t="str">
        <f>IF(D664&lt;'PlayerGrades+'!$AA$21,"F-",IF(D664&lt;'PlayerGrades+'!$AA$20,"F",IF(D664&lt;'PlayerGrades+'!$AA$19,"F+",IF(D664&lt;'PlayerGrades+'!$AA$18,"E-",IF(D664&lt;'PlayerGrades+'!$AA$17,"E",IF(D664&lt;'PlayerGrades+'!$AA$16,"E+",IF(D664&lt;'PlayerGrades+'!$AA$15,"D-",IF(D664&lt;'PlayerGrades+'!$AA$14,"D",IF(D664&lt;'PlayerGrades+'!$AA$13,"D+",IF(D664&lt;'PlayerGrades+'!$AA$12,"C-",IF(D664&lt;'PlayerGrades+'!$AA$11,"C",IF(D664&lt;'PlayerGrades+'!$AA$10,"C+",IF(D664&lt;'PlayerGrades+'!$AA$9,"B-",IF(D664&lt;'PlayerGrades+'!$AA$8,"B",IF(D664&lt;'PlayerGrades+'!$AA$7,"B+",IF(D664&lt;'PlayerGrades+'!$AA$6,"A-",IF(D664&lt;'PlayerGrades+'!$AA$5,"A",IF(D664&lt;'PlayerGrades+'!$AA$4,"A+",IF(D664&lt;'PlayerGrades+'!$AA$3,"S-",IF(D664&lt;'PlayerGrades+'!$AA$2,"S","S+"))))))))))))))))))))</f>
        <v>#DIV/0!</v>
      </c>
      <c r="F664" s="1423" t="str">
        <f t="shared" si="13"/>
        <v>#DIV/0!</v>
      </c>
      <c r="G664" s="1423" t="str">
        <f>IF(F664&lt;'PlayerGrades+'!$AB$21,"F-",IF(F664&lt;'PlayerGrades+'!$AB$20,"F",IF(F664&lt;'PlayerGrades+'!$AB$19,"F+",IF(F664&lt;'PlayerGrades+'!$AB$18,"E-",IF(F664&lt;'PlayerGrades+'!$AB$17,"E",IF(F664&lt;'PlayerGrades+'!$AB$16,"E+",IF(F664&lt;'PlayerGrades+'!$AB$15,"D-",IF(F664&lt;'PlayerGrades+'!$AB$14,"D",IF(F664&lt;'PlayerGrades+'!$AB$13,"D+",IF(F664&lt;'PlayerGrades+'!$AB$12,"C-",IF(F664&lt;'PlayerGrades+'!$AB$11,"C",IF(F664&lt;'PlayerGrades+'!$AB$10,"C+",IF(F664&lt;'PlayerGrades+'!$AB$9,"B-",IF(F664&lt;'PlayerGrades+'!$AB$8,"B",IF(F664&lt;'PlayerGrades+'!$AB$7,"B+",IF(F664&lt;'PlayerGrades+'!$AB$6,"A-",IF(F664&lt;'PlayerGrades+'!$AB$5,"A",IF(F664&lt;'PlayerGrades+'!$AB$4,"A+",IF(F664&lt;'PlayerGrades+'!$AB$3,"S-",IF(F664&lt;'PlayerGrades+'!$AB$2,"S","S+"))))))))))))))))))))</f>
        <v>#DIV/0!</v>
      </c>
      <c r="H664" s="1423" t="str">
        <f t="shared" si="14"/>
        <v>#DIV/0!</v>
      </c>
      <c r="I664" s="1423" t="str">
        <f>IF(H664&lt;'PlayerGrades+'!$AC$21,"F-",IF(H664&lt;'PlayerGrades+'!$AC$20,"F",IF(H664&lt;'PlayerGrades+'!$AC$19,"F+",IF(H664&lt;'PlayerGrades+'!$AC$18,"E-",IF(H664&lt;'PlayerGrades+'!$AC$17,"E",IF(H664&lt;'PlayerGrades+'!$AC$16,"E+",IF(H664&lt;'PlayerGrades+'!$AC$15,"D-",IF(H664&lt;'PlayerGrades+'!$AC$14,"D",IF(H664&lt;'PlayerGrades+'!$AC$13,"D+",IF(H664&lt;'PlayerGrades+'!$AC$12,"C-",IF(H664&lt;'PlayerGrades+'!$AC$11,"C",IF(H664&lt;'PlayerGrades+'!$AC$10,"C+",IF(H664&lt;'PlayerGrades+'!$AC$9,"B-",IF(H664&lt;'PlayerGrades+'!$AC$8,"B",IF(H664&lt;'PlayerGrades+'!$AC$7,"B+",IF(H664&lt;'PlayerGrades+'!$AC$6,"A-",IF(H664&lt;'PlayerGrades+'!$AC$5,"A",IF(H664&lt;'PlayerGrades+'!$AC$4,"A+",IF(H664&lt;'PlayerGrades+'!$AC$3,"S-",IF(H664&lt;'PlayerGrades+'!$AC$2,"S","S+"))))))))))))))))))))</f>
        <v>#DIV/0!</v>
      </c>
      <c r="J664" s="1423" t="str">
        <f t="shared" si="15"/>
        <v>#DIV/0!</v>
      </c>
      <c r="K664" s="1423" t="str">
        <f>IF(J664&lt;'PlayerGrades+'!$AD$21,"F-",IF(J664&lt;'PlayerGrades+'!$AD$20,"F",IF(J664&lt;'PlayerGrades+'!$AD$19,"F+",IF(J664&lt;'PlayerGrades+'!$AD$18,"E-",IF(J664&lt;'PlayerGrades+'!$AD$17,"E",IF(J664&lt;'PlayerGrades+'!$AD$16,"E+",IF(J664&lt;'PlayerGrades+'!$AD$15,"D-",IF(J664&lt;'PlayerGrades+'!$AD$14,"D",IF(J664&lt;'PlayerGrades+'!$AD$13,"D+",IF(J664&lt;'PlayerGrades+'!$AD$12,"C-",IF(J664&lt;'PlayerGrades+'!$AD$11,"C",IF(J664&lt;'PlayerGrades+'!$AD$10,"C+",IF(J664&lt;'PlayerGrades+'!$AD$9,"B-",IF(J664&lt;'PlayerGrades+'!$AD$8,"B",IF(J664&lt;'PlayerGrades+'!$AD$7,"B+",IF(J664&lt;'PlayerGrades+'!$AD$6,"A-",IF(J664&lt;'PlayerGrades+'!$AD$5,"A",IF(J664&lt;'PlayerGrades+'!$AD$4,"A+",IF(J664&lt;'PlayerGrades+'!$AD$3,"S-",IF(J664&lt;'PlayerGrades+'!$AD$2,"S","S+"))))))))))))))))))))</f>
        <v>#DIV/0!</v>
      </c>
      <c r="L664" s="1176" t="str">
        <f t="shared" si="16"/>
        <v>#DIV/0!</v>
      </c>
      <c r="M664" s="992" t="str">
        <f>IF(L664&lt;'PlayerGrades+'!$AE$21,"F-",IF(L664&lt;'PlayerGrades+'!$AE$20,"F",IF(L664&lt;'PlayerGrades+'!$AE$19,"F+",IF(L664&lt;'PlayerGrades+'!$AE$18,"E-",IF(L664&lt;'PlayerGrades+'!$AE$17,"E",IF(L664&lt;'PlayerGrades+'!$AE$16,"E+",IF(L664&lt;'PlayerGrades+'!$AE$15,"D-",IF(L664&lt;'PlayerGrades+'!$AE$14,"D",IF(L664&lt;'PlayerGrades+'!$AE$13,"D+",IF(L664&lt;'PlayerGrades+'!$AE$12,"C-",IF(L664&lt;'PlayerGrades+'!$AE$11,"C",IF(L664&lt;'PlayerGrades+'!$AE$10,"C+",IF(L664&lt;'PlayerGrades+'!$AE$9,"B-",IF(L664&lt;'PlayerGrades+'!$AE$8,"B",IF(L664&lt;'PlayerGrades+'!$AE$7,"B+",IF(L664&lt;'PlayerGrades+'!$AE$6,"A-",IF(L664&lt;'PlayerGrades+'!$AE$5,"A",IF(L664&lt;'PlayerGrades+'!$AE$4,"A+",IF(L664&lt;'PlayerGrades+'!$AE$3,"S-",IF(L664&lt;'PlayerGrades+'!$AE$2,"S","S+"))))))))))))))))))))</f>
        <v>#DIV/0!</v>
      </c>
      <c r="N664" s="1423" t="str">
        <f t="shared" si="17"/>
        <v>#DIV/0!</v>
      </c>
      <c r="O664" s="1423" t="str">
        <f>IF(N664&lt;'PlayerGrades+'!$AF$21,"F-",IF(N664&lt;'PlayerGrades+'!$AF$20,"F",IF(N664&lt;'PlayerGrades+'!$AF$19,"F+",IF(N664&lt;'PlayerGrades+'!$AF$18,"E-",IF(N664&lt;'PlayerGrades+'!$AF$17,"E",IF(N664&lt;'PlayerGrades+'!$AF$16,"E+",IF(N664&lt;'PlayerGrades+'!$AF$15,"D-",IF(N664&lt;'PlayerGrades+'!$AF$14,"D",IF(N664&lt;'PlayerGrades+'!$AF$13,"D+",IF(N664&lt;'PlayerGrades+'!$AF$12,"C-",IF(N664&lt;'PlayerGrades+'!$AF$11,"C",IF(N664&lt;'PlayerGrades+'!$AF$10,"C+",IF(N664&lt;'PlayerGrades+'!$AF$9,"B-",IF(N664&lt;'PlayerGrades+'!$AF$8,"B",IF(N664&lt;'PlayerGrades+'!$AF$7,"B+",IF(N664&lt;'PlayerGrades+'!$AF$6,"A-",IF(N664&lt;'PlayerGrades+'!$AF$5,"A",IF(N664&lt;'PlayerGrades+'!$AF$4,"A+",IF(N664&lt;'PlayerGrades+'!$AF$3,"S-",IF(N664&lt;'PlayerGrades+'!$AF$2,"S","S+"))))))))))))))))))))</f>
        <v>#DIV/0!</v>
      </c>
      <c r="P664" s="1423" t="str">
        <f t="shared" si="18"/>
        <v>#DIV/0!</v>
      </c>
      <c r="Q664" s="1423" t="str">
        <f>IF(P664&lt;'PlayerGrades+'!$AG$21,"F-",IF(P664&lt;'PlayerGrades+'!$AG$20,"F",IF(P664&lt;'PlayerGrades+'!$AG$19,"F+",IF(P664&lt;'PlayerGrades+'!$AG$18,"E-",IF(P664&lt;'PlayerGrades+'!$AG$17,"E",IF(P664&lt;'PlayerGrades+'!$AG$16,"E+",IF(P664&lt;'PlayerGrades+'!$AG$15,"D-",IF(P664&lt;'PlayerGrades+'!$AG$14,"D",IF(P664&lt;'PlayerGrades+'!$AG$13,"D+",IF(P664&lt;'PlayerGrades+'!$AG$12,"C-",IF(P664&lt;'PlayerGrades+'!$AG$11,"C",IF(P664&lt;'PlayerGrades+'!$AG$10,"C+",IF(P664&lt;'PlayerGrades+'!$AG$9,"B-",IF(P664&lt;'PlayerGrades+'!$AG$8,"B",IF(P664&lt;'PlayerGrades+'!$AG$7,"B+",IF(P664&lt;'PlayerGrades+'!$AG$6,"A-",IF(P664&lt;'PlayerGrades+'!$AG$5,"A",IF(P664&lt;'PlayerGrades+'!$AG$4,"A+",IF(P664&lt;'PlayerGrades+'!$AG$3,"S-",IF(P664&lt;'PlayerGrades+'!$AG$2,"S","S+"))))))))))))))))))))</f>
        <v>#DIV/0!</v>
      </c>
      <c r="R664" s="1423" t="str">
        <f t="shared" si="19"/>
        <v>#REF!</v>
      </c>
      <c r="S664" s="1423" t="str">
        <f>IF(R664&lt;'PlayerGrades+'!$AH$21,"F-",IF(R664&lt;'PlayerGrades+'!$AH$20,"F",IF(R664&lt;'PlayerGrades+'!$AH$19,"F+",IF(R664&lt;'PlayerGrades+'!$AH$18,"E-",IF(R664&lt;'PlayerGrades+'!$AH$17,"E",IF(R664&lt;'PlayerGrades+'!$AH$16,"E+",IF(R664&lt;'PlayerGrades+'!$AH$15,"D-",IF(R664&lt;'PlayerGrades+'!$AH$14,"D",IF(R664&lt;'PlayerGrades+'!$AH$13,"D+",IF(R664&lt;'PlayerGrades+'!$AH$12,"C-",IF(R664&lt;'PlayerGrades+'!$AH$11,"C",IF(R664&lt;'PlayerGrades+'!$AH$10,"C+",IF(R664&lt;'PlayerGrades+'!$AH$9,"B-",IF(R664&lt;'PlayerGrades+'!$AH$8,"B",IF(R664&lt;'PlayerGrades+'!$AH$7,"B+",IF(R664&lt;'PlayerGrades+'!$AH$6,"A-",IF(R664&lt;'PlayerGrades+'!$AH$5,"A",IF(R664&lt;'PlayerGrades+'!$AH$4,"A+",IF(R664&lt;'PlayerGrades+'!$AH$3,"S-",IF(R664&lt;'PlayerGrades+'!$AH$2,"S","S+"))))))))))))))))))))</f>
        <v>#REF!</v>
      </c>
      <c r="T664" s="1423" t="str">
        <f t="shared" si="20"/>
        <v>#REF!</v>
      </c>
      <c r="U664" s="1423" t="str">
        <f>IF(T664&lt;'PlayerGrades+'!$AI$21,"F-",IF(T664&lt;'PlayerGrades+'!$AI$20,"F",IF(T664&lt;'PlayerGrades+'!$AI$19,"F+",IF(T664&lt;'PlayerGrades+'!$AI$18,"E-",IF(T664&lt;'PlayerGrades+'!$AI$17,"E",IF(T664&lt;'PlayerGrades+'!$AI$16,"E+",IF(T664&lt;'PlayerGrades+'!$AI$15,"D-",IF(T664&lt;'PlayerGrades+'!$AI$14,"D",IF(T664&lt;'PlayerGrades+'!$AI$13,"D+",IF(T664&lt;'PlayerGrades+'!$AI$12,"C-",IF(T664&lt;'PlayerGrades+'!$AI$11,"C",IF(T664&lt;'PlayerGrades+'!$AI$10,"C+",IF(T664&lt;'PlayerGrades+'!$AI$9,"B-",IF(T664&lt;'PlayerGrades+'!$AI$8,"B",IF(T664&lt;'PlayerGrades+'!$AI$7,"B+",IF(T664&lt;'PlayerGrades+'!$AI$6,"A-",IF(T664&lt;'PlayerGrades+'!$AI$5,"A",IF(T664&lt;'PlayerGrades+'!$AI$4,"A+",IF(T664&lt;'PlayerGrades+'!$AI$3,"S-",IF(T664&lt;'PlayerGrades+'!$AI$2,"S","S+"))))))))))))))))))))</f>
        <v>#REF!</v>
      </c>
      <c r="AC664" s="1392"/>
    </row>
    <row r="665">
      <c r="A665" s="1411"/>
      <c r="B665" s="1421" t="str">
        <f>IF(C665&lt;'PlayerGrades+'!$Y$44,"F-",IF(C665&lt;'PlayerGrades+'!$Y$43,"F",IF(C665&lt;'PlayerGrades+'!$Y$42,"F+",IF(C665&lt;'PlayerGrades+'!$Y$41,"E-",IF(C665&lt;'PlayerGrades+'!$Y$40,"E",IF(C665&lt;'PlayerGrades+'!$Y$39,"E+",IF(C665&lt;'PlayerGrades+'!$Y$38,"D-",IF(C665&lt;'PlayerGrades+'!$Y$37,"D",IF(C665&lt;'PlayerGrades+'!$Y$36,"D+",IF(C665&lt;'PlayerGrades+'!$Y$35,"C-",IF(C665&lt;'PlayerGrades+'!$Y$34,"C",IF(C665&lt;'PlayerGrades+'!$Y$33,"C+",IF(C665&lt;'PlayerGrades+'!$Y$32,"B-",IF(C665&lt;'PlayerGrades+'!$Y$31,"B",IF(C665&lt;'PlayerGrades+'!$Y$30,"B+",IF(C665&lt;'PlayerGrades+'!$Y$29,"A-",IF(C665&lt;'PlayerGrades+'!$Y$28,"A",IF(C665&lt;'PlayerGrades+'!$Y$27,"A+",IF(C665&lt;'PlayerGrades+'!$Y$26,"S-",IF(C665&lt;'PlayerGrades+'!$Y$25,"S","S+"))))))))))))))))))))</f>
        <v>#DIV/0!</v>
      </c>
      <c r="C665" s="1422" t="str">
        <f>('PlayerGrades+'!$Y$47*(VLOOKUP(E665, 'PlayerGrades+'!$X$3:$Y$23, 2, FALSE)))+('PlayerGrades+'!$Y$48*(VLOOKUP(G665, 'PlayerGrades+'!$X$3:$Y$23, 2, FALSE)))+('PlayerGrades+'!$Y$49*(VLOOKUP(I665, 'PlayerGrades+'!$X$3:$Y$23, 2, FALSE)))+('PlayerGrades+'!$Y$50*(VLOOKUP(K665, 'PlayerGrades+'!$X$3:$Y$23, 2, FALSE)))+('PlayerGrades+'!$Y$51*(VLOOKUP(M665, 'PlayerGrades+'!$X$3:$Y$23, 2, FALSE)))+('PlayerGrades+'!$Y$52*(VLOOKUP(O665, 'PlayerGrades+'!$X$3:$Y$23, 2, FALSE)))+('PlayerGrades+'!$Y$53*(VLOOKUP(Q665, 'PlayerGrades+'!$X$3:$Y$23, 2, FALSE)))+('PlayerGrades+'!$Y$54*(VLOOKUP(S665, 'PlayerGrades+'!$X$3:$Y$23, 2, FALSE)))+('PlayerGrades+'!$Y$55*(VLOOKUP(U665, 'PlayerGrades+'!$X$3:$Y$23, 2, FALSE)))</f>
        <v>#DIV/0!</v>
      </c>
      <c r="D665" s="1423" t="str">
        <f t="shared" si="12"/>
        <v>#DIV/0!</v>
      </c>
      <c r="E665" s="1423" t="str">
        <f>IF(D665&lt;'PlayerGrades+'!$AA$21,"F-",IF(D665&lt;'PlayerGrades+'!$AA$20,"F",IF(D665&lt;'PlayerGrades+'!$AA$19,"F+",IF(D665&lt;'PlayerGrades+'!$AA$18,"E-",IF(D665&lt;'PlayerGrades+'!$AA$17,"E",IF(D665&lt;'PlayerGrades+'!$AA$16,"E+",IF(D665&lt;'PlayerGrades+'!$AA$15,"D-",IF(D665&lt;'PlayerGrades+'!$AA$14,"D",IF(D665&lt;'PlayerGrades+'!$AA$13,"D+",IF(D665&lt;'PlayerGrades+'!$AA$12,"C-",IF(D665&lt;'PlayerGrades+'!$AA$11,"C",IF(D665&lt;'PlayerGrades+'!$AA$10,"C+",IF(D665&lt;'PlayerGrades+'!$AA$9,"B-",IF(D665&lt;'PlayerGrades+'!$AA$8,"B",IF(D665&lt;'PlayerGrades+'!$AA$7,"B+",IF(D665&lt;'PlayerGrades+'!$AA$6,"A-",IF(D665&lt;'PlayerGrades+'!$AA$5,"A",IF(D665&lt;'PlayerGrades+'!$AA$4,"A+",IF(D665&lt;'PlayerGrades+'!$AA$3,"S-",IF(D665&lt;'PlayerGrades+'!$AA$2,"S","S+"))))))))))))))))))))</f>
        <v>#DIV/0!</v>
      </c>
      <c r="F665" s="1423" t="str">
        <f t="shared" si="13"/>
        <v>#DIV/0!</v>
      </c>
      <c r="G665" s="1423" t="str">
        <f>IF(F665&lt;'PlayerGrades+'!$AB$21,"F-",IF(F665&lt;'PlayerGrades+'!$AB$20,"F",IF(F665&lt;'PlayerGrades+'!$AB$19,"F+",IF(F665&lt;'PlayerGrades+'!$AB$18,"E-",IF(F665&lt;'PlayerGrades+'!$AB$17,"E",IF(F665&lt;'PlayerGrades+'!$AB$16,"E+",IF(F665&lt;'PlayerGrades+'!$AB$15,"D-",IF(F665&lt;'PlayerGrades+'!$AB$14,"D",IF(F665&lt;'PlayerGrades+'!$AB$13,"D+",IF(F665&lt;'PlayerGrades+'!$AB$12,"C-",IF(F665&lt;'PlayerGrades+'!$AB$11,"C",IF(F665&lt;'PlayerGrades+'!$AB$10,"C+",IF(F665&lt;'PlayerGrades+'!$AB$9,"B-",IF(F665&lt;'PlayerGrades+'!$AB$8,"B",IF(F665&lt;'PlayerGrades+'!$AB$7,"B+",IF(F665&lt;'PlayerGrades+'!$AB$6,"A-",IF(F665&lt;'PlayerGrades+'!$AB$5,"A",IF(F665&lt;'PlayerGrades+'!$AB$4,"A+",IF(F665&lt;'PlayerGrades+'!$AB$3,"S-",IF(F665&lt;'PlayerGrades+'!$AB$2,"S","S+"))))))))))))))))))))</f>
        <v>#DIV/0!</v>
      </c>
      <c r="H665" s="1423" t="str">
        <f t="shared" si="14"/>
        <v>#DIV/0!</v>
      </c>
      <c r="I665" s="1423" t="str">
        <f>IF(H665&lt;'PlayerGrades+'!$AC$21,"F-",IF(H665&lt;'PlayerGrades+'!$AC$20,"F",IF(H665&lt;'PlayerGrades+'!$AC$19,"F+",IF(H665&lt;'PlayerGrades+'!$AC$18,"E-",IF(H665&lt;'PlayerGrades+'!$AC$17,"E",IF(H665&lt;'PlayerGrades+'!$AC$16,"E+",IF(H665&lt;'PlayerGrades+'!$AC$15,"D-",IF(H665&lt;'PlayerGrades+'!$AC$14,"D",IF(H665&lt;'PlayerGrades+'!$AC$13,"D+",IF(H665&lt;'PlayerGrades+'!$AC$12,"C-",IF(H665&lt;'PlayerGrades+'!$AC$11,"C",IF(H665&lt;'PlayerGrades+'!$AC$10,"C+",IF(H665&lt;'PlayerGrades+'!$AC$9,"B-",IF(H665&lt;'PlayerGrades+'!$AC$8,"B",IF(H665&lt;'PlayerGrades+'!$AC$7,"B+",IF(H665&lt;'PlayerGrades+'!$AC$6,"A-",IF(H665&lt;'PlayerGrades+'!$AC$5,"A",IF(H665&lt;'PlayerGrades+'!$AC$4,"A+",IF(H665&lt;'PlayerGrades+'!$AC$3,"S-",IF(H665&lt;'PlayerGrades+'!$AC$2,"S","S+"))))))))))))))))))))</f>
        <v>#DIV/0!</v>
      </c>
      <c r="J665" s="1423" t="str">
        <f t="shared" si="15"/>
        <v>#DIV/0!</v>
      </c>
      <c r="K665" s="1423" t="str">
        <f>IF(J665&lt;'PlayerGrades+'!$AD$21,"F-",IF(J665&lt;'PlayerGrades+'!$AD$20,"F",IF(J665&lt;'PlayerGrades+'!$AD$19,"F+",IF(J665&lt;'PlayerGrades+'!$AD$18,"E-",IF(J665&lt;'PlayerGrades+'!$AD$17,"E",IF(J665&lt;'PlayerGrades+'!$AD$16,"E+",IF(J665&lt;'PlayerGrades+'!$AD$15,"D-",IF(J665&lt;'PlayerGrades+'!$AD$14,"D",IF(J665&lt;'PlayerGrades+'!$AD$13,"D+",IF(J665&lt;'PlayerGrades+'!$AD$12,"C-",IF(J665&lt;'PlayerGrades+'!$AD$11,"C",IF(J665&lt;'PlayerGrades+'!$AD$10,"C+",IF(J665&lt;'PlayerGrades+'!$AD$9,"B-",IF(J665&lt;'PlayerGrades+'!$AD$8,"B",IF(J665&lt;'PlayerGrades+'!$AD$7,"B+",IF(J665&lt;'PlayerGrades+'!$AD$6,"A-",IF(J665&lt;'PlayerGrades+'!$AD$5,"A",IF(J665&lt;'PlayerGrades+'!$AD$4,"A+",IF(J665&lt;'PlayerGrades+'!$AD$3,"S-",IF(J665&lt;'PlayerGrades+'!$AD$2,"S","S+"))))))))))))))))))))</f>
        <v>#DIV/0!</v>
      </c>
      <c r="L665" s="1176" t="str">
        <f t="shared" si="16"/>
        <v>#DIV/0!</v>
      </c>
      <c r="M665" s="992" t="str">
        <f>IF(L665&lt;'PlayerGrades+'!$AE$21,"F-",IF(L665&lt;'PlayerGrades+'!$AE$20,"F",IF(L665&lt;'PlayerGrades+'!$AE$19,"F+",IF(L665&lt;'PlayerGrades+'!$AE$18,"E-",IF(L665&lt;'PlayerGrades+'!$AE$17,"E",IF(L665&lt;'PlayerGrades+'!$AE$16,"E+",IF(L665&lt;'PlayerGrades+'!$AE$15,"D-",IF(L665&lt;'PlayerGrades+'!$AE$14,"D",IF(L665&lt;'PlayerGrades+'!$AE$13,"D+",IF(L665&lt;'PlayerGrades+'!$AE$12,"C-",IF(L665&lt;'PlayerGrades+'!$AE$11,"C",IF(L665&lt;'PlayerGrades+'!$AE$10,"C+",IF(L665&lt;'PlayerGrades+'!$AE$9,"B-",IF(L665&lt;'PlayerGrades+'!$AE$8,"B",IF(L665&lt;'PlayerGrades+'!$AE$7,"B+",IF(L665&lt;'PlayerGrades+'!$AE$6,"A-",IF(L665&lt;'PlayerGrades+'!$AE$5,"A",IF(L665&lt;'PlayerGrades+'!$AE$4,"A+",IF(L665&lt;'PlayerGrades+'!$AE$3,"S-",IF(L665&lt;'PlayerGrades+'!$AE$2,"S","S+"))))))))))))))))))))</f>
        <v>#DIV/0!</v>
      </c>
      <c r="N665" s="1423" t="str">
        <f t="shared" si="17"/>
        <v>#DIV/0!</v>
      </c>
      <c r="O665" s="1423" t="str">
        <f>IF(N665&lt;'PlayerGrades+'!$AF$21,"F-",IF(N665&lt;'PlayerGrades+'!$AF$20,"F",IF(N665&lt;'PlayerGrades+'!$AF$19,"F+",IF(N665&lt;'PlayerGrades+'!$AF$18,"E-",IF(N665&lt;'PlayerGrades+'!$AF$17,"E",IF(N665&lt;'PlayerGrades+'!$AF$16,"E+",IF(N665&lt;'PlayerGrades+'!$AF$15,"D-",IF(N665&lt;'PlayerGrades+'!$AF$14,"D",IF(N665&lt;'PlayerGrades+'!$AF$13,"D+",IF(N665&lt;'PlayerGrades+'!$AF$12,"C-",IF(N665&lt;'PlayerGrades+'!$AF$11,"C",IF(N665&lt;'PlayerGrades+'!$AF$10,"C+",IF(N665&lt;'PlayerGrades+'!$AF$9,"B-",IF(N665&lt;'PlayerGrades+'!$AF$8,"B",IF(N665&lt;'PlayerGrades+'!$AF$7,"B+",IF(N665&lt;'PlayerGrades+'!$AF$6,"A-",IF(N665&lt;'PlayerGrades+'!$AF$5,"A",IF(N665&lt;'PlayerGrades+'!$AF$4,"A+",IF(N665&lt;'PlayerGrades+'!$AF$3,"S-",IF(N665&lt;'PlayerGrades+'!$AF$2,"S","S+"))))))))))))))))))))</f>
        <v>#DIV/0!</v>
      </c>
      <c r="P665" s="1423" t="str">
        <f t="shared" si="18"/>
        <v>#DIV/0!</v>
      </c>
      <c r="Q665" s="1423" t="str">
        <f>IF(P665&lt;'PlayerGrades+'!$AG$21,"F-",IF(P665&lt;'PlayerGrades+'!$AG$20,"F",IF(P665&lt;'PlayerGrades+'!$AG$19,"F+",IF(P665&lt;'PlayerGrades+'!$AG$18,"E-",IF(P665&lt;'PlayerGrades+'!$AG$17,"E",IF(P665&lt;'PlayerGrades+'!$AG$16,"E+",IF(P665&lt;'PlayerGrades+'!$AG$15,"D-",IF(P665&lt;'PlayerGrades+'!$AG$14,"D",IF(P665&lt;'PlayerGrades+'!$AG$13,"D+",IF(P665&lt;'PlayerGrades+'!$AG$12,"C-",IF(P665&lt;'PlayerGrades+'!$AG$11,"C",IF(P665&lt;'PlayerGrades+'!$AG$10,"C+",IF(P665&lt;'PlayerGrades+'!$AG$9,"B-",IF(P665&lt;'PlayerGrades+'!$AG$8,"B",IF(P665&lt;'PlayerGrades+'!$AG$7,"B+",IF(P665&lt;'PlayerGrades+'!$AG$6,"A-",IF(P665&lt;'PlayerGrades+'!$AG$5,"A",IF(P665&lt;'PlayerGrades+'!$AG$4,"A+",IF(P665&lt;'PlayerGrades+'!$AG$3,"S-",IF(P665&lt;'PlayerGrades+'!$AG$2,"S","S+"))))))))))))))))))))</f>
        <v>#DIV/0!</v>
      </c>
      <c r="R665" s="1423" t="str">
        <f t="shared" si="19"/>
        <v>#REF!</v>
      </c>
      <c r="S665" s="1423" t="str">
        <f>IF(R665&lt;'PlayerGrades+'!$AH$21,"F-",IF(R665&lt;'PlayerGrades+'!$AH$20,"F",IF(R665&lt;'PlayerGrades+'!$AH$19,"F+",IF(R665&lt;'PlayerGrades+'!$AH$18,"E-",IF(R665&lt;'PlayerGrades+'!$AH$17,"E",IF(R665&lt;'PlayerGrades+'!$AH$16,"E+",IF(R665&lt;'PlayerGrades+'!$AH$15,"D-",IF(R665&lt;'PlayerGrades+'!$AH$14,"D",IF(R665&lt;'PlayerGrades+'!$AH$13,"D+",IF(R665&lt;'PlayerGrades+'!$AH$12,"C-",IF(R665&lt;'PlayerGrades+'!$AH$11,"C",IF(R665&lt;'PlayerGrades+'!$AH$10,"C+",IF(R665&lt;'PlayerGrades+'!$AH$9,"B-",IF(R665&lt;'PlayerGrades+'!$AH$8,"B",IF(R665&lt;'PlayerGrades+'!$AH$7,"B+",IF(R665&lt;'PlayerGrades+'!$AH$6,"A-",IF(R665&lt;'PlayerGrades+'!$AH$5,"A",IF(R665&lt;'PlayerGrades+'!$AH$4,"A+",IF(R665&lt;'PlayerGrades+'!$AH$3,"S-",IF(R665&lt;'PlayerGrades+'!$AH$2,"S","S+"))))))))))))))))))))</f>
        <v>#REF!</v>
      </c>
      <c r="T665" s="1423" t="str">
        <f t="shared" si="20"/>
        <v>#REF!</v>
      </c>
      <c r="U665" s="1423" t="str">
        <f>IF(T665&lt;'PlayerGrades+'!$AI$21,"F-",IF(T665&lt;'PlayerGrades+'!$AI$20,"F",IF(T665&lt;'PlayerGrades+'!$AI$19,"F+",IF(T665&lt;'PlayerGrades+'!$AI$18,"E-",IF(T665&lt;'PlayerGrades+'!$AI$17,"E",IF(T665&lt;'PlayerGrades+'!$AI$16,"E+",IF(T665&lt;'PlayerGrades+'!$AI$15,"D-",IF(T665&lt;'PlayerGrades+'!$AI$14,"D",IF(T665&lt;'PlayerGrades+'!$AI$13,"D+",IF(T665&lt;'PlayerGrades+'!$AI$12,"C-",IF(T665&lt;'PlayerGrades+'!$AI$11,"C",IF(T665&lt;'PlayerGrades+'!$AI$10,"C+",IF(T665&lt;'PlayerGrades+'!$AI$9,"B-",IF(T665&lt;'PlayerGrades+'!$AI$8,"B",IF(T665&lt;'PlayerGrades+'!$AI$7,"B+",IF(T665&lt;'PlayerGrades+'!$AI$6,"A-",IF(T665&lt;'PlayerGrades+'!$AI$5,"A",IF(T665&lt;'PlayerGrades+'!$AI$4,"A+",IF(T665&lt;'PlayerGrades+'!$AI$3,"S-",IF(T665&lt;'PlayerGrades+'!$AI$2,"S","S+"))))))))))))))))))))</f>
        <v>#REF!</v>
      </c>
      <c r="V665" s="1386"/>
      <c r="W665" s="1386"/>
      <c r="X665" s="1386"/>
      <c r="Y665" s="1386"/>
      <c r="Z665" s="1386"/>
      <c r="AA665" s="1386"/>
      <c r="AB665" s="1386"/>
      <c r="AC665" s="1397"/>
      <c r="AD665" s="1386"/>
      <c r="AE665" s="1386"/>
      <c r="AF665" s="1386"/>
      <c r="AG665" s="1386"/>
      <c r="AH665" s="1386"/>
      <c r="AI665" s="1386"/>
      <c r="AJ665" s="1386"/>
      <c r="AK665" s="1386"/>
      <c r="AL665" s="1386"/>
      <c r="AM665" s="1386"/>
      <c r="AN665" s="1386"/>
      <c r="AO665" s="1386"/>
      <c r="AP665" s="1386"/>
      <c r="AQ665" s="1386"/>
      <c r="AR665" s="1386"/>
      <c r="AS665" s="1386"/>
      <c r="AT665" s="1386"/>
      <c r="AU665" s="1386"/>
      <c r="AV665" s="1386"/>
      <c r="AW665" s="1386"/>
      <c r="AX665" s="1386"/>
      <c r="AY665" s="1386"/>
      <c r="AZ665" s="1386"/>
    </row>
    <row r="666">
      <c r="B666" s="1421" t="str">
        <f>IF(C666&lt;'PlayerGrades+'!$Y$44,"F-",IF(C666&lt;'PlayerGrades+'!$Y$43,"F",IF(C666&lt;'PlayerGrades+'!$Y$42,"F+",IF(C666&lt;'PlayerGrades+'!$Y$41,"E-",IF(C666&lt;'PlayerGrades+'!$Y$40,"E",IF(C666&lt;'PlayerGrades+'!$Y$39,"E+",IF(C666&lt;'PlayerGrades+'!$Y$38,"D-",IF(C666&lt;'PlayerGrades+'!$Y$37,"D",IF(C666&lt;'PlayerGrades+'!$Y$36,"D+",IF(C666&lt;'PlayerGrades+'!$Y$35,"C-",IF(C666&lt;'PlayerGrades+'!$Y$34,"C",IF(C666&lt;'PlayerGrades+'!$Y$33,"C+",IF(C666&lt;'PlayerGrades+'!$Y$32,"B-",IF(C666&lt;'PlayerGrades+'!$Y$31,"B",IF(C666&lt;'PlayerGrades+'!$Y$30,"B+",IF(C666&lt;'PlayerGrades+'!$Y$29,"A-",IF(C666&lt;'PlayerGrades+'!$Y$28,"A",IF(C666&lt;'PlayerGrades+'!$Y$27,"A+",IF(C666&lt;'PlayerGrades+'!$Y$26,"S-",IF(C666&lt;'PlayerGrades+'!$Y$25,"S","S+"))))))))))))))))))))</f>
        <v>#DIV/0!</v>
      </c>
      <c r="C666" s="1422" t="str">
        <f>('PlayerGrades+'!$Y$47*(VLOOKUP(E666, 'PlayerGrades+'!$X$3:$Y$23, 2, FALSE)))+('PlayerGrades+'!$Y$48*(VLOOKUP(G666, 'PlayerGrades+'!$X$3:$Y$23, 2, FALSE)))+('PlayerGrades+'!$Y$49*(VLOOKUP(I666, 'PlayerGrades+'!$X$3:$Y$23, 2, FALSE)))+('PlayerGrades+'!$Y$50*(VLOOKUP(K666, 'PlayerGrades+'!$X$3:$Y$23, 2, FALSE)))+('PlayerGrades+'!$Y$51*(VLOOKUP(M666, 'PlayerGrades+'!$X$3:$Y$23, 2, FALSE)))+('PlayerGrades+'!$Y$52*(VLOOKUP(O666, 'PlayerGrades+'!$X$3:$Y$23, 2, FALSE)))+('PlayerGrades+'!$Y$53*(VLOOKUP(Q666, 'PlayerGrades+'!$X$3:$Y$23, 2, FALSE)))+('PlayerGrades+'!$Y$54*(VLOOKUP(S666, 'PlayerGrades+'!$X$3:$Y$23, 2, FALSE)))+('PlayerGrades+'!$Y$55*(VLOOKUP(U666, 'PlayerGrades+'!$X$3:$Y$23, 2, FALSE)))</f>
        <v>#DIV/0!</v>
      </c>
      <c r="D666" s="1423" t="str">
        <f t="shared" si="12"/>
        <v>#DIV/0!</v>
      </c>
      <c r="E666" s="1423" t="str">
        <f>IF(D666&lt;'PlayerGrades+'!$AA$21,"F-",IF(D666&lt;'PlayerGrades+'!$AA$20,"F",IF(D666&lt;'PlayerGrades+'!$AA$19,"F+",IF(D666&lt;'PlayerGrades+'!$AA$18,"E-",IF(D666&lt;'PlayerGrades+'!$AA$17,"E",IF(D666&lt;'PlayerGrades+'!$AA$16,"E+",IF(D666&lt;'PlayerGrades+'!$AA$15,"D-",IF(D666&lt;'PlayerGrades+'!$AA$14,"D",IF(D666&lt;'PlayerGrades+'!$AA$13,"D+",IF(D666&lt;'PlayerGrades+'!$AA$12,"C-",IF(D666&lt;'PlayerGrades+'!$AA$11,"C",IF(D666&lt;'PlayerGrades+'!$AA$10,"C+",IF(D666&lt;'PlayerGrades+'!$AA$9,"B-",IF(D666&lt;'PlayerGrades+'!$AA$8,"B",IF(D666&lt;'PlayerGrades+'!$AA$7,"B+",IF(D666&lt;'PlayerGrades+'!$AA$6,"A-",IF(D666&lt;'PlayerGrades+'!$AA$5,"A",IF(D666&lt;'PlayerGrades+'!$AA$4,"A+",IF(D666&lt;'PlayerGrades+'!$AA$3,"S-",IF(D666&lt;'PlayerGrades+'!$AA$2,"S","S+"))))))))))))))))))))</f>
        <v>#DIV/0!</v>
      </c>
      <c r="F666" s="1423" t="str">
        <f t="shared" si="13"/>
        <v>#DIV/0!</v>
      </c>
      <c r="G666" s="1423" t="str">
        <f>IF(F666&lt;'PlayerGrades+'!$AB$21,"F-",IF(F666&lt;'PlayerGrades+'!$AB$20,"F",IF(F666&lt;'PlayerGrades+'!$AB$19,"F+",IF(F666&lt;'PlayerGrades+'!$AB$18,"E-",IF(F666&lt;'PlayerGrades+'!$AB$17,"E",IF(F666&lt;'PlayerGrades+'!$AB$16,"E+",IF(F666&lt;'PlayerGrades+'!$AB$15,"D-",IF(F666&lt;'PlayerGrades+'!$AB$14,"D",IF(F666&lt;'PlayerGrades+'!$AB$13,"D+",IF(F666&lt;'PlayerGrades+'!$AB$12,"C-",IF(F666&lt;'PlayerGrades+'!$AB$11,"C",IF(F666&lt;'PlayerGrades+'!$AB$10,"C+",IF(F666&lt;'PlayerGrades+'!$AB$9,"B-",IF(F666&lt;'PlayerGrades+'!$AB$8,"B",IF(F666&lt;'PlayerGrades+'!$AB$7,"B+",IF(F666&lt;'PlayerGrades+'!$AB$6,"A-",IF(F666&lt;'PlayerGrades+'!$AB$5,"A",IF(F666&lt;'PlayerGrades+'!$AB$4,"A+",IF(F666&lt;'PlayerGrades+'!$AB$3,"S-",IF(F666&lt;'PlayerGrades+'!$AB$2,"S","S+"))))))))))))))))))))</f>
        <v>#DIV/0!</v>
      </c>
      <c r="H666" s="1423" t="str">
        <f t="shared" si="14"/>
        <v>#DIV/0!</v>
      </c>
      <c r="I666" s="1423" t="str">
        <f>IF(H666&lt;'PlayerGrades+'!$AC$21,"F-",IF(H666&lt;'PlayerGrades+'!$AC$20,"F",IF(H666&lt;'PlayerGrades+'!$AC$19,"F+",IF(H666&lt;'PlayerGrades+'!$AC$18,"E-",IF(H666&lt;'PlayerGrades+'!$AC$17,"E",IF(H666&lt;'PlayerGrades+'!$AC$16,"E+",IF(H666&lt;'PlayerGrades+'!$AC$15,"D-",IF(H666&lt;'PlayerGrades+'!$AC$14,"D",IF(H666&lt;'PlayerGrades+'!$AC$13,"D+",IF(H666&lt;'PlayerGrades+'!$AC$12,"C-",IF(H666&lt;'PlayerGrades+'!$AC$11,"C",IF(H666&lt;'PlayerGrades+'!$AC$10,"C+",IF(H666&lt;'PlayerGrades+'!$AC$9,"B-",IF(H666&lt;'PlayerGrades+'!$AC$8,"B",IF(H666&lt;'PlayerGrades+'!$AC$7,"B+",IF(H666&lt;'PlayerGrades+'!$AC$6,"A-",IF(H666&lt;'PlayerGrades+'!$AC$5,"A",IF(H666&lt;'PlayerGrades+'!$AC$4,"A+",IF(H666&lt;'PlayerGrades+'!$AC$3,"S-",IF(H666&lt;'PlayerGrades+'!$AC$2,"S","S+"))))))))))))))))))))</f>
        <v>#DIV/0!</v>
      </c>
      <c r="J666" s="1423" t="str">
        <f t="shared" si="15"/>
        <v>#DIV/0!</v>
      </c>
      <c r="K666" s="1423" t="str">
        <f>IF(J666&lt;'PlayerGrades+'!$AD$21,"F-",IF(J666&lt;'PlayerGrades+'!$AD$20,"F",IF(J666&lt;'PlayerGrades+'!$AD$19,"F+",IF(J666&lt;'PlayerGrades+'!$AD$18,"E-",IF(J666&lt;'PlayerGrades+'!$AD$17,"E",IF(J666&lt;'PlayerGrades+'!$AD$16,"E+",IF(J666&lt;'PlayerGrades+'!$AD$15,"D-",IF(J666&lt;'PlayerGrades+'!$AD$14,"D",IF(J666&lt;'PlayerGrades+'!$AD$13,"D+",IF(J666&lt;'PlayerGrades+'!$AD$12,"C-",IF(J666&lt;'PlayerGrades+'!$AD$11,"C",IF(J666&lt;'PlayerGrades+'!$AD$10,"C+",IF(J666&lt;'PlayerGrades+'!$AD$9,"B-",IF(J666&lt;'PlayerGrades+'!$AD$8,"B",IF(J666&lt;'PlayerGrades+'!$AD$7,"B+",IF(J666&lt;'PlayerGrades+'!$AD$6,"A-",IF(J666&lt;'PlayerGrades+'!$AD$5,"A",IF(J666&lt;'PlayerGrades+'!$AD$4,"A+",IF(J666&lt;'PlayerGrades+'!$AD$3,"S-",IF(J666&lt;'PlayerGrades+'!$AD$2,"S","S+"))))))))))))))))))))</f>
        <v>#DIV/0!</v>
      </c>
      <c r="L666" s="1176" t="str">
        <f t="shared" si="16"/>
        <v>#DIV/0!</v>
      </c>
      <c r="M666" s="992" t="str">
        <f>IF(L666&lt;'PlayerGrades+'!$AE$21,"F-",IF(L666&lt;'PlayerGrades+'!$AE$20,"F",IF(L666&lt;'PlayerGrades+'!$AE$19,"F+",IF(L666&lt;'PlayerGrades+'!$AE$18,"E-",IF(L666&lt;'PlayerGrades+'!$AE$17,"E",IF(L666&lt;'PlayerGrades+'!$AE$16,"E+",IF(L666&lt;'PlayerGrades+'!$AE$15,"D-",IF(L666&lt;'PlayerGrades+'!$AE$14,"D",IF(L666&lt;'PlayerGrades+'!$AE$13,"D+",IF(L666&lt;'PlayerGrades+'!$AE$12,"C-",IF(L666&lt;'PlayerGrades+'!$AE$11,"C",IF(L666&lt;'PlayerGrades+'!$AE$10,"C+",IF(L666&lt;'PlayerGrades+'!$AE$9,"B-",IF(L666&lt;'PlayerGrades+'!$AE$8,"B",IF(L666&lt;'PlayerGrades+'!$AE$7,"B+",IF(L666&lt;'PlayerGrades+'!$AE$6,"A-",IF(L666&lt;'PlayerGrades+'!$AE$5,"A",IF(L666&lt;'PlayerGrades+'!$AE$4,"A+",IF(L666&lt;'PlayerGrades+'!$AE$3,"S-",IF(L666&lt;'PlayerGrades+'!$AE$2,"S","S+"))))))))))))))))))))</f>
        <v>#DIV/0!</v>
      </c>
      <c r="N666" s="1423" t="str">
        <f t="shared" si="17"/>
        <v>#DIV/0!</v>
      </c>
      <c r="O666" s="1423" t="str">
        <f>IF(N666&lt;'PlayerGrades+'!$AF$21,"F-",IF(N666&lt;'PlayerGrades+'!$AF$20,"F",IF(N666&lt;'PlayerGrades+'!$AF$19,"F+",IF(N666&lt;'PlayerGrades+'!$AF$18,"E-",IF(N666&lt;'PlayerGrades+'!$AF$17,"E",IF(N666&lt;'PlayerGrades+'!$AF$16,"E+",IF(N666&lt;'PlayerGrades+'!$AF$15,"D-",IF(N666&lt;'PlayerGrades+'!$AF$14,"D",IF(N666&lt;'PlayerGrades+'!$AF$13,"D+",IF(N666&lt;'PlayerGrades+'!$AF$12,"C-",IF(N666&lt;'PlayerGrades+'!$AF$11,"C",IF(N666&lt;'PlayerGrades+'!$AF$10,"C+",IF(N666&lt;'PlayerGrades+'!$AF$9,"B-",IF(N666&lt;'PlayerGrades+'!$AF$8,"B",IF(N666&lt;'PlayerGrades+'!$AF$7,"B+",IF(N666&lt;'PlayerGrades+'!$AF$6,"A-",IF(N666&lt;'PlayerGrades+'!$AF$5,"A",IF(N666&lt;'PlayerGrades+'!$AF$4,"A+",IF(N666&lt;'PlayerGrades+'!$AF$3,"S-",IF(N666&lt;'PlayerGrades+'!$AF$2,"S","S+"))))))))))))))))))))</f>
        <v>#DIV/0!</v>
      </c>
      <c r="P666" s="1423" t="str">
        <f t="shared" si="18"/>
        <v>#DIV/0!</v>
      </c>
      <c r="Q666" s="1423" t="str">
        <f>IF(P666&lt;'PlayerGrades+'!$AG$21,"F-",IF(P666&lt;'PlayerGrades+'!$AG$20,"F",IF(P666&lt;'PlayerGrades+'!$AG$19,"F+",IF(P666&lt;'PlayerGrades+'!$AG$18,"E-",IF(P666&lt;'PlayerGrades+'!$AG$17,"E",IF(P666&lt;'PlayerGrades+'!$AG$16,"E+",IF(P666&lt;'PlayerGrades+'!$AG$15,"D-",IF(P666&lt;'PlayerGrades+'!$AG$14,"D",IF(P666&lt;'PlayerGrades+'!$AG$13,"D+",IF(P666&lt;'PlayerGrades+'!$AG$12,"C-",IF(P666&lt;'PlayerGrades+'!$AG$11,"C",IF(P666&lt;'PlayerGrades+'!$AG$10,"C+",IF(P666&lt;'PlayerGrades+'!$AG$9,"B-",IF(P666&lt;'PlayerGrades+'!$AG$8,"B",IF(P666&lt;'PlayerGrades+'!$AG$7,"B+",IF(P666&lt;'PlayerGrades+'!$AG$6,"A-",IF(P666&lt;'PlayerGrades+'!$AG$5,"A",IF(P666&lt;'PlayerGrades+'!$AG$4,"A+",IF(P666&lt;'PlayerGrades+'!$AG$3,"S-",IF(P666&lt;'PlayerGrades+'!$AG$2,"S","S+"))))))))))))))))))))</f>
        <v>#DIV/0!</v>
      </c>
      <c r="R666" s="1423" t="str">
        <f t="shared" si="19"/>
        <v>#REF!</v>
      </c>
      <c r="S666" s="1423" t="str">
        <f>IF(R666&lt;'PlayerGrades+'!$AH$21,"F-",IF(R666&lt;'PlayerGrades+'!$AH$20,"F",IF(R666&lt;'PlayerGrades+'!$AH$19,"F+",IF(R666&lt;'PlayerGrades+'!$AH$18,"E-",IF(R666&lt;'PlayerGrades+'!$AH$17,"E",IF(R666&lt;'PlayerGrades+'!$AH$16,"E+",IF(R666&lt;'PlayerGrades+'!$AH$15,"D-",IF(R666&lt;'PlayerGrades+'!$AH$14,"D",IF(R666&lt;'PlayerGrades+'!$AH$13,"D+",IF(R666&lt;'PlayerGrades+'!$AH$12,"C-",IF(R666&lt;'PlayerGrades+'!$AH$11,"C",IF(R666&lt;'PlayerGrades+'!$AH$10,"C+",IF(R666&lt;'PlayerGrades+'!$AH$9,"B-",IF(R666&lt;'PlayerGrades+'!$AH$8,"B",IF(R666&lt;'PlayerGrades+'!$AH$7,"B+",IF(R666&lt;'PlayerGrades+'!$AH$6,"A-",IF(R666&lt;'PlayerGrades+'!$AH$5,"A",IF(R666&lt;'PlayerGrades+'!$AH$4,"A+",IF(R666&lt;'PlayerGrades+'!$AH$3,"S-",IF(R666&lt;'PlayerGrades+'!$AH$2,"S","S+"))))))))))))))))))))</f>
        <v>#REF!</v>
      </c>
      <c r="T666" s="1423" t="str">
        <f t="shared" si="20"/>
        <v>#REF!</v>
      </c>
      <c r="U666" s="1423" t="str">
        <f>IF(T666&lt;'PlayerGrades+'!$AI$21,"F-",IF(T666&lt;'PlayerGrades+'!$AI$20,"F",IF(T666&lt;'PlayerGrades+'!$AI$19,"F+",IF(T666&lt;'PlayerGrades+'!$AI$18,"E-",IF(T666&lt;'PlayerGrades+'!$AI$17,"E",IF(T666&lt;'PlayerGrades+'!$AI$16,"E+",IF(T666&lt;'PlayerGrades+'!$AI$15,"D-",IF(T666&lt;'PlayerGrades+'!$AI$14,"D",IF(T666&lt;'PlayerGrades+'!$AI$13,"D+",IF(T666&lt;'PlayerGrades+'!$AI$12,"C-",IF(T666&lt;'PlayerGrades+'!$AI$11,"C",IF(T666&lt;'PlayerGrades+'!$AI$10,"C+",IF(T666&lt;'PlayerGrades+'!$AI$9,"B-",IF(T666&lt;'PlayerGrades+'!$AI$8,"B",IF(T666&lt;'PlayerGrades+'!$AI$7,"B+",IF(T666&lt;'PlayerGrades+'!$AI$6,"A-",IF(T666&lt;'PlayerGrades+'!$AI$5,"A",IF(T666&lt;'PlayerGrades+'!$AI$4,"A+",IF(T666&lt;'PlayerGrades+'!$AI$3,"S-",IF(T666&lt;'PlayerGrades+'!$AI$2,"S","S+"))))))))))))))))))))</f>
        <v>#REF!</v>
      </c>
      <c r="AC666" s="1392"/>
    </row>
    <row r="667">
      <c r="B667" s="1421" t="str">
        <f>IF(C667&lt;'PlayerGrades+'!$Y$44,"F-",IF(C667&lt;'PlayerGrades+'!$Y$43,"F",IF(C667&lt;'PlayerGrades+'!$Y$42,"F+",IF(C667&lt;'PlayerGrades+'!$Y$41,"E-",IF(C667&lt;'PlayerGrades+'!$Y$40,"E",IF(C667&lt;'PlayerGrades+'!$Y$39,"E+",IF(C667&lt;'PlayerGrades+'!$Y$38,"D-",IF(C667&lt;'PlayerGrades+'!$Y$37,"D",IF(C667&lt;'PlayerGrades+'!$Y$36,"D+",IF(C667&lt;'PlayerGrades+'!$Y$35,"C-",IF(C667&lt;'PlayerGrades+'!$Y$34,"C",IF(C667&lt;'PlayerGrades+'!$Y$33,"C+",IF(C667&lt;'PlayerGrades+'!$Y$32,"B-",IF(C667&lt;'PlayerGrades+'!$Y$31,"B",IF(C667&lt;'PlayerGrades+'!$Y$30,"B+",IF(C667&lt;'PlayerGrades+'!$Y$29,"A-",IF(C667&lt;'PlayerGrades+'!$Y$28,"A",IF(C667&lt;'PlayerGrades+'!$Y$27,"A+",IF(C667&lt;'PlayerGrades+'!$Y$26,"S-",IF(C667&lt;'PlayerGrades+'!$Y$25,"S","S+"))))))))))))))))))))</f>
        <v>#DIV/0!</v>
      </c>
      <c r="C667" s="1422" t="str">
        <f>('PlayerGrades+'!$Y$47*(VLOOKUP(E667, 'PlayerGrades+'!$X$3:$Y$23, 2, FALSE)))+('PlayerGrades+'!$Y$48*(VLOOKUP(G667, 'PlayerGrades+'!$X$3:$Y$23, 2, FALSE)))+('PlayerGrades+'!$Y$49*(VLOOKUP(I667, 'PlayerGrades+'!$X$3:$Y$23, 2, FALSE)))+('PlayerGrades+'!$Y$50*(VLOOKUP(K667, 'PlayerGrades+'!$X$3:$Y$23, 2, FALSE)))+('PlayerGrades+'!$Y$51*(VLOOKUP(M667, 'PlayerGrades+'!$X$3:$Y$23, 2, FALSE)))+('PlayerGrades+'!$Y$52*(VLOOKUP(O667, 'PlayerGrades+'!$X$3:$Y$23, 2, FALSE)))+('PlayerGrades+'!$Y$53*(VLOOKUP(Q667, 'PlayerGrades+'!$X$3:$Y$23, 2, FALSE)))+('PlayerGrades+'!$Y$54*(VLOOKUP(S667, 'PlayerGrades+'!$X$3:$Y$23, 2, FALSE)))+('PlayerGrades+'!$Y$55*(VLOOKUP(U667, 'PlayerGrades+'!$X$3:$Y$23, 2, FALSE)))</f>
        <v>#DIV/0!</v>
      </c>
      <c r="D667" s="1423" t="str">
        <f t="shared" si="12"/>
        <v>#DIV/0!</v>
      </c>
      <c r="E667" s="1423" t="str">
        <f>IF(D667&lt;'PlayerGrades+'!$AA$21,"F-",IF(D667&lt;'PlayerGrades+'!$AA$20,"F",IF(D667&lt;'PlayerGrades+'!$AA$19,"F+",IF(D667&lt;'PlayerGrades+'!$AA$18,"E-",IF(D667&lt;'PlayerGrades+'!$AA$17,"E",IF(D667&lt;'PlayerGrades+'!$AA$16,"E+",IF(D667&lt;'PlayerGrades+'!$AA$15,"D-",IF(D667&lt;'PlayerGrades+'!$AA$14,"D",IF(D667&lt;'PlayerGrades+'!$AA$13,"D+",IF(D667&lt;'PlayerGrades+'!$AA$12,"C-",IF(D667&lt;'PlayerGrades+'!$AA$11,"C",IF(D667&lt;'PlayerGrades+'!$AA$10,"C+",IF(D667&lt;'PlayerGrades+'!$AA$9,"B-",IF(D667&lt;'PlayerGrades+'!$AA$8,"B",IF(D667&lt;'PlayerGrades+'!$AA$7,"B+",IF(D667&lt;'PlayerGrades+'!$AA$6,"A-",IF(D667&lt;'PlayerGrades+'!$AA$5,"A",IF(D667&lt;'PlayerGrades+'!$AA$4,"A+",IF(D667&lt;'PlayerGrades+'!$AA$3,"S-",IF(D667&lt;'PlayerGrades+'!$AA$2,"S","S+"))))))))))))))))))))</f>
        <v>#DIV/0!</v>
      </c>
      <c r="F667" s="1423" t="str">
        <f t="shared" si="13"/>
        <v>#DIV/0!</v>
      </c>
      <c r="G667" s="1423" t="str">
        <f>IF(F667&lt;'PlayerGrades+'!$AB$21,"F-",IF(F667&lt;'PlayerGrades+'!$AB$20,"F",IF(F667&lt;'PlayerGrades+'!$AB$19,"F+",IF(F667&lt;'PlayerGrades+'!$AB$18,"E-",IF(F667&lt;'PlayerGrades+'!$AB$17,"E",IF(F667&lt;'PlayerGrades+'!$AB$16,"E+",IF(F667&lt;'PlayerGrades+'!$AB$15,"D-",IF(F667&lt;'PlayerGrades+'!$AB$14,"D",IF(F667&lt;'PlayerGrades+'!$AB$13,"D+",IF(F667&lt;'PlayerGrades+'!$AB$12,"C-",IF(F667&lt;'PlayerGrades+'!$AB$11,"C",IF(F667&lt;'PlayerGrades+'!$AB$10,"C+",IF(F667&lt;'PlayerGrades+'!$AB$9,"B-",IF(F667&lt;'PlayerGrades+'!$AB$8,"B",IF(F667&lt;'PlayerGrades+'!$AB$7,"B+",IF(F667&lt;'PlayerGrades+'!$AB$6,"A-",IF(F667&lt;'PlayerGrades+'!$AB$5,"A",IF(F667&lt;'PlayerGrades+'!$AB$4,"A+",IF(F667&lt;'PlayerGrades+'!$AB$3,"S-",IF(F667&lt;'PlayerGrades+'!$AB$2,"S","S+"))))))))))))))))))))</f>
        <v>#DIV/0!</v>
      </c>
      <c r="H667" s="1423" t="str">
        <f t="shared" si="14"/>
        <v>#DIV/0!</v>
      </c>
      <c r="I667" s="1423" t="str">
        <f>IF(H667&lt;'PlayerGrades+'!$AC$21,"F-",IF(H667&lt;'PlayerGrades+'!$AC$20,"F",IF(H667&lt;'PlayerGrades+'!$AC$19,"F+",IF(H667&lt;'PlayerGrades+'!$AC$18,"E-",IF(H667&lt;'PlayerGrades+'!$AC$17,"E",IF(H667&lt;'PlayerGrades+'!$AC$16,"E+",IF(H667&lt;'PlayerGrades+'!$AC$15,"D-",IF(H667&lt;'PlayerGrades+'!$AC$14,"D",IF(H667&lt;'PlayerGrades+'!$AC$13,"D+",IF(H667&lt;'PlayerGrades+'!$AC$12,"C-",IF(H667&lt;'PlayerGrades+'!$AC$11,"C",IF(H667&lt;'PlayerGrades+'!$AC$10,"C+",IF(H667&lt;'PlayerGrades+'!$AC$9,"B-",IF(H667&lt;'PlayerGrades+'!$AC$8,"B",IF(H667&lt;'PlayerGrades+'!$AC$7,"B+",IF(H667&lt;'PlayerGrades+'!$AC$6,"A-",IF(H667&lt;'PlayerGrades+'!$AC$5,"A",IF(H667&lt;'PlayerGrades+'!$AC$4,"A+",IF(H667&lt;'PlayerGrades+'!$AC$3,"S-",IF(H667&lt;'PlayerGrades+'!$AC$2,"S","S+"))))))))))))))))))))</f>
        <v>#DIV/0!</v>
      </c>
      <c r="J667" s="1423" t="str">
        <f t="shared" si="15"/>
        <v>#DIV/0!</v>
      </c>
      <c r="K667" s="1423" t="str">
        <f>IF(J667&lt;'PlayerGrades+'!$AD$21,"F-",IF(J667&lt;'PlayerGrades+'!$AD$20,"F",IF(J667&lt;'PlayerGrades+'!$AD$19,"F+",IF(J667&lt;'PlayerGrades+'!$AD$18,"E-",IF(J667&lt;'PlayerGrades+'!$AD$17,"E",IF(J667&lt;'PlayerGrades+'!$AD$16,"E+",IF(J667&lt;'PlayerGrades+'!$AD$15,"D-",IF(J667&lt;'PlayerGrades+'!$AD$14,"D",IF(J667&lt;'PlayerGrades+'!$AD$13,"D+",IF(J667&lt;'PlayerGrades+'!$AD$12,"C-",IF(J667&lt;'PlayerGrades+'!$AD$11,"C",IF(J667&lt;'PlayerGrades+'!$AD$10,"C+",IF(J667&lt;'PlayerGrades+'!$AD$9,"B-",IF(J667&lt;'PlayerGrades+'!$AD$8,"B",IF(J667&lt;'PlayerGrades+'!$AD$7,"B+",IF(J667&lt;'PlayerGrades+'!$AD$6,"A-",IF(J667&lt;'PlayerGrades+'!$AD$5,"A",IF(J667&lt;'PlayerGrades+'!$AD$4,"A+",IF(J667&lt;'PlayerGrades+'!$AD$3,"S-",IF(J667&lt;'PlayerGrades+'!$AD$2,"S","S+"))))))))))))))))))))</f>
        <v>#DIV/0!</v>
      </c>
      <c r="L667" s="1176" t="str">
        <f t="shared" si="16"/>
        <v>#DIV/0!</v>
      </c>
      <c r="M667" s="992" t="str">
        <f>IF(L667&lt;'PlayerGrades+'!$AE$21,"F-",IF(L667&lt;'PlayerGrades+'!$AE$20,"F",IF(L667&lt;'PlayerGrades+'!$AE$19,"F+",IF(L667&lt;'PlayerGrades+'!$AE$18,"E-",IF(L667&lt;'PlayerGrades+'!$AE$17,"E",IF(L667&lt;'PlayerGrades+'!$AE$16,"E+",IF(L667&lt;'PlayerGrades+'!$AE$15,"D-",IF(L667&lt;'PlayerGrades+'!$AE$14,"D",IF(L667&lt;'PlayerGrades+'!$AE$13,"D+",IF(L667&lt;'PlayerGrades+'!$AE$12,"C-",IF(L667&lt;'PlayerGrades+'!$AE$11,"C",IF(L667&lt;'PlayerGrades+'!$AE$10,"C+",IF(L667&lt;'PlayerGrades+'!$AE$9,"B-",IF(L667&lt;'PlayerGrades+'!$AE$8,"B",IF(L667&lt;'PlayerGrades+'!$AE$7,"B+",IF(L667&lt;'PlayerGrades+'!$AE$6,"A-",IF(L667&lt;'PlayerGrades+'!$AE$5,"A",IF(L667&lt;'PlayerGrades+'!$AE$4,"A+",IF(L667&lt;'PlayerGrades+'!$AE$3,"S-",IF(L667&lt;'PlayerGrades+'!$AE$2,"S","S+"))))))))))))))))))))</f>
        <v>#DIV/0!</v>
      </c>
      <c r="N667" s="1423" t="str">
        <f t="shared" si="17"/>
        <v>#DIV/0!</v>
      </c>
      <c r="O667" s="1423" t="str">
        <f>IF(N667&lt;'PlayerGrades+'!$AF$21,"F-",IF(N667&lt;'PlayerGrades+'!$AF$20,"F",IF(N667&lt;'PlayerGrades+'!$AF$19,"F+",IF(N667&lt;'PlayerGrades+'!$AF$18,"E-",IF(N667&lt;'PlayerGrades+'!$AF$17,"E",IF(N667&lt;'PlayerGrades+'!$AF$16,"E+",IF(N667&lt;'PlayerGrades+'!$AF$15,"D-",IF(N667&lt;'PlayerGrades+'!$AF$14,"D",IF(N667&lt;'PlayerGrades+'!$AF$13,"D+",IF(N667&lt;'PlayerGrades+'!$AF$12,"C-",IF(N667&lt;'PlayerGrades+'!$AF$11,"C",IF(N667&lt;'PlayerGrades+'!$AF$10,"C+",IF(N667&lt;'PlayerGrades+'!$AF$9,"B-",IF(N667&lt;'PlayerGrades+'!$AF$8,"B",IF(N667&lt;'PlayerGrades+'!$AF$7,"B+",IF(N667&lt;'PlayerGrades+'!$AF$6,"A-",IF(N667&lt;'PlayerGrades+'!$AF$5,"A",IF(N667&lt;'PlayerGrades+'!$AF$4,"A+",IF(N667&lt;'PlayerGrades+'!$AF$3,"S-",IF(N667&lt;'PlayerGrades+'!$AF$2,"S","S+"))))))))))))))))))))</f>
        <v>#DIV/0!</v>
      </c>
      <c r="P667" s="1423" t="str">
        <f t="shared" si="18"/>
        <v>#DIV/0!</v>
      </c>
      <c r="Q667" s="1423" t="str">
        <f>IF(P667&lt;'PlayerGrades+'!$AG$21,"F-",IF(P667&lt;'PlayerGrades+'!$AG$20,"F",IF(P667&lt;'PlayerGrades+'!$AG$19,"F+",IF(P667&lt;'PlayerGrades+'!$AG$18,"E-",IF(P667&lt;'PlayerGrades+'!$AG$17,"E",IF(P667&lt;'PlayerGrades+'!$AG$16,"E+",IF(P667&lt;'PlayerGrades+'!$AG$15,"D-",IF(P667&lt;'PlayerGrades+'!$AG$14,"D",IF(P667&lt;'PlayerGrades+'!$AG$13,"D+",IF(P667&lt;'PlayerGrades+'!$AG$12,"C-",IF(P667&lt;'PlayerGrades+'!$AG$11,"C",IF(P667&lt;'PlayerGrades+'!$AG$10,"C+",IF(P667&lt;'PlayerGrades+'!$AG$9,"B-",IF(P667&lt;'PlayerGrades+'!$AG$8,"B",IF(P667&lt;'PlayerGrades+'!$AG$7,"B+",IF(P667&lt;'PlayerGrades+'!$AG$6,"A-",IF(P667&lt;'PlayerGrades+'!$AG$5,"A",IF(P667&lt;'PlayerGrades+'!$AG$4,"A+",IF(P667&lt;'PlayerGrades+'!$AG$3,"S-",IF(P667&lt;'PlayerGrades+'!$AG$2,"S","S+"))))))))))))))))))))</f>
        <v>#DIV/0!</v>
      </c>
      <c r="R667" s="1423" t="str">
        <f t="shared" si="19"/>
        <v>#REF!</v>
      </c>
      <c r="S667" s="1423" t="str">
        <f>IF(R667&lt;'PlayerGrades+'!$AH$21,"F-",IF(R667&lt;'PlayerGrades+'!$AH$20,"F",IF(R667&lt;'PlayerGrades+'!$AH$19,"F+",IF(R667&lt;'PlayerGrades+'!$AH$18,"E-",IF(R667&lt;'PlayerGrades+'!$AH$17,"E",IF(R667&lt;'PlayerGrades+'!$AH$16,"E+",IF(R667&lt;'PlayerGrades+'!$AH$15,"D-",IF(R667&lt;'PlayerGrades+'!$AH$14,"D",IF(R667&lt;'PlayerGrades+'!$AH$13,"D+",IF(R667&lt;'PlayerGrades+'!$AH$12,"C-",IF(R667&lt;'PlayerGrades+'!$AH$11,"C",IF(R667&lt;'PlayerGrades+'!$AH$10,"C+",IF(R667&lt;'PlayerGrades+'!$AH$9,"B-",IF(R667&lt;'PlayerGrades+'!$AH$8,"B",IF(R667&lt;'PlayerGrades+'!$AH$7,"B+",IF(R667&lt;'PlayerGrades+'!$AH$6,"A-",IF(R667&lt;'PlayerGrades+'!$AH$5,"A",IF(R667&lt;'PlayerGrades+'!$AH$4,"A+",IF(R667&lt;'PlayerGrades+'!$AH$3,"S-",IF(R667&lt;'PlayerGrades+'!$AH$2,"S","S+"))))))))))))))))))))</f>
        <v>#REF!</v>
      </c>
      <c r="T667" s="1423" t="str">
        <f t="shared" si="20"/>
        <v>#REF!</v>
      </c>
      <c r="U667" s="1423" t="str">
        <f>IF(T667&lt;'PlayerGrades+'!$AI$21,"F-",IF(T667&lt;'PlayerGrades+'!$AI$20,"F",IF(T667&lt;'PlayerGrades+'!$AI$19,"F+",IF(T667&lt;'PlayerGrades+'!$AI$18,"E-",IF(T667&lt;'PlayerGrades+'!$AI$17,"E",IF(T667&lt;'PlayerGrades+'!$AI$16,"E+",IF(T667&lt;'PlayerGrades+'!$AI$15,"D-",IF(T667&lt;'PlayerGrades+'!$AI$14,"D",IF(T667&lt;'PlayerGrades+'!$AI$13,"D+",IF(T667&lt;'PlayerGrades+'!$AI$12,"C-",IF(T667&lt;'PlayerGrades+'!$AI$11,"C",IF(T667&lt;'PlayerGrades+'!$AI$10,"C+",IF(T667&lt;'PlayerGrades+'!$AI$9,"B-",IF(T667&lt;'PlayerGrades+'!$AI$8,"B",IF(T667&lt;'PlayerGrades+'!$AI$7,"B+",IF(T667&lt;'PlayerGrades+'!$AI$6,"A-",IF(T667&lt;'PlayerGrades+'!$AI$5,"A",IF(T667&lt;'PlayerGrades+'!$AI$4,"A+",IF(T667&lt;'PlayerGrades+'!$AI$3,"S-",IF(T667&lt;'PlayerGrades+'!$AI$2,"S","S+"))))))))))))))))))))</f>
        <v>#REF!</v>
      </c>
      <c r="AC667" s="1392"/>
    </row>
    <row r="668">
      <c r="B668" s="1421" t="str">
        <f>IF(C668&lt;'PlayerGrades+'!$Y$44,"F-",IF(C668&lt;'PlayerGrades+'!$Y$43,"F",IF(C668&lt;'PlayerGrades+'!$Y$42,"F+",IF(C668&lt;'PlayerGrades+'!$Y$41,"E-",IF(C668&lt;'PlayerGrades+'!$Y$40,"E",IF(C668&lt;'PlayerGrades+'!$Y$39,"E+",IF(C668&lt;'PlayerGrades+'!$Y$38,"D-",IF(C668&lt;'PlayerGrades+'!$Y$37,"D",IF(C668&lt;'PlayerGrades+'!$Y$36,"D+",IF(C668&lt;'PlayerGrades+'!$Y$35,"C-",IF(C668&lt;'PlayerGrades+'!$Y$34,"C",IF(C668&lt;'PlayerGrades+'!$Y$33,"C+",IF(C668&lt;'PlayerGrades+'!$Y$32,"B-",IF(C668&lt;'PlayerGrades+'!$Y$31,"B",IF(C668&lt;'PlayerGrades+'!$Y$30,"B+",IF(C668&lt;'PlayerGrades+'!$Y$29,"A-",IF(C668&lt;'PlayerGrades+'!$Y$28,"A",IF(C668&lt;'PlayerGrades+'!$Y$27,"A+",IF(C668&lt;'PlayerGrades+'!$Y$26,"S-",IF(C668&lt;'PlayerGrades+'!$Y$25,"S","S+"))))))))))))))))))))</f>
        <v>#DIV/0!</v>
      </c>
      <c r="C668" s="1422" t="str">
        <f>('PlayerGrades+'!$Y$47*(VLOOKUP(E668, 'PlayerGrades+'!$X$3:$Y$23, 2, FALSE)))+('PlayerGrades+'!$Y$48*(VLOOKUP(G668, 'PlayerGrades+'!$X$3:$Y$23, 2, FALSE)))+('PlayerGrades+'!$Y$49*(VLOOKUP(I668, 'PlayerGrades+'!$X$3:$Y$23, 2, FALSE)))+('PlayerGrades+'!$Y$50*(VLOOKUP(K668, 'PlayerGrades+'!$X$3:$Y$23, 2, FALSE)))+('PlayerGrades+'!$Y$51*(VLOOKUP(M668, 'PlayerGrades+'!$X$3:$Y$23, 2, FALSE)))+('PlayerGrades+'!$Y$52*(VLOOKUP(O668, 'PlayerGrades+'!$X$3:$Y$23, 2, FALSE)))+('PlayerGrades+'!$Y$53*(VLOOKUP(Q668, 'PlayerGrades+'!$X$3:$Y$23, 2, FALSE)))+('PlayerGrades+'!$Y$54*(VLOOKUP(S668, 'PlayerGrades+'!$X$3:$Y$23, 2, FALSE)))+('PlayerGrades+'!$Y$55*(VLOOKUP(U668, 'PlayerGrades+'!$X$3:$Y$23, 2, FALSE)))</f>
        <v>#DIV/0!</v>
      </c>
      <c r="D668" s="1423" t="str">
        <f t="shared" si="12"/>
        <v>#DIV/0!</v>
      </c>
      <c r="E668" s="1423" t="str">
        <f>IF(D668&lt;'PlayerGrades+'!$AA$21,"F-",IF(D668&lt;'PlayerGrades+'!$AA$20,"F",IF(D668&lt;'PlayerGrades+'!$AA$19,"F+",IF(D668&lt;'PlayerGrades+'!$AA$18,"E-",IF(D668&lt;'PlayerGrades+'!$AA$17,"E",IF(D668&lt;'PlayerGrades+'!$AA$16,"E+",IF(D668&lt;'PlayerGrades+'!$AA$15,"D-",IF(D668&lt;'PlayerGrades+'!$AA$14,"D",IF(D668&lt;'PlayerGrades+'!$AA$13,"D+",IF(D668&lt;'PlayerGrades+'!$AA$12,"C-",IF(D668&lt;'PlayerGrades+'!$AA$11,"C",IF(D668&lt;'PlayerGrades+'!$AA$10,"C+",IF(D668&lt;'PlayerGrades+'!$AA$9,"B-",IF(D668&lt;'PlayerGrades+'!$AA$8,"B",IF(D668&lt;'PlayerGrades+'!$AA$7,"B+",IF(D668&lt;'PlayerGrades+'!$AA$6,"A-",IF(D668&lt;'PlayerGrades+'!$AA$5,"A",IF(D668&lt;'PlayerGrades+'!$AA$4,"A+",IF(D668&lt;'PlayerGrades+'!$AA$3,"S-",IF(D668&lt;'PlayerGrades+'!$AA$2,"S","S+"))))))))))))))))))))</f>
        <v>#DIV/0!</v>
      </c>
      <c r="F668" s="1423" t="str">
        <f t="shared" si="13"/>
        <v>#DIV/0!</v>
      </c>
      <c r="G668" s="1423" t="str">
        <f>IF(F668&lt;'PlayerGrades+'!$AB$21,"F-",IF(F668&lt;'PlayerGrades+'!$AB$20,"F",IF(F668&lt;'PlayerGrades+'!$AB$19,"F+",IF(F668&lt;'PlayerGrades+'!$AB$18,"E-",IF(F668&lt;'PlayerGrades+'!$AB$17,"E",IF(F668&lt;'PlayerGrades+'!$AB$16,"E+",IF(F668&lt;'PlayerGrades+'!$AB$15,"D-",IF(F668&lt;'PlayerGrades+'!$AB$14,"D",IF(F668&lt;'PlayerGrades+'!$AB$13,"D+",IF(F668&lt;'PlayerGrades+'!$AB$12,"C-",IF(F668&lt;'PlayerGrades+'!$AB$11,"C",IF(F668&lt;'PlayerGrades+'!$AB$10,"C+",IF(F668&lt;'PlayerGrades+'!$AB$9,"B-",IF(F668&lt;'PlayerGrades+'!$AB$8,"B",IF(F668&lt;'PlayerGrades+'!$AB$7,"B+",IF(F668&lt;'PlayerGrades+'!$AB$6,"A-",IF(F668&lt;'PlayerGrades+'!$AB$5,"A",IF(F668&lt;'PlayerGrades+'!$AB$4,"A+",IF(F668&lt;'PlayerGrades+'!$AB$3,"S-",IF(F668&lt;'PlayerGrades+'!$AB$2,"S","S+"))))))))))))))))))))</f>
        <v>#DIV/0!</v>
      </c>
      <c r="H668" s="1423" t="str">
        <f t="shared" si="14"/>
        <v>#DIV/0!</v>
      </c>
      <c r="I668" s="1423" t="str">
        <f>IF(H668&lt;'PlayerGrades+'!$AC$21,"F-",IF(H668&lt;'PlayerGrades+'!$AC$20,"F",IF(H668&lt;'PlayerGrades+'!$AC$19,"F+",IF(H668&lt;'PlayerGrades+'!$AC$18,"E-",IF(H668&lt;'PlayerGrades+'!$AC$17,"E",IF(H668&lt;'PlayerGrades+'!$AC$16,"E+",IF(H668&lt;'PlayerGrades+'!$AC$15,"D-",IF(H668&lt;'PlayerGrades+'!$AC$14,"D",IF(H668&lt;'PlayerGrades+'!$AC$13,"D+",IF(H668&lt;'PlayerGrades+'!$AC$12,"C-",IF(H668&lt;'PlayerGrades+'!$AC$11,"C",IF(H668&lt;'PlayerGrades+'!$AC$10,"C+",IF(H668&lt;'PlayerGrades+'!$AC$9,"B-",IF(H668&lt;'PlayerGrades+'!$AC$8,"B",IF(H668&lt;'PlayerGrades+'!$AC$7,"B+",IF(H668&lt;'PlayerGrades+'!$AC$6,"A-",IF(H668&lt;'PlayerGrades+'!$AC$5,"A",IF(H668&lt;'PlayerGrades+'!$AC$4,"A+",IF(H668&lt;'PlayerGrades+'!$AC$3,"S-",IF(H668&lt;'PlayerGrades+'!$AC$2,"S","S+"))))))))))))))))))))</f>
        <v>#DIV/0!</v>
      </c>
      <c r="J668" s="1423" t="str">
        <f t="shared" si="15"/>
        <v>#DIV/0!</v>
      </c>
      <c r="K668" s="1423" t="str">
        <f>IF(J668&lt;'PlayerGrades+'!$AD$21,"F-",IF(J668&lt;'PlayerGrades+'!$AD$20,"F",IF(J668&lt;'PlayerGrades+'!$AD$19,"F+",IF(J668&lt;'PlayerGrades+'!$AD$18,"E-",IF(J668&lt;'PlayerGrades+'!$AD$17,"E",IF(J668&lt;'PlayerGrades+'!$AD$16,"E+",IF(J668&lt;'PlayerGrades+'!$AD$15,"D-",IF(J668&lt;'PlayerGrades+'!$AD$14,"D",IF(J668&lt;'PlayerGrades+'!$AD$13,"D+",IF(J668&lt;'PlayerGrades+'!$AD$12,"C-",IF(J668&lt;'PlayerGrades+'!$AD$11,"C",IF(J668&lt;'PlayerGrades+'!$AD$10,"C+",IF(J668&lt;'PlayerGrades+'!$AD$9,"B-",IF(J668&lt;'PlayerGrades+'!$AD$8,"B",IF(J668&lt;'PlayerGrades+'!$AD$7,"B+",IF(J668&lt;'PlayerGrades+'!$AD$6,"A-",IF(J668&lt;'PlayerGrades+'!$AD$5,"A",IF(J668&lt;'PlayerGrades+'!$AD$4,"A+",IF(J668&lt;'PlayerGrades+'!$AD$3,"S-",IF(J668&lt;'PlayerGrades+'!$AD$2,"S","S+"))))))))))))))))))))</f>
        <v>#DIV/0!</v>
      </c>
      <c r="L668" s="1176" t="str">
        <f t="shared" si="16"/>
        <v>#DIV/0!</v>
      </c>
      <c r="M668" s="992" t="str">
        <f>IF(L668&lt;'PlayerGrades+'!$AE$21,"F-",IF(L668&lt;'PlayerGrades+'!$AE$20,"F",IF(L668&lt;'PlayerGrades+'!$AE$19,"F+",IF(L668&lt;'PlayerGrades+'!$AE$18,"E-",IF(L668&lt;'PlayerGrades+'!$AE$17,"E",IF(L668&lt;'PlayerGrades+'!$AE$16,"E+",IF(L668&lt;'PlayerGrades+'!$AE$15,"D-",IF(L668&lt;'PlayerGrades+'!$AE$14,"D",IF(L668&lt;'PlayerGrades+'!$AE$13,"D+",IF(L668&lt;'PlayerGrades+'!$AE$12,"C-",IF(L668&lt;'PlayerGrades+'!$AE$11,"C",IF(L668&lt;'PlayerGrades+'!$AE$10,"C+",IF(L668&lt;'PlayerGrades+'!$AE$9,"B-",IF(L668&lt;'PlayerGrades+'!$AE$8,"B",IF(L668&lt;'PlayerGrades+'!$AE$7,"B+",IF(L668&lt;'PlayerGrades+'!$AE$6,"A-",IF(L668&lt;'PlayerGrades+'!$AE$5,"A",IF(L668&lt;'PlayerGrades+'!$AE$4,"A+",IF(L668&lt;'PlayerGrades+'!$AE$3,"S-",IF(L668&lt;'PlayerGrades+'!$AE$2,"S","S+"))))))))))))))))))))</f>
        <v>#DIV/0!</v>
      </c>
      <c r="N668" s="1423" t="str">
        <f t="shared" si="17"/>
        <v>#DIV/0!</v>
      </c>
      <c r="O668" s="1423" t="str">
        <f>IF(N668&lt;'PlayerGrades+'!$AF$21,"F-",IF(N668&lt;'PlayerGrades+'!$AF$20,"F",IF(N668&lt;'PlayerGrades+'!$AF$19,"F+",IF(N668&lt;'PlayerGrades+'!$AF$18,"E-",IF(N668&lt;'PlayerGrades+'!$AF$17,"E",IF(N668&lt;'PlayerGrades+'!$AF$16,"E+",IF(N668&lt;'PlayerGrades+'!$AF$15,"D-",IF(N668&lt;'PlayerGrades+'!$AF$14,"D",IF(N668&lt;'PlayerGrades+'!$AF$13,"D+",IF(N668&lt;'PlayerGrades+'!$AF$12,"C-",IF(N668&lt;'PlayerGrades+'!$AF$11,"C",IF(N668&lt;'PlayerGrades+'!$AF$10,"C+",IF(N668&lt;'PlayerGrades+'!$AF$9,"B-",IF(N668&lt;'PlayerGrades+'!$AF$8,"B",IF(N668&lt;'PlayerGrades+'!$AF$7,"B+",IF(N668&lt;'PlayerGrades+'!$AF$6,"A-",IF(N668&lt;'PlayerGrades+'!$AF$5,"A",IF(N668&lt;'PlayerGrades+'!$AF$4,"A+",IF(N668&lt;'PlayerGrades+'!$AF$3,"S-",IF(N668&lt;'PlayerGrades+'!$AF$2,"S","S+"))))))))))))))))))))</f>
        <v>#DIV/0!</v>
      </c>
      <c r="P668" s="1423" t="str">
        <f t="shared" si="18"/>
        <v>#DIV/0!</v>
      </c>
      <c r="Q668" s="1423" t="str">
        <f>IF(P668&lt;'PlayerGrades+'!$AG$21,"F-",IF(P668&lt;'PlayerGrades+'!$AG$20,"F",IF(P668&lt;'PlayerGrades+'!$AG$19,"F+",IF(P668&lt;'PlayerGrades+'!$AG$18,"E-",IF(P668&lt;'PlayerGrades+'!$AG$17,"E",IF(P668&lt;'PlayerGrades+'!$AG$16,"E+",IF(P668&lt;'PlayerGrades+'!$AG$15,"D-",IF(P668&lt;'PlayerGrades+'!$AG$14,"D",IF(P668&lt;'PlayerGrades+'!$AG$13,"D+",IF(P668&lt;'PlayerGrades+'!$AG$12,"C-",IF(P668&lt;'PlayerGrades+'!$AG$11,"C",IF(P668&lt;'PlayerGrades+'!$AG$10,"C+",IF(P668&lt;'PlayerGrades+'!$AG$9,"B-",IF(P668&lt;'PlayerGrades+'!$AG$8,"B",IF(P668&lt;'PlayerGrades+'!$AG$7,"B+",IF(P668&lt;'PlayerGrades+'!$AG$6,"A-",IF(P668&lt;'PlayerGrades+'!$AG$5,"A",IF(P668&lt;'PlayerGrades+'!$AG$4,"A+",IF(P668&lt;'PlayerGrades+'!$AG$3,"S-",IF(P668&lt;'PlayerGrades+'!$AG$2,"S","S+"))))))))))))))))))))</f>
        <v>#DIV/0!</v>
      </c>
      <c r="R668" s="1423" t="str">
        <f t="shared" si="19"/>
        <v>#REF!</v>
      </c>
      <c r="S668" s="1423" t="str">
        <f>IF(R668&lt;'PlayerGrades+'!$AH$21,"F-",IF(R668&lt;'PlayerGrades+'!$AH$20,"F",IF(R668&lt;'PlayerGrades+'!$AH$19,"F+",IF(R668&lt;'PlayerGrades+'!$AH$18,"E-",IF(R668&lt;'PlayerGrades+'!$AH$17,"E",IF(R668&lt;'PlayerGrades+'!$AH$16,"E+",IF(R668&lt;'PlayerGrades+'!$AH$15,"D-",IF(R668&lt;'PlayerGrades+'!$AH$14,"D",IF(R668&lt;'PlayerGrades+'!$AH$13,"D+",IF(R668&lt;'PlayerGrades+'!$AH$12,"C-",IF(R668&lt;'PlayerGrades+'!$AH$11,"C",IF(R668&lt;'PlayerGrades+'!$AH$10,"C+",IF(R668&lt;'PlayerGrades+'!$AH$9,"B-",IF(R668&lt;'PlayerGrades+'!$AH$8,"B",IF(R668&lt;'PlayerGrades+'!$AH$7,"B+",IF(R668&lt;'PlayerGrades+'!$AH$6,"A-",IF(R668&lt;'PlayerGrades+'!$AH$5,"A",IF(R668&lt;'PlayerGrades+'!$AH$4,"A+",IF(R668&lt;'PlayerGrades+'!$AH$3,"S-",IF(R668&lt;'PlayerGrades+'!$AH$2,"S","S+"))))))))))))))))))))</f>
        <v>#REF!</v>
      </c>
      <c r="T668" s="1423" t="str">
        <f t="shared" si="20"/>
        <v>#REF!</v>
      </c>
      <c r="U668" s="1423" t="str">
        <f>IF(T668&lt;'PlayerGrades+'!$AI$21,"F-",IF(T668&lt;'PlayerGrades+'!$AI$20,"F",IF(T668&lt;'PlayerGrades+'!$AI$19,"F+",IF(T668&lt;'PlayerGrades+'!$AI$18,"E-",IF(T668&lt;'PlayerGrades+'!$AI$17,"E",IF(T668&lt;'PlayerGrades+'!$AI$16,"E+",IF(T668&lt;'PlayerGrades+'!$AI$15,"D-",IF(T668&lt;'PlayerGrades+'!$AI$14,"D",IF(T668&lt;'PlayerGrades+'!$AI$13,"D+",IF(T668&lt;'PlayerGrades+'!$AI$12,"C-",IF(T668&lt;'PlayerGrades+'!$AI$11,"C",IF(T668&lt;'PlayerGrades+'!$AI$10,"C+",IF(T668&lt;'PlayerGrades+'!$AI$9,"B-",IF(T668&lt;'PlayerGrades+'!$AI$8,"B",IF(T668&lt;'PlayerGrades+'!$AI$7,"B+",IF(T668&lt;'PlayerGrades+'!$AI$6,"A-",IF(T668&lt;'PlayerGrades+'!$AI$5,"A",IF(T668&lt;'PlayerGrades+'!$AI$4,"A+",IF(T668&lt;'PlayerGrades+'!$AI$3,"S-",IF(T668&lt;'PlayerGrades+'!$AI$2,"S","S+"))))))))))))))))))))</f>
        <v>#REF!</v>
      </c>
      <c r="AC668" s="1392"/>
    </row>
    <row r="669">
      <c r="B669" s="1421" t="str">
        <f>IF(C669&lt;'PlayerGrades+'!$Y$44,"F-",IF(C669&lt;'PlayerGrades+'!$Y$43,"F",IF(C669&lt;'PlayerGrades+'!$Y$42,"F+",IF(C669&lt;'PlayerGrades+'!$Y$41,"E-",IF(C669&lt;'PlayerGrades+'!$Y$40,"E",IF(C669&lt;'PlayerGrades+'!$Y$39,"E+",IF(C669&lt;'PlayerGrades+'!$Y$38,"D-",IF(C669&lt;'PlayerGrades+'!$Y$37,"D",IF(C669&lt;'PlayerGrades+'!$Y$36,"D+",IF(C669&lt;'PlayerGrades+'!$Y$35,"C-",IF(C669&lt;'PlayerGrades+'!$Y$34,"C",IF(C669&lt;'PlayerGrades+'!$Y$33,"C+",IF(C669&lt;'PlayerGrades+'!$Y$32,"B-",IF(C669&lt;'PlayerGrades+'!$Y$31,"B",IF(C669&lt;'PlayerGrades+'!$Y$30,"B+",IF(C669&lt;'PlayerGrades+'!$Y$29,"A-",IF(C669&lt;'PlayerGrades+'!$Y$28,"A",IF(C669&lt;'PlayerGrades+'!$Y$27,"A+",IF(C669&lt;'PlayerGrades+'!$Y$26,"S-",IF(C669&lt;'PlayerGrades+'!$Y$25,"S","S+"))))))))))))))))))))</f>
        <v>#DIV/0!</v>
      </c>
      <c r="C669" s="1422" t="str">
        <f>('PlayerGrades+'!$Y$47*(VLOOKUP(E669, 'PlayerGrades+'!$X$3:$Y$23, 2, FALSE)))+('PlayerGrades+'!$Y$48*(VLOOKUP(G669, 'PlayerGrades+'!$X$3:$Y$23, 2, FALSE)))+('PlayerGrades+'!$Y$49*(VLOOKUP(I669, 'PlayerGrades+'!$X$3:$Y$23, 2, FALSE)))+('PlayerGrades+'!$Y$50*(VLOOKUP(K669, 'PlayerGrades+'!$X$3:$Y$23, 2, FALSE)))+('PlayerGrades+'!$Y$51*(VLOOKUP(M669, 'PlayerGrades+'!$X$3:$Y$23, 2, FALSE)))+('PlayerGrades+'!$Y$52*(VLOOKUP(O669, 'PlayerGrades+'!$X$3:$Y$23, 2, FALSE)))+('PlayerGrades+'!$Y$53*(VLOOKUP(Q669, 'PlayerGrades+'!$X$3:$Y$23, 2, FALSE)))+('PlayerGrades+'!$Y$54*(VLOOKUP(S669, 'PlayerGrades+'!$X$3:$Y$23, 2, FALSE)))+('PlayerGrades+'!$Y$55*(VLOOKUP(U669, 'PlayerGrades+'!$X$3:$Y$23, 2, FALSE)))</f>
        <v>#DIV/0!</v>
      </c>
      <c r="D669" s="1423" t="str">
        <f t="shared" si="12"/>
        <v>#DIV/0!</v>
      </c>
      <c r="E669" s="1423" t="str">
        <f>IF(D669&lt;'PlayerGrades+'!$AA$21,"F-",IF(D669&lt;'PlayerGrades+'!$AA$20,"F",IF(D669&lt;'PlayerGrades+'!$AA$19,"F+",IF(D669&lt;'PlayerGrades+'!$AA$18,"E-",IF(D669&lt;'PlayerGrades+'!$AA$17,"E",IF(D669&lt;'PlayerGrades+'!$AA$16,"E+",IF(D669&lt;'PlayerGrades+'!$AA$15,"D-",IF(D669&lt;'PlayerGrades+'!$AA$14,"D",IF(D669&lt;'PlayerGrades+'!$AA$13,"D+",IF(D669&lt;'PlayerGrades+'!$AA$12,"C-",IF(D669&lt;'PlayerGrades+'!$AA$11,"C",IF(D669&lt;'PlayerGrades+'!$AA$10,"C+",IF(D669&lt;'PlayerGrades+'!$AA$9,"B-",IF(D669&lt;'PlayerGrades+'!$AA$8,"B",IF(D669&lt;'PlayerGrades+'!$AA$7,"B+",IF(D669&lt;'PlayerGrades+'!$AA$6,"A-",IF(D669&lt;'PlayerGrades+'!$AA$5,"A",IF(D669&lt;'PlayerGrades+'!$AA$4,"A+",IF(D669&lt;'PlayerGrades+'!$AA$3,"S-",IF(D669&lt;'PlayerGrades+'!$AA$2,"S","S+"))))))))))))))))))))</f>
        <v>#DIV/0!</v>
      </c>
      <c r="F669" s="1423" t="str">
        <f t="shared" si="13"/>
        <v>#DIV/0!</v>
      </c>
      <c r="G669" s="1423" t="str">
        <f>IF(F669&lt;'PlayerGrades+'!$AB$21,"F-",IF(F669&lt;'PlayerGrades+'!$AB$20,"F",IF(F669&lt;'PlayerGrades+'!$AB$19,"F+",IF(F669&lt;'PlayerGrades+'!$AB$18,"E-",IF(F669&lt;'PlayerGrades+'!$AB$17,"E",IF(F669&lt;'PlayerGrades+'!$AB$16,"E+",IF(F669&lt;'PlayerGrades+'!$AB$15,"D-",IF(F669&lt;'PlayerGrades+'!$AB$14,"D",IF(F669&lt;'PlayerGrades+'!$AB$13,"D+",IF(F669&lt;'PlayerGrades+'!$AB$12,"C-",IF(F669&lt;'PlayerGrades+'!$AB$11,"C",IF(F669&lt;'PlayerGrades+'!$AB$10,"C+",IF(F669&lt;'PlayerGrades+'!$AB$9,"B-",IF(F669&lt;'PlayerGrades+'!$AB$8,"B",IF(F669&lt;'PlayerGrades+'!$AB$7,"B+",IF(F669&lt;'PlayerGrades+'!$AB$6,"A-",IF(F669&lt;'PlayerGrades+'!$AB$5,"A",IF(F669&lt;'PlayerGrades+'!$AB$4,"A+",IF(F669&lt;'PlayerGrades+'!$AB$3,"S-",IF(F669&lt;'PlayerGrades+'!$AB$2,"S","S+"))))))))))))))))))))</f>
        <v>#DIV/0!</v>
      </c>
      <c r="H669" s="1423" t="str">
        <f t="shared" si="14"/>
        <v>#DIV/0!</v>
      </c>
      <c r="I669" s="1423" t="str">
        <f>IF(H669&lt;'PlayerGrades+'!$AC$21,"F-",IF(H669&lt;'PlayerGrades+'!$AC$20,"F",IF(H669&lt;'PlayerGrades+'!$AC$19,"F+",IF(H669&lt;'PlayerGrades+'!$AC$18,"E-",IF(H669&lt;'PlayerGrades+'!$AC$17,"E",IF(H669&lt;'PlayerGrades+'!$AC$16,"E+",IF(H669&lt;'PlayerGrades+'!$AC$15,"D-",IF(H669&lt;'PlayerGrades+'!$AC$14,"D",IF(H669&lt;'PlayerGrades+'!$AC$13,"D+",IF(H669&lt;'PlayerGrades+'!$AC$12,"C-",IF(H669&lt;'PlayerGrades+'!$AC$11,"C",IF(H669&lt;'PlayerGrades+'!$AC$10,"C+",IF(H669&lt;'PlayerGrades+'!$AC$9,"B-",IF(H669&lt;'PlayerGrades+'!$AC$8,"B",IF(H669&lt;'PlayerGrades+'!$AC$7,"B+",IF(H669&lt;'PlayerGrades+'!$AC$6,"A-",IF(H669&lt;'PlayerGrades+'!$AC$5,"A",IF(H669&lt;'PlayerGrades+'!$AC$4,"A+",IF(H669&lt;'PlayerGrades+'!$AC$3,"S-",IF(H669&lt;'PlayerGrades+'!$AC$2,"S","S+"))))))))))))))))))))</f>
        <v>#DIV/0!</v>
      </c>
      <c r="J669" s="1423" t="str">
        <f t="shared" si="15"/>
        <v>#DIV/0!</v>
      </c>
      <c r="K669" s="1423" t="str">
        <f>IF(J669&lt;'PlayerGrades+'!$AD$21,"F-",IF(J669&lt;'PlayerGrades+'!$AD$20,"F",IF(J669&lt;'PlayerGrades+'!$AD$19,"F+",IF(J669&lt;'PlayerGrades+'!$AD$18,"E-",IF(J669&lt;'PlayerGrades+'!$AD$17,"E",IF(J669&lt;'PlayerGrades+'!$AD$16,"E+",IF(J669&lt;'PlayerGrades+'!$AD$15,"D-",IF(J669&lt;'PlayerGrades+'!$AD$14,"D",IF(J669&lt;'PlayerGrades+'!$AD$13,"D+",IF(J669&lt;'PlayerGrades+'!$AD$12,"C-",IF(J669&lt;'PlayerGrades+'!$AD$11,"C",IF(J669&lt;'PlayerGrades+'!$AD$10,"C+",IF(J669&lt;'PlayerGrades+'!$AD$9,"B-",IF(J669&lt;'PlayerGrades+'!$AD$8,"B",IF(J669&lt;'PlayerGrades+'!$AD$7,"B+",IF(J669&lt;'PlayerGrades+'!$AD$6,"A-",IF(J669&lt;'PlayerGrades+'!$AD$5,"A",IF(J669&lt;'PlayerGrades+'!$AD$4,"A+",IF(J669&lt;'PlayerGrades+'!$AD$3,"S-",IF(J669&lt;'PlayerGrades+'!$AD$2,"S","S+"))))))))))))))))))))</f>
        <v>#DIV/0!</v>
      </c>
      <c r="L669" s="1176" t="str">
        <f t="shared" si="16"/>
        <v>#DIV/0!</v>
      </c>
      <c r="M669" s="992" t="str">
        <f>IF(L669&lt;'PlayerGrades+'!$AE$21,"F-",IF(L669&lt;'PlayerGrades+'!$AE$20,"F",IF(L669&lt;'PlayerGrades+'!$AE$19,"F+",IF(L669&lt;'PlayerGrades+'!$AE$18,"E-",IF(L669&lt;'PlayerGrades+'!$AE$17,"E",IF(L669&lt;'PlayerGrades+'!$AE$16,"E+",IF(L669&lt;'PlayerGrades+'!$AE$15,"D-",IF(L669&lt;'PlayerGrades+'!$AE$14,"D",IF(L669&lt;'PlayerGrades+'!$AE$13,"D+",IF(L669&lt;'PlayerGrades+'!$AE$12,"C-",IF(L669&lt;'PlayerGrades+'!$AE$11,"C",IF(L669&lt;'PlayerGrades+'!$AE$10,"C+",IF(L669&lt;'PlayerGrades+'!$AE$9,"B-",IF(L669&lt;'PlayerGrades+'!$AE$8,"B",IF(L669&lt;'PlayerGrades+'!$AE$7,"B+",IF(L669&lt;'PlayerGrades+'!$AE$6,"A-",IF(L669&lt;'PlayerGrades+'!$AE$5,"A",IF(L669&lt;'PlayerGrades+'!$AE$4,"A+",IF(L669&lt;'PlayerGrades+'!$AE$3,"S-",IF(L669&lt;'PlayerGrades+'!$AE$2,"S","S+"))))))))))))))))))))</f>
        <v>#DIV/0!</v>
      </c>
      <c r="N669" s="1423" t="str">
        <f t="shared" si="17"/>
        <v>#DIV/0!</v>
      </c>
      <c r="O669" s="1423" t="str">
        <f>IF(N669&lt;'PlayerGrades+'!$AF$21,"F-",IF(N669&lt;'PlayerGrades+'!$AF$20,"F",IF(N669&lt;'PlayerGrades+'!$AF$19,"F+",IF(N669&lt;'PlayerGrades+'!$AF$18,"E-",IF(N669&lt;'PlayerGrades+'!$AF$17,"E",IF(N669&lt;'PlayerGrades+'!$AF$16,"E+",IF(N669&lt;'PlayerGrades+'!$AF$15,"D-",IF(N669&lt;'PlayerGrades+'!$AF$14,"D",IF(N669&lt;'PlayerGrades+'!$AF$13,"D+",IF(N669&lt;'PlayerGrades+'!$AF$12,"C-",IF(N669&lt;'PlayerGrades+'!$AF$11,"C",IF(N669&lt;'PlayerGrades+'!$AF$10,"C+",IF(N669&lt;'PlayerGrades+'!$AF$9,"B-",IF(N669&lt;'PlayerGrades+'!$AF$8,"B",IF(N669&lt;'PlayerGrades+'!$AF$7,"B+",IF(N669&lt;'PlayerGrades+'!$AF$6,"A-",IF(N669&lt;'PlayerGrades+'!$AF$5,"A",IF(N669&lt;'PlayerGrades+'!$AF$4,"A+",IF(N669&lt;'PlayerGrades+'!$AF$3,"S-",IF(N669&lt;'PlayerGrades+'!$AF$2,"S","S+"))))))))))))))))))))</f>
        <v>#DIV/0!</v>
      </c>
      <c r="P669" s="1423" t="str">
        <f t="shared" si="18"/>
        <v>#DIV/0!</v>
      </c>
      <c r="Q669" s="1423" t="str">
        <f>IF(P669&lt;'PlayerGrades+'!$AG$21,"F-",IF(P669&lt;'PlayerGrades+'!$AG$20,"F",IF(P669&lt;'PlayerGrades+'!$AG$19,"F+",IF(P669&lt;'PlayerGrades+'!$AG$18,"E-",IF(P669&lt;'PlayerGrades+'!$AG$17,"E",IF(P669&lt;'PlayerGrades+'!$AG$16,"E+",IF(P669&lt;'PlayerGrades+'!$AG$15,"D-",IF(P669&lt;'PlayerGrades+'!$AG$14,"D",IF(P669&lt;'PlayerGrades+'!$AG$13,"D+",IF(P669&lt;'PlayerGrades+'!$AG$12,"C-",IF(P669&lt;'PlayerGrades+'!$AG$11,"C",IF(P669&lt;'PlayerGrades+'!$AG$10,"C+",IF(P669&lt;'PlayerGrades+'!$AG$9,"B-",IF(P669&lt;'PlayerGrades+'!$AG$8,"B",IF(P669&lt;'PlayerGrades+'!$AG$7,"B+",IF(P669&lt;'PlayerGrades+'!$AG$6,"A-",IF(P669&lt;'PlayerGrades+'!$AG$5,"A",IF(P669&lt;'PlayerGrades+'!$AG$4,"A+",IF(P669&lt;'PlayerGrades+'!$AG$3,"S-",IF(P669&lt;'PlayerGrades+'!$AG$2,"S","S+"))))))))))))))))))))</f>
        <v>#DIV/0!</v>
      </c>
      <c r="R669" s="1423" t="str">
        <f t="shared" si="19"/>
        <v>#REF!</v>
      </c>
      <c r="S669" s="1423" t="str">
        <f>IF(R669&lt;'PlayerGrades+'!$AH$21,"F-",IF(R669&lt;'PlayerGrades+'!$AH$20,"F",IF(R669&lt;'PlayerGrades+'!$AH$19,"F+",IF(R669&lt;'PlayerGrades+'!$AH$18,"E-",IF(R669&lt;'PlayerGrades+'!$AH$17,"E",IF(R669&lt;'PlayerGrades+'!$AH$16,"E+",IF(R669&lt;'PlayerGrades+'!$AH$15,"D-",IF(R669&lt;'PlayerGrades+'!$AH$14,"D",IF(R669&lt;'PlayerGrades+'!$AH$13,"D+",IF(R669&lt;'PlayerGrades+'!$AH$12,"C-",IF(R669&lt;'PlayerGrades+'!$AH$11,"C",IF(R669&lt;'PlayerGrades+'!$AH$10,"C+",IF(R669&lt;'PlayerGrades+'!$AH$9,"B-",IF(R669&lt;'PlayerGrades+'!$AH$8,"B",IF(R669&lt;'PlayerGrades+'!$AH$7,"B+",IF(R669&lt;'PlayerGrades+'!$AH$6,"A-",IF(R669&lt;'PlayerGrades+'!$AH$5,"A",IF(R669&lt;'PlayerGrades+'!$AH$4,"A+",IF(R669&lt;'PlayerGrades+'!$AH$3,"S-",IF(R669&lt;'PlayerGrades+'!$AH$2,"S","S+"))))))))))))))))))))</f>
        <v>#REF!</v>
      </c>
      <c r="T669" s="1423" t="str">
        <f t="shared" si="20"/>
        <v>#REF!</v>
      </c>
      <c r="U669" s="1423" t="str">
        <f>IF(T669&lt;'PlayerGrades+'!$AI$21,"F-",IF(T669&lt;'PlayerGrades+'!$AI$20,"F",IF(T669&lt;'PlayerGrades+'!$AI$19,"F+",IF(T669&lt;'PlayerGrades+'!$AI$18,"E-",IF(T669&lt;'PlayerGrades+'!$AI$17,"E",IF(T669&lt;'PlayerGrades+'!$AI$16,"E+",IF(T669&lt;'PlayerGrades+'!$AI$15,"D-",IF(T669&lt;'PlayerGrades+'!$AI$14,"D",IF(T669&lt;'PlayerGrades+'!$AI$13,"D+",IF(T669&lt;'PlayerGrades+'!$AI$12,"C-",IF(T669&lt;'PlayerGrades+'!$AI$11,"C",IF(T669&lt;'PlayerGrades+'!$AI$10,"C+",IF(T669&lt;'PlayerGrades+'!$AI$9,"B-",IF(T669&lt;'PlayerGrades+'!$AI$8,"B",IF(T669&lt;'PlayerGrades+'!$AI$7,"B+",IF(T669&lt;'PlayerGrades+'!$AI$6,"A-",IF(T669&lt;'PlayerGrades+'!$AI$5,"A",IF(T669&lt;'PlayerGrades+'!$AI$4,"A+",IF(T669&lt;'PlayerGrades+'!$AI$3,"S-",IF(T669&lt;'PlayerGrades+'!$AI$2,"S","S+"))))))))))))))))))))</f>
        <v>#REF!</v>
      </c>
      <c r="AC669" s="1392"/>
    </row>
    <row r="670">
      <c r="B670" s="1421" t="str">
        <f>IF(C670&lt;'PlayerGrades+'!$Y$44,"F-",IF(C670&lt;'PlayerGrades+'!$Y$43,"F",IF(C670&lt;'PlayerGrades+'!$Y$42,"F+",IF(C670&lt;'PlayerGrades+'!$Y$41,"E-",IF(C670&lt;'PlayerGrades+'!$Y$40,"E",IF(C670&lt;'PlayerGrades+'!$Y$39,"E+",IF(C670&lt;'PlayerGrades+'!$Y$38,"D-",IF(C670&lt;'PlayerGrades+'!$Y$37,"D",IF(C670&lt;'PlayerGrades+'!$Y$36,"D+",IF(C670&lt;'PlayerGrades+'!$Y$35,"C-",IF(C670&lt;'PlayerGrades+'!$Y$34,"C",IF(C670&lt;'PlayerGrades+'!$Y$33,"C+",IF(C670&lt;'PlayerGrades+'!$Y$32,"B-",IF(C670&lt;'PlayerGrades+'!$Y$31,"B",IF(C670&lt;'PlayerGrades+'!$Y$30,"B+",IF(C670&lt;'PlayerGrades+'!$Y$29,"A-",IF(C670&lt;'PlayerGrades+'!$Y$28,"A",IF(C670&lt;'PlayerGrades+'!$Y$27,"A+",IF(C670&lt;'PlayerGrades+'!$Y$26,"S-",IF(C670&lt;'PlayerGrades+'!$Y$25,"S","S+"))))))))))))))))))))</f>
        <v>#DIV/0!</v>
      </c>
      <c r="C670" s="1422" t="str">
        <f>('PlayerGrades+'!$Y$47*(VLOOKUP(E670, 'PlayerGrades+'!$X$3:$Y$23, 2, FALSE)))+('PlayerGrades+'!$Y$48*(VLOOKUP(G670, 'PlayerGrades+'!$X$3:$Y$23, 2, FALSE)))+('PlayerGrades+'!$Y$49*(VLOOKUP(I670, 'PlayerGrades+'!$X$3:$Y$23, 2, FALSE)))+('PlayerGrades+'!$Y$50*(VLOOKUP(K670, 'PlayerGrades+'!$X$3:$Y$23, 2, FALSE)))+('PlayerGrades+'!$Y$51*(VLOOKUP(M670, 'PlayerGrades+'!$X$3:$Y$23, 2, FALSE)))+('PlayerGrades+'!$Y$52*(VLOOKUP(O670, 'PlayerGrades+'!$X$3:$Y$23, 2, FALSE)))+('PlayerGrades+'!$Y$53*(VLOOKUP(Q670, 'PlayerGrades+'!$X$3:$Y$23, 2, FALSE)))+('PlayerGrades+'!$Y$54*(VLOOKUP(S670, 'PlayerGrades+'!$X$3:$Y$23, 2, FALSE)))+('PlayerGrades+'!$Y$55*(VLOOKUP(U670, 'PlayerGrades+'!$X$3:$Y$23, 2, FALSE)))</f>
        <v>#DIV/0!</v>
      </c>
      <c r="D670" s="1423" t="str">
        <f t="shared" si="12"/>
        <v>#DIV/0!</v>
      </c>
      <c r="E670" s="1423" t="str">
        <f>IF(D670&lt;'PlayerGrades+'!$AA$21,"F-",IF(D670&lt;'PlayerGrades+'!$AA$20,"F",IF(D670&lt;'PlayerGrades+'!$AA$19,"F+",IF(D670&lt;'PlayerGrades+'!$AA$18,"E-",IF(D670&lt;'PlayerGrades+'!$AA$17,"E",IF(D670&lt;'PlayerGrades+'!$AA$16,"E+",IF(D670&lt;'PlayerGrades+'!$AA$15,"D-",IF(D670&lt;'PlayerGrades+'!$AA$14,"D",IF(D670&lt;'PlayerGrades+'!$AA$13,"D+",IF(D670&lt;'PlayerGrades+'!$AA$12,"C-",IF(D670&lt;'PlayerGrades+'!$AA$11,"C",IF(D670&lt;'PlayerGrades+'!$AA$10,"C+",IF(D670&lt;'PlayerGrades+'!$AA$9,"B-",IF(D670&lt;'PlayerGrades+'!$AA$8,"B",IF(D670&lt;'PlayerGrades+'!$AA$7,"B+",IF(D670&lt;'PlayerGrades+'!$AA$6,"A-",IF(D670&lt;'PlayerGrades+'!$AA$5,"A",IF(D670&lt;'PlayerGrades+'!$AA$4,"A+",IF(D670&lt;'PlayerGrades+'!$AA$3,"S-",IF(D670&lt;'PlayerGrades+'!$AA$2,"S","S+"))))))))))))))))))))</f>
        <v>#DIV/0!</v>
      </c>
      <c r="F670" s="1423" t="str">
        <f t="shared" si="13"/>
        <v>#DIV/0!</v>
      </c>
      <c r="G670" s="1423" t="str">
        <f>IF(F670&lt;'PlayerGrades+'!$AB$21,"F-",IF(F670&lt;'PlayerGrades+'!$AB$20,"F",IF(F670&lt;'PlayerGrades+'!$AB$19,"F+",IF(F670&lt;'PlayerGrades+'!$AB$18,"E-",IF(F670&lt;'PlayerGrades+'!$AB$17,"E",IF(F670&lt;'PlayerGrades+'!$AB$16,"E+",IF(F670&lt;'PlayerGrades+'!$AB$15,"D-",IF(F670&lt;'PlayerGrades+'!$AB$14,"D",IF(F670&lt;'PlayerGrades+'!$AB$13,"D+",IF(F670&lt;'PlayerGrades+'!$AB$12,"C-",IF(F670&lt;'PlayerGrades+'!$AB$11,"C",IF(F670&lt;'PlayerGrades+'!$AB$10,"C+",IF(F670&lt;'PlayerGrades+'!$AB$9,"B-",IF(F670&lt;'PlayerGrades+'!$AB$8,"B",IF(F670&lt;'PlayerGrades+'!$AB$7,"B+",IF(F670&lt;'PlayerGrades+'!$AB$6,"A-",IF(F670&lt;'PlayerGrades+'!$AB$5,"A",IF(F670&lt;'PlayerGrades+'!$AB$4,"A+",IF(F670&lt;'PlayerGrades+'!$AB$3,"S-",IF(F670&lt;'PlayerGrades+'!$AB$2,"S","S+"))))))))))))))))))))</f>
        <v>#DIV/0!</v>
      </c>
      <c r="H670" s="1423" t="str">
        <f t="shared" si="14"/>
        <v>#DIV/0!</v>
      </c>
      <c r="I670" s="1423" t="str">
        <f>IF(H670&lt;'PlayerGrades+'!$AC$21,"F-",IF(H670&lt;'PlayerGrades+'!$AC$20,"F",IF(H670&lt;'PlayerGrades+'!$AC$19,"F+",IF(H670&lt;'PlayerGrades+'!$AC$18,"E-",IF(H670&lt;'PlayerGrades+'!$AC$17,"E",IF(H670&lt;'PlayerGrades+'!$AC$16,"E+",IF(H670&lt;'PlayerGrades+'!$AC$15,"D-",IF(H670&lt;'PlayerGrades+'!$AC$14,"D",IF(H670&lt;'PlayerGrades+'!$AC$13,"D+",IF(H670&lt;'PlayerGrades+'!$AC$12,"C-",IF(H670&lt;'PlayerGrades+'!$AC$11,"C",IF(H670&lt;'PlayerGrades+'!$AC$10,"C+",IF(H670&lt;'PlayerGrades+'!$AC$9,"B-",IF(H670&lt;'PlayerGrades+'!$AC$8,"B",IF(H670&lt;'PlayerGrades+'!$AC$7,"B+",IF(H670&lt;'PlayerGrades+'!$AC$6,"A-",IF(H670&lt;'PlayerGrades+'!$AC$5,"A",IF(H670&lt;'PlayerGrades+'!$AC$4,"A+",IF(H670&lt;'PlayerGrades+'!$AC$3,"S-",IF(H670&lt;'PlayerGrades+'!$AC$2,"S","S+"))))))))))))))))))))</f>
        <v>#DIV/0!</v>
      </c>
      <c r="J670" s="1423" t="str">
        <f t="shared" si="15"/>
        <v>#DIV/0!</v>
      </c>
      <c r="K670" s="1423" t="str">
        <f>IF(J670&lt;'PlayerGrades+'!$AD$21,"F-",IF(J670&lt;'PlayerGrades+'!$AD$20,"F",IF(J670&lt;'PlayerGrades+'!$AD$19,"F+",IF(J670&lt;'PlayerGrades+'!$AD$18,"E-",IF(J670&lt;'PlayerGrades+'!$AD$17,"E",IF(J670&lt;'PlayerGrades+'!$AD$16,"E+",IF(J670&lt;'PlayerGrades+'!$AD$15,"D-",IF(J670&lt;'PlayerGrades+'!$AD$14,"D",IF(J670&lt;'PlayerGrades+'!$AD$13,"D+",IF(J670&lt;'PlayerGrades+'!$AD$12,"C-",IF(J670&lt;'PlayerGrades+'!$AD$11,"C",IF(J670&lt;'PlayerGrades+'!$AD$10,"C+",IF(J670&lt;'PlayerGrades+'!$AD$9,"B-",IF(J670&lt;'PlayerGrades+'!$AD$8,"B",IF(J670&lt;'PlayerGrades+'!$AD$7,"B+",IF(J670&lt;'PlayerGrades+'!$AD$6,"A-",IF(J670&lt;'PlayerGrades+'!$AD$5,"A",IF(J670&lt;'PlayerGrades+'!$AD$4,"A+",IF(J670&lt;'PlayerGrades+'!$AD$3,"S-",IF(J670&lt;'PlayerGrades+'!$AD$2,"S","S+"))))))))))))))))))))</f>
        <v>#DIV/0!</v>
      </c>
      <c r="L670" s="1176" t="str">
        <f t="shared" si="16"/>
        <v>#DIV/0!</v>
      </c>
      <c r="M670" s="992" t="str">
        <f>IF(L670&lt;'PlayerGrades+'!$AE$21,"F-",IF(L670&lt;'PlayerGrades+'!$AE$20,"F",IF(L670&lt;'PlayerGrades+'!$AE$19,"F+",IF(L670&lt;'PlayerGrades+'!$AE$18,"E-",IF(L670&lt;'PlayerGrades+'!$AE$17,"E",IF(L670&lt;'PlayerGrades+'!$AE$16,"E+",IF(L670&lt;'PlayerGrades+'!$AE$15,"D-",IF(L670&lt;'PlayerGrades+'!$AE$14,"D",IF(L670&lt;'PlayerGrades+'!$AE$13,"D+",IF(L670&lt;'PlayerGrades+'!$AE$12,"C-",IF(L670&lt;'PlayerGrades+'!$AE$11,"C",IF(L670&lt;'PlayerGrades+'!$AE$10,"C+",IF(L670&lt;'PlayerGrades+'!$AE$9,"B-",IF(L670&lt;'PlayerGrades+'!$AE$8,"B",IF(L670&lt;'PlayerGrades+'!$AE$7,"B+",IF(L670&lt;'PlayerGrades+'!$AE$6,"A-",IF(L670&lt;'PlayerGrades+'!$AE$5,"A",IF(L670&lt;'PlayerGrades+'!$AE$4,"A+",IF(L670&lt;'PlayerGrades+'!$AE$3,"S-",IF(L670&lt;'PlayerGrades+'!$AE$2,"S","S+"))))))))))))))))))))</f>
        <v>#DIV/0!</v>
      </c>
      <c r="N670" s="1423" t="str">
        <f t="shared" si="17"/>
        <v>#DIV/0!</v>
      </c>
      <c r="O670" s="1423" t="str">
        <f>IF(N670&lt;'PlayerGrades+'!$AF$21,"F-",IF(N670&lt;'PlayerGrades+'!$AF$20,"F",IF(N670&lt;'PlayerGrades+'!$AF$19,"F+",IF(N670&lt;'PlayerGrades+'!$AF$18,"E-",IF(N670&lt;'PlayerGrades+'!$AF$17,"E",IF(N670&lt;'PlayerGrades+'!$AF$16,"E+",IF(N670&lt;'PlayerGrades+'!$AF$15,"D-",IF(N670&lt;'PlayerGrades+'!$AF$14,"D",IF(N670&lt;'PlayerGrades+'!$AF$13,"D+",IF(N670&lt;'PlayerGrades+'!$AF$12,"C-",IF(N670&lt;'PlayerGrades+'!$AF$11,"C",IF(N670&lt;'PlayerGrades+'!$AF$10,"C+",IF(N670&lt;'PlayerGrades+'!$AF$9,"B-",IF(N670&lt;'PlayerGrades+'!$AF$8,"B",IF(N670&lt;'PlayerGrades+'!$AF$7,"B+",IF(N670&lt;'PlayerGrades+'!$AF$6,"A-",IF(N670&lt;'PlayerGrades+'!$AF$5,"A",IF(N670&lt;'PlayerGrades+'!$AF$4,"A+",IF(N670&lt;'PlayerGrades+'!$AF$3,"S-",IF(N670&lt;'PlayerGrades+'!$AF$2,"S","S+"))))))))))))))))))))</f>
        <v>#DIV/0!</v>
      </c>
      <c r="P670" s="1423" t="str">
        <f t="shared" si="18"/>
        <v>#DIV/0!</v>
      </c>
      <c r="Q670" s="1423" t="str">
        <f>IF(P670&lt;'PlayerGrades+'!$AG$21,"F-",IF(P670&lt;'PlayerGrades+'!$AG$20,"F",IF(P670&lt;'PlayerGrades+'!$AG$19,"F+",IF(P670&lt;'PlayerGrades+'!$AG$18,"E-",IF(P670&lt;'PlayerGrades+'!$AG$17,"E",IF(P670&lt;'PlayerGrades+'!$AG$16,"E+",IF(P670&lt;'PlayerGrades+'!$AG$15,"D-",IF(P670&lt;'PlayerGrades+'!$AG$14,"D",IF(P670&lt;'PlayerGrades+'!$AG$13,"D+",IF(P670&lt;'PlayerGrades+'!$AG$12,"C-",IF(P670&lt;'PlayerGrades+'!$AG$11,"C",IF(P670&lt;'PlayerGrades+'!$AG$10,"C+",IF(P670&lt;'PlayerGrades+'!$AG$9,"B-",IF(P670&lt;'PlayerGrades+'!$AG$8,"B",IF(P670&lt;'PlayerGrades+'!$AG$7,"B+",IF(P670&lt;'PlayerGrades+'!$AG$6,"A-",IF(P670&lt;'PlayerGrades+'!$AG$5,"A",IF(P670&lt;'PlayerGrades+'!$AG$4,"A+",IF(P670&lt;'PlayerGrades+'!$AG$3,"S-",IF(P670&lt;'PlayerGrades+'!$AG$2,"S","S+"))))))))))))))))))))</f>
        <v>#DIV/0!</v>
      </c>
      <c r="R670" s="1423" t="str">
        <f t="shared" si="19"/>
        <v>#REF!</v>
      </c>
      <c r="S670" s="1423" t="str">
        <f>IF(R670&lt;'PlayerGrades+'!$AH$21,"F-",IF(R670&lt;'PlayerGrades+'!$AH$20,"F",IF(R670&lt;'PlayerGrades+'!$AH$19,"F+",IF(R670&lt;'PlayerGrades+'!$AH$18,"E-",IF(R670&lt;'PlayerGrades+'!$AH$17,"E",IF(R670&lt;'PlayerGrades+'!$AH$16,"E+",IF(R670&lt;'PlayerGrades+'!$AH$15,"D-",IF(R670&lt;'PlayerGrades+'!$AH$14,"D",IF(R670&lt;'PlayerGrades+'!$AH$13,"D+",IF(R670&lt;'PlayerGrades+'!$AH$12,"C-",IF(R670&lt;'PlayerGrades+'!$AH$11,"C",IF(R670&lt;'PlayerGrades+'!$AH$10,"C+",IF(R670&lt;'PlayerGrades+'!$AH$9,"B-",IF(R670&lt;'PlayerGrades+'!$AH$8,"B",IF(R670&lt;'PlayerGrades+'!$AH$7,"B+",IF(R670&lt;'PlayerGrades+'!$AH$6,"A-",IF(R670&lt;'PlayerGrades+'!$AH$5,"A",IF(R670&lt;'PlayerGrades+'!$AH$4,"A+",IF(R670&lt;'PlayerGrades+'!$AH$3,"S-",IF(R670&lt;'PlayerGrades+'!$AH$2,"S","S+"))))))))))))))))))))</f>
        <v>#REF!</v>
      </c>
      <c r="T670" s="1423" t="str">
        <f t="shared" si="20"/>
        <v>#REF!</v>
      </c>
      <c r="U670" s="1423" t="str">
        <f>IF(T670&lt;'PlayerGrades+'!$AI$21,"F-",IF(T670&lt;'PlayerGrades+'!$AI$20,"F",IF(T670&lt;'PlayerGrades+'!$AI$19,"F+",IF(T670&lt;'PlayerGrades+'!$AI$18,"E-",IF(T670&lt;'PlayerGrades+'!$AI$17,"E",IF(T670&lt;'PlayerGrades+'!$AI$16,"E+",IF(T670&lt;'PlayerGrades+'!$AI$15,"D-",IF(T670&lt;'PlayerGrades+'!$AI$14,"D",IF(T670&lt;'PlayerGrades+'!$AI$13,"D+",IF(T670&lt;'PlayerGrades+'!$AI$12,"C-",IF(T670&lt;'PlayerGrades+'!$AI$11,"C",IF(T670&lt;'PlayerGrades+'!$AI$10,"C+",IF(T670&lt;'PlayerGrades+'!$AI$9,"B-",IF(T670&lt;'PlayerGrades+'!$AI$8,"B",IF(T670&lt;'PlayerGrades+'!$AI$7,"B+",IF(T670&lt;'PlayerGrades+'!$AI$6,"A-",IF(T670&lt;'PlayerGrades+'!$AI$5,"A",IF(T670&lt;'PlayerGrades+'!$AI$4,"A+",IF(T670&lt;'PlayerGrades+'!$AI$3,"S-",IF(T670&lt;'PlayerGrades+'!$AI$2,"S","S+"))))))))))))))))))))</f>
        <v>#REF!</v>
      </c>
      <c r="AC670" s="1392"/>
    </row>
    <row r="671">
      <c r="B671" s="1421" t="str">
        <f>IF(C671&lt;'PlayerGrades+'!$Y$44,"F-",IF(C671&lt;'PlayerGrades+'!$Y$43,"F",IF(C671&lt;'PlayerGrades+'!$Y$42,"F+",IF(C671&lt;'PlayerGrades+'!$Y$41,"E-",IF(C671&lt;'PlayerGrades+'!$Y$40,"E",IF(C671&lt;'PlayerGrades+'!$Y$39,"E+",IF(C671&lt;'PlayerGrades+'!$Y$38,"D-",IF(C671&lt;'PlayerGrades+'!$Y$37,"D",IF(C671&lt;'PlayerGrades+'!$Y$36,"D+",IF(C671&lt;'PlayerGrades+'!$Y$35,"C-",IF(C671&lt;'PlayerGrades+'!$Y$34,"C",IF(C671&lt;'PlayerGrades+'!$Y$33,"C+",IF(C671&lt;'PlayerGrades+'!$Y$32,"B-",IF(C671&lt;'PlayerGrades+'!$Y$31,"B",IF(C671&lt;'PlayerGrades+'!$Y$30,"B+",IF(C671&lt;'PlayerGrades+'!$Y$29,"A-",IF(C671&lt;'PlayerGrades+'!$Y$28,"A",IF(C671&lt;'PlayerGrades+'!$Y$27,"A+",IF(C671&lt;'PlayerGrades+'!$Y$26,"S-",IF(C671&lt;'PlayerGrades+'!$Y$25,"S","S+"))))))))))))))))))))</f>
        <v>#DIV/0!</v>
      </c>
      <c r="C671" s="1422" t="str">
        <f>('PlayerGrades+'!$Y$47*(VLOOKUP(E671, 'PlayerGrades+'!$X$3:$Y$23, 2, FALSE)))+('PlayerGrades+'!$Y$48*(VLOOKUP(G671, 'PlayerGrades+'!$X$3:$Y$23, 2, FALSE)))+('PlayerGrades+'!$Y$49*(VLOOKUP(I671, 'PlayerGrades+'!$X$3:$Y$23, 2, FALSE)))+('PlayerGrades+'!$Y$50*(VLOOKUP(K671, 'PlayerGrades+'!$X$3:$Y$23, 2, FALSE)))+('PlayerGrades+'!$Y$51*(VLOOKUP(M671, 'PlayerGrades+'!$X$3:$Y$23, 2, FALSE)))+('PlayerGrades+'!$Y$52*(VLOOKUP(O671, 'PlayerGrades+'!$X$3:$Y$23, 2, FALSE)))+('PlayerGrades+'!$Y$53*(VLOOKUP(Q671, 'PlayerGrades+'!$X$3:$Y$23, 2, FALSE)))+('PlayerGrades+'!$Y$54*(VLOOKUP(S671, 'PlayerGrades+'!$X$3:$Y$23, 2, FALSE)))+('PlayerGrades+'!$Y$55*(VLOOKUP(U671, 'PlayerGrades+'!$X$3:$Y$23, 2, FALSE)))</f>
        <v>#DIV/0!</v>
      </c>
      <c r="D671" s="1423" t="str">
        <f t="shared" si="12"/>
        <v>#DIV/0!</v>
      </c>
      <c r="E671" s="1423" t="str">
        <f>IF(D671&lt;'PlayerGrades+'!$AA$21,"F-",IF(D671&lt;'PlayerGrades+'!$AA$20,"F",IF(D671&lt;'PlayerGrades+'!$AA$19,"F+",IF(D671&lt;'PlayerGrades+'!$AA$18,"E-",IF(D671&lt;'PlayerGrades+'!$AA$17,"E",IF(D671&lt;'PlayerGrades+'!$AA$16,"E+",IF(D671&lt;'PlayerGrades+'!$AA$15,"D-",IF(D671&lt;'PlayerGrades+'!$AA$14,"D",IF(D671&lt;'PlayerGrades+'!$AA$13,"D+",IF(D671&lt;'PlayerGrades+'!$AA$12,"C-",IF(D671&lt;'PlayerGrades+'!$AA$11,"C",IF(D671&lt;'PlayerGrades+'!$AA$10,"C+",IF(D671&lt;'PlayerGrades+'!$AA$9,"B-",IF(D671&lt;'PlayerGrades+'!$AA$8,"B",IF(D671&lt;'PlayerGrades+'!$AA$7,"B+",IF(D671&lt;'PlayerGrades+'!$AA$6,"A-",IF(D671&lt;'PlayerGrades+'!$AA$5,"A",IF(D671&lt;'PlayerGrades+'!$AA$4,"A+",IF(D671&lt;'PlayerGrades+'!$AA$3,"S-",IF(D671&lt;'PlayerGrades+'!$AA$2,"S","S+"))))))))))))))))))))</f>
        <v>#DIV/0!</v>
      </c>
      <c r="F671" s="1423" t="str">
        <f t="shared" si="13"/>
        <v>#DIV/0!</v>
      </c>
      <c r="G671" s="1423" t="str">
        <f>IF(F671&lt;'PlayerGrades+'!$AB$21,"F-",IF(F671&lt;'PlayerGrades+'!$AB$20,"F",IF(F671&lt;'PlayerGrades+'!$AB$19,"F+",IF(F671&lt;'PlayerGrades+'!$AB$18,"E-",IF(F671&lt;'PlayerGrades+'!$AB$17,"E",IF(F671&lt;'PlayerGrades+'!$AB$16,"E+",IF(F671&lt;'PlayerGrades+'!$AB$15,"D-",IF(F671&lt;'PlayerGrades+'!$AB$14,"D",IF(F671&lt;'PlayerGrades+'!$AB$13,"D+",IF(F671&lt;'PlayerGrades+'!$AB$12,"C-",IF(F671&lt;'PlayerGrades+'!$AB$11,"C",IF(F671&lt;'PlayerGrades+'!$AB$10,"C+",IF(F671&lt;'PlayerGrades+'!$AB$9,"B-",IF(F671&lt;'PlayerGrades+'!$AB$8,"B",IF(F671&lt;'PlayerGrades+'!$AB$7,"B+",IF(F671&lt;'PlayerGrades+'!$AB$6,"A-",IF(F671&lt;'PlayerGrades+'!$AB$5,"A",IF(F671&lt;'PlayerGrades+'!$AB$4,"A+",IF(F671&lt;'PlayerGrades+'!$AB$3,"S-",IF(F671&lt;'PlayerGrades+'!$AB$2,"S","S+"))))))))))))))))))))</f>
        <v>#DIV/0!</v>
      </c>
      <c r="H671" s="1423" t="str">
        <f t="shared" si="14"/>
        <v>#DIV/0!</v>
      </c>
      <c r="I671" s="1423" t="str">
        <f>IF(H671&lt;'PlayerGrades+'!$AC$21,"F-",IF(H671&lt;'PlayerGrades+'!$AC$20,"F",IF(H671&lt;'PlayerGrades+'!$AC$19,"F+",IF(H671&lt;'PlayerGrades+'!$AC$18,"E-",IF(H671&lt;'PlayerGrades+'!$AC$17,"E",IF(H671&lt;'PlayerGrades+'!$AC$16,"E+",IF(H671&lt;'PlayerGrades+'!$AC$15,"D-",IF(H671&lt;'PlayerGrades+'!$AC$14,"D",IF(H671&lt;'PlayerGrades+'!$AC$13,"D+",IF(H671&lt;'PlayerGrades+'!$AC$12,"C-",IF(H671&lt;'PlayerGrades+'!$AC$11,"C",IF(H671&lt;'PlayerGrades+'!$AC$10,"C+",IF(H671&lt;'PlayerGrades+'!$AC$9,"B-",IF(H671&lt;'PlayerGrades+'!$AC$8,"B",IF(H671&lt;'PlayerGrades+'!$AC$7,"B+",IF(H671&lt;'PlayerGrades+'!$AC$6,"A-",IF(H671&lt;'PlayerGrades+'!$AC$5,"A",IF(H671&lt;'PlayerGrades+'!$AC$4,"A+",IF(H671&lt;'PlayerGrades+'!$AC$3,"S-",IF(H671&lt;'PlayerGrades+'!$AC$2,"S","S+"))))))))))))))))))))</f>
        <v>#DIV/0!</v>
      </c>
      <c r="J671" s="1423" t="str">
        <f t="shared" si="15"/>
        <v>#DIV/0!</v>
      </c>
      <c r="K671" s="1423" t="str">
        <f>IF(J671&lt;'PlayerGrades+'!$AD$21,"F-",IF(J671&lt;'PlayerGrades+'!$AD$20,"F",IF(J671&lt;'PlayerGrades+'!$AD$19,"F+",IF(J671&lt;'PlayerGrades+'!$AD$18,"E-",IF(J671&lt;'PlayerGrades+'!$AD$17,"E",IF(J671&lt;'PlayerGrades+'!$AD$16,"E+",IF(J671&lt;'PlayerGrades+'!$AD$15,"D-",IF(J671&lt;'PlayerGrades+'!$AD$14,"D",IF(J671&lt;'PlayerGrades+'!$AD$13,"D+",IF(J671&lt;'PlayerGrades+'!$AD$12,"C-",IF(J671&lt;'PlayerGrades+'!$AD$11,"C",IF(J671&lt;'PlayerGrades+'!$AD$10,"C+",IF(J671&lt;'PlayerGrades+'!$AD$9,"B-",IF(J671&lt;'PlayerGrades+'!$AD$8,"B",IF(J671&lt;'PlayerGrades+'!$AD$7,"B+",IF(J671&lt;'PlayerGrades+'!$AD$6,"A-",IF(J671&lt;'PlayerGrades+'!$AD$5,"A",IF(J671&lt;'PlayerGrades+'!$AD$4,"A+",IF(J671&lt;'PlayerGrades+'!$AD$3,"S-",IF(J671&lt;'PlayerGrades+'!$AD$2,"S","S+"))))))))))))))))))))</f>
        <v>#DIV/0!</v>
      </c>
      <c r="L671" s="1176" t="str">
        <f t="shared" si="16"/>
        <v>#DIV/0!</v>
      </c>
      <c r="M671" s="992" t="str">
        <f>IF(L671&lt;'PlayerGrades+'!$AE$21,"F-",IF(L671&lt;'PlayerGrades+'!$AE$20,"F",IF(L671&lt;'PlayerGrades+'!$AE$19,"F+",IF(L671&lt;'PlayerGrades+'!$AE$18,"E-",IF(L671&lt;'PlayerGrades+'!$AE$17,"E",IF(L671&lt;'PlayerGrades+'!$AE$16,"E+",IF(L671&lt;'PlayerGrades+'!$AE$15,"D-",IF(L671&lt;'PlayerGrades+'!$AE$14,"D",IF(L671&lt;'PlayerGrades+'!$AE$13,"D+",IF(L671&lt;'PlayerGrades+'!$AE$12,"C-",IF(L671&lt;'PlayerGrades+'!$AE$11,"C",IF(L671&lt;'PlayerGrades+'!$AE$10,"C+",IF(L671&lt;'PlayerGrades+'!$AE$9,"B-",IF(L671&lt;'PlayerGrades+'!$AE$8,"B",IF(L671&lt;'PlayerGrades+'!$AE$7,"B+",IF(L671&lt;'PlayerGrades+'!$AE$6,"A-",IF(L671&lt;'PlayerGrades+'!$AE$5,"A",IF(L671&lt;'PlayerGrades+'!$AE$4,"A+",IF(L671&lt;'PlayerGrades+'!$AE$3,"S-",IF(L671&lt;'PlayerGrades+'!$AE$2,"S","S+"))))))))))))))))))))</f>
        <v>#DIV/0!</v>
      </c>
      <c r="N671" s="1423" t="str">
        <f t="shared" si="17"/>
        <v>#DIV/0!</v>
      </c>
      <c r="O671" s="1423" t="str">
        <f>IF(N671&lt;'PlayerGrades+'!$AF$21,"F-",IF(N671&lt;'PlayerGrades+'!$AF$20,"F",IF(N671&lt;'PlayerGrades+'!$AF$19,"F+",IF(N671&lt;'PlayerGrades+'!$AF$18,"E-",IF(N671&lt;'PlayerGrades+'!$AF$17,"E",IF(N671&lt;'PlayerGrades+'!$AF$16,"E+",IF(N671&lt;'PlayerGrades+'!$AF$15,"D-",IF(N671&lt;'PlayerGrades+'!$AF$14,"D",IF(N671&lt;'PlayerGrades+'!$AF$13,"D+",IF(N671&lt;'PlayerGrades+'!$AF$12,"C-",IF(N671&lt;'PlayerGrades+'!$AF$11,"C",IF(N671&lt;'PlayerGrades+'!$AF$10,"C+",IF(N671&lt;'PlayerGrades+'!$AF$9,"B-",IF(N671&lt;'PlayerGrades+'!$AF$8,"B",IF(N671&lt;'PlayerGrades+'!$AF$7,"B+",IF(N671&lt;'PlayerGrades+'!$AF$6,"A-",IF(N671&lt;'PlayerGrades+'!$AF$5,"A",IF(N671&lt;'PlayerGrades+'!$AF$4,"A+",IF(N671&lt;'PlayerGrades+'!$AF$3,"S-",IF(N671&lt;'PlayerGrades+'!$AF$2,"S","S+"))))))))))))))))))))</f>
        <v>#DIV/0!</v>
      </c>
      <c r="P671" s="1423" t="str">
        <f t="shared" si="18"/>
        <v>#DIV/0!</v>
      </c>
      <c r="Q671" s="1423" t="str">
        <f>IF(P671&lt;'PlayerGrades+'!$AG$21,"F-",IF(P671&lt;'PlayerGrades+'!$AG$20,"F",IF(P671&lt;'PlayerGrades+'!$AG$19,"F+",IF(P671&lt;'PlayerGrades+'!$AG$18,"E-",IF(P671&lt;'PlayerGrades+'!$AG$17,"E",IF(P671&lt;'PlayerGrades+'!$AG$16,"E+",IF(P671&lt;'PlayerGrades+'!$AG$15,"D-",IF(P671&lt;'PlayerGrades+'!$AG$14,"D",IF(P671&lt;'PlayerGrades+'!$AG$13,"D+",IF(P671&lt;'PlayerGrades+'!$AG$12,"C-",IF(P671&lt;'PlayerGrades+'!$AG$11,"C",IF(P671&lt;'PlayerGrades+'!$AG$10,"C+",IF(P671&lt;'PlayerGrades+'!$AG$9,"B-",IF(P671&lt;'PlayerGrades+'!$AG$8,"B",IF(P671&lt;'PlayerGrades+'!$AG$7,"B+",IF(P671&lt;'PlayerGrades+'!$AG$6,"A-",IF(P671&lt;'PlayerGrades+'!$AG$5,"A",IF(P671&lt;'PlayerGrades+'!$AG$4,"A+",IF(P671&lt;'PlayerGrades+'!$AG$3,"S-",IF(P671&lt;'PlayerGrades+'!$AG$2,"S","S+"))))))))))))))))))))</f>
        <v>#DIV/0!</v>
      </c>
      <c r="R671" s="1423" t="str">
        <f t="shared" si="19"/>
        <v>#REF!</v>
      </c>
      <c r="S671" s="1423" t="str">
        <f>IF(R671&lt;'PlayerGrades+'!$AH$21,"F-",IF(R671&lt;'PlayerGrades+'!$AH$20,"F",IF(R671&lt;'PlayerGrades+'!$AH$19,"F+",IF(R671&lt;'PlayerGrades+'!$AH$18,"E-",IF(R671&lt;'PlayerGrades+'!$AH$17,"E",IF(R671&lt;'PlayerGrades+'!$AH$16,"E+",IF(R671&lt;'PlayerGrades+'!$AH$15,"D-",IF(R671&lt;'PlayerGrades+'!$AH$14,"D",IF(R671&lt;'PlayerGrades+'!$AH$13,"D+",IF(R671&lt;'PlayerGrades+'!$AH$12,"C-",IF(R671&lt;'PlayerGrades+'!$AH$11,"C",IF(R671&lt;'PlayerGrades+'!$AH$10,"C+",IF(R671&lt;'PlayerGrades+'!$AH$9,"B-",IF(R671&lt;'PlayerGrades+'!$AH$8,"B",IF(R671&lt;'PlayerGrades+'!$AH$7,"B+",IF(R671&lt;'PlayerGrades+'!$AH$6,"A-",IF(R671&lt;'PlayerGrades+'!$AH$5,"A",IF(R671&lt;'PlayerGrades+'!$AH$4,"A+",IF(R671&lt;'PlayerGrades+'!$AH$3,"S-",IF(R671&lt;'PlayerGrades+'!$AH$2,"S","S+"))))))))))))))))))))</f>
        <v>#REF!</v>
      </c>
      <c r="T671" s="1423" t="str">
        <f t="shared" si="20"/>
        <v>#REF!</v>
      </c>
      <c r="U671" s="1423" t="str">
        <f>IF(T671&lt;'PlayerGrades+'!$AI$21,"F-",IF(T671&lt;'PlayerGrades+'!$AI$20,"F",IF(T671&lt;'PlayerGrades+'!$AI$19,"F+",IF(T671&lt;'PlayerGrades+'!$AI$18,"E-",IF(T671&lt;'PlayerGrades+'!$AI$17,"E",IF(T671&lt;'PlayerGrades+'!$AI$16,"E+",IF(T671&lt;'PlayerGrades+'!$AI$15,"D-",IF(T671&lt;'PlayerGrades+'!$AI$14,"D",IF(T671&lt;'PlayerGrades+'!$AI$13,"D+",IF(T671&lt;'PlayerGrades+'!$AI$12,"C-",IF(T671&lt;'PlayerGrades+'!$AI$11,"C",IF(T671&lt;'PlayerGrades+'!$AI$10,"C+",IF(T671&lt;'PlayerGrades+'!$AI$9,"B-",IF(T671&lt;'PlayerGrades+'!$AI$8,"B",IF(T671&lt;'PlayerGrades+'!$AI$7,"B+",IF(T671&lt;'PlayerGrades+'!$AI$6,"A-",IF(T671&lt;'PlayerGrades+'!$AI$5,"A",IF(T671&lt;'PlayerGrades+'!$AI$4,"A+",IF(T671&lt;'PlayerGrades+'!$AI$3,"S-",IF(T671&lt;'PlayerGrades+'!$AI$2,"S","S+"))))))))))))))))))))</f>
        <v>#REF!</v>
      </c>
      <c r="AC671" s="1392"/>
    </row>
    <row r="672">
      <c r="B672" s="1421" t="str">
        <f>IF(C672&lt;'PlayerGrades+'!$Y$44,"F-",IF(C672&lt;'PlayerGrades+'!$Y$43,"F",IF(C672&lt;'PlayerGrades+'!$Y$42,"F+",IF(C672&lt;'PlayerGrades+'!$Y$41,"E-",IF(C672&lt;'PlayerGrades+'!$Y$40,"E",IF(C672&lt;'PlayerGrades+'!$Y$39,"E+",IF(C672&lt;'PlayerGrades+'!$Y$38,"D-",IF(C672&lt;'PlayerGrades+'!$Y$37,"D",IF(C672&lt;'PlayerGrades+'!$Y$36,"D+",IF(C672&lt;'PlayerGrades+'!$Y$35,"C-",IF(C672&lt;'PlayerGrades+'!$Y$34,"C",IF(C672&lt;'PlayerGrades+'!$Y$33,"C+",IF(C672&lt;'PlayerGrades+'!$Y$32,"B-",IF(C672&lt;'PlayerGrades+'!$Y$31,"B",IF(C672&lt;'PlayerGrades+'!$Y$30,"B+",IF(C672&lt;'PlayerGrades+'!$Y$29,"A-",IF(C672&lt;'PlayerGrades+'!$Y$28,"A",IF(C672&lt;'PlayerGrades+'!$Y$27,"A+",IF(C672&lt;'PlayerGrades+'!$Y$26,"S-",IF(C672&lt;'PlayerGrades+'!$Y$25,"S","S+"))))))))))))))))))))</f>
        <v>#DIV/0!</v>
      </c>
      <c r="C672" s="1422" t="str">
        <f>('PlayerGrades+'!$Y$47*(VLOOKUP(E672, 'PlayerGrades+'!$X$3:$Y$23, 2, FALSE)))+('PlayerGrades+'!$Y$48*(VLOOKUP(G672, 'PlayerGrades+'!$X$3:$Y$23, 2, FALSE)))+('PlayerGrades+'!$Y$49*(VLOOKUP(I672, 'PlayerGrades+'!$X$3:$Y$23, 2, FALSE)))+('PlayerGrades+'!$Y$50*(VLOOKUP(K672, 'PlayerGrades+'!$X$3:$Y$23, 2, FALSE)))+('PlayerGrades+'!$Y$51*(VLOOKUP(M672, 'PlayerGrades+'!$X$3:$Y$23, 2, FALSE)))+('PlayerGrades+'!$Y$52*(VLOOKUP(O672, 'PlayerGrades+'!$X$3:$Y$23, 2, FALSE)))+('PlayerGrades+'!$Y$53*(VLOOKUP(Q672, 'PlayerGrades+'!$X$3:$Y$23, 2, FALSE)))+('PlayerGrades+'!$Y$54*(VLOOKUP(S672, 'PlayerGrades+'!$X$3:$Y$23, 2, FALSE)))+('PlayerGrades+'!$Y$55*(VLOOKUP(U672, 'PlayerGrades+'!$X$3:$Y$23, 2, FALSE)))</f>
        <v>#DIV/0!</v>
      </c>
      <c r="D672" s="1423" t="str">
        <f t="shared" si="12"/>
        <v>#DIV/0!</v>
      </c>
      <c r="E672" s="1423" t="str">
        <f>IF(D672&lt;'PlayerGrades+'!$AA$21,"F-",IF(D672&lt;'PlayerGrades+'!$AA$20,"F",IF(D672&lt;'PlayerGrades+'!$AA$19,"F+",IF(D672&lt;'PlayerGrades+'!$AA$18,"E-",IF(D672&lt;'PlayerGrades+'!$AA$17,"E",IF(D672&lt;'PlayerGrades+'!$AA$16,"E+",IF(D672&lt;'PlayerGrades+'!$AA$15,"D-",IF(D672&lt;'PlayerGrades+'!$AA$14,"D",IF(D672&lt;'PlayerGrades+'!$AA$13,"D+",IF(D672&lt;'PlayerGrades+'!$AA$12,"C-",IF(D672&lt;'PlayerGrades+'!$AA$11,"C",IF(D672&lt;'PlayerGrades+'!$AA$10,"C+",IF(D672&lt;'PlayerGrades+'!$AA$9,"B-",IF(D672&lt;'PlayerGrades+'!$AA$8,"B",IF(D672&lt;'PlayerGrades+'!$AA$7,"B+",IF(D672&lt;'PlayerGrades+'!$AA$6,"A-",IF(D672&lt;'PlayerGrades+'!$AA$5,"A",IF(D672&lt;'PlayerGrades+'!$AA$4,"A+",IF(D672&lt;'PlayerGrades+'!$AA$3,"S-",IF(D672&lt;'PlayerGrades+'!$AA$2,"S","S+"))))))))))))))))))))</f>
        <v>#DIV/0!</v>
      </c>
      <c r="F672" s="1423" t="str">
        <f t="shared" si="13"/>
        <v>#DIV/0!</v>
      </c>
      <c r="G672" s="1423" t="str">
        <f>IF(F672&lt;'PlayerGrades+'!$AB$21,"F-",IF(F672&lt;'PlayerGrades+'!$AB$20,"F",IF(F672&lt;'PlayerGrades+'!$AB$19,"F+",IF(F672&lt;'PlayerGrades+'!$AB$18,"E-",IF(F672&lt;'PlayerGrades+'!$AB$17,"E",IF(F672&lt;'PlayerGrades+'!$AB$16,"E+",IF(F672&lt;'PlayerGrades+'!$AB$15,"D-",IF(F672&lt;'PlayerGrades+'!$AB$14,"D",IF(F672&lt;'PlayerGrades+'!$AB$13,"D+",IF(F672&lt;'PlayerGrades+'!$AB$12,"C-",IF(F672&lt;'PlayerGrades+'!$AB$11,"C",IF(F672&lt;'PlayerGrades+'!$AB$10,"C+",IF(F672&lt;'PlayerGrades+'!$AB$9,"B-",IF(F672&lt;'PlayerGrades+'!$AB$8,"B",IF(F672&lt;'PlayerGrades+'!$AB$7,"B+",IF(F672&lt;'PlayerGrades+'!$AB$6,"A-",IF(F672&lt;'PlayerGrades+'!$AB$5,"A",IF(F672&lt;'PlayerGrades+'!$AB$4,"A+",IF(F672&lt;'PlayerGrades+'!$AB$3,"S-",IF(F672&lt;'PlayerGrades+'!$AB$2,"S","S+"))))))))))))))))))))</f>
        <v>#DIV/0!</v>
      </c>
      <c r="H672" s="1423" t="str">
        <f t="shared" si="14"/>
        <v>#DIV/0!</v>
      </c>
      <c r="I672" s="1423" t="str">
        <f>IF(H672&lt;'PlayerGrades+'!$AC$21,"F-",IF(H672&lt;'PlayerGrades+'!$AC$20,"F",IF(H672&lt;'PlayerGrades+'!$AC$19,"F+",IF(H672&lt;'PlayerGrades+'!$AC$18,"E-",IF(H672&lt;'PlayerGrades+'!$AC$17,"E",IF(H672&lt;'PlayerGrades+'!$AC$16,"E+",IF(H672&lt;'PlayerGrades+'!$AC$15,"D-",IF(H672&lt;'PlayerGrades+'!$AC$14,"D",IF(H672&lt;'PlayerGrades+'!$AC$13,"D+",IF(H672&lt;'PlayerGrades+'!$AC$12,"C-",IF(H672&lt;'PlayerGrades+'!$AC$11,"C",IF(H672&lt;'PlayerGrades+'!$AC$10,"C+",IF(H672&lt;'PlayerGrades+'!$AC$9,"B-",IF(H672&lt;'PlayerGrades+'!$AC$8,"B",IF(H672&lt;'PlayerGrades+'!$AC$7,"B+",IF(H672&lt;'PlayerGrades+'!$AC$6,"A-",IF(H672&lt;'PlayerGrades+'!$AC$5,"A",IF(H672&lt;'PlayerGrades+'!$AC$4,"A+",IF(H672&lt;'PlayerGrades+'!$AC$3,"S-",IF(H672&lt;'PlayerGrades+'!$AC$2,"S","S+"))))))))))))))))))))</f>
        <v>#DIV/0!</v>
      </c>
      <c r="J672" s="1423" t="str">
        <f t="shared" si="15"/>
        <v>#DIV/0!</v>
      </c>
      <c r="K672" s="1423" t="str">
        <f>IF(J672&lt;'PlayerGrades+'!$AD$21,"F-",IF(J672&lt;'PlayerGrades+'!$AD$20,"F",IF(J672&lt;'PlayerGrades+'!$AD$19,"F+",IF(J672&lt;'PlayerGrades+'!$AD$18,"E-",IF(J672&lt;'PlayerGrades+'!$AD$17,"E",IF(J672&lt;'PlayerGrades+'!$AD$16,"E+",IF(J672&lt;'PlayerGrades+'!$AD$15,"D-",IF(J672&lt;'PlayerGrades+'!$AD$14,"D",IF(J672&lt;'PlayerGrades+'!$AD$13,"D+",IF(J672&lt;'PlayerGrades+'!$AD$12,"C-",IF(J672&lt;'PlayerGrades+'!$AD$11,"C",IF(J672&lt;'PlayerGrades+'!$AD$10,"C+",IF(J672&lt;'PlayerGrades+'!$AD$9,"B-",IF(J672&lt;'PlayerGrades+'!$AD$8,"B",IF(J672&lt;'PlayerGrades+'!$AD$7,"B+",IF(J672&lt;'PlayerGrades+'!$AD$6,"A-",IF(J672&lt;'PlayerGrades+'!$AD$5,"A",IF(J672&lt;'PlayerGrades+'!$AD$4,"A+",IF(J672&lt;'PlayerGrades+'!$AD$3,"S-",IF(J672&lt;'PlayerGrades+'!$AD$2,"S","S+"))))))))))))))))))))</f>
        <v>#DIV/0!</v>
      </c>
      <c r="L672" s="1176" t="str">
        <f t="shared" si="16"/>
        <v>#DIV/0!</v>
      </c>
      <c r="M672" s="992" t="str">
        <f>IF(L672&lt;'PlayerGrades+'!$AE$21,"F-",IF(L672&lt;'PlayerGrades+'!$AE$20,"F",IF(L672&lt;'PlayerGrades+'!$AE$19,"F+",IF(L672&lt;'PlayerGrades+'!$AE$18,"E-",IF(L672&lt;'PlayerGrades+'!$AE$17,"E",IF(L672&lt;'PlayerGrades+'!$AE$16,"E+",IF(L672&lt;'PlayerGrades+'!$AE$15,"D-",IF(L672&lt;'PlayerGrades+'!$AE$14,"D",IF(L672&lt;'PlayerGrades+'!$AE$13,"D+",IF(L672&lt;'PlayerGrades+'!$AE$12,"C-",IF(L672&lt;'PlayerGrades+'!$AE$11,"C",IF(L672&lt;'PlayerGrades+'!$AE$10,"C+",IF(L672&lt;'PlayerGrades+'!$AE$9,"B-",IF(L672&lt;'PlayerGrades+'!$AE$8,"B",IF(L672&lt;'PlayerGrades+'!$AE$7,"B+",IF(L672&lt;'PlayerGrades+'!$AE$6,"A-",IF(L672&lt;'PlayerGrades+'!$AE$5,"A",IF(L672&lt;'PlayerGrades+'!$AE$4,"A+",IF(L672&lt;'PlayerGrades+'!$AE$3,"S-",IF(L672&lt;'PlayerGrades+'!$AE$2,"S","S+"))))))))))))))))))))</f>
        <v>#DIV/0!</v>
      </c>
      <c r="N672" s="1423" t="str">
        <f t="shared" si="17"/>
        <v>#DIV/0!</v>
      </c>
      <c r="O672" s="1423" t="str">
        <f>IF(N672&lt;'PlayerGrades+'!$AF$21,"F-",IF(N672&lt;'PlayerGrades+'!$AF$20,"F",IF(N672&lt;'PlayerGrades+'!$AF$19,"F+",IF(N672&lt;'PlayerGrades+'!$AF$18,"E-",IF(N672&lt;'PlayerGrades+'!$AF$17,"E",IF(N672&lt;'PlayerGrades+'!$AF$16,"E+",IF(N672&lt;'PlayerGrades+'!$AF$15,"D-",IF(N672&lt;'PlayerGrades+'!$AF$14,"D",IF(N672&lt;'PlayerGrades+'!$AF$13,"D+",IF(N672&lt;'PlayerGrades+'!$AF$12,"C-",IF(N672&lt;'PlayerGrades+'!$AF$11,"C",IF(N672&lt;'PlayerGrades+'!$AF$10,"C+",IF(N672&lt;'PlayerGrades+'!$AF$9,"B-",IF(N672&lt;'PlayerGrades+'!$AF$8,"B",IF(N672&lt;'PlayerGrades+'!$AF$7,"B+",IF(N672&lt;'PlayerGrades+'!$AF$6,"A-",IF(N672&lt;'PlayerGrades+'!$AF$5,"A",IF(N672&lt;'PlayerGrades+'!$AF$4,"A+",IF(N672&lt;'PlayerGrades+'!$AF$3,"S-",IF(N672&lt;'PlayerGrades+'!$AF$2,"S","S+"))))))))))))))))))))</f>
        <v>#DIV/0!</v>
      </c>
      <c r="P672" s="1423" t="str">
        <f t="shared" si="18"/>
        <v>#DIV/0!</v>
      </c>
      <c r="Q672" s="1423" t="str">
        <f>IF(P672&lt;'PlayerGrades+'!$AG$21,"F-",IF(P672&lt;'PlayerGrades+'!$AG$20,"F",IF(P672&lt;'PlayerGrades+'!$AG$19,"F+",IF(P672&lt;'PlayerGrades+'!$AG$18,"E-",IF(P672&lt;'PlayerGrades+'!$AG$17,"E",IF(P672&lt;'PlayerGrades+'!$AG$16,"E+",IF(P672&lt;'PlayerGrades+'!$AG$15,"D-",IF(P672&lt;'PlayerGrades+'!$AG$14,"D",IF(P672&lt;'PlayerGrades+'!$AG$13,"D+",IF(P672&lt;'PlayerGrades+'!$AG$12,"C-",IF(P672&lt;'PlayerGrades+'!$AG$11,"C",IF(P672&lt;'PlayerGrades+'!$AG$10,"C+",IF(P672&lt;'PlayerGrades+'!$AG$9,"B-",IF(P672&lt;'PlayerGrades+'!$AG$8,"B",IF(P672&lt;'PlayerGrades+'!$AG$7,"B+",IF(P672&lt;'PlayerGrades+'!$AG$6,"A-",IF(P672&lt;'PlayerGrades+'!$AG$5,"A",IF(P672&lt;'PlayerGrades+'!$AG$4,"A+",IF(P672&lt;'PlayerGrades+'!$AG$3,"S-",IF(P672&lt;'PlayerGrades+'!$AG$2,"S","S+"))))))))))))))))))))</f>
        <v>#DIV/0!</v>
      </c>
      <c r="R672" s="1423" t="str">
        <f t="shared" si="19"/>
        <v>#REF!</v>
      </c>
      <c r="S672" s="1423" t="str">
        <f>IF(R672&lt;'PlayerGrades+'!$AH$21,"F-",IF(R672&lt;'PlayerGrades+'!$AH$20,"F",IF(R672&lt;'PlayerGrades+'!$AH$19,"F+",IF(R672&lt;'PlayerGrades+'!$AH$18,"E-",IF(R672&lt;'PlayerGrades+'!$AH$17,"E",IF(R672&lt;'PlayerGrades+'!$AH$16,"E+",IF(R672&lt;'PlayerGrades+'!$AH$15,"D-",IF(R672&lt;'PlayerGrades+'!$AH$14,"D",IF(R672&lt;'PlayerGrades+'!$AH$13,"D+",IF(R672&lt;'PlayerGrades+'!$AH$12,"C-",IF(R672&lt;'PlayerGrades+'!$AH$11,"C",IF(R672&lt;'PlayerGrades+'!$AH$10,"C+",IF(R672&lt;'PlayerGrades+'!$AH$9,"B-",IF(R672&lt;'PlayerGrades+'!$AH$8,"B",IF(R672&lt;'PlayerGrades+'!$AH$7,"B+",IF(R672&lt;'PlayerGrades+'!$AH$6,"A-",IF(R672&lt;'PlayerGrades+'!$AH$5,"A",IF(R672&lt;'PlayerGrades+'!$AH$4,"A+",IF(R672&lt;'PlayerGrades+'!$AH$3,"S-",IF(R672&lt;'PlayerGrades+'!$AH$2,"S","S+"))))))))))))))))))))</f>
        <v>#REF!</v>
      </c>
      <c r="T672" s="1423" t="str">
        <f t="shared" si="20"/>
        <v>#REF!</v>
      </c>
      <c r="U672" s="1423" t="str">
        <f>IF(T672&lt;'PlayerGrades+'!$AI$21,"F-",IF(T672&lt;'PlayerGrades+'!$AI$20,"F",IF(T672&lt;'PlayerGrades+'!$AI$19,"F+",IF(T672&lt;'PlayerGrades+'!$AI$18,"E-",IF(T672&lt;'PlayerGrades+'!$AI$17,"E",IF(T672&lt;'PlayerGrades+'!$AI$16,"E+",IF(T672&lt;'PlayerGrades+'!$AI$15,"D-",IF(T672&lt;'PlayerGrades+'!$AI$14,"D",IF(T672&lt;'PlayerGrades+'!$AI$13,"D+",IF(T672&lt;'PlayerGrades+'!$AI$12,"C-",IF(T672&lt;'PlayerGrades+'!$AI$11,"C",IF(T672&lt;'PlayerGrades+'!$AI$10,"C+",IF(T672&lt;'PlayerGrades+'!$AI$9,"B-",IF(T672&lt;'PlayerGrades+'!$AI$8,"B",IF(T672&lt;'PlayerGrades+'!$AI$7,"B+",IF(T672&lt;'PlayerGrades+'!$AI$6,"A-",IF(T672&lt;'PlayerGrades+'!$AI$5,"A",IF(T672&lt;'PlayerGrades+'!$AI$4,"A+",IF(T672&lt;'PlayerGrades+'!$AI$3,"S-",IF(T672&lt;'PlayerGrades+'!$AI$2,"S","S+"))))))))))))))))))))</f>
        <v>#REF!</v>
      </c>
      <c r="AC672" s="1392"/>
    </row>
    <row r="673">
      <c r="A673" s="1411"/>
      <c r="B673" s="1421" t="str">
        <f>IF(C673&lt;'PlayerGrades+'!$Y$44,"F-",IF(C673&lt;'PlayerGrades+'!$Y$43,"F",IF(C673&lt;'PlayerGrades+'!$Y$42,"F+",IF(C673&lt;'PlayerGrades+'!$Y$41,"E-",IF(C673&lt;'PlayerGrades+'!$Y$40,"E",IF(C673&lt;'PlayerGrades+'!$Y$39,"E+",IF(C673&lt;'PlayerGrades+'!$Y$38,"D-",IF(C673&lt;'PlayerGrades+'!$Y$37,"D",IF(C673&lt;'PlayerGrades+'!$Y$36,"D+",IF(C673&lt;'PlayerGrades+'!$Y$35,"C-",IF(C673&lt;'PlayerGrades+'!$Y$34,"C",IF(C673&lt;'PlayerGrades+'!$Y$33,"C+",IF(C673&lt;'PlayerGrades+'!$Y$32,"B-",IF(C673&lt;'PlayerGrades+'!$Y$31,"B",IF(C673&lt;'PlayerGrades+'!$Y$30,"B+",IF(C673&lt;'PlayerGrades+'!$Y$29,"A-",IF(C673&lt;'PlayerGrades+'!$Y$28,"A",IF(C673&lt;'PlayerGrades+'!$Y$27,"A+",IF(C673&lt;'PlayerGrades+'!$Y$26,"S-",IF(C673&lt;'PlayerGrades+'!$Y$25,"S","S+"))))))))))))))))))))</f>
        <v>#DIV/0!</v>
      </c>
      <c r="C673" s="1422" t="str">
        <f>('PlayerGrades+'!$Y$47*(VLOOKUP(E673, 'PlayerGrades+'!$X$3:$Y$23, 2, FALSE)))+('PlayerGrades+'!$Y$48*(VLOOKUP(G673, 'PlayerGrades+'!$X$3:$Y$23, 2, FALSE)))+('PlayerGrades+'!$Y$49*(VLOOKUP(I673, 'PlayerGrades+'!$X$3:$Y$23, 2, FALSE)))+('PlayerGrades+'!$Y$50*(VLOOKUP(K673, 'PlayerGrades+'!$X$3:$Y$23, 2, FALSE)))+('PlayerGrades+'!$Y$51*(VLOOKUP(M673, 'PlayerGrades+'!$X$3:$Y$23, 2, FALSE)))+('PlayerGrades+'!$Y$52*(VLOOKUP(O673, 'PlayerGrades+'!$X$3:$Y$23, 2, FALSE)))+('PlayerGrades+'!$Y$53*(VLOOKUP(Q673, 'PlayerGrades+'!$X$3:$Y$23, 2, FALSE)))+('PlayerGrades+'!$Y$54*(VLOOKUP(S673, 'PlayerGrades+'!$X$3:$Y$23, 2, FALSE)))+('PlayerGrades+'!$Y$55*(VLOOKUP(U673, 'PlayerGrades+'!$X$3:$Y$23, 2, FALSE)))</f>
        <v>#DIV/0!</v>
      </c>
      <c r="D673" s="1423" t="str">
        <f t="shared" si="12"/>
        <v>#DIV/0!</v>
      </c>
      <c r="E673" s="1423" t="str">
        <f>IF(D673&lt;'PlayerGrades+'!$AA$21,"F-",IF(D673&lt;'PlayerGrades+'!$AA$20,"F",IF(D673&lt;'PlayerGrades+'!$AA$19,"F+",IF(D673&lt;'PlayerGrades+'!$AA$18,"E-",IF(D673&lt;'PlayerGrades+'!$AA$17,"E",IF(D673&lt;'PlayerGrades+'!$AA$16,"E+",IF(D673&lt;'PlayerGrades+'!$AA$15,"D-",IF(D673&lt;'PlayerGrades+'!$AA$14,"D",IF(D673&lt;'PlayerGrades+'!$AA$13,"D+",IF(D673&lt;'PlayerGrades+'!$AA$12,"C-",IF(D673&lt;'PlayerGrades+'!$AA$11,"C",IF(D673&lt;'PlayerGrades+'!$AA$10,"C+",IF(D673&lt;'PlayerGrades+'!$AA$9,"B-",IF(D673&lt;'PlayerGrades+'!$AA$8,"B",IF(D673&lt;'PlayerGrades+'!$AA$7,"B+",IF(D673&lt;'PlayerGrades+'!$AA$6,"A-",IF(D673&lt;'PlayerGrades+'!$AA$5,"A",IF(D673&lt;'PlayerGrades+'!$AA$4,"A+",IF(D673&lt;'PlayerGrades+'!$AA$3,"S-",IF(D673&lt;'PlayerGrades+'!$AA$2,"S","S+"))))))))))))))))))))</f>
        <v>#DIV/0!</v>
      </c>
      <c r="F673" s="1423" t="str">
        <f t="shared" si="13"/>
        <v>#DIV/0!</v>
      </c>
      <c r="G673" s="1423" t="str">
        <f>IF(F673&lt;'PlayerGrades+'!$AB$21,"F-",IF(F673&lt;'PlayerGrades+'!$AB$20,"F",IF(F673&lt;'PlayerGrades+'!$AB$19,"F+",IF(F673&lt;'PlayerGrades+'!$AB$18,"E-",IF(F673&lt;'PlayerGrades+'!$AB$17,"E",IF(F673&lt;'PlayerGrades+'!$AB$16,"E+",IF(F673&lt;'PlayerGrades+'!$AB$15,"D-",IF(F673&lt;'PlayerGrades+'!$AB$14,"D",IF(F673&lt;'PlayerGrades+'!$AB$13,"D+",IF(F673&lt;'PlayerGrades+'!$AB$12,"C-",IF(F673&lt;'PlayerGrades+'!$AB$11,"C",IF(F673&lt;'PlayerGrades+'!$AB$10,"C+",IF(F673&lt;'PlayerGrades+'!$AB$9,"B-",IF(F673&lt;'PlayerGrades+'!$AB$8,"B",IF(F673&lt;'PlayerGrades+'!$AB$7,"B+",IF(F673&lt;'PlayerGrades+'!$AB$6,"A-",IF(F673&lt;'PlayerGrades+'!$AB$5,"A",IF(F673&lt;'PlayerGrades+'!$AB$4,"A+",IF(F673&lt;'PlayerGrades+'!$AB$3,"S-",IF(F673&lt;'PlayerGrades+'!$AB$2,"S","S+"))))))))))))))))))))</f>
        <v>#DIV/0!</v>
      </c>
      <c r="H673" s="1423" t="str">
        <f t="shared" si="14"/>
        <v>#DIV/0!</v>
      </c>
      <c r="I673" s="1423" t="str">
        <f>IF(H673&lt;'PlayerGrades+'!$AC$21,"F-",IF(H673&lt;'PlayerGrades+'!$AC$20,"F",IF(H673&lt;'PlayerGrades+'!$AC$19,"F+",IF(H673&lt;'PlayerGrades+'!$AC$18,"E-",IF(H673&lt;'PlayerGrades+'!$AC$17,"E",IF(H673&lt;'PlayerGrades+'!$AC$16,"E+",IF(H673&lt;'PlayerGrades+'!$AC$15,"D-",IF(H673&lt;'PlayerGrades+'!$AC$14,"D",IF(H673&lt;'PlayerGrades+'!$AC$13,"D+",IF(H673&lt;'PlayerGrades+'!$AC$12,"C-",IF(H673&lt;'PlayerGrades+'!$AC$11,"C",IF(H673&lt;'PlayerGrades+'!$AC$10,"C+",IF(H673&lt;'PlayerGrades+'!$AC$9,"B-",IF(H673&lt;'PlayerGrades+'!$AC$8,"B",IF(H673&lt;'PlayerGrades+'!$AC$7,"B+",IF(H673&lt;'PlayerGrades+'!$AC$6,"A-",IF(H673&lt;'PlayerGrades+'!$AC$5,"A",IF(H673&lt;'PlayerGrades+'!$AC$4,"A+",IF(H673&lt;'PlayerGrades+'!$AC$3,"S-",IF(H673&lt;'PlayerGrades+'!$AC$2,"S","S+"))))))))))))))))))))</f>
        <v>#DIV/0!</v>
      </c>
      <c r="J673" s="1423" t="str">
        <f t="shared" si="15"/>
        <v>#DIV/0!</v>
      </c>
      <c r="K673" s="1423" t="str">
        <f>IF(J673&lt;'PlayerGrades+'!$AD$21,"F-",IF(J673&lt;'PlayerGrades+'!$AD$20,"F",IF(J673&lt;'PlayerGrades+'!$AD$19,"F+",IF(J673&lt;'PlayerGrades+'!$AD$18,"E-",IF(J673&lt;'PlayerGrades+'!$AD$17,"E",IF(J673&lt;'PlayerGrades+'!$AD$16,"E+",IF(J673&lt;'PlayerGrades+'!$AD$15,"D-",IF(J673&lt;'PlayerGrades+'!$AD$14,"D",IF(J673&lt;'PlayerGrades+'!$AD$13,"D+",IF(J673&lt;'PlayerGrades+'!$AD$12,"C-",IF(J673&lt;'PlayerGrades+'!$AD$11,"C",IF(J673&lt;'PlayerGrades+'!$AD$10,"C+",IF(J673&lt;'PlayerGrades+'!$AD$9,"B-",IF(J673&lt;'PlayerGrades+'!$AD$8,"B",IF(J673&lt;'PlayerGrades+'!$AD$7,"B+",IF(J673&lt;'PlayerGrades+'!$AD$6,"A-",IF(J673&lt;'PlayerGrades+'!$AD$5,"A",IF(J673&lt;'PlayerGrades+'!$AD$4,"A+",IF(J673&lt;'PlayerGrades+'!$AD$3,"S-",IF(J673&lt;'PlayerGrades+'!$AD$2,"S","S+"))))))))))))))))))))</f>
        <v>#DIV/0!</v>
      </c>
      <c r="L673" s="1176" t="str">
        <f t="shared" si="16"/>
        <v>#DIV/0!</v>
      </c>
      <c r="M673" s="992" t="str">
        <f>IF(L673&lt;'PlayerGrades+'!$AE$21,"F-",IF(L673&lt;'PlayerGrades+'!$AE$20,"F",IF(L673&lt;'PlayerGrades+'!$AE$19,"F+",IF(L673&lt;'PlayerGrades+'!$AE$18,"E-",IF(L673&lt;'PlayerGrades+'!$AE$17,"E",IF(L673&lt;'PlayerGrades+'!$AE$16,"E+",IF(L673&lt;'PlayerGrades+'!$AE$15,"D-",IF(L673&lt;'PlayerGrades+'!$AE$14,"D",IF(L673&lt;'PlayerGrades+'!$AE$13,"D+",IF(L673&lt;'PlayerGrades+'!$AE$12,"C-",IF(L673&lt;'PlayerGrades+'!$AE$11,"C",IF(L673&lt;'PlayerGrades+'!$AE$10,"C+",IF(L673&lt;'PlayerGrades+'!$AE$9,"B-",IF(L673&lt;'PlayerGrades+'!$AE$8,"B",IF(L673&lt;'PlayerGrades+'!$AE$7,"B+",IF(L673&lt;'PlayerGrades+'!$AE$6,"A-",IF(L673&lt;'PlayerGrades+'!$AE$5,"A",IF(L673&lt;'PlayerGrades+'!$AE$4,"A+",IF(L673&lt;'PlayerGrades+'!$AE$3,"S-",IF(L673&lt;'PlayerGrades+'!$AE$2,"S","S+"))))))))))))))))))))</f>
        <v>#DIV/0!</v>
      </c>
      <c r="N673" s="1423" t="str">
        <f t="shared" si="17"/>
        <v>#DIV/0!</v>
      </c>
      <c r="O673" s="1423" t="str">
        <f>IF(N673&lt;'PlayerGrades+'!$AF$21,"F-",IF(N673&lt;'PlayerGrades+'!$AF$20,"F",IF(N673&lt;'PlayerGrades+'!$AF$19,"F+",IF(N673&lt;'PlayerGrades+'!$AF$18,"E-",IF(N673&lt;'PlayerGrades+'!$AF$17,"E",IF(N673&lt;'PlayerGrades+'!$AF$16,"E+",IF(N673&lt;'PlayerGrades+'!$AF$15,"D-",IF(N673&lt;'PlayerGrades+'!$AF$14,"D",IF(N673&lt;'PlayerGrades+'!$AF$13,"D+",IF(N673&lt;'PlayerGrades+'!$AF$12,"C-",IF(N673&lt;'PlayerGrades+'!$AF$11,"C",IF(N673&lt;'PlayerGrades+'!$AF$10,"C+",IF(N673&lt;'PlayerGrades+'!$AF$9,"B-",IF(N673&lt;'PlayerGrades+'!$AF$8,"B",IF(N673&lt;'PlayerGrades+'!$AF$7,"B+",IF(N673&lt;'PlayerGrades+'!$AF$6,"A-",IF(N673&lt;'PlayerGrades+'!$AF$5,"A",IF(N673&lt;'PlayerGrades+'!$AF$4,"A+",IF(N673&lt;'PlayerGrades+'!$AF$3,"S-",IF(N673&lt;'PlayerGrades+'!$AF$2,"S","S+"))))))))))))))))))))</f>
        <v>#DIV/0!</v>
      </c>
      <c r="P673" s="1423" t="str">
        <f t="shared" si="18"/>
        <v>#DIV/0!</v>
      </c>
      <c r="Q673" s="1423" t="str">
        <f>IF(P673&lt;'PlayerGrades+'!$AG$21,"F-",IF(P673&lt;'PlayerGrades+'!$AG$20,"F",IF(P673&lt;'PlayerGrades+'!$AG$19,"F+",IF(P673&lt;'PlayerGrades+'!$AG$18,"E-",IF(P673&lt;'PlayerGrades+'!$AG$17,"E",IF(P673&lt;'PlayerGrades+'!$AG$16,"E+",IF(P673&lt;'PlayerGrades+'!$AG$15,"D-",IF(P673&lt;'PlayerGrades+'!$AG$14,"D",IF(P673&lt;'PlayerGrades+'!$AG$13,"D+",IF(P673&lt;'PlayerGrades+'!$AG$12,"C-",IF(P673&lt;'PlayerGrades+'!$AG$11,"C",IF(P673&lt;'PlayerGrades+'!$AG$10,"C+",IF(P673&lt;'PlayerGrades+'!$AG$9,"B-",IF(P673&lt;'PlayerGrades+'!$AG$8,"B",IF(P673&lt;'PlayerGrades+'!$AG$7,"B+",IF(P673&lt;'PlayerGrades+'!$AG$6,"A-",IF(P673&lt;'PlayerGrades+'!$AG$5,"A",IF(P673&lt;'PlayerGrades+'!$AG$4,"A+",IF(P673&lt;'PlayerGrades+'!$AG$3,"S-",IF(P673&lt;'PlayerGrades+'!$AG$2,"S","S+"))))))))))))))))))))</f>
        <v>#DIV/0!</v>
      </c>
      <c r="R673" s="1423" t="str">
        <f t="shared" si="19"/>
        <v>#REF!</v>
      </c>
      <c r="S673" s="1423" t="str">
        <f>IF(R673&lt;'PlayerGrades+'!$AH$21,"F-",IF(R673&lt;'PlayerGrades+'!$AH$20,"F",IF(R673&lt;'PlayerGrades+'!$AH$19,"F+",IF(R673&lt;'PlayerGrades+'!$AH$18,"E-",IF(R673&lt;'PlayerGrades+'!$AH$17,"E",IF(R673&lt;'PlayerGrades+'!$AH$16,"E+",IF(R673&lt;'PlayerGrades+'!$AH$15,"D-",IF(R673&lt;'PlayerGrades+'!$AH$14,"D",IF(R673&lt;'PlayerGrades+'!$AH$13,"D+",IF(R673&lt;'PlayerGrades+'!$AH$12,"C-",IF(R673&lt;'PlayerGrades+'!$AH$11,"C",IF(R673&lt;'PlayerGrades+'!$AH$10,"C+",IF(R673&lt;'PlayerGrades+'!$AH$9,"B-",IF(R673&lt;'PlayerGrades+'!$AH$8,"B",IF(R673&lt;'PlayerGrades+'!$AH$7,"B+",IF(R673&lt;'PlayerGrades+'!$AH$6,"A-",IF(R673&lt;'PlayerGrades+'!$AH$5,"A",IF(R673&lt;'PlayerGrades+'!$AH$4,"A+",IF(R673&lt;'PlayerGrades+'!$AH$3,"S-",IF(R673&lt;'PlayerGrades+'!$AH$2,"S","S+"))))))))))))))))))))</f>
        <v>#REF!</v>
      </c>
      <c r="T673" s="1423" t="str">
        <f t="shared" si="20"/>
        <v>#REF!</v>
      </c>
      <c r="U673" s="1423" t="str">
        <f>IF(T673&lt;'PlayerGrades+'!$AI$21,"F-",IF(T673&lt;'PlayerGrades+'!$AI$20,"F",IF(T673&lt;'PlayerGrades+'!$AI$19,"F+",IF(T673&lt;'PlayerGrades+'!$AI$18,"E-",IF(T673&lt;'PlayerGrades+'!$AI$17,"E",IF(T673&lt;'PlayerGrades+'!$AI$16,"E+",IF(T673&lt;'PlayerGrades+'!$AI$15,"D-",IF(T673&lt;'PlayerGrades+'!$AI$14,"D",IF(T673&lt;'PlayerGrades+'!$AI$13,"D+",IF(T673&lt;'PlayerGrades+'!$AI$12,"C-",IF(T673&lt;'PlayerGrades+'!$AI$11,"C",IF(T673&lt;'PlayerGrades+'!$AI$10,"C+",IF(T673&lt;'PlayerGrades+'!$AI$9,"B-",IF(T673&lt;'PlayerGrades+'!$AI$8,"B",IF(T673&lt;'PlayerGrades+'!$AI$7,"B+",IF(T673&lt;'PlayerGrades+'!$AI$6,"A-",IF(T673&lt;'PlayerGrades+'!$AI$5,"A",IF(T673&lt;'PlayerGrades+'!$AI$4,"A+",IF(T673&lt;'PlayerGrades+'!$AI$3,"S-",IF(T673&lt;'PlayerGrades+'!$AI$2,"S","S+"))))))))))))))))))))</f>
        <v>#REF!</v>
      </c>
      <c r="V673" s="1386"/>
      <c r="W673" s="1386"/>
      <c r="X673" s="1386"/>
      <c r="Y673" s="1386"/>
      <c r="Z673" s="1386"/>
      <c r="AA673" s="1386"/>
      <c r="AB673" s="1386"/>
      <c r="AC673" s="1397"/>
      <c r="AD673" s="1386"/>
      <c r="AE673" s="1386"/>
      <c r="AF673" s="1386"/>
      <c r="AG673" s="1386"/>
      <c r="AH673" s="1386"/>
      <c r="AI673" s="1386"/>
      <c r="AJ673" s="1386"/>
      <c r="AK673" s="1386"/>
      <c r="AL673" s="1386"/>
      <c r="AM673" s="1386"/>
      <c r="AN673" s="1386"/>
      <c r="AO673" s="1386"/>
      <c r="AP673" s="1386"/>
      <c r="AQ673" s="1386"/>
      <c r="AR673" s="1386"/>
      <c r="AS673" s="1386"/>
      <c r="AT673" s="1386"/>
      <c r="AU673" s="1386"/>
      <c r="AV673" s="1386"/>
      <c r="AW673" s="1386"/>
      <c r="AX673" s="1386"/>
      <c r="AY673" s="1386"/>
      <c r="AZ673" s="1386"/>
    </row>
    <row r="674">
      <c r="A674" s="1389"/>
      <c r="B674" s="1421" t="str">
        <f>IF(C674&lt;'PlayerGrades+'!$Y$44,"F-",IF(C674&lt;'PlayerGrades+'!$Y$43,"F",IF(C674&lt;'PlayerGrades+'!$Y$42,"F+",IF(C674&lt;'PlayerGrades+'!$Y$41,"E-",IF(C674&lt;'PlayerGrades+'!$Y$40,"E",IF(C674&lt;'PlayerGrades+'!$Y$39,"E+",IF(C674&lt;'PlayerGrades+'!$Y$38,"D-",IF(C674&lt;'PlayerGrades+'!$Y$37,"D",IF(C674&lt;'PlayerGrades+'!$Y$36,"D+",IF(C674&lt;'PlayerGrades+'!$Y$35,"C-",IF(C674&lt;'PlayerGrades+'!$Y$34,"C",IF(C674&lt;'PlayerGrades+'!$Y$33,"C+",IF(C674&lt;'PlayerGrades+'!$Y$32,"B-",IF(C674&lt;'PlayerGrades+'!$Y$31,"B",IF(C674&lt;'PlayerGrades+'!$Y$30,"B+",IF(C674&lt;'PlayerGrades+'!$Y$29,"A-",IF(C674&lt;'PlayerGrades+'!$Y$28,"A",IF(C674&lt;'PlayerGrades+'!$Y$27,"A+",IF(C674&lt;'PlayerGrades+'!$Y$26,"S-",IF(C674&lt;'PlayerGrades+'!$Y$25,"S","S+"))))))))))))))))))))</f>
        <v>#DIV/0!</v>
      </c>
      <c r="C674" s="1422" t="str">
        <f>('PlayerGrades+'!$Y$47*(VLOOKUP(E674, 'PlayerGrades+'!$X$3:$Y$23, 2, FALSE)))+('PlayerGrades+'!$Y$48*(VLOOKUP(G674, 'PlayerGrades+'!$X$3:$Y$23, 2, FALSE)))+('PlayerGrades+'!$Y$49*(VLOOKUP(I674, 'PlayerGrades+'!$X$3:$Y$23, 2, FALSE)))+('PlayerGrades+'!$Y$50*(VLOOKUP(K674, 'PlayerGrades+'!$X$3:$Y$23, 2, FALSE)))+('PlayerGrades+'!$Y$51*(VLOOKUP(M674, 'PlayerGrades+'!$X$3:$Y$23, 2, FALSE)))+('PlayerGrades+'!$Y$52*(VLOOKUP(O674, 'PlayerGrades+'!$X$3:$Y$23, 2, FALSE)))+('PlayerGrades+'!$Y$53*(VLOOKUP(Q674, 'PlayerGrades+'!$X$3:$Y$23, 2, FALSE)))+('PlayerGrades+'!$Y$54*(VLOOKUP(S674, 'PlayerGrades+'!$X$3:$Y$23, 2, FALSE)))+('PlayerGrades+'!$Y$55*(VLOOKUP(U674, 'PlayerGrades+'!$X$3:$Y$23, 2, FALSE)))</f>
        <v>#DIV/0!</v>
      </c>
      <c r="D674" s="1423" t="str">
        <f t="shared" si="12"/>
        <v>#DIV/0!</v>
      </c>
      <c r="E674" s="1423" t="str">
        <f>IF(D674&lt;'PlayerGrades+'!$AA$21,"F-",IF(D674&lt;'PlayerGrades+'!$AA$20,"F",IF(D674&lt;'PlayerGrades+'!$AA$19,"F+",IF(D674&lt;'PlayerGrades+'!$AA$18,"E-",IF(D674&lt;'PlayerGrades+'!$AA$17,"E",IF(D674&lt;'PlayerGrades+'!$AA$16,"E+",IF(D674&lt;'PlayerGrades+'!$AA$15,"D-",IF(D674&lt;'PlayerGrades+'!$AA$14,"D",IF(D674&lt;'PlayerGrades+'!$AA$13,"D+",IF(D674&lt;'PlayerGrades+'!$AA$12,"C-",IF(D674&lt;'PlayerGrades+'!$AA$11,"C",IF(D674&lt;'PlayerGrades+'!$AA$10,"C+",IF(D674&lt;'PlayerGrades+'!$AA$9,"B-",IF(D674&lt;'PlayerGrades+'!$AA$8,"B",IF(D674&lt;'PlayerGrades+'!$AA$7,"B+",IF(D674&lt;'PlayerGrades+'!$AA$6,"A-",IF(D674&lt;'PlayerGrades+'!$AA$5,"A",IF(D674&lt;'PlayerGrades+'!$AA$4,"A+",IF(D674&lt;'PlayerGrades+'!$AA$3,"S-",IF(D674&lt;'PlayerGrades+'!$AA$2,"S","S+"))))))))))))))))))))</f>
        <v>#DIV/0!</v>
      </c>
      <c r="F674" s="1423" t="str">
        <f t="shared" si="13"/>
        <v>#DIV/0!</v>
      </c>
      <c r="G674" s="1423" t="str">
        <f>IF(F674&lt;'PlayerGrades+'!$AB$21,"F-",IF(F674&lt;'PlayerGrades+'!$AB$20,"F",IF(F674&lt;'PlayerGrades+'!$AB$19,"F+",IF(F674&lt;'PlayerGrades+'!$AB$18,"E-",IF(F674&lt;'PlayerGrades+'!$AB$17,"E",IF(F674&lt;'PlayerGrades+'!$AB$16,"E+",IF(F674&lt;'PlayerGrades+'!$AB$15,"D-",IF(F674&lt;'PlayerGrades+'!$AB$14,"D",IF(F674&lt;'PlayerGrades+'!$AB$13,"D+",IF(F674&lt;'PlayerGrades+'!$AB$12,"C-",IF(F674&lt;'PlayerGrades+'!$AB$11,"C",IF(F674&lt;'PlayerGrades+'!$AB$10,"C+",IF(F674&lt;'PlayerGrades+'!$AB$9,"B-",IF(F674&lt;'PlayerGrades+'!$AB$8,"B",IF(F674&lt;'PlayerGrades+'!$AB$7,"B+",IF(F674&lt;'PlayerGrades+'!$AB$6,"A-",IF(F674&lt;'PlayerGrades+'!$AB$5,"A",IF(F674&lt;'PlayerGrades+'!$AB$4,"A+",IF(F674&lt;'PlayerGrades+'!$AB$3,"S-",IF(F674&lt;'PlayerGrades+'!$AB$2,"S","S+"))))))))))))))))))))</f>
        <v>#DIV/0!</v>
      </c>
      <c r="H674" s="1423" t="str">
        <f t="shared" si="14"/>
        <v>#DIV/0!</v>
      </c>
      <c r="I674" s="1423" t="str">
        <f>IF(H674&lt;'PlayerGrades+'!$AC$21,"F-",IF(H674&lt;'PlayerGrades+'!$AC$20,"F",IF(H674&lt;'PlayerGrades+'!$AC$19,"F+",IF(H674&lt;'PlayerGrades+'!$AC$18,"E-",IF(H674&lt;'PlayerGrades+'!$AC$17,"E",IF(H674&lt;'PlayerGrades+'!$AC$16,"E+",IF(H674&lt;'PlayerGrades+'!$AC$15,"D-",IF(H674&lt;'PlayerGrades+'!$AC$14,"D",IF(H674&lt;'PlayerGrades+'!$AC$13,"D+",IF(H674&lt;'PlayerGrades+'!$AC$12,"C-",IF(H674&lt;'PlayerGrades+'!$AC$11,"C",IF(H674&lt;'PlayerGrades+'!$AC$10,"C+",IF(H674&lt;'PlayerGrades+'!$AC$9,"B-",IF(H674&lt;'PlayerGrades+'!$AC$8,"B",IF(H674&lt;'PlayerGrades+'!$AC$7,"B+",IF(H674&lt;'PlayerGrades+'!$AC$6,"A-",IF(H674&lt;'PlayerGrades+'!$AC$5,"A",IF(H674&lt;'PlayerGrades+'!$AC$4,"A+",IF(H674&lt;'PlayerGrades+'!$AC$3,"S-",IF(H674&lt;'PlayerGrades+'!$AC$2,"S","S+"))))))))))))))))))))</f>
        <v>#DIV/0!</v>
      </c>
      <c r="J674" s="1423" t="str">
        <f t="shared" si="15"/>
        <v>#DIV/0!</v>
      </c>
      <c r="K674" s="1423" t="str">
        <f>IF(J674&lt;'PlayerGrades+'!$AD$21,"F-",IF(J674&lt;'PlayerGrades+'!$AD$20,"F",IF(J674&lt;'PlayerGrades+'!$AD$19,"F+",IF(J674&lt;'PlayerGrades+'!$AD$18,"E-",IF(J674&lt;'PlayerGrades+'!$AD$17,"E",IF(J674&lt;'PlayerGrades+'!$AD$16,"E+",IF(J674&lt;'PlayerGrades+'!$AD$15,"D-",IF(J674&lt;'PlayerGrades+'!$AD$14,"D",IF(J674&lt;'PlayerGrades+'!$AD$13,"D+",IF(J674&lt;'PlayerGrades+'!$AD$12,"C-",IF(J674&lt;'PlayerGrades+'!$AD$11,"C",IF(J674&lt;'PlayerGrades+'!$AD$10,"C+",IF(J674&lt;'PlayerGrades+'!$AD$9,"B-",IF(J674&lt;'PlayerGrades+'!$AD$8,"B",IF(J674&lt;'PlayerGrades+'!$AD$7,"B+",IF(J674&lt;'PlayerGrades+'!$AD$6,"A-",IF(J674&lt;'PlayerGrades+'!$AD$5,"A",IF(J674&lt;'PlayerGrades+'!$AD$4,"A+",IF(J674&lt;'PlayerGrades+'!$AD$3,"S-",IF(J674&lt;'PlayerGrades+'!$AD$2,"S","S+"))))))))))))))))))))</f>
        <v>#DIV/0!</v>
      </c>
      <c r="L674" s="1176" t="str">
        <f t="shared" si="16"/>
        <v>#DIV/0!</v>
      </c>
      <c r="M674" s="992" t="str">
        <f>IF(L674&lt;'PlayerGrades+'!$AE$21,"F-",IF(L674&lt;'PlayerGrades+'!$AE$20,"F",IF(L674&lt;'PlayerGrades+'!$AE$19,"F+",IF(L674&lt;'PlayerGrades+'!$AE$18,"E-",IF(L674&lt;'PlayerGrades+'!$AE$17,"E",IF(L674&lt;'PlayerGrades+'!$AE$16,"E+",IF(L674&lt;'PlayerGrades+'!$AE$15,"D-",IF(L674&lt;'PlayerGrades+'!$AE$14,"D",IF(L674&lt;'PlayerGrades+'!$AE$13,"D+",IF(L674&lt;'PlayerGrades+'!$AE$12,"C-",IF(L674&lt;'PlayerGrades+'!$AE$11,"C",IF(L674&lt;'PlayerGrades+'!$AE$10,"C+",IF(L674&lt;'PlayerGrades+'!$AE$9,"B-",IF(L674&lt;'PlayerGrades+'!$AE$8,"B",IF(L674&lt;'PlayerGrades+'!$AE$7,"B+",IF(L674&lt;'PlayerGrades+'!$AE$6,"A-",IF(L674&lt;'PlayerGrades+'!$AE$5,"A",IF(L674&lt;'PlayerGrades+'!$AE$4,"A+",IF(L674&lt;'PlayerGrades+'!$AE$3,"S-",IF(L674&lt;'PlayerGrades+'!$AE$2,"S","S+"))))))))))))))))))))</f>
        <v>#DIV/0!</v>
      </c>
      <c r="N674" s="1423" t="str">
        <f t="shared" si="17"/>
        <v>#DIV/0!</v>
      </c>
      <c r="O674" s="1423" t="str">
        <f>IF(N674&lt;'PlayerGrades+'!$AF$21,"F-",IF(N674&lt;'PlayerGrades+'!$AF$20,"F",IF(N674&lt;'PlayerGrades+'!$AF$19,"F+",IF(N674&lt;'PlayerGrades+'!$AF$18,"E-",IF(N674&lt;'PlayerGrades+'!$AF$17,"E",IF(N674&lt;'PlayerGrades+'!$AF$16,"E+",IF(N674&lt;'PlayerGrades+'!$AF$15,"D-",IF(N674&lt;'PlayerGrades+'!$AF$14,"D",IF(N674&lt;'PlayerGrades+'!$AF$13,"D+",IF(N674&lt;'PlayerGrades+'!$AF$12,"C-",IF(N674&lt;'PlayerGrades+'!$AF$11,"C",IF(N674&lt;'PlayerGrades+'!$AF$10,"C+",IF(N674&lt;'PlayerGrades+'!$AF$9,"B-",IF(N674&lt;'PlayerGrades+'!$AF$8,"B",IF(N674&lt;'PlayerGrades+'!$AF$7,"B+",IF(N674&lt;'PlayerGrades+'!$AF$6,"A-",IF(N674&lt;'PlayerGrades+'!$AF$5,"A",IF(N674&lt;'PlayerGrades+'!$AF$4,"A+",IF(N674&lt;'PlayerGrades+'!$AF$3,"S-",IF(N674&lt;'PlayerGrades+'!$AF$2,"S","S+"))))))))))))))))))))</f>
        <v>#DIV/0!</v>
      </c>
      <c r="P674" s="1423" t="str">
        <f t="shared" si="18"/>
        <v>#DIV/0!</v>
      </c>
      <c r="Q674" s="1423" t="str">
        <f>IF(P674&lt;'PlayerGrades+'!$AG$21,"F-",IF(P674&lt;'PlayerGrades+'!$AG$20,"F",IF(P674&lt;'PlayerGrades+'!$AG$19,"F+",IF(P674&lt;'PlayerGrades+'!$AG$18,"E-",IF(P674&lt;'PlayerGrades+'!$AG$17,"E",IF(P674&lt;'PlayerGrades+'!$AG$16,"E+",IF(P674&lt;'PlayerGrades+'!$AG$15,"D-",IF(P674&lt;'PlayerGrades+'!$AG$14,"D",IF(P674&lt;'PlayerGrades+'!$AG$13,"D+",IF(P674&lt;'PlayerGrades+'!$AG$12,"C-",IF(P674&lt;'PlayerGrades+'!$AG$11,"C",IF(P674&lt;'PlayerGrades+'!$AG$10,"C+",IF(P674&lt;'PlayerGrades+'!$AG$9,"B-",IF(P674&lt;'PlayerGrades+'!$AG$8,"B",IF(P674&lt;'PlayerGrades+'!$AG$7,"B+",IF(P674&lt;'PlayerGrades+'!$AG$6,"A-",IF(P674&lt;'PlayerGrades+'!$AG$5,"A",IF(P674&lt;'PlayerGrades+'!$AG$4,"A+",IF(P674&lt;'PlayerGrades+'!$AG$3,"S-",IF(P674&lt;'PlayerGrades+'!$AG$2,"S","S+"))))))))))))))))))))</f>
        <v>#DIV/0!</v>
      </c>
      <c r="R674" s="1423" t="str">
        <f t="shared" si="19"/>
        <v>#REF!</v>
      </c>
      <c r="S674" s="1423" t="str">
        <f>IF(R674&lt;'PlayerGrades+'!$AH$21,"F-",IF(R674&lt;'PlayerGrades+'!$AH$20,"F",IF(R674&lt;'PlayerGrades+'!$AH$19,"F+",IF(R674&lt;'PlayerGrades+'!$AH$18,"E-",IF(R674&lt;'PlayerGrades+'!$AH$17,"E",IF(R674&lt;'PlayerGrades+'!$AH$16,"E+",IF(R674&lt;'PlayerGrades+'!$AH$15,"D-",IF(R674&lt;'PlayerGrades+'!$AH$14,"D",IF(R674&lt;'PlayerGrades+'!$AH$13,"D+",IF(R674&lt;'PlayerGrades+'!$AH$12,"C-",IF(R674&lt;'PlayerGrades+'!$AH$11,"C",IF(R674&lt;'PlayerGrades+'!$AH$10,"C+",IF(R674&lt;'PlayerGrades+'!$AH$9,"B-",IF(R674&lt;'PlayerGrades+'!$AH$8,"B",IF(R674&lt;'PlayerGrades+'!$AH$7,"B+",IF(R674&lt;'PlayerGrades+'!$AH$6,"A-",IF(R674&lt;'PlayerGrades+'!$AH$5,"A",IF(R674&lt;'PlayerGrades+'!$AH$4,"A+",IF(R674&lt;'PlayerGrades+'!$AH$3,"S-",IF(R674&lt;'PlayerGrades+'!$AH$2,"S","S+"))))))))))))))))))))</f>
        <v>#REF!</v>
      </c>
      <c r="T674" s="1423" t="str">
        <f t="shared" si="20"/>
        <v>#REF!</v>
      </c>
      <c r="U674" s="1423" t="str">
        <f>IF(T674&lt;'PlayerGrades+'!$AI$21,"F-",IF(T674&lt;'PlayerGrades+'!$AI$20,"F",IF(T674&lt;'PlayerGrades+'!$AI$19,"F+",IF(T674&lt;'PlayerGrades+'!$AI$18,"E-",IF(T674&lt;'PlayerGrades+'!$AI$17,"E",IF(T674&lt;'PlayerGrades+'!$AI$16,"E+",IF(T674&lt;'PlayerGrades+'!$AI$15,"D-",IF(T674&lt;'PlayerGrades+'!$AI$14,"D",IF(T674&lt;'PlayerGrades+'!$AI$13,"D+",IF(T674&lt;'PlayerGrades+'!$AI$12,"C-",IF(T674&lt;'PlayerGrades+'!$AI$11,"C",IF(T674&lt;'PlayerGrades+'!$AI$10,"C+",IF(T674&lt;'PlayerGrades+'!$AI$9,"B-",IF(T674&lt;'PlayerGrades+'!$AI$8,"B",IF(T674&lt;'PlayerGrades+'!$AI$7,"B+",IF(T674&lt;'PlayerGrades+'!$AI$6,"A-",IF(T674&lt;'PlayerGrades+'!$AI$5,"A",IF(T674&lt;'PlayerGrades+'!$AI$4,"A+",IF(T674&lt;'PlayerGrades+'!$AI$3,"S-",IF(T674&lt;'PlayerGrades+'!$AI$2,"S","S+"))))))))))))))))))))</f>
        <v>#REF!</v>
      </c>
      <c r="V674" s="1379"/>
      <c r="W674" s="1379"/>
      <c r="X674" s="1379"/>
      <c r="Y674" s="1379"/>
      <c r="Z674" s="1379"/>
      <c r="AA674" s="1379"/>
      <c r="AB674" s="1379"/>
      <c r="AC674" s="1390"/>
      <c r="AD674" s="1379"/>
      <c r="AE674" s="1379"/>
      <c r="AF674" s="1379"/>
      <c r="AG674" s="1379"/>
      <c r="AH674" s="1379"/>
      <c r="AI674" s="1379"/>
      <c r="AJ674" s="1379"/>
      <c r="AK674" s="1379"/>
      <c r="AL674" s="1379"/>
      <c r="AM674" s="1379"/>
      <c r="AN674" s="1379"/>
      <c r="AO674" s="1379"/>
      <c r="AP674" s="1379"/>
      <c r="AQ674" s="1379"/>
      <c r="AR674" s="1379"/>
      <c r="AS674" s="1379"/>
      <c r="AT674" s="1379"/>
      <c r="AU674" s="1379"/>
      <c r="AV674" s="1379"/>
      <c r="AW674" s="1379"/>
      <c r="AX674" s="1379"/>
      <c r="AY674" s="1379"/>
      <c r="AZ674" s="1379"/>
    </row>
    <row r="675">
      <c r="A675" s="1391"/>
      <c r="B675" s="1421" t="str">
        <f>IF(C675&lt;'PlayerGrades+'!$Y$44,"F-",IF(C675&lt;'PlayerGrades+'!$Y$43,"F",IF(C675&lt;'PlayerGrades+'!$Y$42,"F+",IF(C675&lt;'PlayerGrades+'!$Y$41,"E-",IF(C675&lt;'PlayerGrades+'!$Y$40,"E",IF(C675&lt;'PlayerGrades+'!$Y$39,"E+",IF(C675&lt;'PlayerGrades+'!$Y$38,"D-",IF(C675&lt;'PlayerGrades+'!$Y$37,"D",IF(C675&lt;'PlayerGrades+'!$Y$36,"D+",IF(C675&lt;'PlayerGrades+'!$Y$35,"C-",IF(C675&lt;'PlayerGrades+'!$Y$34,"C",IF(C675&lt;'PlayerGrades+'!$Y$33,"C+",IF(C675&lt;'PlayerGrades+'!$Y$32,"B-",IF(C675&lt;'PlayerGrades+'!$Y$31,"B",IF(C675&lt;'PlayerGrades+'!$Y$30,"B+",IF(C675&lt;'PlayerGrades+'!$Y$29,"A-",IF(C675&lt;'PlayerGrades+'!$Y$28,"A",IF(C675&lt;'PlayerGrades+'!$Y$27,"A+",IF(C675&lt;'PlayerGrades+'!$Y$26,"S-",IF(C675&lt;'PlayerGrades+'!$Y$25,"S","S+"))))))))))))))))))))</f>
        <v>#DIV/0!</v>
      </c>
      <c r="C675" s="1422" t="str">
        <f>('PlayerGrades+'!$Y$47*(VLOOKUP(E675, 'PlayerGrades+'!$X$3:$Y$23, 2, FALSE)))+('PlayerGrades+'!$Y$48*(VLOOKUP(G675, 'PlayerGrades+'!$X$3:$Y$23, 2, FALSE)))+('PlayerGrades+'!$Y$49*(VLOOKUP(I675, 'PlayerGrades+'!$X$3:$Y$23, 2, FALSE)))+('PlayerGrades+'!$Y$50*(VLOOKUP(K675, 'PlayerGrades+'!$X$3:$Y$23, 2, FALSE)))+('PlayerGrades+'!$Y$51*(VLOOKUP(M675, 'PlayerGrades+'!$X$3:$Y$23, 2, FALSE)))+('PlayerGrades+'!$Y$52*(VLOOKUP(O675, 'PlayerGrades+'!$X$3:$Y$23, 2, FALSE)))+('PlayerGrades+'!$Y$53*(VLOOKUP(Q675, 'PlayerGrades+'!$X$3:$Y$23, 2, FALSE)))+('PlayerGrades+'!$Y$54*(VLOOKUP(S675, 'PlayerGrades+'!$X$3:$Y$23, 2, FALSE)))+('PlayerGrades+'!$Y$55*(VLOOKUP(U675, 'PlayerGrades+'!$X$3:$Y$23, 2, FALSE)))</f>
        <v>#DIV/0!</v>
      </c>
      <c r="D675" s="1423" t="str">
        <f t="shared" si="12"/>
        <v>#DIV/0!</v>
      </c>
      <c r="E675" s="1423" t="str">
        <f>IF(D675&lt;'PlayerGrades+'!$AA$21,"F-",IF(D675&lt;'PlayerGrades+'!$AA$20,"F",IF(D675&lt;'PlayerGrades+'!$AA$19,"F+",IF(D675&lt;'PlayerGrades+'!$AA$18,"E-",IF(D675&lt;'PlayerGrades+'!$AA$17,"E",IF(D675&lt;'PlayerGrades+'!$AA$16,"E+",IF(D675&lt;'PlayerGrades+'!$AA$15,"D-",IF(D675&lt;'PlayerGrades+'!$AA$14,"D",IF(D675&lt;'PlayerGrades+'!$AA$13,"D+",IF(D675&lt;'PlayerGrades+'!$AA$12,"C-",IF(D675&lt;'PlayerGrades+'!$AA$11,"C",IF(D675&lt;'PlayerGrades+'!$AA$10,"C+",IF(D675&lt;'PlayerGrades+'!$AA$9,"B-",IF(D675&lt;'PlayerGrades+'!$AA$8,"B",IF(D675&lt;'PlayerGrades+'!$AA$7,"B+",IF(D675&lt;'PlayerGrades+'!$AA$6,"A-",IF(D675&lt;'PlayerGrades+'!$AA$5,"A",IF(D675&lt;'PlayerGrades+'!$AA$4,"A+",IF(D675&lt;'PlayerGrades+'!$AA$3,"S-",IF(D675&lt;'PlayerGrades+'!$AA$2,"S","S+"))))))))))))))))))))</f>
        <v>#DIV/0!</v>
      </c>
      <c r="F675" s="1423" t="str">
        <f t="shared" si="13"/>
        <v>#DIV/0!</v>
      </c>
      <c r="G675" s="1423" t="str">
        <f>IF(F675&lt;'PlayerGrades+'!$AB$21,"F-",IF(F675&lt;'PlayerGrades+'!$AB$20,"F",IF(F675&lt;'PlayerGrades+'!$AB$19,"F+",IF(F675&lt;'PlayerGrades+'!$AB$18,"E-",IF(F675&lt;'PlayerGrades+'!$AB$17,"E",IF(F675&lt;'PlayerGrades+'!$AB$16,"E+",IF(F675&lt;'PlayerGrades+'!$AB$15,"D-",IF(F675&lt;'PlayerGrades+'!$AB$14,"D",IF(F675&lt;'PlayerGrades+'!$AB$13,"D+",IF(F675&lt;'PlayerGrades+'!$AB$12,"C-",IF(F675&lt;'PlayerGrades+'!$AB$11,"C",IF(F675&lt;'PlayerGrades+'!$AB$10,"C+",IF(F675&lt;'PlayerGrades+'!$AB$9,"B-",IF(F675&lt;'PlayerGrades+'!$AB$8,"B",IF(F675&lt;'PlayerGrades+'!$AB$7,"B+",IF(F675&lt;'PlayerGrades+'!$AB$6,"A-",IF(F675&lt;'PlayerGrades+'!$AB$5,"A",IF(F675&lt;'PlayerGrades+'!$AB$4,"A+",IF(F675&lt;'PlayerGrades+'!$AB$3,"S-",IF(F675&lt;'PlayerGrades+'!$AB$2,"S","S+"))))))))))))))))))))</f>
        <v>#DIV/0!</v>
      </c>
      <c r="H675" s="1423" t="str">
        <f t="shared" si="14"/>
        <v>#DIV/0!</v>
      </c>
      <c r="I675" s="1423" t="str">
        <f>IF(H675&lt;'PlayerGrades+'!$AC$21,"F-",IF(H675&lt;'PlayerGrades+'!$AC$20,"F",IF(H675&lt;'PlayerGrades+'!$AC$19,"F+",IF(H675&lt;'PlayerGrades+'!$AC$18,"E-",IF(H675&lt;'PlayerGrades+'!$AC$17,"E",IF(H675&lt;'PlayerGrades+'!$AC$16,"E+",IF(H675&lt;'PlayerGrades+'!$AC$15,"D-",IF(H675&lt;'PlayerGrades+'!$AC$14,"D",IF(H675&lt;'PlayerGrades+'!$AC$13,"D+",IF(H675&lt;'PlayerGrades+'!$AC$12,"C-",IF(H675&lt;'PlayerGrades+'!$AC$11,"C",IF(H675&lt;'PlayerGrades+'!$AC$10,"C+",IF(H675&lt;'PlayerGrades+'!$AC$9,"B-",IF(H675&lt;'PlayerGrades+'!$AC$8,"B",IF(H675&lt;'PlayerGrades+'!$AC$7,"B+",IF(H675&lt;'PlayerGrades+'!$AC$6,"A-",IF(H675&lt;'PlayerGrades+'!$AC$5,"A",IF(H675&lt;'PlayerGrades+'!$AC$4,"A+",IF(H675&lt;'PlayerGrades+'!$AC$3,"S-",IF(H675&lt;'PlayerGrades+'!$AC$2,"S","S+"))))))))))))))))))))</f>
        <v>#DIV/0!</v>
      </c>
      <c r="J675" s="1423" t="str">
        <f t="shared" si="15"/>
        <v>#DIV/0!</v>
      </c>
      <c r="K675" s="1423" t="str">
        <f>IF(J675&lt;'PlayerGrades+'!$AD$21,"F-",IF(J675&lt;'PlayerGrades+'!$AD$20,"F",IF(J675&lt;'PlayerGrades+'!$AD$19,"F+",IF(J675&lt;'PlayerGrades+'!$AD$18,"E-",IF(J675&lt;'PlayerGrades+'!$AD$17,"E",IF(J675&lt;'PlayerGrades+'!$AD$16,"E+",IF(J675&lt;'PlayerGrades+'!$AD$15,"D-",IF(J675&lt;'PlayerGrades+'!$AD$14,"D",IF(J675&lt;'PlayerGrades+'!$AD$13,"D+",IF(J675&lt;'PlayerGrades+'!$AD$12,"C-",IF(J675&lt;'PlayerGrades+'!$AD$11,"C",IF(J675&lt;'PlayerGrades+'!$AD$10,"C+",IF(J675&lt;'PlayerGrades+'!$AD$9,"B-",IF(J675&lt;'PlayerGrades+'!$AD$8,"B",IF(J675&lt;'PlayerGrades+'!$AD$7,"B+",IF(J675&lt;'PlayerGrades+'!$AD$6,"A-",IF(J675&lt;'PlayerGrades+'!$AD$5,"A",IF(J675&lt;'PlayerGrades+'!$AD$4,"A+",IF(J675&lt;'PlayerGrades+'!$AD$3,"S-",IF(J675&lt;'PlayerGrades+'!$AD$2,"S","S+"))))))))))))))))))))</f>
        <v>#DIV/0!</v>
      </c>
      <c r="L675" s="1176" t="str">
        <f t="shared" si="16"/>
        <v>#DIV/0!</v>
      </c>
      <c r="M675" s="992" t="str">
        <f>IF(L675&lt;'PlayerGrades+'!$AE$21,"F-",IF(L675&lt;'PlayerGrades+'!$AE$20,"F",IF(L675&lt;'PlayerGrades+'!$AE$19,"F+",IF(L675&lt;'PlayerGrades+'!$AE$18,"E-",IF(L675&lt;'PlayerGrades+'!$AE$17,"E",IF(L675&lt;'PlayerGrades+'!$AE$16,"E+",IF(L675&lt;'PlayerGrades+'!$AE$15,"D-",IF(L675&lt;'PlayerGrades+'!$AE$14,"D",IF(L675&lt;'PlayerGrades+'!$AE$13,"D+",IF(L675&lt;'PlayerGrades+'!$AE$12,"C-",IF(L675&lt;'PlayerGrades+'!$AE$11,"C",IF(L675&lt;'PlayerGrades+'!$AE$10,"C+",IF(L675&lt;'PlayerGrades+'!$AE$9,"B-",IF(L675&lt;'PlayerGrades+'!$AE$8,"B",IF(L675&lt;'PlayerGrades+'!$AE$7,"B+",IF(L675&lt;'PlayerGrades+'!$AE$6,"A-",IF(L675&lt;'PlayerGrades+'!$AE$5,"A",IF(L675&lt;'PlayerGrades+'!$AE$4,"A+",IF(L675&lt;'PlayerGrades+'!$AE$3,"S-",IF(L675&lt;'PlayerGrades+'!$AE$2,"S","S+"))))))))))))))))))))</f>
        <v>#DIV/0!</v>
      </c>
      <c r="N675" s="1423" t="str">
        <f t="shared" si="17"/>
        <v>#DIV/0!</v>
      </c>
      <c r="O675" s="1423" t="str">
        <f>IF(N675&lt;'PlayerGrades+'!$AF$21,"F-",IF(N675&lt;'PlayerGrades+'!$AF$20,"F",IF(N675&lt;'PlayerGrades+'!$AF$19,"F+",IF(N675&lt;'PlayerGrades+'!$AF$18,"E-",IF(N675&lt;'PlayerGrades+'!$AF$17,"E",IF(N675&lt;'PlayerGrades+'!$AF$16,"E+",IF(N675&lt;'PlayerGrades+'!$AF$15,"D-",IF(N675&lt;'PlayerGrades+'!$AF$14,"D",IF(N675&lt;'PlayerGrades+'!$AF$13,"D+",IF(N675&lt;'PlayerGrades+'!$AF$12,"C-",IF(N675&lt;'PlayerGrades+'!$AF$11,"C",IF(N675&lt;'PlayerGrades+'!$AF$10,"C+",IF(N675&lt;'PlayerGrades+'!$AF$9,"B-",IF(N675&lt;'PlayerGrades+'!$AF$8,"B",IF(N675&lt;'PlayerGrades+'!$AF$7,"B+",IF(N675&lt;'PlayerGrades+'!$AF$6,"A-",IF(N675&lt;'PlayerGrades+'!$AF$5,"A",IF(N675&lt;'PlayerGrades+'!$AF$4,"A+",IF(N675&lt;'PlayerGrades+'!$AF$3,"S-",IF(N675&lt;'PlayerGrades+'!$AF$2,"S","S+"))))))))))))))))))))</f>
        <v>#DIV/0!</v>
      </c>
      <c r="P675" s="1423" t="str">
        <f t="shared" si="18"/>
        <v>#DIV/0!</v>
      </c>
      <c r="Q675" s="1423" t="str">
        <f>IF(P675&lt;'PlayerGrades+'!$AG$21,"F-",IF(P675&lt;'PlayerGrades+'!$AG$20,"F",IF(P675&lt;'PlayerGrades+'!$AG$19,"F+",IF(P675&lt;'PlayerGrades+'!$AG$18,"E-",IF(P675&lt;'PlayerGrades+'!$AG$17,"E",IF(P675&lt;'PlayerGrades+'!$AG$16,"E+",IF(P675&lt;'PlayerGrades+'!$AG$15,"D-",IF(P675&lt;'PlayerGrades+'!$AG$14,"D",IF(P675&lt;'PlayerGrades+'!$AG$13,"D+",IF(P675&lt;'PlayerGrades+'!$AG$12,"C-",IF(P675&lt;'PlayerGrades+'!$AG$11,"C",IF(P675&lt;'PlayerGrades+'!$AG$10,"C+",IF(P675&lt;'PlayerGrades+'!$AG$9,"B-",IF(P675&lt;'PlayerGrades+'!$AG$8,"B",IF(P675&lt;'PlayerGrades+'!$AG$7,"B+",IF(P675&lt;'PlayerGrades+'!$AG$6,"A-",IF(P675&lt;'PlayerGrades+'!$AG$5,"A",IF(P675&lt;'PlayerGrades+'!$AG$4,"A+",IF(P675&lt;'PlayerGrades+'!$AG$3,"S-",IF(P675&lt;'PlayerGrades+'!$AG$2,"S","S+"))))))))))))))))))))</f>
        <v>#DIV/0!</v>
      </c>
      <c r="R675" s="1423" t="str">
        <f t="shared" si="19"/>
        <v>#REF!</v>
      </c>
      <c r="S675" s="1423" t="str">
        <f>IF(R675&lt;'PlayerGrades+'!$AH$21,"F-",IF(R675&lt;'PlayerGrades+'!$AH$20,"F",IF(R675&lt;'PlayerGrades+'!$AH$19,"F+",IF(R675&lt;'PlayerGrades+'!$AH$18,"E-",IF(R675&lt;'PlayerGrades+'!$AH$17,"E",IF(R675&lt;'PlayerGrades+'!$AH$16,"E+",IF(R675&lt;'PlayerGrades+'!$AH$15,"D-",IF(R675&lt;'PlayerGrades+'!$AH$14,"D",IF(R675&lt;'PlayerGrades+'!$AH$13,"D+",IF(R675&lt;'PlayerGrades+'!$AH$12,"C-",IF(R675&lt;'PlayerGrades+'!$AH$11,"C",IF(R675&lt;'PlayerGrades+'!$AH$10,"C+",IF(R675&lt;'PlayerGrades+'!$AH$9,"B-",IF(R675&lt;'PlayerGrades+'!$AH$8,"B",IF(R675&lt;'PlayerGrades+'!$AH$7,"B+",IF(R675&lt;'PlayerGrades+'!$AH$6,"A-",IF(R675&lt;'PlayerGrades+'!$AH$5,"A",IF(R675&lt;'PlayerGrades+'!$AH$4,"A+",IF(R675&lt;'PlayerGrades+'!$AH$3,"S-",IF(R675&lt;'PlayerGrades+'!$AH$2,"S","S+"))))))))))))))))))))</f>
        <v>#REF!</v>
      </c>
      <c r="T675" s="1423" t="str">
        <f t="shared" si="20"/>
        <v>#REF!</v>
      </c>
      <c r="U675" s="1423" t="str">
        <f>IF(T675&lt;'PlayerGrades+'!$AI$21,"F-",IF(T675&lt;'PlayerGrades+'!$AI$20,"F",IF(T675&lt;'PlayerGrades+'!$AI$19,"F+",IF(T675&lt;'PlayerGrades+'!$AI$18,"E-",IF(T675&lt;'PlayerGrades+'!$AI$17,"E",IF(T675&lt;'PlayerGrades+'!$AI$16,"E+",IF(T675&lt;'PlayerGrades+'!$AI$15,"D-",IF(T675&lt;'PlayerGrades+'!$AI$14,"D",IF(T675&lt;'PlayerGrades+'!$AI$13,"D+",IF(T675&lt;'PlayerGrades+'!$AI$12,"C-",IF(T675&lt;'PlayerGrades+'!$AI$11,"C",IF(T675&lt;'PlayerGrades+'!$AI$10,"C+",IF(T675&lt;'PlayerGrades+'!$AI$9,"B-",IF(T675&lt;'PlayerGrades+'!$AI$8,"B",IF(T675&lt;'PlayerGrades+'!$AI$7,"B+",IF(T675&lt;'PlayerGrades+'!$AI$6,"A-",IF(T675&lt;'PlayerGrades+'!$AI$5,"A",IF(T675&lt;'PlayerGrades+'!$AI$4,"A+",IF(T675&lt;'PlayerGrades+'!$AI$3,"S-",IF(T675&lt;'PlayerGrades+'!$AI$2,"S","S+"))))))))))))))))))))</f>
        <v>#REF!</v>
      </c>
      <c r="AC675" s="1392"/>
    </row>
    <row r="676">
      <c r="A676" s="1391"/>
      <c r="B676" s="1421" t="str">
        <f>IF(C676&lt;'PlayerGrades+'!$Y$44,"F-",IF(C676&lt;'PlayerGrades+'!$Y$43,"F",IF(C676&lt;'PlayerGrades+'!$Y$42,"F+",IF(C676&lt;'PlayerGrades+'!$Y$41,"E-",IF(C676&lt;'PlayerGrades+'!$Y$40,"E",IF(C676&lt;'PlayerGrades+'!$Y$39,"E+",IF(C676&lt;'PlayerGrades+'!$Y$38,"D-",IF(C676&lt;'PlayerGrades+'!$Y$37,"D",IF(C676&lt;'PlayerGrades+'!$Y$36,"D+",IF(C676&lt;'PlayerGrades+'!$Y$35,"C-",IF(C676&lt;'PlayerGrades+'!$Y$34,"C",IF(C676&lt;'PlayerGrades+'!$Y$33,"C+",IF(C676&lt;'PlayerGrades+'!$Y$32,"B-",IF(C676&lt;'PlayerGrades+'!$Y$31,"B",IF(C676&lt;'PlayerGrades+'!$Y$30,"B+",IF(C676&lt;'PlayerGrades+'!$Y$29,"A-",IF(C676&lt;'PlayerGrades+'!$Y$28,"A",IF(C676&lt;'PlayerGrades+'!$Y$27,"A+",IF(C676&lt;'PlayerGrades+'!$Y$26,"S-",IF(C676&lt;'PlayerGrades+'!$Y$25,"S","S+"))))))))))))))))))))</f>
        <v>#DIV/0!</v>
      </c>
      <c r="C676" s="1422" t="str">
        <f>('PlayerGrades+'!$Y$47*(VLOOKUP(E676, 'PlayerGrades+'!$X$3:$Y$23, 2, FALSE)))+('PlayerGrades+'!$Y$48*(VLOOKUP(G676, 'PlayerGrades+'!$X$3:$Y$23, 2, FALSE)))+('PlayerGrades+'!$Y$49*(VLOOKUP(I676, 'PlayerGrades+'!$X$3:$Y$23, 2, FALSE)))+('PlayerGrades+'!$Y$50*(VLOOKUP(K676, 'PlayerGrades+'!$X$3:$Y$23, 2, FALSE)))+('PlayerGrades+'!$Y$51*(VLOOKUP(M676, 'PlayerGrades+'!$X$3:$Y$23, 2, FALSE)))+('PlayerGrades+'!$Y$52*(VLOOKUP(O676, 'PlayerGrades+'!$X$3:$Y$23, 2, FALSE)))+('PlayerGrades+'!$Y$53*(VLOOKUP(Q676, 'PlayerGrades+'!$X$3:$Y$23, 2, FALSE)))+('PlayerGrades+'!$Y$54*(VLOOKUP(S676, 'PlayerGrades+'!$X$3:$Y$23, 2, FALSE)))+('PlayerGrades+'!$Y$55*(VLOOKUP(U676, 'PlayerGrades+'!$X$3:$Y$23, 2, FALSE)))</f>
        <v>#DIV/0!</v>
      </c>
      <c r="D676" s="1423" t="str">
        <f t="shared" si="12"/>
        <v>#DIV/0!</v>
      </c>
      <c r="E676" s="1423" t="str">
        <f>IF(D676&lt;'PlayerGrades+'!$AA$21,"F-",IF(D676&lt;'PlayerGrades+'!$AA$20,"F",IF(D676&lt;'PlayerGrades+'!$AA$19,"F+",IF(D676&lt;'PlayerGrades+'!$AA$18,"E-",IF(D676&lt;'PlayerGrades+'!$AA$17,"E",IF(D676&lt;'PlayerGrades+'!$AA$16,"E+",IF(D676&lt;'PlayerGrades+'!$AA$15,"D-",IF(D676&lt;'PlayerGrades+'!$AA$14,"D",IF(D676&lt;'PlayerGrades+'!$AA$13,"D+",IF(D676&lt;'PlayerGrades+'!$AA$12,"C-",IF(D676&lt;'PlayerGrades+'!$AA$11,"C",IF(D676&lt;'PlayerGrades+'!$AA$10,"C+",IF(D676&lt;'PlayerGrades+'!$AA$9,"B-",IF(D676&lt;'PlayerGrades+'!$AA$8,"B",IF(D676&lt;'PlayerGrades+'!$AA$7,"B+",IF(D676&lt;'PlayerGrades+'!$AA$6,"A-",IF(D676&lt;'PlayerGrades+'!$AA$5,"A",IF(D676&lt;'PlayerGrades+'!$AA$4,"A+",IF(D676&lt;'PlayerGrades+'!$AA$3,"S-",IF(D676&lt;'PlayerGrades+'!$AA$2,"S","S+"))))))))))))))))))))</f>
        <v>#DIV/0!</v>
      </c>
      <c r="F676" s="1423" t="str">
        <f t="shared" si="13"/>
        <v>#DIV/0!</v>
      </c>
      <c r="G676" s="1423" t="str">
        <f>IF(F676&lt;'PlayerGrades+'!$AB$21,"F-",IF(F676&lt;'PlayerGrades+'!$AB$20,"F",IF(F676&lt;'PlayerGrades+'!$AB$19,"F+",IF(F676&lt;'PlayerGrades+'!$AB$18,"E-",IF(F676&lt;'PlayerGrades+'!$AB$17,"E",IF(F676&lt;'PlayerGrades+'!$AB$16,"E+",IF(F676&lt;'PlayerGrades+'!$AB$15,"D-",IF(F676&lt;'PlayerGrades+'!$AB$14,"D",IF(F676&lt;'PlayerGrades+'!$AB$13,"D+",IF(F676&lt;'PlayerGrades+'!$AB$12,"C-",IF(F676&lt;'PlayerGrades+'!$AB$11,"C",IF(F676&lt;'PlayerGrades+'!$AB$10,"C+",IF(F676&lt;'PlayerGrades+'!$AB$9,"B-",IF(F676&lt;'PlayerGrades+'!$AB$8,"B",IF(F676&lt;'PlayerGrades+'!$AB$7,"B+",IF(F676&lt;'PlayerGrades+'!$AB$6,"A-",IF(F676&lt;'PlayerGrades+'!$AB$5,"A",IF(F676&lt;'PlayerGrades+'!$AB$4,"A+",IF(F676&lt;'PlayerGrades+'!$AB$3,"S-",IF(F676&lt;'PlayerGrades+'!$AB$2,"S","S+"))))))))))))))))))))</f>
        <v>#DIV/0!</v>
      </c>
      <c r="H676" s="1423" t="str">
        <f t="shared" si="14"/>
        <v>#DIV/0!</v>
      </c>
      <c r="I676" s="1423" t="str">
        <f>IF(H676&lt;'PlayerGrades+'!$AC$21,"F-",IF(H676&lt;'PlayerGrades+'!$AC$20,"F",IF(H676&lt;'PlayerGrades+'!$AC$19,"F+",IF(H676&lt;'PlayerGrades+'!$AC$18,"E-",IF(H676&lt;'PlayerGrades+'!$AC$17,"E",IF(H676&lt;'PlayerGrades+'!$AC$16,"E+",IF(H676&lt;'PlayerGrades+'!$AC$15,"D-",IF(H676&lt;'PlayerGrades+'!$AC$14,"D",IF(H676&lt;'PlayerGrades+'!$AC$13,"D+",IF(H676&lt;'PlayerGrades+'!$AC$12,"C-",IF(H676&lt;'PlayerGrades+'!$AC$11,"C",IF(H676&lt;'PlayerGrades+'!$AC$10,"C+",IF(H676&lt;'PlayerGrades+'!$AC$9,"B-",IF(H676&lt;'PlayerGrades+'!$AC$8,"B",IF(H676&lt;'PlayerGrades+'!$AC$7,"B+",IF(H676&lt;'PlayerGrades+'!$AC$6,"A-",IF(H676&lt;'PlayerGrades+'!$AC$5,"A",IF(H676&lt;'PlayerGrades+'!$AC$4,"A+",IF(H676&lt;'PlayerGrades+'!$AC$3,"S-",IF(H676&lt;'PlayerGrades+'!$AC$2,"S","S+"))))))))))))))))))))</f>
        <v>#DIV/0!</v>
      </c>
      <c r="J676" s="1423" t="str">
        <f t="shared" si="15"/>
        <v>#DIV/0!</v>
      </c>
      <c r="K676" s="1423" t="str">
        <f>IF(J676&lt;'PlayerGrades+'!$AD$21,"F-",IF(J676&lt;'PlayerGrades+'!$AD$20,"F",IF(J676&lt;'PlayerGrades+'!$AD$19,"F+",IF(J676&lt;'PlayerGrades+'!$AD$18,"E-",IF(J676&lt;'PlayerGrades+'!$AD$17,"E",IF(J676&lt;'PlayerGrades+'!$AD$16,"E+",IF(J676&lt;'PlayerGrades+'!$AD$15,"D-",IF(J676&lt;'PlayerGrades+'!$AD$14,"D",IF(J676&lt;'PlayerGrades+'!$AD$13,"D+",IF(J676&lt;'PlayerGrades+'!$AD$12,"C-",IF(J676&lt;'PlayerGrades+'!$AD$11,"C",IF(J676&lt;'PlayerGrades+'!$AD$10,"C+",IF(J676&lt;'PlayerGrades+'!$AD$9,"B-",IF(J676&lt;'PlayerGrades+'!$AD$8,"B",IF(J676&lt;'PlayerGrades+'!$AD$7,"B+",IF(J676&lt;'PlayerGrades+'!$AD$6,"A-",IF(J676&lt;'PlayerGrades+'!$AD$5,"A",IF(J676&lt;'PlayerGrades+'!$AD$4,"A+",IF(J676&lt;'PlayerGrades+'!$AD$3,"S-",IF(J676&lt;'PlayerGrades+'!$AD$2,"S","S+"))))))))))))))))))))</f>
        <v>#DIV/0!</v>
      </c>
      <c r="L676" s="1176" t="str">
        <f t="shared" si="16"/>
        <v>#DIV/0!</v>
      </c>
      <c r="M676" s="992" t="str">
        <f>IF(L676&lt;'PlayerGrades+'!$AE$21,"F-",IF(L676&lt;'PlayerGrades+'!$AE$20,"F",IF(L676&lt;'PlayerGrades+'!$AE$19,"F+",IF(L676&lt;'PlayerGrades+'!$AE$18,"E-",IF(L676&lt;'PlayerGrades+'!$AE$17,"E",IF(L676&lt;'PlayerGrades+'!$AE$16,"E+",IF(L676&lt;'PlayerGrades+'!$AE$15,"D-",IF(L676&lt;'PlayerGrades+'!$AE$14,"D",IF(L676&lt;'PlayerGrades+'!$AE$13,"D+",IF(L676&lt;'PlayerGrades+'!$AE$12,"C-",IF(L676&lt;'PlayerGrades+'!$AE$11,"C",IF(L676&lt;'PlayerGrades+'!$AE$10,"C+",IF(L676&lt;'PlayerGrades+'!$AE$9,"B-",IF(L676&lt;'PlayerGrades+'!$AE$8,"B",IF(L676&lt;'PlayerGrades+'!$AE$7,"B+",IF(L676&lt;'PlayerGrades+'!$AE$6,"A-",IF(L676&lt;'PlayerGrades+'!$AE$5,"A",IF(L676&lt;'PlayerGrades+'!$AE$4,"A+",IF(L676&lt;'PlayerGrades+'!$AE$3,"S-",IF(L676&lt;'PlayerGrades+'!$AE$2,"S","S+"))))))))))))))))))))</f>
        <v>#DIV/0!</v>
      </c>
      <c r="N676" s="1423" t="str">
        <f t="shared" si="17"/>
        <v>#DIV/0!</v>
      </c>
      <c r="O676" s="1423" t="str">
        <f>IF(N676&lt;'PlayerGrades+'!$AF$21,"F-",IF(N676&lt;'PlayerGrades+'!$AF$20,"F",IF(N676&lt;'PlayerGrades+'!$AF$19,"F+",IF(N676&lt;'PlayerGrades+'!$AF$18,"E-",IF(N676&lt;'PlayerGrades+'!$AF$17,"E",IF(N676&lt;'PlayerGrades+'!$AF$16,"E+",IF(N676&lt;'PlayerGrades+'!$AF$15,"D-",IF(N676&lt;'PlayerGrades+'!$AF$14,"D",IF(N676&lt;'PlayerGrades+'!$AF$13,"D+",IF(N676&lt;'PlayerGrades+'!$AF$12,"C-",IF(N676&lt;'PlayerGrades+'!$AF$11,"C",IF(N676&lt;'PlayerGrades+'!$AF$10,"C+",IF(N676&lt;'PlayerGrades+'!$AF$9,"B-",IF(N676&lt;'PlayerGrades+'!$AF$8,"B",IF(N676&lt;'PlayerGrades+'!$AF$7,"B+",IF(N676&lt;'PlayerGrades+'!$AF$6,"A-",IF(N676&lt;'PlayerGrades+'!$AF$5,"A",IF(N676&lt;'PlayerGrades+'!$AF$4,"A+",IF(N676&lt;'PlayerGrades+'!$AF$3,"S-",IF(N676&lt;'PlayerGrades+'!$AF$2,"S","S+"))))))))))))))))))))</f>
        <v>#DIV/0!</v>
      </c>
      <c r="P676" s="1423" t="str">
        <f t="shared" si="18"/>
        <v>#DIV/0!</v>
      </c>
      <c r="Q676" s="1423" t="str">
        <f>IF(P676&lt;'PlayerGrades+'!$AG$21,"F-",IF(P676&lt;'PlayerGrades+'!$AG$20,"F",IF(P676&lt;'PlayerGrades+'!$AG$19,"F+",IF(P676&lt;'PlayerGrades+'!$AG$18,"E-",IF(P676&lt;'PlayerGrades+'!$AG$17,"E",IF(P676&lt;'PlayerGrades+'!$AG$16,"E+",IF(P676&lt;'PlayerGrades+'!$AG$15,"D-",IF(P676&lt;'PlayerGrades+'!$AG$14,"D",IF(P676&lt;'PlayerGrades+'!$AG$13,"D+",IF(P676&lt;'PlayerGrades+'!$AG$12,"C-",IF(P676&lt;'PlayerGrades+'!$AG$11,"C",IF(P676&lt;'PlayerGrades+'!$AG$10,"C+",IF(P676&lt;'PlayerGrades+'!$AG$9,"B-",IF(P676&lt;'PlayerGrades+'!$AG$8,"B",IF(P676&lt;'PlayerGrades+'!$AG$7,"B+",IF(P676&lt;'PlayerGrades+'!$AG$6,"A-",IF(P676&lt;'PlayerGrades+'!$AG$5,"A",IF(P676&lt;'PlayerGrades+'!$AG$4,"A+",IF(P676&lt;'PlayerGrades+'!$AG$3,"S-",IF(P676&lt;'PlayerGrades+'!$AG$2,"S","S+"))))))))))))))))))))</f>
        <v>#DIV/0!</v>
      </c>
      <c r="R676" s="1423" t="str">
        <f t="shared" si="19"/>
        <v>#REF!</v>
      </c>
      <c r="S676" s="1423" t="str">
        <f>IF(R676&lt;'PlayerGrades+'!$AH$21,"F-",IF(R676&lt;'PlayerGrades+'!$AH$20,"F",IF(R676&lt;'PlayerGrades+'!$AH$19,"F+",IF(R676&lt;'PlayerGrades+'!$AH$18,"E-",IF(R676&lt;'PlayerGrades+'!$AH$17,"E",IF(R676&lt;'PlayerGrades+'!$AH$16,"E+",IF(R676&lt;'PlayerGrades+'!$AH$15,"D-",IF(R676&lt;'PlayerGrades+'!$AH$14,"D",IF(R676&lt;'PlayerGrades+'!$AH$13,"D+",IF(R676&lt;'PlayerGrades+'!$AH$12,"C-",IF(R676&lt;'PlayerGrades+'!$AH$11,"C",IF(R676&lt;'PlayerGrades+'!$AH$10,"C+",IF(R676&lt;'PlayerGrades+'!$AH$9,"B-",IF(R676&lt;'PlayerGrades+'!$AH$8,"B",IF(R676&lt;'PlayerGrades+'!$AH$7,"B+",IF(R676&lt;'PlayerGrades+'!$AH$6,"A-",IF(R676&lt;'PlayerGrades+'!$AH$5,"A",IF(R676&lt;'PlayerGrades+'!$AH$4,"A+",IF(R676&lt;'PlayerGrades+'!$AH$3,"S-",IF(R676&lt;'PlayerGrades+'!$AH$2,"S","S+"))))))))))))))))))))</f>
        <v>#REF!</v>
      </c>
      <c r="T676" s="1423" t="str">
        <f t="shared" si="20"/>
        <v>#REF!</v>
      </c>
      <c r="U676" s="1423" t="str">
        <f>IF(T676&lt;'PlayerGrades+'!$AI$21,"F-",IF(T676&lt;'PlayerGrades+'!$AI$20,"F",IF(T676&lt;'PlayerGrades+'!$AI$19,"F+",IF(T676&lt;'PlayerGrades+'!$AI$18,"E-",IF(T676&lt;'PlayerGrades+'!$AI$17,"E",IF(T676&lt;'PlayerGrades+'!$AI$16,"E+",IF(T676&lt;'PlayerGrades+'!$AI$15,"D-",IF(T676&lt;'PlayerGrades+'!$AI$14,"D",IF(T676&lt;'PlayerGrades+'!$AI$13,"D+",IF(T676&lt;'PlayerGrades+'!$AI$12,"C-",IF(T676&lt;'PlayerGrades+'!$AI$11,"C",IF(T676&lt;'PlayerGrades+'!$AI$10,"C+",IF(T676&lt;'PlayerGrades+'!$AI$9,"B-",IF(T676&lt;'PlayerGrades+'!$AI$8,"B",IF(T676&lt;'PlayerGrades+'!$AI$7,"B+",IF(T676&lt;'PlayerGrades+'!$AI$6,"A-",IF(T676&lt;'PlayerGrades+'!$AI$5,"A",IF(T676&lt;'PlayerGrades+'!$AI$4,"A+",IF(T676&lt;'PlayerGrades+'!$AI$3,"S-",IF(T676&lt;'PlayerGrades+'!$AI$2,"S","S+"))))))))))))))))))))</f>
        <v>#REF!</v>
      </c>
      <c r="AC676" s="1392"/>
    </row>
    <row r="677">
      <c r="A677" s="1391"/>
      <c r="B677" s="1421" t="str">
        <f>IF(C677&lt;'PlayerGrades+'!$Y$44,"F-",IF(C677&lt;'PlayerGrades+'!$Y$43,"F",IF(C677&lt;'PlayerGrades+'!$Y$42,"F+",IF(C677&lt;'PlayerGrades+'!$Y$41,"E-",IF(C677&lt;'PlayerGrades+'!$Y$40,"E",IF(C677&lt;'PlayerGrades+'!$Y$39,"E+",IF(C677&lt;'PlayerGrades+'!$Y$38,"D-",IF(C677&lt;'PlayerGrades+'!$Y$37,"D",IF(C677&lt;'PlayerGrades+'!$Y$36,"D+",IF(C677&lt;'PlayerGrades+'!$Y$35,"C-",IF(C677&lt;'PlayerGrades+'!$Y$34,"C",IF(C677&lt;'PlayerGrades+'!$Y$33,"C+",IF(C677&lt;'PlayerGrades+'!$Y$32,"B-",IF(C677&lt;'PlayerGrades+'!$Y$31,"B",IF(C677&lt;'PlayerGrades+'!$Y$30,"B+",IF(C677&lt;'PlayerGrades+'!$Y$29,"A-",IF(C677&lt;'PlayerGrades+'!$Y$28,"A",IF(C677&lt;'PlayerGrades+'!$Y$27,"A+",IF(C677&lt;'PlayerGrades+'!$Y$26,"S-",IF(C677&lt;'PlayerGrades+'!$Y$25,"S","S+"))))))))))))))))))))</f>
        <v>#DIV/0!</v>
      </c>
      <c r="C677" s="1422" t="str">
        <f>('PlayerGrades+'!$Y$47*(VLOOKUP(E677, 'PlayerGrades+'!$X$3:$Y$23, 2, FALSE)))+('PlayerGrades+'!$Y$48*(VLOOKUP(G677, 'PlayerGrades+'!$X$3:$Y$23, 2, FALSE)))+('PlayerGrades+'!$Y$49*(VLOOKUP(I677, 'PlayerGrades+'!$X$3:$Y$23, 2, FALSE)))+('PlayerGrades+'!$Y$50*(VLOOKUP(K677, 'PlayerGrades+'!$X$3:$Y$23, 2, FALSE)))+('PlayerGrades+'!$Y$51*(VLOOKUP(M677, 'PlayerGrades+'!$X$3:$Y$23, 2, FALSE)))+('PlayerGrades+'!$Y$52*(VLOOKUP(O677, 'PlayerGrades+'!$X$3:$Y$23, 2, FALSE)))+('PlayerGrades+'!$Y$53*(VLOOKUP(Q677, 'PlayerGrades+'!$X$3:$Y$23, 2, FALSE)))+('PlayerGrades+'!$Y$54*(VLOOKUP(S677, 'PlayerGrades+'!$X$3:$Y$23, 2, FALSE)))+('PlayerGrades+'!$Y$55*(VLOOKUP(U677, 'PlayerGrades+'!$X$3:$Y$23, 2, FALSE)))</f>
        <v>#DIV/0!</v>
      </c>
      <c r="D677" s="1423" t="str">
        <f t="shared" si="12"/>
        <v>#DIV/0!</v>
      </c>
      <c r="E677" s="1423" t="str">
        <f>IF(D677&lt;'PlayerGrades+'!$AA$21,"F-",IF(D677&lt;'PlayerGrades+'!$AA$20,"F",IF(D677&lt;'PlayerGrades+'!$AA$19,"F+",IF(D677&lt;'PlayerGrades+'!$AA$18,"E-",IF(D677&lt;'PlayerGrades+'!$AA$17,"E",IF(D677&lt;'PlayerGrades+'!$AA$16,"E+",IF(D677&lt;'PlayerGrades+'!$AA$15,"D-",IF(D677&lt;'PlayerGrades+'!$AA$14,"D",IF(D677&lt;'PlayerGrades+'!$AA$13,"D+",IF(D677&lt;'PlayerGrades+'!$AA$12,"C-",IF(D677&lt;'PlayerGrades+'!$AA$11,"C",IF(D677&lt;'PlayerGrades+'!$AA$10,"C+",IF(D677&lt;'PlayerGrades+'!$AA$9,"B-",IF(D677&lt;'PlayerGrades+'!$AA$8,"B",IF(D677&lt;'PlayerGrades+'!$AA$7,"B+",IF(D677&lt;'PlayerGrades+'!$AA$6,"A-",IF(D677&lt;'PlayerGrades+'!$AA$5,"A",IF(D677&lt;'PlayerGrades+'!$AA$4,"A+",IF(D677&lt;'PlayerGrades+'!$AA$3,"S-",IF(D677&lt;'PlayerGrades+'!$AA$2,"S","S+"))))))))))))))))))))</f>
        <v>#DIV/0!</v>
      </c>
      <c r="F677" s="1423" t="str">
        <f t="shared" si="13"/>
        <v>#DIV/0!</v>
      </c>
      <c r="G677" s="1423" t="str">
        <f>IF(F677&lt;'PlayerGrades+'!$AB$21,"F-",IF(F677&lt;'PlayerGrades+'!$AB$20,"F",IF(F677&lt;'PlayerGrades+'!$AB$19,"F+",IF(F677&lt;'PlayerGrades+'!$AB$18,"E-",IF(F677&lt;'PlayerGrades+'!$AB$17,"E",IF(F677&lt;'PlayerGrades+'!$AB$16,"E+",IF(F677&lt;'PlayerGrades+'!$AB$15,"D-",IF(F677&lt;'PlayerGrades+'!$AB$14,"D",IF(F677&lt;'PlayerGrades+'!$AB$13,"D+",IF(F677&lt;'PlayerGrades+'!$AB$12,"C-",IF(F677&lt;'PlayerGrades+'!$AB$11,"C",IF(F677&lt;'PlayerGrades+'!$AB$10,"C+",IF(F677&lt;'PlayerGrades+'!$AB$9,"B-",IF(F677&lt;'PlayerGrades+'!$AB$8,"B",IF(F677&lt;'PlayerGrades+'!$AB$7,"B+",IF(F677&lt;'PlayerGrades+'!$AB$6,"A-",IF(F677&lt;'PlayerGrades+'!$AB$5,"A",IF(F677&lt;'PlayerGrades+'!$AB$4,"A+",IF(F677&lt;'PlayerGrades+'!$AB$3,"S-",IF(F677&lt;'PlayerGrades+'!$AB$2,"S","S+"))))))))))))))))))))</f>
        <v>#DIV/0!</v>
      </c>
      <c r="H677" s="1423" t="str">
        <f t="shared" si="14"/>
        <v>#DIV/0!</v>
      </c>
      <c r="I677" s="1423" t="str">
        <f>IF(H677&lt;'PlayerGrades+'!$AC$21,"F-",IF(H677&lt;'PlayerGrades+'!$AC$20,"F",IF(H677&lt;'PlayerGrades+'!$AC$19,"F+",IF(H677&lt;'PlayerGrades+'!$AC$18,"E-",IF(H677&lt;'PlayerGrades+'!$AC$17,"E",IF(H677&lt;'PlayerGrades+'!$AC$16,"E+",IF(H677&lt;'PlayerGrades+'!$AC$15,"D-",IF(H677&lt;'PlayerGrades+'!$AC$14,"D",IF(H677&lt;'PlayerGrades+'!$AC$13,"D+",IF(H677&lt;'PlayerGrades+'!$AC$12,"C-",IF(H677&lt;'PlayerGrades+'!$AC$11,"C",IF(H677&lt;'PlayerGrades+'!$AC$10,"C+",IF(H677&lt;'PlayerGrades+'!$AC$9,"B-",IF(H677&lt;'PlayerGrades+'!$AC$8,"B",IF(H677&lt;'PlayerGrades+'!$AC$7,"B+",IF(H677&lt;'PlayerGrades+'!$AC$6,"A-",IF(H677&lt;'PlayerGrades+'!$AC$5,"A",IF(H677&lt;'PlayerGrades+'!$AC$4,"A+",IF(H677&lt;'PlayerGrades+'!$AC$3,"S-",IF(H677&lt;'PlayerGrades+'!$AC$2,"S","S+"))))))))))))))))))))</f>
        <v>#DIV/0!</v>
      </c>
      <c r="J677" s="1423" t="str">
        <f t="shared" si="15"/>
        <v>#DIV/0!</v>
      </c>
      <c r="K677" s="1423" t="str">
        <f>IF(J677&lt;'PlayerGrades+'!$AD$21,"F-",IF(J677&lt;'PlayerGrades+'!$AD$20,"F",IF(J677&lt;'PlayerGrades+'!$AD$19,"F+",IF(J677&lt;'PlayerGrades+'!$AD$18,"E-",IF(J677&lt;'PlayerGrades+'!$AD$17,"E",IF(J677&lt;'PlayerGrades+'!$AD$16,"E+",IF(J677&lt;'PlayerGrades+'!$AD$15,"D-",IF(J677&lt;'PlayerGrades+'!$AD$14,"D",IF(J677&lt;'PlayerGrades+'!$AD$13,"D+",IF(J677&lt;'PlayerGrades+'!$AD$12,"C-",IF(J677&lt;'PlayerGrades+'!$AD$11,"C",IF(J677&lt;'PlayerGrades+'!$AD$10,"C+",IF(J677&lt;'PlayerGrades+'!$AD$9,"B-",IF(J677&lt;'PlayerGrades+'!$AD$8,"B",IF(J677&lt;'PlayerGrades+'!$AD$7,"B+",IF(J677&lt;'PlayerGrades+'!$AD$6,"A-",IF(J677&lt;'PlayerGrades+'!$AD$5,"A",IF(J677&lt;'PlayerGrades+'!$AD$4,"A+",IF(J677&lt;'PlayerGrades+'!$AD$3,"S-",IF(J677&lt;'PlayerGrades+'!$AD$2,"S","S+"))))))))))))))))))))</f>
        <v>#DIV/0!</v>
      </c>
      <c r="L677" s="1176" t="str">
        <f t="shared" si="16"/>
        <v>#DIV/0!</v>
      </c>
      <c r="M677" s="992" t="str">
        <f>IF(L677&lt;'PlayerGrades+'!$AE$21,"F-",IF(L677&lt;'PlayerGrades+'!$AE$20,"F",IF(L677&lt;'PlayerGrades+'!$AE$19,"F+",IF(L677&lt;'PlayerGrades+'!$AE$18,"E-",IF(L677&lt;'PlayerGrades+'!$AE$17,"E",IF(L677&lt;'PlayerGrades+'!$AE$16,"E+",IF(L677&lt;'PlayerGrades+'!$AE$15,"D-",IF(L677&lt;'PlayerGrades+'!$AE$14,"D",IF(L677&lt;'PlayerGrades+'!$AE$13,"D+",IF(L677&lt;'PlayerGrades+'!$AE$12,"C-",IF(L677&lt;'PlayerGrades+'!$AE$11,"C",IF(L677&lt;'PlayerGrades+'!$AE$10,"C+",IF(L677&lt;'PlayerGrades+'!$AE$9,"B-",IF(L677&lt;'PlayerGrades+'!$AE$8,"B",IF(L677&lt;'PlayerGrades+'!$AE$7,"B+",IF(L677&lt;'PlayerGrades+'!$AE$6,"A-",IF(L677&lt;'PlayerGrades+'!$AE$5,"A",IF(L677&lt;'PlayerGrades+'!$AE$4,"A+",IF(L677&lt;'PlayerGrades+'!$AE$3,"S-",IF(L677&lt;'PlayerGrades+'!$AE$2,"S","S+"))))))))))))))))))))</f>
        <v>#DIV/0!</v>
      </c>
      <c r="N677" s="1423" t="str">
        <f t="shared" si="17"/>
        <v>#DIV/0!</v>
      </c>
      <c r="O677" s="1423" t="str">
        <f>IF(N677&lt;'PlayerGrades+'!$AF$21,"F-",IF(N677&lt;'PlayerGrades+'!$AF$20,"F",IF(N677&lt;'PlayerGrades+'!$AF$19,"F+",IF(N677&lt;'PlayerGrades+'!$AF$18,"E-",IF(N677&lt;'PlayerGrades+'!$AF$17,"E",IF(N677&lt;'PlayerGrades+'!$AF$16,"E+",IF(N677&lt;'PlayerGrades+'!$AF$15,"D-",IF(N677&lt;'PlayerGrades+'!$AF$14,"D",IF(N677&lt;'PlayerGrades+'!$AF$13,"D+",IF(N677&lt;'PlayerGrades+'!$AF$12,"C-",IF(N677&lt;'PlayerGrades+'!$AF$11,"C",IF(N677&lt;'PlayerGrades+'!$AF$10,"C+",IF(N677&lt;'PlayerGrades+'!$AF$9,"B-",IF(N677&lt;'PlayerGrades+'!$AF$8,"B",IF(N677&lt;'PlayerGrades+'!$AF$7,"B+",IF(N677&lt;'PlayerGrades+'!$AF$6,"A-",IF(N677&lt;'PlayerGrades+'!$AF$5,"A",IF(N677&lt;'PlayerGrades+'!$AF$4,"A+",IF(N677&lt;'PlayerGrades+'!$AF$3,"S-",IF(N677&lt;'PlayerGrades+'!$AF$2,"S","S+"))))))))))))))))))))</f>
        <v>#DIV/0!</v>
      </c>
      <c r="P677" s="1423" t="str">
        <f t="shared" si="18"/>
        <v>#DIV/0!</v>
      </c>
      <c r="Q677" s="1423" t="str">
        <f>IF(P677&lt;'PlayerGrades+'!$AG$21,"F-",IF(P677&lt;'PlayerGrades+'!$AG$20,"F",IF(P677&lt;'PlayerGrades+'!$AG$19,"F+",IF(P677&lt;'PlayerGrades+'!$AG$18,"E-",IF(P677&lt;'PlayerGrades+'!$AG$17,"E",IF(P677&lt;'PlayerGrades+'!$AG$16,"E+",IF(P677&lt;'PlayerGrades+'!$AG$15,"D-",IF(P677&lt;'PlayerGrades+'!$AG$14,"D",IF(P677&lt;'PlayerGrades+'!$AG$13,"D+",IF(P677&lt;'PlayerGrades+'!$AG$12,"C-",IF(P677&lt;'PlayerGrades+'!$AG$11,"C",IF(P677&lt;'PlayerGrades+'!$AG$10,"C+",IF(P677&lt;'PlayerGrades+'!$AG$9,"B-",IF(P677&lt;'PlayerGrades+'!$AG$8,"B",IF(P677&lt;'PlayerGrades+'!$AG$7,"B+",IF(P677&lt;'PlayerGrades+'!$AG$6,"A-",IF(P677&lt;'PlayerGrades+'!$AG$5,"A",IF(P677&lt;'PlayerGrades+'!$AG$4,"A+",IF(P677&lt;'PlayerGrades+'!$AG$3,"S-",IF(P677&lt;'PlayerGrades+'!$AG$2,"S","S+"))))))))))))))))))))</f>
        <v>#DIV/0!</v>
      </c>
      <c r="R677" s="1423" t="str">
        <f t="shared" si="19"/>
        <v>#REF!</v>
      </c>
      <c r="S677" s="1423" t="str">
        <f>IF(R677&lt;'PlayerGrades+'!$AH$21,"F-",IF(R677&lt;'PlayerGrades+'!$AH$20,"F",IF(R677&lt;'PlayerGrades+'!$AH$19,"F+",IF(R677&lt;'PlayerGrades+'!$AH$18,"E-",IF(R677&lt;'PlayerGrades+'!$AH$17,"E",IF(R677&lt;'PlayerGrades+'!$AH$16,"E+",IF(R677&lt;'PlayerGrades+'!$AH$15,"D-",IF(R677&lt;'PlayerGrades+'!$AH$14,"D",IF(R677&lt;'PlayerGrades+'!$AH$13,"D+",IF(R677&lt;'PlayerGrades+'!$AH$12,"C-",IF(R677&lt;'PlayerGrades+'!$AH$11,"C",IF(R677&lt;'PlayerGrades+'!$AH$10,"C+",IF(R677&lt;'PlayerGrades+'!$AH$9,"B-",IF(R677&lt;'PlayerGrades+'!$AH$8,"B",IF(R677&lt;'PlayerGrades+'!$AH$7,"B+",IF(R677&lt;'PlayerGrades+'!$AH$6,"A-",IF(R677&lt;'PlayerGrades+'!$AH$5,"A",IF(R677&lt;'PlayerGrades+'!$AH$4,"A+",IF(R677&lt;'PlayerGrades+'!$AH$3,"S-",IF(R677&lt;'PlayerGrades+'!$AH$2,"S","S+"))))))))))))))))))))</f>
        <v>#REF!</v>
      </c>
      <c r="T677" s="1423" t="str">
        <f t="shared" si="20"/>
        <v>#REF!</v>
      </c>
      <c r="U677" s="1423" t="str">
        <f>IF(T677&lt;'PlayerGrades+'!$AI$21,"F-",IF(T677&lt;'PlayerGrades+'!$AI$20,"F",IF(T677&lt;'PlayerGrades+'!$AI$19,"F+",IF(T677&lt;'PlayerGrades+'!$AI$18,"E-",IF(T677&lt;'PlayerGrades+'!$AI$17,"E",IF(T677&lt;'PlayerGrades+'!$AI$16,"E+",IF(T677&lt;'PlayerGrades+'!$AI$15,"D-",IF(T677&lt;'PlayerGrades+'!$AI$14,"D",IF(T677&lt;'PlayerGrades+'!$AI$13,"D+",IF(T677&lt;'PlayerGrades+'!$AI$12,"C-",IF(T677&lt;'PlayerGrades+'!$AI$11,"C",IF(T677&lt;'PlayerGrades+'!$AI$10,"C+",IF(T677&lt;'PlayerGrades+'!$AI$9,"B-",IF(T677&lt;'PlayerGrades+'!$AI$8,"B",IF(T677&lt;'PlayerGrades+'!$AI$7,"B+",IF(T677&lt;'PlayerGrades+'!$AI$6,"A-",IF(T677&lt;'PlayerGrades+'!$AI$5,"A",IF(T677&lt;'PlayerGrades+'!$AI$4,"A+",IF(T677&lt;'PlayerGrades+'!$AI$3,"S-",IF(T677&lt;'PlayerGrades+'!$AI$2,"S","S+"))))))))))))))))))))</f>
        <v>#REF!</v>
      </c>
      <c r="AC677" s="1392"/>
    </row>
    <row r="678">
      <c r="A678" s="1391"/>
      <c r="B678" s="1421" t="str">
        <f>IF(C678&lt;'PlayerGrades+'!$Y$44,"F-",IF(C678&lt;'PlayerGrades+'!$Y$43,"F",IF(C678&lt;'PlayerGrades+'!$Y$42,"F+",IF(C678&lt;'PlayerGrades+'!$Y$41,"E-",IF(C678&lt;'PlayerGrades+'!$Y$40,"E",IF(C678&lt;'PlayerGrades+'!$Y$39,"E+",IF(C678&lt;'PlayerGrades+'!$Y$38,"D-",IF(C678&lt;'PlayerGrades+'!$Y$37,"D",IF(C678&lt;'PlayerGrades+'!$Y$36,"D+",IF(C678&lt;'PlayerGrades+'!$Y$35,"C-",IF(C678&lt;'PlayerGrades+'!$Y$34,"C",IF(C678&lt;'PlayerGrades+'!$Y$33,"C+",IF(C678&lt;'PlayerGrades+'!$Y$32,"B-",IF(C678&lt;'PlayerGrades+'!$Y$31,"B",IF(C678&lt;'PlayerGrades+'!$Y$30,"B+",IF(C678&lt;'PlayerGrades+'!$Y$29,"A-",IF(C678&lt;'PlayerGrades+'!$Y$28,"A",IF(C678&lt;'PlayerGrades+'!$Y$27,"A+",IF(C678&lt;'PlayerGrades+'!$Y$26,"S-",IF(C678&lt;'PlayerGrades+'!$Y$25,"S","S+"))))))))))))))))))))</f>
        <v>#DIV/0!</v>
      </c>
      <c r="C678" s="1422" t="str">
        <f>('PlayerGrades+'!$Y$47*(VLOOKUP(E678, 'PlayerGrades+'!$X$3:$Y$23, 2, FALSE)))+('PlayerGrades+'!$Y$48*(VLOOKUP(G678, 'PlayerGrades+'!$X$3:$Y$23, 2, FALSE)))+('PlayerGrades+'!$Y$49*(VLOOKUP(I678, 'PlayerGrades+'!$X$3:$Y$23, 2, FALSE)))+('PlayerGrades+'!$Y$50*(VLOOKUP(K678, 'PlayerGrades+'!$X$3:$Y$23, 2, FALSE)))+('PlayerGrades+'!$Y$51*(VLOOKUP(M678, 'PlayerGrades+'!$X$3:$Y$23, 2, FALSE)))+('PlayerGrades+'!$Y$52*(VLOOKUP(O678, 'PlayerGrades+'!$X$3:$Y$23, 2, FALSE)))+('PlayerGrades+'!$Y$53*(VLOOKUP(Q678, 'PlayerGrades+'!$X$3:$Y$23, 2, FALSE)))+('PlayerGrades+'!$Y$54*(VLOOKUP(S678, 'PlayerGrades+'!$X$3:$Y$23, 2, FALSE)))+('PlayerGrades+'!$Y$55*(VLOOKUP(U678, 'PlayerGrades+'!$X$3:$Y$23, 2, FALSE)))</f>
        <v>#DIV/0!</v>
      </c>
      <c r="D678" s="1423" t="str">
        <f t="shared" si="12"/>
        <v>#DIV/0!</v>
      </c>
      <c r="E678" s="1423" t="str">
        <f>IF(D678&lt;'PlayerGrades+'!$AA$21,"F-",IF(D678&lt;'PlayerGrades+'!$AA$20,"F",IF(D678&lt;'PlayerGrades+'!$AA$19,"F+",IF(D678&lt;'PlayerGrades+'!$AA$18,"E-",IF(D678&lt;'PlayerGrades+'!$AA$17,"E",IF(D678&lt;'PlayerGrades+'!$AA$16,"E+",IF(D678&lt;'PlayerGrades+'!$AA$15,"D-",IF(D678&lt;'PlayerGrades+'!$AA$14,"D",IF(D678&lt;'PlayerGrades+'!$AA$13,"D+",IF(D678&lt;'PlayerGrades+'!$AA$12,"C-",IF(D678&lt;'PlayerGrades+'!$AA$11,"C",IF(D678&lt;'PlayerGrades+'!$AA$10,"C+",IF(D678&lt;'PlayerGrades+'!$AA$9,"B-",IF(D678&lt;'PlayerGrades+'!$AA$8,"B",IF(D678&lt;'PlayerGrades+'!$AA$7,"B+",IF(D678&lt;'PlayerGrades+'!$AA$6,"A-",IF(D678&lt;'PlayerGrades+'!$AA$5,"A",IF(D678&lt;'PlayerGrades+'!$AA$4,"A+",IF(D678&lt;'PlayerGrades+'!$AA$3,"S-",IF(D678&lt;'PlayerGrades+'!$AA$2,"S","S+"))))))))))))))))))))</f>
        <v>#DIV/0!</v>
      </c>
      <c r="F678" s="1423" t="str">
        <f t="shared" si="13"/>
        <v>#DIV/0!</v>
      </c>
      <c r="G678" s="1423" t="str">
        <f>IF(F678&lt;'PlayerGrades+'!$AB$21,"F-",IF(F678&lt;'PlayerGrades+'!$AB$20,"F",IF(F678&lt;'PlayerGrades+'!$AB$19,"F+",IF(F678&lt;'PlayerGrades+'!$AB$18,"E-",IF(F678&lt;'PlayerGrades+'!$AB$17,"E",IF(F678&lt;'PlayerGrades+'!$AB$16,"E+",IF(F678&lt;'PlayerGrades+'!$AB$15,"D-",IF(F678&lt;'PlayerGrades+'!$AB$14,"D",IF(F678&lt;'PlayerGrades+'!$AB$13,"D+",IF(F678&lt;'PlayerGrades+'!$AB$12,"C-",IF(F678&lt;'PlayerGrades+'!$AB$11,"C",IF(F678&lt;'PlayerGrades+'!$AB$10,"C+",IF(F678&lt;'PlayerGrades+'!$AB$9,"B-",IF(F678&lt;'PlayerGrades+'!$AB$8,"B",IF(F678&lt;'PlayerGrades+'!$AB$7,"B+",IF(F678&lt;'PlayerGrades+'!$AB$6,"A-",IF(F678&lt;'PlayerGrades+'!$AB$5,"A",IF(F678&lt;'PlayerGrades+'!$AB$4,"A+",IF(F678&lt;'PlayerGrades+'!$AB$3,"S-",IF(F678&lt;'PlayerGrades+'!$AB$2,"S","S+"))))))))))))))))))))</f>
        <v>#DIV/0!</v>
      </c>
      <c r="H678" s="1423" t="str">
        <f t="shared" si="14"/>
        <v>#DIV/0!</v>
      </c>
      <c r="I678" s="1423" t="str">
        <f>IF(H678&lt;'PlayerGrades+'!$AC$21,"F-",IF(H678&lt;'PlayerGrades+'!$AC$20,"F",IF(H678&lt;'PlayerGrades+'!$AC$19,"F+",IF(H678&lt;'PlayerGrades+'!$AC$18,"E-",IF(H678&lt;'PlayerGrades+'!$AC$17,"E",IF(H678&lt;'PlayerGrades+'!$AC$16,"E+",IF(H678&lt;'PlayerGrades+'!$AC$15,"D-",IF(H678&lt;'PlayerGrades+'!$AC$14,"D",IF(H678&lt;'PlayerGrades+'!$AC$13,"D+",IF(H678&lt;'PlayerGrades+'!$AC$12,"C-",IF(H678&lt;'PlayerGrades+'!$AC$11,"C",IF(H678&lt;'PlayerGrades+'!$AC$10,"C+",IF(H678&lt;'PlayerGrades+'!$AC$9,"B-",IF(H678&lt;'PlayerGrades+'!$AC$8,"B",IF(H678&lt;'PlayerGrades+'!$AC$7,"B+",IF(H678&lt;'PlayerGrades+'!$AC$6,"A-",IF(H678&lt;'PlayerGrades+'!$AC$5,"A",IF(H678&lt;'PlayerGrades+'!$AC$4,"A+",IF(H678&lt;'PlayerGrades+'!$AC$3,"S-",IF(H678&lt;'PlayerGrades+'!$AC$2,"S","S+"))))))))))))))))))))</f>
        <v>#DIV/0!</v>
      </c>
      <c r="J678" s="1423" t="str">
        <f t="shared" si="15"/>
        <v>#DIV/0!</v>
      </c>
      <c r="K678" s="1423" t="str">
        <f>IF(J678&lt;'PlayerGrades+'!$AD$21,"F-",IF(J678&lt;'PlayerGrades+'!$AD$20,"F",IF(J678&lt;'PlayerGrades+'!$AD$19,"F+",IF(J678&lt;'PlayerGrades+'!$AD$18,"E-",IF(J678&lt;'PlayerGrades+'!$AD$17,"E",IF(J678&lt;'PlayerGrades+'!$AD$16,"E+",IF(J678&lt;'PlayerGrades+'!$AD$15,"D-",IF(J678&lt;'PlayerGrades+'!$AD$14,"D",IF(J678&lt;'PlayerGrades+'!$AD$13,"D+",IF(J678&lt;'PlayerGrades+'!$AD$12,"C-",IF(J678&lt;'PlayerGrades+'!$AD$11,"C",IF(J678&lt;'PlayerGrades+'!$AD$10,"C+",IF(J678&lt;'PlayerGrades+'!$AD$9,"B-",IF(J678&lt;'PlayerGrades+'!$AD$8,"B",IF(J678&lt;'PlayerGrades+'!$AD$7,"B+",IF(J678&lt;'PlayerGrades+'!$AD$6,"A-",IF(J678&lt;'PlayerGrades+'!$AD$5,"A",IF(J678&lt;'PlayerGrades+'!$AD$4,"A+",IF(J678&lt;'PlayerGrades+'!$AD$3,"S-",IF(J678&lt;'PlayerGrades+'!$AD$2,"S","S+"))))))))))))))))))))</f>
        <v>#DIV/0!</v>
      </c>
      <c r="L678" s="1176" t="str">
        <f t="shared" si="16"/>
        <v>#DIV/0!</v>
      </c>
      <c r="M678" s="992" t="str">
        <f>IF(L678&lt;'PlayerGrades+'!$AE$21,"F-",IF(L678&lt;'PlayerGrades+'!$AE$20,"F",IF(L678&lt;'PlayerGrades+'!$AE$19,"F+",IF(L678&lt;'PlayerGrades+'!$AE$18,"E-",IF(L678&lt;'PlayerGrades+'!$AE$17,"E",IF(L678&lt;'PlayerGrades+'!$AE$16,"E+",IF(L678&lt;'PlayerGrades+'!$AE$15,"D-",IF(L678&lt;'PlayerGrades+'!$AE$14,"D",IF(L678&lt;'PlayerGrades+'!$AE$13,"D+",IF(L678&lt;'PlayerGrades+'!$AE$12,"C-",IF(L678&lt;'PlayerGrades+'!$AE$11,"C",IF(L678&lt;'PlayerGrades+'!$AE$10,"C+",IF(L678&lt;'PlayerGrades+'!$AE$9,"B-",IF(L678&lt;'PlayerGrades+'!$AE$8,"B",IF(L678&lt;'PlayerGrades+'!$AE$7,"B+",IF(L678&lt;'PlayerGrades+'!$AE$6,"A-",IF(L678&lt;'PlayerGrades+'!$AE$5,"A",IF(L678&lt;'PlayerGrades+'!$AE$4,"A+",IF(L678&lt;'PlayerGrades+'!$AE$3,"S-",IF(L678&lt;'PlayerGrades+'!$AE$2,"S","S+"))))))))))))))))))))</f>
        <v>#DIV/0!</v>
      </c>
      <c r="N678" s="1423" t="str">
        <f t="shared" si="17"/>
        <v>#DIV/0!</v>
      </c>
      <c r="O678" s="1423" t="str">
        <f>IF(N678&lt;'PlayerGrades+'!$AF$21,"F-",IF(N678&lt;'PlayerGrades+'!$AF$20,"F",IF(N678&lt;'PlayerGrades+'!$AF$19,"F+",IF(N678&lt;'PlayerGrades+'!$AF$18,"E-",IF(N678&lt;'PlayerGrades+'!$AF$17,"E",IF(N678&lt;'PlayerGrades+'!$AF$16,"E+",IF(N678&lt;'PlayerGrades+'!$AF$15,"D-",IF(N678&lt;'PlayerGrades+'!$AF$14,"D",IF(N678&lt;'PlayerGrades+'!$AF$13,"D+",IF(N678&lt;'PlayerGrades+'!$AF$12,"C-",IF(N678&lt;'PlayerGrades+'!$AF$11,"C",IF(N678&lt;'PlayerGrades+'!$AF$10,"C+",IF(N678&lt;'PlayerGrades+'!$AF$9,"B-",IF(N678&lt;'PlayerGrades+'!$AF$8,"B",IF(N678&lt;'PlayerGrades+'!$AF$7,"B+",IF(N678&lt;'PlayerGrades+'!$AF$6,"A-",IF(N678&lt;'PlayerGrades+'!$AF$5,"A",IF(N678&lt;'PlayerGrades+'!$AF$4,"A+",IF(N678&lt;'PlayerGrades+'!$AF$3,"S-",IF(N678&lt;'PlayerGrades+'!$AF$2,"S","S+"))))))))))))))))))))</f>
        <v>#DIV/0!</v>
      </c>
      <c r="P678" s="1423" t="str">
        <f t="shared" si="18"/>
        <v>#DIV/0!</v>
      </c>
      <c r="Q678" s="1423" t="str">
        <f>IF(P678&lt;'PlayerGrades+'!$AG$21,"F-",IF(P678&lt;'PlayerGrades+'!$AG$20,"F",IF(P678&lt;'PlayerGrades+'!$AG$19,"F+",IF(P678&lt;'PlayerGrades+'!$AG$18,"E-",IF(P678&lt;'PlayerGrades+'!$AG$17,"E",IF(P678&lt;'PlayerGrades+'!$AG$16,"E+",IF(P678&lt;'PlayerGrades+'!$AG$15,"D-",IF(P678&lt;'PlayerGrades+'!$AG$14,"D",IF(P678&lt;'PlayerGrades+'!$AG$13,"D+",IF(P678&lt;'PlayerGrades+'!$AG$12,"C-",IF(P678&lt;'PlayerGrades+'!$AG$11,"C",IF(P678&lt;'PlayerGrades+'!$AG$10,"C+",IF(P678&lt;'PlayerGrades+'!$AG$9,"B-",IF(P678&lt;'PlayerGrades+'!$AG$8,"B",IF(P678&lt;'PlayerGrades+'!$AG$7,"B+",IF(P678&lt;'PlayerGrades+'!$AG$6,"A-",IF(P678&lt;'PlayerGrades+'!$AG$5,"A",IF(P678&lt;'PlayerGrades+'!$AG$4,"A+",IF(P678&lt;'PlayerGrades+'!$AG$3,"S-",IF(P678&lt;'PlayerGrades+'!$AG$2,"S","S+"))))))))))))))))))))</f>
        <v>#DIV/0!</v>
      </c>
      <c r="R678" s="1423" t="str">
        <f t="shared" si="19"/>
        <v>#REF!</v>
      </c>
      <c r="S678" s="1423" t="str">
        <f>IF(R678&lt;'PlayerGrades+'!$AH$21,"F-",IF(R678&lt;'PlayerGrades+'!$AH$20,"F",IF(R678&lt;'PlayerGrades+'!$AH$19,"F+",IF(R678&lt;'PlayerGrades+'!$AH$18,"E-",IF(R678&lt;'PlayerGrades+'!$AH$17,"E",IF(R678&lt;'PlayerGrades+'!$AH$16,"E+",IF(R678&lt;'PlayerGrades+'!$AH$15,"D-",IF(R678&lt;'PlayerGrades+'!$AH$14,"D",IF(R678&lt;'PlayerGrades+'!$AH$13,"D+",IF(R678&lt;'PlayerGrades+'!$AH$12,"C-",IF(R678&lt;'PlayerGrades+'!$AH$11,"C",IF(R678&lt;'PlayerGrades+'!$AH$10,"C+",IF(R678&lt;'PlayerGrades+'!$AH$9,"B-",IF(R678&lt;'PlayerGrades+'!$AH$8,"B",IF(R678&lt;'PlayerGrades+'!$AH$7,"B+",IF(R678&lt;'PlayerGrades+'!$AH$6,"A-",IF(R678&lt;'PlayerGrades+'!$AH$5,"A",IF(R678&lt;'PlayerGrades+'!$AH$4,"A+",IF(R678&lt;'PlayerGrades+'!$AH$3,"S-",IF(R678&lt;'PlayerGrades+'!$AH$2,"S","S+"))))))))))))))))))))</f>
        <v>#REF!</v>
      </c>
      <c r="T678" s="1423" t="str">
        <f t="shared" si="20"/>
        <v>#REF!</v>
      </c>
      <c r="U678" s="1423" t="str">
        <f>IF(T678&lt;'PlayerGrades+'!$AI$21,"F-",IF(T678&lt;'PlayerGrades+'!$AI$20,"F",IF(T678&lt;'PlayerGrades+'!$AI$19,"F+",IF(T678&lt;'PlayerGrades+'!$AI$18,"E-",IF(T678&lt;'PlayerGrades+'!$AI$17,"E",IF(T678&lt;'PlayerGrades+'!$AI$16,"E+",IF(T678&lt;'PlayerGrades+'!$AI$15,"D-",IF(T678&lt;'PlayerGrades+'!$AI$14,"D",IF(T678&lt;'PlayerGrades+'!$AI$13,"D+",IF(T678&lt;'PlayerGrades+'!$AI$12,"C-",IF(T678&lt;'PlayerGrades+'!$AI$11,"C",IF(T678&lt;'PlayerGrades+'!$AI$10,"C+",IF(T678&lt;'PlayerGrades+'!$AI$9,"B-",IF(T678&lt;'PlayerGrades+'!$AI$8,"B",IF(T678&lt;'PlayerGrades+'!$AI$7,"B+",IF(T678&lt;'PlayerGrades+'!$AI$6,"A-",IF(T678&lt;'PlayerGrades+'!$AI$5,"A",IF(T678&lt;'PlayerGrades+'!$AI$4,"A+",IF(T678&lt;'PlayerGrades+'!$AI$3,"S-",IF(T678&lt;'PlayerGrades+'!$AI$2,"S","S+"))))))))))))))))))))</f>
        <v>#REF!</v>
      </c>
      <c r="AC678" s="1392"/>
    </row>
    <row r="679">
      <c r="A679" s="1391"/>
      <c r="B679" s="1421" t="str">
        <f>IF(C679&lt;'PlayerGrades+'!$Y$44,"F-",IF(C679&lt;'PlayerGrades+'!$Y$43,"F",IF(C679&lt;'PlayerGrades+'!$Y$42,"F+",IF(C679&lt;'PlayerGrades+'!$Y$41,"E-",IF(C679&lt;'PlayerGrades+'!$Y$40,"E",IF(C679&lt;'PlayerGrades+'!$Y$39,"E+",IF(C679&lt;'PlayerGrades+'!$Y$38,"D-",IF(C679&lt;'PlayerGrades+'!$Y$37,"D",IF(C679&lt;'PlayerGrades+'!$Y$36,"D+",IF(C679&lt;'PlayerGrades+'!$Y$35,"C-",IF(C679&lt;'PlayerGrades+'!$Y$34,"C",IF(C679&lt;'PlayerGrades+'!$Y$33,"C+",IF(C679&lt;'PlayerGrades+'!$Y$32,"B-",IF(C679&lt;'PlayerGrades+'!$Y$31,"B",IF(C679&lt;'PlayerGrades+'!$Y$30,"B+",IF(C679&lt;'PlayerGrades+'!$Y$29,"A-",IF(C679&lt;'PlayerGrades+'!$Y$28,"A",IF(C679&lt;'PlayerGrades+'!$Y$27,"A+",IF(C679&lt;'PlayerGrades+'!$Y$26,"S-",IF(C679&lt;'PlayerGrades+'!$Y$25,"S","S+"))))))))))))))))))))</f>
        <v>#DIV/0!</v>
      </c>
      <c r="C679" s="1422" t="str">
        <f>('PlayerGrades+'!$Y$47*(VLOOKUP(E679, 'PlayerGrades+'!$X$3:$Y$23, 2, FALSE)))+('PlayerGrades+'!$Y$48*(VLOOKUP(G679, 'PlayerGrades+'!$X$3:$Y$23, 2, FALSE)))+('PlayerGrades+'!$Y$49*(VLOOKUP(I679, 'PlayerGrades+'!$X$3:$Y$23, 2, FALSE)))+('PlayerGrades+'!$Y$50*(VLOOKUP(K679, 'PlayerGrades+'!$X$3:$Y$23, 2, FALSE)))+('PlayerGrades+'!$Y$51*(VLOOKUP(M679, 'PlayerGrades+'!$X$3:$Y$23, 2, FALSE)))+('PlayerGrades+'!$Y$52*(VLOOKUP(O679, 'PlayerGrades+'!$X$3:$Y$23, 2, FALSE)))+('PlayerGrades+'!$Y$53*(VLOOKUP(Q679, 'PlayerGrades+'!$X$3:$Y$23, 2, FALSE)))+('PlayerGrades+'!$Y$54*(VLOOKUP(S679, 'PlayerGrades+'!$X$3:$Y$23, 2, FALSE)))+('PlayerGrades+'!$Y$55*(VLOOKUP(U679, 'PlayerGrades+'!$X$3:$Y$23, 2, FALSE)))</f>
        <v>#DIV/0!</v>
      </c>
      <c r="D679" s="1423" t="str">
        <f t="shared" si="12"/>
        <v>#DIV/0!</v>
      </c>
      <c r="E679" s="1423" t="str">
        <f>IF(D679&lt;'PlayerGrades+'!$AA$21,"F-",IF(D679&lt;'PlayerGrades+'!$AA$20,"F",IF(D679&lt;'PlayerGrades+'!$AA$19,"F+",IF(D679&lt;'PlayerGrades+'!$AA$18,"E-",IF(D679&lt;'PlayerGrades+'!$AA$17,"E",IF(D679&lt;'PlayerGrades+'!$AA$16,"E+",IF(D679&lt;'PlayerGrades+'!$AA$15,"D-",IF(D679&lt;'PlayerGrades+'!$AA$14,"D",IF(D679&lt;'PlayerGrades+'!$AA$13,"D+",IF(D679&lt;'PlayerGrades+'!$AA$12,"C-",IF(D679&lt;'PlayerGrades+'!$AA$11,"C",IF(D679&lt;'PlayerGrades+'!$AA$10,"C+",IF(D679&lt;'PlayerGrades+'!$AA$9,"B-",IF(D679&lt;'PlayerGrades+'!$AA$8,"B",IF(D679&lt;'PlayerGrades+'!$AA$7,"B+",IF(D679&lt;'PlayerGrades+'!$AA$6,"A-",IF(D679&lt;'PlayerGrades+'!$AA$5,"A",IF(D679&lt;'PlayerGrades+'!$AA$4,"A+",IF(D679&lt;'PlayerGrades+'!$AA$3,"S-",IF(D679&lt;'PlayerGrades+'!$AA$2,"S","S+"))))))))))))))))))))</f>
        <v>#DIV/0!</v>
      </c>
      <c r="F679" s="1423" t="str">
        <f t="shared" si="13"/>
        <v>#DIV/0!</v>
      </c>
      <c r="G679" s="1423" t="str">
        <f>IF(F679&lt;'PlayerGrades+'!$AB$21,"F-",IF(F679&lt;'PlayerGrades+'!$AB$20,"F",IF(F679&lt;'PlayerGrades+'!$AB$19,"F+",IF(F679&lt;'PlayerGrades+'!$AB$18,"E-",IF(F679&lt;'PlayerGrades+'!$AB$17,"E",IF(F679&lt;'PlayerGrades+'!$AB$16,"E+",IF(F679&lt;'PlayerGrades+'!$AB$15,"D-",IF(F679&lt;'PlayerGrades+'!$AB$14,"D",IF(F679&lt;'PlayerGrades+'!$AB$13,"D+",IF(F679&lt;'PlayerGrades+'!$AB$12,"C-",IF(F679&lt;'PlayerGrades+'!$AB$11,"C",IF(F679&lt;'PlayerGrades+'!$AB$10,"C+",IF(F679&lt;'PlayerGrades+'!$AB$9,"B-",IF(F679&lt;'PlayerGrades+'!$AB$8,"B",IF(F679&lt;'PlayerGrades+'!$AB$7,"B+",IF(F679&lt;'PlayerGrades+'!$AB$6,"A-",IF(F679&lt;'PlayerGrades+'!$AB$5,"A",IF(F679&lt;'PlayerGrades+'!$AB$4,"A+",IF(F679&lt;'PlayerGrades+'!$AB$3,"S-",IF(F679&lt;'PlayerGrades+'!$AB$2,"S","S+"))))))))))))))))))))</f>
        <v>#DIV/0!</v>
      </c>
      <c r="H679" s="1423" t="str">
        <f t="shared" si="14"/>
        <v>#DIV/0!</v>
      </c>
      <c r="I679" s="1423" t="str">
        <f>IF(H679&lt;'PlayerGrades+'!$AC$21,"F-",IF(H679&lt;'PlayerGrades+'!$AC$20,"F",IF(H679&lt;'PlayerGrades+'!$AC$19,"F+",IF(H679&lt;'PlayerGrades+'!$AC$18,"E-",IF(H679&lt;'PlayerGrades+'!$AC$17,"E",IF(H679&lt;'PlayerGrades+'!$AC$16,"E+",IF(H679&lt;'PlayerGrades+'!$AC$15,"D-",IF(H679&lt;'PlayerGrades+'!$AC$14,"D",IF(H679&lt;'PlayerGrades+'!$AC$13,"D+",IF(H679&lt;'PlayerGrades+'!$AC$12,"C-",IF(H679&lt;'PlayerGrades+'!$AC$11,"C",IF(H679&lt;'PlayerGrades+'!$AC$10,"C+",IF(H679&lt;'PlayerGrades+'!$AC$9,"B-",IF(H679&lt;'PlayerGrades+'!$AC$8,"B",IF(H679&lt;'PlayerGrades+'!$AC$7,"B+",IF(H679&lt;'PlayerGrades+'!$AC$6,"A-",IF(H679&lt;'PlayerGrades+'!$AC$5,"A",IF(H679&lt;'PlayerGrades+'!$AC$4,"A+",IF(H679&lt;'PlayerGrades+'!$AC$3,"S-",IF(H679&lt;'PlayerGrades+'!$AC$2,"S","S+"))))))))))))))))))))</f>
        <v>#DIV/0!</v>
      </c>
      <c r="J679" s="1423" t="str">
        <f t="shared" si="15"/>
        <v>#DIV/0!</v>
      </c>
      <c r="K679" s="1423" t="str">
        <f>IF(J679&lt;'PlayerGrades+'!$AD$21,"F-",IF(J679&lt;'PlayerGrades+'!$AD$20,"F",IF(J679&lt;'PlayerGrades+'!$AD$19,"F+",IF(J679&lt;'PlayerGrades+'!$AD$18,"E-",IF(J679&lt;'PlayerGrades+'!$AD$17,"E",IF(J679&lt;'PlayerGrades+'!$AD$16,"E+",IF(J679&lt;'PlayerGrades+'!$AD$15,"D-",IF(J679&lt;'PlayerGrades+'!$AD$14,"D",IF(J679&lt;'PlayerGrades+'!$AD$13,"D+",IF(J679&lt;'PlayerGrades+'!$AD$12,"C-",IF(J679&lt;'PlayerGrades+'!$AD$11,"C",IF(J679&lt;'PlayerGrades+'!$AD$10,"C+",IF(J679&lt;'PlayerGrades+'!$AD$9,"B-",IF(J679&lt;'PlayerGrades+'!$AD$8,"B",IF(J679&lt;'PlayerGrades+'!$AD$7,"B+",IF(J679&lt;'PlayerGrades+'!$AD$6,"A-",IF(J679&lt;'PlayerGrades+'!$AD$5,"A",IF(J679&lt;'PlayerGrades+'!$AD$4,"A+",IF(J679&lt;'PlayerGrades+'!$AD$3,"S-",IF(J679&lt;'PlayerGrades+'!$AD$2,"S","S+"))))))))))))))))))))</f>
        <v>#DIV/0!</v>
      </c>
      <c r="L679" s="1176" t="str">
        <f t="shared" si="16"/>
        <v>#DIV/0!</v>
      </c>
      <c r="M679" s="992" t="str">
        <f>IF(L679&lt;'PlayerGrades+'!$AE$21,"F-",IF(L679&lt;'PlayerGrades+'!$AE$20,"F",IF(L679&lt;'PlayerGrades+'!$AE$19,"F+",IF(L679&lt;'PlayerGrades+'!$AE$18,"E-",IF(L679&lt;'PlayerGrades+'!$AE$17,"E",IF(L679&lt;'PlayerGrades+'!$AE$16,"E+",IF(L679&lt;'PlayerGrades+'!$AE$15,"D-",IF(L679&lt;'PlayerGrades+'!$AE$14,"D",IF(L679&lt;'PlayerGrades+'!$AE$13,"D+",IF(L679&lt;'PlayerGrades+'!$AE$12,"C-",IF(L679&lt;'PlayerGrades+'!$AE$11,"C",IF(L679&lt;'PlayerGrades+'!$AE$10,"C+",IF(L679&lt;'PlayerGrades+'!$AE$9,"B-",IF(L679&lt;'PlayerGrades+'!$AE$8,"B",IF(L679&lt;'PlayerGrades+'!$AE$7,"B+",IF(L679&lt;'PlayerGrades+'!$AE$6,"A-",IF(L679&lt;'PlayerGrades+'!$AE$5,"A",IF(L679&lt;'PlayerGrades+'!$AE$4,"A+",IF(L679&lt;'PlayerGrades+'!$AE$3,"S-",IF(L679&lt;'PlayerGrades+'!$AE$2,"S","S+"))))))))))))))))))))</f>
        <v>#DIV/0!</v>
      </c>
      <c r="N679" s="1423" t="str">
        <f t="shared" si="17"/>
        <v>#DIV/0!</v>
      </c>
      <c r="O679" s="1423" t="str">
        <f>IF(N679&lt;'PlayerGrades+'!$AF$21,"F-",IF(N679&lt;'PlayerGrades+'!$AF$20,"F",IF(N679&lt;'PlayerGrades+'!$AF$19,"F+",IF(N679&lt;'PlayerGrades+'!$AF$18,"E-",IF(N679&lt;'PlayerGrades+'!$AF$17,"E",IF(N679&lt;'PlayerGrades+'!$AF$16,"E+",IF(N679&lt;'PlayerGrades+'!$AF$15,"D-",IF(N679&lt;'PlayerGrades+'!$AF$14,"D",IF(N679&lt;'PlayerGrades+'!$AF$13,"D+",IF(N679&lt;'PlayerGrades+'!$AF$12,"C-",IF(N679&lt;'PlayerGrades+'!$AF$11,"C",IF(N679&lt;'PlayerGrades+'!$AF$10,"C+",IF(N679&lt;'PlayerGrades+'!$AF$9,"B-",IF(N679&lt;'PlayerGrades+'!$AF$8,"B",IF(N679&lt;'PlayerGrades+'!$AF$7,"B+",IF(N679&lt;'PlayerGrades+'!$AF$6,"A-",IF(N679&lt;'PlayerGrades+'!$AF$5,"A",IF(N679&lt;'PlayerGrades+'!$AF$4,"A+",IF(N679&lt;'PlayerGrades+'!$AF$3,"S-",IF(N679&lt;'PlayerGrades+'!$AF$2,"S","S+"))))))))))))))))))))</f>
        <v>#DIV/0!</v>
      </c>
      <c r="P679" s="1423" t="str">
        <f t="shared" si="18"/>
        <v>#DIV/0!</v>
      </c>
      <c r="Q679" s="1423" t="str">
        <f>IF(P679&lt;'PlayerGrades+'!$AG$21,"F-",IF(P679&lt;'PlayerGrades+'!$AG$20,"F",IF(P679&lt;'PlayerGrades+'!$AG$19,"F+",IF(P679&lt;'PlayerGrades+'!$AG$18,"E-",IF(P679&lt;'PlayerGrades+'!$AG$17,"E",IF(P679&lt;'PlayerGrades+'!$AG$16,"E+",IF(P679&lt;'PlayerGrades+'!$AG$15,"D-",IF(P679&lt;'PlayerGrades+'!$AG$14,"D",IF(P679&lt;'PlayerGrades+'!$AG$13,"D+",IF(P679&lt;'PlayerGrades+'!$AG$12,"C-",IF(P679&lt;'PlayerGrades+'!$AG$11,"C",IF(P679&lt;'PlayerGrades+'!$AG$10,"C+",IF(P679&lt;'PlayerGrades+'!$AG$9,"B-",IF(P679&lt;'PlayerGrades+'!$AG$8,"B",IF(P679&lt;'PlayerGrades+'!$AG$7,"B+",IF(P679&lt;'PlayerGrades+'!$AG$6,"A-",IF(P679&lt;'PlayerGrades+'!$AG$5,"A",IF(P679&lt;'PlayerGrades+'!$AG$4,"A+",IF(P679&lt;'PlayerGrades+'!$AG$3,"S-",IF(P679&lt;'PlayerGrades+'!$AG$2,"S","S+"))))))))))))))))))))</f>
        <v>#DIV/0!</v>
      </c>
      <c r="R679" s="1423" t="str">
        <f t="shared" si="19"/>
        <v>#REF!</v>
      </c>
      <c r="S679" s="1423" t="str">
        <f>IF(R679&lt;'PlayerGrades+'!$AH$21,"F-",IF(R679&lt;'PlayerGrades+'!$AH$20,"F",IF(R679&lt;'PlayerGrades+'!$AH$19,"F+",IF(R679&lt;'PlayerGrades+'!$AH$18,"E-",IF(R679&lt;'PlayerGrades+'!$AH$17,"E",IF(R679&lt;'PlayerGrades+'!$AH$16,"E+",IF(R679&lt;'PlayerGrades+'!$AH$15,"D-",IF(R679&lt;'PlayerGrades+'!$AH$14,"D",IF(R679&lt;'PlayerGrades+'!$AH$13,"D+",IF(R679&lt;'PlayerGrades+'!$AH$12,"C-",IF(R679&lt;'PlayerGrades+'!$AH$11,"C",IF(R679&lt;'PlayerGrades+'!$AH$10,"C+",IF(R679&lt;'PlayerGrades+'!$AH$9,"B-",IF(R679&lt;'PlayerGrades+'!$AH$8,"B",IF(R679&lt;'PlayerGrades+'!$AH$7,"B+",IF(R679&lt;'PlayerGrades+'!$AH$6,"A-",IF(R679&lt;'PlayerGrades+'!$AH$5,"A",IF(R679&lt;'PlayerGrades+'!$AH$4,"A+",IF(R679&lt;'PlayerGrades+'!$AH$3,"S-",IF(R679&lt;'PlayerGrades+'!$AH$2,"S","S+"))))))))))))))))))))</f>
        <v>#REF!</v>
      </c>
      <c r="T679" s="1423" t="str">
        <f t="shared" si="20"/>
        <v>#REF!</v>
      </c>
      <c r="U679" s="1423" t="str">
        <f>IF(T679&lt;'PlayerGrades+'!$AI$21,"F-",IF(T679&lt;'PlayerGrades+'!$AI$20,"F",IF(T679&lt;'PlayerGrades+'!$AI$19,"F+",IF(T679&lt;'PlayerGrades+'!$AI$18,"E-",IF(T679&lt;'PlayerGrades+'!$AI$17,"E",IF(T679&lt;'PlayerGrades+'!$AI$16,"E+",IF(T679&lt;'PlayerGrades+'!$AI$15,"D-",IF(T679&lt;'PlayerGrades+'!$AI$14,"D",IF(T679&lt;'PlayerGrades+'!$AI$13,"D+",IF(T679&lt;'PlayerGrades+'!$AI$12,"C-",IF(T679&lt;'PlayerGrades+'!$AI$11,"C",IF(T679&lt;'PlayerGrades+'!$AI$10,"C+",IF(T679&lt;'PlayerGrades+'!$AI$9,"B-",IF(T679&lt;'PlayerGrades+'!$AI$8,"B",IF(T679&lt;'PlayerGrades+'!$AI$7,"B+",IF(T679&lt;'PlayerGrades+'!$AI$6,"A-",IF(T679&lt;'PlayerGrades+'!$AI$5,"A",IF(T679&lt;'PlayerGrades+'!$AI$4,"A+",IF(T679&lt;'PlayerGrades+'!$AI$3,"S-",IF(T679&lt;'PlayerGrades+'!$AI$2,"S","S+"))))))))))))))))))))</f>
        <v>#REF!</v>
      </c>
      <c r="AC679" s="1392"/>
    </row>
    <row r="680">
      <c r="A680" s="1391"/>
      <c r="B680" s="1421" t="str">
        <f>IF(C680&lt;'PlayerGrades+'!$Y$44,"F-",IF(C680&lt;'PlayerGrades+'!$Y$43,"F",IF(C680&lt;'PlayerGrades+'!$Y$42,"F+",IF(C680&lt;'PlayerGrades+'!$Y$41,"E-",IF(C680&lt;'PlayerGrades+'!$Y$40,"E",IF(C680&lt;'PlayerGrades+'!$Y$39,"E+",IF(C680&lt;'PlayerGrades+'!$Y$38,"D-",IF(C680&lt;'PlayerGrades+'!$Y$37,"D",IF(C680&lt;'PlayerGrades+'!$Y$36,"D+",IF(C680&lt;'PlayerGrades+'!$Y$35,"C-",IF(C680&lt;'PlayerGrades+'!$Y$34,"C",IF(C680&lt;'PlayerGrades+'!$Y$33,"C+",IF(C680&lt;'PlayerGrades+'!$Y$32,"B-",IF(C680&lt;'PlayerGrades+'!$Y$31,"B",IF(C680&lt;'PlayerGrades+'!$Y$30,"B+",IF(C680&lt;'PlayerGrades+'!$Y$29,"A-",IF(C680&lt;'PlayerGrades+'!$Y$28,"A",IF(C680&lt;'PlayerGrades+'!$Y$27,"A+",IF(C680&lt;'PlayerGrades+'!$Y$26,"S-",IF(C680&lt;'PlayerGrades+'!$Y$25,"S","S+"))))))))))))))))))))</f>
        <v>#DIV/0!</v>
      </c>
      <c r="C680" s="1422" t="str">
        <f>('PlayerGrades+'!$Y$47*(VLOOKUP(E680, 'PlayerGrades+'!$X$3:$Y$23, 2, FALSE)))+('PlayerGrades+'!$Y$48*(VLOOKUP(G680, 'PlayerGrades+'!$X$3:$Y$23, 2, FALSE)))+('PlayerGrades+'!$Y$49*(VLOOKUP(I680, 'PlayerGrades+'!$X$3:$Y$23, 2, FALSE)))+('PlayerGrades+'!$Y$50*(VLOOKUP(K680, 'PlayerGrades+'!$X$3:$Y$23, 2, FALSE)))+('PlayerGrades+'!$Y$51*(VLOOKUP(M680, 'PlayerGrades+'!$X$3:$Y$23, 2, FALSE)))+('PlayerGrades+'!$Y$52*(VLOOKUP(O680, 'PlayerGrades+'!$X$3:$Y$23, 2, FALSE)))+('PlayerGrades+'!$Y$53*(VLOOKUP(Q680, 'PlayerGrades+'!$X$3:$Y$23, 2, FALSE)))+('PlayerGrades+'!$Y$54*(VLOOKUP(S680, 'PlayerGrades+'!$X$3:$Y$23, 2, FALSE)))+('PlayerGrades+'!$Y$55*(VLOOKUP(U680, 'PlayerGrades+'!$X$3:$Y$23, 2, FALSE)))</f>
        <v>#DIV/0!</v>
      </c>
      <c r="D680" s="1423" t="str">
        <f t="shared" si="12"/>
        <v>#DIV/0!</v>
      </c>
      <c r="E680" s="1423" t="str">
        <f>IF(D680&lt;'PlayerGrades+'!$AA$21,"F-",IF(D680&lt;'PlayerGrades+'!$AA$20,"F",IF(D680&lt;'PlayerGrades+'!$AA$19,"F+",IF(D680&lt;'PlayerGrades+'!$AA$18,"E-",IF(D680&lt;'PlayerGrades+'!$AA$17,"E",IF(D680&lt;'PlayerGrades+'!$AA$16,"E+",IF(D680&lt;'PlayerGrades+'!$AA$15,"D-",IF(D680&lt;'PlayerGrades+'!$AA$14,"D",IF(D680&lt;'PlayerGrades+'!$AA$13,"D+",IF(D680&lt;'PlayerGrades+'!$AA$12,"C-",IF(D680&lt;'PlayerGrades+'!$AA$11,"C",IF(D680&lt;'PlayerGrades+'!$AA$10,"C+",IF(D680&lt;'PlayerGrades+'!$AA$9,"B-",IF(D680&lt;'PlayerGrades+'!$AA$8,"B",IF(D680&lt;'PlayerGrades+'!$AA$7,"B+",IF(D680&lt;'PlayerGrades+'!$AA$6,"A-",IF(D680&lt;'PlayerGrades+'!$AA$5,"A",IF(D680&lt;'PlayerGrades+'!$AA$4,"A+",IF(D680&lt;'PlayerGrades+'!$AA$3,"S-",IF(D680&lt;'PlayerGrades+'!$AA$2,"S","S+"))))))))))))))))))))</f>
        <v>#DIV/0!</v>
      </c>
      <c r="F680" s="1423" t="str">
        <f t="shared" si="13"/>
        <v>#DIV/0!</v>
      </c>
      <c r="G680" s="1423" t="str">
        <f>IF(F680&lt;'PlayerGrades+'!$AB$21,"F-",IF(F680&lt;'PlayerGrades+'!$AB$20,"F",IF(F680&lt;'PlayerGrades+'!$AB$19,"F+",IF(F680&lt;'PlayerGrades+'!$AB$18,"E-",IF(F680&lt;'PlayerGrades+'!$AB$17,"E",IF(F680&lt;'PlayerGrades+'!$AB$16,"E+",IF(F680&lt;'PlayerGrades+'!$AB$15,"D-",IF(F680&lt;'PlayerGrades+'!$AB$14,"D",IF(F680&lt;'PlayerGrades+'!$AB$13,"D+",IF(F680&lt;'PlayerGrades+'!$AB$12,"C-",IF(F680&lt;'PlayerGrades+'!$AB$11,"C",IF(F680&lt;'PlayerGrades+'!$AB$10,"C+",IF(F680&lt;'PlayerGrades+'!$AB$9,"B-",IF(F680&lt;'PlayerGrades+'!$AB$8,"B",IF(F680&lt;'PlayerGrades+'!$AB$7,"B+",IF(F680&lt;'PlayerGrades+'!$AB$6,"A-",IF(F680&lt;'PlayerGrades+'!$AB$5,"A",IF(F680&lt;'PlayerGrades+'!$AB$4,"A+",IF(F680&lt;'PlayerGrades+'!$AB$3,"S-",IF(F680&lt;'PlayerGrades+'!$AB$2,"S","S+"))))))))))))))))))))</f>
        <v>#DIV/0!</v>
      </c>
      <c r="H680" s="1423" t="str">
        <f t="shared" si="14"/>
        <v>#DIV/0!</v>
      </c>
      <c r="I680" s="1423" t="str">
        <f>IF(H680&lt;'PlayerGrades+'!$AC$21,"F-",IF(H680&lt;'PlayerGrades+'!$AC$20,"F",IF(H680&lt;'PlayerGrades+'!$AC$19,"F+",IF(H680&lt;'PlayerGrades+'!$AC$18,"E-",IF(H680&lt;'PlayerGrades+'!$AC$17,"E",IF(H680&lt;'PlayerGrades+'!$AC$16,"E+",IF(H680&lt;'PlayerGrades+'!$AC$15,"D-",IF(H680&lt;'PlayerGrades+'!$AC$14,"D",IF(H680&lt;'PlayerGrades+'!$AC$13,"D+",IF(H680&lt;'PlayerGrades+'!$AC$12,"C-",IF(H680&lt;'PlayerGrades+'!$AC$11,"C",IF(H680&lt;'PlayerGrades+'!$AC$10,"C+",IF(H680&lt;'PlayerGrades+'!$AC$9,"B-",IF(H680&lt;'PlayerGrades+'!$AC$8,"B",IF(H680&lt;'PlayerGrades+'!$AC$7,"B+",IF(H680&lt;'PlayerGrades+'!$AC$6,"A-",IF(H680&lt;'PlayerGrades+'!$AC$5,"A",IF(H680&lt;'PlayerGrades+'!$AC$4,"A+",IF(H680&lt;'PlayerGrades+'!$AC$3,"S-",IF(H680&lt;'PlayerGrades+'!$AC$2,"S","S+"))))))))))))))))))))</f>
        <v>#DIV/0!</v>
      </c>
      <c r="J680" s="1423" t="str">
        <f t="shared" si="15"/>
        <v>#DIV/0!</v>
      </c>
      <c r="K680" s="1423" t="str">
        <f>IF(J680&lt;'PlayerGrades+'!$AD$21,"F-",IF(J680&lt;'PlayerGrades+'!$AD$20,"F",IF(J680&lt;'PlayerGrades+'!$AD$19,"F+",IF(J680&lt;'PlayerGrades+'!$AD$18,"E-",IF(J680&lt;'PlayerGrades+'!$AD$17,"E",IF(J680&lt;'PlayerGrades+'!$AD$16,"E+",IF(J680&lt;'PlayerGrades+'!$AD$15,"D-",IF(J680&lt;'PlayerGrades+'!$AD$14,"D",IF(J680&lt;'PlayerGrades+'!$AD$13,"D+",IF(J680&lt;'PlayerGrades+'!$AD$12,"C-",IF(J680&lt;'PlayerGrades+'!$AD$11,"C",IF(J680&lt;'PlayerGrades+'!$AD$10,"C+",IF(J680&lt;'PlayerGrades+'!$AD$9,"B-",IF(J680&lt;'PlayerGrades+'!$AD$8,"B",IF(J680&lt;'PlayerGrades+'!$AD$7,"B+",IF(J680&lt;'PlayerGrades+'!$AD$6,"A-",IF(J680&lt;'PlayerGrades+'!$AD$5,"A",IF(J680&lt;'PlayerGrades+'!$AD$4,"A+",IF(J680&lt;'PlayerGrades+'!$AD$3,"S-",IF(J680&lt;'PlayerGrades+'!$AD$2,"S","S+"))))))))))))))))))))</f>
        <v>#DIV/0!</v>
      </c>
      <c r="L680" s="1176" t="str">
        <f t="shared" si="16"/>
        <v>#DIV/0!</v>
      </c>
      <c r="M680" s="992" t="str">
        <f>IF(L680&lt;'PlayerGrades+'!$AE$21,"F-",IF(L680&lt;'PlayerGrades+'!$AE$20,"F",IF(L680&lt;'PlayerGrades+'!$AE$19,"F+",IF(L680&lt;'PlayerGrades+'!$AE$18,"E-",IF(L680&lt;'PlayerGrades+'!$AE$17,"E",IF(L680&lt;'PlayerGrades+'!$AE$16,"E+",IF(L680&lt;'PlayerGrades+'!$AE$15,"D-",IF(L680&lt;'PlayerGrades+'!$AE$14,"D",IF(L680&lt;'PlayerGrades+'!$AE$13,"D+",IF(L680&lt;'PlayerGrades+'!$AE$12,"C-",IF(L680&lt;'PlayerGrades+'!$AE$11,"C",IF(L680&lt;'PlayerGrades+'!$AE$10,"C+",IF(L680&lt;'PlayerGrades+'!$AE$9,"B-",IF(L680&lt;'PlayerGrades+'!$AE$8,"B",IF(L680&lt;'PlayerGrades+'!$AE$7,"B+",IF(L680&lt;'PlayerGrades+'!$AE$6,"A-",IF(L680&lt;'PlayerGrades+'!$AE$5,"A",IF(L680&lt;'PlayerGrades+'!$AE$4,"A+",IF(L680&lt;'PlayerGrades+'!$AE$3,"S-",IF(L680&lt;'PlayerGrades+'!$AE$2,"S","S+"))))))))))))))))))))</f>
        <v>#DIV/0!</v>
      </c>
      <c r="N680" s="1423" t="str">
        <f t="shared" si="17"/>
        <v>#DIV/0!</v>
      </c>
      <c r="O680" s="1423" t="str">
        <f>IF(N680&lt;'PlayerGrades+'!$AF$21,"F-",IF(N680&lt;'PlayerGrades+'!$AF$20,"F",IF(N680&lt;'PlayerGrades+'!$AF$19,"F+",IF(N680&lt;'PlayerGrades+'!$AF$18,"E-",IF(N680&lt;'PlayerGrades+'!$AF$17,"E",IF(N680&lt;'PlayerGrades+'!$AF$16,"E+",IF(N680&lt;'PlayerGrades+'!$AF$15,"D-",IF(N680&lt;'PlayerGrades+'!$AF$14,"D",IF(N680&lt;'PlayerGrades+'!$AF$13,"D+",IF(N680&lt;'PlayerGrades+'!$AF$12,"C-",IF(N680&lt;'PlayerGrades+'!$AF$11,"C",IF(N680&lt;'PlayerGrades+'!$AF$10,"C+",IF(N680&lt;'PlayerGrades+'!$AF$9,"B-",IF(N680&lt;'PlayerGrades+'!$AF$8,"B",IF(N680&lt;'PlayerGrades+'!$AF$7,"B+",IF(N680&lt;'PlayerGrades+'!$AF$6,"A-",IF(N680&lt;'PlayerGrades+'!$AF$5,"A",IF(N680&lt;'PlayerGrades+'!$AF$4,"A+",IF(N680&lt;'PlayerGrades+'!$AF$3,"S-",IF(N680&lt;'PlayerGrades+'!$AF$2,"S","S+"))))))))))))))))))))</f>
        <v>#DIV/0!</v>
      </c>
      <c r="P680" s="1423" t="str">
        <f t="shared" si="18"/>
        <v>#DIV/0!</v>
      </c>
      <c r="Q680" s="1423" t="str">
        <f>IF(P680&lt;'PlayerGrades+'!$AG$21,"F-",IF(P680&lt;'PlayerGrades+'!$AG$20,"F",IF(P680&lt;'PlayerGrades+'!$AG$19,"F+",IF(P680&lt;'PlayerGrades+'!$AG$18,"E-",IF(P680&lt;'PlayerGrades+'!$AG$17,"E",IF(P680&lt;'PlayerGrades+'!$AG$16,"E+",IF(P680&lt;'PlayerGrades+'!$AG$15,"D-",IF(P680&lt;'PlayerGrades+'!$AG$14,"D",IF(P680&lt;'PlayerGrades+'!$AG$13,"D+",IF(P680&lt;'PlayerGrades+'!$AG$12,"C-",IF(P680&lt;'PlayerGrades+'!$AG$11,"C",IF(P680&lt;'PlayerGrades+'!$AG$10,"C+",IF(P680&lt;'PlayerGrades+'!$AG$9,"B-",IF(P680&lt;'PlayerGrades+'!$AG$8,"B",IF(P680&lt;'PlayerGrades+'!$AG$7,"B+",IF(P680&lt;'PlayerGrades+'!$AG$6,"A-",IF(P680&lt;'PlayerGrades+'!$AG$5,"A",IF(P680&lt;'PlayerGrades+'!$AG$4,"A+",IF(P680&lt;'PlayerGrades+'!$AG$3,"S-",IF(P680&lt;'PlayerGrades+'!$AG$2,"S","S+"))))))))))))))))))))</f>
        <v>#DIV/0!</v>
      </c>
      <c r="R680" s="1423" t="str">
        <f t="shared" si="19"/>
        <v>#REF!</v>
      </c>
      <c r="S680" s="1423" t="str">
        <f>IF(R680&lt;'PlayerGrades+'!$AH$21,"F-",IF(R680&lt;'PlayerGrades+'!$AH$20,"F",IF(R680&lt;'PlayerGrades+'!$AH$19,"F+",IF(R680&lt;'PlayerGrades+'!$AH$18,"E-",IF(R680&lt;'PlayerGrades+'!$AH$17,"E",IF(R680&lt;'PlayerGrades+'!$AH$16,"E+",IF(R680&lt;'PlayerGrades+'!$AH$15,"D-",IF(R680&lt;'PlayerGrades+'!$AH$14,"D",IF(R680&lt;'PlayerGrades+'!$AH$13,"D+",IF(R680&lt;'PlayerGrades+'!$AH$12,"C-",IF(R680&lt;'PlayerGrades+'!$AH$11,"C",IF(R680&lt;'PlayerGrades+'!$AH$10,"C+",IF(R680&lt;'PlayerGrades+'!$AH$9,"B-",IF(R680&lt;'PlayerGrades+'!$AH$8,"B",IF(R680&lt;'PlayerGrades+'!$AH$7,"B+",IF(R680&lt;'PlayerGrades+'!$AH$6,"A-",IF(R680&lt;'PlayerGrades+'!$AH$5,"A",IF(R680&lt;'PlayerGrades+'!$AH$4,"A+",IF(R680&lt;'PlayerGrades+'!$AH$3,"S-",IF(R680&lt;'PlayerGrades+'!$AH$2,"S","S+"))))))))))))))))))))</f>
        <v>#REF!</v>
      </c>
      <c r="T680" s="1423" t="str">
        <f t="shared" si="20"/>
        <v>#REF!</v>
      </c>
      <c r="U680" s="1423" t="str">
        <f>IF(T680&lt;'PlayerGrades+'!$AI$21,"F-",IF(T680&lt;'PlayerGrades+'!$AI$20,"F",IF(T680&lt;'PlayerGrades+'!$AI$19,"F+",IF(T680&lt;'PlayerGrades+'!$AI$18,"E-",IF(T680&lt;'PlayerGrades+'!$AI$17,"E",IF(T680&lt;'PlayerGrades+'!$AI$16,"E+",IF(T680&lt;'PlayerGrades+'!$AI$15,"D-",IF(T680&lt;'PlayerGrades+'!$AI$14,"D",IF(T680&lt;'PlayerGrades+'!$AI$13,"D+",IF(T680&lt;'PlayerGrades+'!$AI$12,"C-",IF(T680&lt;'PlayerGrades+'!$AI$11,"C",IF(T680&lt;'PlayerGrades+'!$AI$10,"C+",IF(T680&lt;'PlayerGrades+'!$AI$9,"B-",IF(T680&lt;'PlayerGrades+'!$AI$8,"B",IF(T680&lt;'PlayerGrades+'!$AI$7,"B+",IF(T680&lt;'PlayerGrades+'!$AI$6,"A-",IF(T680&lt;'PlayerGrades+'!$AI$5,"A",IF(T680&lt;'PlayerGrades+'!$AI$4,"A+",IF(T680&lt;'PlayerGrades+'!$AI$3,"S-",IF(T680&lt;'PlayerGrades+'!$AI$2,"S","S+"))))))))))))))))))))</f>
        <v>#REF!</v>
      </c>
      <c r="AC680" s="1392"/>
    </row>
    <row r="681">
      <c r="A681" s="1393"/>
      <c r="B681" s="1421" t="str">
        <f>IF(C681&lt;'PlayerGrades+'!$Y$44,"F-",IF(C681&lt;'PlayerGrades+'!$Y$43,"F",IF(C681&lt;'PlayerGrades+'!$Y$42,"F+",IF(C681&lt;'PlayerGrades+'!$Y$41,"E-",IF(C681&lt;'PlayerGrades+'!$Y$40,"E",IF(C681&lt;'PlayerGrades+'!$Y$39,"E+",IF(C681&lt;'PlayerGrades+'!$Y$38,"D-",IF(C681&lt;'PlayerGrades+'!$Y$37,"D",IF(C681&lt;'PlayerGrades+'!$Y$36,"D+",IF(C681&lt;'PlayerGrades+'!$Y$35,"C-",IF(C681&lt;'PlayerGrades+'!$Y$34,"C",IF(C681&lt;'PlayerGrades+'!$Y$33,"C+",IF(C681&lt;'PlayerGrades+'!$Y$32,"B-",IF(C681&lt;'PlayerGrades+'!$Y$31,"B",IF(C681&lt;'PlayerGrades+'!$Y$30,"B+",IF(C681&lt;'PlayerGrades+'!$Y$29,"A-",IF(C681&lt;'PlayerGrades+'!$Y$28,"A",IF(C681&lt;'PlayerGrades+'!$Y$27,"A+",IF(C681&lt;'PlayerGrades+'!$Y$26,"S-",IF(C681&lt;'PlayerGrades+'!$Y$25,"S","S+"))))))))))))))))))))</f>
        <v>#DIV/0!</v>
      </c>
      <c r="C681" s="1422" t="str">
        <f>('PlayerGrades+'!$Y$47*(VLOOKUP(E681, 'PlayerGrades+'!$X$3:$Y$23, 2, FALSE)))+('PlayerGrades+'!$Y$48*(VLOOKUP(G681, 'PlayerGrades+'!$X$3:$Y$23, 2, FALSE)))+('PlayerGrades+'!$Y$49*(VLOOKUP(I681, 'PlayerGrades+'!$X$3:$Y$23, 2, FALSE)))+('PlayerGrades+'!$Y$50*(VLOOKUP(K681, 'PlayerGrades+'!$X$3:$Y$23, 2, FALSE)))+('PlayerGrades+'!$Y$51*(VLOOKUP(M681, 'PlayerGrades+'!$X$3:$Y$23, 2, FALSE)))+('PlayerGrades+'!$Y$52*(VLOOKUP(O681, 'PlayerGrades+'!$X$3:$Y$23, 2, FALSE)))+('PlayerGrades+'!$Y$53*(VLOOKUP(Q681, 'PlayerGrades+'!$X$3:$Y$23, 2, FALSE)))+('PlayerGrades+'!$Y$54*(VLOOKUP(S681, 'PlayerGrades+'!$X$3:$Y$23, 2, FALSE)))+('PlayerGrades+'!$Y$55*(VLOOKUP(U681, 'PlayerGrades+'!$X$3:$Y$23, 2, FALSE)))</f>
        <v>#DIV/0!</v>
      </c>
      <c r="D681" s="1423" t="str">
        <f t="shared" si="12"/>
        <v>#DIV/0!</v>
      </c>
      <c r="E681" s="1423" t="str">
        <f>IF(D681&lt;'PlayerGrades+'!$AA$21,"F-",IF(D681&lt;'PlayerGrades+'!$AA$20,"F",IF(D681&lt;'PlayerGrades+'!$AA$19,"F+",IF(D681&lt;'PlayerGrades+'!$AA$18,"E-",IF(D681&lt;'PlayerGrades+'!$AA$17,"E",IF(D681&lt;'PlayerGrades+'!$AA$16,"E+",IF(D681&lt;'PlayerGrades+'!$AA$15,"D-",IF(D681&lt;'PlayerGrades+'!$AA$14,"D",IF(D681&lt;'PlayerGrades+'!$AA$13,"D+",IF(D681&lt;'PlayerGrades+'!$AA$12,"C-",IF(D681&lt;'PlayerGrades+'!$AA$11,"C",IF(D681&lt;'PlayerGrades+'!$AA$10,"C+",IF(D681&lt;'PlayerGrades+'!$AA$9,"B-",IF(D681&lt;'PlayerGrades+'!$AA$8,"B",IF(D681&lt;'PlayerGrades+'!$AA$7,"B+",IF(D681&lt;'PlayerGrades+'!$AA$6,"A-",IF(D681&lt;'PlayerGrades+'!$AA$5,"A",IF(D681&lt;'PlayerGrades+'!$AA$4,"A+",IF(D681&lt;'PlayerGrades+'!$AA$3,"S-",IF(D681&lt;'PlayerGrades+'!$AA$2,"S","S+"))))))))))))))))))))</f>
        <v>#DIV/0!</v>
      </c>
      <c r="F681" s="1423" t="str">
        <f t="shared" si="13"/>
        <v>#DIV/0!</v>
      </c>
      <c r="G681" s="1423" t="str">
        <f>IF(F681&lt;'PlayerGrades+'!$AB$21,"F-",IF(F681&lt;'PlayerGrades+'!$AB$20,"F",IF(F681&lt;'PlayerGrades+'!$AB$19,"F+",IF(F681&lt;'PlayerGrades+'!$AB$18,"E-",IF(F681&lt;'PlayerGrades+'!$AB$17,"E",IF(F681&lt;'PlayerGrades+'!$AB$16,"E+",IF(F681&lt;'PlayerGrades+'!$AB$15,"D-",IF(F681&lt;'PlayerGrades+'!$AB$14,"D",IF(F681&lt;'PlayerGrades+'!$AB$13,"D+",IF(F681&lt;'PlayerGrades+'!$AB$12,"C-",IF(F681&lt;'PlayerGrades+'!$AB$11,"C",IF(F681&lt;'PlayerGrades+'!$AB$10,"C+",IF(F681&lt;'PlayerGrades+'!$AB$9,"B-",IF(F681&lt;'PlayerGrades+'!$AB$8,"B",IF(F681&lt;'PlayerGrades+'!$AB$7,"B+",IF(F681&lt;'PlayerGrades+'!$AB$6,"A-",IF(F681&lt;'PlayerGrades+'!$AB$5,"A",IF(F681&lt;'PlayerGrades+'!$AB$4,"A+",IF(F681&lt;'PlayerGrades+'!$AB$3,"S-",IF(F681&lt;'PlayerGrades+'!$AB$2,"S","S+"))))))))))))))))))))</f>
        <v>#DIV/0!</v>
      </c>
      <c r="H681" s="1423" t="str">
        <f t="shared" si="14"/>
        <v>#DIV/0!</v>
      </c>
      <c r="I681" s="1423" t="str">
        <f>IF(H681&lt;'PlayerGrades+'!$AC$21,"F-",IF(H681&lt;'PlayerGrades+'!$AC$20,"F",IF(H681&lt;'PlayerGrades+'!$AC$19,"F+",IF(H681&lt;'PlayerGrades+'!$AC$18,"E-",IF(H681&lt;'PlayerGrades+'!$AC$17,"E",IF(H681&lt;'PlayerGrades+'!$AC$16,"E+",IF(H681&lt;'PlayerGrades+'!$AC$15,"D-",IF(H681&lt;'PlayerGrades+'!$AC$14,"D",IF(H681&lt;'PlayerGrades+'!$AC$13,"D+",IF(H681&lt;'PlayerGrades+'!$AC$12,"C-",IF(H681&lt;'PlayerGrades+'!$AC$11,"C",IF(H681&lt;'PlayerGrades+'!$AC$10,"C+",IF(H681&lt;'PlayerGrades+'!$AC$9,"B-",IF(H681&lt;'PlayerGrades+'!$AC$8,"B",IF(H681&lt;'PlayerGrades+'!$AC$7,"B+",IF(H681&lt;'PlayerGrades+'!$AC$6,"A-",IF(H681&lt;'PlayerGrades+'!$AC$5,"A",IF(H681&lt;'PlayerGrades+'!$AC$4,"A+",IF(H681&lt;'PlayerGrades+'!$AC$3,"S-",IF(H681&lt;'PlayerGrades+'!$AC$2,"S","S+"))))))))))))))))))))</f>
        <v>#DIV/0!</v>
      </c>
      <c r="J681" s="1423" t="str">
        <f t="shared" si="15"/>
        <v>#DIV/0!</v>
      </c>
      <c r="K681" s="1423" t="str">
        <f>IF(J681&lt;'PlayerGrades+'!$AD$21,"F-",IF(J681&lt;'PlayerGrades+'!$AD$20,"F",IF(J681&lt;'PlayerGrades+'!$AD$19,"F+",IF(J681&lt;'PlayerGrades+'!$AD$18,"E-",IF(J681&lt;'PlayerGrades+'!$AD$17,"E",IF(J681&lt;'PlayerGrades+'!$AD$16,"E+",IF(J681&lt;'PlayerGrades+'!$AD$15,"D-",IF(J681&lt;'PlayerGrades+'!$AD$14,"D",IF(J681&lt;'PlayerGrades+'!$AD$13,"D+",IF(J681&lt;'PlayerGrades+'!$AD$12,"C-",IF(J681&lt;'PlayerGrades+'!$AD$11,"C",IF(J681&lt;'PlayerGrades+'!$AD$10,"C+",IF(J681&lt;'PlayerGrades+'!$AD$9,"B-",IF(J681&lt;'PlayerGrades+'!$AD$8,"B",IF(J681&lt;'PlayerGrades+'!$AD$7,"B+",IF(J681&lt;'PlayerGrades+'!$AD$6,"A-",IF(J681&lt;'PlayerGrades+'!$AD$5,"A",IF(J681&lt;'PlayerGrades+'!$AD$4,"A+",IF(J681&lt;'PlayerGrades+'!$AD$3,"S-",IF(J681&lt;'PlayerGrades+'!$AD$2,"S","S+"))))))))))))))))))))</f>
        <v>#DIV/0!</v>
      </c>
      <c r="L681" s="1176" t="str">
        <f t="shared" si="16"/>
        <v>#DIV/0!</v>
      </c>
      <c r="M681" s="992" t="str">
        <f>IF(L681&lt;'PlayerGrades+'!$AE$21,"F-",IF(L681&lt;'PlayerGrades+'!$AE$20,"F",IF(L681&lt;'PlayerGrades+'!$AE$19,"F+",IF(L681&lt;'PlayerGrades+'!$AE$18,"E-",IF(L681&lt;'PlayerGrades+'!$AE$17,"E",IF(L681&lt;'PlayerGrades+'!$AE$16,"E+",IF(L681&lt;'PlayerGrades+'!$AE$15,"D-",IF(L681&lt;'PlayerGrades+'!$AE$14,"D",IF(L681&lt;'PlayerGrades+'!$AE$13,"D+",IF(L681&lt;'PlayerGrades+'!$AE$12,"C-",IF(L681&lt;'PlayerGrades+'!$AE$11,"C",IF(L681&lt;'PlayerGrades+'!$AE$10,"C+",IF(L681&lt;'PlayerGrades+'!$AE$9,"B-",IF(L681&lt;'PlayerGrades+'!$AE$8,"B",IF(L681&lt;'PlayerGrades+'!$AE$7,"B+",IF(L681&lt;'PlayerGrades+'!$AE$6,"A-",IF(L681&lt;'PlayerGrades+'!$AE$5,"A",IF(L681&lt;'PlayerGrades+'!$AE$4,"A+",IF(L681&lt;'PlayerGrades+'!$AE$3,"S-",IF(L681&lt;'PlayerGrades+'!$AE$2,"S","S+"))))))))))))))))))))</f>
        <v>#DIV/0!</v>
      </c>
      <c r="N681" s="1423" t="str">
        <f t="shared" si="17"/>
        <v>#DIV/0!</v>
      </c>
      <c r="O681" s="1423" t="str">
        <f>IF(N681&lt;'PlayerGrades+'!$AF$21,"F-",IF(N681&lt;'PlayerGrades+'!$AF$20,"F",IF(N681&lt;'PlayerGrades+'!$AF$19,"F+",IF(N681&lt;'PlayerGrades+'!$AF$18,"E-",IF(N681&lt;'PlayerGrades+'!$AF$17,"E",IF(N681&lt;'PlayerGrades+'!$AF$16,"E+",IF(N681&lt;'PlayerGrades+'!$AF$15,"D-",IF(N681&lt;'PlayerGrades+'!$AF$14,"D",IF(N681&lt;'PlayerGrades+'!$AF$13,"D+",IF(N681&lt;'PlayerGrades+'!$AF$12,"C-",IF(N681&lt;'PlayerGrades+'!$AF$11,"C",IF(N681&lt;'PlayerGrades+'!$AF$10,"C+",IF(N681&lt;'PlayerGrades+'!$AF$9,"B-",IF(N681&lt;'PlayerGrades+'!$AF$8,"B",IF(N681&lt;'PlayerGrades+'!$AF$7,"B+",IF(N681&lt;'PlayerGrades+'!$AF$6,"A-",IF(N681&lt;'PlayerGrades+'!$AF$5,"A",IF(N681&lt;'PlayerGrades+'!$AF$4,"A+",IF(N681&lt;'PlayerGrades+'!$AF$3,"S-",IF(N681&lt;'PlayerGrades+'!$AF$2,"S","S+"))))))))))))))))))))</f>
        <v>#DIV/0!</v>
      </c>
      <c r="P681" s="1423" t="str">
        <f t="shared" si="18"/>
        <v>#DIV/0!</v>
      </c>
      <c r="Q681" s="1423" t="str">
        <f>IF(P681&lt;'PlayerGrades+'!$AG$21,"F-",IF(P681&lt;'PlayerGrades+'!$AG$20,"F",IF(P681&lt;'PlayerGrades+'!$AG$19,"F+",IF(P681&lt;'PlayerGrades+'!$AG$18,"E-",IF(P681&lt;'PlayerGrades+'!$AG$17,"E",IF(P681&lt;'PlayerGrades+'!$AG$16,"E+",IF(P681&lt;'PlayerGrades+'!$AG$15,"D-",IF(P681&lt;'PlayerGrades+'!$AG$14,"D",IF(P681&lt;'PlayerGrades+'!$AG$13,"D+",IF(P681&lt;'PlayerGrades+'!$AG$12,"C-",IF(P681&lt;'PlayerGrades+'!$AG$11,"C",IF(P681&lt;'PlayerGrades+'!$AG$10,"C+",IF(P681&lt;'PlayerGrades+'!$AG$9,"B-",IF(P681&lt;'PlayerGrades+'!$AG$8,"B",IF(P681&lt;'PlayerGrades+'!$AG$7,"B+",IF(P681&lt;'PlayerGrades+'!$AG$6,"A-",IF(P681&lt;'PlayerGrades+'!$AG$5,"A",IF(P681&lt;'PlayerGrades+'!$AG$4,"A+",IF(P681&lt;'PlayerGrades+'!$AG$3,"S-",IF(P681&lt;'PlayerGrades+'!$AG$2,"S","S+"))))))))))))))))))))</f>
        <v>#DIV/0!</v>
      </c>
      <c r="R681" s="1423" t="str">
        <f t="shared" si="19"/>
        <v>#REF!</v>
      </c>
      <c r="S681" s="1423" t="str">
        <f>IF(R681&lt;'PlayerGrades+'!$AH$21,"F-",IF(R681&lt;'PlayerGrades+'!$AH$20,"F",IF(R681&lt;'PlayerGrades+'!$AH$19,"F+",IF(R681&lt;'PlayerGrades+'!$AH$18,"E-",IF(R681&lt;'PlayerGrades+'!$AH$17,"E",IF(R681&lt;'PlayerGrades+'!$AH$16,"E+",IF(R681&lt;'PlayerGrades+'!$AH$15,"D-",IF(R681&lt;'PlayerGrades+'!$AH$14,"D",IF(R681&lt;'PlayerGrades+'!$AH$13,"D+",IF(R681&lt;'PlayerGrades+'!$AH$12,"C-",IF(R681&lt;'PlayerGrades+'!$AH$11,"C",IF(R681&lt;'PlayerGrades+'!$AH$10,"C+",IF(R681&lt;'PlayerGrades+'!$AH$9,"B-",IF(R681&lt;'PlayerGrades+'!$AH$8,"B",IF(R681&lt;'PlayerGrades+'!$AH$7,"B+",IF(R681&lt;'PlayerGrades+'!$AH$6,"A-",IF(R681&lt;'PlayerGrades+'!$AH$5,"A",IF(R681&lt;'PlayerGrades+'!$AH$4,"A+",IF(R681&lt;'PlayerGrades+'!$AH$3,"S-",IF(R681&lt;'PlayerGrades+'!$AH$2,"S","S+"))))))))))))))))))))</f>
        <v>#REF!</v>
      </c>
      <c r="T681" s="1423" t="str">
        <f t="shared" si="20"/>
        <v>#REF!</v>
      </c>
      <c r="U681" s="1423" t="str">
        <f>IF(T681&lt;'PlayerGrades+'!$AI$21,"F-",IF(T681&lt;'PlayerGrades+'!$AI$20,"F",IF(T681&lt;'PlayerGrades+'!$AI$19,"F+",IF(T681&lt;'PlayerGrades+'!$AI$18,"E-",IF(T681&lt;'PlayerGrades+'!$AI$17,"E",IF(T681&lt;'PlayerGrades+'!$AI$16,"E+",IF(T681&lt;'PlayerGrades+'!$AI$15,"D-",IF(T681&lt;'PlayerGrades+'!$AI$14,"D",IF(T681&lt;'PlayerGrades+'!$AI$13,"D+",IF(T681&lt;'PlayerGrades+'!$AI$12,"C-",IF(T681&lt;'PlayerGrades+'!$AI$11,"C",IF(T681&lt;'PlayerGrades+'!$AI$10,"C+",IF(T681&lt;'PlayerGrades+'!$AI$9,"B-",IF(T681&lt;'PlayerGrades+'!$AI$8,"B",IF(T681&lt;'PlayerGrades+'!$AI$7,"B+",IF(T681&lt;'PlayerGrades+'!$AI$6,"A-",IF(T681&lt;'PlayerGrades+'!$AI$5,"A",IF(T681&lt;'PlayerGrades+'!$AI$4,"A+",IF(T681&lt;'PlayerGrades+'!$AI$3,"S-",IF(T681&lt;'PlayerGrades+'!$AI$2,"S","S+"))))))))))))))))))))</f>
        <v>#REF!</v>
      </c>
      <c r="V681" s="1386"/>
      <c r="W681" s="1386"/>
      <c r="X681" s="1386"/>
      <c r="Y681" s="1386"/>
      <c r="Z681" s="1386"/>
      <c r="AA681" s="1386"/>
      <c r="AB681" s="1386"/>
      <c r="AC681" s="1397"/>
      <c r="AD681" s="1386"/>
      <c r="AE681" s="1386"/>
      <c r="AF681" s="1386"/>
      <c r="AG681" s="1386"/>
      <c r="AH681" s="1386"/>
      <c r="AI681" s="1386"/>
      <c r="AJ681" s="1386"/>
      <c r="AK681" s="1386"/>
      <c r="AL681" s="1386"/>
      <c r="AM681" s="1386"/>
      <c r="AN681" s="1386"/>
      <c r="AO681" s="1386"/>
      <c r="AP681" s="1386"/>
      <c r="AQ681" s="1386"/>
      <c r="AR681" s="1386"/>
      <c r="AS681" s="1386"/>
      <c r="AT681" s="1386"/>
      <c r="AU681" s="1386"/>
      <c r="AV681" s="1386"/>
      <c r="AW681" s="1386"/>
      <c r="AX681" s="1386"/>
      <c r="AY681" s="1386"/>
      <c r="AZ681" s="1386"/>
    </row>
    <row r="682">
      <c r="A682" s="1389"/>
      <c r="B682" s="1421" t="str">
        <f>IF(C682&lt;'PlayerGrades+'!$Y$44,"F-",IF(C682&lt;'PlayerGrades+'!$Y$43,"F",IF(C682&lt;'PlayerGrades+'!$Y$42,"F+",IF(C682&lt;'PlayerGrades+'!$Y$41,"E-",IF(C682&lt;'PlayerGrades+'!$Y$40,"E",IF(C682&lt;'PlayerGrades+'!$Y$39,"E+",IF(C682&lt;'PlayerGrades+'!$Y$38,"D-",IF(C682&lt;'PlayerGrades+'!$Y$37,"D",IF(C682&lt;'PlayerGrades+'!$Y$36,"D+",IF(C682&lt;'PlayerGrades+'!$Y$35,"C-",IF(C682&lt;'PlayerGrades+'!$Y$34,"C",IF(C682&lt;'PlayerGrades+'!$Y$33,"C+",IF(C682&lt;'PlayerGrades+'!$Y$32,"B-",IF(C682&lt;'PlayerGrades+'!$Y$31,"B",IF(C682&lt;'PlayerGrades+'!$Y$30,"B+",IF(C682&lt;'PlayerGrades+'!$Y$29,"A-",IF(C682&lt;'PlayerGrades+'!$Y$28,"A",IF(C682&lt;'PlayerGrades+'!$Y$27,"A+",IF(C682&lt;'PlayerGrades+'!$Y$26,"S-",IF(C682&lt;'PlayerGrades+'!$Y$25,"S","S+"))))))))))))))))))))</f>
        <v>#DIV/0!</v>
      </c>
      <c r="C682" s="1422" t="str">
        <f>('PlayerGrades+'!$Y$47*(VLOOKUP(E682, 'PlayerGrades+'!$X$3:$Y$23, 2, FALSE)))+('PlayerGrades+'!$Y$48*(VLOOKUP(G682, 'PlayerGrades+'!$X$3:$Y$23, 2, FALSE)))+('PlayerGrades+'!$Y$49*(VLOOKUP(I682, 'PlayerGrades+'!$X$3:$Y$23, 2, FALSE)))+('PlayerGrades+'!$Y$50*(VLOOKUP(K682, 'PlayerGrades+'!$X$3:$Y$23, 2, FALSE)))+('PlayerGrades+'!$Y$51*(VLOOKUP(M682, 'PlayerGrades+'!$X$3:$Y$23, 2, FALSE)))+('PlayerGrades+'!$Y$52*(VLOOKUP(O682, 'PlayerGrades+'!$X$3:$Y$23, 2, FALSE)))+('PlayerGrades+'!$Y$53*(VLOOKUP(Q682, 'PlayerGrades+'!$X$3:$Y$23, 2, FALSE)))+('PlayerGrades+'!$Y$54*(VLOOKUP(S682, 'PlayerGrades+'!$X$3:$Y$23, 2, FALSE)))+('PlayerGrades+'!$Y$55*(VLOOKUP(U682, 'PlayerGrades+'!$X$3:$Y$23, 2, FALSE)))</f>
        <v>#DIV/0!</v>
      </c>
      <c r="D682" s="1423" t="str">
        <f t="shared" si="12"/>
        <v>#DIV/0!</v>
      </c>
      <c r="E682" s="1423" t="str">
        <f>IF(D682&lt;'PlayerGrades+'!$AA$21,"F-",IF(D682&lt;'PlayerGrades+'!$AA$20,"F",IF(D682&lt;'PlayerGrades+'!$AA$19,"F+",IF(D682&lt;'PlayerGrades+'!$AA$18,"E-",IF(D682&lt;'PlayerGrades+'!$AA$17,"E",IF(D682&lt;'PlayerGrades+'!$AA$16,"E+",IF(D682&lt;'PlayerGrades+'!$AA$15,"D-",IF(D682&lt;'PlayerGrades+'!$AA$14,"D",IF(D682&lt;'PlayerGrades+'!$AA$13,"D+",IF(D682&lt;'PlayerGrades+'!$AA$12,"C-",IF(D682&lt;'PlayerGrades+'!$AA$11,"C",IF(D682&lt;'PlayerGrades+'!$AA$10,"C+",IF(D682&lt;'PlayerGrades+'!$AA$9,"B-",IF(D682&lt;'PlayerGrades+'!$AA$8,"B",IF(D682&lt;'PlayerGrades+'!$AA$7,"B+",IF(D682&lt;'PlayerGrades+'!$AA$6,"A-",IF(D682&lt;'PlayerGrades+'!$AA$5,"A",IF(D682&lt;'PlayerGrades+'!$AA$4,"A+",IF(D682&lt;'PlayerGrades+'!$AA$3,"S-",IF(D682&lt;'PlayerGrades+'!$AA$2,"S","S+"))))))))))))))))))))</f>
        <v>#DIV/0!</v>
      </c>
      <c r="F682" s="1423" t="str">
        <f t="shared" si="13"/>
        <v>#DIV/0!</v>
      </c>
      <c r="G682" s="1423" t="str">
        <f>IF(F682&lt;'PlayerGrades+'!$AB$21,"F-",IF(F682&lt;'PlayerGrades+'!$AB$20,"F",IF(F682&lt;'PlayerGrades+'!$AB$19,"F+",IF(F682&lt;'PlayerGrades+'!$AB$18,"E-",IF(F682&lt;'PlayerGrades+'!$AB$17,"E",IF(F682&lt;'PlayerGrades+'!$AB$16,"E+",IF(F682&lt;'PlayerGrades+'!$AB$15,"D-",IF(F682&lt;'PlayerGrades+'!$AB$14,"D",IF(F682&lt;'PlayerGrades+'!$AB$13,"D+",IF(F682&lt;'PlayerGrades+'!$AB$12,"C-",IF(F682&lt;'PlayerGrades+'!$AB$11,"C",IF(F682&lt;'PlayerGrades+'!$AB$10,"C+",IF(F682&lt;'PlayerGrades+'!$AB$9,"B-",IF(F682&lt;'PlayerGrades+'!$AB$8,"B",IF(F682&lt;'PlayerGrades+'!$AB$7,"B+",IF(F682&lt;'PlayerGrades+'!$AB$6,"A-",IF(F682&lt;'PlayerGrades+'!$AB$5,"A",IF(F682&lt;'PlayerGrades+'!$AB$4,"A+",IF(F682&lt;'PlayerGrades+'!$AB$3,"S-",IF(F682&lt;'PlayerGrades+'!$AB$2,"S","S+"))))))))))))))))))))</f>
        <v>#DIV/0!</v>
      </c>
      <c r="H682" s="1423" t="str">
        <f t="shared" si="14"/>
        <v>#DIV/0!</v>
      </c>
      <c r="I682" s="1423" t="str">
        <f>IF(H682&lt;'PlayerGrades+'!$AC$21,"F-",IF(H682&lt;'PlayerGrades+'!$AC$20,"F",IF(H682&lt;'PlayerGrades+'!$AC$19,"F+",IF(H682&lt;'PlayerGrades+'!$AC$18,"E-",IF(H682&lt;'PlayerGrades+'!$AC$17,"E",IF(H682&lt;'PlayerGrades+'!$AC$16,"E+",IF(H682&lt;'PlayerGrades+'!$AC$15,"D-",IF(H682&lt;'PlayerGrades+'!$AC$14,"D",IF(H682&lt;'PlayerGrades+'!$AC$13,"D+",IF(H682&lt;'PlayerGrades+'!$AC$12,"C-",IF(H682&lt;'PlayerGrades+'!$AC$11,"C",IF(H682&lt;'PlayerGrades+'!$AC$10,"C+",IF(H682&lt;'PlayerGrades+'!$AC$9,"B-",IF(H682&lt;'PlayerGrades+'!$AC$8,"B",IF(H682&lt;'PlayerGrades+'!$AC$7,"B+",IF(H682&lt;'PlayerGrades+'!$AC$6,"A-",IF(H682&lt;'PlayerGrades+'!$AC$5,"A",IF(H682&lt;'PlayerGrades+'!$AC$4,"A+",IF(H682&lt;'PlayerGrades+'!$AC$3,"S-",IF(H682&lt;'PlayerGrades+'!$AC$2,"S","S+"))))))))))))))))))))</f>
        <v>#DIV/0!</v>
      </c>
      <c r="J682" s="1423" t="str">
        <f t="shared" si="15"/>
        <v>#DIV/0!</v>
      </c>
      <c r="K682" s="1423" t="str">
        <f>IF(J682&lt;'PlayerGrades+'!$AD$21,"F-",IF(J682&lt;'PlayerGrades+'!$AD$20,"F",IF(J682&lt;'PlayerGrades+'!$AD$19,"F+",IF(J682&lt;'PlayerGrades+'!$AD$18,"E-",IF(J682&lt;'PlayerGrades+'!$AD$17,"E",IF(J682&lt;'PlayerGrades+'!$AD$16,"E+",IF(J682&lt;'PlayerGrades+'!$AD$15,"D-",IF(J682&lt;'PlayerGrades+'!$AD$14,"D",IF(J682&lt;'PlayerGrades+'!$AD$13,"D+",IF(J682&lt;'PlayerGrades+'!$AD$12,"C-",IF(J682&lt;'PlayerGrades+'!$AD$11,"C",IF(J682&lt;'PlayerGrades+'!$AD$10,"C+",IF(J682&lt;'PlayerGrades+'!$AD$9,"B-",IF(J682&lt;'PlayerGrades+'!$AD$8,"B",IF(J682&lt;'PlayerGrades+'!$AD$7,"B+",IF(J682&lt;'PlayerGrades+'!$AD$6,"A-",IF(J682&lt;'PlayerGrades+'!$AD$5,"A",IF(J682&lt;'PlayerGrades+'!$AD$4,"A+",IF(J682&lt;'PlayerGrades+'!$AD$3,"S-",IF(J682&lt;'PlayerGrades+'!$AD$2,"S","S+"))))))))))))))))))))</f>
        <v>#DIV/0!</v>
      </c>
      <c r="L682" s="1176" t="str">
        <f t="shared" si="16"/>
        <v>#DIV/0!</v>
      </c>
      <c r="M682" s="992" t="str">
        <f>IF(L682&lt;'PlayerGrades+'!$AE$21,"F-",IF(L682&lt;'PlayerGrades+'!$AE$20,"F",IF(L682&lt;'PlayerGrades+'!$AE$19,"F+",IF(L682&lt;'PlayerGrades+'!$AE$18,"E-",IF(L682&lt;'PlayerGrades+'!$AE$17,"E",IF(L682&lt;'PlayerGrades+'!$AE$16,"E+",IF(L682&lt;'PlayerGrades+'!$AE$15,"D-",IF(L682&lt;'PlayerGrades+'!$AE$14,"D",IF(L682&lt;'PlayerGrades+'!$AE$13,"D+",IF(L682&lt;'PlayerGrades+'!$AE$12,"C-",IF(L682&lt;'PlayerGrades+'!$AE$11,"C",IF(L682&lt;'PlayerGrades+'!$AE$10,"C+",IF(L682&lt;'PlayerGrades+'!$AE$9,"B-",IF(L682&lt;'PlayerGrades+'!$AE$8,"B",IF(L682&lt;'PlayerGrades+'!$AE$7,"B+",IF(L682&lt;'PlayerGrades+'!$AE$6,"A-",IF(L682&lt;'PlayerGrades+'!$AE$5,"A",IF(L682&lt;'PlayerGrades+'!$AE$4,"A+",IF(L682&lt;'PlayerGrades+'!$AE$3,"S-",IF(L682&lt;'PlayerGrades+'!$AE$2,"S","S+"))))))))))))))))))))</f>
        <v>#DIV/0!</v>
      </c>
      <c r="N682" s="1423" t="str">
        <f t="shared" si="17"/>
        <v>#DIV/0!</v>
      </c>
      <c r="O682" s="1423" t="str">
        <f>IF(N682&lt;'PlayerGrades+'!$AF$21,"F-",IF(N682&lt;'PlayerGrades+'!$AF$20,"F",IF(N682&lt;'PlayerGrades+'!$AF$19,"F+",IF(N682&lt;'PlayerGrades+'!$AF$18,"E-",IF(N682&lt;'PlayerGrades+'!$AF$17,"E",IF(N682&lt;'PlayerGrades+'!$AF$16,"E+",IF(N682&lt;'PlayerGrades+'!$AF$15,"D-",IF(N682&lt;'PlayerGrades+'!$AF$14,"D",IF(N682&lt;'PlayerGrades+'!$AF$13,"D+",IF(N682&lt;'PlayerGrades+'!$AF$12,"C-",IF(N682&lt;'PlayerGrades+'!$AF$11,"C",IF(N682&lt;'PlayerGrades+'!$AF$10,"C+",IF(N682&lt;'PlayerGrades+'!$AF$9,"B-",IF(N682&lt;'PlayerGrades+'!$AF$8,"B",IF(N682&lt;'PlayerGrades+'!$AF$7,"B+",IF(N682&lt;'PlayerGrades+'!$AF$6,"A-",IF(N682&lt;'PlayerGrades+'!$AF$5,"A",IF(N682&lt;'PlayerGrades+'!$AF$4,"A+",IF(N682&lt;'PlayerGrades+'!$AF$3,"S-",IF(N682&lt;'PlayerGrades+'!$AF$2,"S","S+"))))))))))))))))))))</f>
        <v>#DIV/0!</v>
      </c>
      <c r="P682" s="1423" t="str">
        <f t="shared" si="18"/>
        <v>#DIV/0!</v>
      </c>
      <c r="Q682" s="1423" t="str">
        <f>IF(P682&lt;'PlayerGrades+'!$AG$21,"F-",IF(P682&lt;'PlayerGrades+'!$AG$20,"F",IF(P682&lt;'PlayerGrades+'!$AG$19,"F+",IF(P682&lt;'PlayerGrades+'!$AG$18,"E-",IF(P682&lt;'PlayerGrades+'!$AG$17,"E",IF(P682&lt;'PlayerGrades+'!$AG$16,"E+",IF(P682&lt;'PlayerGrades+'!$AG$15,"D-",IF(P682&lt;'PlayerGrades+'!$AG$14,"D",IF(P682&lt;'PlayerGrades+'!$AG$13,"D+",IF(P682&lt;'PlayerGrades+'!$AG$12,"C-",IF(P682&lt;'PlayerGrades+'!$AG$11,"C",IF(P682&lt;'PlayerGrades+'!$AG$10,"C+",IF(P682&lt;'PlayerGrades+'!$AG$9,"B-",IF(P682&lt;'PlayerGrades+'!$AG$8,"B",IF(P682&lt;'PlayerGrades+'!$AG$7,"B+",IF(P682&lt;'PlayerGrades+'!$AG$6,"A-",IF(P682&lt;'PlayerGrades+'!$AG$5,"A",IF(P682&lt;'PlayerGrades+'!$AG$4,"A+",IF(P682&lt;'PlayerGrades+'!$AG$3,"S-",IF(P682&lt;'PlayerGrades+'!$AG$2,"S","S+"))))))))))))))))))))</f>
        <v>#DIV/0!</v>
      </c>
      <c r="R682" s="1423" t="str">
        <f t="shared" si="19"/>
        <v>#REF!</v>
      </c>
      <c r="S682" s="1423" t="str">
        <f>IF(R682&lt;'PlayerGrades+'!$AH$21,"F-",IF(R682&lt;'PlayerGrades+'!$AH$20,"F",IF(R682&lt;'PlayerGrades+'!$AH$19,"F+",IF(R682&lt;'PlayerGrades+'!$AH$18,"E-",IF(R682&lt;'PlayerGrades+'!$AH$17,"E",IF(R682&lt;'PlayerGrades+'!$AH$16,"E+",IF(R682&lt;'PlayerGrades+'!$AH$15,"D-",IF(R682&lt;'PlayerGrades+'!$AH$14,"D",IF(R682&lt;'PlayerGrades+'!$AH$13,"D+",IF(R682&lt;'PlayerGrades+'!$AH$12,"C-",IF(R682&lt;'PlayerGrades+'!$AH$11,"C",IF(R682&lt;'PlayerGrades+'!$AH$10,"C+",IF(R682&lt;'PlayerGrades+'!$AH$9,"B-",IF(R682&lt;'PlayerGrades+'!$AH$8,"B",IF(R682&lt;'PlayerGrades+'!$AH$7,"B+",IF(R682&lt;'PlayerGrades+'!$AH$6,"A-",IF(R682&lt;'PlayerGrades+'!$AH$5,"A",IF(R682&lt;'PlayerGrades+'!$AH$4,"A+",IF(R682&lt;'PlayerGrades+'!$AH$3,"S-",IF(R682&lt;'PlayerGrades+'!$AH$2,"S","S+"))))))))))))))))))))</f>
        <v>#REF!</v>
      </c>
      <c r="T682" s="1423" t="str">
        <f t="shared" si="20"/>
        <v>#REF!</v>
      </c>
      <c r="U682" s="1423" t="str">
        <f>IF(T682&lt;'PlayerGrades+'!$AI$21,"F-",IF(T682&lt;'PlayerGrades+'!$AI$20,"F",IF(T682&lt;'PlayerGrades+'!$AI$19,"F+",IF(T682&lt;'PlayerGrades+'!$AI$18,"E-",IF(T682&lt;'PlayerGrades+'!$AI$17,"E",IF(T682&lt;'PlayerGrades+'!$AI$16,"E+",IF(T682&lt;'PlayerGrades+'!$AI$15,"D-",IF(T682&lt;'PlayerGrades+'!$AI$14,"D",IF(T682&lt;'PlayerGrades+'!$AI$13,"D+",IF(T682&lt;'PlayerGrades+'!$AI$12,"C-",IF(T682&lt;'PlayerGrades+'!$AI$11,"C",IF(T682&lt;'PlayerGrades+'!$AI$10,"C+",IF(T682&lt;'PlayerGrades+'!$AI$9,"B-",IF(T682&lt;'PlayerGrades+'!$AI$8,"B",IF(T682&lt;'PlayerGrades+'!$AI$7,"B+",IF(T682&lt;'PlayerGrades+'!$AI$6,"A-",IF(T682&lt;'PlayerGrades+'!$AI$5,"A",IF(T682&lt;'PlayerGrades+'!$AI$4,"A+",IF(T682&lt;'PlayerGrades+'!$AI$3,"S-",IF(T682&lt;'PlayerGrades+'!$AI$2,"S","S+"))))))))))))))))))))</f>
        <v>#REF!</v>
      </c>
      <c r="V682" s="1379"/>
      <c r="W682" s="1379"/>
      <c r="X682" s="1379"/>
      <c r="Y682" s="1379"/>
      <c r="Z682" s="1379"/>
      <c r="AA682" s="1379"/>
      <c r="AB682" s="1379"/>
      <c r="AC682" s="1390"/>
      <c r="AD682" s="1379"/>
      <c r="AE682" s="1379"/>
      <c r="AF682" s="1379"/>
      <c r="AG682" s="1379"/>
      <c r="AH682" s="1379"/>
      <c r="AI682" s="1379"/>
      <c r="AJ682" s="1379"/>
      <c r="AK682" s="1379"/>
      <c r="AL682" s="1379"/>
      <c r="AM682" s="1379"/>
      <c r="AN682" s="1379"/>
      <c r="AO682" s="1379"/>
      <c r="AP682" s="1379"/>
      <c r="AQ682" s="1379"/>
      <c r="AR682" s="1379"/>
      <c r="AS682" s="1379"/>
      <c r="AT682" s="1379"/>
      <c r="AU682" s="1379"/>
      <c r="AV682" s="1379"/>
      <c r="AW682" s="1379"/>
      <c r="AX682" s="1379"/>
      <c r="AY682" s="1379"/>
      <c r="AZ682" s="1379"/>
    </row>
    <row r="683">
      <c r="A683" s="1391"/>
      <c r="B683" s="1421" t="str">
        <f>IF(C683&lt;'PlayerGrades+'!$Y$44,"F-",IF(C683&lt;'PlayerGrades+'!$Y$43,"F",IF(C683&lt;'PlayerGrades+'!$Y$42,"F+",IF(C683&lt;'PlayerGrades+'!$Y$41,"E-",IF(C683&lt;'PlayerGrades+'!$Y$40,"E",IF(C683&lt;'PlayerGrades+'!$Y$39,"E+",IF(C683&lt;'PlayerGrades+'!$Y$38,"D-",IF(C683&lt;'PlayerGrades+'!$Y$37,"D",IF(C683&lt;'PlayerGrades+'!$Y$36,"D+",IF(C683&lt;'PlayerGrades+'!$Y$35,"C-",IF(C683&lt;'PlayerGrades+'!$Y$34,"C",IF(C683&lt;'PlayerGrades+'!$Y$33,"C+",IF(C683&lt;'PlayerGrades+'!$Y$32,"B-",IF(C683&lt;'PlayerGrades+'!$Y$31,"B",IF(C683&lt;'PlayerGrades+'!$Y$30,"B+",IF(C683&lt;'PlayerGrades+'!$Y$29,"A-",IF(C683&lt;'PlayerGrades+'!$Y$28,"A",IF(C683&lt;'PlayerGrades+'!$Y$27,"A+",IF(C683&lt;'PlayerGrades+'!$Y$26,"S-",IF(C683&lt;'PlayerGrades+'!$Y$25,"S","S+"))))))))))))))))))))</f>
        <v>#DIV/0!</v>
      </c>
      <c r="C683" s="1422" t="str">
        <f>('PlayerGrades+'!$Y$47*(VLOOKUP(E683, 'PlayerGrades+'!$X$3:$Y$23, 2, FALSE)))+('PlayerGrades+'!$Y$48*(VLOOKUP(G683, 'PlayerGrades+'!$X$3:$Y$23, 2, FALSE)))+('PlayerGrades+'!$Y$49*(VLOOKUP(I683, 'PlayerGrades+'!$X$3:$Y$23, 2, FALSE)))+('PlayerGrades+'!$Y$50*(VLOOKUP(K683, 'PlayerGrades+'!$X$3:$Y$23, 2, FALSE)))+('PlayerGrades+'!$Y$51*(VLOOKUP(M683, 'PlayerGrades+'!$X$3:$Y$23, 2, FALSE)))+('PlayerGrades+'!$Y$52*(VLOOKUP(O683, 'PlayerGrades+'!$X$3:$Y$23, 2, FALSE)))+('PlayerGrades+'!$Y$53*(VLOOKUP(Q683, 'PlayerGrades+'!$X$3:$Y$23, 2, FALSE)))+('PlayerGrades+'!$Y$54*(VLOOKUP(S683, 'PlayerGrades+'!$X$3:$Y$23, 2, FALSE)))+('PlayerGrades+'!$Y$55*(VLOOKUP(U683, 'PlayerGrades+'!$X$3:$Y$23, 2, FALSE)))</f>
        <v>#DIV/0!</v>
      </c>
      <c r="D683" s="1423" t="str">
        <f t="shared" si="12"/>
        <v>#DIV/0!</v>
      </c>
      <c r="E683" s="1423" t="str">
        <f>IF(D683&lt;'PlayerGrades+'!$AA$21,"F-",IF(D683&lt;'PlayerGrades+'!$AA$20,"F",IF(D683&lt;'PlayerGrades+'!$AA$19,"F+",IF(D683&lt;'PlayerGrades+'!$AA$18,"E-",IF(D683&lt;'PlayerGrades+'!$AA$17,"E",IF(D683&lt;'PlayerGrades+'!$AA$16,"E+",IF(D683&lt;'PlayerGrades+'!$AA$15,"D-",IF(D683&lt;'PlayerGrades+'!$AA$14,"D",IF(D683&lt;'PlayerGrades+'!$AA$13,"D+",IF(D683&lt;'PlayerGrades+'!$AA$12,"C-",IF(D683&lt;'PlayerGrades+'!$AA$11,"C",IF(D683&lt;'PlayerGrades+'!$AA$10,"C+",IF(D683&lt;'PlayerGrades+'!$AA$9,"B-",IF(D683&lt;'PlayerGrades+'!$AA$8,"B",IF(D683&lt;'PlayerGrades+'!$AA$7,"B+",IF(D683&lt;'PlayerGrades+'!$AA$6,"A-",IF(D683&lt;'PlayerGrades+'!$AA$5,"A",IF(D683&lt;'PlayerGrades+'!$AA$4,"A+",IF(D683&lt;'PlayerGrades+'!$AA$3,"S-",IF(D683&lt;'PlayerGrades+'!$AA$2,"S","S+"))))))))))))))))))))</f>
        <v>#DIV/0!</v>
      </c>
      <c r="F683" s="1423" t="str">
        <f t="shared" si="13"/>
        <v>#DIV/0!</v>
      </c>
      <c r="G683" s="1423" t="str">
        <f>IF(F683&lt;'PlayerGrades+'!$AB$21,"F-",IF(F683&lt;'PlayerGrades+'!$AB$20,"F",IF(F683&lt;'PlayerGrades+'!$AB$19,"F+",IF(F683&lt;'PlayerGrades+'!$AB$18,"E-",IF(F683&lt;'PlayerGrades+'!$AB$17,"E",IF(F683&lt;'PlayerGrades+'!$AB$16,"E+",IF(F683&lt;'PlayerGrades+'!$AB$15,"D-",IF(F683&lt;'PlayerGrades+'!$AB$14,"D",IF(F683&lt;'PlayerGrades+'!$AB$13,"D+",IF(F683&lt;'PlayerGrades+'!$AB$12,"C-",IF(F683&lt;'PlayerGrades+'!$AB$11,"C",IF(F683&lt;'PlayerGrades+'!$AB$10,"C+",IF(F683&lt;'PlayerGrades+'!$AB$9,"B-",IF(F683&lt;'PlayerGrades+'!$AB$8,"B",IF(F683&lt;'PlayerGrades+'!$AB$7,"B+",IF(F683&lt;'PlayerGrades+'!$AB$6,"A-",IF(F683&lt;'PlayerGrades+'!$AB$5,"A",IF(F683&lt;'PlayerGrades+'!$AB$4,"A+",IF(F683&lt;'PlayerGrades+'!$AB$3,"S-",IF(F683&lt;'PlayerGrades+'!$AB$2,"S","S+"))))))))))))))))))))</f>
        <v>#DIV/0!</v>
      </c>
      <c r="H683" s="1423" t="str">
        <f t="shared" si="14"/>
        <v>#DIV/0!</v>
      </c>
      <c r="I683" s="1423" t="str">
        <f>IF(H683&lt;'PlayerGrades+'!$AC$21,"F-",IF(H683&lt;'PlayerGrades+'!$AC$20,"F",IF(H683&lt;'PlayerGrades+'!$AC$19,"F+",IF(H683&lt;'PlayerGrades+'!$AC$18,"E-",IF(H683&lt;'PlayerGrades+'!$AC$17,"E",IF(H683&lt;'PlayerGrades+'!$AC$16,"E+",IF(H683&lt;'PlayerGrades+'!$AC$15,"D-",IF(H683&lt;'PlayerGrades+'!$AC$14,"D",IF(H683&lt;'PlayerGrades+'!$AC$13,"D+",IF(H683&lt;'PlayerGrades+'!$AC$12,"C-",IF(H683&lt;'PlayerGrades+'!$AC$11,"C",IF(H683&lt;'PlayerGrades+'!$AC$10,"C+",IF(H683&lt;'PlayerGrades+'!$AC$9,"B-",IF(H683&lt;'PlayerGrades+'!$AC$8,"B",IF(H683&lt;'PlayerGrades+'!$AC$7,"B+",IF(H683&lt;'PlayerGrades+'!$AC$6,"A-",IF(H683&lt;'PlayerGrades+'!$AC$5,"A",IF(H683&lt;'PlayerGrades+'!$AC$4,"A+",IF(H683&lt;'PlayerGrades+'!$AC$3,"S-",IF(H683&lt;'PlayerGrades+'!$AC$2,"S","S+"))))))))))))))))))))</f>
        <v>#DIV/0!</v>
      </c>
      <c r="J683" s="1423" t="str">
        <f t="shared" si="15"/>
        <v>#DIV/0!</v>
      </c>
      <c r="K683" s="1423" t="str">
        <f>IF(J683&lt;'PlayerGrades+'!$AD$21,"F-",IF(J683&lt;'PlayerGrades+'!$AD$20,"F",IF(J683&lt;'PlayerGrades+'!$AD$19,"F+",IF(J683&lt;'PlayerGrades+'!$AD$18,"E-",IF(J683&lt;'PlayerGrades+'!$AD$17,"E",IF(J683&lt;'PlayerGrades+'!$AD$16,"E+",IF(J683&lt;'PlayerGrades+'!$AD$15,"D-",IF(J683&lt;'PlayerGrades+'!$AD$14,"D",IF(J683&lt;'PlayerGrades+'!$AD$13,"D+",IF(J683&lt;'PlayerGrades+'!$AD$12,"C-",IF(J683&lt;'PlayerGrades+'!$AD$11,"C",IF(J683&lt;'PlayerGrades+'!$AD$10,"C+",IF(J683&lt;'PlayerGrades+'!$AD$9,"B-",IF(J683&lt;'PlayerGrades+'!$AD$8,"B",IF(J683&lt;'PlayerGrades+'!$AD$7,"B+",IF(J683&lt;'PlayerGrades+'!$AD$6,"A-",IF(J683&lt;'PlayerGrades+'!$AD$5,"A",IF(J683&lt;'PlayerGrades+'!$AD$4,"A+",IF(J683&lt;'PlayerGrades+'!$AD$3,"S-",IF(J683&lt;'PlayerGrades+'!$AD$2,"S","S+"))))))))))))))))))))</f>
        <v>#DIV/0!</v>
      </c>
      <c r="L683" s="1176" t="str">
        <f t="shared" si="16"/>
        <v>#DIV/0!</v>
      </c>
      <c r="M683" s="992" t="str">
        <f>IF(L683&lt;'PlayerGrades+'!$AE$21,"F-",IF(L683&lt;'PlayerGrades+'!$AE$20,"F",IF(L683&lt;'PlayerGrades+'!$AE$19,"F+",IF(L683&lt;'PlayerGrades+'!$AE$18,"E-",IF(L683&lt;'PlayerGrades+'!$AE$17,"E",IF(L683&lt;'PlayerGrades+'!$AE$16,"E+",IF(L683&lt;'PlayerGrades+'!$AE$15,"D-",IF(L683&lt;'PlayerGrades+'!$AE$14,"D",IF(L683&lt;'PlayerGrades+'!$AE$13,"D+",IF(L683&lt;'PlayerGrades+'!$AE$12,"C-",IF(L683&lt;'PlayerGrades+'!$AE$11,"C",IF(L683&lt;'PlayerGrades+'!$AE$10,"C+",IF(L683&lt;'PlayerGrades+'!$AE$9,"B-",IF(L683&lt;'PlayerGrades+'!$AE$8,"B",IF(L683&lt;'PlayerGrades+'!$AE$7,"B+",IF(L683&lt;'PlayerGrades+'!$AE$6,"A-",IF(L683&lt;'PlayerGrades+'!$AE$5,"A",IF(L683&lt;'PlayerGrades+'!$AE$4,"A+",IF(L683&lt;'PlayerGrades+'!$AE$3,"S-",IF(L683&lt;'PlayerGrades+'!$AE$2,"S","S+"))))))))))))))))))))</f>
        <v>#DIV/0!</v>
      </c>
      <c r="N683" s="1423" t="str">
        <f t="shared" si="17"/>
        <v>#DIV/0!</v>
      </c>
      <c r="O683" s="1423" t="str">
        <f>IF(N683&lt;'PlayerGrades+'!$AF$21,"F-",IF(N683&lt;'PlayerGrades+'!$AF$20,"F",IF(N683&lt;'PlayerGrades+'!$AF$19,"F+",IF(N683&lt;'PlayerGrades+'!$AF$18,"E-",IF(N683&lt;'PlayerGrades+'!$AF$17,"E",IF(N683&lt;'PlayerGrades+'!$AF$16,"E+",IF(N683&lt;'PlayerGrades+'!$AF$15,"D-",IF(N683&lt;'PlayerGrades+'!$AF$14,"D",IF(N683&lt;'PlayerGrades+'!$AF$13,"D+",IF(N683&lt;'PlayerGrades+'!$AF$12,"C-",IF(N683&lt;'PlayerGrades+'!$AF$11,"C",IF(N683&lt;'PlayerGrades+'!$AF$10,"C+",IF(N683&lt;'PlayerGrades+'!$AF$9,"B-",IF(N683&lt;'PlayerGrades+'!$AF$8,"B",IF(N683&lt;'PlayerGrades+'!$AF$7,"B+",IF(N683&lt;'PlayerGrades+'!$AF$6,"A-",IF(N683&lt;'PlayerGrades+'!$AF$5,"A",IF(N683&lt;'PlayerGrades+'!$AF$4,"A+",IF(N683&lt;'PlayerGrades+'!$AF$3,"S-",IF(N683&lt;'PlayerGrades+'!$AF$2,"S","S+"))))))))))))))))))))</f>
        <v>#DIV/0!</v>
      </c>
      <c r="P683" s="1423" t="str">
        <f t="shared" si="18"/>
        <v>#DIV/0!</v>
      </c>
      <c r="Q683" s="1423" t="str">
        <f>IF(P683&lt;'PlayerGrades+'!$AG$21,"F-",IF(P683&lt;'PlayerGrades+'!$AG$20,"F",IF(P683&lt;'PlayerGrades+'!$AG$19,"F+",IF(P683&lt;'PlayerGrades+'!$AG$18,"E-",IF(P683&lt;'PlayerGrades+'!$AG$17,"E",IF(P683&lt;'PlayerGrades+'!$AG$16,"E+",IF(P683&lt;'PlayerGrades+'!$AG$15,"D-",IF(P683&lt;'PlayerGrades+'!$AG$14,"D",IF(P683&lt;'PlayerGrades+'!$AG$13,"D+",IF(P683&lt;'PlayerGrades+'!$AG$12,"C-",IF(P683&lt;'PlayerGrades+'!$AG$11,"C",IF(P683&lt;'PlayerGrades+'!$AG$10,"C+",IF(P683&lt;'PlayerGrades+'!$AG$9,"B-",IF(P683&lt;'PlayerGrades+'!$AG$8,"B",IF(P683&lt;'PlayerGrades+'!$AG$7,"B+",IF(P683&lt;'PlayerGrades+'!$AG$6,"A-",IF(P683&lt;'PlayerGrades+'!$AG$5,"A",IF(P683&lt;'PlayerGrades+'!$AG$4,"A+",IF(P683&lt;'PlayerGrades+'!$AG$3,"S-",IF(P683&lt;'PlayerGrades+'!$AG$2,"S","S+"))))))))))))))))))))</f>
        <v>#DIV/0!</v>
      </c>
      <c r="R683" s="1423" t="str">
        <f t="shared" si="19"/>
        <v>#REF!</v>
      </c>
      <c r="S683" s="1423" t="str">
        <f>IF(R683&lt;'PlayerGrades+'!$AH$21,"F-",IF(R683&lt;'PlayerGrades+'!$AH$20,"F",IF(R683&lt;'PlayerGrades+'!$AH$19,"F+",IF(R683&lt;'PlayerGrades+'!$AH$18,"E-",IF(R683&lt;'PlayerGrades+'!$AH$17,"E",IF(R683&lt;'PlayerGrades+'!$AH$16,"E+",IF(R683&lt;'PlayerGrades+'!$AH$15,"D-",IF(R683&lt;'PlayerGrades+'!$AH$14,"D",IF(R683&lt;'PlayerGrades+'!$AH$13,"D+",IF(R683&lt;'PlayerGrades+'!$AH$12,"C-",IF(R683&lt;'PlayerGrades+'!$AH$11,"C",IF(R683&lt;'PlayerGrades+'!$AH$10,"C+",IF(R683&lt;'PlayerGrades+'!$AH$9,"B-",IF(R683&lt;'PlayerGrades+'!$AH$8,"B",IF(R683&lt;'PlayerGrades+'!$AH$7,"B+",IF(R683&lt;'PlayerGrades+'!$AH$6,"A-",IF(R683&lt;'PlayerGrades+'!$AH$5,"A",IF(R683&lt;'PlayerGrades+'!$AH$4,"A+",IF(R683&lt;'PlayerGrades+'!$AH$3,"S-",IF(R683&lt;'PlayerGrades+'!$AH$2,"S","S+"))))))))))))))))))))</f>
        <v>#REF!</v>
      </c>
      <c r="T683" s="1423" t="str">
        <f t="shared" si="20"/>
        <v>#REF!</v>
      </c>
      <c r="U683" s="1423" t="str">
        <f>IF(T683&lt;'PlayerGrades+'!$AI$21,"F-",IF(T683&lt;'PlayerGrades+'!$AI$20,"F",IF(T683&lt;'PlayerGrades+'!$AI$19,"F+",IF(T683&lt;'PlayerGrades+'!$AI$18,"E-",IF(T683&lt;'PlayerGrades+'!$AI$17,"E",IF(T683&lt;'PlayerGrades+'!$AI$16,"E+",IF(T683&lt;'PlayerGrades+'!$AI$15,"D-",IF(T683&lt;'PlayerGrades+'!$AI$14,"D",IF(T683&lt;'PlayerGrades+'!$AI$13,"D+",IF(T683&lt;'PlayerGrades+'!$AI$12,"C-",IF(T683&lt;'PlayerGrades+'!$AI$11,"C",IF(T683&lt;'PlayerGrades+'!$AI$10,"C+",IF(T683&lt;'PlayerGrades+'!$AI$9,"B-",IF(T683&lt;'PlayerGrades+'!$AI$8,"B",IF(T683&lt;'PlayerGrades+'!$AI$7,"B+",IF(T683&lt;'PlayerGrades+'!$AI$6,"A-",IF(T683&lt;'PlayerGrades+'!$AI$5,"A",IF(T683&lt;'PlayerGrades+'!$AI$4,"A+",IF(T683&lt;'PlayerGrades+'!$AI$3,"S-",IF(T683&lt;'PlayerGrades+'!$AI$2,"S","S+"))))))))))))))))))))</f>
        <v>#REF!</v>
      </c>
      <c r="AC683" s="1392"/>
    </row>
    <row r="684">
      <c r="A684" s="1391"/>
      <c r="B684" s="1421" t="str">
        <f>IF(C684&lt;'PlayerGrades+'!$Y$44,"F-",IF(C684&lt;'PlayerGrades+'!$Y$43,"F",IF(C684&lt;'PlayerGrades+'!$Y$42,"F+",IF(C684&lt;'PlayerGrades+'!$Y$41,"E-",IF(C684&lt;'PlayerGrades+'!$Y$40,"E",IF(C684&lt;'PlayerGrades+'!$Y$39,"E+",IF(C684&lt;'PlayerGrades+'!$Y$38,"D-",IF(C684&lt;'PlayerGrades+'!$Y$37,"D",IF(C684&lt;'PlayerGrades+'!$Y$36,"D+",IF(C684&lt;'PlayerGrades+'!$Y$35,"C-",IF(C684&lt;'PlayerGrades+'!$Y$34,"C",IF(C684&lt;'PlayerGrades+'!$Y$33,"C+",IF(C684&lt;'PlayerGrades+'!$Y$32,"B-",IF(C684&lt;'PlayerGrades+'!$Y$31,"B",IF(C684&lt;'PlayerGrades+'!$Y$30,"B+",IF(C684&lt;'PlayerGrades+'!$Y$29,"A-",IF(C684&lt;'PlayerGrades+'!$Y$28,"A",IF(C684&lt;'PlayerGrades+'!$Y$27,"A+",IF(C684&lt;'PlayerGrades+'!$Y$26,"S-",IF(C684&lt;'PlayerGrades+'!$Y$25,"S","S+"))))))))))))))))))))</f>
        <v>#DIV/0!</v>
      </c>
      <c r="C684" s="1422" t="str">
        <f>('PlayerGrades+'!$Y$47*(VLOOKUP(E684, 'PlayerGrades+'!$X$3:$Y$23, 2, FALSE)))+('PlayerGrades+'!$Y$48*(VLOOKUP(G684, 'PlayerGrades+'!$X$3:$Y$23, 2, FALSE)))+('PlayerGrades+'!$Y$49*(VLOOKUP(I684, 'PlayerGrades+'!$X$3:$Y$23, 2, FALSE)))+('PlayerGrades+'!$Y$50*(VLOOKUP(K684, 'PlayerGrades+'!$X$3:$Y$23, 2, FALSE)))+('PlayerGrades+'!$Y$51*(VLOOKUP(M684, 'PlayerGrades+'!$X$3:$Y$23, 2, FALSE)))+('PlayerGrades+'!$Y$52*(VLOOKUP(O684, 'PlayerGrades+'!$X$3:$Y$23, 2, FALSE)))+('PlayerGrades+'!$Y$53*(VLOOKUP(Q684, 'PlayerGrades+'!$X$3:$Y$23, 2, FALSE)))+('PlayerGrades+'!$Y$54*(VLOOKUP(S684, 'PlayerGrades+'!$X$3:$Y$23, 2, FALSE)))+('PlayerGrades+'!$Y$55*(VLOOKUP(U684, 'PlayerGrades+'!$X$3:$Y$23, 2, FALSE)))</f>
        <v>#DIV/0!</v>
      </c>
      <c r="D684" s="1423" t="str">
        <f t="shared" si="12"/>
        <v>#DIV/0!</v>
      </c>
      <c r="E684" s="1423" t="str">
        <f>IF(D684&lt;'PlayerGrades+'!$AA$21,"F-",IF(D684&lt;'PlayerGrades+'!$AA$20,"F",IF(D684&lt;'PlayerGrades+'!$AA$19,"F+",IF(D684&lt;'PlayerGrades+'!$AA$18,"E-",IF(D684&lt;'PlayerGrades+'!$AA$17,"E",IF(D684&lt;'PlayerGrades+'!$AA$16,"E+",IF(D684&lt;'PlayerGrades+'!$AA$15,"D-",IF(D684&lt;'PlayerGrades+'!$AA$14,"D",IF(D684&lt;'PlayerGrades+'!$AA$13,"D+",IF(D684&lt;'PlayerGrades+'!$AA$12,"C-",IF(D684&lt;'PlayerGrades+'!$AA$11,"C",IF(D684&lt;'PlayerGrades+'!$AA$10,"C+",IF(D684&lt;'PlayerGrades+'!$AA$9,"B-",IF(D684&lt;'PlayerGrades+'!$AA$8,"B",IF(D684&lt;'PlayerGrades+'!$AA$7,"B+",IF(D684&lt;'PlayerGrades+'!$AA$6,"A-",IF(D684&lt;'PlayerGrades+'!$AA$5,"A",IF(D684&lt;'PlayerGrades+'!$AA$4,"A+",IF(D684&lt;'PlayerGrades+'!$AA$3,"S-",IF(D684&lt;'PlayerGrades+'!$AA$2,"S","S+"))))))))))))))))))))</f>
        <v>#DIV/0!</v>
      </c>
      <c r="F684" s="1423" t="str">
        <f t="shared" si="13"/>
        <v>#DIV/0!</v>
      </c>
      <c r="G684" s="1423" t="str">
        <f>IF(F684&lt;'PlayerGrades+'!$AB$21,"F-",IF(F684&lt;'PlayerGrades+'!$AB$20,"F",IF(F684&lt;'PlayerGrades+'!$AB$19,"F+",IF(F684&lt;'PlayerGrades+'!$AB$18,"E-",IF(F684&lt;'PlayerGrades+'!$AB$17,"E",IF(F684&lt;'PlayerGrades+'!$AB$16,"E+",IF(F684&lt;'PlayerGrades+'!$AB$15,"D-",IF(F684&lt;'PlayerGrades+'!$AB$14,"D",IF(F684&lt;'PlayerGrades+'!$AB$13,"D+",IF(F684&lt;'PlayerGrades+'!$AB$12,"C-",IF(F684&lt;'PlayerGrades+'!$AB$11,"C",IF(F684&lt;'PlayerGrades+'!$AB$10,"C+",IF(F684&lt;'PlayerGrades+'!$AB$9,"B-",IF(F684&lt;'PlayerGrades+'!$AB$8,"B",IF(F684&lt;'PlayerGrades+'!$AB$7,"B+",IF(F684&lt;'PlayerGrades+'!$AB$6,"A-",IF(F684&lt;'PlayerGrades+'!$AB$5,"A",IF(F684&lt;'PlayerGrades+'!$AB$4,"A+",IF(F684&lt;'PlayerGrades+'!$AB$3,"S-",IF(F684&lt;'PlayerGrades+'!$AB$2,"S","S+"))))))))))))))))))))</f>
        <v>#DIV/0!</v>
      </c>
      <c r="H684" s="1423" t="str">
        <f t="shared" si="14"/>
        <v>#DIV/0!</v>
      </c>
      <c r="I684" s="1423" t="str">
        <f>IF(H684&lt;'PlayerGrades+'!$AC$21,"F-",IF(H684&lt;'PlayerGrades+'!$AC$20,"F",IF(H684&lt;'PlayerGrades+'!$AC$19,"F+",IF(H684&lt;'PlayerGrades+'!$AC$18,"E-",IF(H684&lt;'PlayerGrades+'!$AC$17,"E",IF(H684&lt;'PlayerGrades+'!$AC$16,"E+",IF(H684&lt;'PlayerGrades+'!$AC$15,"D-",IF(H684&lt;'PlayerGrades+'!$AC$14,"D",IF(H684&lt;'PlayerGrades+'!$AC$13,"D+",IF(H684&lt;'PlayerGrades+'!$AC$12,"C-",IF(H684&lt;'PlayerGrades+'!$AC$11,"C",IF(H684&lt;'PlayerGrades+'!$AC$10,"C+",IF(H684&lt;'PlayerGrades+'!$AC$9,"B-",IF(H684&lt;'PlayerGrades+'!$AC$8,"B",IF(H684&lt;'PlayerGrades+'!$AC$7,"B+",IF(H684&lt;'PlayerGrades+'!$AC$6,"A-",IF(H684&lt;'PlayerGrades+'!$AC$5,"A",IF(H684&lt;'PlayerGrades+'!$AC$4,"A+",IF(H684&lt;'PlayerGrades+'!$AC$3,"S-",IF(H684&lt;'PlayerGrades+'!$AC$2,"S","S+"))))))))))))))))))))</f>
        <v>#DIV/0!</v>
      </c>
      <c r="J684" s="1423" t="str">
        <f t="shared" si="15"/>
        <v>#DIV/0!</v>
      </c>
      <c r="K684" s="1423" t="str">
        <f>IF(J684&lt;'PlayerGrades+'!$AD$21,"F-",IF(J684&lt;'PlayerGrades+'!$AD$20,"F",IF(J684&lt;'PlayerGrades+'!$AD$19,"F+",IF(J684&lt;'PlayerGrades+'!$AD$18,"E-",IF(J684&lt;'PlayerGrades+'!$AD$17,"E",IF(J684&lt;'PlayerGrades+'!$AD$16,"E+",IF(J684&lt;'PlayerGrades+'!$AD$15,"D-",IF(J684&lt;'PlayerGrades+'!$AD$14,"D",IF(J684&lt;'PlayerGrades+'!$AD$13,"D+",IF(J684&lt;'PlayerGrades+'!$AD$12,"C-",IF(J684&lt;'PlayerGrades+'!$AD$11,"C",IF(J684&lt;'PlayerGrades+'!$AD$10,"C+",IF(J684&lt;'PlayerGrades+'!$AD$9,"B-",IF(J684&lt;'PlayerGrades+'!$AD$8,"B",IF(J684&lt;'PlayerGrades+'!$AD$7,"B+",IF(J684&lt;'PlayerGrades+'!$AD$6,"A-",IF(J684&lt;'PlayerGrades+'!$AD$5,"A",IF(J684&lt;'PlayerGrades+'!$AD$4,"A+",IF(J684&lt;'PlayerGrades+'!$AD$3,"S-",IF(J684&lt;'PlayerGrades+'!$AD$2,"S","S+"))))))))))))))))))))</f>
        <v>#DIV/0!</v>
      </c>
      <c r="L684" s="1176" t="str">
        <f t="shared" si="16"/>
        <v>#DIV/0!</v>
      </c>
      <c r="M684" s="992" t="str">
        <f>IF(L684&lt;'PlayerGrades+'!$AE$21,"F-",IF(L684&lt;'PlayerGrades+'!$AE$20,"F",IF(L684&lt;'PlayerGrades+'!$AE$19,"F+",IF(L684&lt;'PlayerGrades+'!$AE$18,"E-",IF(L684&lt;'PlayerGrades+'!$AE$17,"E",IF(L684&lt;'PlayerGrades+'!$AE$16,"E+",IF(L684&lt;'PlayerGrades+'!$AE$15,"D-",IF(L684&lt;'PlayerGrades+'!$AE$14,"D",IF(L684&lt;'PlayerGrades+'!$AE$13,"D+",IF(L684&lt;'PlayerGrades+'!$AE$12,"C-",IF(L684&lt;'PlayerGrades+'!$AE$11,"C",IF(L684&lt;'PlayerGrades+'!$AE$10,"C+",IF(L684&lt;'PlayerGrades+'!$AE$9,"B-",IF(L684&lt;'PlayerGrades+'!$AE$8,"B",IF(L684&lt;'PlayerGrades+'!$AE$7,"B+",IF(L684&lt;'PlayerGrades+'!$AE$6,"A-",IF(L684&lt;'PlayerGrades+'!$AE$5,"A",IF(L684&lt;'PlayerGrades+'!$AE$4,"A+",IF(L684&lt;'PlayerGrades+'!$AE$3,"S-",IF(L684&lt;'PlayerGrades+'!$AE$2,"S","S+"))))))))))))))))))))</f>
        <v>#DIV/0!</v>
      </c>
      <c r="N684" s="1423" t="str">
        <f t="shared" si="17"/>
        <v>#DIV/0!</v>
      </c>
      <c r="O684" s="1423" t="str">
        <f>IF(N684&lt;'PlayerGrades+'!$AF$21,"F-",IF(N684&lt;'PlayerGrades+'!$AF$20,"F",IF(N684&lt;'PlayerGrades+'!$AF$19,"F+",IF(N684&lt;'PlayerGrades+'!$AF$18,"E-",IF(N684&lt;'PlayerGrades+'!$AF$17,"E",IF(N684&lt;'PlayerGrades+'!$AF$16,"E+",IF(N684&lt;'PlayerGrades+'!$AF$15,"D-",IF(N684&lt;'PlayerGrades+'!$AF$14,"D",IF(N684&lt;'PlayerGrades+'!$AF$13,"D+",IF(N684&lt;'PlayerGrades+'!$AF$12,"C-",IF(N684&lt;'PlayerGrades+'!$AF$11,"C",IF(N684&lt;'PlayerGrades+'!$AF$10,"C+",IF(N684&lt;'PlayerGrades+'!$AF$9,"B-",IF(N684&lt;'PlayerGrades+'!$AF$8,"B",IF(N684&lt;'PlayerGrades+'!$AF$7,"B+",IF(N684&lt;'PlayerGrades+'!$AF$6,"A-",IF(N684&lt;'PlayerGrades+'!$AF$5,"A",IF(N684&lt;'PlayerGrades+'!$AF$4,"A+",IF(N684&lt;'PlayerGrades+'!$AF$3,"S-",IF(N684&lt;'PlayerGrades+'!$AF$2,"S","S+"))))))))))))))))))))</f>
        <v>#DIV/0!</v>
      </c>
      <c r="P684" s="1423" t="str">
        <f t="shared" si="18"/>
        <v>#DIV/0!</v>
      </c>
      <c r="Q684" s="1423" t="str">
        <f>IF(P684&lt;'PlayerGrades+'!$AG$21,"F-",IF(P684&lt;'PlayerGrades+'!$AG$20,"F",IF(P684&lt;'PlayerGrades+'!$AG$19,"F+",IF(P684&lt;'PlayerGrades+'!$AG$18,"E-",IF(P684&lt;'PlayerGrades+'!$AG$17,"E",IF(P684&lt;'PlayerGrades+'!$AG$16,"E+",IF(P684&lt;'PlayerGrades+'!$AG$15,"D-",IF(P684&lt;'PlayerGrades+'!$AG$14,"D",IF(P684&lt;'PlayerGrades+'!$AG$13,"D+",IF(P684&lt;'PlayerGrades+'!$AG$12,"C-",IF(P684&lt;'PlayerGrades+'!$AG$11,"C",IF(P684&lt;'PlayerGrades+'!$AG$10,"C+",IF(P684&lt;'PlayerGrades+'!$AG$9,"B-",IF(P684&lt;'PlayerGrades+'!$AG$8,"B",IF(P684&lt;'PlayerGrades+'!$AG$7,"B+",IF(P684&lt;'PlayerGrades+'!$AG$6,"A-",IF(P684&lt;'PlayerGrades+'!$AG$5,"A",IF(P684&lt;'PlayerGrades+'!$AG$4,"A+",IF(P684&lt;'PlayerGrades+'!$AG$3,"S-",IF(P684&lt;'PlayerGrades+'!$AG$2,"S","S+"))))))))))))))))))))</f>
        <v>#DIV/0!</v>
      </c>
      <c r="R684" s="1423" t="str">
        <f t="shared" si="19"/>
        <v>#REF!</v>
      </c>
      <c r="S684" s="1423" t="str">
        <f>IF(R684&lt;'PlayerGrades+'!$AH$21,"F-",IF(R684&lt;'PlayerGrades+'!$AH$20,"F",IF(R684&lt;'PlayerGrades+'!$AH$19,"F+",IF(R684&lt;'PlayerGrades+'!$AH$18,"E-",IF(R684&lt;'PlayerGrades+'!$AH$17,"E",IF(R684&lt;'PlayerGrades+'!$AH$16,"E+",IF(R684&lt;'PlayerGrades+'!$AH$15,"D-",IF(R684&lt;'PlayerGrades+'!$AH$14,"D",IF(R684&lt;'PlayerGrades+'!$AH$13,"D+",IF(R684&lt;'PlayerGrades+'!$AH$12,"C-",IF(R684&lt;'PlayerGrades+'!$AH$11,"C",IF(R684&lt;'PlayerGrades+'!$AH$10,"C+",IF(R684&lt;'PlayerGrades+'!$AH$9,"B-",IF(R684&lt;'PlayerGrades+'!$AH$8,"B",IF(R684&lt;'PlayerGrades+'!$AH$7,"B+",IF(R684&lt;'PlayerGrades+'!$AH$6,"A-",IF(R684&lt;'PlayerGrades+'!$AH$5,"A",IF(R684&lt;'PlayerGrades+'!$AH$4,"A+",IF(R684&lt;'PlayerGrades+'!$AH$3,"S-",IF(R684&lt;'PlayerGrades+'!$AH$2,"S","S+"))))))))))))))))))))</f>
        <v>#REF!</v>
      </c>
      <c r="T684" s="1423" t="str">
        <f t="shared" si="20"/>
        <v>#REF!</v>
      </c>
      <c r="U684" s="1423" t="str">
        <f>IF(T684&lt;'PlayerGrades+'!$AI$21,"F-",IF(T684&lt;'PlayerGrades+'!$AI$20,"F",IF(T684&lt;'PlayerGrades+'!$AI$19,"F+",IF(T684&lt;'PlayerGrades+'!$AI$18,"E-",IF(T684&lt;'PlayerGrades+'!$AI$17,"E",IF(T684&lt;'PlayerGrades+'!$AI$16,"E+",IF(T684&lt;'PlayerGrades+'!$AI$15,"D-",IF(T684&lt;'PlayerGrades+'!$AI$14,"D",IF(T684&lt;'PlayerGrades+'!$AI$13,"D+",IF(T684&lt;'PlayerGrades+'!$AI$12,"C-",IF(T684&lt;'PlayerGrades+'!$AI$11,"C",IF(T684&lt;'PlayerGrades+'!$AI$10,"C+",IF(T684&lt;'PlayerGrades+'!$AI$9,"B-",IF(T684&lt;'PlayerGrades+'!$AI$8,"B",IF(T684&lt;'PlayerGrades+'!$AI$7,"B+",IF(T684&lt;'PlayerGrades+'!$AI$6,"A-",IF(T684&lt;'PlayerGrades+'!$AI$5,"A",IF(T684&lt;'PlayerGrades+'!$AI$4,"A+",IF(T684&lt;'PlayerGrades+'!$AI$3,"S-",IF(T684&lt;'PlayerGrades+'!$AI$2,"S","S+"))))))))))))))))))))</f>
        <v>#REF!</v>
      </c>
      <c r="AC684" s="1392"/>
    </row>
    <row r="685">
      <c r="A685" s="1391"/>
      <c r="B685" s="1421" t="str">
        <f>IF(C685&lt;'PlayerGrades+'!$Y$44,"F-",IF(C685&lt;'PlayerGrades+'!$Y$43,"F",IF(C685&lt;'PlayerGrades+'!$Y$42,"F+",IF(C685&lt;'PlayerGrades+'!$Y$41,"E-",IF(C685&lt;'PlayerGrades+'!$Y$40,"E",IF(C685&lt;'PlayerGrades+'!$Y$39,"E+",IF(C685&lt;'PlayerGrades+'!$Y$38,"D-",IF(C685&lt;'PlayerGrades+'!$Y$37,"D",IF(C685&lt;'PlayerGrades+'!$Y$36,"D+",IF(C685&lt;'PlayerGrades+'!$Y$35,"C-",IF(C685&lt;'PlayerGrades+'!$Y$34,"C",IF(C685&lt;'PlayerGrades+'!$Y$33,"C+",IF(C685&lt;'PlayerGrades+'!$Y$32,"B-",IF(C685&lt;'PlayerGrades+'!$Y$31,"B",IF(C685&lt;'PlayerGrades+'!$Y$30,"B+",IF(C685&lt;'PlayerGrades+'!$Y$29,"A-",IF(C685&lt;'PlayerGrades+'!$Y$28,"A",IF(C685&lt;'PlayerGrades+'!$Y$27,"A+",IF(C685&lt;'PlayerGrades+'!$Y$26,"S-",IF(C685&lt;'PlayerGrades+'!$Y$25,"S","S+"))))))))))))))))))))</f>
        <v>#DIV/0!</v>
      </c>
      <c r="C685" s="1422" t="str">
        <f>('PlayerGrades+'!$Y$47*(VLOOKUP(E685, 'PlayerGrades+'!$X$3:$Y$23, 2, FALSE)))+('PlayerGrades+'!$Y$48*(VLOOKUP(G685, 'PlayerGrades+'!$X$3:$Y$23, 2, FALSE)))+('PlayerGrades+'!$Y$49*(VLOOKUP(I685, 'PlayerGrades+'!$X$3:$Y$23, 2, FALSE)))+('PlayerGrades+'!$Y$50*(VLOOKUP(K685, 'PlayerGrades+'!$X$3:$Y$23, 2, FALSE)))+('PlayerGrades+'!$Y$51*(VLOOKUP(M685, 'PlayerGrades+'!$X$3:$Y$23, 2, FALSE)))+('PlayerGrades+'!$Y$52*(VLOOKUP(O685, 'PlayerGrades+'!$X$3:$Y$23, 2, FALSE)))+('PlayerGrades+'!$Y$53*(VLOOKUP(Q685, 'PlayerGrades+'!$X$3:$Y$23, 2, FALSE)))+('PlayerGrades+'!$Y$54*(VLOOKUP(S685, 'PlayerGrades+'!$X$3:$Y$23, 2, FALSE)))+('PlayerGrades+'!$Y$55*(VLOOKUP(U685, 'PlayerGrades+'!$X$3:$Y$23, 2, FALSE)))</f>
        <v>#DIV/0!</v>
      </c>
      <c r="D685" s="1423" t="str">
        <f t="shared" si="12"/>
        <v>#DIV/0!</v>
      </c>
      <c r="E685" s="1423" t="str">
        <f>IF(D685&lt;'PlayerGrades+'!$AA$21,"F-",IF(D685&lt;'PlayerGrades+'!$AA$20,"F",IF(D685&lt;'PlayerGrades+'!$AA$19,"F+",IF(D685&lt;'PlayerGrades+'!$AA$18,"E-",IF(D685&lt;'PlayerGrades+'!$AA$17,"E",IF(D685&lt;'PlayerGrades+'!$AA$16,"E+",IF(D685&lt;'PlayerGrades+'!$AA$15,"D-",IF(D685&lt;'PlayerGrades+'!$AA$14,"D",IF(D685&lt;'PlayerGrades+'!$AA$13,"D+",IF(D685&lt;'PlayerGrades+'!$AA$12,"C-",IF(D685&lt;'PlayerGrades+'!$AA$11,"C",IF(D685&lt;'PlayerGrades+'!$AA$10,"C+",IF(D685&lt;'PlayerGrades+'!$AA$9,"B-",IF(D685&lt;'PlayerGrades+'!$AA$8,"B",IF(D685&lt;'PlayerGrades+'!$AA$7,"B+",IF(D685&lt;'PlayerGrades+'!$AA$6,"A-",IF(D685&lt;'PlayerGrades+'!$AA$5,"A",IF(D685&lt;'PlayerGrades+'!$AA$4,"A+",IF(D685&lt;'PlayerGrades+'!$AA$3,"S-",IF(D685&lt;'PlayerGrades+'!$AA$2,"S","S+"))))))))))))))))))))</f>
        <v>#DIV/0!</v>
      </c>
      <c r="F685" s="1423" t="str">
        <f t="shared" si="13"/>
        <v>#DIV/0!</v>
      </c>
      <c r="G685" s="1423" t="str">
        <f>IF(F685&lt;'PlayerGrades+'!$AB$21,"F-",IF(F685&lt;'PlayerGrades+'!$AB$20,"F",IF(F685&lt;'PlayerGrades+'!$AB$19,"F+",IF(F685&lt;'PlayerGrades+'!$AB$18,"E-",IF(F685&lt;'PlayerGrades+'!$AB$17,"E",IF(F685&lt;'PlayerGrades+'!$AB$16,"E+",IF(F685&lt;'PlayerGrades+'!$AB$15,"D-",IF(F685&lt;'PlayerGrades+'!$AB$14,"D",IF(F685&lt;'PlayerGrades+'!$AB$13,"D+",IF(F685&lt;'PlayerGrades+'!$AB$12,"C-",IF(F685&lt;'PlayerGrades+'!$AB$11,"C",IF(F685&lt;'PlayerGrades+'!$AB$10,"C+",IF(F685&lt;'PlayerGrades+'!$AB$9,"B-",IF(F685&lt;'PlayerGrades+'!$AB$8,"B",IF(F685&lt;'PlayerGrades+'!$AB$7,"B+",IF(F685&lt;'PlayerGrades+'!$AB$6,"A-",IF(F685&lt;'PlayerGrades+'!$AB$5,"A",IF(F685&lt;'PlayerGrades+'!$AB$4,"A+",IF(F685&lt;'PlayerGrades+'!$AB$3,"S-",IF(F685&lt;'PlayerGrades+'!$AB$2,"S","S+"))))))))))))))))))))</f>
        <v>#DIV/0!</v>
      </c>
      <c r="H685" s="1423" t="str">
        <f t="shared" si="14"/>
        <v>#DIV/0!</v>
      </c>
      <c r="I685" s="1423" t="str">
        <f>IF(H685&lt;'PlayerGrades+'!$AC$21,"F-",IF(H685&lt;'PlayerGrades+'!$AC$20,"F",IF(H685&lt;'PlayerGrades+'!$AC$19,"F+",IF(H685&lt;'PlayerGrades+'!$AC$18,"E-",IF(H685&lt;'PlayerGrades+'!$AC$17,"E",IF(H685&lt;'PlayerGrades+'!$AC$16,"E+",IF(H685&lt;'PlayerGrades+'!$AC$15,"D-",IF(H685&lt;'PlayerGrades+'!$AC$14,"D",IF(H685&lt;'PlayerGrades+'!$AC$13,"D+",IF(H685&lt;'PlayerGrades+'!$AC$12,"C-",IF(H685&lt;'PlayerGrades+'!$AC$11,"C",IF(H685&lt;'PlayerGrades+'!$AC$10,"C+",IF(H685&lt;'PlayerGrades+'!$AC$9,"B-",IF(H685&lt;'PlayerGrades+'!$AC$8,"B",IF(H685&lt;'PlayerGrades+'!$AC$7,"B+",IF(H685&lt;'PlayerGrades+'!$AC$6,"A-",IF(H685&lt;'PlayerGrades+'!$AC$5,"A",IF(H685&lt;'PlayerGrades+'!$AC$4,"A+",IF(H685&lt;'PlayerGrades+'!$AC$3,"S-",IF(H685&lt;'PlayerGrades+'!$AC$2,"S","S+"))))))))))))))))))))</f>
        <v>#DIV/0!</v>
      </c>
      <c r="J685" s="1423" t="str">
        <f t="shared" si="15"/>
        <v>#DIV/0!</v>
      </c>
      <c r="K685" s="1423" t="str">
        <f>IF(J685&lt;'PlayerGrades+'!$AD$21,"F-",IF(J685&lt;'PlayerGrades+'!$AD$20,"F",IF(J685&lt;'PlayerGrades+'!$AD$19,"F+",IF(J685&lt;'PlayerGrades+'!$AD$18,"E-",IF(J685&lt;'PlayerGrades+'!$AD$17,"E",IF(J685&lt;'PlayerGrades+'!$AD$16,"E+",IF(J685&lt;'PlayerGrades+'!$AD$15,"D-",IF(J685&lt;'PlayerGrades+'!$AD$14,"D",IF(J685&lt;'PlayerGrades+'!$AD$13,"D+",IF(J685&lt;'PlayerGrades+'!$AD$12,"C-",IF(J685&lt;'PlayerGrades+'!$AD$11,"C",IF(J685&lt;'PlayerGrades+'!$AD$10,"C+",IF(J685&lt;'PlayerGrades+'!$AD$9,"B-",IF(J685&lt;'PlayerGrades+'!$AD$8,"B",IF(J685&lt;'PlayerGrades+'!$AD$7,"B+",IF(J685&lt;'PlayerGrades+'!$AD$6,"A-",IF(J685&lt;'PlayerGrades+'!$AD$5,"A",IF(J685&lt;'PlayerGrades+'!$AD$4,"A+",IF(J685&lt;'PlayerGrades+'!$AD$3,"S-",IF(J685&lt;'PlayerGrades+'!$AD$2,"S","S+"))))))))))))))))))))</f>
        <v>#DIV/0!</v>
      </c>
      <c r="L685" s="1176" t="str">
        <f t="shared" si="16"/>
        <v>#DIV/0!</v>
      </c>
      <c r="M685" s="992" t="str">
        <f>IF(L685&lt;'PlayerGrades+'!$AE$21,"F-",IF(L685&lt;'PlayerGrades+'!$AE$20,"F",IF(L685&lt;'PlayerGrades+'!$AE$19,"F+",IF(L685&lt;'PlayerGrades+'!$AE$18,"E-",IF(L685&lt;'PlayerGrades+'!$AE$17,"E",IF(L685&lt;'PlayerGrades+'!$AE$16,"E+",IF(L685&lt;'PlayerGrades+'!$AE$15,"D-",IF(L685&lt;'PlayerGrades+'!$AE$14,"D",IF(L685&lt;'PlayerGrades+'!$AE$13,"D+",IF(L685&lt;'PlayerGrades+'!$AE$12,"C-",IF(L685&lt;'PlayerGrades+'!$AE$11,"C",IF(L685&lt;'PlayerGrades+'!$AE$10,"C+",IF(L685&lt;'PlayerGrades+'!$AE$9,"B-",IF(L685&lt;'PlayerGrades+'!$AE$8,"B",IF(L685&lt;'PlayerGrades+'!$AE$7,"B+",IF(L685&lt;'PlayerGrades+'!$AE$6,"A-",IF(L685&lt;'PlayerGrades+'!$AE$5,"A",IF(L685&lt;'PlayerGrades+'!$AE$4,"A+",IF(L685&lt;'PlayerGrades+'!$AE$3,"S-",IF(L685&lt;'PlayerGrades+'!$AE$2,"S","S+"))))))))))))))))))))</f>
        <v>#DIV/0!</v>
      </c>
      <c r="N685" s="1423" t="str">
        <f t="shared" si="17"/>
        <v>#DIV/0!</v>
      </c>
      <c r="O685" s="1423" t="str">
        <f>IF(N685&lt;'PlayerGrades+'!$AF$21,"F-",IF(N685&lt;'PlayerGrades+'!$AF$20,"F",IF(N685&lt;'PlayerGrades+'!$AF$19,"F+",IF(N685&lt;'PlayerGrades+'!$AF$18,"E-",IF(N685&lt;'PlayerGrades+'!$AF$17,"E",IF(N685&lt;'PlayerGrades+'!$AF$16,"E+",IF(N685&lt;'PlayerGrades+'!$AF$15,"D-",IF(N685&lt;'PlayerGrades+'!$AF$14,"D",IF(N685&lt;'PlayerGrades+'!$AF$13,"D+",IF(N685&lt;'PlayerGrades+'!$AF$12,"C-",IF(N685&lt;'PlayerGrades+'!$AF$11,"C",IF(N685&lt;'PlayerGrades+'!$AF$10,"C+",IF(N685&lt;'PlayerGrades+'!$AF$9,"B-",IF(N685&lt;'PlayerGrades+'!$AF$8,"B",IF(N685&lt;'PlayerGrades+'!$AF$7,"B+",IF(N685&lt;'PlayerGrades+'!$AF$6,"A-",IF(N685&lt;'PlayerGrades+'!$AF$5,"A",IF(N685&lt;'PlayerGrades+'!$AF$4,"A+",IF(N685&lt;'PlayerGrades+'!$AF$3,"S-",IF(N685&lt;'PlayerGrades+'!$AF$2,"S","S+"))))))))))))))))))))</f>
        <v>#DIV/0!</v>
      </c>
      <c r="P685" s="1423" t="str">
        <f t="shared" si="18"/>
        <v>#DIV/0!</v>
      </c>
      <c r="Q685" s="1423" t="str">
        <f>IF(P685&lt;'PlayerGrades+'!$AG$21,"F-",IF(P685&lt;'PlayerGrades+'!$AG$20,"F",IF(P685&lt;'PlayerGrades+'!$AG$19,"F+",IF(P685&lt;'PlayerGrades+'!$AG$18,"E-",IF(P685&lt;'PlayerGrades+'!$AG$17,"E",IF(P685&lt;'PlayerGrades+'!$AG$16,"E+",IF(P685&lt;'PlayerGrades+'!$AG$15,"D-",IF(P685&lt;'PlayerGrades+'!$AG$14,"D",IF(P685&lt;'PlayerGrades+'!$AG$13,"D+",IF(P685&lt;'PlayerGrades+'!$AG$12,"C-",IF(P685&lt;'PlayerGrades+'!$AG$11,"C",IF(P685&lt;'PlayerGrades+'!$AG$10,"C+",IF(P685&lt;'PlayerGrades+'!$AG$9,"B-",IF(P685&lt;'PlayerGrades+'!$AG$8,"B",IF(P685&lt;'PlayerGrades+'!$AG$7,"B+",IF(P685&lt;'PlayerGrades+'!$AG$6,"A-",IF(P685&lt;'PlayerGrades+'!$AG$5,"A",IF(P685&lt;'PlayerGrades+'!$AG$4,"A+",IF(P685&lt;'PlayerGrades+'!$AG$3,"S-",IF(P685&lt;'PlayerGrades+'!$AG$2,"S","S+"))))))))))))))))))))</f>
        <v>#DIV/0!</v>
      </c>
      <c r="R685" s="1423" t="str">
        <f t="shared" si="19"/>
        <v>#REF!</v>
      </c>
      <c r="S685" s="1423" t="str">
        <f>IF(R685&lt;'PlayerGrades+'!$AH$21,"F-",IF(R685&lt;'PlayerGrades+'!$AH$20,"F",IF(R685&lt;'PlayerGrades+'!$AH$19,"F+",IF(R685&lt;'PlayerGrades+'!$AH$18,"E-",IF(R685&lt;'PlayerGrades+'!$AH$17,"E",IF(R685&lt;'PlayerGrades+'!$AH$16,"E+",IF(R685&lt;'PlayerGrades+'!$AH$15,"D-",IF(R685&lt;'PlayerGrades+'!$AH$14,"D",IF(R685&lt;'PlayerGrades+'!$AH$13,"D+",IF(R685&lt;'PlayerGrades+'!$AH$12,"C-",IF(R685&lt;'PlayerGrades+'!$AH$11,"C",IF(R685&lt;'PlayerGrades+'!$AH$10,"C+",IF(R685&lt;'PlayerGrades+'!$AH$9,"B-",IF(R685&lt;'PlayerGrades+'!$AH$8,"B",IF(R685&lt;'PlayerGrades+'!$AH$7,"B+",IF(R685&lt;'PlayerGrades+'!$AH$6,"A-",IF(R685&lt;'PlayerGrades+'!$AH$5,"A",IF(R685&lt;'PlayerGrades+'!$AH$4,"A+",IF(R685&lt;'PlayerGrades+'!$AH$3,"S-",IF(R685&lt;'PlayerGrades+'!$AH$2,"S","S+"))))))))))))))))))))</f>
        <v>#REF!</v>
      </c>
      <c r="T685" s="1423" t="str">
        <f t="shared" si="20"/>
        <v>#REF!</v>
      </c>
      <c r="U685" s="1423" t="str">
        <f>IF(T685&lt;'PlayerGrades+'!$AI$21,"F-",IF(T685&lt;'PlayerGrades+'!$AI$20,"F",IF(T685&lt;'PlayerGrades+'!$AI$19,"F+",IF(T685&lt;'PlayerGrades+'!$AI$18,"E-",IF(T685&lt;'PlayerGrades+'!$AI$17,"E",IF(T685&lt;'PlayerGrades+'!$AI$16,"E+",IF(T685&lt;'PlayerGrades+'!$AI$15,"D-",IF(T685&lt;'PlayerGrades+'!$AI$14,"D",IF(T685&lt;'PlayerGrades+'!$AI$13,"D+",IF(T685&lt;'PlayerGrades+'!$AI$12,"C-",IF(T685&lt;'PlayerGrades+'!$AI$11,"C",IF(T685&lt;'PlayerGrades+'!$AI$10,"C+",IF(T685&lt;'PlayerGrades+'!$AI$9,"B-",IF(T685&lt;'PlayerGrades+'!$AI$8,"B",IF(T685&lt;'PlayerGrades+'!$AI$7,"B+",IF(T685&lt;'PlayerGrades+'!$AI$6,"A-",IF(T685&lt;'PlayerGrades+'!$AI$5,"A",IF(T685&lt;'PlayerGrades+'!$AI$4,"A+",IF(T685&lt;'PlayerGrades+'!$AI$3,"S-",IF(T685&lt;'PlayerGrades+'!$AI$2,"S","S+"))))))))))))))))))))</f>
        <v>#REF!</v>
      </c>
      <c r="AC685" s="1392"/>
    </row>
    <row r="686">
      <c r="A686" s="1391"/>
      <c r="B686" s="1421" t="str">
        <f>IF(C686&lt;'PlayerGrades+'!$Y$44,"F-",IF(C686&lt;'PlayerGrades+'!$Y$43,"F",IF(C686&lt;'PlayerGrades+'!$Y$42,"F+",IF(C686&lt;'PlayerGrades+'!$Y$41,"E-",IF(C686&lt;'PlayerGrades+'!$Y$40,"E",IF(C686&lt;'PlayerGrades+'!$Y$39,"E+",IF(C686&lt;'PlayerGrades+'!$Y$38,"D-",IF(C686&lt;'PlayerGrades+'!$Y$37,"D",IF(C686&lt;'PlayerGrades+'!$Y$36,"D+",IF(C686&lt;'PlayerGrades+'!$Y$35,"C-",IF(C686&lt;'PlayerGrades+'!$Y$34,"C",IF(C686&lt;'PlayerGrades+'!$Y$33,"C+",IF(C686&lt;'PlayerGrades+'!$Y$32,"B-",IF(C686&lt;'PlayerGrades+'!$Y$31,"B",IF(C686&lt;'PlayerGrades+'!$Y$30,"B+",IF(C686&lt;'PlayerGrades+'!$Y$29,"A-",IF(C686&lt;'PlayerGrades+'!$Y$28,"A",IF(C686&lt;'PlayerGrades+'!$Y$27,"A+",IF(C686&lt;'PlayerGrades+'!$Y$26,"S-",IF(C686&lt;'PlayerGrades+'!$Y$25,"S","S+"))))))))))))))))))))</f>
        <v>#DIV/0!</v>
      </c>
      <c r="C686" s="1422" t="str">
        <f>('PlayerGrades+'!$Y$47*(VLOOKUP(E686, 'PlayerGrades+'!$X$3:$Y$23, 2, FALSE)))+('PlayerGrades+'!$Y$48*(VLOOKUP(G686, 'PlayerGrades+'!$X$3:$Y$23, 2, FALSE)))+('PlayerGrades+'!$Y$49*(VLOOKUP(I686, 'PlayerGrades+'!$X$3:$Y$23, 2, FALSE)))+('PlayerGrades+'!$Y$50*(VLOOKUP(K686, 'PlayerGrades+'!$X$3:$Y$23, 2, FALSE)))+('PlayerGrades+'!$Y$51*(VLOOKUP(M686, 'PlayerGrades+'!$X$3:$Y$23, 2, FALSE)))+('PlayerGrades+'!$Y$52*(VLOOKUP(O686, 'PlayerGrades+'!$X$3:$Y$23, 2, FALSE)))+('PlayerGrades+'!$Y$53*(VLOOKUP(Q686, 'PlayerGrades+'!$X$3:$Y$23, 2, FALSE)))+('PlayerGrades+'!$Y$54*(VLOOKUP(S686, 'PlayerGrades+'!$X$3:$Y$23, 2, FALSE)))+('PlayerGrades+'!$Y$55*(VLOOKUP(U686, 'PlayerGrades+'!$X$3:$Y$23, 2, FALSE)))</f>
        <v>#DIV/0!</v>
      </c>
      <c r="D686" s="1423" t="str">
        <f t="shared" si="12"/>
        <v>#DIV/0!</v>
      </c>
      <c r="E686" s="1423" t="str">
        <f>IF(D686&lt;'PlayerGrades+'!$AA$21,"F-",IF(D686&lt;'PlayerGrades+'!$AA$20,"F",IF(D686&lt;'PlayerGrades+'!$AA$19,"F+",IF(D686&lt;'PlayerGrades+'!$AA$18,"E-",IF(D686&lt;'PlayerGrades+'!$AA$17,"E",IF(D686&lt;'PlayerGrades+'!$AA$16,"E+",IF(D686&lt;'PlayerGrades+'!$AA$15,"D-",IF(D686&lt;'PlayerGrades+'!$AA$14,"D",IF(D686&lt;'PlayerGrades+'!$AA$13,"D+",IF(D686&lt;'PlayerGrades+'!$AA$12,"C-",IF(D686&lt;'PlayerGrades+'!$AA$11,"C",IF(D686&lt;'PlayerGrades+'!$AA$10,"C+",IF(D686&lt;'PlayerGrades+'!$AA$9,"B-",IF(D686&lt;'PlayerGrades+'!$AA$8,"B",IF(D686&lt;'PlayerGrades+'!$AA$7,"B+",IF(D686&lt;'PlayerGrades+'!$AA$6,"A-",IF(D686&lt;'PlayerGrades+'!$AA$5,"A",IF(D686&lt;'PlayerGrades+'!$AA$4,"A+",IF(D686&lt;'PlayerGrades+'!$AA$3,"S-",IF(D686&lt;'PlayerGrades+'!$AA$2,"S","S+"))))))))))))))))))))</f>
        <v>#DIV/0!</v>
      </c>
      <c r="F686" s="1423" t="str">
        <f t="shared" si="13"/>
        <v>#DIV/0!</v>
      </c>
      <c r="G686" s="1423" t="str">
        <f>IF(F686&lt;'PlayerGrades+'!$AB$21,"F-",IF(F686&lt;'PlayerGrades+'!$AB$20,"F",IF(F686&lt;'PlayerGrades+'!$AB$19,"F+",IF(F686&lt;'PlayerGrades+'!$AB$18,"E-",IF(F686&lt;'PlayerGrades+'!$AB$17,"E",IF(F686&lt;'PlayerGrades+'!$AB$16,"E+",IF(F686&lt;'PlayerGrades+'!$AB$15,"D-",IF(F686&lt;'PlayerGrades+'!$AB$14,"D",IF(F686&lt;'PlayerGrades+'!$AB$13,"D+",IF(F686&lt;'PlayerGrades+'!$AB$12,"C-",IF(F686&lt;'PlayerGrades+'!$AB$11,"C",IF(F686&lt;'PlayerGrades+'!$AB$10,"C+",IF(F686&lt;'PlayerGrades+'!$AB$9,"B-",IF(F686&lt;'PlayerGrades+'!$AB$8,"B",IF(F686&lt;'PlayerGrades+'!$AB$7,"B+",IF(F686&lt;'PlayerGrades+'!$AB$6,"A-",IF(F686&lt;'PlayerGrades+'!$AB$5,"A",IF(F686&lt;'PlayerGrades+'!$AB$4,"A+",IF(F686&lt;'PlayerGrades+'!$AB$3,"S-",IF(F686&lt;'PlayerGrades+'!$AB$2,"S","S+"))))))))))))))))))))</f>
        <v>#DIV/0!</v>
      </c>
      <c r="H686" s="1423" t="str">
        <f t="shared" si="14"/>
        <v>#DIV/0!</v>
      </c>
      <c r="I686" s="1423" t="str">
        <f>IF(H686&lt;'PlayerGrades+'!$AC$21,"F-",IF(H686&lt;'PlayerGrades+'!$AC$20,"F",IF(H686&lt;'PlayerGrades+'!$AC$19,"F+",IF(H686&lt;'PlayerGrades+'!$AC$18,"E-",IF(H686&lt;'PlayerGrades+'!$AC$17,"E",IF(H686&lt;'PlayerGrades+'!$AC$16,"E+",IF(H686&lt;'PlayerGrades+'!$AC$15,"D-",IF(H686&lt;'PlayerGrades+'!$AC$14,"D",IF(H686&lt;'PlayerGrades+'!$AC$13,"D+",IF(H686&lt;'PlayerGrades+'!$AC$12,"C-",IF(H686&lt;'PlayerGrades+'!$AC$11,"C",IF(H686&lt;'PlayerGrades+'!$AC$10,"C+",IF(H686&lt;'PlayerGrades+'!$AC$9,"B-",IF(H686&lt;'PlayerGrades+'!$AC$8,"B",IF(H686&lt;'PlayerGrades+'!$AC$7,"B+",IF(H686&lt;'PlayerGrades+'!$AC$6,"A-",IF(H686&lt;'PlayerGrades+'!$AC$5,"A",IF(H686&lt;'PlayerGrades+'!$AC$4,"A+",IF(H686&lt;'PlayerGrades+'!$AC$3,"S-",IF(H686&lt;'PlayerGrades+'!$AC$2,"S","S+"))))))))))))))))))))</f>
        <v>#DIV/0!</v>
      </c>
      <c r="J686" s="1423" t="str">
        <f t="shared" si="15"/>
        <v>#DIV/0!</v>
      </c>
      <c r="K686" s="1423" t="str">
        <f>IF(J686&lt;'PlayerGrades+'!$AD$21,"F-",IF(J686&lt;'PlayerGrades+'!$AD$20,"F",IF(J686&lt;'PlayerGrades+'!$AD$19,"F+",IF(J686&lt;'PlayerGrades+'!$AD$18,"E-",IF(J686&lt;'PlayerGrades+'!$AD$17,"E",IF(J686&lt;'PlayerGrades+'!$AD$16,"E+",IF(J686&lt;'PlayerGrades+'!$AD$15,"D-",IF(J686&lt;'PlayerGrades+'!$AD$14,"D",IF(J686&lt;'PlayerGrades+'!$AD$13,"D+",IF(J686&lt;'PlayerGrades+'!$AD$12,"C-",IF(J686&lt;'PlayerGrades+'!$AD$11,"C",IF(J686&lt;'PlayerGrades+'!$AD$10,"C+",IF(J686&lt;'PlayerGrades+'!$AD$9,"B-",IF(J686&lt;'PlayerGrades+'!$AD$8,"B",IF(J686&lt;'PlayerGrades+'!$AD$7,"B+",IF(J686&lt;'PlayerGrades+'!$AD$6,"A-",IF(J686&lt;'PlayerGrades+'!$AD$5,"A",IF(J686&lt;'PlayerGrades+'!$AD$4,"A+",IF(J686&lt;'PlayerGrades+'!$AD$3,"S-",IF(J686&lt;'PlayerGrades+'!$AD$2,"S","S+"))))))))))))))))))))</f>
        <v>#DIV/0!</v>
      </c>
      <c r="L686" s="1176" t="str">
        <f t="shared" si="16"/>
        <v>#DIV/0!</v>
      </c>
      <c r="M686" s="992" t="str">
        <f>IF(L686&lt;'PlayerGrades+'!$AE$21,"F-",IF(L686&lt;'PlayerGrades+'!$AE$20,"F",IF(L686&lt;'PlayerGrades+'!$AE$19,"F+",IF(L686&lt;'PlayerGrades+'!$AE$18,"E-",IF(L686&lt;'PlayerGrades+'!$AE$17,"E",IF(L686&lt;'PlayerGrades+'!$AE$16,"E+",IF(L686&lt;'PlayerGrades+'!$AE$15,"D-",IF(L686&lt;'PlayerGrades+'!$AE$14,"D",IF(L686&lt;'PlayerGrades+'!$AE$13,"D+",IF(L686&lt;'PlayerGrades+'!$AE$12,"C-",IF(L686&lt;'PlayerGrades+'!$AE$11,"C",IF(L686&lt;'PlayerGrades+'!$AE$10,"C+",IF(L686&lt;'PlayerGrades+'!$AE$9,"B-",IF(L686&lt;'PlayerGrades+'!$AE$8,"B",IF(L686&lt;'PlayerGrades+'!$AE$7,"B+",IF(L686&lt;'PlayerGrades+'!$AE$6,"A-",IF(L686&lt;'PlayerGrades+'!$AE$5,"A",IF(L686&lt;'PlayerGrades+'!$AE$4,"A+",IF(L686&lt;'PlayerGrades+'!$AE$3,"S-",IF(L686&lt;'PlayerGrades+'!$AE$2,"S","S+"))))))))))))))))))))</f>
        <v>#DIV/0!</v>
      </c>
      <c r="N686" s="1423" t="str">
        <f t="shared" si="17"/>
        <v>#DIV/0!</v>
      </c>
      <c r="O686" s="1423" t="str">
        <f>IF(N686&lt;'PlayerGrades+'!$AF$21,"F-",IF(N686&lt;'PlayerGrades+'!$AF$20,"F",IF(N686&lt;'PlayerGrades+'!$AF$19,"F+",IF(N686&lt;'PlayerGrades+'!$AF$18,"E-",IF(N686&lt;'PlayerGrades+'!$AF$17,"E",IF(N686&lt;'PlayerGrades+'!$AF$16,"E+",IF(N686&lt;'PlayerGrades+'!$AF$15,"D-",IF(N686&lt;'PlayerGrades+'!$AF$14,"D",IF(N686&lt;'PlayerGrades+'!$AF$13,"D+",IF(N686&lt;'PlayerGrades+'!$AF$12,"C-",IF(N686&lt;'PlayerGrades+'!$AF$11,"C",IF(N686&lt;'PlayerGrades+'!$AF$10,"C+",IF(N686&lt;'PlayerGrades+'!$AF$9,"B-",IF(N686&lt;'PlayerGrades+'!$AF$8,"B",IF(N686&lt;'PlayerGrades+'!$AF$7,"B+",IF(N686&lt;'PlayerGrades+'!$AF$6,"A-",IF(N686&lt;'PlayerGrades+'!$AF$5,"A",IF(N686&lt;'PlayerGrades+'!$AF$4,"A+",IF(N686&lt;'PlayerGrades+'!$AF$3,"S-",IF(N686&lt;'PlayerGrades+'!$AF$2,"S","S+"))))))))))))))))))))</f>
        <v>#DIV/0!</v>
      </c>
      <c r="P686" s="1423" t="str">
        <f t="shared" si="18"/>
        <v>#DIV/0!</v>
      </c>
      <c r="Q686" s="1423" t="str">
        <f>IF(P686&lt;'PlayerGrades+'!$AG$21,"F-",IF(P686&lt;'PlayerGrades+'!$AG$20,"F",IF(P686&lt;'PlayerGrades+'!$AG$19,"F+",IF(P686&lt;'PlayerGrades+'!$AG$18,"E-",IF(P686&lt;'PlayerGrades+'!$AG$17,"E",IF(P686&lt;'PlayerGrades+'!$AG$16,"E+",IF(P686&lt;'PlayerGrades+'!$AG$15,"D-",IF(P686&lt;'PlayerGrades+'!$AG$14,"D",IF(P686&lt;'PlayerGrades+'!$AG$13,"D+",IF(P686&lt;'PlayerGrades+'!$AG$12,"C-",IF(P686&lt;'PlayerGrades+'!$AG$11,"C",IF(P686&lt;'PlayerGrades+'!$AG$10,"C+",IF(P686&lt;'PlayerGrades+'!$AG$9,"B-",IF(P686&lt;'PlayerGrades+'!$AG$8,"B",IF(P686&lt;'PlayerGrades+'!$AG$7,"B+",IF(P686&lt;'PlayerGrades+'!$AG$6,"A-",IF(P686&lt;'PlayerGrades+'!$AG$5,"A",IF(P686&lt;'PlayerGrades+'!$AG$4,"A+",IF(P686&lt;'PlayerGrades+'!$AG$3,"S-",IF(P686&lt;'PlayerGrades+'!$AG$2,"S","S+"))))))))))))))))))))</f>
        <v>#DIV/0!</v>
      </c>
      <c r="R686" s="1423" t="str">
        <f t="shared" si="19"/>
        <v>#REF!</v>
      </c>
      <c r="S686" s="1423" t="str">
        <f>IF(R686&lt;'PlayerGrades+'!$AH$21,"F-",IF(R686&lt;'PlayerGrades+'!$AH$20,"F",IF(R686&lt;'PlayerGrades+'!$AH$19,"F+",IF(R686&lt;'PlayerGrades+'!$AH$18,"E-",IF(R686&lt;'PlayerGrades+'!$AH$17,"E",IF(R686&lt;'PlayerGrades+'!$AH$16,"E+",IF(R686&lt;'PlayerGrades+'!$AH$15,"D-",IF(R686&lt;'PlayerGrades+'!$AH$14,"D",IF(R686&lt;'PlayerGrades+'!$AH$13,"D+",IF(R686&lt;'PlayerGrades+'!$AH$12,"C-",IF(R686&lt;'PlayerGrades+'!$AH$11,"C",IF(R686&lt;'PlayerGrades+'!$AH$10,"C+",IF(R686&lt;'PlayerGrades+'!$AH$9,"B-",IF(R686&lt;'PlayerGrades+'!$AH$8,"B",IF(R686&lt;'PlayerGrades+'!$AH$7,"B+",IF(R686&lt;'PlayerGrades+'!$AH$6,"A-",IF(R686&lt;'PlayerGrades+'!$AH$5,"A",IF(R686&lt;'PlayerGrades+'!$AH$4,"A+",IF(R686&lt;'PlayerGrades+'!$AH$3,"S-",IF(R686&lt;'PlayerGrades+'!$AH$2,"S","S+"))))))))))))))))))))</f>
        <v>#REF!</v>
      </c>
      <c r="T686" s="1423" t="str">
        <f t="shared" si="20"/>
        <v>#REF!</v>
      </c>
      <c r="U686" s="1423" t="str">
        <f>IF(T686&lt;'PlayerGrades+'!$AI$21,"F-",IF(T686&lt;'PlayerGrades+'!$AI$20,"F",IF(T686&lt;'PlayerGrades+'!$AI$19,"F+",IF(T686&lt;'PlayerGrades+'!$AI$18,"E-",IF(T686&lt;'PlayerGrades+'!$AI$17,"E",IF(T686&lt;'PlayerGrades+'!$AI$16,"E+",IF(T686&lt;'PlayerGrades+'!$AI$15,"D-",IF(T686&lt;'PlayerGrades+'!$AI$14,"D",IF(T686&lt;'PlayerGrades+'!$AI$13,"D+",IF(T686&lt;'PlayerGrades+'!$AI$12,"C-",IF(T686&lt;'PlayerGrades+'!$AI$11,"C",IF(T686&lt;'PlayerGrades+'!$AI$10,"C+",IF(T686&lt;'PlayerGrades+'!$AI$9,"B-",IF(T686&lt;'PlayerGrades+'!$AI$8,"B",IF(T686&lt;'PlayerGrades+'!$AI$7,"B+",IF(T686&lt;'PlayerGrades+'!$AI$6,"A-",IF(T686&lt;'PlayerGrades+'!$AI$5,"A",IF(T686&lt;'PlayerGrades+'!$AI$4,"A+",IF(T686&lt;'PlayerGrades+'!$AI$3,"S-",IF(T686&lt;'PlayerGrades+'!$AI$2,"S","S+"))))))))))))))))))))</f>
        <v>#REF!</v>
      </c>
      <c r="AC686" s="1392"/>
    </row>
    <row r="687">
      <c r="A687" s="1391"/>
      <c r="B687" s="1421" t="str">
        <f>IF(C687&lt;'PlayerGrades+'!$Y$44,"F-",IF(C687&lt;'PlayerGrades+'!$Y$43,"F",IF(C687&lt;'PlayerGrades+'!$Y$42,"F+",IF(C687&lt;'PlayerGrades+'!$Y$41,"E-",IF(C687&lt;'PlayerGrades+'!$Y$40,"E",IF(C687&lt;'PlayerGrades+'!$Y$39,"E+",IF(C687&lt;'PlayerGrades+'!$Y$38,"D-",IF(C687&lt;'PlayerGrades+'!$Y$37,"D",IF(C687&lt;'PlayerGrades+'!$Y$36,"D+",IF(C687&lt;'PlayerGrades+'!$Y$35,"C-",IF(C687&lt;'PlayerGrades+'!$Y$34,"C",IF(C687&lt;'PlayerGrades+'!$Y$33,"C+",IF(C687&lt;'PlayerGrades+'!$Y$32,"B-",IF(C687&lt;'PlayerGrades+'!$Y$31,"B",IF(C687&lt;'PlayerGrades+'!$Y$30,"B+",IF(C687&lt;'PlayerGrades+'!$Y$29,"A-",IF(C687&lt;'PlayerGrades+'!$Y$28,"A",IF(C687&lt;'PlayerGrades+'!$Y$27,"A+",IF(C687&lt;'PlayerGrades+'!$Y$26,"S-",IF(C687&lt;'PlayerGrades+'!$Y$25,"S","S+"))))))))))))))))))))</f>
        <v>#DIV/0!</v>
      </c>
      <c r="C687" s="1422" t="str">
        <f>('PlayerGrades+'!$Y$47*(VLOOKUP(E687, 'PlayerGrades+'!$X$3:$Y$23, 2, FALSE)))+('PlayerGrades+'!$Y$48*(VLOOKUP(G687, 'PlayerGrades+'!$X$3:$Y$23, 2, FALSE)))+('PlayerGrades+'!$Y$49*(VLOOKUP(I687, 'PlayerGrades+'!$X$3:$Y$23, 2, FALSE)))+('PlayerGrades+'!$Y$50*(VLOOKUP(K687, 'PlayerGrades+'!$X$3:$Y$23, 2, FALSE)))+('PlayerGrades+'!$Y$51*(VLOOKUP(M687, 'PlayerGrades+'!$X$3:$Y$23, 2, FALSE)))+('PlayerGrades+'!$Y$52*(VLOOKUP(O687, 'PlayerGrades+'!$X$3:$Y$23, 2, FALSE)))+('PlayerGrades+'!$Y$53*(VLOOKUP(Q687, 'PlayerGrades+'!$X$3:$Y$23, 2, FALSE)))+('PlayerGrades+'!$Y$54*(VLOOKUP(S687, 'PlayerGrades+'!$X$3:$Y$23, 2, FALSE)))+('PlayerGrades+'!$Y$55*(VLOOKUP(U687, 'PlayerGrades+'!$X$3:$Y$23, 2, FALSE)))</f>
        <v>#DIV/0!</v>
      </c>
      <c r="D687" s="1423" t="str">
        <f t="shared" si="12"/>
        <v>#DIV/0!</v>
      </c>
      <c r="E687" s="1423" t="str">
        <f>IF(D687&lt;'PlayerGrades+'!$AA$21,"F-",IF(D687&lt;'PlayerGrades+'!$AA$20,"F",IF(D687&lt;'PlayerGrades+'!$AA$19,"F+",IF(D687&lt;'PlayerGrades+'!$AA$18,"E-",IF(D687&lt;'PlayerGrades+'!$AA$17,"E",IF(D687&lt;'PlayerGrades+'!$AA$16,"E+",IF(D687&lt;'PlayerGrades+'!$AA$15,"D-",IF(D687&lt;'PlayerGrades+'!$AA$14,"D",IF(D687&lt;'PlayerGrades+'!$AA$13,"D+",IF(D687&lt;'PlayerGrades+'!$AA$12,"C-",IF(D687&lt;'PlayerGrades+'!$AA$11,"C",IF(D687&lt;'PlayerGrades+'!$AA$10,"C+",IF(D687&lt;'PlayerGrades+'!$AA$9,"B-",IF(D687&lt;'PlayerGrades+'!$AA$8,"B",IF(D687&lt;'PlayerGrades+'!$AA$7,"B+",IF(D687&lt;'PlayerGrades+'!$AA$6,"A-",IF(D687&lt;'PlayerGrades+'!$AA$5,"A",IF(D687&lt;'PlayerGrades+'!$AA$4,"A+",IF(D687&lt;'PlayerGrades+'!$AA$3,"S-",IF(D687&lt;'PlayerGrades+'!$AA$2,"S","S+"))))))))))))))))))))</f>
        <v>#DIV/0!</v>
      </c>
      <c r="F687" s="1423" t="str">
        <f t="shared" si="13"/>
        <v>#DIV/0!</v>
      </c>
      <c r="G687" s="1423" t="str">
        <f>IF(F687&lt;'PlayerGrades+'!$AB$21,"F-",IF(F687&lt;'PlayerGrades+'!$AB$20,"F",IF(F687&lt;'PlayerGrades+'!$AB$19,"F+",IF(F687&lt;'PlayerGrades+'!$AB$18,"E-",IF(F687&lt;'PlayerGrades+'!$AB$17,"E",IF(F687&lt;'PlayerGrades+'!$AB$16,"E+",IF(F687&lt;'PlayerGrades+'!$AB$15,"D-",IF(F687&lt;'PlayerGrades+'!$AB$14,"D",IF(F687&lt;'PlayerGrades+'!$AB$13,"D+",IF(F687&lt;'PlayerGrades+'!$AB$12,"C-",IF(F687&lt;'PlayerGrades+'!$AB$11,"C",IF(F687&lt;'PlayerGrades+'!$AB$10,"C+",IF(F687&lt;'PlayerGrades+'!$AB$9,"B-",IF(F687&lt;'PlayerGrades+'!$AB$8,"B",IF(F687&lt;'PlayerGrades+'!$AB$7,"B+",IF(F687&lt;'PlayerGrades+'!$AB$6,"A-",IF(F687&lt;'PlayerGrades+'!$AB$5,"A",IF(F687&lt;'PlayerGrades+'!$AB$4,"A+",IF(F687&lt;'PlayerGrades+'!$AB$3,"S-",IF(F687&lt;'PlayerGrades+'!$AB$2,"S","S+"))))))))))))))))))))</f>
        <v>#DIV/0!</v>
      </c>
      <c r="H687" s="1423" t="str">
        <f t="shared" si="14"/>
        <v>#DIV/0!</v>
      </c>
      <c r="I687" s="1423" t="str">
        <f>IF(H687&lt;'PlayerGrades+'!$AC$21,"F-",IF(H687&lt;'PlayerGrades+'!$AC$20,"F",IF(H687&lt;'PlayerGrades+'!$AC$19,"F+",IF(H687&lt;'PlayerGrades+'!$AC$18,"E-",IF(H687&lt;'PlayerGrades+'!$AC$17,"E",IF(H687&lt;'PlayerGrades+'!$AC$16,"E+",IF(H687&lt;'PlayerGrades+'!$AC$15,"D-",IF(H687&lt;'PlayerGrades+'!$AC$14,"D",IF(H687&lt;'PlayerGrades+'!$AC$13,"D+",IF(H687&lt;'PlayerGrades+'!$AC$12,"C-",IF(H687&lt;'PlayerGrades+'!$AC$11,"C",IF(H687&lt;'PlayerGrades+'!$AC$10,"C+",IF(H687&lt;'PlayerGrades+'!$AC$9,"B-",IF(H687&lt;'PlayerGrades+'!$AC$8,"B",IF(H687&lt;'PlayerGrades+'!$AC$7,"B+",IF(H687&lt;'PlayerGrades+'!$AC$6,"A-",IF(H687&lt;'PlayerGrades+'!$AC$5,"A",IF(H687&lt;'PlayerGrades+'!$AC$4,"A+",IF(H687&lt;'PlayerGrades+'!$AC$3,"S-",IF(H687&lt;'PlayerGrades+'!$AC$2,"S","S+"))))))))))))))))))))</f>
        <v>#DIV/0!</v>
      </c>
      <c r="J687" s="1423" t="str">
        <f t="shared" si="15"/>
        <v>#DIV/0!</v>
      </c>
      <c r="K687" s="1423" t="str">
        <f>IF(J687&lt;'PlayerGrades+'!$AD$21,"F-",IF(J687&lt;'PlayerGrades+'!$AD$20,"F",IF(J687&lt;'PlayerGrades+'!$AD$19,"F+",IF(J687&lt;'PlayerGrades+'!$AD$18,"E-",IF(J687&lt;'PlayerGrades+'!$AD$17,"E",IF(J687&lt;'PlayerGrades+'!$AD$16,"E+",IF(J687&lt;'PlayerGrades+'!$AD$15,"D-",IF(J687&lt;'PlayerGrades+'!$AD$14,"D",IF(J687&lt;'PlayerGrades+'!$AD$13,"D+",IF(J687&lt;'PlayerGrades+'!$AD$12,"C-",IF(J687&lt;'PlayerGrades+'!$AD$11,"C",IF(J687&lt;'PlayerGrades+'!$AD$10,"C+",IF(J687&lt;'PlayerGrades+'!$AD$9,"B-",IF(J687&lt;'PlayerGrades+'!$AD$8,"B",IF(J687&lt;'PlayerGrades+'!$AD$7,"B+",IF(J687&lt;'PlayerGrades+'!$AD$6,"A-",IF(J687&lt;'PlayerGrades+'!$AD$5,"A",IF(J687&lt;'PlayerGrades+'!$AD$4,"A+",IF(J687&lt;'PlayerGrades+'!$AD$3,"S-",IF(J687&lt;'PlayerGrades+'!$AD$2,"S","S+"))))))))))))))))))))</f>
        <v>#DIV/0!</v>
      </c>
      <c r="L687" s="1176" t="str">
        <f t="shared" si="16"/>
        <v>#DIV/0!</v>
      </c>
      <c r="M687" s="992" t="str">
        <f>IF(L687&lt;'PlayerGrades+'!$AE$21,"F-",IF(L687&lt;'PlayerGrades+'!$AE$20,"F",IF(L687&lt;'PlayerGrades+'!$AE$19,"F+",IF(L687&lt;'PlayerGrades+'!$AE$18,"E-",IF(L687&lt;'PlayerGrades+'!$AE$17,"E",IF(L687&lt;'PlayerGrades+'!$AE$16,"E+",IF(L687&lt;'PlayerGrades+'!$AE$15,"D-",IF(L687&lt;'PlayerGrades+'!$AE$14,"D",IF(L687&lt;'PlayerGrades+'!$AE$13,"D+",IF(L687&lt;'PlayerGrades+'!$AE$12,"C-",IF(L687&lt;'PlayerGrades+'!$AE$11,"C",IF(L687&lt;'PlayerGrades+'!$AE$10,"C+",IF(L687&lt;'PlayerGrades+'!$AE$9,"B-",IF(L687&lt;'PlayerGrades+'!$AE$8,"B",IF(L687&lt;'PlayerGrades+'!$AE$7,"B+",IF(L687&lt;'PlayerGrades+'!$AE$6,"A-",IF(L687&lt;'PlayerGrades+'!$AE$5,"A",IF(L687&lt;'PlayerGrades+'!$AE$4,"A+",IF(L687&lt;'PlayerGrades+'!$AE$3,"S-",IF(L687&lt;'PlayerGrades+'!$AE$2,"S","S+"))))))))))))))))))))</f>
        <v>#DIV/0!</v>
      </c>
      <c r="N687" s="1423" t="str">
        <f t="shared" si="17"/>
        <v>#DIV/0!</v>
      </c>
      <c r="O687" s="1423" t="str">
        <f>IF(N687&lt;'PlayerGrades+'!$AF$21,"F-",IF(N687&lt;'PlayerGrades+'!$AF$20,"F",IF(N687&lt;'PlayerGrades+'!$AF$19,"F+",IF(N687&lt;'PlayerGrades+'!$AF$18,"E-",IF(N687&lt;'PlayerGrades+'!$AF$17,"E",IF(N687&lt;'PlayerGrades+'!$AF$16,"E+",IF(N687&lt;'PlayerGrades+'!$AF$15,"D-",IF(N687&lt;'PlayerGrades+'!$AF$14,"D",IF(N687&lt;'PlayerGrades+'!$AF$13,"D+",IF(N687&lt;'PlayerGrades+'!$AF$12,"C-",IF(N687&lt;'PlayerGrades+'!$AF$11,"C",IF(N687&lt;'PlayerGrades+'!$AF$10,"C+",IF(N687&lt;'PlayerGrades+'!$AF$9,"B-",IF(N687&lt;'PlayerGrades+'!$AF$8,"B",IF(N687&lt;'PlayerGrades+'!$AF$7,"B+",IF(N687&lt;'PlayerGrades+'!$AF$6,"A-",IF(N687&lt;'PlayerGrades+'!$AF$5,"A",IF(N687&lt;'PlayerGrades+'!$AF$4,"A+",IF(N687&lt;'PlayerGrades+'!$AF$3,"S-",IF(N687&lt;'PlayerGrades+'!$AF$2,"S","S+"))))))))))))))))))))</f>
        <v>#DIV/0!</v>
      </c>
      <c r="P687" s="1423" t="str">
        <f t="shared" si="18"/>
        <v>#DIV/0!</v>
      </c>
      <c r="Q687" s="1423" t="str">
        <f>IF(P687&lt;'PlayerGrades+'!$AG$21,"F-",IF(P687&lt;'PlayerGrades+'!$AG$20,"F",IF(P687&lt;'PlayerGrades+'!$AG$19,"F+",IF(P687&lt;'PlayerGrades+'!$AG$18,"E-",IF(P687&lt;'PlayerGrades+'!$AG$17,"E",IF(P687&lt;'PlayerGrades+'!$AG$16,"E+",IF(P687&lt;'PlayerGrades+'!$AG$15,"D-",IF(P687&lt;'PlayerGrades+'!$AG$14,"D",IF(P687&lt;'PlayerGrades+'!$AG$13,"D+",IF(P687&lt;'PlayerGrades+'!$AG$12,"C-",IF(P687&lt;'PlayerGrades+'!$AG$11,"C",IF(P687&lt;'PlayerGrades+'!$AG$10,"C+",IF(P687&lt;'PlayerGrades+'!$AG$9,"B-",IF(P687&lt;'PlayerGrades+'!$AG$8,"B",IF(P687&lt;'PlayerGrades+'!$AG$7,"B+",IF(P687&lt;'PlayerGrades+'!$AG$6,"A-",IF(P687&lt;'PlayerGrades+'!$AG$5,"A",IF(P687&lt;'PlayerGrades+'!$AG$4,"A+",IF(P687&lt;'PlayerGrades+'!$AG$3,"S-",IF(P687&lt;'PlayerGrades+'!$AG$2,"S","S+"))))))))))))))))))))</f>
        <v>#DIV/0!</v>
      </c>
      <c r="R687" s="1423" t="str">
        <f t="shared" si="19"/>
        <v>#REF!</v>
      </c>
      <c r="S687" s="1423" t="str">
        <f>IF(R687&lt;'PlayerGrades+'!$AH$21,"F-",IF(R687&lt;'PlayerGrades+'!$AH$20,"F",IF(R687&lt;'PlayerGrades+'!$AH$19,"F+",IF(R687&lt;'PlayerGrades+'!$AH$18,"E-",IF(R687&lt;'PlayerGrades+'!$AH$17,"E",IF(R687&lt;'PlayerGrades+'!$AH$16,"E+",IF(R687&lt;'PlayerGrades+'!$AH$15,"D-",IF(R687&lt;'PlayerGrades+'!$AH$14,"D",IF(R687&lt;'PlayerGrades+'!$AH$13,"D+",IF(R687&lt;'PlayerGrades+'!$AH$12,"C-",IF(R687&lt;'PlayerGrades+'!$AH$11,"C",IF(R687&lt;'PlayerGrades+'!$AH$10,"C+",IF(R687&lt;'PlayerGrades+'!$AH$9,"B-",IF(R687&lt;'PlayerGrades+'!$AH$8,"B",IF(R687&lt;'PlayerGrades+'!$AH$7,"B+",IF(R687&lt;'PlayerGrades+'!$AH$6,"A-",IF(R687&lt;'PlayerGrades+'!$AH$5,"A",IF(R687&lt;'PlayerGrades+'!$AH$4,"A+",IF(R687&lt;'PlayerGrades+'!$AH$3,"S-",IF(R687&lt;'PlayerGrades+'!$AH$2,"S","S+"))))))))))))))))))))</f>
        <v>#REF!</v>
      </c>
      <c r="T687" s="1423" t="str">
        <f t="shared" si="20"/>
        <v>#REF!</v>
      </c>
      <c r="U687" s="1423" t="str">
        <f>IF(T687&lt;'PlayerGrades+'!$AI$21,"F-",IF(T687&lt;'PlayerGrades+'!$AI$20,"F",IF(T687&lt;'PlayerGrades+'!$AI$19,"F+",IF(T687&lt;'PlayerGrades+'!$AI$18,"E-",IF(T687&lt;'PlayerGrades+'!$AI$17,"E",IF(T687&lt;'PlayerGrades+'!$AI$16,"E+",IF(T687&lt;'PlayerGrades+'!$AI$15,"D-",IF(T687&lt;'PlayerGrades+'!$AI$14,"D",IF(T687&lt;'PlayerGrades+'!$AI$13,"D+",IF(T687&lt;'PlayerGrades+'!$AI$12,"C-",IF(T687&lt;'PlayerGrades+'!$AI$11,"C",IF(T687&lt;'PlayerGrades+'!$AI$10,"C+",IF(T687&lt;'PlayerGrades+'!$AI$9,"B-",IF(T687&lt;'PlayerGrades+'!$AI$8,"B",IF(T687&lt;'PlayerGrades+'!$AI$7,"B+",IF(T687&lt;'PlayerGrades+'!$AI$6,"A-",IF(T687&lt;'PlayerGrades+'!$AI$5,"A",IF(T687&lt;'PlayerGrades+'!$AI$4,"A+",IF(T687&lt;'PlayerGrades+'!$AI$3,"S-",IF(T687&lt;'PlayerGrades+'!$AI$2,"S","S+"))))))))))))))))))))</f>
        <v>#REF!</v>
      </c>
      <c r="AC687" s="1392"/>
    </row>
    <row r="688">
      <c r="A688" s="1391"/>
      <c r="B688" s="1421" t="str">
        <f>IF(C688&lt;'PlayerGrades+'!$Y$44,"F-",IF(C688&lt;'PlayerGrades+'!$Y$43,"F",IF(C688&lt;'PlayerGrades+'!$Y$42,"F+",IF(C688&lt;'PlayerGrades+'!$Y$41,"E-",IF(C688&lt;'PlayerGrades+'!$Y$40,"E",IF(C688&lt;'PlayerGrades+'!$Y$39,"E+",IF(C688&lt;'PlayerGrades+'!$Y$38,"D-",IF(C688&lt;'PlayerGrades+'!$Y$37,"D",IF(C688&lt;'PlayerGrades+'!$Y$36,"D+",IF(C688&lt;'PlayerGrades+'!$Y$35,"C-",IF(C688&lt;'PlayerGrades+'!$Y$34,"C",IF(C688&lt;'PlayerGrades+'!$Y$33,"C+",IF(C688&lt;'PlayerGrades+'!$Y$32,"B-",IF(C688&lt;'PlayerGrades+'!$Y$31,"B",IF(C688&lt;'PlayerGrades+'!$Y$30,"B+",IF(C688&lt;'PlayerGrades+'!$Y$29,"A-",IF(C688&lt;'PlayerGrades+'!$Y$28,"A",IF(C688&lt;'PlayerGrades+'!$Y$27,"A+",IF(C688&lt;'PlayerGrades+'!$Y$26,"S-",IF(C688&lt;'PlayerGrades+'!$Y$25,"S","S+"))))))))))))))))))))</f>
        <v>#DIV/0!</v>
      </c>
      <c r="C688" s="1422" t="str">
        <f>('PlayerGrades+'!$Y$47*(VLOOKUP(E688, 'PlayerGrades+'!$X$3:$Y$23, 2, FALSE)))+('PlayerGrades+'!$Y$48*(VLOOKUP(G688, 'PlayerGrades+'!$X$3:$Y$23, 2, FALSE)))+('PlayerGrades+'!$Y$49*(VLOOKUP(I688, 'PlayerGrades+'!$X$3:$Y$23, 2, FALSE)))+('PlayerGrades+'!$Y$50*(VLOOKUP(K688, 'PlayerGrades+'!$X$3:$Y$23, 2, FALSE)))+('PlayerGrades+'!$Y$51*(VLOOKUP(M688, 'PlayerGrades+'!$X$3:$Y$23, 2, FALSE)))+('PlayerGrades+'!$Y$52*(VLOOKUP(O688, 'PlayerGrades+'!$X$3:$Y$23, 2, FALSE)))+('PlayerGrades+'!$Y$53*(VLOOKUP(Q688, 'PlayerGrades+'!$X$3:$Y$23, 2, FALSE)))+('PlayerGrades+'!$Y$54*(VLOOKUP(S688, 'PlayerGrades+'!$X$3:$Y$23, 2, FALSE)))+('PlayerGrades+'!$Y$55*(VLOOKUP(U688, 'PlayerGrades+'!$X$3:$Y$23, 2, FALSE)))</f>
        <v>#DIV/0!</v>
      </c>
      <c r="D688" s="1423" t="str">
        <f t="shared" si="12"/>
        <v>#DIV/0!</v>
      </c>
      <c r="E688" s="1423" t="str">
        <f>IF(D688&lt;'PlayerGrades+'!$AA$21,"F-",IF(D688&lt;'PlayerGrades+'!$AA$20,"F",IF(D688&lt;'PlayerGrades+'!$AA$19,"F+",IF(D688&lt;'PlayerGrades+'!$AA$18,"E-",IF(D688&lt;'PlayerGrades+'!$AA$17,"E",IF(D688&lt;'PlayerGrades+'!$AA$16,"E+",IF(D688&lt;'PlayerGrades+'!$AA$15,"D-",IF(D688&lt;'PlayerGrades+'!$AA$14,"D",IF(D688&lt;'PlayerGrades+'!$AA$13,"D+",IF(D688&lt;'PlayerGrades+'!$AA$12,"C-",IF(D688&lt;'PlayerGrades+'!$AA$11,"C",IF(D688&lt;'PlayerGrades+'!$AA$10,"C+",IF(D688&lt;'PlayerGrades+'!$AA$9,"B-",IF(D688&lt;'PlayerGrades+'!$AA$8,"B",IF(D688&lt;'PlayerGrades+'!$AA$7,"B+",IF(D688&lt;'PlayerGrades+'!$AA$6,"A-",IF(D688&lt;'PlayerGrades+'!$AA$5,"A",IF(D688&lt;'PlayerGrades+'!$AA$4,"A+",IF(D688&lt;'PlayerGrades+'!$AA$3,"S-",IF(D688&lt;'PlayerGrades+'!$AA$2,"S","S+"))))))))))))))))))))</f>
        <v>#DIV/0!</v>
      </c>
      <c r="F688" s="1423" t="str">
        <f t="shared" si="13"/>
        <v>#DIV/0!</v>
      </c>
      <c r="G688" s="1423" t="str">
        <f>IF(F688&lt;'PlayerGrades+'!$AB$21,"F-",IF(F688&lt;'PlayerGrades+'!$AB$20,"F",IF(F688&lt;'PlayerGrades+'!$AB$19,"F+",IF(F688&lt;'PlayerGrades+'!$AB$18,"E-",IF(F688&lt;'PlayerGrades+'!$AB$17,"E",IF(F688&lt;'PlayerGrades+'!$AB$16,"E+",IF(F688&lt;'PlayerGrades+'!$AB$15,"D-",IF(F688&lt;'PlayerGrades+'!$AB$14,"D",IF(F688&lt;'PlayerGrades+'!$AB$13,"D+",IF(F688&lt;'PlayerGrades+'!$AB$12,"C-",IF(F688&lt;'PlayerGrades+'!$AB$11,"C",IF(F688&lt;'PlayerGrades+'!$AB$10,"C+",IF(F688&lt;'PlayerGrades+'!$AB$9,"B-",IF(F688&lt;'PlayerGrades+'!$AB$8,"B",IF(F688&lt;'PlayerGrades+'!$AB$7,"B+",IF(F688&lt;'PlayerGrades+'!$AB$6,"A-",IF(F688&lt;'PlayerGrades+'!$AB$5,"A",IF(F688&lt;'PlayerGrades+'!$AB$4,"A+",IF(F688&lt;'PlayerGrades+'!$AB$3,"S-",IF(F688&lt;'PlayerGrades+'!$AB$2,"S","S+"))))))))))))))))))))</f>
        <v>#DIV/0!</v>
      </c>
      <c r="H688" s="1423" t="str">
        <f t="shared" si="14"/>
        <v>#DIV/0!</v>
      </c>
      <c r="I688" s="1423" t="str">
        <f>IF(H688&lt;'PlayerGrades+'!$AC$21,"F-",IF(H688&lt;'PlayerGrades+'!$AC$20,"F",IF(H688&lt;'PlayerGrades+'!$AC$19,"F+",IF(H688&lt;'PlayerGrades+'!$AC$18,"E-",IF(H688&lt;'PlayerGrades+'!$AC$17,"E",IF(H688&lt;'PlayerGrades+'!$AC$16,"E+",IF(H688&lt;'PlayerGrades+'!$AC$15,"D-",IF(H688&lt;'PlayerGrades+'!$AC$14,"D",IF(H688&lt;'PlayerGrades+'!$AC$13,"D+",IF(H688&lt;'PlayerGrades+'!$AC$12,"C-",IF(H688&lt;'PlayerGrades+'!$AC$11,"C",IF(H688&lt;'PlayerGrades+'!$AC$10,"C+",IF(H688&lt;'PlayerGrades+'!$AC$9,"B-",IF(H688&lt;'PlayerGrades+'!$AC$8,"B",IF(H688&lt;'PlayerGrades+'!$AC$7,"B+",IF(H688&lt;'PlayerGrades+'!$AC$6,"A-",IF(H688&lt;'PlayerGrades+'!$AC$5,"A",IF(H688&lt;'PlayerGrades+'!$AC$4,"A+",IF(H688&lt;'PlayerGrades+'!$AC$3,"S-",IF(H688&lt;'PlayerGrades+'!$AC$2,"S","S+"))))))))))))))))))))</f>
        <v>#DIV/0!</v>
      </c>
      <c r="J688" s="1423" t="str">
        <f t="shared" si="15"/>
        <v>#DIV/0!</v>
      </c>
      <c r="K688" s="1423" t="str">
        <f>IF(J688&lt;'PlayerGrades+'!$AD$21,"F-",IF(J688&lt;'PlayerGrades+'!$AD$20,"F",IF(J688&lt;'PlayerGrades+'!$AD$19,"F+",IF(J688&lt;'PlayerGrades+'!$AD$18,"E-",IF(J688&lt;'PlayerGrades+'!$AD$17,"E",IF(J688&lt;'PlayerGrades+'!$AD$16,"E+",IF(J688&lt;'PlayerGrades+'!$AD$15,"D-",IF(J688&lt;'PlayerGrades+'!$AD$14,"D",IF(J688&lt;'PlayerGrades+'!$AD$13,"D+",IF(J688&lt;'PlayerGrades+'!$AD$12,"C-",IF(J688&lt;'PlayerGrades+'!$AD$11,"C",IF(J688&lt;'PlayerGrades+'!$AD$10,"C+",IF(J688&lt;'PlayerGrades+'!$AD$9,"B-",IF(J688&lt;'PlayerGrades+'!$AD$8,"B",IF(J688&lt;'PlayerGrades+'!$AD$7,"B+",IF(J688&lt;'PlayerGrades+'!$AD$6,"A-",IF(J688&lt;'PlayerGrades+'!$AD$5,"A",IF(J688&lt;'PlayerGrades+'!$AD$4,"A+",IF(J688&lt;'PlayerGrades+'!$AD$3,"S-",IF(J688&lt;'PlayerGrades+'!$AD$2,"S","S+"))))))))))))))))))))</f>
        <v>#DIV/0!</v>
      </c>
      <c r="L688" s="1176" t="str">
        <f t="shared" si="16"/>
        <v>#DIV/0!</v>
      </c>
      <c r="M688" s="992" t="str">
        <f>IF(L688&lt;'PlayerGrades+'!$AE$21,"F-",IF(L688&lt;'PlayerGrades+'!$AE$20,"F",IF(L688&lt;'PlayerGrades+'!$AE$19,"F+",IF(L688&lt;'PlayerGrades+'!$AE$18,"E-",IF(L688&lt;'PlayerGrades+'!$AE$17,"E",IF(L688&lt;'PlayerGrades+'!$AE$16,"E+",IF(L688&lt;'PlayerGrades+'!$AE$15,"D-",IF(L688&lt;'PlayerGrades+'!$AE$14,"D",IF(L688&lt;'PlayerGrades+'!$AE$13,"D+",IF(L688&lt;'PlayerGrades+'!$AE$12,"C-",IF(L688&lt;'PlayerGrades+'!$AE$11,"C",IF(L688&lt;'PlayerGrades+'!$AE$10,"C+",IF(L688&lt;'PlayerGrades+'!$AE$9,"B-",IF(L688&lt;'PlayerGrades+'!$AE$8,"B",IF(L688&lt;'PlayerGrades+'!$AE$7,"B+",IF(L688&lt;'PlayerGrades+'!$AE$6,"A-",IF(L688&lt;'PlayerGrades+'!$AE$5,"A",IF(L688&lt;'PlayerGrades+'!$AE$4,"A+",IF(L688&lt;'PlayerGrades+'!$AE$3,"S-",IF(L688&lt;'PlayerGrades+'!$AE$2,"S","S+"))))))))))))))))))))</f>
        <v>#DIV/0!</v>
      </c>
      <c r="N688" s="1423" t="str">
        <f t="shared" si="17"/>
        <v>#DIV/0!</v>
      </c>
      <c r="O688" s="1423" t="str">
        <f>IF(N688&lt;'PlayerGrades+'!$AF$21,"F-",IF(N688&lt;'PlayerGrades+'!$AF$20,"F",IF(N688&lt;'PlayerGrades+'!$AF$19,"F+",IF(N688&lt;'PlayerGrades+'!$AF$18,"E-",IF(N688&lt;'PlayerGrades+'!$AF$17,"E",IF(N688&lt;'PlayerGrades+'!$AF$16,"E+",IF(N688&lt;'PlayerGrades+'!$AF$15,"D-",IF(N688&lt;'PlayerGrades+'!$AF$14,"D",IF(N688&lt;'PlayerGrades+'!$AF$13,"D+",IF(N688&lt;'PlayerGrades+'!$AF$12,"C-",IF(N688&lt;'PlayerGrades+'!$AF$11,"C",IF(N688&lt;'PlayerGrades+'!$AF$10,"C+",IF(N688&lt;'PlayerGrades+'!$AF$9,"B-",IF(N688&lt;'PlayerGrades+'!$AF$8,"B",IF(N688&lt;'PlayerGrades+'!$AF$7,"B+",IF(N688&lt;'PlayerGrades+'!$AF$6,"A-",IF(N688&lt;'PlayerGrades+'!$AF$5,"A",IF(N688&lt;'PlayerGrades+'!$AF$4,"A+",IF(N688&lt;'PlayerGrades+'!$AF$3,"S-",IF(N688&lt;'PlayerGrades+'!$AF$2,"S","S+"))))))))))))))))))))</f>
        <v>#DIV/0!</v>
      </c>
      <c r="P688" s="1423" t="str">
        <f t="shared" si="18"/>
        <v>#DIV/0!</v>
      </c>
      <c r="Q688" s="1423" t="str">
        <f>IF(P688&lt;'PlayerGrades+'!$AG$21,"F-",IF(P688&lt;'PlayerGrades+'!$AG$20,"F",IF(P688&lt;'PlayerGrades+'!$AG$19,"F+",IF(P688&lt;'PlayerGrades+'!$AG$18,"E-",IF(P688&lt;'PlayerGrades+'!$AG$17,"E",IF(P688&lt;'PlayerGrades+'!$AG$16,"E+",IF(P688&lt;'PlayerGrades+'!$AG$15,"D-",IF(P688&lt;'PlayerGrades+'!$AG$14,"D",IF(P688&lt;'PlayerGrades+'!$AG$13,"D+",IF(P688&lt;'PlayerGrades+'!$AG$12,"C-",IF(P688&lt;'PlayerGrades+'!$AG$11,"C",IF(P688&lt;'PlayerGrades+'!$AG$10,"C+",IF(P688&lt;'PlayerGrades+'!$AG$9,"B-",IF(P688&lt;'PlayerGrades+'!$AG$8,"B",IF(P688&lt;'PlayerGrades+'!$AG$7,"B+",IF(P688&lt;'PlayerGrades+'!$AG$6,"A-",IF(P688&lt;'PlayerGrades+'!$AG$5,"A",IF(P688&lt;'PlayerGrades+'!$AG$4,"A+",IF(P688&lt;'PlayerGrades+'!$AG$3,"S-",IF(P688&lt;'PlayerGrades+'!$AG$2,"S","S+"))))))))))))))))))))</f>
        <v>#DIV/0!</v>
      </c>
      <c r="R688" s="1423" t="str">
        <f t="shared" si="19"/>
        <v>#REF!</v>
      </c>
      <c r="S688" s="1423" t="str">
        <f>IF(R688&lt;'PlayerGrades+'!$AH$21,"F-",IF(R688&lt;'PlayerGrades+'!$AH$20,"F",IF(R688&lt;'PlayerGrades+'!$AH$19,"F+",IF(R688&lt;'PlayerGrades+'!$AH$18,"E-",IF(R688&lt;'PlayerGrades+'!$AH$17,"E",IF(R688&lt;'PlayerGrades+'!$AH$16,"E+",IF(R688&lt;'PlayerGrades+'!$AH$15,"D-",IF(R688&lt;'PlayerGrades+'!$AH$14,"D",IF(R688&lt;'PlayerGrades+'!$AH$13,"D+",IF(R688&lt;'PlayerGrades+'!$AH$12,"C-",IF(R688&lt;'PlayerGrades+'!$AH$11,"C",IF(R688&lt;'PlayerGrades+'!$AH$10,"C+",IF(R688&lt;'PlayerGrades+'!$AH$9,"B-",IF(R688&lt;'PlayerGrades+'!$AH$8,"B",IF(R688&lt;'PlayerGrades+'!$AH$7,"B+",IF(R688&lt;'PlayerGrades+'!$AH$6,"A-",IF(R688&lt;'PlayerGrades+'!$AH$5,"A",IF(R688&lt;'PlayerGrades+'!$AH$4,"A+",IF(R688&lt;'PlayerGrades+'!$AH$3,"S-",IF(R688&lt;'PlayerGrades+'!$AH$2,"S","S+"))))))))))))))))))))</f>
        <v>#REF!</v>
      </c>
      <c r="T688" s="1423" t="str">
        <f t="shared" si="20"/>
        <v>#REF!</v>
      </c>
      <c r="U688" s="1423" t="str">
        <f>IF(T688&lt;'PlayerGrades+'!$AI$21,"F-",IF(T688&lt;'PlayerGrades+'!$AI$20,"F",IF(T688&lt;'PlayerGrades+'!$AI$19,"F+",IF(T688&lt;'PlayerGrades+'!$AI$18,"E-",IF(T688&lt;'PlayerGrades+'!$AI$17,"E",IF(T688&lt;'PlayerGrades+'!$AI$16,"E+",IF(T688&lt;'PlayerGrades+'!$AI$15,"D-",IF(T688&lt;'PlayerGrades+'!$AI$14,"D",IF(T688&lt;'PlayerGrades+'!$AI$13,"D+",IF(T688&lt;'PlayerGrades+'!$AI$12,"C-",IF(T688&lt;'PlayerGrades+'!$AI$11,"C",IF(T688&lt;'PlayerGrades+'!$AI$10,"C+",IF(T688&lt;'PlayerGrades+'!$AI$9,"B-",IF(T688&lt;'PlayerGrades+'!$AI$8,"B",IF(T688&lt;'PlayerGrades+'!$AI$7,"B+",IF(T688&lt;'PlayerGrades+'!$AI$6,"A-",IF(T688&lt;'PlayerGrades+'!$AI$5,"A",IF(T688&lt;'PlayerGrades+'!$AI$4,"A+",IF(T688&lt;'PlayerGrades+'!$AI$3,"S-",IF(T688&lt;'PlayerGrades+'!$AI$2,"S","S+"))))))))))))))))))))</f>
        <v>#REF!</v>
      </c>
      <c r="AC688" s="1392"/>
    </row>
    <row r="689">
      <c r="A689" s="1393"/>
      <c r="B689" s="1421" t="str">
        <f>IF(C689&lt;'PlayerGrades+'!$Y$44,"F-",IF(C689&lt;'PlayerGrades+'!$Y$43,"F",IF(C689&lt;'PlayerGrades+'!$Y$42,"F+",IF(C689&lt;'PlayerGrades+'!$Y$41,"E-",IF(C689&lt;'PlayerGrades+'!$Y$40,"E",IF(C689&lt;'PlayerGrades+'!$Y$39,"E+",IF(C689&lt;'PlayerGrades+'!$Y$38,"D-",IF(C689&lt;'PlayerGrades+'!$Y$37,"D",IF(C689&lt;'PlayerGrades+'!$Y$36,"D+",IF(C689&lt;'PlayerGrades+'!$Y$35,"C-",IF(C689&lt;'PlayerGrades+'!$Y$34,"C",IF(C689&lt;'PlayerGrades+'!$Y$33,"C+",IF(C689&lt;'PlayerGrades+'!$Y$32,"B-",IF(C689&lt;'PlayerGrades+'!$Y$31,"B",IF(C689&lt;'PlayerGrades+'!$Y$30,"B+",IF(C689&lt;'PlayerGrades+'!$Y$29,"A-",IF(C689&lt;'PlayerGrades+'!$Y$28,"A",IF(C689&lt;'PlayerGrades+'!$Y$27,"A+",IF(C689&lt;'PlayerGrades+'!$Y$26,"S-",IF(C689&lt;'PlayerGrades+'!$Y$25,"S","S+"))))))))))))))))))))</f>
        <v>#DIV/0!</v>
      </c>
      <c r="C689" s="1422" t="str">
        <f>('PlayerGrades+'!$Y$47*(VLOOKUP(E689, 'PlayerGrades+'!$X$3:$Y$23, 2, FALSE)))+('PlayerGrades+'!$Y$48*(VLOOKUP(G689, 'PlayerGrades+'!$X$3:$Y$23, 2, FALSE)))+('PlayerGrades+'!$Y$49*(VLOOKUP(I689, 'PlayerGrades+'!$X$3:$Y$23, 2, FALSE)))+('PlayerGrades+'!$Y$50*(VLOOKUP(K689, 'PlayerGrades+'!$X$3:$Y$23, 2, FALSE)))+('PlayerGrades+'!$Y$51*(VLOOKUP(M689, 'PlayerGrades+'!$X$3:$Y$23, 2, FALSE)))+('PlayerGrades+'!$Y$52*(VLOOKUP(O689, 'PlayerGrades+'!$X$3:$Y$23, 2, FALSE)))+('PlayerGrades+'!$Y$53*(VLOOKUP(Q689, 'PlayerGrades+'!$X$3:$Y$23, 2, FALSE)))+('PlayerGrades+'!$Y$54*(VLOOKUP(S689, 'PlayerGrades+'!$X$3:$Y$23, 2, FALSE)))+('PlayerGrades+'!$Y$55*(VLOOKUP(U689, 'PlayerGrades+'!$X$3:$Y$23, 2, FALSE)))</f>
        <v>#DIV/0!</v>
      </c>
      <c r="D689" s="1423" t="str">
        <f t="shared" si="12"/>
        <v>#DIV/0!</v>
      </c>
      <c r="E689" s="1423" t="str">
        <f>IF(D689&lt;'PlayerGrades+'!$AA$21,"F-",IF(D689&lt;'PlayerGrades+'!$AA$20,"F",IF(D689&lt;'PlayerGrades+'!$AA$19,"F+",IF(D689&lt;'PlayerGrades+'!$AA$18,"E-",IF(D689&lt;'PlayerGrades+'!$AA$17,"E",IF(D689&lt;'PlayerGrades+'!$AA$16,"E+",IF(D689&lt;'PlayerGrades+'!$AA$15,"D-",IF(D689&lt;'PlayerGrades+'!$AA$14,"D",IF(D689&lt;'PlayerGrades+'!$AA$13,"D+",IF(D689&lt;'PlayerGrades+'!$AA$12,"C-",IF(D689&lt;'PlayerGrades+'!$AA$11,"C",IF(D689&lt;'PlayerGrades+'!$AA$10,"C+",IF(D689&lt;'PlayerGrades+'!$AA$9,"B-",IF(D689&lt;'PlayerGrades+'!$AA$8,"B",IF(D689&lt;'PlayerGrades+'!$AA$7,"B+",IF(D689&lt;'PlayerGrades+'!$AA$6,"A-",IF(D689&lt;'PlayerGrades+'!$AA$5,"A",IF(D689&lt;'PlayerGrades+'!$AA$4,"A+",IF(D689&lt;'PlayerGrades+'!$AA$3,"S-",IF(D689&lt;'PlayerGrades+'!$AA$2,"S","S+"))))))))))))))))))))</f>
        <v>#DIV/0!</v>
      </c>
      <c r="F689" s="1423" t="str">
        <f t="shared" si="13"/>
        <v>#DIV/0!</v>
      </c>
      <c r="G689" s="1423" t="str">
        <f>IF(F689&lt;'PlayerGrades+'!$AB$21,"F-",IF(F689&lt;'PlayerGrades+'!$AB$20,"F",IF(F689&lt;'PlayerGrades+'!$AB$19,"F+",IF(F689&lt;'PlayerGrades+'!$AB$18,"E-",IF(F689&lt;'PlayerGrades+'!$AB$17,"E",IF(F689&lt;'PlayerGrades+'!$AB$16,"E+",IF(F689&lt;'PlayerGrades+'!$AB$15,"D-",IF(F689&lt;'PlayerGrades+'!$AB$14,"D",IF(F689&lt;'PlayerGrades+'!$AB$13,"D+",IF(F689&lt;'PlayerGrades+'!$AB$12,"C-",IF(F689&lt;'PlayerGrades+'!$AB$11,"C",IF(F689&lt;'PlayerGrades+'!$AB$10,"C+",IF(F689&lt;'PlayerGrades+'!$AB$9,"B-",IF(F689&lt;'PlayerGrades+'!$AB$8,"B",IF(F689&lt;'PlayerGrades+'!$AB$7,"B+",IF(F689&lt;'PlayerGrades+'!$AB$6,"A-",IF(F689&lt;'PlayerGrades+'!$AB$5,"A",IF(F689&lt;'PlayerGrades+'!$AB$4,"A+",IF(F689&lt;'PlayerGrades+'!$AB$3,"S-",IF(F689&lt;'PlayerGrades+'!$AB$2,"S","S+"))))))))))))))))))))</f>
        <v>#DIV/0!</v>
      </c>
      <c r="H689" s="1423" t="str">
        <f t="shared" si="14"/>
        <v>#DIV/0!</v>
      </c>
      <c r="I689" s="1423" t="str">
        <f>IF(H689&lt;'PlayerGrades+'!$AC$21,"F-",IF(H689&lt;'PlayerGrades+'!$AC$20,"F",IF(H689&lt;'PlayerGrades+'!$AC$19,"F+",IF(H689&lt;'PlayerGrades+'!$AC$18,"E-",IF(H689&lt;'PlayerGrades+'!$AC$17,"E",IF(H689&lt;'PlayerGrades+'!$AC$16,"E+",IF(H689&lt;'PlayerGrades+'!$AC$15,"D-",IF(H689&lt;'PlayerGrades+'!$AC$14,"D",IF(H689&lt;'PlayerGrades+'!$AC$13,"D+",IF(H689&lt;'PlayerGrades+'!$AC$12,"C-",IF(H689&lt;'PlayerGrades+'!$AC$11,"C",IF(H689&lt;'PlayerGrades+'!$AC$10,"C+",IF(H689&lt;'PlayerGrades+'!$AC$9,"B-",IF(H689&lt;'PlayerGrades+'!$AC$8,"B",IF(H689&lt;'PlayerGrades+'!$AC$7,"B+",IF(H689&lt;'PlayerGrades+'!$AC$6,"A-",IF(H689&lt;'PlayerGrades+'!$AC$5,"A",IF(H689&lt;'PlayerGrades+'!$AC$4,"A+",IF(H689&lt;'PlayerGrades+'!$AC$3,"S-",IF(H689&lt;'PlayerGrades+'!$AC$2,"S","S+"))))))))))))))))))))</f>
        <v>#DIV/0!</v>
      </c>
      <c r="J689" s="1423" t="str">
        <f t="shared" si="15"/>
        <v>#DIV/0!</v>
      </c>
      <c r="K689" s="1423" t="str">
        <f>IF(J689&lt;'PlayerGrades+'!$AD$21,"F-",IF(J689&lt;'PlayerGrades+'!$AD$20,"F",IF(J689&lt;'PlayerGrades+'!$AD$19,"F+",IF(J689&lt;'PlayerGrades+'!$AD$18,"E-",IF(J689&lt;'PlayerGrades+'!$AD$17,"E",IF(J689&lt;'PlayerGrades+'!$AD$16,"E+",IF(J689&lt;'PlayerGrades+'!$AD$15,"D-",IF(J689&lt;'PlayerGrades+'!$AD$14,"D",IF(J689&lt;'PlayerGrades+'!$AD$13,"D+",IF(J689&lt;'PlayerGrades+'!$AD$12,"C-",IF(J689&lt;'PlayerGrades+'!$AD$11,"C",IF(J689&lt;'PlayerGrades+'!$AD$10,"C+",IF(J689&lt;'PlayerGrades+'!$AD$9,"B-",IF(J689&lt;'PlayerGrades+'!$AD$8,"B",IF(J689&lt;'PlayerGrades+'!$AD$7,"B+",IF(J689&lt;'PlayerGrades+'!$AD$6,"A-",IF(J689&lt;'PlayerGrades+'!$AD$5,"A",IF(J689&lt;'PlayerGrades+'!$AD$4,"A+",IF(J689&lt;'PlayerGrades+'!$AD$3,"S-",IF(J689&lt;'PlayerGrades+'!$AD$2,"S","S+"))))))))))))))))))))</f>
        <v>#DIV/0!</v>
      </c>
      <c r="L689" s="1176" t="str">
        <f t="shared" si="16"/>
        <v>#DIV/0!</v>
      </c>
      <c r="M689" s="992" t="str">
        <f>IF(L689&lt;'PlayerGrades+'!$AE$21,"F-",IF(L689&lt;'PlayerGrades+'!$AE$20,"F",IF(L689&lt;'PlayerGrades+'!$AE$19,"F+",IF(L689&lt;'PlayerGrades+'!$AE$18,"E-",IF(L689&lt;'PlayerGrades+'!$AE$17,"E",IF(L689&lt;'PlayerGrades+'!$AE$16,"E+",IF(L689&lt;'PlayerGrades+'!$AE$15,"D-",IF(L689&lt;'PlayerGrades+'!$AE$14,"D",IF(L689&lt;'PlayerGrades+'!$AE$13,"D+",IF(L689&lt;'PlayerGrades+'!$AE$12,"C-",IF(L689&lt;'PlayerGrades+'!$AE$11,"C",IF(L689&lt;'PlayerGrades+'!$AE$10,"C+",IF(L689&lt;'PlayerGrades+'!$AE$9,"B-",IF(L689&lt;'PlayerGrades+'!$AE$8,"B",IF(L689&lt;'PlayerGrades+'!$AE$7,"B+",IF(L689&lt;'PlayerGrades+'!$AE$6,"A-",IF(L689&lt;'PlayerGrades+'!$AE$5,"A",IF(L689&lt;'PlayerGrades+'!$AE$4,"A+",IF(L689&lt;'PlayerGrades+'!$AE$3,"S-",IF(L689&lt;'PlayerGrades+'!$AE$2,"S","S+"))))))))))))))))))))</f>
        <v>#DIV/0!</v>
      </c>
      <c r="N689" s="1423" t="str">
        <f t="shared" si="17"/>
        <v>#DIV/0!</v>
      </c>
      <c r="O689" s="1423" t="str">
        <f>IF(N689&lt;'PlayerGrades+'!$AF$21,"F-",IF(N689&lt;'PlayerGrades+'!$AF$20,"F",IF(N689&lt;'PlayerGrades+'!$AF$19,"F+",IF(N689&lt;'PlayerGrades+'!$AF$18,"E-",IF(N689&lt;'PlayerGrades+'!$AF$17,"E",IF(N689&lt;'PlayerGrades+'!$AF$16,"E+",IF(N689&lt;'PlayerGrades+'!$AF$15,"D-",IF(N689&lt;'PlayerGrades+'!$AF$14,"D",IF(N689&lt;'PlayerGrades+'!$AF$13,"D+",IF(N689&lt;'PlayerGrades+'!$AF$12,"C-",IF(N689&lt;'PlayerGrades+'!$AF$11,"C",IF(N689&lt;'PlayerGrades+'!$AF$10,"C+",IF(N689&lt;'PlayerGrades+'!$AF$9,"B-",IF(N689&lt;'PlayerGrades+'!$AF$8,"B",IF(N689&lt;'PlayerGrades+'!$AF$7,"B+",IF(N689&lt;'PlayerGrades+'!$AF$6,"A-",IF(N689&lt;'PlayerGrades+'!$AF$5,"A",IF(N689&lt;'PlayerGrades+'!$AF$4,"A+",IF(N689&lt;'PlayerGrades+'!$AF$3,"S-",IF(N689&lt;'PlayerGrades+'!$AF$2,"S","S+"))))))))))))))))))))</f>
        <v>#DIV/0!</v>
      </c>
      <c r="P689" s="1423" t="str">
        <f t="shared" si="18"/>
        <v>#DIV/0!</v>
      </c>
      <c r="Q689" s="1423" t="str">
        <f>IF(P689&lt;'PlayerGrades+'!$AG$21,"F-",IF(P689&lt;'PlayerGrades+'!$AG$20,"F",IF(P689&lt;'PlayerGrades+'!$AG$19,"F+",IF(P689&lt;'PlayerGrades+'!$AG$18,"E-",IF(P689&lt;'PlayerGrades+'!$AG$17,"E",IF(P689&lt;'PlayerGrades+'!$AG$16,"E+",IF(P689&lt;'PlayerGrades+'!$AG$15,"D-",IF(P689&lt;'PlayerGrades+'!$AG$14,"D",IF(P689&lt;'PlayerGrades+'!$AG$13,"D+",IF(P689&lt;'PlayerGrades+'!$AG$12,"C-",IF(P689&lt;'PlayerGrades+'!$AG$11,"C",IF(P689&lt;'PlayerGrades+'!$AG$10,"C+",IF(P689&lt;'PlayerGrades+'!$AG$9,"B-",IF(P689&lt;'PlayerGrades+'!$AG$8,"B",IF(P689&lt;'PlayerGrades+'!$AG$7,"B+",IF(P689&lt;'PlayerGrades+'!$AG$6,"A-",IF(P689&lt;'PlayerGrades+'!$AG$5,"A",IF(P689&lt;'PlayerGrades+'!$AG$4,"A+",IF(P689&lt;'PlayerGrades+'!$AG$3,"S-",IF(P689&lt;'PlayerGrades+'!$AG$2,"S","S+"))))))))))))))))))))</f>
        <v>#DIV/0!</v>
      </c>
      <c r="R689" s="1423" t="str">
        <f t="shared" si="19"/>
        <v>#REF!</v>
      </c>
      <c r="S689" s="1423" t="str">
        <f>IF(R689&lt;'PlayerGrades+'!$AH$21,"F-",IF(R689&lt;'PlayerGrades+'!$AH$20,"F",IF(R689&lt;'PlayerGrades+'!$AH$19,"F+",IF(R689&lt;'PlayerGrades+'!$AH$18,"E-",IF(R689&lt;'PlayerGrades+'!$AH$17,"E",IF(R689&lt;'PlayerGrades+'!$AH$16,"E+",IF(R689&lt;'PlayerGrades+'!$AH$15,"D-",IF(R689&lt;'PlayerGrades+'!$AH$14,"D",IF(R689&lt;'PlayerGrades+'!$AH$13,"D+",IF(R689&lt;'PlayerGrades+'!$AH$12,"C-",IF(R689&lt;'PlayerGrades+'!$AH$11,"C",IF(R689&lt;'PlayerGrades+'!$AH$10,"C+",IF(R689&lt;'PlayerGrades+'!$AH$9,"B-",IF(R689&lt;'PlayerGrades+'!$AH$8,"B",IF(R689&lt;'PlayerGrades+'!$AH$7,"B+",IF(R689&lt;'PlayerGrades+'!$AH$6,"A-",IF(R689&lt;'PlayerGrades+'!$AH$5,"A",IF(R689&lt;'PlayerGrades+'!$AH$4,"A+",IF(R689&lt;'PlayerGrades+'!$AH$3,"S-",IF(R689&lt;'PlayerGrades+'!$AH$2,"S","S+"))))))))))))))))))))</f>
        <v>#REF!</v>
      </c>
      <c r="T689" s="1423" t="str">
        <f t="shared" si="20"/>
        <v>#REF!</v>
      </c>
      <c r="U689" s="1423" t="str">
        <f>IF(T689&lt;'PlayerGrades+'!$AI$21,"F-",IF(T689&lt;'PlayerGrades+'!$AI$20,"F",IF(T689&lt;'PlayerGrades+'!$AI$19,"F+",IF(T689&lt;'PlayerGrades+'!$AI$18,"E-",IF(T689&lt;'PlayerGrades+'!$AI$17,"E",IF(T689&lt;'PlayerGrades+'!$AI$16,"E+",IF(T689&lt;'PlayerGrades+'!$AI$15,"D-",IF(T689&lt;'PlayerGrades+'!$AI$14,"D",IF(T689&lt;'PlayerGrades+'!$AI$13,"D+",IF(T689&lt;'PlayerGrades+'!$AI$12,"C-",IF(T689&lt;'PlayerGrades+'!$AI$11,"C",IF(T689&lt;'PlayerGrades+'!$AI$10,"C+",IF(T689&lt;'PlayerGrades+'!$AI$9,"B-",IF(T689&lt;'PlayerGrades+'!$AI$8,"B",IF(T689&lt;'PlayerGrades+'!$AI$7,"B+",IF(T689&lt;'PlayerGrades+'!$AI$6,"A-",IF(T689&lt;'PlayerGrades+'!$AI$5,"A",IF(T689&lt;'PlayerGrades+'!$AI$4,"A+",IF(T689&lt;'PlayerGrades+'!$AI$3,"S-",IF(T689&lt;'PlayerGrades+'!$AI$2,"S","S+"))))))))))))))))))))</f>
        <v>#REF!</v>
      </c>
      <c r="V689" s="1386"/>
      <c r="W689" s="1386"/>
      <c r="X689" s="1386"/>
      <c r="Y689" s="1386"/>
      <c r="Z689" s="1386"/>
      <c r="AA689" s="1386"/>
      <c r="AB689" s="1386"/>
      <c r="AC689" s="1397"/>
      <c r="AD689" s="1386"/>
      <c r="AE689" s="1386"/>
      <c r="AF689" s="1386"/>
      <c r="AG689" s="1386"/>
      <c r="AH689" s="1386"/>
      <c r="AI689" s="1386"/>
      <c r="AJ689" s="1386"/>
      <c r="AK689" s="1386"/>
      <c r="AL689" s="1386"/>
      <c r="AM689" s="1386"/>
      <c r="AN689" s="1386"/>
      <c r="AO689" s="1386"/>
      <c r="AP689" s="1386"/>
      <c r="AQ689" s="1386"/>
      <c r="AR689" s="1386"/>
      <c r="AS689" s="1386"/>
      <c r="AT689" s="1386"/>
      <c r="AU689" s="1386"/>
      <c r="AV689" s="1386"/>
      <c r="AW689" s="1386"/>
      <c r="AX689" s="1386"/>
      <c r="AY689" s="1386"/>
      <c r="AZ689" s="1386"/>
    </row>
    <row r="690">
      <c r="A690" s="1389"/>
      <c r="B690" s="1421" t="str">
        <f>IF(C690&lt;'PlayerGrades+'!$Y$44,"F-",IF(C690&lt;'PlayerGrades+'!$Y$43,"F",IF(C690&lt;'PlayerGrades+'!$Y$42,"F+",IF(C690&lt;'PlayerGrades+'!$Y$41,"E-",IF(C690&lt;'PlayerGrades+'!$Y$40,"E",IF(C690&lt;'PlayerGrades+'!$Y$39,"E+",IF(C690&lt;'PlayerGrades+'!$Y$38,"D-",IF(C690&lt;'PlayerGrades+'!$Y$37,"D",IF(C690&lt;'PlayerGrades+'!$Y$36,"D+",IF(C690&lt;'PlayerGrades+'!$Y$35,"C-",IF(C690&lt;'PlayerGrades+'!$Y$34,"C",IF(C690&lt;'PlayerGrades+'!$Y$33,"C+",IF(C690&lt;'PlayerGrades+'!$Y$32,"B-",IF(C690&lt;'PlayerGrades+'!$Y$31,"B",IF(C690&lt;'PlayerGrades+'!$Y$30,"B+",IF(C690&lt;'PlayerGrades+'!$Y$29,"A-",IF(C690&lt;'PlayerGrades+'!$Y$28,"A",IF(C690&lt;'PlayerGrades+'!$Y$27,"A+",IF(C690&lt;'PlayerGrades+'!$Y$26,"S-",IF(C690&lt;'PlayerGrades+'!$Y$25,"S","S+"))))))))))))))))))))</f>
        <v>#DIV/0!</v>
      </c>
      <c r="C690" s="1422" t="str">
        <f>('PlayerGrades+'!$Y$47*(VLOOKUP(E690, 'PlayerGrades+'!$X$3:$Y$23, 2, FALSE)))+('PlayerGrades+'!$Y$48*(VLOOKUP(G690, 'PlayerGrades+'!$X$3:$Y$23, 2, FALSE)))+('PlayerGrades+'!$Y$49*(VLOOKUP(I690, 'PlayerGrades+'!$X$3:$Y$23, 2, FALSE)))+('PlayerGrades+'!$Y$50*(VLOOKUP(K690, 'PlayerGrades+'!$X$3:$Y$23, 2, FALSE)))+('PlayerGrades+'!$Y$51*(VLOOKUP(M690, 'PlayerGrades+'!$X$3:$Y$23, 2, FALSE)))+('PlayerGrades+'!$Y$52*(VLOOKUP(O690, 'PlayerGrades+'!$X$3:$Y$23, 2, FALSE)))+('PlayerGrades+'!$Y$53*(VLOOKUP(Q690, 'PlayerGrades+'!$X$3:$Y$23, 2, FALSE)))+('PlayerGrades+'!$Y$54*(VLOOKUP(S690, 'PlayerGrades+'!$X$3:$Y$23, 2, FALSE)))+('PlayerGrades+'!$Y$55*(VLOOKUP(U690, 'PlayerGrades+'!$X$3:$Y$23, 2, FALSE)))</f>
        <v>#DIV/0!</v>
      </c>
      <c r="D690" s="1423" t="str">
        <f t="shared" si="12"/>
        <v>#DIV/0!</v>
      </c>
      <c r="E690" s="1423" t="str">
        <f>IF(D690&lt;'PlayerGrades+'!$AA$21,"F-",IF(D690&lt;'PlayerGrades+'!$AA$20,"F",IF(D690&lt;'PlayerGrades+'!$AA$19,"F+",IF(D690&lt;'PlayerGrades+'!$AA$18,"E-",IF(D690&lt;'PlayerGrades+'!$AA$17,"E",IF(D690&lt;'PlayerGrades+'!$AA$16,"E+",IF(D690&lt;'PlayerGrades+'!$AA$15,"D-",IF(D690&lt;'PlayerGrades+'!$AA$14,"D",IF(D690&lt;'PlayerGrades+'!$AA$13,"D+",IF(D690&lt;'PlayerGrades+'!$AA$12,"C-",IF(D690&lt;'PlayerGrades+'!$AA$11,"C",IF(D690&lt;'PlayerGrades+'!$AA$10,"C+",IF(D690&lt;'PlayerGrades+'!$AA$9,"B-",IF(D690&lt;'PlayerGrades+'!$AA$8,"B",IF(D690&lt;'PlayerGrades+'!$AA$7,"B+",IF(D690&lt;'PlayerGrades+'!$AA$6,"A-",IF(D690&lt;'PlayerGrades+'!$AA$5,"A",IF(D690&lt;'PlayerGrades+'!$AA$4,"A+",IF(D690&lt;'PlayerGrades+'!$AA$3,"S-",IF(D690&lt;'PlayerGrades+'!$AA$2,"S","S+"))))))))))))))))))))</f>
        <v>#DIV/0!</v>
      </c>
      <c r="F690" s="1423" t="str">
        <f t="shared" si="13"/>
        <v>#DIV/0!</v>
      </c>
      <c r="G690" s="1423" t="str">
        <f>IF(F690&lt;'PlayerGrades+'!$AB$21,"F-",IF(F690&lt;'PlayerGrades+'!$AB$20,"F",IF(F690&lt;'PlayerGrades+'!$AB$19,"F+",IF(F690&lt;'PlayerGrades+'!$AB$18,"E-",IF(F690&lt;'PlayerGrades+'!$AB$17,"E",IF(F690&lt;'PlayerGrades+'!$AB$16,"E+",IF(F690&lt;'PlayerGrades+'!$AB$15,"D-",IF(F690&lt;'PlayerGrades+'!$AB$14,"D",IF(F690&lt;'PlayerGrades+'!$AB$13,"D+",IF(F690&lt;'PlayerGrades+'!$AB$12,"C-",IF(F690&lt;'PlayerGrades+'!$AB$11,"C",IF(F690&lt;'PlayerGrades+'!$AB$10,"C+",IF(F690&lt;'PlayerGrades+'!$AB$9,"B-",IF(F690&lt;'PlayerGrades+'!$AB$8,"B",IF(F690&lt;'PlayerGrades+'!$AB$7,"B+",IF(F690&lt;'PlayerGrades+'!$AB$6,"A-",IF(F690&lt;'PlayerGrades+'!$AB$5,"A",IF(F690&lt;'PlayerGrades+'!$AB$4,"A+",IF(F690&lt;'PlayerGrades+'!$AB$3,"S-",IF(F690&lt;'PlayerGrades+'!$AB$2,"S","S+"))))))))))))))))))))</f>
        <v>#DIV/0!</v>
      </c>
      <c r="H690" s="1423" t="str">
        <f t="shared" si="14"/>
        <v>#DIV/0!</v>
      </c>
      <c r="I690" s="1423" t="str">
        <f>IF(H690&lt;'PlayerGrades+'!$AC$21,"F-",IF(H690&lt;'PlayerGrades+'!$AC$20,"F",IF(H690&lt;'PlayerGrades+'!$AC$19,"F+",IF(H690&lt;'PlayerGrades+'!$AC$18,"E-",IF(H690&lt;'PlayerGrades+'!$AC$17,"E",IF(H690&lt;'PlayerGrades+'!$AC$16,"E+",IF(H690&lt;'PlayerGrades+'!$AC$15,"D-",IF(H690&lt;'PlayerGrades+'!$AC$14,"D",IF(H690&lt;'PlayerGrades+'!$AC$13,"D+",IF(H690&lt;'PlayerGrades+'!$AC$12,"C-",IF(H690&lt;'PlayerGrades+'!$AC$11,"C",IF(H690&lt;'PlayerGrades+'!$AC$10,"C+",IF(H690&lt;'PlayerGrades+'!$AC$9,"B-",IF(H690&lt;'PlayerGrades+'!$AC$8,"B",IF(H690&lt;'PlayerGrades+'!$AC$7,"B+",IF(H690&lt;'PlayerGrades+'!$AC$6,"A-",IF(H690&lt;'PlayerGrades+'!$AC$5,"A",IF(H690&lt;'PlayerGrades+'!$AC$4,"A+",IF(H690&lt;'PlayerGrades+'!$AC$3,"S-",IF(H690&lt;'PlayerGrades+'!$AC$2,"S","S+"))))))))))))))))))))</f>
        <v>#DIV/0!</v>
      </c>
      <c r="J690" s="1423" t="str">
        <f t="shared" si="15"/>
        <v>#DIV/0!</v>
      </c>
      <c r="K690" s="1423" t="str">
        <f>IF(J690&lt;'PlayerGrades+'!$AD$21,"F-",IF(J690&lt;'PlayerGrades+'!$AD$20,"F",IF(J690&lt;'PlayerGrades+'!$AD$19,"F+",IF(J690&lt;'PlayerGrades+'!$AD$18,"E-",IF(J690&lt;'PlayerGrades+'!$AD$17,"E",IF(J690&lt;'PlayerGrades+'!$AD$16,"E+",IF(J690&lt;'PlayerGrades+'!$AD$15,"D-",IF(J690&lt;'PlayerGrades+'!$AD$14,"D",IF(J690&lt;'PlayerGrades+'!$AD$13,"D+",IF(J690&lt;'PlayerGrades+'!$AD$12,"C-",IF(J690&lt;'PlayerGrades+'!$AD$11,"C",IF(J690&lt;'PlayerGrades+'!$AD$10,"C+",IF(J690&lt;'PlayerGrades+'!$AD$9,"B-",IF(J690&lt;'PlayerGrades+'!$AD$8,"B",IF(J690&lt;'PlayerGrades+'!$AD$7,"B+",IF(J690&lt;'PlayerGrades+'!$AD$6,"A-",IF(J690&lt;'PlayerGrades+'!$AD$5,"A",IF(J690&lt;'PlayerGrades+'!$AD$4,"A+",IF(J690&lt;'PlayerGrades+'!$AD$3,"S-",IF(J690&lt;'PlayerGrades+'!$AD$2,"S","S+"))))))))))))))))))))</f>
        <v>#DIV/0!</v>
      </c>
      <c r="L690" s="1176" t="str">
        <f t="shared" si="16"/>
        <v>#DIV/0!</v>
      </c>
      <c r="M690" s="992" t="str">
        <f>IF(L690&lt;'PlayerGrades+'!$AE$21,"F-",IF(L690&lt;'PlayerGrades+'!$AE$20,"F",IF(L690&lt;'PlayerGrades+'!$AE$19,"F+",IF(L690&lt;'PlayerGrades+'!$AE$18,"E-",IF(L690&lt;'PlayerGrades+'!$AE$17,"E",IF(L690&lt;'PlayerGrades+'!$AE$16,"E+",IF(L690&lt;'PlayerGrades+'!$AE$15,"D-",IF(L690&lt;'PlayerGrades+'!$AE$14,"D",IF(L690&lt;'PlayerGrades+'!$AE$13,"D+",IF(L690&lt;'PlayerGrades+'!$AE$12,"C-",IF(L690&lt;'PlayerGrades+'!$AE$11,"C",IF(L690&lt;'PlayerGrades+'!$AE$10,"C+",IF(L690&lt;'PlayerGrades+'!$AE$9,"B-",IF(L690&lt;'PlayerGrades+'!$AE$8,"B",IF(L690&lt;'PlayerGrades+'!$AE$7,"B+",IF(L690&lt;'PlayerGrades+'!$AE$6,"A-",IF(L690&lt;'PlayerGrades+'!$AE$5,"A",IF(L690&lt;'PlayerGrades+'!$AE$4,"A+",IF(L690&lt;'PlayerGrades+'!$AE$3,"S-",IF(L690&lt;'PlayerGrades+'!$AE$2,"S","S+"))))))))))))))))))))</f>
        <v>#DIV/0!</v>
      </c>
      <c r="N690" s="1423" t="str">
        <f t="shared" si="17"/>
        <v>#DIV/0!</v>
      </c>
      <c r="O690" s="1423" t="str">
        <f>IF(N690&lt;'PlayerGrades+'!$AF$21,"F-",IF(N690&lt;'PlayerGrades+'!$AF$20,"F",IF(N690&lt;'PlayerGrades+'!$AF$19,"F+",IF(N690&lt;'PlayerGrades+'!$AF$18,"E-",IF(N690&lt;'PlayerGrades+'!$AF$17,"E",IF(N690&lt;'PlayerGrades+'!$AF$16,"E+",IF(N690&lt;'PlayerGrades+'!$AF$15,"D-",IF(N690&lt;'PlayerGrades+'!$AF$14,"D",IF(N690&lt;'PlayerGrades+'!$AF$13,"D+",IF(N690&lt;'PlayerGrades+'!$AF$12,"C-",IF(N690&lt;'PlayerGrades+'!$AF$11,"C",IF(N690&lt;'PlayerGrades+'!$AF$10,"C+",IF(N690&lt;'PlayerGrades+'!$AF$9,"B-",IF(N690&lt;'PlayerGrades+'!$AF$8,"B",IF(N690&lt;'PlayerGrades+'!$AF$7,"B+",IF(N690&lt;'PlayerGrades+'!$AF$6,"A-",IF(N690&lt;'PlayerGrades+'!$AF$5,"A",IF(N690&lt;'PlayerGrades+'!$AF$4,"A+",IF(N690&lt;'PlayerGrades+'!$AF$3,"S-",IF(N690&lt;'PlayerGrades+'!$AF$2,"S","S+"))))))))))))))))))))</f>
        <v>#DIV/0!</v>
      </c>
      <c r="P690" s="1423" t="str">
        <f t="shared" si="18"/>
        <v>#DIV/0!</v>
      </c>
      <c r="Q690" s="1423" t="str">
        <f>IF(P690&lt;'PlayerGrades+'!$AG$21,"F-",IF(P690&lt;'PlayerGrades+'!$AG$20,"F",IF(P690&lt;'PlayerGrades+'!$AG$19,"F+",IF(P690&lt;'PlayerGrades+'!$AG$18,"E-",IF(P690&lt;'PlayerGrades+'!$AG$17,"E",IF(P690&lt;'PlayerGrades+'!$AG$16,"E+",IF(P690&lt;'PlayerGrades+'!$AG$15,"D-",IF(P690&lt;'PlayerGrades+'!$AG$14,"D",IF(P690&lt;'PlayerGrades+'!$AG$13,"D+",IF(P690&lt;'PlayerGrades+'!$AG$12,"C-",IF(P690&lt;'PlayerGrades+'!$AG$11,"C",IF(P690&lt;'PlayerGrades+'!$AG$10,"C+",IF(P690&lt;'PlayerGrades+'!$AG$9,"B-",IF(P690&lt;'PlayerGrades+'!$AG$8,"B",IF(P690&lt;'PlayerGrades+'!$AG$7,"B+",IF(P690&lt;'PlayerGrades+'!$AG$6,"A-",IF(P690&lt;'PlayerGrades+'!$AG$5,"A",IF(P690&lt;'PlayerGrades+'!$AG$4,"A+",IF(P690&lt;'PlayerGrades+'!$AG$3,"S-",IF(P690&lt;'PlayerGrades+'!$AG$2,"S","S+"))))))))))))))))))))</f>
        <v>#DIV/0!</v>
      </c>
      <c r="R690" s="1423" t="str">
        <f t="shared" si="19"/>
        <v>#REF!</v>
      </c>
      <c r="S690" s="1423" t="str">
        <f>IF(R690&lt;'PlayerGrades+'!$AH$21,"F-",IF(R690&lt;'PlayerGrades+'!$AH$20,"F",IF(R690&lt;'PlayerGrades+'!$AH$19,"F+",IF(R690&lt;'PlayerGrades+'!$AH$18,"E-",IF(R690&lt;'PlayerGrades+'!$AH$17,"E",IF(R690&lt;'PlayerGrades+'!$AH$16,"E+",IF(R690&lt;'PlayerGrades+'!$AH$15,"D-",IF(R690&lt;'PlayerGrades+'!$AH$14,"D",IF(R690&lt;'PlayerGrades+'!$AH$13,"D+",IF(R690&lt;'PlayerGrades+'!$AH$12,"C-",IF(R690&lt;'PlayerGrades+'!$AH$11,"C",IF(R690&lt;'PlayerGrades+'!$AH$10,"C+",IF(R690&lt;'PlayerGrades+'!$AH$9,"B-",IF(R690&lt;'PlayerGrades+'!$AH$8,"B",IF(R690&lt;'PlayerGrades+'!$AH$7,"B+",IF(R690&lt;'PlayerGrades+'!$AH$6,"A-",IF(R690&lt;'PlayerGrades+'!$AH$5,"A",IF(R690&lt;'PlayerGrades+'!$AH$4,"A+",IF(R690&lt;'PlayerGrades+'!$AH$3,"S-",IF(R690&lt;'PlayerGrades+'!$AH$2,"S","S+"))))))))))))))))))))</f>
        <v>#REF!</v>
      </c>
      <c r="T690" s="1423" t="str">
        <f t="shared" si="20"/>
        <v>#REF!</v>
      </c>
      <c r="U690" s="1423" t="str">
        <f>IF(T690&lt;'PlayerGrades+'!$AI$21,"F-",IF(T690&lt;'PlayerGrades+'!$AI$20,"F",IF(T690&lt;'PlayerGrades+'!$AI$19,"F+",IF(T690&lt;'PlayerGrades+'!$AI$18,"E-",IF(T690&lt;'PlayerGrades+'!$AI$17,"E",IF(T690&lt;'PlayerGrades+'!$AI$16,"E+",IF(T690&lt;'PlayerGrades+'!$AI$15,"D-",IF(T690&lt;'PlayerGrades+'!$AI$14,"D",IF(T690&lt;'PlayerGrades+'!$AI$13,"D+",IF(T690&lt;'PlayerGrades+'!$AI$12,"C-",IF(T690&lt;'PlayerGrades+'!$AI$11,"C",IF(T690&lt;'PlayerGrades+'!$AI$10,"C+",IF(T690&lt;'PlayerGrades+'!$AI$9,"B-",IF(T690&lt;'PlayerGrades+'!$AI$8,"B",IF(T690&lt;'PlayerGrades+'!$AI$7,"B+",IF(T690&lt;'PlayerGrades+'!$AI$6,"A-",IF(T690&lt;'PlayerGrades+'!$AI$5,"A",IF(T690&lt;'PlayerGrades+'!$AI$4,"A+",IF(T690&lt;'PlayerGrades+'!$AI$3,"S-",IF(T690&lt;'PlayerGrades+'!$AI$2,"S","S+"))))))))))))))))))))</f>
        <v>#REF!</v>
      </c>
      <c r="V690" s="1379"/>
      <c r="W690" s="1379"/>
      <c r="X690" s="1379"/>
      <c r="Y690" s="1379"/>
      <c r="Z690" s="1379"/>
      <c r="AA690" s="1379"/>
      <c r="AB690" s="1379"/>
      <c r="AC690" s="1390"/>
      <c r="AD690" s="1379"/>
      <c r="AE690" s="1379"/>
      <c r="AF690" s="1379"/>
      <c r="AG690" s="1379"/>
      <c r="AH690" s="1379"/>
      <c r="AI690" s="1379"/>
      <c r="AJ690" s="1379"/>
      <c r="AK690" s="1379"/>
      <c r="AL690" s="1379"/>
      <c r="AM690" s="1379"/>
      <c r="AN690" s="1379"/>
      <c r="AO690" s="1379"/>
      <c r="AP690" s="1379"/>
      <c r="AQ690" s="1379"/>
      <c r="AR690" s="1379"/>
      <c r="AS690" s="1379"/>
      <c r="AT690" s="1379"/>
      <c r="AU690" s="1379"/>
      <c r="AV690" s="1379"/>
      <c r="AW690" s="1379"/>
      <c r="AX690" s="1379"/>
      <c r="AY690" s="1379"/>
      <c r="AZ690" s="1379"/>
    </row>
    <row r="691">
      <c r="A691" s="1391"/>
      <c r="B691" s="1421" t="str">
        <f>IF(C691&lt;'PlayerGrades+'!$Y$44,"F-",IF(C691&lt;'PlayerGrades+'!$Y$43,"F",IF(C691&lt;'PlayerGrades+'!$Y$42,"F+",IF(C691&lt;'PlayerGrades+'!$Y$41,"E-",IF(C691&lt;'PlayerGrades+'!$Y$40,"E",IF(C691&lt;'PlayerGrades+'!$Y$39,"E+",IF(C691&lt;'PlayerGrades+'!$Y$38,"D-",IF(C691&lt;'PlayerGrades+'!$Y$37,"D",IF(C691&lt;'PlayerGrades+'!$Y$36,"D+",IF(C691&lt;'PlayerGrades+'!$Y$35,"C-",IF(C691&lt;'PlayerGrades+'!$Y$34,"C",IF(C691&lt;'PlayerGrades+'!$Y$33,"C+",IF(C691&lt;'PlayerGrades+'!$Y$32,"B-",IF(C691&lt;'PlayerGrades+'!$Y$31,"B",IF(C691&lt;'PlayerGrades+'!$Y$30,"B+",IF(C691&lt;'PlayerGrades+'!$Y$29,"A-",IF(C691&lt;'PlayerGrades+'!$Y$28,"A",IF(C691&lt;'PlayerGrades+'!$Y$27,"A+",IF(C691&lt;'PlayerGrades+'!$Y$26,"S-",IF(C691&lt;'PlayerGrades+'!$Y$25,"S","S+"))))))))))))))))))))</f>
        <v>#DIV/0!</v>
      </c>
      <c r="C691" s="1422" t="str">
        <f>('PlayerGrades+'!$Y$47*(VLOOKUP(E691, 'PlayerGrades+'!$X$3:$Y$23, 2, FALSE)))+('PlayerGrades+'!$Y$48*(VLOOKUP(G691, 'PlayerGrades+'!$X$3:$Y$23, 2, FALSE)))+('PlayerGrades+'!$Y$49*(VLOOKUP(I691, 'PlayerGrades+'!$X$3:$Y$23, 2, FALSE)))+('PlayerGrades+'!$Y$50*(VLOOKUP(K691, 'PlayerGrades+'!$X$3:$Y$23, 2, FALSE)))+('PlayerGrades+'!$Y$51*(VLOOKUP(M691, 'PlayerGrades+'!$X$3:$Y$23, 2, FALSE)))+('PlayerGrades+'!$Y$52*(VLOOKUP(O691, 'PlayerGrades+'!$X$3:$Y$23, 2, FALSE)))+('PlayerGrades+'!$Y$53*(VLOOKUP(Q691, 'PlayerGrades+'!$X$3:$Y$23, 2, FALSE)))+('PlayerGrades+'!$Y$54*(VLOOKUP(S691, 'PlayerGrades+'!$X$3:$Y$23, 2, FALSE)))+('PlayerGrades+'!$Y$55*(VLOOKUP(U691, 'PlayerGrades+'!$X$3:$Y$23, 2, FALSE)))</f>
        <v>#DIV/0!</v>
      </c>
      <c r="D691" s="1423" t="str">
        <f t="shared" si="12"/>
        <v>#DIV/0!</v>
      </c>
      <c r="E691" s="1423" t="str">
        <f>IF(D691&lt;'PlayerGrades+'!$AA$21,"F-",IF(D691&lt;'PlayerGrades+'!$AA$20,"F",IF(D691&lt;'PlayerGrades+'!$AA$19,"F+",IF(D691&lt;'PlayerGrades+'!$AA$18,"E-",IF(D691&lt;'PlayerGrades+'!$AA$17,"E",IF(D691&lt;'PlayerGrades+'!$AA$16,"E+",IF(D691&lt;'PlayerGrades+'!$AA$15,"D-",IF(D691&lt;'PlayerGrades+'!$AA$14,"D",IF(D691&lt;'PlayerGrades+'!$AA$13,"D+",IF(D691&lt;'PlayerGrades+'!$AA$12,"C-",IF(D691&lt;'PlayerGrades+'!$AA$11,"C",IF(D691&lt;'PlayerGrades+'!$AA$10,"C+",IF(D691&lt;'PlayerGrades+'!$AA$9,"B-",IF(D691&lt;'PlayerGrades+'!$AA$8,"B",IF(D691&lt;'PlayerGrades+'!$AA$7,"B+",IF(D691&lt;'PlayerGrades+'!$AA$6,"A-",IF(D691&lt;'PlayerGrades+'!$AA$5,"A",IF(D691&lt;'PlayerGrades+'!$AA$4,"A+",IF(D691&lt;'PlayerGrades+'!$AA$3,"S-",IF(D691&lt;'PlayerGrades+'!$AA$2,"S","S+"))))))))))))))))))))</f>
        <v>#DIV/0!</v>
      </c>
      <c r="F691" s="1423" t="str">
        <f t="shared" si="13"/>
        <v>#DIV/0!</v>
      </c>
      <c r="G691" s="1423" t="str">
        <f>IF(F691&lt;'PlayerGrades+'!$AB$21,"F-",IF(F691&lt;'PlayerGrades+'!$AB$20,"F",IF(F691&lt;'PlayerGrades+'!$AB$19,"F+",IF(F691&lt;'PlayerGrades+'!$AB$18,"E-",IF(F691&lt;'PlayerGrades+'!$AB$17,"E",IF(F691&lt;'PlayerGrades+'!$AB$16,"E+",IF(F691&lt;'PlayerGrades+'!$AB$15,"D-",IF(F691&lt;'PlayerGrades+'!$AB$14,"D",IF(F691&lt;'PlayerGrades+'!$AB$13,"D+",IF(F691&lt;'PlayerGrades+'!$AB$12,"C-",IF(F691&lt;'PlayerGrades+'!$AB$11,"C",IF(F691&lt;'PlayerGrades+'!$AB$10,"C+",IF(F691&lt;'PlayerGrades+'!$AB$9,"B-",IF(F691&lt;'PlayerGrades+'!$AB$8,"B",IF(F691&lt;'PlayerGrades+'!$AB$7,"B+",IF(F691&lt;'PlayerGrades+'!$AB$6,"A-",IF(F691&lt;'PlayerGrades+'!$AB$5,"A",IF(F691&lt;'PlayerGrades+'!$AB$4,"A+",IF(F691&lt;'PlayerGrades+'!$AB$3,"S-",IF(F691&lt;'PlayerGrades+'!$AB$2,"S","S+"))))))))))))))))))))</f>
        <v>#DIV/0!</v>
      </c>
      <c r="H691" s="1423" t="str">
        <f t="shared" si="14"/>
        <v>#DIV/0!</v>
      </c>
      <c r="I691" s="1423" t="str">
        <f>IF(H691&lt;'PlayerGrades+'!$AC$21,"F-",IF(H691&lt;'PlayerGrades+'!$AC$20,"F",IF(H691&lt;'PlayerGrades+'!$AC$19,"F+",IF(H691&lt;'PlayerGrades+'!$AC$18,"E-",IF(H691&lt;'PlayerGrades+'!$AC$17,"E",IF(H691&lt;'PlayerGrades+'!$AC$16,"E+",IF(H691&lt;'PlayerGrades+'!$AC$15,"D-",IF(H691&lt;'PlayerGrades+'!$AC$14,"D",IF(H691&lt;'PlayerGrades+'!$AC$13,"D+",IF(H691&lt;'PlayerGrades+'!$AC$12,"C-",IF(H691&lt;'PlayerGrades+'!$AC$11,"C",IF(H691&lt;'PlayerGrades+'!$AC$10,"C+",IF(H691&lt;'PlayerGrades+'!$AC$9,"B-",IF(H691&lt;'PlayerGrades+'!$AC$8,"B",IF(H691&lt;'PlayerGrades+'!$AC$7,"B+",IF(H691&lt;'PlayerGrades+'!$AC$6,"A-",IF(H691&lt;'PlayerGrades+'!$AC$5,"A",IF(H691&lt;'PlayerGrades+'!$AC$4,"A+",IF(H691&lt;'PlayerGrades+'!$AC$3,"S-",IF(H691&lt;'PlayerGrades+'!$AC$2,"S","S+"))))))))))))))))))))</f>
        <v>#DIV/0!</v>
      </c>
      <c r="J691" s="1423" t="str">
        <f t="shared" si="15"/>
        <v>#DIV/0!</v>
      </c>
      <c r="K691" s="1423" t="str">
        <f>IF(J691&lt;'PlayerGrades+'!$AD$21,"F-",IF(J691&lt;'PlayerGrades+'!$AD$20,"F",IF(J691&lt;'PlayerGrades+'!$AD$19,"F+",IF(J691&lt;'PlayerGrades+'!$AD$18,"E-",IF(J691&lt;'PlayerGrades+'!$AD$17,"E",IF(J691&lt;'PlayerGrades+'!$AD$16,"E+",IF(J691&lt;'PlayerGrades+'!$AD$15,"D-",IF(J691&lt;'PlayerGrades+'!$AD$14,"D",IF(J691&lt;'PlayerGrades+'!$AD$13,"D+",IF(J691&lt;'PlayerGrades+'!$AD$12,"C-",IF(J691&lt;'PlayerGrades+'!$AD$11,"C",IF(J691&lt;'PlayerGrades+'!$AD$10,"C+",IF(J691&lt;'PlayerGrades+'!$AD$9,"B-",IF(J691&lt;'PlayerGrades+'!$AD$8,"B",IF(J691&lt;'PlayerGrades+'!$AD$7,"B+",IF(J691&lt;'PlayerGrades+'!$AD$6,"A-",IF(J691&lt;'PlayerGrades+'!$AD$5,"A",IF(J691&lt;'PlayerGrades+'!$AD$4,"A+",IF(J691&lt;'PlayerGrades+'!$AD$3,"S-",IF(J691&lt;'PlayerGrades+'!$AD$2,"S","S+"))))))))))))))))))))</f>
        <v>#DIV/0!</v>
      </c>
      <c r="L691" s="1176" t="str">
        <f t="shared" si="16"/>
        <v>#DIV/0!</v>
      </c>
      <c r="M691" s="992" t="str">
        <f>IF(L691&lt;'PlayerGrades+'!$AE$21,"F-",IF(L691&lt;'PlayerGrades+'!$AE$20,"F",IF(L691&lt;'PlayerGrades+'!$AE$19,"F+",IF(L691&lt;'PlayerGrades+'!$AE$18,"E-",IF(L691&lt;'PlayerGrades+'!$AE$17,"E",IF(L691&lt;'PlayerGrades+'!$AE$16,"E+",IF(L691&lt;'PlayerGrades+'!$AE$15,"D-",IF(L691&lt;'PlayerGrades+'!$AE$14,"D",IF(L691&lt;'PlayerGrades+'!$AE$13,"D+",IF(L691&lt;'PlayerGrades+'!$AE$12,"C-",IF(L691&lt;'PlayerGrades+'!$AE$11,"C",IF(L691&lt;'PlayerGrades+'!$AE$10,"C+",IF(L691&lt;'PlayerGrades+'!$AE$9,"B-",IF(L691&lt;'PlayerGrades+'!$AE$8,"B",IF(L691&lt;'PlayerGrades+'!$AE$7,"B+",IF(L691&lt;'PlayerGrades+'!$AE$6,"A-",IF(L691&lt;'PlayerGrades+'!$AE$5,"A",IF(L691&lt;'PlayerGrades+'!$AE$4,"A+",IF(L691&lt;'PlayerGrades+'!$AE$3,"S-",IF(L691&lt;'PlayerGrades+'!$AE$2,"S","S+"))))))))))))))))))))</f>
        <v>#DIV/0!</v>
      </c>
      <c r="N691" s="1423" t="str">
        <f t="shared" si="17"/>
        <v>#DIV/0!</v>
      </c>
      <c r="O691" s="1423" t="str">
        <f>IF(N691&lt;'PlayerGrades+'!$AF$21,"F-",IF(N691&lt;'PlayerGrades+'!$AF$20,"F",IF(N691&lt;'PlayerGrades+'!$AF$19,"F+",IF(N691&lt;'PlayerGrades+'!$AF$18,"E-",IF(N691&lt;'PlayerGrades+'!$AF$17,"E",IF(N691&lt;'PlayerGrades+'!$AF$16,"E+",IF(N691&lt;'PlayerGrades+'!$AF$15,"D-",IF(N691&lt;'PlayerGrades+'!$AF$14,"D",IF(N691&lt;'PlayerGrades+'!$AF$13,"D+",IF(N691&lt;'PlayerGrades+'!$AF$12,"C-",IF(N691&lt;'PlayerGrades+'!$AF$11,"C",IF(N691&lt;'PlayerGrades+'!$AF$10,"C+",IF(N691&lt;'PlayerGrades+'!$AF$9,"B-",IF(N691&lt;'PlayerGrades+'!$AF$8,"B",IF(N691&lt;'PlayerGrades+'!$AF$7,"B+",IF(N691&lt;'PlayerGrades+'!$AF$6,"A-",IF(N691&lt;'PlayerGrades+'!$AF$5,"A",IF(N691&lt;'PlayerGrades+'!$AF$4,"A+",IF(N691&lt;'PlayerGrades+'!$AF$3,"S-",IF(N691&lt;'PlayerGrades+'!$AF$2,"S","S+"))))))))))))))))))))</f>
        <v>#DIV/0!</v>
      </c>
      <c r="P691" s="1423" t="str">
        <f t="shared" si="18"/>
        <v>#DIV/0!</v>
      </c>
      <c r="Q691" s="1423" t="str">
        <f>IF(P691&lt;'PlayerGrades+'!$AG$21,"F-",IF(P691&lt;'PlayerGrades+'!$AG$20,"F",IF(P691&lt;'PlayerGrades+'!$AG$19,"F+",IF(P691&lt;'PlayerGrades+'!$AG$18,"E-",IF(P691&lt;'PlayerGrades+'!$AG$17,"E",IF(P691&lt;'PlayerGrades+'!$AG$16,"E+",IF(P691&lt;'PlayerGrades+'!$AG$15,"D-",IF(P691&lt;'PlayerGrades+'!$AG$14,"D",IF(P691&lt;'PlayerGrades+'!$AG$13,"D+",IF(P691&lt;'PlayerGrades+'!$AG$12,"C-",IF(P691&lt;'PlayerGrades+'!$AG$11,"C",IF(P691&lt;'PlayerGrades+'!$AG$10,"C+",IF(P691&lt;'PlayerGrades+'!$AG$9,"B-",IF(P691&lt;'PlayerGrades+'!$AG$8,"B",IF(P691&lt;'PlayerGrades+'!$AG$7,"B+",IF(P691&lt;'PlayerGrades+'!$AG$6,"A-",IF(P691&lt;'PlayerGrades+'!$AG$5,"A",IF(P691&lt;'PlayerGrades+'!$AG$4,"A+",IF(P691&lt;'PlayerGrades+'!$AG$3,"S-",IF(P691&lt;'PlayerGrades+'!$AG$2,"S","S+"))))))))))))))))))))</f>
        <v>#DIV/0!</v>
      </c>
      <c r="R691" s="1423" t="str">
        <f t="shared" si="19"/>
        <v>#REF!</v>
      </c>
      <c r="S691" s="1423" t="str">
        <f>IF(R691&lt;'PlayerGrades+'!$AH$21,"F-",IF(R691&lt;'PlayerGrades+'!$AH$20,"F",IF(R691&lt;'PlayerGrades+'!$AH$19,"F+",IF(R691&lt;'PlayerGrades+'!$AH$18,"E-",IF(R691&lt;'PlayerGrades+'!$AH$17,"E",IF(R691&lt;'PlayerGrades+'!$AH$16,"E+",IF(R691&lt;'PlayerGrades+'!$AH$15,"D-",IF(R691&lt;'PlayerGrades+'!$AH$14,"D",IF(R691&lt;'PlayerGrades+'!$AH$13,"D+",IF(R691&lt;'PlayerGrades+'!$AH$12,"C-",IF(R691&lt;'PlayerGrades+'!$AH$11,"C",IF(R691&lt;'PlayerGrades+'!$AH$10,"C+",IF(R691&lt;'PlayerGrades+'!$AH$9,"B-",IF(R691&lt;'PlayerGrades+'!$AH$8,"B",IF(R691&lt;'PlayerGrades+'!$AH$7,"B+",IF(R691&lt;'PlayerGrades+'!$AH$6,"A-",IF(R691&lt;'PlayerGrades+'!$AH$5,"A",IF(R691&lt;'PlayerGrades+'!$AH$4,"A+",IF(R691&lt;'PlayerGrades+'!$AH$3,"S-",IF(R691&lt;'PlayerGrades+'!$AH$2,"S","S+"))))))))))))))))))))</f>
        <v>#REF!</v>
      </c>
      <c r="T691" s="1423" t="str">
        <f t="shared" si="20"/>
        <v>#REF!</v>
      </c>
      <c r="U691" s="1423" t="str">
        <f>IF(T691&lt;'PlayerGrades+'!$AI$21,"F-",IF(T691&lt;'PlayerGrades+'!$AI$20,"F",IF(T691&lt;'PlayerGrades+'!$AI$19,"F+",IF(T691&lt;'PlayerGrades+'!$AI$18,"E-",IF(T691&lt;'PlayerGrades+'!$AI$17,"E",IF(T691&lt;'PlayerGrades+'!$AI$16,"E+",IF(T691&lt;'PlayerGrades+'!$AI$15,"D-",IF(T691&lt;'PlayerGrades+'!$AI$14,"D",IF(T691&lt;'PlayerGrades+'!$AI$13,"D+",IF(T691&lt;'PlayerGrades+'!$AI$12,"C-",IF(T691&lt;'PlayerGrades+'!$AI$11,"C",IF(T691&lt;'PlayerGrades+'!$AI$10,"C+",IF(T691&lt;'PlayerGrades+'!$AI$9,"B-",IF(T691&lt;'PlayerGrades+'!$AI$8,"B",IF(T691&lt;'PlayerGrades+'!$AI$7,"B+",IF(T691&lt;'PlayerGrades+'!$AI$6,"A-",IF(T691&lt;'PlayerGrades+'!$AI$5,"A",IF(T691&lt;'PlayerGrades+'!$AI$4,"A+",IF(T691&lt;'PlayerGrades+'!$AI$3,"S-",IF(T691&lt;'PlayerGrades+'!$AI$2,"S","S+"))))))))))))))))))))</f>
        <v>#REF!</v>
      </c>
      <c r="AC691" s="1392"/>
    </row>
    <row r="692">
      <c r="A692" s="1391"/>
      <c r="B692" s="1421" t="str">
        <f>IF(C692&lt;'PlayerGrades+'!$Y$44,"F-",IF(C692&lt;'PlayerGrades+'!$Y$43,"F",IF(C692&lt;'PlayerGrades+'!$Y$42,"F+",IF(C692&lt;'PlayerGrades+'!$Y$41,"E-",IF(C692&lt;'PlayerGrades+'!$Y$40,"E",IF(C692&lt;'PlayerGrades+'!$Y$39,"E+",IF(C692&lt;'PlayerGrades+'!$Y$38,"D-",IF(C692&lt;'PlayerGrades+'!$Y$37,"D",IF(C692&lt;'PlayerGrades+'!$Y$36,"D+",IF(C692&lt;'PlayerGrades+'!$Y$35,"C-",IF(C692&lt;'PlayerGrades+'!$Y$34,"C",IF(C692&lt;'PlayerGrades+'!$Y$33,"C+",IF(C692&lt;'PlayerGrades+'!$Y$32,"B-",IF(C692&lt;'PlayerGrades+'!$Y$31,"B",IF(C692&lt;'PlayerGrades+'!$Y$30,"B+",IF(C692&lt;'PlayerGrades+'!$Y$29,"A-",IF(C692&lt;'PlayerGrades+'!$Y$28,"A",IF(C692&lt;'PlayerGrades+'!$Y$27,"A+",IF(C692&lt;'PlayerGrades+'!$Y$26,"S-",IF(C692&lt;'PlayerGrades+'!$Y$25,"S","S+"))))))))))))))))))))</f>
        <v>#DIV/0!</v>
      </c>
      <c r="C692" s="1422" t="str">
        <f>('PlayerGrades+'!$Y$47*(VLOOKUP(E692, 'PlayerGrades+'!$X$3:$Y$23, 2, FALSE)))+('PlayerGrades+'!$Y$48*(VLOOKUP(G692, 'PlayerGrades+'!$X$3:$Y$23, 2, FALSE)))+('PlayerGrades+'!$Y$49*(VLOOKUP(I692, 'PlayerGrades+'!$X$3:$Y$23, 2, FALSE)))+('PlayerGrades+'!$Y$50*(VLOOKUP(K692, 'PlayerGrades+'!$X$3:$Y$23, 2, FALSE)))+('PlayerGrades+'!$Y$51*(VLOOKUP(M692, 'PlayerGrades+'!$X$3:$Y$23, 2, FALSE)))+('PlayerGrades+'!$Y$52*(VLOOKUP(O692, 'PlayerGrades+'!$X$3:$Y$23, 2, FALSE)))+('PlayerGrades+'!$Y$53*(VLOOKUP(Q692, 'PlayerGrades+'!$X$3:$Y$23, 2, FALSE)))+('PlayerGrades+'!$Y$54*(VLOOKUP(S692, 'PlayerGrades+'!$X$3:$Y$23, 2, FALSE)))+('PlayerGrades+'!$Y$55*(VLOOKUP(U692, 'PlayerGrades+'!$X$3:$Y$23, 2, FALSE)))</f>
        <v>#DIV/0!</v>
      </c>
      <c r="D692" s="1423" t="str">
        <f t="shared" si="12"/>
        <v>#DIV/0!</v>
      </c>
      <c r="E692" s="1423" t="str">
        <f>IF(D692&lt;'PlayerGrades+'!$AA$21,"F-",IF(D692&lt;'PlayerGrades+'!$AA$20,"F",IF(D692&lt;'PlayerGrades+'!$AA$19,"F+",IF(D692&lt;'PlayerGrades+'!$AA$18,"E-",IF(D692&lt;'PlayerGrades+'!$AA$17,"E",IF(D692&lt;'PlayerGrades+'!$AA$16,"E+",IF(D692&lt;'PlayerGrades+'!$AA$15,"D-",IF(D692&lt;'PlayerGrades+'!$AA$14,"D",IF(D692&lt;'PlayerGrades+'!$AA$13,"D+",IF(D692&lt;'PlayerGrades+'!$AA$12,"C-",IF(D692&lt;'PlayerGrades+'!$AA$11,"C",IF(D692&lt;'PlayerGrades+'!$AA$10,"C+",IF(D692&lt;'PlayerGrades+'!$AA$9,"B-",IF(D692&lt;'PlayerGrades+'!$AA$8,"B",IF(D692&lt;'PlayerGrades+'!$AA$7,"B+",IF(D692&lt;'PlayerGrades+'!$AA$6,"A-",IF(D692&lt;'PlayerGrades+'!$AA$5,"A",IF(D692&lt;'PlayerGrades+'!$AA$4,"A+",IF(D692&lt;'PlayerGrades+'!$AA$3,"S-",IF(D692&lt;'PlayerGrades+'!$AA$2,"S","S+"))))))))))))))))))))</f>
        <v>#DIV/0!</v>
      </c>
      <c r="F692" s="1423" t="str">
        <f t="shared" si="13"/>
        <v>#DIV/0!</v>
      </c>
      <c r="G692" s="1423" t="str">
        <f>IF(F692&lt;'PlayerGrades+'!$AB$21,"F-",IF(F692&lt;'PlayerGrades+'!$AB$20,"F",IF(F692&lt;'PlayerGrades+'!$AB$19,"F+",IF(F692&lt;'PlayerGrades+'!$AB$18,"E-",IF(F692&lt;'PlayerGrades+'!$AB$17,"E",IF(F692&lt;'PlayerGrades+'!$AB$16,"E+",IF(F692&lt;'PlayerGrades+'!$AB$15,"D-",IF(F692&lt;'PlayerGrades+'!$AB$14,"D",IF(F692&lt;'PlayerGrades+'!$AB$13,"D+",IF(F692&lt;'PlayerGrades+'!$AB$12,"C-",IF(F692&lt;'PlayerGrades+'!$AB$11,"C",IF(F692&lt;'PlayerGrades+'!$AB$10,"C+",IF(F692&lt;'PlayerGrades+'!$AB$9,"B-",IF(F692&lt;'PlayerGrades+'!$AB$8,"B",IF(F692&lt;'PlayerGrades+'!$AB$7,"B+",IF(F692&lt;'PlayerGrades+'!$AB$6,"A-",IF(F692&lt;'PlayerGrades+'!$AB$5,"A",IF(F692&lt;'PlayerGrades+'!$AB$4,"A+",IF(F692&lt;'PlayerGrades+'!$AB$3,"S-",IF(F692&lt;'PlayerGrades+'!$AB$2,"S","S+"))))))))))))))))))))</f>
        <v>#DIV/0!</v>
      </c>
      <c r="H692" s="1423" t="str">
        <f t="shared" si="14"/>
        <v>#DIV/0!</v>
      </c>
      <c r="I692" s="1423" t="str">
        <f>IF(H692&lt;'PlayerGrades+'!$AC$21,"F-",IF(H692&lt;'PlayerGrades+'!$AC$20,"F",IF(H692&lt;'PlayerGrades+'!$AC$19,"F+",IF(H692&lt;'PlayerGrades+'!$AC$18,"E-",IF(H692&lt;'PlayerGrades+'!$AC$17,"E",IF(H692&lt;'PlayerGrades+'!$AC$16,"E+",IF(H692&lt;'PlayerGrades+'!$AC$15,"D-",IF(H692&lt;'PlayerGrades+'!$AC$14,"D",IF(H692&lt;'PlayerGrades+'!$AC$13,"D+",IF(H692&lt;'PlayerGrades+'!$AC$12,"C-",IF(H692&lt;'PlayerGrades+'!$AC$11,"C",IF(H692&lt;'PlayerGrades+'!$AC$10,"C+",IF(H692&lt;'PlayerGrades+'!$AC$9,"B-",IF(H692&lt;'PlayerGrades+'!$AC$8,"B",IF(H692&lt;'PlayerGrades+'!$AC$7,"B+",IF(H692&lt;'PlayerGrades+'!$AC$6,"A-",IF(H692&lt;'PlayerGrades+'!$AC$5,"A",IF(H692&lt;'PlayerGrades+'!$AC$4,"A+",IF(H692&lt;'PlayerGrades+'!$AC$3,"S-",IF(H692&lt;'PlayerGrades+'!$AC$2,"S","S+"))))))))))))))))))))</f>
        <v>#DIV/0!</v>
      </c>
      <c r="J692" s="1423" t="str">
        <f t="shared" si="15"/>
        <v>#DIV/0!</v>
      </c>
      <c r="K692" s="1423" t="str">
        <f>IF(J692&lt;'PlayerGrades+'!$AD$21,"F-",IF(J692&lt;'PlayerGrades+'!$AD$20,"F",IF(J692&lt;'PlayerGrades+'!$AD$19,"F+",IF(J692&lt;'PlayerGrades+'!$AD$18,"E-",IF(J692&lt;'PlayerGrades+'!$AD$17,"E",IF(J692&lt;'PlayerGrades+'!$AD$16,"E+",IF(J692&lt;'PlayerGrades+'!$AD$15,"D-",IF(J692&lt;'PlayerGrades+'!$AD$14,"D",IF(J692&lt;'PlayerGrades+'!$AD$13,"D+",IF(J692&lt;'PlayerGrades+'!$AD$12,"C-",IF(J692&lt;'PlayerGrades+'!$AD$11,"C",IF(J692&lt;'PlayerGrades+'!$AD$10,"C+",IF(J692&lt;'PlayerGrades+'!$AD$9,"B-",IF(J692&lt;'PlayerGrades+'!$AD$8,"B",IF(J692&lt;'PlayerGrades+'!$AD$7,"B+",IF(J692&lt;'PlayerGrades+'!$AD$6,"A-",IF(J692&lt;'PlayerGrades+'!$AD$5,"A",IF(J692&lt;'PlayerGrades+'!$AD$4,"A+",IF(J692&lt;'PlayerGrades+'!$AD$3,"S-",IF(J692&lt;'PlayerGrades+'!$AD$2,"S","S+"))))))))))))))))))))</f>
        <v>#DIV/0!</v>
      </c>
      <c r="L692" s="1176" t="str">
        <f t="shared" si="16"/>
        <v>#DIV/0!</v>
      </c>
      <c r="M692" s="992" t="str">
        <f>IF(L692&lt;'PlayerGrades+'!$AE$21,"F-",IF(L692&lt;'PlayerGrades+'!$AE$20,"F",IF(L692&lt;'PlayerGrades+'!$AE$19,"F+",IF(L692&lt;'PlayerGrades+'!$AE$18,"E-",IF(L692&lt;'PlayerGrades+'!$AE$17,"E",IF(L692&lt;'PlayerGrades+'!$AE$16,"E+",IF(L692&lt;'PlayerGrades+'!$AE$15,"D-",IF(L692&lt;'PlayerGrades+'!$AE$14,"D",IF(L692&lt;'PlayerGrades+'!$AE$13,"D+",IF(L692&lt;'PlayerGrades+'!$AE$12,"C-",IF(L692&lt;'PlayerGrades+'!$AE$11,"C",IF(L692&lt;'PlayerGrades+'!$AE$10,"C+",IF(L692&lt;'PlayerGrades+'!$AE$9,"B-",IF(L692&lt;'PlayerGrades+'!$AE$8,"B",IF(L692&lt;'PlayerGrades+'!$AE$7,"B+",IF(L692&lt;'PlayerGrades+'!$AE$6,"A-",IF(L692&lt;'PlayerGrades+'!$AE$5,"A",IF(L692&lt;'PlayerGrades+'!$AE$4,"A+",IF(L692&lt;'PlayerGrades+'!$AE$3,"S-",IF(L692&lt;'PlayerGrades+'!$AE$2,"S","S+"))))))))))))))))))))</f>
        <v>#DIV/0!</v>
      </c>
      <c r="N692" s="1423" t="str">
        <f t="shared" si="17"/>
        <v>#DIV/0!</v>
      </c>
      <c r="O692" s="1423" t="str">
        <f>IF(N692&lt;'PlayerGrades+'!$AF$21,"F-",IF(N692&lt;'PlayerGrades+'!$AF$20,"F",IF(N692&lt;'PlayerGrades+'!$AF$19,"F+",IF(N692&lt;'PlayerGrades+'!$AF$18,"E-",IF(N692&lt;'PlayerGrades+'!$AF$17,"E",IF(N692&lt;'PlayerGrades+'!$AF$16,"E+",IF(N692&lt;'PlayerGrades+'!$AF$15,"D-",IF(N692&lt;'PlayerGrades+'!$AF$14,"D",IF(N692&lt;'PlayerGrades+'!$AF$13,"D+",IF(N692&lt;'PlayerGrades+'!$AF$12,"C-",IF(N692&lt;'PlayerGrades+'!$AF$11,"C",IF(N692&lt;'PlayerGrades+'!$AF$10,"C+",IF(N692&lt;'PlayerGrades+'!$AF$9,"B-",IF(N692&lt;'PlayerGrades+'!$AF$8,"B",IF(N692&lt;'PlayerGrades+'!$AF$7,"B+",IF(N692&lt;'PlayerGrades+'!$AF$6,"A-",IF(N692&lt;'PlayerGrades+'!$AF$5,"A",IF(N692&lt;'PlayerGrades+'!$AF$4,"A+",IF(N692&lt;'PlayerGrades+'!$AF$3,"S-",IF(N692&lt;'PlayerGrades+'!$AF$2,"S","S+"))))))))))))))))))))</f>
        <v>#DIV/0!</v>
      </c>
      <c r="P692" s="1423" t="str">
        <f t="shared" si="18"/>
        <v>#DIV/0!</v>
      </c>
      <c r="Q692" s="1423" t="str">
        <f>IF(P692&lt;'PlayerGrades+'!$AG$21,"F-",IF(P692&lt;'PlayerGrades+'!$AG$20,"F",IF(P692&lt;'PlayerGrades+'!$AG$19,"F+",IF(P692&lt;'PlayerGrades+'!$AG$18,"E-",IF(P692&lt;'PlayerGrades+'!$AG$17,"E",IF(P692&lt;'PlayerGrades+'!$AG$16,"E+",IF(P692&lt;'PlayerGrades+'!$AG$15,"D-",IF(P692&lt;'PlayerGrades+'!$AG$14,"D",IF(P692&lt;'PlayerGrades+'!$AG$13,"D+",IF(P692&lt;'PlayerGrades+'!$AG$12,"C-",IF(P692&lt;'PlayerGrades+'!$AG$11,"C",IF(P692&lt;'PlayerGrades+'!$AG$10,"C+",IF(P692&lt;'PlayerGrades+'!$AG$9,"B-",IF(P692&lt;'PlayerGrades+'!$AG$8,"B",IF(P692&lt;'PlayerGrades+'!$AG$7,"B+",IF(P692&lt;'PlayerGrades+'!$AG$6,"A-",IF(P692&lt;'PlayerGrades+'!$AG$5,"A",IF(P692&lt;'PlayerGrades+'!$AG$4,"A+",IF(P692&lt;'PlayerGrades+'!$AG$3,"S-",IF(P692&lt;'PlayerGrades+'!$AG$2,"S","S+"))))))))))))))))))))</f>
        <v>#DIV/0!</v>
      </c>
      <c r="R692" s="1423" t="str">
        <f t="shared" si="19"/>
        <v>#REF!</v>
      </c>
      <c r="S692" s="1423" t="str">
        <f>IF(R692&lt;'PlayerGrades+'!$AH$21,"F-",IF(R692&lt;'PlayerGrades+'!$AH$20,"F",IF(R692&lt;'PlayerGrades+'!$AH$19,"F+",IF(R692&lt;'PlayerGrades+'!$AH$18,"E-",IF(R692&lt;'PlayerGrades+'!$AH$17,"E",IF(R692&lt;'PlayerGrades+'!$AH$16,"E+",IF(R692&lt;'PlayerGrades+'!$AH$15,"D-",IF(R692&lt;'PlayerGrades+'!$AH$14,"D",IF(R692&lt;'PlayerGrades+'!$AH$13,"D+",IF(R692&lt;'PlayerGrades+'!$AH$12,"C-",IF(R692&lt;'PlayerGrades+'!$AH$11,"C",IF(R692&lt;'PlayerGrades+'!$AH$10,"C+",IF(R692&lt;'PlayerGrades+'!$AH$9,"B-",IF(R692&lt;'PlayerGrades+'!$AH$8,"B",IF(R692&lt;'PlayerGrades+'!$AH$7,"B+",IF(R692&lt;'PlayerGrades+'!$AH$6,"A-",IF(R692&lt;'PlayerGrades+'!$AH$5,"A",IF(R692&lt;'PlayerGrades+'!$AH$4,"A+",IF(R692&lt;'PlayerGrades+'!$AH$3,"S-",IF(R692&lt;'PlayerGrades+'!$AH$2,"S","S+"))))))))))))))))))))</f>
        <v>#REF!</v>
      </c>
      <c r="T692" s="1423" t="str">
        <f t="shared" si="20"/>
        <v>#REF!</v>
      </c>
      <c r="U692" s="1423" t="str">
        <f>IF(T692&lt;'PlayerGrades+'!$AI$21,"F-",IF(T692&lt;'PlayerGrades+'!$AI$20,"F",IF(T692&lt;'PlayerGrades+'!$AI$19,"F+",IF(T692&lt;'PlayerGrades+'!$AI$18,"E-",IF(T692&lt;'PlayerGrades+'!$AI$17,"E",IF(T692&lt;'PlayerGrades+'!$AI$16,"E+",IF(T692&lt;'PlayerGrades+'!$AI$15,"D-",IF(T692&lt;'PlayerGrades+'!$AI$14,"D",IF(T692&lt;'PlayerGrades+'!$AI$13,"D+",IF(T692&lt;'PlayerGrades+'!$AI$12,"C-",IF(T692&lt;'PlayerGrades+'!$AI$11,"C",IF(T692&lt;'PlayerGrades+'!$AI$10,"C+",IF(T692&lt;'PlayerGrades+'!$AI$9,"B-",IF(T692&lt;'PlayerGrades+'!$AI$8,"B",IF(T692&lt;'PlayerGrades+'!$AI$7,"B+",IF(T692&lt;'PlayerGrades+'!$AI$6,"A-",IF(T692&lt;'PlayerGrades+'!$AI$5,"A",IF(T692&lt;'PlayerGrades+'!$AI$4,"A+",IF(T692&lt;'PlayerGrades+'!$AI$3,"S-",IF(T692&lt;'PlayerGrades+'!$AI$2,"S","S+"))))))))))))))))))))</f>
        <v>#REF!</v>
      </c>
      <c r="AC692" s="1392"/>
    </row>
    <row r="693">
      <c r="A693" s="1391"/>
      <c r="B693" s="1421" t="str">
        <f>IF(C693&lt;'PlayerGrades+'!$Y$44,"F-",IF(C693&lt;'PlayerGrades+'!$Y$43,"F",IF(C693&lt;'PlayerGrades+'!$Y$42,"F+",IF(C693&lt;'PlayerGrades+'!$Y$41,"E-",IF(C693&lt;'PlayerGrades+'!$Y$40,"E",IF(C693&lt;'PlayerGrades+'!$Y$39,"E+",IF(C693&lt;'PlayerGrades+'!$Y$38,"D-",IF(C693&lt;'PlayerGrades+'!$Y$37,"D",IF(C693&lt;'PlayerGrades+'!$Y$36,"D+",IF(C693&lt;'PlayerGrades+'!$Y$35,"C-",IF(C693&lt;'PlayerGrades+'!$Y$34,"C",IF(C693&lt;'PlayerGrades+'!$Y$33,"C+",IF(C693&lt;'PlayerGrades+'!$Y$32,"B-",IF(C693&lt;'PlayerGrades+'!$Y$31,"B",IF(C693&lt;'PlayerGrades+'!$Y$30,"B+",IF(C693&lt;'PlayerGrades+'!$Y$29,"A-",IF(C693&lt;'PlayerGrades+'!$Y$28,"A",IF(C693&lt;'PlayerGrades+'!$Y$27,"A+",IF(C693&lt;'PlayerGrades+'!$Y$26,"S-",IF(C693&lt;'PlayerGrades+'!$Y$25,"S","S+"))))))))))))))))))))</f>
        <v>#DIV/0!</v>
      </c>
      <c r="C693" s="1422" t="str">
        <f>('PlayerGrades+'!$Y$47*(VLOOKUP(E693, 'PlayerGrades+'!$X$3:$Y$23, 2, FALSE)))+('PlayerGrades+'!$Y$48*(VLOOKUP(G693, 'PlayerGrades+'!$X$3:$Y$23, 2, FALSE)))+('PlayerGrades+'!$Y$49*(VLOOKUP(I693, 'PlayerGrades+'!$X$3:$Y$23, 2, FALSE)))+('PlayerGrades+'!$Y$50*(VLOOKUP(K693, 'PlayerGrades+'!$X$3:$Y$23, 2, FALSE)))+('PlayerGrades+'!$Y$51*(VLOOKUP(M693, 'PlayerGrades+'!$X$3:$Y$23, 2, FALSE)))+('PlayerGrades+'!$Y$52*(VLOOKUP(O693, 'PlayerGrades+'!$X$3:$Y$23, 2, FALSE)))+('PlayerGrades+'!$Y$53*(VLOOKUP(Q693, 'PlayerGrades+'!$X$3:$Y$23, 2, FALSE)))+('PlayerGrades+'!$Y$54*(VLOOKUP(S693, 'PlayerGrades+'!$X$3:$Y$23, 2, FALSE)))+('PlayerGrades+'!$Y$55*(VLOOKUP(U693, 'PlayerGrades+'!$X$3:$Y$23, 2, FALSE)))</f>
        <v>#DIV/0!</v>
      </c>
      <c r="D693" s="1423" t="str">
        <f t="shared" si="12"/>
        <v>#DIV/0!</v>
      </c>
      <c r="E693" s="1423" t="str">
        <f>IF(D693&lt;'PlayerGrades+'!$AA$21,"F-",IF(D693&lt;'PlayerGrades+'!$AA$20,"F",IF(D693&lt;'PlayerGrades+'!$AA$19,"F+",IF(D693&lt;'PlayerGrades+'!$AA$18,"E-",IF(D693&lt;'PlayerGrades+'!$AA$17,"E",IF(D693&lt;'PlayerGrades+'!$AA$16,"E+",IF(D693&lt;'PlayerGrades+'!$AA$15,"D-",IF(D693&lt;'PlayerGrades+'!$AA$14,"D",IF(D693&lt;'PlayerGrades+'!$AA$13,"D+",IF(D693&lt;'PlayerGrades+'!$AA$12,"C-",IF(D693&lt;'PlayerGrades+'!$AA$11,"C",IF(D693&lt;'PlayerGrades+'!$AA$10,"C+",IF(D693&lt;'PlayerGrades+'!$AA$9,"B-",IF(D693&lt;'PlayerGrades+'!$AA$8,"B",IF(D693&lt;'PlayerGrades+'!$AA$7,"B+",IF(D693&lt;'PlayerGrades+'!$AA$6,"A-",IF(D693&lt;'PlayerGrades+'!$AA$5,"A",IF(D693&lt;'PlayerGrades+'!$AA$4,"A+",IF(D693&lt;'PlayerGrades+'!$AA$3,"S-",IF(D693&lt;'PlayerGrades+'!$AA$2,"S","S+"))))))))))))))))))))</f>
        <v>#DIV/0!</v>
      </c>
      <c r="F693" s="1423" t="str">
        <f t="shared" si="13"/>
        <v>#DIV/0!</v>
      </c>
      <c r="G693" s="1423" t="str">
        <f>IF(F693&lt;'PlayerGrades+'!$AB$21,"F-",IF(F693&lt;'PlayerGrades+'!$AB$20,"F",IF(F693&lt;'PlayerGrades+'!$AB$19,"F+",IF(F693&lt;'PlayerGrades+'!$AB$18,"E-",IF(F693&lt;'PlayerGrades+'!$AB$17,"E",IF(F693&lt;'PlayerGrades+'!$AB$16,"E+",IF(F693&lt;'PlayerGrades+'!$AB$15,"D-",IF(F693&lt;'PlayerGrades+'!$AB$14,"D",IF(F693&lt;'PlayerGrades+'!$AB$13,"D+",IF(F693&lt;'PlayerGrades+'!$AB$12,"C-",IF(F693&lt;'PlayerGrades+'!$AB$11,"C",IF(F693&lt;'PlayerGrades+'!$AB$10,"C+",IF(F693&lt;'PlayerGrades+'!$AB$9,"B-",IF(F693&lt;'PlayerGrades+'!$AB$8,"B",IF(F693&lt;'PlayerGrades+'!$AB$7,"B+",IF(F693&lt;'PlayerGrades+'!$AB$6,"A-",IF(F693&lt;'PlayerGrades+'!$AB$5,"A",IF(F693&lt;'PlayerGrades+'!$AB$4,"A+",IF(F693&lt;'PlayerGrades+'!$AB$3,"S-",IF(F693&lt;'PlayerGrades+'!$AB$2,"S","S+"))))))))))))))))))))</f>
        <v>#DIV/0!</v>
      </c>
      <c r="H693" s="1423" t="str">
        <f t="shared" si="14"/>
        <v>#DIV/0!</v>
      </c>
      <c r="I693" s="1423" t="str">
        <f>IF(H693&lt;'PlayerGrades+'!$AC$21,"F-",IF(H693&lt;'PlayerGrades+'!$AC$20,"F",IF(H693&lt;'PlayerGrades+'!$AC$19,"F+",IF(H693&lt;'PlayerGrades+'!$AC$18,"E-",IF(H693&lt;'PlayerGrades+'!$AC$17,"E",IF(H693&lt;'PlayerGrades+'!$AC$16,"E+",IF(H693&lt;'PlayerGrades+'!$AC$15,"D-",IF(H693&lt;'PlayerGrades+'!$AC$14,"D",IF(H693&lt;'PlayerGrades+'!$AC$13,"D+",IF(H693&lt;'PlayerGrades+'!$AC$12,"C-",IF(H693&lt;'PlayerGrades+'!$AC$11,"C",IF(H693&lt;'PlayerGrades+'!$AC$10,"C+",IF(H693&lt;'PlayerGrades+'!$AC$9,"B-",IF(H693&lt;'PlayerGrades+'!$AC$8,"B",IF(H693&lt;'PlayerGrades+'!$AC$7,"B+",IF(H693&lt;'PlayerGrades+'!$AC$6,"A-",IF(H693&lt;'PlayerGrades+'!$AC$5,"A",IF(H693&lt;'PlayerGrades+'!$AC$4,"A+",IF(H693&lt;'PlayerGrades+'!$AC$3,"S-",IF(H693&lt;'PlayerGrades+'!$AC$2,"S","S+"))))))))))))))))))))</f>
        <v>#DIV/0!</v>
      </c>
      <c r="J693" s="1423" t="str">
        <f t="shared" si="15"/>
        <v>#DIV/0!</v>
      </c>
      <c r="K693" s="1423" t="str">
        <f>IF(J693&lt;'PlayerGrades+'!$AD$21,"F-",IF(J693&lt;'PlayerGrades+'!$AD$20,"F",IF(J693&lt;'PlayerGrades+'!$AD$19,"F+",IF(J693&lt;'PlayerGrades+'!$AD$18,"E-",IF(J693&lt;'PlayerGrades+'!$AD$17,"E",IF(J693&lt;'PlayerGrades+'!$AD$16,"E+",IF(J693&lt;'PlayerGrades+'!$AD$15,"D-",IF(J693&lt;'PlayerGrades+'!$AD$14,"D",IF(J693&lt;'PlayerGrades+'!$AD$13,"D+",IF(J693&lt;'PlayerGrades+'!$AD$12,"C-",IF(J693&lt;'PlayerGrades+'!$AD$11,"C",IF(J693&lt;'PlayerGrades+'!$AD$10,"C+",IF(J693&lt;'PlayerGrades+'!$AD$9,"B-",IF(J693&lt;'PlayerGrades+'!$AD$8,"B",IF(J693&lt;'PlayerGrades+'!$AD$7,"B+",IF(J693&lt;'PlayerGrades+'!$AD$6,"A-",IF(J693&lt;'PlayerGrades+'!$AD$5,"A",IF(J693&lt;'PlayerGrades+'!$AD$4,"A+",IF(J693&lt;'PlayerGrades+'!$AD$3,"S-",IF(J693&lt;'PlayerGrades+'!$AD$2,"S","S+"))))))))))))))))))))</f>
        <v>#DIV/0!</v>
      </c>
      <c r="L693" s="1176" t="str">
        <f t="shared" si="16"/>
        <v>#DIV/0!</v>
      </c>
      <c r="M693" s="992" t="str">
        <f>IF(L693&lt;'PlayerGrades+'!$AE$21,"F-",IF(L693&lt;'PlayerGrades+'!$AE$20,"F",IF(L693&lt;'PlayerGrades+'!$AE$19,"F+",IF(L693&lt;'PlayerGrades+'!$AE$18,"E-",IF(L693&lt;'PlayerGrades+'!$AE$17,"E",IF(L693&lt;'PlayerGrades+'!$AE$16,"E+",IF(L693&lt;'PlayerGrades+'!$AE$15,"D-",IF(L693&lt;'PlayerGrades+'!$AE$14,"D",IF(L693&lt;'PlayerGrades+'!$AE$13,"D+",IF(L693&lt;'PlayerGrades+'!$AE$12,"C-",IF(L693&lt;'PlayerGrades+'!$AE$11,"C",IF(L693&lt;'PlayerGrades+'!$AE$10,"C+",IF(L693&lt;'PlayerGrades+'!$AE$9,"B-",IF(L693&lt;'PlayerGrades+'!$AE$8,"B",IF(L693&lt;'PlayerGrades+'!$AE$7,"B+",IF(L693&lt;'PlayerGrades+'!$AE$6,"A-",IF(L693&lt;'PlayerGrades+'!$AE$5,"A",IF(L693&lt;'PlayerGrades+'!$AE$4,"A+",IF(L693&lt;'PlayerGrades+'!$AE$3,"S-",IF(L693&lt;'PlayerGrades+'!$AE$2,"S","S+"))))))))))))))))))))</f>
        <v>#DIV/0!</v>
      </c>
      <c r="N693" s="1423" t="str">
        <f t="shared" si="17"/>
        <v>#DIV/0!</v>
      </c>
      <c r="O693" s="1423" t="str">
        <f>IF(N693&lt;'PlayerGrades+'!$AF$21,"F-",IF(N693&lt;'PlayerGrades+'!$AF$20,"F",IF(N693&lt;'PlayerGrades+'!$AF$19,"F+",IF(N693&lt;'PlayerGrades+'!$AF$18,"E-",IF(N693&lt;'PlayerGrades+'!$AF$17,"E",IF(N693&lt;'PlayerGrades+'!$AF$16,"E+",IF(N693&lt;'PlayerGrades+'!$AF$15,"D-",IF(N693&lt;'PlayerGrades+'!$AF$14,"D",IF(N693&lt;'PlayerGrades+'!$AF$13,"D+",IF(N693&lt;'PlayerGrades+'!$AF$12,"C-",IF(N693&lt;'PlayerGrades+'!$AF$11,"C",IF(N693&lt;'PlayerGrades+'!$AF$10,"C+",IF(N693&lt;'PlayerGrades+'!$AF$9,"B-",IF(N693&lt;'PlayerGrades+'!$AF$8,"B",IF(N693&lt;'PlayerGrades+'!$AF$7,"B+",IF(N693&lt;'PlayerGrades+'!$AF$6,"A-",IF(N693&lt;'PlayerGrades+'!$AF$5,"A",IF(N693&lt;'PlayerGrades+'!$AF$4,"A+",IF(N693&lt;'PlayerGrades+'!$AF$3,"S-",IF(N693&lt;'PlayerGrades+'!$AF$2,"S","S+"))))))))))))))))))))</f>
        <v>#DIV/0!</v>
      </c>
      <c r="P693" s="1423" t="str">
        <f t="shared" si="18"/>
        <v>#DIV/0!</v>
      </c>
      <c r="Q693" s="1423" t="str">
        <f>IF(P693&lt;'PlayerGrades+'!$AG$21,"F-",IF(P693&lt;'PlayerGrades+'!$AG$20,"F",IF(P693&lt;'PlayerGrades+'!$AG$19,"F+",IF(P693&lt;'PlayerGrades+'!$AG$18,"E-",IF(P693&lt;'PlayerGrades+'!$AG$17,"E",IF(P693&lt;'PlayerGrades+'!$AG$16,"E+",IF(P693&lt;'PlayerGrades+'!$AG$15,"D-",IF(P693&lt;'PlayerGrades+'!$AG$14,"D",IF(P693&lt;'PlayerGrades+'!$AG$13,"D+",IF(P693&lt;'PlayerGrades+'!$AG$12,"C-",IF(P693&lt;'PlayerGrades+'!$AG$11,"C",IF(P693&lt;'PlayerGrades+'!$AG$10,"C+",IF(P693&lt;'PlayerGrades+'!$AG$9,"B-",IF(P693&lt;'PlayerGrades+'!$AG$8,"B",IF(P693&lt;'PlayerGrades+'!$AG$7,"B+",IF(P693&lt;'PlayerGrades+'!$AG$6,"A-",IF(P693&lt;'PlayerGrades+'!$AG$5,"A",IF(P693&lt;'PlayerGrades+'!$AG$4,"A+",IF(P693&lt;'PlayerGrades+'!$AG$3,"S-",IF(P693&lt;'PlayerGrades+'!$AG$2,"S","S+"))))))))))))))))))))</f>
        <v>#DIV/0!</v>
      </c>
      <c r="R693" s="1423" t="str">
        <f t="shared" si="19"/>
        <v>#REF!</v>
      </c>
      <c r="S693" s="1423" t="str">
        <f>IF(R693&lt;'PlayerGrades+'!$AH$21,"F-",IF(R693&lt;'PlayerGrades+'!$AH$20,"F",IF(R693&lt;'PlayerGrades+'!$AH$19,"F+",IF(R693&lt;'PlayerGrades+'!$AH$18,"E-",IF(R693&lt;'PlayerGrades+'!$AH$17,"E",IF(R693&lt;'PlayerGrades+'!$AH$16,"E+",IF(R693&lt;'PlayerGrades+'!$AH$15,"D-",IF(R693&lt;'PlayerGrades+'!$AH$14,"D",IF(R693&lt;'PlayerGrades+'!$AH$13,"D+",IF(R693&lt;'PlayerGrades+'!$AH$12,"C-",IF(R693&lt;'PlayerGrades+'!$AH$11,"C",IF(R693&lt;'PlayerGrades+'!$AH$10,"C+",IF(R693&lt;'PlayerGrades+'!$AH$9,"B-",IF(R693&lt;'PlayerGrades+'!$AH$8,"B",IF(R693&lt;'PlayerGrades+'!$AH$7,"B+",IF(R693&lt;'PlayerGrades+'!$AH$6,"A-",IF(R693&lt;'PlayerGrades+'!$AH$5,"A",IF(R693&lt;'PlayerGrades+'!$AH$4,"A+",IF(R693&lt;'PlayerGrades+'!$AH$3,"S-",IF(R693&lt;'PlayerGrades+'!$AH$2,"S","S+"))))))))))))))))))))</f>
        <v>#REF!</v>
      </c>
      <c r="T693" s="1423" t="str">
        <f t="shared" si="20"/>
        <v>#REF!</v>
      </c>
      <c r="U693" s="1423" t="str">
        <f>IF(T693&lt;'PlayerGrades+'!$AI$21,"F-",IF(T693&lt;'PlayerGrades+'!$AI$20,"F",IF(T693&lt;'PlayerGrades+'!$AI$19,"F+",IF(T693&lt;'PlayerGrades+'!$AI$18,"E-",IF(T693&lt;'PlayerGrades+'!$AI$17,"E",IF(T693&lt;'PlayerGrades+'!$AI$16,"E+",IF(T693&lt;'PlayerGrades+'!$AI$15,"D-",IF(T693&lt;'PlayerGrades+'!$AI$14,"D",IF(T693&lt;'PlayerGrades+'!$AI$13,"D+",IF(T693&lt;'PlayerGrades+'!$AI$12,"C-",IF(T693&lt;'PlayerGrades+'!$AI$11,"C",IF(T693&lt;'PlayerGrades+'!$AI$10,"C+",IF(T693&lt;'PlayerGrades+'!$AI$9,"B-",IF(T693&lt;'PlayerGrades+'!$AI$8,"B",IF(T693&lt;'PlayerGrades+'!$AI$7,"B+",IF(T693&lt;'PlayerGrades+'!$AI$6,"A-",IF(T693&lt;'PlayerGrades+'!$AI$5,"A",IF(T693&lt;'PlayerGrades+'!$AI$4,"A+",IF(T693&lt;'PlayerGrades+'!$AI$3,"S-",IF(T693&lt;'PlayerGrades+'!$AI$2,"S","S+"))))))))))))))))))))</f>
        <v>#REF!</v>
      </c>
      <c r="AC693" s="1392"/>
    </row>
    <row r="694">
      <c r="A694" s="1391"/>
      <c r="B694" s="1421" t="str">
        <f>IF(C694&lt;'PlayerGrades+'!$Y$44,"F-",IF(C694&lt;'PlayerGrades+'!$Y$43,"F",IF(C694&lt;'PlayerGrades+'!$Y$42,"F+",IF(C694&lt;'PlayerGrades+'!$Y$41,"E-",IF(C694&lt;'PlayerGrades+'!$Y$40,"E",IF(C694&lt;'PlayerGrades+'!$Y$39,"E+",IF(C694&lt;'PlayerGrades+'!$Y$38,"D-",IF(C694&lt;'PlayerGrades+'!$Y$37,"D",IF(C694&lt;'PlayerGrades+'!$Y$36,"D+",IF(C694&lt;'PlayerGrades+'!$Y$35,"C-",IF(C694&lt;'PlayerGrades+'!$Y$34,"C",IF(C694&lt;'PlayerGrades+'!$Y$33,"C+",IF(C694&lt;'PlayerGrades+'!$Y$32,"B-",IF(C694&lt;'PlayerGrades+'!$Y$31,"B",IF(C694&lt;'PlayerGrades+'!$Y$30,"B+",IF(C694&lt;'PlayerGrades+'!$Y$29,"A-",IF(C694&lt;'PlayerGrades+'!$Y$28,"A",IF(C694&lt;'PlayerGrades+'!$Y$27,"A+",IF(C694&lt;'PlayerGrades+'!$Y$26,"S-",IF(C694&lt;'PlayerGrades+'!$Y$25,"S","S+"))))))))))))))))))))</f>
        <v>#DIV/0!</v>
      </c>
      <c r="C694" s="1422" t="str">
        <f>('PlayerGrades+'!$Y$47*(VLOOKUP(E694, 'PlayerGrades+'!$X$3:$Y$23, 2, FALSE)))+('PlayerGrades+'!$Y$48*(VLOOKUP(G694, 'PlayerGrades+'!$X$3:$Y$23, 2, FALSE)))+('PlayerGrades+'!$Y$49*(VLOOKUP(I694, 'PlayerGrades+'!$X$3:$Y$23, 2, FALSE)))+('PlayerGrades+'!$Y$50*(VLOOKUP(K694, 'PlayerGrades+'!$X$3:$Y$23, 2, FALSE)))+('PlayerGrades+'!$Y$51*(VLOOKUP(M694, 'PlayerGrades+'!$X$3:$Y$23, 2, FALSE)))+('PlayerGrades+'!$Y$52*(VLOOKUP(O694, 'PlayerGrades+'!$X$3:$Y$23, 2, FALSE)))+('PlayerGrades+'!$Y$53*(VLOOKUP(Q694, 'PlayerGrades+'!$X$3:$Y$23, 2, FALSE)))+('PlayerGrades+'!$Y$54*(VLOOKUP(S694, 'PlayerGrades+'!$X$3:$Y$23, 2, FALSE)))+('PlayerGrades+'!$Y$55*(VLOOKUP(U694, 'PlayerGrades+'!$X$3:$Y$23, 2, FALSE)))</f>
        <v>#DIV/0!</v>
      </c>
      <c r="D694" s="1423" t="str">
        <f t="shared" si="12"/>
        <v>#DIV/0!</v>
      </c>
      <c r="E694" s="1423" t="str">
        <f>IF(D694&lt;'PlayerGrades+'!$AA$21,"F-",IF(D694&lt;'PlayerGrades+'!$AA$20,"F",IF(D694&lt;'PlayerGrades+'!$AA$19,"F+",IF(D694&lt;'PlayerGrades+'!$AA$18,"E-",IF(D694&lt;'PlayerGrades+'!$AA$17,"E",IF(D694&lt;'PlayerGrades+'!$AA$16,"E+",IF(D694&lt;'PlayerGrades+'!$AA$15,"D-",IF(D694&lt;'PlayerGrades+'!$AA$14,"D",IF(D694&lt;'PlayerGrades+'!$AA$13,"D+",IF(D694&lt;'PlayerGrades+'!$AA$12,"C-",IF(D694&lt;'PlayerGrades+'!$AA$11,"C",IF(D694&lt;'PlayerGrades+'!$AA$10,"C+",IF(D694&lt;'PlayerGrades+'!$AA$9,"B-",IF(D694&lt;'PlayerGrades+'!$AA$8,"B",IF(D694&lt;'PlayerGrades+'!$AA$7,"B+",IF(D694&lt;'PlayerGrades+'!$AA$6,"A-",IF(D694&lt;'PlayerGrades+'!$AA$5,"A",IF(D694&lt;'PlayerGrades+'!$AA$4,"A+",IF(D694&lt;'PlayerGrades+'!$AA$3,"S-",IF(D694&lt;'PlayerGrades+'!$AA$2,"S","S+"))))))))))))))))))))</f>
        <v>#DIV/0!</v>
      </c>
      <c r="F694" s="1423" t="str">
        <f t="shared" si="13"/>
        <v>#DIV/0!</v>
      </c>
      <c r="G694" s="1423" t="str">
        <f>IF(F694&lt;'PlayerGrades+'!$AB$21,"F-",IF(F694&lt;'PlayerGrades+'!$AB$20,"F",IF(F694&lt;'PlayerGrades+'!$AB$19,"F+",IF(F694&lt;'PlayerGrades+'!$AB$18,"E-",IF(F694&lt;'PlayerGrades+'!$AB$17,"E",IF(F694&lt;'PlayerGrades+'!$AB$16,"E+",IF(F694&lt;'PlayerGrades+'!$AB$15,"D-",IF(F694&lt;'PlayerGrades+'!$AB$14,"D",IF(F694&lt;'PlayerGrades+'!$AB$13,"D+",IF(F694&lt;'PlayerGrades+'!$AB$12,"C-",IF(F694&lt;'PlayerGrades+'!$AB$11,"C",IF(F694&lt;'PlayerGrades+'!$AB$10,"C+",IF(F694&lt;'PlayerGrades+'!$AB$9,"B-",IF(F694&lt;'PlayerGrades+'!$AB$8,"B",IF(F694&lt;'PlayerGrades+'!$AB$7,"B+",IF(F694&lt;'PlayerGrades+'!$AB$6,"A-",IF(F694&lt;'PlayerGrades+'!$AB$5,"A",IF(F694&lt;'PlayerGrades+'!$AB$4,"A+",IF(F694&lt;'PlayerGrades+'!$AB$3,"S-",IF(F694&lt;'PlayerGrades+'!$AB$2,"S","S+"))))))))))))))))))))</f>
        <v>#DIV/0!</v>
      </c>
      <c r="H694" s="1423" t="str">
        <f t="shared" si="14"/>
        <v>#DIV/0!</v>
      </c>
      <c r="I694" s="1423" t="str">
        <f>IF(H694&lt;'PlayerGrades+'!$AC$21,"F-",IF(H694&lt;'PlayerGrades+'!$AC$20,"F",IF(H694&lt;'PlayerGrades+'!$AC$19,"F+",IF(H694&lt;'PlayerGrades+'!$AC$18,"E-",IF(H694&lt;'PlayerGrades+'!$AC$17,"E",IF(H694&lt;'PlayerGrades+'!$AC$16,"E+",IF(H694&lt;'PlayerGrades+'!$AC$15,"D-",IF(H694&lt;'PlayerGrades+'!$AC$14,"D",IF(H694&lt;'PlayerGrades+'!$AC$13,"D+",IF(H694&lt;'PlayerGrades+'!$AC$12,"C-",IF(H694&lt;'PlayerGrades+'!$AC$11,"C",IF(H694&lt;'PlayerGrades+'!$AC$10,"C+",IF(H694&lt;'PlayerGrades+'!$AC$9,"B-",IF(H694&lt;'PlayerGrades+'!$AC$8,"B",IF(H694&lt;'PlayerGrades+'!$AC$7,"B+",IF(H694&lt;'PlayerGrades+'!$AC$6,"A-",IF(H694&lt;'PlayerGrades+'!$AC$5,"A",IF(H694&lt;'PlayerGrades+'!$AC$4,"A+",IF(H694&lt;'PlayerGrades+'!$AC$3,"S-",IF(H694&lt;'PlayerGrades+'!$AC$2,"S","S+"))))))))))))))))))))</f>
        <v>#DIV/0!</v>
      </c>
      <c r="J694" s="1423" t="str">
        <f t="shared" si="15"/>
        <v>#DIV/0!</v>
      </c>
      <c r="K694" s="1423" t="str">
        <f>IF(J694&lt;'PlayerGrades+'!$AD$21,"F-",IF(J694&lt;'PlayerGrades+'!$AD$20,"F",IF(J694&lt;'PlayerGrades+'!$AD$19,"F+",IF(J694&lt;'PlayerGrades+'!$AD$18,"E-",IF(J694&lt;'PlayerGrades+'!$AD$17,"E",IF(J694&lt;'PlayerGrades+'!$AD$16,"E+",IF(J694&lt;'PlayerGrades+'!$AD$15,"D-",IF(J694&lt;'PlayerGrades+'!$AD$14,"D",IF(J694&lt;'PlayerGrades+'!$AD$13,"D+",IF(J694&lt;'PlayerGrades+'!$AD$12,"C-",IF(J694&lt;'PlayerGrades+'!$AD$11,"C",IF(J694&lt;'PlayerGrades+'!$AD$10,"C+",IF(J694&lt;'PlayerGrades+'!$AD$9,"B-",IF(J694&lt;'PlayerGrades+'!$AD$8,"B",IF(J694&lt;'PlayerGrades+'!$AD$7,"B+",IF(J694&lt;'PlayerGrades+'!$AD$6,"A-",IF(J694&lt;'PlayerGrades+'!$AD$5,"A",IF(J694&lt;'PlayerGrades+'!$AD$4,"A+",IF(J694&lt;'PlayerGrades+'!$AD$3,"S-",IF(J694&lt;'PlayerGrades+'!$AD$2,"S","S+"))))))))))))))))))))</f>
        <v>#DIV/0!</v>
      </c>
      <c r="L694" s="1176" t="str">
        <f t="shared" si="16"/>
        <v>#DIV/0!</v>
      </c>
      <c r="M694" s="992" t="str">
        <f>IF(L694&lt;'PlayerGrades+'!$AE$21,"F-",IF(L694&lt;'PlayerGrades+'!$AE$20,"F",IF(L694&lt;'PlayerGrades+'!$AE$19,"F+",IF(L694&lt;'PlayerGrades+'!$AE$18,"E-",IF(L694&lt;'PlayerGrades+'!$AE$17,"E",IF(L694&lt;'PlayerGrades+'!$AE$16,"E+",IF(L694&lt;'PlayerGrades+'!$AE$15,"D-",IF(L694&lt;'PlayerGrades+'!$AE$14,"D",IF(L694&lt;'PlayerGrades+'!$AE$13,"D+",IF(L694&lt;'PlayerGrades+'!$AE$12,"C-",IF(L694&lt;'PlayerGrades+'!$AE$11,"C",IF(L694&lt;'PlayerGrades+'!$AE$10,"C+",IF(L694&lt;'PlayerGrades+'!$AE$9,"B-",IF(L694&lt;'PlayerGrades+'!$AE$8,"B",IF(L694&lt;'PlayerGrades+'!$AE$7,"B+",IF(L694&lt;'PlayerGrades+'!$AE$6,"A-",IF(L694&lt;'PlayerGrades+'!$AE$5,"A",IF(L694&lt;'PlayerGrades+'!$AE$4,"A+",IF(L694&lt;'PlayerGrades+'!$AE$3,"S-",IF(L694&lt;'PlayerGrades+'!$AE$2,"S","S+"))))))))))))))))))))</f>
        <v>#DIV/0!</v>
      </c>
      <c r="N694" s="1423" t="str">
        <f t="shared" si="17"/>
        <v>#DIV/0!</v>
      </c>
      <c r="O694" s="1423" t="str">
        <f>IF(N694&lt;'PlayerGrades+'!$AF$21,"F-",IF(N694&lt;'PlayerGrades+'!$AF$20,"F",IF(N694&lt;'PlayerGrades+'!$AF$19,"F+",IF(N694&lt;'PlayerGrades+'!$AF$18,"E-",IF(N694&lt;'PlayerGrades+'!$AF$17,"E",IF(N694&lt;'PlayerGrades+'!$AF$16,"E+",IF(N694&lt;'PlayerGrades+'!$AF$15,"D-",IF(N694&lt;'PlayerGrades+'!$AF$14,"D",IF(N694&lt;'PlayerGrades+'!$AF$13,"D+",IF(N694&lt;'PlayerGrades+'!$AF$12,"C-",IF(N694&lt;'PlayerGrades+'!$AF$11,"C",IF(N694&lt;'PlayerGrades+'!$AF$10,"C+",IF(N694&lt;'PlayerGrades+'!$AF$9,"B-",IF(N694&lt;'PlayerGrades+'!$AF$8,"B",IF(N694&lt;'PlayerGrades+'!$AF$7,"B+",IF(N694&lt;'PlayerGrades+'!$AF$6,"A-",IF(N694&lt;'PlayerGrades+'!$AF$5,"A",IF(N694&lt;'PlayerGrades+'!$AF$4,"A+",IF(N694&lt;'PlayerGrades+'!$AF$3,"S-",IF(N694&lt;'PlayerGrades+'!$AF$2,"S","S+"))))))))))))))))))))</f>
        <v>#DIV/0!</v>
      </c>
      <c r="P694" s="1423" t="str">
        <f t="shared" si="18"/>
        <v>#DIV/0!</v>
      </c>
      <c r="Q694" s="1423" t="str">
        <f>IF(P694&lt;'PlayerGrades+'!$AG$21,"F-",IF(P694&lt;'PlayerGrades+'!$AG$20,"F",IF(P694&lt;'PlayerGrades+'!$AG$19,"F+",IF(P694&lt;'PlayerGrades+'!$AG$18,"E-",IF(P694&lt;'PlayerGrades+'!$AG$17,"E",IF(P694&lt;'PlayerGrades+'!$AG$16,"E+",IF(P694&lt;'PlayerGrades+'!$AG$15,"D-",IF(P694&lt;'PlayerGrades+'!$AG$14,"D",IF(P694&lt;'PlayerGrades+'!$AG$13,"D+",IF(P694&lt;'PlayerGrades+'!$AG$12,"C-",IF(P694&lt;'PlayerGrades+'!$AG$11,"C",IF(P694&lt;'PlayerGrades+'!$AG$10,"C+",IF(P694&lt;'PlayerGrades+'!$AG$9,"B-",IF(P694&lt;'PlayerGrades+'!$AG$8,"B",IF(P694&lt;'PlayerGrades+'!$AG$7,"B+",IF(P694&lt;'PlayerGrades+'!$AG$6,"A-",IF(P694&lt;'PlayerGrades+'!$AG$5,"A",IF(P694&lt;'PlayerGrades+'!$AG$4,"A+",IF(P694&lt;'PlayerGrades+'!$AG$3,"S-",IF(P694&lt;'PlayerGrades+'!$AG$2,"S","S+"))))))))))))))))))))</f>
        <v>#DIV/0!</v>
      </c>
      <c r="R694" s="1423" t="str">
        <f t="shared" si="19"/>
        <v>#REF!</v>
      </c>
      <c r="S694" s="1423" t="str">
        <f>IF(R694&lt;'PlayerGrades+'!$AH$21,"F-",IF(R694&lt;'PlayerGrades+'!$AH$20,"F",IF(R694&lt;'PlayerGrades+'!$AH$19,"F+",IF(R694&lt;'PlayerGrades+'!$AH$18,"E-",IF(R694&lt;'PlayerGrades+'!$AH$17,"E",IF(R694&lt;'PlayerGrades+'!$AH$16,"E+",IF(R694&lt;'PlayerGrades+'!$AH$15,"D-",IF(R694&lt;'PlayerGrades+'!$AH$14,"D",IF(R694&lt;'PlayerGrades+'!$AH$13,"D+",IF(R694&lt;'PlayerGrades+'!$AH$12,"C-",IF(R694&lt;'PlayerGrades+'!$AH$11,"C",IF(R694&lt;'PlayerGrades+'!$AH$10,"C+",IF(R694&lt;'PlayerGrades+'!$AH$9,"B-",IF(R694&lt;'PlayerGrades+'!$AH$8,"B",IF(R694&lt;'PlayerGrades+'!$AH$7,"B+",IF(R694&lt;'PlayerGrades+'!$AH$6,"A-",IF(R694&lt;'PlayerGrades+'!$AH$5,"A",IF(R694&lt;'PlayerGrades+'!$AH$4,"A+",IF(R694&lt;'PlayerGrades+'!$AH$3,"S-",IF(R694&lt;'PlayerGrades+'!$AH$2,"S","S+"))))))))))))))))))))</f>
        <v>#REF!</v>
      </c>
      <c r="T694" s="1423" t="str">
        <f t="shared" si="20"/>
        <v>#REF!</v>
      </c>
      <c r="U694" s="1423" t="str">
        <f>IF(T694&lt;'PlayerGrades+'!$AI$21,"F-",IF(T694&lt;'PlayerGrades+'!$AI$20,"F",IF(T694&lt;'PlayerGrades+'!$AI$19,"F+",IF(T694&lt;'PlayerGrades+'!$AI$18,"E-",IF(T694&lt;'PlayerGrades+'!$AI$17,"E",IF(T694&lt;'PlayerGrades+'!$AI$16,"E+",IF(T694&lt;'PlayerGrades+'!$AI$15,"D-",IF(T694&lt;'PlayerGrades+'!$AI$14,"D",IF(T694&lt;'PlayerGrades+'!$AI$13,"D+",IF(T694&lt;'PlayerGrades+'!$AI$12,"C-",IF(T694&lt;'PlayerGrades+'!$AI$11,"C",IF(T694&lt;'PlayerGrades+'!$AI$10,"C+",IF(T694&lt;'PlayerGrades+'!$AI$9,"B-",IF(T694&lt;'PlayerGrades+'!$AI$8,"B",IF(T694&lt;'PlayerGrades+'!$AI$7,"B+",IF(T694&lt;'PlayerGrades+'!$AI$6,"A-",IF(T694&lt;'PlayerGrades+'!$AI$5,"A",IF(T694&lt;'PlayerGrades+'!$AI$4,"A+",IF(T694&lt;'PlayerGrades+'!$AI$3,"S-",IF(T694&lt;'PlayerGrades+'!$AI$2,"S","S+"))))))))))))))))))))</f>
        <v>#REF!</v>
      </c>
      <c r="AC694" s="1392"/>
    </row>
    <row r="695">
      <c r="A695" s="1391"/>
      <c r="B695" s="1421" t="str">
        <f>IF(C695&lt;'PlayerGrades+'!$Y$44,"F-",IF(C695&lt;'PlayerGrades+'!$Y$43,"F",IF(C695&lt;'PlayerGrades+'!$Y$42,"F+",IF(C695&lt;'PlayerGrades+'!$Y$41,"E-",IF(C695&lt;'PlayerGrades+'!$Y$40,"E",IF(C695&lt;'PlayerGrades+'!$Y$39,"E+",IF(C695&lt;'PlayerGrades+'!$Y$38,"D-",IF(C695&lt;'PlayerGrades+'!$Y$37,"D",IF(C695&lt;'PlayerGrades+'!$Y$36,"D+",IF(C695&lt;'PlayerGrades+'!$Y$35,"C-",IF(C695&lt;'PlayerGrades+'!$Y$34,"C",IF(C695&lt;'PlayerGrades+'!$Y$33,"C+",IF(C695&lt;'PlayerGrades+'!$Y$32,"B-",IF(C695&lt;'PlayerGrades+'!$Y$31,"B",IF(C695&lt;'PlayerGrades+'!$Y$30,"B+",IF(C695&lt;'PlayerGrades+'!$Y$29,"A-",IF(C695&lt;'PlayerGrades+'!$Y$28,"A",IF(C695&lt;'PlayerGrades+'!$Y$27,"A+",IF(C695&lt;'PlayerGrades+'!$Y$26,"S-",IF(C695&lt;'PlayerGrades+'!$Y$25,"S","S+"))))))))))))))))))))</f>
        <v>#DIV/0!</v>
      </c>
      <c r="C695" s="1422" t="str">
        <f>('PlayerGrades+'!$Y$47*(VLOOKUP(E695, 'PlayerGrades+'!$X$3:$Y$23, 2, FALSE)))+('PlayerGrades+'!$Y$48*(VLOOKUP(G695, 'PlayerGrades+'!$X$3:$Y$23, 2, FALSE)))+('PlayerGrades+'!$Y$49*(VLOOKUP(I695, 'PlayerGrades+'!$X$3:$Y$23, 2, FALSE)))+('PlayerGrades+'!$Y$50*(VLOOKUP(K695, 'PlayerGrades+'!$X$3:$Y$23, 2, FALSE)))+('PlayerGrades+'!$Y$51*(VLOOKUP(M695, 'PlayerGrades+'!$X$3:$Y$23, 2, FALSE)))+('PlayerGrades+'!$Y$52*(VLOOKUP(O695, 'PlayerGrades+'!$X$3:$Y$23, 2, FALSE)))+('PlayerGrades+'!$Y$53*(VLOOKUP(Q695, 'PlayerGrades+'!$X$3:$Y$23, 2, FALSE)))+('PlayerGrades+'!$Y$54*(VLOOKUP(S695, 'PlayerGrades+'!$X$3:$Y$23, 2, FALSE)))+('PlayerGrades+'!$Y$55*(VLOOKUP(U695, 'PlayerGrades+'!$X$3:$Y$23, 2, FALSE)))</f>
        <v>#DIV/0!</v>
      </c>
      <c r="D695" s="1423" t="str">
        <f t="shared" si="12"/>
        <v>#DIV/0!</v>
      </c>
      <c r="E695" s="1423" t="str">
        <f>IF(D695&lt;'PlayerGrades+'!$AA$21,"F-",IF(D695&lt;'PlayerGrades+'!$AA$20,"F",IF(D695&lt;'PlayerGrades+'!$AA$19,"F+",IF(D695&lt;'PlayerGrades+'!$AA$18,"E-",IF(D695&lt;'PlayerGrades+'!$AA$17,"E",IF(D695&lt;'PlayerGrades+'!$AA$16,"E+",IF(D695&lt;'PlayerGrades+'!$AA$15,"D-",IF(D695&lt;'PlayerGrades+'!$AA$14,"D",IF(D695&lt;'PlayerGrades+'!$AA$13,"D+",IF(D695&lt;'PlayerGrades+'!$AA$12,"C-",IF(D695&lt;'PlayerGrades+'!$AA$11,"C",IF(D695&lt;'PlayerGrades+'!$AA$10,"C+",IF(D695&lt;'PlayerGrades+'!$AA$9,"B-",IF(D695&lt;'PlayerGrades+'!$AA$8,"B",IF(D695&lt;'PlayerGrades+'!$AA$7,"B+",IF(D695&lt;'PlayerGrades+'!$AA$6,"A-",IF(D695&lt;'PlayerGrades+'!$AA$5,"A",IF(D695&lt;'PlayerGrades+'!$AA$4,"A+",IF(D695&lt;'PlayerGrades+'!$AA$3,"S-",IF(D695&lt;'PlayerGrades+'!$AA$2,"S","S+"))))))))))))))))))))</f>
        <v>#DIV/0!</v>
      </c>
      <c r="F695" s="1423" t="str">
        <f t="shared" si="13"/>
        <v>#DIV/0!</v>
      </c>
      <c r="G695" s="1423" t="str">
        <f>IF(F695&lt;'PlayerGrades+'!$AB$21,"F-",IF(F695&lt;'PlayerGrades+'!$AB$20,"F",IF(F695&lt;'PlayerGrades+'!$AB$19,"F+",IF(F695&lt;'PlayerGrades+'!$AB$18,"E-",IF(F695&lt;'PlayerGrades+'!$AB$17,"E",IF(F695&lt;'PlayerGrades+'!$AB$16,"E+",IF(F695&lt;'PlayerGrades+'!$AB$15,"D-",IF(F695&lt;'PlayerGrades+'!$AB$14,"D",IF(F695&lt;'PlayerGrades+'!$AB$13,"D+",IF(F695&lt;'PlayerGrades+'!$AB$12,"C-",IF(F695&lt;'PlayerGrades+'!$AB$11,"C",IF(F695&lt;'PlayerGrades+'!$AB$10,"C+",IF(F695&lt;'PlayerGrades+'!$AB$9,"B-",IF(F695&lt;'PlayerGrades+'!$AB$8,"B",IF(F695&lt;'PlayerGrades+'!$AB$7,"B+",IF(F695&lt;'PlayerGrades+'!$AB$6,"A-",IF(F695&lt;'PlayerGrades+'!$AB$5,"A",IF(F695&lt;'PlayerGrades+'!$AB$4,"A+",IF(F695&lt;'PlayerGrades+'!$AB$3,"S-",IF(F695&lt;'PlayerGrades+'!$AB$2,"S","S+"))))))))))))))))))))</f>
        <v>#DIV/0!</v>
      </c>
      <c r="H695" s="1423" t="str">
        <f t="shared" si="14"/>
        <v>#DIV/0!</v>
      </c>
      <c r="I695" s="1423" t="str">
        <f>IF(H695&lt;'PlayerGrades+'!$AC$21,"F-",IF(H695&lt;'PlayerGrades+'!$AC$20,"F",IF(H695&lt;'PlayerGrades+'!$AC$19,"F+",IF(H695&lt;'PlayerGrades+'!$AC$18,"E-",IF(H695&lt;'PlayerGrades+'!$AC$17,"E",IF(H695&lt;'PlayerGrades+'!$AC$16,"E+",IF(H695&lt;'PlayerGrades+'!$AC$15,"D-",IF(H695&lt;'PlayerGrades+'!$AC$14,"D",IF(H695&lt;'PlayerGrades+'!$AC$13,"D+",IF(H695&lt;'PlayerGrades+'!$AC$12,"C-",IF(H695&lt;'PlayerGrades+'!$AC$11,"C",IF(H695&lt;'PlayerGrades+'!$AC$10,"C+",IF(H695&lt;'PlayerGrades+'!$AC$9,"B-",IF(H695&lt;'PlayerGrades+'!$AC$8,"B",IF(H695&lt;'PlayerGrades+'!$AC$7,"B+",IF(H695&lt;'PlayerGrades+'!$AC$6,"A-",IF(H695&lt;'PlayerGrades+'!$AC$5,"A",IF(H695&lt;'PlayerGrades+'!$AC$4,"A+",IF(H695&lt;'PlayerGrades+'!$AC$3,"S-",IF(H695&lt;'PlayerGrades+'!$AC$2,"S","S+"))))))))))))))))))))</f>
        <v>#DIV/0!</v>
      </c>
      <c r="J695" s="1423" t="str">
        <f t="shared" si="15"/>
        <v>#DIV/0!</v>
      </c>
      <c r="K695" s="1423" t="str">
        <f>IF(J695&lt;'PlayerGrades+'!$AD$21,"F-",IF(J695&lt;'PlayerGrades+'!$AD$20,"F",IF(J695&lt;'PlayerGrades+'!$AD$19,"F+",IF(J695&lt;'PlayerGrades+'!$AD$18,"E-",IF(J695&lt;'PlayerGrades+'!$AD$17,"E",IF(J695&lt;'PlayerGrades+'!$AD$16,"E+",IF(J695&lt;'PlayerGrades+'!$AD$15,"D-",IF(J695&lt;'PlayerGrades+'!$AD$14,"D",IF(J695&lt;'PlayerGrades+'!$AD$13,"D+",IF(J695&lt;'PlayerGrades+'!$AD$12,"C-",IF(J695&lt;'PlayerGrades+'!$AD$11,"C",IF(J695&lt;'PlayerGrades+'!$AD$10,"C+",IF(J695&lt;'PlayerGrades+'!$AD$9,"B-",IF(J695&lt;'PlayerGrades+'!$AD$8,"B",IF(J695&lt;'PlayerGrades+'!$AD$7,"B+",IF(J695&lt;'PlayerGrades+'!$AD$6,"A-",IF(J695&lt;'PlayerGrades+'!$AD$5,"A",IF(J695&lt;'PlayerGrades+'!$AD$4,"A+",IF(J695&lt;'PlayerGrades+'!$AD$3,"S-",IF(J695&lt;'PlayerGrades+'!$AD$2,"S","S+"))))))))))))))))))))</f>
        <v>#DIV/0!</v>
      </c>
      <c r="L695" s="1176" t="str">
        <f t="shared" si="16"/>
        <v>#DIV/0!</v>
      </c>
      <c r="M695" s="992" t="str">
        <f>IF(L695&lt;'PlayerGrades+'!$AE$21,"F-",IF(L695&lt;'PlayerGrades+'!$AE$20,"F",IF(L695&lt;'PlayerGrades+'!$AE$19,"F+",IF(L695&lt;'PlayerGrades+'!$AE$18,"E-",IF(L695&lt;'PlayerGrades+'!$AE$17,"E",IF(L695&lt;'PlayerGrades+'!$AE$16,"E+",IF(L695&lt;'PlayerGrades+'!$AE$15,"D-",IF(L695&lt;'PlayerGrades+'!$AE$14,"D",IF(L695&lt;'PlayerGrades+'!$AE$13,"D+",IF(L695&lt;'PlayerGrades+'!$AE$12,"C-",IF(L695&lt;'PlayerGrades+'!$AE$11,"C",IF(L695&lt;'PlayerGrades+'!$AE$10,"C+",IF(L695&lt;'PlayerGrades+'!$AE$9,"B-",IF(L695&lt;'PlayerGrades+'!$AE$8,"B",IF(L695&lt;'PlayerGrades+'!$AE$7,"B+",IF(L695&lt;'PlayerGrades+'!$AE$6,"A-",IF(L695&lt;'PlayerGrades+'!$AE$5,"A",IF(L695&lt;'PlayerGrades+'!$AE$4,"A+",IF(L695&lt;'PlayerGrades+'!$AE$3,"S-",IF(L695&lt;'PlayerGrades+'!$AE$2,"S","S+"))))))))))))))))))))</f>
        <v>#DIV/0!</v>
      </c>
      <c r="N695" s="1423" t="str">
        <f t="shared" si="17"/>
        <v>#DIV/0!</v>
      </c>
      <c r="O695" s="1423" t="str">
        <f>IF(N695&lt;'PlayerGrades+'!$AF$21,"F-",IF(N695&lt;'PlayerGrades+'!$AF$20,"F",IF(N695&lt;'PlayerGrades+'!$AF$19,"F+",IF(N695&lt;'PlayerGrades+'!$AF$18,"E-",IF(N695&lt;'PlayerGrades+'!$AF$17,"E",IF(N695&lt;'PlayerGrades+'!$AF$16,"E+",IF(N695&lt;'PlayerGrades+'!$AF$15,"D-",IF(N695&lt;'PlayerGrades+'!$AF$14,"D",IF(N695&lt;'PlayerGrades+'!$AF$13,"D+",IF(N695&lt;'PlayerGrades+'!$AF$12,"C-",IF(N695&lt;'PlayerGrades+'!$AF$11,"C",IF(N695&lt;'PlayerGrades+'!$AF$10,"C+",IF(N695&lt;'PlayerGrades+'!$AF$9,"B-",IF(N695&lt;'PlayerGrades+'!$AF$8,"B",IF(N695&lt;'PlayerGrades+'!$AF$7,"B+",IF(N695&lt;'PlayerGrades+'!$AF$6,"A-",IF(N695&lt;'PlayerGrades+'!$AF$5,"A",IF(N695&lt;'PlayerGrades+'!$AF$4,"A+",IF(N695&lt;'PlayerGrades+'!$AF$3,"S-",IF(N695&lt;'PlayerGrades+'!$AF$2,"S","S+"))))))))))))))))))))</f>
        <v>#DIV/0!</v>
      </c>
      <c r="P695" s="1423" t="str">
        <f t="shared" si="18"/>
        <v>#DIV/0!</v>
      </c>
      <c r="Q695" s="1423" t="str">
        <f>IF(P695&lt;'PlayerGrades+'!$AG$21,"F-",IF(P695&lt;'PlayerGrades+'!$AG$20,"F",IF(P695&lt;'PlayerGrades+'!$AG$19,"F+",IF(P695&lt;'PlayerGrades+'!$AG$18,"E-",IF(P695&lt;'PlayerGrades+'!$AG$17,"E",IF(P695&lt;'PlayerGrades+'!$AG$16,"E+",IF(P695&lt;'PlayerGrades+'!$AG$15,"D-",IF(P695&lt;'PlayerGrades+'!$AG$14,"D",IF(P695&lt;'PlayerGrades+'!$AG$13,"D+",IF(P695&lt;'PlayerGrades+'!$AG$12,"C-",IF(P695&lt;'PlayerGrades+'!$AG$11,"C",IF(P695&lt;'PlayerGrades+'!$AG$10,"C+",IF(P695&lt;'PlayerGrades+'!$AG$9,"B-",IF(P695&lt;'PlayerGrades+'!$AG$8,"B",IF(P695&lt;'PlayerGrades+'!$AG$7,"B+",IF(P695&lt;'PlayerGrades+'!$AG$6,"A-",IF(P695&lt;'PlayerGrades+'!$AG$5,"A",IF(P695&lt;'PlayerGrades+'!$AG$4,"A+",IF(P695&lt;'PlayerGrades+'!$AG$3,"S-",IF(P695&lt;'PlayerGrades+'!$AG$2,"S","S+"))))))))))))))))))))</f>
        <v>#DIV/0!</v>
      </c>
      <c r="R695" s="1423" t="str">
        <f t="shared" si="19"/>
        <v>#REF!</v>
      </c>
      <c r="S695" s="1423" t="str">
        <f>IF(R695&lt;'PlayerGrades+'!$AH$21,"F-",IF(R695&lt;'PlayerGrades+'!$AH$20,"F",IF(R695&lt;'PlayerGrades+'!$AH$19,"F+",IF(R695&lt;'PlayerGrades+'!$AH$18,"E-",IF(R695&lt;'PlayerGrades+'!$AH$17,"E",IF(R695&lt;'PlayerGrades+'!$AH$16,"E+",IF(R695&lt;'PlayerGrades+'!$AH$15,"D-",IF(R695&lt;'PlayerGrades+'!$AH$14,"D",IF(R695&lt;'PlayerGrades+'!$AH$13,"D+",IF(R695&lt;'PlayerGrades+'!$AH$12,"C-",IF(R695&lt;'PlayerGrades+'!$AH$11,"C",IF(R695&lt;'PlayerGrades+'!$AH$10,"C+",IF(R695&lt;'PlayerGrades+'!$AH$9,"B-",IF(R695&lt;'PlayerGrades+'!$AH$8,"B",IF(R695&lt;'PlayerGrades+'!$AH$7,"B+",IF(R695&lt;'PlayerGrades+'!$AH$6,"A-",IF(R695&lt;'PlayerGrades+'!$AH$5,"A",IF(R695&lt;'PlayerGrades+'!$AH$4,"A+",IF(R695&lt;'PlayerGrades+'!$AH$3,"S-",IF(R695&lt;'PlayerGrades+'!$AH$2,"S","S+"))))))))))))))))))))</f>
        <v>#REF!</v>
      </c>
      <c r="T695" s="1423" t="str">
        <f t="shared" si="20"/>
        <v>#REF!</v>
      </c>
      <c r="U695" s="1423" t="str">
        <f>IF(T695&lt;'PlayerGrades+'!$AI$21,"F-",IF(T695&lt;'PlayerGrades+'!$AI$20,"F",IF(T695&lt;'PlayerGrades+'!$AI$19,"F+",IF(T695&lt;'PlayerGrades+'!$AI$18,"E-",IF(T695&lt;'PlayerGrades+'!$AI$17,"E",IF(T695&lt;'PlayerGrades+'!$AI$16,"E+",IF(T695&lt;'PlayerGrades+'!$AI$15,"D-",IF(T695&lt;'PlayerGrades+'!$AI$14,"D",IF(T695&lt;'PlayerGrades+'!$AI$13,"D+",IF(T695&lt;'PlayerGrades+'!$AI$12,"C-",IF(T695&lt;'PlayerGrades+'!$AI$11,"C",IF(T695&lt;'PlayerGrades+'!$AI$10,"C+",IF(T695&lt;'PlayerGrades+'!$AI$9,"B-",IF(T695&lt;'PlayerGrades+'!$AI$8,"B",IF(T695&lt;'PlayerGrades+'!$AI$7,"B+",IF(T695&lt;'PlayerGrades+'!$AI$6,"A-",IF(T695&lt;'PlayerGrades+'!$AI$5,"A",IF(T695&lt;'PlayerGrades+'!$AI$4,"A+",IF(T695&lt;'PlayerGrades+'!$AI$3,"S-",IF(T695&lt;'PlayerGrades+'!$AI$2,"S","S+"))))))))))))))))))))</f>
        <v>#REF!</v>
      </c>
      <c r="AC695" s="1392"/>
    </row>
    <row r="696">
      <c r="A696" s="1391"/>
      <c r="B696" s="1421" t="str">
        <f>IF(C696&lt;'PlayerGrades+'!$Y$44,"F-",IF(C696&lt;'PlayerGrades+'!$Y$43,"F",IF(C696&lt;'PlayerGrades+'!$Y$42,"F+",IF(C696&lt;'PlayerGrades+'!$Y$41,"E-",IF(C696&lt;'PlayerGrades+'!$Y$40,"E",IF(C696&lt;'PlayerGrades+'!$Y$39,"E+",IF(C696&lt;'PlayerGrades+'!$Y$38,"D-",IF(C696&lt;'PlayerGrades+'!$Y$37,"D",IF(C696&lt;'PlayerGrades+'!$Y$36,"D+",IF(C696&lt;'PlayerGrades+'!$Y$35,"C-",IF(C696&lt;'PlayerGrades+'!$Y$34,"C",IF(C696&lt;'PlayerGrades+'!$Y$33,"C+",IF(C696&lt;'PlayerGrades+'!$Y$32,"B-",IF(C696&lt;'PlayerGrades+'!$Y$31,"B",IF(C696&lt;'PlayerGrades+'!$Y$30,"B+",IF(C696&lt;'PlayerGrades+'!$Y$29,"A-",IF(C696&lt;'PlayerGrades+'!$Y$28,"A",IF(C696&lt;'PlayerGrades+'!$Y$27,"A+",IF(C696&lt;'PlayerGrades+'!$Y$26,"S-",IF(C696&lt;'PlayerGrades+'!$Y$25,"S","S+"))))))))))))))))))))</f>
        <v>#DIV/0!</v>
      </c>
      <c r="C696" s="1422" t="str">
        <f>('PlayerGrades+'!$Y$47*(VLOOKUP(E696, 'PlayerGrades+'!$X$3:$Y$23, 2, FALSE)))+('PlayerGrades+'!$Y$48*(VLOOKUP(G696, 'PlayerGrades+'!$X$3:$Y$23, 2, FALSE)))+('PlayerGrades+'!$Y$49*(VLOOKUP(I696, 'PlayerGrades+'!$X$3:$Y$23, 2, FALSE)))+('PlayerGrades+'!$Y$50*(VLOOKUP(K696, 'PlayerGrades+'!$X$3:$Y$23, 2, FALSE)))+('PlayerGrades+'!$Y$51*(VLOOKUP(M696, 'PlayerGrades+'!$X$3:$Y$23, 2, FALSE)))+('PlayerGrades+'!$Y$52*(VLOOKUP(O696, 'PlayerGrades+'!$X$3:$Y$23, 2, FALSE)))+('PlayerGrades+'!$Y$53*(VLOOKUP(Q696, 'PlayerGrades+'!$X$3:$Y$23, 2, FALSE)))+('PlayerGrades+'!$Y$54*(VLOOKUP(S696, 'PlayerGrades+'!$X$3:$Y$23, 2, FALSE)))+('PlayerGrades+'!$Y$55*(VLOOKUP(U696, 'PlayerGrades+'!$X$3:$Y$23, 2, FALSE)))</f>
        <v>#DIV/0!</v>
      </c>
      <c r="D696" s="1423" t="str">
        <f t="shared" si="12"/>
        <v>#DIV/0!</v>
      </c>
      <c r="E696" s="1423" t="str">
        <f>IF(D696&lt;'PlayerGrades+'!$AA$21,"F-",IF(D696&lt;'PlayerGrades+'!$AA$20,"F",IF(D696&lt;'PlayerGrades+'!$AA$19,"F+",IF(D696&lt;'PlayerGrades+'!$AA$18,"E-",IF(D696&lt;'PlayerGrades+'!$AA$17,"E",IF(D696&lt;'PlayerGrades+'!$AA$16,"E+",IF(D696&lt;'PlayerGrades+'!$AA$15,"D-",IF(D696&lt;'PlayerGrades+'!$AA$14,"D",IF(D696&lt;'PlayerGrades+'!$AA$13,"D+",IF(D696&lt;'PlayerGrades+'!$AA$12,"C-",IF(D696&lt;'PlayerGrades+'!$AA$11,"C",IF(D696&lt;'PlayerGrades+'!$AA$10,"C+",IF(D696&lt;'PlayerGrades+'!$AA$9,"B-",IF(D696&lt;'PlayerGrades+'!$AA$8,"B",IF(D696&lt;'PlayerGrades+'!$AA$7,"B+",IF(D696&lt;'PlayerGrades+'!$AA$6,"A-",IF(D696&lt;'PlayerGrades+'!$AA$5,"A",IF(D696&lt;'PlayerGrades+'!$AA$4,"A+",IF(D696&lt;'PlayerGrades+'!$AA$3,"S-",IF(D696&lt;'PlayerGrades+'!$AA$2,"S","S+"))))))))))))))))))))</f>
        <v>#DIV/0!</v>
      </c>
      <c r="F696" s="1423" t="str">
        <f t="shared" si="13"/>
        <v>#DIV/0!</v>
      </c>
      <c r="G696" s="1423" t="str">
        <f>IF(F696&lt;'PlayerGrades+'!$AB$21,"F-",IF(F696&lt;'PlayerGrades+'!$AB$20,"F",IF(F696&lt;'PlayerGrades+'!$AB$19,"F+",IF(F696&lt;'PlayerGrades+'!$AB$18,"E-",IF(F696&lt;'PlayerGrades+'!$AB$17,"E",IF(F696&lt;'PlayerGrades+'!$AB$16,"E+",IF(F696&lt;'PlayerGrades+'!$AB$15,"D-",IF(F696&lt;'PlayerGrades+'!$AB$14,"D",IF(F696&lt;'PlayerGrades+'!$AB$13,"D+",IF(F696&lt;'PlayerGrades+'!$AB$12,"C-",IF(F696&lt;'PlayerGrades+'!$AB$11,"C",IF(F696&lt;'PlayerGrades+'!$AB$10,"C+",IF(F696&lt;'PlayerGrades+'!$AB$9,"B-",IF(F696&lt;'PlayerGrades+'!$AB$8,"B",IF(F696&lt;'PlayerGrades+'!$AB$7,"B+",IF(F696&lt;'PlayerGrades+'!$AB$6,"A-",IF(F696&lt;'PlayerGrades+'!$AB$5,"A",IF(F696&lt;'PlayerGrades+'!$AB$4,"A+",IF(F696&lt;'PlayerGrades+'!$AB$3,"S-",IF(F696&lt;'PlayerGrades+'!$AB$2,"S","S+"))))))))))))))))))))</f>
        <v>#DIV/0!</v>
      </c>
      <c r="H696" s="1423" t="str">
        <f t="shared" si="14"/>
        <v>#DIV/0!</v>
      </c>
      <c r="I696" s="1423" t="str">
        <f>IF(H696&lt;'PlayerGrades+'!$AC$21,"F-",IF(H696&lt;'PlayerGrades+'!$AC$20,"F",IF(H696&lt;'PlayerGrades+'!$AC$19,"F+",IF(H696&lt;'PlayerGrades+'!$AC$18,"E-",IF(H696&lt;'PlayerGrades+'!$AC$17,"E",IF(H696&lt;'PlayerGrades+'!$AC$16,"E+",IF(H696&lt;'PlayerGrades+'!$AC$15,"D-",IF(H696&lt;'PlayerGrades+'!$AC$14,"D",IF(H696&lt;'PlayerGrades+'!$AC$13,"D+",IF(H696&lt;'PlayerGrades+'!$AC$12,"C-",IF(H696&lt;'PlayerGrades+'!$AC$11,"C",IF(H696&lt;'PlayerGrades+'!$AC$10,"C+",IF(H696&lt;'PlayerGrades+'!$AC$9,"B-",IF(H696&lt;'PlayerGrades+'!$AC$8,"B",IF(H696&lt;'PlayerGrades+'!$AC$7,"B+",IF(H696&lt;'PlayerGrades+'!$AC$6,"A-",IF(H696&lt;'PlayerGrades+'!$AC$5,"A",IF(H696&lt;'PlayerGrades+'!$AC$4,"A+",IF(H696&lt;'PlayerGrades+'!$AC$3,"S-",IF(H696&lt;'PlayerGrades+'!$AC$2,"S","S+"))))))))))))))))))))</f>
        <v>#DIV/0!</v>
      </c>
      <c r="J696" s="1423" t="str">
        <f t="shared" si="15"/>
        <v>#DIV/0!</v>
      </c>
      <c r="K696" s="1423" t="str">
        <f>IF(J696&lt;'PlayerGrades+'!$AD$21,"F-",IF(J696&lt;'PlayerGrades+'!$AD$20,"F",IF(J696&lt;'PlayerGrades+'!$AD$19,"F+",IF(J696&lt;'PlayerGrades+'!$AD$18,"E-",IF(J696&lt;'PlayerGrades+'!$AD$17,"E",IF(J696&lt;'PlayerGrades+'!$AD$16,"E+",IF(J696&lt;'PlayerGrades+'!$AD$15,"D-",IF(J696&lt;'PlayerGrades+'!$AD$14,"D",IF(J696&lt;'PlayerGrades+'!$AD$13,"D+",IF(J696&lt;'PlayerGrades+'!$AD$12,"C-",IF(J696&lt;'PlayerGrades+'!$AD$11,"C",IF(J696&lt;'PlayerGrades+'!$AD$10,"C+",IF(J696&lt;'PlayerGrades+'!$AD$9,"B-",IF(J696&lt;'PlayerGrades+'!$AD$8,"B",IF(J696&lt;'PlayerGrades+'!$AD$7,"B+",IF(J696&lt;'PlayerGrades+'!$AD$6,"A-",IF(J696&lt;'PlayerGrades+'!$AD$5,"A",IF(J696&lt;'PlayerGrades+'!$AD$4,"A+",IF(J696&lt;'PlayerGrades+'!$AD$3,"S-",IF(J696&lt;'PlayerGrades+'!$AD$2,"S","S+"))))))))))))))))))))</f>
        <v>#DIV/0!</v>
      </c>
      <c r="L696" s="1176" t="str">
        <f t="shared" si="16"/>
        <v>#DIV/0!</v>
      </c>
      <c r="M696" s="992" t="str">
        <f>IF(L696&lt;'PlayerGrades+'!$AE$21,"F-",IF(L696&lt;'PlayerGrades+'!$AE$20,"F",IF(L696&lt;'PlayerGrades+'!$AE$19,"F+",IF(L696&lt;'PlayerGrades+'!$AE$18,"E-",IF(L696&lt;'PlayerGrades+'!$AE$17,"E",IF(L696&lt;'PlayerGrades+'!$AE$16,"E+",IF(L696&lt;'PlayerGrades+'!$AE$15,"D-",IF(L696&lt;'PlayerGrades+'!$AE$14,"D",IF(L696&lt;'PlayerGrades+'!$AE$13,"D+",IF(L696&lt;'PlayerGrades+'!$AE$12,"C-",IF(L696&lt;'PlayerGrades+'!$AE$11,"C",IF(L696&lt;'PlayerGrades+'!$AE$10,"C+",IF(L696&lt;'PlayerGrades+'!$AE$9,"B-",IF(L696&lt;'PlayerGrades+'!$AE$8,"B",IF(L696&lt;'PlayerGrades+'!$AE$7,"B+",IF(L696&lt;'PlayerGrades+'!$AE$6,"A-",IF(L696&lt;'PlayerGrades+'!$AE$5,"A",IF(L696&lt;'PlayerGrades+'!$AE$4,"A+",IF(L696&lt;'PlayerGrades+'!$AE$3,"S-",IF(L696&lt;'PlayerGrades+'!$AE$2,"S","S+"))))))))))))))))))))</f>
        <v>#DIV/0!</v>
      </c>
      <c r="N696" s="1423" t="str">
        <f t="shared" si="17"/>
        <v>#DIV/0!</v>
      </c>
      <c r="O696" s="1423" t="str">
        <f>IF(N696&lt;'PlayerGrades+'!$AF$21,"F-",IF(N696&lt;'PlayerGrades+'!$AF$20,"F",IF(N696&lt;'PlayerGrades+'!$AF$19,"F+",IF(N696&lt;'PlayerGrades+'!$AF$18,"E-",IF(N696&lt;'PlayerGrades+'!$AF$17,"E",IF(N696&lt;'PlayerGrades+'!$AF$16,"E+",IF(N696&lt;'PlayerGrades+'!$AF$15,"D-",IF(N696&lt;'PlayerGrades+'!$AF$14,"D",IF(N696&lt;'PlayerGrades+'!$AF$13,"D+",IF(N696&lt;'PlayerGrades+'!$AF$12,"C-",IF(N696&lt;'PlayerGrades+'!$AF$11,"C",IF(N696&lt;'PlayerGrades+'!$AF$10,"C+",IF(N696&lt;'PlayerGrades+'!$AF$9,"B-",IF(N696&lt;'PlayerGrades+'!$AF$8,"B",IF(N696&lt;'PlayerGrades+'!$AF$7,"B+",IF(N696&lt;'PlayerGrades+'!$AF$6,"A-",IF(N696&lt;'PlayerGrades+'!$AF$5,"A",IF(N696&lt;'PlayerGrades+'!$AF$4,"A+",IF(N696&lt;'PlayerGrades+'!$AF$3,"S-",IF(N696&lt;'PlayerGrades+'!$AF$2,"S","S+"))))))))))))))))))))</f>
        <v>#DIV/0!</v>
      </c>
      <c r="P696" s="1423" t="str">
        <f t="shared" si="18"/>
        <v>#DIV/0!</v>
      </c>
      <c r="Q696" s="1423" t="str">
        <f>IF(P696&lt;'PlayerGrades+'!$AG$21,"F-",IF(P696&lt;'PlayerGrades+'!$AG$20,"F",IF(P696&lt;'PlayerGrades+'!$AG$19,"F+",IF(P696&lt;'PlayerGrades+'!$AG$18,"E-",IF(P696&lt;'PlayerGrades+'!$AG$17,"E",IF(P696&lt;'PlayerGrades+'!$AG$16,"E+",IF(P696&lt;'PlayerGrades+'!$AG$15,"D-",IF(P696&lt;'PlayerGrades+'!$AG$14,"D",IF(P696&lt;'PlayerGrades+'!$AG$13,"D+",IF(P696&lt;'PlayerGrades+'!$AG$12,"C-",IF(P696&lt;'PlayerGrades+'!$AG$11,"C",IF(P696&lt;'PlayerGrades+'!$AG$10,"C+",IF(P696&lt;'PlayerGrades+'!$AG$9,"B-",IF(P696&lt;'PlayerGrades+'!$AG$8,"B",IF(P696&lt;'PlayerGrades+'!$AG$7,"B+",IF(P696&lt;'PlayerGrades+'!$AG$6,"A-",IF(P696&lt;'PlayerGrades+'!$AG$5,"A",IF(P696&lt;'PlayerGrades+'!$AG$4,"A+",IF(P696&lt;'PlayerGrades+'!$AG$3,"S-",IF(P696&lt;'PlayerGrades+'!$AG$2,"S","S+"))))))))))))))))))))</f>
        <v>#DIV/0!</v>
      </c>
      <c r="R696" s="1423" t="str">
        <f t="shared" si="19"/>
        <v>#REF!</v>
      </c>
      <c r="S696" s="1423" t="str">
        <f>IF(R696&lt;'PlayerGrades+'!$AH$21,"F-",IF(R696&lt;'PlayerGrades+'!$AH$20,"F",IF(R696&lt;'PlayerGrades+'!$AH$19,"F+",IF(R696&lt;'PlayerGrades+'!$AH$18,"E-",IF(R696&lt;'PlayerGrades+'!$AH$17,"E",IF(R696&lt;'PlayerGrades+'!$AH$16,"E+",IF(R696&lt;'PlayerGrades+'!$AH$15,"D-",IF(R696&lt;'PlayerGrades+'!$AH$14,"D",IF(R696&lt;'PlayerGrades+'!$AH$13,"D+",IF(R696&lt;'PlayerGrades+'!$AH$12,"C-",IF(R696&lt;'PlayerGrades+'!$AH$11,"C",IF(R696&lt;'PlayerGrades+'!$AH$10,"C+",IF(R696&lt;'PlayerGrades+'!$AH$9,"B-",IF(R696&lt;'PlayerGrades+'!$AH$8,"B",IF(R696&lt;'PlayerGrades+'!$AH$7,"B+",IF(R696&lt;'PlayerGrades+'!$AH$6,"A-",IF(R696&lt;'PlayerGrades+'!$AH$5,"A",IF(R696&lt;'PlayerGrades+'!$AH$4,"A+",IF(R696&lt;'PlayerGrades+'!$AH$3,"S-",IF(R696&lt;'PlayerGrades+'!$AH$2,"S","S+"))))))))))))))))))))</f>
        <v>#REF!</v>
      </c>
      <c r="T696" s="1423" t="str">
        <f t="shared" si="20"/>
        <v>#REF!</v>
      </c>
      <c r="U696" s="1423" t="str">
        <f>IF(T696&lt;'PlayerGrades+'!$AI$21,"F-",IF(T696&lt;'PlayerGrades+'!$AI$20,"F",IF(T696&lt;'PlayerGrades+'!$AI$19,"F+",IF(T696&lt;'PlayerGrades+'!$AI$18,"E-",IF(T696&lt;'PlayerGrades+'!$AI$17,"E",IF(T696&lt;'PlayerGrades+'!$AI$16,"E+",IF(T696&lt;'PlayerGrades+'!$AI$15,"D-",IF(T696&lt;'PlayerGrades+'!$AI$14,"D",IF(T696&lt;'PlayerGrades+'!$AI$13,"D+",IF(T696&lt;'PlayerGrades+'!$AI$12,"C-",IF(T696&lt;'PlayerGrades+'!$AI$11,"C",IF(T696&lt;'PlayerGrades+'!$AI$10,"C+",IF(T696&lt;'PlayerGrades+'!$AI$9,"B-",IF(T696&lt;'PlayerGrades+'!$AI$8,"B",IF(T696&lt;'PlayerGrades+'!$AI$7,"B+",IF(T696&lt;'PlayerGrades+'!$AI$6,"A-",IF(T696&lt;'PlayerGrades+'!$AI$5,"A",IF(T696&lt;'PlayerGrades+'!$AI$4,"A+",IF(T696&lt;'PlayerGrades+'!$AI$3,"S-",IF(T696&lt;'PlayerGrades+'!$AI$2,"S","S+"))))))))))))))))))))</f>
        <v>#REF!</v>
      </c>
      <c r="AC696" s="1392"/>
    </row>
    <row r="697">
      <c r="A697" s="1393"/>
      <c r="B697" s="1421" t="str">
        <f>IF(C697&lt;'PlayerGrades+'!$Y$44,"F-",IF(C697&lt;'PlayerGrades+'!$Y$43,"F",IF(C697&lt;'PlayerGrades+'!$Y$42,"F+",IF(C697&lt;'PlayerGrades+'!$Y$41,"E-",IF(C697&lt;'PlayerGrades+'!$Y$40,"E",IF(C697&lt;'PlayerGrades+'!$Y$39,"E+",IF(C697&lt;'PlayerGrades+'!$Y$38,"D-",IF(C697&lt;'PlayerGrades+'!$Y$37,"D",IF(C697&lt;'PlayerGrades+'!$Y$36,"D+",IF(C697&lt;'PlayerGrades+'!$Y$35,"C-",IF(C697&lt;'PlayerGrades+'!$Y$34,"C",IF(C697&lt;'PlayerGrades+'!$Y$33,"C+",IF(C697&lt;'PlayerGrades+'!$Y$32,"B-",IF(C697&lt;'PlayerGrades+'!$Y$31,"B",IF(C697&lt;'PlayerGrades+'!$Y$30,"B+",IF(C697&lt;'PlayerGrades+'!$Y$29,"A-",IF(C697&lt;'PlayerGrades+'!$Y$28,"A",IF(C697&lt;'PlayerGrades+'!$Y$27,"A+",IF(C697&lt;'PlayerGrades+'!$Y$26,"S-",IF(C697&lt;'PlayerGrades+'!$Y$25,"S","S+"))))))))))))))))))))</f>
        <v>#DIV/0!</v>
      </c>
      <c r="C697" s="1422" t="str">
        <f>('PlayerGrades+'!$Y$47*(VLOOKUP(E697, 'PlayerGrades+'!$X$3:$Y$23, 2, FALSE)))+('PlayerGrades+'!$Y$48*(VLOOKUP(G697, 'PlayerGrades+'!$X$3:$Y$23, 2, FALSE)))+('PlayerGrades+'!$Y$49*(VLOOKUP(I697, 'PlayerGrades+'!$X$3:$Y$23, 2, FALSE)))+('PlayerGrades+'!$Y$50*(VLOOKUP(K697, 'PlayerGrades+'!$X$3:$Y$23, 2, FALSE)))+('PlayerGrades+'!$Y$51*(VLOOKUP(M697, 'PlayerGrades+'!$X$3:$Y$23, 2, FALSE)))+('PlayerGrades+'!$Y$52*(VLOOKUP(O697, 'PlayerGrades+'!$X$3:$Y$23, 2, FALSE)))+('PlayerGrades+'!$Y$53*(VLOOKUP(Q697, 'PlayerGrades+'!$X$3:$Y$23, 2, FALSE)))+('PlayerGrades+'!$Y$54*(VLOOKUP(S697, 'PlayerGrades+'!$X$3:$Y$23, 2, FALSE)))+('PlayerGrades+'!$Y$55*(VLOOKUP(U697, 'PlayerGrades+'!$X$3:$Y$23, 2, FALSE)))</f>
        <v>#DIV/0!</v>
      </c>
      <c r="D697" s="1423" t="str">
        <f t="shared" si="12"/>
        <v>#DIV/0!</v>
      </c>
      <c r="E697" s="1423" t="str">
        <f>IF(D697&lt;'PlayerGrades+'!$AA$21,"F-",IF(D697&lt;'PlayerGrades+'!$AA$20,"F",IF(D697&lt;'PlayerGrades+'!$AA$19,"F+",IF(D697&lt;'PlayerGrades+'!$AA$18,"E-",IF(D697&lt;'PlayerGrades+'!$AA$17,"E",IF(D697&lt;'PlayerGrades+'!$AA$16,"E+",IF(D697&lt;'PlayerGrades+'!$AA$15,"D-",IF(D697&lt;'PlayerGrades+'!$AA$14,"D",IF(D697&lt;'PlayerGrades+'!$AA$13,"D+",IF(D697&lt;'PlayerGrades+'!$AA$12,"C-",IF(D697&lt;'PlayerGrades+'!$AA$11,"C",IF(D697&lt;'PlayerGrades+'!$AA$10,"C+",IF(D697&lt;'PlayerGrades+'!$AA$9,"B-",IF(D697&lt;'PlayerGrades+'!$AA$8,"B",IF(D697&lt;'PlayerGrades+'!$AA$7,"B+",IF(D697&lt;'PlayerGrades+'!$AA$6,"A-",IF(D697&lt;'PlayerGrades+'!$AA$5,"A",IF(D697&lt;'PlayerGrades+'!$AA$4,"A+",IF(D697&lt;'PlayerGrades+'!$AA$3,"S-",IF(D697&lt;'PlayerGrades+'!$AA$2,"S","S+"))))))))))))))))))))</f>
        <v>#DIV/0!</v>
      </c>
      <c r="F697" s="1423" t="str">
        <f t="shared" si="13"/>
        <v>#DIV/0!</v>
      </c>
      <c r="G697" s="1423" t="str">
        <f>IF(F697&lt;'PlayerGrades+'!$AB$21,"F-",IF(F697&lt;'PlayerGrades+'!$AB$20,"F",IF(F697&lt;'PlayerGrades+'!$AB$19,"F+",IF(F697&lt;'PlayerGrades+'!$AB$18,"E-",IF(F697&lt;'PlayerGrades+'!$AB$17,"E",IF(F697&lt;'PlayerGrades+'!$AB$16,"E+",IF(F697&lt;'PlayerGrades+'!$AB$15,"D-",IF(F697&lt;'PlayerGrades+'!$AB$14,"D",IF(F697&lt;'PlayerGrades+'!$AB$13,"D+",IF(F697&lt;'PlayerGrades+'!$AB$12,"C-",IF(F697&lt;'PlayerGrades+'!$AB$11,"C",IF(F697&lt;'PlayerGrades+'!$AB$10,"C+",IF(F697&lt;'PlayerGrades+'!$AB$9,"B-",IF(F697&lt;'PlayerGrades+'!$AB$8,"B",IF(F697&lt;'PlayerGrades+'!$AB$7,"B+",IF(F697&lt;'PlayerGrades+'!$AB$6,"A-",IF(F697&lt;'PlayerGrades+'!$AB$5,"A",IF(F697&lt;'PlayerGrades+'!$AB$4,"A+",IF(F697&lt;'PlayerGrades+'!$AB$3,"S-",IF(F697&lt;'PlayerGrades+'!$AB$2,"S","S+"))))))))))))))))))))</f>
        <v>#DIV/0!</v>
      </c>
      <c r="H697" s="1423" t="str">
        <f t="shared" si="14"/>
        <v>#DIV/0!</v>
      </c>
      <c r="I697" s="1423" t="str">
        <f>IF(H697&lt;'PlayerGrades+'!$AC$21,"F-",IF(H697&lt;'PlayerGrades+'!$AC$20,"F",IF(H697&lt;'PlayerGrades+'!$AC$19,"F+",IF(H697&lt;'PlayerGrades+'!$AC$18,"E-",IF(H697&lt;'PlayerGrades+'!$AC$17,"E",IF(H697&lt;'PlayerGrades+'!$AC$16,"E+",IF(H697&lt;'PlayerGrades+'!$AC$15,"D-",IF(H697&lt;'PlayerGrades+'!$AC$14,"D",IF(H697&lt;'PlayerGrades+'!$AC$13,"D+",IF(H697&lt;'PlayerGrades+'!$AC$12,"C-",IF(H697&lt;'PlayerGrades+'!$AC$11,"C",IF(H697&lt;'PlayerGrades+'!$AC$10,"C+",IF(H697&lt;'PlayerGrades+'!$AC$9,"B-",IF(H697&lt;'PlayerGrades+'!$AC$8,"B",IF(H697&lt;'PlayerGrades+'!$AC$7,"B+",IF(H697&lt;'PlayerGrades+'!$AC$6,"A-",IF(H697&lt;'PlayerGrades+'!$AC$5,"A",IF(H697&lt;'PlayerGrades+'!$AC$4,"A+",IF(H697&lt;'PlayerGrades+'!$AC$3,"S-",IF(H697&lt;'PlayerGrades+'!$AC$2,"S","S+"))))))))))))))))))))</f>
        <v>#DIV/0!</v>
      </c>
      <c r="J697" s="1423" t="str">
        <f t="shared" si="15"/>
        <v>#DIV/0!</v>
      </c>
      <c r="K697" s="1423" t="str">
        <f>IF(J697&lt;'PlayerGrades+'!$AD$21,"F-",IF(J697&lt;'PlayerGrades+'!$AD$20,"F",IF(J697&lt;'PlayerGrades+'!$AD$19,"F+",IF(J697&lt;'PlayerGrades+'!$AD$18,"E-",IF(J697&lt;'PlayerGrades+'!$AD$17,"E",IF(J697&lt;'PlayerGrades+'!$AD$16,"E+",IF(J697&lt;'PlayerGrades+'!$AD$15,"D-",IF(J697&lt;'PlayerGrades+'!$AD$14,"D",IF(J697&lt;'PlayerGrades+'!$AD$13,"D+",IF(J697&lt;'PlayerGrades+'!$AD$12,"C-",IF(J697&lt;'PlayerGrades+'!$AD$11,"C",IF(J697&lt;'PlayerGrades+'!$AD$10,"C+",IF(J697&lt;'PlayerGrades+'!$AD$9,"B-",IF(J697&lt;'PlayerGrades+'!$AD$8,"B",IF(J697&lt;'PlayerGrades+'!$AD$7,"B+",IF(J697&lt;'PlayerGrades+'!$AD$6,"A-",IF(J697&lt;'PlayerGrades+'!$AD$5,"A",IF(J697&lt;'PlayerGrades+'!$AD$4,"A+",IF(J697&lt;'PlayerGrades+'!$AD$3,"S-",IF(J697&lt;'PlayerGrades+'!$AD$2,"S","S+"))))))))))))))))))))</f>
        <v>#DIV/0!</v>
      </c>
      <c r="L697" s="1176" t="str">
        <f t="shared" si="16"/>
        <v>#DIV/0!</v>
      </c>
      <c r="M697" s="992" t="str">
        <f>IF(L697&lt;'PlayerGrades+'!$AE$21,"F-",IF(L697&lt;'PlayerGrades+'!$AE$20,"F",IF(L697&lt;'PlayerGrades+'!$AE$19,"F+",IF(L697&lt;'PlayerGrades+'!$AE$18,"E-",IF(L697&lt;'PlayerGrades+'!$AE$17,"E",IF(L697&lt;'PlayerGrades+'!$AE$16,"E+",IF(L697&lt;'PlayerGrades+'!$AE$15,"D-",IF(L697&lt;'PlayerGrades+'!$AE$14,"D",IF(L697&lt;'PlayerGrades+'!$AE$13,"D+",IF(L697&lt;'PlayerGrades+'!$AE$12,"C-",IF(L697&lt;'PlayerGrades+'!$AE$11,"C",IF(L697&lt;'PlayerGrades+'!$AE$10,"C+",IF(L697&lt;'PlayerGrades+'!$AE$9,"B-",IF(L697&lt;'PlayerGrades+'!$AE$8,"B",IF(L697&lt;'PlayerGrades+'!$AE$7,"B+",IF(L697&lt;'PlayerGrades+'!$AE$6,"A-",IF(L697&lt;'PlayerGrades+'!$AE$5,"A",IF(L697&lt;'PlayerGrades+'!$AE$4,"A+",IF(L697&lt;'PlayerGrades+'!$AE$3,"S-",IF(L697&lt;'PlayerGrades+'!$AE$2,"S","S+"))))))))))))))))))))</f>
        <v>#DIV/0!</v>
      </c>
      <c r="N697" s="1423" t="str">
        <f t="shared" si="17"/>
        <v>#DIV/0!</v>
      </c>
      <c r="O697" s="1423" t="str">
        <f>IF(N697&lt;'PlayerGrades+'!$AF$21,"F-",IF(N697&lt;'PlayerGrades+'!$AF$20,"F",IF(N697&lt;'PlayerGrades+'!$AF$19,"F+",IF(N697&lt;'PlayerGrades+'!$AF$18,"E-",IF(N697&lt;'PlayerGrades+'!$AF$17,"E",IF(N697&lt;'PlayerGrades+'!$AF$16,"E+",IF(N697&lt;'PlayerGrades+'!$AF$15,"D-",IF(N697&lt;'PlayerGrades+'!$AF$14,"D",IF(N697&lt;'PlayerGrades+'!$AF$13,"D+",IF(N697&lt;'PlayerGrades+'!$AF$12,"C-",IF(N697&lt;'PlayerGrades+'!$AF$11,"C",IF(N697&lt;'PlayerGrades+'!$AF$10,"C+",IF(N697&lt;'PlayerGrades+'!$AF$9,"B-",IF(N697&lt;'PlayerGrades+'!$AF$8,"B",IF(N697&lt;'PlayerGrades+'!$AF$7,"B+",IF(N697&lt;'PlayerGrades+'!$AF$6,"A-",IF(N697&lt;'PlayerGrades+'!$AF$5,"A",IF(N697&lt;'PlayerGrades+'!$AF$4,"A+",IF(N697&lt;'PlayerGrades+'!$AF$3,"S-",IF(N697&lt;'PlayerGrades+'!$AF$2,"S","S+"))))))))))))))))))))</f>
        <v>#DIV/0!</v>
      </c>
      <c r="P697" s="1423" t="str">
        <f t="shared" si="18"/>
        <v>#DIV/0!</v>
      </c>
      <c r="Q697" s="1423" t="str">
        <f>IF(P697&lt;'PlayerGrades+'!$AG$21,"F-",IF(P697&lt;'PlayerGrades+'!$AG$20,"F",IF(P697&lt;'PlayerGrades+'!$AG$19,"F+",IF(P697&lt;'PlayerGrades+'!$AG$18,"E-",IF(P697&lt;'PlayerGrades+'!$AG$17,"E",IF(P697&lt;'PlayerGrades+'!$AG$16,"E+",IF(P697&lt;'PlayerGrades+'!$AG$15,"D-",IF(P697&lt;'PlayerGrades+'!$AG$14,"D",IF(P697&lt;'PlayerGrades+'!$AG$13,"D+",IF(P697&lt;'PlayerGrades+'!$AG$12,"C-",IF(P697&lt;'PlayerGrades+'!$AG$11,"C",IF(P697&lt;'PlayerGrades+'!$AG$10,"C+",IF(P697&lt;'PlayerGrades+'!$AG$9,"B-",IF(P697&lt;'PlayerGrades+'!$AG$8,"B",IF(P697&lt;'PlayerGrades+'!$AG$7,"B+",IF(P697&lt;'PlayerGrades+'!$AG$6,"A-",IF(P697&lt;'PlayerGrades+'!$AG$5,"A",IF(P697&lt;'PlayerGrades+'!$AG$4,"A+",IF(P697&lt;'PlayerGrades+'!$AG$3,"S-",IF(P697&lt;'PlayerGrades+'!$AG$2,"S","S+"))))))))))))))))))))</f>
        <v>#DIV/0!</v>
      </c>
      <c r="R697" s="1423" t="str">
        <f t="shared" si="19"/>
        <v>#REF!</v>
      </c>
      <c r="S697" s="1423" t="str">
        <f>IF(R697&lt;'PlayerGrades+'!$AH$21,"F-",IF(R697&lt;'PlayerGrades+'!$AH$20,"F",IF(R697&lt;'PlayerGrades+'!$AH$19,"F+",IF(R697&lt;'PlayerGrades+'!$AH$18,"E-",IF(R697&lt;'PlayerGrades+'!$AH$17,"E",IF(R697&lt;'PlayerGrades+'!$AH$16,"E+",IF(R697&lt;'PlayerGrades+'!$AH$15,"D-",IF(R697&lt;'PlayerGrades+'!$AH$14,"D",IF(R697&lt;'PlayerGrades+'!$AH$13,"D+",IF(R697&lt;'PlayerGrades+'!$AH$12,"C-",IF(R697&lt;'PlayerGrades+'!$AH$11,"C",IF(R697&lt;'PlayerGrades+'!$AH$10,"C+",IF(R697&lt;'PlayerGrades+'!$AH$9,"B-",IF(R697&lt;'PlayerGrades+'!$AH$8,"B",IF(R697&lt;'PlayerGrades+'!$AH$7,"B+",IF(R697&lt;'PlayerGrades+'!$AH$6,"A-",IF(R697&lt;'PlayerGrades+'!$AH$5,"A",IF(R697&lt;'PlayerGrades+'!$AH$4,"A+",IF(R697&lt;'PlayerGrades+'!$AH$3,"S-",IF(R697&lt;'PlayerGrades+'!$AH$2,"S","S+"))))))))))))))))))))</f>
        <v>#REF!</v>
      </c>
      <c r="T697" s="1423" t="str">
        <f t="shared" si="20"/>
        <v>#REF!</v>
      </c>
      <c r="U697" s="1423" t="str">
        <f>IF(T697&lt;'PlayerGrades+'!$AI$21,"F-",IF(T697&lt;'PlayerGrades+'!$AI$20,"F",IF(T697&lt;'PlayerGrades+'!$AI$19,"F+",IF(T697&lt;'PlayerGrades+'!$AI$18,"E-",IF(T697&lt;'PlayerGrades+'!$AI$17,"E",IF(T697&lt;'PlayerGrades+'!$AI$16,"E+",IF(T697&lt;'PlayerGrades+'!$AI$15,"D-",IF(T697&lt;'PlayerGrades+'!$AI$14,"D",IF(T697&lt;'PlayerGrades+'!$AI$13,"D+",IF(T697&lt;'PlayerGrades+'!$AI$12,"C-",IF(T697&lt;'PlayerGrades+'!$AI$11,"C",IF(T697&lt;'PlayerGrades+'!$AI$10,"C+",IF(T697&lt;'PlayerGrades+'!$AI$9,"B-",IF(T697&lt;'PlayerGrades+'!$AI$8,"B",IF(T697&lt;'PlayerGrades+'!$AI$7,"B+",IF(T697&lt;'PlayerGrades+'!$AI$6,"A-",IF(T697&lt;'PlayerGrades+'!$AI$5,"A",IF(T697&lt;'PlayerGrades+'!$AI$4,"A+",IF(T697&lt;'PlayerGrades+'!$AI$3,"S-",IF(T697&lt;'PlayerGrades+'!$AI$2,"S","S+"))))))))))))))))))))</f>
        <v>#REF!</v>
      </c>
      <c r="V697" s="1386"/>
      <c r="W697" s="1386"/>
      <c r="X697" s="1386"/>
      <c r="Y697" s="1386"/>
      <c r="Z697" s="1386"/>
      <c r="AA697" s="1386"/>
      <c r="AB697" s="1386"/>
      <c r="AC697" s="1397"/>
      <c r="AD697" s="1386"/>
      <c r="AE697" s="1386"/>
      <c r="AF697" s="1386"/>
      <c r="AG697" s="1386"/>
      <c r="AH697" s="1386"/>
      <c r="AI697" s="1386"/>
      <c r="AJ697" s="1386"/>
      <c r="AK697" s="1386"/>
      <c r="AL697" s="1386"/>
      <c r="AM697" s="1386"/>
      <c r="AN697" s="1386"/>
      <c r="AO697" s="1386"/>
      <c r="AP697" s="1386"/>
      <c r="AQ697" s="1386"/>
      <c r="AR697" s="1386"/>
      <c r="AS697" s="1386"/>
      <c r="AT697" s="1386"/>
      <c r="AU697" s="1386"/>
      <c r="AV697" s="1386"/>
      <c r="AW697" s="1386"/>
      <c r="AX697" s="1386"/>
      <c r="AY697" s="1386"/>
      <c r="AZ697" s="1386"/>
    </row>
    <row r="698">
      <c r="B698" s="1421" t="str">
        <f>IF(C698&lt;'PlayerGrades+'!$Y$44,"F-",IF(C698&lt;'PlayerGrades+'!$Y$43,"F",IF(C698&lt;'PlayerGrades+'!$Y$42,"F+",IF(C698&lt;'PlayerGrades+'!$Y$41,"E-",IF(C698&lt;'PlayerGrades+'!$Y$40,"E",IF(C698&lt;'PlayerGrades+'!$Y$39,"E+",IF(C698&lt;'PlayerGrades+'!$Y$38,"D-",IF(C698&lt;'PlayerGrades+'!$Y$37,"D",IF(C698&lt;'PlayerGrades+'!$Y$36,"D+",IF(C698&lt;'PlayerGrades+'!$Y$35,"C-",IF(C698&lt;'PlayerGrades+'!$Y$34,"C",IF(C698&lt;'PlayerGrades+'!$Y$33,"C+",IF(C698&lt;'PlayerGrades+'!$Y$32,"B-",IF(C698&lt;'PlayerGrades+'!$Y$31,"B",IF(C698&lt;'PlayerGrades+'!$Y$30,"B+",IF(C698&lt;'PlayerGrades+'!$Y$29,"A-",IF(C698&lt;'PlayerGrades+'!$Y$28,"A",IF(C698&lt;'PlayerGrades+'!$Y$27,"A+",IF(C698&lt;'PlayerGrades+'!$Y$26,"S-",IF(C698&lt;'PlayerGrades+'!$Y$25,"S","S+"))))))))))))))))))))</f>
        <v>#DIV/0!</v>
      </c>
      <c r="C698" s="1422" t="str">
        <f>('PlayerGrades+'!$Y$47*(VLOOKUP(E698, 'PlayerGrades+'!$X$3:$Y$23, 2, FALSE)))+('PlayerGrades+'!$Y$48*(VLOOKUP(G698, 'PlayerGrades+'!$X$3:$Y$23, 2, FALSE)))+('PlayerGrades+'!$Y$49*(VLOOKUP(I698, 'PlayerGrades+'!$X$3:$Y$23, 2, FALSE)))+('PlayerGrades+'!$Y$50*(VLOOKUP(K698, 'PlayerGrades+'!$X$3:$Y$23, 2, FALSE)))+('PlayerGrades+'!$Y$51*(VLOOKUP(M698, 'PlayerGrades+'!$X$3:$Y$23, 2, FALSE)))+('PlayerGrades+'!$Y$52*(VLOOKUP(O698, 'PlayerGrades+'!$X$3:$Y$23, 2, FALSE)))+('PlayerGrades+'!$Y$53*(VLOOKUP(Q698, 'PlayerGrades+'!$X$3:$Y$23, 2, FALSE)))+('PlayerGrades+'!$Y$54*(VLOOKUP(S698, 'PlayerGrades+'!$X$3:$Y$23, 2, FALSE)))+('PlayerGrades+'!$Y$55*(VLOOKUP(U698, 'PlayerGrades+'!$X$3:$Y$23, 2, FALSE)))</f>
        <v>#DIV/0!</v>
      </c>
      <c r="D698" s="1423" t="str">
        <f t="shared" si="12"/>
        <v>#DIV/0!</v>
      </c>
      <c r="E698" s="1423" t="str">
        <f>IF(D698&lt;'PlayerGrades+'!$AA$21,"F-",IF(D698&lt;'PlayerGrades+'!$AA$20,"F",IF(D698&lt;'PlayerGrades+'!$AA$19,"F+",IF(D698&lt;'PlayerGrades+'!$AA$18,"E-",IF(D698&lt;'PlayerGrades+'!$AA$17,"E",IF(D698&lt;'PlayerGrades+'!$AA$16,"E+",IF(D698&lt;'PlayerGrades+'!$AA$15,"D-",IF(D698&lt;'PlayerGrades+'!$AA$14,"D",IF(D698&lt;'PlayerGrades+'!$AA$13,"D+",IF(D698&lt;'PlayerGrades+'!$AA$12,"C-",IF(D698&lt;'PlayerGrades+'!$AA$11,"C",IF(D698&lt;'PlayerGrades+'!$AA$10,"C+",IF(D698&lt;'PlayerGrades+'!$AA$9,"B-",IF(D698&lt;'PlayerGrades+'!$AA$8,"B",IF(D698&lt;'PlayerGrades+'!$AA$7,"B+",IF(D698&lt;'PlayerGrades+'!$AA$6,"A-",IF(D698&lt;'PlayerGrades+'!$AA$5,"A",IF(D698&lt;'PlayerGrades+'!$AA$4,"A+",IF(D698&lt;'PlayerGrades+'!$AA$3,"S-",IF(D698&lt;'PlayerGrades+'!$AA$2,"S","S+"))))))))))))))))))))</f>
        <v>#DIV/0!</v>
      </c>
      <c r="F698" s="1423" t="str">
        <f t="shared" si="13"/>
        <v>#DIV/0!</v>
      </c>
      <c r="G698" s="1423" t="str">
        <f>IF(F698&lt;'PlayerGrades+'!$AB$21,"F-",IF(F698&lt;'PlayerGrades+'!$AB$20,"F",IF(F698&lt;'PlayerGrades+'!$AB$19,"F+",IF(F698&lt;'PlayerGrades+'!$AB$18,"E-",IF(F698&lt;'PlayerGrades+'!$AB$17,"E",IF(F698&lt;'PlayerGrades+'!$AB$16,"E+",IF(F698&lt;'PlayerGrades+'!$AB$15,"D-",IF(F698&lt;'PlayerGrades+'!$AB$14,"D",IF(F698&lt;'PlayerGrades+'!$AB$13,"D+",IF(F698&lt;'PlayerGrades+'!$AB$12,"C-",IF(F698&lt;'PlayerGrades+'!$AB$11,"C",IF(F698&lt;'PlayerGrades+'!$AB$10,"C+",IF(F698&lt;'PlayerGrades+'!$AB$9,"B-",IF(F698&lt;'PlayerGrades+'!$AB$8,"B",IF(F698&lt;'PlayerGrades+'!$AB$7,"B+",IF(F698&lt;'PlayerGrades+'!$AB$6,"A-",IF(F698&lt;'PlayerGrades+'!$AB$5,"A",IF(F698&lt;'PlayerGrades+'!$AB$4,"A+",IF(F698&lt;'PlayerGrades+'!$AB$3,"S-",IF(F698&lt;'PlayerGrades+'!$AB$2,"S","S+"))))))))))))))))))))</f>
        <v>#DIV/0!</v>
      </c>
      <c r="H698" s="1423" t="str">
        <f t="shared" si="14"/>
        <v>#DIV/0!</v>
      </c>
      <c r="I698" s="1423" t="str">
        <f>IF(H698&lt;'PlayerGrades+'!$AC$21,"F-",IF(H698&lt;'PlayerGrades+'!$AC$20,"F",IF(H698&lt;'PlayerGrades+'!$AC$19,"F+",IF(H698&lt;'PlayerGrades+'!$AC$18,"E-",IF(H698&lt;'PlayerGrades+'!$AC$17,"E",IF(H698&lt;'PlayerGrades+'!$AC$16,"E+",IF(H698&lt;'PlayerGrades+'!$AC$15,"D-",IF(H698&lt;'PlayerGrades+'!$AC$14,"D",IF(H698&lt;'PlayerGrades+'!$AC$13,"D+",IF(H698&lt;'PlayerGrades+'!$AC$12,"C-",IF(H698&lt;'PlayerGrades+'!$AC$11,"C",IF(H698&lt;'PlayerGrades+'!$AC$10,"C+",IF(H698&lt;'PlayerGrades+'!$AC$9,"B-",IF(H698&lt;'PlayerGrades+'!$AC$8,"B",IF(H698&lt;'PlayerGrades+'!$AC$7,"B+",IF(H698&lt;'PlayerGrades+'!$AC$6,"A-",IF(H698&lt;'PlayerGrades+'!$AC$5,"A",IF(H698&lt;'PlayerGrades+'!$AC$4,"A+",IF(H698&lt;'PlayerGrades+'!$AC$3,"S-",IF(H698&lt;'PlayerGrades+'!$AC$2,"S","S+"))))))))))))))))))))</f>
        <v>#DIV/0!</v>
      </c>
      <c r="J698" s="1423" t="str">
        <f t="shared" si="15"/>
        <v>#DIV/0!</v>
      </c>
      <c r="K698" s="1423" t="str">
        <f>IF(J698&lt;'PlayerGrades+'!$AD$21,"F-",IF(J698&lt;'PlayerGrades+'!$AD$20,"F",IF(J698&lt;'PlayerGrades+'!$AD$19,"F+",IF(J698&lt;'PlayerGrades+'!$AD$18,"E-",IF(J698&lt;'PlayerGrades+'!$AD$17,"E",IF(J698&lt;'PlayerGrades+'!$AD$16,"E+",IF(J698&lt;'PlayerGrades+'!$AD$15,"D-",IF(J698&lt;'PlayerGrades+'!$AD$14,"D",IF(J698&lt;'PlayerGrades+'!$AD$13,"D+",IF(J698&lt;'PlayerGrades+'!$AD$12,"C-",IF(J698&lt;'PlayerGrades+'!$AD$11,"C",IF(J698&lt;'PlayerGrades+'!$AD$10,"C+",IF(J698&lt;'PlayerGrades+'!$AD$9,"B-",IF(J698&lt;'PlayerGrades+'!$AD$8,"B",IF(J698&lt;'PlayerGrades+'!$AD$7,"B+",IF(J698&lt;'PlayerGrades+'!$AD$6,"A-",IF(J698&lt;'PlayerGrades+'!$AD$5,"A",IF(J698&lt;'PlayerGrades+'!$AD$4,"A+",IF(J698&lt;'PlayerGrades+'!$AD$3,"S-",IF(J698&lt;'PlayerGrades+'!$AD$2,"S","S+"))))))))))))))))))))</f>
        <v>#DIV/0!</v>
      </c>
      <c r="L698" s="1176" t="str">
        <f t="shared" si="16"/>
        <v>#DIV/0!</v>
      </c>
      <c r="M698" s="992" t="str">
        <f>IF(L698&lt;'PlayerGrades+'!$AE$21,"F-",IF(L698&lt;'PlayerGrades+'!$AE$20,"F",IF(L698&lt;'PlayerGrades+'!$AE$19,"F+",IF(L698&lt;'PlayerGrades+'!$AE$18,"E-",IF(L698&lt;'PlayerGrades+'!$AE$17,"E",IF(L698&lt;'PlayerGrades+'!$AE$16,"E+",IF(L698&lt;'PlayerGrades+'!$AE$15,"D-",IF(L698&lt;'PlayerGrades+'!$AE$14,"D",IF(L698&lt;'PlayerGrades+'!$AE$13,"D+",IF(L698&lt;'PlayerGrades+'!$AE$12,"C-",IF(L698&lt;'PlayerGrades+'!$AE$11,"C",IF(L698&lt;'PlayerGrades+'!$AE$10,"C+",IF(L698&lt;'PlayerGrades+'!$AE$9,"B-",IF(L698&lt;'PlayerGrades+'!$AE$8,"B",IF(L698&lt;'PlayerGrades+'!$AE$7,"B+",IF(L698&lt;'PlayerGrades+'!$AE$6,"A-",IF(L698&lt;'PlayerGrades+'!$AE$5,"A",IF(L698&lt;'PlayerGrades+'!$AE$4,"A+",IF(L698&lt;'PlayerGrades+'!$AE$3,"S-",IF(L698&lt;'PlayerGrades+'!$AE$2,"S","S+"))))))))))))))))))))</f>
        <v>#DIV/0!</v>
      </c>
      <c r="N698" s="1423" t="str">
        <f t="shared" si="17"/>
        <v>#DIV/0!</v>
      </c>
      <c r="O698" s="1423" t="str">
        <f>IF(N698&lt;'PlayerGrades+'!$AF$21,"F-",IF(N698&lt;'PlayerGrades+'!$AF$20,"F",IF(N698&lt;'PlayerGrades+'!$AF$19,"F+",IF(N698&lt;'PlayerGrades+'!$AF$18,"E-",IF(N698&lt;'PlayerGrades+'!$AF$17,"E",IF(N698&lt;'PlayerGrades+'!$AF$16,"E+",IF(N698&lt;'PlayerGrades+'!$AF$15,"D-",IF(N698&lt;'PlayerGrades+'!$AF$14,"D",IF(N698&lt;'PlayerGrades+'!$AF$13,"D+",IF(N698&lt;'PlayerGrades+'!$AF$12,"C-",IF(N698&lt;'PlayerGrades+'!$AF$11,"C",IF(N698&lt;'PlayerGrades+'!$AF$10,"C+",IF(N698&lt;'PlayerGrades+'!$AF$9,"B-",IF(N698&lt;'PlayerGrades+'!$AF$8,"B",IF(N698&lt;'PlayerGrades+'!$AF$7,"B+",IF(N698&lt;'PlayerGrades+'!$AF$6,"A-",IF(N698&lt;'PlayerGrades+'!$AF$5,"A",IF(N698&lt;'PlayerGrades+'!$AF$4,"A+",IF(N698&lt;'PlayerGrades+'!$AF$3,"S-",IF(N698&lt;'PlayerGrades+'!$AF$2,"S","S+"))))))))))))))))))))</f>
        <v>#DIV/0!</v>
      </c>
      <c r="P698" s="1423" t="str">
        <f t="shared" si="18"/>
        <v>#DIV/0!</v>
      </c>
      <c r="Q698" s="1423" t="str">
        <f>IF(P698&lt;'PlayerGrades+'!$AG$21,"F-",IF(P698&lt;'PlayerGrades+'!$AG$20,"F",IF(P698&lt;'PlayerGrades+'!$AG$19,"F+",IF(P698&lt;'PlayerGrades+'!$AG$18,"E-",IF(P698&lt;'PlayerGrades+'!$AG$17,"E",IF(P698&lt;'PlayerGrades+'!$AG$16,"E+",IF(P698&lt;'PlayerGrades+'!$AG$15,"D-",IF(P698&lt;'PlayerGrades+'!$AG$14,"D",IF(P698&lt;'PlayerGrades+'!$AG$13,"D+",IF(P698&lt;'PlayerGrades+'!$AG$12,"C-",IF(P698&lt;'PlayerGrades+'!$AG$11,"C",IF(P698&lt;'PlayerGrades+'!$AG$10,"C+",IF(P698&lt;'PlayerGrades+'!$AG$9,"B-",IF(P698&lt;'PlayerGrades+'!$AG$8,"B",IF(P698&lt;'PlayerGrades+'!$AG$7,"B+",IF(P698&lt;'PlayerGrades+'!$AG$6,"A-",IF(P698&lt;'PlayerGrades+'!$AG$5,"A",IF(P698&lt;'PlayerGrades+'!$AG$4,"A+",IF(P698&lt;'PlayerGrades+'!$AG$3,"S-",IF(P698&lt;'PlayerGrades+'!$AG$2,"S","S+"))))))))))))))))))))</f>
        <v>#DIV/0!</v>
      </c>
      <c r="R698" s="1423" t="str">
        <f t="shared" si="19"/>
        <v>#REF!</v>
      </c>
      <c r="S698" s="1423" t="str">
        <f>IF(R698&lt;'PlayerGrades+'!$AH$21,"F-",IF(R698&lt;'PlayerGrades+'!$AH$20,"F",IF(R698&lt;'PlayerGrades+'!$AH$19,"F+",IF(R698&lt;'PlayerGrades+'!$AH$18,"E-",IF(R698&lt;'PlayerGrades+'!$AH$17,"E",IF(R698&lt;'PlayerGrades+'!$AH$16,"E+",IF(R698&lt;'PlayerGrades+'!$AH$15,"D-",IF(R698&lt;'PlayerGrades+'!$AH$14,"D",IF(R698&lt;'PlayerGrades+'!$AH$13,"D+",IF(R698&lt;'PlayerGrades+'!$AH$12,"C-",IF(R698&lt;'PlayerGrades+'!$AH$11,"C",IF(R698&lt;'PlayerGrades+'!$AH$10,"C+",IF(R698&lt;'PlayerGrades+'!$AH$9,"B-",IF(R698&lt;'PlayerGrades+'!$AH$8,"B",IF(R698&lt;'PlayerGrades+'!$AH$7,"B+",IF(R698&lt;'PlayerGrades+'!$AH$6,"A-",IF(R698&lt;'PlayerGrades+'!$AH$5,"A",IF(R698&lt;'PlayerGrades+'!$AH$4,"A+",IF(R698&lt;'PlayerGrades+'!$AH$3,"S-",IF(R698&lt;'PlayerGrades+'!$AH$2,"S","S+"))))))))))))))))))))</f>
        <v>#REF!</v>
      </c>
      <c r="T698" s="1423" t="str">
        <f t="shared" si="20"/>
        <v>#REF!</v>
      </c>
      <c r="U698" s="1423" t="str">
        <f>IF(T698&lt;'PlayerGrades+'!$AI$21,"F-",IF(T698&lt;'PlayerGrades+'!$AI$20,"F",IF(T698&lt;'PlayerGrades+'!$AI$19,"F+",IF(T698&lt;'PlayerGrades+'!$AI$18,"E-",IF(T698&lt;'PlayerGrades+'!$AI$17,"E",IF(T698&lt;'PlayerGrades+'!$AI$16,"E+",IF(T698&lt;'PlayerGrades+'!$AI$15,"D-",IF(T698&lt;'PlayerGrades+'!$AI$14,"D",IF(T698&lt;'PlayerGrades+'!$AI$13,"D+",IF(T698&lt;'PlayerGrades+'!$AI$12,"C-",IF(T698&lt;'PlayerGrades+'!$AI$11,"C",IF(T698&lt;'PlayerGrades+'!$AI$10,"C+",IF(T698&lt;'PlayerGrades+'!$AI$9,"B-",IF(T698&lt;'PlayerGrades+'!$AI$8,"B",IF(T698&lt;'PlayerGrades+'!$AI$7,"B+",IF(T698&lt;'PlayerGrades+'!$AI$6,"A-",IF(T698&lt;'PlayerGrades+'!$AI$5,"A",IF(T698&lt;'PlayerGrades+'!$AI$4,"A+",IF(T698&lt;'PlayerGrades+'!$AI$3,"S-",IF(T698&lt;'PlayerGrades+'!$AI$2,"S","S+"))))))))))))))))))))</f>
        <v>#REF!</v>
      </c>
      <c r="AC698" s="1392"/>
    </row>
    <row r="699">
      <c r="B699" s="1421" t="str">
        <f>IF(C699&lt;'PlayerGrades+'!$Y$44,"F-",IF(C699&lt;'PlayerGrades+'!$Y$43,"F",IF(C699&lt;'PlayerGrades+'!$Y$42,"F+",IF(C699&lt;'PlayerGrades+'!$Y$41,"E-",IF(C699&lt;'PlayerGrades+'!$Y$40,"E",IF(C699&lt;'PlayerGrades+'!$Y$39,"E+",IF(C699&lt;'PlayerGrades+'!$Y$38,"D-",IF(C699&lt;'PlayerGrades+'!$Y$37,"D",IF(C699&lt;'PlayerGrades+'!$Y$36,"D+",IF(C699&lt;'PlayerGrades+'!$Y$35,"C-",IF(C699&lt;'PlayerGrades+'!$Y$34,"C",IF(C699&lt;'PlayerGrades+'!$Y$33,"C+",IF(C699&lt;'PlayerGrades+'!$Y$32,"B-",IF(C699&lt;'PlayerGrades+'!$Y$31,"B",IF(C699&lt;'PlayerGrades+'!$Y$30,"B+",IF(C699&lt;'PlayerGrades+'!$Y$29,"A-",IF(C699&lt;'PlayerGrades+'!$Y$28,"A",IF(C699&lt;'PlayerGrades+'!$Y$27,"A+",IF(C699&lt;'PlayerGrades+'!$Y$26,"S-",IF(C699&lt;'PlayerGrades+'!$Y$25,"S","S+"))))))))))))))))))))</f>
        <v>#DIV/0!</v>
      </c>
      <c r="C699" s="1422" t="str">
        <f>('PlayerGrades+'!$Y$47*(VLOOKUP(E699, 'PlayerGrades+'!$X$3:$Y$23, 2, FALSE)))+('PlayerGrades+'!$Y$48*(VLOOKUP(G699, 'PlayerGrades+'!$X$3:$Y$23, 2, FALSE)))+('PlayerGrades+'!$Y$49*(VLOOKUP(I699, 'PlayerGrades+'!$X$3:$Y$23, 2, FALSE)))+('PlayerGrades+'!$Y$50*(VLOOKUP(K699, 'PlayerGrades+'!$X$3:$Y$23, 2, FALSE)))+('PlayerGrades+'!$Y$51*(VLOOKUP(M699, 'PlayerGrades+'!$X$3:$Y$23, 2, FALSE)))+('PlayerGrades+'!$Y$52*(VLOOKUP(O699, 'PlayerGrades+'!$X$3:$Y$23, 2, FALSE)))+('PlayerGrades+'!$Y$53*(VLOOKUP(Q699, 'PlayerGrades+'!$X$3:$Y$23, 2, FALSE)))+('PlayerGrades+'!$Y$54*(VLOOKUP(S699, 'PlayerGrades+'!$X$3:$Y$23, 2, FALSE)))+('PlayerGrades+'!$Y$55*(VLOOKUP(U699, 'PlayerGrades+'!$X$3:$Y$23, 2, FALSE)))</f>
        <v>#DIV/0!</v>
      </c>
      <c r="D699" s="1423" t="str">
        <f t="shared" si="12"/>
        <v>#DIV/0!</v>
      </c>
      <c r="E699" s="1423" t="str">
        <f>IF(D699&lt;'PlayerGrades+'!$AA$21,"F-",IF(D699&lt;'PlayerGrades+'!$AA$20,"F",IF(D699&lt;'PlayerGrades+'!$AA$19,"F+",IF(D699&lt;'PlayerGrades+'!$AA$18,"E-",IF(D699&lt;'PlayerGrades+'!$AA$17,"E",IF(D699&lt;'PlayerGrades+'!$AA$16,"E+",IF(D699&lt;'PlayerGrades+'!$AA$15,"D-",IF(D699&lt;'PlayerGrades+'!$AA$14,"D",IF(D699&lt;'PlayerGrades+'!$AA$13,"D+",IF(D699&lt;'PlayerGrades+'!$AA$12,"C-",IF(D699&lt;'PlayerGrades+'!$AA$11,"C",IF(D699&lt;'PlayerGrades+'!$AA$10,"C+",IF(D699&lt;'PlayerGrades+'!$AA$9,"B-",IF(D699&lt;'PlayerGrades+'!$AA$8,"B",IF(D699&lt;'PlayerGrades+'!$AA$7,"B+",IF(D699&lt;'PlayerGrades+'!$AA$6,"A-",IF(D699&lt;'PlayerGrades+'!$AA$5,"A",IF(D699&lt;'PlayerGrades+'!$AA$4,"A+",IF(D699&lt;'PlayerGrades+'!$AA$3,"S-",IF(D699&lt;'PlayerGrades+'!$AA$2,"S","S+"))))))))))))))))))))</f>
        <v>#DIV/0!</v>
      </c>
      <c r="F699" s="1423" t="str">
        <f t="shared" si="13"/>
        <v>#DIV/0!</v>
      </c>
      <c r="G699" s="1423" t="str">
        <f>IF(F699&lt;'PlayerGrades+'!$AB$21,"F-",IF(F699&lt;'PlayerGrades+'!$AB$20,"F",IF(F699&lt;'PlayerGrades+'!$AB$19,"F+",IF(F699&lt;'PlayerGrades+'!$AB$18,"E-",IF(F699&lt;'PlayerGrades+'!$AB$17,"E",IF(F699&lt;'PlayerGrades+'!$AB$16,"E+",IF(F699&lt;'PlayerGrades+'!$AB$15,"D-",IF(F699&lt;'PlayerGrades+'!$AB$14,"D",IF(F699&lt;'PlayerGrades+'!$AB$13,"D+",IF(F699&lt;'PlayerGrades+'!$AB$12,"C-",IF(F699&lt;'PlayerGrades+'!$AB$11,"C",IF(F699&lt;'PlayerGrades+'!$AB$10,"C+",IF(F699&lt;'PlayerGrades+'!$AB$9,"B-",IF(F699&lt;'PlayerGrades+'!$AB$8,"B",IF(F699&lt;'PlayerGrades+'!$AB$7,"B+",IF(F699&lt;'PlayerGrades+'!$AB$6,"A-",IF(F699&lt;'PlayerGrades+'!$AB$5,"A",IF(F699&lt;'PlayerGrades+'!$AB$4,"A+",IF(F699&lt;'PlayerGrades+'!$AB$3,"S-",IF(F699&lt;'PlayerGrades+'!$AB$2,"S","S+"))))))))))))))))))))</f>
        <v>#DIV/0!</v>
      </c>
      <c r="H699" s="1423" t="str">
        <f t="shared" si="14"/>
        <v>#DIV/0!</v>
      </c>
      <c r="I699" s="1423" t="str">
        <f>IF(H699&lt;'PlayerGrades+'!$AC$21,"F-",IF(H699&lt;'PlayerGrades+'!$AC$20,"F",IF(H699&lt;'PlayerGrades+'!$AC$19,"F+",IF(H699&lt;'PlayerGrades+'!$AC$18,"E-",IF(H699&lt;'PlayerGrades+'!$AC$17,"E",IF(H699&lt;'PlayerGrades+'!$AC$16,"E+",IF(H699&lt;'PlayerGrades+'!$AC$15,"D-",IF(H699&lt;'PlayerGrades+'!$AC$14,"D",IF(H699&lt;'PlayerGrades+'!$AC$13,"D+",IF(H699&lt;'PlayerGrades+'!$AC$12,"C-",IF(H699&lt;'PlayerGrades+'!$AC$11,"C",IF(H699&lt;'PlayerGrades+'!$AC$10,"C+",IF(H699&lt;'PlayerGrades+'!$AC$9,"B-",IF(H699&lt;'PlayerGrades+'!$AC$8,"B",IF(H699&lt;'PlayerGrades+'!$AC$7,"B+",IF(H699&lt;'PlayerGrades+'!$AC$6,"A-",IF(H699&lt;'PlayerGrades+'!$AC$5,"A",IF(H699&lt;'PlayerGrades+'!$AC$4,"A+",IF(H699&lt;'PlayerGrades+'!$AC$3,"S-",IF(H699&lt;'PlayerGrades+'!$AC$2,"S","S+"))))))))))))))))))))</f>
        <v>#DIV/0!</v>
      </c>
      <c r="J699" s="1423" t="str">
        <f t="shared" si="15"/>
        <v>#DIV/0!</v>
      </c>
      <c r="K699" s="1423" t="str">
        <f>IF(J699&lt;'PlayerGrades+'!$AD$21,"F-",IF(J699&lt;'PlayerGrades+'!$AD$20,"F",IF(J699&lt;'PlayerGrades+'!$AD$19,"F+",IF(J699&lt;'PlayerGrades+'!$AD$18,"E-",IF(J699&lt;'PlayerGrades+'!$AD$17,"E",IF(J699&lt;'PlayerGrades+'!$AD$16,"E+",IF(J699&lt;'PlayerGrades+'!$AD$15,"D-",IF(J699&lt;'PlayerGrades+'!$AD$14,"D",IF(J699&lt;'PlayerGrades+'!$AD$13,"D+",IF(J699&lt;'PlayerGrades+'!$AD$12,"C-",IF(J699&lt;'PlayerGrades+'!$AD$11,"C",IF(J699&lt;'PlayerGrades+'!$AD$10,"C+",IF(J699&lt;'PlayerGrades+'!$AD$9,"B-",IF(J699&lt;'PlayerGrades+'!$AD$8,"B",IF(J699&lt;'PlayerGrades+'!$AD$7,"B+",IF(J699&lt;'PlayerGrades+'!$AD$6,"A-",IF(J699&lt;'PlayerGrades+'!$AD$5,"A",IF(J699&lt;'PlayerGrades+'!$AD$4,"A+",IF(J699&lt;'PlayerGrades+'!$AD$3,"S-",IF(J699&lt;'PlayerGrades+'!$AD$2,"S","S+"))))))))))))))))))))</f>
        <v>#DIV/0!</v>
      </c>
      <c r="L699" s="1176" t="str">
        <f t="shared" si="16"/>
        <v>#DIV/0!</v>
      </c>
      <c r="M699" s="992" t="str">
        <f>IF(L699&lt;'PlayerGrades+'!$AE$21,"F-",IF(L699&lt;'PlayerGrades+'!$AE$20,"F",IF(L699&lt;'PlayerGrades+'!$AE$19,"F+",IF(L699&lt;'PlayerGrades+'!$AE$18,"E-",IF(L699&lt;'PlayerGrades+'!$AE$17,"E",IF(L699&lt;'PlayerGrades+'!$AE$16,"E+",IF(L699&lt;'PlayerGrades+'!$AE$15,"D-",IF(L699&lt;'PlayerGrades+'!$AE$14,"D",IF(L699&lt;'PlayerGrades+'!$AE$13,"D+",IF(L699&lt;'PlayerGrades+'!$AE$12,"C-",IF(L699&lt;'PlayerGrades+'!$AE$11,"C",IF(L699&lt;'PlayerGrades+'!$AE$10,"C+",IF(L699&lt;'PlayerGrades+'!$AE$9,"B-",IF(L699&lt;'PlayerGrades+'!$AE$8,"B",IF(L699&lt;'PlayerGrades+'!$AE$7,"B+",IF(L699&lt;'PlayerGrades+'!$AE$6,"A-",IF(L699&lt;'PlayerGrades+'!$AE$5,"A",IF(L699&lt;'PlayerGrades+'!$AE$4,"A+",IF(L699&lt;'PlayerGrades+'!$AE$3,"S-",IF(L699&lt;'PlayerGrades+'!$AE$2,"S","S+"))))))))))))))))))))</f>
        <v>#DIV/0!</v>
      </c>
      <c r="N699" s="1423" t="str">
        <f t="shared" si="17"/>
        <v>#DIV/0!</v>
      </c>
      <c r="O699" s="1423" t="str">
        <f>IF(N699&lt;'PlayerGrades+'!$AF$21,"F-",IF(N699&lt;'PlayerGrades+'!$AF$20,"F",IF(N699&lt;'PlayerGrades+'!$AF$19,"F+",IF(N699&lt;'PlayerGrades+'!$AF$18,"E-",IF(N699&lt;'PlayerGrades+'!$AF$17,"E",IF(N699&lt;'PlayerGrades+'!$AF$16,"E+",IF(N699&lt;'PlayerGrades+'!$AF$15,"D-",IF(N699&lt;'PlayerGrades+'!$AF$14,"D",IF(N699&lt;'PlayerGrades+'!$AF$13,"D+",IF(N699&lt;'PlayerGrades+'!$AF$12,"C-",IF(N699&lt;'PlayerGrades+'!$AF$11,"C",IF(N699&lt;'PlayerGrades+'!$AF$10,"C+",IF(N699&lt;'PlayerGrades+'!$AF$9,"B-",IF(N699&lt;'PlayerGrades+'!$AF$8,"B",IF(N699&lt;'PlayerGrades+'!$AF$7,"B+",IF(N699&lt;'PlayerGrades+'!$AF$6,"A-",IF(N699&lt;'PlayerGrades+'!$AF$5,"A",IF(N699&lt;'PlayerGrades+'!$AF$4,"A+",IF(N699&lt;'PlayerGrades+'!$AF$3,"S-",IF(N699&lt;'PlayerGrades+'!$AF$2,"S","S+"))))))))))))))))))))</f>
        <v>#DIV/0!</v>
      </c>
      <c r="P699" s="1423" t="str">
        <f t="shared" si="18"/>
        <v>#DIV/0!</v>
      </c>
      <c r="Q699" s="1423" t="str">
        <f>IF(P699&lt;'PlayerGrades+'!$AG$21,"F-",IF(P699&lt;'PlayerGrades+'!$AG$20,"F",IF(P699&lt;'PlayerGrades+'!$AG$19,"F+",IF(P699&lt;'PlayerGrades+'!$AG$18,"E-",IF(P699&lt;'PlayerGrades+'!$AG$17,"E",IF(P699&lt;'PlayerGrades+'!$AG$16,"E+",IF(P699&lt;'PlayerGrades+'!$AG$15,"D-",IF(P699&lt;'PlayerGrades+'!$AG$14,"D",IF(P699&lt;'PlayerGrades+'!$AG$13,"D+",IF(P699&lt;'PlayerGrades+'!$AG$12,"C-",IF(P699&lt;'PlayerGrades+'!$AG$11,"C",IF(P699&lt;'PlayerGrades+'!$AG$10,"C+",IF(P699&lt;'PlayerGrades+'!$AG$9,"B-",IF(P699&lt;'PlayerGrades+'!$AG$8,"B",IF(P699&lt;'PlayerGrades+'!$AG$7,"B+",IF(P699&lt;'PlayerGrades+'!$AG$6,"A-",IF(P699&lt;'PlayerGrades+'!$AG$5,"A",IF(P699&lt;'PlayerGrades+'!$AG$4,"A+",IF(P699&lt;'PlayerGrades+'!$AG$3,"S-",IF(P699&lt;'PlayerGrades+'!$AG$2,"S","S+"))))))))))))))))))))</f>
        <v>#DIV/0!</v>
      </c>
      <c r="R699" s="1423" t="str">
        <f t="shared" si="19"/>
        <v>#REF!</v>
      </c>
      <c r="S699" s="1423" t="str">
        <f>IF(R699&lt;'PlayerGrades+'!$AH$21,"F-",IF(R699&lt;'PlayerGrades+'!$AH$20,"F",IF(R699&lt;'PlayerGrades+'!$AH$19,"F+",IF(R699&lt;'PlayerGrades+'!$AH$18,"E-",IF(R699&lt;'PlayerGrades+'!$AH$17,"E",IF(R699&lt;'PlayerGrades+'!$AH$16,"E+",IF(R699&lt;'PlayerGrades+'!$AH$15,"D-",IF(R699&lt;'PlayerGrades+'!$AH$14,"D",IF(R699&lt;'PlayerGrades+'!$AH$13,"D+",IF(R699&lt;'PlayerGrades+'!$AH$12,"C-",IF(R699&lt;'PlayerGrades+'!$AH$11,"C",IF(R699&lt;'PlayerGrades+'!$AH$10,"C+",IF(R699&lt;'PlayerGrades+'!$AH$9,"B-",IF(R699&lt;'PlayerGrades+'!$AH$8,"B",IF(R699&lt;'PlayerGrades+'!$AH$7,"B+",IF(R699&lt;'PlayerGrades+'!$AH$6,"A-",IF(R699&lt;'PlayerGrades+'!$AH$5,"A",IF(R699&lt;'PlayerGrades+'!$AH$4,"A+",IF(R699&lt;'PlayerGrades+'!$AH$3,"S-",IF(R699&lt;'PlayerGrades+'!$AH$2,"S","S+"))))))))))))))))))))</f>
        <v>#REF!</v>
      </c>
      <c r="T699" s="1423" t="str">
        <f t="shared" si="20"/>
        <v>#REF!</v>
      </c>
      <c r="U699" s="1423" t="str">
        <f>IF(T699&lt;'PlayerGrades+'!$AI$21,"F-",IF(T699&lt;'PlayerGrades+'!$AI$20,"F",IF(T699&lt;'PlayerGrades+'!$AI$19,"F+",IF(T699&lt;'PlayerGrades+'!$AI$18,"E-",IF(T699&lt;'PlayerGrades+'!$AI$17,"E",IF(T699&lt;'PlayerGrades+'!$AI$16,"E+",IF(T699&lt;'PlayerGrades+'!$AI$15,"D-",IF(T699&lt;'PlayerGrades+'!$AI$14,"D",IF(T699&lt;'PlayerGrades+'!$AI$13,"D+",IF(T699&lt;'PlayerGrades+'!$AI$12,"C-",IF(T699&lt;'PlayerGrades+'!$AI$11,"C",IF(T699&lt;'PlayerGrades+'!$AI$10,"C+",IF(T699&lt;'PlayerGrades+'!$AI$9,"B-",IF(T699&lt;'PlayerGrades+'!$AI$8,"B",IF(T699&lt;'PlayerGrades+'!$AI$7,"B+",IF(T699&lt;'PlayerGrades+'!$AI$6,"A-",IF(T699&lt;'PlayerGrades+'!$AI$5,"A",IF(T699&lt;'PlayerGrades+'!$AI$4,"A+",IF(T699&lt;'PlayerGrades+'!$AI$3,"S-",IF(T699&lt;'PlayerGrades+'!$AI$2,"S","S+"))))))))))))))))))))</f>
        <v>#REF!</v>
      </c>
      <c r="AC699" s="1392"/>
    </row>
    <row r="700">
      <c r="B700" s="1421" t="str">
        <f>IF(C700&lt;'PlayerGrades+'!$Y$44,"F-",IF(C700&lt;'PlayerGrades+'!$Y$43,"F",IF(C700&lt;'PlayerGrades+'!$Y$42,"F+",IF(C700&lt;'PlayerGrades+'!$Y$41,"E-",IF(C700&lt;'PlayerGrades+'!$Y$40,"E",IF(C700&lt;'PlayerGrades+'!$Y$39,"E+",IF(C700&lt;'PlayerGrades+'!$Y$38,"D-",IF(C700&lt;'PlayerGrades+'!$Y$37,"D",IF(C700&lt;'PlayerGrades+'!$Y$36,"D+",IF(C700&lt;'PlayerGrades+'!$Y$35,"C-",IF(C700&lt;'PlayerGrades+'!$Y$34,"C",IF(C700&lt;'PlayerGrades+'!$Y$33,"C+",IF(C700&lt;'PlayerGrades+'!$Y$32,"B-",IF(C700&lt;'PlayerGrades+'!$Y$31,"B",IF(C700&lt;'PlayerGrades+'!$Y$30,"B+",IF(C700&lt;'PlayerGrades+'!$Y$29,"A-",IF(C700&lt;'PlayerGrades+'!$Y$28,"A",IF(C700&lt;'PlayerGrades+'!$Y$27,"A+",IF(C700&lt;'PlayerGrades+'!$Y$26,"S-",IF(C700&lt;'PlayerGrades+'!$Y$25,"S","S+"))))))))))))))))))))</f>
        <v>#DIV/0!</v>
      </c>
      <c r="C700" s="1422" t="str">
        <f>('PlayerGrades+'!$Y$47*(VLOOKUP(E700, 'PlayerGrades+'!$X$3:$Y$23, 2, FALSE)))+('PlayerGrades+'!$Y$48*(VLOOKUP(G700, 'PlayerGrades+'!$X$3:$Y$23, 2, FALSE)))+('PlayerGrades+'!$Y$49*(VLOOKUP(I700, 'PlayerGrades+'!$X$3:$Y$23, 2, FALSE)))+('PlayerGrades+'!$Y$50*(VLOOKUP(K700, 'PlayerGrades+'!$X$3:$Y$23, 2, FALSE)))+('PlayerGrades+'!$Y$51*(VLOOKUP(M700, 'PlayerGrades+'!$X$3:$Y$23, 2, FALSE)))+('PlayerGrades+'!$Y$52*(VLOOKUP(O700, 'PlayerGrades+'!$X$3:$Y$23, 2, FALSE)))+('PlayerGrades+'!$Y$53*(VLOOKUP(Q700, 'PlayerGrades+'!$X$3:$Y$23, 2, FALSE)))+('PlayerGrades+'!$Y$54*(VLOOKUP(S700, 'PlayerGrades+'!$X$3:$Y$23, 2, FALSE)))+('PlayerGrades+'!$Y$55*(VLOOKUP(U700, 'PlayerGrades+'!$X$3:$Y$23, 2, FALSE)))</f>
        <v>#DIV/0!</v>
      </c>
      <c r="D700" s="1423" t="str">
        <f t="shared" si="12"/>
        <v>#DIV/0!</v>
      </c>
      <c r="E700" s="1423" t="str">
        <f>IF(D700&lt;'PlayerGrades+'!$AA$21,"F-",IF(D700&lt;'PlayerGrades+'!$AA$20,"F",IF(D700&lt;'PlayerGrades+'!$AA$19,"F+",IF(D700&lt;'PlayerGrades+'!$AA$18,"E-",IF(D700&lt;'PlayerGrades+'!$AA$17,"E",IF(D700&lt;'PlayerGrades+'!$AA$16,"E+",IF(D700&lt;'PlayerGrades+'!$AA$15,"D-",IF(D700&lt;'PlayerGrades+'!$AA$14,"D",IF(D700&lt;'PlayerGrades+'!$AA$13,"D+",IF(D700&lt;'PlayerGrades+'!$AA$12,"C-",IF(D700&lt;'PlayerGrades+'!$AA$11,"C",IF(D700&lt;'PlayerGrades+'!$AA$10,"C+",IF(D700&lt;'PlayerGrades+'!$AA$9,"B-",IF(D700&lt;'PlayerGrades+'!$AA$8,"B",IF(D700&lt;'PlayerGrades+'!$AA$7,"B+",IF(D700&lt;'PlayerGrades+'!$AA$6,"A-",IF(D700&lt;'PlayerGrades+'!$AA$5,"A",IF(D700&lt;'PlayerGrades+'!$AA$4,"A+",IF(D700&lt;'PlayerGrades+'!$AA$3,"S-",IF(D700&lt;'PlayerGrades+'!$AA$2,"S","S+"))))))))))))))))))))</f>
        <v>#DIV/0!</v>
      </c>
      <c r="F700" s="1423" t="str">
        <f t="shared" si="13"/>
        <v>#DIV/0!</v>
      </c>
      <c r="G700" s="1423" t="str">
        <f>IF(F700&lt;'PlayerGrades+'!$AB$21,"F-",IF(F700&lt;'PlayerGrades+'!$AB$20,"F",IF(F700&lt;'PlayerGrades+'!$AB$19,"F+",IF(F700&lt;'PlayerGrades+'!$AB$18,"E-",IF(F700&lt;'PlayerGrades+'!$AB$17,"E",IF(F700&lt;'PlayerGrades+'!$AB$16,"E+",IF(F700&lt;'PlayerGrades+'!$AB$15,"D-",IF(F700&lt;'PlayerGrades+'!$AB$14,"D",IF(F700&lt;'PlayerGrades+'!$AB$13,"D+",IF(F700&lt;'PlayerGrades+'!$AB$12,"C-",IF(F700&lt;'PlayerGrades+'!$AB$11,"C",IF(F700&lt;'PlayerGrades+'!$AB$10,"C+",IF(F700&lt;'PlayerGrades+'!$AB$9,"B-",IF(F700&lt;'PlayerGrades+'!$AB$8,"B",IF(F700&lt;'PlayerGrades+'!$AB$7,"B+",IF(F700&lt;'PlayerGrades+'!$AB$6,"A-",IF(F700&lt;'PlayerGrades+'!$AB$5,"A",IF(F700&lt;'PlayerGrades+'!$AB$4,"A+",IF(F700&lt;'PlayerGrades+'!$AB$3,"S-",IF(F700&lt;'PlayerGrades+'!$AB$2,"S","S+"))))))))))))))))))))</f>
        <v>#DIV/0!</v>
      </c>
      <c r="H700" s="1423" t="str">
        <f t="shared" si="14"/>
        <v>#DIV/0!</v>
      </c>
      <c r="I700" s="1423" t="str">
        <f>IF(H700&lt;'PlayerGrades+'!$AC$21,"F-",IF(H700&lt;'PlayerGrades+'!$AC$20,"F",IF(H700&lt;'PlayerGrades+'!$AC$19,"F+",IF(H700&lt;'PlayerGrades+'!$AC$18,"E-",IF(H700&lt;'PlayerGrades+'!$AC$17,"E",IF(H700&lt;'PlayerGrades+'!$AC$16,"E+",IF(H700&lt;'PlayerGrades+'!$AC$15,"D-",IF(H700&lt;'PlayerGrades+'!$AC$14,"D",IF(H700&lt;'PlayerGrades+'!$AC$13,"D+",IF(H700&lt;'PlayerGrades+'!$AC$12,"C-",IF(H700&lt;'PlayerGrades+'!$AC$11,"C",IF(H700&lt;'PlayerGrades+'!$AC$10,"C+",IF(H700&lt;'PlayerGrades+'!$AC$9,"B-",IF(H700&lt;'PlayerGrades+'!$AC$8,"B",IF(H700&lt;'PlayerGrades+'!$AC$7,"B+",IF(H700&lt;'PlayerGrades+'!$AC$6,"A-",IF(H700&lt;'PlayerGrades+'!$AC$5,"A",IF(H700&lt;'PlayerGrades+'!$AC$4,"A+",IF(H700&lt;'PlayerGrades+'!$AC$3,"S-",IF(H700&lt;'PlayerGrades+'!$AC$2,"S","S+"))))))))))))))))))))</f>
        <v>#DIV/0!</v>
      </c>
      <c r="J700" s="1423" t="str">
        <f t="shared" si="15"/>
        <v>#DIV/0!</v>
      </c>
      <c r="K700" s="1423" t="str">
        <f>IF(J700&lt;'PlayerGrades+'!$AD$21,"F-",IF(J700&lt;'PlayerGrades+'!$AD$20,"F",IF(J700&lt;'PlayerGrades+'!$AD$19,"F+",IF(J700&lt;'PlayerGrades+'!$AD$18,"E-",IF(J700&lt;'PlayerGrades+'!$AD$17,"E",IF(J700&lt;'PlayerGrades+'!$AD$16,"E+",IF(J700&lt;'PlayerGrades+'!$AD$15,"D-",IF(J700&lt;'PlayerGrades+'!$AD$14,"D",IF(J700&lt;'PlayerGrades+'!$AD$13,"D+",IF(J700&lt;'PlayerGrades+'!$AD$12,"C-",IF(J700&lt;'PlayerGrades+'!$AD$11,"C",IF(J700&lt;'PlayerGrades+'!$AD$10,"C+",IF(J700&lt;'PlayerGrades+'!$AD$9,"B-",IF(J700&lt;'PlayerGrades+'!$AD$8,"B",IF(J700&lt;'PlayerGrades+'!$AD$7,"B+",IF(J700&lt;'PlayerGrades+'!$AD$6,"A-",IF(J700&lt;'PlayerGrades+'!$AD$5,"A",IF(J700&lt;'PlayerGrades+'!$AD$4,"A+",IF(J700&lt;'PlayerGrades+'!$AD$3,"S-",IF(J700&lt;'PlayerGrades+'!$AD$2,"S","S+"))))))))))))))))))))</f>
        <v>#DIV/0!</v>
      </c>
      <c r="L700" s="1176" t="str">
        <f t="shared" si="16"/>
        <v>#DIV/0!</v>
      </c>
      <c r="M700" s="992" t="str">
        <f>IF(L700&lt;'PlayerGrades+'!$AE$21,"F-",IF(L700&lt;'PlayerGrades+'!$AE$20,"F",IF(L700&lt;'PlayerGrades+'!$AE$19,"F+",IF(L700&lt;'PlayerGrades+'!$AE$18,"E-",IF(L700&lt;'PlayerGrades+'!$AE$17,"E",IF(L700&lt;'PlayerGrades+'!$AE$16,"E+",IF(L700&lt;'PlayerGrades+'!$AE$15,"D-",IF(L700&lt;'PlayerGrades+'!$AE$14,"D",IF(L700&lt;'PlayerGrades+'!$AE$13,"D+",IF(L700&lt;'PlayerGrades+'!$AE$12,"C-",IF(L700&lt;'PlayerGrades+'!$AE$11,"C",IF(L700&lt;'PlayerGrades+'!$AE$10,"C+",IF(L700&lt;'PlayerGrades+'!$AE$9,"B-",IF(L700&lt;'PlayerGrades+'!$AE$8,"B",IF(L700&lt;'PlayerGrades+'!$AE$7,"B+",IF(L700&lt;'PlayerGrades+'!$AE$6,"A-",IF(L700&lt;'PlayerGrades+'!$AE$5,"A",IF(L700&lt;'PlayerGrades+'!$AE$4,"A+",IF(L700&lt;'PlayerGrades+'!$AE$3,"S-",IF(L700&lt;'PlayerGrades+'!$AE$2,"S","S+"))))))))))))))))))))</f>
        <v>#DIV/0!</v>
      </c>
      <c r="N700" s="1423" t="str">
        <f t="shared" si="17"/>
        <v>#DIV/0!</v>
      </c>
      <c r="O700" s="1423" t="str">
        <f>IF(N700&lt;'PlayerGrades+'!$AF$21,"F-",IF(N700&lt;'PlayerGrades+'!$AF$20,"F",IF(N700&lt;'PlayerGrades+'!$AF$19,"F+",IF(N700&lt;'PlayerGrades+'!$AF$18,"E-",IF(N700&lt;'PlayerGrades+'!$AF$17,"E",IF(N700&lt;'PlayerGrades+'!$AF$16,"E+",IF(N700&lt;'PlayerGrades+'!$AF$15,"D-",IF(N700&lt;'PlayerGrades+'!$AF$14,"D",IF(N700&lt;'PlayerGrades+'!$AF$13,"D+",IF(N700&lt;'PlayerGrades+'!$AF$12,"C-",IF(N700&lt;'PlayerGrades+'!$AF$11,"C",IF(N700&lt;'PlayerGrades+'!$AF$10,"C+",IF(N700&lt;'PlayerGrades+'!$AF$9,"B-",IF(N700&lt;'PlayerGrades+'!$AF$8,"B",IF(N700&lt;'PlayerGrades+'!$AF$7,"B+",IF(N700&lt;'PlayerGrades+'!$AF$6,"A-",IF(N700&lt;'PlayerGrades+'!$AF$5,"A",IF(N700&lt;'PlayerGrades+'!$AF$4,"A+",IF(N700&lt;'PlayerGrades+'!$AF$3,"S-",IF(N700&lt;'PlayerGrades+'!$AF$2,"S","S+"))))))))))))))))))))</f>
        <v>#DIV/0!</v>
      </c>
      <c r="P700" s="1423" t="str">
        <f t="shared" si="18"/>
        <v>#DIV/0!</v>
      </c>
      <c r="Q700" s="1423" t="str">
        <f>IF(P700&lt;'PlayerGrades+'!$AG$21,"F-",IF(P700&lt;'PlayerGrades+'!$AG$20,"F",IF(P700&lt;'PlayerGrades+'!$AG$19,"F+",IF(P700&lt;'PlayerGrades+'!$AG$18,"E-",IF(P700&lt;'PlayerGrades+'!$AG$17,"E",IF(P700&lt;'PlayerGrades+'!$AG$16,"E+",IF(P700&lt;'PlayerGrades+'!$AG$15,"D-",IF(P700&lt;'PlayerGrades+'!$AG$14,"D",IF(P700&lt;'PlayerGrades+'!$AG$13,"D+",IF(P700&lt;'PlayerGrades+'!$AG$12,"C-",IF(P700&lt;'PlayerGrades+'!$AG$11,"C",IF(P700&lt;'PlayerGrades+'!$AG$10,"C+",IF(P700&lt;'PlayerGrades+'!$AG$9,"B-",IF(P700&lt;'PlayerGrades+'!$AG$8,"B",IF(P700&lt;'PlayerGrades+'!$AG$7,"B+",IF(P700&lt;'PlayerGrades+'!$AG$6,"A-",IF(P700&lt;'PlayerGrades+'!$AG$5,"A",IF(P700&lt;'PlayerGrades+'!$AG$4,"A+",IF(P700&lt;'PlayerGrades+'!$AG$3,"S-",IF(P700&lt;'PlayerGrades+'!$AG$2,"S","S+"))))))))))))))))))))</f>
        <v>#DIV/0!</v>
      </c>
      <c r="R700" s="1423" t="str">
        <f t="shared" si="19"/>
        <v>#REF!</v>
      </c>
      <c r="S700" s="1423" t="str">
        <f>IF(R700&lt;'PlayerGrades+'!$AH$21,"F-",IF(R700&lt;'PlayerGrades+'!$AH$20,"F",IF(R700&lt;'PlayerGrades+'!$AH$19,"F+",IF(R700&lt;'PlayerGrades+'!$AH$18,"E-",IF(R700&lt;'PlayerGrades+'!$AH$17,"E",IF(R700&lt;'PlayerGrades+'!$AH$16,"E+",IF(R700&lt;'PlayerGrades+'!$AH$15,"D-",IF(R700&lt;'PlayerGrades+'!$AH$14,"D",IF(R700&lt;'PlayerGrades+'!$AH$13,"D+",IF(R700&lt;'PlayerGrades+'!$AH$12,"C-",IF(R700&lt;'PlayerGrades+'!$AH$11,"C",IF(R700&lt;'PlayerGrades+'!$AH$10,"C+",IF(R700&lt;'PlayerGrades+'!$AH$9,"B-",IF(R700&lt;'PlayerGrades+'!$AH$8,"B",IF(R700&lt;'PlayerGrades+'!$AH$7,"B+",IF(R700&lt;'PlayerGrades+'!$AH$6,"A-",IF(R700&lt;'PlayerGrades+'!$AH$5,"A",IF(R700&lt;'PlayerGrades+'!$AH$4,"A+",IF(R700&lt;'PlayerGrades+'!$AH$3,"S-",IF(R700&lt;'PlayerGrades+'!$AH$2,"S","S+"))))))))))))))))))))</f>
        <v>#REF!</v>
      </c>
      <c r="T700" s="1423" t="str">
        <f t="shared" si="20"/>
        <v>#REF!</v>
      </c>
      <c r="U700" s="1423" t="str">
        <f>IF(T700&lt;'PlayerGrades+'!$AI$21,"F-",IF(T700&lt;'PlayerGrades+'!$AI$20,"F",IF(T700&lt;'PlayerGrades+'!$AI$19,"F+",IF(T700&lt;'PlayerGrades+'!$AI$18,"E-",IF(T700&lt;'PlayerGrades+'!$AI$17,"E",IF(T700&lt;'PlayerGrades+'!$AI$16,"E+",IF(T700&lt;'PlayerGrades+'!$AI$15,"D-",IF(T700&lt;'PlayerGrades+'!$AI$14,"D",IF(T700&lt;'PlayerGrades+'!$AI$13,"D+",IF(T700&lt;'PlayerGrades+'!$AI$12,"C-",IF(T700&lt;'PlayerGrades+'!$AI$11,"C",IF(T700&lt;'PlayerGrades+'!$AI$10,"C+",IF(T700&lt;'PlayerGrades+'!$AI$9,"B-",IF(T700&lt;'PlayerGrades+'!$AI$8,"B",IF(T700&lt;'PlayerGrades+'!$AI$7,"B+",IF(T700&lt;'PlayerGrades+'!$AI$6,"A-",IF(T700&lt;'PlayerGrades+'!$AI$5,"A",IF(T700&lt;'PlayerGrades+'!$AI$4,"A+",IF(T700&lt;'PlayerGrades+'!$AI$3,"S-",IF(T700&lt;'PlayerGrades+'!$AI$2,"S","S+"))))))))))))))))))))</f>
        <v>#REF!</v>
      </c>
      <c r="AC700" s="1392"/>
    </row>
    <row r="701">
      <c r="B701" s="1421" t="str">
        <f>IF(C701&lt;'PlayerGrades+'!$Y$44,"F-",IF(C701&lt;'PlayerGrades+'!$Y$43,"F",IF(C701&lt;'PlayerGrades+'!$Y$42,"F+",IF(C701&lt;'PlayerGrades+'!$Y$41,"E-",IF(C701&lt;'PlayerGrades+'!$Y$40,"E",IF(C701&lt;'PlayerGrades+'!$Y$39,"E+",IF(C701&lt;'PlayerGrades+'!$Y$38,"D-",IF(C701&lt;'PlayerGrades+'!$Y$37,"D",IF(C701&lt;'PlayerGrades+'!$Y$36,"D+",IF(C701&lt;'PlayerGrades+'!$Y$35,"C-",IF(C701&lt;'PlayerGrades+'!$Y$34,"C",IF(C701&lt;'PlayerGrades+'!$Y$33,"C+",IF(C701&lt;'PlayerGrades+'!$Y$32,"B-",IF(C701&lt;'PlayerGrades+'!$Y$31,"B",IF(C701&lt;'PlayerGrades+'!$Y$30,"B+",IF(C701&lt;'PlayerGrades+'!$Y$29,"A-",IF(C701&lt;'PlayerGrades+'!$Y$28,"A",IF(C701&lt;'PlayerGrades+'!$Y$27,"A+",IF(C701&lt;'PlayerGrades+'!$Y$26,"S-",IF(C701&lt;'PlayerGrades+'!$Y$25,"S","S+"))))))))))))))))))))</f>
        <v>#DIV/0!</v>
      </c>
      <c r="C701" s="1422" t="str">
        <f>('PlayerGrades+'!$Y$47*(VLOOKUP(E701, 'PlayerGrades+'!$X$3:$Y$23, 2, FALSE)))+('PlayerGrades+'!$Y$48*(VLOOKUP(G701, 'PlayerGrades+'!$X$3:$Y$23, 2, FALSE)))+('PlayerGrades+'!$Y$49*(VLOOKUP(I701, 'PlayerGrades+'!$X$3:$Y$23, 2, FALSE)))+('PlayerGrades+'!$Y$50*(VLOOKUP(K701, 'PlayerGrades+'!$X$3:$Y$23, 2, FALSE)))+('PlayerGrades+'!$Y$51*(VLOOKUP(M701, 'PlayerGrades+'!$X$3:$Y$23, 2, FALSE)))+('PlayerGrades+'!$Y$52*(VLOOKUP(O701, 'PlayerGrades+'!$X$3:$Y$23, 2, FALSE)))+('PlayerGrades+'!$Y$53*(VLOOKUP(Q701, 'PlayerGrades+'!$X$3:$Y$23, 2, FALSE)))+('PlayerGrades+'!$Y$54*(VLOOKUP(S701, 'PlayerGrades+'!$X$3:$Y$23, 2, FALSE)))+('PlayerGrades+'!$Y$55*(VLOOKUP(U701, 'PlayerGrades+'!$X$3:$Y$23, 2, FALSE)))</f>
        <v>#DIV/0!</v>
      </c>
      <c r="D701" s="1423" t="str">
        <f t="shared" si="12"/>
        <v>#DIV/0!</v>
      </c>
      <c r="E701" s="1423" t="str">
        <f>IF(D701&lt;'PlayerGrades+'!$AA$21,"F-",IF(D701&lt;'PlayerGrades+'!$AA$20,"F",IF(D701&lt;'PlayerGrades+'!$AA$19,"F+",IF(D701&lt;'PlayerGrades+'!$AA$18,"E-",IF(D701&lt;'PlayerGrades+'!$AA$17,"E",IF(D701&lt;'PlayerGrades+'!$AA$16,"E+",IF(D701&lt;'PlayerGrades+'!$AA$15,"D-",IF(D701&lt;'PlayerGrades+'!$AA$14,"D",IF(D701&lt;'PlayerGrades+'!$AA$13,"D+",IF(D701&lt;'PlayerGrades+'!$AA$12,"C-",IF(D701&lt;'PlayerGrades+'!$AA$11,"C",IF(D701&lt;'PlayerGrades+'!$AA$10,"C+",IF(D701&lt;'PlayerGrades+'!$AA$9,"B-",IF(D701&lt;'PlayerGrades+'!$AA$8,"B",IF(D701&lt;'PlayerGrades+'!$AA$7,"B+",IF(D701&lt;'PlayerGrades+'!$AA$6,"A-",IF(D701&lt;'PlayerGrades+'!$AA$5,"A",IF(D701&lt;'PlayerGrades+'!$AA$4,"A+",IF(D701&lt;'PlayerGrades+'!$AA$3,"S-",IF(D701&lt;'PlayerGrades+'!$AA$2,"S","S+"))))))))))))))))))))</f>
        <v>#DIV/0!</v>
      </c>
      <c r="F701" s="1423" t="str">
        <f t="shared" si="13"/>
        <v>#DIV/0!</v>
      </c>
      <c r="G701" s="1423" t="str">
        <f>IF(F701&lt;'PlayerGrades+'!$AB$21,"F-",IF(F701&lt;'PlayerGrades+'!$AB$20,"F",IF(F701&lt;'PlayerGrades+'!$AB$19,"F+",IF(F701&lt;'PlayerGrades+'!$AB$18,"E-",IF(F701&lt;'PlayerGrades+'!$AB$17,"E",IF(F701&lt;'PlayerGrades+'!$AB$16,"E+",IF(F701&lt;'PlayerGrades+'!$AB$15,"D-",IF(F701&lt;'PlayerGrades+'!$AB$14,"D",IF(F701&lt;'PlayerGrades+'!$AB$13,"D+",IF(F701&lt;'PlayerGrades+'!$AB$12,"C-",IF(F701&lt;'PlayerGrades+'!$AB$11,"C",IF(F701&lt;'PlayerGrades+'!$AB$10,"C+",IF(F701&lt;'PlayerGrades+'!$AB$9,"B-",IF(F701&lt;'PlayerGrades+'!$AB$8,"B",IF(F701&lt;'PlayerGrades+'!$AB$7,"B+",IF(F701&lt;'PlayerGrades+'!$AB$6,"A-",IF(F701&lt;'PlayerGrades+'!$AB$5,"A",IF(F701&lt;'PlayerGrades+'!$AB$4,"A+",IF(F701&lt;'PlayerGrades+'!$AB$3,"S-",IF(F701&lt;'PlayerGrades+'!$AB$2,"S","S+"))))))))))))))))))))</f>
        <v>#DIV/0!</v>
      </c>
      <c r="H701" s="1423" t="str">
        <f t="shared" si="14"/>
        <v>#DIV/0!</v>
      </c>
      <c r="I701" s="1423" t="str">
        <f>IF(H701&lt;'PlayerGrades+'!$AC$21,"F-",IF(H701&lt;'PlayerGrades+'!$AC$20,"F",IF(H701&lt;'PlayerGrades+'!$AC$19,"F+",IF(H701&lt;'PlayerGrades+'!$AC$18,"E-",IF(H701&lt;'PlayerGrades+'!$AC$17,"E",IF(H701&lt;'PlayerGrades+'!$AC$16,"E+",IF(H701&lt;'PlayerGrades+'!$AC$15,"D-",IF(H701&lt;'PlayerGrades+'!$AC$14,"D",IF(H701&lt;'PlayerGrades+'!$AC$13,"D+",IF(H701&lt;'PlayerGrades+'!$AC$12,"C-",IF(H701&lt;'PlayerGrades+'!$AC$11,"C",IF(H701&lt;'PlayerGrades+'!$AC$10,"C+",IF(H701&lt;'PlayerGrades+'!$AC$9,"B-",IF(H701&lt;'PlayerGrades+'!$AC$8,"B",IF(H701&lt;'PlayerGrades+'!$AC$7,"B+",IF(H701&lt;'PlayerGrades+'!$AC$6,"A-",IF(H701&lt;'PlayerGrades+'!$AC$5,"A",IF(H701&lt;'PlayerGrades+'!$AC$4,"A+",IF(H701&lt;'PlayerGrades+'!$AC$3,"S-",IF(H701&lt;'PlayerGrades+'!$AC$2,"S","S+"))))))))))))))))))))</f>
        <v>#DIV/0!</v>
      </c>
      <c r="J701" s="1423" t="str">
        <f t="shared" si="15"/>
        <v>#DIV/0!</v>
      </c>
      <c r="K701" s="1423" t="str">
        <f>IF(J701&lt;'PlayerGrades+'!$AD$21,"F-",IF(J701&lt;'PlayerGrades+'!$AD$20,"F",IF(J701&lt;'PlayerGrades+'!$AD$19,"F+",IF(J701&lt;'PlayerGrades+'!$AD$18,"E-",IF(J701&lt;'PlayerGrades+'!$AD$17,"E",IF(J701&lt;'PlayerGrades+'!$AD$16,"E+",IF(J701&lt;'PlayerGrades+'!$AD$15,"D-",IF(J701&lt;'PlayerGrades+'!$AD$14,"D",IF(J701&lt;'PlayerGrades+'!$AD$13,"D+",IF(J701&lt;'PlayerGrades+'!$AD$12,"C-",IF(J701&lt;'PlayerGrades+'!$AD$11,"C",IF(J701&lt;'PlayerGrades+'!$AD$10,"C+",IF(J701&lt;'PlayerGrades+'!$AD$9,"B-",IF(J701&lt;'PlayerGrades+'!$AD$8,"B",IF(J701&lt;'PlayerGrades+'!$AD$7,"B+",IF(J701&lt;'PlayerGrades+'!$AD$6,"A-",IF(J701&lt;'PlayerGrades+'!$AD$5,"A",IF(J701&lt;'PlayerGrades+'!$AD$4,"A+",IF(J701&lt;'PlayerGrades+'!$AD$3,"S-",IF(J701&lt;'PlayerGrades+'!$AD$2,"S","S+"))))))))))))))))))))</f>
        <v>#DIV/0!</v>
      </c>
      <c r="L701" s="1176" t="str">
        <f t="shared" si="16"/>
        <v>#DIV/0!</v>
      </c>
      <c r="M701" s="992" t="str">
        <f>IF(L701&lt;'PlayerGrades+'!$AE$21,"F-",IF(L701&lt;'PlayerGrades+'!$AE$20,"F",IF(L701&lt;'PlayerGrades+'!$AE$19,"F+",IF(L701&lt;'PlayerGrades+'!$AE$18,"E-",IF(L701&lt;'PlayerGrades+'!$AE$17,"E",IF(L701&lt;'PlayerGrades+'!$AE$16,"E+",IF(L701&lt;'PlayerGrades+'!$AE$15,"D-",IF(L701&lt;'PlayerGrades+'!$AE$14,"D",IF(L701&lt;'PlayerGrades+'!$AE$13,"D+",IF(L701&lt;'PlayerGrades+'!$AE$12,"C-",IF(L701&lt;'PlayerGrades+'!$AE$11,"C",IF(L701&lt;'PlayerGrades+'!$AE$10,"C+",IF(L701&lt;'PlayerGrades+'!$AE$9,"B-",IF(L701&lt;'PlayerGrades+'!$AE$8,"B",IF(L701&lt;'PlayerGrades+'!$AE$7,"B+",IF(L701&lt;'PlayerGrades+'!$AE$6,"A-",IF(L701&lt;'PlayerGrades+'!$AE$5,"A",IF(L701&lt;'PlayerGrades+'!$AE$4,"A+",IF(L701&lt;'PlayerGrades+'!$AE$3,"S-",IF(L701&lt;'PlayerGrades+'!$AE$2,"S","S+"))))))))))))))))))))</f>
        <v>#DIV/0!</v>
      </c>
      <c r="N701" s="1423" t="str">
        <f t="shared" si="17"/>
        <v>#DIV/0!</v>
      </c>
      <c r="O701" s="1423" t="str">
        <f>IF(N701&lt;'PlayerGrades+'!$AF$21,"F-",IF(N701&lt;'PlayerGrades+'!$AF$20,"F",IF(N701&lt;'PlayerGrades+'!$AF$19,"F+",IF(N701&lt;'PlayerGrades+'!$AF$18,"E-",IF(N701&lt;'PlayerGrades+'!$AF$17,"E",IF(N701&lt;'PlayerGrades+'!$AF$16,"E+",IF(N701&lt;'PlayerGrades+'!$AF$15,"D-",IF(N701&lt;'PlayerGrades+'!$AF$14,"D",IF(N701&lt;'PlayerGrades+'!$AF$13,"D+",IF(N701&lt;'PlayerGrades+'!$AF$12,"C-",IF(N701&lt;'PlayerGrades+'!$AF$11,"C",IF(N701&lt;'PlayerGrades+'!$AF$10,"C+",IF(N701&lt;'PlayerGrades+'!$AF$9,"B-",IF(N701&lt;'PlayerGrades+'!$AF$8,"B",IF(N701&lt;'PlayerGrades+'!$AF$7,"B+",IF(N701&lt;'PlayerGrades+'!$AF$6,"A-",IF(N701&lt;'PlayerGrades+'!$AF$5,"A",IF(N701&lt;'PlayerGrades+'!$AF$4,"A+",IF(N701&lt;'PlayerGrades+'!$AF$3,"S-",IF(N701&lt;'PlayerGrades+'!$AF$2,"S","S+"))))))))))))))))))))</f>
        <v>#DIV/0!</v>
      </c>
      <c r="P701" s="1423" t="str">
        <f t="shared" si="18"/>
        <v>#DIV/0!</v>
      </c>
      <c r="Q701" s="1423" t="str">
        <f>IF(P701&lt;'PlayerGrades+'!$AG$21,"F-",IF(P701&lt;'PlayerGrades+'!$AG$20,"F",IF(P701&lt;'PlayerGrades+'!$AG$19,"F+",IF(P701&lt;'PlayerGrades+'!$AG$18,"E-",IF(P701&lt;'PlayerGrades+'!$AG$17,"E",IF(P701&lt;'PlayerGrades+'!$AG$16,"E+",IF(P701&lt;'PlayerGrades+'!$AG$15,"D-",IF(P701&lt;'PlayerGrades+'!$AG$14,"D",IF(P701&lt;'PlayerGrades+'!$AG$13,"D+",IF(P701&lt;'PlayerGrades+'!$AG$12,"C-",IF(P701&lt;'PlayerGrades+'!$AG$11,"C",IF(P701&lt;'PlayerGrades+'!$AG$10,"C+",IF(P701&lt;'PlayerGrades+'!$AG$9,"B-",IF(P701&lt;'PlayerGrades+'!$AG$8,"B",IF(P701&lt;'PlayerGrades+'!$AG$7,"B+",IF(P701&lt;'PlayerGrades+'!$AG$6,"A-",IF(P701&lt;'PlayerGrades+'!$AG$5,"A",IF(P701&lt;'PlayerGrades+'!$AG$4,"A+",IF(P701&lt;'PlayerGrades+'!$AG$3,"S-",IF(P701&lt;'PlayerGrades+'!$AG$2,"S","S+"))))))))))))))))))))</f>
        <v>#DIV/0!</v>
      </c>
      <c r="R701" s="1423" t="str">
        <f t="shared" si="19"/>
        <v>#REF!</v>
      </c>
      <c r="S701" s="1423" t="str">
        <f>IF(R701&lt;'PlayerGrades+'!$AH$21,"F-",IF(R701&lt;'PlayerGrades+'!$AH$20,"F",IF(R701&lt;'PlayerGrades+'!$AH$19,"F+",IF(R701&lt;'PlayerGrades+'!$AH$18,"E-",IF(R701&lt;'PlayerGrades+'!$AH$17,"E",IF(R701&lt;'PlayerGrades+'!$AH$16,"E+",IF(R701&lt;'PlayerGrades+'!$AH$15,"D-",IF(R701&lt;'PlayerGrades+'!$AH$14,"D",IF(R701&lt;'PlayerGrades+'!$AH$13,"D+",IF(R701&lt;'PlayerGrades+'!$AH$12,"C-",IF(R701&lt;'PlayerGrades+'!$AH$11,"C",IF(R701&lt;'PlayerGrades+'!$AH$10,"C+",IF(R701&lt;'PlayerGrades+'!$AH$9,"B-",IF(R701&lt;'PlayerGrades+'!$AH$8,"B",IF(R701&lt;'PlayerGrades+'!$AH$7,"B+",IF(R701&lt;'PlayerGrades+'!$AH$6,"A-",IF(R701&lt;'PlayerGrades+'!$AH$5,"A",IF(R701&lt;'PlayerGrades+'!$AH$4,"A+",IF(R701&lt;'PlayerGrades+'!$AH$3,"S-",IF(R701&lt;'PlayerGrades+'!$AH$2,"S","S+"))))))))))))))))))))</f>
        <v>#REF!</v>
      </c>
      <c r="T701" s="1423" t="str">
        <f t="shared" si="20"/>
        <v>#REF!</v>
      </c>
      <c r="U701" s="1423" t="str">
        <f>IF(T701&lt;'PlayerGrades+'!$AI$21,"F-",IF(T701&lt;'PlayerGrades+'!$AI$20,"F",IF(T701&lt;'PlayerGrades+'!$AI$19,"F+",IF(T701&lt;'PlayerGrades+'!$AI$18,"E-",IF(T701&lt;'PlayerGrades+'!$AI$17,"E",IF(T701&lt;'PlayerGrades+'!$AI$16,"E+",IF(T701&lt;'PlayerGrades+'!$AI$15,"D-",IF(T701&lt;'PlayerGrades+'!$AI$14,"D",IF(T701&lt;'PlayerGrades+'!$AI$13,"D+",IF(T701&lt;'PlayerGrades+'!$AI$12,"C-",IF(T701&lt;'PlayerGrades+'!$AI$11,"C",IF(T701&lt;'PlayerGrades+'!$AI$10,"C+",IF(T701&lt;'PlayerGrades+'!$AI$9,"B-",IF(T701&lt;'PlayerGrades+'!$AI$8,"B",IF(T701&lt;'PlayerGrades+'!$AI$7,"B+",IF(T701&lt;'PlayerGrades+'!$AI$6,"A-",IF(T701&lt;'PlayerGrades+'!$AI$5,"A",IF(T701&lt;'PlayerGrades+'!$AI$4,"A+",IF(T701&lt;'PlayerGrades+'!$AI$3,"S-",IF(T701&lt;'PlayerGrades+'!$AI$2,"S","S+"))))))))))))))))))))</f>
        <v>#REF!</v>
      </c>
      <c r="AC701" s="1392"/>
    </row>
    <row r="702">
      <c r="B702" s="1421" t="str">
        <f>IF(C702&lt;'PlayerGrades+'!$Y$44,"F-",IF(C702&lt;'PlayerGrades+'!$Y$43,"F",IF(C702&lt;'PlayerGrades+'!$Y$42,"F+",IF(C702&lt;'PlayerGrades+'!$Y$41,"E-",IF(C702&lt;'PlayerGrades+'!$Y$40,"E",IF(C702&lt;'PlayerGrades+'!$Y$39,"E+",IF(C702&lt;'PlayerGrades+'!$Y$38,"D-",IF(C702&lt;'PlayerGrades+'!$Y$37,"D",IF(C702&lt;'PlayerGrades+'!$Y$36,"D+",IF(C702&lt;'PlayerGrades+'!$Y$35,"C-",IF(C702&lt;'PlayerGrades+'!$Y$34,"C",IF(C702&lt;'PlayerGrades+'!$Y$33,"C+",IF(C702&lt;'PlayerGrades+'!$Y$32,"B-",IF(C702&lt;'PlayerGrades+'!$Y$31,"B",IF(C702&lt;'PlayerGrades+'!$Y$30,"B+",IF(C702&lt;'PlayerGrades+'!$Y$29,"A-",IF(C702&lt;'PlayerGrades+'!$Y$28,"A",IF(C702&lt;'PlayerGrades+'!$Y$27,"A+",IF(C702&lt;'PlayerGrades+'!$Y$26,"S-",IF(C702&lt;'PlayerGrades+'!$Y$25,"S","S+"))))))))))))))))))))</f>
        <v>#DIV/0!</v>
      </c>
      <c r="C702" s="1422" t="str">
        <f>('PlayerGrades+'!$Y$47*(VLOOKUP(E702, 'PlayerGrades+'!$X$3:$Y$23, 2, FALSE)))+('PlayerGrades+'!$Y$48*(VLOOKUP(G702, 'PlayerGrades+'!$X$3:$Y$23, 2, FALSE)))+('PlayerGrades+'!$Y$49*(VLOOKUP(I702, 'PlayerGrades+'!$X$3:$Y$23, 2, FALSE)))+('PlayerGrades+'!$Y$50*(VLOOKUP(K702, 'PlayerGrades+'!$X$3:$Y$23, 2, FALSE)))+('PlayerGrades+'!$Y$51*(VLOOKUP(M702, 'PlayerGrades+'!$X$3:$Y$23, 2, FALSE)))+('PlayerGrades+'!$Y$52*(VLOOKUP(O702, 'PlayerGrades+'!$X$3:$Y$23, 2, FALSE)))+('PlayerGrades+'!$Y$53*(VLOOKUP(Q702, 'PlayerGrades+'!$X$3:$Y$23, 2, FALSE)))+('PlayerGrades+'!$Y$54*(VLOOKUP(S702, 'PlayerGrades+'!$X$3:$Y$23, 2, FALSE)))+('PlayerGrades+'!$Y$55*(VLOOKUP(U702, 'PlayerGrades+'!$X$3:$Y$23, 2, FALSE)))</f>
        <v>#DIV/0!</v>
      </c>
      <c r="D702" s="1423" t="str">
        <f t="shared" si="12"/>
        <v>#DIV/0!</v>
      </c>
      <c r="E702" s="1423" t="str">
        <f>IF(D702&lt;'PlayerGrades+'!$AA$21,"F-",IF(D702&lt;'PlayerGrades+'!$AA$20,"F",IF(D702&lt;'PlayerGrades+'!$AA$19,"F+",IF(D702&lt;'PlayerGrades+'!$AA$18,"E-",IF(D702&lt;'PlayerGrades+'!$AA$17,"E",IF(D702&lt;'PlayerGrades+'!$AA$16,"E+",IF(D702&lt;'PlayerGrades+'!$AA$15,"D-",IF(D702&lt;'PlayerGrades+'!$AA$14,"D",IF(D702&lt;'PlayerGrades+'!$AA$13,"D+",IF(D702&lt;'PlayerGrades+'!$AA$12,"C-",IF(D702&lt;'PlayerGrades+'!$AA$11,"C",IF(D702&lt;'PlayerGrades+'!$AA$10,"C+",IF(D702&lt;'PlayerGrades+'!$AA$9,"B-",IF(D702&lt;'PlayerGrades+'!$AA$8,"B",IF(D702&lt;'PlayerGrades+'!$AA$7,"B+",IF(D702&lt;'PlayerGrades+'!$AA$6,"A-",IF(D702&lt;'PlayerGrades+'!$AA$5,"A",IF(D702&lt;'PlayerGrades+'!$AA$4,"A+",IF(D702&lt;'PlayerGrades+'!$AA$3,"S-",IF(D702&lt;'PlayerGrades+'!$AA$2,"S","S+"))))))))))))))))))))</f>
        <v>#DIV/0!</v>
      </c>
      <c r="F702" s="1423" t="str">
        <f t="shared" si="13"/>
        <v>#DIV/0!</v>
      </c>
      <c r="G702" s="1423" t="str">
        <f>IF(F702&lt;'PlayerGrades+'!$AB$21,"F-",IF(F702&lt;'PlayerGrades+'!$AB$20,"F",IF(F702&lt;'PlayerGrades+'!$AB$19,"F+",IF(F702&lt;'PlayerGrades+'!$AB$18,"E-",IF(F702&lt;'PlayerGrades+'!$AB$17,"E",IF(F702&lt;'PlayerGrades+'!$AB$16,"E+",IF(F702&lt;'PlayerGrades+'!$AB$15,"D-",IF(F702&lt;'PlayerGrades+'!$AB$14,"D",IF(F702&lt;'PlayerGrades+'!$AB$13,"D+",IF(F702&lt;'PlayerGrades+'!$AB$12,"C-",IF(F702&lt;'PlayerGrades+'!$AB$11,"C",IF(F702&lt;'PlayerGrades+'!$AB$10,"C+",IF(F702&lt;'PlayerGrades+'!$AB$9,"B-",IF(F702&lt;'PlayerGrades+'!$AB$8,"B",IF(F702&lt;'PlayerGrades+'!$AB$7,"B+",IF(F702&lt;'PlayerGrades+'!$AB$6,"A-",IF(F702&lt;'PlayerGrades+'!$AB$5,"A",IF(F702&lt;'PlayerGrades+'!$AB$4,"A+",IF(F702&lt;'PlayerGrades+'!$AB$3,"S-",IF(F702&lt;'PlayerGrades+'!$AB$2,"S","S+"))))))))))))))))))))</f>
        <v>#DIV/0!</v>
      </c>
      <c r="H702" s="1423" t="str">
        <f t="shared" si="14"/>
        <v>#DIV/0!</v>
      </c>
      <c r="I702" s="1423" t="str">
        <f>IF(H702&lt;'PlayerGrades+'!$AC$21,"F-",IF(H702&lt;'PlayerGrades+'!$AC$20,"F",IF(H702&lt;'PlayerGrades+'!$AC$19,"F+",IF(H702&lt;'PlayerGrades+'!$AC$18,"E-",IF(H702&lt;'PlayerGrades+'!$AC$17,"E",IF(H702&lt;'PlayerGrades+'!$AC$16,"E+",IF(H702&lt;'PlayerGrades+'!$AC$15,"D-",IF(H702&lt;'PlayerGrades+'!$AC$14,"D",IF(H702&lt;'PlayerGrades+'!$AC$13,"D+",IF(H702&lt;'PlayerGrades+'!$AC$12,"C-",IF(H702&lt;'PlayerGrades+'!$AC$11,"C",IF(H702&lt;'PlayerGrades+'!$AC$10,"C+",IF(H702&lt;'PlayerGrades+'!$AC$9,"B-",IF(H702&lt;'PlayerGrades+'!$AC$8,"B",IF(H702&lt;'PlayerGrades+'!$AC$7,"B+",IF(H702&lt;'PlayerGrades+'!$AC$6,"A-",IF(H702&lt;'PlayerGrades+'!$AC$5,"A",IF(H702&lt;'PlayerGrades+'!$AC$4,"A+",IF(H702&lt;'PlayerGrades+'!$AC$3,"S-",IF(H702&lt;'PlayerGrades+'!$AC$2,"S","S+"))))))))))))))))))))</f>
        <v>#DIV/0!</v>
      </c>
      <c r="J702" s="1423" t="str">
        <f t="shared" si="15"/>
        <v>#DIV/0!</v>
      </c>
      <c r="K702" s="1423" t="str">
        <f>IF(J702&lt;'PlayerGrades+'!$AD$21,"F-",IF(J702&lt;'PlayerGrades+'!$AD$20,"F",IF(J702&lt;'PlayerGrades+'!$AD$19,"F+",IF(J702&lt;'PlayerGrades+'!$AD$18,"E-",IF(J702&lt;'PlayerGrades+'!$AD$17,"E",IF(J702&lt;'PlayerGrades+'!$AD$16,"E+",IF(J702&lt;'PlayerGrades+'!$AD$15,"D-",IF(J702&lt;'PlayerGrades+'!$AD$14,"D",IF(J702&lt;'PlayerGrades+'!$AD$13,"D+",IF(J702&lt;'PlayerGrades+'!$AD$12,"C-",IF(J702&lt;'PlayerGrades+'!$AD$11,"C",IF(J702&lt;'PlayerGrades+'!$AD$10,"C+",IF(J702&lt;'PlayerGrades+'!$AD$9,"B-",IF(J702&lt;'PlayerGrades+'!$AD$8,"B",IF(J702&lt;'PlayerGrades+'!$AD$7,"B+",IF(J702&lt;'PlayerGrades+'!$AD$6,"A-",IF(J702&lt;'PlayerGrades+'!$AD$5,"A",IF(J702&lt;'PlayerGrades+'!$AD$4,"A+",IF(J702&lt;'PlayerGrades+'!$AD$3,"S-",IF(J702&lt;'PlayerGrades+'!$AD$2,"S","S+"))))))))))))))))))))</f>
        <v>#DIV/0!</v>
      </c>
      <c r="L702" s="1176" t="str">
        <f t="shared" si="16"/>
        <v>#DIV/0!</v>
      </c>
      <c r="M702" s="992" t="str">
        <f>IF(L702&lt;'PlayerGrades+'!$AE$21,"F-",IF(L702&lt;'PlayerGrades+'!$AE$20,"F",IF(L702&lt;'PlayerGrades+'!$AE$19,"F+",IF(L702&lt;'PlayerGrades+'!$AE$18,"E-",IF(L702&lt;'PlayerGrades+'!$AE$17,"E",IF(L702&lt;'PlayerGrades+'!$AE$16,"E+",IF(L702&lt;'PlayerGrades+'!$AE$15,"D-",IF(L702&lt;'PlayerGrades+'!$AE$14,"D",IF(L702&lt;'PlayerGrades+'!$AE$13,"D+",IF(L702&lt;'PlayerGrades+'!$AE$12,"C-",IF(L702&lt;'PlayerGrades+'!$AE$11,"C",IF(L702&lt;'PlayerGrades+'!$AE$10,"C+",IF(L702&lt;'PlayerGrades+'!$AE$9,"B-",IF(L702&lt;'PlayerGrades+'!$AE$8,"B",IF(L702&lt;'PlayerGrades+'!$AE$7,"B+",IF(L702&lt;'PlayerGrades+'!$AE$6,"A-",IF(L702&lt;'PlayerGrades+'!$AE$5,"A",IF(L702&lt;'PlayerGrades+'!$AE$4,"A+",IF(L702&lt;'PlayerGrades+'!$AE$3,"S-",IF(L702&lt;'PlayerGrades+'!$AE$2,"S","S+"))))))))))))))))))))</f>
        <v>#DIV/0!</v>
      </c>
      <c r="N702" s="1423" t="str">
        <f t="shared" si="17"/>
        <v>#DIV/0!</v>
      </c>
      <c r="O702" s="1423" t="str">
        <f>IF(N702&lt;'PlayerGrades+'!$AF$21,"F-",IF(N702&lt;'PlayerGrades+'!$AF$20,"F",IF(N702&lt;'PlayerGrades+'!$AF$19,"F+",IF(N702&lt;'PlayerGrades+'!$AF$18,"E-",IF(N702&lt;'PlayerGrades+'!$AF$17,"E",IF(N702&lt;'PlayerGrades+'!$AF$16,"E+",IF(N702&lt;'PlayerGrades+'!$AF$15,"D-",IF(N702&lt;'PlayerGrades+'!$AF$14,"D",IF(N702&lt;'PlayerGrades+'!$AF$13,"D+",IF(N702&lt;'PlayerGrades+'!$AF$12,"C-",IF(N702&lt;'PlayerGrades+'!$AF$11,"C",IF(N702&lt;'PlayerGrades+'!$AF$10,"C+",IF(N702&lt;'PlayerGrades+'!$AF$9,"B-",IF(N702&lt;'PlayerGrades+'!$AF$8,"B",IF(N702&lt;'PlayerGrades+'!$AF$7,"B+",IF(N702&lt;'PlayerGrades+'!$AF$6,"A-",IF(N702&lt;'PlayerGrades+'!$AF$5,"A",IF(N702&lt;'PlayerGrades+'!$AF$4,"A+",IF(N702&lt;'PlayerGrades+'!$AF$3,"S-",IF(N702&lt;'PlayerGrades+'!$AF$2,"S","S+"))))))))))))))))))))</f>
        <v>#DIV/0!</v>
      </c>
      <c r="P702" s="1423" t="str">
        <f t="shared" si="18"/>
        <v>#DIV/0!</v>
      </c>
      <c r="Q702" s="1423" t="str">
        <f>IF(P702&lt;'PlayerGrades+'!$AG$21,"F-",IF(P702&lt;'PlayerGrades+'!$AG$20,"F",IF(P702&lt;'PlayerGrades+'!$AG$19,"F+",IF(P702&lt;'PlayerGrades+'!$AG$18,"E-",IF(P702&lt;'PlayerGrades+'!$AG$17,"E",IF(P702&lt;'PlayerGrades+'!$AG$16,"E+",IF(P702&lt;'PlayerGrades+'!$AG$15,"D-",IF(P702&lt;'PlayerGrades+'!$AG$14,"D",IF(P702&lt;'PlayerGrades+'!$AG$13,"D+",IF(P702&lt;'PlayerGrades+'!$AG$12,"C-",IF(P702&lt;'PlayerGrades+'!$AG$11,"C",IF(P702&lt;'PlayerGrades+'!$AG$10,"C+",IF(P702&lt;'PlayerGrades+'!$AG$9,"B-",IF(P702&lt;'PlayerGrades+'!$AG$8,"B",IF(P702&lt;'PlayerGrades+'!$AG$7,"B+",IF(P702&lt;'PlayerGrades+'!$AG$6,"A-",IF(P702&lt;'PlayerGrades+'!$AG$5,"A",IF(P702&lt;'PlayerGrades+'!$AG$4,"A+",IF(P702&lt;'PlayerGrades+'!$AG$3,"S-",IF(P702&lt;'PlayerGrades+'!$AG$2,"S","S+"))))))))))))))))))))</f>
        <v>#DIV/0!</v>
      </c>
      <c r="R702" s="1423" t="str">
        <f t="shared" si="19"/>
        <v>#REF!</v>
      </c>
      <c r="S702" s="1423" t="str">
        <f>IF(R702&lt;'PlayerGrades+'!$AH$21,"F-",IF(R702&lt;'PlayerGrades+'!$AH$20,"F",IF(R702&lt;'PlayerGrades+'!$AH$19,"F+",IF(R702&lt;'PlayerGrades+'!$AH$18,"E-",IF(R702&lt;'PlayerGrades+'!$AH$17,"E",IF(R702&lt;'PlayerGrades+'!$AH$16,"E+",IF(R702&lt;'PlayerGrades+'!$AH$15,"D-",IF(R702&lt;'PlayerGrades+'!$AH$14,"D",IF(R702&lt;'PlayerGrades+'!$AH$13,"D+",IF(R702&lt;'PlayerGrades+'!$AH$12,"C-",IF(R702&lt;'PlayerGrades+'!$AH$11,"C",IF(R702&lt;'PlayerGrades+'!$AH$10,"C+",IF(R702&lt;'PlayerGrades+'!$AH$9,"B-",IF(R702&lt;'PlayerGrades+'!$AH$8,"B",IF(R702&lt;'PlayerGrades+'!$AH$7,"B+",IF(R702&lt;'PlayerGrades+'!$AH$6,"A-",IF(R702&lt;'PlayerGrades+'!$AH$5,"A",IF(R702&lt;'PlayerGrades+'!$AH$4,"A+",IF(R702&lt;'PlayerGrades+'!$AH$3,"S-",IF(R702&lt;'PlayerGrades+'!$AH$2,"S","S+"))))))))))))))))))))</f>
        <v>#REF!</v>
      </c>
      <c r="T702" s="1423" t="str">
        <f t="shared" si="20"/>
        <v>#REF!</v>
      </c>
      <c r="U702" s="1423" t="str">
        <f>IF(T702&lt;'PlayerGrades+'!$AI$21,"F-",IF(T702&lt;'PlayerGrades+'!$AI$20,"F",IF(T702&lt;'PlayerGrades+'!$AI$19,"F+",IF(T702&lt;'PlayerGrades+'!$AI$18,"E-",IF(T702&lt;'PlayerGrades+'!$AI$17,"E",IF(T702&lt;'PlayerGrades+'!$AI$16,"E+",IF(T702&lt;'PlayerGrades+'!$AI$15,"D-",IF(T702&lt;'PlayerGrades+'!$AI$14,"D",IF(T702&lt;'PlayerGrades+'!$AI$13,"D+",IF(T702&lt;'PlayerGrades+'!$AI$12,"C-",IF(T702&lt;'PlayerGrades+'!$AI$11,"C",IF(T702&lt;'PlayerGrades+'!$AI$10,"C+",IF(T702&lt;'PlayerGrades+'!$AI$9,"B-",IF(T702&lt;'PlayerGrades+'!$AI$8,"B",IF(T702&lt;'PlayerGrades+'!$AI$7,"B+",IF(T702&lt;'PlayerGrades+'!$AI$6,"A-",IF(T702&lt;'PlayerGrades+'!$AI$5,"A",IF(T702&lt;'PlayerGrades+'!$AI$4,"A+",IF(T702&lt;'PlayerGrades+'!$AI$3,"S-",IF(T702&lt;'PlayerGrades+'!$AI$2,"S","S+"))))))))))))))))))))</f>
        <v>#REF!</v>
      </c>
      <c r="AC702" s="1392"/>
    </row>
    <row r="703">
      <c r="B703" s="1421" t="str">
        <f>IF(C703&lt;'PlayerGrades+'!$Y$44,"F-",IF(C703&lt;'PlayerGrades+'!$Y$43,"F",IF(C703&lt;'PlayerGrades+'!$Y$42,"F+",IF(C703&lt;'PlayerGrades+'!$Y$41,"E-",IF(C703&lt;'PlayerGrades+'!$Y$40,"E",IF(C703&lt;'PlayerGrades+'!$Y$39,"E+",IF(C703&lt;'PlayerGrades+'!$Y$38,"D-",IF(C703&lt;'PlayerGrades+'!$Y$37,"D",IF(C703&lt;'PlayerGrades+'!$Y$36,"D+",IF(C703&lt;'PlayerGrades+'!$Y$35,"C-",IF(C703&lt;'PlayerGrades+'!$Y$34,"C",IF(C703&lt;'PlayerGrades+'!$Y$33,"C+",IF(C703&lt;'PlayerGrades+'!$Y$32,"B-",IF(C703&lt;'PlayerGrades+'!$Y$31,"B",IF(C703&lt;'PlayerGrades+'!$Y$30,"B+",IF(C703&lt;'PlayerGrades+'!$Y$29,"A-",IF(C703&lt;'PlayerGrades+'!$Y$28,"A",IF(C703&lt;'PlayerGrades+'!$Y$27,"A+",IF(C703&lt;'PlayerGrades+'!$Y$26,"S-",IF(C703&lt;'PlayerGrades+'!$Y$25,"S","S+"))))))))))))))))))))</f>
        <v>#DIV/0!</v>
      </c>
      <c r="C703" s="1422" t="str">
        <f>('PlayerGrades+'!$Y$47*(VLOOKUP(E703, 'PlayerGrades+'!$X$3:$Y$23, 2, FALSE)))+('PlayerGrades+'!$Y$48*(VLOOKUP(G703, 'PlayerGrades+'!$X$3:$Y$23, 2, FALSE)))+('PlayerGrades+'!$Y$49*(VLOOKUP(I703, 'PlayerGrades+'!$X$3:$Y$23, 2, FALSE)))+('PlayerGrades+'!$Y$50*(VLOOKUP(K703, 'PlayerGrades+'!$X$3:$Y$23, 2, FALSE)))+('PlayerGrades+'!$Y$51*(VLOOKUP(M703, 'PlayerGrades+'!$X$3:$Y$23, 2, FALSE)))+('PlayerGrades+'!$Y$52*(VLOOKUP(O703, 'PlayerGrades+'!$X$3:$Y$23, 2, FALSE)))+('PlayerGrades+'!$Y$53*(VLOOKUP(Q703, 'PlayerGrades+'!$X$3:$Y$23, 2, FALSE)))+('PlayerGrades+'!$Y$54*(VLOOKUP(S703, 'PlayerGrades+'!$X$3:$Y$23, 2, FALSE)))+('PlayerGrades+'!$Y$55*(VLOOKUP(U703, 'PlayerGrades+'!$X$3:$Y$23, 2, FALSE)))</f>
        <v>#DIV/0!</v>
      </c>
      <c r="D703" s="1423" t="str">
        <f t="shared" si="12"/>
        <v>#DIV/0!</v>
      </c>
      <c r="E703" s="1423" t="str">
        <f>IF(D703&lt;'PlayerGrades+'!$AA$21,"F-",IF(D703&lt;'PlayerGrades+'!$AA$20,"F",IF(D703&lt;'PlayerGrades+'!$AA$19,"F+",IF(D703&lt;'PlayerGrades+'!$AA$18,"E-",IF(D703&lt;'PlayerGrades+'!$AA$17,"E",IF(D703&lt;'PlayerGrades+'!$AA$16,"E+",IF(D703&lt;'PlayerGrades+'!$AA$15,"D-",IF(D703&lt;'PlayerGrades+'!$AA$14,"D",IF(D703&lt;'PlayerGrades+'!$AA$13,"D+",IF(D703&lt;'PlayerGrades+'!$AA$12,"C-",IF(D703&lt;'PlayerGrades+'!$AA$11,"C",IF(D703&lt;'PlayerGrades+'!$AA$10,"C+",IF(D703&lt;'PlayerGrades+'!$AA$9,"B-",IF(D703&lt;'PlayerGrades+'!$AA$8,"B",IF(D703&lt;'PlayerGrades+'!$AA$7,"B+",IF(D703&lt;'PlayerGrades+'!$AA$6,"A-",IF(D703&lt;'PlayerGrades+'!$AA$5,"A",IF(D703&lt;'PlayerGrades+'!$AA$4,"A+",IF(D703&lt;'PlayerGrades+'!$AA$3,"S-",IF(D703&lt;'PlayerGrades+'!$AA$2,"S","S+"))))))))))))))))))))</f>
        <v>#DIV/0!</v>
      </c>
      <c r="F703" s="1423" t="str">
        <f t="shared" si="13"/>
        <v>#DIV/0!</v>
      </c>
      <c r="G703" s="1423" t="str">
        <f>IF(F703&lt;'PlayerGrades+'!$AB$21,"F-",IF(F703&lt;'PlayerGrades+'!$AB$20,"F",IF(F703&lt;'PlayerGrades+'!$AB$19,"F+",IF(F703&lt;'PlayerGrades+'!$AB$18,"E-",IF(F703&lt;'PlayerGrades+'!$AB$17,"E",IF(F703&lt;'PlayerGrades+'!$AB$16,"E+",IF(F703&lt;'PlayerGrades+'!$AB$15,"D-",IF(F703&lt;'PlayerGrades+'!$AB$14,"D",IF(F703&lt;'PlayerGrades+'!$AB$13,"D+",IF(F703&lt;'PlayerGrades+'!$AB$12,"C-",IF(F703&lt;'PlayerGrades+'!$AB$11,"C",IF(F703&lt;'PlayerGrades+'!$AB$10,"C+",IF(F703&lt;'PlayerGrades+'!$AB$9,"B-",IF(F703&lt;'PlayerGrades+'!$AB$8,"B",IF(F703&lt;'PlayerGrades+'!$AB$7,"B+",IF(F703&lt;'PlayerGrades+'!$AB$6,"A-",IF(F703&lt;'PlayerGrades+'!$AB$5,"A",IF(F703&lt;'PlayerGrades+'!$AB$4,"A+",IF(F703&lt;'PlayerGrades+'!$AB$3,"S-",IF(F703&lt;'PlayerGrades+'!$AB$2,"S","S+"))))))))))))))))))))</f>
        <v>#DIV/0!</v>
      </c>
      <c r="H703" s="1423" t="str">
        <f t="shared" si="14"/>
        <v>#DIV/0!</v>
      </c>
      <c r="I703" s="1423" t="str">
        <f>IF(H703&lt;'PlayerGrades+'!$AC$21,"F-",IF(H703&lt;'PlayerGrades+'!$AC$20,"F",IF(H703&lt;'PlayerGrades+'!$AC$19,"F+",IF(H703&lt;'PlayerGrades+'!$AC$18,"E-",IF(H703&lt;'PlayerGrades+'!$AC$17,"E",IF(H703&lt;'PlayerGrades+'!$AC$16,"E+",IF(H703&lt;'PlayerGrades+'!$AC$15,"D-",IF(H703&lt;'PlayerGrades+'!$AC$14,"D",IF(H703&lt;'PlayerGrades+'!$AC$13,"D+",IF(H703&lt;'PlayerGrades+'!$AC$12,"C-",IF(H703&lt;'PlayerGrades+'!$AC$11,"C",IF(H703&lt;'PlayerGrades+'!$AC$10,"C+",IF(H703&lt;'PlayerGrades+'!$AC$9,"B-",IF(H703&lt;'PlayerGrades+'!$AC$8,"B",IF(H703&lt;'PlayerGrades+'!$AC$7,"B+",IF(H703&lt;'PlayerGrades+'!$AC$6,"A-",IF(H703&lt;'PlayerGrades+'!$AC$5,"A",IF(H703&lt;'PlayerGrades+'!$AC$4,"A+",IF(H703&lt;'PlayerGrades+'!$AC$3,"S-",IF(H703&lt;'PlayerGrades+'!$AC$2,"S","S+"))))))))))))))))))))</f>
        <v>#DIV/0!</v>
      </c>
      <c r="J703" s="1423" t="str">
        <f t="shared" si="15"/>
        <v>#DIV/0!</v>
      </c>
      <c r="K703" s="1423" t="str">
        <f>IF(J703&lt;'PlayerGrades+'!$AD$21,"F-",IF(J703&lt;'PlayerGrades+'!$AD$20,"F",IF(J703&lt;'PlayerGrades+'!$AD$19,"F+",IF(J703&lt;'PlayerGrades+'!$AD$18,"E-",IF(J703&lt;'PlayerGrades+'!$AD$17,"E",IF(J703&lt;'PlayerGrades+'!$AD$16,"E+",IF(J703&lt;'PlayerGrades+'!$AD$15,"D-",IF(J703&lt;'PlayerGrades+'!$AD$14,"D",IF(J703&lt;'PlayerGrades+'!$AD$13,"D+",IF(J703&lt;'PlayerGrades+'!$AD$12,"C-",IF(J703&lt;'PlayerGrades+'!$AD$11,"C",IF(J703&lt;'PlayerGrades+'!$AD$10,"C+",IF(J703&lt;'PlayerGrades+'!$AD$9,"B-",IF(J703&lt;'PlayerGrades+'!$AD$8,"B",IF(J703&lt;'PlayerGrades+'!$AD$7,"B+",IF(J703&lt;'PlayerGrades+'!$AD$6,"A-",IF(J703&lt;'PlayerGrades+'!$AD$5,"A",IF(J703&lt;'PlayerGrades+'!$AD$4,"A+",IF(J703&lt;'PlayerGrades+'!$AD$3,"S-",IF(J703&lt;'PlayerGrades+'!$AD$2,"S","S+"))))))))))))))))))))</f>
        <v>#DIV/0!</v>
      </c>
      <c r="L703" s="1176" t="str">
        <f t="shared" si="16"/>
        <v>#DIV/0!</v>
      </c>
      <c r="M703" s="992" t="str">
        <f>IF(L703&lt;'PlayerGrades+'!$AE$21,"F-",IF(L703&lt;'PlayerGrades+'!$AE$20,"F",IF(L703&lt;'PlayerGrades+'!$AE$19,"F+",IF(L703&lt;'PlayerGrades+'!$AE$18,"E-",IF(L703&lt;'PlayerGrades+'!$AE$17,"E",IF(L703&lt;'PlayerGrades+'!$AE$16,"E+",IF(L703&lt;'PlayerGrades+'!$AE$15,"D-",IF(L703&lt;'PlayerGrades+'!$AE$14,"D",IF(L703&lt;'PlayerGrades+'!$AE$13,"D+",IF(L703&lt;'PlayerGrades+'!$AE$12,"C-",IF(L703&lt;'PlayerGrades+'!$AE$11,"C",IF(L703&lt;'PlayerGrades+'!$AE$10,"C+",IF(L703&lt;'PlayerGrades+'!$AE$9,"B-",IF(L703&lt;'PlayerGrades+'!$AE$8,"B",IF(L703&lt;'PlayerGrades+'!$AE$7,"B+",IF(L703&lt;'PlayerGrades+'!$AE$6,"A-",IF(L703&lt;'PlayerGrades+'!$AE$5,"A",IF(L703&lt;'PlayerGrades+'!$AE$4,"A+",IF(L703&lt;'PlayerGrades+'!$AE$3,"S-",IF(L703&lt;'PlayerGrades+'!$AE$2,"S","S+"))))))))))))))))))))</f>
        <v>#DIV/0!</v>
      </c>
      <c r="N703" s="1423" t="str">
        <f t="shared" si="17"/>
        <v>#DIV/0!</v>
      </c>
      <c r="O703" s="1423" t="str">
        <f>IF(N703&lt;'PlayerGrades+'!$AF$21,"F-",IF(N703&lt;'PlayerGrades+'!$AF$20,"F",IF(N703&lt;'PlayerGrades+'!$AF$19,"F+",IF(N703&lt;'PlayerGrades+'!$AF$18,"E-",IF(N703&lt;'PlayerGrades+'!$AF$17,"E",IF(N703&lt;'PlayerGrades+'!$AF$16,"E+",IF(N703&lt;'PlayerGrades+'!$AF$15,"D-",IF(N703&lt;'PlayerGrades+'!$AF$14,"D",IF(N703&lt;'PlayerGrades+'!$AF$13,"D+",IF(N703&lt;'PlayerGrades+'!$AF$12,"C-",IF(N703&lt;'PlayerGrades+'!$AF$11,"C",IF(N703&lt;'PlayerGrades+'!$AF$10,"C+",IF(N703&lt;'PlayerGrades+'!$AF$9,"B-",IF(N703&lt;'PlayerGrades+'!$AF$8,"B",IF(N703&lt;'PlayerGrades+'!$AF$7,"B+",IF(N703&lt;'PlayerGrades+'!$AF$6,"A-",IF(N703&lt;'PlayerGrades+'!$AF$5,"A",IF(N703&lt;'PlayerGrades+'!$AF$4,"A+",IF(N703&lt;'PlayerGrades+'!$AF$3,"S-",IF(N703&lt;'PlayerGrades+'!$AF$2,"S","S+"))))))))))))))))))))</f>
        <v>#DIV/0!</v>
      </c>
      <c r="P703" s="1423" t="str">
        <f t="shared" si="18"/>
        <v>#DIV/0!</v>
      </c>
      <c r="Q703" s="1423" t="str">
        <f>IF(P703&lt;'PlayerGrades+'!$AG$21,"F-",IF(P703&lt;'PlayerGrades+'!$AG$20,"F",IF(P703&lt;'PlayerGrades+'!$AG$19,"F+",IF(P703&lt;'PlayerGrades+'!$AG$18,"E-",IF(P703&lt;'PlayerGrades+'!$AG$17,"E",IF(P703&lt;'PlayerGrades+'!$AG$16,"E+",IF(P703&lt;'PlayerGrades+'!$AG$15,"D-",IF(P703&lt;'PlayerGrades+'!$AG$14,"D",IF(P703&lt;'PlayerGrades+'!$AG$13,"D+",IF(P703&lt;'PlayerGrades+'!$AG$12,"C-",IF(P703&lt;'PlayerGrades+'!$AG$11,"C",IF(P703&lt;'PlayerGrades+'!$AG$10,"C+",IF(P703&lt;'PlayerGrades+'!$AG$9,"B-",IF(P703&lt;'PlayerGrades+'!$AG$8,"B",IF(P703&lt;'PlayerGrades+'!$AG$7,"B+",IF(P703&lt;'PlayerGrades+'!$AG$6,"A-",IF(P703&lt;'PlayerGrades+'!$AG$5,"A",IF(P703&lt;'PlayerGrades+'!$AG$4,"A+",IF(P703&lt;'PlayerGrades+'!$AG$3,"S-",IF(P703&lt;'PlayerGrades+'!$AG$2,"S","S+"))))))))))))))))))))</f>
        <v>#DIV/0!</v>
      </c>
      <c r="R703" s="1423" t="str">
        <f t="shared" si="19"/>
        <v>#REF!</v>
      </c>
      <c r="S703" s="1423" t="str">
        <f>IF(R703&lt;'PlayerGrades+'!$AH$21,"F-",IF(R703&lt;'PlayerGrades+'!$AH$20,"F",IF(R703&lt;'PlayerGrades+'!$AH$19,"F+",IF(R703&lt;'PlayerGrades+'!$AH$18,"E-",IF(R703&lt;'PlayerGrades+'!$AH$17,"E",IF(R703&lt;'PlayerGrades+'!$AH$16,"E+",IF(R703&lt;'PlayerGrades+'!$AH$15,"D-",IF(R703&lt;'PlayerGrades+'!$AH$14,"D",IF(R703&lt;'PlayerGrades+'!$AH$13,"D+",IF(R703&lt;'PlayerGrades+'!$AH$12,"C-",IF(R703&lt;'PlayerGrades+'!$AH$11,"C",IF(R703&lt;'PlayerGrades+'!$AH$10,"C+",IF(R703&lt;'PlayerGrades+'!$AH$9,"B-",IF(R703&lt;'PlayerGrades+'!$AH$8,"B",IF(R703&lt;'PlayerGrades+'!$AH$7,"B+",IF(R703&lt;'PlayerGrades+'!$AH$6,"A-",IF(R703&lt;'PlayerGrades+'!$AH$5,"A",IF(R703&lt;'PlayerGrades+'!$AH$4,"A+",IF(R703&lt;'PlayerGrades+'!$AH$3,"S-",IF(R703&lt;'PlayerGrades+'!$AH$2,"S","S+"))))))))))))))))))))</f>
        <v>#REF!</v>
      </c>
      <c r="T703" s="1423" t="str">
        <f t="shared" si="20"/>
        <v>#REF!</v>
      </c>
      <c r="U703" s="1423" t="str">
        <f>IF(T703&lt;'PlayerGrades+'!$AI$21,"F-",IF(T703&lt;'PlayerGrades+'!$AI$20,"F",IF(T703&lt;'PlayerGrades+'!$AI$19,"F+",IF(T703&lt;'PlayerGrades+'!$AI$18,"E-",IF(T703&lt;'PlayerGrades+'!$AI$17,"E",IF(T703&lt;'PlayerGrades+'!$AI$16,"E+",IF(T703&lt;'PlayerGrades+'!$AI$15,"D-",IF(T703&lt;'PlayerGrades+'!$AI$14,"D",IF(T703&lt;'PlayerGrades+'!$AI$13,"D+",IF(T703&lt;'PlayerGrades+'!$AI$12,"C-",IF(T703&lt;'PlayerGrades+'!$AI$11,"C",IF(T703&lt;'PlayerGrades+'!$AI$10,"C+",IF(T703&lt;'PlayerGrades+'!$AI$9,"B-",IF(T703&lt;'PlayerGrades+'!$AI$8,"B",IF(T703&lt;'PlayerGrades+'!$AI$7,"B+",IF(T703&lt;'PlayerGrades+'!$AI$6,"A-",IF(T703&lt;'PlayerGrades+'!$AI$5,"A",IF(T703&lt;'PlayerGrades+'!$AI$4,"A+",IF(T703&lt;'PlayerGrades+'!$AI$3,"S-",IF(T703&lt;'PlayerGrades+'!$AI$2,"S","S+"))))))))))))))))))))</f>
        <v>#REF!</v>
      </c>
      <c r="AC703" s="1392"/>
    </row>
    <row r="704">
      <c r="B704" s="1421" t="str">
        <f>IF(C704&lt;'PlayerGrades+'!$Y$44,"F-",IF(C704&lt;'PlayerGrades+'!$Y$43,"F",IF(C704&lt;'PlayerGrades+'!$Y$42,"F+",IF(C704&lt;'PlayerGrades+'!$Y$41,"E-",IF(C704&lt;'PlayerGrades+'!$Y$40,"E",IF(C704&lt;'PlayerGrades+'!$Y$39,"E+",IF(C704&lt;'PlayerGrades+'!$Y$38,"D-",IF(C704&lt;'PlayerGrades+'!$Y$37,"D",IF(C704&lt;'PlayerGrades+'!$Y$36,"D+",IF(C704&lt;'PlayerGrades+'!$Y$35,"C-",IF(C704&lt;'PlayerGrades+'!$Y$34,"C",IF(C704&lt;'PlayerGrades+'!$Y$33,"C+",IF(C704&lt;'PlayerGrades+'!$Y$32,"B-",IF(C704&lt;'PlayerGrades+'!$Y$31,"B",IF(C704&lt;'PlayerGrades+'!$Y$30,"B+",IF(C704&lt;'PlayerGrades+'!$Y$29,"A-",IF(C704&lt;'PlayerGrades+'!$Y$28,"A",IF(C704&lt;'PlayerGrades+'!$Y$27,"A+",IF(C704&lt;'PlayerGrades+'!$Y$26,"S-",IF(C704&lt;'PlayerGrades+'!$Y$25,"S","S+"))))))))))))))))))))</f>
        <v>#DIV/0!</v>
      </c>
      <c r="C704" s="1422" t="str">
        <f>('PlayerGrades+'!$Y$47*(VLOOKUP(E704, 'PlayerGrades+'!$X$3:$Y$23, 2, FALSE)))+('PlayerGrades+'!$Y$48*(VLOOKUP(G704, 'PlayerGrades+'!$X$3:$Y$23, 2, FALSE)))+('PlayerGrades+'!$Y$49*(VLOOKUP(I704, 'PlayerGrades+'!$X$3:$Y$23, 2, FALSE)))+('PlayerGrades+'!$Y$50*(VLOOKUP(K704, 'PlayerGrades+'!$X$3:$Y$23, 2, FALSE)))+('PlayerGrades+'!$Y$51*(VLOOKUP(M704, 'PlayerGrades+'!$X$3:$Y$23, 2, FALSE)))+('PlayerGrades+'!$Y$52*(VLOOKUP(O704, 'PlayerGrades+'!$X$3:$Y$23, 2, FALSE)))+('PlayerGrades+'!$Y$53*(VLOOKUP(Q704, 'PlayerGrades+'!$X$3:$Y$23, 2, FALSE)))+('PlayerGrades+'!$Y$54*(VLOOKUP(S704, 'PlayerGrades+'!$X$3:$Y$23, 2, FALSE)))+('PlayerGrades+'!$Y$55*(VLOOKUP(U704, 'PlayerGrades+'!$X$3:$Y$23, 2, FALSE)))</f>
        <v>#DIV/0!</v>
      </c>
      <c r="D704" s="1423" t="str">
        <f t="shared" si="12"/>
        <v>#DIV/0!</v>
      </c>
      <c r="E704" s="1423" t="str">
        <f>IF(D704&lt;'PlayerGrades+'!$AA$21,"F-",IF(D704&lt;'PlayerGrades+'!$AA$20,"F",IF(D704&lt;'PlayerGrades+'!$AA$19,"F+",IF(D704&lt;'PlayerGrades+'!$AA$18,"E-",IF(D704&lt;'PlayerGrades+'!$AA$17,"E",IF(D704&lt;'PlayerGrades+'!$AA$16,"E+",IF(D704&lt;'PlayerGrades+'!$AA$15,"D-",IF(D704&lt;'PlayerGrades+'!$AA$14,"D",IF(D704&lt;'PlayerGrades+'!$AA$13,"D+",IF(D704&lt;'PlayerGrades+'!$AA$12,"C-",IF(D704&lt;'PlayerGrades+'!$AA$11,"C",IF(D704&lt;'PlayerGrades+'!$AA$10,"C+",IF(D704&lt;'PlayerGrades+'!$AA$9,"B-",IF(D704&lt;'PlayerGrades+'!$AA$8,"B",IF(D704&lt;'PlayerGrades+'!$AA$7,"B+",IF(D704&lt;'PlayerGrades+'!$AA$6,"A-",IF(D704&lt;'PlayerGrades+'!$AA$5,"A",IF(D704&lt;'PlayerGrades+'!$AA$4,"A+",IF(D704&lt;'PlayerGrades+'!$AA$3,"S-",IF(D704&lt;'PlayerGrades+'!$AA$2,"S","S+"))))))))))))))))))))</f>
        <v>#DIV/0!</v>
      </c>
      <c r="F704" s="1423" t="str">
        <f t="shared" si="13"/>
        <v>#DIV/0!</v>
      </c>
      <c r="G704" s="1423" t="str">
        <f>IF(F704&lt;'PlayerGrades+'!$AB$21,"F-",IF(F704&lt;'PlayerGrades+'!$AB$20,"F",IF(F704&lt;'PlayerGrades+'!$AB$19,"F+",IF(F704&lt;'PlayerGrades+'!$AB$18,"E-",IF(F704&lt;'PlayerGrades+'!$AB$17,"E",IF(F704&lt;'PlayerGrades+'!$AB$16,"E+",IF(F704&lt;'PlayerGrades+'!$AB$15,"D-",IF(F704&lt;'PlayerGrades+'!$AB$14,"D",IF(F704&lt;'PlayerGrades+'!$AB$13,"D+",IF(F704&lt;'PlayerGrades+'!$AB$12,"C-",IF(F704&lt;'PlayerGrades+'!$AB$11,"C",IF(F704&lt;'PlayerGrades+'!$AB$10,"C+",IF(F704&lt;'PlayerGrades+'!$AB$9,"B-",IF(F704&lt;'PlayerGrades+'!$AB$8,"B",IF(F704&lt;'PlayerGrades+'!$AB$7,"B+",IF(F704&lt;'PlayerGrades+'!$AB$6,"A-",IF(F704&lt;'PlayerGrades+'!$AB$5,"A",IF(F704&lt;'PlayerGrades+'!$AB$4,"A+",IF(F704&lt;'PlayerGrades+'!$AB$3,"S-",IF(F704&lt;'PlayerGrades+'!$AB$2,"S","S+"))))))))))))))))))))</f>
        <v>#DIV/0!</v>
      </c>
      <c r="H704" s="1423" t="str">
        <f t="shared" si="14"/>
        <v>#DIV/0!</v>
      </c>
      <c r="I704" s="1423" t="str">
        <f>IF(H704&lt;'PlayerGrades+'!$AC$21,"F-",IF(H704&lt;'PlayerGrades+'!$AC$20,"F",IF(H704&lt;'PlayerGrades+'!$AC$19,"F+",IF(H704&lt;'PlayerGrades+'!$AC$18,"E-",IF(H704&lt;'PlayerGrades+'!$AC$17,"E",IF(H704&lt;'PlayerGrades+'!$AC$16,"E+",IF(H704&lt;'PlayerGrades+'!$AC$15,"D-",IF(H704&lt;'PlayerGrades+'!$AC$14,"D",IF(H704&lt;'PlayerGrades+'!$AC$13,"D+",IF(H704&lt;'PlayerGrades+'!$AC$12,"C-",IF(H704&lt;'PlayerGrades+'!$AC$11,"C",IF(H704&lt;'PlayerGrades+'!$AC$10,"C+",IF(H704&lt;'PlayerGrades+'!$AC$9,"B-",IF(H704&lt;'PlayerGrades+'!$AC$8,"B",IF(H704&lt;'PlayerGrades+'!$AC$7,"B+",IF(H704&lt;'PlayerGrades+'!$AC$6,"A-",IF(H704&lt;'PlayerGrades+'!$AC$5,"A",IF(H704&lt;'PlayerGrades+'!$AC$4,"A+",IF(H704&lt;'PlayerGrades+'!$AC$3,"S-",IF(H704&lt;'PlayerGrades+'!$AC$2,"S","S+"))))))))))))))))))))</f>
        <v>#DIV/0!</v>
      </c>
      <c r="J704" s="1423" t="str">
        <f t="shared" si="15"/>
        <v>#DIV/0!</v>
      </c>
      <c r="K704" s="1423" t="str">
        <f>IF(J704&lt;'PlayerGrades+'!$AD$21,"F-",IF(J704&lt;'PlayerGrades+'!$AD$20,"F",IF(J704&lt;'PlayerGrades+'!$AD$19,"F+",IF(J704&lt;'PlayerGrades+'!$AD$18,"E-",IF(J704&lt;'PlayerGrades+'!$AD$17,"E",IF(J704&lt;'PlayerGrades+'!$AD$16,"E+",IF(J704&lt;'PlayerGrades+'!$AD$15,"D-",IF(J704&lt;'PlayerGrades+'!$AD$14,"D",IF(J704&lt;'PlayerGrades+'!$AD$13,"D+",IF(J704&lt;'PlayerGrades+'!$AD$12,"C-",IF(J704&lt;'PlayerGrades+'!$AD$11,"C",IF(J704&lt;'PlayerGrades+'!$AD$10,"C+",IF(J704&lt;'PlayerGrades+'!$AD$9,"B-",IF(J704&lt;'PlayerGrades+'!$AD$8,"B",IF(J704&lt;'PlayerGrades+'!$AD$7,"B+",IF(J704&lt;'PlayerGrades+'!$AD$6,"A-",IF(J704&lt;'PlayerGrades+'!$AD$5,"A",IF(J704&lt;'PlayerGrades+'!$AD$4,"A+",IF(J704&lt;'PlayerGrades+'!$AD$3,"S-",IF(J704&lt;'PlayerGrades+'!$AD$2,"S","S+"))))))))))))))))))))</f>
        <v>#DIV/0!</v>
      </c>
      <c r="L704" s="1176" t="str">
        <f t="shared" si="16"/>
        <v>#DIV/0!</v>
      </c>
      <c r="M704" s="992" t="str">
        <f>IF(L704&lt;'PlayerGrades+'!$AE$21,"F-",IF(L704&lt;'PlayerGrades+'!$AE$20,"F",IF(L704&lt;'PlayerGrades+'!$AE$19,"F+",IF(L704&lt;'PlayerGrades+'!$AE$18,"E-",IF(L704&lt;'PlayerGrades+'!$AE$17,"E",IF(L704&lt;'PlayerGrades+'!$AE$16,"E+",IF(L704&lt;'PlayerGrades+'!$AE$15,"D-",IF(L704&lt;'PlayerGrades+'!$AE$14,"D",IF(L704&lt;'PlayerGrades+'!$AE$13,"D+",IF(L704&lt;'PlayerGrades+'!$AE$12,"C-",IF(L704&lt;'PlayerGrades+'!$AE$11,"C",IF(L704&lt;'PlayerGrades+'!$AE$10,"C+",IF(L704&lt;'PlayerGrades+'!$AE$9,"B-",IF(L704&lt;'PlayerGrades+'!$AE$8,"B",IF(L704&lt;'PlayerGrades+'!$AE$7,"B+",IF(L704&lt;'PlayerGrades+'!$AE$6,"A-",IF(L704&lt;'PlayerGrades+'!$AE$5,"A",IF(L704&lt;'PlayerGrades+'!$AE$4,"A+",IF(L704&lt;'PlayerGrades+'!$AE$3,"S-",IF(L704&lt;'PlayerGrades+'!$AE$2,"S","S+"))))))))))))))))))))</f>
        <v>#DIV/0!</v>
      </c>
      <c r="N704" s="1423" t="str">
        <f t="shared" si="17"/>
        <v>#DIV/0!</v>
      </c>
      <c r="O704" s="1423" t="str">
        <f>IF(N704&lt;'PlayerGrades+'!$AF$21,"F-",IF(N704&lt;'PlayerGrades+'!$AF$20,"F",IF(N704&lt;'PlayerGrades+'!$AF$19,"F+",IF(N704&lt;'PlayerGrades+'!$AF$18,"E-",IF(N704&lt;'PlayerGrades+'!$AF$17,"E",IF(N704&lt;'PlayerGrades+'!$AF$16,"E+",IF(N704&lt;'PlayerGrades+'!$AF$15,"D-",IF(N704&lt;'PlayerGrades+'!$AF$14,"D",IF(N704&lt;'PlayerGrades+'!$AF$13,"D+",IF(N704&lt;'PlayerGrades+'!$AF$12,"C-",IF(N704&lt;'PlayerGrades+'!$AF$11,"C",IF(N704&lt;'PlayerGrades+'!$AF$10,"C+",IF(N704&lt;'PlayerGrades+'!$AF$9,"B-",IF(N704&lt;'PlayerGrades+'!$AF$8,"B",IF(N704&lt;'PlayerGrades+'!$AF$7,"B+",IF(N704&lt;'PlayerGrades+'!$AF$6,"A-",IF(N704&lt;'PlayerGrades+'!$AF$5,"A",IF(N704&lt;'PlayerGrades+'!$AF$4,"A+",IF(N704&lt;'PlayerGrades+'!$AF$3,"S-",IF(N704&lt;'PlayerGrades+'!$AF$2,"S","S+"))))))))))))))))))))</f>
        <v>#DIV/0!</v>
      </c>
      <c r="P704" s="1423" t="str">
        <f t="shared" si="18"/>
        <v>#DIV/0!</v>
      </c>
      <c r="Q704" s="1423" t="str">
        <f>IF(P704&lt;'PlayerGrades+'!$AG$21,"F-",IF(P704&lt;'PlayerGrades+'!$AG$20,"F",IF(P704&lt;'PlayerGrades+'!$AG$19,"F+",IF(P704&lt;'PlayerGrades+'!$AG$18,"E-",IF(P704&lt;'PlayerGrades+'!$AG$17,"E",IF(P704&lt;'PlayerGrades+'!$AG$16,"E+",IF(P704&lt;'PlayerGrades+'!$AG$15,"D-",IF(P704&lt;'PlayerGrades+'!$AG$14,"D",IF(P704&lt;'PlayerGrades+'!$AG$13,"D+",IF(P704&lt;'PlayerGrades+'!$AG$12,"C-",IF(P704&lt;'PlayerGrades+'!$AG$11,"C",IF(P704&lt;'PlayerGrades+'!$AG$10,"C+",IF(P704&lt;'PlayerGrades+'!$AG$9,"B-",IF(P704&lt;'PlayerGrades+'!$AG$8,"B",IF(P704&lt;'PlayerGrades+'!$AG$7,"B+",IF(P704&lt;'PlayerGrades+'!$AG$6,"A-",IF(P704&lt;'PlayerGrades+'!$AG$5,"A",IF(P704&lt;'PlayerGrades+'!$AG$4,"A+",IF(P704&lt;'PlayerGrades+'!$AG$3,"S-",IF(P704&lt;'PlayerGrades+'!$AG$2,"S","S+"))))))))))))))))))))</f>
        <v>#DIV/0!</v>
      </c>
      <c r="R704" s="1423" t="str">
        <f t="shared" si="19"/>
        <v>#REF!</v>
      </c>
      <c r="S704" s="1423" t="str">
        <f>IF(R704&lt;'PlayerGrades+'!$AH$21,"F-",IF(R704&lt;'PlayerGrades+'!$AH$20,"F",IF(R704&lt;'PlayerGrades+'!$AH$19,"F+",IF(R704&lt;'PlayerGrades+'!$AH$18,"E-",IF(R704&lt;'PlayerGrades+'!$AH$17,"E",IF(R704&lt;'PlayerGrades+'!$AH$16,"E+",IF(R704&lt;'PlayerGrades+'!$AH$15,"D-",IF(R704&lt;'PlayerGrades+'!$AH$14,"D",IF(R704&lt;'PlayerGrades+'!$AH$13,"D+",IF(R704&lt;'PlayerGrades+'!$AH$12,"C-",IF(R704&lt;'PlayerGrades+'!$AH$11,"C",IF(R704&lt;'PlayerGrades+'!$AH$10,"C+",IF(R704&lt;'PlayerGrades+'!$AH$9,"B-",IF(R704&lt;'PlayerGrades+'!$AH$8,"B",IF(R704&lt;'PlayerGrades+'!$AH$7,"B+",IF(R704&lt;'PlayerGrades+'!$AH$6,"A-",IF(R704&lt;'PlayerGrades+'!$AH$5,"A",IF(R704&lt;'PlayerGrades+'!$AH$4,"A+",IF(R704&lt;'PlayerGrades+'!$AH$3,"S-",IF(R704&lt;'PlayerGrades+'!$AH$2,"S","S+"))))))))))))))))))))</f>
        <v>#REF!</v>
      </c>
      <c r="T704" s="1423" t="str">
        <f t="shared" si="20"/>
        <v>#REF!</v>
      </c>
      <c r="U704" s="1423" t="str">
        <f>IF(T704&lt;'PlayerGrades+'!$AI$21,"F-",IF(T704&lt;'PlayerGrades+'!$AI$20,"F",IF(T704&lt;'PlayerGrades+'!$AI$19,"F+",IF(T704&lt;'PlayerGrades+'!$AI$18,"E-",IF(T704&lt;'PlayerGrades+'!$AI$17,"E",IF(T704&lt;'PlayerGrades+'!$AI$16,"E+",IF(T704&lt;'PlayerGrades+'!$AI$15,"D-",IF(T704&lt;'PlayerGrades+'!$AI$14,"D",IF(T704&lt;'PlayerGrades+'!$AI$13,"D+",IF(T704&lt;'PlayerGrades+'!$AI$12,"C-",IF(T704&lt;'PlayerGrades+'!$AI$11,"C",IF(T704&lt;'PlayerGrades+'!$AI$10,"C+",IF(T704&lt;'PlayerGrades+'!$AI$9,"B-",IF(T704&lt;'PlayerGrades+'!$AI$8,"B",IF(T704&lt;'PlayerGrades+'!$AI$7,"B+",IF(T704&lt;'PlayerGrades+'!$AI$6,"A-",IF(T704&lt;'PlayerGrades+'!$AI$5,"A",IF(T704&lt;'PlayerGrades+'!$AI$4,"A+",IF(T704&lt;'PlayerGrades+'!$AI$3,"S-",IF(T704&lt;'PlayerGrades+'!$AI$2,"S","S+"))))))))))))))))))))</f>
        <v>#REF!</v>
      </c>
      <c r="AC704" s="1392"/>
    </row>
    <row r="705">
      <c r="B705" s="1421" t="str">
        <f>IF(C705&lt;'PlayerGrades+'!$Y$44,"F-",IF(C705&lt;'PlayerGrades+'!$Y$43,"F",IF(C705&lt;'PlayerGrades+'!$Y$42,"F+",IF(C705&lt;'PlayerGrades+'!$Y$41,"E-",IF(C705&lt;'PlayerGrades+'!$Y$40,"E",IF(C705&lt;'PlayerGrades+'!$Y$39,"E+",IF(C705&lt;'PlayerGrades+'!$Y$38,"D-",IF(C705&lt;'PlayerGrades+'!$Y$37,"D",IF(C705&lt;'PlayerGrades+'!$Y$36,"D+",IF(C705&lt;'PlayerGrades+'!$Y$35,"C-",IF(C705&lt;'PlayerGrades+'!$Y$34,"C",IF(C705&lt;'PlayerGrades+'!$Y$33,"C+",IF(C705&lt;'PlayerGrades+'!$Y$32,"B-",IF(C705&lt;'PlayerGrades+'!$Y$31,"B",IF(C705&lt;'PlayerGrades+'!$Y$30,"B+",IF(C705&lt;'PlayerGrades+'!$Y$29,"A-",IF(C705&lt;'PlayerGrades+'!$Y$28,"A",IF(C705&lt;'PlayerGrades+'!$Y$27,"A+",IF(C705&lt;'PlayerGrades+'!$Y$26,"S-",IF(C705&lt;'PlayerGrades+'!$Y$25,"S","S+"))))))))))))))))))))</f>
        <v>#DIV/0!</v>
      </c>
      <c r="C705" s="1422" t="str">
        <f>('PlayerGrades+'!$Y$47*(VLOOKUP(E705, 'PlayerGrades+'!$X$3:$Y$23, 2, FALSE)))+('PlayerGrades+'!$Y$48*(VLOOKUP(G705, 'PlayerGrades+'!$X$3:$Y$23, 2, FALSE)))+('PlayerGrades+'!$Y$49*(VLOOKUP(I705, 'PlayerGrades+'!$X$3:$Y$23, 2, FALSE)))+('PlayerGrades+'!$Y$50*(VLOOKUP(K705, 'PlayerGrades+'!$X$3:$Y$23, 2, FALSE)))+('PlayerGrades+'!$Y$51*(VLOOKUP(M705, 'PlayerGrades+'!$X$3:$Y$23, 2, FALSE)))+('PlayerGrades+'!$Y$52*(VLOOKUP(O705, 'PlayerGrades+'!$X$3:$Y$23, 2, FALSE)))+('PlayerGrades+'!$Y$53*(VLOOKUP(Q705, 'PlayerGrades+'!$X$3:$Y$23, 2, FALSE)))+('PlayerGrades+'!$Y$54*(VLOOKUP(S705, 'PlayerGrades+'!$X$3:$Y$23, 2, FALSE)))+('PlayerGrades+'!$Y$55*(VLOOKUP(U705, 'PlayerGrades+'!$X$3:$Y$23, 2, FALSE)))</f>
        <v>#DIV/0!</v>
      </c>
      <c r="D705" s="1423" t="str">
        <f t="shared" si="12"/>
        <v>#DIV/0!</v>
      </c>
      <c r="E705" s="1423" t="str">
        <f>IF(D705&lt;'PlayerGrades+'!$AA$21,"F-",IF(D705&lt;'PlayerGrades+'!$AA$20,"F",IF(D705&lt;'PlayerGrades+'!$AA$19,"F+",IF(D705&lt;'PlayerGrades+'!$AA$18,"E-",IF(D705&lt;'PlayerGrades+'!$AA$17,"E",IF(D705&lt;'PlayerGrades+'!$AA$16,"E+",IF(D705&lt;'PlayerGrades+'!$AA$15,"D-",IF(D705&lt;'PlayerGrades+'!$AA$14,"D",IF(D705&lt;'PlayerGrades+'!$AA$13,"D+",IF(D705&lt;'PlayerGrades+'!$AA$12,"C-",IF(D705&lt;'PlayerGrades+'!$AA$11,"C",IF(D705&lt;'PlayerGrades+'!$AA$10,"C+",IF(D705&lt;'PlayerGrades+'!$AA$9,"B-",IF(D705&lt;'PlayerGrades+'!$AA$8,"B",IF(D705&lt;'PlayerGrades+'!$AA$7,"B+",IF(D705&lt;'PlayerGrades+'!$AA$6,"A-",IF(D705&lt;'PlayerGrades+'!$AA$5,"A",IF(D705&lt;'PlayerGrades+'!$AA$4,"A+",IF(D705&lt;'PlayerGrades+'!$AA$3,"S-",IF(D705&lt;'PlayerGrades+'!$AA$2,"S","S+"))))))))))))))))))))</f>
        <v>#DIV/0!</v>
      </c>
      <c r="F705" s="1423" t="str">
        <f t="shared" si="13"/>
        <v>#DIV/0!</v>
      </c>
      <c r="G705" s="1423" t="str">
        <f>IF(F705&lt;'PlayerGrades+'!$AB$21,"F-",IF(F705&lt;'PlayerGrades+'!$AB$20,"F",IF(F705&lt;'PlayerGrades+'!$AB$19,"F+",IF(F705&lt;'PlayerGrades+'!$AB$18,"E-",IF(F705&lt;'PlayerGrades+'!$AB$17,"E",IF(F705&lt;'PlayerGrades+'!$AB$16,"E+",IF(F705&lt;'PlayerGrades+'!$AB$15,"D-",IF(F705&lt;'PlayerGrades+'!$AB$14,"D",IF(F705&lt;'PlayerGrades+'!$AB$13,"D+",IF(F705&lt;'PlayerGrades+'!$AB$12,"C-",IF(F705&lt;'PlayerGrades+'!$AB$11,"C",IF(F705&lt;'PlayerGrades+'!$AB$10,"C+",IF(F705&lt;'PlayerGrades+'!$AB$9,"B-",IF(F705&lt;'PlayerGrades+'!$AB$8,"B",IF(F705&lt;'PlayerGrades+'!$AB$7,"B+",IF(F705&lt;'PlayerGrades+'!$AB$6,"A-",IF(F705&lt;'PlayerGrades+'!$AB$5,"A",IF(F705&lt;'PlayerGrades+'!$AB$4,"A+",IF(F705&lt;'PlayerGrades+'!$AB$3,"S-",IF(F705&lt;'PlayerGrades+'!$AB$2,"S","S+"))))))))))))))))))))</f>
        <v>#DIV/0!</v>
      </c>
      <c r="H705" s="1423" t="str">
        <f t="shared" si="14"/>
        <v>#DIV/0!</v>
      </c>
      <c r="I705" s="1423" t="str">
        <f>IF(H705&lt;'PlayerGrades+'!$AC$21,"F-",IF(H705&lt;'PlayerGrades+'!$AC$20,"F",IF(H705&lt;'PlayerGrades+'!$AC$19,"F+",IF(H705&lt;'PlayerGrades+'!$AC$18,"E-",IF(H705&lt;'PlayerGrades+'!$AC$17,"E",IF(H705&lt;'PlayerGrades+'!$AC$16,"E+",IF(H705&lt;'PlayerGrades+'!$AC$15,"D-",IF(H705&lt;'PlayerGrades+'!$AC$14,"D",IF(H705&lt;'PlayerGrades+'!$AC$13,"D+",IF(H705&lt;'PlayerGrades+'!$AC$12,"C-",IF(H705&lt;'PlayerGrades+'!$AC$11,"C",IF(H705&lt;'PlayerGrades+'!$AC$10,"C+",IF(H705&lt;'PlayerGrades+'!$AC$9,"B-",IF(H705&lt;'PlayerGrades+'!$AC$8,"B",IF(H705&lt;'PlayerGrades+'!$AC$7,"B+",IF(H705&lt;'PlayerGrades+'!$AC$6,"A-",IF(H705&lt;'PlayerGrades+'!$AC$5,"A",IF(H705&lt;'PlayerGrades+'!$AC$4,"A+",IF(H705&lt;'PlayerGrades+'!$AC$3,"S-",IF(H705&lt;'PlayerGrades+'!$AC$2,"S","S+"))))))))))))))))))))</f>
        <v>#DIV/0!</v>
      </c>
      <c r="J705" s="1423" t="str">
        <f t="shared" si="15"/>
        <v>#DIV/0!</v>
      </c>
      <c r="K705" s="1423" t="str">
        <f>IF(J705&lt;'PlayerGrades+'!$AD$21,"F-",IF(J705&lt;'PlayerGrades+'!$AD$20,"F",IF(J705&lt;'PlayerGrades+'!$AD$19,"F+",IF(J705&lt;'PlayerGrades+'!$AD$18,"E-",IF(J705&lt;'PlayerGrades+'!$AD$17,"E",IF(J705&lt;'PlayerGrades+'!$AD$16,"E+",IF(J705&lt;'PlayerGrades+'!$AD$15,"D-",IF(J705&lt;'PlayerGrades+'!$AD$14,"D",IF(J705&lt;'PlayerGrades+'!$AD$13,"D+",IF(J705&lt;'PlayerGrades+'!$AD$12,"C-",IF(J705&lt;'PlayerGrades+'!$AD$11,"C",IF(J705&lt;'PlayerGrades+'!$AD$10,"C+",IF(J705&lt;'PlayerGrades+'!$AD$9,"B-",IF(J705&lt;'PlayerGrades+'!$AD$8,"B",IF(J705&lt;'PlayerGrades+'!$AD$7,"B+",IF(J705&lt;'PlayerGrades+'!$AD$6,"A-",IF(J705&lt;'PlayerGrades+'!$AD$5,"A",IF(J705&lt;'PlayerGrades+'!$AD$4,"A+",IF(J705&lt;'PlayerGrades+'!$AD$3,"S-",IF(J705&lt;'PlayerGrades+'!$AD$2,"S","S+"))))))))))))))))))))</f>
        <v>#DIV/0!</v>
      </c>
      <c r="L705" s="1176" t="str">
        <f t="shared" si="16"/>
        <v>#DIV/0!</v>
      </c>
      <c r="M705" s="992" t="str">
        <f>IF(L705&lt;'PlayerGrades+'!$AE$21,"F-",IF(L705&lt;'PlayerGrades+'!$AE$20,"F",IF(L705&lt;'PlayerGrades+'!$AE$19,"F+",IF(L705&lt;'PlayerGrades+'!$AE$18,"E-",IF(L705&lt;'PlayerGrades+'!$AE$17,"E",IF(L705&lt;'PlayerGrades+'!$AE$16,"E+",IF(L705&lt;'PlayerGrades+'!$AE$15,"D-",IF(L705&lt;'PlayerGrades+'!$AE$14,"D",IF(L705&lt;'PlayerGrades+'!$AE$13,"D+",IF(L705&lt;'PlayerGrades+'!$AE$12,"C-",IF(L705&lt;'PlayerGrades+'!$AE$11,"C",IF(L705&lt;'PlayerGrades+'!$AE$10,"C+",IF(L705&lt;'PlayerGrades+'!$AE$9,"B-",IF(L705&lt;'PlayerGrades+'!$AE$8,"B",IF(L705&lt;'PlayerGrades+'!$AE$7,"B+",IF(L705&lt;'PlayerGrades+'!$AE$6,"A-",IF(L705&lt;'PlayerGrades+'!$AE$5,"A",IF(L705&lt;'PlayerGrades+'!$AE$4,"A+",IF(L705&lt;'PlayerGrades+'!$AE$3,"S-",IF(L705&lt;'PlayerGrades+'!$AE$2,"S","S+"))))))))))))))))))))</f>
        <v>#DIV/0!</v>
      </c>
      <c r="N705" s="1423" t="str">
        <f t="shared" si="17"/>
        <v>#DIV/0!</v>
      </c>
      <c r="O705" s="1423" t="str">
        <f>IF(N705&lt;'PlayerGrades+'!$AF$21,"F-",IF(N705&lt;'PlayerGrades+'!$AF$20,"F",IF(N705&lt;'PlayerGrades+'!$AF$19,"F+",IF(N705&lt;'PlayerGrades+'!$AF$18,"E-",IF(N705&lt;'PlayerGrades+'!$AF$17,"E",IF(N705&lt;'PlayerGrades+'!$AF$16,"E+",IF(N705&lt;'PlayerGrades+'!$AF$15,"D-",IF(N705&lt;'PlayerGrades+'!$AF$14,"D",IF(N705&lt;'PlayerGrades+'!$AF$13,"D+",IF(N705&lt;'PlayerGrades+'!$AF$12,"C-",IF(N705&lt;'PlayerGrades+'!$AF$11,"C",IF(N705&lt;'PlayerGrades+'!$AF$10,"C+",IF(N705&lt;'PlayerGrades+'!$AF$9,"B-",IF(N705&lt;'PlayerGrades+'!$AF$8,"B",IF(N705&lt;'PlayerGrades+'!$AF$7,"B+",IF(N705&lt;'PlayerGrades+'!$AF$6,"A-",IF(N705&lt;'PlayerGrades+'!$AF$5,"A",IF(N705&lt;'PlayerGrades+'!$AF$4,"A+",IF(N705&lt;'PlayerGrades+'!$AF$3,"S-",IF(N705&lt;'PlayerGrades+'!$AF$2,"S","S+"))))))))))))))))))))</f>
        <v>#DIV/0!</v>
      </c>
      <c r="P705" s="1423" t="str">
        <f t="shared" si="18"/>
        <v>#DIV/0!</v>
      </c>
      <c r="Q705" s="1423" t="str">
        <f>IF(P705&lt;'PlayerGrades+'!$AG$21,"F-",IF(P705&lt;'PlayerGrades+'!$AG$20,"F",IF(P705&lt;'PlayerGrades+'!$AG$19,"F+",IF(P705&lt;'PlayerGrades+'!$AG$18,"E-",IF(P705&lt;'PlayerGrades+'!$AG$17,"E",IF(P705&lt;'PlayerGrades+'!$AG$16,"E+",IF(P705&lt;'PlayerGrades+'!$AG$15,"D-",IF(P705&lt;'PlayerGrades+'!$AG$14,"D",IF(P705&lt;'PlayerGrades+'!$AG$13,"D+",IF(P705&lt;'PlayerGrades+'!$AG$12,"C-",IF(P705&lt;'PlayerGrades+'!$AG$11,"C",IF(P705&lt;'PlayerGrades+'!$AG$10,"C+",IF(P705&lt;'PlayerGrades+'!$AG$9,"B-",IF(P705&lt;'PlayerGrades+'!$AG$8,"B",IF(P705&lt;'PlayerGrades+'!$AG$7,"B+",IF(P705&lt;'PlayerGrades+'!$AG$6,"A-",IF(P705&lt;'PlayerGrades+'!$AG$5,"A",IF(P705&lt;'PlayerGrades+'!$AG$4,"A+",IF(P705&lt;'PlayerGrades+'!$AG$3,"S-",IF(P705&lt;'PlayerGrades+'!$AG$2,"S","S+"))))))))))))))))))))</f>
        <v>#DIV/0!</v>
      </c>
      <c r="R705" s="1423" t="str">
        <f t="shared" si="19"/>
        <v>#REF!</v>
      </c>
      <c r="S705" s="1423" t="str">
        <f>IF(R705&lt;'PlayerGrades+'!$AH$21,"F-",IF(R705&lt;'PlayerGrades+'!$AH$20,"F",IF(R705&lt;'PlayerGrades+'!$AH$19,"F+",IF(R705&lt;'PlayerGrades+'!$AH$18,"E-",IF(R705&lt;'PlayerGrades+'!$AH$17,"E",IF(R705&lt;'PlayerGrades+'!$AH$16,"E+",IF(R705&lt;'PlayerGrades+'!$AH$15,"D-",IF(R705&lt;'PlayerGrades+'!$AH$14,"D",IF(R705&lt;'PlayerGrades+'!$AH$13,"D+",IF(R705&lt;'PlayerGrades+'!$AH$12,"C-",IF(R705&lt;'PlayerGrades+'!$AH$11,"C",IF(R705&lt;'PlayerGrades+'!$AH$10,"C+",IF(R705&lt;'PlayerGrades+'!$AH$9,"B-",IF(R705&lt;'PlayerGrades+'!$AH$8,"B",IF(R705&lt;'PlayerGrades+'!$AH$7,"B+",IF(R705&lt;'PlayerGrades+'!$AH$6,"A-",IF(R705&lt;'PlayerGrades+'!$AH$5,"A",IF(R705&lt;'PlayerGrades+'!$AH$4,"A+",IF(R705&lt;'PlayerGrades+'!$AH$3,"S-",IF(R705&lt;'PlayerGrades+'!$AH$2,"S","S+"))))))))))))))))))))</f>
        <v>#REF!</v>
      </c>
      <c r="T705" s="1423" t="str">
        <f t="shared" si="20"/>
        <v>#REF!</v>
      </c>
      <c r="U705" s="1423" t="str">
        <f>IF(T705&lt;'PlayerGrades+'!$AI$21,"F-",IF(T705&lt;'PlayerGrades+'!$AI$20,"F",IF(T705&lt;'PlayerGrades+'!$AI$19,"F+",IF(T705&lt;'PlayerGrades+'!$AI$18,"E-",IF(T705&lt;'PlayerGrades+'!$AI$17,"E",IF(T705&lt;'PlayerGrades+'!$AI$16,"E+",IF(T705&lt;'PlayerGrades+'!$AI$15,"D-",IF(T705&lt;'PlayerGrades+'!$AI$14,"D",IF(T705&lt;'PlayerGrades+'!$AI$13,"D+",IF(T705&lt;'PlayerGrades+'!$AI$12,"C-",IF(T705&lt;'PlayerGrades+'!$AI$11,"C",IF(T705&lt;'PlayerGrades+'!$AI$10,"C+",IF(T705&lt;'PlayerGrades+'!$AI$9,"B-",IF(T705&lt;'PlayerGrades+'!$AI$8,"B",IF(T705&lt;'PlayerGrades+'!$AI$7,"B+",IF(T705&lt;'PlayerGrades+'!$AI$6,"A-",IF(T705&lt;'PlayerGrades+'!$AI$5,"A",IF(T705&lt;'PlayerGrades+'!$AI$4,"A+",IF(T705&lt;'PlayerGrades+'!$AI$3,"S-",IF(T705&lt;'PlayerGrades+'!$AI$2,"S","S+"))))))))))))))))))))</f>
        <v>#REF!</v>
      </c>
      <c r="AC705" s="1392"/>
    </row>
    <row r="706" hidden="1">
      <c r="B706" s="1421"/>
      <c r="C706" s="1422"/>
      <c r="D706" s="1423"/>
      <c r="E706" s="1423"/>
      <c r="F706" s="1423"/>
      <c r="G706" s="1423"/>
      <c r="H706" s="1423"/>
      <c r="I706" s="1423"/>
      <c r="J706" s="1423"/>
      <c r="K706" s="1423"/>
      <c r="L706" s="1176"/>
      <c r="M706" s="992"/>
      <c r="N706" s="1423"/>
      <c r="O706" s="1423"/>
      <c r="P706" s="1423"/>
      <c r="Q706" s="1423"/>
      <c r="R706" s="1423"/>
      <c r="S706" s="1423"/>
      <c r="T706" s="1423"/>
      <c r="U706" s="1423"/>
      <c r="AC706" s="1392"/>
    </row>
    <row r="707" hidden="1">
      <c r="B707" s="1421"/>
      <c r="C707" s="1422"/>
      <c r="D707" s="1423"/>
      <c r="E707" s="1423"/>
      <c r="F707" s="1423"/>
      <c r="G707" s="1423"/>
      <c r="H707" s="1423"/>
      <c r="I707" s="1423"/>
      <c r="J707" s="1423"/>
      <c r="K707" s="1423"/>
      <c r="L707" s="1176"/>
      <c r="M707" s="992"/>
      <c r="N707" s="1423"/>
      <c r="O707" s="1423"/>
      <c r="P707" s="1423"/>
      <c r="Q707" s="1423"/>
      <c r="R707" s="1423"/>
      <c r="S707" s="1423"/>
      <c r="T707" s="1423"/>
      <c r="U707" s="1423"/>
      <c r="AC707" s="1392"/>
    </row>
    <row r="708" hidden="1">
      <c r="B708" s="1421"/>
      <c r="C708" s="1422"/>
      <c r="D708" s="1423"/>
      <c r="E708" s="1423"/>
      <c r="F708" s="1423"/>
      <c r="G708" s="1423"/>
      <c r="H708" s="1423"/>
      <c r="I708" s="1423"/>
      <c r="J708" s="1423"/>
      <c r="K708" s="1423"/>
      <c r="L708" s="1176"/>
      <c r="M708" s="992"/>
      <c r="N708" s="1423"/>
      <c r="O708" s="1423"/>
      <c r="P708" s="1423"/>
      <c r="Q708" s="1423"/>
      <c r="R708" s="1423"/>
      <c r="S708" s="1423"/>
      <c r="T708" s="1423"/>
      <c r="U708" s="1423"/>
      <c r="AC708" s="1392"/>
    </row>
    <row r="709" hidden="1">
      <c r="B709" s="1421"/>
      <c r="C709" s="1422"/>
      <c r="D709" s="1423"/>
      <c r="E709" s="1423"/>
      <c r="F709" s="1423"/>
      <c r="G709" s="1423"/>
      <c r="H709" s="1423"/>
      <c r="I709" s="1423"/>
      <c r="J709" s="1423"/>
      <c r="K709" s="1423"/>
      <c r="L709" s="1176"/>
      <c r="M709" s="992"/>
      <c r="N709" s="1423"/>
      <c r="O709" s="1423"/>
      <c r="P709" s="1423"/>
      <c r="Q709" s="1423"/>
      <c r="R709" s="1423"/>
      <c r="S709" s="1423"/>
      <c r="T709" s="1423"/>
      <c r="U709" s="1423"/>
      <c r="AC709" s="1392"/>
    </row>
    <row r="710" hidden="1">
      <c r="B710" s="1421"/>
      <c r="C710" s="1422"/>
      <c r="D710" s="1423"/>
      <c r="E710" s="1423"/>
      <c r="F710" s="1423"/>
      <c r="G710" s="1423"/>
      <c r="H710" s="1423"/>
      <c r="I710" s="1423"/>
      <c r="J710" s="1423"/>
      <c r="K710" s="1423"/>
      <c r="L710" s="1176"/>
      <c r="M710" s="992"/>
      <c r="N710" s="1423"/>
      <c r="O710" s="1423"/>
      <c r="P710" s="1423"/>
      <c r="Q710" s="1423"/>
      <c r="R710" s="1423"/>
      <c r="S710" s="1423"/>
      <c r="T710" s="1423"/>
      <c r="U710" s="1423"/>
      <c r="AC710" s="1392"/>
    </row>
    <row r="711" hidden="1">
      <c r="B711" s="1421"/>
      <c r="C711" s="1422"/>
      <c r="D711" s="1423"/>
      <c r="E711" s="1423"/>
      <c r="F711" s="1423"/>
      <c r="G711" s="1423"/>
      <c r="H711" s="1423"/>
      <c r="I711" s="1423"/>
      <c r="J711" s="1423"/>
      <c r="K711" s="1423"/>
      <c r="L711" s="1176"/>
      <c r="M711" s="992"/>
      <c r="N711" s="1423"/>
      <c r="O711" s="1423"/>
      <c r="P711" s="1423"/>
      <c r="Q711" s="1423"/>
      <c r="R711" s="1423"/>
      <c r="S711" s="1423"/>
      <c r="T711" s="1423"/>
      <c r="U711" s="1423"/>
      <c r="AC711" s="1392"/>
    </row>
    <row r="712" hidden="1">
      <c r="B712" s="1421"/>
      <c r="C712" s="1422"/>
      <c r="D712" s="1423"/>
      <c r="E712" s="1423"/>
      <c r="F712" s="1423"/>
      <c r="G712" s="1423"/>
      <c r="H712" s="1423"/>
      <c r="I712" s="1423"/>
      <c r="J712" s="1423"/>
      <c r="K712" s="1423"/>
      <c r="L712" s="1176"/>
      <c r="M712" s="992"/>
      <c r="N712" s="1423"/>
      <c r="O712" s="1423"/>
      <c r="P712" s="1423"/>
      <c r="Q712" s="1423"/>
      <c r="R712" s="1423"/>
      <c r="S712" s="1423"/>
      <c r="T712" s="1423"/>
      <c r="U712" s="1423"/>
      <c r="AC712" s="1392"/>
    </row>
    <row r="713" hidden="1">
      <c r="B713" s="1421"/>
      <c r="C713" s="1422"/>
      <c r="D713" s="1423"/>
      <c r="E713" s="1423"/>
      <c r="F713" s="1423"/>
      <c r="G713" s="1423"/>
      <c r="H713" s="1423"/>
      <c r="I713" s="1423"/>
      <c r="J713" s="1423"/>
      <c r="K713" s="1423"/>
      <c r="L713" s="1176"/>
      <c r="M713" s="992"/>
      <c r="N713" s="1423"/>
      <c r="O713" s="1423"/>
      <c r="P713" s="1423"/>
      <c r="Q713" s="1423"/>
      <c r="R713" s="1423"/>
      <c r="S713" s="1423"/>
      <c r="T713" s="1423"/>
      <c r="U713" s="1423"/>
      <c r="AC713" s="1392"/>
    </row>
    <row r="714" hidden="1">
      <c r="B714" s="1421"/>
      <c r="C714" s="1422"/>
      <c r="D714" s="1423"/>
      <c r="E714" s="1423"/>
      <c r="F714" s="1423"/>
      <c r="G714" s="1423"/>
      <c r="H714" s="1423"/>
      <c r="I714" s="1423"/>
      <c r="J714" s="1423"/>
      <c r="K714" s="1423"/>
      <c r="L714" s="1176"/>
      <c r="M714" s="992"/>
      <c r="N714" s="1423"/>
      <c r="O714" s="1423"/>
      <c r="P714" s="1423"/>
      <c r="Q714" s="1423"/>
      <c r="R714" s="1423"/>
      <c r="S714" s="1423"/>
      <c r="T714" s="1423"/>
      <c r="U714" s="1423"/>
      <c r="AC714" s="1392"/>
    </row>
    <row r="715" hidden="1">
      <c r="B715" s="1421"/>
      <c r="C715" s="1422"/>
      <c r="D715" s="1423"/>
      <c r="E715" s="1423"/>
      <c r="F715" s="1423"/>
      <c r="G715" s="1423"/>
      <c r="H715" s="1423"/>
      <c r="I715" s="1423"/>
      <c r="J715" s="1423"/>
      <c r="K715" s="1423"/>
      <c r="L715" s="1176"/>
      <c r="M715" s="992"/>
      <c r="N715" s="1423"/>
      <c r="O715" s="1423"/>
      <c r="P715" s="1423"/>
      <c r="Q715" s="1423"/>
      <c r="R715" s="1423"/>
      <c r="S715" s="1423"/>
      <c r="T715" s="1423"/>
      <c r="U715" s="1423"/>
      <c r="AC715" s="1392"/>
    </row>
    <row r="716" hidden="1">
      <c r="B716" s="1421"/>
      <c r="C716" s="1422"/>
      <c r="D716" s="1423"/>
      <c r="E716" s="1423"/>
      <c r="F716" s="1423"/>
      <c r="G716" s="1423"/>
      <c r="H716" s="1423"/>
      <c r="I716" s="1423"/>
      <c r="J716" s="1423"/>
      <c r="K716" s="1423"/>
      <c r="L716" s="1176"/>
      <c r="M716" s="992"/>
      <c r="N716" s="1423"/>
      <c r="O716" s="1423"/>
      <c r="P716" s="1423"/>
      <c r="Q716" s="1423"/>
      <c r="R716" s="1423"/>
      <c r="S716" s="1423"/>
      <c r="T716" s="1423"/>
      <c r="U716" s="1423"/>
      <c r="AC716" s="1392"/>
    </row>
    <row r="717" hidden="1">
      <c r="B717" s="1421"/>
      <c r="C717" s="1422"/>
      <c r="D717" s="1423"/>
      <c r="E717" s="1423"/>
      <c r="F717" s="1423"/>
      <c r="G717" s="1423"/>
      <c r="H717" s="1423"/>
      <c r="I717" s="1423"/>
      <c r="J717" s="1423"/>
      <c r="K717" s="1423"/>
      <c r="L717" s="1176"/>
      <c r="M717" s="992"/>
      <c r="N717" s="1423"/>
      <c r="O717" s="1423"/>
      <c r="P717" s="1423"/>
      <c r="Q717" s="1423"/>
      <c r="R717" s="1423"/>
      <c r="S717" s="1423"/>
      <c r="T717" s="1423"/>
      <c r="U717" s="1423"/>
      <c r="AC717" s="1392"/>
    </row>
    <row r="718" hidden="1">
      <c r="B718" s="1421"/>
      <c r="C718" s="1422"/>
      <c r="D718" s="1423"/>
      <c r="E718" s="1423"/>
      <c r="F718" s="1423"/>
      <c r="G718" s="1423"/>
      <c r="H718" s="1423"/>
      <c r="I718" s="1423"/>
      <c r="J718" s="1423"/>
      <c r="K718" s="1423"/>
      <c r="L718" s="1176"/>
      <c r="M718" s="992"/>
      <c r="N718" s="1423"/>
      <c r="O718" s="1423"/>
      <c r="P718" s="1423"/>
      <c r="Q718" s="1423"/>
      <c r="R718" s="1423"/>
      <c r="S718" s="1423"/>
      <c r="T718" s="1423"/>
      <c r="U718" s="1423"/>
      <c r="AC718" s="1392"/>
    </row>
    <row r="719" hidden="1">
      <c r="B719" s="1421"/>
      <c r="C719" s="1422"/>
      <c r="D719" s="1423"/>
      <c r="E719" s="1423"/>
      <c r="F719" s="1423"/>
      <c r="G719" s="1423"/>
      <c r="H719" s="1423"/>
      <c r="I719" s="1423"/>
      <c r="J719" s="1423"/>
      <c r="K719" s="1423"/>
      <c r="L719" s="1176"/>
      <c r="M719" s="992"/>
      <c r="N719" s="1423"/>
      <c r="O719" s="1423"/>
      <c r="P719" s="1423"/>
      <c r="Q719" s="1423"/>
      <c r="R719" s="1423"/>
      <c r="S719" s="1423"/>
      <c r="T719" s="1423"/>
      <c r="U719" s="1423"/>
      <c r="AC719" s="1392"/>
    </row>
    <row r="720" hidden="1">
      <c r="B720" s="1421"/>
      <c r="C720" s="1422"/>
      <c r="D720" s="1423"/>
      <c r="E720" s="1423"/>
      <c r="F720" s="1423"/>
      <c r="G720" s="1423"/>
      <c r="H720" s="1423"/>
      <c r="I720" s="1423"/>
      <c r="J720" s="1423"/>
      <c r="K720" s="1423"/>
      <c r="L720" s="1176"/>
      <c r="M720" s="992"/>
      <c r="N720" s="1423"/>
      <c r="O720" s="1423"/>
      <c r="P720" s="1423"/>
      <c r="Q720" s="1423"/>
      <c r="R720" s="1423"/>
      <c r="S720" s="1423"/>
      <c r="T720" s="1423"/>
      <c r="U720" s="1423"/>
      <c r="AC720" s="1392"/>
    </row>
    <row r="721" hidden="1">
      <c r="B721" s="1421"/>
      <c r="C721" s="1422"/>
      <c r="D721" s="1423"/>
      <c r="E721" s="1423"/>
      <c r="F721" s="1423"/>
      <c r="G721" s="1423"/>
      <c r="H721" s="1423"/>
      <c r="I721" s="1423"/>
      <c r="J721" s="1423"/>
      <c r="K721" s="1423"/>
      <c r="L721" s="1176"/>
      <c r="M721" s="992"/>
      <c r="N721" s="1423"/>
      <c r="O721" s="1423"/>
      <c r="P721" s="1423"/>
      <c r="Q721" s="1423"/>
      <c r="R721" s="1423"/>
      <c r="S721" s="1423"/>
      <c r="T721" s="1423"/>
      <c r="U721" s="1423"/>
      <c r="AC721" s="1392"/>
    </row>
    <row r="722" hidden="1">
      <c r="B722" s="1421"/>
      <c r="C722" s="1422"/>
      <c r="D722" s="1423"/>
      <c r="E722" s="1423"/>
      <c r="F722" s="1423"/>
      <c r="G722" s="1423"/>
      <c r="H722" s="1423"/>
      <c r="I722" s="1423"/>
      <c r="J722" s="1423"/>
      <c r="K722" s="1423"/>
      <c r="L722" s="1176"/>
      <c r="M722" s="992"/>
      <c r="N722" s="1423"/>
      <c r="O722" s="1423"/>
      <c r="P722" s="1423"/>
      <c r="Q722" s="1423"/>
      <c r="R722" s="1423"/>
      <c r="S722" s="1423"/>
      <c r="T722" s="1423"/>
      <c r="U722" s="1423"/>
      <c r="AC722" s="1392"/>
    </row>
    <row r="723" hidden="1">
      <c r="B723" s="1421"/>
      <c r="C723" s="1422"/>
      <c r="D723" s="1423"/>
      <c r="E723" s="1423"/>
      <c r="F723" s="1423"/>
      <c r="G723" s="1423"/>
      <c r="H723" s="1423"/>
      <c r="I723" s="1423"/>
      <c r="J723" s="1423"/>
      <c r="K723" s="1423"/>
      <c r="L723" s="1176"/>
      <c r="M723" s="992"/>
      <c r="N723" s="1423"/>
      <c r="O723" s="1423"/>
      <c r="P723" s="1423"/>
      <c r="Q723" s="1423"/>
      <c r="R723" s="1423"/>
      <c r="S723" s="1423"/>
      <c r="T723" s="1423"/>
      <c r="U723" s="1423"/>
      <c r="AC723" s="1392"/>
    </row>
    <row r="724" hidden="1">
      <c r="B724" s="1421"/>
      <c r="C724" s="1422"/>
      <c r="D724" s="1423"/>
      <c r="E724" s="1423"/>
      <c r="F724" s="1423"/>
      <c r="G724" s="1423"/>
      <c r="H724" s="1423"/>
      <c r="I724" s="1423"/>
      <c r="J724" s="1423"/>
      <c r="K724" s="1423"/>
      <c r="L724" s="1176"/>
      <c r="M724" s="992"/>
      <c r="N724" s="1423"/>
      <c r="O724" s="1423"/>
      <c r="P724" s="1423"/>
      <c r="Q724" s="1423"/>
      <c r="R724" s="1423"/>
      <c r="S724" s="1423"/>
      <c r="T724" s="1423"/>
      <c r="U724" s="1423"/>
      <c r="AC724" s="1392"/>
    </row>
    <row r="725" hidden="1">
      <c r="B725" s="1421"/>
      <c r="C725" s="1422"/>
      <c r="D725" s="1423"/>
      <c r="E725" s="1423"/>
      <c r="F725" s="1423"/>
      <c r="G725" s="1423"/>
      <c r="H725" s="1423"/>
      <c r="I725" s="1423"/>
      <c r="J725" s="1423"/>
      <c r="K725" s="1423"/>
      <c r="L725" s="1176"/>
      <c r="M725" s="992"/>
      <c r="N725" s="1423"/>
      <c r="O725" s="1423"/>
      <c r="P725" s="1423"/>
      <c r="Q725" s="1423"/>
      <c r="R725" s="1423"/>
      <c r="S725" s="1423"/>
      <c r="T725" s="1423"/>
      <c r="U725" s="1423"/>
      <c r="AC725" s="1392"/>
    </row>
    <row r="726" hidden="1">
      <c r="B726" s="1421"/>
      <c r="C726" s="1422"/>
      <c r="D726" s="1423"/>
      <c r="E726" s="1423"/>
      <c r="F726" s="1423"/>
      <c r="G726" s="1423"/>
      <c r="H726" s="1423"/>
      <c r="I726" s="1423"/>
      <c r="J726" s="1423"/>
      <c r="K726" s="1423"/>
      <c r="L726" s="1176"/>
      <c r="M726" s="992"/>
      <c r="N726" s="1423"/>
      <c r="O726" s="1423"/>
      <c r="P726" s="1423"/>
      <c r="Q726" s="1423"/>
      <c r="R726" s="1423"/>
      <c r="S726" s="1423"/>
      <c r="T726" s="1423"/>
      <c r="U726" s="1423"/>
      <c r="AC726" s="1392"/>
    </row>
    <row r="727" hidden="1">
      <c r="B727" s="1421"/>
      <c r="C727" s="1422"/>
      <c r="D727" s="1423"/>
      <c r="E727" s="1423"/>
      <c r="F727" s="1423"/>
      <c r="G727" s="1423"/>
      <c r="H727" s="1423"/>
      <c r="I727" s="1423"/>
      <c r="J727" s="1423"/>
      <c r="K727" s="1423"/>
      <c r="L727" s="1176"/>
      <c r="M727" s="992"/>
      <c r="N727" s="1423"/>
      <c r="O727" s="1423"/>
      <c r="P727" s="1423"/>
      <c r="Q727" s="1423"/>
      <c r="R727" s="1423"/>
      <c r="S727" s="1423"/>
      <c r="T727" s="1423"/>
      <c r="U727" s="1423"/>
      <c r="AC727" s="1392"/>
    </row>
    <row r="728" hidden="1">
      <c r="B728" s="1421"/>
      <c r="C728" s="1422"/>
      <c r="D728" s="1423"/>
      <c r="E728" s="1423"/>
      <c r="F728" s="1423"/>
      <c r="G728" s="1423"/>
      <c r="H728" s="1423"/>
      <c r="I728" s="1423"/>
      <c r="J728" s="1423"/>
      <c r="K728" s="1423"/>
      <c r="L728" s="1176"/>
      <c r="M728" s="992"/>
      <c r="N728" s="1423"/>
      <c r="O728" s="1423"/>
      <c r="P728" s="1423"/>
      <c r="Q728" s="1423"/>
      <c r="R728" s="1423"/>
      <c r="S728" s="1423"/>
      <c r="T728" s="1423"/>
      <c r="U728" s="1423"/>
      <c r="AC728" s="1392"/>
    </row>
    <row r="729" hidden="1">
      <c r="B729" s="1421"/>
      <c r="C729" s="1422"/>
      <c r="D729" s="1423"/>
      <c r="E729" s="1423"/>
      <c r="F729" s="1423"/>
      <c r="G729" s="1423"/>
      <c r="H729" s="1423"/>
      <c r="I729" s="1423"/>
      <c r="J729" s="1423"/>
      <c r="K729" s="1423"/>
      <c r="L729" s="1176"/>
      <c r="M729" s="992"/>
      <c r="N729" s="1423"/>
      <c r="O729" s="1423"/>
      <c r="P729" s="1423"/>
      <c r="Q729" s="1423"/>
      <c r="R729" s="1423"/>
      <c r="S729" s="1423"/>
      <c r="T729" s="1423"/>
      <c r="U729" s="1423"/>
      <c r="AC729" s="1392"/>
    </row>
    <row r="730" hidden="1">
      <c r="B730" s="1421"/>
      <c r="C730" s="1422"/>
      <c r="D730" s="1423"/>
      <c r="E730" s="1423"/>
      <c r="F730" s="1423"/>
      <c r="G730" s="1423"/>
      <c r="H730" s="1423"/>
      <c r="I730" s="1423"/>
      <c r="J730" s="1423"/>
      <c r="K730" s="1423"/>
      <c r="L730" s="1176"/>
      <c r="M730" s="992"/>
      <c r="N730" s="1423"/>
      <c r="O730" s="1423"/>
      <c r="P730" s="1423"/>
      <c r="Q730" s="1423"/>
      <c r="R730" s="1423"/>
      <c r="S730" s="1423"/>
      <c r="T730" s="1423"/>
      <c r="U730" s="1423"/>
      <c r="AC730" s="1392"/>
    </row>
    <row r="731" hidden="1">
      <c r="B731" s="1421"/>
      <c r="C731" s="1422"/>
      <c r="D731" s="1423"/>
      <c r="E731" s="1423"/>
      <c r="F731" s="1423"/>
      <c r="G731" s="1423"/>
      <c r="H731" s="1423"/>
      <c r="I731" s="1423"/>
      <c r="J731" s="1423"/>
      <c r="K731" s="1423"/>
      <c r="L731" s="1176"/>
      <c r="M731" s="992"/>
      <c r="N731" s="1423"/>
      <c r="O731" s="1423"/>
      <c r="P731" s="1423"/>
      <c r="Q731" s="1423"/>
      <c r="R731" s="1423"/>
      <c r="S731" s="1423"/>
      <c r="T731" s="1423"/>
      <c r="U731" s="1423"/>
      <c r="AC731" s="1392"/>
    </row>
    <row r="732" hidden="1">
      <c r="B732" s="1421"/>
      <c r="C732" s="1422"/>
      <c r="D732" s="1423"/>
      <c r="E732" s="1423"/>
      <c r="F732" s="1423"/>
      <c r="G732" s="1423"/>
      <c r="H732" s="1423"/>
      <c r="I732" s="1423"/>
      <c r="J732" s="1423"/>
      <c r="K732" s="1423"/>
      <c r="L732" s="1176"/>
      <c r="M732" s="992"/>
      <c r="N732" s="1423"/>
      <c r="O732" s="1423"/>
      <c r="P732" s="1423"/>
      <c r="Q732" s="1423"/>
      <c r="R732" s="1423"/>
      <c r="S732" s="1423"/>
      <c r="T732" s="1423"/>
      <c r="U732" s="1423"/>
      <c r="AC732" s="1392"/>
    </row>
    <row r="733" hidden="1">
      <c r="B733" s="1421"/>
      <c r="C733" s="1422"/>
      <c r="D733" s="1423"/>
      <c r="E733" s="1423"/>
      <c r="F733" s="1423"/>
      <c r="G733" s="1423"/>
      <c r="H733" s="1423"/>
      <c r="I733" s="1423"/>
      <c r="J733" s="1423"/>
      <c r="K733" s="1423"/>
      <c r="L733" s="1176"/>
      <c r="M733" s="992"/>
      <c r="N733" s="1423"/>
      <c r="O733" s="1423"/>
      <c r="P733" s="1423"/>
      <c r="Q733" s="1423"/>
      <c r="R733" s="1423"/>
      <c r="S733" s="1423"/>
      <c r="T733" s="1423"/>
      <c r="U733" s="1423"/>
      <c r="AC733" s="1392"/>
    </row>
    <row r="734" hidden="1">
      <c r="B734" s="1421"/>
      <c r="C734" s="1422"/>
      <c r="D734" s="1423"/>
      <c r="E734" s="1423"/>
      <c r="F734" s="1423"/>
      <c r="G734" s="1423"/>
      <c r="H734" s="1423"/>
      <c r="I734" s="1423"/>
      <c r="J734" s="1423"/>
      <c r="K734" s="1423"/>
      <c r="L734" s="1176"/>
      <c r="M734" s="992"/>
      <c r="N734" s="1423"/>
      <c r="O734" s="1423"/>
      <c r="P734" s="1423"/>
      <c r="Q734" s="1423"/>
      <c r="R734" s="1423"/>
      <c r="S734" s="1423"/>
      <c r="T734" s="1423"/>
      <c r="U734" s="1423"/>
      <c r="AC734" s="1392"/>
    </row>
    <row r="735" hidden="1">
      <c r="B735" s="1421"/>
      <c r="C735" s="1422"/>
      <c r="D735" s="1423"/>
      <c r="E735" s="1423"/>
      <c r="F735" s="1423"/>
      <c r="G735" s="1423"/>
      <c r="H735" s="1423"/>
      <c r="I735" s="1423"/>
      <c r="J735" s="1423"/>
      <c r="K735" s="1423"/>
      <c r="L735" s="1176"/>
      <c r="M735" s="992"/>
      <c r="N735" s="1423"/>
      <c r="O735" s="1423"/>
      <c r="P735" s="1423"/>
      <c r="Q735" s="1423"/>
      <c r="R735" s="1423"/>
      <c r="S735" s="1423"/>
      <c r="T735" s="1423"/>
      <c r="U735" s="1423"/>
      <c r="AC735" s="1392"/>
    </row>
    <row r="736" hidden="1">
      <c r="B736" s="1421"/>
      <c r="C736" s="1422"/>
      <c r="D736" s="1423"/>
      <c r="E736" s="1423"/>
      <c r="F736" s="1423"/>
      <c r="G736" s="1423"/>
      <c r="H736" s="1423"/>
      <c r="I736" s="1423"/>
      <c r="J736" s="1423"/>
      <c r="K736" s="1423"/>
      <c r="L736" s="1176"/>
      <c r="M736" s="992"/>
      <c r="N736" s="1423"/>
      <c r="O736" s="1423"/>
      <c r="P736" s="1423"/>
      <c r="Q736" s="1423"/>
      <c r="R736" s="1423"/>
      <c r="S736" s="1423"/>
      <c r="T736" s="1423"/>
      <c r="U736" s="1423"/>
      <c r="AC736" s="1392"/>
    </row>
    <row r="737" hidden="1">
      <c r="B737" s="1421"/>
      <c r="C737" s="1422"/>
      <c r="D737" s="1423"/>
      <c r="E737" s="1423"/>
      <c r="F737" s="1423"/>
      <c r="G737" s="1423"/>
      <c r="H737" s="1423"/>
      <c r="I737" s="1423"/>
      <c r="J737" s="1423"/>
      <c r="K737" s="1423"/>
      <c r="L737" s="1176"/>
      <c r="M737" s="992"/>
      <c r="N737" s="1423"/>
      <c r="O737" s="1423"/>
      <c r="P737" s="1423"/>
      <c r="Q737" s="1423"/>
      <c r="R737" s="1423"/>
      <c r="S737" s="1423"/>
      <c r="T737" s="1423"/>
      <c r="U737" s="1423"/>
      <c r="AC737" s="1392"/>
    </row>
    <row r="738" hidden="1">
      <c r="B738" s="1421"/>
      <c r="C738" s="1422"/>
      <c r="D738" s="1423"/>
      <c r="E738" s="1423"/>
      <c r="F738" s="1423"/>
      <c r="G738" s="1423"/>
      <c r="H738" s="1423"/>
      <c r="I738" s="1423"/>
      <c r="J738" s="1423"/>
      <c r="K738" s="1423"/>
      <c r="L738" s="1176"/>
      <c r="M738" s="992"/>
      <c r="N738" s="1423"/>
      <c r="O738" s="1423"/>
      <c r="P738" s="1423"/>
      <c r="Q738" s="1423"/>
      <c r="R738" s="1423"/>
      <c r="S738" s="1423"/>
      <c r="T738" s="1423"/>
      <c r="U738" s="1423"/>
      <c r="AC738" s="1392"/>
    </row>
    <row r="739" hidden="1">
      <c r="B739" s="1421"/>
      <c r="C739" s="1422"/>
      <c r="D739" s="1423"/>
      <c r="E739" s="1423"/>
      <c r="F739" s="1423"/>
      <c r="G739" s="1423"/>
      <c r="H739" s="1423"/>
      <c r="I739" s="1423"/>
      <c r="J739" s="1423"/>
      <c r="K739" s="1423"/>
      <c r="L739" s="1176"/>
      <c r="M739" s="992"/>
      <c r="N739" s="1423"/>
      <c r="O739" s="1423"/>
      <c r="P739" s="1423"/>
      <c r="Q739" s="1423"/>
      <c r="R739" s="1423"/>
      <c r="S739" s="1423"/>
      <c r="T739" s="1423"/>
      <c r="U739" s="1423"/>
      <c r="AC739" s="1392"/>
    </row>
    <row r="740" hidden="1">
      <c r="B740" s="1421"/>
      <c r="C740" s="1422"/>
      <c r="D740" s="1423"/>
      <c r="E740" s="1423"/>
      <c r="F740" s="1423"/>
      <c r="G740" s="1423"/>
      <c r="H740" s="1423"/>
      <c r="I740" s="1423"/>
      <c r="J740" s="1423"/>
      <c r="K740" s="1423"/>
      <c r="L740" s="1176"/>
      <c r="M740" s="992"/>
      <c r="N740" s="1423"/>
      <c r="O740" s="1423"/>
      <c r="P740" s="1423"/>
      <c r="Q740" s="1423"/>
      <c r="R740" s="1423"/>
      <c r="S740" s="1423"/>
      <c r="T740" s="1423"/>
      <c r="U740" s="1423"/>
      <c r="AC740" s="1392"/>
    </row>
    <row r="741" hidden="1">
      <c r="B741" s="1421"/>
      <c r="C741" s="1422"/>
      <c r="D741" s="1423"/>
      <c r="E741" s="1423"/>
      <c r="F741" s="1423"/>
      <c r="G741" s="1423"/>
      <c r="H741" s="1423"/>
      <c r="I741" s="1423"/>
      <c r="J741" s="1423"/>
      <c r="K741" s="1423"/>
      <c r="L741" s="1176"/>
      <c r="M741" s="992"/>
      <c r="N741" s="1423"/>
      <c r="O741" s="1423"/>
      <c r="P741" s="1423"/>
      <c r="Q741" s="1423"/>
      <c r="R741" s="1423"/>
      <c r="S741" s="1423"/>
      <c r="T741" s="1423"/>
      <c r="U741" s="1423"/>
      <c r="AC741" s="1392"/>
    </row>
    <row r="742" hidden="1">
      <c r="B742" s="1421"/>
      <c r="C742" s="1422"/>
      <c r="D742" s="1423"/>
      <c r="E742" s="1423"/>
      <c r="F742" s="1423"/>
      <c r="G742" s="1423"/>
      <c r="H742" s="1423"/>
      <c r="I742" s="1423"/>
      <c r="J742" s="1423"/>
      <c r="K742" s="1423"/>
      <c r="L742" s="1176"/>
      <c r="M742" s="992"/>
      <c r="N742" s="1423"/>
      <c r="O742" s="1423"/>
      <c r="P742" s="1423"/>
      <c r="Q742" s="1423"/>
      <c r="R742" s="1423"/>
      <c r="S742" s="1423"/>
      <c r="T742" s="1423"/>
      <c r="U742" s="1423"/>
      <c r="AC742" s="1392"/>
    </row>
    <row r="743" hidden="1">
      <c r="B743" s="1421"/>
      <c r="C743" s="1422"/>
      <c r="D743" s="1423"/>
      <c r="E743" s="1423"/>
      <c r="F743" s="1423"/>
      <c r="G743" s="1423"/>
      <c r="H743" s="1423"/>
      <c r="I743" s="1423"/>
      <c r="J743" s="1423"/>
      <c r="K743" s="1423"/>
      <c r="L743" s="1176"/>
      <c r="M743" s="992"/>
      <c r="N743" s="1423"/>
      <c r="O743" s="1423"/>
      <c r="P743" s="1423"/>
      <c r="Q743" s="1423"/>
      <c r="R743" s="1423"/>
      <c r="S743" s="1423"/>
      <c r="T743" s="1423"/>
      <c r="U743" s="1423"/>
      <c r="AC743" s="1392"/>
    </row>
    <row r="744" hidden="1">
      <c r="B744" s="1421"/>
      <c r="C744" s="1422"/>
      <c r="D744" s="1423"/>
      <c r="E744" s="1423"/>
      <c r="F744" s="1423"/>
      <c r="G744" s="1423"/>
      <c r="H744" s="1423"/>
      <c r="I744" s="1423"/>
      <c r="J744" s="1423"/>
      <c r="K744" s="1423"/>
      <c r="L744" s="1176"/>
      <c r="M744" s="992"/>
      <c r="N744" s="1423"/>
      <c r="O744" s="1423"/>
      <c r="P744" s="1423"/>
      <c r="Q744" s="1423"/>
      <c r="R744" s="1423"/>
      <c r="S744" s="1423"/>
      <c r="T744" s="1423"/>
      <c r="U744" s="1423"/>
      <c r="AC744" s="1392"/>
    </row>
    <row r="745" hidden="1">
      <c r="B745" s="1421"/>
      <c r="C745" s="1422"/>
      <c r="D745" s="1423"/>
      <c r="E745" s="1423"/>
      <c r="F745" s="1423"/>
      <c r="G745" s="1423"/>
      <c r="H745" s="1423"/>
      <c r="I745" s="1423"/>
      <c r="J745" s="1423"/>
      <c r="K745" s="1423"/>
      <c r="L745" s="1176"/>
      <c r="M745" s="992"/>
      <c r="N745" s="1423"/>
      <c r="O745" s="1423"/>
      <c r="P745" s="1423"/>
      <c r="Q745" s="1423"/>
      <c r="R745" s="1423"/>
      <c r="S745" s="1423"/>
      <c r="T745" s="1423"/>
      <c r="U745" s="1423"/>
      <c r="AC745" s="1392"/>
    </row>
    <row r="746" hidden="1">
      <c r="B746" s="1421"/>
      <c r="C746" s="1422"/>
      <c r="D746" s="1423"/>
      <c r="E746" s="1423"/>
      <c r="F746" s="1423"/>
      <c r="G746" s="1423"/>
      <c r="H746" s="1423"/>
      <c r="I746" s="1423"/>
      <c r="J746" s="1423"/>
      <c r="K746" s="1423"/>
      <c r="L746" s="1176"/>
      <c r="M746" s="992"/>
      <c r="N746" s="1423"/>
      <c r="O746" s="1423"/>
      <c r="P746" s="1423"/>
      <c r="Q746" s="1423"/>
      <c r="R746" s="1423"/>
      <c r="S746" s="1423"/>
      <c r="T746" s="1423"/>
      <c r="U746" s="1423"/>
      <c r="AC746" s="1392"/>
    </row>
    <row r="747" hidden="1">
      <c r="B747" s="1421"/>
      <c r="C747" s="1422"/>
      <c r="D747" s="1423"/>
      <c r="E747" s="1423"/>
      <c r="F747" s="1423"/>
      <c r="G747" s="1423"/>
      <c r="H747" s="1423"/>
      <c r="I747" s="1423"/>
      <c r="J747" s="1423"/>
      <c r="K747" s="1423"/>
      <c r="L747" s="1176"/>
      <c r="M747" s="992"/>
      <c r="N747" s="1423"/>
      <c r="O747" s="1423"/>
      <c r="P747" s="1423"/>
      <c r="Q747" s="1423"/>
      <c r="R747" s="1423"/>
      <c r="S747" s="1423"/>
      <c r="T747" s="1423"/>
      <c r="U747" s="1423"/>
      <c r="AC747" s="1392"/>
    </row>
    <row r="748" hidden="1">
      <c r="B748" s="1421"/>
      <c r="C748" s="1422"/>
      <c r="D748" s="1423"/>
      <c r="E748" s="1423"/>
      <c r="F748" s="1423"/>
      <c r="G748" s="1423"/>
      <c r="H748" s="1423"/>
      <c r="I748" s="1423"/>
      <c r="J748" s="1423"/>
      <c r="K748" s="1423"/>
      <c r="L748" s="1176"/>
      <c r="M748" s="992"/>
      <c r="N748" s="1423"/>
      <c r="O748" s="1423"/>
      <c r="P748" s="1423"/>
      <c r="Q748" s="1423"/>
      <c r="R748" s="1423"/>
      <c r="S748" s="1423"/>
      <c r="T748" s="1423"/>
      <c r="U748" s="1423"/>
      <c r="AC748" s="1392"/>
    </row>
    <row r="749" hidden="1">
      <c r="B749" s="1421"/>
      <c r="C749" s="1422"/>
      <c r="D749" s="1423"/>
      <c r="E749" s="1423"/>
      <c r="F749" s="1423"/>
      <c r="G749" s="1423"/>
      <c r="H749" s="1423"/>
      <c r="I749" s="1423"/>
      <c r="J749" s="1423"/>
      <c r="K749" s="1423"/>
      <c r="L749" s="1176"/>
      <c r="M749" s="992"/>
      <c r="N749" s="1423"/>
      <c r="O749" s="1423"/>
      <c r="P749" s="1423"/>
      <c r="Q749" s="1423"/>
      <c r="R749" s="1423"/>
      <c r="S749" s="1423"/>
      <c r="T749" s="1423"/>
      <c r="U749" s="1423"/>
      <c r="AC749" s="1392"/>
    </row>
    <row r="750" hidden="1">
      <c r="B750" s="1421"/>
      <c r="C750" s="1422"/>
      <c r="D750" s="1423"/>
      <c r="E750" s="1423"/>
      <c r="F750" s="1423"/>
      <c r="G750" s="1423"/>
      <c r="H750" s="1423"/>
      <c r="I750" s="1423"/>
      <c r="J750" s="1423"/>
      <c r="K750" s="1423"/>
      <c r="L750" s="1176"/>
      <c r="M750" s="992"/>
      <c r="N750" s="1423"/>
      <c r="O750" s="1423"/>
      <c r="P750" s="1423"/>
      <c r="Q750" s="1423"/>
      <c r="R750" s="1423"/>
      <c r="S750" s="1423"/>
      <c r="T750" s="1423"/>
      <c r="U750" s="1423"/>
      <c r="AC750" s="1392"/>
    </row>
    <row r="751" hidden="1">
      <c r="B751" s="1421"/>
      <c r="C751" s="1422"/>
      <c r="D751" s="1423"/>
      <c r="E751" s="1423"/>
      <c r="F751" s="1423"/>
      <c r="G751" s="1423"/>
      <c r="H751" s="1423"/>
      <c r="I751" s="1423"/>
      <c r="J751" s="1423"/>
      <c r="K751" s="1423"/>
      <c r="L751" s="1176"/>
      <c r="M751" s="992"/>
      <c r="N751" s="1423"/>
      <c r="O751" s="1423"/>
      <c r="P751" s="1423"/>
      <c r="Q751" s="1423"/>
      <c r="R751" s="1423"/>
      <c r="S751" s="1423"/>
      <c r="T751" s="1423"/>
      <c r="U751" s="1423"/>
      <c r="AC751" s="1392"/>
    </row>
    <row r="752" hidden="1">
      <c r="B752" s="1421"/>
      <c r="C752" s="1422"/>
      <c r="D752" s="1423"/>
      <c r="E752" s="1423"/>
      <c r="F752" s="1423"/>
      <c r="G752" s="1423"/>
      <c r="H752" s="1423"/>
      <c r="I752" s="1423"/>
      <c r="J752" s="1423"/>
      <c r="K752" s="1423"/>
      <c r="L752" s="1176"/>
      <c r="M752" s="992"/>
      <c r="N752" s="1423"/>
      <c r="O752" s="1423"/>
      <c r="P752" s="1423"/>
      <c r="Q752" s="1423"/>
      <c r="R752" s="1423"/>
      <c r="S752" s="1423"/>
      <c r="T752" s="1423"/>
      <c r="U752" s="1423"/>
      <c r="AC752" s="1392"/>
    </row>
    <row r="753" hidden="1">
      <c r="B753" s="1421"/>
      <c r="C753" s="1422"/>
      <c r="D753" s="1423"/>
      <c r="E753" s="1423"/>
      <c r="F753" s="1423"/>
      <c r="G753" s="1423"/>
      <c r="H753" s="1423"/>
      <c r="I753" s="1423"/>
      <c r="J753" s="1423"/>
      <c r="K753" s="1423"/>
      <c r="L753" s="1176"/>
      <c r="M753" s="992"/>
      <c r="N753" s="1423"/>
      <c r="O753" s="1423"/>
      <c r="P753" s="1423"/>
      <c r="Q753" s="1423"/>
      <c r="R753" s="1423"/>
      <c r="S753" s="1423"/>
      <c r="T753" s="1423"/>
      <c r="U753" s="1423"/>
      <c r="AC753" s="1392"/>
    </row>
    <row r="754" hidden="1">
      <c r="B754" s="1421"/>
      <c r="C754" s="1422"/>
      <c r="D754" s="1423"/>
      <c r="E754" s="1423"/>
      <c r="F754" s="1423"/>
      <c r="G754" s="1423"/>
      <c r="H754" s="1423"/>
      <c r="I754" s="1423"/>
      <c r="J754" s="1423"/>
      <c r="K754" s="1423"/>
      <c r="L754" s="1176"/>
      <c r="M754" s="992"/>
      <c r="N754" s="1423"/>
      <c r="O754" s="1423"/>
      <c r="P754" s="1423"/>
      <c r="Q754" s="1423"/>
      <c r="R754" s="1423"/>
      <c r="S754" s="1423"/>
      <c r="T754" s="1423"/>
      <c r="U754" s="1423"/>
      <c r="AC754" s="1392"/>
    </row>
    <row r="755" hidden="1">
      <c r="B755" s="1421"/>
      <c r="C755" s="1422"/>
      <c r="D755" s="1423"/>
      <c r="E755" s="1423"/>
      <c r="F755" s="1423"/>
      <c r="G755" s="1423"/>
      <c r="H755" s="1423"/>
      <c r="I755" s="1423"/>
      <c r="J755" s="1423"/>
      <c r="K755" s="1423"/>
      <c r="L755" s="1176"/>
      <c r="M755" s="992"/>
      <c r="N755" s="1423"/>
      <c r="O755" s="1423"/>
      <c r="P755" s="1423"/>
      <c r="Q755" s="1423"/>
      <c r="R755" s="1423"/>
      <c r="S755" s="1423"/>
      <c r="T755" s="1423"/>
      <c r="U755" s="1423"/>
      <c r="AC755" s="1392"/>
    </row>
    <row r="756" hidden="1">
      <c r="B756" s="1421"/>
      <c r="C756" s="1422"/>
      <c r="D756" s="1423"/>
      <c r="E756" s="1423"/>
      <c r="F756" s="1423"/>
      <c r="G756" s="1423"/>
      <c r="H756" s="1423"/>
      <c r="I756" s="1423"/>
      <c r="J756" s="1423"/>
      <c r="K756" s="1423"/>
      <c r="L756" s="1176"/>
      <c r="M756" s="992"/>
      <c r="N756" s="1423"/>
      <c r="O756" s="1423"/>
      <c r="P756" s="1423"/>
      <c r="Q756" s="1423"/>
      <c r="R756" s="1423"/>
      <c r="S756" s="1423"/>
      <c r="T756" s="1423"/>
      <c r="U756" s="1423"/>
      <c r="AC756" s="1392"/>
    </row>
    <row r="757" hidden="1">
      <c r="B757" s="1421"/>
      <c r="C757" s="1422"/>
      <c r="D757" s="1423"/>
      <c r="E757" s="1423"/>
      <c r="F757" s="1423"/>
      <c r="G757" s="1423"/>
      <c r="H757" s="1423"/>
      <c r="I757" s="1423"/>
      <c r="J757" s="1423"/>
      <c r="K757" s="1423"/>
      <c r="L757" s="1176"/>
      <c r="M757" s="992"/>
      <c r="N757" s="1423"/>
      <c r="O757" s="1423"/>
      <c r="P757" s="1423"/>
      <c r="Q757" s="1423"/>
      <c r="R757" s="1423"/>
      <c r="S757" s="1423"/>
      <c r="T757" s="1423"/>
      <c r="U757" s="1423"/>
      <c r="AC757" s="1392"/>
    </row>
    <row r="758" hidden="1">
      <c r="B758" s="1421"/>
      <c r="C758" s="1422"/>
      <c r="D758" s="1423"/>
      <c r="E758" s="1423"/>
      <c r="F758" s="1423"/>
      <c r="G758" s="1423"/>
      <c r="H758" s="1423"/>
      <c r="I758" s="1423"/>
      <c r="J758" s="1423"/>
      <c r="K758" s="1423"/>
      <c r="L758" s="1176"/>
      <c r="M758" s="992"/>
      <c r="N758" s="1423"/>
      <c r="O758" s="1423"/>
      <c r="P758" s="1423"/>
      <c r="Q758" s="1423"/>
      <c r="R758" s="1423"/>
      <c r="S758" s="1423"/>
      <c r="T758" s="1423"/>
      <c r="U758" s="1423"/>
      <c r="AC758" s="1392"/>
    </row>
    <row r="759" hidden="1">
      <c r="B759" s="1421"/>
      <c r="C759" s="1422"/>
      <c r="D759" s="1423"/>
      <c r="E759" s="1423"/>
      <c r="F759" s="1423"/>
      <c r="G759" s="1423"/>
      <c r="H759" s="1423"/>
      <c r="I759" s="1423"/>
      <c r="J759" s="1423"/>
      <c r="K759" s="1423"/>
      <c r="L759" s="1176"/>
      <c r="M759" s="992"/>
      <c r="N759" s="1423"/>
      <c r="O759" s="1423"/>
      <c r="P759" s="1423"/>
      <c r="Q759" s="1423"/>
      <c r="R759" s="1423"/>
      <c r="S759" s="1423"/>
      <c r="T759" s="1423"/>
      <c r="U759" s="1423"/>
      <c r="AC759" s="1392"/>
    </row>
    <row r="760" hidden="1">
      <c r="B760" s="1421"/>
      <c r="C760" s="1422"/>
      <c r="D760" s="1423"/>
      <c r="E760" s="1423"/>
      <c r="F760" s="1423"/>
      <c r="G760" s="1423"/>
      <c r="H760" s="1423"/>
      <c r="I760" s="1423"/>
      <c r="J760" s="1423"/>
      <c r="K760" s="1423"/>
      <c r="L760" s="1176"/>
      <c r="M760" s="992"/>
      <c r="N760" s="1423"/>
      <c r="O760" s="1423"/>
      <c r="P760" s="1423"/>
      <c r="Q760" s="1423"/>
      <c r="R760" s="1423"/>
      <c r="S760" s="1423"/>
      <c r="T760" s="1423"/>
      <c r="U760" s="1423"/>
      <c r="AC760" s="1392"/>
    </row>
    <row r="761" hidden="1">
      <c r="B761" s="612"/>
      <c r="C761" s="1435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AC761" s="1392"/>
    </row>
    <row r="762" hidden="1">
      <c r="B762" s="612"/>
      <c r="C762" s="1435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AC762" s="1392"/>
    </row>
    <row r="763" hidden="1">
      <c r="B763" s="612"/>
      <c r="C763" s="1435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AC763" s="1392"/>
    </row>
    <row r="764" hidden="1">
      <c r="B764" s="612"/>
      <c r="C764" s="1435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AC764" s="1392"/>
    </row>
    <row r="765" hidden="1">
      <c r="B765" s="612"/>
      <c r="C765" s="1435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AC765" s="1392"/>
    </row>
    <row r="766" hidden="1">
      <c r="B766" s="612"/>
      <c r="C766" s="1435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AC766" s="1392"/>
    </row>
    <row r="767" hidden="1">
      <c r="B767" s="612"/>
      <c r="C767" s="1435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AC767" s="1392"/>
    </row>
    <row r="768" hidden="1">
      <c r="B768" s="612"/>
      <c r="C768" s="1435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AC768" s="1392"/>
    </row>
    <row r="769" hidden="1">
      <c r="B769" s="612"/>
      <c r="C769" s="1435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AC769" s="1392"/>
    </row>
    <row r="770" hidden="1">
      <c r="B770" s="612"/>
      <c r="C770" s="1435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AC770" s="1392"/>
    </row>
    <row r="771" hidden="1">
      <c r="B771" s="612"/>
      <c r="C771" s="1435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AC771" s="1392"/>
    </row>
    <row r="772" hidden="1">
      <c r="B772" s="612"/>
      <c r="C772" s="1435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AC772" s="1392"/>
    </row>
    <row r="773" hidden="1">
      <c r="B773" s="612"/>
      <c r="C773" s="1435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AC773" s="1392"/>
    </row>
    <row r="774" hidden="1">
      <c r="B774" s="612"/>
      <c r="C774" s="1435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AC774" s="1392"/>
    </row>
    <row r="775" hidden="1">
      <c r="B775" s="612"/>
      <c r="C775" s="1435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AC775" s="1392"/>
    </row>
    <row r="776" hidden="1">
      <c r="B776" s="612"/>
      <c r="C776" s="1435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AC776" s="1392"/>
    </row>
    <row r="777" hidden="1">
      <c r="B777" s="612"/>
      <c r="C777" s="1435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AC777" s="1392"/>
    </row>
    <row r="778" hidden="1">
      <c r="B778" s="612"/>
      <c r="C778" s="1435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AC778" s="1392"/>
    </row>
    <row r="779" hidden="1">
      <c r="B779" s="612"/>
      <c r="C779" s="1435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AC779" s="1392"/>
    </row>
    <row r="780" hidden="1">
      <c r="B780" s="612"/>
      <c r="C780" s="1435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AC780" s="1392"/>
    </row>
    <row r="781" hidden="1">
      <c r="B781" s="612"/>
      <c r="C781" s="1435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AC781" s="1392"/>
    </row>
    <row r="782" hidden="1">
      <c r="B782" s="612"/>
      <c r="C782" s="1435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AC782" s="1392"/>
    </row>
    <row r="783" hidden="1">
      <c r="B783" s="612"/>
      <c r="C783" s="1435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AC783" s="1392"/>
    </row>
    <row r="784" hidden="1">
      <c r="B784" s="612"/>
      <c r="C784" s="1435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AC784" s="1392"/>
    </row>
    <row r="785" hidden="1">
      <c r="B785" s="612"/>
      <c r="C785" s="1435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AC785" s="1392"/>
    </row>
    <row r="786" hidden="1">
      <c r="B786" s="612"/>
      <c r="C786" s="1435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AC786" s="1392"/>
    </row>
    <row r="787" hidden="1">
      <c r="B787" s="612"/>
      <c r="C787" s="1435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AC787" s="1392"/>
    </row>
    <row r="788" hidden="1">
      <c r="B788" s="612"/>
      <c r="C788" s="1435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AC788" s="1392"/>
    </row>
    <row r="789" hidden="1">
      <c r="B789" s="612"/>
      <c r="C789" s="1435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AC789" s="1392"/>
    </row>
    <row r="790" hidden="1">
      <c r="B790" s="612"/>
      <c r="C790" s="1435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AC790" s="1392"/>
    </row>
    <row r="791" hidden="1">
      <c r="B791" s="612"/>
      <c r="C791" s="1435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AC791" s="1392"/>
    </row>
    <row r="792" hidden="1">
      <c r="B792" s="612"/>
      <c r="C792" s="1435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AC792" s="1392"/>
    </row>
    <row r="793" hidden="1">
      <c r="B793" s="612"/>
      <c r="C793" s="1435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AC793" s="1392"/>
    </row>
    <row r="794" hidden="1">
      <c r="B794" s="612"/>
      <c r="C794" s="1435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AC794" s="1392"/>
    </row>
    <row r="795" hidden="1">
      <c r="B795" s="612"/>
      <c r="C795" s="1435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AC795" s="1392"/>
    </row>
    <row r="796" hidden="1">
      <c r="B796" s="612"/>
      <c r="C796" s="1435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AC796" s="1392"/>
    </row>
    <row r="797" hidden="1">
      <c r="B797" s="612"/>
      <c r="C797" s="1435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AC797" s="1392"/>
    </row>
    <row r="798" hidden="1">
      <c r="B798" s="612"/>
      <c r="C798" s="1435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AC798" s="1392"/>
    </row>
    <row r="799" hidden="1">
      <c r="B799" s="612"/>
      <c r="C799" s="1435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AC799" s="1392"/>
    </row>
    <row r="800" hidden="1">
      <c r="B800" s="612"/>
      <c r="C800" s="1435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AC800" s="1392"/>
    </row>
    <row r="801" hidden="1">
      <c r="B801" s="612"/>
      <c r="C801" s="1435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AC801" s="1392"/>
    </row>
    <row r="802" hidden="1">
      <c r="B802" s="612"/>
      <c r="C802" s="1435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AC802" s="1392"/>
    </row>
    <row r="803" hidden="1">
      <c r="B803" s="612"/>
      <c r="C803" s="1435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AC803" s="1392"/>
    </row>
    <row r="804" hidden="1">
      <c r="B804" s="612"/>
      <c r="C804" s="1435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AC804" s="1392"/>
    </row>
    <row r="805" hidden="1">
      <c r="B805" s="612"/>
      <c r="C805" s="1435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AC805" s="1392"/>
    </row>
    <row r="806" hidden="1">
      <c r="B806" s="612"/>
      <c r="C806" s="1435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AC806" s="1392"/>
    </row>
    <row r="807" hidden="1">
      <c r="B807" s="612"/>
      <c r="C807" s="1435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AC807" s="1392"/>
    </row>
    <row r="808" hidden="1">
      <c r="B808" s="612"/>
      <c r="C808" s="1435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AC808" s="1392"/>
    </row>
    <row r="809" hidden="1">
      <c r="B809" s="612"/>
      <c r="C809" s="1435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AC809" s="1392"/>
    </row>
    <row r="810" hidden="1">
      <c r="B810" s="612"/>
      <c r="C810" s="1435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AC810" s="1392"/>
    </row>
    <row r="811" hidden="1">
      <c r="B811" s="612"/>
      <c r="C811" s="1435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AC811" s="1392"/>
    </row>
    <row r="812" hidden="1">
      <c r="B812" s="612"/>
      <c r="C812" s="1435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AC812" s="1392"/>
    </row>
    <row r="813" hidden="1">
      <c r="B813" s="612"/>
      <c r="C813" s="1435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AC813" s="1392"/>
    </row>
    <row r="814" hidden="1">
      <c r="B814" s="612"/>
      <c r="C814" s="1435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AC814" s="1392"/>
    </row>
    <row r="815" hidden="1">
      <c r="B815" s="612"/>
      <c r="C815" s="1435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AC815" s="1392"/>
    </row>
    <row r="816" hidden="1">
      <c r="B816" s="612"/>
      <c r="C816" s="1435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AC816" s="1392"/>
    </row>
    <row r="817" hidden="1">
      <c r="B817" s="612"/>
      <c r="C817" s="1435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AC817" s="1392"/>
    </row>
    <row r="818" hidden="1">
      <c r="B818" s="612"/>
      <c r="C818" s="1435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AC818" s="1392"/>
    </row>
    <row r="819" hidden="1">
      <c r="B819" s="612"/>
      <c r="C819" s="1435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AC819" s="1392"/>
    </row>
    <row r="820" hidden="1">
      <c r="B820" s="612"/>
      <c r="C820" s="1435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AC820" s="1392"/>
    </row>
    <row r="821" hidden="1">
      <c r="B821" s="612"/>
      <c r="C821" s="1435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AC821" s="1392"/>
    </row>
    <row r="822" hidden="1">
      <c r="B822" s="612"/>
      <c r="C822" s="1435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AC822" s="1392"/>
    </row>
    <row r="823" hidden="1">
      <c r="B823" s="612"/>
      <c r="C823" s="1435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AC823" s="1392"/>
    </row>
    <row r="824" hidden="1">
      <c r="B824" s="612"/>
      <c r="C824" s="1435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AC824" s="1392"/>
    </row>
    <row r="825" hidden="1">
      <c r="B825" s="612"/>
      <c r="C825" s="1435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AC825" s="1392"/>
    </row>
    <row r="826" hidden="1">
      <c r="B826" s="612"/>
      <c r="C826" s="1435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AC826" s="1392"/>
    </row>
    <row r="827" hidden="1">
      <c r="B827" s="612"/>
      <c r="C827" s="1435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AC827" s="1392"/>
    </row>
    <row r="828" hidden="1">
      <c r="B828" s="612"/>
      <c r="C828" s="1435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AC828" s="1392"/>
    </row>
    <row r="829" hidden="1">
      <c r="B829" s="612"/>
      <c r="C829" s="1435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AC829" s="1392"/>
    </row>
    <row r="830" hidden="1">
      <c r="B830" s="612"/>
      <c r="C830" s="1435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AC830" s="1392"/>
    </row>
    <row r="831" hidden="1">
      <c r="B831" s="612"/>
      <c r="C831" s="1435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AC831" s="1392"/>
    </row>
    <row r="832" hidden="1">
      <c r="B832" s="612"/>
      <c r="C832" s="1435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AC832" s="1392"/>
    </row>
    <row r="833" hidden="1">
      <c r="B833" s="612"/>
      <c r="C833" s="1435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AC833" s="1392"/>
    </row>
    <row r="834" hidden="1">
      <c r="B834" s="612"/>
      <c r="C834" s="1435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AC834" s="1392"/>
    </row>
    <row r="835" hidden="1">
      <c r="B835" s="612"/>
      <c r="C835" s="1435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AC835" s="1392"/>
    </row>
    <row r="836" hidden="1">
      <c r="B836" s="612"/>
      <c r="C836" s="1435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AC836" s="1392"/>
    </row>
    <row r="837" hidden="1">
      <c r="B837" s="612"/>
      <c r="C837" s="1435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AC837" s="1392"/>
    </row>
    <row r="838" hidden="1">
      <c r="B838" s="612"/>
      <c r="C838" s="1435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AC838" s="1392"/>
    </row>
    <row r="839" hidden="1">
      <c r="B839" s="612"/>
      <c r="C839" s="1435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AC839" s="1392"/>
    </row>
    <row r="840" hidden="1">
      <c r="B840" s="612"/>
      <c r="C840" s="1435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AC840" s="1392"/>
    </row>
    <row r="841" hidden="1">
      <c r="B841" s="612"/>
      <c r="C841" s="1435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AC841" s="1392"/>
    </row>
    <row r="842" hidden="1">
      <c r="B842" s="612"/>
      <c r="C842" s="1435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AC842" s="1392"/>
    </row>
    <row r="843" hidden="1">
      <c r="B843" s="612"/>
      <c r="C843" s="1435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AC843" s="1392"/>
    </row>
    <row r="844" hidden="1">
      <c r="B844" s="612"/>
      <c r="C844" s="1435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AC844" s="1392"/>
    </row>
    <row r="845" hidden="1">
      <c r="B845" s="612"/>
      <c r="C845" s="1435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AC845" s="1392"/>
    </row>
    <row r="846" hidden="1">
      <c r="B846" s="612"/>
      <c r="C846" s="1435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AC846" s="1392"/>
    </row>
    <row r="847" hidden="1">
      <c r="B847" s="612"/>
      <c r="C847" s="1435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AC847" s="1392"/>
    </row>
    <row r="848" hidden="1">
      <c r="B848" s="612"/>
      <c r="C848" s="1435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AC848" s="1392"/>
    </row>
    <row r="849" hidden="1">
      <c r="B849" s="612"/>
      <c r="C849" s="1435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AC849" s="1392"/>
    </row>
    <row r="850" hidden="1">
      <c r="B850" s="612"/>
      <c r="C850" s="1435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AC850" s="1392"/>
    </row>
    <row r="851" hidden="1">
      <c r="B851" s="612"/>
      <c r="C851" s="1435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AC851" s="1392"/>
    </row>
    <row r="852" hidden="1">
      <c r="B852" s="612"/>
      <c r="C852" s="1435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AC852" s="1392"/>
    </row>
    <row r="853" hidden="1">
      <c r="B853" s="612"/>
      <c r="C853" s="1435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AC853" s="1392"/>
    </row>
    <row r="854" hidden="1">
      <c r="B854" s="612"/>
      <c r="C854" s="1435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AC854" s="1392"/>
    </row>
    <row r="855" hidden="1">
      <c r="B855" s="612"/>
      <c r="C855" s="1435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AC855" s="1392"/>
    </row>
    <row r="856" hidden="1">
      <c r="B856" s="612"/>
      <c r="C856" s="1435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AC856" s="1392"/>
    </row>
    <row r="857" hidden="1">
      <c r="B857" s="612"/>
      <c r="C857" s="1435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AC857" s="1392"/>
    </row>
    <row r="858" hidden="1">
      <c r="B858" s="612"/>
      <c r="C858" s="1435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AC858" s="1392"/>
    </row>
    <row r="859" hidden="1">
      <c r="B859" s="612"/>
      <c r="C859" s="1435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AC859" s="1392"/>
    </row>
    <row r="860" hidden="1">
      <c r="B860" s="612"/>
      <c r="C860" s="1435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AC860" s="1392"/>
    </row>
    <row r="861" hidden="1">
      <c r="B861" s="612"/>
      <c r="C861" s="1435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AC861" s="1392"/>
    </row>
    <row r="862" hidden="1">
      <c r="B862" s="612"/>
      <c r="C862" s="1435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AC862" s="1392"/>
    </row>
    <row r="863" hidden="1">
      <c r="B863" s="612"/>
      <c r="C863" s="1435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AC863" s="1392"/>
    </row>
    <row r="864" hidden="1">
      <c r="B864" s="612"/>
      <c r="C864" s="1435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AC864" s="1392"/>
    </row>
    <row r="865" hidden="1">
      <c r="B865" s="612"/>
      <c r="C865" s="1435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AC865" s="1392"/>
    </row>
    <row r="866" hidden="1">
      <c r="B866" s="612"/>
      <c r="C866" s="1435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AC866" s="1392"/>
    </row>
    <row r="867" hidden="1">
      <c r="B867" s="612"/>
      <c r="C867" s="1435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AC867" s="1392"/>
    </row>
    <row r="868" hidden="1">
      <c r="B868" s="612"/>
      <c r="C868" s="1435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AC868" s="1392"/>
    </row>
    <row r="869" hidden="1">
      <c r="B869" s="612"/>
      <c r="C869" s="1435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AC869" s="1392"/>
    </row>
    <row r="870" hidden="1">
      <c r="B870" s="612"/>
      <c r="C870" s="1435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AC870" s="1392"/>
    </row>
    <row r="871" hidden="1">
      <c r="B871" s="612"/>
      <c r="C871" s="1435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AC871" s="1392"/>
    </row>
    <row r="872" hidden="1">
      <c r="B872" s="612"/>
      <c r="C872" s="1435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AC872" s="1392"/>
    </row>
    <row r="873" hidden="1">
      <c r="B873" s="612"/>
      <c r="C873" s="1435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AC873" s="1392"/>
    </row>
    <row r="874" hidden="1">
      <c r="B874" s="612"/>
      <c r="C874" s="1435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AC874" s="1392"/>
    </row>
    <row r="875" hidden="1">
      <c r="B875" s="612"/>
      <c r="C875" s="1435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AC875" s="1392"/>
    </row>
    <row r="876" hidden="1">
      <c r="B876" s="612"/>
      <c r="C876" s="1435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AC876" s="1392"/>
    </row>
    <row r="877" hidden="1">
      <c r="B877" s="612"/>
      <c r="C877" s="1435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AC877" s="1392"/>
    </row>
    <row r="878" hidden="1">
      <c r="B878" s="612"/>
      <c r="C878" s="1435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AC878" s="1392"/>
    </row>
    <row r="879" hidden="1">
      <c r="B879" s="612"/>
      <c r="C879" s="1435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AC879" s="1392"/>
    </row>
    <row r="880" hidden="1">
      <c r="B880" s="612"/>
      <c r="C880" s="1435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AC880" s="1392"/>
    </row>
    <row r="881" hidden="1">
      <c r="B881" s="612"/>
      <c r="C881" s="1435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AC881" s="1392"/>
    </row>
    <row r="882" hidden="1">
      <c r="B882" s="612"/>
      <c r="C882" s="1435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AC882" s="1392"/>
    </row>
    <row r="883" hidden="1">
      <c r="B883" s="612"/>
      <c r="C883" s="1435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AC883" s="1392"/>
    </row>
    <row r="884" hidden="1">
      <c r="B884" s="612"/>
      <c r="C884" s="1435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AC884" s="1392"/>
    </row>
    <row r="885" hidden="1">
      <c r="B885" s="612"/>
      <c r="C885" s="1435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AC885" s="1392"/>
    </row>
    <row r="886" hidden="1">
      <c r="B886" s="612"/>
      <c r="C886" s="1435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AC886" s="1392"/>
    </row>
    <row r="887" hidden="1">
      <c r="B887" s="612"/>
      <c r="C887" s="1435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AC887" s="1392"/>
    </row>
    <row r="888" hidden="1">
      <c r="B888" s="612"/>
      <c r="C888" s="1435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AC888" s="1392"/>
    </row>
    <row r="889" hidden="1">
      <c r="B889" s="612"/>
      <c r="C889" s="1435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AC889" s="1392"/>
    </row>
    <row r="890" hidden="1">
      <c r="B890" s="612"/>
      <c r="C890" s="1435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AC890" s="1392"/>
    </row>
    <row r="891" hidden="1">
      <c r="B891" s="612"/>
      <c r="C891" s="1435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AC891" s="1392"/>
    </row>
    <row r="892" hidden="1">
      <c r="B892" s="612"/>
      <c r="C892" s="1435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AC892" s="1392"/>
    </row>
    <row r="893" hidden="1">
      <c r="B893" s="612"/>
      <c r="C893" s="1435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AC893" s="1392"/>
    </row>
    <row r="894" hidden="1">
      <c r="B894" s="612"/>
      <c r="C894" s="1435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AC894" s="1392"/>
    </row>
    <row r="895" hidden="1">
      <c r="B895" s="612"/>
      <c r="C895" s="1435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AC895" s="1392"/>
    </row>
    <row r="896" hidden="1">
      <c r="B896" s="612"/>
      <c r="C896" s="1435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AC896" s="1392"/>
    </row>
    <row r="897" hidden="1">
      <c r="B897" s="612"/>
      <c r="C897" s="1435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AC897" s="1392"/>
    </row>
    <row r="898" hidden="1">
      <c r="B898" s="612"/>
      <c r="C898" s="1435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AC898" s="1392"/>
    </row>
    <row r="899" hidden="1">
      <c r="B899" s="612"/>
      <c r="C899" s="1435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AC899" s="1392"/>
    </row>
    <row r="900" hidden="1">
      <c r="B900" s="612"/>
      <c r="C900" s="1435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AC900" s="1392"/>
    </row>
    <row r="901" hidden="1">
      <c r="B901" s="612"/>
      <c r="C901" s="1435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AC901" s="1392"/>
    </row>
    <row r="902" hidden="1">
      <c r="B902" s="612"/>
      <c r="C902" s="1435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AC902" s="1392"/>
    </row>
    <row r="903" hidden="1">
      <c r="B903" s="612"/>
      <c r="C903" s="1435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AC903" s="1392"/>
    </row>
    <row r="904" hidden="1">
      <c r="B904" s="612"/>
      <c r="C904" s="1435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AC904" s="1392"/>
    </row>
    <row r="905" hidden="1">
      <c r="B905" s="612"/>
      <c r="C905" s="1435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AC905" s="1392"/>
    </row>
    <row r="906" hidden="1">
      <c r="B906" s="612"/>
      <c r="C906" s="1435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AC906" s="1392"/>
    </row>
    <row r="907" hidden="1">
      <c r="B907" s="612"/>
      <c r="C907" s="1435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AC907" s="1392"/>
    </row>
    <row r="908" hidden="1">
      <c r="B908" s="612"/>
      <c r="C908" s="1435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AC908" s="1392"/>
    </row>
    <row r="909" hidden="1">
      <c r="B909" s="612"/>
      <c r="C909" s="1435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AC909" s="1392"/>
    </row>
    <row r="910" hidden="1">
      <c r="B910" s="612"/>
      <c r="C910" s="1435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AC910" s="1392"/>
    </row>
    <row r="911" hidden="1">
      <c r="B911" s="612"/>
      <c r="C911" s="1435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AC911" s="1392"/>
    </row>
    <row r="912" hidden="1">
      <c r="B912" s="612"/>
      <c r="C912" s="1435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AC912" s="1392"/>
    </row>
    <row r="913" hidden="1">
      <c r="B913" s="612"/>
      <c r="C913" s="1435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AC913" s="1392"/>
    </row>
    <row r="914" hidden="1">
      <c r="B914" s="612"/>
      <c r="C914" s="1435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AC914" s="1392"/>
    </row>
    <row r="915" hidden="1">
      <c r="B915" s="612"/>
      <c r="C915" s="1435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AC915" s="1392"/>
    </row>
    <row r="916" hidden="1">
      <c r="B916" s="612"/>
      <c r="C916" s="1435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AC916" s="1392"/>
    </row>
    <row r="917" hidden="1">
      <c r="B917" s="612"/>
      <c r="C917" s="1435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AC917" s="1392"/>
    </row>
    <row r="918" hidden="1">
      <c r="B918" s="612"/>
      <c r="C918" s="1435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AC918" s="1392"/>
    </row>
    <row r="919" hidden="1">
      <c r="B919" s="612"/>
      <c r="C919" s="1435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AC919" s="1392"/>
    </row>
    <row r="920" hidden="1">
      <c r="B920" s="612"/>
      <c r="C920" s="1435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AC920" s="1392"/>
    </row>
    <row r="921" hidden="1">
      <c r="B921" s="612"/>
      <c r="C921" s="1435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AC921" s="1392"/>
    </row>
    <row r="922" hidden="1">
      <c r="B922" s="612"/>
      <c r="C922" s="1435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AC922" s="1392"/>
    </row>
    <row r="923" hidden="1">
      <c r="B923" s="612"/>
      <c r="C923" s="1435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AC923" s="1392"/>
    </row>
    <row r="924" hidden="1">
      <c r="B924" s="612"/>
      <c r="C924" s="1435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AC924" s="1392"/>
    </row>
    <row r="925" hidden="1">
      <c r="B925" s="612"/>
      <c r="C925" s="1435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AC925" s="1392"/>
    </row>
    <row r="926" hidden="1">
      <c r="B926" s="612"/>
      <c r="C926" s="1435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AC926" s="1392"/>
    </row>
    <row r="927" hidden="1">
      <c r="B927" s="612"/>
      <c r="C927" s="1435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AC927" s="1392"/>
    </row>
    <row r="928" hidden="1">
      <c r="B928" s="612"/>
      <c r="C928" s="1435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AC928" s="1392"/>
    </row>
    <row r="929" hidden="1">
      <c r="B929" s="612"/>
      <c r="C929" s="1435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AC929" s="1392"/>
    </row>
    <row r="930" hidden="1">
      <c r="B930" s="612"/>
      <c r="C930" s="1435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AC930" s="1392"/>
    </row>
    <row r="931" hidden="1">
      <c r="B931" s="612"/>
      <c r="C931" s="1435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AC931" s="1392"/>
    </row>
    <row r="932" hidden="1">
      <c r="B932" s="612"/>
      <c r="C932" s="1435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AC932" s="1392"/>
    </row>
    <row r="933" hidden="1">
      <c r="B933" s="612"/>
      <c r="C933" s="1435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AC933" s="1392"/>
    </row>
    <row r="934" hidden="1">
      <c r="B934" s="612"/>
      <c r="C934" s="1435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AC934" s="1392"/>
    </row>
    <row r="935" hidden="1">
      <c r="B935" s="612"/>
      <c r="C935" s="1435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AC935" s="1392"/>
    </row>
    <row r="936" hidden="1">
      <c r="B936" s="612"/>
      <c r="C936" s="1435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AC936" s="1392"/>
    </row>
    <row r="937" hidden="1">
      <c r="B937" s="612"/>
      <c r="C937" s="1435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AC937" s="1392"/>
    </row>
    <row r="938" hidden="1">
      <c r="B938" s="612"/>
      <c r="C938" s="1435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AC938" s="1392"/>
    </row>
    <row r="939" hidden="1">
      <c r="B939" s="612"/>
      <c r="C939" s="1435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AC939" s="1392"/>
    </row>
    <row r="940" hidden="1">
      <c r="B940" s="612"/>
      <c r="C940" s="1435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AC940" s="1392"/>
    </row>
    <row r="941" hidden="1">
      <c r="B941" s="612"/>
      <c r="C941" s="1435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AC941" s="1392"/>
    </row>
    <row r="942" hidden="1">
      <c r="B942" s="612"/>
      <c r="C942" s="1435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AC942" s="1392"/>
    </row>
    <row r="943" hidden="1">
      <c r="B943" s="612"/>
      <c r="C943" s="1435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AC943" s="1392"/>
    </row>
    <row r="944" hidden="1">
      <c r="B944" s="612"/>
      <c r="C944" s="1435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AC944" s="1392"/>
    </row>
    <row r="945" hidden="1">
      <c r="B945" s="612"/>
      <c r="C945" s="1435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AC945" s="1392"/>
    </row>
    <row r="946" hidden="1">
      <c r="B946" s="612"/>
      <c r="C946" s="1435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AC946" s="1392"/>
    </row>
    <row r="947" hidden="1">
      <c r="B947" s="612"/>
      <c r="C947" s="1435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AC947" s="1392"/>
    </row>
    <row r="948" hidden="1">
      <c r="B948" s="612"/>
      <c r="C948" s="1435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AC948" s="1392"/>
    </row>
    <row r="949" hidden="1">
      <c r="B949" s="612"/>
      <c r="C949" s="1435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AC949" s="1392"/>
    </row>
    <row r="950" hidden="1">
      <c r="B950" s="612"/>
      <c r="C950" s="1435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AC950" s="1392"/>
    </row>
    <row r="951" hidden="1">
      <c r="B951" s="612"/>
      <c r="C951" s="1435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AC951" s="1392"/>
    </row>
    <row r="952" hidden="1">
      <c r="B952" s="612"/>
      <c r="C952" s="1435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AC952" s="1392"/>
    </row>
    <row r="953" hidden="1">
      <c r="B953" s="612"/>
      <c r="C953" s="1435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AC953" s="1392"/>
    </row>
    <row r="954" hidden="1">
      <c r="B954" s="612"/>
      <c r="C954" s="1435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AC954" s="1392"/>
    </row>
    <row r="955" hidden="1">
      <c r="B955" s="612"/>
      <c r="C955" s="1435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AC955" s="1392"/>
    </row>
    <row r="956" hidden="1">
      <c r="B956" s="612"/>
      <c r="C956" s="1435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AC956" s="1392"/>
    </row>
    <row r="957" hidden="1">
      <c r="B957" s="612"/>
      <c r="C957" s="1435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AC957" s="1392"/>
    </row>
    <row r="958" hidden="1">
      <c r="B958" s="612"/>
      <c r="C958" s="1435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AC958" s="1392"/>
    </row>
    <row r="959" hidden="1">
      <c r="B959" s="612"/>
      <c r="C959" s="1435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AC959" s="1392"/>
    </row>
    <row r="960" hidden="1">
      <c r="B960" s="612"/>
      <c r="C960" s="1435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AC960" s="1392"/>
    </row>
    <row r="961" hidden="1">
      <c r="B961" s="612"/>
      <c r="C961" s="1435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AC961" s="1392"/>
    </row>
    <row r="962" hidden="1">
      <c r="B962" s="612"/>
      <c r="C962" s="1435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AC962" s="1392"/>
    </row>
    <row r="963" hidden="1">
      <c r="B963" s="612"/>
      <c r="C963" s="1435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AC963" s="1392"/>
    </row>
    <row r="964" hidden="1">
      <c r="B964" s="612"/>
      <c r="C964" s="1435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AC964" s="1392"/>
    </row>
    <row r="965" hidden="1">
      <c r="B965" s="612"/>
      <c r="C965" s="1435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AC965" s="1392"/>
    </row>
    <row r="966" hidden="1">
      <c r="B966" s="612"/>
      <c r="C966" s="1435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AC966" s="1392"/>
    </row>
    <row r="967" hidden="1">
      <c r="B967" s="612"/>
      <c r="C967" s="1435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AC967" s="1392"/>
    </row>
    <row r="968" hidden="1">
      <c r="B968" s="612"/>
      <c r="C968" s="1435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AC968" s="1392"/>
    </row>
    <row r="969" hidden="1">
      <c r="B969" s="612"/>
      <c r="C969" s="1435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AC969" s="1392"/>
    </row>
    <row r="970" hidden="1">
      <c r="B970" s="612"/>
      <c r="C970" s="1435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AC970" s="1392"/>
    </row>
    <row r="971" hidden="1">
      <c r="B971" s="612"/>
      <c r="C971" s="1435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AC971" s="1392"/>
    </row>
    <row r="972" hidden="1">
      <c r="B972" s="612"/>
      <c r="C972" s="1435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AC972" s="1392"/>
    </row>
    <row r="973" hidden="1">
      <c r="B973" s="612"/>
      <c r="C973" s="1435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AC973" s="1392"/>
    </row>
    <row r="974" hidden="1">
      <c r="B974" s="612"/>
      <c r="C974" s="1435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AC974" s="1392"/>
    </row>
    <row r="975" hidden="1">
      <c r="B975" s="612"/>
      <c r="C975" s="1435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AC975" s="1392"/>
    </row>
    <row r="976" hidden="1">
      <c r="B976" s="612"/>
      <c r="C976" s="1435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AC976" s="1392"/>
    </row>
    <row r="977" hidden="1">
      <c r="B977" s="612"/>
      <c r="C977" s="1435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AC977" s="1392"/>
    </row>
    <row r="978" hidden="1">
      <c r="B978" s="612"/>
      <c r="C978" s="1435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AC978" s="1392"/>
    </row>
    <row r="979" hidden="1">
      <c r="B979" s="612"/>
      <c r="C979" s="1435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AC979" s="1392"/>
    </row>
    <row r="980" hidden="1">
      <c r="B980" s="612"/>
      <c r="C980" s="1435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AC980" s="1392"/>
    </row>
    <row r="981" hidden="1">
      <c r="B981" s="612"/>
      <c r="C981" s="1435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AC981" s="1392"/>
    </row>
    <row r="982" hidden="1">
      <c r="B982" s="612"/>
      <c r="C982" s="1435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AC982" s="1392"/>
    </row>
    <row r="983" hidden="1">
      <c r="B983" s="612"/>
      <c r="C983" s="1435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AC983" s="1392"/>
    </row>
    <row r="984" hidden="1">
      <c r="B984" s="612"/>
      <c r="C984" s="1435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AC984" s="1392"/>
    </row>
    <row r="985" hidden="1">
      <c r="B985" s="612"/>
      <c r="C985" s="1435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AC985" s="1392"/>
    </row>
    <row r="986" hidden="1">
      <c r="B986" s="612"/>
      <c r="C986" s="1435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AC986" s="1392"/>
    </row>
    <row r="987" hidden="1">
      <c r="B987" s="612"/>
      <c r="C987" s="1435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AC987" s="1392"/>
    </row>
    <row r="988" hidden="1">
      <c r="B988" s="612"/>
      <c r="C988" s="1435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AC988" s="1392"/>
    </row>
    <row r="989" hidden="1">
      <c r="B989" s="612"/>
      <c r="C989" s="1435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AC989" s="1392"/>
    </row>
    <row r="990" hidden="1">
      <c r="B990" s="612"/>
      <c r="C990" s="1435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AC990" s="1392"/>
    </row>
    <row r="991" hidden="1">
      <c r="B991" s="612"/>
      <c r="C991" s="1435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AC991" s="1392"/>
    </row>
    <row r="992" hidden="1">
      <c r="B992" s="612"/>
      <c r="C992" s="1435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AC992" s="1392"/>
    </row>
    <row r="993" hidden="1">
      <c r="B993" s="612"/>
      <c r="C993" s="1435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AC993" s="1392"/>
    </row>
    <row r="994" hidden="1">
      <c r="B994" s="612"/>
      <c r="C994" s="1435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AC994" s="1392"/>
    </row>
    <row r="995" hidden="1">
      <c r="B995" s="612"/>
      <c r="C995" s="1435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AC995" s="1392"/>
    </row>
    <row r="996" hidden="1">
      <c r="B996" s="612"/>
      <c r="C996" s="1435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AC996" s="1392"/>
    </row>
    <row r="997" hidden="1">
      <c r="B997" s="612"/>
      <c r="C997" s="1435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AC997" s="1392"/>
    </row>
    <row r="998" hidden="1">
      <c r="B998" s="612"/>
      <c r="C998" s="1435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AC998" s="1392"/>
    </row>
    <row r="999" hidden="1">
      <c r="B999" s="612"/>
      <c r="C999" s="1435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AC999" s="1392"/>
    </row>
    <row r="1000" hidden="1">
      <c r="B1000" s="612"/>
      <c r="C1000" s="1435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AC1000" s="1392"/>
    </row>
    <row r="1001" hidden="1">
      <c r="B1001" s="612"/>
      <c r="C1001" s="1435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3"/>
      <c r="P1001" s="273"/>
      <c r="Q1001" s="273"/>
      <c r="R1001" s="273"/>
      <c r="S1001" s="273"/>
      <c r="T1001" s="273"/>
      <c r="U1001" s="273"/>
      <c r="AC1001" s="1392"/>
    </row>
    <row r="1002" hidden="1">
      <c r="B1002" s="612"/>
      <c r="C1002" s="1435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3"/>
      <c r="P1002" s="273"/>
      <c r="Q1002" s="273"/>
      <c r="R1002" s="273"/>
      <c r="S1002" s="273"/>
      <c r="T1002" s="273"/>
      <c r="U1002" s="273"/>
      <c r="AC1002" s="1392"/>
    </row>
    <row r="1003" hidden="1">
      <c r="B1003" s="612"/>
      <c r="C1003" s="1435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3"/>
      <c r="P1003" s="273"/>
      <c r="Q1003" s="273"/>
      <c r="R1003" s="273"/>
      <c r="S1003" s="273"/>
      <c r="T1003" s="273"/>
      <c r="U1003" s="273"/>
      <c r="AC1003" s="1392"/>
    </row>
    <row r="1004" hidden="1">
      <c r="B1004" s="612"/>
      <c r="C1004" s="1435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AC1004" s="1392"/>
    </row>
    <row r="1005" hidden="1">
      <c r="B1005" s="612"/>
      <c r="C1005" s="1435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3"/>
      <c r="P1005" s="273"/>
      <c r="Q1005" s="273"/>
      <c r="R1005" s="273"/>
      <c r="S1005" s="273"/>
      <c r="T1005" s="273"/>
      <c r="U1005" s="273"/>
      <c r="AC1005" s="1392"/>
    </row>
    <row r="1006" hidden="1">
      <c r="B1006" s="612"/>
      <c r="C1006" s="1435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3"/>
      <c r="P1006" s="273"/>
      <c r="Q1006" s="273"/>
      <c r="R1006" s="273"/>
      <c r="S1006" s="273"/>
      <c r="T1006" s="273"/>
      <c r="U1006" s="273"/>
      <c r="AC1006" s="1392"/>
    </row>
    <row r="1007" hidden="1">
      <c r="B1007" s="612"/>
      <c r="C1007" s="1435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3"/>
      <c r="P1007" s="273"/>
      <c r="Q1007" s="273"/>
      <c r="R1007" s="273"/>
      <c r="S1007" s="273"/>
      <c r="T1007" s="273"/>
      <c r="U1007" s="273"/>
      <c r="AC1007" s="1392"/>
    </row>
    <row r="1008" hidden="1">
      <c r="B1008" s="612"/>
      <c r="C1008" s="1435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3"/>
      <c r="P1008" s="273"/>
      <c r="Q1008" s="273"/>
      <c r="R1008" s="273"/>
      <c r="S1008" s="273"/>
      <c r="T1008" s="273"/>
      <c r="U1008" s="273"/>
      <c r="AC1008" s="1392"/>
    </row>
    <row r="1009" hidden="1">
      <c r="B1009" s="612"/>
      <c r="C1009" s="1435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3"/>
      <c r="P1009" s="273"/>
      <c r="Q1009" s="273"/>
      <c r="R1009" s="273"/>
      <c r="S1009" s="273"/>
      <c r="T1009" s="273"/>
      <c r="U1009" s="273"/>
      <c r="AC1009" s="1392"/>
    </row>
    <row r="1010" hidden="1">
      <c r="B1010" s="612"/>
      <c r="C1010" s="1435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AC1010" s="1392"/>
    </row>
    <row r="1011" hidden="1">
      <c r="B1011" s="612"/>
      <c r="C1011" s="1435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AC1011" s="1392"/>
    </row>
    <row r="1012" hidden="1">
      <c r="B1012" s="612"/>
      <c r="C1012" s="1435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AC1012" s="1392"/>
    </row>
    <row r="1013" hidden="1">
      <c r="B1013" s="612"/>
      <c r="C1013" s="1435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AC1013" s="1392"/>
    </row>
    <row r="1014" hidden="1">
      <c r="B1014" s="612"/>
      <c r="C1014" s="1435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3"/>
      <c r="P1014" s="273"/>
      <c r="Q1014" s="273"/>
      <c r="R1014" s="273"/>
      <c r="S1014" s="273"/>
      <c r="T1014" s="273"/>
      <c r="U1014" s="273"/>
      <c r="AC1014" s="1392"/>
    </row>
    <row r="1015" hidden="1">
      <c r="B1015" s="612"/>
      <c r="C1015" s="1435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3"/>
      <c r="P1015" s="273"/>
      <c r="Q1015" s="273"/>
      <c r="R1015" s="273"/>
      <c r="S1015" s="273"/>
      <c r="T1015" s="273"/>
      <c r="U1015" s="273"/>
      <c r="AC1015" s="1392"/>
    </row>
    <row r="1016" hidden="1">
      <c r="B1016" s="612"/>
      <c r="C1016" s="1435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3"/>
      <c r="P1016" s="273"/>
      <c r="Q1016" s="273"/>
      <c r="R1016" s="273"/>
      <c r="S1016" s="273"/>
      <c r="T1016" s="273"/>
      <c r="U1016" s="273"/>
      <c r="AC1016" s="1392"/>
    </row>
    <row r="1017" hidden="1">
      <c r="B1017" s="612"/>
      <c r="C1017" s="1435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3"/>
      <c r="P1017" s="273"/>
      <c r="Q1017" s="273"/>
      <c r="R1017" s="273"/>
      <c r="S1017" s="273"/>
      <c r="T1017" s="273"/>
      <c r="U1017" s="273"/>
      <c r="AC1017" s="1392"/>
    </row>
    <row r="1018" hidden="1">
      <c r="B1018" s="612"/>
      <c r="C1018" s="1435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3"/>
      <c r="P1018" s="273"/>
      <c r="Q1018" s="273"/>
      <c r="R1018" s="273"/>
      <c r="S1018" s="273"/>
      <c r="T1018" s="273"/>
      <c r="U1018" s="273"/>
      <c r="AC1018" s="1392"/>
    </row>
    <row r="1019" hidden="1">
      <c r="B1019" s="612"/>
      <c r="C1019" s="1435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3"/>
      <c r="P1019" s="273"/>
      <c r="Q1019" s="273"/>
      <c r="R1019" s="273"/>
      <c r="S1019" s="273"/>
      <c r="T1019" s="273"/>
      <c r="U1019" s="273"/>
      <c r="AC1019" s="1392"/>
    </row>
    <row r="1020" hidden="1">
      <c r="B1020" s="612"/>
      <c r="C1020" s="1435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3"/>
      <c r="P1020" s="273"/>
      <c r="Q1020" s="273"/>
      <c r="R1020" s="273"/>
      <c r="S1020" s="273"/>
      <c r="T1020" s="273"/>
      <c r="U1020" s="273"/>
      <c r="AC1020" s="1392"/>
    </row>
    <row r="1021" hidden="1">
      <c r="B1021" s="612"/>
      <c r="C1021" s="1435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3"/>
      <c r="P1021" s="273"/>
      <c r="Q1021" s="273"/>
      <c r="R1021" s="273"/>
      <c r="S1021" s="273"/>
      <c r="T1021" s="273"/>
      <c r="U1021" s="273"/>
      <c r="AC1021" s="1392"/>
    </row>
    <row r="1022" hidden="1">
      <c r="B1022" s="612"/>
      <c r="C1022" s="1435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3"/>
      <c r="P1022" s="273"/>
      <c r="Q1022" s="273"/>
      <c r="R1022" s="273"/>
      <c r="S1022" s="273"/>
      <c r="T1022" s="273"/>
      <c r="U1022" s="273"/>
      <c r="AC1022" s="1392"/>
    </row>
    <row r="1023" hidden="1">
      <c r="B1023" s="612"/>
      <c r="C1023" s="1435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3"/>
      <c r="P1023" s="273"/>
      <c r="Q1023" s="273"/>
      <c r="R1023" s="273"/>
      <c r="S1023" s="273"/>
      <c r="T1023" s="273"/>
      <c r="U1023" s="273"/>
      <c r="AC1023" s="1392"/>
    </row>
    <row r="1024" hidden="1">
      <c r="B1024" s="612"/>
      <c r="C1024" s="1435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3"/>
      <c r="P1024" s="273"/>
      <c r="Q1024" s="273"/>
      <c r="R1024" s="273"/>
      <c r="S1024" s="273"/>
      <c r="T1024" s="273"/>
      <c r="U1024" s="273"/>
      <c r="AC1024" s="1392"/>
    </row>
    <row r="1025" hidden="1">
      <c r="B1025" s="612"/>
      <c r="C1025" s="1435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3"/>
      <c r="P1025" s="273"/>
      <c r="Q1025" s="273"/>
      <c r="R1025" s="273"/>
      <c r="S1025" s="273"/>
      <c r="T1025" s="273"/>
      <c r="U1025" s="273"/>
      <c r="AC1025" s="1392"/>
    </row>
    <row r="1026" hidden="1">
      <c r="B1026" s="612"/>
      <c r="C1026" s="1435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3"/>
      <c r="P1026" s="273"/>
      <c r="Q1026" s="273"/>
      <c r="R1026" s="273"/>
      <c r="S1026" s="273"/>
      <c r="T1026" s="273"/>
      <c r="U1026" s="273"/>
      <c r="AC1026" s="1392"/>
    </row>
    <row r="1027" hidden="1">
      <c r="B1027" s="612"/>
      <c r="C1027" s="1435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3"/>
      <c r="P1027" s="273"/>
      <c r="Q1027" s="273"/>
      <c r="R1027" s="273"/>
      <c r="S1027" s="273"/>
      <c r="T1027" s="273"/>
      <c r="U1027" s="273"/>
      <c r="AC1027" s="1392"/>
    </row>
    <row r="1028" hidden="1">
      <c r="B1028" s="612"/>
      <c r="C1028" s="1435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3"/>
      <c r="P1028" s="273"/>
      <c r="Q1028" s="273"/>
      <c r="R1028" s="273"/>
      <c r="S1028" s="273"/>
      <c r="T1028" s="273"/>
      <c r="U1028" s="273"/>
      <c r="AC1028" s="1392"/>
    </row>
    <row r="1029" hidden="1">
      <c r="B1029" s="612"/>
      <c r="C1029" s="1435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3"/>
      <c r="P1029" s="273"/>
      <c r="Q1029" s="273"/>
      <c r="R1029" s="273"/>
      <c r="S1029" s="273"/>
      <c r="T1029" s="273"/>
      <c r="U1029" s="273"/>
      <c r="AC1029" s="1392"/>
    </row>
    <row r="1030" hidden="1">
      <c r="B1030" s="612"/>
      <c r="C1030" s="1435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3"/>
      <c r="P1030" s="273"/>
      <c r="Q1030" s="273"/>
      <c r="R1030" s="273"/>
      <c r="S1030" s="273"/>
      <c r="T1030" s="273"/>
      <c r="U1030" s="273"/>
      <c r="AC1030" s="1392"/>
    </row>
    <row r="1031" hidden="1">
      <c r="B1031" s="612"/>
      <c r="C1031" s="1435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3"/>
      <c r="P1031" s="273"/>
      <c r="Q1031" s="273"/>
      <c r="R1031" s="273"/>
      <c r="S1031" s="273"/>
      <c r="T1031" s="273"/>
      <c r="U1031" s="273"/>
      <c r="AC1031" s="1392"/>
    </row>
    <row r="1032" hidden="1">
      <c r="B1032" s="612"/>
      <c r="C1032" s="1435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3"/>
      <c r="P1032" s="273"/>
      <c r="Q1032" s="273"/>
      <c r="R1032" s="273"/>
      <c r="S1032" s="273"/>
      <c r="T1032" s="273"/>
      <c r="U1032" s="273"/>
      <c r="AC1032" s="1392"/>
    </row>
    <row r="1033" hidden="1">
      <c r="B1033" s="612"/>
      <c r="C1033" s="1435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3"/>
      <c r="P1033" s="273"/>
      <c r="Q1033" s="273"/>
      <c r="R1033" s="273"/>
      <c r="S1033" s="273"/>
      <c r="T1033" s="273"/>
      <c r="U1033" s="273"/>
      <c r="AC1033" s="1392"/>
    </row>
    <row r="1034" hidden="1">
      <c r="B1034" s="612"/>
      <c r="C1034" s="1435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3"/>
      <c r="P1034" s="273"/>
      <c r="Q1034" s="273"/>
      <c r="R1034" s="273"/>
      <c r="S1034" s="273"/>
      <c r="T1034" s="273"/>
      <c r="U1034" s="273"/>
      <c r="AC1034" s="1392"/>
    </row>
    <row r="1035" hidden="1">
      <c r="B1035" s="612"/>
      <c r="C1035" s="1435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3"/>
      <c r="P1035" s="273"/>
      <c r="Q1035" s="273"/>
      <c r="R1035" s="273"/>
      <c r="S1035" s="273"/>
      <c r="T1035" s="273"/>
      <c r="U1035" s="273"/>
      <c r="AC1035" s="1392"/>
    </row>
    <row r="1036" hidden="1">
      <c r="B1036" s="612"/>
      <c r="C1036" s="1435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3"/>
      <c r="P1036" s="273"/>
      <c r="Q1036" s="273"/>
      <c r="R1036" s="273"/>
      <c r="S1036" s="273"/>
      <c r="T1036" s="273"/>
      <c r="U1036" s="273"/>
      <c r="AC1036" s="1392"/>
    </row>
    <row r="1037" hidden="1">
      <c r="B1037" s="612"/>
      <c r="C1037" s="1435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3"/>
      <c r="P1037" s="273"/>
      <c r="Q1037" s="273"/>
      <c r="R1037" s="273"/>
      <c r="S1037" s="273"/>
      <c r="T1037" s="273"/>
      <c r="U1037" s="273"/>
      <c r="AC1037" s="1392"/>
    </row>
    <row r="1038" hidden="1">
      <c r="B1038" s="612"/>
      <c r="C1038" s="1435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3"/>
      <c r="P1038" s="273"/>
      <c r="Q1038" s="273"/>
      <c r="R1038" s="273"/>
      <c r="S1038" s="273"/>
      <c r="T1038" s="273"/>
      <c r="U1038" s="273"/>
      <c r="AC1038" s="1392"/>
    </row>
    <row r="1039" hidden="1">
      <c r="B1039" s="612"/>
      <c r="C1039" s="1435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3"/>
      <c r="P1039" s="273"/>
      <c r="Q1039" s="273"/>
      <c r="R1039" s="273"/>
      <c r="S1039" s="273"/>
      <c r="T1039" s="273"/>
      <c r="U1039" s="273"/>
      <c r="AC1039" s="1392"/>
    </row>
    <row r="1040" hidden="1">
      <c r="B1040" s="612"/>
      <c r="C1040" s="1435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3"/>
      <c r="P1040" s="273"/>
      <c r="Q1040" s="273"/>
      <c r="R1040" s="273"/>
      <c r="S1040" s="273"/>
      <c r="T1040" s="273"/>
      <c r="U1040" s="273"/>
      <c r="AC1040" s="1392"/>
    </row>
    <row r="1041" hidden="1">
      <c r="B1041" s="612"/>
      <c r="C1041" s="1435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3"/>
      <c r="P1041" s="273"/>
      <c r="Q1041" s="273"/>
      <c r="R1041" s="273"/>
      <c r="S1041" s="273"/>
      <c r="T1041" s="273"/>
      <c r="U1041" s="273"/>
      <c r="AC1041" s="1392"/>
    </row>
    <row r="1042" hidden="1">
      <c r="B1042" s="612"/>
      <c r="C1042" s="1435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3"/>
      <c r="P1042" s="273"/>
      <c r="Q1042" s="273"/>
      <c r="R1042" s="273"/>
      <c r="S1042" s="273"/>
      <c r="T1042" s="273"/>
      <c r="U1042" s="273"/>
      <c r="AC1042" s="1392"/>
    </row>
    <row r="1043" hidden="1">
      <c r="B1043" s="612"/>
      <c r="C1043" s="1435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3"/>
      <c r="P1043" s="273"/>
      <c r="Q1043" s="273"/>
      <c r="R1043" s="273"/>
      <c r="S1043" s="273"/>
      <c r="T1043" s="273"/>
      <c r="U1043" s="273"/>
      <c r="AC1043" s="1392"/>
    </row>
    <row r="1044" hidden="1">
      <c r="B1044" s="612"/>
      <c r="C1044" s="1435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3"/>
      <c r="P1044" s="273"/>
      <c r="Q1044" s="273"/>
      <c r="R1044" s="273"/>
      <c r="S1044" s="273"/>
      <c r="T1044" s="273"/>
      <c r="U1044" s="273"/>
      <c r="AC1044" s="1392"/>
    </row>
    <row r="1045" hidden="1">
      <c r="B1045" s="612"/>
      <c r="C1045" s="1435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3"/>
      <c r="P1045" s="273"/>
      <c r="Q1045" s="273"/>
      <c r="R1045" s="273"/>
      <c r="S1045" s="273"/>
      <c r="T1045" s="273"/>
      <c r="U1045" s="273"/>
      <c r="AC1045" s="1392"/>
    </row>
    <row r="1046" hidden="1">
      <c r="B1046" s="612"/>
      <c r="C1046" s="1435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3"/>
      <c r="P1046" s="273"/>
      <c r="Q1046" s="273"/>
      <c r="R1046" s="273"/>
      <c r="S1046" s="273"/>
      <c r="T1046" s="273"/>
      <c r="U1046" s="273"/>
      <c r="AC1046" s="1392"/>
    </row>
    <row r="1047" hidden="1">
      <c r="B1047" s="612"/>
      <c r="C1047" s="1435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3"/>
      <c r="P1047" s="273"/>
      <c r="Q1047" s="273"/>
      <c r="R1047" s="273"/>
      <c r="S1047" s="273"/>
      <c r="T1047" s="273"/>
      <c r="U1047" s="273"/>
      <c r="AC1047" s="1392"/>
    </row>
    <row r="1048" hidden="1">
      <c r="B1048" s="612"/>
      <c r="C1048" s="1435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3"/>
      <c r="P1048" s="273"/>
      <c r="Q1048" s="273"/>
      <c r="R1048" s="273"/>
      <c r="S1048" s="273"/>
      <c r="T1048" s="273"/>
      <c r="U1048" s="273"/>
      <c r="AC1048" s="1392"/>
    </row>
    <row r="1049" hidden="1">
      <c r="B1049" s="612"/>
      <c r="C1049" s="1435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3"/>
      <c r="P1049" s="273"/>
      <c r="Q1049" s="273"/>
      <c r="R1049" s="273"/>
      <c r="S1049" s="273"/>
      <c r="T1049" s="273"/>
      <c r="U1049" s="273"/>
      <c r="AC1049" s="1392"/>
    </row>
    <row r="1050" hidden="1">
      <c r="B1050" s="612"/>
      <c r="C1050" s="1435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3"/>
      <c r="P1050" s="273"/>
      <c r="Q1050" s="273"/>
      <c r="R1050" s="273"/>
      <c r="S1050" s="273"/>
      <c r="T1050" s="273"/>
      <c r="U1050" s="273"/>
      <c r="AC1050" s="1392"/>
    </row>
    <row r="1051" hidden="1">
      <c r="B1051" s="612"/>
      <c r="C1051" s="1435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3"/>
      <c r="P1051" s="273"/>
      <c r="Q1051" s="273"/>
      <c r="R1051" s="273"/>
      <c r="S1051" s="273"/>
      <c r="T1051" s="273"/>
      <c r="U1051" s="273"/>
      <c r="AC1051" s="1392"/>
    </row>
    <row r="1052" hidden="1">
      <c r="B1052" s="612"/>
      <c r="C1052" s="1435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3"/>
      <c r="P1052" s="273"/>
      <c r="Q1052" s="273"/>
      <c r="R1052" s="273"/>
      <c r="S1052" s="273"/>
      <c r="T1052" s="273"/>
      <c r="U1052" s="273"/>
      <c r="AC1052" s="1392"/>
    </row>
    <row r="1053" hidden="1">
      <c r="B1053" s="612"/>
      <c r="C1053" s="1435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3"/>
      <c r="P1053" s="273"/>
      <c r="Q1053" s="273"/>
      <c r="R1053" s="273"/>
      <c r="S1053" s="273"/>
      <c r="T1053" s="273"/>
      <c r="U1053" s="273"/>
      <c r="AC1053" s="1392"/>
    </row>
    <row r="1054" hidden="1">
      <c r="B1054" s="612"/>
      <c r="C1054" s="1435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3"/>
      <c r="P1054" s="273"/>
      <c r="Q1054" s="273"/>
      <c r="R1054" s="273"/>
      <c r="S1054" s="273"/>
      <c r="T1054" s="273"/>
      <c r="U1054" s="273"/>
      <c r="AC1054" s="1392"/>
    </row>
    <row r="1055" hidden="1">
      <c r="B1055" s="612"/>
      <c r="C1055" s="1435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3"/>
      <c r="P1055" s="273"/>
      <c r="Q1055" s="273"/>
      <c r="R1055" s="273"/>
      <c r="S1055" s="273"/>
      <c r="T1055" s="273"/>
      <c r="U1055" s="273"/>
      <c r="AC1055" s="1392"/>
    </row>
    <row r="1056" hidden="1">
      <c r="B1056" s="612"/>
      <c r="C1056" s="1435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3"/>
      <c r="P1056" s="273"/>
      <c r="Q1056" s="273"/>
      <c r="R1056" s="273"/>
      <c r="S1056" s="273"/>
      <c r="T1056" s="273"/>
      <c r="U1056" s="273"/>
      <c r="AC1056" s="1392"/>
    </row>
    <row r="1057" hidden="1">
      <c r="B1057" s="612"/>
      <c r="C1057" s="1435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3"/>
      <c r="P1057" s="273"/>
      <c r="Q1057" s="273"/>
      <c r="R1057" s="273"/>
      <c r="S1057" s="273"/>
      <c r="T1057" s="273"/>
      <c r="U1057" s="273"/>
      <c r="AC1057" s="1392"/>
    </row>
    <row r="1058" hidden="1">
      <c r="B1058" s="612"/>
      <c r="C1058" s="1435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3"/>
      <c r="P1058" s="273"/>
      <c r="Q1058" s="273"/>
      <c r="R1058" s="273"/>
      <c r="S1058" s="273"/>
      <c r="T1058" s="273"/>
      <c r="U1058" s="273"/>
      <c r="AC1058" s="1392"/>
    </row>
    <row r="1059" hidden="1">
      <c r="B1059" s="612"/>
      <c r="C1059" s="1435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3"/>
      <c r="P1059" s="273"/>
      <c r="Q1059" s="273"/>
      <c r="R1059" s="273"/>
      <c r="S1059" s="273"/>
      <c r="T1059" s="273"/>
      <c r="U1059" s="273"/>
      <c r="AC1059" s="1392"/>
    </row>
    <row r="1060" hidden="1">
      <c r="B1060" s="612"/>
      <c r="C1060" s="1435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3"/>
      <c r="P1060" s="273"/>
      <c r="Q1060" s="273"/>
      <c r="R1060" s="273"/>
      <c r="S1060" s="273"/>
      <c r="T1060" s="273"/>
      <c r="U1060" s="273"/>
      <c r="AC1060" s="1392"/>
    </row>
    <row r="1061" hidden="1">
      <c r="B1061" s="612"/>
      <c r="C1061" s="1435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3"/>
      <c r="P1061" s="273"/>
      <c r="Q1061" s="273"/>
      <c r="R1061" s="273"/>
      <c r="S1061" s="273"/>
      <c r="T1061" s="273"/>
      <c r="U1061" s="273"/>
      <c r="AC1061" s="1392"/>
    </row>
    <row r="1062" hidden="1">
      <c r="B1062" s="612"/>
      <c r="C1062" s="1435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3"/>
      <c r="P1062" s="273"/>
      <c r="Q1062" s="273"/>
      <c r="R1062" s="273"/>
      <c r="S1062" s="273"/>
      <c r="T1062" s="273"/>
      <c r="U1062" s="273"/>
      <c r="AC1062" s="1392"/>
    </row>
    <row r="1063" hidden="1">
      <c r="B1063" s="612"/>
      <c r="C1063" s="1435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3"/>
      <c r="P1063" s="273"/>
      <c r="Q1063" s="273"/>
      <c r="R1063" s="273"/>
      <c r="S1063" s="273"/>
      <c r="T1063" s="273"/>
      <c r="U1063" s="273"/>
      <c r="AC1063" s="1392"/>
    </row>
    <row r="1064" hidden="1">
      <c r="B1064" s="612"/>
      <c r="C1064" s="1435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3"/>
      <c r="P1064" s="273"/>
      <c r="Q1064" s="273"/>
      <c r="R1064" s="273"/>
      <c r="S1064" s="273"/>
      <c r="T1064" s="273"/>
      <c r="U1064" s="273"/>
      <c r="AC1064" s="1392"/>
    </row>
    <row r="1065" hidden="1">
      <c r="B1065" s="612"/>
      <c r="C1065" s="1435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3"/>
      <c r="P1065" s="273"/>
      <c r="Q1065" s="273"/>
      <c r="R1065" s="273"/>
      <c r="S1065" s="273"/>
      <c r="T1065" s="273"/>
      <c r="U1065" s="273"/>
      <c r="AC1065" s="1392"/>
    </row>
    <row r="1066" hidden="1">
      <c r="B1066" s="612"/>
      <c r="C1066" s="1435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3"/>
      <c r="P1066" s="273"/>
      <c r="Q1066" s="273"/>
      <c r="R1066" s="273"/>
      <c r="S1066" s="273"/>
      <c r="T1066" s="273"/>
      <c r="U1066" s="273"/>
      <c r="AC1066" s="1392"/>
    </row>
    <row r="1067" hidden="1">
      <c r="B1067" s="612"/>
      <c r="C1067" s="1435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3"/>
      <c r="P1067" s="273"/>
      <c r="Q1067" s="273"/>
      <c r="R1067" s="273"/>
      <c r="S1067" s="273"/>
      <c r="T1067" s="273"/>
      <c r="U1067" s="273"/>
      <c r="AC1067" s="1392"/>
    </row>
    <row r="1068" hidden="1">
      <c r="B1068" s="612"/>
      <c r="C1068" s="1435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3"/>
      <c r="P1068" s="273"/>
      <c r="Q1068" s="273"/>
      <c r="R1068" s="273"/>
      <c r="S1068" s="273"/>
      <c r="T1068" s="273"/>
      <c r="U1068" s="273"/>
      <c r="AC1068" s="1392"/>
    </row>
    <row r="1069" hidden="1">
      <c r="B1069" s="612"/>
      <c r="C1069" s="1435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3"/>
      <c r="P1069" s="273"/>
      <c r="Q1069" s="273"/>
      <c r="R1069" s="273"/>
      <c r="S1069" s="273"/>
      <c r="T1069" s="273"/>
      <c r="U1069" s="273"/>
      <c r="AC1069" s="1392"/>
    </row>
    <row r="1070" hidden="1">
      <c r="B1070" s="612"/>
      <c r="C1070" s="1435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3"/>
      <c r="P1070" s="273"/>
      <c r="Q1070" s="273"/>
      <c r="R1070" s="273"/>
      <c r="S1070" s="273"/>
      <c r="T1070" s="273"/>
      <c r="U1070" s="273"/>
      <c r="AC1070" s="1392"/>
    </row>
    <row r="1071" hidden="1">
      <c r="B1071" s="612"/>
      <c r="C1071" s="1435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3"/>
      <c r="P1071" s="273"/>
      <c r="Q1071" s="273"/>
      <c r="R1071" s="273"/>
      <c r="S1071" s="273"/>
      <c r="T1071" s="273"/>
      <c r="U1071" s="273"/>
      <c r="AC1071" s="1392"/>
    </row>
    <row r="1072" hidden="1">
      <c r="B1072" s="612"/>
      <c r="C1072" s="1435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3"/>
      <c r="P1072" s="273"/>
      <c r="Q1072" s="273"/>
      <c r="R1072" s="273"/>
      <c r="S1072" s="273"/>
      <c r="T1072" s="273"/>
      <c r="U1072" s="273"/>
      <c r="AC1072" s="1392"/>
    </row>
    <row r="1073" hidden="1">
      <c r="B1073" s="612"/>
      <c r="C1073" s="1435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3"/>
      <c r="P1073" s="273"/>
      <c r="Q1073" s="273"/>
      <c r="R1073" s="273"/>
      <c r="S1073" s="273"/>
      <c r="T1073" s="273"/>
      <c r="U1073" s="273"/>
      <c r="AC1073" s="1392"/>
    </row>
    <row r="1074" hidden="1">
      <c r="B1074" s="612"/>
      <c r="C1074" s="1435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3"/>
      <c r="P1074" s="273"/>
      <c r="Q1074" s="273"/>
      <c r="R1074" s="273"/>
      <c r="S1074" s="273"/>
      <c r="T1074" s="273"/>
      <c r="U1074" s="273"/>
      <c r="AC1074" s="1392"/>
    </row>
    <row r="1075" hidden="1">
      <c r="B1075" s="612"/>
      <c r="C1075" s="1435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3"/>
      <c r="P1075" s="273"/>
      <c r="Q1075" s="273"/>
      <c r="R1075" s="273"/>
      <c r="S1075" s="273"/>
      <c r="T1075" s="273"/>
      <c r="U1075" s="273"/>
      <c r="AC1075" s="1392"/>
    </row>
    <row r="1076" hidden="1">
      <c r="B1076" s="612"/>
      <c r="C1076" s="1435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3"/>
      <c r="P1076" s="273"/>
      <c r="Q1076" s="273"/>
      <c r="R1076" s="273"/>
      <c r="S1076" s="273"/>
      <c r="T1076" s="273"/>
      <c r="U1076" s="273"/>
      <c r="AC1076" s="1392"/>
    </row>
    <row r="1077" hidden="1">
      <c r="B1077" s="612"/>
      <c r="C1077" s="1435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3"/>
      <c r="P1077" s="273"/>
      <c r="Q1077" s="273"/>
      <c r="R1077" s="273"/>
      <c r="S1077" s="273"/>
      <c r="T1077" s="273"/>
      <c r="U1077" s="273"/>
      <c r="AC1077" s="1392"/>
    </row>
    <row r="1078" hidden="1">
      <c r="B1078" s="612"/>
      <c r="C1078" s="1435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3"/>
      <c r="P1078" s="273"/>
      <c r="Q1078" s="273"/>
      <c r="R1078" s="273"/>
      <c r="S1078" s="273"/>
      <c r="T1078" s="273"/>
      <c r="U1078" s="273"/>
      <c r="AC1078" s="1392"/>
    </row>
    <row r="1079" hidden="1">
      <c r="B1079" s="612"/>
      <c r="C1079" s="1435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3"/>
      <c r="P1079" s="273"/>
      <c r="Q1079" s="273"/>
      <c r="R1079" s="273"/>
      <c r="S1079" s="273"/>
      <c r="T1079" s="273"/>
      <c r="U1079" s="273"/>
      <c r="AC1079" s="1392"/>
    </row>
    <row r="1080" hidden="1">
      <c r="B1080" s="612"/>
      <c r="C1080" s="1435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3"/>
      <c r="P1080" s="273"/>
      <c r="Q1080" s="273"/>
      <c r="R1080" s="273"/>
      <c r="S1080" s="273"/>
      <c r="T1080" s="273"/>
      <c r="U1080" s="273"/>
      <c r="AC1080" s="1392"/>
    </row>
    <row r="1081" hidden="1">
      <c r="B1081" s="612"/>
      <c r="C1081" s="1435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3"/>
      <c r="P1081" s="273"/>
      <c r="Q1081" s="273"/>
      <c r="R1081" s="273"/>
      <c r="S1081" s="273"/>
      <c r="T1081" s="273"/>
      <c r="U1081" s="273"/>
      <c r="AC1081" s="1392"/>
    </row>
    <row r="1082" hidden="1">
      <c r="B1082" s="612"/>
      <c r="C1082" s="1435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3"/>
      <c r="P1082" s="273"/>
      <c r="Q1082" s="273"/>
      <c r="R1082" s="273"/>
      <c r="S1082" s="273"/>
      <c r="T1082" s="273"/>
      <c r="U1082" s="273"/>
      <c r="AC1082" s="1392"/>
    </row>
    <row r="1083" hidden="1">
      <c r="B1083" s="612"/>
      <c r="C1083" s="1435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3"/>
      <c r="P1083" s="273"/>
      <c r="Q1083" s="273"/>
      <c r="R1083" s="273"/>
      <c r="S1083" s="273"/>
      <c r="T1083" s="273"/>
      <c r="U1083" s="273"/>
      <c r="AC1083" s="1392"/>
    </row>
    <row r="1084" hidden="1">
      <c r="B1084" s="612"/>
      <c r="C1084" s="1435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3"/>
      <c r="P1084" s="273"/>
      <c r="Q1084" s="273"/>
      <c r="R1084" s="273"/>
      <c r="S1084" s="273"/>
      <c r="T1084" s="273"/>
      <c r="U1084" s="273"/>
      <c r="AC1084" s="1392"/>
    </row>
    <row r="1085" hidden="1">
      <c r="B1085" s="612"/>
      <c r="C1085" s="1435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3"/>
      <c r="P1085" s="273"/>
      <c r="Q1085" s="273"/>
      <c r="R1085" s="273"/>
      <c r="S1085" s="273"/>
      <c r="T1085" s="273"/>
      <c r="U1085" s="273"/>
      <c r="AC1085" s="1392"/>
    </row>
    <row r="1086" hidden="1">
      <c r="B1086" s="612"/>
      <c r="C1086" s="1435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3"/>
      <c r="P1086" s="273"/>
      <c r="Q1086" s="273"/>
      <c r="R1086" s="273"/>
      <c r="S1086" s="273"/>
      <c r="T1086" s="273"/>
      <c r="U1086" s="273"/>
      <c r="AC1086" s="1392"/>
    </row>
    <row r="1087" hidden="1">
      <c r="B1087" s="612"/>
      <c r="C1087" s="1435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3"/>
      <c r="P1087" s="273"/>
      <c r="Q1087" s="273"/>
      <c r="R1087" s="273"/>
      <c r="S1087" s="273"/>
      <c r="T1087" s="273"/>
      <c r="U1087" s="273"/>
      <c r="AC1087" s="1392"/>
    </row>
    <row r="1088" hidden="1">
      <c r="B1088" s="612"/>
      <c r="C1088" s="1435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3"/>
      <c r="P1088" s="273"/>
      <c r="Q1088" s="273"/>
      <c r="R1088" s="273"/>
      <c r="S1088" s="273"/>
      <c r="T1088" s="273"/>
      <c r="U1088" s="273"/>
      <c r="AC1088" s="1392"/>
    </row>
    <row r="1089" hidden="1">
      <c r="B1089" s="612"/>
      <c r="C1089" s="1435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3"/>
      <c r="P1089" s="273"/>
      <c r="Q1089" s="273"/>
      <c r="R1089" s="273"/>
      <c r="S1089" s="273"/>
      <c r="T1089" s="273"/>
      <c r="U1089" s="273"/>
      <c r="AC1089" s="1392"/>
    </row>
    <row r="1090" hidden="1">
      <c r="B1090" s="612"/>
      <c r="C1090" s="1435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3"/>
      <c r="P1090" s="273"/>
      <c r="Q1090" s="273"/>
      <c r="R1090" s="273"/>
      <c r="S1090" s="273"/>
      <c r="T1090" s="273"/>
      <c r="U1090" s="273"/>
      <c r="AC1090" s="1392"/>
    </row>
    <row r="1091" hidden="1">
      <c r="B1091" s="612"/>
      <c r="C1091" s="1435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3"/>
      <c r="P1091" s="273"/>
      <c r="Q1091" s="273"/>
      <c r="R1091" s="273"/>
      <c r="S1091" s="273"/>
      <c r="T1091" s="273"/>
      <c r="U1091" s="273"/>
      <c r="AC1091" s="1392"/>
    </row>
    <row r="1092" hidden="1">
      <c r="B1092" s="612"/>
      <c r="C1092" s="1435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3"/>
      <c r="P1092" s="273"/>
      <c r="Q1092" s="273"/>
      <c r="R1092" s="273"/>
      <c r="S1092" s="273"/>
      <c r="T1092" s="273"/>
      <c r="U1092" s="273"/>
      <c r="AC1092" s="1392"/>
    </row>
    <row r="1093" hidden="1">
      <c r="B1093" s="612"/>
      <c r="C1093" s="1435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3"/>
      <c r="P1093" s="273"/>
      <c r="Q1093" s="273"/>
      <c r="R1093" s="273"/>
      <c r="S1093" s="273"/>
      <c r="T1093" s="273"/>
      <c r="U1093" s="273"/>
      <c r="AC1093" s="1392"/>
    </row>
    <row r="1094" hidden="1">
      <c r="B1094" s="612"/>
      <c r="C1094" s="1435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3"/>
      <c r="P1094" s="273"/>
      <c r="Q1094" s="273"/>
      <c r="R1094" s="273"/>
      <c r="S1094" s="273"/>
      <c r="T1094" s="273"/>
      <c r="U1094" s="273"/>
      <c r="AC1094" s="1392"/>
    </row>
    <row r="1095" hidden="1">
      <c r="B1095" s="612"/>
      <c r="C1095" s="1435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3"/>
      <c r="P1095" s="273"/>
      <c r="Q1095" s="273"/>
      <c r="R1095" s="273"/>
      <c r="S1095" s="273"/>
      <c r="T1095" s="273"/>
      <c r="U1095" s="273"/>
      <c r="AC1095" s="1392"/>
    </row>
    <row r="1096" hidden="1">
      <c r="B1096" s="612"/>
      <c r="C1096" s="1435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3"/>
      <c r="P1096" s="273"/>
      <c r="Q1096" s="273"/>
      <c r="R1096" s="273"/>
      <c r="S1096" s="273"/>
      <c r="T1096" s="273"/>
      <c r="U1096" s="273"/>
      <c r="AC1096" s="1392"/>
    </row>
    <row r="1097" hidden="1">
      <c r="B1097" s="612"/>
      <c r="C1097" s="1435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3"/>
      <c r="P1097" s="273"/>
      <c r="Q1097" s="273"/>
      <c r="R1097" s="273"/>
      <c r="S1097" s="273"/>
      <c r="T1097" s="273"/>
      <c r="U1097" s="273"/>
      <c r="AC1097" s="1392"/>
    </row>
    <row r="1098" hidden="1">
      <c r="B1098" s="612"/>
      <c r="C1098" s="1435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3"/>
      <c r="P1098" s="273"/>
      <c r="Q1098" s="273"/>
      <c r="R1098" s="273"/>
      <c r="S1098" s="273"/>
      <c r="T1098" s="273"/>
      <c r="U1098" s="273"/>
      <c r="AC1098" s="1392"/>
    </row>
    <row r="1099" hidden="1">
      <c r="B1099" s="612"/>
      <c r="C1099" s="1435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3"/>
      <c r="P1099" s="273"/>
      <c r="Q1099" s="273"/>
      <c r="R1099" s="273"/>
      <c r="S1099" s="273"/>
      <c r="T1099" s="273"/>
      <c r="U1099" s="273"/>
      <c r="AC1099" s="1392"/>
    </row>
    <row r="1100" hidden="1">
      <c r="B1100" s="612"/>
      <c r="C1100" s="1435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3"/>
      <c r="P1100" s="273"/>
      <c r="Q1100" s="273"/>
      <c r="R1100" s="273"/>
      <c r="S1100" s="273"/>
      <c r="T1100" s="273"/>
      <c r="U1100" s="273"/>
      <c r="AC1100" s="1392"/>
    </row>
    <row r="1101" hidden="1">
      <c r="B1101" s="612"/>
      <c r="C1101" s="1435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3"/>
      <c r="P1101" s="273"/>
      <c r="Q1101" s="273"/>
      <c r="R1101" s="273"/>
      <c r="S1101" s="273"/>
      <c r="T1101" s="273"/>
      <c r="U1101" s="273"/>
      <c r="AC1101" s="1392"/>
    </row>
    <row r="1102" hidden="1">
      <c r="B1102" s="612"/>
      <c r="C1102" s="1435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3"/>
      <c r="P1102" s="273"/>
      <c r="Q1102" s="273"/>
      <c r="R1102" s="273"/>
      <c r="S1102" s="273"/>
      <c r="T1102" s="273"/>
      <c r="U1102" s="273"/>
      <c r="AC1102" s="1392"/>
    </row>
    <row r="1103" hidden="1">
      <c r="B1103" s="612"/>
      <c r="C1103" s="1435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3"/>
      <c r="P1103" s="273"/>
      <c r="Q1103" s="273"/>
      <c r="R1103" s="273"/>
      <c r="S1103" s="273"/>
      <c r="T1103" s="273"/>
      <c r="U1103" s="273"/>
      <c r="AC1103" s="1392"/>
    </row>
    <row r="1104" hidden="1">
      <c r="B1104" s="612"/>
      <c r="C1104" s="1435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3"/>
      <c r="P1104" s="273"/>
      <c r="Q1104" s="273"/>
      <c r="R1104" s="273"/>
      <c r="S1104" s="273"/>
      <c r="T1104" s="273"/>
      <c r="U1104" s="273"/>
      <c r="AC1104" s="1392"/>
    </row>
    <row r="1105" hidden="1">
      <c r="B1105" s="612"/>
      <c r="C1105" s="1435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3"/>
      <c r="P1105" s="273"/>
      <c r="Q1105" s="273"/>
      <c r="R1105" s="273"/>
      <c r="S1105" s="273"/>
      <c r="T1105" s="273"/>
      <c r="U1105" s="273"/>
      <c r="AC1105" s="1392"/>
    </row>
    <row r="1106" hidden="1">
      <c r="B1106" s="612"/>
      <c r="C1106" s="1435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3"/>
      <c r="P1106" s="273"/>
      <c r="Q1106" s="273"/>
      <c r="R1106" s="273"/>
      <c r="S1106" s="273"/>
      <c r="T1106" s="273"/>
      <c r="U1106" s="273"/>
      <c r="AC1106" s="1392"/>
    </row>
    <row r="1107" hidden="1">
      <c r="B1107" s="612"/>
      <c r="C1107" s="1435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3"/>
      <c r="P1107" s="273"/>
      <c r="Q1107" s="273"/>
      <c r="R1107" s="273"/>
      <c r="S1107" s="273"/>
      <c r="T1107" s="273"/>
      <c r="U1107" s="273"/>
      <c r="AC1107" s="1392"/>
    </row>
    <row r="1108" hidden="1">
      <c r="B1108" s="612"/>
      <c r="C1108" s="1435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3"/>
      <c r="P1108" s="273"/>
      <c r="Q1108" s="273"/>
      <c r="R1108" s="273"/>
      <c r="S1108" s="273"/>
      <c r="T1108" s="273"/>
      <c r="U1108" s="273"/>
      <c r="AC1108" s="1392"/>
    </row>
    <row r="1109" hidden="1">
      <c r="B1109" s="612"/>
      <c r="C1109" s="1435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3"/>
      <c r="P1109" s="273"/>
      <c r="Q1109" s="273"/>
      <c r="R1109" s="273"/>
      <c r="S1109" s="273"/>
      <c r="T1109" s="273"/>
      <c r="U1109" s="273"/>
      <c r="AC1109" s="1392"/>
    </row>
    <row r="1110" hidden="1">
      <c r="B1110" s="612"/>
      <c r="C1110" s="1435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3"/>
      <c r="P1110" s="273"/>
      <c r="Q1110" s="273"/>
      <c r="R1110" s="273"/>
      <c r="S1110" s="273"/>
      <c r="T1110" s="273"/>
      <c r="U1110" s="273"/>
      <c r="AC1110" s="1392"/>
    </row>
    <row r="1111" hidden="1">
      <c r="B1111" s="612"/>
      <c r="C1111" s="1435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3"/>
      <c r="P1111" s="273"/>
      <c r="Q1111" s="273"/>
      <c r="R1111" s="273"/>
      <c r="S1111" s="273"/>
      <c r="T1111" s="273"/>
      <c r="U1111" s="273"/>
      <c r="AC1111" s="1392"/>
    </row>
    <row r="1112" hidden="1">
      <c r="B1112" s="612"/>
      <c r="C1112" s="1435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3"/>
      <c r="P1112" s="273"/>
      <c r="Q1112" s="273"/>
      <c r="R1112" s="273"/>
      <c r="S1112" s="273"/>
      <c r="T1112" s="273"/>
      <c r="U1112" s="273"/>
      <c r="AC1112" s="1392"/>
    </row>
    <row r="1113" hidden="1">
      <c r="B1113" s="612"/>
      <c r="C1113" s="1435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3"/>
      <c r="P1113" s="273"/>
      <c r="Q1113" s="273"/>
      <c r="R1113" s="273"/>
      <c r="S1113" s="273"/>
      <c r="T1113" s="273"/>
      <c r="U1113" s="273"/>
      <c r="AC1113" s="1392"/>
    </row>
    <row r="1114" hidden="1">
      <c r="B1114" s="612"/>
      <c r="C1114" s="1435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3"/>
      <c r="P1114" s="273"/>
      <c r="Q1114" s="273"/>
      <c r="R1114" s="273"/>
      <c r="S1114" s="273"/>
      <c r="T1114" s="273"/>
      <c r="U1114" s="273"/>
      <c r="AC1114" s="1392"/>
    </row>
    <row r="1115" hidden="1">
      <c r="B1115" s="612"/>
      <c r="C1115" s="1435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3"/>
      <c r="P1115" s="273"/>
      <c r="Q1115" s="273"/>
      <c r="R1115" s="273"/>
      <c r="S1115" s="273"/>
      <c r="T1115" s="273"/>
      <c r="U1115" s="273"/>
      <c r="AC1115" s="1392"/>
    </row>
    <row r="1116" hidden="1">
      <c r="B1116" s="612"/>
      <c r="C1116" s="1435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3"/>
      <c r="P1116" s="273"/>
      <c r="Q1116" s="273"/>
      <c r="R1116" s="273"/>
      <c r="S1116" s="273"/>
      <c r="T1116" s="273"/>
      <c r="U1116" s="273"/>
      <c r="AC1116" s="1392"/>
    </row>
    <row r="1117" hidden="1">
      <c r="B1117" s="612"/>
      <c r="C1117" s="1435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3"/>
      <c r="P1117" s="273"/>
      <c r="Q1117" s="273"/>
      <c r="R1117" s="273"/>
      <c r="S1117" s="273"/>
      <c r="T1117" s="273"/>
      <c r="U1117" s="273"/>
      <c r="AC1117" s="1392"/>
    </row>
    <row r="1118" hidden="1">
      <c r="B1118" s="612"/>
      <c r="C1118" s="1435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3"/>
      <c r="P1118" s="273"/>
      <c r="Q1118" s="273"/>
      <c r="R1118" s="273"/>
      <c r="S1118" s="273"/>
      <c r="T1118" s="273"/>
      <c r="U1118" s="273"/>
      <c r="AC1118" s="1392"/>
    </row>
    <row r="1119" hidden="1">
      <c r="B1119" s="612"/>
      <c r="C1119" s="1435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3"/>
      <c r="P1119" s="273"/>
      <c r="Q1119" s="273"/>
      <c r="R1119" s="273"/>
      <c r="S1119" s="273"/>
      <c r="T1119" s="273"/>
      <c r="U1119" s="273"/>
      <c r="AC1119" s="1392"/>
    </row>
    <row r="1120" hidden="1">
      <c r="B1120" s="612"/>
      <c r="C1120" s="1435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3"/>
      <c r="P1120" s="273"/>
      <c r="Q1120" s="273"/>
      <c r="R1120" s="273"/>
      <c r="S1120" s="273"/>
      <c r="T1120" s="273"/>
      <c r="U1120" s="273"/>
      <c r="AC1120" s="1392"/>
    </row>
    <row r="1121" hidden="1">
      <c r="B1121" s="612"/>
      <c r="C1121" s="1435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3"/>
      <c r="P1121" s="273"/>
      <c r="Q1121" s="273"/>
      <c r="R1121" s="273"/>
      <c r="S1121" s="273"/>
      <c r="T1121" s="273"/>
      <c r="U1121" s="273"/>
      <c r="AC1121" s="1392"/>
    </row>
    <row r="1122" hidden="1">
      <c r="B1122" s="612"/>
      <c r="C1122" s="1435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3"/>
      <c r="P1122" s="273"/>
      <c r="Q1122" s="273"/>
      <c r="R1122" s="273"/>
      <c r="S1122" s="273"/>
      <c r="T1122" s="273"/>
      <c r="U1122" s="273"/>
      <c r="AC1122" s="1392"/>
    </row>
    <row r="1123" hidden="1">
      <c r="B1123" s="612"/>
      <c r="C1123" s="1435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3"/>
      <c r="P1123" s="273"/>
      <c r="Q1123" s="273"/>
      <c r="R1123" s="273"/>
      <c r="S1123" s="273"/>
      <c r="T1123" s="273"/>
      <c r="U1123" s="273"/>
      <c r="AC1123" s="1392"/>
    </row>
    <row r="1124" hidden="1">
      <c r="B1124" s="612"/>
      <c r="C1124" s="1435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3"/>
      <c r="P1124" s="273"/>
      <c r="Q1124" s="273"/>
      <c r="R1124" s="273"/>
      <c r="S1124" s="273"/>
      <c r="T1124" s="273"/>
      <c r="U1124" s="273"/>
      <c r="AC1124" s="1392"/>
    </row>
    <row r="1125" hidden="1">
      <c r="B1125" s="612"/>
      <c r="C1125" s="1435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3"/>
      <c r="P1125" s="273"/>
      <c r="Q1125" s="273"/>
      <c r="R1125" s="273"/>
      <c r="S1125" s="273"/>
      <c r="T1125" s="273"/>
      <c r="U1125" s="273"/>
      <c r="AC1125" s="1392"/>
    </row>
    <row r="1126" hidden="1">
      <c r="B1126" s="612"/>
      <c r="C1126" s="1435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3"/>
      <c r="P1126" s="273"/>
      <c r="Q1126" s="273"/>
      <c r="R1126" s="273"/>
      <c r="S1126" s="273"/>
      <c r="T1126" s="273"/>
      <c r="U1126" s="273"/>
      <c r="AC1126" s="1392"/>
    </row>
    <row r="1127" hidden="1">
      <c r="B1127" s="612"/>
      <c r="C1127" s="1435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3"/>
      <c r="P1127" s="273"/>
      <c r="Q1127" s="273"/>
      <c r="R1127" s="273"/>
      <c r="S1127" s="273"/>
      <c r="T1127" s="273"/>
      <c r="U1127" s="273"/>
      <c r="AC1127" s="1392"/>
    </row>
    <row r="1128" hidden="1">
      <c r="B1128" s="612"/>
      <c r="C1128" s="1435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3"/>
      <c r="P1128" s="273"/>
      <c r="Q1128" s="273"/>
      <c r="R1128" s="273"/>
      <c r="S1128" s="273"/>
      <c r="T1128" s="273"/>
      <c r="U1128" s="273"/>
      <c r="AC1128" s="1392"/>
    </row>
    <row r="1129" hidden="1">
      <c r="B1129" s="612"/>
      <c r="C1129" s="1435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3"/>
      <c r="P1129" s="273"/>
      <c r="Q1129" s="273"/>
      <c r="R1129" s="273"/>
      <c r="S1129" s="273"/>
      <c r="T1129" s="273"/>
      <c r="U1129" s="273"/>
      <c r="AC1129" s="1392"/>
    </row>
    <row r="1130" hidden="1">
      <c r="B1130" s="612"/>
      <c r="C1130" s="1435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3"/>
      <c r="P1130" s="273"/>
      <c r="Q1130" s="273"/>
      <c r="R1130" s="273"/>
      <c r="S1130" s="273"/>
      <c r="T1130" s="273"/>
      <c r="U1130" s="273"/>
      <c r="AC1130" s="1392"/>
    </row>
    <row r="1131" hidden="1">
      <c r="B1131" s="612"/>
      <c r="C1131" s="1435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3"/>
      <c r="P1131" s="273"/>
      <c r="Q1131" s="273"/>
      <c r="R1131" s="273"/>
      <c r="S1131" s="273"/>
      <c r="T1131" s="273"/>
      <c r="U1131" s="273"/>
      <c r="AC1131" s="1392"/>
    </row>
    <row r="1132" hidden="1">
      <c r="B1132" s="612"/>
      <c r="C1132" s="1435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3"/>
      <c r="P1132" s="273"/>
      <c r="Q1132" s="273"/>
      <c r="R1132" s="273"/>
      <c r="S1132" s="273"/>
      <c r="T1132" s="273"/>
      <c r="U1132" s="273"/>
      <c r="AC1132" s="1392"/>
    </row>
    <row r="1133" hidden="1">
      <c r="B1133" s="612"/>
      <c r="C1133" s="1435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3"/>
      <c r="P1133" s="273"/>
      <c r="Q1133" s="273"/>
      <c r="R1133" s="273"/>
      <c r="S1133" s="273"/>
      <c r="T1133" s="273"/>
      <c r="U1133" s="273"/>
      <c r="AC1133" s="1392"/>
    </row>
    <row r="1134" hidden="1">
      <c r="B1134" s="612"/>
      <c r="C1134" s="1435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3"/>
      <c r="P1134" s="273"/>
      <c r="Q1134" s="273"/>
      <c r="R1134" s="273"/>
      <c r="S1134" s="273"/>
      <c r="T1134" s="273"/>
      <c r="U1134" s="273"/>
      <c r="AC1134" s="1392"/>
    </row>
    <row r="1135" hidden="1">
      <c r="B1135" s="612"/>
      <c r="C1135" s="1435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3"/>
      <c r="P1135" s="273"/>
      <c r="Q1135" s="273"/>
      <c r="R1135" s="273"/>
      <c r="S1135" s="273"/>
      <c r="T1135" s="273"/>
      <c r="U1135" s="273"/>
      <c r="AC1135" s="1392"/>
    </row>
    <row r="1136" hidden="1">
      <c r="B1136" s="612"/>
      <c r="C1136" s="1435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3"/>
      <c r="P1136" s="273"/>
      <c r="Q1136" s="273"/>
      <c r="R1136" s="273"/>
      <c r="S1136" s="273"/>
      <c r="T1136" s="273"/>
      <c r="U1136" s="273"/>
      <c r="AC1136" s="1392"/>
    </row>
    <row r="1137" hidden="1">
      <c r="B1137" s="612"/>
      <c r="C1137" s="1435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3"/>
      <c r="P1137" s="273"/>
      <c r="Q1137" s="273"/>
      <c r="R1137" s="273"/>
      <c r="S1137" s="273"/>
      <c r="T1137" s="273"/>
      <c r="U1137" s="273"/>
      <c r="AC1137" s="1392"/>
    </row>
    <row r="1138" hidden="1">
      <c r="B1138" s="612"/>
      <c r="C1138" s="1435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3"/>
      <c r="P1138" s="273"/>
      <c r="Q1138" s="273"/>
      <c r="R1138" s="273"/>
      <c r="S1138" s="273"/>
      <c r="T1138" s="273"/>
      <c r="U1138" s="273"/>
      <c r="AC1138" s="1392"/>
    </row>
    <row r="1139" hidden="1">
      <c r="B1139" s="612"/>
      <c r="C1139" s="1435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3"/>
      <c r="P1139" s="273"/>
      <c r="Q1139" s="273"/>
      <c r="R1139" s="273"/>
      <c r="S1139" s="273"/>
      <c r="T1139" s="273"/>
      <c r="U1139" s="273"/>
      <c r="AC1139" s="1392"/>
    </row>
    <row r="1140" hidden="1">
      <c r="B1140" s="612"/>
      <c r="C1140" s="1435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3"/>
      <c r="P1140" s="273"/>
      <c r="Q1140" s="273"/>
      <c r="R1140" s="273"/>
      <c r="S1140" s="273"/>
      <c r="T1140" s="273"/>
      <c r="U1140" s="273"/>
      <c r="AC1140" s="1392"/>
    </row>
    <row r="1141" hidden="1">
      <c r="B1141" s="612"/>
      <c r="C1141" s="1435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3"/>
      <c r="P1141" s="273"/>
      <c r="Q1141" s="273"/>
      <c r="R1141" s="273"/>
      <c r="S1141" s="273"/>
      <c r="T1141" s="273"/>
      <c r="U1141" s="273"/>
      <c r="AC1141" s="1392"/>
    </row>
    <row r="1142" hidden="1">
      <c r="B1142" s="612"/>
      <c r="C1142" s="1435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3"/>
      <c r="P1142" s="273"/>
      <c r="Q1142" s="273"/>
      <c r="R1142" s="273"/>
      <c r="S1142" s="273"/>
      <c r="T1142" s="273"/>
      <c r="U1142" s="273"/>
      <c r="AC1142" s="1392"/>
    </row>
    <row r="1143" hidden="1">
      <c r="B1143" s="612"/>
      <c r="C1143" s="1435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3"/>
      <c r="P1143" s="273"/>
      <c r="Q1143" s="273"/>
      <c r="R1143" s="273"/>
      <c r="S1143" s="273"/>
      <c r="T1143" s="273"/>
      <c r="U1143" s="273"/>
      <c r="AC1143" s="1392"/>
    </row>
    <row r="1144" hidden="1">
      <c r="B1144" s="612"/>
      <c r="C1144" s="1435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3"/>
      <c r="P1144" s="273"/>
      <c r="Q1144" s="273"/>
      <c r="R1144" s="273"/>
      <c r="S1144" s="273"/>
      <c r="T1144" s="273"/>
      <c r="U1144" s="273"/>
      <c r="AC1144" s="1392"/>
    </row>
    <row r="1145" hidden="1">
      <c r="B1145" s="612"/>
      <c r="C1145" s="1435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3"/>
      <c r="P1145" s="273"/>
      <c r="Q1145" s="273"/>
      <c r="R1145" s="273"/>
      <c r="S1145" s="273"/>
      <c r="T1145" s="273"/>
      <c r="U1145" s="273"/>
      <c r="AC1145" s="1392"/>
    </row>
    <row r="1146" hidden="1">
      <c r="B1146" s="612"/>
      <c r="C1146" s="1435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3"/>
      <c r="P1146" s="273"/>
      <c r="Q1146" s="273"/>
      <c r="R1146" s="273"/>
      <c r="S1146" s="273"/>
      <c r="T1146" s="273"/>
      <c r="U1146" s="273"/>
      <c r="AC1146" s="1392"/>
    </row>
    <row r="1147" hidden="1">
      <c r="B1147" s="612"/>
      <c r="C1147" s="1435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3"/>
      <c r="P1147" s="273"/>
      <c r="Q1147" s="273"/>
      <c r="R1147" s="273"/>
      <c r="S1147" s="273"/>
      <c r="T1147" s="273"/>
      <c r="U1147" s="273"/>
      <c r="AC1147" s="1392"/>
    </row>
    <row r="1148" hidden="1">
      <c r="B1148" s="612"/>
      <c r="C1148" s="1435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3"/>
      <c r="P1148" s="273"/>
      <c r="Q1148" s="273"/>
      <c r="R1148" s="273"/>
      <c r="S1148" s="273"/>
      <c r="T1148" s="273"/>
      <c r="U1148" s="273"/>
      <c r="AC1148" s="1392"/>
    </row>
    <row r="1149" hidden="1">
      <c r="B1149" s="612"/>
      <c r="C1149" s="1435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3"/>
      <c r="P1149" s="273"/>
      <c r="Q1149" s="273"/>
      <c r="R1149" s="273"/>
      <c r="S1149" s="273"/>
      <c r="T1149" s="273"/>
      <c r="U1149" s="273"/>
      <c r="AC1149" s="1392"/>
    </row>
    <row r="1150" hidden="1">
      <c r="B1150" s="612"/>
      <c r="C1150" s="1435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3"/>
      <c r="P1150" s="273"/>
      <c r="Q1150" s="273"/>
      <c r="R1150" s="273"/>
      <c r="S1150" s="273"/>
      <c r="T1150" s="273"/>
      <c r="U1150" s="273"/>
      <c r="AC1150" s="1392"/>
    </row>
    <row r="1151" hidden="1">
      <c r="B1151" s="612"/>
      <c r="C1151" s="1435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3"/>
      <c r="P1151" s="273"/>
      <c r="Q1151" s="273"/>
      <c r="R1151" s="273"/>
      <c r="S1151" s="273"/>
      <c r="T1151" s="273"/>
      <c r="U1151" s="273"/>
      <c r="AC1151" s="1392"/>
    </row>
    <row r="1152" hidden="1">
      <c r="B1152" s="612"/>
      <c r="C1152" s="1435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3"/>
      <c r="P1152" s="273"/>
      <c r="Q1152" s="273"/>
      <c r="R1152" s="273"/>
      <c r="S1152" s="273"/>
      <c r="T1152" s="273"/>
      <c r="U1152" s="273"/>
      <c r="AC1152" s="1392"/>
    </row>
    <row r="1153" hidden="1">
      <c r="B1153" s="612"/>
      <c r="C1153" s="1435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3"/>
      <c r="P1153" s="273"/>
      <c r="Q1153" s="273"/>
      <c r="R1153" s="273"/>
      <c r="S1153" s="273"/>
      <c r="T1153" s="273"/>
      <c r="U1153" s="273"/>
      <c r="AC1153" s="1392"/>
    </row>
    <row r="1154" hidden="1">
      <c r="B1154" s="612"/>
      <c r="C1154" s="1435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3"/>
      <c r="P1154" s="273"/>
      <c r="Q1154" s="273"/>
      <c r="R1154" s="273"/>
      <c r="S1154" s="273"/>
      <c r="T1154" s="273"/>
      <c r="U1154" s="273"/>
      <c r="AC1154" s="1392"/>
    </row>
    <row r="1155" hidden="1">
      <c r="B1155" s="612"/>
      <c r="C1155" s="1435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3"/>
      <c r="P1155" s="273"/>
      <c r="Q1155" s="273"/>
      <c r="R1155" s="273"/>
      <c r="S1155" s="273"/>
      <c r="T1155" s="273"/>
      <c r="U1155" s="273"/>
      <c r="AC1155" s="1392"/>
    </row>
    <row r="1156" hidden="1">
      <c r="B1156" s="612"/>
      <c r="C1156" s="1435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3"/>
      <c r="P1156" s="273"/>
      <c r="Q1156" s="273"/>
      <c r="R1156" s="273"/>
      <c r="S1156" s="273"/>
      <c r="T1156" s="273"/>
      <c r="U1156" s="273"/>
      <c r="AC1156" s="1392"/>
    </row>
    <row r="1157" hidden="1">
      <c r="B1157" s="612"/>
      <c r="C1157" s="1435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3"/>
      <c r="P1157" s="273"/>
      <c r="Q1157" s="273"/>
      <c r="R1157" s="273"/>
      <c r="S1157" s="273"/>
      <c r="T1157" s="273"/>
      <c r="U1157" s="273"/>
      <c r="AC1157" s="1392"/>
    </row>
    <row r="1158" hidden="1">
      <c r="B1158" s="612"/>
      <c r="C1158" s="1435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3"/>
      <c r="P1158" s="273"/>
      <c r="Q1158" s="273"/>
      <c r="R1158" s="273"/>
      <c r="S1158" s="273"/>
      <c r="T1158" s="273"/>
      <c r="U1158" s="273"/>
      <c r="AC1158" s="1392"/>
    </row>
    <row r="1159" hidden="1">
      <c r="B1159" s="612"/>
      <c r="C1159" s="1435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3"/>
      <c r="P1159" s="273"/>
      <c r="Q1159" s="273"/>
      <c r="R1159" s="273"/>
      <c r="S1159" s="273"/>
      <c r="T1159" s="273"/>
      <c r="U1159" s="273"/>
      <c r="AC1159" s="1392"/>
    </row>
    <row r="1160" hidden="1">
      <c r="B1160" s="612"/>
      <c r="C1160" s="1435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3"/>
      <c r="P1160" s="273"/>
      <c r="Q1160" s="273"/>
      <c r="R1160" s="273"/>
      <c r="S1160" s="273"/>
      <c r="T1160" s="273"/>
      <c r="U1160" s="273"/>
      <c r="AC1160" s="1392"/>
    </row>
    <row r="1161" hidden="1">
      <c r="B1161" s="612"/>
      <c r="C1161" s="1435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3"/>
      <c r="P1161" s="273"/>
      <c r="Q1161" s="273"/>
      <c r="R1161" s="273"/>
      <c r="S1161" s="273"/>
      <c r="T1161" s="273"/>
      <c r="U1161" s="273"/>
      <c r="AC1161" s="1392"/>
    </row>
    <row r="1162" hidden="1">
      <c r="B1162" s="612"/>
      <c r="C1162" s="1435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3"/>
      <c r="P1162" s="273"/>
      <c r="Q1162" s="273"/>
      <c r="R1162" s="273"/>
      <c r="S1162" s="273"/>
      <c r="T1162" s="273"/>
      <c r="U1162" s="273"/>
      <c r="AC1162" s="1392"/>
    </row>
    <row r="1163" hidden="1">
      <c r="B1163" s="612"/>
      <c r="C1163" s="1435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3"/>
      <c r="P1163" s="273"/>
      <c r="Q1163" s="273"/>
      <c r="R1163" s="273"/>
      <c r="S1163" s="273"/>
      <c r="T1163" s="273"/>
      <c r="U1163" s="273"/>
      <c r="AC1163" s="1392"/>
    </row>
    <row r="1164" hidden="1">
      <c r="B1164" s="612"/>
      <c r="C1164" s="1435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3"/>
      <c r="P1164" s="273"/>
      <c r="Q1164" s="273"/>
      <c r="R1164" s="273"/>
      <c r="S1164" s="273"/>
      <c r="T1164" s="273"/>
      <c r="U1164" s="273"/>
      <c r="AC1164" s="1392"/>
    </row>
    <row r="1165" hidden="1">
      <c r="B1165" s="612"/>
      <c r="C1165" s="1435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3"/>
      <c r="P1165" s="273"/>
      <c r="Q1165" s="273"/>
      <c r="R1165" s="273"/>
      <c r="S1165" s="273"/>
      <c r="T1165" s="273"/>
      <c r="U1165" s="273"/>
      <c r="AC1165" s="1392"/>
    </row>
    <row r="1166" hidden="1">
      <c r="B1166" s="612"/>
      <c r="C1166" s="1435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3"/>
      <c r="P1166" s="273"/>
      <c r="Q1166" s="273"/>
      <c r="R1166" s="273"/>
      <c r="S1166" s="273"/>
      <c r="T1166" s="273"/>
      <c r="U1166" s="273"/>
      <c r="AC1166" s="1392"/>
    </row>
    <row r="1167" hidden="1">
      <c r="B1167" s="612"/>
      <c r="C1167" s="1435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3"/>
      <c r="P1167" s="273"/>
      <c r="Q1167" s="273"/>
      <c r="R1167" s="273"/>
      <c r="S1167" s="273"/>
      <c r="T1167" s="273"/>
      <c r="U1167" s="273"/>
      <c r="AC1167" s="1392"/>
    </row>
    <row r="1168" hidden="1">
      <c r="B1168" s="612"/>
      <c r="C1168" s="1435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3"/>
      <c r="P1168" s="273"/>
      <c r="Q1168" s="273"/>
      <c r="R1168" s="273"/>
      <c r="S1168" s="273"/>
      <c r="T1168" s="273"/>
      <c r="U1168" s="273"/>
      <c r="AC1168" s="1392"/>
    </row>
    <row r="1169" hidden="1">
      <c r="B1169" s="612"/>
      <c r="C1169" s="1435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3"/>
      <c r="P1169" s="273"/>
      <c r="Q1169" s="273"/>
      <c r="R1169" s="273"/>
      <c r="S1169" s="273"/>
      <c r="T1169" s="273"/>
      <c r="U1169" s="273"/>
      <c r="AC1169" s="1392"/>
    </row>
    <row r="1170" hidden="1">
      <c r="B1170" s="612"/>
      <c r="C1170" s="1435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3"/>
      <c r="P1170" s="273"/>
      <c r="Q1170" s="273"/>
      <c r="R1170" s="273"/>
      <c r="S1170" s="273"/>
      <c r="T1170" s="273"/>
      <c r="U1170" s="273"/>
      <c r="AC1170" s="1392"/>
    </row>
    <row r="1171" hidden="1">
      <c r="B1171" s="612"/>
      <c r="C1171" s="1435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3"/>
      <c r="P1171" s="273"/>
      <c r="Q1171" s="273"/>
      <c r="R1171" s="273"/>
      <c r="S1171" s="273"/>
      <c r="T1171" s="273"/>
      <c r="U1171" s="273"/>
      <c r="AC1171" s="1392"/>
    </row>
    <row r="1172" hidden="1">
      <c r="B1172" s="612"/>
      <c r="C1172" s="1435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3"/>
      <c r="P1172" s="273"/>
      <c r="Q1172" s="273"/>
      <c r="R1172" s="273"/>
      <c r="S1172" s="273"/>
      <c r="T1172" s="273"/>
      <c r="U1172" s="273"/>
      <c r="AC1172" s="1392"/>
    </row>
    <row r="1173" hidden="1">
      <c r="B1173" s="612"/>
      <c r="C1173" s="1435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3"/>
      <c r="P1173" s="273"/>
      <c r="Q1173" s="273"/>
      <c r="R1173" s="273"/>
      <c r="S1173" s="273"/>
      <c r="T1173" s="273"/>
      <c r="U1173" s="273"/>
      <c r="AC1173" s="1392"/>
    </row>
    <row r="1174" hidden="1">
      <c r="B1174" s="612"/>
      <c r="C1174" s="1435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3"/>
      <c r="P1174" s="273"/>
      <c r="Q1174" s="273"/>
      <c r="R1174" s="273"/>
      <c r="S1174" s="273"/>
      <c r="T1174" s="273"/>
      <c r="U1174" s="273"/>
      <c r="AC1174" s="1392"/>
    </row>
    <row r="1175" hidden="1">
      <c r="B1175" s="612"/>
      <c r="C1175" s="1435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3"/>
      <c r="P1175" s="273"/>
      <c r="Q1175" s="273"/>
      <c r="R1175" s="273"/>
      <c r="S1175" s="273"/>
      <c r="T1175" s="273"/>
      <c r="U1175" s="273"/>
      <c r="AC1175" s="1392"/>
    </row>
    <row r="1176" hidden="1">
      <c r="B1176" s="612"/>
      <c r="C1176" s="1435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3"/>
      <c r="P1176" s="273"/>
      <c r="Q1176" s="273"/>
      <c r="R1176" s="273"/>
      <c r="S1176" s="273"/>
      <c r="T1176" s="273"/>
      <c r="U1176" s="273"/>
      <c r="AC1176" s="1392"/>
    </row>
    <row r="1177" hidden="1">
      <c r="B1177" s="612"/>
      <c r="C1177" s="1435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3"/>
      <c r="P1177" s="273"/>
      <c r="Q1177" s="273"/>
      <c r="R1177" s="273"/>
      <c r="S1177" s="273"/>
      <c r="T1177" s="273"/>
      <c r="U1177" s="273"/>
      <c r="AC1177" s="1392"/>
    </row>
  </sheetData>
  <conditionalFormatting sqref="B1:B1177">
    <cfRule type="cellIs" dxfId="29" priority="1" operator="equal">
      <formula>"S+"</formula>
    </cfRule>
  </conditionalFormatting>
  <conditionalFormatting sqref="B1:B1177">
    <cfRule type="cellIs" dxfId="39" priority="2" operator="equal">
      <formula>"S"</formula>
    </cfRule>
  </conditionalFormatting>
  <conditionalFormatting sqref="B1:B1177">
    <cfRule type="cellIs" dxfId="29" priority="3" operator="equal">
      <formula>"S-"</formula>
    </cfRule>
  </conditionalFormatting>
  <conditionalFormatting sqref="B1:B1177">
    <cfRule type="cellIs" dxfId="28" priority="4" operator="equal">
      <formula>"A+"</formula>
    </cfRule>
  </conditionalFormatting>
  <conditionalFormatting sqref="B1:B1177">
    <cfRule type="cellIs" dxfId="28" priority="5" operator="equal">
      <formula>"A"</formula>
    </cfRule>
  </conditionalFormatting>
  <conditionalFormatting sqref="B1:B1177">
    <cfRule type="cellIs" dxfId="28" priority="6" operator="equal">
      <formula>"A-"</formula>
    </cfRule>
  </conditionalFormatting>
  <conditionalFormatting sqref="B1:B1177">
    <cfRule type="cellIs" dxfId="23" priority="7" operator="equal">
      <formula>"B+"</formula>
    </cfRule>
  </conditionalFormatting>
  <conditionalFormatting sqref="B1:B1177">
    <cfRule type="cellIs" dxfId="23" priority="8" operator="equal">
      <formula>"B"</formula>
    </cfRule>
  </conditionalFormatting>
  <conditionalFormatting sqref="B1:B1177">
    <cfRule type="cellIs" dxfId="23" priority="9" operator="equal">
      <formula>"B-"</formula>
    </cfRule>
  </conditionalFormatting>
  <conditionalFormatting sqref="B1:B1177">
    <cfRule type="cellIs" dxfId="40" priority="10" operator="equal">
      <formula>"C+"</formula>
    </cfRule>
  </conditionalFormatting>
  <conditionalFormatting sqref="B1:B1177">
    <cfRule type="cellIs" dxfId="40" priority="11" operator="equal">
      <formula>"C"</formula>
    </cfRule>
  </conditionalFormatting>
  <conditionalFormatting sqref="B1:B1177">
    <cfRule type="cellIs" dxfId="40" priority="12" operator="equal">
      <formula>"C-"</formula>
    </cfRule>
  </conditionalFormatting>
  <conditionalFormatting sqref="B1:B1177">
    <cfRule type="cellIs" dxfId="25" priority="13" operator="equal">
      <formula>"D+"</formula>
    </cfRule>
  </conditionalFormatting>
  <conditionalFormatting sqref="B1:B1177">
    <cfRule type="cellIs" dxfId="25" priority="14" operator="equal">
      <formula>"D"</formula>
    </cfRule>
  </conditionalFormatting>
  <conditionalFormatting sqref="B1:B1177">
    <cfRule type="cellIs" dxfId="25" priority="15" operator="equal">
      <formula>"D-"</formula>
    </cfRule>
  </conditionalFormatting>
  <conditionalFormatting sqref="B1:B1177">
    <cfRule type="cellIs" dxfId="26" priority="16" operator="equal">
      <formula>"E+"</formula>
    </cfRule>
  </conditionalFormatting>
  <conditionalFormatting sqref="B1:B1177">
    <cfRule type="cellIs" dxfId="26" priority="17" operator="equal">
      <formula>"E"</formula>
    </cfRule>
  </conditionalFormatting>
  <conditionalFormatting sqref="B1:B1177">
    <cfRule type="cellIs" dxfId="26" priority="18" operator="equal">
      <formula>"E-"</formula>
    </cfRule>
  </conditionalFormatting>
  <conditionalFormatting sqref="B1:B1177">
    <cfRule type="cellIs" dxfId="41" priority="19" operator="equal">
      <formula>"F+"</formula>
    </cfRule>
  </conditionalFormatting>
  <conditionalFormatting sqref="B1:B1177">
    <cfRule type="cellIs" dxfId="41" priority="20" operator="equal">
      <formula>"F"</formula>
    </cfRule>
  </conditionalFormatting>
  <conditionalFormatting sqref="B1:B1177">
    <cfRule type="cellIs" dxfId="41" priority="21" operator="equal">
      <formula>"F-"</formula>
    </cfRule>
  </conditionalFormatting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37" width="10.0"/>
  </cols>
  <sheetData>
    <row r="1">
      <c r="A1" s="1200" t="s">
        <v>12</v>
      </c>
      <c r="B1" s="1201" t="s">
        <v>387</v>
      </c>
      <c r="C1" s="1200" t="s">
        <v>887</v>
      </c>
      <c r="D1" s="1200" t="s">
        <v>888</v>
      </c>
      <c r="E1" s="1200" t="s">
        <v>889</v>
      </c>
      <c r="F1" s="1200" t="s">
        <v>890</v>
      </c>
      <c r="G1" s="1200" t="s">
        <v>385</v>
      </c>
      <c r="H1" s="1200" t="s">
        <v>393</v>
      </c>
      <c r="I1" s="1200" t="s">
        <v>891</v>
      </c>
      <c r="J1" s="1200" t="s">
        <v>233</v>
      </c>
      <c r="K1" s="1200" t="s">
        <v>234</v>
      </c>
      <c r="L1" s="1200" t="s">
        <v>892</v>
      </c>
      <c r="M1" s="1202" t="s">
        <v>893</v>
      </c>
      <c r="N1" s="1200" t="s">
        <v>894</v>
      </c>
      <c r="O1" s="1202" t="s">
        <v>895</v>
      </c>
      <c r="P1" s="1200" t="s">
        <v>226</v>
      </c>
      <c r="Q1" s="1202" t="s">
        <v>896</v>
      </c>
      <c r="R1" s="1200" t="s">
        <v>897</v>
      </c>
      <c r="S1" s="1202" t="s">
        <v>898</v>
      </c>
      <c r="T1" s="1200" t="s">
        <v>899</v>
      </c>
      <c r="U1" s="1202" t="s">
        <v>900</v>
      </c>
      <c r="V1" s="1200" t="s">
        <v>901</v>
      </c>
      <c r="W1" s="1202" t="s">
        <v>902</v>
      </c>
      <c r="X1" s="1200" t="s">
        <v>903</v>
      </c>
      <c r="Y1" s="1202" t="s">
        <v>904</v>
      </c>
      <c r="Z1" s="1200" t="s">
        <v>905</v>
      </c>
      <c r="AA1" s="1200" t="s">
        <v>906</v>
      </c>
      <c r="AB1" s="1203" t="s">
        <v>907</v>
      </c>
      <c r="AC1" s="1200" t="s">
        <v>908</v>
      </c>
      <c r="AD1" s="1200" t="s">
        <v>909</v>
      </c>
      <c r="AE1" s="1200" t="s">
        <v>910</v>
      </c>
      <c r="AF1" s="1200" t="s">
        <v>911</v>
      </c>
      <c r="AG1" s="1200" t="s">
        <v>912</v>
      </c>
      <c r="AH1" s="1200" t="s">
        <v>913</v>
      </c>
      <c r="AI1" s="1204"/>
      <c r="AJ1" s="1204"/>
      <c r="AK1" s="1204"/>
    </row>
    <row r="2">
      <c r="A2" s="1205" t="s">
        <v>206</v>
      </c>
      <c r="B2" s="1206">
        <f>IFERROR(VLOOKUP(A2,'Halo Infinite Stats'!A:AM,11,0),)</f>
        <v>1</v>
      </c>
      <c r="C2" s="1207">
        <f t="shared" ref="C2:C44" si="1">(HOUR(B2) * 3600) + (MINUTE(B2) * 60) + SECOND(B2)</f>
        <v>0</v>
      </c>
      <c r="D2" s="1208">
        <f t="shared" ref="D2:D44" si="2">(C2/60)</f>
        <v>0</v>
      </c>
      <c r="E2" s="1209">
        <f>IFERROR(VLOOKUP(A2,'Halo Infinite Stats'!A:AM,6,0),)</f>
        <v>60</v>
      </c>
      <c r="F2" s="614">
        <f>IFERROR(VLOOKUP(A2,'Halo Infinite Stats'!A:AM,5,0),)</f>
        <v>16</v>
      </c>
      <c r="G2" s="1210">
        <f>IFERROR(VLOOKUP(A2,'Halo Infinite Stats'!A:AM,8,0),)</f>
        <v>951</v>
      </c>
      <c r="H2" s="614">
        <f>IFERROR(VLOOKUP(A2,'Halo Infinite Stats'!A:AM,28,0),)</f>
        <v>1</v>
      </c>
      <c r="I2" s="1208">
        <f>IFERROR(VLOOKUP(A2,'Halo Infinite Stats'!A:AM,13,0),)+IFERROR(VLOOKUP(A2,'Halo Infinite Stats'!A:AM,14,0)+IFERROR(VLOOKUP(A2,'Halo Infinite Stats'!A:AM,15,0),""),"")</f>
        <v>49.68874869</v>
      </c>
      <c r="J2" s="614">
        <f>IFERROR(VLOOKUP(A2,'Halo Infinite Stats'!A:AM,18,0),)</f>
        <v>35</v>
      </c>
      <c r="K2" s="614">
        <f>IFERROR(VLOOKUP(A2,'Halo Infinite Stats'!A:AM,19,0),)</f>
        <v>252</v>
      </c>
      <c r="L2" s="753">
        <f>IFERROR(VLOOKUP(A2,'Halo Infinite Stats'!A:AM,27,0),)+IFERROR(VLOOKUP(A2,'Halo Infinite Stats'!A:AM,29,0),)+IFERROR(VLOOKUP(A2,'Halo Infinite Stats'!A:AM,30,0),)+IFERROR(VLOOKUP(A2,'Halo Infinite Stats'!A:AM,31,0),)+IFERROR(VLOOKUP(A2,'Halo Infinite Stats'!A:AM,32,0),)+IFERROR(VLOOKUP(A2,'Halo Infinite Stats'!A:AM,33,0),)</f>
        <v>244</v>
      </c>
      <c r="M2" s="1211">
        <f>IFERROR(VLOOKUP(A2,'Halo Infinite Stats'!A:AM,18,0),)+IFERROR(VLOOKUP(A2,'Halo Infinite Stats'!A:AM,19,0),)+IFERROR(VLOOKUP(A2,'Halo Infinite Stats'!A:AM,20,0),)+IFERROR(VLOOKUP(A2,'Halo Infinite Stats'!A:AM,21,0),)+IFERROR(VLOOKUP(A2,'Halo Infinite Stats'!A:AM,22,0),)+IFERROR(VLOOKUP(A2,'Halo Infinite Stats'!A:AM,23,0),)+IFERROR(VLOOKUP(A2,'Halo Infinite Stats'!A:AM,24,0),)+IFERROR(VLOOKUP(A2,'Halo Infinite Stats'!A:AM,25,0),)+IFERROR(VLOOKUP(A2,'Halo Infinite Stats'!A:AM,26,0),)</f>
        <v>419</v>
      </c>
      <c r="N2" s="753">
        <f t="shared" ref="N2:N44" si="3">IFERROR(F2/(B2/60),0)</f>
        <v>960</v>
      </c>
      <c r="O2" s="1212" t="str">
        <f t="shared" ref="O2:O44" si="4">IF(N2&lt;=AD$21,"F-",IF(N2&lt;AD$20,"F",IF(N2&lt;AD$19,"F+",IF(N2&lt;AD$18,"E-",IF(N2&lt;AD$17,"E",IF(N2&lt;AD$16,"E+",IF(N2&lt;AD$15,"D-",IF(N2&lt;AD$14,"D",IF(N2&lt;AD$13,"D+",IF(N2&lt;AD$12,"C-",IF(N2&lt;AD$11,"C",IF(N2&lt;AD$10,"C+",IF(N2&lt;AD$9,"B-",IF(N2&lt;AD$8,"B",IF(N2&lt;AD$7,"B+",IF(N2&lt;AD$6,"A-",IF(N2&lt;AD$5,"A",IF(N2&lt;AD$4,"A+",IF(N2&lt;AD$3,"S-",IF(N2&lt;AD$2,"S","S+"))))))))))))))))))))</f>
        <v>A</v>
      </c>
      <c r="P2" s="753">
        <f t="shared" ref="P2:P44" si="5">IFERROR(G2/(B2/60),0)</f>
        <v>57060</v>
      </c>
      <c r="Q2" s="1213" t="str">
        <f t="shared" ref="Q2:Q44" si="6">IF(P2&lt;=AE$21,"F-",IF(P2&lt;AE$20,"F",IF(P2&lt;AE$19,"F+",IF(P2&lt;AE$18,"E-",IF(P2&lt;AE$17,"E",IF(P2&lt;AE$16,"E+",IF(P2&lt;AE$15,"D-",IF(P2&lt;AE$14,"D",IF(P2&lt;AE$13,"D+",IF(P2&lt;AE$12,"C-",IF(P2&lt;AE$11,"C",IF(P2&lt;AE$10,"C+",IF(P2&lt;AE$9,"B-",IF(P2&lt;AE$8,"B",IF(P2&lt;AE$7,"B+",IF(P2&lt;AE$6,"A-",IF(P2&lt;AE$5,"A",IF(P2&lt;AE$4,"A+",IF(P2&lt;AE$3,"S-",IF(P2&lt;AE$2,"S","S+"))))))))))))))))))))</f>
        <v>A+</v>
      </c>
      <c r="R2" s="753">
        <f t="shared" ref="R2:R45" si="7">IFERROR(H2/(B2/60),0)</f>
        <v>60</v>
      </c>
      <c r="S2" s="1214" t="str">
        <f t="shared" ref="S2:S44" si="8">IF(R2&lt;=AB$21,"F-",IF(R2&lt;AB$20,"F",IF(R2&lt;AB$19,"F+",IF(R2&lt;AB$18,"E-",IF(R2&lt;AB$17,"E",IF(R2&lt;AB$16,"E+",IF(R2&lt;AB$15,"D-",IF(R2&lt;AB$14,"D",IF(R2&lt;AB$13,"D+",IF(R2&lt;AB$12,"C-",IF(R2&lt;AB$11,"C",IF(R2&lt;AB$10,"C+",IF(R2&lt;AB$9,"B-",IF(R2&lt;AB$8,"B",IF(R2&lt;AB$7,"B+",IF(R2&lt;AB$6,"A-",IF(R2&lt;AB$5,"A",IF(R2&lt;AB$4,"A+",IF(R2&lt;AB$3,"S-",IF(R2&lt;AB$2,"S","S+"))))))))))))))))))))</f>
        <v>S</v>
      </c>
      <c r="T2" s="614">
        <f t="shared" ref="T2:T45" si="9">IFERROR(I2/(B2/60),0)</f>
        <v>2981.324921</v>
      </c>
      <c r="U2" s="1217" t="str">
        <f t="shared" ref="U2:U44" si="10">IF(T2&lt;=AC$21,"F-",IF(T2&lt;AC$20,"F",IF(T2&lt;AC$19,"F+",IF(T2&lt;AC$18,"E-",IF(T2&lt;AC$17,"E",IF(T2&lt;AC$16,"E+",IF(T2&lt;AC$15,"D-",IF(T2&lt;AC$14,"D",IF(T2&lt;AC$13,"D+",IF(T2&lt;AC$12,"C-",IF(T2&lt;AC$11,"C",IF(T2&lt;AC$10,"C+",IF(T2&lt;AC$9,"B-",IF(T2&lt;AC$8,"B",IF(T2&lt;AC$7,"B+",IF(T2&lt;AC$6,"A-",IF(T2&lt;AC$5,"A",IF(T2&lt;AC$4,"A+",IF(T2&lt;AC$3,"S-",IF(T2&lt;AC$2,"S","S+"))))))))))))))))))))</f>
        <v>S</v>
      </c>
      <c r="V2" s="753">
        <f t="shared" ref="V2:V44" si="11">IFERROR(M2/(B2/60),0)</f>
        <v>25140</v>
      </c>
      <c r="W2" s="1217" t="str">
        <f t="shared" ref="W2:W44" si="12">IF(V2&lt;=AF$21,"F-",IF(V2&lt;AF$20,"F",IF(V2&lt;AF$19,"F+",IF(V2&lt;AF$18,"E-",IF(V2&lt;AF$17,"E",IF(V2&lt;AF$16,"E+",IF(V2&lt;AF$15,"D-",IF(V2&lt;AF$14,"D",IF(V2&lt;AF$13,"D+",IF(V2&lt;AF$12,"C-",IF(V2&lt;AF$11,"C",IF(V2&lt;AF$10,"C+",IF(V2&lt;AF$9,"B-",IF(V2&lt;AF$8,"B",IF(V2&lt;AF$7,"B+",IF(V2&lt;AF$6,"A-",IF(V2&lt;AF$5,"A",IF(V2&lt;AF$4,"A+",IF(V2&lt;AF$3,"S-",IF(V2&lt;AF$2,"S","S+"))))))))))))))))))))</f>
        <v>S+</v>
      </c>
      <c r="X2" s="753">
        <f t="shared" ref="X2:X45" si="13">IFERROR(E2/(B2/60),0)</f>
        <v>3600</v>
      </c>
      <c r="Y2" s="1217" t="str">
        <f t="shared" ref="Y2:Y44" si="14">IF(X2&lt;=AG$21,"F-",IF(X2&lt;AG$20,"F",IF(X2&lt;AG$19,"F+",IF(X2&lt;AG$18,"E-",IF(X2&lt;AG$17,"E",IF(X2&lt;AG$16,"E+",IF(X2&lt;AG$15,"D-",IF(X2&lt;AG$14,"D",IF(X2&lt;AG$13,"D+",IF(X2&lt;AG$12,"C-",IF(X2&lt;AG$11,"C",IF(X2&lt;AG$10,"C+",IF(X2&lt;AG$9,"B-",IF(X2&lt;AG$8,"B",IF(X2&lt;AG$7,"B+",IF(X2&lt;AG$6,"A-",IF(X2&lt;AG$5,"A",IF(X2&lt;AG$4,"A+",IF(X2&lt;AG$3,"S-",IF(X2&lt;AG$2,"S","S+"))))))))))))))))))))</f>
        <v>A-</v>
      </c>
      <c r="Z2" s="753">
        <f t="shared" ref="Z2:Z45" si="15">IFERROR(L2/(B2/60),0)</f>
        <v>14640</v>
      </c>
      <c r="AA2" s="1219" t="str">
        <f t="shared" ref="AA2:AA44" si="16">IF(Z2&lt;=AH$21,"F-",IF(Z2&lt;AH$20,"F",IF(Z2&lt;AH$19,"F+",IF(Z2&lt;AH$18,"E-",IF(Z2&lt;AH$17,"E",IF(Z2&lt;AH$16,"E+",IF(Z2&lt;AH$15,"D-",IF(Z2&lt;AH$14,"D",IF(Z2&lt;AH$13,"D+",IF(Z2&lt;AH$12,"C-",IF(Z2&lt;AH$11,"C",IF(Z2&lt;AH$10,"C+",IF(Z2&lt;AH$9,"B-",IF(Z2&lt;AH$8,"B",IF(Z2&lt;AH$7,"B+",IF(Z2&lt;AH$6,"A-",IF(Z2&lt;AH$5,"A",IF(Z2&lt;AH$4,"A+",IF(Z2&lt;AH$3,"S-",IF(Z2&lt;AH$2,"S","S+"))))))))))))))))))))</f>
        <v>S</v>
      </c>
      <c r="AB2" s="1220">
        <f>PERCENTILE(R2:R44,1)</f>
        <v>180</v>
      </c>
      <c r="AC2" s="1220">
        <f>PERCENTILE(T2:T44,1)</f>
        <v>3798.242843</v>
      </c>
      <c r="AD2" s="1220">
        <f>PERCENTILE(N2:N44,1)</f>
        <v>4140</v>
      </c>
      <c r="AE2" s="1220">
        <f>PERCENTILE(P2:P44,1)</f>
        <v>74580</v>
      </c>
      <c r="AF2" s="1220">
        <f>PERCENTILE(V2:V44,1)</f>
        <v>25140</v>
      </c>
      <c r="AG2" s="1220">
        <f>PERCENTILE(X2:X44,1)</f>
        <v>21300</v>
      </c>
      <c r="AH2" s="1220">
        <f>PERCENTILE(Z2:Z44,1)</f>
        <v>17100</v>
      </c>
    </row>
    <row r="3">
      <c r="A3" s="1205" t="s">
        <v>220</v>
      </c>
      <c r="B3" s="1206">
        <f>IFERROR(VLOOKUP(A3,'Halo Infinite Stats'!A:AM,11,0),)</f>
        <v>3</v>
      </c>
      <c r="C3" s="1207">
        <f t="shared" si="1"/>
        <v>0</v>
      </c>
      <c r="D3" s="1208">
        <f t="shared" si="2"/>
        <v>0</v>
      </c>
      <c r="E3" s="1209">
        <f>IFERROR(VLOOKUP(A3,'Halo Infinite Stats'!A:AM,6,0),)</f>
        <v>6</v>
      </c>
      <c r="F3" s="614">
        <f>IFERROR(VLOOKUP(A3,'Halo Infinite Stats'!A:AM,5,0),)</f>
        <v>10</v>
      </c>
      <c r="G3" s="1210">
        <f>IFERROR(VLOOKUP(A3,'Halo Infinite Stats'!A:AM,8,0),)</f>
        <v>584</v>
      </c>
      <c r="H3" s="614">
        <f>IFERROR(VLOOKUP(A3,'Halo Infinite Stats'!A:AM,28,0),)</f>
        <v>0</v>
      </c>
      <c r="I3" s="1208">
        <f>IFERROR(VLOOKUP(A3,'Halo Infinite Stats'!A:AM,13,0),)+IFERROR(VLOOKUP(A3,'Halo Infinite Stats'!A:AM,14,0)+IFERROR(VLOOKUP(A3,'Halo Infinite Stats'!A:AM,15,0),""),"")</f>
        <v>20.73287671</v>
      </c>
      <c r="J3" s="614">
        <f>IFERROR(VLOOKUP(A3,'Halo Infinite Stats'!A:AM,18,0),)</f>
        <v>1</v>
      </c>
      <c r="K3" s="614">
        <f>IFERROR(VLOOKUP(A3,'Halo Infinite Stats'!A:AM,19,0),)</f>
        <v>69</v>
      </c>
      <c r="L3" s="753">
        <f>IFERROR(VLOOKUP(A3,'Halo Infinite Stats'!A:AM,27,0),)+IFERROR(VLOOKUP(A3,'Halo Infinite Stats'!A:AM,29,0),)+IFERROR(VLOOKUP(A3,'Halo Infinite Stats'!A:AM,30,0),)+IFERROR(VLOOKUP(A3,'Halo Infinite Stats'!A:AM,31,0),)+IFERROR(VLOOKUP(A3,'Halo Infinite Stats'!A:AM,32,0),)+IFERROR(VLOOKUP(A3,'Halo Infinite Stats'!A:AM,33,0),)</f>
        <v>70</v>
      </c>
      <c r="M3" s="1211">
        <f>IFERROR(VLOOKUP(A3,'Halo Infinite Stats'!A:AM,18,0),)+IFERROR(VLOOKUP(A3,'Halo Infinite Stats'!A:AM,19,0),)+IFERROR(VLOOKUP(A3,'Halo Infinite Stats'!A:AM,20,0),)+IFERROR(VLOOKUP(A3,'Halo Infinite Stats'!A:AM,21,0),)+IFERROR(VLOOKUP(A3,'Halo Infinite Stats'!A:AM,22,0),)+IFERROR(VLOOKUP(A3,'Halo Infinite Stats'!A:AM,23,0),)+IFERROR(VLOOKUP(A3,'Halo Infinite Stats'!A:AM,24,0),)+IFERROR(VLOOKUP(A3,'Halo Infinite Stats'!A:AM,25,0),)+IFERROR(VLOOKUP(A3,'Halo Infinite Stats'!A:AM,26,0),)</f>
        <v>93</v>
      </c>
      <c r="N3" s="753">
        <f t="shared" si="3"/>
        <v>200</v>
      </c>
      <c r="O3" s="1212" t="str">
        <f t="shared" si="4"/>
        <v>C</v>
      </c>
      <c r="P3" s="753">
        <f t="shared" si="5"/>
        <v>11680</v>
      </c>
      <c r="Q3" s="1213" t="str">
        <f t="shared" si="6"/>
        <v>D+</v>
      </c>
      <c r="R3" s="753">
        <f t="shared" si="7"/>
        <v>0</v>
      </c>
      <c r="S3" s="1214" t="str">
        <f t="shared" si="8"/>
        <v>F-</v>
      </c>
      <c r="T3" s="614">
        <f t="shared" si="9"/>
        <v>414.6575342</v>
      </c>
      <c r="U3" s="1217" t="str">
        <f t="shared" si="10"/>
        <v>C</v>
      </c>
      <c r="V3" s="753">
        <f t="shared" si="11"/>
        <v>1860</v>
      </c>
      <c r="W3" s="1217" t="str">
        <f t="shared" si="12"/>
        <v>D+</v>
      </c>
      <c r="X3" s="753">
        <f t="shared" si="13"/>
        <v>120</v>
      </c>
      <c r="Y3" s="1217" t="str">
        <f t="shared" si="14"/>
        <v>D+</v>
      </c>
      <c r="Z3" s="753">
        <f t="shared" si="15"/>
        <v>1400</v>
      </c>
      <c r="AA3" s="1219" t="str">
        <f t="shared" si="16"/>
        <v>D+</v>
      </c>
      <c r="AB3" s="1221">
        <f>PERCENTILE(R2:R44,0.95)</f>
        <v>60</v>
      </c>
      <c r="AC3" s="1221">
        <f>PERCENTILE(T2:T44,0.95)</f>
        <v>2718.342865</v>
      </c>
      <c r="AD3" s="1221">
        <f>PERCENTILE(N2:N44,0.95)</f>
        <v>2790</v>
      </c>
      <c r="AE3" s="1221">
        <f>PERCENTILE(P2:P44,0.95)</f>
        <v>63210</v>
      </c>
      <c r="AF3" s="1221">
        <f>PERCENTILE(V2:V44,0.95)</f>
        <v>18156</v>
      </c>
      <c r="AG3" s="1221">
        <f>PERCENTILE(X2:X44,0.95)</f>
        <v>12558</v>
      </c>
      <c r="AH3" s="1221">
        <f>PERCENTILE(Z2:Z44,0.95)</f>
        <v>14220</v>
      </c>
    </row>
    <row r="4">
      <c r="A4" s="1205" t="s">
        <v>249</v>
      </c>
      <c r="B4" s="1206">
        <f>IFERROR(VLOOKUP(A4,'Halo Infinite Stats'!A:AM,11,0),)</f>
        <v>0</v>
      </c>
      <c r="C4" s="1207">
        <f t="shared" si="1"/>
        <v>0</v>
      </c>
      <c r="D4" s="1222">
        <f t="shared" si="2"/>
        <v>0</v>
      </c>
      <c r="E4" s="1209">
        <f>IFERROR(VLOOKUP(A4,'Halo Infinite Stats'!A:AM,6,0),)</f>
        <v>33</v>
      </c>
      <c r="F4" s="614">
        <f>IFERROR(VLOOKUP(A4,'Halo Infinite Stats'!A:AM,5,0),)</f>
        <v>12</v>
      </c>
      <c r="G4" s="1210">
        <f>IFERROR(VLOOKUP(A4,'Halo Infinite Stats'!A:AM,8,0),)</f>
        <v>872</v>
      </c>
      <c r="H4" s="614">
        <f>IFERROR(VLOOKUP(A4,'Halo Infinite Stats'!A:AM,28,0),)</f>
        <v>0</v>
      </c>
      <c r="I4" s="1208">
        <f>IFERROR(VLOOKUP(A4,'Halo Infinite Stats'!A:AM,13,0),)+IFERROR(VLOOKUP(A4,'Halo Infinite Stats'!A:AM,14,0)+IFERROR(VLOOKUP(A4,'Halo Infinite Stats'!A:AM,15,0),""),"")</f>
        <v>16.38990826</v>
      </c>
      <c r="J4" s="614">
        <f>IFERROR(VLOOKUP(A4,'Halo Infinite Stats'!A:AM,18,0),)</f>
        <v>8</v>
      </c>
      <c r="K4" s="614">
        <f>IFERROR(VLOOKUP(A4,'Halo Infinite Stats'!A:AM,19,0),)</f>
        <v>47</v>
      </c>
      <c r="L4" s="753">
        <f>IFERROR(VLOOKUP(A4,'Halo Infinite Stats'!A:AM,27,0),)+IFERROR(VLOOKUP(A4,'Halo Infinite Stats'!A:AM,29,0),)+IFERROR(VLOOKUP(A4,'Halo Infinite Stats'!A:AM,30,0),)+IFERROR(VLOOKUP(A4,'Halo Infinite Stats'!A:AM,31,0),)+IFERROR(VLOOKUP(A4,'Halo Infinite Stats'!A:AM,32,0),)+IFERROR(VLOOKUP(A4,'Halo Infinite Stats'!A:AM,33,0),)</f>
        <v>63</v>
      </c>
      <c r="M4" s="1211">
        <f>IFERROR(VLOOKUP(A4,'Halo Infinite Stats'!A:AM,18,0),)+IFERROR(VLOOKUP(A4,'Halo Infinite Stats'!A:AM,19,0),)+IFERROR(VLOOKUP(A4,'Halo Infinite Stats'!A:AM,20,0),)+IFERROR(VLOOKUP(A4,'Halo Infinite Stats'!A:AM,21,0),)+IFERROR(VLOOKUP(A4,'Halo Infinite Stats'!A:AM,22,0),)+IFERROR(VLOOKUP(A4,'Halo Infinite Stats'!A:AM,23,0),)+IFERROR(VLOOKUP(A4,'Halo Infinite Stats'!A:AM,24,0),)+IFERROR(VLOOKUP(A4,'Halo Infinite Stats'!A:AM,25,0),)+IFERROR(VLOOKUP(A4,'Halo Infinite Stats'!A:AM,26,0),)</f>
        <v>66</v>
      </c>
      <c r="N4" s="753">
        <f t="shared" si="3"/>
        <v>0</v>
      </c>
      <c r="O4" s="1212" t="str">
        <f t="shared" si="4"/>
        <v>F-</v>
      </c>
      <c r="P4" s="753">
        <f t="shared" si="5"/>
        <v>0</v>
      </c>
      <c r="Q4" s="1213" t="str">
        <f t="shared" si="6"/>
        <v>F-</v>
      </c>
      <c r="R4" s="753">
        <f t="shared" si="7"/>
        <v>0</v>
      </c>
      <c r="S4" s="1214" t="str">
        <f t="shared" si="8"/>
        <v>F-</v>
      </c>
      <c r="T4" s="614">
        <f t="shared" si="9"/>
        <v>0</v>
      </c>
      <c r="U4" s="1217" t="str">
        <f t="shared" si="10"/>
        <v>F-</v>
      </c>
      <c r="V4" s="753">
        <f t="shared" si="11"/>
        <v>0</v>
      </c>
      <c r="W4" s="1217" t="str">
        <f t="shared" si="12"/>
        <v>F-</v>
      </c>
      <c r="X4" s="753">
        <f t="shared" si="13"/>
        <v>0</v>
      </c>
      <c r="Y4" s="1217" t="str">
        <f t="shared" si="14"/>
        <v>F-</v>
      </c>
      <c r="Z4" s="753">
        <f t="shared" si="15"/>
        <v>0</v>
      </c>
      <c r="AA4" s="1219" t="str">
        <f t="shared" si="16"/>
        <v>F-</v>
      </c>
      <c r="AB4" s="1221">
        <f>PERCENTILE(R2:R44,0.9)</f>
        <v>28</v>
      </c>
      <c r="AC4" s="1221">
        <f>PERCENTILE(T2:T44,0.9)</f>
        <v>2311.561787</v>
      </c>
      <c r="AD4" s="1221">
        <f>PERCENTILE(N2:N44,0.9)</f>
        <v>1752</v>
      </c>
      <c r="AE4" s="1221">
        <f>PERCENTILE(P2:P44,0.9)</f>
        <v>57348</v>
      </c>
      <c r="AF4" s="1221">
        <f>PERCENTILE(V2:V44,0.9)</f>
        <v>16656</v>
      </c>
      <c r="AG4" s="1221">
        <f>PERCENTILE(X2:X44,0.9)</f>
        <v>5256</v>
      </c>
      <c r="AH4" s="1221">
        <f>PERCENTILE(Z2:Z44,0.9)</f>
        <v>11544</v>
      </c>
    </row>
    <row r="5">
      <c r="A5" s="1205" t="s">
        <v>52</v>
      </c>
      <c r="B5" s="1206">
        <f>IFERROR(VLOOKUP(A5,'Halo Infinite Stats'!A:AM,11,0),)</f>
        <v>1</v>
      </c>
      <c r="C5" s="1207">
        <f t="shared" si="1"/>
        <v>0</v>
      </c>
      <c r="D5" s="1222">
        <f t="shared" si="2"/>
        <v>0</v>
      </c>
      <c r="E5" s="1209">
        <f>IFERROR(VLOOKUP(A5,'Halo Infinite Stats'!A:AM,6,0),)</f>
        <v>222</v>
      </c>
      <c r="F5" s="614">
        <f>IFERROR(VLOOKUP(A5,'Halo Infinite Stats'!A:AM,5,0),)</f>
        <v>48</v>
      </c>
      <c r="G5" s="1210">
        <f>IFERROR(VLOOKUP(A5,'Halo Infinite Stats'!A:AM,8,0),)</f>
        <v>1058</v>
      </c>
      <c r="H5" s="614">
        <f>IFERROR(VLOOKUP(A5,'Halo Infinite Stats'!A:AM,28,0),)</f>
        <v>0</v>
      </c>
      <c r="I5" s="1208">
        <f>IFERROR(VLOOKUP(A5,'Halo Infinite Stats'!A:AM,13,0),)+IFERROR(VLOOKUP(A5,'Halo Infinite Stats'!A:AM,14,0)+IFERROR(VLOOKUP(A5,'Halo Infinite Stats'!A:AM,15,0),""),"")</f>
        <v>37.34404537</v>
      </c>
      <c r="J5" s="614">
        <f>IFERROR(VLOOKUP(A5,'Halo Infinite Stats'!A:AM,18,0),)</f>
        <v>10</v>
      </c>
      <c r="K5" s="614">
        <f>IFERROR(VLOOKUP(A5,'Halo Infinite Stats'!A:AM,19,0),)</f>
        <v>184</v>
      </c>
      <c r="L5" s="753">
        <f>IFERROR(VLOOKUP(A5,'Halo Infinite Stats'!A:AM,27,0),)+IFERROR(VLOOKUP(A5,'Halo Infinite Stats'!A:AM,29,0),)+IFERROR(VLOOKUP(A5,'Halo Infinite Stats'!A:AM,30,0),)+IFERROR(VLOOKUP(A5,'Halo Infinite Stats'!A:AM,31,0),)+IFERROR(VLOOKUP(A5,'Halo Infinite Stats'!A:AM,32,0),)+IFERROR(VLOOKUP(A5,'Halo Infinite Stats'!A:AM,33,0),)</f>
        <v>237</v>
      </c>
      <c r="M5" s="1211">
        <f>IFERROR(VLOOKUP(A5,'Halo Infinite Stats'!A:AM,18,0),)+IFERROR(VLOOKUP(A5,'Halo Infinite Stats'!A:AM,19,0),)+IFERROR(VLOOKUP(A5,'Halo Infinite Stats'!A:AM,20,0),)+IFERROR(VLOOKUP(A5,'Halo Infinite Stats'!A:AM,21,0),)+IFERROR(VLOOKUP(A5,'Halo Infinite Stats'!A:AM,22,0),)+IFERROR(VLOOKUP(A5,'Halo Infinite Stats'!A:AM,23,0),)+IFERROR(VLOOKUP(A5,'Halo Infinite Stats'!A:AM,24,0),)+IFERROR(VLOOKUP(A5,'Halo Infinite Stats'!A:AM,25,0),)+IFERROR(VLOOKUP(A5,'Halo Infinite Stats'!A:AM,26,0),)</f>
        <v>280</v>
      </c>
      <c r="N5" s="753">
        <f t="shared" si="3"/>
        <v>2880</v>
      </c>
      <c r="O5" s="1212" t="str">
        <f t="shared" si="4"/>
        <v>S</v>
      </c>
      <c r="P5" s="753">
        <f t="shared" si="5"/>
        <v>63480</v>
      </c>
      <c r="Q5" s="1213" t="str">
        <f t="shared" si="6"/>
        <v>S</v>
      </c>
      <c r="R5" s="753">
        <f t="shared" si="7"/>
        <v>0</v>
      </c>
      <c r="S5" s="1214" t="str">
        <f t="shared" si="8"/>
        <v>F-</v>
      </c>
      <c r="T5" s="614">
        <f t="shared" si="9"/>
        <v>2240.642722</v>
      </c>
      <c r="U5" s="1217" t="str">
        <f t="shared" si="10"/>
        <v>A+</v>
      </c>
      <c r="V5" s="753">
        <f t="shared" si="11"/>
        <v>16800</v>
      </c>
      <c r="W5" s="1217" t="str">
        <f t="shared" si="12"/>
        <v>S-</v>
      </c>
      <c r="X5" s="753">
        <f t="shared" si="13"/>
        <v>13320</v>
      </c>
      <c r="Y5" s="1217" t="str">
        <f t="shared" si="14"/>
        <v>S</v>
      </c>
      <c r="Z5" s="753">
        <f t="shared" si="15"/>
        <v>14220</v>
      </c>
      <c r="AA5" s="1219" t="str">
        <f t="shared" si="16"/>
        <v>S</v>
      </c>
      <c r="AB5" s="1225">
        <f>PERCENTILE(R2:R44,0.85)</f>
        <v>14</v>
      </c>
      <c r="AC5" s="1225">
        <f>PERCENTILE(T2:T44,0.85)</f>
        <v>2074.426037</v>
      </c>
      <c r="AD5" s="1225">
        <f>PERCENTILE(N2:N44,0.85)</f>
        <v>1086</v>
      </c>
      <c r="AE5" s="1225">
        <f>PERCENTILE(P2:P44,0.85)</f>
        <v>56916</v>
      </c>
      <c r="AF5" s="1225">
        <f>PERCENTILE(V2:V44,0.85)</f>
        <v>14154</v>
      </c>
      <c r="AG5" s="1225">
        <f>PERCENTILE(X2:X44,0.85)</f>
        <v>5064</v>
      </c>
      <c r="AH5" s="1225">
        <f>PERCENTILE(Z2:Z44,0.85)</f>
        <v>9024</v>
      </c>
    </row>
    <row r="6">
      <c r="A6" s="1205" t="s">
        <v>174</v>
      </c>
      <c r="B6" s="1206">
        <f>IFERROR(VLOOKUP(A6,'Halo Infinite Stats'!A:AM,11,0),)</f>
        <v>4</v>
      </c>
      <c r="C6" s="1207">
        <f t="shared" si="1"/>
        <v>0</v>
      </c>
      <c r="D6" s="1208">
        <f t="shared" si="2"/>
        <v>0</v>
      </c>
      <c r="E6" s="1209">
        <f>IFERROR(VLOOKUP(A6,'Halo Infinite Stats'!A:AM,6,0),)</f>
        <v>154</v>
      </c>
      <c r="F6" s="614">
        <f>IFERROR(VLOOKUP(A6,'Halo Infinite Stats'!A:AM,5,0),)</f>
        <v>28</v>
      </c>
      <c r="G6" s="1210">
        <f>IFERROR(VLOOKUP(A6,'Halo Infinite Stats'!A:AM,8,0),)</f>
        <v>1384</v>
      </c>
      <c r="H6" s="614">
        <f>IFERROR(VLOOKUP(A6,'Halo Infinite Stats'!A:AM,28,0),)</f>
        <v>0</v>
      </c>
      <c r="I6" s="1208">
        <f>IFERROR(VLOOKUP(A6,'Halo Infinite Stats'!A:AM,13,0),)+IFERROR(VLOOKUP(A6,'Halo Infinite Stats'!A:AM,14,0)+IFERROR(VLOOKUP(A6,'Halo Infinite Stats'!A:AM,15,0),""),"")</f>
        <v>24.30635838</v>
      </c>
      <c r="J6" s="614">
        <f>IFERROR(VLOOKUP(A6,'Halo Infinite Stats'!A:AM,18,0),)</f>
        <v>12</v>
      </c>
      <c r="K6" s="614">
        <f>IFERROR(VLOOKUP(A6,'Halo Infinite Stats'!A:AM,19,0),)</f>
        <v>135</v>
      </c>
      <c r="L6" s="753">
        <f>IFERROR(VLOOKUP(A6,'Halo Infinite Stats'!A:AM,27,0),)+IFERROR(VLOOKUP(A6,'Halo Infinite Stats'!A:AM,29,0),)+IFERROR(VLOOKUP(A6,'Halo Infinite Stats'!A:AM,30,0),)+IFERROR(VLOOKUP(A6,'Halo Infinite Stats'!A:AM,31,0),)+IFERROR(VLOOKUP(A6,'Halo Infinite Stats'!A:AM,32,0),)+IFERROR(VLOOKUP(A6,'Halo Infinite Stats'!A:AM,33,0),)</f>
        <v>209</v>
      </c>
      <c r="M6" s="1211">
        <f>IFERROR(VLOOKUP(A6,'Halo Infinite Stats'!A:AM,18,0),)+IFERROR(VLOOKUP(A6,'Halo Infinite Stats'!A:AM,19,0),)+IFERROR(VLOOKUP(A6,'Halo Infinite Stats'!A:AM,20,0),)+IFERROR(VLOOKUP(A6,'Halo Infinite Stats'!A:AM,21,0),)+IFERROR(VLOOKUP(A6,'Halo Infinite Stats'!A:AM,22,0),)+IFERROR(VLOOKUP(A6,'Halo Infinite Stats'!A:AM,23,0),)+IFERROR(VLOOKUP(A6,'Halo Infinite Stats'!A:AM,24,0),)+IFERROR(VLOOKUP(A6,'Halo Infinite Stats'!A:AM,25,0),)+IFERROR(VLOOKUP(A6,'Halo Infinite Stats'!A:AM,26,0),)</f>
        <v>174</v>
      </c>
      <c r="N6" s="753">
        <f t="shared" si="3"/>
        <v>420</v>
      </c>
      <c r="O6" s="1212" t="str">
        <f t="shared" si="4"/>
        <v>B</v>
      </c>
      <c r="P6" s="753">
        <f t="shared" si="5"/>
        <v>20760</v>
      </c>
      <c r="Q6" s="1213" t="str">
        <f t="shared" si="6"/>
        <v>C+</v>
      </c>
      <c r="R6" s="753">
        <f t="shared" si="7"/>
        <v>0</v>
      </c>
      <c r="S6" s="1214" t="str">
        <f t="shared" si="8"/>
        <v>F-</v>
      </c>
      <c r="T6" s="614">
        <f t="shared" si="9"/>
        <v>364.5953757</v>
      </c>
      <c r="U6" s="1217" t="str">
        <f t="shared" si="10"/>
        <v>C-</v>
      </c>
      <c r="V6" s="753">
        <f t="shared" si="11"/>
        <v>2610</v>
      </c>
      <c r="W6" s="1217" t="str">
        <f t="shared" si="12"/>
        <v>C</v>
      </c>
      <c r="X6" s="753">
        <f t="shared" si="13"/>
        <v>2310</v>
      </c>
      <c r="Y6" s="1217" t="str">
        <f t="shared" si="14"/>
        <v>A-</v>
      </c>
      <c r="Z6" s="753">
        <f t="shared" si="15"/>
        <v>3135</v>
      </c>
      <c r="AA6" s="1219" t="str">
        <f t="shared" si="16"/>
        <v>C+</v>
      </c>
      <c r="AB6" s="1228">
        <f>PERCENTILE(R2:R44,0.8)</f>
        <v>0</v>
      </c>
      <c r="AC6" s="1228">
        <f>PERCENTILE(T2:T44,0.8)</f>
        <v>1646.15691</v>
      </c>
      <c r="AD6" s="1228">
        <f>PERCENTILE(N2:N44,0.8)</f>
        <v>780</v>
      </c>
      <c r="AE6" s="1228">
        <f>PERCENTILE(P2:P44,0.8)</f>
        <v>54564</v>
      </c>
      <c r="AF6" s="1228">
        <f>PERCENTILE(V2:V44,0.8)</f>
        <v>10920</v>
      </c>
      <c r="AG6" s="1228">
        <f>PERCENTILE(X2:X44,0.8)</f>
        <v>4392</v>
      </c>
      <c r="AH6" s="1228">
        <f>PERCENTILE(Z2:Z44,0.8)</f>
        <v>8304</v>
      </c>
    </row>
    <row r="7">
      <c r="A7" s="1205" t="s">
        <v>83</v>
      </c>
      <c r="B7" s="1206">
        <f>IFERROR(VLOOKUP(A7,'Halo Infinite Stats'!A:AM,11,0),)</f>
        <v>0</v>
      </c>
      <c r="C7" s="1207">
        <f t="shared" si="1"/>
        <v>0</v>
      </c>
      <c r="D7" s="1208">
        <f t="shared" si="2"/>
        <v>0</v>
      </c>
      <c r="E7" s="1209">
        <f>IFERROR(VLOOKUP(A7,'Halo Infinite Stats'!A:AM,6,0),)</f>
        <v>8</v>
      </c>
      <c r="F7" s="614">
        <f>IFERROR(VLOOKUP(A7,'Halo Infinite Stats'!A:AM,5,0),)</f>
        <v>3</v>
      </c>
      <c r="G7" s="1210">
        <f>IFERROR(VLOOKUP(A7,'Halo Infinite Stats'!A:AM,8,0),)</f>
        <v>396</v>
      </c>
      <c r="H7" s="614">
        <f>IFERROR(VLOOKUP(A7,'Halo Infinite Stats'!A:AM,28,0),)</f>
        <v>0</v>
      </c>
      <c r="I7" s="1208">
        <f>IFERROR(VLOOKUP(A7,'Halo Infinite Stats'!A:AM,13,0),)+IFERROR(VLOOKUP(A7,'Halo Infinite Stats'!A:AM,14,0)+IFERROR(VLOOKUP(A7,'Halo Infinite Stats'!A:AM,15,0),""),"")</f>
        <v>13.64393939</v>
      </c>
      <c r="J7" s="614">
        <f>IFERROR(VLOOKUP(A7,'Halo Infinite Stats'!A:AM,18,0),)</f>
        <v>7</v>
      </c>
      <c r="K7" s="614">
        <f>IFERROR(VLOOKUP(A7,'Halo Infinite Stats'!A:AM,19,0),)</f>
        <v>35</v>
      </c>
      <c r="L7" s="753">
        <f>IFERROR(VLOOKUP(A7,'Halo Infinite Stats'!A:AM,27,0),)+IFERROR(VLOOKUP(A7,'Halo Infinite Stats'!A:AM,29,0),)+IFERROR(VLOOKUP(A7,'Halo Infinite Stats'!A:AM,30,0),)+IFERROR(VLOOKUP(A7,'Halo Infinite Stats'!A:AM,31,0),)+IFERROR(VLOOKUP(A7,'Halo Infinite Stats'!A:AM,32,0),)+IFERROR(VLOOKUP(A7,'Halo Infinite Stats'!A:AM,33,0),)</f>
        <v>47</v>
      </c>
      <c r="M7" s="1211">
        <f>IFERROR(VLOOKUP(A7,'Halo Infinite Stats'!A:AM,18,0),)+IFERROR(VLOOKUP(A7,'Halo Infinite Stats'!A:AM,19,0),)+IFERROR(VLOOKUP(A7,'Halo Infinite Stats'!A:AM,20,0),)+IFERROR(VLOOKUP(A7,'Halo Infinite Stats'!A:AM,21,0),)+IFERROR(VLOOKUP(A7,'Halo Infinite Stats'!A:AM,22,0),)+IFERROR(VLOOKUP(A7,'Halo Infinite Stats'!A:AM,23,0),)+IFERROR(VLOOKUP(A7,'Halo Infinite Stats'!A:AM,24,0),)+IFERROR(VLOOKUP(A7,'Halo Infinite Stats'!A:AM,25,0),)+IFERROR(VLOOKUP(A7,'Halo Infinite Stats'!A:AM,26,0),)</f>
        <v>52</v>
      </c>
      <c r="N7" s="753">
        <f t="shared" si="3"/>
        <v>0</v>
      </c>
      <c r="O7" s="1212" t="str">
        <f t="shared" si="4"/>
        <v>F-</v>
      </c>
      <c r="P7" s="753">
        <f t="shared" si="5"/>
        <v>0</v>
      </c>
      <c r="Q7" s="1213" t="str">
        <f t="shared" si="6"/>
        <v>F-</v>
      </c>
      <c r="R7" s="753">
        <f t="shared" si="7"/>
        <v>0</v>
      </c>
      <c r="S7" s="1214" t="str">
        <f t="shared" si="8"/>
        <v>F-</v>
      </c>
      <c r="T7" s="614">
        <f t="shared" si="9"/>
        <v>0</v>
      </c>
      <c r="U7" s="1217" t="str">
        <f t="shared" si="10"/>
        <v>F-</v>
      </c>
      <c r="V7" s="753">
        <f t="shared" si="11"/>
        <v>0</v>
      </c>
      <c r="W7" s="1217" t="str">
        <f t="shared" si="12"/>
        <v>F-</v>
      </c>
      <c r="X7" s="753">
        <f t="shared" si="13"/>
        <v>0</v>
      </c>
      <c r="Y7" s="1217" t="str">
        <f t="shared" si="14"/>
        <v>F-</v>
      </c>
      <c r="Z7" s="753">
        <f t="shared" si="15"/>
        <v>0</v>
      </c>
      <c r="AA7" s="1219" t="str">
        <f t="shared" si="16"/>
        <v>F-</v>
      </c>
      <c r="AB7" s="1225">
        <f>PERCENTILE(R2:R44,0.75)</f>
        <v>0</v>
      </c>
      <c r="AC7" s="1225">
        <f>PERCENTILE(T2:T44,0.75)</f>
        <v>1321.61043</v>
      </c>
      <c r="AD7" s="1225">
        <f>PERCENTILE(N2:N44,0.75)</f>
        <v>630</v>
      </c>
      <c r="AE7" s="1225">
        <f>PERCENTILE(P2:P44,0.75)</f>
        <v>48150</v>
      </c>
      <c r="AF7" s="1225">
        <f>PERCENTILE(V2:V44,0.75)</f>
        <v>9420</v>
      </c>
      <c r="AG7" s="1225">
        <f>PERCENTILE(X2:X44,0.75)</f>
        <v>1913.571429</v>
      </c>
      <c r="AH7" s="1225">
        <f>PERCENTILE(Z2:Z44,0.75)</f>
        <v>7620</v>
      </c>
    </row>
    <row r="8">
      <c r="A8" s="1205" t="s">
        <v>914</v>
      </c>
      <c r="B8" s="1206" t="str">
        <f>IFERROR(VLOOKUP(A8,'Halo Infinite Stats'!A:AM,11,0),)</f>
        <v/>
      </c>
      <c r="C8" s="1207">
        <f t="shared" si="1"/>
        <v>0</v>
      </c>
      <c r="D8" s="1208">
        <f t="shared" si="2"/>
        <v>0</v>
      </c>
      <c r="E8" s="1209" t="str">
        <f>IFERROR(VLOOKUP(A8,'Halo Infinite Stats'!A:AM,6,0),)</f>
        <v/>
      </c>
      <c r="F8" s="614" t="str">
        <f>IFERROR(VLOOKUP(A8,'Halo Infinite Stats'!A:AM,5,0),)</f>
        <v/>
      </c>
      <c r="G8" s="1210" t="str">
        <f>IFERROR(VLOOKUP(A8,'Halo Infinite Stats'!A:AM,8,0),)</f>
        <v/>
      </c>
      <c r="H8" s="614" t="str">
        <f>IFERROR(VLOOKUP(A8,'Halo Infinite Stats'!A:AM,28,0),)</f>
        <v/>
      </c>
      <c r="I8" s="1208">
        <f>IFERROR(VLOOKUP(A8,'Halo Infinite Stats'!A:AM,13,0),)+IFERROR(VLOOKUP(A8,'Halo Infinite Stats'!A:AM,14,0)+IFERROR(VLOOKUP(A8,'Halo Infinite Stats'!A:AM,15,0),""),"")</f>
        <v>0</v>
      </c>
      <c r="J8" s="614" t="str">
        <f>IFERROR(VLOOKUP(A8,'Halo Infinite Stats'!A:AM,18,0),)</f>
        <v/>
      </c>
      <c r="K8" s="614" t="str">
        <f>IFERROR(VLOOKUP(A8,'Halo Infinite Stats'!A:AM,19,0),)</f>
        <v/>
      </c>
      <c r="L8" s="753">
        <f>IFERROR(VLOOKUP(A8,'Halo Infinite Stats'!A:AM,27,0),)+IFERROR(VLOOKUP(A8,'Halo Infinite Stats'!A:AM,29,0),)+IFERROR(VLOOKUP(A8,'Halo Infinite Stats'!A:AM,30,0),)+IFERROR(VLOOKUP(A8,'Halo Infinite Stats'!A:AM,31,0),)+IFERROR(VLOOKUP(A8,'Halo Infinite Stats'!A:AM,32,0),)+IFERROR(VLOOKUP(A8,'Halo Infinite Stats'!A:AM,33,0),)</f>
        <v>0</v>
      </c>
      <c r="M8" s="1211">
        <f>IFERROR(VLOOKUP(A8,'Halo Infinite Stats'!A:AM,18,0),)+IFERROR(VLOOKUP(A8,'Halo Infinite Stats'!A:AM,19,0),)+IFERROR(VLOOKUP(A8,'Halo Infinite Stats'!A:AM,20,0),)+IFERROR(VLOOKUP(A8,'Halo Infinite Stats'!A:AM,21,0),)+IFERROR(VLOOKUP(A8,'Halo Infinite Stats'!A:AM,22,0),)+IFERROR(VLOOKUP(A8,'Halo Infinite Stats'!A:AM,23,0),)+IFERROR(VLOOKUP(A8,'Halo Infinite Stats'!A:AM,24,0),)+IFERROR(VLOOKUP(A8,'Halo Infinite Stats'!A:AM,25,0),)+IFERROR(VLOOKUP(A8,'Halo Infinite Stats'!A:AM,26,0),)</f>
        <v>0</v>
      </c>
      <c r="N8" s="753">
        <f t="shared" si="3"/>
        <v>0</v>
      </c>
      <c r="O8" s="1212" t="str">
        <f t="shared" si="4"/>
        <v>F-</v>
      </c>
      <c r="P8" s="753">
        <f t="shared" si="5"/>
        <v>0</v>
      </c>
      <c r="Q8" s="1213" t="str">
        <f t="shared" si="6"/>
        <v>F-</v>
      </c>
      <c r="R8" s="753">
        <f t="shared" si="7"/>
        <v>0</v>
      </c>
      <c r="S8" s="1214" t="str">
        <f t="shared" si="8"/>
        <v>F-</v>
      </c>
      <c r="T8" s="614">
        <f t="shared" si="9"/>
        <v>0</v>
      </c>
      <c r="U8" s="1217" t="str">
        <f t="shared" si="10"/>
        <v>F-</v>
      </c>
      <c r="V8" s="753">
        <f t="shared" si="11"/>
        <v>0</v>
      </c>
      <c r="W8" s="1217" t="str">
        <f t="shared" si="12"/>
        <v>F-</v>
      </c>
      <c r="X8" s="753">
        <f t="shared" si="13"/>
        <v>0</v>
      </c>
      <c r="Y8" s="1217" t="str">
        <f t="shared" si="14"/>
        <v>F-</v>
      </c>
      <c r="Z8" s="753">
        <f t="shared" si="15"/>
        <v>0</v>
      </c>
      <c r="AA8" s="1219" t="str">
        <f t="shared" si="16"/>
        <v>F-</v>
      </c>
      <c r="AB8" s="1238">
        <f>PERCENTILE(R2:R44,0.7)</f>
        <v>0</v>
      </c>
      <c r="AC8" s="1238">
        <f>PERCENTILE(T2:T44,0.7)</f>
        <v>1089.785586</v>
      </c>
      <c r="AD8" s="1238">
        <f>PERCENTILE(N2:N44,0.7)</f>
        <v>444</v>
      </c>
      <c r="AE8" s="1238">
        <f>PERCENTILE(P2:P44,0.7)</f>
        <v>45108</v>
      </c>
      <c r="AF8" s="1238">
        <f>PERCENTILE(V2:V44,0.7)</f>
        <v>7848</v>
      </c>
      <c r="AG8" s="1238">
        <f>PERCENTILE(X2:X44,0.7)</f>
        <v>1464</v>
      </c>
      <c r="AH8" s="1238">
        <f>PERCENTILE(Z2:Z44,0.7)</f>
        <v>5520</v>
      </c>
    </row>
    <row r="9">
      <c r="A9" s="1205" t="s">
        <v>79</v>
      </c>
      <c r="B9" s="1206">
        <f>IFERROR(VLOOKUP(A9,'Halo Infinite Stats'!A:AM,11,0),)</f>
        <v>1</v>
      </c>
      <c r="C9" s="1207">
        <f t="shared" si="1"/>
        <v>0</v>
      </c>
      <c r="D9" s="1208">
        <f t="shared" si="2"/>
        <v>0</v>
      </c>
      <c r="E9" s="1209">
        <f>IFERROR(VLOOKUP(A9,'Halo Infinite Stats'!A:AM,6,0),)</f>
        <v>85</v>
      </c>
      <c r="F9" s="614">
        <f>IFERROR(VLOOKUP(A9,'Halo Infinite Stats'!A:AM,5,0),)</f>
        <v>22</v>
      </c>
      <c r="G9" s="1210">
        <f>IFERROR(VLOOKUP(A9,'Halo Infinite Stats'!A:AM,8,0),)</f>
        <v>865</v>
      </c>
      <c r="H9" s="614">
        <f>IFERROR(VLOOKUP(A9,'Halo Infinite Stats'!A:AM,28,0),)</f>
        <v>0</v>
      </c>
      <c r="I9" s="1208">
        <f>IFERROR(VLOOKUP(A9,'Halo Infinite Stats'!A:AM,13,0),)+IFERROR(VLOOKUP(A9,'Halo Infinite Stats'!A:AM,14,0)+IFERROR(VLOOKUP(A9,'Halo Infinite Stats'!A:AM,15,0),""),"")</f>
        <v>21.46358382</v>
      </c>
      <c r="J9" s="614">
        <f>IFERROR(VLOOKUP(A9,'Halo Infinite Stats'!A:AM,18,0),)</f>
        <v>8</v>
      </c>
      <c r="K9" s="614">
        <f>IFERROR(VLOOKUP(A9,'Halo Infinite Stats'!A:AM,19,0),)</f>
        <v>96</v>
      </c>
      <c r="L9" s="753">
        <f>IFERROR(VLOOKUP(A9,'Halo Infinite Stats'!A:AM,27,0),)+IFERROR(VLOOKUP(A9,'Halo Infinite Stats'!A:AM,29,0),)+IFERROR(VLOOKUP(A9,'Halo Infinite Stats'!A:AM,30,0),)+IFERROR(VLOOKUP(A9,'Halo Infinite Stats'!A:AM,31,0),)+IFERROR(VLOOKUP(A9,'Halo Infinite Stats'!A:AM,32,0),)+IFERROR(VLOOKUP(A9,'Halo Infinite Stats'!A:AM,33,0),)</f>
        <v>128</v>
      </c>
      <c r="M9" s="1211">
        <f>IFERROR(VLOOKUP(A9,'Halo Infinite Stats'!A:AM,18,0),)+IFERROR(VLOOKUP(A9,'Halo Infinite Stats'!A:AM,19,0),)+IFERROR(VLOOKUP(A9,'Halo Infinite Stats'!A:AM,20,0),)+IFERROR(VLOOKUP(A9,'Halo Infinite Stats'!A:AM,21,0),)+IFERROR(VLOOKUP(A9,'Halo Infinite Stats'!A:AM,22,0),)+IFERROR(VLOOKUP(A9,'Halo Infinite Stats'!A:AM,23,0),)+IFERROR(VLOOKUP(A9,'Halo Infinite Stats'!A:AM,24,0),)+IFERROR(VLOOKUP(A9,'Halo Infinite Stats'!A:AM,25,0),)+IFERROR(VLOOKUP(A9,'Halo Infinite Stats'!A:AM,26,0),)</f>
        <v>147</v>
      </c>
      <c r="N9" s="753">
        <f t="shared" si="3"/>
        <v>1320</v>
      </c>
      <c r="O9" s="1212" t="str">
        <f t="shared" si="4"/>
        <v>A+</v>
      </c>
      <c r="P9" s="753">
        <f t="shared" si="5"/>
        <v>51900</v>
      </c>
      <c r="Q9" s="1213" t="str">
        <f t="shared" si="6"/>
        <v>A-</v>
      </c>
      <c r="R9" s="753">
        <f t="shared" si="7"/>
        <v>0</v>
      </c>
      <c r="S9" s="1214" t="str">
        <f t="shared" si="8"/>
        <v>F-</v>
      </c>
      <c r="T9" s="614">
        <f t="shared" si="9"/>
        <v>1287.815029</v>
      </c>
      <c r="U9" s="1217" t="str">
        <f t="shared" si="10"/>
        <v>B+</v>
      </c>
      <c r="V9" s="753">
        <f t="shared" si="11"/>
        <v>8820</v>
      </c>
      <c r="W9" s="1217" t="str">
        <f t="shared" si="12"/>
        <v>B+</v>
      </c>
      <c r="X9" s="753">
        <f t="shared" si="13"/>
        <v>5100</v>
      </c>
      <c r="Y9" s="1217" t="str">
        <f t="shared" si="14"/>
        <v>A+</v>
      </c>
      <c r="Z9" s="753">
        <f t="shared" si="15"/>
        <v>7680</v>
      </c>
      <c r="AA9" s="1219" t="str">
        <f t="shared" si="16"/>
        <v>A-</v>
      </c>
      <c r="AB9" s="1240">
        <f>PERCENTILE(R2:R44,0.65)</f>
        <v>0</v>
      </c>
      <c r="AC9" s="1240">
        <f>PERCENTILE(T2:T44,0.65)</f>
        <v>854.2331017</v>
      </c>
      <c r="AD9" s="1240">
        <f>PERCENTILE(N2:N44,0.65)</f>
        <v>406</v>
      </c>
      <c r="AE9" s="1240">
        <f>PERCENTILE(P2:P44,0.65)</f>
        <v>27796</v>
      </c>
      <c r="AF9" s="1240">
        <f>PERCENTILE(V2:V44,0.65)</f>
        <v>5396.571429</v>
      </c>
      <c r="AG9" s="1240">
        <f>PERCENTILE(X2:X44,0.65)</f>
        <v>1324</v>
      </c>
      <c r="AH9" s="1240">
        <f>PERCENTILE(Z2:Z44,0.65)</f>
        <v>4590</v>
      </c>
    </row>
    <row r="10">
      <c r="A10" s="1205" t="s">
        <v>57</v>
      </c>
      <c r="B10" s="1206">
        <f>IFERROR(VLOOKUP(A10,'Halo Infinite Stats'!A:AM,11,0),)</f>
        <v>0</v>
      </c>
      <c r="C10" s="1207">
        <f t="shared" si="1"/>
        <v>0</v>
      </c>
      <c r="D10" s="1208">
        <f t="shared" si="2"/>
        <v>0</v>
      </c>
      <c r="E10" s="1209">
        <f>IFERROR(VLOOKUP(A10,'Halo Infinite Stats'!A:AM,6,0),)</f>
        <v>22</v>
      </c>
      <c r="F10" s="614">
        <f>IFERROR(VLOOKUP(A10,'Halo Infinite Stats'!A:AM,5,0),)</f>
        <v>3</v>
      </c>
      <c r="G10" s="1210">
        <f>IFERROR(VLOOKUP(A10,'Halo Infinite Stats'!A:AM,8,0),)</f>
        <v>219</v>
      </c>
      <c r="H10" s="614">
        <f>IFERROR(VLOOKUP(A10,'Halo Infinite Stats'!A:AM,28,0),)</f>
        <v>0</v>
      </c>
      <c r="I10" s="1208">
        <f>IFERROR(VLOOKUP(A10,'Halo Infinite Stats'!A:AM,13,0),)+IFERROR(VLOOKUP(A10,'Halo Infinite Stats'!A:AM,14,0)+IFERROR(VLOOKUP(A10,'Halo Infinite Stats'!A:AM,15,0),""),"")</f>
        <v>16.03652968</v>
      </c>
      <c r="J10" s="614">
        <f>IFERROR(VLOOKUP(A10,'Halo Infinite Stats'!A:AM,18,0),)</f>
        <v>1</v>
      </c>
      <c r="K10" s="614">
        <f>IFERROR(VLOOKUP(A10,'Halo Infinite Stats'!A:AM,19,0),)</f>
        <v>26</v>
      </c>
      <c r="L10" s="753">
        <f>IFERROR(VLOOKUP(A10,'Halo Infinite Stats'!A:AM,27,0),)+IFERROR(VLOOKUP(A10,'Halo Infinite Stats'!A:AM,29,0),)+IFERROR(VLOOKUP(A10,'Halo Infinite Stats'!A:AM,30,0),)+IFERROR(VLOOKUP(A10,'Halo Infinite Stats'!A:AM,31,0),)+IFERROR(VLOOKUP(A10,'Halo Infinite Stats'!A:AM,32,0),)+IFERROR(VLOOKUP(A10,'Halo Infinite Stats'!A:AM,33,0),)</f>
        <v>34</v>
      </c>
      <c r="M10" s="1211">
        <f>IFERROR(VLOOKUP(A10,'Halo Infinite Stats'!A:AM,18,0),)+IFERROR(VLOOKUP(A10,'Halo Infinite Stats'!A:AM,19,0),)+IFERROR(VLOOKUP(A10,'Halo Infinite Stats'!A:AM,20,0),)+IFERROR(VLOOKUP(A10,'Halo Infinite Stats'!A:AM,21,0),)+IFERROR(VLOOKUP(A10,'Halo Infinite Stats'!A:AM,22,0),)+IFERROR(VLOOKUP(A10,'Halo Infinite Stats'!A:AM,23,0),)+IFERROR(VLOOKUP(A10,'Halo Infinite Stats'!A:AM,24,0),)+IFERROR(VLOOKUP(A10,'Halo Infinite Stats'!A:AM,25,0),)+IFERROR(VLOOKUP(A10,'Halo Infinite Stats'!A:AM,26,0),)</f>
        <v>33</v>
      </c>
      <c r="N10" s="753">
        <f t="shared" si="3"/>
        <v>0</v>
      </c>
      <c r="O10" s="1212" t="str">
        <f t="shared" si="4"/>
        <v>F-</v>
      </c>
      <c r="P10" s="753">
        <f t="shared" si="5"/>
        <v>0</v>
      </c>
      <c r="Q10" s="1213" t="str">
        <f t="shared" si="6"/>
        <v>F-</v>
      </c>
      <c r="R10" s="753">
        <f t="shared" si="7"/>
        <v>0</v>
      </c>
      <c r="S10" s="1214" t="str">
        <f t="shared" si="8"/>
        <v>F-</v>
      </c>
      <c r="T10" s="614">
        <f t="shared" si="9"/>
        <v>0</v>
      </c>
      <c r="U10" s="1217" t="str">
        <f t="shared" si="10"/>
        <v>F-</v>
      </c>
      <c r="V10" s="753">
        <f t="shared" si="11"/>
        <v>0</v>
      </c>
      <c r="W10" s="1217" t="str">
        <f t="shared" si="12"/>
        <v>F-</v>
      </c>
      <c r="X10" s="753">
        <f t="shared" si="13"/>
        <v>0</v>
      </c>
      <c r="Y10" s="1217" t="str">
        <f t="shared" si="14"/>
        <v>F-</v>
      </c>
      <c r="Z10" s="753">
        <f t="shared" si="15"/>
        <v>0</v>
      </c>
      <c r="AA10" s="1219" t="str">
        <f t="shared" si="16"/>
        <v>F-</v>
      </c>
      <c r="AB10" s="1238">
        <f>PERCENTILE(R2:R44,0.6)</f>
        <v>0</v>
      </c>
      <c r="AC10" s="1238">
        <f>PERCENTILE(T2:T44,0.6)</f>
        <v>690.4404341</v>
      </c>
      <c r="AD10" s="1238">
        <f>PERCENTILE(N2:N44,0.6)</f>
        <v>277.7142857</v>
      </c>
      <c r="AE10" s="1238">
        <f>PERCENTILE(P2:P44,0.6)</f>
        <v>21768</v>
      </c>
      <c r="AF10" s="1238">
        <f>PERCENTILE(V2:V44,0.6)</f>
        <v>4972</v>
      </c>
      <c r="AG10" s="1238">
        <f>PERCENTILE(X2:X44,0.6)</f>
        <v>876</v>
      </c>
      <c r="AH10" s="1238">
        <f>PERCENTILE(Z2:Z44,0.6)</f>
        <v>3308</v>
      </c>
    </row>
    <row r="11">
      <c r="A11" s="1205" t="s">
        <v>69</v>
      </c>
      <c r="B11" s="1206">
        <f>IFERROR(VLOOKUP(A11,'Halo Infinite Stats'!A:AM,11,0),)</f>
        <v>2</v>
      </c>
      <c r="C11" s="1207">
        <f t="shared" si="1"/>
        <v>0</v>
      </c>
      <c r="D11" s="1208">
        <f t="shared" si="2"/>
        <v>0</v>
      </c>
      <c r="E11" s="1209">
        <f>IFERROR(VLOOKUP(A11,'Halo Infinite Stats'!A:AM,6,0),)</f>
        <v>29</v>
      </c>
      <c r="F11" s="614">
        <f>IFERROR(VLOOKUP(A11,'Halo Infinite Stats'!A:AM,5,0),)</f>
        <v>4</v>
      </c>
      <c r="G11" s="1210">
        <f>IFERROR(VLOOKUP(A11,'Halo Infinite Stats'!A:AM,8,0),)</f>
        <v>492</v>
      </c>
      <c r="H11" s="614">
        <f>IFERROR(VLOOKUP(A11,'Halo Infinite Stats'!A:AM,28,0),)</f>
        <v>0</v>
      </c>
      <c r="I11" s="1208">
        <f>IFERROR(VLOOKUP(A11,'Halo Infinite Stats'!A:AM,13,0),)+IFERROR(VLOOKUP(A11,'Halo Infinite Stats'!A:AM,14,0)+IFERROR(VLOOKUP(A11,'Halo Infinite Stats'!A:AM,15,0),""),"")</f>
        <v>13.47357724</v>
      </c>
      <c r="J11" s="614">
        <f>IFERROR(VLOOKUP(A11,'Halo Infinite Stats'!A:AM,18,0),)</f>
        <v>3</v>
      </c>
      <c r="K11" s="614">
        <f>IFERROR(VLOOKUP(A11,'Halo Infinite Stats'!A:AM,19,0),)</f>
        <v>47</v>
      </c>
      <c r="L11" s="753">
        <f>IFERROR(VLOOKUP(A11,'Halo Infinite Stats'!A:AM,27,0),)+IFERROR(VLOOKUP(A11,'Halo Infinite Stats'!A:AM,29,0),)+IFERROR(VLOOKUP(A11,'Halo Infinite Stats'!A:AM,30,0),)+IFERROR(VLOOKUP(A11,'Halo Infinite Stats'!A:AM,31,0),)+IFERROR(VLOOKUP(A11,'Halo Infinite Stats'!A:AM,32,0),)+IFERROR(VLOOKUP(A11,'Halo Infinite Stats'!A:AM,33,0),)</f>
        <v>83</v>
      </c>
      <c r="M11" s="1211">
        <f>IFERROR(VLOOKUP(A11,'Halo Infinite Stats'!A:AM,18,0),)+IFERROR(VLOOKUP(A11,'Halo Infinite Stats'!A:AM,19,0),)+IFERROR(VLOOKUP(A11,'Halo Infinite Stats'!A:AM,20,0),)+IFERROR(VLOOKUP(A11,'Halo Infinite Stats'!A:AM,21,0),)+IFERROR(VLOOKUP(A11,'Halo Infinite Stats'!A:AM,22,0),)+IFERROR(VLOOKUP(A11,'Halo Infinite Stats'!A:AM,23,0),)+IFERROR(VLOOKUP(A11,'Halo Infinite Stats'!A:AM,24,0),)+IFERROR(VLOOKUP(A11,'Halo Infinite Stats'!A:AM,25,0),)+IFERROR(VLOOKUP(A11,'Halo Infinite Stats'!A:AM,26,0),)</f>
        <v>63</v>
      </c>
      <c r="N11" s="753">
        <f t="shared" si="3"/>
        <v>120</v>
      </c>
      <c r="O11" s="1212" t="str">
        <f t="shared" si="4"/>
        <v>C</v>
      </c>
      <c r="P11" s="753">
        <f t="shared" si="5"/>
        <v>14760</v>
      </c>
      <c r="Q11" s="1213" t="str">
        <f t="shared" si="6"/>
        <v>C-</v>
      </c>
      <c r="R11" s="753">
        <f t="shared" si="7"/>
        <v>0</v>
      </c>
      <c r="S11" s="1214" t="str">
        <f t="shared" si="8"/>
        <v>F-</v>
      </c>
      <c r="T11" s="614">
        <f t="shared" si="9"/>
        <v>404.2073171</v>
      </c>
      <c r="U11" s="1217" t="str">
        <f t="shared" si="10"/>
        <v>C-</v>
      </c>
      <c r="V11" s="753">
        <f t="shared" si="11"/>
        <v>1890</v>
      </c>
      <c r="W11" s="1217" t="str">
        <f t="shared" si="12"/>
        <v>D+</v>
      </c>
      <c r="X11" s="753">
        <f t="shared" si="13"/>
        <v>870</v>
      </c>
      <c r="Y11" s="1217" t="str">
        <f t="shared" si="14"/>
        <v>C+</v>
      </c>
      <c r="Z11" s="753">
        <f t="shared" si="15"/>
        <v>2490</v>
      </c>
      <c r="AA11" s="1219" t="str">
        <f t="shared" si="16"/>
        <v>C</v>
      </c>
      <c r="AB11" s="1243">
        <f>PERCENTILE(R2:R44,0.55)</f>
        <v>0</v>
      </c>
      <c r="AC11" s="1243">
        <f>PERCENTILE(T2:T44,0.55)</f>
        <v>551.3075602</v>
      </c>
      <c r="AD11" s="1243">
        <f>PERCENTILE(N2:N44,0.55)</f>
        <v>201</v>
      </c>
      <c r="AE11" s="1243">
        <f>PERCENTILE(P2:P44,0.55)</f>
        <v>20490</v>
      </c>
      <c r="AF11" s="1243">
        <f>PERCENTILE(V2:V44,0.55)</f>
        <v>2985</v>
      </c>
      <c r="AG11" s="1243">
        <f>PERCENTILE(X2:X44,0.55)</f>
        <v>753</v>
      </c>
      <c r="AH11" s="1243">
        <f>PERCENTILE(Z2:Z44,0.55)</f>
        <v>2529</v>
      </c>
    </row>
    <row r="12">
      <c r="A12" s="1205" t="s">
        <v>41</v>
      </c>
      <c r="B12" s="1206">
        <f>IFERROR(VLOOKUP(A12,'Halo Infinite Stats'!A:AM,11,0),)</f>
        <v>4</v>
      </c>
      <c r="C12" s="1207">
        <f t="shared" si="1"/>
        <v>0</v>
      </c>
      <c r="D12" s="1208">
        <f t="shared" si="2"/>
        <v>0</v>
      </c>
      <c r="E12" s="1209">
        <f>IFERROR(VLOOKUP(A12,'Halo Infinite Stats'!A:AM,6,0),)</f>
        <v>22</v>
      </c>
      <c r="F12" s="614">
        <f>IFERROR(VLOOKUP(A12,'Halo Infinite Stats'!A:AM,5,0),)</f>
        <v>7</v>
      </c>
      <c r="G12" s="1210">
        <f>IFERROR(VLOOKUP(A12,'Halo Infinite Stats'!A:AM,8,0),)</f>
        <v>996</v>
      </c>
      <c r="H12" s="614">
        <f>IFERROR(VLOOKUP(A12,'Halo Infinite Stats'!A:AM,28,0),)</f>
        <v>0</v>
      </c>
      <c r="I12" s="1208">
        <f>IFERROR(VLOOKUP(A12,'Halo Infinite Stats'!A:AM,13,0),)+IFERROR(VLOOKUP(A12,'Halo Infinite Stats'!A:AM,14,0)+IFERROR(VLOOKUP(A12,'Halo Infinite Stats'!A:AM,15,0),""),"")</f>
        <v>19.97088353</v>
      </c>
      <c r="J12" s="614">
        <f>IFERROR(VLOOKUP(A12,'Halo Infinite Stats'!A:AM,18,0),)</f>
        <v>10</v>
      </c>
      <c r="K12" s="614">
        <f>IFERROR(VLOOKUP(A12,'Halo Infinite Stats'!A:AM,19,0),)</f>
        <v>110</v>
      </c>
      <c r="L12" s="753">
        <f>IFERROR(VLOOKUP(A12,'Halo Infinite Stats'!A:AM,27,0),)+IFERROR(VLOOKUP(A12,'Halo Infinite Stats'!A:AM,29,0),)+IFERROR(VLOOKUP(A12,'Halo Infinite Stats'!A:AM,30,0),)+IFERROR(VLOOKUP(A12,'Halo Infinite Stats'!A:AM,31,0),)+IFERROR(VLOOKUP(A12,'Halo Infinite Stats'!A:AM,32,0),)+IFERROR(VLOOKUP(A12,'Halo Infinite Stats'!A:AM,33,0),)</f>
        <v>110</v>
      </c>
      <c r="M12" s="1211">
        <f>IFERROR(VLOOKUP(A12,'Halo Infinite Stats'!A:AM,18,0),)+IFERROR(VLOOKUP(A12,'Halo Infinite Stats'!A:AM,19,0),)+IFERROR(VLOOKUP(A12,'Halo Infinite Stats'!A:AM,20,0),)+IFERROR(VLOOKUP(A12,'Halo Infinite Stats'!A:AM,21,0),)+IFERROR(VLOOKUP(A12,'Halo Infinite Stats'!A:AM,22,0),)+IFERROR(VLOOKUP(A12,'Halo Infinite Stats'!A:AM,23,0),)+IFERROR(VLOOKUP(A12,'Halo Infinite Stats'!A:AM,24,0),)+IFERROR(VLOOKUP(A12,'Halo Infinite Stats'!A:AM,25,0),)+IFERROR(VLOOKUP(A12,'Halo Infinite Stats'!A:AM,26,0),)</f>
        <v>144</v>
      </c>
      <c r="N12" s="753">
        <f t="shared" si="3"/>
        <v>105</v>
      </c>
      <c r="O12" s="1212" t="str">
        <f t="shared" si="4"/>
        <v>D+</v>
      </c>
      <c r="P12" s="753">
        <f t="shared" si="5"/>
        <v>14940</v>
      </c>
      <c r="Q12" s="1213" t="str">
        <f t="shared" si="6"/>
        <v>C</v>
      </c>
      <c r="R12" s="753">
        <f t="shared" si="7"/>
        <v>0</v>
      </c>
      <c r="S12" s="1214" t="str">
        <f t="shared" si="8"/>
        <v>F-</v>
      </c>
      <c r="T12" s="614">
        <f t="shared" si="9"/>
        <v>299.563253</v>
      </c>
      <c r="U12" s="1217" t="str">
        <f t="shared" si="10"/>
        <v>D+</v>
      </c>
      <c r="V12" s="753">
        <f t="shared" si="11"/>
        <v>2160</v>
      </c>
      <c r="W12" s="1217" t="str">
        <f t="shared" si="12"/>
        <v>C-</v>
      </c>
      <c r="X12" s="753">
        <f t="shared" si="13"/>
        <v>330</v>
      </c>
      <c r="Y12" s="1217" t="str">
        <f t="shared" si="14"/>
        <v>D+</v>
      </c>
      <c r="Z12" s="753">
        <f t="shared" si="15"/>
        <v>1650</v>
      </c>
      <c r="AA12" s="1219" t="str">
        <f t="shared" si="16"/>
        <v>D+</v>
      </c>
      <c r="AB12" s="1244">
        <f>PERCENTILE(R2:R44,0.5)</f>
        <v>0</v>
      </c>
      <c r="AC12" s="1244">
        <f>PERCENTILE(T2:T44,0.5)</f>
        <v>407.3925104</v>
      </c>
      <c r="AD12" s="1244">
        <f>PERCENTILE(N2:N44,0.5)</f>
        <v>120</v>
      </c>
      <c r="AE12" s="1244">
        <f>PERCENTILE(P2:P44,0.5)</f>
        <v>14940</v>
      </c>
      <c r="AF12" s="1244">
        <f>PERCENTILE(V2:V44,0.5)</f>
        <v>2610</v>
      </c>
      <c r="AG12" s="1244">
        <f>PERCENTILE(X2:X44,0.5)</f>
        <v>480</v>
      </c>
      <c r="AH12" s="1244">
        <f>PERCENTILE(Z2:Z44,0.5)</f>
        <v>2100</v>
      </c>
    </row>
    <row r="13">
      <c r="A13" s="1205" t="s">
        <v>46</v>
      </c>
      <c r="B13" s="1206">
        <f>IFERROR(VLOOKUP(A13,'Halo Infinite Stats'!A:AM,11,0),)</f>
        <v>3</v>
      </c>
      <c r="C13" s="1207">
        <f t="shared" si="1"/>
        <v>0</v>
      </c>
      <c r="D13" s="1208">
        <f t="shared" si="2"/>
        <v>0</v>
      </c>
      <c r="E13" s="1209">
        <f>IFERROR(VLOOKUP(A13,'Halo Infinite Stats'!A:AM,6,0),)</f>
        <v>65</v>
      </c>
      <c r="F13" s="614">
        <f>IFERROR(VLOOKUP(A13,'Halo Infinite Stats'!A:AM,5,0),)</f>
        <v>20</v>
      </c>
      <c r="G13" s="1210">
        <f>IFERROR(VLOOKUP(A13,'Halo Infinite Stats'!A:AM,8,0),)</f>
        <v>1250</v>
      </c>
      <c r="H13" s="614">
        <f>IFERROR(VLOOKUP(A13,'Halo Infinite Stats'!A:AM,28,0),)</f>
        <v>0</v>
      </c>
      <c r="I13" s="1208">
        <f>IFERROR(VLOOKUP(A13,'Halo Infinite Stats'!A:AM,13,0),)+IFERROR(VLOOKUP(A13,'Halo Infinite Stats'!A:AM,14,0)+IFERROR(VLOOKUP(A13,'Halo Infinite Stats'!A:AM,15,0),""),"")</f>
        <v>13.1576</v>
      </c>
      <c r="J13" s="614">
        <f>IFERROR(VLOOKUP(A13,'Halo Infinite Stats'!A:AM,18,0),)</f>
        <v>16</v>
      </c>
      <c r="K13" s="614">
        <f>IFERROR(VLOOKUP(A13,'Halo Infinite Stats'!A:AM,19,0),)</f>
        <v>95</v>
      </c>
      <c r="L13" s="753">
        <f>IFERROR(VLOOKUP(A13,'Halo Infinite Stats'!A:AM,27,0),)+IFERROR(VLOOKUP(A13,'Halo Infinite Stats'!A:AM,29,0),)+IFERROR(VLOOKUP(A13,'Halo Infinite Stats'!A:AM,30,0),)+IFERROR(VLOOKUP(A13,'Halo Infinite Stats'!A:AM,31,0),)+IFERROR(VLOOKUP(A13,'Halo Infinite Stats'!A:AM,32,0),)+IFERROR(VLOOKUP(A13,'Halo Infinite Stats'!A:AM,33,0),)</f>
        <v>99</v>
      </c>
      <c r="M13" s="1211">
        <f>IFERROR(VLOOKUP(A13,'Halo Infinite Stats'!A:AM,18,0),)+IFERROR(VLOOKUP(A13,'Halo Infinite Stats'!A:AM,19,0),)+IFERROR(VLOOKUP(A13,'Halo Infinite Stats'!A:AM,20,0),)+IFERROR(VLOOKUP(A13,'Halo Infinite Stats'!A:AM,21,0),)+IFERROR(VLOOKUP(A13,'Halo Infinite Stats'!A:AM,22,0),)+IFERROR(VLOOKUP(A13,'Halo Infinite Stats'!A:AM,23,0),)+IFERROR(VLOOKUP(A13,'Halo Infinite Stats'!A:AM,24,0),)+IFERROR(VLOOKUP(A13,'Halo Infinite Stats'!A:AM,25,0),)+IFERROR(VLOOKUP(A13,'Halo Infinite Stats'!A:AM,26,0),)</f>
        <v>146</v>
      </c>
      <c r="N13" s="753">
        <f t="shared" si="3"/>
        <v>400</v>
      </c>
      <c r="O13" s="1212" t="str">
        <f t="shared" si="4"/>
        <v>B-</v>
      </c>
      <c r="P13" s="753">
        <f t="shared" si="5"/>
        <v>25000</v>
      </c>
      <c r="Q13" s="1213" t="str">
        <f t="shared" si="6"/>
        <v>B-</v>
      </c>
      <c r="R13" s="753">
        <f t="shared" si="7"/>
        <v>0</v>
      </c>
      <c r="S13" s="1214" t="str">
        <f t="shared" si="8"/>
        <v>F-</v>
      </c>
      <c r="T13" s="614">
        <f t="shared" si="9"/>
        <v>263.152</v>
      </c>
      <c r="U13" s="1217" t="str">
        <f t="shared" si="10"/>
        <v>D</v>
      </c>
      <c r="V13" s="753">
        <f t="shared" si="11"/>
        <v>2920</v>
      </c>
      <c r="W13" s="1217" t="str">
        <f t="shared" si="12"/>
        <v>C</v>
      </c>
      <c r="X13" s="753">
        <f t="shared" si="13"/>
        <v>1300</v>
      </c>
      <c r="Y13" s="1217" t="str">
        <f t="shared" si="14"/>
        <v>B-</v>
      </c>
      <c r="Z13" s="753">
        <f t="shared" si="15"/>
        <v>1980</v>
      </c>
      <c r="AA13" s="1219" t="str">
        <f t="shared" si="16"/>
        <v>C-</v>
      </c>
      <c r="AB13" s="1243">
        <f>PERCENTILE(R2:R44,0.45)</f>
        <v>0</v>
      </c>
      <c r="AC13" s="1243">
        <f>PERCENTILE(T2:T44,0.45)</f>
        <v>361.1862583</v>
      </c>
      <c r="AD13" s="1243">
        <f>PERCENTILE(N2:N44,0.45)</f>
        <v>118.5</v>
      </c>
      <c r="AE13" s="1243">
        <f>PERCENTILE(P2:P44,0.45)</f>
        <v>12660</v>
      </c>
      <c r="AF13" s="1243">
        <f>PERCENTILE(V2:V44,0.45)</f>
        <v>1917</v>
      </c>
      <c r="AG13" s="1243">
        <f>PERCENTILE(X2:X44,0.45)</f>
        <v>405</v>
      </c>
      <c r="AH13" s="1243">
        <f>PERCENTILE(Z2:Z44,0.45)</f>
        <v>1677</v>
      </c>
    </row>
    <row r="14">
      <c r="A14" s="1205" t="s">
        <v>197</v>
      </c>
      <c r="B14" s="1206">
        <f>IFERROR(VLOOKUP(A14,'Halo Infinite Stats'!A:AM,11,0),)</f>
        <v>1</v>
      </c>
      <c r="C14" s="1207">
        <f t="shared" si="1"/>
        <v>0</v>
      </c>
      <c r="D14" s="1208">
        <f t="shared" si="2"/>
        <v>0</v>
      </c>
      <c r="E14" s="1209">
        <f>IFERROR(VLOOKUP(A14,'Halo Infinite Stats'!A:AM,6,0),)</f>
        <v>13</v>
      </c>
      <c r="F14" s="614">
        <f>IFERROR(VLOOKUP(A14,'Halo Infinite Stats'!A:AM,5,0),)</f>
        <v>8</v>
      </c>
      <c r="G14" s="1210">
        <f>IFERROR(VLOOKUP(A14,'Halo Infinite Stats'!A:AM,8,0),)</f>
        <v>955</v>
      </c>
      <c r="H14" s="614">
        <f>IFERROR(VLOOKUP(A14,'Halo Infinite Stats'!A:AM,28,0),)</f>
        <v>1</v>
      </c>
      <c r="I14" s="1208">
        <f>IFERROR(VLOOKUP(A14,'Halo Infinite Stats'!A:AM,13,0),)+IFERROR(VLOOKUP(A14,'Halo Infinite Stats'!A:AM,14,0)+IFERROR(VLOOKUP(A14,'Halo Infinite Stats'!A:AM,15,0),""),"")</f>
        <v>46.00104712</v>
      </c>
      <c r="J14" s="614">
        <f>IFERROR(VLOOKUP(A14,'Halo Infinite Stats'!A:AM,18,0),)</f>
        <v>17</v>
      </c>
      <c r="K14" s="614">
        <f>IFERROR(VLOOKUP(A14,'Halo Infinite Stats'!A:AM,19,0),)</f>
        <v>231</v>
      </c>
      <c r="L14" s="753">
        <f>IFERROR(VLOOKUP(A14,'Halo Infinite Stats'!A:AM,27,0),)+IFERROR(VLOOKUP(A14,'Halo Infinite Stats'!A:AM,29,0),)+IFERROR(VLOOKUP(A14,'Halo Infinite Stats'!A:AM,30,0),)+IFERROR(VLOOKUP(A14,'Halo Infinite Stats'!A:AM,31,0),)+IFERROR(VLOOKUP(A14,'Halo Infinite Stats'!A:AM,32,0),)+IFERROR(VLOOKUP(A14,'Halo Infinite Stats'!A:AM,33,0),)</f>
        <v>186</v>
      </c>
      <c r="M14" s="1211">
        <f>IFERROR(VLOOKUP(A14,'Halo Infinite Stats'!A:AM,18,0),)+IFERROR(VLOOKUP(A14,'Halo Infinite Stats'!A:AM,19,0),)+IFERROR(VLOOKUP(A14,'Halo Infinite Stats'!A:AM,20,0),)+IFERROR(VLOOKUP(A14,'Halo Infinite Stats'!A:AM,21,0),)+IFERROR(VLOOKUP(A14,'Halo Infinite Stats'!A:AM,22,0),)+IFERROR(VLOOKUP(A14,'Halo Infinite Stats'!A:AM,23,0),)+IFERROR(VLOOKUP(A14,'Halo Infinite Stats'!A:AM,24,0),)+IFERROR(VLOOKUP(A14,'Halo Infinite Stats'!A:AM,25,0),)+IFERROR(VLOOKUP(A14,'Halo Infinite Stats'!A:AM,26,0),)</f>
        <v>399</v>
      </c>
      <c r="N14" s="753">
        <f t="shared" si="3"/>
        <v>480</v>
      </c>
      <c r="O14" s="1212" t="str">
        <f t="shared" si="4"/>
        <v>B+</v>
      </c>
      <c r="P14" s="753">
        <f t="shared" si="5"/>
        <v>57300</v>
      </c>
      <c r="Q14" s="1213" t="str">
        <f t="shared" si="6"/>
        <v>A+</v>
      </c>
      <c r="R14" s="753">
        <f t="shared" si="7"/>
        <v>60</v>
      </c>
      <c r="S14" s="1214" t="str">
        <f t="shared" si="8"/>
        <v>S</v>
      </c>
      <c r="T14" s="614">
        <f t="shared" si="9"/>
        <v>2760.062827</v>
      </c>
      <c r="U14" s="1217" t="str">
        <f t="shared" si="10"/>
        <v>S</v>
      </c>
      <c r="V14" s="753">
        <f t="shared" si="11"/>
        <v>23940</v>
      </c>
      <c r="W14" s="1217" t="str">
        <f t="shared" si="12"/>
        <v>S</v>
      </c>
      <c r="X14" s="753">
        <f t="shared" si="13"/>
        <v>780</v>
      </c>
      <c r="Y14" s="1217" t="str">
        <f t="shared" si="14"/>
        <v>C+</v>
      </c>
      <c r="Z14" s="753">
        <f t="shared" si="15"/>
        <v>11160</v>
      </c>
      <c r="AA14" s="1219" t="str">
        <f t="shared" si="16"/>
        <v>A+</v>
      </c>
      <c r="AB14" s="1245">
        <f>PERCENTILE(R2:R44,0.4)</f>
        <v>0</v>
      </c>
      <c r="AC14" s="1245">
        <f>PERCENTILE(T2:T44,0.4)</f>
        <v>299.3276065</v>
      </c>
      <c r="AD14" s="1245">
        <f>PERCENTILE(N2:N44,0.4)</f>
        <v>60</v>
      </c>
      <c r="AE14" s="1245">
        <f>PERCENTILE(P2:P44,0.4)</f>
        <v>11622.66667</v>
      </c>
      <c r="AF14" s="1245">
        <f>PERCENTILE(V2:V44,0.4)</f>
        <v>1680</v>
      </c>
      <c r="AG14" s="1245">
        <f>PERCENTILE(X2:X44,0.4)</f>
        <v>120</v>
      </c>
      <c r="AH14" s="1245">
        <f>PERCENTILE(Z2:Z44,0.4)</f>
        <v>1336</v>
      </c>
    </row>
    <row r="15">
      <c r="A15" s="1205" t="s">
        <v>195</v>
      </c>
      <c r="B15" s="1206">
        <f>IFERROR(VLOOKUP(A15,'Halo Infinite Stats'!A:AM,11,0),)</f>
        <v>0</v>
      </c>
      <c r="C15" s="1207">
        <f t="shared" si="1"/>
        <v>0</v>
      </c>
      <c r="D15" s="1208">
        <f t="shared" si="2"/>
        <v>0</v>
      </c>
      <c r="E15" s="1209">
        <f>IFERROR(VLOOKUP(A15,'Halo Infinite Stats'!A:AM,6,0),)</f>
        <v>24</v>
      </c>
      <c r="F15" s="614">
        <f>IFERROR(VLOOKUP(A15,'Halo Infinite Stats'!A:AM,5,0),)</f>
        <v>5</v>
      </c>
      <c r="G15" s="1210">
        <f>IFERROR(VLOOKUP(A15,'Halo Infinite Stats'!A:AM,8,0),)</f>
        <v>833</v>
      </c>
      <c r="H15" s="614">
        <f>IFERROR(VLOOKUP(A15,'Halo Infinite Stats'!A:AM,28,0),)</f>
        <v>0</v>
      </c>
      <c r="I15" s="1208">
        <f>IFERROR(VLOOKUP(A15,'Halo Infinite Stats'!A:AM,13,0),)+IFERROR(VLOOKUP(A15,'Halo Infinite Stats'!A:AM,14,0)+IFERROR(VLOOKUP(A15,'Halo Infinite Stats'!A:AM,15,0),""),"")</f>
        <v>15.98439376</v>
      </c>
      <c r="J15" s="614">
        <f>IFERROR(VLOOKUP(A15,'Halo Infinite Stats'!A:AM,18,0),)</f>
        <v>8</v>
      </c>
      <c r="K15" s="614">
        <f>IFERROR(VLOOKUP(A15,'Halo Infinite Stats'!A:AM,19,0),)</f>
        <v>85</v>
      </c>
      <c r="L15" s="753">
        <f>IFERROR(VLOOKUP(A15,'Halo Infinite Stats'!A:AM,27,0),)+IFERROR(VLOOKUP(A15,'Halo Infinite Stats'!A:AM,29,0),)+IFERROR(VLOOKUP(A15,'Halo Infinite Stats'!A:AM,30,0),)+IFERROR(VLOOKUP(A15,'Halo Infinite Stats'!A:AM,31,0),)+IFERROR(VLOOKUP(A15,'Halo Infinite Stats'!A:AM,32,0),)+IFERROR(VLOOKUP(A15,'Halo Infinite Stats'!A:AM,33,0),)</f>
        <v>92</v>
      </c>
      <c r="M15" s="1211">
        <f>IFERROR(VLOOKUP(A15,'Halo Infinite Stats'!A:AM,18,0),)+IFERROR(VLOOKUP(A15,'Halo Infinite Stats'!A:AM,19,0),)+IFERROR(VLOOKUP(A15,'Halo Infinite Stats'!A:AM,20,0),)+IFERROR(VLOOKUP(A15,'Halo Infinite Stats'!A:AM,21,0),)+IFERROR(VLOOKUP(A15,'Halo Infinite Stats'!A:AM,22,0),)+IFERROR(VLOOKUP(A15,'Halo Infinite Stats'!A:AM,23,0),)+IFERROR(VLOOKUP(A15,'Halo Infinite Stats'!A:AM,24,0),)+IFERROR(VLOOKUP(A15,'Halo Infinite Stats'!A:AM,25,0),)+IFERROR(VLOOKUP(A15,'Halo Infinite Stats'!A:AM,26,0),)</f>
        <v>121</v>
      </c>
      <c r="N15" s="753">
        <f t="shared" si="3"/>
        <v>0</v>
      </c>
      <c r="O15" s="1212" t="str">
        <f t="shared" si="4"/>
        <v>F-</v>
      </c>
      <c r="P15" s="753">
        <f t="shared" si="5"/>
        <v>0</v>
      </c>
      <c r="Q15" s="1213" t="str">
        <f t="shared" si="6"/>
        <v>F-</v>
      </c>
      <c r="R15" s="753">
        <f t="shared" si="7"/>
        <v>0</v>
      </c>
      <c r="S15" s="1214" t="str">
        <f t="shared" si="8"/>
        <v>F-</v>
      </c>
      <c r="T15" s="614">
        <f t="shared" si="9"/>
        <v>0</v>
      </c>
      <c r="U15" s="1217" t="str">
        <f t="shared" si="10"/>
        <v>F-</v>
      </c>
      <c r="V15" s="753">
        <f t="shared" si="11"/>
        <v>0</v>
      </c>
      <c r="W15" s="1217" t="str">
        <f t="shared" si="12"/>
        <v>F-</v>
      </c>
      <c r="X15" s="753">
        <f t="shared" si="13"/>
        <v>0</v>
      </c>
      <c r="Y15" s="1217" t="str">
        <f t="shared" si="14"/>
        <v>F-</v>
      </c>
      <c r="Z15" s="753">
        <f t="shared" si="15"/>
        <v>0</v>
      </c>
      <c r="AA15" s="1219" t="str">
        <f t="shared" si="16"/>
        <v>F-</v>
      </c>
      <c r="AB15" s="1246">
        <f>PERCENTILE(R2:R44,0.35)</f>
        <v>0</v>
      </c>
      <c r="AC15" s="1246">
        <f>PERCENTILE(T2:T44,0.35)</f>
        <v>184.2064</v>
      </c>
      <c r="AD15" s="1246">
        <f>PERCENTILE(N2:N44,0.35)</f>
        <v>21</v>
      </c>
      <c r="AE15" s="1246">
        <f>PERCENTILE(P2:P44,0.35)</f>
        <v>7896</v>
      </c>
      <c r="AF15" s="1246">
        <f>PERCENTILE(V2:V44,0.35)</f>
        <v>672</v>
      </c>
      <c r="AG15" s="1246">
        <f>PERCENTILE(X2:X44,0.35)</f>
        <v>84</v>
      </c>
      <c r="AH15" s="1246">
        <f>PERCENTILE(Z2:Z44,0.35)</f>
        <v>336</v>
      </c>
    </row>
    <row r="16">
      <c r="A16" s="1205" t="s">
        <v>80</v>
      </c>
      <c r="B16" s="1206">
        <f>IFERROR(VLOOKUP(A16,'Halo Infinite Stats'!A:AM,11,0),)</f>
        <v>0</v>
      </c>
      <c r="C16" s="1207">
        <f t="shared" si="1"/>
        <v>0</v>
      </c>
      <c r="D16" s="1208">
        <f t="shared" si="2"/>
        <v>0</v>
      </c>
      <c r="E16" s="1209">
        <f>IFERROR(VLOOKUP(A16,'Halo Infinite Stats'!A:AM,6,0),)</f>
        <v>46</v>
      </c>
      <c r="F16" s="614">
        <f>IFERROR(VLOOKUP(A16,'Halo Infinite Stats'!A:AM,5,0),)</f>
        <v>5</v>
      </c>
      <c r="G16" s="1210">
        <f>IFERROR(VLOOKUP(A16,'Halo Infinite Stats'!A:AM,8,0),)</f>
        <v>1317</v>
      </c>
      <c r="H16" s="614">
        <f>IFERROR(VLOOKUP(A16,'Halo Infinite Stats'!A:AM,28,0),)</f>
        <v>1</v>
      </c>
      <c r="I16" s="1208">
        <f>IFERROR(VLOOKUP(A16,'Halo Infinite Stats'!A:AM,13,0),)+IFERROR(VLOOKUP(A16,'Halo Infinite Stats'!A:AM,14,0)+IFERROR(VLOOKUP(A16,'Halo Infinite Stats'!A:AM,15,0),""),"")</f>
        <v>21.58921792</v>
      </c>
      <c r="J16" s="614">
        <f>IFERROR(VLOOKUP(A16,'Halo Infinite Stats'!A:AM,18,0),)</f>
        <v>15</v>
      </c>
      <c r="K16" s="614">
        <f>IFERROR(VLOOKUP(A16,'Halo Infinite Stats'!A:AM,19,0),)</f>
        <v>165</v>
      </c>
      <c r="L16" s="753">
        <f>IFERROR(VLOOKUP(A16,'Halo Infinite Stats'!A:AM,27,0),)+IFERROR(VLOOKUP(A16,'Halo Infinite Stats'!A:AM,29,0),)+IFERROR(VLOOKUP(A16,'Halo Infinite Stats'!A:AM,30,0),)+IFERROR(VLOOKUP(A16,'Halo Infinite Stats'!A:AM,31,0),)+IFERROR(VLOOKUP(A16,'Halo Infinite Stats'!A:AM,32,0),)+IFERROR(VLOOKUP(A16,'Halo Infinite Stats'!A:AM,33,0),)</f>
        <v>168</v>
      </c>
      <c r="M16" s="1211">
        <f>IFERROR(VLOOKUP(A16,'Halo Infinite Stats'!A:AM,18,0),)+IFERROR(VLOOKUP(A16,'Halo Infinite Stats'!A:AM,19,0),)+IFERROR(VLOOKUP(A16,'Halo Infinite Stats'!A:AM,20,0),)+IFERROR(VLOOKUP(A16,'Halo Infinite Stats'!A:AM,21,0),)+IFERROR(VLOOKUP(A16,'Halo Infinite Stats'!A:AM,22,0),)+IFERROR(VLOOKUP(A16,'Halo Infinite Stats'!A:AM,23,0),)+IFERROR(VLOOKUP(A16,'Halo Infinite Stats'!A:AM,24,0),)+IFERROR(VLOOKUP(A16,'Halo Infinite Stats'!A:AM,25,0),)+IFERROR(VLOOKUP(A16,'Halo Infinite Stats'!A:AM,26,0),)</f>
        <v>240</v>
      </c>
      <c r="N16" s="753">
        <f t="shared" si="3"/>
        <v>0</v>
      </c>
      <c r="O16" s="1212" t="str">
        <f t="shared" si="4"/>
        <v>F-</v>
      </c>
      <c r="P16" s="753">
        <f t="shared" si="5"/>
        <v>0</v>
      </c>
      <c r="Q16" s="1213" t="str">
        <f t="shared" si="6"/>
        <v>F-</v>
      </c>
      <c r="R16" s="753">
        <f t="shared" si="7"/>
        <v>0</v>
      </c>
      <c r="S16" s="1214" t="str">
        <f t="shared" si="8"/>
        <v>F-</v>
      </c>
      <c r="T16" s="614">
        <f t="shared" si="9"/>
        <v>0</v>
      </c>
      <c r="U16" s="1217" t="str">
        <f t="shared" si="10"/>
        <v>F-</v>
      </c>
      <c r="V16" s="753">
        <f t="shared" si="11"/>
        <v>0</v>
      </c>
      <c r="W16" s="1217" t="str">
        <f t="shared" si="12"/>
        <v>F-</v>
      </c>
      <c r="X16" s="753">
        <f t="shared" si="13"/>
        <v>0</v>
      </c>
      <c r="Y16" s="1217" t="str">
        <f t="shared" si="14"/>
        <v>F-</v>
      </c>
      <c r="Z16" s="753">
        <f t="shared" si="15"/>
        <v>0</v>
      </c>
      <c r="AA16" s="1219" t="str">
        <f t="shared" si="16"/>
        <v>F-</v>
      </c>
      <c r="AB16" s="1245">
        <f>PERCENTILE(R2:R44,0.3)</f>
        <v>0</v>
      </c>
      <c r="AC16" s="1245">
        <f>PERCENTILE(T2:T44,0.3)</f>
        <v>0</v>
      </c>
      <c r="AD16" s="1245">
        <f>PERCENTILE(N2:N44,0.3)</f>
        <v>0</v>
      </c>
      <c r="AE16" s="1245">
        <f>PERCENTILE(P2:P44,0.3)</f>
        <v>0</v>
      </c>
      <c r="AF16" s="1245">
        <f>PERCENTILE(V2:V44,0.3)</f>
        <v>0</v>
      </c>
      <c r="AG16" s="1245">
        <f>PERCENTILE(X2:X44,0.3)</f>
        <v>0</v>
      </c>
      <c r="AH16" s="1245">
        <f>PERCENTILE(Z2:Z44,0.3)</f>
        <v>0</v>
      </c>
    </row>
    <row r="17">
      <c r="A17" s="1205" t="s">
        <v>44</v>
      </c>
      <c r="B17" s="1206">
        <f>IFERROR(VLOOKUP(A17,'Halo Infinite Stats'!A:AM,11,0),)</f>
        <v>1</v>
      </c>
      <c r="C17" s="1207">
        <f t="shared" si="1"/>
        <v>0</v>
      </c>
      <c r="D17" s="1208">
        <f t="shared" si="2"/>
        <v>0</v>
      </c>
      <c r="E17" s="1209">
        <f>IFERROR(VLOOKUP(A17,'Halo Infinite Stats'!A:AM,6,0),)</f>
        <v>268</v>
      </c>
      <c r="F17" s="614">
        <f>IFERROR(VLOOKUP(A17,'Halo Infinite Stats'!A:AM,5,0),)</f>
        <v>69</v>
      </c>
      <c r="G17" s="1210">
        <f>IFERROR(VLOOKUP(A17,'Halo Infinite Stats'!A:AM,8,0),)</f>
        <v>785</v>
      </c>
      <c r="H17" s="614">
        <f>IFERROR(VLOOKUP(A17,'Halo Infinite Stats'!A:AM,28,0),)</f>
        <v>0</v>
      </c>
      <c r="I17" s="1208">
        <f>IFERROR(VLOOKUP(A17,'Halo Infinite Stats'!A:AM,13,0),)+IFERROR(VLOOKUP(A17,'Halo Infinite Stats'!A:AM,14,0)+IFERROR(VLOOKUP(A17,'Halo Infinite Stats'!A:AM,15,0),""),"")</f>
        <v>33.87515924</v>
      </c>
      <c r="J17" s="614">
        <f>IFERROR(VLOOKUP(A17,'Halo Infinite Stats'!A:AM,18,0),)</f>
        <v>5</v>
      </c>
      <c r="K17" s="614">
        <f>IFERROR(VLOOKUP(A17,'Halo Infinite Stats'!A:AM,19,0),)</f>
        <v>119</v>
      </c>
      <c r="L17" s="753">
        <f>IFERROR(VLOOKUP(A17,'Halo Infinite Stats'!A:AM,27,0),)+IFERROR(VLOOKUP(A17,'Halo Infinite Stats'!A:AM,29,0),)+IFERROR(VLOOKUP(A17,'Halo Infinite Stats'!A:AM,30,0),)+IFERROR(VLOOKUP(A17,'Halo Infinite Stats'!A:AM,31,0),)+IFERROR(VLOOKUP(A17,'Halo Infinite Stats'!A:AM,32,0),)+IFERROR(VLOOKUP(A17,'Halo Infinite Stats'!A:AM,33,0),)</f>
        <v>149</v>
      </c>
      <c r="M17" s="1211">
        <f>IFERROR(VLOOKUP(A17,'Halo Infinite Stats'!A:AM,18,0),)+IFERROR(VLOOKUP(A17,'Halo Infinite Stats'!A:AM,19,0),)+IFERROR(VLOOKUP(A17,'Halo Infinite Stats'!A:AM,20,0),)+IFERROR(VLOOKUP(A17,'Halo Infinite Stats'!A:AM,21,0),)+IFERROR(VLOOKUP(A17,'Halo Infinite Stats'!A:AM,22,0),)+IFERROR(VLOOKUP(A17,'Halo Infinite Stats'!A:AM,23,0),)+IFERROR(VLOOKUP(A17,'Halo Infinite Stats'!A:AM,24,0),)+IFERROR(VLOOKUP(A17,'Halo Infinite Stats'!A:AM,25,0),)+IFERROR(VLOOKUP(A17,'Halo Infinite Stats'!A:AM,26,0),)</f>
        <v>170</v>
      </c>
      <c r="N17" s="753">
        <f t="shared" si="3"/>
        <v>4140</v>
      </c>
      <c r="O17" s="1212" t="str">
        <f t="shared" si="4"/>
        <v>S+</v>
      </c>
      <c r="P17" s="753">
        <f t="shared" si="5"/>
        <v>47100</v>
      </c>
      <c r="Q17" s="1213" t="str">
        <f t="shared" si="6"/>
        <v>B+</v>
      </c>
      <c r="R17" s="753">
        <f t="shared" si="7"/>
        <v>0</v>
      </c>
      <c r="S17" s="1214" t="str">
        <f t="shared" si="8"/>
        <v>F-</v>
      </c>
      <c r="T17" s="614">
        <f t="shared" si="9"/>
        <v>2032.509554</v>
      </c>
      <c r="U17" s="1217" t="str">
        <f t="shared" si="10"/>
        <v>A</v>
      </c>
      <c r="V17" s="753">
        <f t="shared" si="11"/>
        <v>10200</v>
      </c>
      <c r="W17" s="1217" t="str">
        <f t="shared" si="12"/>
        <v>A-</v>
      </c>
      <c r="X17" s="753">
        <f t="shared" si="13"/>
        <v>16080</v>
      </c>
      <c r="Y17" s="1217" t="str">
        <f t="shared" si="14"/>
        <v>S</v>
      </c>
      <c r="Z17" s="753">
        <f t="shared" si="15"/>
        <v>8940</v>
      </c>
      <c r="AA17" s="1219" t="str">
        <f t="shared" si="16"/>
        <v>A</v>
      </c>
      <c r="AB17" s="1248">
        <f>PERCENTILE(R2:R44,0.25)</f>
        <v>0</v>
      </c>
      <c r="AC17" s="1248">
        <f>PERCENTILE(T2:T44,0.25)</f>
        <v>0</v>
      </c>
      <c r="AD17" s="1248">
        <f>PERCENTILE(N2:N44,0.25)</f>
        <v>0</v>
      </c>
      <c r="AE17" s="1248">
        <f>PERCENTILE(P2:P44,0.25)</f>
        <v>0</v>
      </c>
      <c r="AF17" s="1248">
        <f>PERCENTILE(V2:V44,0.25)</f>
        <v>0</v>
      </c>
      <c r="AG17" s="1248">
        <f>PERCENTILE(X2:X44,0.25)</f>
        <v>0</v>
      </c>
      <c r="AH17" s="1248">
        <f>PERCENTILE(Z2:Z44,0.25)</f>
        <v>0</v>
      </c>
    </row>
    <row r="18">
      <c r="A18" s="1205" t="s">
        <v>68</v>
      </c>
      <c r="B18" s="1206">
        <f>IFERROR(VLOOKUP(A18,'Halo Infinite Stats'!A:AM,11,0),)</f>
        <v>1</v>
      </c>
      <c r="C18" s="1207">
        <f t="shared" si="1"/>
        <v>0</v>
      </c>
      <c r="D18" s="1208">
        <f t="shared" si="2"/>
        <v>0</v>
      </c>
      <c r="E18" s="1209">
        <f>IFERROR(VLOOKUP(A18,'Halo Infinite Stats'!A:AM,6,0),)</f>
        <v>86</v>
      </c>
      <c r="F18" s="614">
        <f>IFERROR(VLOOKUP(A18,'Halo Infinite Stats'!A:AM,5,0),)</f>
        <v>19</v>
      </c>
      <c r="G18" s="1210">
        <f>IFERROR(VLOOKUP(A18,'Halo Infinite Stats'!A:AM,8,0),)</f>
        <v>820</v>
      </c>
      <c r="H18" s="614">
        <f>IFERROR(VLOOKUP(A18,'Halo Infinite Stats'!A:AM,28,0),)</f>
        <v>0</v>
      </c>
      <c r="I18" s="1208">
        <f>IFERROR(VLOOKUP(A18,'Halo Infinite Stats'!A:AM,13,0),)+IFERROR(VLOOKUP(A18,'Halo Infinite Stats'!A:AM,14,0)+IFERROR(VLOOKUP(A18,'Halo Infinite Stats'!A:AM,15,0),""),"")</f>
        <v>34.87317073</v>
      </c>
      <c r="J18" s="614">
        <f>IFERROR(VLOOKUP(A18,'Halo Infinite Stats'!A:AM,18,0),)</f>
        <v>12</v>
      </c>
      <c r="K18" s="614">
        <f>IFERROR(VLOOKUP(A18,'Halo Infinite Stats'!A:AM,19,0),)</f>
        <v>105</v>
      </c>
      <c r="L18" s="753">
        <f>IFERROR(VLOOKUP(A18,'Halo Infinite Stats'!A:AM,27,0),)+IFERROR(VLOOKUP(A18,'Halo Infinite Stats'!A:AM,29,0),)+IFERROR(VLOOKUP(A18,'Halo Infinite Stats'!A:AM,30,0),)+IFERROR(VLOOKUP(A18,'Halo Infinite Stats'!A:AM,31,0),)+IFERROR(VLOOKUP(A18,'Halo Infinite Stats'!A:AM,32,0),)+IFERROR(VLOOKUP(A18,'Halo Infinite Stats'!A:AM,33,0),)</f>
        <v>142</v>
      </c>
      <c r="M18" s="1211">
        <f>IFERROR(VLOOKUP(A18,'Halo Infinite Stats'!A:AM,18,0),)+IFERROR(VLOOKUP(A18,'Halo Infinite Stats'!A:AM,19,0),)+IFERROR(VLOOKUP(A18,'Halo Infinite Stats'!A:AM,20,0),)+IFERROR(VLOOKUP(A18,'Halo Infinite Stats'!A:AM,21,0),)+IFERROR(VLOOKUP(A18,'Halo Infinite Stats'!A:AM,22,0),)+IFERROR(VLOOKUP(A18,'Halo Infinite Stats'!A:AM,23,0),)+IFERROR(VLOOKUP(A18,'Halo Infinite Stats'!A:AM,24,0),)+IFERROR(VLOOKUP(A18,'Halo Infinite Stats'!A:AM,25,0),)+IFERROR(VLOOKUP(A18,'Halo Infinite Stats'!A:AM,26,0),)</f>
        <v>164</v>
      </c>
      <c r="N18" s="753">
        <f t="shared" si="3"/>
        <v>1140</v>
      </c>
      <c r="O18" s="1212" t="str">
        <f t="shared" si="4"/>
        <v>A+</v>
      </c>
      <c r="P18" s="753">
        <f t="shared" si="5"/>
        <v>49200</v>
      </c>
      <c r="Q18" s="1213" t="str">
        <f t="shared" si="6"/>
        <v>A-</v>
      </c>
      <c r="R18" s="753">
        <f t="shared" si="7"/>
        <v>0</v>
      </c>
      <c r="S18" s="1214" t="str">
        <f t="shared" si="8"/>
        <v>F-</v>
      </c>
      <c r="T18" s="614">
        <f t="shared" si="9"/>
        <v>2092.390244</v>
      </c>
      <c r="U18" s="1217" t="str">
        <f t="shared" si="10"/>
        <v>A+</v>
      </c>
      <c r="V18" s="753">
        <f t="shared" si="11"/>
        <v>9840</v>
      </c>
      <c r="W18" s="1217" t="str">
        <f t="shared" si="12"/>
        <v>A-</v>
      </c>
      <c r="X18" s="753">
        <f t="shared" si="13"/>
        <v>5160</v>
      </c>
      <c r="Y18" s="1217" t="str">
        <f t="shared" si="14"/>
        <v>A+</v>
      </c>
      <c r="Z18" s="753">
        <f t="shared" si="15"/>
        <v>8520</v>
      </c>
      <c r="AA18" s="1219" t="str">
        <f t="shared" si="16"/>
        <v>A</v>
      </c>
      <c r="AB18" s="1249">
        <f>PERCENTILE(R2:R44,0.2)</f>
        <v>0</v>
      </c>
      <c r="AC18" s="1249">
        <f>PERCENTILE(T2:T44,0.2)</f>
        <v>0</v>
      </c>
      <c r="AD18" s="1249">
        <f>PERCENTILE(N2:N44,0.2)</f>
        <v>0</v>
      </c>
      <c r="AE18" s="1249">
        <f>PERCENTILE(P2:P44,0.2)</f>
        <v>0</v>
      </c>
      <c r="AF18" s="1249">
        <f>PERCENTILE(V2:V44,0.2)</f>
        <v>0</v>
      </c>
      <c r="AG18" s="1249">
        <f>PERCENTILE(X2:X44,0.2)</f>
        <v>0</v>
      </c>
      <c r="AH18" s="1249">
        <f>PERCENTILE(Z2:Z44,0.2)</f>
        <v>0</v>
      </c>
    </row>
    <row r="19">
      <c r="A19" s="1205" t="s">
        <v>185</v>
      </c>
      <c r="B19" s="1206">
        <f>IFERROR(VLOOKUP(A19,'Halo Infinite Stats'!A:AM,11,0),)</f>
        <v>2</v>
      </c>
      <c r="C19" s="1207">
        <f t="shared" si="1"/>
        <v>0</v>
      </c>
      <c r="D19" s="1208">
        <f t="shared" si="2"/>
        <v>0</v>
      </c>
      <c r="E19" s="1209">
        <f>IFERROR(VLOOKUP(A19,'Halo Infinite Stats'!A:AM,6,0),)</f>
        <v>25</v>
      </c>
      <c r="F19" s="614">
        <f>IFERROR(VLOOKUP(A19,'Halo Infinite Stats'!A:AM,5,0),)</f>
        <v>4</v>
      </c>
      <c r="G19" s="1210">
        <f>IFERROR(VLOOKUP(A19,'Halo Infinite Stats'!A:AM,8,0),)</f>
        <v>1144</v>
      </c>
      <c r="H19" s="614">
        <f>IFERROR(VLOOKUP(A19,'Halo Infinite Stats'!A:AM,28,0),)</f>
        <v>1</v>
      </c>
      <c r="I19" s="1208">
        <f>IFERROR(VLOOKUP(A19,'Halo Infinite Stats'!A:AM,13,0),)+IFERROR(VLOOKUP(A19,'Halo Infinite Stats'!A:AM,14,0)+IFERROR(VLOOKUP(A19,'Halo Infinite Stats'!A:AM,15,0),""),"")</f>
        <v>25.97902098</v>
      </c>
      <c r="J19" s="614">
        <f>IFERROR(VLOOKUP(A19,'Halo Infinite Stats'!A:AM,18,0),)</f>
        <v>6</v>
      </c>
      <c r="K19" s="614">
        <f>IFERROR(VLOOKUP(A19,'Halo Infinite Stats'!A:AM,19,0),)</f>
        <v>124</v>
      </c>
      <c r="L19" s="753">
        <f>IFERROR(VLOOKUP(A19,'Halo Infinite Stats'!A:AM,27,0),)+IFERROR(VLOOKUP(A19,'Halo Infinite Stats'!A:AM,29,0),)+IFERROR(VLOOKUP(A19,'Halo Infinite Stats'!A:AM,30,0),)+IFERROR(VLOOKUP(A19,'Halo Infinite Stats'!A:AM,31,0),)+IFERROR(VLOOKUP(A19,'Halo Infinite Stats'!A:AM,32,0),)+IFERROR(VLOOKUP(A19,'Halo Infinite Stats'!A:AM,33,0),)</f>
        <v>168</v>
      </c>
      <c r="M19" s="1211">
        <f>IFERROR(VLOOKUP(A19,'Halo Infinite Stats'!A:AM,18,0),)+IFERROR(VLOOKUP(A19,'Halo Infinite Stats'!A:AM,19,0),)+IFERROR(VLOOKUP(A19,'Halo Infinite Stats'!A:AM,20,0),)+IFERROR(VLOOKUP(A19,'Halo Infinite Stats'!A:AM,21,0),)+IFERROR(VLOOKUP(A19,'Halo Infinite Stats'!A:AM,22,0),)+IFERROR(VLOOKUP(A19,'Halo Infinite Stats'!A:AM,23,0),)+IFERROR(VLOOKUP(A19,'Halo Infinite Stats'!A:AM,24,0),)+IFERROR(VLOOKUP(A19,'Halo Infinite Stats'!A:AM,25,0),)+IFERROR(VLOOKUP(A19,'Halo Infinite Stats'!A:AM,26,0),)</f>
        <v>178</v>
      </c>
      <c r="N19" s="753">
        <f t="shared" si="3"/>
        <v>120</v>
      </c>
      <c r="O19" s="1212" t="str">
        <f t="shared" si="4"/>
        <v>C</v>
      </c>
      <c r="P19" s="753">
        <f t="shared" si="5"/>
        <v>34320</v>
      </c>
      <c r="Q19" s="1213" t="str">
        <f t="shared" si="6"/>
        <v>B</v>
      </c>
      <c r="R19" s="753">
        <f t="shared" si="7"/>
        <v>30</v>
      </c>
      <c r="S19" s="1214" t="str">
        <f t="shared" si="8"/>
        <v>S-</v>
      </c>
      <c r="T19" s="614">
        <f t="shared" si="9"/>
        <v>779.3706294</v>
      </c>
      <c r="U19" s="1217" t="str">
        <f t="shared" si="10"/>
        <v>B-</v>
      </c>
      <c r="V19" s="753">
        <f t="shared" si="11"/>
        <v>5340</v>
      </c>
      <c r="W19" s="1217" t="str">
        <f t="shared" si="12"/>
        <v>B-</v>
      </c>
      <c r="X19" s="753">
        <f t="shared" si="13"/>
        <v>750</v>
      </c>
      <c r="Y19" s="1217" t="str">
        <f t="shared" si="14"/>
        <v>C</v>
      </c>
      <c r="Z19" s="753">
        <f t="shared" si="15"/>
        <v>5040</v>
      </c>
      <c r="AA19" s="1219" t="str">
        <f t="shared" si="16"/>
        <v>B</v>
      </c>
      <c r="AB19" s="1248">
        <f>PERCENTILE(R2:R44,0.15)</f>
        <v>0</v>
      </c>
      <c r="AC19" s="1248">
        <f>PERCENTILE(T2:T44,0.15)</f>
        <v>0</v>
      </c>
      <c r="AD19" s="1248">
        <f>PERCENTILE(N2:N44,0.15)</f>
        <v>0</v>
      </c>
      <c r="AE19" s="1248">
        <f>PERCENTILE(P2:P44,0.15)</f>
        <v>0</v>
      </c>
      <c r="AF19" s="1248">
        <f>PERCENTILE(V2:V44,0.15)</f>
        <v>0</v>
      </c>
      <c r="AG19" s="1248">
        <f>PERCENTILE(X2:X44,0.15)</f>
        <v>0</v>
      </c>
      <c r="AH19" s="1248">
        <f>PERCENTILE(Z2:Z44,0.15)</f>
        <v>0</v>
      </c>
    </row>
    <row r="20">
      <c r="A20" s="1205" t="s">
        <v>172</v>
      </c>
      <c r="B20" s="1206">
        <f>IFERROR(VLOOKUP(A20,'Halo Infinite Stats'!A:AM,11,0),)</f>
        <v>7</v>
      </c>
      <c r="C20" s="1207">
        <f t="shared" si="1"/>
        <v>0</v>
      </c>
      <c r="D20" s="1208">
        <f t="shared" si="2"/>
        <v>0</v>
      </c>
      <c r="E20" s="1209">
        <f>IFERROR(VLOOKUP(A20,'Halo Infinite Stats'!A:AM,6,0),)</f>
        <v>177</v>
      </c>
      <c r="F20" s="614">
        <f>IFERROR(VLOOKUP(A20,'Halo Infinite Stats'!A:AM,5,0),)</f>
        <v>30</v>
      </c>
      <c r="G20" s="1210">
        <f>IFERROR(VLOOKUP(A20,'Halo Infinite Stats'!A:AM,8,0),)</f>
        <v>1484</v>
      </c>
      <c r="H20" s="614">
        <f>IFERROR(VLOOKUP(A20,'Halo Infinite Stats'!A:AM,28,0),)</f>
        <v>0</v>
      </c>
      <c r="I20" s="1208">
        <f>IFERROR(VLOOKUP(A20,'Halo Infinite Stats'!A:AM,13,0),)+IFERROR(VLOOKUP(A20,'Halo Infinite Stats'!A:AM,14,0)+IFERROR(VLOOKUP(A20,'Halo Infinite Stats'!A:AM,15,0),""),"")</f>
        <v>103.4871968</v>
      </c>
      <c r="J20" s="614">
        <f>IFERROR(VLOOKUP(A20,'Halo Infinite Stats'!A:AM,18,0),)</f>
        <v>27</v>
      </c>
      <c r="K20" s="614">
        <f>IFERROR(VLOOKUP(A20,'Halo Infinite Stats'!A:AM,19,0),)</f>
        <v>423</v>
      </c>
      <c r="L20" s="753">
        <f>IFERROR(VLOOKUP(A20,'Halo Infinite Stats'!A:AM,27,0),)+IFERROR(VLOOKUP(A20,'Halo Infinite Stats'!A:AM,29,0),)+IFERROR(VLOOKUP(A20,'Halo Infinite Stats'!A:AM,30,0),)+IFERROR(VLOOKUP(A20,'Halo Infinite Stats'!A:AM,31,0),)+IFERROR(VLOOKUP(A20,'Halo Infinite Stats'!A:AM,32,0),)+IFERROR(VLOOKUP(A20,'Halo Infinite Stats'!A:AM,33,0),)</f>
        <v>528</v>
      </c>
      <c r="M20" s="1211">
        <f>IFERROR(VLOOKUP(A20,'Halo Infinite Stats'!A:AM,18,0),)+IFERROR(VLOOKUP(A20,'Halo Infinite Stats'!A:AM,19,0),)+IFERROR(VLOOKUP(A20,'Halo Infinite Stats'!A:AM,20,0),)+IFERROR(VLOOKUP(A20,'Halo Infinite Stats'!A:AM,21,0),)+IFERROR(VLOOKUP(A20,'Halo Infinite Stats'!A:AM,22,0),)+IFERROR(VLOOKUP(A20,'Halo Infinite Stats'!A:AM,23,0),)+IFERROR(VLOOKUP(A20,'Halo Infinite Stats'!A:AM,24,0),)+IFERROR(VLOOKUP(A20,'Halo Infinite Stats'!A:AM,25,0),)+IFERROR(VLOOKUP(A20,'Halo Infinite Stats'!A:AM,26,0),)</f>
        <v>645</v>
      </c>
      <c r="N20" s="753">
        <f t="shared" si="3"/>
        <v>257.1428571</v>
      </c>
      <c r="O20" s="1212" t="str">
        <f t="shared" si="4"/>
        <v>C+</v>
      </c>
      <c r="P20" s="753">
        <f t="shared" si="5"/>
        <v>12720</v>
      </c>
      <c r="Q20" s="1213" t="str">
        <f t="shared" si="6"/>
        <v>C-</v>
      </c>
      <c r="R20" s="753">
        <f t="shared" si="7"/>
        <v>0</v>
      </c>
      <c r="S20" s="1214" t="str">
        <f t="shared" si="8"/>
        <v>F-</v>
      </c>
      <c r="T20" s="614">
        <f t="shared" si="9"/>
        <v>887.0331151</v>
      </c>
      <c r="U20" s="1217" t="str">
        <f t="shared" si="10"/>
        <v>B</v>
      </c>
      <c r="V20" s="753">
        <f t="shared" si="11"/>
        <v>5528.571429</v>
      </c>
      <c r="W20" s="1217" t="str">
        <f t="shared" si="12"/>
        <v>B</v>
      </c>
      <c r="X20" s="753">
        <f t="shared" si="13"/>
        <v>1517.142857</v>
      </c>
      <c r="Y20" s="1217" t="str">
        <f t="shared" si="14"/>
        <v>B+</v>
      </c>
      <c r="Z20" s="753">
        <f t="shared" si="15"/>
        <v>4525.714286</v>
      </c>
      <c r="AA20" s="1219" t="str">
        <f t="shared" si="16"/>
        <v>B-</v>
      </c>
      <c r="AB20" s="1250">
        <f>PERCENTILE(R2:R44,0.1)</f>
        <v>0</v>
      </c>
      <c r="AC20" s="1250">
        <f>PERCENTILE(T2:T44,0.1)</f>
        <v>0</v>
      </c>
      <c r="AD20" s="1250">
        <f>PERCENTILE(N2:N44,0.1)</f>
        <v>0</v>
      </c>
      <c r="AE20" s="1250">
        <f>PERCENTILE(P2:P44,0.1)</f>
        <v>0</v>
      </c>
      <c r="AF20" s="1250">
        <f>PERCENTILE(V2:V44,0.1)</f>
        <v>0</v>
      </c>
      <c r="AG20" s="1250">
        <f>PERCENTILE(X2:X44,0.1)</f>
        <v>0</v>
      </c>
      <c r="AH20" s="1250">
        <f>PERCENTILE(Z2:Z44,0.1)</f>
        <v>0</v>
      </c>
    </row>
    <row r="21">
      <c r="A21" s="1205" t="s">
        <v>162</v>
      </c>
      <c r="B21" s="1206">
        <f>IFERROR(VLOOKUP(A21,'Halo Infinite Stats'!A:AM,11,0),)</f>
        <v>2</v>
      </c>
      <c r="C21" s="1207">
        <f t="shared" si="1"/>
        <v>0</v>
      </c>
      <c r="D21" s="1208">
        <f t="shared" si="2"/>
        <v>0</v>
      </c>
      <c r="E21" s="1209">
        <f>IFERROR(VLOOKUP(A21,'Halo Infinite Stats'!A:AM,6,0),)</f>
        <v>17</v>
      </c>
      <c r="F21" s="614">
        <f>IFERROR(VLOOKUP(A21,'Halo Infinite Stats'!A:AM,5,0),)</f>
        <v>7</v>
      </c>
      <c r="G21" s="1210">
        <f>IFERROR(VLOOKUP(A21,'Halo Infinite Stats'!A:AM,8,0),)</f>
        <v>1557</v>
      </c>
      <c r="H21" s="614">
        <f>IFERROR(VLOOKUP(A21,'Halo Infinite Stats'!A:AM,28,0),)</f>
        <v>0</v>
      </c>
      <c r="I21" s="1208">
        <f>IFERROR(VLOOKUP(A21,'Halo Infinite Stats'!A:AM,13,0),)+IFERROR(VLOOKUP(A21,'Halo Infinite Stats'!A:AM,14,0)+IFERROR(VLOOKUP(A21,'Halo Infinite Stats'!A:AM,15,0),""),"")</f>
        <v>18.02825947</v>
      </c>
      <c r="J21" s="614">
        <f>IFERROR(VLOOKUP(A21,'Halo Infinite Stats'!A:AM,18,0),)</f>
        <v>10</v>
      </c>
      <c r="K21" s="614">
        <f>IFERROR(VLOOKUP(A21,'Halo Infinite Stats'!A:AM,19,0),)</f>
        <v>173</v>
      </c>
      <c r="L21" s="753">
        <f>IFERROR(VLOOKUP(A21,'Halo Infinite Stats'!A:AM,27,0),)+IFERROR(VLOOKUP(A21,'Halo Infinite Stats'!A:AM,29,0),)+IFERROR(VLOOKUP(A21,'Halo Infinite Stats'!A:AM,30,0),)+IFERROR(VLOOKUP(A21,'Halo Infinite Stats'!A:AM,31,0),)+IFERROR(VLOOKUP(A21,'Halo Infinite Stats'!A:AM,32,0),)+IFERROR(VLOOKUP(A21,'Halo Infinite Stats'!A:AM,33,0),)</f>
        <v>96</v>
      </c>
      <c r="M21" s="1211">
        <f>IFERROR(VLOOKUP(A21,'Halo Infinite Stats'!A:AM,18,0),)+IFERROR(VLOOKUP(A21,'Halo Infinite Stats'!A:AM,19,0),)+IFERROR(VLOOKUP(A21,'Halo Infinite Stats'!A:AM,20,0),)+IFERROR(VLOOKUP(A21,'Halo Infinite Stats'!A:AM,21,0),)+IFERROR(VLOOKUP(A21,'Halo Infinite Stats'!A:AM,22,0),)+IFERROR(VLOOKUP(A21,'Halo Infinite Stats'!A:AM,23,0),)+IFERROR(VLOOKUP(A21,'Halo Infinite Stats'!A:AM,24,0),)+IFERROR(VLOOKUP(A21,'Halo Infinite Stats'!A:AM,25,0),)+IFERROR(VLOOKUP(A21,'Halo Infinite Stats'!A:AM,26,0),)</f>
        <v>240</v>
      </c>
      <c r="N21" s="753">
        <f t="shared" si="3"/>
        <v>210</v>
      </c>
      <c r="O21" s="1212" t="str">
        <f t="shared" si="4"/>
        <v>C+</v>
      </c>
      <c r="P21" s="753">
        <f t="shared" si="5"/>
        <v>46710</v>
      </c>
      <c r="Q21" s="1213" t="str">
        <f t="shared" si="6"/>
        <v>B+</v>
      </c>
      <c r="R21" s="753">
        <f t="shared" si="7"/>
        <v>0</v>
      </c>
      <c r="S21" s="1214" t="str">
        <f t="shared" si="8"/>
        <v>F-</v>
      </c>
      <c r="T21" s="614">
        <f t="shared" si="9"/>
        <v>540.8477842</v>
      </c>
      <c r="U21" s="1217" t="str">
        <f t="shared" si="10"/>
        <v>C</v>
      </c>
      <c r="V21" s="753">
        <f t="shared" si="11"/>
        <v>7200</v>
      </c>
      <c r="W21" s="1217" t="str">
        <f t="shared" si="12"/>
        <v>B</v>
      </c>
      <c r="X21" s="753">
        <f t="shared" si="13"/>
        <v>510</v>
      </c>
      <c r="Y21" s="1217" t="str">
        <f t="shared" si="14"/>
        <v>C</v>
      </c>
      <c r="Z21" s="753">
        <f t="shared" si="15"/>
        <v>2880</v>
      </c>
      <c r="AA21" s="1219" t="str">
        <f t="shared" si="16"/>
        <v>C+</v>
      </c>
      <c r="AB21" s="1250">
        <f>PERCENTILE(R2:R44,0.05)</f>
        <v>0</v>
      </c>
      <c r="AC21" s="1250">
        <f>PERCENTILE(T2:T44,0.05)</f>
        <v>0</v>
      </c>
      <c r="AD21" s="1250">
        <f>PERCENTILE(N2:N44,0.05)</f>
        <v>0</v>
      </c>
      <c r="AE21" s="1250">
        <f>PERCENTILE(P2:P44,0.05)</f>
        <v>0</v>
      </c>
      <c r="AF21" s="1250">
        <f>PERCENTILE(V2:V44,0.05)</f>
        <v>0</v>
      </c>
      <c r="AG21" s="1250">
        <f>PERCENTILE(X2:X44,0.05)</f>
        <v>0</v>
      </c>
      <c r="AH21" s="1250">
        <f>PERCENTILE(Z2:Z44,0.05)</f>
        <v>0</v>
      </c>
    </row>
    <row r="22">
      <c r="A22" s="1205" t="s">
        <v>75</v>
      </c>
      <c r="B22" s="1206">
        <f>IFERROR(VLOOKUP(A22,'Halo Infinite Stats'!A:AM,11,0),)</f>
        <v>1</v>
      </c>
      <c r="C22" s="1207">
        <f t="shared" si="1"/>
        <v>0</v>
      </c>
      <c r="D22" s="1208">
        <f t="shared" si="2"/>
        <v>0</v>
      </c>
      <c r="E22" s="1209">
        <f>IFERROR(VLOOKUP(A22,'Halo Infinite Stats'!A:AM,6,0),)</f>
        <v>355</v>
      </c>
      <c r="F22" s="614">
        <f>IFERROR(VLOOKUP(A22,'Halo Infinite Stats'!A:AM,5,0),)</f>
        <v>62</v>
      </c>
      <c r="G22" s="1210">
        <f>IFERROR(VLOOKUP(A22,'Halo Infinite Stats'!A:AM,8,0),)</f>
        <v>1013</v>
      </c>
      <c r="H22" s="614">
        <f>IFERROR(VLOOKUP(A22,'Halo Infinite Stats'!A:AM,28,0),)</f>
        <v>0</v>
      </c>
      <c r="I22" s="1208">
        <f>IFERROR(VLOOKUP(A22,'Halo Infinite Stats'!A:AM,13,0),)+IFERROR(VLOOKUP(A22,'Halo Infinite Stats'!A:AM,14,0)+IFERROR(VLOOKUP(A22,'Halo Infinite Stats'!A:AM,15,0),""),"")</f>
        <v>63.30404738</v>
      </c>
      <c r="J22" s="614">
        <f>IFERROR(VLOOKUP(A22,'Halo Infinite Stats'!A:AM,18,0),)</f>
        <v>12</v>
      </c>
      <c r="K22" s="614">
        <f>IFERROR(VLOOKUP(A22,'Halo Infinite Stats'!A:AM,19,0),)</f>
        <v>215</v>
      </c>
      <c r="L22" s="753">
        <f>IFERROR(VLOOKUP(A22,'Halo Infinite Stats'!A:AM,27,0),)+IFERROR(VLOOKUP(A22,'Halo Infinite Stats'!A:AM,29,0),)+IFERROR(VLOOKUP(A22,'Halo Infinite Stats'!A:AM,30,0),)+IFERROR(VLOOKUP(A22,'Halo Infinite Stats'!A:AM,31,0),)+IFERROR(VLOOKUP(A22,'Halo Infinite Stats'!A:AM,32,0),)+IFERROR(VLOOKUP(A22,'Halo Infinite Stats'!A:AM,33,0),)</f>
        <v>285</v>
      </c>
      <c r="M22" s="1211">
        <f>IFERROR(VLOOKUP(A22,'Halo Infinite Stats'!A:AM,18,0),)+IFERROR(VLOOKUP(A22,'Halo Infinite Stats'!A:AM,19,0),)+IFERROR(VLOOKUP(A22,'Halo Infinite Stats'!A:AM,20,0),)+IFERROR(VLOOKUP(A22,'Halo Infinite Stats'!A:AM,21,0),)+IFERROR(VLOOKUP(A22,'Halo Infinite Stats'!A:AM,22,0),)+IFERROR(VLOOKUP(A22,'Halo Infinite Stats'!A:AM,23,0),)+IFERROR(VLOOKUP(A22,'Halo Infinite Stats'!A:AM,24,0),)+IFERROR(VLOOKUP(A22,'Halo Infinite Stats'!A:AM,25,0),)+IFERROR(VLOOKUP(A22,'Halo Infinite Stats'!A:AM,26,0),)</f>
        <v>303</v>
      </c>
      <c r="N22" s="753">
        <f t="shared" si="3"/>
        <v>3720</v>
      </c>
      <c r="O22" s="1212" t="str">
        <f t="shared" si="4"/>
        <v>S</v>
      </c>
      <c r="P22" s="753">
        <f t="shared" si="5"/>
        <v>60780</v>
      </c>
      <c r="Q22" s="1213" t="str">
        <f t="shared" si="6"/>
        <v>S-</v>
      </c>
      <c r="R22" s="753">
        <f t="shared" si="7"/>
        <v>0</v>
      </c>
      <c r="S22" s="1214" t="str">
        <f t="shared" si="8"/>
        <v>F-</v>
      </c>
      <c r="T22" s="614">
        <f t="shared" si="9"/>
        <v>3798.242843</v>
      </c>
      <c r="U22" s="1217" t="str">
        <f t="shared" si="10"/>
        <v>S+</v>
      </c>
      <c r="V22" s="753">
        <f t="shared" si="11"/>
        <v>18180</v>
      </c>
      <c r="W22" s="1217" t="str">
        <f t="shared" si="12"/>
        <v>S</v>
      </c>
      <c r="X22" s="753">
        <f t="shared" si="13"/>
        <v>21300</v>
      </c>
      <c r="Y22" s="1217" t="str">
        <f t="shared" si="14"/>
        <v>S+</v>
      </c>
      <c r="Z22" s="753">
        <f t="shared" si="15"/>
        <v>17100</v>
      </c>
      <c r="AA22" s="1219" t="str">
        <f t="shared" si="16"/>
        <v>S+</v>
      </c>
      <c r="AB22" s="1250">
        <f>PERCENTILE(R2:R44,0)</f>
        <v>0</v>
      </c>
      <c r="AC22" s="1250">
        <f>PERCENTILE(T2:T44,0)</f>
        <v>0</v>
      </c>
      <c r="AD22" s="1250">
        <f>PERCENTILE(N2:N44,0)</f>
        <v>0</v>
      </c>
      <c r="AE22" s="1250">
        <f>PERCENTILE(P2:P44,0)</f>
        <v>0</v>
      </c>
      <c r="AF22" s="1250">
        <f>PERCENTILE(V2:V44,0)</f>
        <v>0</v>
      </c>
      <c r="AG22" s="1250">
        <f>PERCENTILE(X2:X44,0)</f>
        <v>0</v>
      </c>
      <c r="AH22" s="1250">
        <f>PERCENTILE(Z2:Z44,0)</f>
        <v>0</v>
      </c>
    </row>
    <row r="23">
      <c r="A23" s="1205" t="s">
        <v>66</v>
      </c>
      <c r="B23" s="1206">
        <f>IFERROR(VLOOKUP(A23,'Halo Infinite Stats'!A:AM,11,0),)</f>
        <v>4</v>
      </c>
      <c r="C23" s="1207">
        <f t="shared" si="1"/>
        <v>0</v>
      </c>
      <c r="D23" s="1208">
        <f t="shared" si="2"/>
        <v>0</v>
      </c>
      <c r="E23" s="1209">
        <f>IFERROR(VLOOKUP(A23,'Halo Infinite Stats'!A:AM,6,0),)</f>
        <v>8</v>
      </c>
      <c r="F23" s="614">
        <f>IFERROR(VLOOKUP(A23,'Halo Infinite Stats'!A:AM,5,0),)</f>
        <v>2</v>
      </c>
      <c r="G23" s="1210">
        <f>IFERROR(VLOOKUP(A23,'Halo Infinite Stats'!A:AM,8,0),)</f>
        <v>1071</v>
      </c>
      <c r="H23" s="614">
        <f>IFERROR(VLOOKUP(A23,'Halo Infinite Stats'!A:AM,28,0),)</f>
        <v>0</v>
      </c>
      <c r="I23" s="1208">
        <f>IFERROR(VLOOKUP(A23,'Halo Infinite Stats'!A:AM,13,0),)+IFERROR(VLOOKUP(A23,'Halo Infinite Stats'!A:AM,14,0)+IFERROR(VLOOKUP(A23,'Halo Infinite Stats'!A:AM,15,0),""),"")</f>
        <v>22.03361345</v>
      </c>
      <c r="J23" s="614">
        <f>IFERROR(VLOOKUP(A23,'Halo Infinite Stats'!A:AM,18,0),)</f>
        <v>3</v>
      </c>
      <c r="K23" s="614">
        <f>IFERROR(VLOOKUP(A23,'Halo Infinite Stats'!A:AM,19,0),)</f>
        <v>180</v>
      </c>
      <c r="L23" s="753">
        <f>IFERROR(VLOOKUP(A23,'Halo Infinite Stats'!A:AM,27,0),)+IFERROR(VLOOKUP(A23,'Halo Infinite Stats'!A:AM,29,0),)+IFERROR(VLOOKUP(A23,'Halo Infinite Stats'!A:AM,30,0),)+IFERROR(VLOOKUP(A23,'Halo Infinite Stats'!A:AM,31,0),)+IFERROR(VLOOKUP(A23,'Halo Infinite Stats'!A:AM,32,0),)+IFERROR(VLOOKUP(A23,'Halo Infinite Stats'!A:AM,33,0),)</f>
        <v>140</v>
      </c>
      <c r="M23" s="1211">
        <f>IFERROR(VLOOKUP(A23,'Halo Infinite Stats'!A:AM,18,0),)+IFERROR(VLOOKUP(A23,'Halo Infinite Stats'!A:AM,19,0),)+IFERROR(VLOOKUP(A23,'Halo Infinite Stats'!A:AM,20,0),)+IFERROR(VLOOKUP(A23,'Halo Infinite Stats'!A:AM,21,0),)+IFERROR(VLOOKUP(A23,'Halo Infinite Stats'!A:AM,22,0),)+IFERROR(VLOOKUP(A23,'Halo Infinite Stats'!A:AM,23,0),)+IFERROR(VLOOKUP(A23,'Halo Infinite Stats'!A:AM,24,0),)+IFERROR(VLOOKUP(A23,'Halo Infinite Stats'!A:AM,25,0),)+IFERROR(VLOOKUP(A23,'Halo Infinite Stats'!A:AM,26,0),)</f>
        <v>238</v>
      </c>
      <c r="N23" s="753">
        <f t="shared" si="3"/>
        <v>30</v>
      </c>
      <c r="O23" s="1212" t="str">
        <f t="shared" si="4"/>
        <v>D</v>
      </c>
      <c r="P23" s="753">
        <f t="shared" si="5"/>
        <v>16065</v>
      </c>
      <c r="Q23" s="1213" t="str">
        <f t="shared" si="6"/>
        <v>C</v>
      </c>
      <c r="R23" s="753">
        <f t="shared" si="7"/>
        <v>0</v>
      </c>
      <c r="S23" s="1214" t="str">
        <f t="shared" si="8"/>
        <v>F-</v>
      </c>
      <c r="T23" s="614">
        <f t="shared" si="9"/>
        <v>330.5042017</v>
      </c>
      <c r="U23" s="1217" t="str">
        <f t="shared" si="10"/>
        <v>D+</v>
      </c>
      <c r="V23" s="753">
        <f t="shared" si="11"/>
        <v>3570</v>
      </c>
      <c r="W23" s="1217" t="str">
        <f t="shared" si="12"/>
        <v>C+</v>
      </c>
      <c r="X23" s="753">
        <f t="shared" si="13"/>
        <v>120</v>
      </c>
      <c r="Y23" s="1217" t="str">
        <f t="shared" si="14"/>
        <v>D+</v>
      </c>
      <c r="Z23" s="753">
        <f t="shared" si="15"/>
        <v>2100</v>
      </c>
      <c r="AA23" s="1219" t="str">
        <f t="shared" si="16"/>
        <v>C</v>
      </c>
      <c r="AB23" s="1252" t="s">
        <v>917</v>
      </c>
      <c r="AC23" s="1253">
        <v>0.4</v>
      </c>
      <c r="AD23" s="611" t="s">
        <v>918</v>
      </c>
    </row>
    <row r="24">
      <c r="A24" s="1205" t="s">
        <v>82</v>
      </c>
      <c r="B24" s="1206">
        <f>IFERROR(VLOOKUP(A24,'Halo Infinite Stats'!A:AM,11,0),)</f>
        <v>1</v>
      </c>
      <c r="C24" s="1207">
        <f t="shared" si="1"/>
        <v>0</v>
      </c>
      <c r="D24" s="1208">
        <f t="shared" si="2"/>
        <v>0</v>
      </c>
      <c r="E24" s="1209">
        <f>IFERROR(VLOOKUP(A24,'Halo Infinite Stats'!A:AM,6,0),)</f>
        <v>95</v>
      </c>
      <c r="F24" s="614">
        <f>IFERROR(VLOOKUP(A24,'Halo Infinite Stats'!A:AM,5,0),)</f>
        <v>9</v>
      </c>
      <c r="G24" s="1210">
        <f>IFERROR(VLOOKUP(A24,'Halo Infinite Stats'!A:AM,8,0),)</f>
        <v>956</v>
      </c>
      <c r="H24" s="614">
        <f>IFERROR(VLOOKUP(A24,'Halo Infinite Stats'!A:AM,28,0),)</f>
        <v>0</v>
      </c>
      <c r="I24" s="1208">
        <f>IFERROR(VLOOKUP(A24,'Halo Infinite Stats'!A:AM,13,0),)+IFERROR(VLOOKUP(A24,'Halo Infinite Stats'!A:AM,14,0)+IFERROR(VLOOKUP(A24,'Halo Infinite Stats'!A:AM,15,0),""),"")</f>
        <v>25.44769874</v>
      </c>
      <c r="J24" s="614">
        <f>IFERROR(VLOOKUP(A24,'Halo Infinite Stats'!A:AM,18,0),)</f>
        <v>4</v>
      </c>
      <c r="K24" s="614">
        <f>IFERROR(VLOOKUP(A24,'Halo Infinite Stats'!A:AM,19,0),)</f>
        <v>107</v>
      </c>
      <c r="L24" s="753">
        <f>IFERROR(VLOOKUP(A24,'Halo Infinite Stats'!A:AM,27,0),)+IFERROR(VLOOKUP(A24,'Halo Infinite Stats'!A:AM,29,0),)+IFERROR(VLOOKUP(A24,'Halo Infinite Stats'!A:AM,30,0),)+IFERROR(VLOOKUP(A24,'Halo Infinite Stats'!A:AM,31,0),)+IFERROR(VLOOKUP(A24,'Halo Infinite Stats'!A:AM,32,0),)+IFERROR(VLOOKUP(A24,'Halo Infinite Stats'!A:AM,33,0),)</f>
        <v>126</v>
      </c>
      <c r="M24" s="1211">
        <f>IFERROR(VLOOKUP(A24,'Halo Infinite Stats'!A:AM,18,0),)+IFERROR(VLOOKUP(A24,'Halo Infinite Stats'!A:AM,19,0),)+IFERROR(VLOOKUP(A24,'Halo Infinite Stats'!A:AM,20,0),)+IFERROR(VLOOKUP(A24,'Halo Infinite Stats'!A:AM,21,0),)+IFERROR(VLOOKUP(A24,'Halo Infinite Stats'!A:AM,22,0),)+IFERROR(VLOOKUP(A24,'Halo Infinite Stats'!A:AM,23,0),)+IFERROR(VLOOKUP(A24,'Halo Infinite Stats'!A:AM,24,0),)+IFERROR(VLOOKUP(A24,'Halo Infinite Stats'!A:AM,25,0),)+IFERROR(VLOOKUP(A24,'Halo Infinite Stats'!A:AM,26,0),)</f>
        <v>150</v>
      </c>
      <c r="N24" s="753">
        <f t="shared" si="3"/>
        <v>540</v>
      </c>
      <c r="O24" s="1212" t="str">
        <f t="shared" si="4"/>
        <v>B+</v>
      </c>
      <c r="P24" s="753">
        <f t="shared" si="5"/>
        <v>57360</v>
      </c>
      <c r="Q24" s="1213" t="str">
        <f t="shared" si="6"/>
        <v>S-</v>
      </c>
      <c r="R24" s="753">
        <f t="shared" si="7"/>
        <v>0</v>
      </c>
      <c r="S24" s="1214" t="str">
        <f t="shared" si="8"/>
        <v>F-</v>
      </c>
      <c r="T24" s="614">
        <f t="shared" si="9"/>
        <v>1526.861925</v>
      </c>
      <c r="U24" s="1217" t="str">
        <f t="shared" si="10"/>
        <v>A-</v>
      </c>
      <c r="V24" s="753">
        <f t="shared" si="11"/>
        <v>9000</v>
      </c>
      <c r="W24" s="1217" t="str">
        <f t="shared" si="12"/>
        <v>B+</v>
      </c>
      <c r="X24" s="753">
        <f t="shared" si="13"/>
        <v>5700</v>
      </c>
      <c r="Y24" s="1217" t="str">
        <f t="shared" si="14"/>
        <v>S-</v>
      </c>
      <c r="Z24" s="753">
        <f t="shared" si="15"/>
        <v>7560</v>
      </c>
      <c r="AA24" s="1219" t="str">
        <f t="shared" si="16"/>
        <v>B+</v>
      </c>
      <c r="AB24" s="1252" t="s">
        <v>226</v>
      </c>
      <c r="AC24" s="1253">
        <v>0.5</v>
      </c>
    </row>
    <row r="25">
      <c r="A25" s="1205" t="s">
        <v>48</v>
      </c>
      <c r="B25" s="1206">
        <f>IFERROR(VLOOKUP(A25,'Halo Infinite Stats'!A:AM,11,0),)</f>
        <v>0</v>
      </c>
      <c r="C25" s="1207">
        <f t="shared" si="1"/>
        <v>0</v>
      </c>
      <c r="D25" s="1208">
        <f t="shared" si="2"/>
        <v>0</v>
      </c>
      <c r="E25" s="1209">
        <f>IFERROR(VLOOKUP(A25,'Halo Infinite Stats'!A:AM,6,0),)</f>
        <v>135</v>
      </c>
      <c r="F25" s="614">
        <f>IFERROR(VLOOKUP(A25,'Halo Infinite Stats'!A:AM,5,0),)</f>
        <v>31</v>
      </c>
      <c r="G25" s="1210">
        <f>IFERROR(VLOOKUP(A25,'Halo Infinite Stats'!A:AM,8,0),)</f>
        <v>866</v>
      </c>
      <c r="H25" s="614">
        <f>IFERROR(VLOOKUP(A25,'Halo Infinite Stats'!A:AM,28,0),)</f>
        <v>0</v>
      </c>
      <c r="I25" s="1208">
        <f>IFERROR(VLOOKUP(A25,'Halo Infinite Stats'!A:AM,13,0),)+IFERROR(VLOOKUP(A25,'Halo Infinite Stats'!A:AM,14,0)+IFERROR(VLOOKUP(A25,'Halo Infinite Stats'!A:AM,15,0),""),"")</f>
        <v>26.26558891</v>
      </c>
      <c r="J25" s="614">
        <f>IFERROR(VLOOKUP(A25,'Halo Infinite Stats'!A:AM,18,0),)</f>
        <v>7</v>
      </c>
      <c r="K25" s="614">
        <f>IFERROR(VLOOKUP(A25,'Halo Infinite Stats'!A:AM,19,0),)</f>
        <v>86</v>
      </c>
      <c r="L25" s="753">
        <f>IFERROR(VLOOKUP(A25,'Halo Infinite Stats'!A:AM,27,0),)+IFERROR(VLOOKUP(A25,'Halo Infinite Stats'!A:AM,29,0),)+IFERROR(VLOOKUP(A25,'Halo Infinite Stats'!A:AM,30,0),)+IFERROR(VLOOKUP(A25,'Halo Infinite Stats'!A:AM,31,0),)+IFERROR(VLOOKUP(A25,'Halo Infinite Stats'!A:AM,32,0),)+IFERROR(VLOOKUP(A25,'Halo Infinite Stats'!A:AM,33,0),)</f>
        <v>165</v>
      </c>
      <c r="M25" s="1211">
        <f>IFERROR(VLOOKUP(A25,'Halo Infinite Stats'!A:AM,18,0),)+IFERROR(VLOOKUP(A25,'Halo Infinite Stats'!A:AM,19,0),)+IFERROR(VLOOKUP(A25,'Halo Infinite Stats'!A:AM,20,0),)+IFERROR(VLOOKUP(A25,'Halo Infinite Stats'!A:AM,21,0),)+IFERROR(VLOOKUP(A25,'Halo Infinite Stats'!A:AM,22,0),)+IFERROR(VLOOKUP(A25,'Halo Infinite Stats'!A:AM,23,0),)+IFERROR(VLOOKUP(A25,'Halo Infinite Stats'!A:AM,24,0),)+IFERROR(VLOOKUP(A25,'Halo Infinite Stats'!A:AM,25,0),)+IFERROR(VLOOKUP(A25,'Halo Infinite Stats'!A:AM,26,0),)</f>
        <v>116</v>
      </c>
      <c r="N25" s="753">
        <f t="shared" si="3"/>
        <v>0</v>
      </c>
      <c r="O25" s="1212" t="str">
        <f t="shared" si="4"/>
        <v>F-</v>
      </c>
      <c r="P25" s="753">
        <f t="shared" si="5"/>
        <v>0</v>
      </c>
      <c r="Q25" s="1213" t="str">
        <f t="shared" si="6"/>
        <v>F-</v>
      </c>
      <c r="R25" s="753">
        <f t="shared" si="7"/>
        <v>0</v>
      </c>
      <c r="S25" s="1214" t="str">
        <f t="shared" si="8"/>
        <v>F-</v>
      </c>
      <c r="T25" s="614">
        <f t="shared" si="9"/>
        <v>0</v>
      </c>
      <c r="U25" s="1217" t="str">
        <f t="shared" si="10"/>
        <v>F-</v>
      </c>
      <c r="V25" s="753">
        <f t="shared" si="11"/>
        <v>0</v>
      </c>
      <c r="W25" s="1217" t="str">
        <f t="shared" si="12"/>
        <v>F-</v>
      </c>
      <c r="X25" s="753">
        <f t="shared" si="13"/>
        <v>0</v>
      </c>
      <c r="Y25" s="1217" t="str">
        <f t="shared" si="14"/>
        <v>F-</v>
      </c>
      <c r="Z25" s="753">
        <f t="shared" si="15"/>
        <v>0</v>
      </c>
      <c r="AA25" s="1219" t="str">
        <f t="shared" si="16"/>
        <v>F-</v>
      </c>
      <c r="AB25" s="1252" t="s">
        <v>227</v>
      </c>
      <c r="AC25" s="1253">
        <v>0.4</v>
      </c>
    </row>
    <row r="26">
      <c r="A26" s="1205" t="s">
        <v>54</v>
      </c>
      <c r="B26" s="1206">
        <f>IFERROR(VLOOKUP(A26,'Halo Infinite Stats'!A:AM,11,0),)</f>
        <v>1</v>
      </c>
      <c r="C26" s="1207">
        <f t="shared" si="1"/>
        <v>0</v>
      </c>
      <c r="D26" s="1208">
        <f t="shared" si="2"/>
        <v>0</v>
      </c>
      <c r="E26" s="1209">
        <f>IFERROR(VLOOKUP(A26,'Halo Infinite Stats'!A:AM,6,0),)</f>
        <v>82</v>
      </c>
      <c r="F26" s="614">
        <f>IFERROR(VLOOKUP(A26,'Halo Infinite Stats'!A:AM,5,0),)</f>
        <v>31</v>
      </c>
      <c r="G26" s="1210">
        <f>IFERROR(VLOOKUP(A26,'Halo Infinite Stats'!A:AM,8,0),)</f>
        <v>734</v>
      </c>
      <c r="H26" s="614">
        <f>IFERROR(VLOOKUP(A26,'Halo Infinite Stats'!A:AM,28,0),)</f>
        <v>3</v>
      </c>
      <c r="I26" s="1208">
        <f>IFERROR(VLOOKUP(A26,'Halo Infinite Stats'!A:AM,13,0),)+IFERROR(VLOOKUP(A26,'Halo Infinite Stats'!A:AM,14,0)+IFERROR(VLOOKUP(A26,'Halo Infinite Stats'!A:AM,15,0),""),"")</f>
        <v>38.82152589</v>
      </c>
      <c r="J26" s="614">
        <f>IFERROR(VLOOKUP(A26,'Halo Infinite Stats'!A:AM,18,0),)</f>
        <v>14</v>
      </c>
      <c r="K26" s="614">
        <f>IFERROR(VLOOKUP(A26,'Halo Infinite Stats'!A:AM,19,0),)</f>
        <v>188</v>
      </c>
      <c r="L26" s="753">
        <f>IFERROR(VLOOKUP(A26,'Halo Infinite Stats'!A:AM,27,0),)+IFERROR(VLOOKUP(A26,'Halo Infinite Stats'!A:AM,29,0),)+IFERROR(VLOOKUP(A26,'Halo Infinite Stats'!A:AM,30,0),)+IFERROR(VLOOKUP(A26,'Halo Infinite Stats'!A:AM,31,0),)+IFERROR(VLOOKUP(A26,'Halo Infinite Stats'!A:AM,32,0),)+IFERROR(VLOOKUP(A26,'Halo Infinite Stats'!A:AM,33,0),)</f>
        <v>194</v>
      </c>
      <c r="M26" s="1211">
        <f>IFERROR(VLOOKUP(A26,'Halo Infinite Stats'!A:AM,18,0),)+IFERROR(VLOOKUP(A26,'Halo Infinite Stats'!A:AM,19,0),)+IFERROR(VLOOKUP(A26,'Halo Infinite Stats'!A:AM,20,0),)+IFERROR(VLOOKUP(A26,'Halo Infinite Stats'!A:AM,21,0),)+IFERROR(VLOOKUP(A26,'Halo Infinite Stats'!A:AM,22,0),)+IFERROR(VLOOKUP(A26,'Halo Infinite Stats'!A:AM,23,0),)+IFERROR(VLOOKUP(A26,'Halo Infinite Stats'!A:AM,24,0),)+IFERROR(VLOOKUP(A26,'Halo Infinite Stats'!A:AM,25,0),)+IFERROR(VLOOKUP(A26,'Halo Infinite Stats'!A:AM,26,0),)</f>
        <v>299</v>
      </c>
      <c r="N26" s="753">
        <f t="shared" si="3"/>
        <v>1860</v>
      </c>
      <c r="O26" s="1212" t="str">
        <f t="shared" si="4"/>
        <v>S-</v>
      </c>
      <c r="P26" s="753">
        <f t="shared" si="5"/>
        <v>44040</v>
      </c>
      <c r="Q26" s="1213" t="str">
        <f t="shared" si="6"/>
        <v>B</v>
      </c>
      <c r="R26" s="753">
        <f t="shared" si="7"/>
        <v>180</v>
      </c>
      <c r="S26" s="1214" t="str">
        <f t="shared" si="8"/>
        <v>S+</v>
      </c>
      <c r="T26" s="614">
        <f t="shared" si="9"/>
        <v>2329.291553</v>
      </c>
      <c r="U26" s="1217" t="str">
        <f t="shared" si="10"/>
        <v>S-</v>
      </c>
      <c r="V26" s="753">
        <f t="shared" si="11"/>
        <v>17940</v>
      </c>
      <c r="W26" s="1217" t="str">
        <f t="shared" si="12"/>
        <v>S-</v>
      </c>
      <c r="X26" s="753">
        <f t="shared" si="13"/>
        <v>4920</v>
      </c>
      <c r="Y26" s="1217" t="str">
        <f t="shared" si="14"/>
        <v>A</v>
      </c>
      <c r="Z26" s="753">
        <f t="shared" si="15"/>
        <v>11640</v>
      </c>
      <c r="AA26" s="1219" t="str">
        <f t="shared" si="16"/>
        <v>S-</v>
      </c>
      <c r="AB26" s="1252" t="s">
        <v>228</v>
      </c>
      <c r="AC26" s="1253">
        <v>0.2</v>
      </c>
    </row>
    <row r="27">
      <c r="A27" s="1205" t="s">
        <v>160</v>
      </c>
      <c r="B27" s="1206">
        <f>IFERROR(VLOOKUP(A27,'Halo Infinite Stats'!A:AM,11,0),)</f>
        <v>1</v>
      </c>
      <c r="C27" s="1207">
        <f t="shared" si="1"/>
        <v>0</v>
      </c>
      <c r="D27" s="1208">
        <f t="shared" si="2"/>
        <v>0</v>
      </c>
      <c r="E27" s="1209">
        <f>IFERROR(VLOOKUP(A27,'Halo Infinite Stats'!A:AM,6,0),)</f>
        <v>23</v>
      </c>
      <c r="F27" s="614">
        <f>IFERROR(VLOOKUP(A27,'Halo Infinite Stats'!A:AM,5,0),)</f>
        <v>13</v>
      </c>
      <c r="G27" s="1210">
        <f>IFERROR(VLOOKUP(A27,'Halo Infinite Stats'!A:AM,8,0),)</f>
        <v>1122</v>
      </c>
      <c r="H27" s="614">
        <f>IFERROR(VLOOKUP(A27,'Halo Infinite Stats'!A:AM,28,0),)</f>
        <v>0</v>
      </c>
      <c r="I27" s="1208">
        <f>IFERROR(VLOOKUP(A27,'Halo Infinite Stats'!A:AM,13,0),)+IFERROR(VLOOKUP(A27,'Halo Infinite Stats'!A:AM,14,0)+IFERROR(VLOOKUP(A27,'Halo Infinite Stats'!A:AM,15,0),""),"")</f>
        <v>22.4688057</v>
      </c>
      <c r="J27" s="614">
        <f>IFERROR(VLOOKUP(A27,'Halo Infinite Stats'!A:AM,18,0),)</f>
        <v>11</v>
      </c>
      <c r="K27" s="614">
        <f>IFERROR(VLOOKUP(A27,'Halo Infinite Stats'!A:AM,19,0),)</f>
        <v>137</v>
      </c>
      <c r="L27" s="753">
        <f>IFERROR(VLOOKUP(A27,'Halo Infinite Stats'!A:AM,27,0),)+IFERROR(VLOOKUP(A27,'Halo Infinite Stats'!A:AM,29,0),)+IFERROR(VLOOKUP(A27,'Halo Infinite Stats'!A:AM,30,0),)+IFERROR(VLOOKUP(A27,'Halo Infinite Stats'!A:AM,31,0),)+IFERROR(VLOOKUP(A27,'Halo Infinite Stats'!A:AM,32,0),)+IFERROR(VLOOKUP(A27,'Halo Infinite Stats'!A:AM,33,0),)</f>
        <v>104</v>
      </c>
      <c r="M27" s="1211">
        <f>IFERROR(VLOOKUP(A27,'Halo Infinite Stats'!A:AM,18,0),)+IFERROR(VLOOKUP(A27,'Halo Infinite Stats'!A:AM,19,0),)+IFERROR(VLOOKUP(A27,'Halo Infinite Stats'!A:AM,20,0),)+IFERROR(VLOOKUP(A27,'Halo Infinite Stats'!A:AM,21,0),)+IFERROR(VLOOKUP(A27,'Halo Infinite Stats'!A:AM,22,0),)+IFERROR(VLOOKUP(A27,'Halo Infinite Stats'!A:AM,23,0),)+IFERROR(VLOOKUP(A27,'Halo Infinite Stats'!A:AM,24,0),)+IFERROR(VLOOKUP(A27,'Halo Infinite Stats'!A:AM,25,0),)+IFERROR(VLOOKUP(A27,'Halo Infinite Stats'!A:AM,26,0),)</f>
        <v>190</v>
      </c>
      <c r="N27" s="753">
        <f t="shared" si="3"/>
        <v>780</v>
      </c>
      <c r="O27" s="1212" t="str">
        <f t="shared" si="4"/>
        <v>A</v>
      </c>
      <c r="P27" s="753">
        <f t="shared" si="5"/>
        <v>67320</v>
      </c>
      <c r="Q27" s="1213" t="str">
        <f t="shared" si="6"/>
        <v>S</v>
      </c>
      <c r="R27" s="753">
        <f t="shared" si="7"/>
        <v>0</v>
      </c>
      <c r="S27" s="1214" t="str">
        <f t="shared" si="8"/>
        <v>F-</v>
      </c>
      <c r="T27" s="614">
        <f t="shared" si="9"/>
        <v>1348.128342</v>
      </c>
      <c r="U27" s="1217" t="str">
        <f t="shared" si="10"/>
        <v>A-</v>
      </c>
      <c r="V27" s="753">
        <f t="shared" si="11"/>
        <v>11400</v>
      </c>
      <c r="W27" s="1217" t="str">
        <f t="shared" si="12"/>
        <v>A</v>
      </c>
      <c r="X27" s="753">
        <f t="shared" si="13"/>
        <v>1380</v>
      </c>
      <c r="Y27" s="1217" t="str">
        <f t="shared" si="14"/>
        <v>B</v>
      </c>
      <c r="Z27" s="753">
        <f t="shared" si="15"/>
        <v>6240</v>
      </c>
      <c r="AA27" s="1219" t="str">
        <f t="shared" si="16"/>
        <v>B+</v>
      </c>
      <c r="AB27" s="1252" t="s">
        <v>141</v>
      </c>
      <c r="AC27" s="1253">
        <v>0.4</v>
      </c>
    </row>
    <row r="28">
      <c r="A28" s="1205" t="s">
        <v>74</v>
      </c>
      <c r="B28" s="1206">
        <f>IFERROR(VLOOKUP(A28,'Halo Infinite Stats'!A:AM,11,0),)</f>
        <v>1</v>
      </c>
      <c r="C28" s="1207">
        <f t="shared" si="1"/>
        <v>0</v>
      </c>
      <c r="D28" s="1208">
        <f t="shared" si="2"/>
        <v>0</v>
      </c>
      <c r="E28" s="1209">
        <f>IFERROR(VLOOKUP(A28,'Halo Infinite Stats'!A:AM,6,0),)</f>
        <v>25</v>
      </c>
      <c r="F28" s="614">
        <f>IFERROR(VLOOKUP(A28,'Halo Infinite Stats'!A:AM,5,0),)</f>
        <v>13</v>
      </c>
      <c r="G28" s="1210">
        <f>IFERROR(VLOOKUP(A28,'Halo Infinite Stats'!A:AM,8,0),)</f>
        <v>939</v>
      </c>
      <c r="H28" s="614">
        <f>IFERROR(VLOOKUP(A28,'Halo Infinite Stats'!A:AM,28,0),)</f>
        <v>0</v>
      </c>
      <c r="I28" s="1208">
        <f>IFERROR(VLOOKUP(A28,'Halo Infinite Stats'!A:AM,13,0),)+IFERROR(VLOOKUP(A28,'Halo Infinite Stats'!A:AM,14,0)+IFERROR(VLOOKUP(A28,'Halo Infinite Stats'!A:AM,15,0),""),"")</f>
        <v>28.76144835</v>
      </c>
      <c r="J28" s="614">
        <f>IFERROR(VLOOKUP(A28,'Halo Infinite Stats'!A:AM,18,0),)</f>
        <v>24</v>
      </c>
      <c r="K28" s="614">
        <f>IFERROR(VLOOKUP(A28,'Halo Infinite Stats'!A:AM,19,0),)</f>
        <v>151</v>
      </c>
      <c r="L28" s="753">
        <f>IFERROR(VLOOKUP(A28,'Halo Infinite Stats'!A:AM,27,0),)+IFERROR(VLOOKUP(A28,'Halo Infinite Stats'!A:AM,29,0),)+IFERROR(VLOOKUP(A28,'Halo Infinite Stats'!A:AM,30,0),)+IFERROR(VLOOKUP(A28,'Halo Infinite Stats'!A:AM,31,0),)+IFERROR(VLOOKUP(A28,'Halo Infinite Stats'!A:AM,32,0),)+IFERROR(VLOOKUP(A28,'Halo Infinite Stats'!A:AM,33,0),)</f>
        <v>133</v>
      </c>
      <c r="M28" s="1211">
        <f>IFERROR(VLOOKUP(A28,'Halo Infinite Stats'!A:AM,18,0),)+IFERROR(VLOOKUP(A28,'Halo Infinite Stats'!A:AM,19,0),)+IFERROR(VLOOKUP(A28,'Halo Infinite Stats'!A:AM,20,0),)+IFERROR(VLOOKUP(A28,'Halo Infinite Stats'!A:AM,21,0),)+IFERROR(VLOOKUP(A28,'Halo Infinite Stats'!A:AM,22,0),)+IFERROR(VLOOKUP(A28,'Halo Infinite Stats'!A:AM,23,0),)+IFERROR(VLOOKUP(A28,'Halo Infinite Stats'!A:AM,24,0),)+IFERROR(VLOOKUP(A28,'Halo Infinite Stats'!A:AM,25,0),)+IFERROR(VLOOKUP(A28,'Halo Infinite Stats'!A:AM,26,0),)</f>
        <v>238</v>
      </c>
      <c r="N28" s="753">
        <f t="shared" si="3"/>
        <v>780</v>
      </c>
      <c r="O28" s="1212" t="str">
        <f t="shared" si="4"/>
        <v>A</v>
      </c>
      <c r="P28" s="753">
        <f t="shared" si="5"/>
        <v>56340</v>
      </c>
      <c r="Q28" s="1213" t="str">
        <f t="shared" si="6"/>
        <v>A</v>
      </c>
      <c r="R28" s="753">
        <f t="shared" si="7"/>
        <v>0</v>
      </c>
      <c r="S28" s="1214" t="str">
        <f t="shared" si="8"/>
        <v>F-</v>
      </c>
      <c r="T28" s="614">
        <f t="shared" si="9"/>
        <v>1725.686901</v>
      </c>
      <c r="U28" s="1217" t="str">
        <f t="shared" si="10"/>
        <v>A</v>
      </c>
      <c r="V28" s="753">
        <f t="shared" si="11"/>
        <v>14280</v>
      </c>
      <c r="W28" s="1217" t="str">
        <f t="shared" si="12"/>
        <v>A+</v>
      </c>
      <c r="X28" s="753">
        <f t="shared" si="13"/>
        <v>1500</v>
      </c>
      <c r="Y28" s="1217" t="str">
        <f t="shared" si="14"/>
        <v>B+</v>
      </c>
      <c r="Z28" s="753">
        <f t="shared" si="15"/>
        <v>7980</v>
      </c>
      <c r="AA28" s="1219" t="str">
        <f t="shared" si="16"/>
        <v>A-</v>
      </c>
      <c r="AB28" s="1252" t="s">
        <v>142</v>
      </c>
      <c r="AC28" s="1253">
        <v>0.6</v>
      </c>
    </row>
    <row r="29">
      <c r="A29" s="1205" t="s">
        <v>40</v>
      </c>
      <c r="B29" s="1206">
        <f>IFERROR(VLOOKUP(A29,'Halo Infinite Stats'!A:AM,11,0),)</f>
        <v>2</v>
      </c>
      <c r="C29" s="1207">
        <f t="shared" si="1"/>
        <v>0</v>
      </c>
      <c r="D29" s="1208">
        <f t="shared" si="2"/>
        <v>0</v>
      </c>
      <c r="E29" s="1209">
        <f>IFERROR(VLOOKUP(A29,'Halo Infinite Stats'!A:AM,6,0),)</f>
        <v>16</v>
      </c>
      <c r="F29" s="614">
        <f>IFERROR(VLOOKUP(A29,'Halo Infinite Stats'!A:AM,5,0),)</f>
        <v>4</v>
      </c>
      <c r="G29" s="1210">
        <f>IFERROR(VLOOKUP(A29,'Halo Infinite Stats'!A:AM,8,0),)</f>
        <v>721</v>
      </c>
      <c r="H29" s="614">
        <f>IFERROR(VLOOKUP(A29,'Halo Infinite Stats'!A:AM,28,0),)</f>
        <v>0</v>
      </c>
      <c r="I29" s="1208">
        <f>IFERROR(VLOOKUP(A29,'Halo Infinite Stats'!A:AM,13,0),)+IFERROR(VLOOKUP(A29,'Halo Infinite Stats'!A:AM,14,0)+IFERROR(VLOOKUP(A29,'Halo Infinite Stats'!A:AM,15,0),""),"")</f>
        <v>13.57975035</v>
      </c>
      <c r="J29" s="614">
        <f>IFERROR(VLOOKUP(A29,'Halo Infinite Stats'!A:AM,18,0),)</f>
        <v>1</v>
      </c>
      <c r="K29" s="614">
        <f>IFERROR(VLOOKUP(A29,'Halo Infinite Stats'!A:AM,19,0),)</f>
        <v>24</v>
      </c>
      <c r="L29" s="753">
        <f>IFERROR(VLOOKUP(A29,'Halo Infinite Stats'!A:AM,27,0),)+IFERROR(VLOOKUP(A29,'Halo Infinite Stats'!A:AM,29,0),)+IFERROR(VLOOKUP(A29,'Halo Infinite Stats'!A:AM,30,0),)+IFERROR(VLOOKUP(A29,'Halo Infinite Stats'!A:AM,31,0),)+IFERROR(VLOOKUP(A29,'Halo Infinite Stats'!A:AM,32,0),)+IFERROR(VLOOKUP(A29,'Halo Infinite Stats'!A:AM,33,0),)</f>
        <v>36</v>
      </c>
      <c r="M29" s="1211">
        <f>IFERROR(VLOOKUP(A29,'Halo Infinite Stats'!A:AM,18,0),)+IFERROR(VLOOKUP(A29,'Halo Infinite Stats'!A:AM,19,0),)+IFERROR(VLOOKUP(A29,'Halo Infinite Stats'!A:AM,20,0),)+IFERROR(VLOOKUP(A29,'Halo Infinite Stats'!A:AM,21,0),)+IFERROR(VLOOKUP(A29,'Halo Infinite Stats'!A:AM,22,0),)+IFERROR(VLOOKUP(A29,'Halo Infinite Stats'!A:AM,23,0),)+IFERROR(VLOOKUP(A29,'Halo Infinite Stats'!A:AM,24,0),)+IFERROR(VLOOKUP(A29,'Halo Infinite Stats'!A:AM,25,0),)+IFERROR(VLOOKUP(A29,'Halo Infinite Stats'!A:AM,26,0),)</f>
        <v>32</v>
      </c>
      <c r="N29" s="753">
        <f t="shared" si="3"/>
        <v>120</v>
      </c>
      <c r="O29" s="1212" t="str">
        <f t="shared" si="4"/>
        <v>C</v>
      </c>
      <c r="P29" s="753">
        <f t="shared" si="5"/>
        <v>21630</v>
      </c>
      <c r="Q29" s="1213" t="str">
        <f t="shared" si="6"/>
        <v>C+</v>
      </c>
      <c r="R29" s="753">
        <f t="shared" si="7"/>
        <v>0</v>
      </c>
      <c r="S29" s="1214" t="str">
        <f t="shared" si="8"/>
        <v>F-</v>
      </c>
      <c r="T29" s="614">
        <f t="shared" si="9"/>
        <v>407.3925104</v>
      </c>
      <c r="U29" s="1217" t="str">
        <f t="shared" si="10"/>
        <v>C</v>
      </c>
      <c r="V29" s="753">
        <f t="shared" si="11"/>
        <v>960</v>
      </c>
      <c r="W29" s="1217" t="str">
        <f t="shared" si="12"/>
        <v>D</v>
      </c>
      <c r="X29" s="753">
        <f t="shared" si="13"/>
        <v>480</v>
      </c>
      <c r="Y29" s="1217" t="str">
        <f t="shared" si="14"/>
        <v>C</v>
      </c>
      <c r="Z29" s="753">
        <f t="shared" si="15"/>
        <v>1080</v>
      </c>
      <c r="AA29" s="1219" t="str">
        <f t="shared" si="16"/>
        <v>D</v>
      </c>
      <c r="AB29" s="1252" t="s">
        <v>919</v>
      </c>
      <c r="AC29" s="1253">
        <v>0.2</v>
      </c>
    </row>
    <row r="30">
      <c r="A30" s="1205" t="s">
        <v>78</v>
      </c>
      <c r="B30" s="1206">
        <f>IFERROR(VLOOKUP(A30,'Halo Infinite Stats'!A:AM,11,0),)</f>
        <v>1</v>
      </c>
      <c r="C30" s="1207">
        <f t="shared" si="1"/>
        <v>0</v>
      </c>
      <c r="D30" s="1208">
        <f t="shared" si="2"/>
        <v>0</v>
      </c>
      <c r="E30" s="1209">
        <f>IFERROR(VLOOKUP(A30,'Halo Infinite Stats'!A:AM,6,0),)</f>
        <v>2</v>
      </c>
      <c r="F30" s="614">
        <f>IFERROR(VLOOKUP(A30,'Halo Infinite Stats'!A:AM,5,0),)</f>
        <v>1</v>
      </c>
      <c r="G30" s="1210">
        <f>IFERROR(VLOOKUP(A30,'Halo Infinite Stats'!A:AM,8,0),)</f>
        <v>188</v>
      </c>
      <c r="H30" s="614">
        <f>IFERROR(VLOOKUP(A30,'Halo Infinite Stats'!A:AM,28,0),)</f>
        <v>0</v>
      </c>
      <c r="I30" s="1208">
        <f>IFERROR(VLOOKUP(A30,'Halo Infinite Stats'!A:AM,13,0),)+IFERROR(VLOOKUP(A30,'Halo Infinite Stats'!A:AM,14,0)+IFERROR(VLOOKUP(A30,'Halo Infinite Stats'!A:AM,15,0),""),"")</f>
        <v>15.96276596</v>
      </c>
      <c r="J30" s="614">
        <f>IFERROR(VLOOKUP(A30,'Halo Infinite Stats'!A:AM,18,0),)</f>
        <v>0</v>
      </c>
      <c r="K30" s="614">
        <f>IFERROR(VLOOKUP(A30,'Halo Infinite Stats'!A:AM,19,0),)</f>
        <v>18</v>
      </c>
      <c r="L30" s="753">
        <f>IFERROR(VLOOKUP(A30,'Halo Infinite Stats'!A:AM,27,0),)+IFERROR(VLOOKUP(A30,'Halo Infinite Stats'!A:AM,29,0),)+IFERROR(VLOOKUP(A30,'Halo Infinite Stats'!A:AM,30,0),)+IFERROR(VLOOKUP(A30,'Halo Infinite Stats'!A:AM,31,0),)+IFERROR(VLOOKUP(A30,'Halo Infinite Stats'!A:AM,32,0),)+IFERROR(VLOOKUP(A30,'Halo Infinite Stats'!A:AM,33,0),)</f>
        <v>8</v>
      </c>
      <c r="M30" s="1211">
        <f>IFERROR(VLOOKUP(A30,'Halo Infinite Stats'!A:AM,18,0),)+IFERROR(VLOOKUP(A30,'Halo Infinite Stats'!A:AM,19,0),)+IFERROR(VLOOKUP(A30,'Halo Infinite Stats'!A:AM,20,0),)+IFERROR(VLOOKUP(A30,'Halo Infinite Stats'!A:AM,21,0),)+IFERROR(VLOOKUP(A30,'Halo Infinite Stats'!A:AM,22,0),)+IFERROR(VLOOKUP(A30,'Halo Infinite Stats'!A:AM,23,0),)+IFERROR(VLOOKUP(A30,'Halo Infinite Stats'!A:AM,24,0),)+IFERROR(VLOOKUP(A30,'Halo Infinite Stats'!A:AM,25,0),)+IFERROR(VLOOKUP(A30,'Halo Infinite Stats'!A:AM,26,0),)</f>
        <v>32</v>
      </c>
      <c r="N30" s="753">
        <f t="shared" si="3"/>
        <v>60</v>
      </c>
      <c r="O30" s="1212" t="str">
        <f t="shared" si="4"/>
        <v>D+</v>
      </c>
      <c r="P30" s="753">
        <f t="shared" si="5"/>
        <v>11280</v>
      </c>
      <c r="Q30" s="1213" t="str">
        <f t="shared" si="6"/>
        <v>D</v>
      </c>
      <c r="R30" s="753">
        <f t="shared" si="7"/>
        <v>0</v>
      </c>
      <c r="S30" s="1214" t="str">
        <f t="shared" si="8"/>
        <v>F-</v>
      </c>
      <c r="T30" s="614">
        <f t="shared" si="9"/>
        <v>957.7659574</v>
      </c>
      <c r="U30" s="1217" t="str">
        <f t="shared" si="10"/>
        <v>B</v>
      </c>
      <c r="V30" s="753">
        <f t="shared" si="11"/>
        <v>1920</v>
      </c>
      <c r="W30" s="1217" t="str">
        <f t="shared" si="12"/>
        <v>C-</v>
      </c>
      <c r="X30" s="753">
        <f t="shared" si="13"/>
        <v>120</v>
      </c>
      <c r="Y30" s="1217" t="str">
        <f t="shared" si="14"/>
        <v>D+</v>
      </c>
      <c r="Z30" s="753">
        <f t="shared" si="15"/>
        <v>480</v>
      </c>
      <c r="AA30" s="1219" t="str">
        <f t="shared" si="16"/>
        <v>D</v>
      </c>
      <c r="AB30" s="1252" t="s">
        <v>920</v>
      </c>
      <c r="AC30" s="1253">
        <v>0.5</v>
      </c>
      <c r="AD30" s="614">
        <f>SUM(AC23:AC31)</f>
        <v>3.4</v>
      </c>
    </row>
    <row r="31">
      <c r="A31" s="1256" t="s">
        <v>93</v>
      </c>
      <c r="B31" s="1206">
        <f>IFERROR(VLOOKUP(A31,'Halo Infinite Stats'!A:AM,11,0),)</f>
        <v>1</v>
      </c>
      <c r="C31" s="1207">
        <f t="shared" si="1"/>
        <v>0</v>
      </c>
      <c r="D31" s="1208">
        <f t="shared" si="2"/>
        <v>0</v>
      </c>
      <c r="E31" s="1209">
        <f>IFERROR(VLOOKUP(A31,'Halo Infinite Stats'!A:AM,6,0),)</f>
        <v>15</v>
      </c>
      <c r="F31" s="614">
        <f>IFERROR(VLOOKUP(A31,'Halo Infinite Stats'!A:AM,5,0),)</f>
        <v>7</v>
      </c>
      <c r="G31" s="1210">
        <f>IFERROR(VLOOKUP(A31,'Halo Infinite Stats'!A:AM,8,0),)</f>
        <v>1243</v>
      </c>
      <c r="H31" s="614">
        <f>IFERROR(VLOOKUP(A31,'Halo Infinite Stats'!A:AM,28,0),)</f>
        <v>0</v>
      </c>
      <c r="I31" s="1208">
        <f>IFERROR(VLOOKUP(A31,'Halo Infinite Stats'!A:AM,13,0),)+IFERROR(VLOOKUP(A31,'Halo Infinite Stats'!A:AM,14,0)+IFERROR(VLOOKUP(A31,'Halo Infinite Stats'!A:AM,15,0),""),"")</f>
        <v>21.5848753</v>
      </c>
      <c r="J31" s="614">
        <f>IFERROR(VLOOKUP(A31,'Halo Infinite Stats'!A:AM,18,0),)</f>
        <v>15</v>
      </c>
      <c r="K31" s="614">
        <f>IFERROR(VLOOKUP(A31,'Halo Infinite Stats'!A:AM,19,0),)</f>
        <v>159</v>
      </c>
      <c r="L31" s="753">
        <f>IFERROR(VLOOKUP(A31,'Halo Infinite Stats'!A:AM,27,0),)+IFERROR(VLOOKUP(A31,'Halo Infinite Stats'!A:AM,29,0),)+IFERROR(VLOOKUP(A31,'Halo Infinite Stats'!A:AM,30,0),)+IFERROR(VLOOKUP(A31,'Halo Infinite Stats'!A:AM,31,0),)+IFERROR(VLOOKUP(A31,'Halo Infinite Stats'!A:AM,32,0),)+IFERROR(VLOOKUP(A31,'Halo Infinite Stats'!A:AM,33,0),)</f>
        <v>151</v>
      </c>
      <c r="M31" s="1211">
        <f>IFERROR(VLOOKUP(A31,'Halo Infinite Stats'!A:AM,18,0),)+IFERROR(VLOOKUP(A31,'Halo Infinite Stats'!A:AM,19,0),)+IFERROR(VLOOKUP(A31,'Halo Infinite Stats'!A:AM,20,0),)+IFERROR(VLOOKUP(A31,'Halo Infinite Stats'!A:AM,21,0),)+IFERROR(VLOOKUP(A31,'Halo Infinite Stats'!A:AM,22,0),)+IFERROR(VLOOKUP(A31,'Halo Infinite Stats'!A:AM,23,0),)+IFERROR(VLOOKUP(A31,'Halo Infinite Stats'!A:AM,24,0),)+IFERROR(VLOOKUP(A31,'Halo Infinite Stats'!A:AM,25,0),)+IFERROR(VLOOKUP(A31,'Halo Infinite Stats'!A:AM,26,0),)</f>
        <v>231</v>
      </c>
      <c r="N31" s="753">
        <f t="shared" si="3"/>
        <v>420</v>
      </c>
      <c r="O31" s="1212" t="str">
        <f t="shared" si="4"/>
        <v>B</v>
      </c>
      <c r="P31" s="753">
        <f t="shared" si="5"/>
        <v>74580</v>
      </c>
      <c r="Q31" s="1213" t="str">
        <f t="shared" si="6"/>
        <v>S+</v>
      </c>
      <c r="R31" s="753">
        <f t="shared" si="7"/>
        <v>0</v>
      </c>
      <c r="S31" s="1214" t="str">
        <f t="shared" si="8"/>
        <v>F-</v>
      </c>
      <c r="T31" s="614">
        <f t="shared" si="9"/>
        <v>1295.092518</v>
      </c>
      <c r="U31" s="1217" t="str">
        <f t="shared" si="10"/>
        <v>B+</v>
      </c>
      <c r="V31" s="753">
        <f t="shared" si="11"/>
        <v>13860</v>
      </c>
      <c r="W31" s="1217" t="str">
        <f t="shared" si="12"/>
        <v>A</v>
      </c>
      <c r="X31" s="753">
        <f t="shared" si="13"/>
        <v>900</v>
      </c>
      <c r="Y31" s="1217" t="str">
        <f t="shared" si="14"/>
        <v>B-</v>
      </c>
      <c r="Z31" s="753">
        <f t="shared" si="15"/>
        <v>9060</v>
      </c>
      <c r="AA31" s="1219" t="str">
        <f t="shared" si="16"/>
        <v>A+</v>
      </c>
      <c r="AB31" s="1252" t="s">
        <v>144</v>
      </c>
      <c r="AC31" s="1253">
        <v>0.2</v>
      </c>
    </row>
    <row r="32">
      <c r="A32" s="1205" t="s">
        <v>187</v>
      </c>
      <c r="B32" s="1206">
        <f>IFERROR(VLOOKUP(A32,'Halo Infinite Stats'!A:AM,11,0),)</f>
        <v>0</v>
      </c>
      <c r="C32" s="1207">
        <f t="shared" si="1"/>
        <v>0</v>
      </c>
      <c r="D32" s="1208">
        <f t="shared" si="2"/>
        <v>0</v>
      </c>
      <c r="E32" s="1209">
        <f>IFERROR(VLOOKUP(A32,'Halo Infinite Stats'!A:AM,6,0),)</f>
        <v>15</v>
      </c>
      <c r="F32" s="614">
        <f>IFERROR(VLOOKUP(A32,'Halo Infinite Stats'!A:AM,5,0),)</f>
        <v>6</v>
      </c>
      <c r="G32" s="1210">
        <f>IFERROR(VLOOKUP(A32,'Halo Infinite Stats'!A:AM,8,0),)</f>
        <v>780</v>
      </c>
      <c r="H32" s="614">
        <f>IFERROR(VLOOKUP(A32,'Halo Infinite Stats'!A:AM,28,0),)</f>
        <v>0</v>
      </c>
      <c r="I32" s="1208">
        <f>IFERROR(VLOOKUP(A32,'Halo Infinite Stats'!A:AM,13,0),)+IFERROR(VLOOKUP(A32,'Halo Infinite Stats'!A:AM,14,0)+IFERROR(VLOOKUP(A32,'Halo Infinite Stats'!A:AM,15,0),""),"")</f>
        <v>11.07692308</v>
      </c>
      <c r="J32" s="614">
        <f>IFERROR(VLOOKUP(A32,'Halo Infinite Stats'!A:AM,18,0),)</f>
        <v>1</v>
      </c>
      <c r="K32" s="614">
        <f>IFERROR(VLOOKUP(A32,'Halo Infinite Stats'!A:AM,19,0),)</f>
        <v>43</v>
      </c>
      <c r="L32" s="753">
        <f>IFERROR(VLOOKUP(A32,'Halo Infinite Stats'!A:AM,27,0),)+IFERROR(VLOOKUP(A32,'Halo Infinite Stats'!A:AM,29,0),)+IFERROR(VLOOKUP(A32,'Halo Infinite Stats'!A:AM,30,0),)+IFERROR(VLOOKUP(A32,'Halo Infinite Stats'!A:AM,31,0),)+IFERROR(VLOOKUP(A32,'Halo Infinite Stats'!A:AM,32,0),)+IFERROR(VLOOKUP(A32,'Halo Infinite Stats'!A:AM,33,0),)</f>
        <v>74</v>
      </c>
      <c r="M32" s="1211">
        <f>IFERROR(VLOOKUP(A32,'Halo Infinite Stats'!A:AM,18,0),)+IFERROR(VLOOKUP(A32,'Halo Infinite Stats'!A:AM,19,0),)+IFERROR(VLOOKUP(A32,'Halo Infinite Stats'!A:AM,20,0),)+IFERROR(VLOOKUP(A32,'Halo Infinite Stats'!A:AM,21,0),)+IFERROR(VLOOKUP(A32,'Halo Infinite Stats'!A:AM,22,0),)+IFERROR(VLOOKUP(A32,'Halo Infinite Stats'!A:AM,23,0),)+IFERROR(VLOOKUP(A32,'Halo Infinite Stats'!A:AM,24,0),)+IFERROR(VLOOKUP(A32,'Halo Infinite Stats'!A:AM,25,0),)+IFERROR(VLOOKUP(A32,'Halo Infinite Stats'!A:AM,26,0),)</f>
        <v>52</v>
      </c>
      <c r="N32" s="753">
        <f t="shared" si="3"/>
        <v>0</v>
      </c>
      <c r="O32" s="1212" t="str">
        <f t="shared" si="4"/>
        <v>F-</v>
      </c>
      <c r="P32" s="753">
        <f t="shared" si="5"/>
        <v>0</v>
      </c>
      <c r="Q32" s="1213" t="str">
        <f t="shared" si="6"/>
        <v>F-</v>
      </c>
      <c r="R32" s="753">
        <f t="shared" si="7"/>
        <v>0</v>
      </c>
      <c r="S32" s="1214" t="str">
        <f t="shared" si="8"/>
        <v>F-</v>
      </c>
      <c r="T32" s="614">
        <f t="shared" si="9"/>
        <v>0</v>
      </c>
      <c r="U32" s="1217" t="str">
        <f t="shared" si="10"/>
        <v>F-</v>
      </c>
      <c r="V32" s="753">
        <f t="shared" si="11"/>
        <v>0</v>
      </c>
      <c r="W32" s="1217" t="str">
        <f t="shared" si="12"/>
        <v>F-</v>
      </c>
      <c r="X32" s="753">
        <f t="shared" si="13"/>
        <v>0</v>
      </c>
      <c r="Y32" s="1217" t="str">
        <f t="shared" si="14"/>
        <v>F-</v>
      </c>
      <c r="Z32" s="753">
        <f t="shared" si="15"/>
        <v>0</v>
      </c>
      <c r="AA32" s="1219" t="str">
        <f t="shared" si="16"/>
        <v>F-</v>
      </c>
      <c r="AB32" s="1252" t="s">
        <v>207</v>
      </c>
    </row>
    <row r="33">
      <c r="A33" s="1205" t="s">
        <v>49</v>
      </c>
      <c r="B33" s="1206">
        <f>IFERROR(VLOOKUP(A33,'Halo Infinite Stats'!A:AM,11,0),)</f>
        <v>3</v>
      </c>
      <c r="C33" s="1207">
        <f t="shared" si="1"/>
        <v>0</v>
      </c>
      <c r="D33" s="1208">
        <f t="shared" si="2"/>
        <v>0</v>
      </c>
      <c r="E33" s="1209">
        <f>IFERROR(VLOOKUP(A33,'Halo Infinite Stats'!A:AM,6,0),)</f>
        <v>249</v>
      </c>
      <c r="F33" s="614">
        <f>IFERROR(VLOOKUP(A33,'Halo Infinite Stats'!A:AM,5,0),)</f>
        <v>36</v>
      </c>
      <c r="G33" s="1210">
        <f>IFERROR(VLOOKUP(A33,'Halo Infinite Stats'!A:AM,8,0),)</f>
        <v>1023</v>
      </c>
      <c r="H33" s="614">
        <f>IFERROR(VLOOKUP(A33,'Halo Infinite Stats'!A:AM,28,0),)</f>
        <v>1</v>
      </c>
      <c r="I33" s="1208">
        <f>IFERROR(VLOOKUP(A33,'Halo Infinite Stats'!A:AM,13,0),)+IFERROR(VLOOKUP(A33,'Halo Infinite Stats'!A:AM,14,0)+IFERROR(VLOOKUP(A33,'Halo Infinite Stats'!A:AM,15,0),""),"")</f>
        <v>42.00879765</v>
      </c>
      <c r="J33" s="614">
        <f>IFERROR(VLOOKUP(A33,'Halo Infinite Stats'!A:AM,18,0),)</f>
        <v>10</v>
      </c>
      <c r="K33" s="614">
        <f>IFERROR(VLOOKUP(A33,'Halo Infinite Stats'!A:AM,19,0),)</f>
        <v>179</v>
      </c>
      <c r="L33" s="753">
        <f>IFERROR(VLOOKUP(A33,'Halo Infinite Stats'!A:AM,27,0),)+IFERROR(VLOOKUP(A33,'Halo Infinite Stats'!A:AM,29,0),)+IFERROR(VLOOKUP(A33,'Halo Infinite Stats'!A:AM,30,0),)+IFERROR(VLOOKUP(A33,'Halo Infinite Stats'!A:AM,31,0),)+IFERROR(VLOOKUP(A33,'Halo Infinite Stats'!A:AM,32,0),)+IFERROR(VLOOKUP(A33,'Halo Infinite Stats'!A:AM,33,0),)</f>
        <v>237</v>
      </c>
      <c r="M33" s="1211">
        <f>IFERROR(VLOOKUP(A33,'Halo Infinite Stats'!A:AM,18,0),)+IFERROR(VLOOKUP(A33,'Halo Infinite Stats'!A:AM,19,0),)+IFERROR(VLOOKUP(A33,'Halo Infinite Stats'!A:AM,20,0),)+IFERROR(VLOOKUP(A33,'Halo Infinite Stats'!A:AM,21,0),)+IFERROR(VLOOKUP(A33,'Halo Infinite Stats'!A:AM,22,0),)+IFERROR(VLOOKUP(A33,'Halo Infinite Stats'!A:AM,23,0),)+IFERROR(VLOOKUP(A33,'Halo Infinite Stats'!A:AM,24,0),)+IFERROR(VLOOKUP(A33,'Halo Infinite Stats'!A:AM,25,0),)+IFERROR(VLOOKUP(A33,'Halo Infinite Stats'!A:AM,26,0),)</f>
        <v>259</v>
      </c>
      <c r="N33" s="753">
        <f t="shared" si="3"/>
        <v>720</v>
      </c>
      <c r="O33" s="1212" t="str">
        <f t="shared" si="4"/>
        <v>A-</v>
      </c>
      <c r="P33" s="753">
        <f t="shared" si="5"/>
        <v>20460</v>
      </c>
      <c r="Q33" s="1213" t="str">
        <f t="shared" si="6"/>
        <v>C</v>
      </c>
      <c r="R33" s="753">
        <f t="shared" si="7"/>
        <v>20</v>
      </c>
      <c r="S33" s="1214" t="str">
        <f t="shared" si="8"/>
        <v>A+</v>
      </c>
      <c r="T33" s="614">
        <f t="shared" si="9"/>
        <v>840.1759531</v>
      </c>
      <c r="U33" s="1217" t="str">
        <f t="shared" si="10"/>
        <v>B-</v>
      </c>
      <c r="V33" s="753">
        <f t="shared" si="11"/>
        <v>5180</v>
      </c>
      <c r="W33" s="1217" t="str">
        <f t="shared" si="12"/>
        <v>B-</v>
      </c>
      <c r="X33" s="753">
        <f t="shared" si="13"/>
        <v>4980</v>
      </c>
      <c r="Y33" s="1217" t="str">
        <f t="shared" si="14"/>
        <v>A</v>
      </c>
      <c r="Z33" s="753">
        <f t="shared" si="15"/>
        <v>4740</v>
      </c>
      <c r="AA33" s="1219" t="str">
        <f t="shared" si="16"/>
        <v>B</v>
      </c>
      <c r="AB33" s="1258"/>
    </row>
    <row r="34">
      <c r="A34" s="1205" t="s">
        <v>921</v>
      </c>
      <c r="B34" s="1206" t="str">
        <f>IFERROR(VLOOKUP(A34,'Halo Infinite Stats'!A:AM,11,0),)</f>
        <v/>
      </c>
      <c r="C34" s="1207">
        <f t="shared" si="1"/>
        <v>0</v>
      </c>
      <c r="D34" s="1208">
        <f t="shared" si="2"/>
        <v>0</v>
      </c>
      <c r="E34" s="1209" t="str">
        <f>IFERROR(VLOOKUP(A34,'Halo Infinite Stats'!A:AM,6,0),)</f>
        <v/>
      </c>
      <c r="F34" s="614" t="str">
        <f>IFERROR(VLOOKUP(A34,'Halo Infinite Stats'!A:AM,5,0),)</f>
        <v/>
      </c>
      <c r="G34" s="1210" t="str">
        <f>IFERROR(VLOOKUP(A34,'Halo Infinite Stats'!A:AM,8,0),)</f>
        <v/>
      </c>
      <c r="H34" s="614" t="str">
        <f>IFERROR(VLOOKUP(A34,'Halo Infinite Stats'!A:AM,28,0),)</f>
        <v/>
      </c>
      <c r="I34" s="1208">
        <f>IFERROR(VLOOKUP(A34,'Halo Infinite Stats'!A:AM,13,0),)+IFERROR(VLOOKUP(A34,'Halo Infinite Stats'!A:AM,14,0)+IFERROR(VLOOKUP(A34,'Halo Infinite Stats'!A:AM,15,0),""),"")</f>
        <v>0</v>
      </c>
      <c r="J34" s="614" t="str">
        <f>IFERROR(VLOOKUP(A34,'Halo Infinite Stats'!A:AM,18,0),)</f>
        <v/>
      </c>
      <c r="K34" s="614" t="str">
        <f>IFERROR(VLOOKUP(A34,'Halo Infinite Stats'!A:AM,19,0),)</f>
        <v/>
      </c>
      <c r="L34" s="753">
        <f>IFERROR(VLOOKUP(A34,'Halo Infinite Stats'!A:AM,27,0),)+IFERROR(VLOOKUP(A34,'Halo Infinite Stats'!A:AM,29,0),)+IFERROR(VLOOKUP(A34,'Halo Infinite Stats'!A:AM,30,0),)+IFERROR(VLOOKUP(A34,'Halo Infinite Stats'!A:AM,31,0),)+IFERROR(VLOOKUP(A34,'Halo Infinite Stats'!A:AM,32,0),)+IFERROR(VLOOKUP(A34,'Halo Infinite Stats'!A:AM,33,0),)</f>
        <v>0</v>
      </c>
      <c r="M34" s="1211">
        <f>IFERROR(VLOOKUP(A34,'Halo Infinite Stats'!A:AM,18,0),)+IFERROR(VLOOKUP(A34,'Halo Infinite Stats'!A:AM,19,0),)+IFERROR(VLOOKUP(A34,'Halo Infinite Stats'!A:AM,20,0),)+IFERROR(VLOOKUP(A34,'Halo Infinite Stats'!A:AM,21,0),)+IFERROR(VLOOKUP(A34,'Halo Infinite Stats'!A:AM,22,0),)+IFERROR(VLOOKUP(A34,'Halo Infinite Stats'!A:AM,23,0),)+IFERROR(VLOOKUP(A34,'Halo Infinite Stats'!A:AM,24,0),)+IFERROR(VLOOKUP(A34,'Halo Infinite Stats'!A:AM,25,0),)+IFERROR(VLOOKUP(A34,'Halo Infinite Stats'!A:AM,26,0),)</f>
        <v>0</v>
      </c>
      <c r="N34" s="753">
        <f t="shared" si="3"/>
        <v>0</v>
      </c>
      <c r="O34" s="1212" t="str">
        <f t="shared" si="4"/>
        <v>F-</v>
      </c>
      <c r="P34" s="753">
        <f t="shared" si="5"/>
        <v>0</v>
      </c>
      <c r="Q34" s="1213" t="str">
        <f t="shared" si="6"/>
        <v>F-</v>
      </c>
      <c r="R34" s="753">
        <f t="shared" si="7"/>
        <v>0</v>
      </c>
      <c r="S34" s="1214" t="str">
        <f t="shared" si="8"/>
        <v>F-</v>
      </c>
      <c r="T34" s="614">
        <f t="shared" si="9"/>
        <v>0</v>
      </c>
      <c r="U34" s="1217" t="str">
        <f t="shared" si="10"/>
        <v>F-</v>
      </c>
      <c r="V34" s="753">
        <f t="shared" si="11"/>
        <v>0</v>
      </c>
      <c r="W34" s="1217" t="str">
        <f t="shared" si="12"/>
        <v>F-</v>
      </c>
      <c r="X34" s="753">
        <f t="shared" si="13"/>
        <v>0</v>
      </c>
      <c r="Y34" s="1217" t="str">
        <f t="shared" si="14"/>
        <v>F-</v>
      </c>
      <c r="Z34" s="753">
        <f t="shared" si="15"/>
        <v>0</v>
      </c>
      <c r="AA34" s="1219" t="str">
        <f t="shared" si="16"/>
        <v>F-</v>
      </c>
      <c r="AB34" s="1259" t="s">
        <v>922</v>
      </c>
    </row>
    <row r="35">
      <c r="A35" s="1256" t="s">
        <v>923</v>
      </c>
      <c r="B35" s="1206" t="str">
        <f>IFERROR(VLOOKUP(A35,'Halo Infinite Stats'!A:AM,11,0),)</f>
        <v/>
      </c>
      <c r="C35" s="1207">
        <f t="shared" si="1"/>
        <v>0</v>
      </c>
      <c r="D35" s="1208">
        <f t="shared" si="2"/>
        <v>0</v>
      </c>
      <c r="E35" s="1209" t="str">
        <f>IFERROR(VLOOKUP(A35,'Halo Infinite Stats'!A:AM,6,0),)</f>
        <v/>
      </c>
      <c r="F35" s="614" t="str">
        <f>IFERROR(VLOOKUP(A35,'Halo Infinite Stats'!A:AM,5,0),)</f>
        <v/>
      </c>
      <c r="G35" s="1210" t="str">
        <f>IFERROR(VLOOKUP(A35,'Halo Infinite Stats'!A:AM,8,0),)</f>
        <v/>
      </c>
      <c r="H35" s="614" t="str">
        <f>IFERROR(VLOOKUP(A35,'Halo Infinite Stats'!A:AM,28,0),)</f>
        <v/>
      </c>
      <c r="I35" s="1208">
        <f>IFERROR(VLOOKUP(A35,'Halo Infinite Stats'!A:AM,13,0),)+IFERROR(VLOOKUP(A35,'Halo Infinite Stats'!A:AM,14,0)+IFERROR(VLOOKUP(A35,'Halo Infinite Stats'!A:AM,15,0),""),"")</f>
        <v>0</v>
      </c>
      <c r="J35" s="614" t="str">
        <f>IFERROR(VLOOKUP(A35,'Halo Infinite Stats'!A:AM,18,0),)</f>
        <v/>
      </c>
      <c r="K35" s="614" t="str">
        <f>IFERROR(VLOOKUP(A35,'Halo Infinite Stats'!A:AM,19,0),)</f>
        <v/>
      </c>
      <c r="L35" s="753">
        <f>IFERROR(VLOOKUP(A35,'Halo Infinite Stats'!A:AM,27,0),)+IFERROR(VLOOKUP(A35,'Halo Infinite Stats'!A:AM,29,0),)+IFERROR(VLOOKUP(A35,'Halo Infinite Stats'!A:AM,30,0),)+IFERROR(VLOOKUP(A35,'Halo Infinite Stats'!A:AM,31,0),)+IFERROR(VLOOKUP(A35,'Halo Infinite Stats'!A:AM,32,0),)+IFERROR(VLOOKUP(A35,'Halo Infinite Stats'!A:AM,33,0),)</f>
        <v>0</v>
      </c>
      <c r="M35" s="1211">
        <f>IFERROR(VLOOKUP(A35,'Halo Infinite Stats'!A:AM,18,0),)+IFERROR(VLOOKUP(A35,'Halo Infinite Stats'!A:AM,19,0),)+IFERROR(VLOOKUP(A35,'Halo Infinite Stats'!A:AM,20,0),)+IFERROR(VLOOKUP(A35,'Halo Infinite Stats'!A:AM,21,0),)+IFERROR(VLOOKUP(A35,'Halo Infinite Stats'!A:AM,22,0),)+IFERROR(VLOOKUP(A35,'Halo Infinite Stats'!A:AM,23,0),)+IFERROR(VLOOKUP(A35,'Halo Infinite Stats'!A:AM,24,0),)+IFERROR(VLOOKUP(A35,'Halo Infinite Stats'!A:AM,25,0),)+IFERROR(VLOOKUP(A35,'Halo Infinite Stats'!A:AM,26,0),)</f>
        <v>0</v>
      </c>
      <c r="N35" s="753">
        <f t="shared" si="3"/>
        <v>0</v>
      </c>
      <c r="O35" s="1212" t="str">
        <f t="shared" si="4"/>
        <v>F-</v>
      </c>
      <c r="P35" s="753">
        <f t="shared" si="5"/>
        <v>0</v>
      </c>
      <c r="Q35" s="1213" t="str">
        <f t="shared" si="6"/>
        <v>F-</v>
      </c>
      <c r="R35" s="753">
        <f t="shared" si="7"/>
        <v>0</v>
      </c>
      <c r="S35" s="1214" t="str">
        <f t="shared" si="8"/>
        <v>F-</v>
      </c>
      <c r="T35" s="614">
        <f t="shared" si="9"/>
        <v>0</v>
      </c>
      <c r="U35" s="1217" t="str">
        <f t="shared" si="10"/>
        <v>F-</v>
      </c>
      <c r="V35" s="753">
        <f t="shared" si="11"/>
        <v>0</v>
      </c>
      <c r="W35" s="1217" t="str">
        <f t="shared" si="12"/>
        <v>F-</v>
      </c>
      <c r="X35" s="753">
        <f t="shared" si="13"/>
        <v>0</v>
      </c>
      <c r="Y35" s="1217" t="str">
        <f t="shared" si="14"/>
        <v>F-</v>
      </c>
      <c r="Z35" s="753">
        <f t="shared" si="15"/>
        <v>0</v>
      </c>
      <c r="AA35" s="1219" t="str">
        <f t="shared" si="16"/>
        <v>F-</v>
      </c>
      <c r="AB35" s="1259" t="s">
        <v>20</v>
      </c>
    </row>
    <row r="36">
      <c r="A36" s="1205" t="s">
        <v>251</v>
      </c>
      <c r="B36" s="1206">
        <f>IFERROR(VLOOKUP(A36,'Halo Infinite Stats'!A:AM,11,0),)</f>
        <v>1</v>
      </c>
      <c r="C36" s="1207">
        <f t="shared" si="1"/>
        <v>0</v>
      </c>
      <c r="D36" s="1208">
        <f t="shared" si="2"/>
        <v>0</v>
      </c>
      <c r="E36" s="1209">
        <f>IFERROR(VLOOKUP(A36,'Halo Infinite Stats'!A:AM,6,0),)</f>
        <v>7</v>
      </c>
      <c r="F36" s="614">
        <f>IFERROR(VLOOKUP(A36,'Halo Infinite Stats'!A:AM,5,0),)</f>
        <v>1</v>
      </c>
      <c r="G36" s="1210">
        <f>IFERROR(VLOOKUP(A36,'Halo Infinite Stats'!A:AM,8,0),)</f>
        <v>202</v>
      </c>
      <c r="H36" s="614">
        <f>IFERROR(VLOOKUP(A36,'Halo Infinite Stats'!A:AM,28,0),)</f>
        <v>0</v>
      </c>
      <c r="I36" s="1208">
        <f>IFERROR(VLOOKUP(A36,'Halo Infinite Stats'!A:AM,13,0),)+IFERROR(VLOOKUP(A36,'Halo Infinite Stats'!A:AM,14,0)+IFERROR(VLOOKUP(A36,'Halo Infinite Stats'!A:AM,15,0),""),"")</f>
        <v>10.75742574</v>
      </c>
      <c r="J36" s="614">
        <f>IFERROR(VLOOKUP(A36,'Halo Infinite Stats'!A:AM,18,0),)</f>
        <v>0</v>
      </c>
      <c r="K36" s="614">
        <f>IFERROR(VLOOKUP(A36,'Halo Infinite Stats'!A:AM,19,0),)</f>
        <v>13</v>
      </c>
      <c r="L36" s="753">
        <f>IFERROR(VLOOKUP(A36,'Halo Infinite Stats'!A:AM,27,0),)+IFERROR(VLOOKUP(A36,'Halo Infinite Stats'!A:AM,29,0),)+IFERROR(VLOOKUP(A36,'Halo Infinite Stats'!A:AM,30,0),)+IFERROR(VLOOKUP(A36,'Halo Infinite Stats'!A:AM,31,0),)+IFERROR(VLOOKUP(A36,'Halo Infinite Stats'!A:AM,32,0),)+IFERROR(VLOOKUP(A36,'Halo Infinite Stats'!A:AM,33,0),)</f>
        <v>28</v>
      </c>
      <c r="M36" s="1211">
        <f>IFERROR(VLOOKUP(A36,'Halo Infinite Stats'!A:AM,18,0),)+IFERROR(VLOOKUP(A36,'Halo Infinite Stats'!A:AM,19,0),)+IFERROR(VLOOKUP(A36,'Halo Infinite Stats'!A:AM,20,0),)+IFERROR(VLOOKUP(A36,'Halo Infinite Stats'!A:AM,21,0),)+IFERROR(VLOOKUP(A36,'Halo Infinite Stats'!A:AM,22,0),)+IFERROR(VLOOKUP(A36,'Halo Infinite Stats'!A:AM,23,0),)+IFERROR(VLOOKUP(A36,'Halo Infinite Stats'!A:AM,24,0),)+IFERROR(VLOOKUP(A36,'Halo Infinite Stats'!A:AM,25,0),)+IFERROR(VLOOKUP(A36,'Halo Infinite Stats'!A:AM,26,0),)</f>
        <v>16</v>
      </c>
      <c r="N36" s="753">
        <f t="shared" si="3"/>
        <v>60</v>
      </c>
      <c r="O36" s="1212" t="str">
        <f t="shared" si="4"/>
        <v>D+</v>
      </c>
      <c r="P36" s="753">
        <f t="shared" si="5"/>
        <v>12120</v>
      </c>
      <c r="Q36" s="1213" t="str">
        <f t="shared" si="6"/>
        <v>D+</v>
      </c>
      <c r="R36" s="753">
        <f t="shared" si="7"/>
        <v>0</v>
      </c>
      <c r="S36" s="1214" t="str">
        <f t="shared" si="8"/>
        <v>F-</v>
      </c>
      <c r="T36" s="614">
        <f t="shared" si="9"/>
        <v>645.4455446</v>
      </c>
      <c r="U36" s="1217" t="str">
        <f t="shared" si="10"/>
        <v>C+</v>
      </c>
      <c r="V36" s="753">
        <f t="shared" si="11"/>
        <v>960</v>
      </c>
      <c r="W36" s="1217" t="str">
        <f t="shared" si="12"/>
        <v>D</v>
      </c>
      <c r="X36" s="753">
        <f t="shared" si="13"/>
        <v>420</v>
      </c>
      <c r="Y36" s="1217" t="str">
        <f t="shared" si="14"/>
        <v>C-</v>
      </c>
      <c r="Z36" s="753">
        <f t="shared" si="15"/>
        <v>1680</v>
      </c>
      <c r="AA36" s="1219" t="str">
        <f t="shared" si="16"/>
        <v>C-</v>
      </c>
      <c r="AB36" s="1259" t="s">
        <v>924</v>
      </c>
    </row>
    <row r="37">
      <c r="A37" s="1205" t="s">
        <v>100</v>
      </c>
      <c r="B37" s="1206" t="str">
        <f>IFERROR(VLOOKUP(A37,'Halo Infinite Stats'!A:AM,11,0),)</f>
        <v/>
      </c>
      <c r="C37" s="1207">
        <f t="shared" si="1"/>
        <v>0</v>
      </c>
      <c r="D37" s="1208">
        <f t="shared" si="2"/>
        <v>0</v>
      </c>
      <c r="E37" s="1209" t="str">
        <f>IFERROR(VLOOKUP(A37,'Halo Infinite Stats'!A:AM,6,0),)</f>
        <v/>
      </c>
      <c r="F37" s="614" t="str">
        <f>IFERROR(VLOOKUP(A37,'Halo Infinite Stats'!A:AM,5,0),)</f>
        <v/>
      </c>
      <c r="G37" s="1210" t="str">
        <f>IFERROR(VLOOKUP(A37,'Halo Infinite Stats'!A:AM,8,0),)</f>
        <v/>
      </c>
      <c r="H37" s="614" t="str">
        <f>IFERROR(VLOOKUP(A37,'Halo Infinite Stats'!A:AM,28,0),)</f>
        <v/>
      </c>
      <c r="I37" s="1208">
        <f>IFERROR(VLOOKUP(A37,'Halo Infinite Stats'!A:AM,13,0),)+IFERROR(VLOOKUP(A37,'Halo Infinite Stats'!A:AM,14,0)+IFERROR(VLOOKUP(A37,'Halo Infinite Stats'!A:AM,15,0),""),"")</f>
        <v>0</v>
      </c>
      <c r="J37" s="614" t="str">
        <f>IFERROR(VLOOKUP(A37,'Halo Infinite Stats'!A:AM,18,0),)</f>
        <v/>
      </c>
      <c r="K37" s="614" t="str">
        <f>IFERROR(VLOOKUP(A37,'Halo Infinite Stats'!A:AM,19,0),)</f>
        <v/>
      </c>
      <c r="L37" s="753">
        <f>IFERROR(VLOOKUP(A37,'Halo Infinite Stats'!A:AM,27,0),)+IFERROR(VLOOKUP(A37,'Halo Infinite Stats'!A:AM,29,0),)+IFERROR(VLOOKUP(A37,'Halo Infinite Stats'!A:AM,30,0),)+IFERROR(VLOOKUP(A37,'Halo Infinite Stats'!A:AM,31,0),)+IFERROR(VLOOKUP(A37,'Halo Infinite Stats'!A:AM,32,0),)+IFERROR(VLOOKUP(A37,'Halo Infinite Stats'!A:AM,33,0),)</f>
        <v>0</v>
      </c>
      <c r="M37" s="1211">
        <f>IFERROR(VLOOKUP(A37,'Halo Infinite Stats'!A:AM,18,0),)+IFERROR(VLOOKUP(A37,'Halo Infinite Stats'!A:AM,19,0),)+IFERROR(VLOOKUP(A37,'Halo Infinite Stats'!A:AM,20,0),)+IFERROR(VLOOKUP(A37,'Halo Infinite Stats'!A:AM,21,0),)+IFERROR(VLOOKUP(A37,'Halo Infinite Stats'!A:AM,22,0),)+IFERROR(VLOOKUP(A37,'Halo Infinite Stats'!A:AM,23,0),)+IFERROR(VLOOKUP(A37,'Halo Infinite Stats'!A:AM,24,0),)+IFERROR(VLOOKUP(A37,'Halo Infinite Stats'!A:AM,25,0),)+IFERROR(VLOOKUP(A37,'Halo Infinite Stats'!A:AM,26,0),)</f>
        <v>0</v>
      </c>
      <c r="N37" s="753">
        <f t="shared" si="3"/>
        <v>0</v>
      </c>
      <c r="O37" s="1212" t="str">
        <f t="shared" si="4"/>
        <v>F-</v>
      </c>
      <c r="P37" s="753">
        <f t="shared" si="5"/>
        <v>0</v>
      </c>
      <c r="Q37" s="1213" t="str">
        <f t="shared" si="6"/>
        <v>F-</v>
      </c>
      <c r="R37" s="753">
        <f t="shared" si="7"/>
        <v>0</v>
      </c>
      <c r="S37" s="1214" t="str">
        <f t="shared" si="8"/>
        <v>F-</v>
      </c>
      <c r="T37" s="614">
        <f t="shared" si="9"/>
        <v>0</v>
      </c>
      <c r="U37" s="1217" t="str">
        <f t="shared" si="10"/>
        <v>F-</v>
      </c>
      <c r="V37" s="753">
        <f t="shared" si="11"/>
        <v>0</v>
      </c>
      <c r="W37" s="1217" t="str">
        <f t="shared" si="12"/>
        <v>F-</v>
      </c>
      <c r="X37" s="753">
        <f t="shared" si="13"/>
        <v>0</v>
      </c>
      <c r="Y37" s="1217" t="str">
        <f t="shared" si="14"/>
        <v>F-</v>
      </c>
      <c r="Z37" s="753">
        <f t="shared" si="15"/>
        <v>0</v>
      </c>
      <c r="AA37" s="1219" t="str">
        <f t="shared" si="16"/>
        <v>F-</v>
      </c>
      <c r="AB37" s="1259" t="s">
        <v>925</v>
      </c>
    </row>
    <row r="38">
      <c r="A38" s="1205" t="s">
        <v>200</v>
      </c>
      <c r="B38" s="1206">
        <f>IFERROR(VLOOKUP(A38,'Halo Infinite Stats'!A:AM,11,0),)</f>
        <v>0</v>
      </c>
      <c r="C38" s="1207">
        <f t="shared" si="1"/>
        <v>0</v>
      </c>
      <c r="D38" s="1208">
        <f t="shared" si="2"/>
        <v>0</v>
      </c>
      <c r="E38" s="1209">
        <f>IFERROR(VLOOKUP(A38,'Halo Infinite Stats'!A:AM,6,0),)</f>
        <v>1</v>
      </c>
      <c r="F38" s="614">
        <f>IFERROR(VLOOKUP(A38,'Halo Infinite Stats'!A:AM,5,0),)</f>
        <v>0</v>
      </c>
      <c r="G38" s="1210">
        <f>IFERROR(VLOOKUP(A38,'Halo Infinite Stats'!A:AM,8,0),)</f>
        <v>85</v>
      </c>
      <c r="H38" s="614">
        <f>IFERROR(VLOOKUP(A38,'Halo Infinite Stats'!A:AM,28,0),)</f>
        <v>0</v>
      </c>
      <c r="I38" s="1208">
        <f>IFERROR(VLOOKUP(A38,'Halo Infinite Stats'!A:AM,13,0),)+IFERROR(VLOOKUP(A38,'Halo Infinite Stats'!A:AM,14,0)+IFERROR(VLOOKUP(A38,'Halo Infinite Stats'!A:AM,15,0),""),"")</f>
        <v>13.64705882</v>
      </c>
      <c r="J38" s="614">
        <f>IFERROR(VLOOKUP(A38,'Halo Infinite Stats'!A:AM,18,0),)</f>
        <v>0</v>
      </c>
      <c r="K38" s="614">
        <f>IFERROR(VLOOKUP(A38,'Halo Infinite Stats'!A:AM,19,0),)</f>
        <v>9</v>
      </c>
      <c r="L38" s="753">
        <f>IFERROR(VLOOKUP(A38,'Halo Infinite Stats'!A:AM,27,0),)+IFERROR(VLOOKUP(A38,'Halo Infinite Stats'!A:AM,29,0),)+IFERROR(VLOOKUP(A38,'Halo Infinite Stats'!A:AM,30,0),)+IFERROR(VLOOKUP(A38,'Halo Infinite Stats'!A:AM,31,0),)+IFERROR(VLOOKUP(A38,'Halo Infinite Stats'!A:AM,32,0),)+IFERROR(VLOOKUP(A38,'Halo Infinite Stats'!A:AM,33,0),)</f>
        <v>4</v>
      </c>
      <c r="M38" s="1211">
        <f>IFERROR(VLOOKUP(A38,'Halo Infinite Stats'!A:AM,18,0),)+IFERROR(VLOOKUP(A38,'Halo Infinite Stats'!A:AM,19,0),)+IFERROR(VLOOKUP(A38,'Halo Infinite Stats'!A:AM,20,0),)+IFERROR(VLOOKUP(A38,'Halo Infinite Stats'!A:AM,21,0),)+IFERROR(VLOOKUP(A38,'Halo Infinite Stats'!A:AM,22,0),)+IFERROR(VLOOKUP(A38,'Halo Infinite Stats'!A:AM,23,0),)+IFERROR(VLOOKUP(A38,'Halo Infinite Stats'!A:AM,24,0),)+IFERROR(VLOOKUP(A38,'Halo Infinite Stats'!A:AM,25,0),)+IFERROR(VLOOKUP(A38,'Halo Infinite Stats'!A:AM,26,0),)</f>
        <v>11</v>
      </c>
      <c r="N38" s="753">
        <f t="shared" si="3"/>
        <v>0</v>
      </c>
      <c r="O38" s="1212" t="str">
        <f t="shared" si="4"/>
        <v>F-</v>
      </c>
      <c r="P38" s="753">
        <f t="shared" si="5"/>
        <v>0</v>
      </c>
      <c r="Q38" s="1213" t="str">
        <f t="shared" si="6"/>
        <v>F-</v>
      </c>
      <c r="R38" s="753">
        <f t="shared" si="7"/>
        <v>0</v>
      </c>
      <c r="S38" s="1214" t="str">
        <f t="shared" si="8"/>
        <v>F-</v>
      </c>
      <c r="T38" s="614">
        <f t="shared" si="9"/>
        <v>0</v>
      </c>
      <c r="U38" s="1217" t="str">
        <f t="shared" si="10"/>
        <v>F-</v>
      </c>
      <c r="V38" s="753">
        <f t="shared" si="11"/>
        <v>0</v>
      </c>
      <c r="W38" s="1217" t="str">
        <f t="shared" si="12"/>
        <v>F-</v>
      </c>
      <c r="X38" s="753">
        <f t="shared" si="13"/>
        <v>0</v>
      </c>
      <c r="Y38" s="1217" t="str">
        <f t="shared" si="14"/>
        <v>F-</v>
      </c>
      <c r="Z38" s="753">
        <f t="shared" si="15"/>
        <v>0</v>
      </c>
      <c r="AA38" s="1219" t="str">
        <f t="shared" si="16"/>
        <v>F-</v>
      </c>
      <c r="AB38" s="1259" t="s">
        <v>29</v>
      </c>
    </row>
    <row r="39">
      <c r="A39" s="1205" t="s">
        <v>106</v>
      </c>
      <c r="B39" s="1206">
        <f>IFERROR(VLOOKUP(A39,'Halo Infinite Stats'!A:AM,11,0),)</f>
        <v>3</v>
      </c>
      <c r="C39" s="1207">
        <f t="shared" si="1"/>
        <v>0</v>
      </c>
      <c r="D39" s="1208">
        <f t="shared" si="2"/>
        <v>0</v>
      </c>
      <c r="E39" s="1209">
        <f>IFERROR(VLOOKUP(A39,'Halo Infinite Stats'!A:AM,6,0),)</f>
        <v>72</v>
      </c>
      <c r="F39" s="614">
        <f>IFERROR(VLOOKUP(A39,'Halo Infinite Stats'!A:AM,5,0),)</f>
        <v>18</v>
      </c>
      <c r="G39" s="1210">
        <f>IFERROR(VLOOKUP(A39,'Halo Infinite Stats'!A:AM,8,0),)</f>
        <v>1116</v>
      </c>
      <c r="H39" s="614">
        <f>IFERROR(VLOOKUP(A39,'Halo Infinite Stats'!A:AM,28,0),)</f>
        <v>1</v>
      </c>
      <c r="I39" s="1208">
        <f>IFERROR(VLOOKUP(A39,'Halo Infinite Stats'!A:AM,13,0),)+IFERROR(VLOOKUP(A39,'Halo Infinite Stats'!A:AM,14,0)+IFERROR(VLOOKUP(A39,'Halo Infinite Stats'!A:AM,15,0),""),"")</f>
        <v>33.41039427</v>
      </c>
      <c r="J39" s="614">
        <f>IFERROR(VLOOKUP(A39,'Halo Infinite Stats'!A:AM,18,0),)</f>
        <v>16</v>
      </c>
      <c r="K39" s="614">
        <f>IFERROR(VLOOKUP(A39,'Halo Infinite Stats'!A:AM,19,0),)</f>
        <v>165</v>
      </c>
      <c r="L39" s="753">
        <f>IFERROR(VLOOKUP(A39,'Halo Infinite Stats'!A:AM,27,0),)+IFERROR(VLOOKUP(A39,'Halo Infinite Stats'!A:AM,29,0),)+IFERROR(VLOOKUP(A39,'Halo Infinite Stats'!A:AM,30,0),)+IFERROR(VLOOKUP(A39,'Halo Infinite Stats'!A:AM,31,0),)+IFERROR(VLOOKUP(A39,'Halo Infinite Stats'!A:AM,32,0),)+IFERROR(VLOOKUP(A39,'Halo Infinite Stats'!A:AM,33,0),)</f>
        <v>200</v>
      </c>
      <c r="M39" s="1211">
        <f>IFERROR(VLOOKUP(A39,'Halo Infinite Stats'!A:AM,18,0),)+IFERROR(VLOOKUP(A39,'Halo Infinite Stats'!A:AM,19,0),)+IFERROR(VLOOKUP(A39,'Halo Infinite Stats'!A:AM,20,0),)+IFERROR(VLOOKUP(A39,'Halo Infinite Stats'!A:AM,21,0),)+IFERROR(VLOOKUP(A39,'Halo Infinite Stats'!A:AM,22,0),)+IFERROR(VLOOKUP(A39,'Halo Infinite Stats'!A:AM,23,0),)+IFERROR(VLOOKUP(A39,'Halo Infinite Stats'!A:AM,24,0),)+IFERROR(VLOOKUP(A39,'Halo Infinite Stats'!A:AM,25,0),)+IFERROR(VLOOKUP(A39,'Halo Infinite Stats'!A:AM,26,0),)</f>
        <v>246</v>
      </c>
      <c r="N39" s="753">
        <f t="shared" si="3"/>
        <v>360</v>
      </c>
      <c r="O39" s="1212" t="str">
        <f t="shared" si="4"/>
        <v>B-</v>
      </c>
      <c r="P39" s="753">
        <f t="shared" si="5"/>
        <v>22320</v>
      </c>
      <c r="Q39" s="1213" t="str">
        <f t="shared" si="6"/>
        <v>B-</v>
      </c>
      <c r="R39" s="753">
        <f t="shared" si="7"/>
        <v>20</v>
      </c>
      <c r="S39" s="1214" t="str">
        <f t="shared" si="8"/>
        <v>A+</v>
      </c>
      <c r="T39" s="614">
        <f t="shared" si="9"/>
        <v>668.2078853</v>
      </c>
      <c r="U39" s="1217" t="str">
        <f t="shared" si="10"/>
        <v>C+</v>
      </c>
      <c r="V39" s="753">
        <f t="shared" si="11"/>
        <v>4920</v>
      </c>
      <c r="W39" s="1217" t="str">
        <f t="shared" si="12"/>
        <v>C+</v>
      </c>
      <c r="X39" s="753">
        <f t="shared" si="13"/>
        <v>1440</v>
      </c>
      <c r="Y39" s="1217" t="str">
        <f t="shared" si="14"/>
        <v>B</v>
      </c>
      <c r="Z39" s="753">
        <f t="shared" si="15"/>
        <v>4000</v>
      </c>
      <c r="AA39" s="1219" t="str">
        <f t="shared" si="16"/>
        <v>B-</v>
      </c>
      <c r="AB39" s="1259" t="s">
        <v>926</v>
      </c>
    </row>
    <row r="40">
      <c r="A40" s="1256" t="s">
        <v>149</v>
      </c>
      <c r="B40" s="1206">
        <f>IFERROR(VLOOKUP(A40,'Halo Infinite Stats'!A:AM,11,0),)</f>
        <v>9</v>
      </c>
      <c r="C40" s="1207">
        <f t="shared" si="1"/>
        <v>0</v>
      </c>
      <c r="D40" s="1208">
        <f t="shared" si="2"/>
        <v>0</v>
      </c>
      <c r="E40" s="1209">
        <f>IFERROR(VLOOKUP(A40,'Halo Infinite Stats'!A:AM,6,0),)</f>
        <v>62</v>
      </c>
      <c r="F40" s="614">
        <f>IFERROR(VLOOKUP(A40,'Halo Infinite Stats'!A:AM,5,0),)</f>
        <v>22</v>
      </c>
      <c r="G40" s="1210">
        <f>IFERROR(VLOOKUP(A40,'Halo Infinite Stats'!A:AM,8,0),)</f>
        <v>1709</v>
      </c>
      <c r="H40" s="614">
        <f>IFERROR(VLOOKUP(A40,'Halo Infinite Stats'!A:AM,28,0),)</f>
        <v>0</v>
      </c>
      <c r="I40" s="1208">
        <f>IFERROR(VLOOKUP(A40,'Halo Infinite Stats'!A:AM,13,0),)+IFERROR(VLOOKUP(A40,'Halo Infinite Stats'!A:AM,14,0)+IFERROR(VLOOKUP(A40,'Halo Infinite Stats'!A:AM,15,0),""),"")</f>
        <v>44.75775307</v>
      </c>
      <c r="J40" s="614">
        <f>IFERROR(VLOOKUP(A40,'Halo Infinite Stats'!A:AM,18,0),)</f>
        <v>22</v>
      </c>
      <c r="K40" s="614">
        <f>IFERROR(VLOOKUP(A40,'Halo Infinite Stats'!A:AM,19,0),)</f>
        <v>272</v>
      </c>
      <c r="L40" s="753">
        <f>IFERROR(VLOOKUP(A40,'Halo Infinite Stats'!A:AM,27,0),)+IFERROR(VLOOKUP(A40,'Halo Infinite Stats'!A:AM,29,0),)+IFERROR(VLOOKUP(A40,'Halo Infinite Stats'!A:AM,30,0),)+IFERROR(VLOOKUP(A40,'Halo Infinite Stats'!A:AM,31,0),)+IFERROR(VLOOKUP(A40,'Halo Infinite Stats'!A:AM,32,0),)+IFERROR(VLOOKUP(A40,'Halo Infinite Stats'!A:AM,33,0),)</f>
        <v>338</v>
      </c>
      <c r="M40" s="1211">
        <f>IFERROR(VLOOKUP(A40,'Halo Infinite Stats'!A:AM,18,0),)+IFERROR(VLOOKUP(A40,'Halo Infinite Stats'!A:AM,19,0),)+IFERROR(VLOOKUP(A40,'Halo Infinite Stats'!A:AM,20,0),)+IFERROR(VLOOKUP(A40,'Halo Infinite Stats'!A:AM,21,0),)+IFERROR(VLOOKUP(A40,'Halo Infinite Stats'!A:AM,22,0),)+IFERROR(VLOOKUP(A40,'Halo Infinite Stats'!A:AM,23,0),)+IFERROR(VLOOKUP(A40,'Halo Infinite Stats'!A:AM,24,0),)+IFERROR(VLOOKUP(A40,'Halo Infinite Stats'!A:AM,25,0),)+IFERROR(VLOOKUP(A40,'Halo Infinite Stats'!A:AM,26,0),)</f>
        <v>411</v>
      </c>
      <c r="N40" s="753">
        <f t="shared" si="3"/>
        <v>146.6666667</v>
      </c>
      <c r="O40" s="1212" t="str">
        <f t="shared" si="4"/>
        <v>C</v>
      </c>
      <c r="P40" s="753">
        <f t="shared" si="5"/>
        <v>11393.33333</v>
      </c>
      <c r="Q40" s="1213" t="str">
        <f t="shared" si="6"/>
        <v>D</v>
      </c>
      <c r="R40" s="753">
        <f t="shared" si="7"/>
        <v>0</v>
      </c>
      <c r="S40" s="1214" t="str">
        <f t="shared" si="8"/>
        <v>F-</v>
      </c>
      <c r="T40" s="614">
        <f t="shared" si="9"/>
        <v>298.3850205</v>
      </c>
      <c r="U40" s="1217" t="str">
        <f t="shared" si="10"/>
        <v>D</v>
      </c>
      <c r="V40" s="753">
        <f t="shared" si="11"/>
        <v>2740</v>
      </c>
      <c r="W40" s="1217" t="str">
        <f t="shared" si="12"/>
        <v>C</v>
      </c>
      <c r="X40" s="753">
        <f t="shared" si="13"/>
        <v>413.3333333</v>
      </c>
      <c r="Y40" s="1217" t="str">
        <f t="shared" si="14"/>
        <v>C-</v>
      </c>
      <c r="Z40" s="753">
        <f t="shared" si="15"/>
        <v>2253.333333</v>
      </c>
      <c r="AA40" s="1219" t="str">
        <f t="shared" si="16"/>
        <v>C</v>
      </c>
      <c r="AB40" s="1259" t="s">
        <v>927</v>
      </c>
      <c r="AC40" s="1260" t="s">
        <v>928</v>
      </c>
    </row>
    <row r="41">
      <c r="A41" s="1256" t="s">
        <v>9</v>
      </c>
      <c r="B41" s="1206">
        <f>IFERROR(VLOOKUP(A41,'Halo Infinite Stats'!A:AM,11,0),)</f>
        <v>0</v>
      </c>
      <c r="C41" s="1207">
        <f t="shared" si="1"/>
        <v>0</v>
      </c>
      <c r="D41" s="1208">
        <f t="shared" si="2"/>
        <v>0</v>
      </c>
      <c r="E41" s="1209">
        <f>IFERROR(VLOOKUP(A41,'Halo Infinite Stats'!A:AM,6,0),)</f>
        <v>17</v>
      </c>
      <c r="F41" s="614">
        <f>IFERROR(VLOOKUP(A41,'Halo Infinite Stats'!A:AM,5,0),)</f>
        <v>0</v>
      </c>
      <c r="G41" s="1210">
        <f>IFERROR(VLOOKUP(A41,'Halo Infinite Stats'!A:AM,8,0),)</f>
        <v>902</v>
      </c>
      <c r="H41" s="614">
        <f>IFERROR(VLOOKUP(A41,'Halo Infinite Stats'!A:AM,28,0),)</f>
        <v>0</v>
      </c>
      <c r="I41" s="1208">
        <f>IFERROR(VLOOKUP(A41,'Halo Infinite Stats'!A:AM,13,0),)+IFERROR(VLOOKUP(A41,'Halo Infinite Stats'!A:AM,14,0)+IFERROR(VLOOKUP(A41,'Halo Infinite Stats'!A:AM,15,0),""),"")</f>
        <v>17.37250554</v>
      </c>
      <c r="J41" s="614">
        <f>IFERROR(VLOOKUP(A41,'Halo Infinite Stats'!A:AM,18,0),)</f>
        <v>9</v>
      </c>
      <c r="K41" s="614">
        <f>IFERROR(VLOOKUP(A41,'Halo Infinite Stats'!A:AM,19,0),)</f>
        <v>75</v>
      </c>
      <c r="L41" s="753">
        <f>IFERROR(VLOOKUP(A41,'Halo Infinite Stats'!A:AM,27,0),)+IFERROR(VLOOKUP(A41,'Halo Infinite Stats'!A:AM,29,0),)+IFERROR(VLOOKUP(A41,'Halo Infinite Stats'!A:AM,30,0),)+IFERROR(VLOOKUP(A41,'Halo Infinite Stats'!A:AM,31,0),)+IFERROR(VLOOKUP(A41,'Halo Infinite Stats'!A:AM,32,0),)+IFERROR(VLOOKUP(A41,'Halo Infinite Stats'!A:AM,33,0),)</f>
        <v>80</v>
      </c>
      <c r="M41" s="1211">
        <f>IFERROR(VLOOKUP(A41,'Halo Infinite Stats'!A:AM,18,0),)+IFERROR(VLOOKUP(A41,'Halo Infinite Stats'!A:AM,19,0),)+IFERROR(VLOOKUP(A41,'Halo Infinite Stats'!A:AM,20,0),)+IFERROR(VLOOKUP(A41,'Halo Infinite Stats'!A:AM,21,0),)+IFERROR(VLOOKUP(A41,'Halo Infinite Stats'!A:AM,22,0),)+IFERROR(VLOOKUP(A41,'Halo Infinite Stats'!A:AM,23,0),)+IFERROR(VLOOKUP(A41,'Halo Infinite Stats'!A:AM,24,0),)+IFERROR(VLOOKUP(A41,'Halo Infinite Stats'!A:AM,25,0),)+IFERROR(VLOOKUP(A41,'Halo Infinite Stats'!A:AM,26,0),)</f>
        <v>98</v>
      </c>
      <c r="N41" s="753">
        <f t="shared" si="3"/>
        <v>0</v>
      </c>
      <c r="O41" s="1212" t="str">
        <f t="shared" si="4"/>
        <v>F-</v>
      </c>
      <c r="P41" s="753">
        <f t="shared" si="5"/>
        <v>0</v>
      </c>
      <c r="Q41" s="1213" t="str">
        <f t="shared" si="6"/>
        <v>F-</v>
      </c>
      <c r="R41" s="753">
        <f t="shared" si="7"/>
        <v>0</v>
      </c>
      <c r="S41" s="1214" t="str">
        <f t="shared" si="8"/>
        <v>F-</v>
      </c>
      <c r="T41" s="614">
        <f t="shared" si="9"/>
        <v>0</v>
      </c>
      <c r="U41" s="1217" t="str">
        <f t="shared" si="10"/>
        <v>F-</v>
      </c>
      <c r="V41" s="753">
        <f t="shared" si="11"/>
        <v>0</v>
      </c>
      <c r="W41" s="1217" t="str">
        <f t="shared" si="12"/>
        <v>F-</v>
      </c>
      <c r="X41" s="753">
        <f t="shared" si="13"/>
        <v>0</v>
      </c>
      <c r="Y41" s="1217" t="str">
        <f t="shared" si="14"/>
        <v>F-</v>
      </c>
      <c r="Z41" s="753">
        <f t="shared" si="15"/>
        <v>0</v>
      </c>
      <c r="AA41" s="1219" t="str">
        <f t="shared" si="16"/>
        <v>F-</v>
      </c>
      <c r="AB41" s="1258"/>
    </row>
    <row r="42">
      <c r="A42" s="1205" t="s">
        <v>222</v>
      </c>
      <c r="B42" s="1206">
        <f>IFERROR(VLOOKUP(A42,'Halo Infinite Stats'!A:AM,11,0),)</f>
        <v>0</v>
      </c>
      <c r="C42" s="1207">
        <f t="shared" si="1"/>
        <v>0</v>
      </c>
      <c r="D42" s="1208">
        <f t="shared" si="2"/>
        <v>0</v>
      </c>
      <c r="E42" s="1209">
        <f>IFERROR(VLOOKUP(A42,'Halo Infinite Stats'!A:AM,6,0),)</f>
        <v>12</v>
      </c>
      <c r="F42" s="614">
        <f>IFERROR(VLOOKUP(A42,'Halo Infinite Stats'!A:AM,5,0),)</f>
        <v>9</v>
      </c>
      <c r="G42" s="1210">
        <f>IFERROR(VLOOKUP(A42,'Halo Infinite Stats'!A:AM,8,0),)</f>
        <v>981</v>
      </c>
      <c r="H42" s="614">
        <f>IFERROR(VLOOKUP(A42,'Halo Infinite Stats'!A:AM,28,0),)</f>
        <v>0</v>
      </c>
      <c r="I42" s="1208">
        <f>IFERROR(VLOOKUP(A42,'Halo Infinite Stats'!A:AM,13,0),)+IFERROR(VLOOKUP(A42,'Halo Infinite Stats'!A:AM,14,0)+IFERROR(VLOOKUP(A42,'Halo Infinite Stats'!A:AM,15,0),""),"")</f>
        <v>11.55555556</v>
      </c>
      <c r="J42" s="614">
        <f>IFERROR(VLOOKUP(A42,'Halo Infinite Stats'!A:AM,18,0),)</f>
        <v>9</v>
      </c>
      <c r="K42" s="614">
        <f>IFERROR(VLOOKUP(A42,'Halo Infinite Stats'!A:AM,19,0),)</f>
        <v>55</v>
      </c>
      <c r="L42" s="753">
        <f>IFERROR(VLOOKUP(A42,'Halo Infinite Stats'!A:AM,27,0),)+IFERROR(VLOOKUP(A42,'Halo Infinite Stats'!A:AM,29,0),)+IFERROR(VLOOKUP(A42,'Halo Infinite Stats'!A:AM,30,0),)+IFERROR(VLOOKUP(A42,'Halo Infinite Stats'!A:AM,31,0),)+IFERROR(VLOOKUP(A42,'Halo Infinite Stats'!A:AM,32,0),)+IFERROR(VLOOKUP(A42,'Halo Infinite Stats'!A:AM,33,0),)</f>
        <v>87</v>
      </c>
      <c r="M42" s="1211">
        <f>IFERROR(VLOOKUP(A42,'Halo Infinite Stats'!A:AM,18,0),)+IFERROR(VLOOKUP(A42,'Halo Infinite Stats'!A:AM,19,0),)+IFERROR(VLOOKUP(A42,'Halo Infinite Stats'!A:AM,20,0),)+IFERROR(VLOOKUP(A42,'Halo Infinite Stats'!A:AM,21,0),)+IFERROR(VLOOKUP(A42,'Halo Infinite Stats'!A:AM,22,0),)+IFERROR(VLOOKUP(A42,'Halo Infinite Stats'!A:AM,23,0),)+IFERROR(VLOOKUP(A42,'Halo Infinite Stats'!A:AM,24,0),)+IFERROR(VLOOKUP(A42,'Halo Infinite Stats'!A:AM,25,0),)+IFERROR(VLOOKUP(A42,'Halo Infinite Stats'!A:AM,26,0),)</f>
        <v>80</v>
      </c>
      <c r="N42" s="753">
        <f t="shared" si="3"/>
        <v>0</v>
      </c>
      <c r="O42" s="1212" t="str">
        <f t="shared" si="4"/>
        <v>F-</v>
      </c>
      <c r="P42" s="753">
        <f t="shared" si="5"/>
        <v>0</v>
      </c>
      <c r="Q42" s="1213" t="str">
        <f t="shared" si="6"/>
        <v>F-</v>
      </c>
      <c r="R42" s="753">
        <f t="shared" si="7"/>
        <v>0</v>
      </c>
      <c r="S42" s="1214" t="str">
        <f t="shared" si="8"/>
        <v>F-</v>
      </c>
      <c r="T42" s="614">
        <f t="shared" si="9"/>
        <v>0</v>
      </c>
      <c r="U42" s="1217" t="str">
        <f t="shared" si="10"/>
        <v>F-</v>
      </c>
      <c r="V42" s="753">
        <f t="shared" si="11"/>
        <v>0</v>
      </c>
      <c r="W42" s="1217" t="str">
        <f t="shared" si="12"/>
        <v>F-</v>
      </c>
      <c r="X42" s="753">
        <f t="shared" si="13"/>
        <v>0</v>
      </c>
      <c r="Y42" s="1217" t="str">
        <f t="shared" si="14"/>
        <v>F-</v>
      </c>
      <c r="Z42" s="753">
        <f t="shared" si="15"/>
        <v>0</v>
      </c>
      <c r="AA42" s="1219" t="str">
        <f t="shared" si="16"/>
        <v>F-</v>
      </c>
      <c r="AB42" s="1258"/>
    </row>
    <row r="43">
      <c r="A43" s="1205" t="s">
        <v>62</v>
      </c>
      <c r="B43" s="1206">
        <f>IFERROR(VLOOKUP(A43,'Halo Infinite Stats'!A:AM,11,0),)</f>
        <v>1</v>
      </c>
      <c r="C43" s="1207">
        <f t="shared" si="1"/>
        <v>0</v>
      </c>
      <c r="D43" s="1208">
        <f t="shared" si="2"/>
        <v>0</v>
      </c>
      <c r="E43" s="1209">
        <f>IFERROR(VLOOKUP(A43,'Halo Infinite Stats'!A:AM,6,0),)</f>
        <v>88</v>
      </c>
      <c r="F43" s="614">
        <f>IFERROR(VLOOKUP(A43,'Halo Infinite Stats'!A:AM,5,0),)</f>
        <v>33</v>
      </c>
      <c r="G43" s="1210">
        <f>IFERROR(VLOOKUP(A43,'Halo Infinite Stats'!A:AM,8,0),)</f>
        <v>943</v>
      </c>
      <c r="H43" s="614">
        <f>IFERROR(VLOOKUP(A43,'Halo Infinite Stats'!A:AM,28,0),)</f>
        <v>1</v>
      </c>
      <c r="I43" s="1208">
        <f>IFERROR(VLOOKUP(A43,'Halo Infinite Stats'!A:AM,13,0),)+IFERROR(VLOOKUP(A43,'Halo Infinite Stats'!A:AM,14,0)+IFERROR(VLOOKUP(A43,'Halo Infinite Stats'!A:AM,15,0),""),"")</f>
        <v>39.04772004</v>
      </c>
      <c r="J43" s="614">
        <f>IFERROR(VLOOKUP(A43,'Halo Infinite Stats'!A:AM,18,0),)</f>
        <v>12</v>
      </c>
      <c r="K43" s="614">
        <f>IFERROR(VLOOKUP(A43,'Halo Infinite Stats'!A:AM,19,0),)</f>
        <v>174</v>
      </c>
      <c r="L43" s="753">
        <f>IFERROR(VLOOKUP(A43,'Halo Infinite Stats'!A:AM,27,0),)+IFERROR(VLOOKUP(A43,'Halo Infinite Stats'!A:AM,29,0),)+IFERROR(VLOOKUP(A43,'Halo Infinite Stats'!A:AM,30,0),)+IFERROR(VLOOKUP(A43,'Halo Infinite Stats'!A:AM,31,0),)+IFERROR(VLOOKUP(A43,'Halo Infinite Stats'!A:AM,32,0),)+IFERROR(VLOOKUP(A43,'Halo Infinite Stats'!A:AM,33,0),)</f>
        <v>237</v>
      </c>
      <c r="M43" s="1211">
        <f>IFERROR(VLOOKUP(A43,'Halo Infinite Stats'!A:AM,18,0),)+IFERROR(VLOOKUP(A43,'Halo Infinite Stats'!A:AM,19,0),)+IFERROR(VLOOKUP(A43,'Halo Infinite Stats'!A:AM,20,0),)+IFERROR(VLOOKUP(A43,'Halo Infinite Stats'!A:AM,21,0),)+IFERROR(VLOOKUP(A43,'Halo Infinite Stats'!A:AM,22,0),)+IFERROR(VLOOKUP(A43,'Halo Infinite Stats'!A:AM,23,0),)+IFERROR(VLOOKUP(A43,'Halo Infinite Stats'!A:AM,24,0),)+IFERROR(VLOOKUP(A43,'Halo Infinite Stats'!A:AM,25,0),)+IFERROR(VLOOKUP(A43,'Halo Infinite Stats'!A:AM,26,0),)</f>
        <v>268</v>
      </c>
      <c r="N43" s="753">
        <f t="shared" si="3"/>
        <v>1980</v>
      </c>
      <c r="O43" s="1212" t="str">
        <f t="shared" si="4"/>
        <v>S-</v>
      </c>
      <c r="P43" s="753">
        <f t="shared" si="5"/>
        <v>56580</v>
      </c>
      <c r="Q43" s="1213" t="str">
        <f t="shared" si="6"/>
        <v>A</v>
      </c>
      <c r="R43" s="753">
        <f t="shared" si="7"/>
        <v>60</v>
      </c>
      <c r="S43" s="1214" t="str">
        <f t="shared" si="8"/>
        <v>S</v>
      </c>
      <c r="T43" s="614">
        <f t="shared" si="9"/>
        <v>2342.863203</v>
      </c>
      <c r="U43" s="1217" t="str">
        <f t="shared" si="10"/>
        <v>S-</v>
      </c>
      <c r="V43" s="753">
        <f t="shared" si="11"/>
        <v>16080</v>
      </c>
      <c r="W43" s="1217" t="str">
        <f t="shared" si="12"/>
        <v>A+</v>
      </c>
      <c r="X43" s="753">
        <f t="shared" si="13"/>
        <v>5280</v>
      </c>
      <c r="Y43" s="1217" t="str">
        <f t="shared" si="14"/>
        <v>S-</v>
      </c>
      <c r="Z43" s="753">
        <f t="shared" si="15"/>
        <v>14220</v>
      </c>
      <c r="AA43" s="1219" t="str">
        <f t="shared" si="16"/>
        <v>S</v>
      </c>
      <c r="AB43" s="1258"/>
    </row>
    <row r="44">
      <c r="A44" s="1205" t="s">
        <v>209</v>
      </c>
      <c r="B44" s="1206" t="str">
        <f>IFERROR(VLOOKUP(A44,'Halo Infinite Stats'!A:AM,11,0),)</f>
        <v/>
      </c>
      <c r="C44" s="1207">
        <f t="shared" si="1"/>
        <v>0</v>
      </c>
      <c r="D44" s="1208">
        <f t="shared" si="2"/>
        <v>0</v>
      </c>
      <c r="E44" s="1209" t="str">
        <f>IFERROR(VLOOKUP(A44,'Halo Infinite Stats'!A:AM,6,0),)</f>
        <v/>
      </c>
      <c r="F44" s="614" t="str">
        <f>IFERROR(VLOOKUP(A44,'Halo Infinite Stats'!A:AM,5,0),)</f>
        <v/>
      </c>
      <c r="G44" s="1210" t="str">
        <f>IFERROR(VLOOKUP(A44,'Halo Infinite Stats'!A:AM,8,0),)</f>
        <v/>
      </c>
      <c r="H44" s="614" t="str">
        <f>IFERROR(VLOOKUP(A44,'Halo Infinite Stats'!A:AM,28,0),)</f>
        <v/>
      </c>
      <c r="I44" s="1208">
        <f>IFERROR(VLOOKUP(A44,'Halo Infinite Stats'!A:AM,13,0),)+IFERROR(VLOOKUP(A44,'Halo Infinite Stats'!A:AM,14,0)+IFERROR(VLOOKUP(A44,'Halo Infinite Stats'!A:AM,15,0),""),"")</f>
        <v>0</v>
      </c>
      <c r="J44" s="614" t="str">
        <f>IFERROR(VLOOKUP(A44,'Halo Infinite Stats'!A:AM,18,0),)</f>
        <v/>
      </c>
      <c r="K44" s="614" t="str">
        <f>IFERROR(VLOOKUP(A44,'Halo Infinite Stats'!A:AM,19,0),)</f>
        <v/>
      </c>
      <c r="L44" s="753">
        <f>IFERROR(VLOOKUP(A44,'Halo Infinite Stats'!A:AM,27,0),)+IFERROR(VLOOKUP(A44,'Halo Infinite Stats'!A:AM,29,0),)+IFERROR(VLOOKUP(A44,'Halo Infinite Stats'!A:AM,30,0),)+IFERROR(VLOOKUP(A44,'Halo Infinite Stats'!A:AM,31,0),)+IFERROR(VLOOKUP(A44,'Halo Infinite Stats'!A:AM,32,0),)+IFERROR(VLOOKUP(A44,'Halo Infinite Stats'!A:AM,33,0),)</f>
        <v>0</v>
      </c>
      <c r="M44" s="1211">
        <f>IFERROR(VLOOKUP(A44,'Halo Infinite Stats'!A:AM,18,0),)+IFERROR(VLOOKUP(A44,'Halo Infinite Stats'!A:AM,19,0),)+IFERROR(VLOOKUP(A44,'Halo Infinite Stats'!A:AM,20,0),)+IFERROR(VLOOKUP(A44,'Halo Infinite Stats'!A:AM,21,0),)+IFERROR(VLOOKUP(A44,'Halo Infinite Stats'!A:AM,22,0),)+IFERROR(VLOOKUP(A44,'Halo Infinite Stats'!A:AM,23,0),)+IFERROR(VLOOKUP(A44,'Halo Infinite Stats'!A:AM,24,0),)+IFERROR(VLOOKUP(A44,'Halo Infinite Stats'!A:AM,25,0),)+IFERROR(VLOOKUP(A44,'Halo Infinite Stats'!A:AM,26,0),)</f>
        <v>0</v>
      </c>
      <c r="N44" s="753">
        <f t="shared" si="3"/>
        <v>0</v>
      </c>
      <c r="O44" s="1212" t="str">
        <f t="shared" si="4"/>
        <v>F-</v>
      </c>
      <c r="P44" s="753">
        <f t="shared" si="5"/>
        <v>0</v>
      </c>
      <c r="Q44" s="1213" t="str">
        <f t="shared" si="6"/>
        <v>F-</v>
      </c>
      <c r="R44" s="753">
        <f t="shared" si="7"/>
        <v>0</v>
      </c>
      <c r="S44" s="1214" t="str">
        <f t="shared" si="8"/>
        <v>F-</v>
      </c>
      <c r="T44" s="614">
        <f t="shared" si="9"/>
        <v>0</v>
      </c>
      <c r="U44" s="1217" t="str">
        <f t="shared" si="10"/>
        <v>F-</v>
      </c>
      <c r="V44" s="753">
        <f t="shared" si="11"/>
        <v>0</v>
      </c>
      <c r="W44" s="1217" t="str">
        <f t="shared" si="12"/>
        <v>F-</v>
      </c>
      <c r="X44" s="753">
        <f t="shared" si="13"/>
        <v>0</v>
      </c>
      <c r="Y44" s="1217" t="str">
        <f t="shared" si="14"/>
        <v>F-</v>
      </c>
      <c r="Z44" s="753">
        <f t="shared" si="15"/>
        <v>0</v>
      </c>
      <c r="AA44" s="1219" t="str">
        <f t="shared" si="16"/>
        <v>F-</v>
      </c>
      <c r="AB44" s="1258"/>
    </row>
    <row r="45">
      <c r="A45" s="1256" t="s">
        <v>395</v>
      </c>
      <c r="B45" s="1261"/>
      <c r="E45" s="1209">
        <f>IFERROR(VLOOKUP(A45,'Halo Infinite Stats'!A:AM,6,0),)</f>
        <v>32</v>
      </c>
      <c r="G45" s="1210">
        <f>IFERROR(VLOOKUP(A45,'Halo Infinite Stats'!A:AM,8,0),)</f>
        <v>771</v>
      </c>
      <c r="I45" s="1208"/>
      <c r="J45" s="614">
        <f>IFERROR(VLOOKUP(A45,'Halo Infinite Stats'!A:AM,18,0),)</f>
        <v>9</v>
      </c>
      <c r="K45" s="614">
        <f>IFERROR(VLOOKUP(A45,'Halo Infinite Stats'!A:AM,19,0),)</f>
        <v>110</v>
      </c>
      <c r="M45" s="1211"/>
      <c r="O45" s="1211"/>
      <c r="Q45" s="1211"/>
      <c r="R45" s="753">
        <f t="shared" si="7"/>
        <v>0</v>
      </c>
      <c r="S45" s="1211"/>
      <c r="T45" s="614">
        <f t="shared" si="9"/>
        <v>0</v>
      </c>
      <c r="U45" s="1211"/>
      <c r="W45" s="1211"/>
      <c r="X45" s="753">
        <f t="shared" si="13"/>
        <v>0</v>
      </c>
      <c r="Y45" s="1211"/>
      <c r="Z45" s="753">
        <f t="shared" si="15"/>
        <v>0</v>
      </c>
      <c r="AB45" s="1258"/>
    </row>
    <row r="46">
      <c r="B46" s="863"/>
      <c r="G46" s="1210" t="str">
        <f>IFERROR(VLOOKUP(A46,'Halo Infinite Stats'!A:AM,8,0),)</f>
        <v/>
      </c>
      <c r="I46" s="1208"/>
      <c r="J46" s="614" t="str">
        <f>IFERROR(VLOOKUP(A46,'Halo Infinite Stats'!A:AM,18,0),)</f>
        <v/>
      </c>
      <c r="K46" s="614" t="str">
        <f>IFERROR(VLOOKUP(A46,'Halo Infinite Stats'!A:AM,19,0),)</f>
        <v/>
      </c>
      <c r="M46" s="1211"/>
      <c r="O46" s="1211"/>
      <c r="Q46" s="1211"/>
      <c r="S46" s="1211"/>
      <c r="U46" s="1211"/>
      <c r="W46" s="1211"/>
      <c r="Y46" s="1211"/>
      <c r="AB46" s="1258"/>
    </row>
    <row r="47">
      <c r="B47" s="863"/>
      <c r="I47" s="1208"/>
      <c r="J47" s="614" t="str">
        <f>IFERROR(VLOOKUP(A47,'Halo Infinite Stats'!A:AM,18,0),)</f>
        <v/>
      </c>
      <c r="K47" s="614" t="str">
        <f>IFERROR(VLOOKUP(A47,'Halo Infinite Stats'!A:AM,19,0),)</f>
        <v/>
      </c>
      <c r="M47" s="1211"/>
      <c r="O47" s="1211"/>
      <c r="Q47" s="1211"/>
      <c r="S47" s="1211"/>
      <c r="U47" s="1211"/>
      <c r="W47" s="1211"/>
      <c r="Y47" s="1211"/>
      <c r="AB47" s="1258"/>
    </row>
    <row r="48">
      <c r="B48" s="863"/>
      <c r="K48" s="614" t="str">
        <f>IFERROR(VLOOKUP(A48,'Halo Infinite Stats'!A:AM,19,0),)</f>
        <v/>
      </c>
      <c r="M48" s="1211"/>
      <c r="O48" s="1211"/>
      <c r="Q48" s="1211"/>
      <c r="S48" s="1211"/>
      <c r="U48" s="1211"/>
      <c r="W48" s="1211"/>
      <c r="Y48" s="1211"/>
      <c r="AB48" s="1258"/>
    </row>
    <row r="49">
      <c r="B49" s="863"/>
      <c r="K49" s="614" t="str">
        <f>IFERROR(VLOOKUP(A49,'Halo Infinite Stats'!A:AM,19,0),)</f>
        <v/>
      </c>
      <c r="M49" s="1211"/>
      <c r="O49" s="1211"/>
      <c r="Q49" s="1211"/>
      <c r="S49" s="1211"/>
      <c r="U49" s="1211"/>
      <c r="W49" s="1211"/>
      <c r="Y49" s="1211"/>
      <c r="AB49" s="1258"/>
    </row>
    <row r="50">
      <c r="B50" s="863"/>
      <c r="M50" s="1211"/>
      <c r="O50" s="1211"/>
      <c r="Q50" s="1211"/>
      <c r="S50" s="1211"/>
      <c r="U50" s="1211"/>
      <c r="W50" s="1211"/>
      <c r="Y50" s="1211"/>
      <c r="AB50" s="1258"/>
    </row>
    <row r="51">
      <c r="B51" s="863"/>
      <c r="M51" s="1211"/>
      <c r="O51" s="1211"/>
      <c r="Q51" s="1211"/>
      <c r="S51" s="1211"/>
      <c r="U51" s="1211"/>
      <c r="W51" s="1211"/>
      <c r="Y51" s="1211"/>
      <c r="AB51" s="1258"/>
    </row>
    <row r="52">
      <c r="B52" s="863"/>
      <c r="M52" s="1211"/>
      <c r="O52" s="1211"/>
      <c r="Q52" s="1211"/>
      <c r="S52" s="1211"/>
      <c r="U52" s="1211"/>
      <c r="W52" s="1211"/>
      <c r="Y52" s="1211"/>
      <c r="AB52" s="1258"/>
    </row>
    <row r="53">
      <c r="B53" s="863"/>
      <c r="M53" s="1211"/>
      <c r="O53" s="1211"/>
      <c r="Q53" s="1211"/>
      <c r="S53" s="1211"/>
      <c r="U53" s="1211"/>
      <c r="W53" s="1211"/>
      <c r="Y53" s="1211"/>
      <c r="AB53" s="1258"/>
    </row>
    <row r="54">
      <c r="B54" s="863"/>
      <c r="M54" s="1211"/>
      <c r="O54" s="1211"/>
      <c r="Q54" s="1211"/>
      <c r="S54" s="1211"/>
      <c r="U54" s="1211"/>
      <c r="W54" s="1211"/>
      <c r="Y54" s="1211"/>
      <c r="AB54" s="1258"/>
    </row>
    <row r="55">
      <c r="B55" s="863"/>
      <c r="M55" s="1211"/>
      <c r="O55" s="1211"/>
      <c r="Q55" s="1211"/>
      <c r="S55" s="1211"/>
      <c r="U55" s="1211"/>
      <c r="W55" s="1211"/>
      <c r="Y55" s="1211"/>
      <c r="AB55" s="1258"/>
    </row>
    <row r="56">
      <c r="B56" s="863"/>
      <c r="M56" s="1211"/>
      <c r="O56" s="1211"/>
      <c r="Q56" s="1211"/>
      <c r="S56" s="1211"/>
      <c r="U56" s="1211"/>
      <c r="W56" s="1211"/>
      <c r="Y56" s="1211"/>
      <c r="AB56" s="1258"/>
    </row>
    <row r="57">
      <c r="B57" s="863"/>
      <c r="L57" s="1260"/>
      <c r="M57" s="1263"/>
      <c r="N57" s="1260"/>
      <c r="O57" s="1263"/>
      <c r="Q57" s="1211"/>
      <c r="S57" s="1211"/>
      <c r="U57" s="1211"/>
      <c r="W57" s="1211"/>
      <c r="Y57" s="1211"/>
      <c r="AB57" s="1258"/>
    </row>
    <row r="58">
      <c r="B58" s="863"/>
      <c r="M58" s="1211"/>
      <c r="O58" s="1211"/>
      <c r="Q58" s="1211"/>
      <c r="S58" s="1211"/>
      <c r="U58" s="1211"/>
      <c r="W58" s="1211"/>
      <c r="Y58" s="1211"/>
      <c r="AB58" s="1258"/>
    </row>
    <row r="59">
      <c r="B59" s="863"/>
      <c r="M59" s="1211"/>
      <c r="O59" s="1211"/>
      <c r="Q59" s="1211"/>
      <c r="S59" s="1211"/>
      <c r="U59" s="1211"/>
      <c r="W59" s="1211"/>
      <c r="Y59" s="1211"/>
      <c r="AB59" s="1258"/>
    </row>
    <row r="60">
      <c r="B60" s="863"/>
      <c r="L60" s="1260"/>
      <c r="M60" s="1263"/>
      <c r="N60" s="1260"/>
      <c r="O60" s="1263"/>
      <c r="Q60" s="1211"/>
      <c r="S60" s="1211"/>
      <c r="U60" s="1211"/>
      <c r="W60" s="1211"/>
      <c r="Y60" s="1211"/>
      <c r="AB60" s="1258"/>
    </row>
    <row r="61">
      <c r="B61" s="863"/>
      <c r="L61" s="1260"/>
      <c r="M61" s="1263"/>
      <c r="O61" s="1211"/>
      <c r="Q61" s="1211"/>
      <c r="S61" s="1211"/>
      <c r="U61" s="1211"/>
      <c r="W61" s="1211"/>
      <c r="Y61" s="1211"/>
      <c r="AB61" s="1258"/>
    </row>
    <row r="62">
      <c r="B62" s="863"/>
      <c r="L62" s="1260"/>
      <c r="M62" s="1263"/>
      <c r="O62" s="1211"/>
      <c r="Q62" s="1211"/>
      <c r="S62" s="1211"/>
      <c r="U62" s="1211"/>
      <c r="W62" s="1211"/>
      <c r="Y62" s="1211"/>
      <c r="AB62" s="1258"/>
    </row>
    <row r="63">
      <c r="B63" s="863"/>
      <c r="M63" s="1211"/>
      <c r="O63" s="1211"/>
      <c r="Q63" s="1211"/>
      <c r="S63" s="1211"/>
      <c r="U63" s="1211"/>
      <c r="W63" s="1211"/>
      <c r="Y63" s="1211"/>
      <c r="AB63" s="1258"/>
    </row>
    <row r="64">
      <c r="B64" s="863"/>
      <c r="F64" s="1260" t="str">
        <f>HOUR(TIMEVALUE("0:"&amp;B5))*3600+MINUTE(TIMEVALUE("0:"&amp;B5))*60+SECOND(TIMEVALUE("0:"&amp;B5))</f>
        <v>#VALUE!</v>
      </c>
      <c r="M64" s="1211"/>
      <c r="O64" s="1211"/>
      <c r="Q64" s="1211"/>
      <c r="S64" s="1211"/>
      <c r="U64" s="1211"/>
      <c r="W64" s="1211"/>
      <c r="Y64" s="1211"/>
      <c r="AB64" s="1258"/>
    </row>
    <row r="65">
      <c r="B65" s="863"/>
      <c r="F65" s="1264" t="s">
        <v>929</v>
      </c>
      <c r="M65" s="1211"/>
      <c r="O65" s="1211"/>
      <c r="Q65" s="1211"/>
      <c r="S65" s="1211"/>
      <c r="U65" s="1211"/>
      <c r="W65" s="1211"/>
      <c r="Y65" s="1211"/>
      <c r="AB65" s="1258"/>
    </row>
    <row r="66">
      <c r="B66" s="863"/>
      <c r="F66" s="1265" t="str">
        <f>HOUR(TIMEVALUE("0:"&amp;B5))*3600+MINUTE(TIMEVALUE("0:"&amp;B5))*60+SECOND(TIMEVALUE("0:"&amp;B5))</f>
        <v>#VALUE!</v>
      </c>
      <c r="M66" s="1211"/>
      <c r="O66" s="1211"/>
      <c r="Q66" s="1211"/>
      <c r="S66" s="1211"/>
      <c r="U66" s="1211"/>
      <c r="W66" s="1211"/>
      <c r="Y66" s="1211"/>
      <c r="AB66" s="1258"/>
    </row>
    <row r="67">
      <c r="B67" s="863"/>
      <c r="H67" s="619">
        <f>(K2-(G2*4))/G2</f>
        <v>-3.735015773</v>
      </c>
      <c r="M67" s="1211"/>
      <c r="O67" s="1211"/>
      <c r="Q67" s="1211"/>
      <c r="S67" s="1211"/>
      <c r="U67" s="1211"/>
      <c r="W67" s="1211"/>
      <c r="Y67" s="1211"/>
      <c r="AB67" s="1258"/>
    </row>
    <row r="68">
      <c r="B68" s="863"/>
      <c r="M68" s="1211"/>
      <c r="O68" s="1211"/>
      <c r="Q68" s="1211"/>
      <c r="S68" s="1211"/>
      <c r="U68" s="1211"/>
      <c r="W68" s="1211"/>
      <c r="Y68" s="1211"/>
      <c r="AB68" s="1258"/>
    </row>
    <row r="69">
      <c r="B69" s="863"/>
      <c r="C69" s="1260" t="s">
        <v>930</v>
      </c>
      <c r="M69" s="1211"/>
      <c r="O69" s="1211"/>
      <c r="Q69" s="1211"/>
      <c r="S69" s="1211"/>
      <c r="U69" s="1211"/>
      <c r="W69" s="1211"/>
      <c r="Y69" s="1211"/>
      <c r="AB69" s="1258"/>
    </row>
    <row r="70">
      <c r="B70" s="863"/>
      <c r="M70" s="1211"/>
      <c r="O70" s="1211"/>
      <c r="Q70" s="1211"/>
      <c r="S70" s="1211"/>
      <c r="U70" s="1211"/>
      <c r="W70" s="1211"/>
      <c r="Y70" s="1211"/>
      <c r="AB70" s="1258"/>
    </row>
    <row r="71">
      <c r="B71" s="863"/>
      <c r="M71" s="1211"/>
      <c r="O71" s="1211"/>
      <c r="Q71" s="1211"/>
      <c r="S71" s="1211"/>
      <c r="U71" s="1211"/>
      <c r="W71" s="1211"/>
      <c r="Y71" s="1211"/>
      <c r="AB71" s="1258"/>
    </row>
    <row r="72">
      <c r="B72" s="863"/>
      <c r="C72" s="1266" t="s">
        <v>23</v>
      </c>
      <c r="D72" s="1260" t="s">
        <v>931</v>
      </c>
      <c r="E72" s="1260" t="s">
        <v>932</v>
      </c>
      <c r="G72" s="1267" t="s">
        <v>933</v>
      </c>
      <c r="H72" s="1260" t="s">
        <v>934</v>
      </c>
      <c r="I72" s="1260" t="s">
        <v>935</v>
      </c>
      <c r="K72" s="1260" t="s">
        <v>936</v>
      </c>
      <c r="L72" s="1260" t="s">
        <v>937</v>
      </c>
      <c r="M72" s="1211"/>
      <c r="O72" s="1211"/>
      <c r="Q72" s="1211"/>
      <c r="S72" s="1211"/>
      <c r="U72" s="1211"/>
      <c r="W72" s="1211"/>
      <c r="Y72" s="1211"/>
      <c r="AB72" s="1258"/>
    </row>
    <row r="73">
      <c r="B73" s="1268" t="s">
        <v>206</v>
      </c>
      <c r="C73" s="1269">
        <f>IFERROR(VLOOKUP(B73,'Halo Infinite Stats'!A:AM,7,0),)</f>
        <v>1110</v>
      </c>
      <c r="D73" s="1270">
        <f t="shared" ref="D73:D76" si="17">L73/C73</f>
        <v>-4</v>
      </c>
      <c r="K73" s="614">
        <f t="shared" ref="K73:K115" si="18">C73*4</f>
        <v>4440</v>
      </c>
      <c r="L73" s="863">
        <f t="shared" ref="L73:L115" si="19">C2-K73</f>
        <v>-4440</v>
      </c>
      <c r="M73" s="1211"/>
      <c r="O73" s="1211"/>
      <c r="Q73" s="1211"/>
      <c r="S73" s="1211"/>
      <c r="U73" s="1211"/>
      <c r="W73" s="1211"/>
      <c r="Y73" s="1211"/>
      <c r="AB73" s="1258"/>
    </row>
    <row r="74">
      <c r="B74" s="1268" t="s">
        <v>220</v>
      </c>
      <c r="C74" s="1269">
        <f>IFERROR(VLOOKUP(B74,'Halo Infinite Stats'!A:AM,7,0),)</f>
        <v>462</v>
      </c>
      <c r="D74" s="1270">
        <f t="shared" si="17"/>
        <v>-4</v>
      </c>
      <c r="K74" s="614">
        <f t="shared" si="18"/>
        <v>1848</v>
      </c>
      <c r="L74" s="863">
        <f t="shared" si="19"/>
        <v>-1848</v>
      </c>
      <c r="M74" s="1211"/>
      <c r="O74" s="1211"/>
      <c r="Q74" s="1211"/>
      <c r="S74" s="1211"/>
      <c r="U74" s="1211"/>
      <c r="W74" s="1211"/>
      <c r="Y74" s="1211"/>
      <c r="AB74" s="1258"/>
    </row>
    <row r="75">
      <c r="B75" s="1268" t="s">
        <v>249</v>
      </c>
      <c r="C75" s="1269">
        <f>IFERROR(VLOOKUP(B75,'Halo Infinite Stats'!A:AM,7,0),)</f>
        <v>401</v>
      </c>
      <c r="D75" s="1271">
        <f t="shared" si="17"/>
        <v>-4</v>
      </c>
      <c r="K75" s="614">
        <f t="shared" si="18"/>
        <v>1604</v>
      </c>
      <c r="L75" s="863">
        <f t="shared" si="19"/>
        <v>-1604</v>
      </c>
      <c r="M75" s="1211"/>
      <c r="O75" s="1211"/>
      <c r="Q75" s="1211"/>
      <c r="S75" s="1211"/>
      <c r="U75" s="1211"/>
      <c r="W75" s="1211"/>
      <c r="Y75" s="1211"/>
      <c r="AB75" s="1258"/>
    </row>
    <row r="76">
      <c r="B76" s="1268" t="s">
        <v>52</v>
      </c>
      <c r="C76" s="1269">
        <f>IFERROR(VLOOKUP(B76,'Halo Infinite Stats'!A:AM,7,0),)</f>
        <v>1135</v>
      </c>
      <c r="D76" s="1271">
        <f t="shared" si="17"/>
        <v>-4</v>
      </c>
      <c r="K76" s="614">
        <f t="shared" si="18"/>
        <v>4540</v>
      </c>
      <c r="L76" s="863">
        <f t="shared" si="19"/>
        <v>-4540</v>
      </c>
      <c r="M76" s="1211"/>
      <c r="O76" s="1211"/>
      <c r="Q76" s="1211"/>
      <c r="S76" s="1211"/>
      <c r="U76" s="1211"/>
      <c r="W76" s="1211"/>
      <c r="Y76" s="1211"/>
      <c r="AB76" s="1258"/>
    </row>
    <row r="77">
      <c r="B77" s="1268" t="s">
        <v>174</v>
      </c>
      <c r="C77" s="1269">
        <f>IFERROR(VLOOKUP(B77,'Halo Infinite Stats'!A:AM,7,0),)</f>
        <v>1016</v>
      </c>
      <c r="D77" s="1271">
        <f t="shared" ref="D77:D115" si="20">IFERROR(L77/C77,0)</f>
        <v>-4</v>
      </c>
      <c r="K77" s="614">
        <f t="shared" si="18"/>
        <v>4064</v>
      </c>
      <c r="L77" s="863">
        <f t="shared" si="19"/>
        <v>-4064</v>
      </c>
      <c r="M77" s="1211"/>
      <c r="O77" s="1211"/>
      <c r="Q77" s="1211"/>
      <c r="S77" s="1211"/>
      <c r="U77" s="1211"/>
      <c r="W77" s="1211"/>
      <c r="Y77" s="1211"/>
      <c r="AB77" s="1258"/>
    </row>
    <row r="78">
      <c r="B78" s="1268" t="s">
        <v>83</v>
      </c>
      <c r="C78" s="1269">
        <f>IFERROR(VLOOKUP(B78,'Halo Infinite Stats'!A:AM,7,0),)</f>
        <v>228</v>
      </c>
      <c r="D78" s="1271">
        <f t="shared" si="20"/>
        <v>-4</v>
      </c>
      <c r="K78" s="614">
        <f t="shared" si="18"/>
        <v>912</v>
      </c>
      <c r="L78" s="863">
        <f t="shared" si="19"/>
        <v>-912</v>
      </c>
      <c r="M78" s="1211"/>
      <c r="O78" s="1211"/>
      <c r="Q78" s="1211"/>
      <c r="S78" s="1211"/>
      <c r="U78" s="1211"/>
      <c r="W78" s="1211"/>
      <c r="Y78" s="1211"/>
      <c r="AB78" s="1258"/>
    </row>
    <row r="79">
      <c r="B79" s="1268" t="s">
        <v>914</v>
      </c>
      <c r="C79" s="1269" t="str">
        <f>IFERROR(VLOOKUP(B79,'Halo Infinite Stats'!A:AM,7,0),)</f>
        <v/>
      </c>
      <c r="D79" s="1271">
        <f t="shared" si="20"/>
        <v>0</v>
      </c>
      <c r="K79" s="614">
        <f t="shared" si="18"/>
        <v>0</v>
      </c>
      <c r="L79" s="863">
        <f t="shared" si="19"/>
        <v>0</v>
      </c>
      <c r="M79" s="1211"/>
      <c r="O79" s="1211"/>
      <c r="Q79" s="1211"/>
      <c r="S79" s="1211"/>
      <c r="U79" s="1211"/>
      <c r="W79" s="1211"/>
      <c r="Y79" s="1211"/>
      <c r="AB79" s="1258"/>
    </row>
    <row r="80">
      <c r="B80" s="1268" t="s">
        <v>79</v>
      </c>
      <c r="C80" s="1269">
        <f>IFERROR(VLOOKUP(B80,'Halo Infinite Stats'!A:AM,7,0),)</f>
        <v>656</v>
      </c>
      <c r="D80" s="1271">
        <f t="shared" si="20"/>
        <v>-4</v>
      </c>
      <c r="K80" s="614">
        <f t="shared" si="18"/>
        <v>2624</v>
      </c>
      <c r="L80" s="863">
        <f t="shared" si="19"/>
        <v>-2624</v>
      </c>
      <c r="M80" s="1211"/>
      <c r="O80" s="1211"/>
      <c r="Q80" s="1211"/>
      <c r="S80" s="1211"/>
      <c r="U80" s="1211"/>
      <c r="W80" s="1211"/>
      <c r="Y80" s="1211"/>
      <c r="AB80" s="1258"/>
    </row>
    <row r="81">
      <c r="B81" s="1268" t="s">
        <v>57</v>
      </c>
      <c r="C81" s="1269">
        <f>IFERROR(VLOOKUP(B81,'Halo Infinite Stats'!A:AM,7,0),)</f>
        <v>174</v>
      </c>
      <c r="D81" s="1271">
        <f t="shared" si="20"/>
        <v>-4</v>
      </c>
      <c r="K81" s="614">
        <f t="shared" si="18"/>
        <v>696</v>
      </c>
      <c r="L81" s="863">
        <f t="shared" si="19"/>
        <v>-696</v>
      </c>
      <c r="M81" s="1211"/>
      <c r="O81" s="1211"/>
      <c r="Q81" s="1211"/>
      <c r="S81" s="1211"/>
      <c r="U81" s="1211"/>
      <c r="W81" s="1211"/>
      <c r="Y81" s="1211"/>
      <c r="AB81" s="1258"/>
    </row>
    <row r="82">
      <c r="B82" s="1268" t="s">
        <v>69</v>
      </c>
      <c r="C82" s="1269">
        <f>IFERROR(VLOOKUP(B82,'Halo Infinite Stats'!A:AM,7,0),)</f>
        <v>289</v>
      </c>
      <c r="D82" s="1271">
        <f t="shared" si="20"/>
        <v>-4</v>
      </c>
      <c r="K82" s="614">
        <f t="shared" si="18"/>
        <v>1156</v>
      </c>
      <c r="L82" s="863">
        <f t="shared" si="19"/>
        <v>-1156</v>
      </c>
      <c r="M82" s="1211"/>
      <c r="O82" s="1211"/>
      <c r="Q82" s="1211"/>
      <c r="S82" s="1211"/>
      <c r="U82" s="1211"/>
      <c r="W82" s="1211"/>
      <c r="Y82" s="1211"/>
      <c r="AB82" s="1258"/>
    </row>
    <row r="83">
      <c r="B83" s="1268" t="s">
        <v>41</v>
      </c>
      <c r="C83" s="1269">
        <f>IFERROR(VLOOKUP(B83,'Halo Infinite Stats'!A:AM,7,0),)</f>
        <v>766</v>
      </c>
      <c r="D83" s="1271">
        <f t="shared" si="20"/>
        <v>-4</v>
      </c>
      <c r="F83" s="664"/>
      <c r="G83" s="664"/>
      <c r="H83" s="290" t="s">
        <v>938</v>
      </c>
      <c r="K83" s="614">
        <f t="shared" si="18"/>
        <v>3064</v>
      </c>
      <c r="L83" s="863">
        <f t="shared" si="19"/>
        <v>-3064</v>
      </c>
      <c r="M83" s="1211"/>
      <c r="O83" s="1211"/>
      <c r="Q83" s="1211"/>
      <c r="S83" s="1211"/>
      <c r="U83" s="1211"/>
      <c r="W83" s="1211"/>
      <c r="Y83" s="1211"/>
      <c r="AB83" s="1258"/>
    </row>
    <row r="84">
      <c r="B84" s="1268" t="s">
        <v>46</v>
      </c>
      <c r="C84" s="1269">
        <f>IFERROR(VLOOKUP(B84,'Halo Infinite Stats'!A:AM,7,0),)</f>
        <v>680</v>
      </c>
      <c r="D84" s="1271">
        <f t="shared" si="20"/>
        <v>-4</v>
      </c>
      <c r="F84" s="664"/>
      <c r="G84" s="664"/>
      <c r="H84" s="664"/>
      <c r="I84" s="1278" t="str">
        <f>($U$47*(VLOOKUP(D38, $T$3:$U$23, 2, FALSE)))+($U$48*(VLOOKUP(E38, $T$3:$U$23, 2, FALSE)))+($U$49*(VLOOKUP(F38, $T$3:$U$23, 2, FALSE)))+($U$50*(VLOOKUP(G38, $T$3:$U$23, 2, FALSE)))+($U$51*(VLOOKUP(H38, $T$3:$U$23, 2, FALSE)))+($U$52*(VLOOKUP(I38, $T$3:$U$23, 2, FALSE)))+($U$53*(VLOOKUP(J38, $T$3:$U$23, 2, FALSE)))+($U$54*(VLOOKUP(#REF!, $T$3:$U$23, 2, FALSE)))+($U$55*(VLOOKUP(#REF!, $T$3:$U$23, 2, FALSE)))</f>
        <v>#VALUE!</v>
      </c>
      <c r="J84" s="1279"/>
      <c r="K84" s="614">
        <f t="shared" si="18"/>
        <v>2720</v>
      </c>
      <c r="L84" s="863">
        <f t="shared" si="19"/>
        <v>-2720</v>
      </c>
      <c r="M84" s="1211"/>
      <c r="O84" s="1211"/>
      <c r="Q84" s="1211"/>
      <c r="S84" s="1211"/>
      <c r="U84" s="1211"/>
      <c r="W84" s="1211"/>
      <c r="Y84" s="1211"/>
      <c r="AB84" s="1258"/>
    </row>
    <row r="85">
      <c r="B85" s="1268" t="s">
        <v>197</v>
      </c>
      <c r="C85" s="1269">
        <f>IFERROR(VLOOKUP(B85,'Halo Infinite Stats'!A:AM,7,0),)</f>
        <v>1079</v>
      </c>
      <c r="D85" s="1271">
        <f t="shared" si="20"/>
        <v>-4</v>
      </c>
      <c r="F85" s="664"/>
      <c r="G85" s="664"/>
      <c r="H85" s="664"/>
      <c r="I85" s="664"/>
      <c r="J85" s="1279"/>
      <c r="K85" s="614">
        <f t="shared" si="18"/>
        <v>4316</v>
      </c>
      <c r="L85" s="863">
        <f t="shared" si="19"/>
        <v>-4316</v>
      </c>
      <c r="M85" s="1211"/>
      <c r="O85" s="1211"/>
      <c r="Q85" s="1211"/>
      <c r="S85" s="1211"/>
      <c r="U85" s="1211"/>
      <c r="W85" s="1211"/>
      <c r="Y85" s="1211"/>
      <c r="AB85" s="1258"/>
    </row>
    <row r="86">
      <c r="B86" s="1268" t="s">
        <v>195</v>
      </c>
      <c r="C86" s="1269">
        <f>IFERROR(VLOOKUP(B86,'Halo Infinite Stats'!A:AM,7,0),)</f>
        <v>596</v>
      </c>
      <c r="D86" s="1271">
        <f t="shared" si="20"/>
        <v>-4</v>
      </c>
      <c r="F86" s="664"/>
      <c r="G86" s="664"/>
      <c r="H86" s="664"/>
      <c r="I86" s="664"/>
      <c r="J86" s="1279"/>
      <c r="K86" s="614">
        <f t="shared" si="18"/>
        <v>2384</v>
      </c>
      <c r="L86" s="863">
        <f t="shared" si="19"/>
        <v>-2384</v>
      </c>
      <c r="M86" s="1211"/>
      <c r="O86" s="1211"/>
      <c r="Q86" s="1211"/>
      <c r="S86" s="1211"/>
      <c r="U86" s="1211"/>
      <c r="W86" s="1211"/>
      <c r="Y86" s="1211"/>
      <c r="AB86" s="1258"/>
    </row>
    <row r="87">
      <c r="B87" s="1268" t="s">
        <v>80</v>
      </c>
      <c r="C87" s="1269">
        <f>IFERROR(VLOOKUP(B87,'Halo Infinite Stats'!A:AM,7,0),)</f>
        <v>999</v>
      </c>
      <c r="D87" s="1271">
        <f t="shared" si="20"/>
        <v>-4</v>
      </c>
      <c r="F87" s="1280" t="s">
        <v>939</v>
      </c>
      <c r="G87" s="664"/>
      <c r="H87" s="664"/>
      <c r="I87" s="290" t="s">
        <v>926</v>
      </c>
      <c r="J87" s="1279"/>
      <c r="K87" s="614">
        <f t="shared" si="18"/>
        <v>3996</v>
      </c>
      <c r="L87" s="863">
        <f t="shared" si="19"/>
        <v>-3996</v>
      </c>
      <c r="M87" s="1211"/>
      <c r="O87" s="1211"/>
      <c r="Q87" s="1211"/>
      <c r="S87" s="1211"/>
      <c r="U87" s="1211"/>
      <c r="W87" s="1211"/>
      <c r="Y87" s="1211"/>
      <c r="AB87" s="1258"/>
    </row>
    <row r="88">
      <c r="B88" s="1268" t="s">
        <v>44</v>
      </c>
      <c r="C88" s="1269">
        <f>IFERROR(VLOOKUP(B88,'Halo Infinite Stats'!A:AM,7,0),)</f>
        <v>748</v>
      </c>
      <c r="D88" s="1271">
        <f t="shared" si="20"/>
        <v>-4</v>
      </c>
      <c r="F88" s="290" t="str">
        <f>TEXT(#REF!/86400, "hh:mm:ss")</f>
        <v>#REF!</v>
      </c>
      <c r="G88" s="664"/>
      <c r="H88" s="664"/>
      <c r="I88" s="290" t="s">
        <v>231</v>
      </c>
      <c r="J88" s="1279"/>
      <c r="K88" s="614">
        <f t="shared" si="18"/>
        <v>2992</v>
      </c>
      <c r="L88" s="863">
        <f t="shared" si="19"/>
        <v>-2992</v>
      </c>
      <c r="M88" s="1211"/>
      <c r="O88" s="1211"/>
      <c r="Q88" s="1211"/>
      <c r="S88" s="1211"/>
      <c r="U88" s="1211"/>
      <c r="W88" s="1211"/>
      <c r="Y88" s="1211"/>
      <c r="AB88" s="1258"/>
    </row>
    <row r="89">
      <c r="B89" s="1268" t="s">
        <v>68</v>
      </c>
      <c r="C89" s="1269">
        <f>IFERROR(VLOOKUP(B89,'Halo Infinite Stats'!A:AM,7,0),)</f>
        <v>725</v>
      </c>
      <c r="D89" s="1271">
        <f t="shared" si="20"/>
        <v>-4</v>
      </c>
      <c r="F89" s="290" t="s">
        <v>940</v>
      </c>
      <c r="G89" s="664"/>
      <c r="H89" s="664"/>
      <c r="I89" s="290" t="s">
        <v>924</v>
      </c>
      <c r="J89" s="1279"/>
      <c r="K89" s="614">
        <f t="shared" si="18"/>
        <v>2900</v>
      </c>
      <c r="L89" s="863">
        <f t="shared" si="19"/>
        <v>-2900</v>
      </c>
      <c r="M89" s="1211"/>
      <c r="O89" s="1211"/>
      <c r="Q89" s="1211"/>
      <c r="S89" s="1211"/>
      <c r="U89" s="1211"/>
      <c r="W89" s="1211"/>
      <c r="Y89" s="1211"/>
      <c r="AB89" s="1258"/>
    </row>
    <row r="90">
      <c r="B90" s="1268" t="s">
        <v>185</v>
      </c>
      <c r="C90" s="1269">
        <f>IFERROR(VLOOKUP(B90,'Halo Infinite Stats'!A:AM,7,0),)</f>
        <v>831</v>
      </c>
      <c r="D90" s="1271">
        <f t="shared" si="20"/>
        <v>-4</v>
      </c>
      <c r="F90" s="1278" t="str">
        <f>HOUR(TIMEVALUE("0:"&amp;#REF!))*3600+MINUTE(TIMEVALUE("0:"&amp;#REF!))*60+SECOND(TIMEVALUE("0:"&amp;#REF!))</f>
        <v>#REF!</v>
      </c>
      <c r="G90" s="664"/>
      <c r="H90" s="664"/>
      <c r="I90" s="290" t="s">
        <v>20</v>
      </c>
      <c r="J90" s="1279"/>
      <c r="K90" s="614">
        <f t="shared" si="18"/>
        <v>3324</v>
      </c>
      <c r="L90" s="863">
        <f t="shared" si="19"/>
        <v>-3324</v>
      </c>
      <c r="M90" s="1211"/>
      <c r="O90" s="1211"/>
      <c r="Q90" s="1211"/>
      <c r="S90" s="1211"/>
      <c r="U90" s="1211"/>
      <c r="W90" s="1211"/>
      <c r="Y90" s="1211"/>
      <c r="AB90" s="1258"/>
    </row>
    <row r="91">
      <c r="B91" s="1268" t="s">
        <v>172</v>
      </c>
      <c r="C91" s="1269">
        <f>IFERROR(VLOOKUP(B91,'Halo Infinite Stats'!A:AM,7,0),)</f>
        <v>2042</v>
      </c>
      <c r="D91" s="1271">
        <f t="shared" si="20"/>
        <v>-4</v>
      </c>
      <c r="F91" s="290" t="s">
        <v>941</v>
      </c>
      <c r="G91" s="664"/>
      <c r="H91" s="664"/>
      <c r="I91" s="290" t="s">
        <v>22</v>
      </c>
      <c r="J91" s="1279"/>
      <c r="K91" s="614">
        <f t="shared" si="18"/>
        <v>8168</v>
      </c>
      <c r="L91" s="863">
        <f t="shared" si="19"/>
        <v>-8168</v>
      </c>
      <c r="M91" s="1211"/>
      <c r="O91" s="1211"/>
      <c r="Q91" s="1211"/>
      <c r="S91" s="1211"/>
      <c r="U91" s="1211"/>
      <c r="W91" s="1211"/>
      <c r="Y91" s="1211"/>
      <c r="AB91" s="1258"/>
    </row>
    <row r="92">
      <c r="B92" s="1268" t="s">
        <v>162</v>
      </c>
      <c r="C92" s="1269">
        <f>IFERROR(VLOOKUP(B92,'Halo Infinite Stats'!A:AM,7,0),)</f>
        <v>1145</v>
      </c>
      <c r="D92" s="1271">
        <f t="shared" si="20"/>
        <v>-4</v>
      </c>
      <c r="F92" s="1278" t="str">
        <f>HOUR(TIMEVALUE("0:"&amp;#REF!))*3600+MINUTE(TIMEVALUE("0:"&amp;#REF!))*60+SECOND(TIMEVALUE("0:"&amp;#REF!))</f>
        <v>#REF!</v>
      </c>
      <c r="G92" s="664"/>
      <c r="H92" s="664"/>
      <c r="I92" s="290" t="s">
        <v>942</v>
      </c>
      <c r="J92" s="1279"/>
      <c r="K92" s="614">
        <f t="shared" si="18"/>
        <v>4580</v>
      </c>
      <c r="L92" s="863">
        <f t="shared" si="19"/>
        <v>-4580</v>
      </c>
      <c r="M92" s="1211"/>
      <c r="O92" s="1211"/>
      <c r="Q92" s="1211"/>
      <c r="S92" s="1211"/>
      <c r="U92" s="1211"/>
      <c r="W92" s="1211"/>
      <c r="Y92" s="1211"/>
      <c r="AB92" s="1258"/>
    </row>
    <row r="93">
      <c r="B93" s="1268" t="s">
        <v>75</v>
      </c>
      <c r="C93" s="1269">
        <f>IFERROR(VLOOKUP(B93,'Halo Infinite Stats'!A:AM,7,0),)</f>
        <v>1227</v>
      </c>
      <c r="D93" s="1271">
        <f t="shared" si="20"/>
        <v>-4</v>
      </c>
      <c r="F93" s="290" t="s">
        <v>943</v>
      </c>
      <c r="G93" s="664"/>
      <c r="H93" s="664"/>
      <c r="I93" s="290" t="s">
        <v>29</v>
      </c>
      <c r="J93" s="1279"/>
      <c r="K93" s="614">
        <f t="shared" si="18"/>
        <v>4908</v>
      </c>
      <c r="L93" s="863">
        <f t="shared" si="19"/>
        <v>-4908</v>
      </c>
      <c r="M93" s="1211"/>
      <c r="O93" s="1211"/>
      <c r="Q93" s="1211"/>
      <c r="R93" s="753"/>
      <c r="S93" s="1281"/>
      <c r="U93" s="1211"/>
      <c r="W93" s="1211"/>
      <c r="Y93" s="1211"/>
      <c r="AB93" s="1258"/>
    </row>
    <row r="94">
      <c r="B94" s="1268" t="s">
        <v>66</v>
      </c>
      <c r="C94" s="1269">
        <f>IFERROR(VLOOKUP(B94,'Halo Infinite Stats'!A:AM,7,0),)</f>
        <v>1053</v>
      </c>
      <c r="D94" s="1271">
        <f t="shared" si="20"/>
        <v>-4</v>
      </c>
      <c r="F94" s="290" t="str">
        <f>HOUR(#REF!) * 3600 + MINUTE(#REF!) * 60 + SECOND(#REF!)</f>
        <v>#REF!</v>
      </c>
      <c r="G94" s="664"/>
      <c r="H94" s="664"/>
      <c r="I94" s="664"/>
      <c r="J94" s="664"/>
      <c r="K94" s="614">
        <f t="shared" si="18"/>
        <v>4212</v>
      </c>
      <c r="L94" s="863">
        <f t="shared" si="19"/>
        <v>-4212</v>
      </c>
      <c r="M94" s="1211"/>
      <c r="O94" s="1211"/>
      <c r="Q94" s="1211"/>
      <c r="S94" s="1211"/>
      <c r="U94" s="1211"/>
      <c r="W94" s="1211"/>
      <c r="Y94" s="1211"/>
      <c r="AB94" s="1258"/>
    </row>
    <row r="95">
      <c r="B95" s="1268" t="s">
        <v>82</v>
      </c>
      <c r="C95" s="1269">
        <f>IFERROR(VLOOKUP(B95,'Halo Infinite Stats'!A:AM,7,0),)</f>
        <v>739</v>
      </c>
      <c r="D95" s="1271">
        <f t="shared" si="20"/>
        <v>-4</v>
      </c>
      <c r="K95" s="614">
        <f t="shared" si="18"/>
        <v>2956</v>
      </c>
      <c r="L95" s="863">
        <f t="shared" si="19"/>
        <v>-2956</v>
      </c>
      <c r="M95" s="1211"/>
      <c r="O95" s="1211"/>
      <c r="Q95" s="1211"/>
      <c r="S95" s="1211"/>
      <c r="U95" s="1211"/>
      <c r="W95" s="1211"/>
      <c r="Y95" s="1211"/>
      <c r="AB95" s="1258"/>
    </row>
    <row r="96">
      <c r="B96" s="1268" t="s">
        <v>48</v>
      </c>
      <c r="C96" s="1269">
        <f>IFERROR(VLOOKUP(B96,'Halo Infinite Stats'!A:AM,7,0),)</f>
        <v>599</v>
      </c>
      <c r="D96" s="1271">
        <f t="shared" si="20"/>
        <v>-4</v>
      </c>
      <c r="I96" s="1260" t="s">
        <v>944</v>
      </c>
      <c r="K96" s="614">
        <f t="shared" si="18"/>
        <v>2396</v>
      </c>
      <c r="L96" s="863">
        <f t="shared" si="19"/>
        <v>-2396</v>
      </c>
      <c r="M96" s="1211"/>
      <c r="O96" s="1211"/>
      <c r="Q96" s="1211"/>
      <c r="S96" s="1211"/>
      <c r="U96" s="1211"/>
      <c r="W96" s="1211"/>
      <c r="Y96" s="1211"/>
      <c r="AB96" s="1258"/>
    </row>
    <row r="97">
      <c r="B97" s="1268" t="s">
        <v>54</v>
      </c>
      <c r="C97" s="1269">
        <f>IFERROR(VLOOKUP(B97,'Halo Infinite Stats'!A:AM,7,0),)</f>
        <v>906</v>
      </c>
      <c r="D97" s="1271">
        <f t="shared" si="20"/>
        <v>-4</v>
      </c>
      <c r="K97" s="614">
        <f t="shared" si="18"/>
        <v>3624</v>
      </c>
      <c r="L97" s="863">
        <f t="shared" si="19"/>
        <v>-3624</v>
      </c>
      <c r="M97" s="1211"/>
      <c r="O97" s="1211"/>
      <c r="Q97" s="1211"/>
      <c r="S97" s="1211"/>
      <c r="U97" s="1211"/>
      <c r="W97" s="1211"/>
      <c r="Y97" s="1211"/>
      <c r="AB97" s="1258"/>
    </row>
    <row r="98">
      <c r="B98" s="1268" t="s">
        <v>160</v>
      </c>
      <c r="C98" s="1269">
        <f>IFERROR(VLOOKUP(B98,'Halo Infinite Stats'!A:AM,7,0),)</f>
        <v>946</v>
      </c>
      <c r="D98" s="1271">
        <f t="shared" si="20"/>
        <v>-4</v>
      </c>
      <c r="K98" s="614">
        <f t="shared" si="18"/>
        <v>3784</v>
      </c>
      <c r="L98" s="863">
        <f t="shared" si="19"/>
        <v>-3784</v>
      </c>
      <c r="M98" s="1211"/>
      <c r="O98" s="1211"/>
      <c r="Q98" s="1211"/>
      <c r="S98" s="1211"/>
      <c r="U98" s="1211"/>
      <c r="W98" s="1211"/>
      <c r="Y98" s="1211"/>
      <c r="AB98" s="1258"/>
    </row>
    <row r="99">
      <c r="B99" s="1268" t="s">
        <v>74</v>
      </c>
      <c r="C99" s="1269">
        <f>IFERROR(VLOOKUP(B99,'Halo Infinite Stats'!A:AM,7,0),)</f>
        <v>818</v>
      </c>
      <c r="D99" s="1271">
        <f t="shared" si="20"/>
        <v>-4</v>
      </c>
      <c r="K99" s="614">
        <f t="shared" si="18"/>
        <v>3272</v>
      </c>
      <c r="L99" s="863">
        <f t="shared" si="19"/>
        <v>-3272</v>
      </c>
      <c r="M99" s="1211"/>
      <c r="O99" s="1211"/>
      <c r="Q99" s="1211"/>
      <c r="S99" s="1211"/>
      <c r="U99" s="1211"/>
      <c r="W99" s="1211"/>
      <c r="Y99" s="1211"/>
      <c r="AB99" s="1258"/>
    </row>
    <row r="100">
      <c r="B100" s="1268" t="s">
        <v>40</v>
      </c>
      <c r="C100" s="1269">
        <f>IFERROR(VLOOKUP(B100,'Halo Infinite Stats'!A:AM,7,0),)</f>
        <v>371</v>
      </c>
      <c r="D100" s="1271">
        <f t="shared" si="20"/>
        <v>-4</v>
      </c>
      <c r="K100" s="614">
        <f t="shared" si="18"/>
        <v>1484</v>
      </c>
      <c r="L100" s="863">
        <f t="shared" si="19"/>
        <v>-1484</v>
      </c>
      <c r="M100" s="1211"/>
      <c r="O100" s="1211"/>
      <c r="Q100" s="1211"/>
      <c r="S100" s="1211"/>
      <c r="U100" s="1211"/>
      <c r="W100" s="1211"/>
      <c r="Y100" s="1211"/>
      <c r="AB100" s="1258"/>
    </row>
    <row r="101">
      <c r="B101" s="1268" t="s">
        <v>78</v>
      </c>
      <c r="C101" s="1269">
        <f>IFERROR(VLOOKUP(B101,'Halo Infinite Stats'!A:AM,7,0),)</f>
        <v>145</v>
      </c>
      <c r="D101" s="1271">
        <f t="shared" si="20"/>
        <v>-4</v>
      </c>
      <c r="K101" s="614">
        <f t="shared" si="18"/>
        <v>580</v>
      </c>
      <c r="L101" s="863">
        <f t="shared" si="19"/>
        <v>-580</v>
      </c>
      <c r="M101" s="1211"/>
      <c r="O101" s="1211"/>
      <c r="Q101" s="1211"/>
      <c r="S101" s="1211"/>
      <c r="U101" s="1211"/>
      <c r="W101" s="1211"/>
      <c r="Y101" s="1211"/>
      <c r="AB101" s="1258"/>
    </row>
    <row r="102">
      <c r="B102" s="1286" t="s">
        <v>93</v>
      </c>
      <c r="C102" s="1269">
        <f>IFERROR(VLOOKUP(B102,'Halo Infinite Stats'!A:AM,7,0),)</f>
        <v>1008</v>
      </c>
      <c r="D102" s="1271">
        <f t="shared" si="20"/>
        <v>-4</v>
      </c>
      <c r="K102" s="614">
        <f t="shared" si="18"/>
        <v>4032</v>
      </c>
      <c r="L102" s="863">
        <f t="shared" si="19"/>
        <v>-4032</v>
      </c>
      <c r="M102" s="1211"/>
      <c r="O102" s="1211"/>
      <c r="Q102" s="1211"/>
      <c r="S102" s="1211"/>
      <c r="U102" s="1211"/>
      <c r="W102" s="1211"/>
      <c r="Y102" s="1211"/>
      <c r="AB102" s="1258"/>
    </row>
    <row r="103">
      <c r="B103" s="1268" t="s">
        <v>187</v>
      </c>
      <c r="C103" s="1269">
        <f>IFERROR(VLOOKUP(B103,'Halo Infinite Stats'!A:AM,7,0),)</f>
        <v>467</v>
      </c>
      <c r="D103" s="1271">
        <f t="shared" si="20"/>
        <v>-4</v>
      </c>
      <c r="K103" s="614">
        <f t="shared" si="18"/>
        <v>1868</v>
      </c>
      <c r="L103" s="863">
        <f t="shared" si="19"/>
        <v>-1868</v>
      </c>
      <c r="M103" s="1211"/>
      <c r="O103" s="1211"/>
      <c r="Q103" s="1211"/>
      <c r="S103" s="1211"/>
      <c r="U103" s="1211"/>
      <c r="W103" s="1211"/>
      <c r="Y103" s="1211"/>
      <c r="AB103" s="1258"/>
    </row>
    <row r="104">
      <c r="B104" s="1268" t="s">
        <v>49</v>
      </c>
      <c r="C104" s="1269">
        <f>IFERROR(VLOOKUP(B104,'Halo Infinite Stats'!A:AM,7,0),)</f>
        <v>963</v>
      </c>
      <c r="D104" s="1271">
        <f t="shared" si="20"/>
        <v>-4</v>
      </c>
      <c r="K104" s="614">
        <f t="shared" si="18"/>
        <v>3852</v>
      </c>
      <c r="L104" s="863">
        <f t="shared" si="19"/>
        <v>-3852</v>
      </c>
      <c r="M104" s="1211"/>
      <c r="O104" s="1211"/>
      <c r="Q104" s="1211"/>
      <c r="S104" s="1211"/>
      <c r="U104" s="1211"/>
      <c r="W104" s="1211"/>
      <c r="Y104" s="1211"/>
      <c r="AB104" s="1258"/>
    </row>
    <row r="105">
      <c r="B105" s="1268" t="s">
        <v>921</v>
      </c>
      <c r="C105" s="1269" t="str">
        <f>IFERROR(VLOOKUP(B105,'Halo Infinite Stats'!A:AM,7,0),)</f>
        <v/>
      </c>
      <c r="D105" s="1271">
        <f t="shared" si="20"/>
        <v>0</v>
      </c>
      <c r="K105" s="614">
        <f t="shared" si="18"/>
        <v>0</v>
      </c>
      <c r="L105" s="863">
        <f t="shared" si="19"/>
        <v>0</v>
      </c>
      <c r="M105" s="1211"/>
      <c r="O105" s="1211"/>
      <c r="Q105" s="1211"/>
      <c r="S105" s="1211"/>
      <c r="U105" s="1211"/>
      <c r="W105" s="1211"/>
      <c r="Y105" s="1211"/>
      <c r="AB105" s="1258"/>
    </row>
    <row r="106">
      <c r="B106" s="1286" t="s">
        <v>923</v>
      </c>
      <c r="C106" s="1269" t="str">
        <f>IFERROR(VLOOKUP(B106,'Halo Infinite Stats'!A:AM,7,0),)</f>
        <v/>
      </c>
      <c r="D106" s="1271">
        <f t="shared" si="20"/>
        <v>0</v>
      </c>
      <c r="K106" s="614">
        <f t="shared" si="18"/>
        <v>0</v>
      </c>
      <c r="L106" s="863">
        <f t="shared" si="19"/>
        <v>0</v>
      </c>
      <c r="M106" s="1211"/>
      <c r="O106" s="1211"/>
      <c r="Q106" s="1211"/>
      <c r="S106" s="1211"/>
      <c r="U106" s="1211"/>
      <c r="W106" s="1211"/>
      <c r="Y106" s="1211"/>
      <c r="AB106" s="1258"/>
    </row>
    <row r="107">
      <c r="B107" s="1268" t="s">
        <v>251</v>
      </c>
      <c r="C107" s="1269">
        <f>IFERROR(VLOOKUP(B107,'Halo Infinite Stats'!A:AM,7,0),)</f>
        <v>112</v>
      </c>
      <c r="D107" s="1271">
        <f t="shared" si="20"/>
        <v>-4</v>
      </c>
      <c r="K107" s="614">
        <f t="shared" si="18"/>
        <v>448</v>
      </c>
      <c r="L107" s="863">
        <f t="shared" si="19"/>
        <v>-448</v>
      </c>
      <c r="M107" s="1211"/>
      <c r="O107" s="1211"/>
      <c r="Q107" s="1211"/>
      <c r="S107" s="1211"/>
      <c r="U107" s="1211"/>
      <c r="W107" s="1211"/>
      <c r="Y107" s="1211"/>
      <c r="AB107" s="1258"/>
    </row>
    <row r="108">
      <c r="B108" s="1268" t="s">
        <v>100</v>
      </c>
      <c r="C108" s="1269" t="str">
        <f>IFERROR(VLOOKUP(B108,'Halo Infinite Stats'!A:AM,7,0),)</f>
        <v/>
      </c>
      <c r="D108" s="1271">
        <f t="shared" si="20"/>
        <v>0</v>
      </c>
      <c r="K108" s="614">
        <f t="shared" si="18"/>
        <v>0</v>
      </c>
      <c r="L108" s="863">
        <f t="shared" si="19"/>
        <v>0</v>
      </c>
      <c r="M108" s="1211"/>
      <c r="O108" s="1211"/>
      <c r="Q108" s="1211"/>
      <c r="S108" s="1211"/>
      <c r="U108" s="1211"/>
      <c r="W108" s="1211"/>
      <c r="Y108" s="1211"/>
      <c r="AB108" s="1258"/>
    </row>
    <row r="109">
      <c r="B109" s="1268" t="s">
        <v>200</v>
      </c>
      <c r="C109" s="1269">
        <f>IFERROR(VLOOKUP(B109,'Halo Infinite Stats'!A:AM,7,0),)</f>
        <v>54</v>
      </c>
      <c r="D109" s="1271">
        <f t="shared" si="20"/>
        <v>-4</v>
      </c>
      <c r="K109" s="614">
        <f t="shared" si="18"/>
        <v>216</v>
      </c>
      <c r="L109" s="863">
        <f t="shared" si="19"/>
        <v>-216</v>
      </c>
      <c r="M109" s="1211"/>
      <c r="O109" s="1211"/>
      <c r="Q109" s="1211"/>
      <c r="S109" s="1211"/>
      <c r="U109" s="1211"/>
      <c r="W109" s="1211"/>
      <c r="Y109" s="1211"/>
      <c r="AB109" s="1258"/>
    </row>
    <row r="110">
      <c r="B110" s="1268" t="s">
        <v>106</v>
      </c>
      <c r="C110" s="1269">
        <f>IFERROR(VLOOKUP(B110,'Halo Infinite Stats'!A:AM,7,0),)</f>
        <v>1031</v>
      </c>
      <c r="D110" s="1271">
        <f t="shared" si="20"/>
        <v>-4</v>
      </c>
      <c r="K110" s="614">
        <f t="shared" si="18"/>
        <v>4124</v>
      </c>
      <c r="L110" s="863">
        <f t="shared" si="19"/>
        <v>-4124</v>
      </c>
      <c r="M110" s="1211"/>
      <c r="O110" s="1211"/>
      <c r="Q110" s="1211"/>
      <c r="S110" s="1211"/>
      <c r="U110" s="1211"/>
      <c r="W110" s="1211"/>
      <c r="Y110" s="1211"/>
      <c r="AB110" s="1258"/>
    </row>
    <row r="111">
      <c r="B111" s="1286" t="s">
        <v>149</v>
      </c>
      <c r="C111" s="1269">
        <f>IFERROR(VLOOKUP(B111,'Halo Infinite Stats'!A:AM,7,0),)</f>
        <v>1603</v>
      </c>
      <c r="D111" s="1271">
        <f t="shared" si="20"/>
        <v>-4</v>
      </c>
      <c r="K111" s="614">
        <f t="shared" si="18"/>
        <v>6412</v>
      </c>
      <c r="L111" s="863">
        <f t="shared" si="19"/>
        <v>-6412</v>
      </c>
      <c r="M111" s="1211"/>
      <c r="O111" s="1211"/>
      <c r="Q111" s="1211"/>
      <c r="S111" s="1211"/>
      <c r="U111" s="1211"/>
      <c r="W111" s="1211"/>
      <c r="Y111" s="1211"/>
      <c r="AB111" s="1258"/>
    </row>
    <row r="112">
      <c r="B112" s="1286" t="s">
        <v>9</v>
      </c>
      <c r="C112" s="1269">
        <f>IFERROR(VLOOKUP(B112,'Halo Infinite Stats'!A:AM,7,0),)</f>
        <v>545</v>
      </c>
      <c r="D112" s="1271">
        <f t="shared" si="20"/>
        <v>-4</v>
      </c>
      <c r="K112" s="614">
        <f t="shared" si="18"/>
        <v>2180</v>
      </c>
      <c r="L112" s="863">
        <f t="shared" si="19"/>
        <v>-2180</v>
      </c>
      <c r="M112" s="1211"/>
      <c r="O112" s="1211"/>
      <c r="Q112" s="1211"/>
      <c r="S112" s="1211"/>
      <c r="U112" s="1211"/>
      <c r="W112" s="1211"/>
      <c r="Y112" s="1211"/>
      <c r="AB112" s="1258"/>
    </row>
    <row r="113">
      <c r="B113" s="1268" t="s">
        <v>222</v>
      </c>
      <c r="C113" s="1269">
        <f>IFERROR(VLOOKUP(B113,'Halo Infinite Stats'!A:AM,7,0),)</f>
        <v>464</v>
      </c>
      <c r="D113" s="1271">
        <f t="shared" si="20"/>
        <v>-4</v>
      </c>
      <c r="K113" s="614">
        <f t="shared" si="18"/>
        <v>1856</v>
      </c>
      <c r="L113" s="863">
        <f t="shared" si="19"/>
        <v>-1856</v>
      </c>
      <c r="M113" s="1211"/>
      <c r="O113" s="1211"/>
      <c r="Q113" s="1211"/>
      <c r="S113" s="1211"/>
      <c r="U113" s="1211"/>
      <c r="W113" s="1211"/>
      <c r="Y113" s="1211"/>
      <c r="AB113" s="1258"/>
    </row>
    <row r="114">
      <c r="B114" s="1268" t="s">
        <v>62</v>
      </c>
      <c r="C114" s="1269">
        <f>IFERROR(VLOOKUP(B114,'Halo Infinite Stats'!A:AM,7,0),)</f>
        <v>985</v>
      </c>
      <c r="D114" s="1271">
        <f t="shared" si="20"/>
        <v>-4</v>
      </c>
      <c r="K114" s="614">
        <f t="shared" si="18"/>
        <v>3940</v>
      </c>
      <c r="L114" s="863">
        <f t="shared" si="19"/>
        <v>-3940</v>
      </c>
      <c r="M114" s="1211"/>
      <c r="O114" s="1211"/>
      <c r="Q114" s="1211"/>
      <c r="S114" s="1211"/>
      <c r="U114" s="1211"/>
      <c r="W114" s="1211"/>
      <c r="Y114" s="1211"/>
      <c r="AB114" s="1258"/>
    </row>
    <row r="115">
      <c r="B115" s="1268" t="s">
        <v>209</v>
      </c>
      <c r="C115" s="1269" t="str">
        <f>IFERROR(VLOOKUP(B115,'Halo Infinite Stats'!A:AM,7,0),)</f>
        <v/>
      </c>
      <c r="D115" s="1271">
        <f t="shared" si="20"/>
        <v>0</v>
      </c>
      <c r="K115" s="614">
        <f t="shared" si="18"/>
        <v>0</v>
      </c>
      <c r="L115" s="863">
        <f t="shared" si="19"/>
        <v>0</v>
      </c>
      <c r="M115" s="1211"/>
      <c r="O115" s="1211"/>
      <c r="Q115" s="1211"/>
      <c r="S115" s="1211"/>
      <c r="U115" s="1211"/>
      <c r="W115" s="1211"/>
      <c r="Y115" s="1211"/>
      <c r="AB115" s="1258"/>
    </row>
    <row r="116">
      <c r="B116" s="863"/>
      <c r="M116" s="1211"/>
      <c r="O116" s="1211"/>
      <c r="Q116" s="1211"/>
      <c r="S116" s="1211"/>
      <c r="U116" s="1211"/>
      <c r="W116" s="1211"/>
      <c r="Y116" s="1211"/>
      <c r="AB116" s="1258"/>
    </row>
    <row r="117">
      <c r="B117" s="863"/>
      <c r="M117" s="1211"/>
      <c r="O117" s="1211"/>
      <c r="Q117" s="1211"/>
      <c r="S117" s="1211"/>
      <c r="U117" s="1211"/>
      <c r="W117" s="1211"/>
      <c r="Y117" s="1211"/>
      <c r="AB117" s="1258"/>
    </row>
    <row r="118">
      <c r="B118" s="863"/>
      <c r="M118" s="1211"/>
      <c r="O118" s="1211"/>
      <c r="Q118" s="1211"/>
      <c r="S118" s="1211"/>
      <c r="U118" s="1211"/>
      <c r="W118" s="1211"/>
      <c r="Y118" s="1211"/>
      <c r="AB118" s="1258"/>
    </row>
    <row r="119">
      <c r="B119" s="863"/>
      <c r="M119" s="1211"/>
      <c r="O119" s="1211"/>
      <c r="Q119" s="1211"/>
      <c r="S119" s="1211"/>
      <c r="U119" s="1211"/>
      <c r="W119" s="1211"/>
      <c r="Y119" s="1211"/>
      <c r="AB119" s="1258"/>
    </row>
    <row r="120">
      <c r="A120" s="11"/>
      <c r="B120" s="86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288"/>
      <c r="N120" s="11"/>
      <c r="O120" s="1288"/>
      <c r="P120" s="11"/>
      <c r="Q120" s="1288"/>
      <c r="R120" s="11"/>
      <c r="S120" s="1288"/>
      <c r="T120" s="11"/>
      <c r="U120" s="1288"/>
      <c r="V120" s="11"/>
      <c r="W120" s="1288"/>
      <c r="X120" s="11"/>
      <c r="Y120" s="1288"/>
      <c r="Z120" s="11"/>
      <c r="AA120" s="11"/>
      <c r="AB120" s="1289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>
      <c r="B121" s="863"/>
      <c r="C121" s="1290" t="s">
        <v>945</v>
      </c>
      <c r="M121" s="1211"/>
      <c r="O121" s="1211"/>
      <c r="Q121" s="1211"/>
      <c r="S121" s="1211"/>
      <c r="U121" s="1211"/>
      <c r="W121" s="1211"/>
      <c r="Y121" s="1211"/>
      <c r="AB121" s="1258"/>
    </row>
    <row r="122">
      <c r="B122" s="863"/>
      <c r="M122" s="1211"/>
      <c r="O122" s="1211"/>
      <c r="Q122" s="1211"/>
      <c r="S122" s="1211"/>
      <c r="U122" s="1211"/>
      <c r="W122" s="1211"/>
      <c r="Y122" s="1211"/>
      <c r="AB122" s="1258"/>
    </row>
    <row r="123">
      <c r="B123" s="863"/>
      <c r="C123" s="1291" t="s">
        <v>58</v>
      </c>
      <c r="E123" s="1292" t="s">
        <v>946</v>
      </c>
      <c r="G123" s="1293" t="s">
        <v>947</v>
      </c>
      <c r="M123" s="1211"/>
      <c r="O123" s="1211"/>
      <c r="Q123" s="1211"/>
      <c r="S123" s="1211"/>
      <c r="U123" s="1211"/>
      <c r="W123" s="1211"/>
      <c r="Y123" s="1211"/>
      <c r="AB123" s="1258"/>
    </row>
    <row r="124">
      <c r="B124" s="863"/>
      <c r="C124" s="614" t="str">
        <f>IFERROR(__xludf.DUMMYFUNCTION("Query('PlayerGrades+'!A2:F44,""Select A,F where A&lt;&gt;'' Order by F Desc"")"),"Ace B S1lentND1")</f>
        <v>Ace B S1lentND1</v>
      </c>
      <c r="D124" s="864">
        <f>IFERROR(__xludf.DUMMYFUNCTION("""COMPUTED_VALUE"""),0.9526809904857918)</f>
        <v>0.9526809905</v>
      </c>
      <c r="M124" s="1211"/>
      <c r="O124" s="1211"/>
      <c r="Q124" s="1211"/>
      <c r="S124" s="1211"/>
      <c r="U124" s="1211"/>
      <c r="W124" s="1211"/>
      <c r="Y124" s="1211"/>
      <c r="AB124" s="1258"/>
    </row>
    <row r="125">
      <c r="B125" s="863"/>
      <c r="C125" s="614" t="str">
        <f>IFERROR(__xludf.DUMMYFUNCTION("""COMPUTED_VALUE"""),"Fanciest Pants")</f>
        <v>Fanciest Pants</v>
      </c>
      <c r="D125" s="864">
        <f>IFERROR(__xludf.DUMMYFUNCTION("""COMPUTED_VALUE"""),0.9070087036188731)</f>
        <v>0.9070087036</v>
      </c>
      <c r="M125" s="1211"/>
      <c r="O125" s="1211"/>
      <c r="Q125" s="1211"/>
      <c r="S125" s="1211"/>
      <c r="U125" s="1211"/>
      <c r="W125" s="1211"/>
      <c r="Y125" s="1211"/>
      <c r="AB125" s="1258"/>
    </row>
    <row r="126">
      <c r="B126" s="863"/>
      <c r="C126" s="614" t="str">
        <f>IFERROR(__xludf.DUMMYFUNCTION("""COMPUTED_VALUE"""),"MysticalNovice")</f>
        <v>MysticalNovice</v>
      </c>
      <c r="D126" s="864">
        <f>IFERROR(__xludf.DUMMYFUNCTION("""COMPUTED_VALUE"""),0.8165038002171553)</f>
        <v>0.8165038002</v>
      </c>
      <c r="M126" s="1211"/>
      <c r="O126" s="1211"/>
      <c r="Q126" s="1211"/>
      <c r="S126" s="1211"/>
      <c r="U126" s="1211"/>
      <c r="W126" s="1211"/>
      <c r="Y126" s="1211"/>
      <c r="AB126" s="1258"/>
    </row>
    <row r="127">
      <c r="B127" s="863"/>
      <c r="C127" s="614" t="str">
        <f>IFERROR(__xludf.DUMMYFUNCTION("""COMPUTED_VALUE"""),"Jussshhhyyy")</f>
        <v>Jussshhhyyy</v>
      </c>
      <c r="D127" s="864">
        <f>IFERROR(__xludf.DUMMYFUNCTION("""COMPUTED_VALUE"""),0.7959356477561388)</f>
        <v>0.7959356478</v>
      </c>
      <c r="M127" s="1211"/>
      <c r="O127" s="1211"/>
      <c r="Q127" s="1211"/>
      <c r="S127" s="1211"/>
      <c r="U127" s="1211"/>
      <c r="W127" s="1211"/>
      <c r="Y127" s="1211"/>
      <c r="AB127" s="1258"/>
    </row>
    <row r="128">
      <c r="B128" s="863"/>
      <c r="C128" s="614" t="str">
        <f>IFERROR(__xludf.DUMMYFUNCTION("""COMPUTED_VALUE"""),"SPANKTR0N")</f>
        <v>SPANKTR0N</v>
      </c>
      <c r="D128" s="864">
        <f>IFERROR(__xludf.DUMMYFUNCTION("""COMPUTED_VALUE"""),0.6962436852898515)</f>
        <v>0.6962436853</v>
      </c>
      <c r="M128" s="1211"/>
      <c r="O128" s="1211"/>
      <c r="Q128" s="1211"/>
      <c r="S128" s="1211"/>
      <c r="U128" s="1211"/>
      <c r="W128" s="1211"/>
      <c r="Y128" s="1211"/>
      <c r="AB128" s="1258"/>
    </row>
    <row r="129">
      <c r="B129" s="863"/>
      <c r="C129" s="614" t="str">
        <f>IFERROR(__xludf.DUMMYFUNCTION("""COMPUTED_VALUE"""),"Memorized")</f>
        <v>Memorized</v>
      </c>
      <c r="D129" s="864">
        <f>IFERROR(__xludf.DUMMYFUNCTION("""COMPUTED_VALUE"""),0.6289308176100629)</f>
        <v>0.6289308176</v>
      </c>
      <c r="M129" s="1211"/>
      <c r="O129" s="1211"/>
      <c r="Q129" s="1211"/>
      <c r="S129" s="1211"/>
      <c r="U129" s="1211"/>
      <c r="W129" s="1211"/>
      <c r="Y129" s="1211"/>
      <c r="AB129" s="1258"/>
    </row>
    <row r="130">
      <c r="B130" s="863"/>
      <c r="C130" s="614" t="str">
        <f>IFERROR(__xludf.DUMMYFUNCTION("""COMPUTED_VALUE"""),"Scullen cx")</f>
        <v>Scullen cx</v>
      </c>
      <c r="D130" s="864">
        <f>IFERROR(__xludf.DUMMYFUNCTION("""COMPUTED_VALUE"""),0.6172413793103448)</f>
        <v>0.6172413793</v>
      </c>
      <c r="M130" s="1211"/>
      <c r="O130" s="1211"/>
      <c r="Q130" s="1211"/>
      <c r="S130" s="1211"/>
      <c r="U130" s="1211"/>
      <c r="W130" s="1211"/>
      <c r="Y130" s="1211"/>
      <c r="AB130" s="1258"/>
    </row>
    <row r="131">
      <c r="B131" s="863"/>
      <c r="C131" s="614" t="str">
        <f>IFERROR(__xludf.DUMMYFUNCTION("""COMPUTED_VALUE"""),"oh zilly")</f>
        <v>oh zilly</v>
      </c>
      <c r="D131" s="864">
        <f>IFERROR(__xludf.DUMMYFUNCTION("""COMPUTED_VALUE"""),0.6121621621621622)</f>
        <v>0.6121621622</v>
      </c>
      <c r="M131" s="1211"/>
      <c r="O131" s="1211"/>
      <c r="Q131" s="1211"/>
      <c r="S131" s="1211"/>
      <c r="U131" s="1211"/>
      <c r="W131" s="1211"/>
      <c r="Y131" s="1211"/>
      <c r="AB131" s="1258"/>
    </row>
    <row r="132">
      <c r="B132" s="863"/>
      <c r="C132" s="614" t="str">
        <f>IFERROR(__xludf.DUMMYFUNCTION("""COMPUTED_VALUE"""),"yLuxe")</f>
        <v>yLuxe</v>
      </c>
      <c r="D132" s="864">
        <f>IFERROR(__xludf.DUMMYFUNCTION("""COMPUTED_VALUE"""),0.5812270348513529)</f>
        <v>0.5812270349</v>
      </c>
      <c r="M132" s="1211"/>
      <c r="O132" s="1211"/>
      <c r="Q132" s="1211"/>
      <c r="S132" s="1211"/>
      <c r="U132" s="1211"/>
      <c r="W132" s="1211"/>
      <c r="Y132" s="1211"/>
      <c r="AB132" s="1258"/>
    </row>
    <row r="133">
      <c r="B133" s="863"/>
      <c r="C133" s="614" t="str">
        <f>IFERROR(__xludf.DUMMYFUNCTION("""COMPUTED_VALUE"""),"ASpence501")</f>
        <v>ASpence501</v>
      </c>
      <c r="D133" s="864">
        <f>IFERROR(__xludf.DUMMYFUNCTION("""COMPUTED_VALUE"""),0.5394312518323072)</f>
        <v>0.5394312518</v>
      </c>
      <c r="M133" s="1211"/>
      <c r="O133" s="1211"/>
      <c r="Q133" s="1211"/>
      <c r="S133" s="1211"/>
      <c r="U133" s="1211"/>
      <c r="W133" s="1211"/>
      <c r="Y133" s="1211"/>
      <c r="AB133" s="1258"/>
    </row>
    <row r="134">
      <c r="B134" s="863"/>
      <c r="C134" s="614" t="str">
        <f>IFERROR(__xludf.DUMMYFUNCTION("""COMPUTED_VALUE"""),"TommyWstSide")</f>
        <v>TommyWstSide</v>
      </c>
      <c r="D134" s="864">
        <f>IFERROR(__xludf.DUMMYFUNCTION("""COMPUTED_VALUE"""),0.5377619612495057)</f>
        <v>0.5377619612</v>
      </c>
      <c r="M134" s="1211"/>
      <c r="O134" s="1211"/>
      <c r="Q134" s="1211"/>
      <c r="S134" s="1211"/>
      <c r="U134" s="1211"/>
      <c r="W134" s="1211"/>
      <c r="Y134" s="1211"/>
      <c r="AB134" s="1258"/>
    </row>
    <row r="135">
      <c r="B135" s="863"/>
      <c r="C135" s="614" t="str">
        <f>IFERROR(__xludf.DUMMYFUNCTION("""COMPUTED_VALUE"""),"Mavbrid")</f>
        <v>Mavbrid</v>
      </c>
      <c r="D135" s="864">
        <f>IFERROR(__xludf.DUMMYFUNCTION("""COMPUTED_VALUE"""),0.5239642567018684)</f>
        <v>0.5239642567</v>
      </c>
      <c r="M135" s="1211"/>
      <c r="O135" s="1211"/>
      <c r="Q135" s="1211"/>
      <c r="S135" s="1211"/>
      <c r="U135" s="1211"/>
      <c r="W135" s="1211"/>
      <c r="Y135" s="1211"/>
      <c r="AB135" s="1258"/>
    </row>
    <row r="136">
      <c r="B136" s="863"/>
      <c r="C136" s="614" t="str">
        <f>IFERROR(__xludf.DUMMYFUNCTION("""COMPUTED_VALUE"""),"Grunt Padre")</f>
        <v>Grunt Padre</v>
      </c>
      <c r="D136" s="864">
        <f>IFERROR(__xludf.DUMMYFUNCTION("""COMPUTED_VALUE"""),0.5152492973873217)</f>
        <v>0.5152492974</v>
      </c>
      <c r="M136" s="1211"/>
      <c r="O136" s="1211"/>
      <c r="Q136" s="1211"/>
      <c r="S136" s="1211"/>
      <c r="U136" s="1211"/>
      <c r="W136" s="1211"/>
      <c r="Y136" s="1211"/>
      <c r="AB136" s="1258"/>
    </row>
    <row r="137">
      <c r="B137" s="863"/>
      <c r="C137" s="614" t="str">
        <f>IFERROR(__xludf.DUMMYFUNCTION("""COMPUTED_VALUE"""),"TJP37")</f>
        <v>TJP37</v>
      </c>
      <c r="D137" s="864">
        <f>IFERROR(__xludf.DUMMYFUNCTION("""COMPUTED_VALUE"""),0.4818456147181933)</f>
        <v>0.4818456147</v>
      </c>
      <c r="M137" s="1211"/>
      <c r="O137" s="1211"/>
      <c r="Q137" s="1211"/>
      <c r="S137" s="1211"/>
      <c r="U137" s="1211"/>
      <c r="W137" s="1211"/>
      <c r="Y137" s="1211"/>
      <c r="AB137" s="1258"/>
    </row>
    <row r="138">
      <c r="B138" s="863"/>
      <c r="C138" s="614" t="str">
        <f>IFERROR(__xludf.DUMMYFUNCTION("""COMPUTED_VALUE"""),"Priest XYZ")</f>
        <v>Priest XYZ</v>
      </c>
      <c r="D138" s="864">
        <f>IFERROR(__xludf.DUMMYFUNCTION("""COMPUTED_VALUE"""),0.46276982779529474)</f>
        <v>0.4627698278</v>
      </c>
      <c r="M138" s="1211"/>
      <c r="O138" s="1211"/>
      <c r="Q138" s="1211"/>
      <c r="S138" s="1211"/>
      <c r="U138" s="1211"/>
      <c r="W138" s="1211"/>
      <c r="Y138" s="1211"/>
      <c r="AB138" s="1258"/>
    </row>
    <row r="139">
      <c r="B139" s="863"/>
      <c r="C139" s="614" t="str">
        <f>IFERROR(__xludf.DUMMYFUNCTION("""COMPUTED_VALUE"""),"Ken Khaneki")</f>
        <v>Ken Khaneki</v>
      </c>
      <c r="D139" s="864">
        <f>IFERROR(__xludf.DUMMYFUNCTION("""COMPUTED_VALUE"""),0.4436087012265481)</f>
        <v>0.4436087012</v>
      </c>
      <c r="M139" s="1211"/>
      <c r="O139" s="1211"/>
      <c r="Q139" s="1211"/>
      <c r="S139" s="1211"/>
      <c r="U139" s="1211"/>
      <c r="W139" s="1211"/>
      <c r="Y139" s="1211"/>
      <c r="AB139" s="1258"/>
    </row>
    <row r="140">
      <c r="B140" s="863"/>
      <c r="C140" s="614" t="str">
        <f>IFERROR(__xludf.DUMMYFUNCTION("""COMPUTED_VALUE"""),"Mr epic beast")</f>
        <v>Mr epic beast</v>
      </c>
      <c r="D140" s="864">
        <f>IFERROR(__xludf.DUMMYFUNCTION("""COMPUTED_VALUE"""),0.4347237269772481)</f>
        <v>0.434723727</v>
      </c>
      <c r="M140" s="1211"/>
      <c r="O140" s="1211"/>
      <c r="Q140" s="1211"/>
      <c r="S140" s="1211"/>
      <c r="U140" s="1211"/>
      <c r="W140" s="1211"/>
      <c r="Y140" s="1211"/>
      <c r="AB140" s="1258"/>
    </row>
    <row r="141">
      <c r="B141" s="863"/>
      <c r="C141" s="614" t="str">
        <f>IFERROR(__xludf.DUMMYFUNCTION("""COMPUTED_VALUE"""),"KDSkill")</f>
        <v>KDSkill</v>
      </c>
      <c r="D141" s="864">
        <f>IFERROR(__xludf.DUMMYFUNCTION("""COMPUTED_VALUE"""),0.43387250237868696)</f>
        <v>0.4338725024</v>
      </c>
      <c r="M141" s="1211"/>
      <c r="O141" s="1211"/>
      <c r="Q141" s="1211"/>
      <c r="S141" s="1211"/>
      <c r="U141" s="1211"/>
      <c r="W141" s="1211"/>
      <c r="Y141" s="1211"/>
      <c r="AB141" s="1258"/>
    </row>
    <row r="142">
      <c r="B142" s="863"/>
      <c r="C142" s="614" t="str">
        <f>IFERROR(__xludf.DUMMYFUNCTION("""COMPUTED_VALUE"""),"DCleak")</f>
        <v>DCleak</v>
      </c>
      <c r="D142" s="864">
        <f>IFERROR(__xludf.DUMMYFUNCTION("""COMPUTED_VALUE"""),0.4254035299441846)</f>
        <v>0.4254035299</v>
      </c>
      <c r="M142" s="1211"/>
      <c r="O142" s="1211"/>
      <c r="Q142" s="1211"/>
      <c r="S142" s="1211"/>
      <c r="U142" s="1211"/>
      <c r="W142" s="1211"/>
      <c r="Y142" s="1211"/>
      <c r="AB142" s="1258"/>
    </row>
    <row r="143">
      <c r="B143" s="863"/>
      <c r="C143" s="614" t="str">
        <f>IFERROR(__xludf.DUMMYFUNCTION("""COMPUTED_VALUE"""),"NOPLEX")</f>
        <v>NOPLEX</v>
      </c>
      <c r="D143" s="864">
        <f>IFERROR(__xludf.DUMMYFUNCTION("""COMPUTED_VALUE"""),0.4193877551020408)</f>
        <v>0.4193877551</v>
      </c>
      <c r="M143" s="1211"/>
      <c r="O143" s="1211"/>
      <c r="Q143" s="1211"/>
      <c r="S143" s="1211"/>
      <c r="U143" s="1211"/>
      <c r="W143" s="1211"/>
      <c r="Y143" s="1211"/>
      <c r="AB143" s="1258"/>
    </row>
    <row r="144">
      <c r="B144" s="863"/>
      <c r="C144" s="614" t="str">
        <f>IFERROR(__xludf.DUMMYFUNCTION("""COMPUTED_VALUE"""),"Clydrohsun")</f>
        <v>Clydrohsun</v>
      </c>
      <c r="D144" s="864">
        <f>IFERROR(__xludf.DUMMYFUNCTION("""COMPUTED_VALUE"""),0.4181184668989547)</f>
        <v>0.4181184669</v>
      </c>
      <c r="M144" s="1211"/>
      <c r="O144" s="1211"/>
      <c r="Q144" s="1211"/>
      <c r="S144" s="1211"/>
      <c r="U144" s="1211"/>
      <c r="W144" s="1211"/>
      <c r="Y144" s="1211"/>
      <c r="AB144" s="1258"/>
    </row>
    <row r="145">
      <c r="B145" s="863"/>
      <c r="C145" s="614" t="str">
        <f>IFERROR(__xludf.DUMMYFUNCTION("""COMPUTED_VALUE"""),"Holy Morals")</f>
        <v>Holy Morals</v>
      </c>
      <c r="D145" s="864">
        <f>IFERROR(__xludf.DUMMYFUNCTION("""COMPUTED_VALUE"""),0.41579315164220826)</f>
        <v>0.4157931516</v>
      </c>
      <c r="M145" s="1211"/>
      <c r="O145" s="1211"/>
      <c r="Q145" s="1211"/>
      <c r="S145" s="1211"/>
      <c r="U145" s="1211"/>
      <c r="W145" s="1211"/>
      <c r="Y145" s="1211"/>
      <c r="AB145" s="1258"/>
    </row>
    <row r="146">
      <c r="B146" s="863"/>
      <c r="C146" s="614" t="str">
        <f>IFERROR(__xludf.DUMMYFUNCTION("""COMPUTED_VALUE"""),"ill Shrek u")</f>
        <v>ill Shrek u</v>
      </c>
      <c r="D146" s="864">
        <f>IFERROR(__xludf.DUMMYFUNCTION("""COMPUTED_VALUE"""),0.4135079255685734)</f>
        <v>0.4135079256</v>
      </c>
      <c r="M146" s="1211"/>
      <c r="O146" s="1211"/>
      <c r="Q146" s="1211"/>
      <c r="S146" s="1211"/>
      <c r="U146" s="1211"/>
      <c r="W146" s="1211"/>
      <c r="Y146" s="1211"/>
      <c r="AB146" s="1258"/>
    </row>
    <row r="147">
      <c r="B147" s="863"/>
      <c r="C147" s="614" t="str">
        <f>IFERROR(__xludf.DUMMYFUNCTION("""COMPUTED_VALUE"""),"GeneralCornBeef")</f>
        <v>GeneralCornBeef</v>
      </c>
      <c r="D147" s="864">
        <f>IFERROR(__xludf.DUMMYFUNCTION("""COMPUTED_VALUE"""),0.40858836724883835)</f>
        <v>0.4085883672</v>
      </c>
      <c r="M147" s="1211"/>
      <c r="O147" s="1211"/>
      <c r="Q147" s="1211"/>
      <c r="S147" s="1211"/>
      <c r="U147" s="1211"/>
      <c r="W147" s="1211"/>
      <c r="Y147" s="1211"/>
      <c r="AB147" s="1258"/>
    </row>
    <row r="148">
      <c r="B148" s="863"/>
      <c r="C148" s="614" t="str">
        <f>IFERROR(__xludf.DUMMYFUNCTION("""COMPUTED_VALUE"""),"Itzreelz")</f>
        <v>Itzreelz</v>
      </c>
      <c r="D148" s="864">
        <f>IFERROR(__xludf.DUMMYFUNCTION("""COMPUTED_VALUE"""),0.4070819333161024)</f>
        <v>0.4070819333</v>
      </c>
      <c r="M148" s="1211"/>
      <c r="O148" s="1211"/>
      <c r="Q148" s="1211"/>
      <c r="S148" s="1211"/>
      <c r="U148" s="1211"/>
      <c r="W148" s="1211"/>
      <c r="Y148" s="1211"/>
      <c r="AB148" s="1258"/>
    </row>
    <row r="149">
      <c r="B149" s="863"/>
      <c r="C149" s="614" t="str">
        <f>IFERROR(__xludf.DUMMYFUNCTION("""COMPUTED_VALUE"""),"Its Rainin MenZ")</f>
        <v>Its Rainin MenZ</v>
      </c>
      <c r="D149" s="864">
        <f>IFERROR(__xludf.DUMMYFUNCTION("""COMPUTED_VALUE"""),0.3830313014827018)</f>
        <v>0.3830313015</v>
      </c>
      <c r="M149" s="1211"/>
      <c r="O149" s="1211"/>
      <c r="Q149" s="1211"/>
      <c r="S149" s="1211"/>
      <c r="U149" s="1211"/>
      <c r="W149" s="1211"/>
      <c r="Y149" s="1211"/>
      <c r="AB149" s="1258"/>
    </row>
    <row r="150">
      <c r="B150" s="863"/>
      <c r="C150" s="614" t="str">
        <f>IFERROR(__xludf.DUMMYFUNCTION("""COMPUTED_VALUE"""),"ThePro#1771")</f>
        <v>ThePro#1771</v>
      </c>
      <c r="D150" s="864">
        <f>IFERROR(__xludf.DUMMYFUNCTION("""COMPUTED_VALUE"""),0.38162544169611307)</f>
        <v>0.3816254417</v>
      </c>
      <c r="M150" s="1211"/>
      <c r="O150" s="1211"/>
      <c r="Q150" s="1211"/>
      <c r="S150" s="1211"/>
      <c r="U150" s="1211"/>
      <c r="W150" s="1211"/>
      <c r="Y150" s="1211"/>
      <c r="AB150" s="1258"/>
    </row>
    <row r="151">
      <c r="B151" s="863"/>
      <c r="C151" s="614" t="str">
        <f>IFERROR(__xludf.DUMMYFUNCTION("""COMPUTED_VALUE"""),"Almighty Tycoon")</f>
        <v>Almighty Tycoon</v>
      </c>
      <c r="D151" s="864">
        <f>IFERROR(__xludf.DUMMYFUNCTION("""COMPUTED_VALUE"""),0.37842778793418647)</f>
        <v>0.3784277879</v>
      </c>
      <c r="M151" s="1211"/>
      <c r="O151" s="1211"/>
      <c r="Q151" s="1211"/>
      <c r="S151" s="1211"/>
      <c r="U151" s="1211"/>
      <c r="W151" s="1211"/>
      <c r="Y151" s="1211"/>
      <c r="AB151" s="1258"/>
    </row>
    <row r="152">
      <c r="B152" s="863"/>
      <c r="C152" s="614" t="str">
        <f>IFERROR(__xludf.DUMMYFUNCTION("""COMPUTED_VALUE"""),"xXTHEChickenGod")</f>
        <v>xXTHEChickenGod</v>
      </c>
      <c r="D152" s="864">
        <f>IFERROR(__xludf.DUMMYFUNCTION("""COMPUTED_VALUE"""),0.3747397640527411)</f>
        <v>0.3747397641</v>
      </c>
      <c r="M152" s="1211"/>
      <c r="O152" s="1211"/>
      <c r="Q152" s="1211"/>
      <c r="S152" s="1211"/>
      <c r="U152" s="1211"/>
      <c r="W152" s="1211"/>
      <c r="Y152" s="1211"/>
      <c r="AB152" s="1258"/>
    </row>
    <row r="153">
      <c r="B153" s="863"/>
      <c r="C153" s="614" t="str">
        <f>IFERROR(__xludf.DUMMYFUNCTION("""COMPUTED_VALUE"""),"Beam1n1")</f>
        <v>Beam1n1</v>
      </c>
      <c r="D153" s="864">
        <f>IFERROR(__xludf.DUMMYFUNCTION("""COMPUTED_VALUE"""),0.36213140196585614)</f>
        <v>0.362131402</v>
      </c>
      <c r="M153" s="1211"/>
      <c r="O153" s="1211"/>
      <c r="Q153" s="1211"/>
      <c r="S153" s="1211"/>
      <c r="U153" s="1211"/>
      <c r="W153" s="1211"/>
      <c r="Y153" s="1211"/>
      <c r="AB153" s="1258"/>
    </row>
    <row r="154">
      <c r="B154" s="863"/>
      <c r="C154" s="614" t="str">
        <f>IFERROR(__xludf.DUMMYFUNCTION("""COMPUTED_VALUE"""),"Deathcrawller")</f>
        <v>Deathcrawller</v>
      </c>
      <c r="D154" s="864">
        <f>IFERROR(__xludf.DUMMYFUNCTION("""COMPUTED_VALUE"""),0.3492987562847314)</f>
        <v>0.3492987563</v>
      </c>
      <c r="M154" s="1211"/>
      <c r="O154" s="1211"/>
      <c r="Q154" s="1211"/>
      <c r="S154" s="1211"/>
      <c r="U154" s="1211"/>
      <c r="W154" s="1211"/>
      <c r="Y154" s="1211"/>
      <c r="AB154" s="1258"/>
    </row>
    <row r="155">
      <c r="B155" s="863"/>
      <c r="C155" s="614" t="str">
        <f>IFERROR(__xludf.DUMMYFUNCTION("""COMPUTED_VALUE"""),"CaptainSev004")</f>
        <v>CaptainSev004</v>
      </c>
      <c r="D155" s="1294">
        <f>IFERROR(__xludf.DUMMYFUNCTION("""COMPUTED_VALUE"""),0.34212401995723446)</f>
        <v>0.34212402</v>
      </c>
      <c r="M155" s="1211"/>
      <c r="O155" s="1211"/>
      <c r="Q155" s="1211"/>
      <c r="S155" s="1211"/>
      <c r="U155" s="1211"/>
      <c r="W155" s="1211"/>
      <c r="Y155" s="1211"/>
      <c r="AB155" s="1258"/>
    </row>
    <row r="156">
      <c r="B156" s="863"/>
      <c r="C156" s="614" t="str">
        <f>IFERROR(__xludf.DUMMYFUNCTION("""COMPUTED_VALUE"""),"Pd Craig 69")</f>
        <v>Pd Craig 69</v>
      </c>
      <c r="D156" s="864">
        <f>IFERROR(__xludf.DUMMYFUNCTION("""COMPUTED_VALUE"""),0.33866415804327377)</f>
        <v>0.338664158</v>
      </c>
      <c r="M156" s="1211"/>
      <c r="O156" s="1211"/>
      <c r="Q156" s="1211"/>
      <c r="S156" s="1211"/>
      <c r="U156" s="1211"/>
      <c r="W156" s="1211"/>
      <c r="Y156" s="1211"/>
      <c r="AB156" s="1258"/>
    </row>
    <row r="157">
      <c r="B157" s="863"/>
      <c r="C157" s="614" t="str">
        <f>IFERROR(__xludf.DUMMYFUNCTION("""COMPUTED_VALUE"""),"Doerstopper")</f>
        <v>Doerstopper</v>
      </c>
      <c r="D157" s="864">
        <f>IFERROR(__xludf.DUMMYFUNCTION("""COMPUTED_VALUE"""),0.32208848957450414)</f>
        <v>0.3220884896</v>
      </c>
      <c r="M157" s="1211"/>
      <c r="O157" s="1211"/>
      <c r="Q157" s="1211"/>
      <c r="S157" s="1211"/>
      <c r="U157" s="1211"/>
      <c r="W157" s="1211"/>
      <c r="Y157" s="1211"/>
      <c r="AB157" s="1258"/>
    </row>
    <row r="158">
      <c r="B158" s="863"/>
      <c r="C158" s="614" t="str">
        <f>IFERROR(__xludf.DUMMYFUNCTION("""COMPUTED_VALUE"""),"AwareMosquito")</f>
        <v>AwareMosquito</v>
      </c>
      <c r="D158" s="864">
        <f>IFERROR(__xludf.DUMMYFUNCTION("""COMPUTED_VALUE"""),0.3197031891379855)</f>
        <v>0.3197031891</v>
      </c>
      <c r="M158" s="1211"/>
      <c r="O158" s="1211"/>
      <c r="Q158" s="1211"/>
      <c r="S158" s="1211"/>
      <c r="U158" s="1211"/>
      <c r="W158" s="1211"/>
      <c r="Y158" s="1211"/>
      <c r="AB158" s="1258"/>
    </row>
    <row r="159">
      <c r="B159" s="863"/>
      <c r="C159" s="614" t="str">
        <f>IFERROR(__xludf.DUMMYFUNCTION("""COMPUTED_VALUE"""),"MuNgO PuNgO")</f>
        <v>MuNgO PuNgO</v>
      </c>
      <c r="D159" s="864">
        <f>IFERROR(__xludf.DUMMYFUNCTION("""COMPUTED_VALUE"""),0.30927835051546393)</f>
        <v>0.3092783505</v>
      </c>
      <c r="M159" s="1211"/>
      <c r="O159" s="1211"/>
      <c r="Q159" s="1211"/>
      <c r="S159" s="1211"/>
      <c r="U159" s="1211"/>
      <c r="W159" s="1211"/>
      <c r="Y159" s="1211"/>
      <c r="AB159" s="1258"/>
    </row>
    <row r="160">
      <c r="B160" s="863"/>
      <c r="C160" s="614" t="str">
        <f>IFERROR(__xludf.DUMMYFUNCTION("""COMPUTED_VALUE"""),"Trespa5s")</f>
        <v>Trespa5s</v>
      </c>
      <c r="D160" s="864">
        <f>IFERROR(__xludf.DUMMYFUNCTION("""COMPUTED_VALUE"""),0.3047128927410618)</f>
        <v>0.3047128927</v>
      </c>
      <c r="M160" s="1211"/>
      <c r="O160" s="1211"/>
      <c r="Q160" s="1211"/>
      <c r="S160" s="1211"/>
      <c r="U160" s="1211"/>
      <c r="W160" s="1211"/>
      <c r="Y160" s="1211"/>
      <c r="AB160" s="1258"/>
    </row>
    <row r="161">
      <c r="B161" s="863"/>
      <c r="C161" s="614" t="str">
        <f>IFERROR(__xludf.DUMMYFUNCTION("""COMPUTED_VALUE"""),"WeirdPG")</f>
        <v>WeirdPG</v>
      </c>
      <c r="D161" s="864">
        <f>IFERROR(__xludf.DUMMYFUNCTION("""COMPUTED_VALUE"""),0.2679223836973289)</f>
        <v>0.2679223837</v>
      </c>
      <c r="M161" s="1211"/>
      <c r="O161" s="1211"/>
      <c r="Q161" s="1211"/>
      <c r="S161" s="1211"/>
      <c r="U161" s="1211"/>
      <c r="W161" s="1211"/>
      <c r="Y161" s="1211"/>
      <c r="AB161" s="1258"/>
    </row>
    <row r="162">
      <c r="B162" s="863"/>
      <c r="C162" s="614" t="str">
        <f>IFERROR(__xludf.DUMMYFUNCTION("""COMPUTED_VALUE"""),"StarMonster8129")</f>
        <v>StarMonster8129</v>
      </c>
      <c r="D162" s="864">
        <f>IFERROR(__xludf.DUMMYFUNCTION("""COMPUTED_VALUE"""),0.26165716202616573)</f>
        <v>0.261657162</v>
      </c>
      <c r="M162" s="1211"/>
      <c r="O162" s="1211"/>
      <c r="Q162" s="1211"/>
      <c r="S162" s="1211"/>
      <c r="U162" s="1211"/>
      <c r="W162" s="1211"/>
      <c r="Y162" s="1211"/>
      <c r="AB162" s="1258"/>
    </row>
    <row r="163">
      <c r="B163" s="863"/>
      <c r="C163" s="614" t="str">
        <f>IFERROR(__xludf.DUMMYFUNCTION("""COMPUTED_VALUE"""),"Ram Osneb")</f>
        <v>Ram Osneb</v>
      </c>
      <c r="D163" s="864">
        <f>IFERROR(__xludf.DUMMYFUNCTION("""COMPUTED_VALUE"""),0.2193877551020408)</f>
        <v>0.2193877551</v>
      </c>
      <c r="M163" s="1211"/>
      <c r="O163" s="1211"/>
      <c r="Q163" s="1211"/>
      <c r="S163" s="1211"/>
      <c r="U163" s="1211"/>
      <c r="W163" s="1211"/>
      <c r="Y163" s="1211"/>
      <c r="AB163" s="1258"/>
    </row>
    <row r="164">
      <c r="B164" s="863"/>
      <c r="C164" s="614" t="str">
        <f>IFERROR(__xludf.DUMMYFUNCTION("""COMPUTED_VALUE"""),"Amnatu")</f>
        <v>Amnatu</v>
      </c>
      <c r="D164" s="864">
        <f>IFERROR(__xludf.DUMMYFUNCTION("""COMPUTED_VALUE"""),0.18596676338696916)</f>
        <v>0.1859667634</v>
      </c>
      <c r="M164" s="1211"/>
      <c r="O164" s="1211"/>
      <c r="Q164" s="1211"/>
      <c r="S164" s="1211"/>
      <c r="U164" s="1211"/>
      <c r="W164" s="1211"/>
      <c r="Y164" s="1211"/>
      <c r="AB164" s="1258"/>
    </row>
    <row r="165">
      <c r="B165" s="863"/>
      <c r="C165" s="614" t="str">
        <f>IFERROR(__xludf.DUMMYFUNCTION("""COMPUTED_VALUE"""),"OREOTHECAT")</f>
        <v>OREOTHECAT</v>
      </c>
      <c r="D165" s="864">
        <f>IFERROR(__xludf.DUMMYFUNCTION("""COMPUTED_VALUE"""),0.1204617701187887)</f>
        <v>0.1204617701</v>
      </c>
      <c r="M165" s="1211"/>
      <c r="O165" s="1211"/>
      <c r="Q165" s="1211"/>
      <c r="S165" s="1211"/>
      <c r="U165" s="1211"/>
      <c r="W165" s="1211"/>
      <c r="Y165" s="1211"/>
      <c r="AB165" s="1258"/>
    </row>
    <row r="166">
      <c r="B166" s="863"/>
      <c r="M166" s="1211"/>
      <c r="O166" s="1211"/>
      <c r="Q166" s="1211"/>
      <c r="S166" s="1211"/>
      <c r="U166" s="1211"/>
      <c r="W166" s="1211"/>
      <c r="Y166" s="1211"/>
      <c r="AB166" s="1258"/>
    </row>
    <row r="167">
      <c r="B167" s="863"/>
      <c r="M167" s="1211"/>
      <c r="O167" s="1211"/>
      <c r="Q167" s="1211"/>
      <c r="S167" s="1211"/>
      <c r="U167" s="1211"/>
      <c r="W167" s="1211"/>
      <c r="Y167" s="1211"/>
      <c r="AB167" s="1258"/>
    </row>
    <row r="168">
      <c r="B168" s="863"/>
      <c r="M168" s="1211"/>
      <c r="O168" s="1211"/>
      <c r="Q168" s="1211"/>
      <c r="S168" s="1211"/>
      <c r="U168" s="1211"/>
      <c r="W168" s="1211"/>
      <c r="Y168" s="1211"/>
      <c r="AB168" s="1258"/>
    </row>
    <row r="169">
      <c r="B169" s="863"/>
      <c r="M169" s="1211"/>
      <c r="O169" s="1211"/>
      <c r="Q169" s="1211"/>
      <c r="S169" s="1211"/>
      <c r="U169" s="1211"/>
      <c r="W169" s="1211"/>
      <c r="Y169" s="1211"/>
      <c r="AB169" s="1258"/>
    </row>
    <row r="170">
      <c r="B170" s="863"/>
      <c r="M170" s="1211"/>
      <c r="O170" s="1211"/>
      <c r="Q170" s="1211"/>
      <c r="S170" s="1211"/>
      <c r="U170" s="1211"/>
      <c r="W170" s="1211"/>
      <c r="Y170" s="1211"/>
      <c r="AB170" s="1258"/>
    </row>
    <row r="171">
      <c r="B171" s="863"/>
      <c r="M171" s="1211"/>
      <c r="O171" s="1211"/>
      <c r="Q171" s="1211"/>
      <c r="S171" s="1211"/>
      <c r="U171" s="1211"/>
      <c r="W171" s="1211"/>
      <c r="Y171" s="1211"/>
      <c r="AB171" s="1258"/>
    </row>
    <row r="172">
      <c r="B172" s="863"/>
      <c r="M172" s="1211"/>
      <c r="O172" s="1211"/>
      <c r="Q172" s="1211"/>
      <c r="S172" s="1211"/>
      <c r="U172" s="1211"/>
      <c r="W172" s="1211"/>
      <c r="Y172" s="1211"/>
      <c r="AB172" s="1258"/>
    </row>
    <row r="173">
      <c r="B173" s="863"/>
      <c r="M173" s="1211"/>
      <c r="O173" s="1211"/>
      <c r="Q173" s="1211"/>
      <c r="S173" s="1211"/>
      <c r="U173" s="1211"/>
      <c r="W173" s="1211"/>
      <c r="Y173" s="1211"/>
      <c r="AB173" s="1258"/>
    </row>
    <row r="174">
      <c r="B174" s="863"/>
      <c r="M174" s="1211"/>
      <c r="O174" s="1211"/>
      <c r="Q174" s="1211"/>
      <c r="S174" s="1211"/>
      <c r="U174" s="1211"/>
      <c r="W174" s="1211"/>
      <c r="Y174" s="1211"/>
      <c r="AB174" s="1258"/>
    </row>
    <row r="175">
      <c r="B175" s="863"/>
      <c r="M175" s="1211"/>
      <c r="O175" s="1211"/>
      <c r="Q175" s="1211"/>
      <c r="S175" s="1211"/>
      <c r="U175" s="1211"/>
      <c r="W175" s="1211"/>
      <c r="Y175" s="1211"/>
      <c r="AB175" s="1258"/>
    </row>
    <row r="176">
      <c r="B176" s="863"/>
      <c r="M176" s="1211"/>
      <c r="O176" s="1211"/>
      <c r="Q176" s="1211"/>
      <c r="S176" s="1211"/>
      <c r="U176" s="1211"/>
      <c r="W176" s="1211"/>
      <c r="Y176" s="1211"/>
      <c r="AB176" s="1258"/>
    </row>
    <row r="177">
      <c r="B177" s="863"/>
      <c r="M177" s="1211"/>
      <c r="O177" s="1211"/>
      <c r="Q177" s="1211"/>
      <c r="S177" s="1211"/>
      <c r="U177" s="1211"/>
      <c r="W177" s="1211"/>
      <c r="Y177" s="1211"/>
      <c r="AB177" s="1258"/>
    </row>
    <row r="178">
      <c r="B178" s="863"/>
      <c r="M178" s="1211"/>
      <c r="O178" s="1211"/>
      <c r="Q178" s="1211"/>
      <c r="S178" s="1211"/>
      <c r="U178" s="1211"/>
      <c r="W178" s="1211"/>
      <c r="Y178" s="1211"/>
      <c r="AB178" s="1258"/>
    </row>
    <row r="179">
      <c r="B179" s="863"/>
      <c r="M179" s="1211"/>
      <c r="O179" s="1211"/>
      <c r="Q179" s="1211"/>
      <c r="S179" s="1211"/>
      <c r="U179" s="1211"/>
      <c r="W179" s="1211"/>
      <c r="Y179" s="1211"/>
      <c r="AB179" s="1258"/>
    </row>
    <row r="180">
      <c r="B180" s="863"/>
      <c r="M180" s="1211"/>
      <c r="O180" s="1211"/>
      <c r="Q180" s="1211"/>
      <c r="S180" s="1211"/>
      <c r="U180" s="1211"/>
      <c r="W180" s="1211"/>
      <c r="Y180" s="1211"/>
      <c r="AB180" s="1258"/>
    </row>
    <row r="181">
      <c r="B181" s="863"/>
      <c r="M181" s="1211"/>
      <c r="O181" s="1211"/>
      <c r="Q181" s="1211"/>
      <c r="S181" s="1211"/>
      <c r="U181" s="1211"/>
      <c r="W181" s="1211"/>
      <c r="Y181" s="1211"/>
      <c r="AB181" s="1258"/>
    </row>
    <row r="182">
      <c r="B182" s="863"/>
      <c r="M182" s="1211"/>
      <c r="O182" s="1211"/>
      <c r="Q182" s="1211"/>
      <c r="S182" s="1211"/>
      <c r="U182" s="1211"/>
      <c r="W182" s="1211"/>
      <c r="Y182" s="1211"/>
      <c r="AB182" s="1258"/>
    </row>
    <row r="183">
      <c r="B183" s="863"/>
      <c r="M183" s="1211"/>
      <c r="O183" s="1211"/>
      <c r="Q183" s="1211"/>
      <c r="S183" s="1211"/>
      <c r="U183" s="1211"/>
      <c r="W183" s="1211"/>
      <c r="Y183" s="1211"/>
      <c r="AB183" s="1258"/>
    </row>
    <row r="184">
      <c r="B184" s="863"/>
      <c r="M184" s="1211"/>
      <c r="O184" s="1211"/>
      <c r="Q184" s="1211"/>
      <c r="S184" s="1211"/>
      <c r="U184" s="1211"/>
      <c r="W184" s="1211"/>
      <c r="Y184" s="1211"/>
      <c r="AB184" s="1258"/>
    </row>
    <row r="185">
      <c r="B185" s="863"/>
      <c r="M185" s="1211"/>
      <c r="O185" s="1211"/>
      <c r="Q185" s="1211"/>
      <c r="S185" s="1211"/>
      <c r="U185" s="1211"/>
      <c r="W185" s="1211"/>
      <c r="Y185" s="1211"/>
      <c r="AB185" s="1258"/>
    </row>
    <row r="186">
      <c r="B186" s="863"/>
      <c r="M186" s="1211"/>
      <c r="O186" s="1211"/>
      <c r="Q186" s="1211"/>
      <c r="S186" s="1211"/>
      <c r="U186" s="1211"/>
      <c r="W186" s="1211"/>
      <c r="Y186" s="1211"/>
      <c r="AB186" s="1258"/>
    </row>
    <row r="187">
      <c r="B187" s="863"/>
      <c r="M187" s="1211"/>
      <c r="O187" s="1211"/>
      <c r="Q187" s="1211"/>
      <c r="S187" s="1211"/>
      <c r="U187" s="1211"/>
      <c r="W187" s="1211"/>
      <c r="Y187" s="1211"/>
      <c r="AB187" s="1258"/>
    </row>
    <row r="188">
      <c r="B188" s="863"/>
      <c r="M188" s="1211"/>
      <c r="O188" s="1211"/>
      <c r="Q188" s="1211"/>
      <c r="S188" s="1211"/>
      <c r="U188" s="1211"/>
      <c r="W188" s="1211"/>
      <c r="Y188" s="1211"/>
      <c r="AB188" s="1258"/>
    </row>
    <row r="189">
      <c r="B189" s="863"/>
      <c r="M189" s="1211"/>
      <c r="O189" s="1211"/>
      <c r="Q189" s="1211"/>
      <c r="S189" s="1211"/>
      <c r="U189" s="1211"/>
      <c r="W189" s="1211"/>
      <c r="Y189" s="1211"/>
      <c r="AB189" s="1258"/>
    </row>
    <row r="190">
      <c r="B190" s="863"/>
      <c r="M190" s="1211"/>
      <c r="O190" s="1211"/>
      <c r="Q190" s="1211"/>
      <c r="S190" s="1211"/>
      <c r="U190" s="1211"/>
      <c r="W190" s="1211"/>
      <c r="Y190" s="1211"/>
      <c r="AB190" s="1258"/>
    </row>
    <row r="191">
      <c r="B191" s="863"/>
      <c r="M191" s="1211"/>
      <c r="O191" s="1211"/>
      <c r="Q191" s="1211"/>
      <c r="S191" s="1211"/>
      <c r="U191" s="1211"/>
      <c r="W191" s="1211"/>
      <c r="Y191" s="1211"/>
      <c r="AB191" s="1258"/>
    </row>
    <row r="192">
      <c r="B192" s="863"/>
      <c r="M192" s="1211"/>
      <c r="O192" s="1211"/>
      <c r="Q192" s="1211"/>
      <c r="S192" s="1211"/>
      <c r="U192" s="1211"/>
      <c r="W192" s="1211"/>
      <c r="Y192" s="1211"/>
      <c r="AB192" s="1258"/>
    </row>
    <row r="193">
      <c r="B193" s="863"/>
      <c r="M193" s="1211"/>
      <c r="O193" s="1211"/>
      <c r="Q193" s="1211"/>
      <c r="S193" s="1211"/>
      <c r="U193" s="1211"/>
      <c r="W193" s="1211"/>
      <c r="Y193" s="1211"/>
      <c r="AB193" s="1258"/>
    </row>
    <row r="194">
      <c r="B194" s="863"/>
      <c r="M194" s="1211"/>
      <c r="O194" s="1211"/>
      <c r="Q194" s="1211"/>
      <c r="S194" s="1211"/>
      <c r="U194" s="1211"/>
      <c r="W194" s="1211"/>
      <c r="Y194" s="1211"/>
      <c r="AB194" s="1258"/>
    </row>
    <row r="195">
      <c r="B195" s="863"/>
      <c r="M195" s="1211"/>
      <c r="O195" s="1211"/>
      <c r="Q195" s="1211"/>
      <c r="S195" s="1211"/>
      <c r="U195" s="1211"/>
      <c r="W195" s="1211"/>
      <c r="Y195" s="1211"/>
      <c r="AB195" s="1258"/>
    </row>
    <row r="196">
      <c r="B196" s="863"/>
      <c r="M196" s="1211"/>
      <c r="O196" s="1211"/>
      <c r="Q196" s="1211"/>
      <c r="S196" s="1211"/>
      <c r="U196" s="1211"/>
      <c r="W196" s="1211"/>
      <c r="Y196" s="1211"/>
      <c r="AB196" s="1258"/>
    </row>
    <row r="197">
      <c r="B197" s="863"/>
      <c r="M197" s="1211"/>
      <c r="O197" s="1211"/>
      <c r="Q197" s="1211"/>
      <c r="S197" s="1211"/>
      <c r="U197" s="1211"/>
      <c r="W197" s="1211"/>
      <c r="Y197" s="1211"/>
      <c r="AB197" s="1258"/>
    </row>
    <row r="198">
      <c r="B198" s="863"/>
      <c r="M198" s="1211"/>
      <c r="O198" s="1211"/>
      <c r="Q198" s="1211"/>
      <c r="S198" s="1211"/>
      <c r="U198" s="1211"/>
      <c r="W198" s="1211"/>
      <c r="Y198" s="1211"/>
      <c r="AB198" s="1258"/>
    </row>
    <row r="199">
      <c r="B199" s="863"/>
      <c r="M199" s="1211"/>
      <c r="O199" s="1211"/>
      <c r="Q199" s="1211"/>
      <c r="S199" s="1211"/>
      <c r="U199" s="1211"/>
      <c r="W199" s="1211"/>
      <c r="Y199" s="1211"/>
      <c r="AB199" s="1258"/>
    </row>
    <row r="200">
      <c r="B200" s="863"/>
      <c r="M200" s="1211"/>
      <c r="O200" s="1211"/>
      <c r="Q200" s="1211"/>
      <c r="S200" s="1211"/>
      <c r="U200" s="1211"/>
      <c r="W200" s="1211"/>
      <c r="Y200" s="1211"/>
      <c r="AB200" s="1258"/>
    </row>
    <row r="201">
      <c r="B201" s="863"/>
      <c r="M201" s="1211"/>
      <c r="O201" s="1211"/>
      <c r="Q201" s="1211"/>
      <c r="S201" s="1211"/>
      <c r="U201" s="1211"/>
      <c r="W201" s="1211"/>
      <c r="Y201" s="1211"/>
      <c r="AB201" s="1258"/>
    </row>
    <row r="202">
      <c r="B202" s="863"/>
      <c r="M202" s="1211"/>
      <c r="O202" s="1211"/>
      <c r="Q202" s="1211"/>
      <c r="S202" s="1211"/>
      <c r="U202" s="1211"/>
      <c r="W202" s="1211"/>
      <c r="Y202" s="1211"/>
      <c r="AB202" s="1258"/>
    </row>
    <row r="203">
      <c r="B203" s="863"/>
      <c r="M203" s="1211"/>
      <c r="O203" s="1211"/>
      <c r="Q203" s="1211"/>
      <c r="S203" s="1211"/>
      <c r="U203" s="1211"/>
      <c r="W203" s="1211"/>
      <c r="Y203" s="1211"/>
      <c r="AB203" s="1258"/>
    </row>
    <row r="204">
      <c r="B204" s="863"/>
      <c r="M204" s="1211"/>
      <c r="O204" s="1211"/>
      <c r="Q204" s="1211"/>
      <c r="S204" s="1211"/>
      <c r="U204" s="1211"/>
      <c r="W204" s="1211"/>
      <c r="Y204" s="1211"/>
      <c r="AB204" s="1258"/>
    </row>
    <row r="205">
      <c r="B205" s="863"/>
      <c r="M205" s="1211"/>
      <c r="O205" s="1211"/>
      <c r="Q205" s="1211"/>
      <c r="S205" s="1211"/>
      <c r="U205" s="1211"/>
      <c r="W205" s="1211"/>
      <c r="Y205" s="1211"/>
      <c r="AB205" s="1258"/>
    </row>
    <row r="206">
      <c r="B206" s="863"/>
      <c r="M206" s="1211"/>
      <c r="O206" s="1211"/>
      <c r="Q206" s="1211"/>
      <c r="S206" s="1211"/>
      <c r="U206" s="1211"/>
      <c r="W206" s="1211"/>
      <c r="Y206" s="1211"/>
      <c r="AB206" s="1258"/>
    </row>
    <row r="207">
      <c r="B207" s="863"/>
      <c r="M207" s="1211"/>
      <c r="O207" s="1211"/>
      <c r="Q207" s="1211"/>
      <c r="S207" s="1211"/>
      <c r="U207" s="1211"/>
      <c r="W207" s="1211"/>
      <c r="Y207" s="1211"/>
      <c r="AB207" s="1258"/>
    </row>
    <row r="208">
      <c r="B208" s="863"/>
      <c r="M208" s="1211"/>
      <c r="O208" s="1211"/>
      <c r="Q208" s="1211"/>
      <c r="S208" s="1211"/>
      <c r="U208" s="1211"/>
      <c r="W208" s="1211"/>
      <c r="Y208" s="1211"/>
      <c r="AB208" s="1258"/>
    </row>
    <row r="209">
      <c r="B209" s="863"/>
      <c r="M209" s="1211"/>
      <c r="O209" s="1211"/>
      <c r="Q209" s="1211"/>
      <c r="S209" s="1211"/>
      <c r="U209" s="1211"/>
      <c r="W209" s="1211"/>
      <c r="Y209" s="1211"/>
      <c r="AB209" s="1258"/>
    </row>
    <row r="210">
      <c r="B210" s="863"/>
      <c r="M210" s="1211"/>
      <c r="O210" s="1211"/>
      <c r="Q210" s="1211"/>
      <c r="S210" s="1211"/>
      <c r="U210" s="1211"/>
      <c r="W210" s="1211"/>
      <c r="Y210" s="1211"/>
      <c r="AB210" s="1258"/>
    </row>
    <row r="211">
      <c r="B211" s="863"/>
      <c r="M211" s="1211"/>
      <c r="O211" s="1211"/>
      <c r="Q211" s="1211"/>
      <c r="S211" s="1211"/>
      <c r="U211" s="1211"/>
      <c r="W211" s="1211"/>
      <c r="Y211" s="1211"/>
      <c r="AB211" s="1258"/>
    </row>
    <row r="212">
      <c r="B212" s="863"/>
      <c r="M212" s="1211"/>
      <c r="O212" s="1211"/>
      <c r="Q212" s="1211"/>
      <c r="S212" s="1211"/>
      <c r="U212" s="1211"/>
      <c r="W212" s="1211"/>
      <c r="Y212" s="1211"/>
      <c r="AB212" s="1258"/>
    </row>
    <row r="213">
      <c r="B213" s="863"/>
      <c r="M213" s="1211"/>
      <c r="O213" s="1211"/>
      <c r="Q213" s="1211"/>
      <c r="S213" s="1211"/>
      <c r="U213" s="1211"/>
      <c r="W213" s="1211"/>
      <c r="Y213" s="1211"/>
      <c r="AB213" s="1258"/>
    </row>
    <row r="214">
      <c r="B214" s="863"/>
      <c r="M214" s="1211"/>
      <c r="O214" s="1211"/>
      <c r="Q214" s="1211"/>
      <c r="S214" s="1211"/>
      <c r="U214" s="1211"/>
      <c r="W214" s="1211"/>
      <c r="Y214" s="1211"/>
      <c r="AB214" s="1258"/>
    </row>
    <row r="215">
      <c r="B215" s="863"/>
      <c r="M215" s="1211"/>
      <c r="O215" s="1211"/>
      <c r="Q215" s="1211"/>
      <c r="S215" s="1211"/>
      <c r="U215" s="1211"/>
      <c r="W215" s="1211"/>
      <c r="Y215" s="1211"/>
      <c r="AB215" s="1258"/>
    </row>
    <row r="216">
      <c r="B216" s="863"/>
      <c r="M216" s="1211"/>
      <c r="O216" s="1211"/>
      <c r="Q216" s="1211"/>
      <c r="S216" s="1211"/>
      <c r="U216" s="1211"/>
      <c r="W216" s="1211"/>
      <c r="Y216" s="1211"/>
      <c r="AB216" s="1258"/>
    </row>
    <row r="217">
      <c r="B217" s="863"/>
      <c r="M217" s="1211"/>
      <c r="O217" s="1211"/>
      <c r="Q217" s="1211"/>
      <c r="S217" s="1211"/>
      <c r="U217" s="1211"/>
      <c r="W217" s="1211"/>
      <c r="Y217" s="1211"/>
      <c r="AB217" s="1258"/>
    </row>
    <row r="218">
      <c r="B218" s="863"/>
      <c r="M218" s="1211"/>
      <c r="O218" s="1211"/>
      <c r="Q218" s="1211"/>
      <c r="S218" s="1211"/>
      <c r="U218" s="1211"/>
      <c r="W218" s="1211"/>
      <c r="Y218" s="1211"/>
      <c r="AB218" s="1258"/>
    </row>
    <row r="219">
      <c r="B219" s="863"/>
      <c r="M219" s="1211"/>
      <c r="O219" s="1211"/>
      <c r="Q219" s="1211"/>
      <c r="S219" s="1211"/>
      <c r="U219" s="1211"/>
      <c r="W219" s="1211"/>
      <c r="Y219" s="1211"/>
      <c r="AB219" s="1258"/>
    </row>
    <row r="220">
      <c r="B220" s="863"/>
      <c r="M220" s="1211"/>
      <c r="O220" s="1211"/>
      <c r="Q220" s="1211"/>
      <c r="S220" s="1211"/>
      <c r="U220" s="1211"/>
      <c r="W220" s="1211"/>
      <c r="Y220" s="1211"/>
      <c r="AB220" s="1258"/>
    </row>
    <row r="221">
      <c r="B221" s="863"/>
      <c r="M221" s="1211"/>
      <c r="O221" s="1211"/>
      <c r="Q221" s="1211"/>
      <c r="S221" s="1211"/>
      <c r="U221" s="1211"/>
      <c r="W221" s="1211"/>
      <c r="Y221" s="1211"/>
      <c r="AB221" s="1258"/>
    </row>
    <row r="222">
      <c r="B222" s="863"/>
      <c r="M222" s="1211"/>
      <c r="O222" s="1211"/>
      <c r="Q222" s="1211"/>
      <c r="S222" s="1211"/>
      <c r="U222" s="1211"/>
      <c r="W222" s="1211"/>
      <c r="Y222" s="1211"/>
      <c r="AB222" s="1258"/>
    </row>
    <row r="223">
      <c r="B223" s="863"/>
      <c r="M223" s="1211"/>
      <c r="O223" s="1211"/>
      <c r="Q223" s="1211"/>
      <c r="S223" s="1211"/>
      <c r="U223" s="1211"/>
      <c r="W223" s="1211"/>
      <c r="Y223" s="1211"/>
      <c r="AB223" s="1258"/>
    </row>
    <row r="224">
      <c r="B224" s="863"/>
      <c r="M224" s="1211"/>
      <c r="O224" s="1211"/>
      <c r="Q224" s="1211"/>
      <c r="S224" s="1211"/>
      <c r="U224" s="1211"/>
      <c r="W224" s="1211"/>
      <c r="Y224" s="1211"/>
      <c r="AB224" s="1258"/>
    </row>
    <row r="225">
      <c r="B225" s="863"/>
      <c r="M225" s="1211"/>
      <c r="O225" s="1211"/>
      <c r="Q225" s="1211"/>
      <c r="S225" s="1211"/>
      <c r="U225" s="1211"/>
      <c r="W225" s="1211"/>
      <c r="Y225" s="1211"/>
      <c r="AB225" s="1258"/>
    </row>
    <row r="226">
      <c r="B226" s="863"/>
      <c r="M226" s="1211"/>
      <c r="O226" s="1211"/>
      <c r="Q226" s="1211"/>
      <c r="S226" s="1211"/>
      <c r="U226" s="1211"/>
      <c r="W226" s="1211"/>
      <c r="Y226" s="1211"/>
      <c r="AB226" s="1258"/>
    </row>
    <row r="227">
      <c r="B227" s="863"/>
      <c r="M227" s="1211"/>
      <c r="O227" s="1211"/>
      <c r="Q227" s="1211"/>
      <c r="S227" s="1211"/>
      <c r="U227" s="1211"/>
      <c r="W227" s="1211"/>
      <c r="Y227" s="1211"/>
      <c r="AB227" s="1258"/>
    </row>
    <row r="228">
      <c r="B228" s="863"/>
      <c r="M228" s="1211"/>
      <c r="O228" s="1211"/>
      <c r="Q228" s="1211"/>
      <c r="S228" s="1211"/>
      <c r="U228" s="1211"/>
      <c r="W228" s="1211"/>
      <c r="Y228" s="1211"/>
      <c r="AB228" s="1258"/>
    </row>
    <row r="229">
      <c r="B229" s="863"/>
      <c r="M229" s="1211"/>
      <c r="O229" s="1211"/>
      <c r="Q229" s="1211"/>
      <c r="S229" s="1211"/>
      <c r="U229" s="1211"/>
      <c r="W229" s="1211"/>
      <c r="Y229" s="1211"/>
      <c r="AB229" s="1258"/>
    </row>
    <row r="230">
      <c r="B230" s="863"/>
      <c r="M230" s="1211"/>
      <c r="O230" s="1211"/>
      <c r="Q230" s="1211"/>
      <c r="S230" s="1211"/>
      <c r="U230" s="1211"/>
      <c r="W230" s="1211"/>
      <c r="Y230" s="1211"/>
      <c r="AB230" s="1258"/>
    </row>
    <row r="231">
      <c r="B231" s="863"/>
      <c r="M231" s="1211"/>
      <c r="O231" s="1211"/>
      <c r="Q231" s="1211"/>
      <c r="S231" s="1211"/>
      <c r="U231" s="1211"/>
      <c r="W231" s="1211"/>
      <c r="Y231" s="1211"/>
      <c r="AB231" s="1258"/>
    </row>
    <row r="232">
      <c r="B232" s="863"/>
      <c r="M232" s="1211"/>
      <c r="O232" s="1211"/>
      <c r="Q232" s="1211"/>
      <c r="S232" s="1211"/>
      <c r="U232" s="1211"/>
      <c r="W232" s="1211"/>
      <c r="Y232" s="1211"/>
      <c r="AB232" s="1258"/>
    </row>
    <row r="233">
      <c r="B233" s="863"/>
      <c r="M233" s="1211"/>
      <c r="O233" s="1211"/>
      <c r="Q233" s="1211"/>
      <c r="S233" s="1211"/>
      <c r="U233" s="1211"/>
      <c r="W233" s="1211"/>
      <c r="Y233" s="1211"/>
      <c r="AB233" s="1258"/>
    </row>
    <row r="234">
      <c r="B234" s="863"/>
      <c r="M234" s="1211"/>
      <c r="O234" s="1211"/>
      <c r="Q234" s="1211"/>
      <c r="S234" s="1211"/>
      <c r="U234" s="1211"/>
      <c r="W234" s="1211"/>
      <c r="Y234" s="1211"/>
      <c r="AB234" s="1258"/>
    </row>
    <row r="235">
      <c r="B235" s="863"/>
      <c r="M235" s="1211"/>
      <c r="O235" s="1211"/>
      <c r="Q235" s="1211"/>
      <c r="S235" s="1211"/>
      <c r="U235" s="1211"/>
      <c r="W235" s="1211"/>
      <c r="Y235" s="1211"/>
      <c r="AB235" s="1258"/>
    </row>
    <row r="236">
      <c r="B236" s="863"/>
      <c r="M236" s="1211"/>
      <c r="O236" s="1211"/>
      <c r="Q236" s="1211"/>
      <c r="S236" s="1211"/>
      <c r="U236" s="1211"/>
      <c r="W236" s="1211"/>
      <c r="Y236" s="1211"/>
      <c r="AB236" s="1258"/>
    </row>
    <row r="237">
      <c r="B237" s="863"/>
      <c r="M237" s="1211"/>
      <c r="O237" s="1211"/>
      <c r="Q237" s="1211"/>
      <c r="S237" s="1211"/>
      <c r="U237" s="1211"/>
      <c r="W237" s="1211"/>
      <c r="Y237" s="1211"/>
      <c r="AB237" s="1258"/>
    </row>
    <row r="238">
      <c r="B238" s="863"/>
      <c r="M238" s="1211"/>
      <c r="O238" s="1211"/>
      <c r="Q238" s="1211"/>
      <c r="S238" s="1211"/>
      <c r="U238" s="1211"/>
      <c r="W238" s="1211"/>
      <c r="Y238" s="1211"/>
      <c r="AB238" s="1258"/>
    </row>
    <row r="239">
      <c r="B239" s="863"/>
      <c r="M239" s="1211"/>
      <c r="O239" s="1211"/>
      <c r="Q239" s="1211"/>
      <c r="S239" s="1211"/>
      <c r="U239" s="1211"/>
      <c r="W239" s="1211"/>
      <c r="Y239" s="1211"/>
      <c r="AB239" s="1258"/>
    </row>
    <row r="240">
      <c r="B240" s="863"/>
      <c r="M240" s="1211"/>
      <c r="O240" s="1211"/>
      <c r="Q240" s="1211"/>
      <c r="S240" s="1211"/>
      <c r="U240" s="1211"/>
      <c r="W240" s="1211"/>
      <c r="Y240" s="1211"/>
      <c r="AB240" s="1258"/>
    </row>
    <row r="241">
      <c r="B241" s="863"/>
      <c r="M241" s="1211"/>
      <c r="O241" s="1211"/>
      <c r="Q241" s="1211"/>
      <c r="S241" s="1211"/>
      <c r="U241" s="1211"/>
      <c r="W241" s="1211"/>
      <c r="Y241" s="1211"/>
      <c r="AB241" s="1258"/>
    </row>
    <row r="242">
      <c r="B242" s="863"/>
      <c r="M242" s="1211"/>
      <c r="O242" s="1211"/>
      <c r="Q242" s="1211"/>
      <c r="S242" s="1211"/>
      <c r="U242" s="1211"/>
      <c r="W242" s="1211"/>
      <c r="Y242" s="1211"/>
      <c r="AB242" s="1258"/>
    </row>
    <row r="243">
      <c r="B243" s="863"/>
      <c r="M243" s="1211"/>
      <c r="O243" s="1211"/>
      <c r="Q243" s="1211"/>
      <c r="S243" s="1211"/>
      <c r="U243" s="1211"/>
      <c r="W243" s="1211"/>
      <c r="Y243" s="1211"/>
      <c r="AB243" s="1258"/>
    </row>
    <row r="244">
      <c r="B244" s="863"/>
      <c r="M244" s="1211"/>
      <c r="O244" s="1211"/>
      <c r="Q244" s="1211"/>
      <c r="S244" s="1211"/>
      <c r="U244" s="1211"/>
      <c r="W244" s="1211"/>
      <c r="Y244" s="1211"/>
      <c r="AB244" s="1258"/>
    </row>
    <row r="245">
      <c r="B245" s="863"/>
      <c r="M245" s="1211"/>
      <c r="O245" s="1211"/>
      <c r="Q245" s="1211"/>
      <c r="S245" s="1211"/>
      <c r="U245" s="1211"/>
      <c r="W245" s="1211"/>
      <c r="Y245" s="1211"/>
      <c r="AB245" s="1258"/>
    </row>
    <row r="246">
      <c r="B246" s="863"/>
      <c r="M246" s="1211"/>
      <c r="O246" s="1211"/>
      <c r="Q246" s="1211"/>
      <c r="S246" s="1211"/>
      <c r="U246" s="1211"/>
      <c r="W246" s="1211"/>
      <c r="Y246" s="1211"/>
      <c r="AB246" s="1258"/>
    </row>
    <row r="247">
      <c r="B247" s="863"/>
      <c r="M247" s="1211"/>
      <c r="O247" s="1211"/>
      <c r="Q247" s="1211"/>
      <c r="S247" s="1211"/>
      <c r="U247" s="1211"/>
      <c r="W247" s="1211"/>
      <c r="Y247" s="1211"/>
      <c r="AB247" s="1258"/>
    </row>
    <row r="248">
      <c r="B248" s="863"/>
      <c r="M248" s="1211"/>
      <c r="O248" s="1211"/>
      <c r="Q248" s="1211"/>
      <c r="S248" s="1211"/>
      <c r="U248" s="1211"/>
      <c r="W248" s="1211"/>
      <c r="Y248" s="1211"/>
      <c r="AB248" s="1258"/>
    </row>
    <row r="249">
      <c r="B249" s="863"/>
      <c r="M249" s="1211"/>
      <c r="O249" s="1211"/>
      <c r="Q249" s="1211"/>
      <c r="S249" s="1211"/>
      <c r="U249" s="1211"/>
      <c r="W249" s="1211"/>
      <c r="Y249" s="1211"/>
      <c r="AB249" s="1258"/>
    </row>
    <row r="250">
      <c r="B250" s="863"/>
      <c r="M250" s="1211"/>
      <c r="O250" s="1211"/>
      <c r="Q250" s="1211"/>
      <c r="S250" s="1211"/>
      <c r="U250" s="1211"/>
      <c r="W250" s="1211"/>
      <c r="Y250" s="1211"/>
      <c r="AB250" s="1258"/>
    </row>
    <row r="251">
      <c r="B251" s="863"/>
      <c r="M251" s="1211"/>
      <c r="O251" s="1211"/>
      <c r="Q251" s="1211"/>
      <c r="S251" s="1211"/>
      <c r="U251" s="1211"/>
      <c r="W251" s="1211"/>
      <c r="Y251" s="1211"/>
      <c r="AB251" s="1258"/>
    </row>
    <row r="252">
      <c r="B252" s="863"/>
      <c r="M252" s="1211"/>
      <c r="O252" s="1211"/>
      <c r="Q252" s="1211"/>
      <c r="S252" s="1211"/>
      <c r="U252" s="1211"/>
      <c r="W252" s="1211"/>
      <c r="Y252" s="1211"/>
      <c r="AB252" s="1258"/>
    </row>
    <row r="253">
      <c r="B253" s="863"/>
      <c r="M253" s="1211"/>
      <c r="O253" s="1211"/>
      <c r="Q253" s="1211"/>
      <c r="S253" s="1211"/>
      <c r="U253" s="1211"/>
      <c r="W253" s="1211"/>
      <c r="Y253" s="1211"/>
      <c r="AB253" s="1258"/>
    </row>
    <row r="254">
      <c r="B254" s="863"/>
      <c r="M254" s="1211"/>
      <c r="O254" s="1211"/>
      <c r="Q254" s="1211"/>
      <c r="S254" s="1211"/>
      <c r="U254" s="1211"/>
      <c r="W254" s="1211"/>
      <c r="Y254" s="1211"/>
      <c r="AB254" s="1258"/>
    </row>
    <row r="255">
      <c r="B255" s="863"/>
      <c r="M255" s="1211"/>
      <c r="O255" s="1211"/>
      <c r="Q255" s="1211"/>
      <c r="S255" s="1211"/>
      <c r="U255" s="1211"/>
      <c r="W255" s="1211"/>
      <c r="Y255" s="1211"/>
      <c r="AB255" s="1258"/>
    </row>
    <row r="256">
      <c r="B256" s="863"/>
      <c r="M256" s="1211"/>
      <c r="O256" s="1211"/>
      <c r="Q256" s="1211"/>
      <c r="S256" s="1211"/>
      <c r="U256" s="1211"/>
      <c r="W256" s="1211"/>
      <c r="Y256" s="1211"/>
      <c r="AB256" s="1258"/>
    </row>
    <row r="257">
      <c r="B257" s="863"/>
      <c r="M257" s="1211"/>
      <c r="O257" s="1211"/>
      <c r="Q257" s="1211"/>
      <c r="S257" s="1211"/>
      <c r="U257" s="1211"/>
      <c r="W257" s="1211"/>
      <c r="Y257" s="1211"/>
      <c r="AB257" s="1258"/>
    </row>
    <row r="258">
      <c r="B258" s="863"/>
      <c r="M258" s="1211"/>
      <c r="O258" s="1211"/>
      <c r="Q258" s="1211"/>
      <c r="S258" s="1211"/>
      <c r="U258" s="1211"/>
      <c r="W258" s="1211"/>
      <c r="Y258" s="1211"/>
      <c r="AB258" s="1258"/>
    </row>
    <row r="259">
      <c r="B259" s="863"/>
      <c r="M259" s="1211"/>
      <c r="O259" s="1211"/>
      <c r="Q259" s="1211"/>
      <c r="S259" s="1211"/>
      <c r="U259" s="1211"/>
      <c r="W259" s="1211"/>
      <c r="Y259" s="1211"/>
      <c r="AB259" s="1258"/>
    </row>
    <row r="260">
      <c r="B260" s="863"/>
      <c r="M260" s="1211"/>
      <c r="O260" s="1211"/>
      <c r="Q260" s="1211"/>
      <c r="S260" s="1211"/>
      <c r="U260" s="1211"/>
      <c r="W260" s="1211"/>
      <c r="Y260" s="1211"/>
      <c r="AB260" s="1258"/>
    </row>
    <row r="261">
      <c r="B261" s="863"/>
      <c r="M261" s="1211"/>
      <c r="O261" s="1211"/>
      <c r="Q261" s="1211"/>
      <c r="S261" s="1211"/>
      <c r="U261" s="1211"/>
      <c r="W261" s="1211"/>
      <c r="Y261" s="1211"/>
      <c r="AB261" s="1258"/>
    </row>
    <row r="262">
      <c r="B262" s="863"/>
      <c r="M262" s="1211"/>
      <c r="O262" s="1211"/>
      <c r="Q262" s="1211"/>
      <c r="S262" s="1211"/>
      <c r="U262" s="1211"/>
      <c r="W262" s="1211"/>
      <c r="Y262" s="1211"/>
      <c r="AB262" s="1258"/>
    </row>
    <row r="263">
      <c r="B263" s="863"/>
      <c r="M263" s="1211"/>
      <c r="O263" s="1211"/>
      <c r="Q263" s="1211"/>
      <c r="S263" s="1211"/>
      <c r="U263" s="1211"/>
      <c r="W263" s="1211"/>
      <c r="Y263" s="1211"/>
      <c r="AB263" s="1258"/>
    </row>
    <row r="264">
      <c r="B264" s="863"/>
      <c r="M264" s="1211"/>
      <c r="O264" s="1211"/>
      <c r="Q264" s="1211"/>
      <c r="S264" s="1211"/>
      <c r="U264" s="1211"/>
      <c r="W264" s="1211"/>
      <c r="Y264" s="1211"/>
      <c r="AB264" s="1258"/>
    </row>
    <row r="265">
      <c r="B265" s="863"/>
      <c r="M265" s="1211"/>
      <c r="O265" s="1211"/>
      <c r="Q265" s="1211"/>
      <c r="S265" s="1211"/>
      <c r="U265" s="1211"/>
      <c r="W265" s="1211"/>
      <c r="Y265" s="1211"/>
      <c r="AB265" s="1258"/>
    </row>
    <row r="266">
      <c r="B266" s="863"/>
      <c r="M266" s="1211"/>
      <c r="O266" s="1211"/>
      <c r="Q266" s="1211"/>
      <c r="S266" s="1211"/>
      <c r="U266" s="1211"/>
      <c r="W266" s="1211"/>
      <c r="Y266" s="1211"/>
      <c r="AB266" s="1258"/>
    </row>
    <row r="267">
      <c r="B267" s="863"/>
      <c r="M267" s="1211"/>
      <c r="O267" s="1211"/>
      <c r="Q267" s="1211"/>
      <c r="S267" s="1211"/>
      <c r="U267" s="1211"/>
      <c r="W267" s="1211"/>
      <c r="Y267" s="1211"/>
      <c r="AB267" s="1258"/>
    </row>
    <row r="268">
      <c r="B268" s="863"/>
      <c r="M268" s="1211"/>
      <c r="O268" s="1211"/>
      <c r="Q268" s="1211"/>
      <c r="S268" s="1211"/>
      <c r="U268" s="1211"/>
      <c r="W268" s="1211"/>
      <c r="Y268" s="1211"/>
      <c r="AB268" s="1258"/>
    </row>
    <row r="269">
      <c r="B269" s="863"/>
      <c r="M269" s="1211"/>
      <c r="O269" s="1211"/>
      <c r="Q269" s="1211"/>
      <c r="S269" s="1211"/>
      <c r="U269" s="1211"/>
      <c r="W269" s="1211"/>
      <c r="Y269" s="1211"/>
      <c r="AB269" s="1258"/>
    </row>
    <row r="270">
      <c r="B270" s="863"/>
      <c r="M270" s="1211"/>
      <c r="O270" s="1211"/>
      <c r="Q270" s="1211"/>
      <c r="S270" s="1211"/>
      <c r="U270" s="1211"/>
      <c r="W270" s="1211"/>
      <c r="Y270" s="1211"/>
      <c r="AB270" s="1258"/>
    </row>
    <row r="271">
      <c r="B271" s="863"/>
      <c r="M271" s="1211"/>
      <c r="O271" s="1211"/>
      <c r="Q271" s="1211"/>
      <c r="S271" s="1211"/>
      <c r="U271" s="1211"/>
      <c r="W271" s="1211"/>
      <c r="Y271" s="1211"/>
      <c r="AB271" s="1258"/>
    </row>
    <row r="272">
      <c r="B272" s="863"/>
      <c r="M272" s="1211"/>
      <c r="O272" s="1211"/>
      <c r="Q272" s="1211"/>
      <c r="S272" s="1211"/>
      <c r="U272" s="1211"/>
      <c r="W272" s="1211"/>
      <c r="Y272" s="1211"/>
      <c r="AB272" s="1258"/>
    </row>
    <row r="273">
      <c r="B273" s="863"/>
      <c r="M273" s="1211"/>
      <c r="O273" s="1211"/>
      <c r="Q273" s="1211"/>
      <c r="S273" s="1211"/>
      <c r="U273" s="1211"/>
      <c r="W273" s="1211"/>
      <c r="Y273" s="1211"/>
      <c r="AB273" s="1258"/>
    </row>
    <row r="274">
      <c r="B274" s="863"/>
      <c r="M274" s="1211"/>
      <c r="O274" s="1211"/>
      <c r="Q274" s="1211"/>
      <c r="S274" s="1211"/>
      <c r="U274" s="1211"/>
      <c r="W274" s="1211"/>
      <c r="Y274" s="1211"/>
      <c r="AB274" s="1258"/>
    </row>
    <row r="275">
      <c r="B275" s="863"/>
      <c r="M275" s="1211"/>
      <c r="O275" s="1211"/>
      <c r="Q275" s="1211"/>
      <c r="S275" s="1211"/>
      <c r="U275" s="1211"/>
      <c r="W275" s="1211"/>
      <c r="Y275" s="1211"/>
      <c r="AB275" s="1258"/>
    </row>
    <row r="276">
      <c r="B276" s="863"/>
      <c r="M276" s="1211"/>
      <c r="O276" s="1211"/>
      <c r="Q276" s="1211"/>
      <c r="S276" s="1211"/>
      <c r="U276" s="1211"/>
      <c r="W276" s="1211"/>
      <c r="Y276" s="1211"/>
      <c r="AB276" s="1258"/>
    </row>
    <row r="277">
      <c r="B277" s="863"/>
      <c r="M277" s="1211"/>
      <c r="O277" s="1211"/>
      <c r="Q277" s="1211"/>
      <c r="S277" s="1211"/>
      <c r="U277" s="1211"/>
      <c r="W277" s="1211"/>
      <c r="Y277" s="1211"/>
      <c r="AB277" s="1258"/>
    </row>
    <row r="278">
      <c r="B278" s="863"/>
      <c r="M278" s="1211"/>
      <c r="O278" s="1211"/>
      <c r="Q278" s="1211"/>
      <c r="S278" s="1211"/>
      <c r="U278" s="1211"/>
      <c r="W278" s="1211"/>
      <c r="Y278" s="1211"/>
      <c r="AB278" s="1258"/>
    </row>
    <row r="279">
      <c r="B279" s="863"/>
      <c r="M279" s="1211"/>
      <c r="O279" s="1211"/>
      <c r="Q279" s="1211"/>
      <c r="S279" s="1211"/>
      <c r="U279" s="1211"/>
      <c r="W279" s="1211"/>
      <c r="Y279" s="1211"/>
      <c r="AB279" s="1258"/>
    </row>
    <row r="280">
      <c r="B280" s="863"/>
      <c r="M280" s="1211"/>
      <c r="O280" s="1211"/>
      <c r="Q280" s="1211"/>
      <c r="S280" s="1211"/>
      <c r="U280" s="1211"/>
      <c r="W280" s="1211"/>
      <c r="Y280" s="1211"/>
      <c r="AB280" s="1258"/>
    </row>
    <row r="281">
      <c r="B281" s="863"/>
      <c r="M281" s="1211"/>
      <c r="O281" s="1211"/>
      <c r="Q281" s="1211"/>
      <c r="S281" s="1211"/>
      <c r="U281" s="1211"/>
      <c r="W281" s="1211"/>
      <c r="Y281" s="1211"/>
      <c r="AB281" s="1258"/>
    </row>
    <row r="282">
      <c r="B282" s="863"/>
      <c r="M282" s="1211"/>
      <c r="O282" s="1211"/>
      <c r="Q282" s="1211"/>
      <c r="S282" s="1211"/>
      <c r="U282" s="1211"/>
      <c r="W282" s="1211"/>
      <c r="Y282" s="1211"/>
      <c r="AB282" s="1258"/>
    </row>
    <row r="283">
      <c r="B283" s="863"/>
      <c r="M283" s="1211"/>
      <c r="O283" s="1211"/>
      <c r="Q283" s="1211"/>
      <c r="S283" s="1211"/>
      <c r="U283" s="1211"/>
      <c r="W283" s="1211"/>
      <c r="Y283" s="1211"/>
      <c r="AB283" s="1258"/>
    </row>
    <row r="284">
      <c r="B284" s="863"/>
      <c r="M284" s="1211"/>
      <c r="O284" s="1211"/>
      <c r="Q284" s="1211"/>
      <c r="S284" s="1211"/>
      <c r="U284" s="1211"/>
      <c r="W284" s="1211"/>
      <c r="Y284" s="1211"/>
      <c r="AB284" s="1258"/>
    </row>
    <row r="285">
      <c r="B285" s="863"/>
      <c r="M285" s="1211"/>
      <c r="O285" s="1211"/>
      <c r="Q285" s="1211"/>
      <c r="S285" s="1211"/>
      <c r="U285" s="1211"/>
      <c r="W285" s="1211"/>
      <c r="Y285" s="1211"/>
      <c r="AB285" s="1258"/>
    </row>
    <row r="286">
      <c r="B286" s="863"/>
      <c r="M286" s="1211"/>
      <c r="O286" s="1211"/>
      <c r="Q286" s="1211"/>
      <c r="S286" s="1211"/>
      <c r="U286" s="1211"/>
      <c r="W286" s="1211"/>
      <c r="Y286" s="1211"/>
      <c r="AB286" s="1258"/>
    </row>
    <row r="287">
      <c r="B287" s="863"/>
      <c r="M287" s="1211"/>
      <c r="O287" s="1211"/>
      <c r="Q287" s="1211"/>
      <c r="S287" s="1211"/>
      <c r="U287" s="1211"/>
      <c r="W287" s="1211"/>
      <c r="Y287" s="1211"/>
      <c r="AB287" s="1258"/>
    </row>
    <row r="288">
      <c r="B288" s="863"/>
      <c r="M288" s="1211"/>
      <c r="O288" s="1211"/>
      <c r="Q288" s="1211"/>
      <c r="S288" s="1211"/>
      <c r="U288" s="1211"/>
      <c r="W288" s="1211"/>
      <c r="Y288" s="1211"/>
      <c r="AB288" s="1258"/>
    </row>
    <row r="289">
      <c r="B289" s="863"/>
      <c r="M289" s="1211"/>
      <c r="O289" s="1211"/>
      <c r="Q289" s="1211"/>
      <c r="S289" s="1211"/>
      <c r="U289" s="1211"/>
      <c r="W289" s="1211"/>
      <c r="Y289" s="1211"/>
      <c r="AB289" s="1258"/>
    </row>
    <row r="290">
      <c r="B290" s="863"/>
      <c r="M290" s="1211"/>
      <c r="O290" s="1211"/>
      <c r="Q290" s="1211"/>
      <c r="S290" s="1211"/>
      <c r="U290" s="1211"/>
      <c r="W290" s="1211"/>
      <c r="Y290" s="1211"/>
      <c r="AB290" s="1258"/>
    </row>
    <row r="291">
      <c r="B291" s="863"/>
      <c r="M291" s="1211"/>
      <c r="O291" s="1211"/>
      <c r="Q291" s="1211"/>
      <c r="S291" s="1211"/>
      <c r="U291" s="1211"/>
      <c r="W291" s="1211"/>
      <c r="Y291" s="1211"/>
      <c r="AB291" s="1258"/>
    </row>
    <row r="292">
      <c r="B292" s="863"/>
      <c r="M292" s="1211"/>
      <c r="O292" s="1211"/>
      <c r="Q292" s="1211"/>
      <c r="S292" s="1211"/>
      <c r="U292" s="1211"/>
      <c r="W292" s="1211"/>
      <c r="Y292" s="1211"/>
      <c r="AB292" s="1258"/>
    </row>
    <row r="293">
      <c r="B293" s="863"/>
      <c r="M293" s="1211"/>
      <c r="O293" s="1211"/>
      <c r="Q293" s="1211"/>
      <c r="S293" s="1211"/>
      <c r="U293" s="1211"/>
      <c r="W293" s="1211"/>
      <c r="Y293" s="1211"/>
      <c r="AB293" s="1258"/>
    </row>
    <row r="294">
      <c r="B294" s="863"/>
      <c r="M294" s="1211"/>
      <c r="O294" s="1211"/>
      <c r="Q294" s="1211"/>
      <c r="S294" s="1211"/>
      <c r="U294" s="1211"/>
      <c r="W294" s="1211"/>
      <c r="Y294" s="1211"/>
      <c r="AB294" s="1258"/>
    </row>
    <row r="295">
      <c r="B295" s="863"/>
      <c r="M295" s="1211"/>
      <c r="O295" s="1211"/>
      <c r="Q295" s="1211"/>
      <c r="S295" s="1211"/>
      <c r="U295" s="1211"/>
      <c r="W295" s="1211"/>
      <c r="Y295" s="1211"/>
      <c r="AB295" s="1258"/>
    </row>
    <row r="296">
      <c r="B296" s="863"/>
      <c r="M296" s="1211"/>
      <c r="O296" s="1211"/>
      <c r="Q296" s="1211"/>
      <c r="S296" s="1211"/>
      <c r="U296" s="1211"/>
      <c r="W296" s="1211"/>
      <c r="Y296" s="1211"/>
      <c r="AB296" s="1258"/>
    </row>
    <row r="297">
      <c r="B297" s="863"/>
      <c r="M297" s="1211"/>
      <c r="O297" s="1211"/>
      <c r="Q297" s="1211"/>
      <c r="S297" s="1211"/>
      <c r="U297" s="1211"/>
      <c r="W297" s="1211"/>
      <c r="Y297" s="1211"/>
      <c r="AB297" s="1258"/>
    </row>
    <row r="298">
      <c r="B298" s="863"/>
      <c r="M298" s="1211"/>
      <c r="O298" s="1211"/>
      <c r="Q298" s="1211"/>
      <c r="S298" s="1211"/>
      <c r="U298" s="1211"/>
      <c r="W298" s="1211"/>
      <c r="Y298" s="1211"/>
      <c r="AB298" s="1258"/>
    </row>
    <row r="299">
      <c r="B299" s="863"/>
      <c r="M299" s="1211"/>
      <c r="O299" s="1211"/>
      <c r="Q299" s="1211"/>
      <c r="S299" s="1211"/>
      <c r="U299" s="1211"/>
      <c r="W299" s="1211"/>
      <c r="Y299" s="1211"/>
      <c r="AB299" s="1258"/>
    </row>
    <row r="300">
      <c r="B300" s="863"/>
      <c r="M300" s="1211"/>
      <c r="O300" s="1211"/>
      <c r="Q300" s="1211"/>
      <c r="S300" s="1211"/>
      <c r="U300" s="1211"/>
      <c r="W300" s="1211"/>
      <c r="Y300" s="1211"/>
      <c r="AB300" s="1258"/>
    </row>
    <row r="301">
      <c r="B301" s="863"/>
      <c r="M301" s="1211"/>
      <c r="O301" s="1211"/>
      <c r="Q301" s="1211"/>
      <c r="S301" s="1211"/>
      <c r="U301" s="1211"/>
      <c r="W301" s="1211"/>
      <c r="Y301" s="1211"/>
      <c r="AB301" s="1258"/>
    </row>
    <row r="302">
      <c r="B302" s="863"/>
      <c r="M302" s="1211"/>
      <c r="O302" s="1211"/>
      <c r="Q302" s="1211"/>
      <c r="S302" s="1211"/>
      <c r="U302" s="1211"/>
      <c r="W302" s="1211"/>
      <c r="Y302" s="1211"/>
      <c r="AB302" s="1258"/>
    </row>
    <row r="303">
      <c r="B303" s="863"/>
      <c r="M303" s="1211"/>
      <c r="O303" s="1211"/>
      <c r="Q303" s="1211"/>
      <c r="S303" s="1211"/>
      <c r="U303" s="1211"/>
      <c r="W303" s="1211"/>
      <c r="Y303" s="1211"/>
      <c r="AB303" s="1258"/>
    </row>
    <row r="304">
      <c r="B304" s="863"/>
      <c r="M304" s="1211"/>
      <c r="O304" s="1211"/>
      <c r="Q304" s="1211"/>
      <c r="S304" s="1211"/>
      <c r="U304" s="1211"/>
      <c r="W304" s="1211"/>
      <c r="Y304" s="1211"/>
      <c r="AB304" s="1258"/>
    </row>
    <row r="305">
      <c r="B305" s="863"/>
      <c r="M305" s="1211"/>
      <c r="O305" s="1211"/>
      <c r="Q305" s="1211"/>
      <c r="S305" s="1211"/>
      <c r="U305" s="1211"/>
      <c r="W305" s="1211"/>
      <c r="Y305" s="1211"/>
      <c r="AB305" s="1258"/>
    </row>
    <row r="306">
      <c r="B306" s="863"/>
      <c r="M306" s="1211"/>
      <c r="O306" s="1211"/>
      <c r="Q306" s="1211"/>
      <c r="S306" s="1211"/>
      <c r="U306" s="1211"/>
      <c r="W306" s="1211"/>
      <c r="Y306" s="1211"/>
      <c r="AB306" s="1258"/>
    </row>
    <row r="307">
      <c r="B307" s="863"/>
      <c r="M307" s="1211"/>
      <c r="O307" s="1211"/>
      <c r="Q307" s="1211"/>
      <c r="S307" s="1211"/>
      <c r="U307" s="1211"/>
      <c r="W307" s="1211"/>
      <c r="Y307" s="1211"/>
      <c r="AB307" s="1258"/>
    </row>
    <row r="308">
      <c r="B308" s="863"/>
      <c r="M308" s="1211"/>
      <c r="O308" s="1211"/>
      <c r="Q308" s="1211"/>
      <c r="S308" s="1211"/>
      <c r="U308" s="1211"/>
      <c r="W308" s="1211"/>
      <c r="Y308" s="1211"/>
      <c r="AB308" s="1258"/>
    </row>
    <row r="309">
      <c r="B309" s="863"/>
      <c r="M309" s="1211"/>
      <c r="O309" s="1211"/>
      <c r="Q309" s="1211"/>
      <c r="S309" s="1211"/>
      <c r="U309" s="1211"/>
      <c r="W309" s="1211"/>
      <c r="Y309" s="1211"/>
      <c r="AB309" s="1258"/>
    </row>
    <row r="310">
      <c r="B310" s="863"/>
      <c r="M310" s="1211"/>
      <c r="O310" s="1211"/>
      <c r="Q310" s="1211"/>
      <c r="S310" s="1211"/>
      <c r="U310" s="1211"/>
      <c r="W310" s="1211"/>
      <c r="Y310" s="1211"/>
      <c r="AB310" s="1258"/>
    </row>
    <row r="311">
      <c r="B311" s="863"/>
      <c r="M311" s="1211"/>
      <c r="O311" s="1211"/>
      <c r="Q311" s="1211"/>
      <c r="S311" s="1211"/>
      <c r="U311" s="1211"/>
      <c r="W311" s="1211"/>
      <c r="Y311" s="1211"/>
      <c r="AB311" s="1258"/>
    </row>
    <row r="312">
      <c r="B312" s="863"/>
      <c r="M312" s="1211"/>
      <c r="O312" s="1211"/>
      <c r="Q312" s="1211"/>
      <c r="S312" s="1211"/>
      <c r="U312" s="1211"/>
      <c r="W312" s="1211"/>
      <c r="Y312" s="1211"/>
      <c r="AB312" s="1258"/>
    </row>
    <row r="313">
      <c r="B313" s="863"/>
      <c r="M313" s="1211"/>
      <c r="O313" s="1211"/>
      <c r="Q313" s="1211"/>
      <c r="S313" s="1211"/>
      <c r="U313" s="1211"/>
      <c r="W313" s="1211"/>
      <c r="Y313" s="1211"/>
      <c r="AB313" s="1258"/>
    </row>
    <row r="314">
      <c r="B314" s="863"/>
      <c r="M314" s="1211"/>
      <c r="O314" s="1211"/>
      <c r="Q314" s="1211"/>
      <c r="S314" s="1211"/>
      <c r="U314" s="1211"/>
      <c r="W314" s="1211"/>
      <c r="Y314" s="1211"/>
      <c r="AB314" s="1258"/>
    </row>
    <row r="315">
      <c r="B315" s="863"/>
      <c r="M315" s="1211"/>
      <c r="O315" s="1211"/>
      <c r="Q315" s="1211"/>
      <c r="S315" s="1211"/>
      <c r="U315" s="1211"/>
      <c r="W315" s="1211"/>
      <c r="Y315" s="1211"/>
      <c r="AB315" s="1258"/>
    </row>
    <row r="316">
      <c r="B316" s="863"/>
      <c r="M316" s="1211"/>
      <c r="O316" s="1211"/>
      <c r="Q316" s="1211"/>
      <c r="S316" s="1211"/>
      <c r="U316" s="1211"/>
      <c r="W316" s="1211"/>
      <c r="Y316" s="1211"/>
      <c r="AB316" s="1258"/>
    </row>
    <row r="317">
      <c r="B317" s="863"/>
      <c r="M317" s="1211"/>
      <c r="O317" s="1211"/>
      <c r="Q317" s="1211"/>
      <c r="S317" s="1211"/>
      <c r="U317" s="1211"/>
      <c r="W317" s="1211"/>
      <c r="Y317" s="1211"/>
      <c r="AB317" s="1258"/>
    </row>
    <row r="318">
      <c r="B318" s="863"/>
      <c r="M318" s="1211"/>
      <c r="O318" s="1211"/>
      <c r="Q318" s="1211"/>
      <c r="S318" s="1211"/>
      <c r="U318" s="1211"/>
      <c r="W318" s="1211"/>
      <c r="Y318" s="1211"/>
      <c r="AB318" s="1258"/>
    </row>
    <row r="319">
      <c r="B319" s="863"/>
      <c r="M319" s="1211"/>
      <c r="O319" s="1211"/>
      <c r="Q319" s="1211"/>
      <c r="S319" s="1211"/>
      <c r="U319" s="1211"/>
      <c r="W319" s="1211"/>
      <c r="Y319" s="1211"/>
      <c r="AB319" s="1258"/>
    </row>
    <row r="320">
      <c r="B320" s="863"/>
      <c r="M320" s="1211"/>
      <c r="O320" s="1211"/>
      <c r="Q320" s="1211"/>
      <c r="S320" s="1211"/>
      <c r="U320" s="1211"/>
      <c r="W320" s="1211"/>
      <c r="Y320" s="1211"/>
      <c r="AB320" s="1258"/>
    </row>
    <row r="321">
      <c r="B321" s="863"/>
      <c r="M321" s="1211"/>
      <c r="O321" s="1211"/>
      <c r="Q321" s="1211"/>
      <c r="S321" s="1211"/>
      <c r="U321" s="1211"/>
      <c r="W321" s="1211"/>
      <c r="Y321" s="1211"/>
      <c r="AB321" s="1258"/>
    </row>
    <row r="322">
      <c r="B322" s="863"/>
      <c r="M322" s="1211"/>
      <c r="O322" s="1211"/>
      <c r="Q322" s="1211"/>
      <c r="S322" s="1211"/>
      <c r="U322" s="1211"/>
      <c r="W322" s="1211"/>
      <c r="Y322" s="1211"/>
      <c r="AB322" s="1258"/>
    </row>
    <row r="323">
      <c r="B323" s="863"/>
      <c r="M323" s="1211"/>
      <c r="O323" s="1211"/>
      <c r="Q323" s="1211"/>
      <c r="S323" s="1211"/>
      <c r="U323" s="1211"/>
      <c r="W323" s="1211"/>
      <c r="Y323" s="1211"/>
      <c r="AB323" s="1258"/>
    </row>
    <row r="324">
      <c r="B324" s="863"/>
      <c r="M324" s="1211"/>
      <c r="O324" s="1211"/>
      <c r="Q324" s="1211"/>
      <c r="S324" s="1211"/>
      <c r="U324" s="1211"/>
      <c r="W324" s="1211"/>
      <c r="Y324" s="1211"/>
      <c r="AB324" s="1258"/>
    </row>
    <row r="325">
      <c r="B325" s="863"/>
      <c r="M325" s="1211"/>
      <c r="O325" s="1211"/>
      <c r="Q325" s="1211"/>
      <c r="S325" s="1211"/>
      <c r="U325" s="1211"/>
      <c r="W325" s="1211"/>
      <c r="Y325" s="1211"/>
      <c r="AB325" s="1258"/>
    </row>
    <row r="326">
      <c r="B326" s="863"/>
      <c r="M326" s="1211"/>
      <c r="O326" s="1211"/>
      <c r="Q326" s="1211"/>
      <c r="S326" s="1211"/>
      <c r="U326" s="1211"/>
      <c r="W326" s="1211"/>
      <c r="Y326" s="1211"/>
      <c r="AB326" s="1258"/>
    </row>
    <row r="327">
      <c r="B327" s="863"/>
      <c r="M327" s="1211"/>
      <c r="O327" s="1211"/>
      <c r="Q327" s="1211"/>
      <c r="S327" s="1211"/>
      <c r="U327" s="1211"/>
      <c r="W327" s="1211"/>
      <c r="Y327" s="1211"/>
      <c r="AB327" s="1258"/>
    </row>
    <row r="328">
      <c r="B328" s="863"/>
      <c r="M328" s="1211"/>
      <c r="O328" s="1211"/>
      <c r="Q328" s="1211"/>
      <c r="S328" s="1211"/>
      <c r="U328" s="1211"/>
      <c r="W328" s="1211"/>
      <c r="Y328" s="1211"/>
      <c r="AB328" s="1258"/>
    </row>
    <row r="329">
      <c r="B329" s="863"/>
      <c r="M329" s="1211"/>
      <c r="O329" s="1211"/>
      <c r="Q329" s="1211"/>
      <c r="S329" s="1211"/>
      <c r="U329" s="1211"/>
      <c r="W329" s="1211"/>
      <c r="Y329" s="1211"/>
      <c r="AB329" s="1258"/>
    </row>
    <row r="330">
      <c r="B330" s="863"/>
      <c r="M330" s="1211"/>
      <c r="O330" s="1211"/>
      <c r="Q330" s="1211"/>
      <c r="S330" s="1211"/>
      <c r="U330" s="1211"/>
      <c r="W330" s="1211"/>
      <c r="Y330" s="1211"/>
      <c r="AB330" s="1258"/>
    </row>
    <row r="331">
      <c r="B331" s="863"/>
      <c r="M331" s="1211"/>
      <c r="O331" s="1211"/>
      <c r="Q331" s="1211"/>
      <c r="S331" s="1211"/>
      <c r="U331" s="1211"/>
      <c r="W331" s="1211"/>
      <c r="Y331" s="1211"/>
      <c r="AB331" s="1258"/>
    </row>
    <row r="332">
      <c r="B332" s="863"/>
      <c r="M332" s="1211"/>
      <c r="O332" s="1211"/>
      <c r="Q332" s="1211"/>
      <c r="S332" s="1211"/>
      <c r="U332" s="1211"/>
      <c r="W332" s="1211"/>
      <c r="Y332" s="1211"/>
      <c r="AB332" s="1258"/>
    </row>
    <row r="333">
      <c r="B333" s="863"/>
      <c r="M333" s="1211"/>
      <c r="O333" s="1211"/>
      <c r="Q333" s="1211"/>
      <c r="S333" s="1211"/>
      <c r="U333" s="1211"/>
      <c r="W333" s="1211"/>
      <c r="Y333" s="1211"/>
      <c r="AB333" s="1258"/>
    </row>
    <row r="334">
      <c r="B334" s="863"/>
      <c r="M334" s="1211"/>
      <c r="O334" s="1211"/>
      <c r="Q334" s="1211"/>
      <c r="S334" s="1211"/>
      <c r="U334" s="1211"/>
      <c r="W334" s="1211"/>
      <c r="Y334" s="1211"/>
      <c r="AB334" s="1258"/>
    </row>
    <row r="335">
      <c r="B335" s="863"/>
      <c r="M335" s="1211"/>
      <c r="O335" s="1211"/>
      <c r="Q335" s="1211"/>
      <c r="S335" s="1211"/>
      <c r="U335" s="1211"/>
      <c r="W335" s="1211"/>
      <c r="Y335" s="1211"/>
      <c r="AB335" s="1258"/>
    </row>
    <row r="336">
      <c r="B336" s="863"/>
      <c r="M336" s="1211"/>
      <c r="O336" s="1211"/>
      <c r="Q336" s="1211"/>
      <c r="S336" s="1211"/>
      <c r="U336" s="1211"/>
      <c r="W336" s="1211"/>
      <c r="Y336" s="1211"/>
      <c r="AB336" s="1258"/>
    </row>
    <row r="337">
      <c r="B337" s="863"/>
      <c r="M337" s="1211"/>
      <c r="O337" s="1211"/>
      <c r="Q337" s="1211"/>
      <c r="S337" s="1211"/>
      <c r="U337" s="1211"/>
      <c r="W337" s="1211"/>
      <c r="Y337" s="1211"/>
      <c r="AB337" s="1258"/>
    </row>
    <row r="338">
      <c r="B338" s="863"/>
      <c r="M338" s="1211"/>
      <c r="O338" s="1211"/>
      <c r="Q338" s="1211"/>
      <c r="S338" s="1211"/>
      <c r="U338" s="1211"/>
      <c r="W338" s="1211"/>
      <c r="Y338" s="1211"/>
      <c r="AB338" s="1258"/>
    </row>
    <row r="339">
      <c r="B339" s="863"/>
      <c r="M339" s="1211"/>
      <c r="O339" s="1211"/>
      <c r="Q339" s="1211"/>
      <c r="S339" s="1211"/>
      <c r="U339" s="1211"/>
      <c r="W339" s="1211"/>
      <c r="Y339" s="1211"/>
      <c r="AB339" s="1258"/>
    </row>
    <row r="340">
      <c r="B340" s="863"/>
      <c r="M340" s="1211"/>
      <c r="O340" s="1211"/>
      <c r="Q340" s="1211"/>
      <c r="S340" s="1211"/>
      <c r="U340" s="1211"/>
      <c r="W340" s="1211"/>
      <c r="Y340" s="1211"/>
      <c r="AB340" s="1258"/>
    </row>
    <row r="341">
      <c r="B341" s="863"/>
      <c r="M341" s="1211"/>
      <c r="O341" s="1211"/>
      <c r="Q341" s="1211"/>
      <c r="S341" s="1211"/>
      <c r="U341" s="1211"/>
      <c r="W341" s="1211"/>
      <c r="Y341" s="1211"/>
      <c r="AB341" s="1258"/>
    </row>
    <row r="342">
      <c r="B342" s="863"/>
      <c r="M342" s="1211"/>
      <c r="O342" s="1211"/>
      <c r="Q342" s="1211"/>
      <c r="S342" s="1211"/>
      <c r="U342" s="1211"/>
      <c r="W342" s="1211"/>
      <c r="Y342" s="1211"/>
      <c r="AB342" s="1258"/>
    </row>
    <row r="343">
      <c r="B343" s="863"/>
      <c r="M343" s="1211"/>
      <c r="O343" s="1211"/>
      <c r="Q343" s="1211"/>
      <c r="S343" s="1211"/>
      <c r="U343" s="1211"/>
      <c r="W343" s="1211"/>
      <c r="Y343" s="1211"/>
      <c r="AB343" s="1258"/>
    </row>
    <row r="344">
      <c r="B344" s="863"/>
      <c r="M344" s="1211"/>
      <c r="O344" s="1211"/>
      <c r="Q344" s="1211"/>
      <c r="S344" s="1211"/>
      <c r="U344" s="1211"/>
      <c r="W344" s="1211"/>
      <c r="Y344" s="1211"/>
      <c r="AB344" s="1258"/>
    </row>
    <row r="345">
      <c r="B345" s="863"/>
      <c r="M345" s="1211"/>
      <c r="O345" s="1211"/>
      <c r="Q345" s="1211"/>
      <c r="S345" s="1211"/>
      <c r="U345" s="1211"/>
      <c r="W345" s="1211"/>
      <c r="Y345" s="1211"/>
      <c r="AB345" s="1258"/>
    </row>
    <row r="346">
      <c r="B346" s="863"/>
      <c r="M346" s="1211"/>
      <c r="O346" s="1211"/>
      <c r="Q346" s="1211"/>
      <c r="S346" s="1211"/>
      <c r="U346" s="1211"/>
      <c r="W346" s="1211"/>
      <c r="Y346" s="1211"/>
      <c r="AB346" s="1258"/>
    </row>
    <row r="347">
      <c r="B347" s="863"/>
      <c r="M347" s="1211"/>
      <c r="O347" s="1211"/>
      <c r="Q347" s="1211"/>
      <c r="S347" s="1211"/>
      <c r="U347" s="1211"/>
      <c r="W347" s="1211"/>
      <c r="Y347" s="1211"/>
      <c r="AB347" s="1258"/>
    </row>
    <row r="348">
      <c r="B348" s="863"/>
      <c r="M348" s="1211"/>
      <c r="O348" s="1211"/>
      <c r="Q348" s="1211"/>
      <c r="S348" s="1211"/>
      <c r="U348" s="1211"/>
      <c r="W348" s="1211"/>
      <c r="Y348" s="1211"/>
      <c r="AB348" s="1258"/>
    </row>
    <row r="349">
      <c r="B349" s="863"/>
      <c r="M349" s="1211"/>
      <c r="O349" s="1211"/>
      <c r="Q349" s="1211"/>
      <c r="S349" s="1211"/>
      <c r="U349" s="1211"/>
      <c r="W349" s="1211"/>
      <c r="Y349" s="1211"/>
      <c r="AB349" s="1258"/>
    </row>
    <row r="350">
      <c r="B350" s="863"/>
      <c r="M350" s="1211"/>
      <c r="O350" s="1211"/>
      <c r="Q350" s="1211"/>
      <c r="S350" s="1211"/>
      <c r="U350" s="1211"/>
      <c r="W350" s="1211"/>
      <c r="Y350" s="1211"/>
      <c r="AB350" s="1258"/>
    </row>
    <row r="351">
      <c r="B351" s="863"/>
      <c r="M351" s="1211"/>
      <c r="O351" s="1211"/>
      <c r="Q351" s="1211"/>
      <c r="S351" s="1211"/>
      <c r="U351" s="1211"/>
      <c r="W351" s="1211"/>
      <c r="Y351" s="1211"/>
      <c r="AB351" s="1258"/>
    </row>
    <row r="352">
      <c r="B352" s="863"/>
      <c r="M352" s="1211"/>
      <c r="O352" s="1211"/>
      <c r="Q352" s="1211"/>
      <c r="S352" s="1211"/>
      <c r="U352" s="1211"/>
      <c r="W352" s="1211"/>
      <c r="Y352" s="1211"/>
      <c r="AB352" s="1258"/>
    </row>
    <row r="353">
      <c r="B353" s="863"/>
      <c r="M353" s="1211"/>
      <c r="O353" s="1211"/>
      <c r="Q353" s="1211"/>
      <c r="S353" s="1211"/>
      <c r="U353" s="1211"/>
      <c r="W353" s="1211"/>
      <c r="Y353" s="1211"/>
      <c r="AB353" s="1258"/>
    </row>
    <row r="354">
      <c r="B354" s="863"/>
      <c r="M354" s="1211"/>
      <c r="O354" s="1211"/>
      <c r="Q354" s="1211"/>
      <c r="S354" s="1211"/>
      <c r="U354" s="1211"/>
      <c r="W354" s="1211"/>
      <c r="Y354" s="1211"/>
      <c r="AB354" s="1258"/>
    </row>
    <row r="355">
      <c r="B355" s="863"/>
      <c r="M355" s="1211"/>
      <c r="O355" s="1211"/>
      <c r="Q355" s="1211"/>
      <c r="S355" s="1211"/>
      <c r="U355" s="1211"/>
      <c r="W355" s="1211"/>
      <c r="Y355" s="1211"/>
      <c r="AB355" s="1258"/>
    </row>
    <row r="356">
      <c r="B356" s="863"/>
      <c r="M356" s="1211"/>
      <c r="O356" s="1211"/>
      <c r="Q356" s="1211"/>
      <c r="S356" s="1211"/>
      <c r="U356" s="1211"/>
      <c r="W356" s="1211"/>
      <c r="Y356" s="1211"/>
      <c r="AB356" s="1258"/>
    </row>
    <row r="357">
      <c r="B357" s="863"/>
      <c r="M357" s="1211"/>
      <c r="O357" s="1211"/>
      <c r="Q357" s="1211"/>
      <c r="S357" s="1211"/>
      <c r="U357" s="1211"/>
      <c r="W357" s="1211"/>
      <c r="Y357" s="1211"/>
      <c r="AB357" s="1258"/>
    </row>
    <row r="358">
      <c r="B358" s="863"/>
      <c r="M358" s="1211"/>
      <c r="O358" s="1211"/>
      <c r="Q358" s="1211"/>
      <c r="S358" s="1211"/>
      <c r="U358" s="1211"/>
      <c r="W358" s="1211"/>
      <c r="Y358" s="1211"/>
      <c r="AB358" s="1258"/>
    </row>
    <row r="359">
      <c r="B359" s="863"/>
      <c r="M359" s="1211"/>
      <c r="O359" s="1211"/>
      <c r="Q359" s="1211"/>
      <c r="S359" s="1211"/>
      <c r="U359" s="1211"/>
      <c r="W359" s="1211"/>
      <c r="Y359" s="1211"/>
      <c r="AB359" s="1258"/>
    </row>
    <row r="360">
      <c r="B360" s="863"/>
      <c r="M360" s="1211"/>
      <c r="O360" s="1211"/>
      <c r="Q360" s="1211"/>
      <c r="S360" s="1211"/>
      <c r="U360" s="1211"/>
      <c r="W360" s="1211"/>
      <c r="Y360" s="1211"/>
      <c r="AB360" s="1258"/>
    </row>
    <row r="361">
      <c r="B361" s="863"/>
      <c r="M361" s="1211"/>
      <c r="O361" s="1211"/>
      <c r="Q361" s="1211"/>
      <c r="S361" s="1211"/>
      <c r="U361" s="1211"/>
      <c r="W361" s="1211"/>
      <c r="Y361" s="1211"/>
      <c r="AB361" s="1258"/>
    </row>
    <row r="362">
      <c r="B362" s="863"/>
      <c r="M362" s="1211"/>
      <c r="O362" s="1211"/>
      <c r="Q362" s="1211"/>
      <c r="S362" s="1211"/>
      <c r="U362" s="1211"/>
      <c r="W362" s="1211"/>
      <c r="Y362" s="1211"/>
      <c r="AB362" s="1258"/>
    </row>
    <row r="363">
      <c r="B363" s="863"/>
      <c r="M363" s="1211"/>
      <c r="O363" s="1211"/>
      <c r="Q363" s="1211"/>
      <c r="S363" s="1211"/>
      <c r="U363" s="1211"/>
      <c r="W363" s="1211"/>
      <c r="Y363" s="1211"/>
      <c r="AB363" s="1258"/>
    </row>
    <row r="364">
      <c r="B364" s="863"/>
      <c r="M364" s="1211"/>
      <c r="O364" s="1211"/>
      <c r="Q364" s="1211"/>
      <c r="S364" s="1211"/>
      <c r="U364" s="1211"/>
      <c r="W364" s="1211"/>
      <c r="Y364" s="1211"/>
      <c r="AB364" s="1258"/>
    </row>
    <row r="365">
      <c r="B365" s="863"/>
      <c r="M365" s="1211"/>
      <c r="O365" s="1211"/>
      <c r="Q365" s="1211"/>
      <c r="S365" s="1211"/>
      <c r="U365" s="1211"/>
      <c r="W365" s="1211"/>
      <c r="Y365" s="1211"/>
      <c r="AB365" s="1258"/>
    </row>
    <row r="366">
      <c r="B366" s="863"/>
      <c r="M366" s="1211"/>
      <c r="O366" s="1211"/>
      <c r="Q366" s="1211"/>
      <c r="S366" s="1211"/>
      <c r="U366" s="1211"/>
      <c r="W366" s="1211"/>
      <c r="Y366" s="1211"/>
      <c r="AB366" s="1258"/>
    </row>
    <row r="367">
      <c r="B367" s="863"/>
      <c r="M367" s="1211"/>
      <c r="O367" s="1211"/>
      <c r="Q367" s="1211"/>
      <c r="S367" s="1211"/>
      <c r="U367" s="1211"/>
      <c r="W367" s="1211"/>
      <c r="Y367" s="1211"/>
      <c r="AB367" s="1258"/>
    </row>
    <row r="368">
      <c r="B368" s="863"/>
      <c r="M368" s="1211"/>
      <c r="O368" s="1211"/>
      <c r="Q368" s="1211"/>
      <c r="S368" s="1211"/>
      <c r="U368" s="1211"/>
      <c r="W368" s="1211"/>
      <c r="Y368" s="1211"/>
      <c r="AB368" s="1258"/>
    </row>
    <row r="369">
      <c r="B369" s="863"/>
      <c r="M369" s="1211"/>
      <c r="O369" s="1211"/>
      <c r="Q369" s="1211"/>
      <c r="S369" s="1211"/>
      <c r="U369" s="1211"/>
      <c r="W369" s="1211"/>
      <c r="Y369" s="1211"/>
      <c r="AB369" s="1258"/>
    </row>
    <row r="370">
      <c r="B370" s="863"/>
      <c r="M370" s="1211"/>
      <c r="O370" s="1211"/>
      <c r="Q370" s="1211"/>
      <c r="S370" s="1211"/>
      <c r="U370" s="1211"/>
      <c r="W370" s="1211"/>
      <c r="Y370" s="1211"/>
      <c r="AB370" s="1258"/>
    </row>
    <row r="371">
      <c r="B371" s="863"/>
      <c r="M371" s="1211"/>
      <c r="O371" s="1211"/>
      <c r="Q371" s="1211"/>
      <c r="S371" s="1211"/>
      <c r="U371" s="1211"/>
      <c r="W371" s="1211"/>
      <c r="Y371" s="1211"/>
      <c r="AB371" s="1258"/>
    </row>
    <row r="372">
      <c r="B372" s="863"/>
      <c r="M372" s="1211"/>
      <c r="O372" s="1211"/>
      <c r="Q372" s="1211"/>
      <c r="S372" s="1211"/>
      <c r="U372" s="1211"/>
      <c r="W372" s="1211"/>
      <c r="Y372" s="1211"/>
      <c r="AB372" s="1258"/>
    </row>
    <row r="373">
      <c r="B373" s="863"/>
      <c r="M373" s="1211"/>
      <c r="O373" s="1211"/>
      <c r="Q373" s="1211"/>
      <c r="S373" s="1211"/>
      <c r="U373" s="1211"/>
      <c r="W373" s="1211"/>
      <c r="Y373" s="1211"/>
      <c r="AB373" s="1258"/>
    </row>
    <row r="374">
      <c r="B374" s="863"/>
      <c r="M374" s="1211"/>
      <c r="O374" s="1211"/>
      <c r="Q374" s="1211"/>
      <c r="S374" s="1211"/>
      <c r="U374" s="1211"/>
      <c r="W374" s="1211"/>
      <c r="Y374" s="1211"/>
      <c r="AB374" s="1258"/>
    </row>
    <row r="375">
      <c r="B375" s="863"/>
      <c r="M375" s="1211"/>
      <c r="O375" s="1211"/>
      <c r="Q375" s="1211"/>
      <c r="S375" s="1211"/>
      <c r="U375" s="1211"/>
      <c r="W375" s="1211"/>
      <c r="Y375" s="1211"/>
      <c r="AB375" s="1258"/>
    </row>
    <row r="376">
      <c r="B376" s="863"/>
      <c r="M376" s="1211"/>
      <c r="O376" s="1211"/>
      <c r="Q376" s="1211"/>
      <c r="S376" s="1211"/>
      <c r="U376" s="1211"/>
      <c r="W376" s="1211"/>
      <c r="Y376" s="1211"/>
      <c r="AB376" s="1258"/>
    </row>
    <row r="377">
      <c r="B377" s="863"/>
      <c r="M377" s="1211"/>
      <c r="O377" s="1211"/>
      <c r="Q377" s="1211"/>
      <c r="S377" s="1211"/>
      <c r="U377" s="1211"/>
      <c r="W377" s="1211"/>
      <c r="Y377" s="1211"/>
      <c r="AB377" s="1258"/>
    </row>
    <row r="378">
      <c r="B378" s="863"/>
      <c r="M378" s="1211"/>
      <c r="O378" s="1211"/>
      <c r="Q378" s="1211"/>
      <c r="S378" s="1211"/>
      <c r="U378" s="1211"/>
      <c r="W378" s="1211"/>
      <c r="Y378" s="1211"/>
      <c r="AB378" s="1258"/>
    </row>
    <row r="379">
      <c r="B379" s="863"/>
      <c r="M379" s="1211"/>
      <c r="O379" s="1211"/>
      <c r="Q379" s="1211"/>
      <c r="S379" s="1211"/>
      <c r="U379" s="1211"/>
      <c r="W379" s="1211"/>
      <c r="Y379" s="1211"/>
      <c r="AB379" s="1258"/>
    </row>
    <row r="380">
      <c r="B380" s="863"/>
      <c r="M380" s="1211"/>
      <c r="O380" s="1211"/>
      <c r="Q380" s="1211"/>
      <c r="S380" s="1211"/>
      <c r="U380" s="1211"/>
      <c r="W380" s="1211"/>
      <c r="Y380" s="1211"/>
      <c r="AB380" s="1258"/>
    </row>
    <row r="381">
      <c r="B381" s="863"/>
      <c r="M381" s="1211"/>
      <c r="O381" s="1211"/>
      <c r="Q381" s="1211"/>
      <c r="S381" s="1211"/>
      <c r="U381" s="1211"/>
      <c r="W381" s="1211"/>
      <c r="Y381" s="1211"/>
      <c r="AB381" s="1258"/>
    </row>
    <row r="382">
      <c r="B382" s="863"/>
      <c r="M382" s="1211"/>
      <c r="O382" s="1211"/>
      <c r="Q382" s="1211"/>
      <c r="S382" s="1211"/>
      <c r="U382" s="1211"/>
      <c r="W382" s="1211"/>
      <c r="Y382" s="1211"/>
      <c r="AB382" s="1258"/>
    </row>
    <row r="383">
      <c r="B383" s="863"/>
      <c r="M383" s="1211"/>
      <c r="O383" s="1211"/>
      <c r="Q383" s="1211"/>
      <c r="S383" s="1211"/>
      <c r="U383" s="1211"/>
      <c r="W383" s="1211"/>
      <c r="Y383" s="1211"/>
      <c r="AB383" s="1258"/>
    </row>
    <row r="384">
      <c r="B384" s="863"/>
      <c r="M384" s="1211"/>
      <c r="O384" s="1211"/>
      <c r="Q384" s="1211"/>
      <c r="S384" s="1211"/>
      <c r="U384" s="1211"/>
      <c r="W384" s="1211"/>
      <c r="Y384" s="1211"/>
      <c r="AB384" s="1258"/>
    </row>
    <row r="385">
      <c r="B385" s="863"/>
      <c r="M385" s="1211"/>
      <c r="O385" s="1211"/>
      <c r="Q385" s="1211"/>
      <c r="S385" s="1211"/>
      <c r="U385" s="1211"/>
      <c r="W385" s="1211"/>
      <c r="Y385" s="1211"/>
      <c r="AB385" s="1258"/>
    </row>
    <row r="386">
      <c r="B386" s="863"/>
      <c r="M386" s="1211"/>
      <c r="O386" s="1211"/>
      <c r="Q386" s="1211"/>
      <c r="S386" s="1211"/>
      <c r="U386" s="1211"/>
      <c r="W386" s="1211"/>
      <c r="Y386" s="1211"/>
      <c r="AB386" s="1258"/>
    </row>
    <row r="387">
      <c r="B387" s="863"/>
      <c r="M387" s="1211"/>
      <c r="O387" s="1211"/>
      <c r="Q387" s="1211"/>
      <c r="S387" s="1211"/>
      <c r="U387" s="1211"/>
      <c r="W387" s="1211"/>
      <c r="Y387" s="1211"/>
      <c r="AB387" s="1258"/>
    </row>
    <row r="388">
      <c r="B388" s="863"/>
      <c r="M388" s="1211"/>
      <c r="O388" s="1211"/>
      <c r="Q388" s="1211"/>
      <c r="S388" s="1211"/>
      <c r="U388" s="1211"/>
      <c r="W388" s="1211"/>
      <c r="Y388" s="1211"/>
      <c r="AB388" s="1258"/>
    </row>
    <row r="389">
      <c r="B389" s="863"/>
      <c r="M389" s="1211"/>
      <c r="O389" s="1211"/>
      <c r="Q389" s="1211"/>
      <c r="S389" s="1211"/>
      <c r="U389" s="1211"/>
      <c r="W389" s="1211"/>
      <c r="Y389" s="1211"/>
      <c r="AB389" s="1258"/>
    </row>
    <row r="390">
      <c r="B390" s="863"/>
      <c r="M390" s="1211"/>
      <c r="O390" s="1211"/>
      <c r="Q390" s="1211"/>
      <c r="S390" s="1211"/>
      <c r="U390" s="1211"/>
      <c r="W390" s="1211"/>
      <c r="Y390" s="1211"/>
      <c r="AB390" s="1258"/>
    </row>
    <row r="391">
      <c r="B391" s="863"/>
      <c r="M391" s="1211"/>
      <c r="O391" s="1211"/>
      <c r="Q391" s="1211"/>
      <c r="S391" s="1211"/>
      <c r="U391" s="1211"/>
      <c r="W391" s="1211"/>
      <c r="Y391" s="1211"/>
      <c r="AB391" s="1258"/>
    </row>
    <row r="392">
      <c r="B392" s="863"/>
      <c r="M392" s="1211"/>
      <c r="O392" s="1211"/>
      <c r="Q392" s="1211"/>
      <c r="S392" s="1211"/>
      <c r="U392" s="1211"/>
      <c r="W392" s="1211"/>
      <c r="Y392" s="1211"/>
      <c r="AB392" s="1258"/>
    </row>
    <row r="393">
      <c r="B393" s="863"/>
      <c r="M393" s="1211"/>
      <c r="O393" s="1211"/>
      <c r="Q393" s="1211"/>
      <c r="S393" s="1211"/>
      <c r="U393" s="1211"/>
      <c r="W393" s="1211"/>
      <c r="Y393" s="1211"/>
      <c r="AB393" s="1258"/>
    </row>
    <row r="394">
      <c r="B394" s="863"/>
      <c r="M394" s="1211"/>
      <c r="O394" s="1211"/>
      <c r="Q394" s="1211"/>
      <c r="S394" s="1211"/>
      <c r="U394" s="1211"/>
      <c r="W394" s="1211"/>
      <c r="Y394" s="1211"/>
      <c r="AB394" s="1258"/>
    </row>
    <row r="395">
      <c r="B395" s="863"/>
      <c r="M395" s="1211"/>
      <c r="O395" s="1211"/>
      <c r="Q395" s="1211"/>
      <c r="S395" s="1211"/>
      <c r="U395" s="1211"/>
      <c r="W395" s="1211"/>
      <c r="Y395" s="1211"/>
      <c r="AB395" s="1258"/>
    </row>
    <row r="396">
      <c r="B396" s="863"/>
      <c r="M396" s="1211"/>
      <c r="O396" s="1211"/>
      <c r="Q396" s="1211"/>
      <c r="S396" s="1211"/>
      <c r="U396" s="1211"/>
      <c r="W396" s="1211"/>
      <c r="Y396" s="1211"/>
      <c r="AB396" s="1258"/>
    </row>
    <row r="397">
      <c r="B397" s="863"/>
      <c r="M397" s="1211"/>
      <c r="O397" s="1211"/>
      <c r="Q397" s="1211"/>
      <c r="S397" s="1211"/>
      <c r="U397" s="1211"/>
      <c r="W397" s="1211"/>
      <c r="Y397" s="1211"/>
      <c r="AB397" s="1258"/>
    </row>
    <row r="398">
      <c r="B398" s="863"/>
      <c r="M398" s="1211"/>
      <c r="O398" s="1211"/>
      <c r="Q398" s="1211"/>
      <c r="S398" s="1211"/>
      <c r="U398" s="1211"/>
      <c r="W398" s="1211"/>
      <c r="Y398" s="1211"/>
      <c r="AB398" s="1258"/>
    </row>
    <row r="399">
      <c r="B399" s="863"/>
      <c r="M399" s="1211"/>
      <c r="O399" s="1211"/>
      <c r="Q399" s="1211"/>
      <c r="S399" s="1211"/>
      <c r="U399" s="1211"/>
      <c r="W399" s="1211"/>
      <c r="Y399" s="1211"/>
      <c r="AB399" s="1258"/>
    </row>
    <row r="400">
      <c r="B400" s="863"/>
      <c r="M400" s="1211"/>
      <c r="O400" s="1211"/>
      <c r="Q400" s="1211"/>
      <c r="S400" s="1211"/>
      <c r="U400" s="1211"/>
      <c r="W400" s="1211"/>
      <c r="Y400" s="1211"/>
      <c r="AB400" s="1258"/>
    </row>
    <row r="401">
      <c r="B401" s="863"/>
      <c r="M401" s="1211"/>
      <c r="O401" s="1211"/>
      <c r="Q401" s="1211"/>
      <c r="S401" s="1211"/>
      <c r="U401" s="1211"/>
      <c r="W401" s="1211"/>
      <c r="Y401" s="1211"/>
      <c r="AB401" s="1258"/>
    </row>
    <row r="402">
      <c r="B402" s="863"/>
      <c r="M402" s="1211"/>
      <c r="O402" s="1211"/>
      <c r="Q402" s="1211"/>
      <c r="S402" s="1211"/>
      <c r="U402" s="1211"/>
      <c r="W402" s="1211"/>
      <c r="Y402" s="1211"/>
      <c r="AB402" s="1258"/>
    </row>
    <row r="403">
      <c r="B403" s="863"/>
      <c r="M403" s="1211"/>
      <c r="O403" s="1211"/>
      <c r="Q403" s="1211"/>
      <c r="S403" s="1211"/>
      <c r="U403" s="1211"/>
      <c r="W403" s="1211"/>
      <c r="Y403" s="1211"/>
      <c r="AB403" s="1258"/>
    </row>
    <row r="404">
      <c r="B404" s="863"/>
      <c r="M404" s="1211"/>
      <c r="O404" s="1211"/>
      <c r="Q404" s="1211"/>
      <c r="S404" s="1211"/>
      <c r="U404" s="1211"/>
      <c r="W404" s="1211"/>
      <c r="Y404" s="1211"/>
      <c r="AB404" s="1258"/>
    </row>
    <row r="405">
      <c r="B405" s="863"/>
      <c r="M405" s="1211"/>
      <c r="O405" s="1211"/>
      <c r="Q405" s="1211"/>
      <c r="S405" s="1211"/>
      <c r="U405" s="1211"/>
      <c r="W405" s="1211"/>
      <c r="Y405" s="1211"/>
      <c r="AB405" s="1258"/>
    </row>
    <row r="406">
      <c r="B406" s="863"/>
      <c r="M406" s="1211"/>
      <c r="O406" s="1211"/>
      <c r="Q406" s="1211"/>
      <c r="S406" s="1211"/>
      <c r="U406" s="1211"/>
      <c r="W406" s="1211"/>
      <c r="Y406" s="1211"/>
      <c r="AB406" s="1258"/>
    </row>
    <row r="407">
      <c r="B407" s="863"/>
      <c r="M407" s="1211"/>
      <c r="O407" s="1211"/>
      <c r="Q407" s="1211"/>
      <c r="S407" s="1211"/>
      <c r="U407" s="1211"/>
      <c r="W407" s="1211"/>
      <c r="Y407" s="1211"/>
      <c r="AB407" s="1258"/>
    </row>
    <row r="408">
      <c r="B408" s="863"/>
      <c r="M408" s="1211"/>
      <c r="O408" s="1211"/>
      <c r="Q408" s="1211"/>
      <c r="S408" s="1211"/>
      <c r="U408" s="1211"/>
      <c r="W408" s="1211"/>
      <c r="Y408" s="1211"/>
      <c r="AB408" s="1258"/>
    </row>
    <row r="409">
      <c r="B409" s="863"/>
      <c r="M409" s="1211"/>
      <c r="O409" s="1211"/>
      <c r="Q409" s="1211"/>
      <c r="S409" s="1211"/>
      <c r="U409" s="1211"/>
      <c r="W409" s="1211"/>
      <c r="Y409" s="1211"/>
      <c r="AB409" s="1258"/>
    </row>
    <row r="410">
      <c r="B410" s="863"/>
      <c r="M410" s="1211"/>
      <c r="O410" s="1211"/>
      <c r="Q410" s="1211"/>
      <c r="S410" s="1211"/>
      <c r="U410" s="1211"/>
      <c r="W410" s="1211"/>
      <c r="Y410" s="1211"/>
      <c r="AB410" s="1258"/>
    </row>
    <row r="411">
      <c r="B411" s="863"/>
      <c r="M411" s="1211"/>
      <c r="O411" s="1211"/>
      <c r="Q411" s="1211"/>
      <c r="S411" s="1211"/>
      <c r="U411" s="1211"/>
      <c r="W411" s="1211"/>
      <c r="Y411" s="1211"/>
      <c r="AB411" s="1258"/>
    </row>
    <row r="412">
      <c r="B412" s="863"/>
      <c r="M412" s="1211"/>
      <c r="O412" s="1211"/>
      <c r="Q412" s="1211"/>
      <c r="S412" s="1211"/>
      <c r="U412" s="1211"/>
      <c r="W412" s="1211"/>
      <c r="Y412" s="1211"/>
      <c r="AB412" s="1258"/>
    </row>
    <row r="413">
      <c r="B413" s="863"/>
      <c r="M413" s="1211"/>
      <c r="O413" s="1211"/>
      <c r="Q413" s="1211"/>
      <c r="S413" s="1211"/>
      <c r="U413" s="1211"/>
      <c r="W413" s="1211"/>
      <c r="Y413" s="1211"/>
      <c r="AB413" s="1258"/>
    </row>
    <row r="414">
      <c r="B414" s="863"/>
      <c r="M414" s="1211"/>
      <c r="O414" s="1211"/>
      <c r="Q414" s="1211"/>
      <c r="S414" s="1211"/>
      <c r="U414" s="1211"/>
      <c r="W414" s="1211"/>
      <c r="Y414" s="1211"/>
      <c r="AB414" s="1258"/>
    </row>
    <row r="415">
      <c r="B415" s="863"/>
      <c r="M415" s="1211"/>
      <c r="O415" s="1211"/>
      <c r="Q415" s="1211"/>
      <c r="S415" s="1211"/>
      <c r="U415" s="1211"/>
      <c r="W415" s="1211"/>
      <c r="Y415" s="1211"/>
      <c r="AB415" s="1258"/>
    </row>
    <row r="416">
      <c r="B416" s="863"/>
      <c r="M416" s="1211"/>
      <c r="O416" s="1211"/>
      <c r="Q416" s="1211"/>
      <c r="S416" s="1211"/>
      <c r="U416" s="1211"/>
      <c r="W416" s="1211"/>
      <c r="Y416" s="1211"/>
      <c r="AB416" s="1258"/>
    </row>
    <row r="417">
      <c r="B417" s="863"/>
      <c r="M417" s="1211"/>
      <c r="O417" s="1211"/>
      <c r="Q417" s="1211"/>
      <c r="S417" s="1211"/>
      <c r="U417" s="1211"/>
      <c r="W417" s="1211"/>
      <c r="Y417" s="1211"/>
      <c r="AB417" s="1258"/>
    </row>
    <row r="418">
      <c r="B418" s="863"/>
      <c r="M418" s="1211"/>
      <c r="O418" s="1211"/>
      <c r="Q418" s="1211"/>
      <c r="S418" s="1211"/>
      <c r="U418" s="1211"/>
      <c r="W418" s="1211"/>
      <c r="Y418" s="1211"/>
      <c r="AB418" s="1258"/>
    </row>
    <row r="419">
      <c r="B419" s="863"/>
      <c r="M419" s="1211"/>
      <c r="O419" s="1211"/>
      <c r="Q419" s="1211"/>
      <c r="S419" s="1211"/>
      <c r="U419" s="1211"/>
      <c r="W419" s="1211"/>
      <c r="Y419" s="1211"/>
      <c r="AB419" s="1258"/>
    </row>
    <row r="420">
      <c r="B420" s="863"/>
      <c r="M420" s="1211"/>
      <c r="O420" s="1211"/>
      <c r="Q420" s="1211"/>
      <c r="S420" s="1211"/>
      <c r="U420" s="1211"/>
      <c r="W420" s="1211"/>
      <c r="Y420" s="1211"/>
      <c r="AB420" s="1258"/>
    </row>
    <row r="421">
      <c r="B421" s="863"/>
      <c r="M421" s="1211"/>
      <c r="O421" s="1211"/>
      <c r="Q421" s="1211"/>
      <c r="S421" s="1211"/>
      <c r="U421" s="1211"/>
      <c r="W421" s="1211"/>
      <c r="Y421" s="1211"/>
      <c r="AB421" s="1258"/>
    </row>
    <row r="422">
      <c r="B422" s="863"/>
      <c r="M422" s="1211"/>
      <c r="O422" s="1211"/>
      <c r="Q422" s="1211"/>
      <c r="S422" s="1211"/>
      <c r="U422" s="1211"/>
      <c r="W422" s="1211"/>
      <c r="Y422" s="1211"/>
      <c r="AB422" s="1258"/>
    </row>
    <row r="423">
      <c r="B423" s="863"/>
      <c r="M423" s="1211"/>
      <c r="O423" s="1211"/>
      <c r="Q423" s="1211"/>
      <c r="S423" s="1211"/>
      <c r="U423" s="1211"/>
      <c r="W423" s="1211"/>
      <c r="Y423" s="1211"/>
      <c r="AB423" s="1258"/>
    </row>
    <row r="424">
      <c r="B424" s="863"/>
      <c r="M424" s="1211"/>
      <c r="O424" s="1211"/>
      <c r="Q424" s="1211"/>
      <c r="S424" s="1211"/>
      <c r="U424" s="1211"/>
      <c r="W424" s="1211"/>
      <c r="Y424" s="1211"/>
      <c r="AB424" s="1258"/>
    </row>
    <row r="425">
      <c r="B425" s="863"/>
      <c r="M425" s="1211"/>
      <c r="O425" s="1211"/>
      <c r="Q425" s="1211"/>
      <c r="S425" s="1211"/>
      <c r="U425" s="1211"/>
      <c r="W425" s="1211"/>
      <c r="Y425" s="1211"/>
      <c r="AB425" s="1258"/>
    </row>
    <row r="426">
      <c r="B426" s="863"/>
      <c r="M426" s="1211"/>
      <c r="O426" s="1211"/>
      <c r="Q426" s="1211"/>
      <c r="S426" s="1211"/>
      <c r="U426" s="1211"/>
      <c r="W426" s="1211"/>
      <c r="Y426" s="1211"/>
      <c r="AB426" s="1258"/>
    </row>
    <row r="427">
      <c r="B427" s="863"/>
      <c r="M427" s="1211"/>
      <c r="O427" s="1211"/>
      <c r="Q427" s="1211"/>
      <c r="S427" s="1211"/>
      <c r="U427" s="1211"/>
      <c r="W427" s="1211"/>
      <c r="Y427" s="1211"/>
      <c r="AB427" s="1258"/>
    </row>
    <row r="428">
      <c r="B428" s="863"/>
      <c r="M428" s="1211"/>
      <c r="O428" s="1211"/>
      <c r="Q428" s="1211"/>
      <c r="S428" s="1211"/>
      <c r="U428" s="1211"/>
      <c r="W428" s="1211"/>
      <c r="Y428" s="1211"/>
      <c r="AB428" s="1258"/>
    </row>
    <row r="429">
      <c r="B429" s="863"/>
      <c r="M429" s="1211"/>
      <c r="O429" s="1211"/>
      <c r="Q429" s="1211"/>
      <c r="S429" s="1211"/>
      <c r="U429" s="1211"/>
      <c r="W429" s="1211"/>
      <c r="Y429" s="1211"/>
      <c r="AB429" s="1258"/>
    </row>
    <row r="430">
      <c r="B430" s="863"/>
      <c r="M430" s="1211"/>
      <c r="O430" s="1211"/>
      <c r="Q430" s="1211"/>
      <c r="S430" s="1211"/>
      <c r="U430" s="1211"/>
      <c r="W430" s="1211"/>
      <c r="Y430" s="1211"/>
      <c r="AB430" s="1258"/>
    </row>
    <row r="431">
      <c r="B431" s="863"/>
      <c r="M431" s="1211"/>
      <c r="O431" s="1211"/>
      <c r="Q431" s="1211"/>
      <c r="S431" s="1211"/>
      <c r="U431" s="1211"/>
      <c r="W431" s="1211"/>
      <c r="Y431" s="1211"/>
      <c r="AB431" s="1258"/>
    </row>
    <row r="432">
      <c r="B432" s="863"/>
      <c r="M432" s="1211"/>
      <c r="O432" s="1211"/>
      <c r="Q432" s="1211"/>
      <c r="S432" s="1211"/>
      <c r="U432" s="1211"/>
      <c r="W432" s="1211"/>
      <c r="Y432" s="1211"/>
      <c r="AB432" s="1258"/>
    </row>
    <row r="433">
      <c r="B433" s="863"/>
      <c r="M433" s="1211"/>
      <c r="O433" s="1211"/>
      <c r="Q433" s="1211"/>
      <c r="S433" s="1211"/>
      <c r="U433" s="1211"/>
      <c r="W433" s="1211"/>
      <c r="Y433" s="1211"/>
      <c r="AB433" s="1258"/>
    </row>
    <row r="434">
      <c r="B434" s="863"/>
      <c r="M434" s="1211"/>
      <c r="O434" s="1211"/>
      <c r="Q434" s="1211"/>
      <c r="S434" s="1211"/>
      <c r="U434" s="1211"/>
      <c r="W434" s="1211"/>
      <c r="Y434" s="1211"/>
      <c r="AB434" s="1258"/>
    </row>
    <row r="435">
      <c r="B435" s="863"/>
      <c r="M435" s="1211"/>
      <c r="O435" s="1211"/>
      <c r="Q435" s="1211"/>
      <c r="S435" s="1211"/>
      <c r="U435" s="1211"/>
      <c r="W435" s="1211"/>
      <c r="Y435" s="1211"/>
      <c r="AB435" s="1258"/>
    </row>
    <row r="436">
      <c r="B436" s="863"/>
      <c r="M436" s="1211"/>
      <c r="O436" s="1211"/>
      <c r="Q436" s="1211"/>
      <c r="S436" s="1211"/>
      <c r="U436" s="1211"/>
      <c r="W436" s="1211"/>
      <c r="Y436" s="1211"/>
      <c r="AB436" s="1258"/>
    </row>
    <row r="437">
      <c r="B437" s="863"/>
      <c r="M437" s="1211"/>
      <c r="O437" s="1211"/>
      <c r="Q437" s="1211"/>
      <c r="S437" s="1211"/>
      <c r="U437" s="1211"/>
      <c r="W437" s="1211"/>
      <c r="Y437" s="1211"/>
      <c r="AB437" s="1258"/>
    </row>
    <row r="438">
      <c r="B438" s="863"/>
      <c r="M438" s="1211"/>
      <c r="O438" s="1211"/>
      <c r="Q438" s="1211"/>
      <c r="S438" s="1211"/>
      <c r="U438" s="1211"/>
      <c r="W438" s="1211"/>
      <c r="Y438" s="1211"/>
      <c r="AB438" s="1258"/>
    </row>
    <row r="439">
      <c r="B439" s="863"/>
      <c r="M439" s="1211"/>
      <c r="O439" s="1211"/>
      <c r="Q439" s="1211"/>
      <c r="S439" s="1211"/>
      <c r="U439" s="1211"/>
      <c r="W439" s="1211"/>
      <c r="Y439" s="1211"/>
      <c r="AB439" s="1258"/>
    </row>
    <row r="440">
      <c r="B440" s="863"/>
      <c r="M440" s="1211"/>
      <c r="O440" s="1211"/>
      <c r="Q440" s="1211"/>
      <c r="S440" s="1211"/>
      <c r="U440" s="1211"/>
      <c r="W440" s="1211"/>
      <c r="Y440" s="1211"/>
      <c r="AB440" s="1258"/>
    </row>
    <row r="441">
      <c r="B441" s="863"/>
      <c r="M441" s="1211"/>
      <c r="O441" s="1211"/>
      <c r="Q441" s="1211"/>
      <c r="S441" s="1211"/>
      <c r="U441" s="1211"/>
      <c r="W441" s="1211"/>
      <c r="Y441" s="1211"/>
      <c r="AB441" s="1258"/>
    </row>
    <row r="442">
      <c r="B442" s="863"/>
      <c r="M442" s="1211"/>
      <c r="O442" s="1211"/>
      <c r="Q442" s="1211"/>
      <c r="S442" s="1211"/>
      <c r="U442" s="1211"/>
      <c r="W442" s="1211"/>
      <c r="Y442" s="1211"/>
      <c r="AB442" s="1258"/>
    </row>
    <row r="443">
      <c r="B443" s="863"/>
      <c r="M443" s="1211"/>
      <c r="O443" s="1211"/>
      <c r="Q443" s="1211"/>
      <c r="S443" s="1211"/>
      <c r="U443" s="1211"/>
      <c r="W443" s="1211"/>
      <c r="Y443" s="1211"/>
      <c r="AB443" s="1258"/>
    </row>
    <row r="444">
      <c r="B444" s="863"/>
      <c r="M444" s="1211"/>
      <c r="O444" s="1211"/>
      <c r="Q444" s="1211"/>
      <c r="S444" s="1211"/>
      <c r="U444" s="1211"/>
      <c r="W444" s="1211"/>
      <c r="Y444" s="1211"/>
      <c r="AB444" s="1258"/>
    </row>
    <row r="445">
      <c r="B445" s="863"/>
      <c r="M445" s="1211"/>
      <c r="O445" s="1211"/>
      <c r="Q445" s="1211"/>
      <c r="S445" s="1211"/>
      <c r="U445" s="1211"/>
      <c r="W445" s="1211"/>
      <c r="Y445" s="1211"/>
      <c r="AB445" s="1258"/>
    </row>
    <row r="446">
      <c r="B446" s="863"/>
      <c r="M446" s="1211"/>
      <c r="O446" s="1211"/>
      <c r="Q446" s="1211"/>
      <c r="S446" s="1211"/>
      <c r="U446" s="1211"/>
      <c r="W446" s="1211"/>
      <c r="Y446" s="1211"/>
      <c r="AB446" s="1258"/>
    </row>
    <row r="447">
      <c r="B447" s="863"/>
      <c r="M447" s="1211"/>
      <c r="O447" s="1211"/>
      <c r="Q447" s="1211"/>
      <c r="S447" s="1211"/>
      <c r="U447" s="1211"/>
      <c r="W447" s="1211"/>
      <c r="Y447" s="1211"/>
      <c r="AB447" s="1258"/>
    </row>
    <row r="448">
      <c r="B448" s="863"/>
      <c r="M448" s="1211"/>
      <c r="O448" s="1211"/>
      <c r="Q448" s="1211"/>
      <c r="S448" s="1211"/>
      <c r="U448" s="1211"/>
      <c r="W448" s="1211"/>
      <c r="Y448" s="1211"/>
      <c r="AB448" s="1258"/>
    </row>
    <row r="449">
      <c r="B449" s="863"/>
      <c r="M449" s="1211"/>
      <c r="O449" s="1211"/>
      <c r="Q449" s="1211"/>
      <c r="S449" s="1211"/>
      <c r="U449" s="1211"/>
      <c r="W449" s="1211"/>
      <c r="Y449" s="1211"/>
      <c r="AB449" s="1258"/>
    </row>
    <row r="450">
      <c r="B450" s="863"/>
      <c r="M450" s="1211"/>
      <c r="O450" s="1211"/>
      <c r="Q450" s="1211"/>
      <c r="S450" s="1211"/>
      <c r="U450" s="1211"/>
      <c r="W450" s="1211"/>
      <c r="Y450" s="1211"/>
      <c r="AB450" s="1258"/>
    </row>
    <row r="451">
      <c r="B451" s="863"/>
      <c r="M451" s="1211"/>
      <c r="O451" s="1211"/>
      <c r="Q451" s="1211"/>
      <c r="S451" s="1211"/>
      <c r="U451" s="1211"/>
      <c r="W451" s="1211"/>
      <c r="Y451" s="1211"/>
      <c r="AB451" s="1258"/>
    </row>
    <row r="452">
      <c r="B452" s="863"/>
      <c r="M452" s="1211"/>
      <c r="O452" s="1211"/>
      <c r="Q452" s="1211"/>
      <c r="S452" s="1211"/>
      <c r="U452" s="1211"/>
      <c r="W452" s="1211"/>
      <c r="Y452" s="1211"/>
      <c r="AB452" s="1258"/>
    </row>
    <row r="453">
      <c r="B453" s="863"/>
      <c r="M453" s="1211"/>
      <c r="O453" s="1211"/>
      <c r="Q453" s="1211"/>
      <c r="S453" s="1211"/>
      <c r="U453" s="1211"/>
      <c r="W453" s="1211"/>
      <c r="Y453" s="1211"/>
      <c r="AB453" s="1258"/>
    </row>
    <row r="454">
      <c r="B454" s="863"/>
      <c r="M454" s="1211"/>
      <c r="O454" s="1211"/>
      <c r="Q454" s="1211"/>
      <c r="S454" s="1211"/>
      <c r="U454" s="1211"/>
      <c r="W454" s="1211"/>
      <c r="Y454" s="1211"/>
      <c r="AB454" s="1258"/>
    </row>
    <row r="455">
      <c r="B455" s="863"/>
      <c r="M455" s="1211"/>
      <c r="O455" s="1211"/>
      <c r="Q455" s="1211"/>
      <c r="S455" s="1211"/>
      <c r="U455" s="1211"/>
      <c r="W455" s="1211"/>
      <c r="Y455" s="1211"/>
      <c r="AB455" s="1258"/>
    </row>
    <row r="456">
      <c r="B456" s="863"/>
      <c r="M456" s="1211"/>
      <c r="O456" s="1211"/>
      <c r="Q456" s="1211"/>
      <c r="S456" s="1211"/>
      <c r="U456" s="1211"/>
      <c r="W456" s="1211"/>
      <c r="Y456" s="1211"/>
      <c r="AB456" s="1258"/>
    </row>
    <row r="457">
      <c r="B457" s="863"/>
      <c r="M457" s="1211"/>
      <c r="O457" s="1211"/>
      <c r="Q457" s="1211"/>
      <c r="S457" s="1211"/>
      <c r="U457" s="1211"/>
      <c r="W457" s="1211"/>
      <c r="Y457" s="1211"/>
      <c r="AB457" s="1258"/>
    </row>
    <row r="458">
      <c r="B458" s="863"/>
      <c r="M458" s="1211"/>
      <c r="O458" s="1211"/>
      <c r="Q458" s="1211"/>
      <c r="S458" s="1211"/>
      <c r="U458" s="1211"/>
      <c r="W458" s="1211"/>
      <c r="Y458" s="1211"/>
      <c r="AB458" s="1258"/>
    </row>
    <row r="459">
      <c r="B459" s="863"/>
      <c r="M459" s="1211"/>
      <c r="O459" s="1211"/>
      <c r="Q459" s="1211"/>
      <c r="S459" s="1211"/>
      <c r="U459" s="1211"/>
      <c r="W459" s="1211"/>
      <c r="Y459" s="1211"/>
      <c r="AB459" s="1258"/>
    </row>
    <row r="460">
      <c r="B460" s="863"/>
      <c r="M460" s="1211"/>
      <c r="O460" s="1211"/>
      <c r="Q460" s="1211"/>
      <c r="S460" s="1211"/>
      <c r="U460" s="1211"/>
      <c r="W460" s="1211"/>
      <c r="Y460" s="1211"/>
      <c r="AB460" s="1258"/>
    </row>
    <row r="461">
      <c r="B461" s="863"/>
      <c r="M461" s="1211"/>
      <c r="O461" s="1211"/>
      <c r="Q461" s="1211"/>
      <c r="S461" s="1211"/>
      <c r="U461" s="1211"/>
      <c r="W461" s="1211"/>
      <c r="Y461" s="1211"/>
      <c r="AB461" s="1258"/>
    </row>
    <row r="462">
      <c r="B462" s="863"/>
      <c r="M462" s="1211"/>
      <c r="O462" s="1211"/>
      <c r="Q462" s="1211"/>
      <c r="S462" s="1211"/>
      <c r="U462" s="1211"/>
      <c r="W462" s="1211"/>
      <c r="Y462" s="1211"/>
      <c r="AB462" s="1258"/>
    </row>
    <row r="463">
      <c r="B463" s="863"/>
      <c r="M463" s="1211"/>
      <c r="O463" s="1211"/>
      <c r="Q463" s="1211"/>
      <c r="S463" s="1211"/>
      <c r="U463" s="1211"/>
      <c r="W463" s="1211"/>
      <c r="Y463" s="1211"/>
      <c r="AB463" s="1258"/>
    </row>
    <row r="464">
      <c r="B464" s="863"/>
      <c r="M464" s="1211"/>
      <c r="O464" s="1211"/>
      <c r="Q464" s="1211"/>
      <c r="S464" s="1211"/>
      <c r="U464" s="1211"/>
      <c r="W464" s="1211"/>
      <c r="Y464" s="1211"/>
      <c r="AB464" s="1258"/>
    </row>
    <row r="465">
      <c r="B465" s="863"/>
      <c r="M465" s="1211"/>
      <c r="O465" s="1211"/>
      <c r="Q465" s="1211"/>
      <c r="S465" s="1211"/>
      <c r="U465" s="1211"/>
      <c r="W465" s="1211"/>
      <c r="Y465" s="1211"/>
      <c r="AB465" s="1258"/>
    </row>
    <row r="466">
      <c r="B466" s="863"/>
      <c r="M466" s="1211"/>
      <c r="O466" s="1211"/>
      <c r="Q466" s="1211"/>
      <c r="S466" s="1211"/>
      <c r="U466" s="1211"/>
      <c r="W466" s="1211"/>
      <c r="Y466" s="1211"/>
      <c r="AB466" s="1258"/>
    </row>
    <row r="467">
      <c r="B467" s="863"/>
      <c r="M467" s="1211"/>
      <c r="O467" s="1211"/>
      <c r="Q467" s="1211"/>
      <c r="S467" s="1211"/>
      <c r="U467" s="1211"/>
      <c r="W467" s="1211"/>
      <c r="Y467" s="1211"/>
      <c r="AB467" s="1258"/>
    </row>
    <row r="468">
      <c r="B468" s="863"/>
      <c r="M468" s="1211"/>
      <c r="O468" s="1211"/>
      <c r="Q468" s="1211"/>
      <c r="S468" s="1211"/>
      <c r="U468" s="1211"/>
      <c r="W468" s="1211"/>
      <c r="Y468" s="1211"/>
      <c r="AB468" s="1258"/>
    </row>
    <row r="469">
      <c r="B469" s="863"/>
      <c r="M469" s="1211"/>
      <c r="O469" s="1211"/>
      <c r="Q469" s="1211"/>
      <c r="S469" s="1211"/>
      <c r="U469" s="1211"/>
      <c r="W469" s="1211"/>
      <c r="Y469" s="1211"/>
      <c r="AB469" s="1258"/>
    </row>
    <row r="470">
      <c r="B470" s="863"/>
      <c r="M470" s="1211"/>
      <c r="O470" s="1211"/>
      <c r="Q470" s="1211"/>
      <c r="S470" s="1211"/>
      <c r="U470" s="1211"/>
      <c r="W470" s="1211"/>
      <c r="Y470" s="1211"/>
      <c r="AB470" s="1258"/>
    </row>
    <row r="471">
      <c r="B471" s="863"/>
      <c r="M471" s="1211"/>
      <c r="O471" s="1211"/>
      <c r="Q471" s="1211"/>
      <c r="S471" s="1211"/>
      <c r="U471" s="1211"/>
      <c r="W471" s="1211"/>
      <c r="Y471" s="1211"/>
      <c r="AB471" s="1258"/>
    </row>
    <row r="472">
      <c r="B472" s="863"/>
      <c r="M472" s="1211"/>
      <c r="O472" s="1211"/>
      <c r="Q472" s="1211"/>
      <c r="S472" s="1211"/>
      <c r="U472" s="1211"/>
      <c r="W472" s="1211"/>
      <c r="Y472" s="1211"/>
      <c r="AB472" s="1258"/>
    </row>
    <row r="473">
      <c r="B473" s="863"/>
      <c r="M473" s="1211"/>
      <c r="O473" s="1211"/>
      <c r="Q473" s="1211"/>
      <c r="S473" s="1211"/>
      <c r="U473" s="1211"/>
      <c r="W473" s="1211"/>
      <c r="Y473" s="1211"/>
      <c r="AB473" s="1258"/>
    </row>
    <row r="474">
      <c r="B474" s="863"/>
      <c r="M474" s="1211"/>
      <c r="O474" s="1211"/>
      <c r="Q474" s="1211"/>
      <c r="S474" s="1211"/>
      <c r="U474" s="1211"/>
      <c r="W474" s="1211"/>
      <c r="Y474" s="1211"/>
      <c r="AB474" s="1258"/>
    </row>
    <row r="475">
      <c r="B475" s="863"/>
      <c r="M475" s="1211"/>
      <c r="O475" s="1211"/>
      <c r="Q475" s="1211"/>
      <c r="S475" s="1211"/>
      <c r="U475" s="1211"/>
      <c r="W475" s="1211"/>
      <c r="Y475" s="1211"/>
      <c r="AB475" s="1258"/>
    </row>
    <row r="476">
      <c r="B476" s="863"/>
      <c r="M476" s="1211"/>
      <c r="O476" s="1211"/>
      <c r="Q476" s="1211"/>
      <c r="S476" s="1211"/>
      <c r="U476" s="1211"/>
      <c r="W476" s="1211"/>
      <c r="Y476" s="1211"/>
      <c r="AB476" s="1258"/>
    </row>
    <row r="477">
      <c r="B477" s="863"/>
      <c r="M477" s="1211"/>
      <c r="O477" s="1211"/>
      <c r="Q477" s="1211"/>
      <c r="S477" s="1211"/>
      <c r="U477" s="1211"/>
      <c r="W477" s="1211"/>
      <c r="Y477" s="1211"/>
      <c r="AB477" s="1258"/>
    </row>
    <row r="478">
      <c r="B478" s="863"/>
      <c r="M478" s="1211"/>
      <c r="O478" s="1211"/>
      <c r="Q478" s="1211"/>
      <c r="S478" s="1211"/>
      <c r="U478" s="1211"/>
      <c r="W478" s="1211"/>
      <c r="Y478" s="1211"/>
      <c r="AB478" s="1258"/>
    </row>
    <row r="479">
      <c r="B479" s="863"/>
      <c r="M479" s="1211"/>
      <c r="O479" s="1211"/>
      <c r="Q479" s="1211"/>
      <c r="S479" s="1211"/>
      <c r="U479" s="1211"/>
      <c r="W479" s="1211"/>
      <c r="Y479" s="1211"/>
      <c r="AB479" s="1258"/>
    </row>
    <row r="480">
      <c r="B480" s="863"/>
      <c r="M480" s="1211"/>
      <c r="O480" s="1211"/>
      <c r="Q480" s="1211"/>
      <c r="S480" s="1211"/>
      <c r="U480" s="1211"/>
      <c r="W480" s="1211"/>
      <c r="Y480" s="1211"/>
      <c r="AB480" s="1258"/>
    </row>
    <row r="481">
      <c r="B481" s="863"/>
      <c r="M481" s="1211"/>
      <c r="O481" s="1211"/>
      <c r="Q481" s="1211"/>
      <c r="S481" s="1211"/>
      <c r="U481" s="1211"/>
      <c r="W481" s="1211"/>
      <c r="Y481" s="1211"/>
      <c r="AB481" s="1258"/>
    </row>
    <row r="482">
      <c r="B482" s="863"/>
      <c r="M482" s="1211"/>
      <c r="O482" s="1211"/>
      <c r="Q482" s="1211"/>
      <c r="S482" s="1211"/>
      <c r="U482" s="1211"/>
      <c r="W482" s="1211"/>
      <c r="Y482" s="1211"/>
      <c r="AB482" s="1258"/>
    </row>
    <row r="483">
      <c r="B483" s="863"/>
      <c r="M483" s="1211"/>
      <c r="O483" s="1211"/>
      <c r="Q483" s="1211"/>
      <c r="S483" s="1211"/>
      <c r="U483" s="1211"/>
      <c r="W483" s="1211"/>
      <c r="Y483" s="1211"/>
      <c r="AB483" s="1258"/>
    </row>
    <row r="484">
      <c r="B484" s="863"/>
      <c r="M484" s="1211"/>
      <c r="O484" s="1211"/>
      <c r="Q484" s="1211"/>
      <c r="S484" s="1211"/>
      <c r="U484" s="1211"/>
      <c r="W484" s="1211"/>
      <c r="Y484" s="1211"/>
      <c r="AB484" s="1258"/>
    </row>
    <row r="485">
      <c r="B485" s="863"/>
      <c r="M485" s="1211"/>
      <c r="O485" s="1211"/>
      <c r="Q485" s="1211"/>
      <c r="S485" s="1211"/>
      <c r="U485" s="1211"/>
      <c r="W485" s="1211"/>
      <c r="Y485" s="1211"/>
      <c r="AB485" s="1258"/>
    </row>
    <row r="486">
      <c r="B486" s="863"/>
      <c r="M486" s="1211"/>
      <c r="O486" s="1211"/>
      <c r="Q486" s="1211"/>
      <c r="S486" s="1211"/>
      <c r="U486" s="1211"/>
      <c r="W486" s="1211"/>
      <c r="Y486" s="1211"/>
      <c r="AB486" s="1258"/>
    </row>
    <row r="487">
      <c r="B487" s="863"/>
      <c r="M487" s="1211"/>
      <c r="O487" s="1211"/>
      <c r="Q487" s="1211"/>
      <c r="S487" s="1211"/>
      <c r="U487" s="1211"/>
      <c r="W487" s="1211"/>
      <c r="Y487" s="1211"/>
      <c r="AB487" s="1258"/>
    </row>
    <row r="488">
      <c r="B488" s="863"/>
      <c r="M488" s="1211"/>
      <c r="O488" s="1211"/>
      <c r="Q488" s="1211"/>
      <c r="S488" s="1211"/>
      <c r="U488" s="1211"/>
      <c r="W488" s="1211"/>
      <c r="Y488" s="1211"/>
      <c r="AB488" s="1258"/>
    </row>
    <row r="489">
      <c r="B489" s="863"/>
      <c r="M489" s="1211"/>
      <c r="O489" s="1211"/>
      <c r="Q489" s="1211"/>
      <c r="S489" s="1211"/>
      <c r="U489" s="1211"/>
      <c r="W489" s="1211"/>
      <c r="Y489" s="1211"/>
      <c r="AB489" s="1258"/>
    </row>
    <row r="490">
      <c r="B490" s="863"/>
      <c r="M490" s="1211"/>
      <c r="O490" s="1211"/>
      <c r="Q490" s="1211"/>
      <c r="S490" s="1211"/>
      <c r="U490" s="1211"/>
      <c r="W490" s="1211"/>
      <c r="Y490" s="1211"/>
      <c r="AB490" s="1258"/>
    </row>
    <row r="491">
      <c r="B491" s="863"/>
      <c r="M491" s="1211"/>
      <c r="O491" s="1211"/>
      <c r="Q491" s="1211"/>
      <c r="S491" s="1211"/>
      <c r="U491" s="1211"/>
      <c r="W491" s="1211"/>
      <c r="Y491" s="1211"/>
      <c r="AB491" s="1258"/>
    </row>
    <row r="492">
      <c r="B492" s="863"/>
      <c r="M492" s="1211"/>
      <c r="O492" s="1211"/>
      <c r="Q492" s="1211"/>
      <c r="S492" s="1211"/>
      <c r="U492" s="1211"/>
      <c r="W492" s="1211"/>
      <c r="Y492" s="1211"/>
      <c r="AB492" s="1258"/>
    </row>
    <row r="493">
      <c r="B493" s="863"/>
      <c r="M493" s="1211"/>
      <c r="O493" s="1211"/>
      <c r="Q493" s="1211"/>
      <c r="S493" s="1211"/>
      <c r="U493" s="1211"/>
      <c r="W493" s="1211"/>
      <c r="Y493" s="1211"/>
      <c r="AB493" s="1258"/>
    </row>
    <row r="494">
      <c r="B494" s="863"/>
      <c r="M494" s="1211"/>
      <c r="O494" s="1211"/>
      <c r="Q494" s="1211"/>
      <c r="S494" s="1211"/>
      <c r="U494" s="1211"/>
      <c r="W494" s="1211"/>
      <c r="Y494" s="1211"/>
      <c r="AB494" s="1258"/>
    </row>
    <row r="495">
      <c r="B495" s="863"/>
      <c r="M495" s="1211"/>
      <c r="O495" s="1211"/>
      <c r="Q495" s="1211"/>
      <c r="S495" s="1211"/>
      <c r="U495" s="1211"/>
      <c r="W495" s="1211"/>
      <c r="Y495" s="1211"/>
      <c r="AB495" s="1258"/>
    </row>
    <row r="496">
      <c r="B496" s="863"/>
      <c r="M496" s="1211"/>
      <c r="O496" s="1211"/>
      <c r="Q496" s="1211"/>
      <c r="S496" s="1211"/>
      <c r="U496" s="1211"/>
      <c r="W496" s="1211"/>
      <c r="Y496" s="1211"/>
      <c r="AB496" s="1258"/>
    </row>
    <row r="497">
      <c r="B497" s="863"/>
      <c r="M497" s="1211"/>
      <c r="O497" s="1211"/>
      <c r="Q497" s="1211"/>
      <c r="S497" s="1211"/>
      <c r="U497" s="1211"/>
      <c r="W497" s="1211"/>
      <c r="Y497" s="1211"/>
      <c r="AB497" s="1258"/>
    </row>
    <row r="498">
      <c r="B498" s="863"/>
      <c r="M498" s="1211"/>
      <c r="O498" s="1211"/>
      <c r="Q498" s="1211"/>
      <c r="S498" s="1211"/>
      <c r="U498" s="1211"/>
      <c r="W498" s="1211"/>
      <c r="Y498" s="1211"/>
      <c r="AB498" s="1258"/>
    </row>
    <row r="499">
      <c r="B499" s="863"/>
      <c r="M499" s="1211"/>
      <c r="O499" s="1211"/>
      <c r="Q499" s="1211"/>
      <c r="S499" s="1211"/>
      <c r="U499" s="1211"/>
      <c r="W499" s="1211"/>
      <c r="Y499" s="1211"/>
      <c r="AB499" s="1258"/>
    </row>
    <row r="500">
      <c r="B500" s="863"/>
      <c r="M500" s="1211"/>
      <c r="O500" s="1211"/>
      <c r="Q500" s="1211"/>
      <c r="S500" s="1211"/>
      <c r="U500" s="1211"/>
      <c r="W500" s="1211"/>
      <c r="Y500" s="1211"/>
      <c r="AB500" s="1258"/>
    </row>
    <row r="501">
      <c r="B501" s="863"/>
      <c r="M501" s="1211"/>
      <c r="O501" s="1211"/>
      <c r="Q501" s="1211"/>
      <c r="S501" s="1211"/>
      <c r="U501" s="1211"/>
      <c r="W501" s="1211"/>
      <c r="Y501" s="1211"/>
      <c r="AB501" s="1258"/>
    </row>
    <row r="502">
      <c r="B502" s="863"/>
      <c r="M502" s="1211"/>
      <c r="O502" s="1211"/>
      <c r="Q502" s="1211"/>
      <c r="S502" s="1211"/>
      <c r="U502" s="1211"/>
      <c r="W502" s="1211"/>
      <c r="Y502" s="1211"/>
      <c r="AB502" s="1258"/>
    </row>
    <row r="503">
      <c r="B503" s="863"/>
      <c r="M503" s="1211"/>
      <c r="O503" s="1211"/>
      <c r="Q503" s="1211"/>
      <c r="S503" s="1211"/>
      <c r="U503" s="1211"/>
      <c r="W503" s="1211"/>
      <c r="Y503" s="1211"/>
      <c r="AB503" s="1258"/>
    </row>
    <row r="504">
      <c r="B504" s="863"/>
      <c r="M504" s="1211"/>
      <c r="O504" s="1211"/>
      <c r="Q504" s="1211"/>
      <c r="S504" s="1211"/>
      <c r="U504" s="1211"/>
      <c r="W504" s="1211"/>
      <c r="Y504" s="1211"/>
      <c r="AB504" s="1258"/>
    </row>
    <row r="505">
      <c r="B505" s="863"/>
      <c r="M505" s="1211"/>
      <c r="O505" s="1211"/>
      <c r="Q505" s="1211"/>
      <c r="S505" s="1211"/>
      <c r="U505" s="1211"/>
      <c r="W505" s="1211"/>
      <c r="Y505" s="1211"/>
      <c r="AB505" s="1258"/>
    </row>
    <row r="506">
      <c r="B506" s="863"/>
      <c r="M506" s="1211"/>
      <c r="O506" s="1211"/>
      <c r="Q506" s="1211"/>
      <c r="S506" s="1211"/>
      <c r="U506" s="1211"/>
      <c r="W506" s="1211"/>
      <c r="Y506" s="1211"/>
      <c r="AB506" s="1258"/>
    </row>
    <row r="507">
      <c r="B507" s="863"/>
      <c r="M507" s="1211"/>
      <c r="O507" s="1211"/>
      <c r="Q507" s="1211"/>
      <c r="S507" s="1211"/>
      <c r="U507" s="1211"/>
      <c r="W507" s="1211"/>
      <c r="Y507" s="1211"/>
      <c r="AB507" s="1258"/>
    </row>
    <row r="508">
      <c r="B508" s="863"/>
      <c r="M508" s="1211"/>
      <c r="O508" s="1211"/>
      <c r="Q508" s="1211"/>
      <c r="S508" s="1211"/>
      <c r="U508" s="1211"/>
      <c r="W508" s="1211"/>
      <c r="Y508" s="1211"/>
      <c r="AB508" s="1258"/>
    </row>
    <row r="509">
      <c r="B509" s="863"/>
      <c r="M509" s="1211"/>
      <c r="O509" s="1211"/>
      <c r="Q509" s="1211"/>
      <c r="S509" s="1211"/>
      <c r="U509" s="1211"/>
      <c r="W509" s="1211"/>
      <c r="Y509" s="1211"/>
      <c r="AB509" s="1258"/>
    </row>
    <row r="510">
      <c r="B510" s="863"/>
      <c r="M510" s="1211"/>
      <c r="O510" s="1211"/>
      <c r="Q510" s="1211"/>
      <c r="S510" s="1211"/>
      <c r="U510" s="1211"/>
      <c r="W510" s="1211"/>
      <c r="Y510" s="1211"/>
      <c r="AB510" s="1258"/>
    </row>
    <row r="511">
      <c r="B511" s="863"/>
      <c r="M511" s="1211"/>
      <c r="O511" s="1211"/>
      <c r="Q511" s="1211"/>
      <c r="S511" s="1211"/>
      <c r="U511" s="1211"/>
      <c r="W511" s="1211"/>
      <c r="Y511" s="1211"/>
      <c r="AB511" s="1258"/>
    </row>
    <row r="512">
      <c r="B512" s="863"/>
      <c r="M512" s="1211"/>
      <c r="O512" s="1211"/>
      <c r="Q512" s="1211"/>
      <c r="S512" s="1211"/>
      <c r="U512" s="1211"/>
      <c r="W512" s="1211"/>
      <c r="Y512" s="1211"/>
      <c r="AB512" s="1258"/>
    </row>
    <row r="513">
      <c r="B513" s="863"/>
      <c r="M513" s="1211"/>
      <c r="O513" s="1211"/>
      <c r="Q513" s="1211"/>
      <c r="S513" s="1211"/>
      <c r="U513" s="1211"/>
      <c r="W513" s="1211"/>
      <c r="Y513" s="1211"/>
      <c r="AB513" s="1258"/>
    </row>
    <row r="514">
      <c r="B514" s="863"/>
      <c r="M514" s="1211"/>
      <c r="O514" s="1211"/>
      <c r="Q514" s="1211"/>
      <c r="S514" s="1211"/>
      <c r="U514" s="1211"/>
      <c r="W514" s="1211"/>
      <c r="Y514" s="1211"/>
      <c r="AB514" s="1258"/>
    </row>
    <row r="515">
      <c r="B515" s="863"/>
      <c r="M515" s="1211"/>
      <c r="O515" s="1211"/>
      <c r="Q515" s="1211"/>
      <c r="S515" s="1211"/>
      <c r="U515" s="1211"/>
      <c r="W515" s="1211"/>
      <c r="Y515" s="1211"/>
      <c r="AB515" s="1258"/>
    </row>
    <row r="516">
      <c r="B516" s="863"/>
      <c r="M516" s="1211"/>
      <c r="O516" s="1211"/>
      <c r="Q516" s="1211"/>
      <c r="S516" s="1211"/>
      <c r="U516" s="1211"/>
      <c r="W516" s="1211"/>
      <c r="Y516" s="1211"/>
      <c r="AB516" s="1258"/>
    </row>
    <row r="517">
      <c r="B517" s="863"/>
      <c r="M517" s="1211"/>
      <c r="O517" s="1211"/>
      <c r="Q517" s="1211"/>
      <c r="S517" s="1211"/>
      <c r="U517" s="1211"/>
      <c r="W517" s="1211"/>
      <c r="Y517" s="1211"/>
      <c r="AB517" s="1258"/>
    </row>
    <row r="518">
      <c r="B518" s="863"/>
      <c r="M518" s="1211"/>
      <c r="O518" s="1211"/>
      <c r="Q518" s="1211"/>
      <c r="S518" s="1211"/>
      <c r="U518" s="1211"/>
      <c r="W518" s="1211"/>
      <c r="Y518" s="1211"/>
      <c r="AB518" s="1258"/>
    </row>
    <row r="519">
      <c r="B519" s="863"/>
      <c r="M519" s="1211"/>
      <c r="O519" s="1211"/>
      <c r="Q519" s="1211"/>
      <c r="S519" s="1211"/>
      <c r="U519" s="1211"/>
      <c r="W519" s="1211"/>
      <c r="Y519" s="1211"/>
      <c r="AB519" s="1258"/>
    </row>
    <row r="520">
      <c r="B520" s="863"/>
      <c r="M520" s="1211"/>
      <c r="O520" s="1211"/>
      <c r="Q520" s="1211"/>
      <c r="S520" s="1211"/>
      <c r="U520" s="1211"/>
      <c r="W520" s="1211"/>
      <c r="Y520" s="1211"/>
      <c r="AB520" s="1258"/>
    </row>
    <row r="521">
      <c r="B521" s="863"/>
      <c r="M521" s="1211"/>
      <c r="O521" s="1211"/>
      <c r="Q521" s="1211"/>
      <c r="S521" s="1211"/>
      <c r="U521" s="1211"/>
      <c r="W521" s="1211"/>
      <c r="Y521" s="1211"/>
      <c r="AB521" s="1258"/>
    </row>
    <row r="522">
      <c r="B522" s="863"/>
      <c r="M522" s="1211"/>
      <c r="O522" s="1211"/>
      <c r="Q522" s="1211"/>
      <c r="S522" s="1211"/>
      <c r="U522" s="1211"/>
      <c r="W522" s="1211"/>
      <c r="Y522" s="1211"/>
      <c r="AB522" s="1258"/>
    </row>
    <row r="523">
      <c r="B523" s="863"/>
      <c r="M523" s="1211"/>
      <c r="O523" s="1211"/>
      <c r="Q523" s="1211"/>
      <c r="S523" s="1211"/>
      <c r="U523" s="1211"/>
      <c r="W523" s="1211"/>
      <c r="Y523" s="1211"/>
      <c r="AB523" s="1258"/>
    </row>
    <row r="524">
      <c r="B524" s="863"/>
      <c r="M524" s="1211"/>
      <c r="O524" s="1211"/>
      <c r="Q524" s="1211"/>
      <c r="S524" s="1211"/>
      <c r="U524" s="1211"/>
      <c r="W524" s="1211"/>
      <c r="Y524" s="1211"/>
      <c r="AB524" s="1258"/>
    </row>
    <row r="525">
      <c r="B525" s="863"/>
      <c r="M525" s="1211"/>
      <c r="O525" s="1211"/>
      <c r="Q525" s="1211"/>
      <c r="S525" s="1211"/>
      <c r="U525" s="1211"/>
      <c r="W525" s="1211"/>
      <c r="Y525" s="1211"/>
      <c r="AB525" s="1258"/>
    </row>
    <row r="526">
      <c r="B526" s="863"/>
      <c r="M526" s="1211"/>
      <c r="O526" s="1211"/>
      <c r="Q526" s="1211"/>
      <c r="S526" s="1211"/>
      <c r="U526" s="1211"/>
      <c r="W526" s="1211"/>
      <c r="Y526" s="1211"/>
      <c r="AB526" s="1258"/>
    </row>
    <row r="527">
      <c r="B527" s="863"/>
      <c r="M527" s="1211"/>
      <c r="O527" s="1211"/>
      <c r="Q527" s="1211"/>
      <c r="S527" s="1211"/>
      <c r="U527" s="1211"/>
      <c r="W527" s="1211"/>
      <c r="Y527" s="1211"/>
      <c r="AB527" s="1258"/>
    </row>
    <row r="528">
      <c r="B528" s="863"/>
      <c r="M528" s="1211"/>
      <c r="O528" s="1211"/>
      <c r="Q528" s="1211"/>
      <c r="S528" s="1211"/>
      <c r="U528" s="1211"/>
      <c r="W528" s="1211"/>
      <c r="Y528" s="1211"/>
      <c r="AB528" s="1258"/>
    </row>
    <row r="529">
      <c r="B529" s="863"/>
      <c r="M529" s="1211"/>
      <c r="O529" s="1211"/>
      <c r="Q529" s="1211"/>
      <c r="S529" s="1211"/>
      <c r="U529" s="1211"/>
      <c r="W529" s="1211"/>
      <c r="Y529" s="1211"/>
      <c r="AB529" s="1258"/>
    </row>
    <row r="530">
      <c r="B530" s="863"/>
      <c r="M530" s="1211"/>
      <c r="O530" s="1211"/>
      <c r="Q530" s="1211"/>
      <c r="S530" s="1211"/>
      <c r="U530" s="1211"/>
      <c r="W530" s="1211"/>
      <c r="Y530" s="1211"/>
      <c r="AB530" s="1258"/>
    </row>
    <row r="531">
      <c r="B531" s="863"/>
      <c r="M531" s="1211"/>
      <c r="O531" s="1211"/>
      <c r="Q531" s="1211"/>
      <c r="S531" s="1211"/>
      <c r="U531" s="1211"/>
      <c r="W531" s="1211"/>
      <c r="Y531" s="1211"/>
      <c r="AB531" s="1258"/>
    </row>
    <row r="532">
      <c r="B532" s="863"/>
      <c r="M532" s="1211"/>
      <c r="O532" s="1211"/>
      <c r="Q532" s="1211"/>
      <c r="S532" s="1211"/>
      <c r="U532" s="1211"/>
      <c r="W532" s="1211"/>
      <c r="Y532" s="1211"/>
      <c r="AB532" s="1258"/>
    </row>
    <row r="533">
      <c r="B533" s="863"/>
      <c r="M533" s="1211"/>
      <c r="O533" s="1211"/>
      <c r="Q533" s="1211"/>
      <c r="S533" s="1211"/>
      <c r="U533" s="1211"/>
      <c r="W533" s="1211"/>
      <c r="Y533" s="1211"/>
      <c r="AB533" s="1258"/>
    </row>
    <row r="534">
      <c r="B534" s="863"/>
      <c r="M534" s="1211"/>
      <c r="O534" s="1211"/>
      <c r="Q534" s="1211"/>
      <c r="S534" s="1211"/>
      <c r="U534" s="1211"/>
      <c r="W534" s="1211"/>
      <c r="Y534" s="1211"/>
      <c r="AB534" s="1258"/>
    </row>
    <row r="535">
      <c r="B535" s="863"/>
      <c r="M535" s="1211"/>
      <c r="O535" s="1211"/>
      <c r="Q535" s="1211"/>
      <c r="S535" s="1211"/>
      <c r="U535" s="1211"/>
      <c r="W535" s="1211"/>
      <c r="Y535" s="1211"/>
      <c r="AB535" s="1258"/>
    </row>
    <row r="536">
      <c r="B536" s="863"/>
      <c r="M536" s="1211"/>
      <c r="O536" s="1211"/>
      <c r="Q536" s="1211"/>
      <c r="S536" s="1211"/>
      <c r="U536" s="1211"/>
      <c r="W536" s="1211"/>
      <c r="Y536" s="1211"/>
      <c r="AB536" s="1258"/>
    </row>
    <row r="537">
      <c r="B537" s="863"/>
      <c r="M537" s="1211"/>
      <c r="O537" s="1211"/>
      <c r="Q537" s="1211"/>
      <c r="S537" s="1211"/>
      <c r="U537" s="1211"/>
      <c r="W537" s="1211"/>
      <c r="Y537" s="1211"/>
      <c r="AB537" s="1258"/>
    </row>
    <row r="538">
      <c r="B538" s="863"/>
      <c r="M538" s="1211"/>
      <c r="O538" s="1211"/>
      <c r="Q538" s="1211"/>
      <c r="S538" s="1211"/>
      <c r="U538" s="1211"/>
      <c r="W538" s="1211"/>
      <c r="Y538" s="1211"/>
      <c r="AB538" s="1258"/>
    </row>
    <row r="539">
      <c r="B539" s="863"/>
      <c r="M539" s="1211"/>
      <c r="O539" s="1211"/>
      <c r="Q539" s="1211"/>
      <c r="S539" s="1211"/>
      <c r="U539" s="1211"/>
      <c r="W539" s="1211"/>
      <c r="Y539" s="1211"/>
      <c r="AB539" s="1258"/>
    </row>
    <row r="540">
      <c r="B540" s="863"/>
      <c r="M540" s="1211"/>
      <c r="O540" s="1211"/>
      <c r="Q540" s="1211"/>
      <c r="S540" s="1211"/>
      <c r="U540" s="1211"/>
      <c r="W540" s="1211"/>
      <c r="Y540" s="1211"/>
      <c r="AB540" s="1258"/>
    </row>
    <row r="541">
      <c r="B541" s="863"/>
      <c r="M541" s="1211"/>
      <c r="O541" s="1211"/>
      <c r="Q541" s="1211"/>
      <c r="S541" s="1211"/>
      <c r="U541" s="1211"/>
      <c r="W541" s="1211"/>
      <c r="Y541" s="1211"/>
      <c r="AB541" s="1258"/>
    </row>
    <row r="542">
      <c r="B542" s="863"/>
      <c r="M542" s="1211"/>
      <c r="O542" s="1211"/>
      <c r="Q542" s="1211"/>
      <c r="S542" s="1211"/>
      <c r="U542" s="1211"/>
      <c r="W542" s="1211"/>
      <c r="Y542" s="1211"/>
      <c r="AB542" s="1258"/>
    </row>
    <row r="543">
      <c r="B543" s="863"/>
      <c r="M543" s="1211"/>
      <c r="O543" s="1211"/>
      <c r="Q543" s="1211"/>
      <c r="S543" s="1211"/>
      <c r="U543" s="1211"/>
      <c r="W543" s="1211"/>
      <c r="Y543" s="1211"/>
      <c r="AB543" s="1258"/>
    </row>
    <row r="544">
      <c r="B544" s="863"/>
      <c r="M544" s="1211"/>
      <c r="O544" s="1211"/>
      <c r="Q544" s="1211"/>
      <c r="S544" s="1211"/>
      <c r="U544" s="1211"/>
      <c r="W544" s="1211"/>
      <c r="Y544" s="1211"/>
      <c r="AB544" s="1258"/>
    </row>
    <row r="545">
      <c r="B545" s="863"/>
      <c r="M545" s="1211"/>
      <c r="O545" s="1211"/>
      <c r="Q545" s="1211"/>
      <c r="S545" s="1211"/>
      <c r="U545" s="1211"/>
      <c r="W545" s="1211"/>
      <c r="Y545" s="1211"/>
      <c r="AB545" s="1258"/>
    </row>
    <row r="546">
      <c r="B546" s="863"/>
      <c r="M546" s="1211"/>
      <c r="O546" s="1211"/>
      <c r="Q546" s="1211"/>
      <c r="S546" s="1211"/>
      <c r="U546" s="1211"/>
      <c r="W546" s="1211"/>
      <c r="Y546" s="1211"/>
      <c r="AB546" s="1258"/>
    </row>
    <row r="547">
      <c r="B547" s="863"/>
      <c r="M547" s="1211"/>
      <c r="O547" s="1211"/>
      <c r="Q547" s="1211"/>
      <c r="S547" s="1211"/>
      <c r="U547" s="1211"/>
      <c r="W547" s="1211"/>
      <c r="Y547" s="1211"/>
      <c r="AB547" s="1258"/>
    </row>
    <row r="548">
      <c r="B548" s="863"/>
      <c r="M548" s="1211"/>
      <c r="O548" s="1211"/>
      <c r="Q548" s="1211"/>
      <c r="S548" s="1211"/>
      <c r="U548" s="1211"/>
      <c r="W548" s="1211"/>
      <c r="Y548" s="1211"/>
      <c r="AB548" s="1258"/>
    </row>
    <row r="549">
      <c r="B549" s="863"/>
      <c r="M549" s="1211"/>
      <c r="O549" s="1211"/>
      <c r="Q549" s="1211"/>
      <c r="S549" s="1211"/>
      <c r="U549" s="1211"/>
      <c r="W549" s="1211"/>
      <c r="Y549" s="1211"/>
      <c r="AB549" s="1258"/>
    </row>
    <row r="550">
      <c r="B550" s="863"/>
      <c r="M550" s="1211"/>
      <c r="O550" s="1211"/>
      <c r="Q550" s="1211"/>
      <c r="S550" s="1211"/>
      <c r="U550" s="1211"/>
      <c r="W550" s="1211"/>
      <c r="Y550" s="1211"/>
      <c r="AB550" s="1258"/>
    </row>
    <row r="551">
      <c r="B551" s="863"/>
      <c r="M551" s="1211"/>
      <c r="O551" s="1211"/>
      <c r="Q551" s="1211"/>
      <c r="S551" s="1211"/>
      <c r="U551" s="1211"/>
      <c r="W551" s="1211"/>
      <c r="Y551" s="1211"/>
      <c r="AB551" s="1258"/>
    </row>
    <row r="552">
      <c r="B552" s="863"/>
      <c r="M552" s="1211"/>
      <c r="O552" s="1211"/>
      <c r="Q552" s="1211"/>
      <c r="S552" s="1211"/>
      <c r="U552" s="1211"/>
      <c r="W552" s="1211"/>
      <c r="Y552" s="1211"/>
      <c r="AB552" s="1258"/>
    </row>
    <row r="553">
      <c r="B553" s="863"/>
      <c r="M553" s="1211"/>
      <c r="O553" s="1211"/>
      <c r="Q553" s="1211"/>
      <c r="S553" s="1211"/>
      <c r="U553" s="1211"/>
      <c r="W553" s="1211"/>
      <c r="Y553" s="1211"/>
      <c r="AB553" s="1258"/>
    </row>
    <row r="554">
      <c r="B554" s="863"/>
      <c r="M554" s="1211"/>
      <c r="O554" s="1211"/>
      <c r="Q554" s="1211"/>
      <c r="S554" s="1211"/>
      <c r="U554" s="1211"/>
      <c r="W554" s="1211"/>
      <c r="Y554" s="1211"/>
      <c r="AB554" s="1258"/>
    </row>
    <row r="555">
      <c r="B555" s="863"/>
      <c r="M555" s="1211"/>
      <c r="O555" s="1211"/>
      <c r="Q555" s="1211"/>
      <c r="S555" s="1211"/>
      <c r="U555" s="1211"/>
      <c r="W555" s="1211"/>
      <c r="Y555" s="1211"/>
      <c r="AB555" s="1258"/>
    </row>
    <row r="556">
      <c r="B556" s="863"/>
      <c r="M556" s="1211"/>
      <c r="O556" s="1211"/>
      <c r="Q556" s="1211"/>
      <c r="S556" s="1211"/>
      <c r="U556" s="1211"/>
      <c r="W556" s="1211"/>
      <c r="Y556" s="1211"/>
      <c r="AB556" s="1258"/>
    </row>
    <row r="557">
      <c r="B557" s="863"/>
      <c r="M557" s="1211"/>
      <c r="O557" s="1211"/>
      <c r="Q557" s="1211"/>
      <c r="S557" s="1211"/>
      <c r="U557" s="1211"/>
      <c r="W557" s="1211"/>
      <c r="Y557" s="1211"/>
      <c r="AB557" s="1258"/>
    </row>
    <row r="558">
      <c r="B558" s="863"/>
      <c r="M558" s="1211"/>
      <c r="O558" s="1211"/>
      <c r="Q558" s="1211"/>
      <c r="S558" s="1211"/>
      <c r="U558" s="1211"/>
      <c r="W558" s="1211"/>
      <c r="Y558" s="1211"/>
      <c r="AB558" s="1258"/>
    </row>
    <row r="559">
      <c r="B559" s="863"/>
      <c r="M559" s="1211"/>
      <c r="O559" s="1211"/>
      <c r="Q559" s="1211"/>
      <c r="S559" s="1211"/>
      <c r="U559" s="1211"/>
      <c r="W559" s="1211"/>
      <c r="Y559" s="1211"/>
      <c r="AB559" s="1258"/>
    </row>
    <row r="560">
      <c r="B560" s="863"/>
      <c r="M560" s="1211"/>
      <c r="O560" s="1211"/>
      <c r="Q560" s="1211"/>
      <c r="S560" s="1211"/>
      <c r="U560" s="1211"/>
      <c r="W560" s="1211"/>
      <c r="Y560" s="1211"/>
      <c r="AB560" s="1258"/>
    </row>
    <row r="561">
      <c r="B561" s="863"/>
      <c r="M561" s="1211"/>
      <c r="O561" s="1211"/>
      <c r="Q561" s="1211"/>
      <c r="S561" s="1211"/>
      <c r="U561" s="1211"/>
      <c r="W561" s="1211"/>
      <c r="Y561" s="1211"/>
      <c r="AB561" s="1258"/>
    </row>
    <row r="562">
      <c r="B562" s="863"/>
      <c r="M562" s="1211"/>
      <c r="O562" s="1211"/>
      <c r="Q562" s="1211"/>
      <c r="S562" s="1211"/>
      <c r="U562" s="1211"/>
      <c r="W562" s="1211"/>
      <c r="Y562" s="1211"/>
      <c r="AB562" s="1258"/>
    </row>
    <row r="563">
      <c r="B563" s="863"/>
      <c r="M563" s="1211"/>
      <c r="O563" s="1211"/>
      <c r="Q563" s="1211"/>
      <c r="S563" s="1211"/>
      <c r="U563" s="1211"/>
      <c r="W563" s="1211"/>
      <c r="Y563" s="1211"/>
      <c r="AB563" s="1258"/>
    </row>
    <row r="564">
      <c r="B564" s="863"/>
      <c r="M564" s="1211"/>
      <c r="O564" s="1211"/>
      <c r="Q564" s="1211"/>
      <c r="S564" s="1211"/>
      <c r="U564" s="1211"/>
      <c r="W564" s="1211"/>
      <c r="Y564" s="1211"/>
      <c r="AB564" s="1258"/>
    </row>
    <row r="565">
      <c r="B565" s="863"/>
      <c r="M565" s="1211"/>
      <c r="O565" s="1211"/>
      <c r="Q565" s="1211"/>
      <c r="S565" s="1211"/>
      <c r="U565" s="1211"/>
      <c r="W565" s="1211"/>
      <c r="Y565" s="1211"/>
      <c r="AB565" s="1258"/>
    </row>
    <row r="566">
      <c r="B566" s="863"/>
      <c r="M566" s="1211"/>
      <c r="O566" s="1211"/>
      <c r="Q566" s="1211"/>
      <c r="S566" s="1211"/>
      <c r="U566" s="1211"/>
      <c r="W566" s="1211"/>
      <c r="Y566" s="1211"/>
      <c r="AB566" s="1258"/>
    </row>
    <row r="567">
      <c r="B567" s="863"/>
      <c r="M567" s="1211"/>
      <c r="O567" s="1211"/>
      <c r="Q567" s="1211"/>
      <c r="S567" s="1211"/>
      <c r="U567" s="1211"/>
      <c r="W567" s="1211"/>
      <c r="Y567" s="1211"/>
      <c r="AB567" s="1258"/>
    </row>
    <row r="568">
      <c r="B568" s="863"/>
      <c r="M568" s="1211"/>
      <c r="O568" s="1211"/>
      <c r="Q568" s="1211"/>
      <c r="S568" s="1211"/>
      <c r="U568" s="1211"/>
      <c r="W568" s="1211"/>
      <c r="Y568" s="1211"/>
      <c r="AB568" s="1258"/>
    </row>
    <row r="569">
      <c r="B569" s="863"/>
      <c r="M569" s="1211"/>
      <c r="O569" s="1211"/>
      <c r="Q569" s="1211"/>
      <c r="S569" s="1211"/>
      <c r="U569" s="1211"/>
      <c r="W569" s="1211"/>
      <c r="Y569" s="1211"/>
      <c r="AB569" s="1258"/>
    </row>
    <row r="570">
      <c r="B570" s="863"/>
      <c r="M570" s="1211"/>
      <c r="O570" s="1211"/>
      <c r="Q570" s="1211"/>
      <c r="S570" s="1211"/>
      <c r="U570" s="1211"/>
      <c r="W570" s="1211"/>
      <c r="Y570" s="1211"/>
      <c r="AB570" s="1258"/>
    </row>
    <row r="571">
      <c r="B571" s="863"/>
      <c r="M571" s="1211"/>
      <c r="O571" s="1211"/>
      <c r="Q571" s="1211"/>
      <c r="S571" s="1211"/>
      <c r="U571" s="1211"/>
      <c r="W571" s="1211"/>
      <c r="Y571" s="1211"/>
      <c r="AB571" s="1258"/>
    </row>
    <row r="572">
      <c r="B572" s="863"/>
      <c r="M572" s="1211"/>
      <c r="O572" s="1211"/>
      <c r="Q572" s="1211"/>
      <c r="S572" s="1211"/>
      <c r="U572" s="1211"/>
      <c r="W572" s="1211"/>
      <c r="Y572" s="1211"/>
      <c r="AB572" s="1258"/>
    </row>
    <row r="573">
      <c r="B573" s="863"/>
      <c r="M573" s="1211"/>
      <c r="O573" s="1211"/>
      <c r="Q573" s="1211"/>
      <c r="S573" s="1211"/>
      <c r="U573" s="1211"/>
      <c r="W573" s="1211"/>
      <c r="Y573" s="1211"/>
      <c r="AB573" s="1258"/>
    </row>
    <row r="574">
      <c r="B574" s="863"/>
      <c r="M574" s="1211"/>
      <c r="O574" s="1211"/>
      <c r="Q574" s="1211"/>
      <c r="S574" s="1211"/>
      <c r="U574" s="1211"/>
      <c r="W574" s="1211"/>
      <c r="Y574" s="1211"/>
      <c r="AB574" s="1258"/>
    </row>
    <row r="575">
      <c r="B575" s="863"/>
      <c r="M575" s="1211"/>
      <c r="O575" s="1211"/>
      <c r="Q575" s="1211"/>
      <c r="S575" s="1211"/>
      <c r="U575" s="1211"/>
      <c r="W575" s="1211"/>
      <c r="Y575" s="1211"/>
      <c r="AB575" s="1258"/>
    </row>
    <row r="576">
      <c r="B576" s="863"/>
      <c r="M576" s="1211"/>
      <c r="O576" s="1211"/>
      <c r="Q576" s="1211"/>
      <c r="S576" s="1211"/>
      <c r="U576" s="1211"/>
      <c r="W576" s="1211"/>
      <c r="Y576" s="1211"/>
      <c r="AB576" s="1258"/>
    </row>
    <row r="577">
      <c r="B577" s="863"/>
      <c r="M577" s="1211"/>
      <c r="O577" s="1211"/>
      <c r="Q577" s="1211"/>
      <c r="S577" s="1211"/>
      <c r="U577" s="1211"/>
      <c r="W577" s="1211"/>
      <c r="Y577" s="1211"/>
      <c r="AB577" s="1258"/>
    </row>
    <row r="578">
      <c r="B578" s="863"/>
      <c r="M578" s="1211"/>
      <c r="O578" s="1211"/>
      <c r="Q578" s="1211"/>
      <c r="S578" s="1211"/>
      <c r="U578" s="1211"/>
      <c r="W578" s="1211"/>
      <c r="Y578" s="1211"/>
      <c r="AB578" s="1258"/>
    </row>
    <row r="579">
      <c r="B579" s="863"/>
      <c r="M579" s="1211"/>
      <c r="O579" s="1211"/>
      <c r="Q579" s="1211"/>
      <c r="S579" s="1211"/>
      <c r="U579" s="1211"/>
      <c r="W579" s="1211"/>
      <c r="Y579" s="1211"/>
      <c r="AB579" s="1258"/>
    </row>
    <row r="580">
      <c r="B580" s="863"/>
      <c r="M580" s="1211"/>
      <c r="O580" s="1211"/>
      <c r="Q580" s="1211"/>
      <c r="S580" s="1211"/>
      <c r="U580" s="1211"/>
      <c r="W580" s="1211"/>
      <c r="Y580" s="1211"/>
      <c r="AB580" s="1258"/>
    </row>
    <row r="581">
      <c r="B581" s="863"/>
      <c r="M581" s="1211"/>
      <c r="O581" s="1211"/>
      <c r="Q581" s="1211"/>
      <c r="S581" s="1211"/>
      <c r="U581" s="1211"/>
      <c r="W581" s="1211"/>
      <c r="Y581" s="1211"/>
      <c r="AB581" s="1258"/>
    </row>
    <row r="582">
      <c r="B582" s="863"/>
      <c r="M582" s="1211"/>
      <c r="O582" s="1211"/>
      <c r="Q582" s="1211"/>
      <c r="S582" s="1211"/>
      <c r="U582" s="1211"/>
      <c r="W582" s="1211"/>
      <c r="Y582" s="1211"/>
      <c r="AB582" s="1258"/>
    </row>
    <row r="583">
      <c r="B583" s="863"/>
      <c r="M583" s="1211"/>
      <c r="O583" s="1211"/>
      <c r="Q583" s="1211"/>
      <c r="S583" s="1211"/>
      <c r="U583" s="1211"/>
      <c r="W583" s="1211"/>
      <c r="Y583" s="1211"/>
      <c r="AB583" s="1258"/>
    </row>
    <row r="584">
      <c r="B584" s="863"/>
      <c r="M584" s="1211"/>
      <c r="O584" s="1211"/>
      <c r="Q584" s="1211"/>
      <c r="S584" s="1211"/>
      <c r="U584" s="1211"/>
      <c r="W584" s="1211"/>
      <c r="Y584" s="1211"/>
      <c r="AB584" s="1258"/>
    </row>
    <row r="585">
      <c r="B585" s="863"/>
      <c r="M585" s="1211"/>
      <c r="O585" s="1211"/>
      <c r="Q585" s="1211"/>
      <c r="S585" s="1211"/>
      <c r="U585" s="1211"/>
      <c r="W585" s="1211"/>
      <c r="Y585" s="1211"/>
      <c r="AB585" s="1258"/>
    </row>
    <row r="586">
      <c r="B586" s="863"/>
      <c r="M586" s="1211"/>
      <c r="O586" s="1211"/>
      <c r="Q586" s="1211"/>
      <c r="S586" s="1211"/>
      <c r="U586" s="1211"/>
      <c r="W586" s="1211"/>
      <c r="Y586" s="1211"/>
      <c r="AB586" s="1258"/>
    </row>
    <row r="587">
      <c r="B587" s="863"/>
      <c r="M587" s="1211"/>
      <c r="O587" s="1211"/>
      <c r="Q587" s="1211"/>
      <c r="S587" s="1211"/>
      <c r="U587" s="1211"/>
      <c r="W587" s="1211"/>
      <c r="Y587" s="1211"/>
      <c r="AB587" s="1258"/>
    </row>
    <row r="588">
      <c r="B588" s="863"/>
      <c r="M588" s="1211"/>
      <c r="O588" s="1211"/>
      <c r="Q588" s="1211"/>
      <c r="S588" s="1211"/>
      <c r="U588" s="1211"/>
      <c r="W588" s="1211"/>
      <c r="Y588" s="1211"/>
      <c r="AB588" s="1258"/>
    </row>
    <row r="589">
      <c r="B589" s="863"/>
      <c r="M589" s="1211"/>
      <c r="O589" s="1211"/>
      <c r="Q589" s="1211"/>
      <c r="S589" s="1211"/>
      <c r="U589" s="1211"/>
      <c r="W589" s="1211"/>
      <c r="Y589" s="1211"/>
      <c r="AB589" s="1258"/>
    </row>
    <row r="590">
      <c r="B590" s="863"/>
      <c r="M590" s="1211"/>
      <c r="O590" s="1211"/>
      <c r="Q590" s="1211"/>
      <c r="S590" s="1211"/>
      <c r="U590" s="1211"/>
      <c r="W590" s="1211"/>
      <c r="Y590" s="1211"/>
      <c r="AB590" s="1258"/>
    </row>
    <row r="591">
      <c r="B591" s="863"/>
      <c r="M591" s="1211"/>
      <c r="O591" s="1211"/>
      <c r="Q591" s="1211"/>
      <c r="S591" s="1211"/>
      <c r="U591" s="1211"/>
      <c r="W591" s="1211"/>
      <c r="Y591" s="1211"/>
      <c r="AB591" s="1258"/>
    </row>
    <row r="592">
      <c r="B592" s="863"/>
      <c r="M592" s="1211"/>
      <c r="O592" s="1211"/>
      <c r="Q592" s="1211"/>
      <c r="S592" s="1211"/>
      <c r="U592" s="1211"/>
      <c r="W592" s="1211"/>
      <c r="Y592" s="1211"/>
      <c r="AB592" s="1258"/>
    </row>
    <row r="593">
      <c r="B593" s="863"/>
      <c r="M593" s="1211"/>
      <c r="O593" s="1211"/>
      <c r="Q593" s="1211"/>
      <c r="S593" s="1211"/>
      <c r="U593" s="1211"/>
      <c r="W593" s="1211"/>
      <c r="Y593" s="1211"/>
      <c r="AB593" s="1258"/>
    </row>
    <row r="594">
      <c r="B594" s="863"/>
      <c r="M594" s="1211"/>
      <c r="O594" s="1211"/>
      <c r="Q594" s="1211"/>
      <c r="S594" s="1211"/>
      <c r="U594" s="1211"/>
      <c r="W594" s="1211"/>
      <c r="Y594" s="1211"/>
      <c r="AB594" s="1258"/>
    </row>
    <row r="595">
      <c r="B595" s="863"/>
      <c r="M595" s="1211"/>
      <c r="O595" s="1211"/>
      <c r="Q595" s="1211"/>
      <c r="S595" s="1211"/>
      <c r="U595" s="1211"/>
      <c r="W595" s="1211"/>
      <c r="Y595" s="1211"/>
      <c r="AB595" s="1258"/>
    </row>
    <row r="596">
      <c r="B596" s="863"/>
      <c r="M596" s="1211"/>
      <c r="O596" s="1211"/>
      <c r="Q596" s="1211"/>
      <c r="S596" s="1211"/>
      <c r="U596" s="1211"/>
      <c r="W596" s="1211"/>
      <c r="Y596" s="1211"/>
      <c r="AB596" s="1258"/>
    </row>
    <row r="597">
      <c r="B597" s="863"/>
      <c r="M597" s="1211"/>
      <c r="O597" s="1211"/>
      <c r="Q597" s="1211"/>
      <c r="S597" s="1211"/>
      <c r="U597" s="1211"/>
      <c r="W597" s="1211"/>
      <c r="Y597" s="1211"/>
      <c r="AB597" s="1258"/>
    </row>
    <row r="598">
      <c r="B598" s="863"/>
      <c r="M598" s="1211"/>
      <c r="O598" s="1211"/>
      <c r="Q598" s="1211"/>
      <c r="S598" s="1211"/>
      <c r="U598" s="1211"/>
      <c r="W598" s="1211"/>
      <c r="Y598" s="1211"/>
      <c r="AB598" s="1258"/>
    </row>
    <row r="599">
      <c r="B599" s="863"/>
      <c r="M599" s="1211"/>
      <c r="O599" s="1211"/>
      <c r="Q599" s="1211"/>
      <c r="S599" s="1211"/>
      <c r="U599" s="1211"/>
      <c r="W599" s="1211"/>
      <c r="Y599" s="1211"/>
      <c r="AB599" s="1258"/>
    </row>
    <row r="600">
      <c r="B600" s="863"/>
      <c r="M600" s="1211"/>
      <c r="O600" s="1211"/>
      <c r="Q600" s="1211"/>
      <c r="S600" s="1211"/>
      <c r="U600" s="1211"/>
      <c r="W600" s="1211"/>
      <c r="Y600" s="1211"/>
      <c r="AB600" s="1258"/>
    </row>
    <row r="601">
      <c r="B601" s="863"/>
      <c r="M601" s="1211"/>
      <c r="O601" s="1211"/>
      <c r="Q601" s="1211"/>
      <c r="S601" s="1211"/>
      <c r="U601" s="1211"/>
      <c r="W601" s="1211"/>
      <c r="Y601" s="1211"/>
      <c r="AB601" s="1258"/>
    </row>
    <row r="602">
      <c r="B602" s="863"/>
      <c r="M602" s="1211"/>
      <c r="O602" s="1211"/>
      <c r="Q602" s="1211"/>
      <c r="S602" s="1211"/>
      <c r="U602" s="1211"/>
      <c r="W602" s="1211"/>
      <c r="Y602" s="1211"/>
      <c r="AB602" s="1258"/>
    </row>
    <row r="603">
      <c r="B603" s="863"/>
      <c r="M603" s="1211"/>
      <c r="O603" s="1211"/>
      <c r="Q603" s="1211"/>
      <c r="S603" s="1211"/>
      <c r="U603" s="1211"/>
      <c r="W603" s="1211"/>
      <c r="Y603" s="1211"/>
      <c r="AB603" s="1258"/>
    </row>
    <row r="604">
      <c r="B604" s="863"/>
      <c r="M604" s="1211"/>
      <c r="O604" s="1211"/>
      <c r="Q604" s="1211"/>
      <c r="S604" s="1211"/>
      <c r="U604" s="1211"/>
      <c r="W604" s="1211"/>
      <c r="Y604" s="1211"/>
      <c r="AB604" s="1258"/>
    </row>
    <row r="605">
      <c r="B605" s="863"/>
      <c r="M605" s="1211"/>
      <c r="O605" s="1211"/>
      <c r="Q605" s="1211"/>
      <c r="S605" s="1211"/>
      <c r="U605" s="1211"/>
      <c r="W605" s="1211"/>
      <c r="Y605" s="1211"/>
      <c r="AB605" s="1258"/>
    </row>
    <row r="606">
      <c r="B606" s="863"/>
      <c r="M606" s="1211"/>
      <c r="O606" s="1211"/>
      <c r="Q606" s="1211"/>
      <c r="S606" s="1211"/>
      <c r="U606" s="1211"/>
      <c r="W606" s="1211"/>
      <c r="Y606" s="1211"/>
      <c r="AB606" s="1258"/>
    </row>
    <row r="607">
      <c r="B607" s="863"/>
      <c r="M607" s="1211"/>
      <c r="O607" s="1211"/>
      <c r="Q607" s="1211"/>
      <c r="S607" s="1211"/>
      <c r="U607" s="1211"/>
      <c r="W607" s="1211"/>
      <c r="Y607" s="1211"/>
      <c r="AB607" s="1258"/>
    </row>
    <row r="608">
      <c r="B608" s="863"/>
      <c r="M608" s="1211"/>
      <c r="O608" s="1211"/>
      <c r="Q608" s="1211"/>
      <c r="S608" s="1211"/>
      <c r="U608" s="1211"/>
      <c r="W608" s="1211"/>
      <c r="Y608" s="1211"/>
      <c r="AB608" s="1258"/>
    </row>
    <row r="609">
      <c r="B609" s="863"/>
      <c r="M609" s="1211"/>
      <c r="O609" s="1211"/>
      <c r="Q609" s="1211"/>
      <c r="S609" s="1211"/>
      <c r="U609" s="1211"/>
      <c r="W609" s="1211"/>
      <c r="Y609" s="1211"/>
      <c r="AB609" s="1258"/>
    </row>
    <row r="610">
      <c r="B610" s="863"/>
      <c r="M610" s="1211"/>
      <c r="O610" s="1211"/>
      <c r="Q610" s="1211"/>
      <c r="S610" s="1211"/>
      <c r="U610" s="1211"/>
      <c r="W610" s="1211"/>
      <c r="Y610" s="1211"/>
      <c r="AB610" s="1258"/>
    </row>
    <row r="611">
      <c r="B611" s="863"/>
      <c r="M611" s="1211"/>
      <c r="O611" s="1211"/>
      <c r="Q611" s="1211"/>
      <c r="S611" s="1211"/>
      <c r="U611" s="1211"/>
      <c r="W611" s="1211"/>
      <c r="Y611" s="1211"/>
      <c r="AB611" s="1258"/>
    </row>
    <row r="612">
      <c r="B612" s="863"/>
      <c r="M612" s="1211"/>
      <c r="O612" s="1211"/>
      <c r="Q612" s="1211"/>
      <c r="S612" s="1211"/>
      <c r="U612" s="1211"/>
      <c r="W612" s="1211"/>
      <c r="Y612" s="1211"/>
      <c r="AB612" s="1258"/>
    </row>
    <row r="613">
      <c r="B613" s="863"/>
      <c r="M613" s="1211"/>
      <c r="O613" s="1211"/>
      <c r="Q613" s="1211"/>
      <c r="S613" s="1211"/>
      <c r="U613" s="1211"/>
      <c r="W613" s="1211"/>
      <c r="Y613" s="1211"/>
      <c r="AB613" s="1258"/>
    </row>
    <row r="614">
      <c r="B614" s="863"/>
      <c r="M614" s="1211"/>
      <c r="O614" s="1211"/>
      <c r="Q614" s="1211"/>
      <c r="S614" s="1211"/>
      <c r="U614" s="1211"/>
      <c r="W614" s="1211"/>
      <c r="Y614" s="1211"/>
      <c r="AB614" s="1258"/>
    </row>
    <row r="615">
      <c r="B615" s="863"/>
      <c r="M615" s="1211"/>
      <c r="O615" s="1211"/>
      <c r="Q615" s="1211"/>
      <c r="S615" s="1211"/>
      <c r="U615" s="1211"/>
      <c r="W615" s="1211"/>
      <c r="Y615" s="1211"/>
      <c r="AB615" s="1258"/>
    </row>
    <row r="616">
      <c r="B616" s="863"/>
      <c r="M616" s="1211"/>
      <c r="O616" s="1211"/>
      <c r="Q616" s="1211"/>
      <c r="S616" s="1211"/>
      <c r="U616" s="1211"/>
      <c r="W616" s="1211"/>
      <c r="Y616" s="1211"/>
      <c r="AB616" s="1258"/>
    </row>
    <row r="617">
      <c r="B617" s="863"/>
      <c r="M617" s="1211"/>
      <c r="O617" s="1211"/>
      <c r="Q617" s="1211"/>
      <c r="S617" s="1211"/>
      <c r="U617" s="1211"/>
      <c r="W617" s="1211"/>
      <c r="Y617" s="1211"/>
      <c r="AB617" s="1258"/>
    </row>
    <row r="618">
      <c r="B618" s="863"/>
      <c r="M618" s="1211"/>
      <c r="O618" s="1211"/>
      <c r="Q618" s="1211"/>
      <c r="S618" s="1211"/>
      <c r="U618" s="1211"/>
      <c r="W618" s="1211"/>
      <c r="Y618" s="1211"/>
      <c r="AB618" s="1258"/>
    </row>
    <row r="619">
      <c r="B619" s="863"/>
      <c r="M619" s="1211"/>
      <c r="O619" s="1211"/>
      <c r="Q619" s="1211"/>
      <c r="S619" s="1211"/>
      <c r="U619" s="1211"/>
      <c r="W619" s="1211"/>
      <c r="Y619" s="1211"/>
      <c r="AB619" s="1258"/>
    </row>
    <row r="620">
      <c r="B620" s="863"/>
      <c r="M620" s="1211"/>
      <c r="O620" s="1211"/>
      <c r="Q620" s="1211"/>
      <c r="S620" s="1211"/>
      <c r="U620" s="1211"/>
      <c r="W620" s="1211"/>
      <c r="Y620" s="1211"/>
      <c r="AB620" s="1258"/>
    </row>
    <row r="621">
      <c r="B621" s="863"/>
      <c r="M621" s="1211"/>
      <c r="O621" s="1211"/>
      <c r="Q621" s="1211"/>
      <c r="S621" s="1211"/>
      <c r="U621" s="1211"/>
      <c r="W621" s="1211"/>
      <c r="Y621" s="1211"/>
      <c r="AB621" s="1258"/>
    </row>
    <row r="622">
      <c r="B622" s="863"/>
      <c r="M622" s="1211"/>
      <c r="O622" s="1211"/>
      <c r="Q622" s="1211"/>
      <c r="S622" s="1211"/>
      <c r="U622" s="1211"/>
      <c r="W622" s="1211"/>
      <c r="Y622" s="1211"/>
      <c r="AB622" s="1258"/>
    </row>
    <row r="623">
      <c r="B623" s="863"/>
      <c r="M623" s="1211"/>
      <c r="O623" s="1211"/>
      <c r="Q623" s="1211"/>
      <c r="S623" s="1211"/>
      <c r="U623" s="1211"/>
      <c r="W623" s="1211"/>
      <c r="Y623" s="1211"/>
      <c r="AB623" s="1258"/>
    </row>
    <row r="624">
      <c r="B624" s="863"/>
      <c r="M624" s="1211"/>
      <c r="O624" s="1211"/>
      <c r="Q624" s="1211"/>
      <c r="S624" s="1211"/>
      <c r="U624" s="1211"/>
      <c r="W624" s="1211"/>
      <c r="Y624" s="1211"/>
      <c r="AB624" s="1258"/>
    </row>
    <row r="625">
      <c r="B625" s="863"/>
      <c r="M625" s="1211"/>
      <c r="O625" s="1211"/>
      <c r="Q625" s="1211"/>
      <c r="S625" s="1211"/>
      <c r="U625" s="1211"/>
      <c r="W625" s="1211"/>
      <c r="Y625" s="1211"/>
      <c r="AB625" s="1258"/>
    </row>
    <row r="626">
      <c r="B626" s="863"/>
      <c r="M626" s="1211"/>
      <c r="O626" s="1211"/>
      <c r="Q626" s="1211"/>
      <c r="S626" s="1211"/>
      <c r="U626" s="1211"/>
      <c r="W626" s="1211"/>
      <c r="Y626" s="1211"/>
      <c r="AB626" s="1258"/>
    </row>
    <row r="627">
      <c r="B627" s="863"/>
      <c r="M627" s="1211"/>
      <c r="O627" s="1211"/>
      <c r="Q627" s="1211"/>
      <c r="S627" s="1211"/>
      <c r="U627" s="1211"/>
      <c r="W627" s="1211"/>
      <c r="Y627" s="1211"/>
      <c r="AB627" s="1258"/>
    </row>
    <row r="628">
      <c r="B628" s="863"/>
      <c r="M628" s="1211"/>
      <c r="O628" s="1211"/>
      <c r="Q628" s="1211"/>
      <c r="S628" s="1211"/>
      <c r="U628" s="1211"/>
      <c r="W628" s="1211"/>
      <c r="Y628" s="1211"/>
      <c r="AB628" s="1258"/>
    </row>
    <row r="629">
      <c r="B629" s="863"/>
      <c r="M629" s="1211"/>
      <c r="O629" s="1211"/>
      <c r="Q629" s="1211"/>
      <c r="S629" s="1211"/>
      <c r="U629" s="1211"/>
      <c r="W629" s="1211"/>
      <c r="Y629" s="1211"/>
      <c r="AB629" s="1258"/>
    </row>
    <row r="630">
      <c r="B630" s="863"/>
      <c r="M630" s="1211"/>
      <c r="O630" s="1211"/>
      <c r="Q630" s="1211"/>
      <c r="S630" s="1211"/>
      <c r="U630" s="1211"/>
      <c r="W630" s="1211"/>
      <c r="Y630" s="1211"/>
      <c r="AB630" s="1258"/>
    </row>
    <row r="631">
      <c r="B631" s="863"/>
      <c r="M631" s="1211"/>
      <c r="O631" s="1211"/>
      <c r="Q631" s="1211"/>
      <c r="S631" s="1211"/>
      <c r="U631" s="1211"/>
      <c r="W631" s="1211"/>
      <c r="Y631" s="1211"/>
      <c r="AB631" s="1258"/>
    </row>
    <row r="632">
      <c r="B632" s="863"/>
      <c r="M632" s="1211"/>
      <c r="O632" s="1211"/>
      <c r="Q632" s="1211"/>
      <c r="S632" s="1211"/>
      <c r="U632" s="1211"/>
      <c r="W632" s="1211"/>
      <c r="Y632" s="1211"/>
      <c r="AB632" s="1258"/>
    </row>
    <row r="633">
      <c r="B633" s="863"/>
      <c r="M633" s="1211"/>
      <c r="O633" s="1211"/>
      <c r="Q633" s="1211"/>
      <c r="S633" s="1211"/>
      <c r="U633" s="1211"/>
      <c r="W633" s="1211"/>
      <c r="Y633" s="1211"/>
      <c r="AB633" s="1258"/>
    </row>
    <row r="634">
      <c r="B634" s="863"/>
      <c r="M634" s="1211"/>
      <c r="O634" s="1211"/>
      <c r="Q634" s="1211"/>
      <c r="S634" s="1211"/>
      <c r="U634" s="1211"/>
      <c r="W634" s="1211"/>
      <c r="Y634" s="1211"/>
      <c r="AB634" s="1258"/>
    </row>
    <row r="635">
      <c r="B635" s="863"/>
      <c r="M635" s="1211"/>
      <c r="O635" s="1211"/>
      <c r="Q635" s="1211"/>
      <c r="S635" s="1211"/>
      <c r="U635" s="1211"/>
      <c r="W635" s="1211"/>
      <c r="Y635" s="1211"/>
      <c r="AB635" s="1258"/>
    </row>
    <row r="636">
      <c r="B636" s="863"/>
      <c r="M636" s="1211"/>
      <c r="O636" s="1211"/>
      <c r="Q636" s="1211"/>
      <c r="S636" s="1211"/>
      <c r="U636" s="1211"/>
      <c r="W636" s="1211"/>
      <c r="Y636" s="1211"/>
      <c r="AB636" s="1258"/>
    </row>
    <row r="637">
      <c r="B637" s="863"/>
      <c r="M637" s="1211"/>
      <c r="O637" s="1211"/>
      <c r="Q637" s="1211"/>
      <c r="S637" s="1211"/>
      <c r="U637" s="1211"/>
      <c r="W637" s="1211"/>
      <c r="Y637" s="1211"/>
      <c r="AB637" s="1258"/>
    </row>
    <row r="638">
      <c r="B638" s="863"/>
      <c r="M638" s="1211"/>
      <c r="O638" s="1211"/>
      <c r="Q638" s="1211"/>
      <c r="S638" s="1211"/>
      <c r="U638" s="1211"/>
      <c r="W638" s="1211"/>
      <c r="Y638" s="1211"/>
      <c r="AB638" s="1258"/>
    </row>
    <row r="639">
      <c r="B639" s="863"/>
      <c r="M639" s="1211"/>
      <c r="O639" s="1211"/>
      <c r="Q639" s="1211"/>
      <c r="S639" s="1211"/>
      <c r="U639" s="1211"/>
      <c r="W639" s="1211"/>
      <c r="Y639" s="1211"/>
      <c r="AB639" s="1258"/>
    </row>
    <row r="640">
      <c r="B640" s="863"/>
      <c r="M640" s="1211"/>
      <c r="O640" s="1211"/>
      <c r="Q640" s="1211"/>
      <c r="S640" s="1211"/>
      <c r="U640" s="1211"/>
      <c r="W640" s="1211"/>
      <c r="Y640" s="1211"/>
      <c r="AB640" s="1258"/>
    </row>
    <row r="641">
      <c r="B641" s="863"/>
      <c r="M641" s="1211"/>
      <c r="O641" s="1211"/>
      <c r="Q641" s="1211"/>
      <c r="S641" s="1211"/>
      <c r="U641" s="1211"/>
      <c r="W641" s="1211"/>
      <c r="Y641" s="1211"/>
      <c r="AB641" s="1258"/>
    </row>
    <row r="642">
      <c r="B642" s="863"/>
      <c r="M642" s="1211"/>
      <c r="O642" s="1211"/>
      <c r="Q642" s="1211"/>
      <c r="S642" s="1211"/>
      <c r="U642" s="1211"/>
      <c r="W642" s="1211"/>
      <c r="Y642" s="1211"/>
      <c r="AB642" s="1258"/>
    </row>
    <row r="643">
      <c r="B643" s="863"/>
      <c r="M643" s="1211"/>
      <c r="O643" s="1211"/>
      <c r="Q643" s="1211"/>
      <c r="S643" s="1211"/>
      <c r="U643" s="1211"/>
      <c r="W643" s="1211"/>
      <c r="Y643" s="1211"/>
      <c r="AB643" s="1258"/>
    </row>
    <row r="644">
      <c r="B644" s="863"/>
      <c r="M644" s="1211"/>
      <c r="O644" s="1211"/>
      <c r="Q644" s="1211"/>
      <c r="S644" s="1211"/>
      <c r="U644" s="1211"/>
      <c r="W644" s="1211"/>
      <c r="Y644" s="1211"/>
      <c r="AB644" s="1258"/>
    </row>
    <row r="645">
      <c r="B645" s="863"/>
      <c r="M645" s="1211"/>
      <c r="O645" s="1211"/>
      <c r="Q645" s="1211"/>
      <c r="S645" s="1211"/>
      <c r="U645" s="1211"/>
      <c r="W645" s="1211"/>
      <c r="Y645" s="1211"/>
      <c r="AB645" s="1258"/>
    </row>
    <row r="646">
      <c r="B646" s="863"/>
      <c r="M646" s="1211"/>
      <c r="O646" s="1211"/>
      <c r="Q646" s="1211"/>
      <c r="S646" s="1211"/>
      <c r="U646" s="1211"/>
      <c r="W646" s="1211"/>
      <c r="Y646" s="1211"/>
      <c r="AB646" s="1258"/>
    </row>
    <row r="647">
      <c r="B647" s="863"/>
      <c r="M647" s="1211"/>
      <c r="O647" s="1211"/>
      <c r="Q647" s="1211"/>
      <c r="S647" s="1211"/>
      <c r="U647" s="1211"/>
      <c r="W647" s="1211"/>
      <c r="Y647" s="1211"/>
      <c r="AB647" s="1258"/>
    </row>
    <row r="648">
      <c r="B648" s="863"/>
      <c r="M648" s="1211"/>
      <c r="O648" s="1211"/>
      <c r="Q648" s="1211"/>
      <c r="S648" s="1211"/>
      <c r="U648" s="1211"/>
      <c r="W648" s="1211"/>
      <c r="Y648" s="1211"/>
      <c r="AB648" s="1258"/>
    </row>
    <row r="649">
      <c r="B649" s="863"/>
      <c r="M649" s="1211"/>
      <c r="O649" s="1211"/>
      <c r="Q649" s="1211"/>
      <c r="S649" s="1211"/>
      <c r="U649" s="1211"/>
      <c r="W649" s="1211"/>
      <c r="Y649" s="1211"/>
      <c r="AB649" s="1258"/>
    </row>
    <row r="650">
      <c r="B650" s="863"/>
      <c r="M650" s="1211"/>
      <c r="O650" s="1211"/>
      <c r="Q650" s="1211"/>
      <c r="S650" s="1211"/>
      <c r="U650" s="1211"/>
      <c r="W650" s="1211"/>
      <c r="Y650" s="1211"/>
      <c r="AB650" s="1258"/>
    </row>
    <row r="651">
      <c r="B651" s="863"/>
      <c r="M651" s="1211"/>
      <c r="O651" s="1211"/>
      <c r="Q651" s="1211"/>
      <c r="S651" s="1211"/>
      <c r="U651" s="1211"/>
      <c r="W651" s="1211"/>
      <c r="Y651" s="1211"/>
      <c r="AB651" s="1258"/>
    </row>
    <row r="652">
      <c r="B652" s="863"/>
      <c r="M652" s="1211"/>
      <c r="O652" s="1211"/>
      <c r="Q652" s="1211"/>
      <c r="S652" s="1211"/>
      <c r="U652" s="1211"/>
      <c r="W652" s="1211"/>
      <c r="Y652" s="1211"/>
      <c r="AB652" s="1258"/>
    </row>
    <row r="653">
      <c r="B653" s="863"/>
      <c r="M653" s="1211"/>
      <c r="O653" s="1211"/>
      <c r="Q653" s="1211"/>
      <c r="S653" s="1211"/>
      <c r="U653" s="1211"/>
      <c r="W653" s="1211"/>
      <c r="Y653" s="1211"/>
      <c r="AB653" s="1258"/>
    </row>
    <row r="654">
      <c r="B654" s="863"/>
      <c r="M654" s="1211"/>
      <c r="O654" s="1211"/>
      <c r="Q654" s="1211"/>
      <c r="S654" s="1211"/>
      <c r="U654" s="1211"/>
      <c r="W654" s="1211"/>
      <c r="Y654" s="1211"/>
      <c r="AB654" s="1258"/>
    </row>
    <row r="655">
      <c r="B655" s="863"/>
      <c r="M655" s="1211"/>
      <c r="O655" s="1211"/>
      <c r="Q655" s="1211"/>
      <c r="S655" s="1211"/>
      <c r="U655" s="1211"/>
      <c r="W655" s="1211"/>
      <c r="Y655" s="1211"/>
      <c r="AB655" s="1258"/>
    </row>
    <row r="656">
      <c r="B656" s="863"/>
      <c r="M656" s="1211"/>
      <c r="O656" s="1211"/>
      <c r="Q656" s="1211"/>
      <c r="S656" s="1211"/>
      <c r="U656" s="1211"/>
      <c r="W656" s="1211"/>
      <c r="Y656" s="1211"/>
      <c r="AB656" s="1258"/>
    </row>
    <row r="657">
      <c r="B657" s="863"/>
      <c r="M657" s="1211"/>
      <c r="O657" s="1211"/>
      <c r="Q657" s="1211"/>
      <c r="S657" s="1211"/>
      <c r="U657" s="1211"/>
      <c r="W657" s="1211"/>
      <c r="Y657" s="1211"/>
      <c r="AB657" s="1258"/>
    </row>
    <row r="658">
      <c r="B658" s="863"/>
      <c r="M658" s="1211"/>
      <c r="O658" s="1211"/>
      <c r="Q658" s="1211"/>
      <c r="S658" s="1211"/>
      <c r="U658" s="1211"/>
      <c r="W658" s="1211"/>
      <c r="Y658" s="1211"/>
      <c r="AB658" s="1258"/>
    </row>
    <row r="659">
      <c r="B659" s="863"/>
      <c r="M659" s="1211"/>
      <c r="O659" s="1211"/>
      <c r="Q659" s="1211"/>
      <c r="S659" s="1211"/>
      <c r="U659" s="1211"/>
      <c r="W659" s="1211"/>
      <c r="Y659" s="1211"/>
      <c r="AB659" s="1258"/>
    </row>
    <row r="660">
      <c r="B660" s="863"/>
      <c r="M660" s="1211"/>
      <c r="O660" s="1211"/>
      <c r="Q660" s="1211"/>
      <c r="S660" s="1211"/>
      <c r="U660" s="1211"/>
      <c r="W660" s="1211"/>
      <c r="Y660" s="1211"/>
      <c r="AB660" s="1258"/>
    </row>
    <row r="661">
      <c r="B661" s="863"/>
      <c r="M661" s="1211"/>
      <c r="O661" s="1211"/>
      <c r="Q661" s="1211"/>
      <c r="S661" s="1211"/>
      <c r="U661" s="1211"/>
      <c r="W661" s="1211"/>
      <c r="Y661" s="1211"/>
      <c r="AB661" s="1258"/>
    </row>
    <row r="662">
      <c r="B662" s="863"/>
      <c r="M662" s="1211"/>
      <c r="O662" s="1211"/>
      <c r="Q662" s="1211"/>
      <c r="S662" s="1211"/>
      <c r="U662" s="1211"/>
      <c r="W662" s="1211"/>
      <c r="Y662" s="1211"/>
      <c r="AB662" s="1258"/>
    </row>
    <row r="663">
      <c r="B663" s="863"/>
      <c r="M663" s="1211"/>
      <c r="O663" s="1211"/>
      <c r="Q663" s="1211"/>
      <c r="S663" s="1211"/>
      <c r="U663" s="1211"/>
      <c r="W663" s="1211"/>
      <c r="Y663" s="1211"/>
      <c r="AB663" s="1258"/>
    </row>
    <row r="664">
      <c r="B664" s="863"/>
      <c r="M664" s="1211"/>
      <c r="O664" s="1211"/>
      <c r="Q664" s="1211"/>
      <c r="S664" s="1211"/>
      <c r="U664" s="1211"/>
      <c r="W664" s="1211"/>
      <c r="Y664" s="1211"/>
      <c r="AB664" s="1258"/>
    </row>
    <row r="665">
      <c r="B665" s="863"/>
      <c r="M665" s="1211"/>
      <c r="O665" s="1211"/>
      <c r="Q665" s="1211"/>
      <c r="S665" s="1211"/>
      <c r="U665" s="1211"/>
      <c r="W665" s="1211"/>
      <c r="Y665" s="1211"/>
      <c r="AB665" s="1258"/>
    </row>
    <row r="666">
      <c r="B666" s="863"/>
      <c r="M666" s="1211"/>
      <c r="O666" s="1211"/>
      <c r="Q666" s="1211"/>
      <c r="S666" s="1211"/>
      <c r="U666" s="1211"/>
      <c r="W666" s="1211"/>
      <c r="Y666" s="1211"/>
      <c r="AB666" s="1258"/>
    </row>
    <row r="667">
      <c r="B667" s="863"/>
      <c r="M667" s="1211"/>
      <c r="O667" s="1211"/>
      <c r="Q667" s="1211"/>
      <c r="S667" s="1211"/>
      <c r="U667" s="1211"/>
      <c r="W667" s="1211"/>
      <c r="Y667" s="1211"/>
      <c r="AB667" s="1258"/>
    </row>
    <row r="668">
      <c r="B668" s="863"/>
      <c r="M668" s="1211"/>
      <c r="O668" s="1211"/>
      <c r="Q668" s="1211"/>
      <c r="S668" s="1211"/>
      <c r="U668" s="1211"/>
      <c r="W668" s="1211"/>
      <c r="Y668" s="1211"/>
      <c r="AB668" s="1258"/>
    </row>
    <row r="669">
      <c r="B669" s="863"/>
      <c r="M669" s="1211"/>
      <c r="O669" s="1211"/>
      <c r="Q669" s="1211"/>
      <c r="S669" s="1211"/>
      <c r="U669" s="1211"/>
      <c r="W669" s="1211"/>
      <c r="Y669" s="1211"/>
      <c r="AB669" s="1258"/>
    </row>
    <row r="670">
      <c r="B670" s="863"/>
      <c r="M670" s="1211"/>
      <c r="O670" s="1211"/>
      <c r="Q670" s="1211"/>
      <c r="S670" s="1211"/>
      <c r="U670" s="1211"/>
      <c r="W670" s="1211"/>
      <c r="Y670" s="1211"/>
      <c r="AB670" s="1258"/>
    </row>
    <row r="671">
      <c r="B671" s="863"/>
      <c r="M671" s="1211"/>
      <c r="O671" s="1211"/>
      <c r="Q671" s="1211"/>
      <c r="S671" s="1211"/>
      <c r="U671" s="1211"/>
      <c r="W671" s="1211"/>
      <c r="Y671" s="1211"/>
      <c r="AB671" s="1258"/>
    </row>
    <row r="672">
      <c r="B672" s="863"/>
      <c r="M672" s="1211"/>
      <c r="O672" s="1211"/>
      <c r="Q672" s="1211"/>
      <c r="S672" s="1211"/>
      <c r="U672" s="1211"/>
      <c r="W672" s="1211"/>
      <c r="Y672" s="1211"/>
      <c r="AB672" s="1258"/>
    </row>
    <row r="673">
      <c r="B673" s="863"/>
      <c r="M673" s="1211"/>
      <c r="O673" s="1211"/>
      <c r="Q673" s="1211"/>
      <c r="S673" s="1211"/>
      <c r="U673" s="1211"/>
      <c r="W673" s="1211"/>
      <c r="Y673" s="1211"/>
      <c r="AB673" s="1258"/>
    </row>
    <row r="674">
      <c r="B674" s="863"/>
      <c r="M674" s="1211"/>
      <c r="O674" s="1211"/>
      <c r="Q674" s="1211"/>
      <c r="S674" s="1211"/>
      <c r="U674" s="1211"/>
      <c r="W674" s="1211"/>
      <c r="Y674" s="1211"/>
      <c r="AB674" s="1258"/>
    </row>
    <row r="675">
      <c r="B675" s="863"/>
      <c r="M675" s="1211"/>
      <c r="O675" s="1211"/>
      <c r="Q675" s="1211"/>
      <c r="S675" s="1211"/>
      <c r="U675" s="1211"/>
      <c r="W675" s="1211"/>
      <c r="Y675" s="1211"/>
      <c r="AB675" s="1258"/>
    </row>
    <row r="676">
      <c r="B676" s="863"/>
      <c r="M676" s="1211"/>
      <c r="O676" s="1211"/>
      <c r="Q676" s="1211"/>
      <c r="S676" s="1211"/>
      <c r="U676" s="1211"/>
      <c r="W676" s="1211"/>
      <c r="Y676" s="1211"/>
      <c r="AB676" s="1258"/>
    </row>
    <row r="677">
      <c r="B677" s="863"/>
      <c r="M677" s="1211"/>
      <c r="O677" s="1211"/>
      <c r="Q677" s="1211"/>
      <c r="S677" s="1211"/>
      <c r="U677" s="1211"/>
      <c r="W677" s="1211"/>
      <c r="Y677" s="1211"/>
      <c r="AB677" s="1258"/>
    </row>
    <row r="678">
      <c r="B678" s="863"/>
      <c r="M678" s="1211"/>
      <c r="O678" s="1211"/>
      <c r="Q678" s="1211"/>
      <c r="S678" s="1211"/>
      <c r="U678" s="1211"/>
      <c r="W678" s="1211"/>
      <c r="Y678" s="1211"/>
      <c r="AB678" s="1258"/>
    </row>
    <row r="679">
      <c r="B679" s="863"/>
      <c r="M679" s="1211"/>
      <c r="O679" s="1211"/>
      <c r="Q679" s="1211"/>
      <c r="S679" s="1211"/>
      <c r="U679" s="1211"/>
      <c r="W679" s="1211"/>
      <c r="Y679" s="1211"/>
      <c r="AB679" s="1258"/>
    </row>
    <row r="680">
      <c r="B680" s="863"/>
      <c r="M680" s="1211"/>
      <c r="O680" s="1211"/>
      <c r="Q680" s="1211"/>
      <c r="S680" s="1211"/>
      <c r="U680" s="1211"/>
      <c r="W680" s="1211"/>
      <c r="Y680" s="1211"/>
      <c r="AB680" s="1258"/>
    </row>
    <row r="681">
      <c r="B681" s="863"/>
      <c r="M681" s="1211"/>
      <c r="O681" s="1211"/>
      <c r="Q681" s="1211"/>
      <c r="S681" s="1211"/>
      <c r="U681" s="1211"/>
      <c r="W681" s="1211"/>
      <c r="Y681" s="1211"/>
      <c r="AB681" s="1258"/>
    </row>
    <row r="682">
      <c r="B682" s="863"/>
      <c r="M682" s="1211"/>
      <c r="O682" s="1211"/>
      <c r="Q682" s="1211"/>
      <c r="S682" s="1211"/>
      <c r="U682" s="1211"/>
      <c r="W682" s="1211"/>
      <c r="Y682" s="1211"/>
      <c r="AB682" s="1258"/>
    </row>
    <row r="683">
      <c r="B683" s="863"/>
      <c r="M683" s="1211"/>
      <c r="O683" s="1211"/>
      <c r="Q683" s="1211"/>
      <c r="S683" s="1211"/>
      <c r="U683" s="1211"/>
      <c r="W683" s="1211"/>
      <c r="Y683" s="1211"/>
      <c r="AB683" s="1258"/>
    </row>
    <row r="684">
      <c r="B684" s="863"/>
      <c r="M684" s="1211"/>
      <c r="O684" s="1211"/>
      <c r="Q684" s="1211"/>
      <c r="S684" s="1211"/>
      <c r="U684" s="1211"/>
      <c r="W684" s="1211"/>
      <c r="Y684" s="1211"/>
      <c r="AB684" s="1258"/>
    </row>
    <row r="685">
      <c r="B685" s="863"/>
      <c r="M685" s="1211"/>
      <c r="O685" s="1211"/>
      <c r="Q685" s="1211"/>
      <c r="S685" s="1211"/>
      <c r="U685" s="1211"/>
      <c r="W685" s="1211"/>
      <c r="Y685" s="1211"/>
      <c r="AB685" s="1258"/>
    </row>
    <row r="686">
      <c r="B686" s="863"/>
      <c r="M686" s="1211"/>
      <c r="O686" s="1211"/>
      <c r="Q686" s="1211"/>
      <c r="S686" s="1211"/>
      <c r="U686" s="1211"/>
      <c r="W686" s="1211"/>
      <c r="Y686" s="1211"/>
      <c r="AB686" s="1258"/>
    </row>
    <row r="687">
      <c r="B687" s="863"/>
      <c r="M687" s="1211"/>
      <c r="O687" s="1211"/>
      <c r="Q687" s="1211"/>
      <c r="S687" s="1211"/>
      <c r="U687" s="1211"/>
      <c r="W687" s="1211"/>
      <c r="Y687" s="1211"/>
      <c r="AB687" s="1258"/>
    </row>
    <row r="688">
      <c r="B688" s="863"/>
      <c r="M688" s="1211"/>
      <c r="O688" s="1211"/>
      <c r="Q688" s="1211"/>
      <c r="S688" s="1211"/>
      <c r="U688" s="1211"/>
      <c r="W688" s="1211"/>
      <c r="Y688" s="1211"/>
      <c r="AB688" s="1258"/>
    </row>
    <row r="689">
      <c r="B689" s="863"/>
      <c r="M689" s="1211"/>
      <c r="O689" s="1211"/>
      <c r="Q689" s="1211"/>
      <c r="S689" s="1211"/>
      <c r="U689" s="1211"/>
      <c r="W689" s="1211"/>
      <c r="Y689" s="1211"/>
      <c r="AB689" s="1258"/>
    </row>
    <row r="690">
      <c r="B690" s="863"/>
      <c r="M690" s="1211"/>
      <c r="O690" s="1211"/>
      <c r="Q690" s="1211"/>
      <c r="S690" s="1211"/>
      <c r="U690" s="1211"/>
      <c r="W690" s="1211"/>
      <c r="Y690" s="1211"/>
      <c r="AB690" s="1258"/>
    </row>
    <row r="691">
      <c r="B691" s="863"/>
      <c r="M691" s="1211"/>
      <c r="O691" s="1211"/>
      <c r="Q691" s="1211"/>
      <c r="S691" s="1211"/>
      <c r="U691" s="1211"/>
      <c r="W691" s="1211"/>
      <c r="Y691" s="1211"/>
      <c r="AB691" s="1258"/>
    </row>
    <row r="692">
      <c r="B692" s="863"/>
      <c r="M692" s="1211"/>
      <c r="O692" s="1211"/>
      <c r="Q692" s="1211"/>
      <c r="S692" s="1211"/>
      <c r="U692" s="1211"/>
      <c r="W692" s="1211"/>
      <c r="Y692" s="1211"/>
      <c r="AB692" s="1258"/>
    </row>
    <row r="693">
      <c r="B693" s="863"/>
      <c r="M693" s="1211"/>
      <c r="O693" s="1211"/>
      <c r="Q693" s="1211"/>
      <c r="S693" s="1211"/>
      <c r="U693" s="1211"/>
      <c r="W693" s="1211"/>
      <c r="Y693" s="1211"/>
      <c r="AB693" s="1258"/>
    </row>
    <row r="694">
      <c r="B694" s="863"/>
      <c r="M694" s="1211"/>
      <c r="O694" s="1211"/>
      <c r="Q694" s="1211"/>
      <c r="S694" s="1211"/>
      <c r="U694" s="1211"/>
      <c r="W694" s="1211"/>
      <c r="Y694" s="1211"/>
      <c r="AB694" s="1258"/>
    </row>
    <row r="695">
      <c r="B695" s="863"/>
      <c r="M695" s="1211"/>
      <c r="O695" s="1211"/>
      <c r="Q695" s="1211"/>
      <c r="S695" s="1211"/>
      <c r="U695" s="1211"/>
      <c r="W695" s="1211"/>
      <c r="Y695" s="1211"/>
      <c r="AB695" s="1258"/>
    </row>
    <row r="696">
      <c r="B696" s="863"/>
      <c r="M696" s="1211"/>
      <c r="O696" s="1211"/>
      <c r="Q696" s="1211"/>
      <c r="S696" s="1211"/>
      <c r="U696" s="1211"/>
      <c r="W696" s="1211"/>
      <c r="Y696" s="1211"/>
      <c r="AB696" s="1258"/>
    </row>
    <row r="697">
      <c r="B697" s="863"/>
      <c r="M697" s="1211"/>
      <c r="O697" s="1211"/>
      <c r="Q697" s="1211"/>
      <c r="S697" s="1211"/>
      <c r="U697" s="1211"/>
      <c r="W697" s="1211"/>
      <c r="Y697" s="1211"/>
      <c r="AB697" s="1258"/>
    </row>
    <row r="698">
      <c r="B698" s="863"/>
      <c r="M698" s="1211"/>
      <c r="O698" s="1211"/>
      <c r="Q698" s="1211"/>
      <c r="S698" s="1211"/>
      <c r="U698" s="1211"/>
      <c r="W698" s="1211"/>
      <c r="Y698" s="1211"/>
      <c r="AB698" s="1258"/>
    </row>
    <row r="699">
      <c r="B699" s="863"/>
      <c r="M699" s="1211"/>
      <c r="O699" s="1211"/>
      <c r="Q699" s="1211"/>
      <c r="S699" s="1211"/>
      <c r="U699" s="1211"/>
      <c r="W699" s="1211"/>
      <c r="Y699" s="1211"/>
      <c r="AB699" s="1258"/>
    </row>
    <row r="700">
      <c r="B700" s="863"/>
      <c r="M700" s="1211"/>
      <c r="O700" s="1211"/>
      <c r="Q700" s="1211"/>
      <c r="S700" s="1211"/>
      <c r="U700" s="1211"/>
      <c r="W700" s="1211"/>
      <c r="Y700" s="1211"/>
      <c r="AB700" s="1258"/>
    </row>
    <row r="701">
      <c r="B701" s="863"/>
      <c r="M701" s="1211"/>
      <c r="O701" s="1211"/>
      <c r="Q701" s="1211"/>
      <c r="S701" s="1211"/>
      <c r="U701" s="1211"/>
      <c r="W701" s="1211"/>
      <c r="Y701" s="1211"/>
      <c r="AB701" s="1258"/>
    </row>
    <row r="702">
      <c r="B702" s="863"/>
      <c r="M702" s="1211"/>
      <c r="O702" s="1211"/>
      <c r="Q702" s="1211"/>
      <c r="S702" s="1211"/>
      <c r="U702" s="1211"/>
      <c r="W702" s="1211"/>
      <c r="Y702" s="1211"/>
      <c r="AB702" s="1258"/>
    </row>
    <row r="703">
      <c r="B703" s="863"/>
      <c r="M703" s="1211"/>
      <c r="O703" s="1211"/>
      <c r="Q703" s="1211"/>
      <c r="S703" s="1211"/>
      <c r="U703" s="1211"/>
      <c r="W703" s="1211"/>
      <c r="Y703" s="1211"/>
      <c r="AB703" s="1258"/>
    </row>
    <row r="704">
      <c r="B704" s="863"/>
      <c r="M704" s="1211"/>
      <c r="O704" s="1211"/>
      <c r="Q704" s="1211"/>
      <c r="S704" s="1211"/>
      <c r="U704" s="1211"/>
      <c r="W704" s="1211"/>
      <c r="Y704" s="1211"/>
      <c r="AB704" s="1258"/>
    </row>
    <row r="705">
      <c r="B705" s="863"/>
      <c r="M705" s="1211"/>
      <c r="O705" s="1211"/>
      <c r="Q705" s="1211"/>
      <c r="S705" s="1211"/>
      <c r="U705" s="1211"/>
      <c r="W705" s="1211"/>
      <c r="Y705" s="1211"/>
      <c r="AB705" s="1258"/>
    </row>
    <row r="706">
      <c r="B706" s="863"/>
      <c r="M706" s="1211"/>
      <c r="O706" s="1211"/>
      <c r="Q706" s="1211"/>
      <c r="S706" s="1211"/>
      <c r="U706" s="1211"/>
      <c r="W706" s="1211"/>
      <c r="Y706" s="1211"/>
      <c r="AB706" s="1258"/>
    </row>
    <row r="707">
      <c r="B707" s="863"/>
      <c r="M707" s="1211"/>
      <c r="O707" s="1211"/>
      <c r="Q707" s="1211"/>
      <c r="S707" s="1211"/>
      <c r="U707" s="1211"/>
      <c r="W707" s="1211"/>
      <c r="Y707" s="1211"/>
      <c r="AB707" s="1258"/>
    </row>
    <row r="708">
      <c r="B708" s="863"/>
      <c r="M708" s="1211"/>
      <c r="O708" s="1211"/>
      <c r="Q708" s="1211"/>
      <c r="S708" s="1211"/>
      <c r="U708" s="1211"/>
      <c r="W708" s="1211"/>
      <c r="Y708" s="1211"/>
      <c r="AB708" s="1258"/>
    </row>
    <row r="709">
      <c r="B709" s="863"/>
      <c r="M709" s="1211"/>
      <c r="O709" s="1211"/>
      <c r="Q709" s="1211"/>
      <c r="S709" s="1211"/>
      <c r="U709" s="1211"/>
      <c r="W709" s="1211"/>
      <c r="Y709" s="1211"/>
      <c r="AB709" s="1258"/>
    </row>
    <row r="710">
      <c r="B710" s="863"/>
      <c r="M710" s="1211"/>
      <c r="O710" s="1211"/>
      <c r="Q710" s="1211"/>
      <c r="S710" s="1211"/>
      <c r="U710" s="1211"/>
      <c r="W710" s="1211"/>
      <c r="Y710" s="1211"/>
      <c r="AB710" s="1258"/>
    </row>
    <row r="711">
      <c r="B711" s="863"/>
      <c r="M711" s="1211"/>
      <c r="O711" s="1211"/>
      <c r="Q711" s="1211"/>
      <c r="S711" s="1211"/>
      <c r="U711" s="1211"/>
      <c r="W711" s="1211"/>
      <c r="Y711" s="1211"/>
      <c r="AB711" s="1258"/>
    </row>
    <row r="712">
      <c r="B712" s="863"/>
      <c r="M712" s="1211"/>
      <c r="O712" s="1211"/>
      <c r="Q712" s="1211"/>
      <c r="S712" s="1211"/>
      <c r="U712" s="1211"/>
      <c r="W712" s="1211"/>
      <c r="Y712" s="1211"/>
      <c r="AB712" s="1258"/>
    </row>
    <row r="713">
      <c r="B713" s="863"/>
      <c r="M713" s="1211"/>
      <c r="O713" s="1211"/>
      <c r="Q713" s="1211"/>
      <c r="S713" s="1211"/>
      <c r="U713" s="1211"/>
      <c r="W713" s="1211"/>
      <c r="Y713" s="1211"/>
      <c r="AB713" s="1258"/>
    </row>
    <row r="714">
      <c r="B714" s="863"/>
      <c r="M714" s="1211"/>
      <c r="O714" s="1211"/>
      <c r="Q714" s="1211"/>
      <c r="S714" s="1211"/>
      <c r="U714" s="1211"/>
      <c r="W714" s="1211"/>
      <c r="Y714" s="1211"/>
      <c r="AB714" s="1258"/>
    </row>
    <row r="715">
      <c r="B715" s="863"/>
      <c r="M715" s="1211"/>
      <c r="O715" s="1211"/>
      <c r="Q715" s="1211"/>
      <c r="S715" s="1211"/>
      <c r="U715" s="1211"/>
      <c r="W715" s="1211"/>
      <c r="Y715" s="1211"/>
      <c r="AB715" s="1258"/>
    </row>
    <row r="716">
      <c r="B716" s="863"/>
      <c r="M716" s="1211"/>
      <c r="O716" s="1211"/>
      <c r="Q716" s="1211"/>
      <c r="S716" s="1211"/>
      <c r="U716" s="1211"/>
      <c r="W716" s="1211"/>
      <c r="Y716" s="1211"/>
      <c r="AB716" s="1258"/>
    </row>
    <row r="717">
      <c r="B717" s="863"/>
      <c r="M717" s="1211"/>
      <c r="O717" s="1211"/>
      <c r="Q717" s="1211"/>
      <c r="S717" s="1211"/>
      <c r="U717" s="1211"/>
      <c r="W717" s="1211"/>
      <c r="Y717" s="1211"/>
      <c r="AB717" s="1258"/>
    </row>
    <row r="718">
      <c r="B718" s="863"/>
      <c r="M718" s="1211"/>
      <c r="O718" s="1211"/>
      <c r="Q718" s="1211"/>
      <c r="S718" s="1211"/>
      <c r="U718" s="1211"/>
      <c r="W718" s="1211"/>
      <c r="Y718" s="1211"/>
      <c r="AB718" s="1258"/>
    </row>
    <row r="719">
      <c r="B719" s="863"/>
      <c r="M719" s="1211"/>
      <c r="O719" s="1211"/>
      <c r="Q719" s="1211"/>
      <c r="S719" s="1211"/>
      <c r="U719" s="1211"/>
      <c r="W719" s="1211"/>
      <c r="Y719" s="1211"/>
      <c r="AB719" s="1258"/>
    </row>
    <row r="720">
      <c r="B720" s="863"/>
      <c r="M720" s="1211"/>
      <c r="O720" s="1211"/>
      <c r="Q720" s="1211"/>
      <c r="S720" s="1211"/>
      <c r="U720" s="1211"/>
      <c r="W720" s="1211"/>
      <c r="Y720" s="1211"/>
      <c r="AB720" s="1258"/>
    </row>
    <row r="721">
      <c r="B721" s="863"/>
      <c r="M721" s="1211"/>
      <c r="O721" s="1211"/>
      <c r="Q721" s="1211"/>
      <c r="S721" s="1211"/>
      <c r="U721" s="1211"/>
      <c r="W721" s="1211"/>
      <c r="Y721" s="1211"/>
      <c r="AB721" s="1258"/>
    </row>
    <row r="722">
      <c r="B722" s="863"/>
      <c r="M722" s="1211"/>
      <c r="O722" s="1211"/>
      <c r="Q722" s="1211"/>
      <c r="S722" s="1211"/>
      <c r="U722" s="1211"/>
      <c r="W722" s="1211"/>
      <c r="Y722" s="1211"/>
      <c r="AB722" s="1258"/>
    </row>
    <row r="723">
      <c r="B723" s="863"/>
      <c r="M723" s="1211"/>
      <c r="O723" s="1211"/>
      <c r="Q723" s="1211"/>
      <c r="S723" s="1211"/>
      <c r="U723" s="1211"/>
      <c r="W723" s="1211"/>
      <c r="Y723" s="1211"/>
      <c r="AB723" s="1258"/>
    </row>
    <row r="724">
      <c r="B724" s="863"/>
      <c r="M724" s="1211"/>
      <c r="O724" s="1211"/>
      <c r="Q724" s="1211"/>
      <c r="S724" s="1211"/>
      <c r="U724" s="1211"/>
      <c r="W724" s="1211"/>
      <c r="Y724" s="1211"/>
      <c r="AB724" s="1258"/>
    </row>
    <row r="725">
      <c r="B725" s="863"/>
      <c r="M725" s="1211"/>
      <c r="O725" s="1211"/>
      <c r="Q725" s="1211"/>
      <c r="S725" s="1211"/>
      <c r="U725" s="1211"/>
      <c r="W725" s="1211"/>
      <c r="Y725" s="1211"/>
      <c r="AB725" s="1258"/>
    </row>
    <row r="726">
      <c r="B726" s="863"/>
      <c r="M726" s="1211"/>
      <c r="O726" s="1211"/>
      <c r="Q726" s="1211"/>
      <c r="S726" s="1211"/>
      <c r="U726" s="1211"/>
      <c r="W726" s="1211"/>
      <c r="Y726" s="1211"/>
      <c r="AB726" s="1258"/>
    </row>
    <row r="727">
      <c r="B727" s="863"/>
      <c r="M727" s="1211"/>
      <c r="O727" s="1211"/>
      <c r="Q727" s="1211"/>
      <c r="S727" s="1211"/>
      <c r="U727" s="1211"/>
      <c r="W727" s="1211"/>
      <c r="Y727" s="1211"/>
      <c r="AB727" s="1258"/>
    </row>
    <row r="728">
      <c r="B728" s="863"/>
      <c r="M728" s="1211"/>
      <c r="O728" s="1211"/>
      <c r="Q728" s="1211"/>
      <c r="S728" s="1211"/>
      <c r="U728" s="1211"/>
      <c r="W728" s="1211"/>
      <c r="Y728" s="1211"/>
      <c r="AB728" s="1258"/>
    </row>
    <row r="729">
      <c r="B729" s="863"/>
      <c r="M729" s="1211"/>
      <c r="O729" s="1211"/>
      <c r="Q729" s="1211"/>
      <c r="S729" s="1211"/>
      <c r="U729" s="1211"/>
      <c r="W729" s="1211"/>
      <c r="Y729" s="1211"/>
      <c r="AB729" s="1258"/>
    </row>
    <row r="730">
      <c r="B730" s="863"/>
      <c r="M730" s="1211"/>
      <c r="O730" s="1211"/>
      <c r="Q730" s="1211"/>
      <c r="S730" s="1211"/>
      <c r="U730" s="1211"/>
      <c r="W730" s="1211"/>
      <c r="Y730" s="1211"/>
      <c r="AB730" s="1258"/>
    </row>
    <row r="731">
      <c r="B731" s="863"/>
      <c r="M731" s="1211"/>
      <c r="O731" s="1211"/>
      <c r="Q731" s="1211"/>
      <c r="S731" s="1211"/>
      <c r="U731" s="1211"/>
      <c r="W731" s="1211"/>
      <c r="Y731" s="1211"/>
      <c r="AB731" s="1258"/>
    </row>
    <row r="732">
      <c r="B732" s="863"/>
      <c r="M732" s="1211"/>
      <c r="O732" s="1211"/>
      <c r="Q732" s="1211"/>
      <c r="S732" s="1211"/>
      <c r="U732" s="1211"/>
      <c r="W732" s="1211"/>
      <c r="Y732" s="1211"/>
      <c r="AB732" s="1258"/>
    </row>
    <row r="733">
      <c r="B733" s="863"/>
      <c r="M733" s="1211"/>
      <c r="O733" s="1211"/>
      <c r="Q733" s="1211"/>
      <c r="S733" s="1211"/>
      <c r="U733" s="1211"/>
      <c r="W733" s="1211"/>
      <c r="Y733" s="1211"/>
      <c r="AB733" s="1258"/>
    </row>
    <row r="734">
      <c r="B734" s="863"/>
      <c r="M734" s="1211"/>
      <c r="O734" s="1211"/>
      <c r="Q734" s="1211"/>
      <c r="S734" s="1211"/>
      <c r="U734" s="1211"/>
      <c r="W734" s="1211"/>
      <c r="Y734" s="1211"/>
      <c r="AB734" s="1258"/>
    </row>
    <row r="735">
      <c r="B735" s="863"/>
      <c r="M735" s="1211"/>
      <c r="O735" s="1211"/>
      <c r="Q735" s="1211"/>
      <c r="S735" s="1211"/>
      <c r="U735" s="1211"/>
      <c r="W735" s="1211"/>
      <c r="Y735" s="1211"/>
      <c r="AB735" s="1258"/>
    </row>
    <row r="736">
      <c r="B736" s="863"/>
      <c r="M736" s="1211"/>
      <c r="O736" s="1211"/>
      <c r="Q736" s="1211"/>
      <c r="S736" s="1211"/>
      <c r="U736" s="1211"/>
      <c r="W736" s="1211"/>
      <c r="Y736" s="1211"/>
      <c r="AB736" s="1258"/>
    </row>
    <row r="737">
      <c r="B737" s="863"/>
      <c r="M737" s="1211"/>
      <c r="O737" s="1211"/>
      <c r="Q737" s="1211"/>
      <c r="S737" s="1211"/>
      <c r="U737" s="1211"/>
      <c r="W737" s="1211"/>
      <c r="Y737" s="1211"/>
      <c r="AB737" s="1258"/>
    </row>
    <row r="738">
      <c r="B738" s="863"/>
      <c r="M738" s="1211"/>
      <c r="O738" s="1211"/>
      <c r="Q738" s="1211"/>
      <c r="S738" s="1211"/>
      <c r="U738" s="1211"/>
      <c r="W738" s="1211"/>
      <c r="Y738" s="1211"/>
      <c r="AB738" s="1258"/>
    </row>
    <row r="739">
      <c r="B739" s="863"/>
      <c r="M739" s="1211"/>
      <c r="O739" s="1211"/>
      <c r="Q739" s="1211"/>
      <c r="S739" s="1211"/>
      <c r="U739" s="1211"/>
      <c r="W739" s="1211"/>
      <c r="Y739" s="1211"/>
      <c r="AB739" s="1258"/>
    </row>
    <row r="740">
      <c r="B740" s="863"/>
      <c r="M740" s="1211"/>
      <c r="O740" s="1211"/>
      <c r="Q740" s="1211"/>
      <c r="S740" s="1211"/>
      <c r="U740" s="1211"/>
      <c r="W740" s="1211"/>
      <c r="Y740" s="1211"/>
      <c r="AB740" s="1258"/>
    </row>
    <row r="741">
      <c r="B741" s="863"/>
      <c r="M741" s="1211"/>
      <c r="O741" s="1211"/>
      <c r="Q741" s="1211"/>
      <c r="S741" s="1211"/>
      <c r="U741" s="1211"/>
      <c r="W741" s="1211"/>
      <c r="Y741" s="1211"/>
      <c r="AB741" s="1258"/>
    </row>
    <row r="742">
      <c r="B742" s="863"/>
      <c r="M742" s="1211"/>
      <c r="O742" s="1211"/>
      <c r="Q742" s="1211"/>
      <c r="S742" s="1211"/>
      <c r="U742" s="1211"/>
      <c r="W742" s="1211"/>
      <c r="Y742" s="1211"/>
      <c r="AB742" s="1258"/>
    </row>
    <row r="743">
      <c r="B743" s="863"/>
      <c r="M743" s="1211"/>
      <c r="O743" s="1211"/>
      <c r="Q743" s="1211"/>
      <c r="S743" s="1211"/>
      <c r="U743" s="1211"/>
      <c r="W743" s="1211"/>
      <c r="Y743" s="1211"/>
      <c r="AB743" s="1258"/>
    </row>
    <row r="744">
      <c r="B744" s="863"/>
      <c r="M744" s="1211"/>
      <c r="O744" s="1211"/>
      <c r="Q744" s="1211"/>
      <c r="S744" s="1211"/>
      <c r="U744" s="1211"/>
      <c r="W744" s="1211"/>
      <c r="Y744" s="1211"/>
      <c r="AB744" s="1258"/>
    </row>
    <row r="745">
      <c r="B745" s="863"/>
      <c r="M745" s="1211"/>
      <c r="O745" s="1211"/>
      <c r="Q745" s="1211"/>
      <c r="S745" s="1211"/>
      <c r="U745" s="1211"/>
      <c r="W745" s="1211"/>
      <c r="Y745" s="1211"/>
      <c r="AB745" s="1258"/>
    </row>
    <row r="746">
      <c r="B746" s="863"/>
      <c r="M746" s="1211"/>
      <c r="O746" s="1211"/>
      <c r="Q746" s="1211"/>
      <c r="S746" s="1211"/>
      <c r="U746" s="1211"/>
      <c r="W746" s="1211"/>
      <c r="Y746" s="1211"/>
      <c r="AB746" s="1258"/>
    </row>
    <row r="747">
      <c r="B747" s="863"/>
      <c r="M747" s="1211"/>
      <c r="O747" s="1211"/>
      <c r="Q747" s="1211"/>
      <c r="S747" s="1211"/>
      <c r="U747" s="1211"/>
      <c r="W747" s="1211"/>
      <c r="Y747" s="1211"/>
      <c r="AB747" s="1258"/>
    </row>
    <row r="748">
      <c r="B748" s="863"/>
      <c r="M748" s="1211"/>
      <c r="O748" s="1211"/>
      <c r="Q748" s="1211"/>
      <c r="S748" s="1211"/>
      <c r="U748" s="1211"/>
      <c r="W748" s="1211"/>
      <c r="Y748" s="1211"/>
      <c r="AB748" s="1258"/>
    </row>
    <row r="749">
      <c r="B749" s="863"/>
      <c r="M749" s="1211"/>
      <c r="O749" s="1211"/>
      <c r="Q749" s="1211"/>
      <c r="S749" s="1211"/>
      <c r="U749" s="1211"/>
      <c r="W749" s="1211"/>
      <c r="Y749" s="1211"/>
      <c r="AB749" s="1258"/>
    </row>
    <row r="750">
      <c r="B750" s="863"/>
      <c r="M750" s="1211"/>
      <c r="O750" s="1211"/>
      <c r="Q750" s="1211"/>
      <c r="S750" s="1211"/>
      <c r="U750" s="1211"/>
      <c r="W750" s="1211"/>
      <c r="Y750" s="1211"/>
      <c r="AB750" s="1258"/>
    </row>
    <row r="751">
      <c r="B751" s="863"/>
      <c r="M751" s="1211"/>
      <c r="O751" s="1211"/>
      <c r="Q751" s="1211"/>
      <c r="S751" s="1211"/>
      <c r="U751" s="1211"/>
      <c r="W751" s="1211"/>
      <c r="Y751" s="1211"/>
      <c r="AB751" s="1258"/>
    </row>
    <row r="752">
      <c r="B752" s="863"/>
      <c r="M752" s="1211"/>
      <c r="O752" s="1211"/>
      <c r="Q752" s="1211"/>
      <c r="S752" s="1211"/>
      <c r="U752" s="1211"/>
      <c r="W752" s="1211"/>
      <c r="Y752" s="1211"/>
      <c r="AB752" s="1258"/>
    </row>
    <row r="753">
      <c r="B753" s="863"/>
      <c r="M753" s="1211"/>
      <c r="O753" s="1211"/>
      <c r="Q753" s="1211"/>
      <c r="S753" s="1211"/>
      <c r="U753" s="1211"/>
      <c r="W753" s="1211"/>
      <c r="Y753" s="1211"/>
      <c r="AB753" s="1258"/>
    </row>
    <row r="754">
      <c r="B754" s="863"/>
      <c r="M754" s="1211"/>
      <c r="O754" s="1211"/>
      <c r="Q754" s="1211"/>
      <c r="S754" s="1211"/>
      <c r="U754" s="1211"/>
      <c r="W754" s="1211"/>
      <c r="Y754" s="1211"/>
      <c r="AB754" s="1258"/>
    </row>
    <row r="755">
      <c r="B755" s="863"/>
      <c r="M755" s="1211"/>
      <c r="O755" s="1211"/>
      <c r="Q755" s="1211"/>
      <c r="S755" s="1211"/>
      <c r="U755" s="1211"/>
      <c r="W755" s="1211"/>
      <c r="Y755" s="1211"/>
      <c r="AB755" s="1258"/>
    </row>
    <row r="756">
      <c r="B756" s="863"/>
      <c r="M756" s="1211"/>
      <c r="O756" s="1211"/>
      <c r="Q756" s="1211"/>
      <c r="S756" s="1211"/>
      <c r="U756" s="1211"/>
      <c r="W756" s="1211"/>
      <c r="Y756" s="1211"/>
      <c r="AB756" s="1258"/>
    </row>
    <row r="757">
      <c r="B757" s="863"/>
      <c r="M757" s="1211"/>
      <c r="O757" s="1211"/>
      <c r="Q757" s="1211"/>
      <c r="S757" s="1211"/>
      <c r="U757" s="1211"/>
      <c r="W757" s="1211"/>
      <c r="Y757" s="1211"/>
      <c r="AB757" s="1258"/>
    </row>
    <row r="758">
      <c r="B758" s="863"/>
      <c r="M758" s="1211"/>
      <c r="O758" s="1211"/>
      <c r="Q758" s="1211"/>
      <c r="S758" s="1211"/>
      <c r="U758" s="1211"/>
      <c r="W758" s="1211"/>
      <c r="Y758" s="1211"/>
      <c r="AB758" s="1258"/>
    </row>
    <row r="759">
      <c r="B759" s="863"/>
      <c r="M759" s="1211"/>
      <c r="O759" s="1211"/>
      <c r="Q759" s="1211"/>
      <c r="S759" s="1211"/>
      <c r="U759" s="1211"/>
      <c r="W759" s="1211"/>
      <c r="Y759" s="1211"/>
      <c r="AB759" s="1258"/>
    </row>
    <row r="760">
      <c r="B760" s="863"/>
      <c r="M760" s="1211"/>
      <c r="O760" s="1211"/>
      <c r="Q760" s="1211"/>
      <c r="S760" s="1211"/>
      <c r="U760" s="1211"/>
      <c r="W760" s="1211"/>
      <c r="Y760" s="1211"/>
      <c r="AB760" s="1258"/>
    </row>
    <row r="761">
      <c r="B761" s="863"/>
      <c r="M761" s="1211"/>
      <c r="O761" s="1211"/>
      <c r="Q761" s="1211"/>
      <c r="S761" s="1211"/>
      <c r="U761" s="1211"/>
      <c r="W761" s="1211"/>
      <c r="Y761" s="1211"/>
      <c r="AB761" s="1258"/>
    </row>
    <row r="762">
      <c r="B762" s="863"/>
      <c r="M762" s="1211"/>
      <c r="O762" s="1211"/>
      <c r="Q762" s="1211"/>
      <c r="S762" s="1211"/>
      <c r="U762" s="1211"/>
      <c r="W762" s="1211"/>
      <c r="Y762" s="1211"/>
      <c r="AB762" s="1258"/>
    </row>
    <row r="763">
      <c r="B763" s="863"/>
      <c r="M763" s="1211"/>
      <c r="O763" s="1211"/>
      <c r="Q763" s="1211"/>
      <c r="S763" s="1211"/>
      <c r="U763" s="1211"/>
      <c r="W763" s="1211"/>
      <c r="Y763" s="1211"/>
      <c r="AB763" s="1258"/>
    </row>
    <row r="764">
      <c r="B764" s="863"/>
      <c r="M764" s="1211"/>
      <c r="O764" s="1211"/>
      <c r="Q764" s="1211"/>
      <c r="S764" s="1211"/>
      <c r="U764" s="1211"/>
      <c r="W764" s="1211"/>
      <c r="Y764" s="1211"/>
      <c r="AB764" s="1258"/>
    </row>
    <row r="765">
      <c r="B765" s="863"/>
      <c r="M765" s="1211"/>
      <c r="O765" s="1211"/>
      <c r="Q765" s="1211"/>
      <c r="S765" s="1211"/>
      <c r="U765" s="1211"/>
      <c r="W765" s="1211"/>
      <c r="Y765" s="1211"/>
      <c r="AB765" s="1258"/>
    </row>
    <row r="766">
      <c r="B766" s="863"/>
      <c r="M766" s="1211"/>
      <c r="O766" s="1211"/>
      <c r="Q766" s="1211"/>
      <c r="S766" s="1211"/>
      <c r="U766" s="1211"/>
      <c r="W766" s="1211"/>
      <c r="Y766" s="1211"/>
      <c r="AB766" s="1258"/>
    </row>
    <row r="767">
      <c r="B767" s="863"/>
      <c r="M767" s="1211"/>
      <c r="O767" s="1211"/>
      <c r="Q767" s="1211"/>
      <c r="S767" s="1211"/>
      <c r="U767" s="1211"/>
      <c r="W767" s="1211"/>
      <c r="Y767" s="1211"/>
      <c r="AB767" s="1258"/>
    </row>
    <row r="768">
      <c r="B768" s="863"/>
      <c r="M768" s="1211"/>
      <c r="O768" s="1211"/>
      <c r="Q768" s="1211"/>
      <c r="S768" s="1211"/>
      <c r="U768" s="1211"/>
      <c r="W768" s="1211"/>
      <c r="Y768" s="1211"/>
      <c r="AB768" s="1258"/>
    </row>
    <row r="769">
      <c r="B769" s="863"/>
      <c r="M769" s="1211"/>
      <c r="O769" s="1211"/>
      <c r="Q769" s="1211"/>
      <c r="S769" s="1211"/>
      <c r="U769" s="1211"/>
      <c r="W769" s="1211"/>
      <c r="Y769" s="1211"/>
      <c r="AB769" s="1258"/>
    </row>
    <row r="770">
      <c r="B770" s="863"/>
      <c r="M770" s="1211"/>
      <c r="O770" s="1211"/>
      <c r="Q770" s="1211"/>
      <c r="S770" s="1211"/>
      <c r="U770" s="1211"/>
      <c r="W770" s="1211"/>
      <c r="Y770" s="1211"/>
      <c r="AB770" s="1258"/>
    </row>
    <row r="771">
      <c r="B771" s="863"/>
      <c r="M771" s="1211"/>
      <c r="O771" s="1211"/>
      <c r="Q771" s="1211"/>
      <c r="S771" s="1211"/>
      <c r="U771" s="1211"/>
      <c r="W771" s="1211"/>
      <c r="Y771" s="1211"/>
      <c r="AB771" s="1258"/>
    </row>
    <row r="772">
      <c r="B772" s="863"/>
      <c r="M772" s="1211"/>
      <c r="O772" s="1211"/>
      <c r="Q772" s="1211"/>
      <c r="S772" s="1211"/>
      <c r="U772" s="1211"/>
      <c r="W772" s="1211"/>
      <c r="Y772" s="1211"/>
      <c r="AB772" s="1258"/>
    </row>
    <row r="773">
      <c r="B773" s="863"/>
      <c r="M773" s="1211"/>
      <c r="O773" s="1211"/>
      <c r="Q773" s="1211"/>
      <c r="S773" s="1211"/>
      <c r="U773" s="1211"/>
      <c r="W773" s="1211"/>
      <c r="Y773" s="1211"/>
      <c r="AB773" s="1258"/>
    </row>
    <row r="774">
      <c r="B774" s="863"/>
      <c r="M774" s="1211"/>
      <c r="O774" s="1211"/>
      <c r="Q774" s="1211"/>
      <c r="S774" s="1211"/>
      <c r="U774" s="1211"/>
      <c r="W774" s="1211"/>
      <c r="Y774" s="1211"/>
      <c r="AB774" s="1258"/>
    </row>
    <row r="775">
      <c r="B775" s="863"/>
      <c r="M775" s="1211"/>
      <c r="O775" s="1211"/>
      <c r="Q775" s="1211"/>
      <c r="S775" s="1211"/>
      <c r="U775" s="1211"/>
      <c r="W775" s="1211"/>
      <c r="Y775" s="1211"/>
      <c r="AB775" s="1258"/>
    </row>
    <row r="776">
      <c r="B776" s="863"/>
      <c r="M776" s="1211"/>
      <c r="O776" s="1211"/>
      <c r="Q776" s="1211"/>
      <c r="S776" s="1211"/>
      <c r="U776" s="1211"/>
      <c r="W776" s="1211"/>
      <c r="Y776" s="1211"/>
      <c r="AB776" s="1258"/>
    </row>
    <row r="777">
      <c r="B777" s="863"/>
      <c r="M777" s="1211"/>
      <c r="O777" s="1211"/>
      <c r="Q777" s="1211"/>
      <c r="S777" s="1211"/>
      <c r="U777" s="1211"/>
      <c r="W777" s="1211"/>
      <c r="Y777" s="1211"/>
      <c r="AB777" s="1258"/>
    </row>
    <row r="778">
      <c r="B778" s="863"/>
      <c r="M778" s="1211"/>
      <c r="O778" s="1211"/>
      <c r="Q778" s="1211"/>
      <c r="S778" s="1211"/>
      <c r="U778" s="1211"/>
      <c r="W778" s="1211"/>
      <c r="Y778" s="1211"/>
      <c r="AB778" s="1258"/>
    </row>
    <row r="779">
      <c r="B779" s="863"/>
      <c r="M779" s="1211"/>
      <c r="O779" s="1211"/>
      <c r="Q779" s="1211"/>
      <c r="S779" s="1211"/>
      <c r="U779" s="1211"/>
      <c r="W779" s="1211"/>
      <c r="Y779" s="1211"/>
      <c r="AB779" s="1258"/>
    </row>
    <row r="780">
      <c r="B780" s="863"/>
      <c r="M780" s="1211"/>
      <c r="O780" s="1211"/>
      <c r="Q780" s="1211"/>
      <c r="S780" s="1211"/>
      <c r="U780" s="1211"/>
      <c r="W780" s="1211"/>
      <c r="Y780" s="1211"/>
      <c r="AB780" s="1258"/>
    </row>
    <row r="781">
      <c r="B781" s="863"/>
      <c r="M781" s="1211"/>
      <c r="O781" s="1211"/>
      <c r="Q781" s="1211"/>
      <c r="S781" s="1211"/>
      <c r="U781" s="1211"/>
      <c r="W781" s="1211"/>
      <c r="Y781" s="1211"/>
      <c r="AB781" s="1258"/>
    </row>
    <row r="782">
      <c r="B782" s="863"/>
      <c r="M782" s="1211"/>
      <c r="O782" s="1211"/>
      <c r="Q782" s="1211"/>
      <c r="S782" s="1211"/>
      <c r="U782" s="1211"/>
      <c r="W782" s="1211"/>
      <c r="Y782" s="1211"/>
      <c r="AB782" s="1258"/>
    </row>
    <row r="783">
      <c r="B783" s="863"/>
      <c r="M783" s="1211"/>
      <c r="O783" s="1211"/>
      <c r="Q783" s="1211"/>
      <c r="S783" s="1211"/>
      <c r="U783" s="1211"/>
      <c r="W783" s="1211"/>
      <c r="Y783" s="1211"/>
      <c r="AB783" s="1258"/>
    </row>
    <row r="784">
      <c r="B784" s="863"/>
      <c r="M784" s="1211"/>
      <c r="O784" s="1211"/>
      <c r="Q784" s="1211"/>
      <c r="S784" s="1211"/>
      <c r="U784" s="1211"/>
      <c r="W784" s="1211"/>
      <c r="Y784" s="1211"/>
      <c r="AB784" s="1258"/>
    </row>
    <row r="785">
      <c r="B785" s="863"/>
      <c r="M785" s="1211"/>
      <c r="O785" s="1211"/>
      <c r="Q785" s="1211"/>
      <c r="S785" s="1211"/>
      <c r="U785" s="1211"/>
      <c r="W785" s="1211"/>
      <c r="Y785" s="1211"/>
      <c r="AB785" s="1258"/>
    </row>
    <row r="786">
      <c r="B786" s="863"/>
      <c r="M786" s="1211"/>
      <c r="O786" s="1211"/>
      <c r="Q786" s="1211"/>
      <c r="S786" s="1211"/>
      <c r="U786" s="1211"/>
      <c r="W786" s="1211"/>
      <c r="Y786" s="1211"/>
      <c r="AB786" s="1258"/>
    </row>
    <row r="787">
      <c r="B787" s="863"/>
      <c r="M787" s="1211"/>
      <c r="O787" s="1211"/>
      <c r="Q787" s="1211"/>
      <c r="S787" s="1211"/>
      <c r="U787" s="1211"/>
      <c r="W787" s="1211"/>
      <c r="Y787" s="1211"/>
      <c r="AB787" s="1258"/>
    </row>
    <row r="788">
      <c r="B788" s="863"/>
      <c r="M788" s="1211"/>
      <c r="O788" s="1211"/>
      <c r="Q788" s="1211"/>
      <c r="S788" s="1211"/>
      <c r="U788" s="1211"/>
      <c r="W788" s="1211"/>
      <c r="Y788" s="1211"/>
      <c r="AB788" s="1258"/>
    </row>
    <row r="789">
      <c r="B789" s="863"/>
      <c r="M789" s="1211"/>
      <c r="O789" s="1211"/>
      <c r="Q789" s="1211"/>
      <c r="S789" s="1211"/>
      <c r="U789" s="1211"/>
      <c r="W789" s="1211"/>
      <c r="Y789" s="1211"/>
      <c r="AB789" s="1258"/>
    </row>
    <row r="790">
      <c r="B790" s="863"/>
      <c r="M790" s="1211"/>
      <c r="O790" s="1211"/>
      <c r="Q790" s="1211"/>
      <c r="S790" s="1211"/>
      <c r="U790" s="1211"/>
      <c r="W790" s="1211"/>
      <c r="Y790" s="1211"/>
      <c r="AB790" s="1258"/>
    </row>
    <row r="791">
      <c r="B791" s="863"/>
      <c r="M791" s="1211"/>
      <c r="O791" s="1211"/>
      <c r="Q791" s="1211"/>
      <c r="S791" s="1211"/>
      <c r="U791" s="1211"/>
      <c r="W791" s="1211"/>
      <c r="Y791" s="1211"/>
      <c r="AB791" s="1258"/>
    </row>
    <row r="792">
      <c r="B792" s="863"/>
      <c r="M792" s="1211"/>
      <c r="O792" s="1211"/>
      <c r="Q792" s="1211"/>
      <c r="S792" s="1211"/>
      <c r="U792" s="1211"/>
      <c r="W792" s="1211"/>
      <c r="Y792" s="1211"/>
      <c r="AB792" s="1258"/>
    </row>
    <row r="793">
      <c r="B793" s="863"/>
      <c r="M793" s="1211"/>
      <c r="O793" s="1211"/>
      <c r="Q793" s="1211"/>
      <c r="S793" s="1211"/>
      <c r="U793" s="1211"/>
      <c r="W793" s="1211"/>
      <c r="Y793" s="1211"/>
      <c r="AB793" s="1258"/>
    </row>
    <row r="794">
      <c r="B794" s="863"/>
      <c r="M794" s="1211"/>
      <c r="O794" s="1211"/>
      <c r="Q794" s="1211"/>
      <c r="S794" s="1211"/>
      <c r="U794" s="1211"/>
      <c r="W794" s="1211"/>
      <c r="Y794" s="1211"/>
      <c r="AB794" s="1258"/>
    </row>
    <row r="795">
      <c r="B795" s="863"/>
      <c r="M795" s="1211"/>
      <c r="O795" s="1211"/>
      <c r="Q795" s="1211"/>
      <c r="S795" s="1211"/>
      <c r="U795" s="1211"/>
      <c r="W795" s="1211"/>
      <c r="Y795" s="1211"/>
      <c r="AB795" s="1258"/>
    </row>
    <row r="796">
      <c r="B796" s="863"/>
      <c r="M796" s="1211"/>
      <c r="O796" s="1211"/>
      <c r="Q796" s="1211"/>
      <c r="S796" s="1211"/>
      <c r="U796" s="1211"/>
      <c r="W796" s="1211"/>
      <c r="Y796" s="1211"/>
      <c r="AB796" s="1258"/>
    </row>
    <row r="797">
      <c r="B797" s="863"/>
      <c r="M797" s="1211"/>
      <c r="O797" s="1211"/>
      <c r="Q797" s="1211"/>
      <c r="S797" s="1211"/>
      <c r="U797" s="1211"/>
      <c r="W797" s="1211"/>
      <c r="Y797" s="1211"/>
      <c r="AB797" s="1258"/>
    </row>
    <row r="798">
      <c r="B798" s="863"/>
      <c r="M798" s="1211"/>
      <c r="O798" s="1211"/>
      <c r="Q798" s="1211"/>
      <c r="S798" s="1211"/>
      <c r="U798" s="1211"/>
      <c r="W798" s="1211"/>
      <c r="Y798" s="1211"/>
      <c r="AB798" s="1258"/>
    </row>
    <row r="799">
      <c r="B799" s="863"/>
      <c r="M799" s="1211"/>
      <c r="O799" s="1211"/>
      <c r="Q799" s="1211"/>
      <c r="S799" s="1211"/>
      <c r="U799" s="1211"/>
      <c r="W799" s="1211"/>
      <c r="Y799" s="1211"/>
      <c r="AB799" s="1258"/>
    </row>
    <row r="800">
      <c r="B800" s="863"/>
      <c r="M800" s="1211"/>
      <c r="O800" s="1211"/>
      <c r="Q800" s="1211"/>
      <c r="S800" s="1211"/>
      <c r="U800" s="1211"/>
      <c r="W800" s="1211"/>
      <c r="Y800" s="1211"/>
      <c r="AB800" s="1258"/>
    </row>
    <row r="801">
      <c r="B801" s="863"/>
      <c r="M801" s="1211"/>
      <c r="O801" s="1211"/>
      <c r="Q801" s="1211"/>
      <c r="S801" s="1211"/>
      <c r="U801" s="1211"/>
      <c r="W801" s="1211"/>
      <c r="Y801" s="1211"/>
      <c r="AB801" s="1258"/>
    </row>
    <row r="802">
      <c r="B802" s="863"/>
      <c r="M802" s="1211"/>
      <c r="O802" s="1211"/>
      <c r="Q802" s="1211"/>
      <c r="S802" s="1211"/>
      <c r="U802" s="1211"/>
      <c r="W802" s="1211"/>
      <c r="Y802" s="1211"/>
      <c r="AB802" s="1258"/>
    </row>
    <row r="803">
      <c r="B803" s="863"/>
      <c r="M803" s="1211"/>
      <c r="O803" s="1211"/>
      <c r="Q803" s="1211"/>
      <c r="S803" s="1211"/>
      <c r="U803" s="1211"/>
      <c r="W803" s="1211"/>
      <c r="Y803" s="1211"/>
      <c r="AB803" s="1258"/>
    </row>
    <row r="804">
      <c r="B804" s="863"/>
      <c r="M804" s="1211"/>
      <c r="O804" s="1211"/>
      <c r="Q804" s="1211"/>
      <c r="S804" s="1211"/>
      <c r="U804" s="1211"/>
      <c r="W804" s="1211"/>
      <c r="Y804" s="1211"/>
      <c r="AB804" s="1258"/>
    </row>
    <row r="805">
      <c r="B805" s="863"/>
      <c r="M805" s="1211"/>
      <c r="O805" s="1211"/>
      <c r="Q805" s="1211"/>
      <c r="S805" s="1211"/>
      <c r="U805" s="1211"/>
      <c r="W805" s="1211"/>
      <c r="Y805" s="1211"/>
      <c r="AB805" s="1258"/>
    </row>
    <row r="806">
      <c r="B806" s="863"/>
      <c r="M806" s="1211"/>
      <c r="O806" s="1211"/>
      <c r="Q806" s="1211"/>
      <c r="S806" s="1211"/>
      <c r="U806" s="1211"/>
      <c r="W806" s="1211"/>
      <c r="Y806" s="1211"/>
      <c r="AB806" s="1258"/>
    </row>
    <row r="807">
      <c r="B807" s="863"/>
      <c r="M807" s="1211"/>
      <c r="O807" s="1211"/>
      <c r="Q807" s="1211"/>
      <c r="S807" s="1211"/>
      <c r="U807" s="1211"/>
      <c r="W807" s="1211"/>
      <c r="Y807" s="1211"/>
      <c r="AB807" s="1258"/>
    </row>
    <row r="808">
      <c r="B808" s="863"/>
      <c r="M808" s="1211"/>
      <c r="O808" s="1211"/>
      <c r="Q808" s="1211"/>
      <c r="S808" s="1211"/>
      <c r="U808" s="1211"/>
      <c r="W808" s="1211"/>
      <c r="Y808" s="1211"/>
      <c r="AB808" s="1258"/>
    </row>
    <row r="809">
      <c r="B809" s="863"/>
      <c r="M809" s="1211"/>
      <c r="O809" s="1211"/>
      <c r="Q809" s="1211"/>
      <c r="S809" s="1211"/>
      <c r="U809" s="1211"/>
      <c r="W809" s="1211"/>
      <c r="Y809" s="1211"/>
      <c r="AB809" s="1258"/>
    </row>
    <row r="810">
      <c r="B810" s="863"/>
      <c r="M810" s="1211"/>
      <c r="O810" s="1211"/>
      <c r="Q810" s="1211"/>
      <c r="S810" s="1211"/>
      <c r="U810" s="1211"/>
      <c r="W810" s="1211"/>
      <c r="Y810" s="1211"/>
      <c r="AB810" s="1258"/>
    </row>
    <row r="811">
      <c r="B811" s="863"/>
      <c r="M811" s="1211"/>
      <c r="O811" s="1211"/>
      <c r="Q811" s="1211"/>
      <c r="S811" s="1211"/>
      <c r="U811" s="1211"/>
      <c r="W811" s="1211"/>
      <c r="Y811" s="1211"/>
      <c r="AB811" s="1258"/>
    </row>
    <row r="812">
      <c r="B812" s="863"/>
      <c r="M812" s="1211"/>
      <c r="O812" s="1211"/>
      <c r="Q812" s="1211"/>
      <c r="S812" s="1211"/>
      <c r="U812" s="1211"/>
      <c r="W812" s="1211"/>
      <c r="Y812" s="1211"/>
      <c r="AB812" s="1258"/>
    </row>
    <row r="813">
      <c r="B813" s="863"/>
      <c r="M813" s="1211"/>
      <c r="O813" s="1211"/>
      <c r="Q813" s="1211"/>
      <c r="S813" s="1211"/>
      <c r="U813" s="1211"/>
      <c r="W813" s="1211"/>
      <c r="Y813" s="1211"/>
      <c r="AB813" s="1258"/>
    </row>
    <row r="814">
      <c r="B814" s="863"/>
      <c r="M814" s="1211"/>
      <c r="O814" s="1211"/>
      <c r="Q814" s="1211"/>
      <c r="S814" s="1211"/>
      <c r="U814" s="1211"/>
      <c r="W814" s="1211"/>
      <c r="Y814" s="1211"/>
      <c r="AB814" s="1258"/>
    </row>
    <row r="815">
      <c r="B815" s="863"/>
      <c r="M815" s="1211"/>
      <c r="O815" s="1211"/>
      <c r="Q815" s="1211"/>
      <c r="S815" s="1211"/>
      <c r="U815" s="1211"/>
      <c r="W815" s="1211"/>
      <c r="Y815" s="1211"/>
      <c r="AB815" s="1258"/>
    </row>
    <row r="816">
      <c r="B816" s="863"/>
      <c r="M816" s="1211"/>
      <c r="O816" s="1211"/>
      <c r="Q816" s="1211"/>
      <c r="S816" s="1211"/>
      <c r="U816" s="1211"/>
      <c r="W816" s="1211"/>
      <c r="Y816" s="1211"/>
      <c r="AB816" s="1258"/>
    </row>
    <row r="817">
      <c r="B817" s="863"/>
      <c r="M817" s="1211"/>
      <c r="O817" s="1211"/>
      <c r="Q817" s="1211"/>
      <c r="S817" s="1211"/>
      <c r="U817" s="1211"/>
      <c r="W817" s="1211"/>
      <c r="Y817" s="1211"/>
      <c r="AB817" s="1258"/>
    </row>
    <row r="818">
      <c r="B818" s="863"/>
      <c r="M818" s="1211"/>
      <c r="O818" s="1211"/>
      <c r="Q818" s="1211"/>
      <c r="S818" s="1211"/>
      <c r="U818" s="1211"/>
      <c r="W818" s="1211"/>
      <c r="Y818" s="1211"/>
      <c r="AB818" s="1258"/>
    </row>
    <row r="819">
      <c r="B819" s="863"/>
      <c r="M819" s="1211"/>
      <c r="O819" s="1211"/>
      <c r="Q819" s="1211"/>
      <c r="S819" s="1211"/>
      <c r="U819" s="1211"/>
      <c r="W819" s="1211"/>
      <c r="Y819" s="1211"/>
      <c r="AB819" s="1258"/>
    </row>
    <row r="820">
      <c r="B820" s="863"/>
      <c r="M820" s="1211"/>
      <c r="O820" s="1211"/>
      <c r="Q820" s="1211"/>
      <c r="S820" s="1211"/>
      <c r="U820" s="1211"/>
      <c r="W820" s="1211"/>
      <c r="Y820" s="1211"/>
      <c r="AB820" s="1258"/>
    </row>
    <row r="821">
      <c r="B821" s="863"/>
      <c r="M821" s="1211"/>
      <c r="O821" s="1211"/>
      <c r="Q821" s="1211"/>
      <c r="S821" s="1211"/>
      <c r="U821" s="1211"/>
      <c r="W821" s="1211"/>
      <c r="Y821" s="1211"/>
      <c r="AB821" s="1258"/>
    </row>
    <row r="822">
      <c r="B822" s="863"/>
      <c r="M822" s="1211"/>
      <c r="O822" s="1211"/>
      <c r="Q822" s="1211"/>
      <c r="S822" s="1211"/>
      <c r="U822" s="1211"/>
      <c r="W822" s="1211"/>
      <c r="Y822" s="1211"/>
      <c r="AB822" s="1258"/>
    </row>
    <row r="823">
      <c r="B823" s="863"/>
      <c r="M823" s="1211"/>
      <c r="O823" s="1211"/>
      <c r="Q823" s="1211"/>
      <c r="S823" s="1211"/>
      <c r="U823" s="1211"/>
      <c r="W823" s="1211"/>
      <c r="Y823" s="1211"/>
      <c r="AB823" s="1258"/>
    </row>
    <row r="824">
      <c r="B824" s="863"/>
      <c r="M824" s="1211"/>
      <c r="O824" s="1211"/>
      <c r="Q824" s="1211"/>
      <c r="S824" s="1211"/>
      <c r="U824" s="1211"/>
      <c r="W824" s="1211"/>
      <c r="Y824" s="1211"/>
      <c r="AB824" s="1258"/>
    </row>
    <row r="825">
      <c r="B825" s="863"/>
      <c r="M825" s="1211"/>
      <c r="O825" s="1211"/>
      <c r="Q825" s="1211"/>
      <c r="S825" s="1211"/>
      <c r="U825" s="1211"/>
      <c r="W825" s="1211"/>
      <c r="Y825" s="1211"/>
      <c r="AB825" s="1258"/>
    </row>
    <row r="826">
      <c r="B826" s="863"/>
      <c r="M826" s="1211"/>
      <c r="O826" s="1211"/>
      <c r="Q826" s="1211"/>
      <c r="S826" s="1211"/>
      <c r="U826" s="1211"/>
      <c r="W826" s="1211"/>
      <c r="Y826" s="1211"/>
      <c r="AB826" s="1258"/>
    </row>
    <row r="827">
      <c r="B827" s="863"/>
      <c r="M827" s="1211"/>
      <c r="O827" s="1211"/>
      <c r="Q827" s="1211"/>
      <c r="S827" s="1211"/>
      <c r="U827" s="1211"/>
      <c r="W827" s="1211"/>
      <c r="Y827" s="1211"/>
      <c r="AB827" s="1258"/>
    </row>
    <row r="828">
      <c r="B828" s="863"/>
      <c r="M828" s="1211"/>
      <c r="O828" s="1211"/>
      <c r="Q828" s="1211"/>
      <c r="S828" s="1211"/>
      <c r="U828" s="1211"/>
      <c r="W828" s="1211"/>
      <c r="Y828" s="1211"/>
      <c r="AB828" s="1258"/>
    </row>
    <row r="829">
      <c r="B829" s="863"/>
      <c r="M829" s="1211"/>
      <c r="O829" s="1211"/>
      <c r="Q829" s="1211"/>
      <c r="S829" s="1211"/>
      <c r="U829" s="1211"/>
      <c r="W829" s="1211"/>
      <c r="Y829" s="1211"/>
      <c r="AB829" s="1258"/>
    </row>
    <row r="830">
      <c r="B830" s="863"/>
      <c r="M830" s="1211"/>
      <c r="O830" s="1211"/>
      <c r="Q830" s="1211"/>
      <c r="S830" s="1211"/>
      <c r="U830" s="1211"/>
      <c r="W830" s="1211"/>
      <c r="Y830" s="1211"/>
      <c r="AB830" s="1258"/>
    </row>
    <row r="831">
      <c r="B831" s="863"/>
      <c r="M831" s="1211"/>
      <c r="O831" s="1211"/>
      <c r="Q831" s="1211"/>
      <c r="S831" s="1211"/>
      <c r="U831" s="1211"/>
      <c r="W831" s="1211"/>
      <c r="Y831" s="1211"/>
      <c r="AB831" s="1258"/>
    </row>
    <row r="832">
      <c r="B832" s="863"/>
      <c r="M832" s="1211"/>
      <c r="O832" s="1211"/>
      <c r="Q832" s="1211"/>
      <c r="S832" s="1211"/>
      <c r="U832" s="1211"/>
      <c r="W832" s="1211"/>
      <c r="Y832" s="1211"/>
      <c r="AB832" s="1258"/>
    </row>
    <row r="833">
      <c r="B833" s="863"/>
      <c r="M833" s="1211"/>
      <c r="O833" s="1211"/>
      <c r="Q833" s="1211"/>
      <c r="S833" s="1211"/>
      <c r="U833" s="1211"/>
      <c r="W833" s="1211"/>
      <c r="Y833" s="1211"/>
      <c r="AB833" s="1258"/>
    </row>
    <row r="834">
      <c r="B834" s="863"/>
      <c r="M834" s="1211"/>
      <c r="O834" s="1211"/>
      <c r="Q834" s="1211"/>
      <c r="S834" s="1211"/>
      <c r="U834" s="1211"/>
      <c r="W834" s="1211"/>
      <c r="Y834" s="1211"/>
      <c r="AB834" s="1258"/>
    </row>
    <row r="835">
      <c r="B835" s="863"/>
      <c r="M835" s="1211"/>
      <c r="O835" s="1211"/>
      <c r="Q835" s="1211"/>
      <c r="S835" s="1211"/>
      <c r="U835" s="1211"/>
      <c r="W835" s="1211"/>
      <c r="Y835" s="1211"/>
      <c r="AB835" s="1258"/>
    </row>
    <row r="836">
      <c r="B836" s="863"/>
      <c r="M836" s="1211"/>
      <c r="O836" s="1211"/>
      <c r="Q836" s="1211"/>
      <c r="S836" s="1211"/>
      <c r="U836" s="1211"/>
      <c r="W836" s="1211"/>
      <c r="Y836" s="1211"/>
      <c r="AB836" s="1258"/>
    </row>
    <row r="837">
      <c r="B837" s="863"/>
      <c r="M837" s="1211"/>
      <c r="O837" s="1211"/>
      <c r="Q837" s="1211"/>
      <c r="S837" s="1211"/>
      <c r="U837" s="1211"/>
      <c r="W837" s="1211"/>
      <c r="Y837" s="1211"/>
      <c r="AB837" s="1258"/>
    </row>
    <row r="838">
      <c r="B838" s="863"/>
      <c r="M838" s="1211"/>
      <c r="O838" s="1211"/>
      <c r="Q838" s="1211"/>
      <c r="S838" s="1211"/>
      <c r="U838" s="1211"/>
      <c r="W838" s="1211"/>
      <c r="Y838" s="1211"/>
      <c r="AB838" s="1258"/>
    </row>
    <row r="839">
      <c r="B839" s="863"/>
      <c r="M839" s="1211"/>
      <c r="O839" s="1211"/>
      <c r="Q839" s="1211"/>
      <c r="S839" s="1211"/>
      <c r="U839" s="1211"/>
      <c r="W839" s="1211"/>
      <c r="Y839" s="1211"/>
      <c r="AB839" s="1258"/>
    </row>
    <row r="840">
      <c r="B840" s="863"/>
      <c r="M840" s="1211"/>
      <c r="O840" s="1211"/>
      <c r="Q840" s="1211"/>
      <c r="S840" s="1211"/>
      <c r="U840" s="1211"/>
      <c r="W840" s="1211"/>
      <c r="Y840" s="1211"/>
      <c r="AB840" s="1258"/>
    </row>
    <row r="841">
      <c r="B841" s="863"/>
      <c r="M841" s="1211"/>
      <c r="O841" s="1211"/>
      <c r="Q841" s="1211"/>
      <c r="S841" s="1211"/>
      <c r="U841" s="1211"/>
      <c r="W841" s="1211"/>
      <c r="Y841" s="1211"/>
      <c r="AB841" s="1258"/>
    </row>
    <row r="842">
      <c r="B842" s="863"/>
      <c r="M842" s="1211"/>
      <c r="O842" s="1211"/>
      <c r="Q842" s="1211"/>
      <c r="S842" s="1211"/>
      <c r="U842" s="1211"/>
      <c r="W842" s="1211"/>
      <c r="Y842" s="1211"/>
      <c r="AB842" s="1258"/>
    </row>
    <row r="843">
      <c r="B843" s="863"/>
      <c r="M843" s="1211"/>
      <c r="O843" s="1211"/>
      <c r="Q843" s="1211"/>
      <c r="S843" s="1211"/>
      <c r="U843" s="1211"/>
      <c r="W843" s="1211"/>
      <c r="Y843" s="1211"/>
      <c r="AB843" s="1258"/>
    </row>
    <row r="844">
      <c r="B844" s="863"/>
      <c r="M844" s="1211"/>
      <c r="O844" s="1211"/>
      <c r="Q844" s="1211"/>
      <c r="S844" s="1211"/>
      <c r="U844" s="1211"/>
      <c r="W844" s="1211"/>
      <c r="Y844" s="1211"/>
      <c r="AB844" s="1258"/>
    </row>
    <row r="845">
      <c r="B845" s="863"/>
      <c r="M845" s="1211"/>
      <c r="O845" s="1211"/>
      <c r="Q845" s="1211"/>
      <c r="S845" s="1211"/>
      <c r="U845" s="1211"/>
      <c r="W845" s="1211"/>
      <c r="Y845" s="1211"/>
      <c r="AB845" s="1258"/>
    </row>
    <row r="846">
      <c r="B846" s="863"/>
      <c r="M846" s="1211"/>
      <c r="O846" s="1211"/>
      <c r="Q846" s="1211"/>
      <c r="S846" s="1211"/>
      <c r="U846" s="1211"/>
      <c r="W846" s="1211"/>
      <c r="Y846" s="1211"/>
      <c r="AB846" s="1258"/>
    </row>
    <row r="847">
      <c r="B847" s="863"/>
      <c r="M847" s="1211"/>
      <c r="O847" s="1211"/>
      <c r="Q847" s="1211"/>
      <c r="S847" s="1211"/>
      <c r="U847" s="1211"/>
      <c r="W847" s="1211"/>
      <c r="Y847" s="1211"/>
      <c r="AB847" s="1258"/>
    </row>
    <row r="848">
      <c r="B848" s="863"/>
      <c r="M848" s="1211"/>
      <c r="O848" s="1211"/>
      <c r="Q848" s="1211"/>
      <c r="S848" s="1211"/>
      <c r="U848" s="1211"/>
      <c r="W848" s="1211"/>
      <c r="Y848" s="1211"/>
      <c r="AB848" s="1258"/>
    </row>
    <row r="849">
      <c r="B849" s="863"/>
      <c r="M849" s="1211"/>
      <c r="O849" s="1211"/>
      <c r="Q849" s="1211"/>
      <c r="S849" s="1211"/>
      <c r="U849" s="1211"/>
      <c r="W849" s="1211"/>
      <c r="Y849" s="1211"/>
      <c r="AB849" s="1258"/>
    </row>
    <row r="850">
      <c r="B850" s="863"/>
      <c r="M850" s="1211"/>
      <c r="O850" s="1211"/>
      <c r="Q850" s="1211"/>
      <c r="S850" s="1211"/>
      <c r="U850" s="1211"/>
      <c r="W850" s="1211"/>
      <c r="Y850" s="1211"/>
      <c r="AB850" s="1258"/>
    </row>
    <row r="851">
      <c r="B851" s="863"/>
      <c r="M851" s="1211"/>
      <c r="O851" s="1211"/>
      <c r="Q851" s="1211"/>
      <c r="S851" s="1211"/>
      <c r="U851" s="1211"/>
      <c r="W851" s="1211"/>
      <c r="Y851" s="1211"/>
      <c r="AB851" s="1258"/>
    </row>
    <row r="852">
      <c r="B852" s="863"/>
      <c r="M852" s="1211"/>
      <c r="O852" s="1211"/>
      <c r="Q852" s="1211"/>
      <c r="S852" s="1211"/>
      <c r="U852" s="1211"/>
      <c r="W852" s="1211"/>
      <c r="Y852" s="1211"/>
      <c r="AB852" s="1258"/>
    </row>
    <row r="853">
      <c r="B853" s="863"/>
      <c r="M853" s="1211"/>
      <c r="O853" s="1211"/>
      <c r="Q853" s="1211"/>
      <c r="S853" s="1211"/>
      <c r="U853" s="1211"/>
      <c r="W853" s="1211"/>
      <c r="Y853" s="1211"/>
      <c r="AB853" s="1258"/>
    </row>
    <row r="854">
      <c r="B854" s="863"/>
      <c r="M854" s="1211"/>
      <c r="O854" s="1211"/>
      <c r="Q854" s="1211"/>
      <c r="S854" s="1211"/>
      <c r="U854" s="1211"/>
      <c r="W854" s="1211"/>
      <c r="Y854" s="1211"/>
      <c r="AB854" s="1258"/>
    </row>
    <row r="855">
      <c r="B855" s="863"/>
      <c r="M855" s="1211"/>
      <c r="O855" s="1211"/>
      <c r="Q855" s="1211"/>
      <c r="S855" s="1211"/>
      <c r="U855" s="1211"/>
      <c r="W855" s="1211"/>
      <c r="Y855" s="1211"/>
      <c r="AB855" s="1258"/>
    </row>
    <row r="856">
      <c r="B856" s="863"/>
      <c r="M856" s="1211"/>
      <c r="O856" s="1211"/>
      <c r="Q856" s="1211"/>
      <c r="S856" s="1211"/>
      <c r="U856" s="1211"/>
      <c r="W856" s="1211"/>
      <c r="Y856" s="1211"/>
      <c r="AB856" s="1258"/>
    </row>
    <row r="857">
      <c r="B857" s="863"/>
      <c r="M857" s="1211"/>
      <c r="O857" s="1211"/>
      <c r="Q857" s="1211"/>
      <c r="S857" s="1211"/>
      <c r="U857" s="1211"/>
      <c r="W857" s="1211"/>
      <c r="Y857" s="1211"/>
      <c r="AB857" s="1258"/>
    </row>
    <row r="858">
      <c r="B858" s="863"/>
      <c r="M858" s="1211"/>
      <c r="O858" s="1211"/>
      <c r="Q858" s="1211"/>
      <c r="S858" s="1211"/>
      <c r="U858" s="1211"/>
      <c r="W858" s="1211"/>
      <c r="Y858" s="1211"/>
      <c r="AB858" s="1258"/>
    </row>
    <row r="859">
      <c r="B859" s="863"/>
      <c r="M859" s="1211"/>
      <c r="O859" s="1211"/>
      <c r="Q859" s="1211"/>
      <c r="S859" s="1211"/>
      <c r="U859" s="1211"/>
      <c r="W859" s="1211"/>
      <c r="Y859" s="1211"/>
      <c r="AB859" s="1258"/>
    </row>
    <row r="860">
      <c r="B860" s="863"/>
      <c r="M860" s="1211"/>
      <c r="O860" s="1211"/>
      <c r="Q860" s="1211"/>
      <c r="S860" s="1211"/>
      <c r="U860" s="1211"/>
      <c r="W860" s="1211"/>
      <c r="Y860" s="1211"/>
      <c r="AB860" s="1258"/>
    </row>
    <row r="861">
      <c r="B861" s="863"/>
      <c r="M861" s="1211"/>
      <c r="O861" s="1211"/>
      <c r="Q861" s="1211"/>
      <c r="S861" s="1211"/>
      <c r="U861" s="1211"/>
      <c r="W861" s="1211"/>
      <c r="Y861" s="1211"/>
      <c r="AB861" s="1258"/>
    </row>
    <row r="862">
      <c r="B862" s="863"/>
      <c r="M862" s="1211"/>
      <c r="O862" s="1211"/>
      <c r="Q862" s="1211"/>
      <c r="S862" s="1211"/>
      <c r="U862" s="1211"/>
      <c r="W862" s="1211"/>
      <c r="Y862" s="1211"/>
      <c r="AB862" s="1258"/>
    </row>
    <row r="863">
      <c r="B863" s="863"/>
      <c r="M863" s="1211"/>
      <c r="O863" s="1211"/>
      <c r="Q863" s="1211"/>
      <c r="S863" s="1211"/>
      <c r="U863" s="1211"/>
      <c r="W863" s="1211"/>
      <c r="Y863" s="1211"/>
      <c r="AB863" s="1258"/>
    </row>
    <row r="864">
      <c r="B864" s="863"/>
      <c r="M864" s="1211"/>
      <c r="O864" s="1211"/>
      <c r="Q864" s="1211"/>
      <c r="S864" s="1211"/>
      <c r="U864" s="1211"/>
      <c r="W864" s="1211"/>
      <c r="Y864" s="1211"/>
      <c r="AB864" s="1258"/>
    </row>
    <row r="865">
      <c r="B865" s="863"/>
      <c r="M865" s="1211"/>
      <c r="O865" s="1211"/>
      <c r="Q865" s="1211"/>
      <c r="S865" s="1211"/>
      <c r="U865" s="1211"/>
      <c r="W865" s="1211"/>
      <c r="Y865" s="1211"/>
      <c r="AB865" s="1258"/>
    </row>
    <row r="866">
      <c r="B866" s="863"/>
      <c r="M866" s="1211"/>
      <c r="O866" s="1211"/>
      <c r="Q866" s="1211"/>
      <c r="S866" s="1211"/>
      <c r="U866" s="1211"/>
      <c r="W866" s="1211"/>
      <c r="Y866" s="1211"/>
      <c r="AB866" s="1258"/>
    </row>
    <row r="867">
      <c r="B867" s="863"/>
      <c r="M867" s="1211"/>
      <c r="O867" s="1211"/>
      <c r="Q867" s="1211"/>
      <c r="S867" s="1211"/>
      <c r="U867" s="1211"/>
      <c r="W867" s="1211"/>
      <c r="Y867" s="1211"/>
      <c r="AB867" s="1258"/>
    </row>
    <row r="868">
      <c r="B868" s="863"/>
      <c r="M868" s="1211"/>
      <c r="O868" s="1211"/>
      <c r="Q868" s="1211"/>
      <c r="S868" s="1211"/>
      <c r="U868" s="1211"/>
      <c r="W868" s="1211"/>
      <c r="Y868" s="1211"/>
      <c r="AB868" s="1258"/>
    </row>
    <row r="869">
      <c r="B869" s="863"/>
      <c r="M869" s="1211"/>
      <c r="O869" s="1211"/>
      <c r="Q869" s="1211"/>
      <c r="S869" s="1211"/>
      <c r="U869" s="1211"/>
      <c r="W869" s="1211"/>
      <c r="Y869" s="1211"/>
      <c r="AB869" s="1258"/>
    </row>
    <row r="870">
      <c r="B870" s="863"/>
      <c r="M870" s="1211"/>
      <c r="O870" s="1211"/>
      <c r="Q870" s="1211"/>
      <c r="S870" s="1211"/>
      <c r="U870" s="1211"/>
      <c r="W870" s="1211"/>
      <c r="Y870" s="1211"/>
      <c r="AB870" s="1258"/>
    </row>
    <row r="871">
      <c r="B871" s="863"/>
      <c r="M871" s="1211"/>
      <c r="O871" s="1211"/>
      <c r="Q871" s="1211"/>
      <c r="S871" s="1211"/>
      <c r="U871" s="1211"/>
      <c r="W871" s="1211"/>
      <c r="Y871" s="1211"/>
      <c r="AB871" s="1258"/>
    </row>
    <row r="872">
      <c r="B872" s="863"/>
      <c r="M872" s="1211"/>
      <c r="O872" s="1211"/>
      <c r="Q872" s="1211"/>
      <c r="S872" s="1211"/>
      <c r="U872" s="1211"/>
      <c r="W872" s="1211"/>
      <c r="Y872" s="1211"/>
      <c r="AB872" s="1258"/>
    </row>
    <row r="873">
      <c r="B873" s="863"/>
      <c r="M873" s="1211"/>
      <c r="O873" s="1211"/>
      <c r="Q873" s="1211"/>
      <c r="S873" s="1211"/>
      <c r="U873" s="1211"/>
      <c r="W873" s="1211"/>
      <c r="Y873" s="1211"/>
      <c r="AB873" s="1258"/>
    </row>
    <row r="874">
      <c r="B874" s="863"/>
      <c r="M874" s="1211"/>
      <c r="O874" s="1211"/>
      <c r="Q874" s="1211"/>
      <c r="S874" s="1211"/>
      <c r="U874" s="1211"/>
      <c r="W874" s="1211"/>
      <c r="Y874" s="1211"/>
      <c r="AB874" s="1258"/>
    </row>
    <row r="875">
      <c r="B875" s="863"/>
      <c r="M875" s="1211"/>
      <c r="O875" s="1211"/>
      <c r="Q875" s="1211"/>
      <c r="S875" s="1211"/>
      <c r="U875" s="1211"/>
      <c r="W875" s="1211"/>
      <c r="Y875" s="1211"/>
      <c r="AB875" s="1258"/>
    </row>
    <row r="876">
      <c r="B876" s="863"/>
      <c r="M876" s="1211"/>
      <c r="O876" s="1211"/>
      <c r="Q876" s="1211"/>
      <c r="S876" s="1211"/>
      <c r="U876" s="1211"/>
      <c r="W876" s="1211"/>
      <c r="Y876" s="1211"/>
      <c r="AB876" s="1258"/>
    </row>
    <row r="877">
      <c r="B877" s="863"/>
      <c r="M877" s="1211"/>
      <c r="O877" s="1211"/>
      <c r="Q877" s="1211"/>
      <c r="S877" s="1211"/>
      <c r="U877" s="1211"/>
      <c r="W877" s="1211"/>
      <c r="Y877" s="1211"/>
      <c r="AB877" s="1258"/>
    </row>
    <row r="878">
      <c r="B878" s="863"/>
      <c r="M878" s="1211"/>
      <c r="O878" s="1211"/>
      <c r="Q878" s="1211"/>
      <c r="S878" s="1211"/>
      <c r="U878" s="1211"/>
      <c r="W878" s="1211"/>
      <c r="Y878" s="1211"/>
      <c r="AB878" s="1258"/>
    </row>
    <row r="879">
      <c r="B879" s="863"/>
      <c r="M879" s="1211"/>
      <c r="O879" s="1211"/>
      <c r="Q879" s="1211"/>
      <c r="S879" s="1211"/>
      <c r="U879" s="1211"/>
      <c r="W879" s="1211"/>
      <c r="Y879" s="1211"/>
      <c r="AB879" s="1258"/>
    </row>
    <row r="880">
      <c r="B880" s="863"/>
      <c r="M880" s="1211"/>
      <c r="O880" s="1211"/>
      <c r="Q880" s="1211"/>
      <c r="S880" s="1211"/>
      <c r="U880" s="1211"/>
      <c r="W880" s="1211"/>
      <c r="Y880" s="1211"/>
      <c r="AB880" s="1258"/>
    </row>
    <row r="881">
      <c r="B881" s="863"/>
      <c r="M881" s="1211"/>
      <c r="O881" s="1211"/>
      <c r="Q881" s="1211"/>
      <c r="S881" s="1211"/>
      <c r="U881" s="1211"/>
      <c r="W881" s="1211"/>
      <c r="Y881" s="1211"/>
      <c r="AB881" s="1258"/>
    </row>
    <row r="882">
      <c r="B882" s="863"/>
      <c r="M882" s="1211"/>
      <c r="O882" s="1211"/>
      <c r="Q882" s="1211"/>
      <c r="S882" s="1211"/>
      <c r="U882" s="1211"/>
      <c r="W882" s="1211"/>
      <c r="Y882" s="1211"/>
      <c r="AB882" s="1258"/>
    </row>
    <row r="883">
      <c r="B883" s="863"/>
      <c r="M883" s="1211"/>
      <c r="O883" s="1211"/>
      <c r="Q883" s="1211"/>
      <c r="S883" s="1211"/>
      <c r="U883" s="1211"/>
      <c r="W883" s="1211"/>
      <c r="Y883" s="1211"/>
      <c r="AB883" s="1258"/>
    </row>
    <row r="884">
      <c r="B884" s="863"/>
      <c r="M884" s="1211"/>
      <c r="O884" s="1211"/>
      <c r="Q884" s="1211"/>
      <c r="S884" s="1211"/>
      <c r="U884" s="1211"/>
      <c r="W884" s="1211"/>
      <c r="Y884" s="1211"/>
      <c r="AB884" s="1258"/>
    </row>
    <row r="885">
      <c r="B885" s="863"/>
      <c r="M885" s="1211"/>
      <c r="O885" s="1211"/>
      <c r="Q885" s="1211"/>
      <c r="S885" s="1211"/>
      <c r="U885" s="1211"/>
      <c r="W885" s="1211"/>
      <c r="Y885" s="1211"/>
      <c r="AB885" s="1258"/>
    </row>
    <row r="886">
      <c r="B886" s="863"/>
      <c r="M886" s="1211"/>
      <c r="O886" s="1211"/>
      <c r="Q886" s="1211"/>
      <c r="S886" s="1211"/>
      <c r="U886" s="1211"/>
      <c r="W886" s="1211"/>
      <c r="Y886" s="1211"/>
      <c r="AB886" s="1258"/>
    </row>
    <row r="887">
      <c r="B887" s="863"/>
      <c r="M887" s="1211"/>
      <c r="O887" s="1211"/>
      <c r="Q887" s="1211"/>
      <c r="S887" s="1211"/>
      <c r="U887" s="1211"/>
      <c r="W887" s="1211"/>
      <c r="Y887" s="1211"/>
      <c r="AB887" s="1258"/>
    </row>
    <row r="888">
      <c r="B888" s="863"/>
      <c r="M888" s="1211"/>
      <c r="O888" s="1211"/>
      <c r="Q888" s="1211"/>
      <c r="S888" s="1211"/>
      <c r="U888" s="1211"/>
      <c r="W888" s="1211"/>
      <c r="Y888" s="1211"/>
      <c r="AB888" s="1258"/>
    </row>
    <row r="889">
      <c r="B889" s="863"/>
      <c r="M889" s="1211"/>
      <c r="O889" s="1211"/>
      <c r="Q889" s="1211"/>
      <c r="S889" s="1211"/>
      <c r="U889" s="1211"/>
      <c r="W889" s="1211"/>
      <c r="Y889" s="1211"/>
      <c r="AB889" s="1258"/>
    </row>
    <row r="890">
      <c r="B890" s="863"/>
      <c r="M890" s="1211"/>
      <c r="O890" s="1211"/>
      <c r="Q890" s="1211"/>
      <c r="S890" s="1211"/>
      <c r="U890" s="1211"/>
      <c r="W890" s="1211"/>
      <c r="Y890" s="1211"/>
      <c r="AB890" s="1258"/>
    </row>
    <row r="891">
      <c r="B891" s="863"/>
      <c r="M891" s="1211"/>
      <c r="O891" s="1211"/>
      <c r="Q891" s="1211"/>
      <c r="S891" s="1211"/>
      <c r="U891" s="1211"/>
      <c r="W891" s="1211"/>
      <c r="Y891" s="1211"/>
      <c r="AB891" s="1258"/>
    </row>
    <row r="892">
      <c r="B892" s="863"/>
      <c r="M892" s="1211"/>
      <c r="O892" s="1211"/>
      <c r="Q892" s="1211"/>
      <c r="S892" s="1211"/>
      <c r="U892" s="1211"/>
      <c r="W892" s="1211"/>
      <c r="Y892" s="1211"/>
      <c r="AB892" s="1258"/>
    </row>
    <row r="893">
      <c r="B893" s="863"/>
      <c r="M893" s="1211"/>
      <c r="O893" s="1211"/>
      <c r="Q893" s="1211"/>
      <c r="S893" s="1211"/>
      <c r="U893" s="1211"/>
      <c r="W893" s="1211"/>
      <c r="Y893" s="1211"/>
      <c r="AB893" s="1258"/>
    </row>
    <row r="894">
      <c r="B894" s="863"/>
      <c r="M894" s="1211"/>
      <c r="O894" s="1211"/>
      <c r="Q894" s="1211"/>
      <c r="S894" s="1211"/>
      <c r="U894" s="1211"/>
      <c r="W894" s="1211"/>
      <c r="Y894" s="1211"/>
      <c r="AB894" s="1258"/>
    </row>
    <row r="895">
      <c r="B895" s="863"/>
      <c r="M895" s="1211"/>
      <c r="O895" s="1211"/>
      <c r="Q895" s="1211"/>
      <c r="S895" s="1211"/>
      <c r="U895" s="1211"/>
      <c r="W895" s="1211"/>
      <c r="Y895" s="1211"/>
      <c r="AB895" s="1258"/>
    </row>
    <row r="896">
      <c r="B896" s="863"/>
      <c r="M896" s="1211"/>
      <c r="O896" s="1211"/>
      <c r="Q896" s="1211"/>
      <c r="S896" s="1211"/>
      <c r="U896" s="1211"/>
      <c r="W896" s="1211"/>
      <c r="Y896" s="1211"/>
      <c r="AB896" s="1258"/>
    </row>
    <row r="897">
      <c r="B897" s="863"/>
      <c r="M897" s="1211"/>
      <c r="O897" s="1211"/>
      <c r="Q897" s="1211"/>
      <c r="S897" s="1211"/>
      <c r="U897" s="1211"/>
      <c r="W897" s="1211"/>
      <c r="Y897" s="1211"/>
      <c r="AB897" s="1258"/>
    </row>
    <row r="898">
      <c r="B898" s="863"/>
      <c r="M898" s="1211"/>
      <c r="O898" s="1211"/>
      <c r="Q898" s="1211"/>
      <c r="S898" s="1211"/>
      <c r="U898" s="1211"/>
      <c r="W898" s="1211"/>
      <c r="Y898" s="1211"/>
      <c r="AB898" s="1258"/>
    </row>
    <row r="899">
      <c r="B899" s="863"/>
      <c r="M899" s="1211"/>
      <c r="O899" s="1211"/>
      <c r="Q899" s="1211"/>
      <c r="S899" s="1211"/>
      <c r="U899" s="1211"/>
      <c r="W899" s="1211"/>
      <c r="Y899" s="1211"/>
      <c r="AB899" s="1258"/>
    </row>
    <row r="900">
      <c r="B900" s="863"/>
      <c r="M900" s="1211"/>
      <c r="O900" s="1211"/>
      <c r="Q900" s="1211"/>
      <c r="S900" s="1211"/>
      <c r="U900" s="1211"/>
      <c r="W900" s="1211"/>
      <c r="Y900" s="1211"/>
      <c r="AB900" s="1258"/>
    </row>
    <row r="901">
      <c r="B901" s="863"/>
      <c r="M901" s="1211"/>
      <c r="O901" s="1211"/>
      <c r="Q901" s="1211"/>
      <c r="S901" s="1211"/>
      <c r="U901" s="1211"/>
      <c r="W901" s="1211"/>
      <c r="Y901" s="1211"/>
      <c r="AB901" s="1258"/>
    </row>
    <row r="902">
      <c r="B902" s="863"/>
      <c r="M902" s="1211"/>
      <c r="O902" s="1211"/>
      <c r="Q902" s="1211"/>
      <c r="S902" s="1211"/>
      <c r="U902" s="1211"/>
      <c r="W902" s="1211"/>
      <c r="Y902" s="1211"/>
      <c r="AB902" s="1258"/>
    </row>
    <row r="903">
      <c r="B903" s="863"/>
      <c r="M903" s="1211"/>
      <c r="O903" s="1211"/>
      <c r="Q903" s="1211"/>
      <c r="S903" s="1211"/>
      <c r="U903" s="1211"/>
      <c r="W903" s="1211"/>
      <c r="Y903" s="1211"/>
      <c r="AB903" s="1258"/>
    </row>
    <row r="904">
      <c r="B904" s="863"/>
      <c r="M904" s="1211"/>
      <c r="O904" s="1211"/>
      <c r="Q904" s="1211"/>
      <c r="S904" s="1211"/>
      <c r="U904" s="1211"/>
      <c r="W904" s="1211"/>
      <c r="Y904" s="1211"/>
      <c r="AB904" s="1258"/>
    </row>
    <row r="905">
      <c r="B905" s="863"/>
      <c r="M905" s="1211"/>
      <c r="O905" s="1211"/>
      <c r="Q905" s="1211"/>
      <c r="S905" s="1211"/>
      <c r="U905" s="1211"/>
      <c r="W905" s="1211"/>
      <c r="Y905" s="1211"/>
      <c r="AB905" s="1258"/>
    </row>
    <row r="906">
      <c r="B906" s="863"/>
      <c r="M906" s="1211"/>
      <c r="O906" s="1211"/>
      <c r="Q906" s="1211"/>
      <c r="S906" s="1211"/>
      <c r="U906" s="1211"/>
      <c r="W906" s="1211"/>
      <c r="Y906" s="1211"/>
      <c r="AB906" s="1258"/>
    </row>
    <row r="907">
      <c r="B907" s="863"/>
      <c r="M907" s="1211"/>
      <c r="O907" s="1211"/>
      <c r="Q907" s="1211"/>
      <c r="S907" s="1211"/>
      <c r="U907" s="1211"/>
      <c r="W907" s="1211"/>
      <c r="Y907" s="1211"/>
      <c r="AB907" s="1258"/>
    </row>
    <row r="908">
      <c r="B908" s="863"/>
      <c r="M908" s="1211"/>
      <c r="O908" s="1211"/>
      <c r="Q908" s="1211"/>
      <c r="S908" s="1211"/>
      <c r="U908" s="1211"/>
      <c r="W908" s="1211"/>
      <c r="Y908" s="1211"/>
      <c r="AB908" s="1258"/>
    </row>
    <row r="909">
      <c r="B909" s="863"/>
      <c r="M909" s="1211"/>
      <c r="O909" s="1211"/>
      <c r="Q909" s="1211"/>
      <c r="S909" s="1211"/>
      <c r="U909" s="1211"/>
      <c r="W909" s="1211"/>
      <c r="Y909" s="1211"/>
      <c r="AB909" s="1258"/>
    </row>
    <row r="910">
      <c r="B910" s="863"/>
      <c r="M910" s="1211"/>
      <c r="O910" s="1211"/>
      <c r="Q910" s="1211"/>
      <c r="S910" s="1211"/>
      <c r="U910" s="1211"/>
      <c r="W910" s="1211"/>
      <c r="Y910" s="1211"/>
      <c r="AB910" s="1258"/>
    </row>
    <row r="911">
      <c r="B911" s="863"/>
      <c r="M911" s="1211"/>
      <c r="O911" s="1211"/>
      <c r="Q911" s="1211"/>
      <c r="S911" s="1211"/>
      <c r="U911" s="1211"/>
      <c r="W911" s="1211"/>
      <c r="Y911" s="1211"/>
      <c r="AB911" s="1258"/>
    </row>
    <row r="912">
      <c r="B912" s="863"/>
      <c r="M912" s="1211"/>
      <c r="O912" s="1211"/>
      <c r="Q912" s="1211"/>
      <c r="S912" s="1211"/>
      <c r="U912" s="1211"/>
      <c r="W912" s="1211"/>
      <c r="Y912" s="1211"/>
      <c r="AB912" s="1258"/>
    </row>
    <row r="913">
      <c r="B913" s="863"/>
      <c r="M913" s="1211"/>
      <c r="O913" s="1211"/>
      <c r="Q913" s="1211"/>
      <c r="S913" s="1211"/>
      <c r="U913" s="1211"/>
      <c r="W913" s="1211"/>
      <c r="Y913" s="1211"/>
      <c r="AB913" s="1258"/>
    </row>
    <row r="914">
      <c r="B914" s="863"/>
      <c r="M914" s="1211"/>
      <c r="O914" s="1211"/>
      <c r="Q914" s="1211"/>
      <c r="S914" s="1211"/>
      <c r="U914" s="1211"/>
      <c r="W914" s="1211"/>
      <c r="Y914" s="1211"/>
      <c r="AB914" s="1258"/>
    </row>
    <row r="915">
      <c r="B915" s="863"/>
      <c r="M915" s="1211"/>
      <c r="O915" s="1211"/>
      <c r="Q915" s="1211"/>
      <c r="S915" s="1211"/>
      <c r="U915" s="1211"/>
      <c r="W915" s="1211"/>
      <c r="Y915" s="1211"/>
      <c r="AB915" s="1258"/>
    </row>
    <row r="916">
      <c r="B916" s="863"/>
      <c r="M916" s="1211"/>
      <c r="O916" s="1211"/>
      <c r="Q916" s="1211"/>
      <c r="S916" s="1211"/>
      <c r="U916" s="1211"/>
      <c r="W916" s="1211"/>
      <c r="Y916" s="1211"/>
      <c r="AB916" s="1258"/>
    </row>
    <row r="917">
      <c r="B917" s="863"/>
      <c r="M917" s="1211"/>
      <c r="O917" s="1211"/>
      <c r="Q917" s="1211"/>
      <c r="S917" s="1211"/>
      <c r="U917" s="1211"/>
      <c r="W917" s="1211"/>
      <c r="Y917" s="1211"/>
      <c r="AB917" s="1258"/>
    </row>
    <row r="918">
      <c r="B918" s="863"/>
      <c r="M918" s="1211"/>
      <c r="O918" s="1211"/>
      <c r="Q918" s="1211"/>
      <c r="S918" s="1211"/>
      <c r="U918" s="1211"/>
      <c r="W918" s="1211"/>
      <c r="Y918" s="1211"/>
      <c r="AB918" s="1258"/>
    </row>
    <row r="919">
      <c r="B919" s="863"/>
      <c r="M919" s="1211"/>
      <c r="O919" s="1211"/>
      <c r="Q919" s="1211"/>
      <c r="S919" s="1211"/>
      <c r="U919" s="1211"/>
      <c r="W919" s="1211"/>
      <c r="Y919" s="1211"/>
      <c r="AB919" s="1258"/>
    </row>
    <row r="920">
      <c r="B920" s="863"/>
      <c r="M920" s="1211"/>
      <c r="O920" s="1211"/>
      <c r="Q920" s="1211"/>
      <c r="S920" s="1211"/>
      <c r="U920" s="1211"/>
      <c r="W920" s="1211"/>
      <c r="Y920" s="1211"/>
      <c r="AB920" s="1258"/>
    </row>
    <row r="921">
      <c r="B921" s="863"/>
      <c r="M921" s="1211"/>
      <c r="O921" s="1211"/>
      <c r="Q921" s="1211"/>
      <c r="S921" s="1211"/>
      <c r="U921" s="1211"/>
      <c r="W921" s="1211"/>
      <c r="Y921" s="1211"/>
      <c r="AB921" s="1258"/>
    </row>
    <row r="922">
      <c r="B922" s="863"/>
      <c r="M922" s="1211"/>
      <c r="O922" s="1211"/>
      <c r="Q922" s="1211"/>
      <c r="S922" s="1211"/>
      <c r="U922" s="1211"/>
      <c r="W922" s="1211"/>
      <c r="Y922" s="1211"/>
      <c r="AB922" s="1258"/>
    </row>
    <row r="923">
      <c r="B923" s="863"/>
      <c r="M923" s="1211"/>
      <c r="O923" s="1211"/>
      <c r="Q923" s="1211"/>
      <c r="S923" s="1211"/>
      <c r="U923" s="1211"/>
      <c r="W923" s="1211"/>
      <c r="Y923" s="1211"/>
      <c r="AB923" s="1258"/>
    </row>
    <row r="924">
      <c r="B924" s="863"/>
      <c r="M924" s="1211"/>
      <c r="O924" s="1211"/>
      <c r="Q924" s="1211"/>
      <c r="S924" s="1211"/>
      <c r="U924" s="1211"/>
      <c r="W924" s="1211"/>
      <c r="Y924" s="1211"/>
      <c r="AB924" s="1258"/>
    </row>
    <row r="925">
      <c r="B925" s="863"/>
      <c r="M925" s="1211"/>
      <c r="O925" s="1211"/>
      <c r="Q925" s="1211"/>
      <c r="S925" s="1211"/>
      <c r="U925" s="1211"/>
      <c r="W925" s="1211"/>
      <c r="Y925" s="1211"/>
      <c r="AB925" s="1258"/>
    </row>
    <row r="926">
      <c r="B926" s="863"/>
      <c r="M926" s="1211"/>
      <c r="O926" s="1211"/>
      <c r="Q926" s="1211"/>
      <c r="S926" s="1211"/>
      <c r="U926" s="1211"/>
      <c r="W926" s="1211"/>
      <c r="Y926" s="1211"/>
      <c r="AB926" s="1258"/>
    </row>
    <row r="927">
      <c r="B927" s="863"/>
      <c r="M927" s="1211"/>
      <c r="O927" s="1211"/>
      <c r="Q927" s="1211"/>
      <c r="S927" s="1211"/>
      <c r="U927" s="1211"/>
      <c r="W927" s="1211"/>
      <c r="Y927" s="1211"/>
      <c r="AB927" s="1258"/>
    </row>
    <row r="928">
      <c r="B928" s="863"/>
      <c r="M928" s="1211"/>
      <c r="O928" s="1211"/>
      <c r="Q928" s="1211"/>
      <c r="S928" s="1211"/>
      <c r="U928" s="1211"/>
      <c r="W928" s="1211"/>
      <c r="Y928" s="1211"/>
      <c r="AB928" s="1258"/>
    </row>
    <row r="929">
      <c r="B929" s="863"/>
      <c r="M929" s="1211"/>
      <c r="O929" s="1211"/>
      <c r="Q929" s="1211"/>
      <c r="S929" s="1211"/>
      <c r="U929" s="1211"/>
      <c r="W929" s="1211"/>
      <c r="Y929" s="1211"/>
      <c r="AB929" s="1258"/>
    </row>
    <row r="930">
      <c r="B930" s="863"/>
      <c r="M930" s="1211"/>
      <c r="O930" s="1211"/>
      <c r="Q930" s="1211"/>
      <c r="S930" s="1211"/>
      <c r="U930" s="1211"/>
      <c r="W930" s="1211"/>
      <c r="Y930" s="1211"/>
      <c r="AB930" s="1258"/>
    </row>
    <row r="931">
      <c r="B931" s="863"/>
      <c r="M931" s="1211"/>
      <c r="O931" s="1211"/>
      <c r="Q931" s="1211"/>
      <c r="S931" s="1211"/>
      <c r="U931" s="1211"/>
      <c r="W931" s="1211"/>
      <c r="Y931" s="1211"/>
      <c r="AB931" s="1258"/>
    </row>
    <row r="932">
      <c r="B932" s="863"/>
      <c r="M932" s="1211"/>
      <c r="O932" s="1211"/>
      <c r="Q932" s="1211"/>
      <c r="S932" s="1211"/>
      <c r="U932" s="1211"/>
      <c r="W932" s="1211"/>
      <c r="Y932" s="1211"/>
      <c r="AB932" s="1258"/>
    </row>
    <row r="933">
      <c r="B933" s="863"/>
      <c r="M933" s="1211"/>
      <c r="O933" s="1211"/>
      <c r="Q933" s="1211"/>
      <c r="S933" s="1211"/>
      <c r="U933" s="1211"/>
      <c r="W933" s="1211"/>
      <c r="Y933" s="1211"/>
      <c r="AB933" s="1258"/>
    </row>
    <row r="934">
      <c r="B934" s="863"/>
      <c r="M934" s="1211"/>
      <c r="O934" s="1211"/>
      <c r="Q934" s="1211"/>
      <c r="S934" s="1211"/>
      <c r="U934" s="1211"/>
      <c r="W934" s="1211"/>
      <c r="Y934" s="1211"/>
      <c r="AB934" s="1258"/>
    </row>
    <row r="935">
      <c r="B935" s="863"/>
      <c r="M935" s="1211"/>
      <c r="O935" s="1211"/>
      <c r="Q935" s="1211"/>
      <c r="S935" s="1211"/>
      <c r="U935" s="1211"/>
      <c r="W935" s="1211"/>
      <c r="Y935" s="1211"/>
      <c r="AB935" s="1258"/>
    </row>
    <row r="936">
      <c r="B936" s="863"/>
      <c r="M936" s="1211"/>
      <c r="O936" s="1211"/>
      <c r="Q936" s="1211"/>
      <c r="S936" s="1211"/>
      <c r="U936" s="1211"/>
      <c r="W936" s="1211"/>
      <c r="Y936" s="1211"/>
      <c r="AB936" s="1258"/>
    </row>
    <row r="937">
      <c r="B937" s="863"/>
      <c r="M937" s="1211"/>
      <c r="O937" s="1211"/>
      <c r="Q937" s="1211"/>
      <c r="S937" s="1211"/>
      <c r="U937" s="1211"/>
      <c r="W937" s="1211"/>
      <c r="Y937" s="1211"/>
      <c r="AB937" s="1258"/>
    </row>
    <row r="938">
      <c r="B938" s="863"/>
      <c r="M938" s="1211"/>
      <c r="O938" s="1211"/>
      <c r="Q938" s="1211"/>
      <c r="S938" s="1211"/>
      <c r="U938" s="1211"/>
      <c r="W938" s="1211"/>
      <c r="Y938" s="1211"/>
      <c r="AB938" s="1258"/>
    </row>
    <row r="939">
      <c r="B939" s="863"/>
      <c r="M939" s="1211"/>
      <c r="O939" s="1211"/>
      <c r="Q939" s="1211"/>
      <c r="S939" s="1211"/>
      <c r="U939" s="1211"/>
      <c r="W939" s="1211"/>
      <c r="Y939" s="1211"/>
      <c r="AB939" s="1258"/>
    </row>
    <row r="940">
      <c r="B940" s="863"/>
      <c r="M940" s="1211"/>
      <c r="O940" s="1211"/>
      <c r="Q940" s="1211"/>
      <c r="S940" s="1211"/>
      <c r="U940" s="1211"/>
      <c r="W940" s="1211"/>
      <c r="Y940" s="1211"/>
      <c r="AB940" s="1258"/>
    </row>
    <row r="941">
      <c r="B941" s="863"/>
      <c r="M941" s="1211"/>
      <c r="O941" s="1211"/>
      <c r="Q941" s="1211"/>
      <c r="S941" s="1211"/>
      <c r="U941" s="1211"/>
      <c r="W941" s="1211"/>
      <c r="Y941" s="1211"/>
      <c r="AB941" s="1258"/>
    </row>
    <row r="942">
      <c r="B942" s="863"/>
      <c r="M942" s="1211"/>
      <c r="O942" s="1211"/>
      <c r="Q942" s="1211"/>
      <c r="S942" s="1211"/>
      <c r="U942" s="1211"/>
      <c r="W942" s="1211"/>
      <c r="Y942" s="1211"/>
      <c r="AB942" s="1258"/>
    </row>
    <row r="943">
      <c r="B943" s="863"/>
      <c r="M943" s="1211"/>
      <c r="O943" s="1211"/>
      <c r="Q943" s="1211"/>
      <c r="S943" s="1211"/>
      <c r="U943" s="1211"/>
      <c r="W943" s="1211"/>
      <c r="Y943" s="1211"/>
      <c r="AB943" s="1258"/>
    </row>
    <row r="944">
      <c r="B944" s="863"/>
      <c r="M944" s="1211"/>
      <c r="O944" s="1211"/>
      <c r="Q944" s="1211"/>
      <c r="S944" s="1211"/>
      <c r="U944" s="1211"/>
      <c r="W944" s="1211"/>
      <c r="Y944" s="1211"/>
      <c r="AB944" s="1258"/>
    </row>
    <row r="945">
      <c r="B945" s="863"/>
      <c r="M945" s="1211"/>
      <c r="O945" s="1211"/>
      <c r="Q945" s="1211"/>
      <c r="S945" s="1211"/>
      <c r="U945" s="1211"/>
      <c r="W945" s="1211"/>
      <c r="Y945" s="1211"/>
      <c r="AB945" s="1258"/>
    </row>
    <row r="946">
      <c r="B946" s="863"/>
      <c r="M946" s="1211"/>
      <c r="O946" s="1211"/>
      <c r="Q946" s="1211"/>
      <c r="S946" s="1211"/>
      <c r="U946" s="1211"/>
      <c r="W946" s="1211"/>
      <c r="Y946" s="1211"/>
      <c r="AB946" s="1258"/>
    </row>
    <row r="947">
      <c r="B947" s="863"/>
      <c r="M947" s="1211"/>
      <c r="O947" s="1211"/>
      <c r="Q947" s="1211"/>
      <c r="S947" s="1211"/>
      <c r="U947" s="1211"/>
      <c r="W947" s="1211"/>
      <c r="Y947" s="1211"/>
      <c r="AB947" s="1258"/>
    </row>
    <row r="948">
      <c r="B948" s="863"/>
      <c r="M948" s="1211"/>
      <c r="O948" s="1211"/>
      <c r="Q948" s="1211"/>
      <c r="S948" s="1211"/>
      <c r="U948" s="1211"/>
      <c r="W948" s="1211"/>
      <c r="Y948" s="1211"/>
      <c r="AB948" s="1258"/>
    </row>
    <row r="949">
      <c r="B949" s="863"/>
      <c r="M949" s="1211"/>
      <c r="O949" s="1211"/>
      <c r="Q949" s="1211"/>
      <c r="S949" s="1211"/>
      <c r="U949" s="1211"/>
      <c r="W949" s="1211"/>
      <c r="Y949" s="1211"/>
      <c r="AB949" s="1258"/>
    </row>
    <row r="950">
      <c r="B950" s="863"/>
      <c r="M950" s="1211"/>
      <c r="O950" s="1211"/>
      <c r="Q950" s="1211"/>
      <c r="S950" s="1211"/>
      <c r="U950" s="1211"/>
      <c r="W950" s="1211"/>
      <c r="Y950" s="1211"/>
      <c r="AB950" s="1258"/>
    </row>
    <row r="951">
      <c r="B951" s="863"/>
      <c r="M951" s="1211"/>
      <c r="O951" s="1211"/>
      <c r="Q951" s="1211"/>
      <c r="S951" s="1211"/>
      <c r="U951" s="1211"/>
      <c r="W951" s="1211"/>
      <c r="Y951" s="1211"/>
      <c r="AB951" s="1258"/>
    </row>
    <row r="952">
      <c r="B952" s="863"/>
      <c r="M952" s="1211"/>
      <c r="O952" s="1211"/>
      <c r="Q952" s="1211"/>
      <c r="S952" s="1211"/>
      <c r="U952" s="1211"/>
      <c r="W952" s="1211"/>
      <c r="Y952" s="1211"/>
      <c r="AB952" s="1258"/>
    </row>
    <row r="953">
      <c r="B953" s="863"/>
      <c r="M953" s="1211"/>
      <c r="O953" s="1211"/>
      <c r="Q953" s="1211"/>
      <c r="S953" s="1211"/>
      <c r="U953" s="1211"/>
      <c r="W953" s="1211"/>
      <c r="Y953" s="1211"/>
      <c r="AB953" s="1258"/>
    </row>
    <row r="954">
      <c r="B954" s="863"/>
      <c r="M954" s="1211"/>
      <c r="O954" s="1211"/>
      <c r="Q954" s="1211"/>
      <c r="S954" s="1211"/>
      <c r="U954" s="1211"/>
      <c r="W954" s="1211"/>
      <c r="Y954" s="1211"/>
      <c r="AB954" s="1258"/>
    </row>
    <row r="955">
      <c r="B955" s="863"/>
      <c r="M955" s="1211"/>
      <c r="O955" s="1211"/>
      <c r="Q955" s="1211"/>
      <c r="S955" s="1211"/>
      <c r="U955" s="1211"/>
      <c r="W955" s="1211"/>
      <c r="Y955" s="1211"/>
      <c r="AB955" s="1258"/>
    </row>
    <row r="956">
      <c r="B956" s="863"/>
      <c r="M956" s="1211"/>
      <c r="O956" s="1211"/>
      <c r="Q956" s="1211"/>
      <c r="S956" s="1211"/>
      <c r="U956" s="1211"/>
      <c r="W956" s="1211"/>
      <c r="Y956" s="1211"/>
      <c r="AB956" s="1258"/>
    </row>
    <row r="957">
      <c r="B957" s="863"/>
      <c r="M957" s="1211"/>
      <c r="O957" s="1211"/>
      <c r="Q957" s="1211"/>
      <c r="S957" s="1211"/>
      <c r="U957" s="1211"/>
      <c r="W957" s="1211"/>
      <c r="Y957" s="1211"/>
      <c r="AB957" s="1258"/>
    </row>
    <row r="958">
      <c r="B958" s="863"/>
      <c r="M958" s="1211"/>
      <c r="O958" s="1211"/>
      <c r="Q958" s="1211"/>
      <c r="S958" s="1211"/>
      <c r="U958" s="1211"/>
      <c r="W958" s="1211"/>
      <c r="Y958" s="1211"/>
      <c r="AB958" s="1258"/>
    </row>
    <row r="959">
      <c r="B959" s="863"/>
      <c r="M959" s="1211"/>
      <c r="O959" s="1211"/>
      <c r="Q959" s="1211"/>
      <c r="S959" s="1211"/>
      <c r="U959" s="1211"/>
      <c r="W959" s="1211"/>
      <c r="Y959" s="1211"/>
      <c r="AB959" s="1258"/>
    </row>
    <row r="960">
      <c r="B960" s="863"/>
      <c r="M960" s="1211"/>
      <c r="O960" s="1211"/>
      <c r="Q960" s="1211"/>
      <c r="S960" s="1211"/>
      <c r="U960" s="1211"/>
      <c r="W960" s="1211"/>
      <c r="Y960" s="1211"/>
      <c r="AB960" s="1258"/>
    </row>
    <row r="961">
      <c r="B961" s="863"/>
      <c r="M961" s="1211"/>
      <c r="O961" s="1211"/>
      <c r="Q961" s="1211"/>
      <c r="S961" s="1211"/>
      <c r="U961" s="1211"/>
      <c r="W961" s="1211"/>
      <c r="Y961" s="1211"/>
      <c r="AB961" s="1258"/>
    </row>
    <row r="962">
      <c r="B962" s="863"/>
      <c r="M962" s="1211"/>
      <c r="O962" s="1211"/>
      <c r="Q962" s="1211"/>
      <c r="S962" s="1211"/>
      <c r="U962" s="1211"/>
      <c r="W962" s="1211"/>
      <c r="Y962" s="1211"/>
      <c r="AB962" s="1258"/>
    </row>
    <row r="963">
      <c r="B963" s="863"/>
      <c r="M963" s="1211"/>
      <c r="O963" s="1211"/>
      <c r="Q963" s="1211"/>
      <c r="S963" s="1211"/>
      <c r="U963" s="1211"/>
      <c r="W963" s="1211"/>
      <c r="Y963" s="1211"/>
      <c r="AB963" s="1258"/>
    </row>
    <row r="964">
      <c r="B964" s="863"/>
      <c r="M964" s="1211"/>
      <c r="O964" s="1211"/>
      <c r="Q964" s="1211"/>
      <c r="S964" s="1211"/>
      <c r="U964" s="1211"/>
      <c r="W964" s="1211"/>
      <c r="Y964" s="1211"/>
      <c r="AB964" s="1258"/>
    </row>
    <row r="965">
      <c r="B965" s="863"/>
      <c r="M965" s="1211"/>
      <c r="O965" s="1211"/>
      <c r="Q965" s="1211"/>
      <c r="S965" s="1211"/>
      <c r="U965" s="1211"/>
      <c r="W965" s="1211"/>
      <c r="Y965" s="1211"/>
      <c r="AB965" s="1258"/>
    </row>
    <row r="966">
      <c r="B966" s="863"/>
      <c r="M966" s="1211"/>
      <c r="O966" s="1211"/>
      <c r="Q966" s="1211"/>
      <c r="S966" s="1211"/>
      <c r="U966" s="1211"/>
      <c r="W966" s="1211"/>
      <c r="Y966" s="1211"/>
      <c r="AB966" s="1258"/>
    </row>
    <row r="967">
      <c r="B967" s="863"/>
      <c r="M967" s="1211"/>
      <c r="O967" s="1211"/>
      <c r="Q967" s="1211"/>
      <c r="S967" s="1211"/>
      <c r="U967" s="1211"/>
      <c r="W967" s="1211"/>
      <c r="Y967" s="1211"/>
      <c r="AB967" s="1258"/>
    </row>
    <row r="968">
      <c r="B968" s="863"/>
      <c r="M968" s="1211"/>
      <c r="O968" s="1211"/>
      <c r="Q968" s="1211"/>
      <c r="S968" s="1211"/>
      <c r="U968" s="1211"/>
      <c r="W968" s="1211"/>
      <c r="Y968" s="1211"/>
      <c r="AB968" s="1258"/>
    </row>
    <row r="969">
      <c r="B969" s="863"/>
      <c r="M969" s="1211"/>
      <c r="O969" s="1211"/>
      <c r="Q969" s="1211"/>
      <c r="S969" s="1211"/>
      <c r="U969" s="1211"/>
      <c r="W969" s="1211"/>
      <c r="Y969" s="1211"/>
      <c r="AB969" s="1258"/>
    </row>
    <row r="970">
      <c r="B970" s="863"/>
      <c r="M970" s="1211"/>
      <c r="O970" s="1211"/>
      <c r="Q970" s="1211"/>
      <c r="S970" s="1211"/>
      <c r="U970" s="1211"/>
      <c r="W970" s="1211"/>
      <c r="Y970" s="1211"/>
      <c r="AB970" s="1258"/>
    </row>
    <row r="971">
      <c r="B971" s="863"/>
      <c r="M971" s="1211"/>
      <c r="O971" s="1211"/>
      <c r="Q971" s="1211"/>
      <c r="S971" s="1211"/>
      <c r="U971" s="1211"/>
      <c r="W971" s="1211"/>
      <c r="Y971" s="1211"/>
      <c r="AB971" s="1258"/>
    </row>
    <row r="972">
      <c r="B972" s="863"/>
      <c r="M972" s="1211"/>
      <c r="O972" s="1211"/>
      <c r="Q972" s="1211"/>
      <c r="S972" s="1211"/>
      <c r="U972" s="1211"/>
      <c r="W972" s="1211"/>
      <c r="Y972" s="1211"/>
      <c r="AB972" s="1258"/>
    </row>
    <row r="973">
      <c r="B973" s="863"/>
      <c r="M973" s="1211"/>
      <c r="O973" s="1211"/>
      <c r="Q973" s="1211"/>
      <c r="S973" s="1211"/>
      <c r="U973" s="1211"/>
      <c r="W973" s="1211"/>
      <c r="Y973" s="1211"/>
      <c r="AB973" s="1258"/>
    </row>
    <row r="974">
      <c r="B974" s="863"/>
      <c r="M974" s="1211"/>
      <c r="O974" s="1211"/>
      <c r="Q974" s="1211"/>
      <c r="S974" s="1211"/>
      <c r="U974" s="1211"/>
      <c r="W974" s="1211"/>
      <c r="Y974" s="1211"/>
      <c r="AB974" s="1258"/>
    </row>
    <row r="975">
      <c r="B975" s="863"/>
      <c r="M975" s="1211"/>
      <c r="O975" s="1211"/>
      <c r="Q975" s="1211"/>
      <c r="S975" s="1211"/>
      <c r="U975" s="1211"/>
      <c r="W975" s="1211"/>
      <c r="Y975" s="1211"/>
      <c r="AB975" s="1258"/>
    </row>
    <row r="976">
      <c r="B976" s="863"/>
      <c r="M976" s="1211"/>
      <c r="O976" s="1211"/>
      <c r="Q976" s="1211"/>
      <c r="S976" s="1211"/>
      <c r="U976" s="1211"/>
      <c r="W976" s="1211"/>
      <c r="Y976" s="1211"/>
      <c r="AB976" s="1258"/>
    </row>
    <row r="977">
      <c r="B977" s="863"/>
      <c r="M977" s="1211"/>
      <c r="O977" s="1211"/>
      <c r="Q977" s="1211"/>
      <c r="S977" s="1211"/>
      <c r="U977" s="1211"/>
      <c r="W977" s="1211"/>
      <c r="Y977" s="1211"/>
      <c r="AB977" s="1258"/>
    </row>
    <row r="978">
      <c r="B978" s="863"/>
      <c r="M978" s="1211"/>
      <c r="O978" s="1211"/>
      <c r="Q978" s="1211"/>
      <c r="S978" s="1211"/>
      <c r="U978" s="1211"/>
      <c r="W978" s="1211"/>
      <c r="Y978" s="1211"/>
      <c r="AB978" s="1258"/>
    </row>
    <row r="979">
      <c r="B979" s="863"/>
      <c r="M979" s="1211"/>
      <c r="O979" s="1211"/>
      <c r="Q979" s="1211"/>
      <c r="S979" s="1211"/>
      <c r="U979" s="1211"/>
      <c r="W979" s="1211"/>
      <c r="Y979" s="1211"/>
      <c r="AB979" s="1258"/>
    </row>
    <row r="980">
      <c r="B980" s="863"/>
      <c r="M980" s="1211"/>
      <c r="O980" s="1211"/>
      <c r="Q980" s="1211"/>
      <c r="S980" s="1211"/>
      <c r="U980" s="1211"/>
      <c r="W980" s="1211"/>
      <c r="Y980" s="1211"/>
      <c r="AB980" s="1258"/>
    </row>
    <row r="981">
      <c r="B981" s="863"/>
      <c r="M981" s="1211"/>
      <c r="O981" s="1211"/>
      <c r="Q981" s="1211"/>
      <c r="S981" s="1211"/>
      <c r="U981" s="1211"/>
      <c r="W981" s="1211"/>
      <c r="Y981" s="1211"/>
      <c r="AB981" s="1258"/>
    </row>
    <row r="982">
      <c r="B982" s="863"/>
      <c r="M982" s="1211"/>
      <c r="O982" s="1211"/>
      <c r="Q982" s="1211"/>
      <c r="S982" s="1211"/>
      <c r="U982" s="1211"/>
      <c r="W982" s="1211"/>
      <c r="Y982" s="1211"/>
      <c r="AB982" s="1258"/>
    </row>
    <row r="983">
      <c r="B983" s="863"/>
      <c r="M983" s="1211"/>
      <c r="O983" s="1211"/>
      <c r="Q983" s="1211"/>
      <c r="S983" s="1211"/>
      <c r="U983" s="1211"/>
      <c r="W983" s="1211"/>
      <c r="Y983" s="1211"/>
      <c r="AB983" s="1258"/>
    </row>
    <row r="984">
      <c r="B984" s="863"/>
      <c r="M984" s="1211"/>
      <c r="O984" s="1211"/>
      <c r="Q984" s="1211"/>
      <c r="S984" s="1211"/>
      <c r="U984" s="1211"/>
      <c r="W984" s="1211"/>
      <c r="Y984" s="1211"/>
      <c r="AB984" s="1258"/>
    </row>
    <row r="985">
      <c r="B985" s="863"/>
      <c r="M985" s="1211"/>
      <c r="O985" s="1211"/>
      <c r="Q985" s="1211"/>
      <c r="S985" s="1211"/>
      <c r="U985" s="1211"/>
      <c r="W985" s="1211"/>
      <c r="Y985" s="1211"/>
      <c r="AB985" s="1258"/>
    </row>
    <row r="986">
      <c r="B986" s="863"/>
      <c r="M986" s="1211"/>
      <c r="O986" s="1211"/>
      <c r="Q986" s="1211"/>
      <c r="S986" s="1211"/>
      <c r="U986" s="1211"/>
      <c r="W986" s="1211"/>
      <c r="Y986" s="1211"/>
      <c r="AB986" s="1258"/>
    </row>
    <row r="987">
      <c r="B987" s="863"/>
      <c r="M987" s="1211"/>
      <c r="O987" s="1211"/>
      <c r="Q987" s="1211"/>
      <c r="S987" s="1211"/>
      <c r="U987" s="1211"/>
      <c r="W987" s="1211"/>
      <c r="Y987" s="1211"/>
      <c r="AB987" s="1258"/>
    </row>
    <row r="988">
      <c r="B988" s="863"/>
      <c r="M988" s="1211"/>
      <c r="O988" s="1211"/>
      <c r="Q988" s="1211"/>
      <c r="S988" s="1211"/>
      <c r="U988" s="1211"/>
      <c r="W988" s="1211"/>
      <c r="Y988" s="1211"/>
      <c r="AB988" s="1258"/>
    </row>
    <row r="989">
      <c r="B989" s="863"/>
      <c r="M989" s="1211"/>
      <c r="O989" s="1211"/>
      <c r="Q989" s="1211"/>
      <c r="S989" s="1211"/>
      <c r="U989" s="1211"/>
      <c r="W989" s="1211"/>
      <c r="Y989" s="1211"/>
      <c r="AB989" s="1258"/>
    </row>
    <row r="990">
      <c r="B990" s="863"/>
      <c r="M990" s="1211"/>
      <c r="O990" s="1211"/>
      <c r="Q990" s="1211"/>
      <c r="S990" s="1211"/>
      <c r="U990" s="1211"/>
      <c r="W990" s="1211"/>
      <c r="Y990" s="1211"/>
      <c r="AB990" s="1258"/>
    </row>
    <row r="991">
      <c r="B991" s="863"/>
      <c r="M991" s="1211"/>
      <c r="O991" s="1211"/>
      <c r="Q991" s="1211"/>
      <c r="S991" s="1211"/>
      <c r="U991" s="1211"/>
      <c r="W991" s="1211"/>
      <c r="Y991" s="1211"/>
      <c r="AB991" s="1258"/>
    </row>
    <row r="992">
      <c r="B992" s="863"/>
      <c r="M992" s="1211"/>
      <c r="O992" s="1211"/>
      <c r="Q992" s="1211"/>
      <c r="S992" s="1211"/>
      <c r="U992" s="1211"/>
      <c r="W992" s="1211"/>
      <c r="Y992" s="1211"/>
      <c r="AB992" s="1258"/>
    </row>
    <row r="993">
      <c r="B993" s="863"/>
      <c r="M993" s="1211"/>
      <c r="O993" s="1211"/>
      <c r="Q993" s="1211"/>
      <c r="S993" s="1211"/>
      <c r="U993" s="1211"/>
      <c r="W993" s="1211"/>
      <c r="Y993" s="1211"/>
      <c r="AB993" s="1258"/>
    </row>
    <row r="994">
      <c r="B994" s="863"/>
      <c r="M994" s="1211"/>
      <c r="O994" s="1211"/>
      <c r="Q994" s="1211"/>
      <c r="S994" s="1211"/>
      <c r="U994" s="1211"/>
      <c r="W994" s="1211"/>
      <c r="Y994" s="1211"/>
      <c r="AB994" s="1258"/>
    </row>
    <row r="995">
      <c r="B995" s="863"/>
      <c r="M995" s="1211"/>
      <c r="O995" s="1211"/>
      <c r="Q995" s="1211"/>
      <c r="S995" s="1211"/>
      <c r="U995" s="1211"/>
      <c r="W995" s="1211"/>
      <c r="Y995" s="1211"/>
      <c r="AB995" s="1258"/>
    </row>
    <row r="996">
      <c r="B996" s="863"/>
      <c r="M996" s="1211"/>
      <c r="O996" s="1211"/>
      <c r="Q996" s="1211"/>
      <c r="S996" s="1211"/>
      <c r="U996" s="1211"/>
      <c r="W996" s="1211"/>
      <c r="Y996" s="1211"/>
      <c r="AB996" s="1258"/>
    </row>
    <row r="997">
      <c r="B997" s="863"/>
      <c r="M997" s="1211"/>
      <c r="O997" s="1211"/>
      <c r="Q997" s="1211"/>
      <c r="S997" s="1211"/>
      <c r="U997" s="1211"/>
      <c r="W997" s="1211"/>
      <c r="Y997" s="1211"/>
      <c r="AB997" s="1258"/>
    </row>
    <row r="998">
      <c r="B998" s="863"/>
      <c r="M998" s="1211"/>
      <c r="O998" s="1211"/>
      <c r="Q998" s="1211"/>
      <c r="S998" s="1211"/>
      <c r="U998" s="1211"/>
      <c r="W998" s="1211"/>
      <c r="Y998" s="1211"/>
      <c r="AB998" s="1258"/>
    </row>
    <row r="999">
      <c r="B999" s="863"/>
      <c r="M999" s="1211"/>
      <c r="O999" s="1211"/>
      <c r="Q999" s="1211"/>
      <c r="S999" s="1211"/>
      <c r="U999" s="1211"/>
      <c r="W999" s="1211"/>
      <c r="Y999" s="1211"/>
      <c r="AB999" s="1258"/>
    </row>
    <row r="1000">
      <c r="B1000" s="863"/>
      <c r="M1000" s="1211"/>
      <c r="O1000" s="1211"/>
      <c r="Q1000" s="1211"/>
      <c r="S1000" s="1211"/>
      <c r="U1000" s="1211"/>
      <c r="W1000" s="1211"/>
      <c r="Y1000" s="1211"/>
      <c r="AB1000" s="1258"/>
    </row>
    <row r="1001">
      <c r="B1001" s="863"/>
    </row>
    <row r="1002">
      <c r="B1002" s="863"/>
    </row>
    <row r="1003">
      <c r="B1003" s="863"/>
    </row>
    <row r="1004">
      <c r="B1004" s="863"/>
    </row>
    <row r="1005">
      <c r="B1005" s="863"/>
    </row>
    <row r="1006">
      <c r="B1006" s="863"/>
    </row>
    <row r="1007">
      <c r="B1007" s="863"/>
    </row>
    <row r="1008">
      <c r="B1008" s="863"/>
    </row>
    <row r="1009">
      <c r="B1009" s="863"/>
    </row>
    <row r="1010">
      <c r="B1010" s="863"/>
    </row>
    <row r="1011">
      <c r="B1011" s="863"/>
    </row>
    <row r="1012">
      <c r="B1012" s="863"/>
    </row>
    <row r="1013">
      <c r="B1013" s="863"/>
    </row>
    <row r="1014">
      <c r="B1014" s="863"/>
    </row>
    <row r="1015">
      <c r="B1015" s="863"/>
    </row>
    <row r="1016">
      <c r="B1016" s="863"/>
    </row>
    <row r="1017">
      <c r="B1017" s="863"/>
    </row>
    <row r="1018">
      <c r="B1018" s="863"/>
    </row>
    <row r="1019">
      <c r="B1019" s="863"/>
    </row>
    <row r="1020">
      <c r="B1020" s="863"/>
    </row>
    <row r="1021">
      <c r="B1021" s="863"/>
    </row>
    <row r="1022">
      <c r="B1022" s="863"/>
    </row>
    <row r="1023">
      <c r="B1023" s="863"/>
    </row>
    <row r="1024">
      <c r="B1024" s="863"/>
    </row>
    <row r="1025">
      <c r="B1025" s="863"/>
    </row>
    <row r="1026">
      <c r="B1026" s="863"/>
    </row>
    <row r="1027">
      <c r="B1027" s="863"/>
    </row>
    <row r="1028">
      <c r="B1028" s="863"/>
    </row>
    <row r="1029">
      <c r="B1029" s="863"/>
    </row>
    <row r="1030">
      <c r="B1030" s="863"/>
    </row>
    <row r="1031">
      <c r="B1031" s="863"/>
    </row>
    <row r="1032">
      <c r="B1032" s="863"/>
    </row>
    <row r="1033">
      <c r="B1033" s="863"/>
    </row>
    <row r="1034">
      <c r="B1034" s="863"/>
    </row>
    <row r="1035">
      <c r="B1035" s="863"/>
    </row>
    <row r="1036">
      <c r="B1036" s="863"/>
    </row>
    <row r="1037">
      <c r="B1037" s="863"/>
    </row>
    <row r="1038">
      <c r="B1038" s="863"/>
    </row>
    <row r="1039">
      <c r="B1039" s="863"/>
    </row>
    <row r="1040">
      <c r="B1040" s="863"/>
    </row>
    <row r="1041">
      <c r="B1041" s="863"/>
    </row>
    <row r="1042">
      <c r="B1042" s="863"/>
    </row>
    <row r="1043">
      <c r="B1043" s="863"/>
    </row>
    <row r="1044">
      <c r="B1044" s="863"/>
    </row>
    <row r="1045">
      <c r="B1045" s="863"/>
    </row>
    <row r="1046">
      <c r="B1046" s="863"/>
    </row>
    <row r="1047">
      <c r="B1047" s="863"/>
    </row>
    <row r="1048">
      <c r="B1048" s="863"/>
    </row>
    <row r="1049">
      <c r="B1049" s="863"/>
    </row>
    <row r="1050">
      <c r="B1050" s="863"/>
    </row>
    <row r="1051">
      <c r="B1051" s="863"/>
    </row>
    <row r="1052">
      <c r="B1052" s="863"/>
    </row>
    <row r="1053">
      <c r="B1053" s="863"/>
    </row>
    <row r="1054">
      <c r="B1054" s="863"/>
    </row>
    <row r="1055">
      <c r="B1055" s="863"/>
    </row>
    <row r="1056">
      <c r="B1056" s="863"/>
    </row>
    <row r="1057">
      <c r="B1057" s="863"/>
    </row>
    <row r="1058">
      <c r="B1058" s="863"/>
    </row>
    <row r="1059">
      <c r="B1059" s="863"/>
    </row>
    <row r="1060">
      <c r="B1060" s="863"/>
    </row>
    <row r="1061">
      <c r="B1061" s="863"/>
    </row>
    <row r="1062">
      <c r="B1062" s="863"/>
    </row>
    <row r="1063">
      <c r="B1063" s="863"/>
    </row>
    <row r="1064">
      <c r="B1064" s="863"/>
    </row>
    <row r="1065">
      <c r="B1065" s="863"/>
    </row>
    <row r="1066">
      <c r="B1066" s="863"/>
    </row>
    <row r="1067">
      <c r="B1067" s="863"/>
    </row>
    <row r="1068">
      <c r="B1068" s="863"/>
    </row>
    <row r="1069">
      <c r="B1069" s="863"/>
    </row>
    <row r="1070">
      <c r="B1070" s="863"/>
    </row>
    <row r="1071">
      <c r="B1071" s="863"/>
    </row>
  </sheetData>
  <mergeCells count="9">
    <mergeCell ref="E123:F123"/>
    <mergeCell ref="G123:H123"/>
    <mergeCell ref="AD23:AE28"/>
    <mergeCell ref="AB32:AC32"/>
    <mergeCell ref="AC40:AD40"/>
    <mergeCell ref="H83:J83"/>
    <mergeCell ref="I96:J96"/>
    <mergeCell ref="C121:J122"/>
    <mergeCell ref="C123:D123"/>
  </mergeCells>
  <conditionalFormatting sqref="A1:AK1071">
    <cfRule type="cellIs" dxfId="21" priority="1" operator="equal">
      <formula>"S+"</formula>
    </cfRule>
  </conditionalFormatting>
  <conditionalFormatting sqref="A1:AK1071">
    <cfRule type="cellIs" dxfId="21" priority="2" operator="equal">
      <formula>"S"</formula>
    </cfRule>
  </conditionalFormatting>
  <conditionalFormatting sqref="A1:AK1071">
    <cfRule type="cellIs" dxfId="21" priority="3" operator="equal">
      <formula>"S-"</formula>
    </cfRule>
  </conditionalFormatting>
  <conditionalFormatting sqref="A1:AK1071">
    <cfRule type="cellIs" dxfId="22" priority="4" operator="equal">
      <formula>"A+"</formula>
    </cfRule>
  </conditionalFormatting>
  <conditionalFormatting sqref="A1:AK1071">
    <cfRule type="cellIs" dxfId="22" priority="5" operator="equal">
      <formula>"A"</formula>
    </cfRule>
  </conditionalFormatting>
  <conditionalFormatting sqref="A1:AK1071">
    <cfRule type="cellIs" dxfId="22" priority="6" operator="equal">
      <formula>"A-"</formula>
    </cfRule>
  </conditionalFormatting>
  <conditionalFormatting sqref="A1:AK1071">
    <cfRule type="cellIs" dxfId="23" priority="7" operator="equal">
      <formula>"B+"</formula>
    </cfRule>
  </conditionalFormatting>
  <conditionalFormatting sqref="A1:AK1071">
    <cfRule type="cellIs" dxfId="23" priority="8" operator="equal">
      <formula>"B"</formula>
    </cfRule>
  </conditionalFormatting>
  <conditionalFormatting sqref="A1:AK1071">
    <cfRule type="cellIs" dxfId="23" priority="9" operator="equal">
      <formula>"B-"</formula>
    </cfRule>
  </conditionalFormatting>
  <conditionalFormatting sqref="A1:AK1071">
    <cfRule type="cellIs" dxfId="24" priority="10" operator="equal">
      <formula>"C+"</formula>
    </cfRule>
  </conditionalFormatting>
  <conditionalFormatting sqref="A1:AK1071">
    <cfRule type="cellIs" dxfId="24" priority="11" operator="equal">
      <formula>"C"</formula>
    </cfRule>
  </conditionalFormatting>
  <conditionalFormatting sqref="A1:AK1071">
    <cfRule type="cellIs" dxfId="24" priority="12" operator="equal">
      <formula>"C-"</formula>
    </cfRule>
  </conditionalFormatting>
  <conditionalFormatting sqref="A1:AK1071">
    <cfRule type="cellIs" dxfId="25" priority="13" operator="equal">
      <formula>"D+"</formula>
    </cfRule>
  </conditionalFormatting>
  <conditionalFormatting sqref="A1:AK1071">
    <cfRule type="cellIs" dxfId="25" priority="14" operator="equal">
      <formula>"D"</formula>
    </cfRule>
  </conditionalFormatting>
  <conditionalFormatting sqref="A1:AK1071">
    <cfRule type="cellIs" dxfId="25" priority="15" operator="equal">
      <formula>"D-"</formula>
    </cfRule>
  </conditionalFormatting>
  <conditionalFormatting sqref="A1:AK1071">
    <cfRule type="cellIs" dxfId="26" priority="16" operator="equal">
      <formula>"E+"</formula>
    </cfRule>
  </conditionalFormatting>
  <conditionalFormatting sqref="A1:AK1071">
    <cfRule type="cellIs" dxfId="26" priority="17" operator="equal">
      <formula>"E"</formula>
    </cfRule>
  </conditionalFormatting>
  <conditionalFormatting sqref="A1:AK1071">
    <cfRule type="cellIs" dxfId="26" priority="18" operator="equal">
      <formula>"E-"</formula>
    </cfRule>
  </conditionalFormatting>
  <conditionalFormatting sqref="A1:AK1071">
    <cfRule type="cellIs" dxfId="27" priority="19" operator="equal">
      <formula>"F+"</formula>
    </cfRule>
  </conditionalFormatting>
  <conditionalFormatting sqref="A1:AK1071">
    <cfRule type="cellIs" dxfId="27" priority="20" operator="equal">
      <formula>"F"</formula>
    </cfRule>
  </conditionalFormatting>
  <conditionalFormatting sqref="A1:AK1071">
    <cfRule type="cellIs" dxfId="27" priority="21" operator="equal">
      <formula>"F-"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29" max="29" width="12.13"/>
    <col customWidth="1" min="30" max="30" width="17.63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>
      <c r="A4" s="11"/>
      <c r="B4" s="11"/>
      <c r="C4" s="1296" t="s">
        <v>948</v>
      </c>
      <c r="H4" s="11"/>
      <c r="I4" s="11"/>
      <c r="J4" s="1297" t="s">
        <v>949</v>
      </c>
      <c r="O4" s="11"/>
      <c r="P4" s="11"/>
      <c r="Q4" s="1298" t="s">
        <v>950</v>
      </c>
      <c r="V4" s="11"/>
      <c r="W4" s="11"/>
      <c r="X4" s="1299" t="s">
        <v>951</v>
      </c>
      <c r="AC4" s="11"/>
      <c r="AD4" s="1301" t="s">
        <v>76</v>
      </c>
      <c r="AE4" s="1303"/>
      <c r="AF4" s="1303"/>
      <c r="AG4" s="1303"/>
      <c r="AH4" s="1304"/>
    </row>
    <row r="5">
      <c r="A5" s="11"/>
      <c r="B5" s="11"/>
      <c r="H5" s="11"/>
      <c r="I5" s="11"/>
      <c r="O5" s="11"/>
      <c r="P5" s="11"/>
      <c r="V5" s="11"/>
      <c r="W5" s="11"/>
      <c r="AC5" s="11"/>
      <c r="AD5" s="1305" t="s">
        <v>275</v>
      </c>
      <c r="AE5" s="1306" t="s">
        <v>952</v>
      </c>
      <c r="AH5" s="1307"/>
    </row>
    <row r="6">
      <c r="A6" s="11"/>
      <c r="B6" s="11"/>
      <c r="H6" s="11"/>
      <c r="I6" s="11"/>
      <c r="O6" s="11"/>
      <c r="P6" s="11"/>
      <c r="V6" s="11"/>
      <c r="W6" s="11"/>
      <c r="AC6" s="11"/>
      <c r="AD6" s="1305" t="s">
        <v>276</v>
      </c>
      <c r="AE6" s="1306" t="s">
        <v>294</v>
      </c>
      <c r="AH6" s="1307"/>
    </row>
    <row r="7">
      <c r="A7" s="11"/>
      <c r="B7" s="11"/>
      <c r="H7" s="11"/>
      <c r="I7" s="11"/>
      <c r="O7" s="11"/>
      <c r="P7" s="11"/>
      <c r="V7" s="11"/>
      <c r="W7" s="11"/>
      <c r="AC7" s="11"/>
      <c r="AD7" s="1305" t="s">
        <v>277</v>
      </c>
      <c r="AE7" s="1308" t="s">
        <v>295</v>
      </c>
      <c r="AH7" s="1307"/>
    </row>
    <row r="8">
      <c r="A8" s="11"/>
      <c r="B8" s="11"/>
      <c r="H8" s="11"/>
      <c r="I8" s="11"/>
      <c r="O8" s="11"/>
      <c r="P8" s="11"/>
      <c r="V8" s="11"/>
      <c r="W8" s="11"/>
      <c r="AC8" s="11"/>
      <c r="AD8" s="1305" t="s">
        <v>278</v>
      </c>
      <c r="AE8" s="1308" t="s">
        <v>278</v>
      </c>
      <c r="AH8" s="1307"/>
    </row>
    <row r="9">
      <c r="A9" s="11"/>
      <c r="B9" s="11"/>
      <c r="H9" s="11"/>
      <c r="I9" s="11"/>
      <c r="O9" s="11"/>
      <c r="P9" s="11"/>
      <c r="V9" s="11"/>
      <c r="W9" s="11"/>
      <c r="AC9" s="11"/>
      <c r="AD9" s="1305" t="s">
        <v>280</v>
      </c>
      <c r="AE9" s="1308" t="s">
        <v>300</v>
      </c>
      <c r="AH9" s="1307"/>
    </row>
    <row r="10">
      <c r="A10" s="11"/>
      <c r="B10" s="11"/>
      <c r="C10" s="11"/>
      <c r="D10" s="1309"/>
      <c r="G10" s="11"/>
      <c r="H10" s="11"/>
      <c r="I10" s="11"/>
      <c r="J10" s="11"/>
      <c r="K10" s="1310"/>
      <c r="N10" s="11"/>
      <c r="O10" s="11"/>
      <c r="P10" s="11"/>
      <c r="Q10" s="11"/>
      <c r="R10" s="1311"/>
      <c r="U10" s="11"/>
      <c r="V10" s="11"/>
      <c r="W10" s="11"/>
      <c r="X10" s="11"/>
      <c r="Y10" s="1312"/>
      <c r="AB10" s="11"/>
      <c r="AC10" s="11"/>
      <c r="AD10" s="1313" t="s">
        <v>281</v>
      </c>
      <c r="AE10" s="1314" t="s">
        <v>301</v>
      </c>
      <c r="AF10" s="1315"/>
      <c r="AG10" s="1315"/>
      <c r="AH10" s="1316"/>
    </row>
    <row r="11">
      <c r="A11" s="11"/>
      <c r="B11" s="11"/>
      <c r="C11" s="11"/>
      <c r="G11" s="11"/>
      <c r="H11" s="11"/>
      <c r="I11" s="11"/>
      <c r="J11" s="11"/>
      <c r="N11" s="11"/>
      <c r="O11" s="11"/>
      <c r="P11" s="11"/>
      <c r="Q11" s="11"/>
      <c r="U11" s="11"/>
      <c r="V11" s="11"/>
      <c r="W11" s="11"/>
      <c r="X11" s="11"/>
      <c r="AB11" s="11"/>
      <c r="AC11" s="11"/>
      <c r="AD11" s="1317" t="s">
        <v>283</v>
      </c>
      <c r="AE11" s="1318" t="s">
        <v>302</v>
      </c>
    </row>
    <row r="12">
      <c r="A12" s="11"/>
      <c r="B12" s="11"/>
      <c r="C12" s="11"/>
      <c r="G12" s="11"/>
      <c r="H12" s="11"/>
      <c r="I12" s="11"/>
      <c r="J12" s="11"/>
      <c r="N12" s="11"/>
      <c r="O12" s="11"/>
      <c r="P12" s="11"/>
      <c r="Q12" s="11"/>
      <c r="U12" s="11"/>
      <c r="V12" s="11"/>
      <c r="W12" s="11"/>
      <c r="X12" s="11"/>
      <c r="AB12" s="11"/>
      <c r="AC12" s="11"/>
      <c r="AD12" s="1317" t="s">
        <v>284</v>
      </c>
      <c r="AE12" s="1318" t="s">
        <v>304</v>
      </c>
    </row>
    <row r="13">
      <c r="A13" s="11"/>
      <c r="B13" s="11"/>
      <c r="C13" s="11"/>
      <c r="G13" s="11"/>
      <c r="H13" s="11"/>
      <c r="I13" s="11"/>
      <c r="J13" s="11"/>
      <c r="N13" s="11"/>
      <c r="O13" s="11"/>
      <c r="P13" s="11"/>
      <c r="Q13" s="11"/>
      <c r="U13" s="11"/>
      <c r="V13" s="11"/>
      <c r="W13" s="11"/>
      <c r="X13" s="11"/>
      <c r="AB13" s="11"/>
      <c r="AC13" s="11"/>
      <c r="AD13" s="1317" t="s">
        <v>282</v>
      </c>
      <c r="AE13" s="1318" t="s">
        <v>305</v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89"/>
      <c r="AE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319" t="s">
        <v>953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89"/>
      <c r="AE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89"/>
      <c r="AE16" s="11"/>
      <c r="AF16" s="11"/>
      <c r="AG16" s="11"/>
      <c r="AH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89"/>
      <c r="AE17" s="11"/>
      <c r="AF17" s="11"/>
      <c r="AG17" s="11"/>
      <c r="AH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89"/>
      <c r="AE18" s="11"/>
      <c r="AF18" s="11"/>
      <c r="AG18" s="11"/>
      <c r="AH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32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>
      <c r="A22" s="11"/>
      <c r="B22" s="11"/>
      <c r="C22" s="11"/>
      <c r="D22" s="1321" t="s">
        <v>954</v>
      </c>
      <c r="G22" s="11"/>
      <c r="H22" s="11"/>
      <c r="I22" s="11"/>
      <c r="J22" s="11"/>
      <c r="K22" s="1322" t="s">
        <v>955</v>
      </c>
      <c r="N22" s="11"/>
      <c r="O22" s="11"/>
      <c r="P22" s="11"/>
      <c r="Q22" s="11"/>
      <c r="R22" s="1323" t="s">
        <v>956</v>
      </c>
      <c r="U22" s="11"/>
      <c r="V22" s="11"/>
      <c r="W22" s="11"/>
      <c r="X22" s="11"/>
      <c r="Y22" s="1324" t="s">
        <v>957</v>
      </c>
      <c r="AB22" s="11"/>
      <c r="AC22" s="11"/>
      <c r="AD22" s="11"/>
      <c r="AE22" s="11"/>
      <c r="AF22" s="11"/>
      <c r="AG22" s="11"/>
      <c r="AH22" s="11"/>
    </row>
    <row r="23">
      <c r="A23" s="11"/>
      <c r="B23" s="11"/>
      <c r="C23" s="11"/>
      <c r="G23" s="11"/>
      <c r="H23" s="11"/>
      <c r="I23" s="11"/>
      <c r="J23" s="11"/>
      <c r="N23" s="11"/>
      <c r="O23" s="11"/>
      <c r="P23" s="11"/>
      <c r="Q23" s="11"/>
      <c r="U23" s="11"/>
      <c r="V23" s="11"/>
      <c r="W23" s="11"/>
      <c r="X23" s="11"/>
      <c r="AB23" s="11"/>
      <c r="AC23" s="11"/>
      <c r="AD23" s="11"/>
      <c r="AE23" s="11"/>
      <c r="AF23" s="11"/>
      <c r="AG23" s="11"/>
      <c r="AH23" s="11"/>
    </row>
    <row r="24">
      <c r="A24" s="11"/>
      <c r="B24" s="11"/>
      <c r="C24" s="11"/>
      <c r="G24" s="11"/>
      <c r="H24" s="11"/>
      <c r="I24" s="11"/>
      <c r="J24" s="11"/>
      <c r="N24" s="11"/>
      <c r="O24" s="11"/>
      <c r="P24" s="11"/>
      <c r="Q24" s="11"/>
      <c r="U24" s="11"/>
      <c r="V24" s="11"/>
      <c r="W24" s="11"/>
      <c r="X24" s="11"/>
      <c r="AB24" s="11"/>
      <c r="AC24" s="11"/>
      <c r="AD24" s="11"/>
      <c r="AE24" s="11"/>
      <c r="AF24" s="11"/>
      <c r="AG24" s="11"/>
      <c r="AH24" s="11"/>
    </row>
    <row r="25">
      <c r="A25" s="11"/>
      <c r="B25" s="11"/>
      <c r="C25" s="11"/>
      <c r="G25" s="11"/>
      <c r="H25" s="11"/>
      <c r="I25" s="11"/>
      <c r="J25" s="11"/>
      <c r="N25" s="11"/>
      <c r="O25" s="11"/>
      <c r="P25" s="11"/>
      <c r="Q25" s="11"/>
      <c r="U25" s="11"/>
      <c r="V25" s="11"/>
      <c r="W25" s="11"/>
      <c r="X25" s="11"/>
      <c r="AB25" s="11"/>
      <c r="AC25" s="11"/>
      <c r="AD25" s="11"/>
      <c r="AE25" s="11"/>
      <c r="AF25" s="11"/>
      <c r="AG25" s="11"/>
      <c r="AH25" s="11"/>
    </row>
    <row r="26">
      <c r="A26" s="11"/>
      <c r="B26" s="11"/>
      <c r="C26" s="11"/>
      <c r="D26" s="11"/>
      <c r="E26" s="1325"/>
      <c r="F26" s="11"/>
      <c r="G26" s="11"/>
      <c r="H26" s="11"/>
      <c r="I26" s="11"/>
      <c r="J26" s="11"/>
      <c r="K26" s="11"/>
      <c r="L26" s="1326"/>
      <c r="M26" s="11"/>
      <c r="N26" s="11"/>
      <c r="O26" s="11"/>
      <c r="P26" s="11"/>
      <c r="Q26" s="11"/>
      <c r="R26" s="11"/>
      <c r="S26" s="1327"/>
      <c r="T26" s="11"/>
      <c r="U26" s="11"/>
      <c r="V26" s="11"/>
      <c r="W26" s="11"/>
      <c r="X26" s="11"/>
      <c r="Y26" s="11"/>
      <c r="Z26" s="1328"/>
      <c r="AA26" s="11"/>
      <c r="AB26" s="11"/>
      <c r="AC26" s="11"/>
      <c r="AD26" s="11"/>
      <c r="AE26" s="11"/>
      <c r="AF26" s="11"/>
      <c r="AG26" s="11"/>
      <c r="AH26" s="11"/>
    </row>
    <row r="27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1"/>
      <c r="P27" s="11"/>
      <c r="Q27" s="11"/>
      <c r="R27" s="11"/>
      <c r="T27" s="11"/>
      <c r="U27" s="11"/>
      <c r="V27" s="11"/>
      <c r="W27" s="11"/>
      <c r="X27" s="11"/>
      <c r="Y27" s="11"/>
      <c r="AA27" s="11"/>
      <c r="AB27" s="11"/>
      <c r="AC27" s="11"/>
      <c r="AD27" s="11"/>
      <c r="AE27" s="11"/>
      <c r="AF27" s="11"/>
      <c r="AG27" s="11"/>
      <c r="AH27" s="11"/>
    </row>
    <row r="28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1"/>
      <c r="P28" s="11"/>
      <c r="Q28" s="11"/>
      <c r="R28" s="11"/>
      <c r="T28" s="11"/>
      <c r="U28" s="11"/>
      <c r="V28" s="11"/>
      <c r="W28" s="11"/>
      <c r="X28" s="11"/>
      <c r="Y28" s="11"/>
      <c r="AA28" s="11"/>
      <c r="AB28" s="11"/>
      <c r="AC28" s="11"/>
      <c r="AD28" s="11"/>
      <c r="AE28" s="11"/>
      <c r="AF28" s="11"/>
      <c r="AG28" s="11"/>
      <c r="AH28" s="11"/>
    </row>
    <row r="29">
      <c r="A29" s="11"/>
      <c r="B29" s="11"/>
      <c r="C29" s="216"/>
      <c r="D29" s="216"/>
      <c r="E29" s="216"/>
      <c r="F29" s="216"/>
      <c r="G29" s="216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>
      <c r="A30" s="11"/>
      <c r="B30" s="11"/>
      <c r="C30" s="216"/>
      <c r="D30" s="216"/>
      <c r="E30" s="216"/>
      <c r="F30" s="216"/>
      <c r="G30" s="21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>
      <c r="A31" s="11"/>
      <c r="B31" s="11"/>
      <c r="C31" s="216"/>
      <c r="D31" s="216"/>
      <c r="E31" s="216"/>
      <c r="F31" s="216"/>
      <c r="G31" s="216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>
      <c r="A32" s="11"/>
      <c r="B32" s="11"/>
      <c r="C32" s="216"/>
      <c r="D32" s="216"/>
      <c r="E32" s="216"/>
      <c r="F32" s="216"/>
      <c r="G32" s="216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>
      <c r="A33" s="11"/>
      <c r="B33" s="11"/>
      <c r="C33" s="216"/>
      <c r="D33" s="216"/>
      <c r="E33" s="216"/>
      <c r="F33" s="216"/>
      <c r="G33" s="216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>
      <c r="A34" s="11"/>
      <c r="B34" s="11"/>
      <c r="C34" s="216"/>
      <c r="D34" s="216"/>
      <c r="E34" s="216"/>
      <c r="F34" s="216"/>
      <c r="G34" s="21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>
      <c r="A35" s="11"/>
      <c r="B35" s="11"/>
      <c r="C35" s="216"/>
      <c r="D35" s="216"/>
      <c r="E35" s="216"/>
      <c r="F35" s="216"/>
      <c r="G35" s="216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>
      <c r="A36" s="11"/>
      <c r="B36" s="11"/>
      <c r="C36" s="216"/>
      <c r="D36" s="216"/>
      <c r="E36" s="216"/>
      <c r="F36" s="216"/>
      <c r="G36" s="216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>
      <c r="A37" s="11"/>
      <c r="B37" s="11"/>
      <c r="C37" s="216"/>
      <c r="D37" s="216"/>
      <c r="E37" s="216"/>
      <c r="F37" s="216"/>
      <c r="G37" s="2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>
      <c r="A38" s="11"/>
      <c r="B38" s="11"/>
      <c r="C38" s="216"/>
      <c r="D38" s="216"/>
      <c r="E38" s="216"/>
      <c r="F38" s="216"/>
      <c r="G38" s="216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>
      <c r="A39" s="11"/>
      <c r="B39" s="11"/>
      <c r="C39" s="216"/>
      <c r="D39" s="216"/>
      <c r="E39" s="216"/>
      <c r="F39" s="216"/>
      <c r="G39" s="21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>
      <c r="A40" s="11"/>
      <c r="B40" s="11"/>
      <c r="C40" s="216"/>
      <c r="D40" s="216"/>
      <c r="E40" s="216"/>
      <c r="F40" s="216"/>
      <c r="G40" s="21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>
      <c r="A41" s="11"/>
      <c r="B41" s="11"/>
      <c r="C41" s="216"/>
      <c r="D41" s="216"/>
      <c r="E41" s="216"/>
      <c r="F41" s="216"/>
      <c r="G41" s="21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>
      <c r="A42" s="11"/>
      <c r="B42" s="11"/>
      <c r="C42" s="216"/>
      <c r="D42" s="216"/>
      <c r="E42" s="216"/>
      <c r="F42" s="216"/>
      <c r="G42" s="216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>
      <c r="A43" s="11"/>
      <c r="B43" s="11"/>
      <c r="C43" s="216"/>
      <c r="D43" s="216"/>
      <c r="E43" s="216"/>
      <c r="F43" s="216"/>
      <c r="G43" s="216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>
      <c r="A44" s="11"/>
      <c r="B44" s="11"/>
      <c r="C44" s="216"/>
      <c r="D44" s="216"/>
      <c r="E44" s="216"/>
      <c r="F44" s="216"/>
      <c r="G44" s="216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>
      <c r="A45" s="11"/>
      <c r="B45" s="11"/>
      <c r="C45" s="216"/>
      <c r="D45" s="216"/>
      <c r="E45" s="216"/>
      <c r="F45" s="216"/>
      <c r="G45" s="216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>
      <c r="A46" s="11"/>
      <c r="B46" s="11"/>
      <c r="C46" s="216"/>
      <c r="D46" s="216"/>
      <c r="E46" s="216"/>
      <c r="F46" s="216"/>
      <c r="G46" s="216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>
      <c r="A47" s="11"/>
      <c r="B47" s="11"/>
      <c r="C47" s="216"/>
      <c r="D47" s="216"/>
      <c r="E47" s="216"/>
      <c r="F47" s="216"/>
      <c r="G47" s="216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>
      <c r="A48" s="11"/>
      <c r="B48" s="11"/>
      <c r="C48" s="216"/>
      <c r="D48" s="216"/>
      <c r="E48" s="216"/>
      <c r="F48" s="216"/>
      <c r="G48" s="21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>
      <c r="A49" s="11"/>
      <c r="B49" s="11"/>
      <c r="C49" s="216"/>
      <c r="D49" s="216"/>
      <c r="E49" s="216"/>
      <c r="F49" s="216"/>
      <c r="G49" s="216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>
      <c r="A50" s="11"/>
      <c r="B50" s="11"/>
      <c r="C50" s="216"/>
      <c r="D50" s="216"/>
      <c r="E50" s="216"/>
      <c r="F50" s="216"/>
      <c r="G50" s="216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>
      <c r="A51" s="11"/>
      <c r="B51" s="11"/>
      <c r="C51" s="216"/>
      <c r="D51" s="216"/>
      <c r="E51" s="216"/>
      <c r="F51" s="216"/>
      <c r="G51" s="21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>
      <c r="A52" s="11"/>
      <c r="B52" s="11"/>
      <c r="C52" s="216"/>
      <c r="D52" s="216"/>
      <c r="E52" s="216"/>
      <c r="F52" s="216"/>
      <c r="G52" s="21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>
      <c r="A53" s="11"/>
      <c r="B53" s="11"/>
      <c r="C53" s="216"/>
      <c r="D53" s="216"/>
      <c r="E53" s="216"/>
      <c r="F53" s="216"/>
      <c r="G53" s="216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>
      <c r="A54" s="11"/>
      <c r="B54" s="11"/>
      <c r="C54" s="216"/>
      <c r="D54" s="216"/>
      <c r="E54" s="216"/>
      <c r="F54" s="216"/>
      <c r="G54" s="216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>
      <c r="A55" s="11"/>
      <c r="B55" s="11"/>
      <c r="C55" s="216"/>
      <c r="D55" s="216"/>
      <c r="E55" s="216"/>
      <c r="F55" s="216"/>
      <c r="G55" s="216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>
      <c r="A56" s="11"/>
      <c r="B56" s="11"/>
      <c r="C56" s="216"/>
      <c r="D56" s="216"/>
      <c r="E56" s="216"/>
      <c r="F56" s="216"/>
      <c r="G56" s="216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>
      <c r="A57" s="11"/>
      <c r="B57" s="11"/>
      <c r="C57" s="216"/>
      <c r="D57" s="216"/>
      <c r="E57" s="216"/>
      <c r="F57" s="216"/>
      <c r="G57" s="216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>
      <c r="A58" s="11"/>
      <c r="B58" s="11"/>
      <c r="C58" s="216"/>
      <c r="D58" s="216"/>
      <c r="E58" s="216"/>
      <c r="F58" s="216"/>
      <c r="G58" s="216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>
      <c r="A59" s="11"/>
      <c r="B59" s="11"/>
      <c r="C59" s="216"/>
      <c r="D59" s="216"/>
      <c r="E59" s="216"/>
      <c r="F59" s="216"/>
      <c r="G59" s="216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>
      <c r="A60" s="11"/>
      <c r="B60" s="11"/>
      <c r="C60" s="216"/>
      <c r="D60" s="216"/>
      <c r="E60" s="216"/>
      <c r="F60" s="216"/>
      <c r="G60" s="216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>
      <c r="A61" s="11"/>
      <c r="B61" s="11"/>
      <c r="C61" s="216"/>
      <c r="D61" s="216"/>
      <c r="E61" s="216"/>
      <c r="F61" s="216"/>
      <c r="G61" s="216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>
      <c r="A62" s="11"/>
      <c r="B62" s="11"/>
      <c r="C62" s="216"/>
      <c r="D62" s="216"/>
      <c r="E62" s="216"/>
      <c r="F62" s="216"/>
      <c r="G62" s="216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>
      <c r="A63" s="11"/>
      <c r="B63" s="11"/>
      <c r="C63" s="216"/>
      <c r="D63" s="216"/>
      <c r="E63" s="216"/>
      <c r="F63" s="216"/>
      <c r="G63" s="216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>
      <c r="A64" s="11"/>
      <c r="B64" s="11"/>
      <c r="C64" s="216"/>
      <c r="D64" s="216"/>
      <c r="E64" s="216"/>
      <c r="F64" s="216"/>
      <c r="G64" s="216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>
      <c r="A65" s="11"/>
      <c r="B65" s="11"/>
      <c r="C65" s="216"/>
      <c r="D65" s="216"/>
      <c r="E65" s="216"/>
      <c r="F65" s="216"/>
      <c r="G65" s="216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>
      <c r="A66" s="11"/>
      <c r="B66" s="11"/>
      <c r="C66" s="216"/>
      <c r="D66" s="216"/>
      <c r="E66" s="216"/>
      <c r="F66" s="216"/>
      <c r="G66" s="216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>
      <c r="A67" s="11"/>
      <c r="B67" s="11"/>
      <c r="C67" s="216"/>
      <c r="D67" s="216"/>
      <c r="E67" s="216"/>
      <c r="F67" s="216"/>
      <c r="G67" s="216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>
      <c r="A68" s="11"/>
      <c r="B68" s="11"/>
      <c r="C68" s="216"/>
      <c r="D68" s="216"/>
      <c r="E68" s="216"/>
      <c r="F68" s="216"/>
      <c r="G68" s="21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>
      <c r="A69" s="11"/>
      <c r="B69" s="11"/>
      <c r="C69" s="216"/>
      <c r="D69" s="216"/>
      <c r="E69" s="216"/>
      <c r="F69" s="216"/>
      <c r="G69" s="216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>
      <c r="A70" s="11"/>
      <c r="B70" s="11"/>
      <c r="C70" s="216"/>
      <c r="D70" s="216"/>
      <c r="E70" s="216"/>
      <c r="F70" s="216"/>
      <c r="G70" s="216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>
      <c r="A71" s="11"/>
      <c r="B71" s="11"/>
      <c r="C71" s="216"/>
      <c r="D71" s="216"/>
      <c r="E71" s="216"/>
      <c r="F71" s="216"/>
      <c r="G71" s="216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>
      <c r="A72" s="11"/>
      <c r="B72" s="11"/>
      <c r="C72" s="216"/>
      <c r="D72" s="216"/>
      <c r="E72" s="216"/>
      <c r="F72" s="216"/>
      <c r="G72" s="216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>
      <c r="A73" s="11"/>
      <c r="B73" s="11"/>
      <c r="C73" s="216"/>
      <c r="D73" s="216"/>
      <c r="E73" s="216"/>
      <c r="F73" s="216"/>
      <c r="G73" s="216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>
      <c r="A74" s="11"/>
      <c r="B74" s="11"/>
      <c r="C74" s="216"/>
      <c r="D74" s="216"/>
      <c r="E74" s="216"/>
      <c r="F74" s="216"/>
      <c r="G74" s="216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>
      <c r="A75" s="11"/>
      <c r="B75" s="11"/>
      <c r="C75" s="216"/>
      <c r="D75" s="216"/>
      <c r="E75" s="216"/>
      <c r="F75" s="216"/>
      <c r="G75" s="216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>
      <c r="A76" s="11"/>
      <c r="B76" s="11"/>
      <c r="C76" s="216"/>
      <c r="D76" s="216"/>
      <c r="E76" s="216"/>
      <c r="F76" s="216"/>
      <c r="G76" s="216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>
      <c r="A77" s="11"/>
      <c r="B77" s="11"/>
      <c r="C77" s="216"/>
      <c r="D77" s="216"/>
      <c r="E77" s="216"/>
      <c r="F77" s="216"/>
      <c r="G77" s="216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>
      <c r="A78" s="11"/>
      <c r="B78" s="11"/>
      <c r="C78" s="216"/>
      <c r="D78" s="216"/>
      <c r="E78" s="216"/>
      <c r="F78" s="216"/>
      <c r="G78" s="216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>
      <c r="A79" s="11"/>
      <c r="B79" s="11"/>
      <c r="C79" s="216"/>
      <c r="D79" s="216"/>
      <c r="E79" s="216"/>
      <c r="F79" s="216"/>
      <c r="G79" s="216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>
      <c r="A80" s="11"/>
      <c r="B80" s="11"/>
      <c r="C80" s="216"/>
      <c r="D80" s="216"/>
      <c r="E80" s="216"/>
      <c r="F80" s="216"/>
      <c r="G80" s="216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>
      <c r="A81" s="11"/>
      <c r="B81" s="11"/>
      <c r="C81" s="216"/>
      <c r="D81" s="216"/>
      <c r="E81" s="216"/>
      <c r="F81" s="216"/>
      <c r="G81" s="216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>
      <c r="A82" s="11"/>
      <c r="B82" s="11"/>
      <c r="C82" s="216"/>
      <c r="D82" s="216"/>
      <c r="E82" s="216"/>
      <c r="F82" s="216"/>
      <c r="G82" s="216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>
      <c r="A83" s="11"/>
      <c r="B83" s="11"/>
      <c r="C83" s="216"/>
      <c r="D83" s="216"/>
      <c r="E83" s="216"/>
      <c r="F83" s="216"/>
      <c r="G83" s="21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>
      <c r="A84" s="11"/>
      <c r="B84" s="11"/>
      <c r="C84" s="216"/>
      <c r="D84" s="216"/>
      <c r="E84" s="216"/>
      <c r="F84" s="216"/>
      <c r="G84" s="216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>
      <c r="A85" s="11"/>
      <c r="B85" s="11"/>
      <c r="C85" s="216"/>
      <c r="D85" s="216"/>
      <c r="E85" s="216"/>
      <c r="F85" s="216"/>
      <c r="G85" s="216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>
      <c r="A86" s="11"/>
      <c r="B86" s="11"/>
      <c r="C86" s="216"/>
      <c r="D86" s="216"/>
      <c r="E86" s="216"/>
      <c r="F86" s="216"/>
      <c r="G86" s="216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>
      <c r="A87" s="11"/>
      <c r="B87" s="11"/>
      <c r="C87" s="216"/>
      <c r="D87" s="216"/>
      <c r="E87" s="216"/>
      <c r="F87" s="216"/>
      <c r="G87" s="216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>
      <c r="A88" s="11"/>
      <c r="B88" s="11"/>
      <c r="C88" s="216"/>
      <c r="D88" s="216"/>
      <c r="E88" s="216"/>
      <c r="F88" s="216"/>
      <c r="G88" s="216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>
      <c r="A89" s="11"/>
      <c r="B89" s="11"/>
      <c r="C89" s="216"/>
      <c r="D89" s="216"/>
      <c r="E89" s="216"/>
      <c r="F89" s="216"/>
      <c r="G89" s="216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>
      <c r="A90" s="11"/>
      <c r="B90" s="11"/>
      <c r="C90" s="216"/>
      <c r="D90" s="216"/>
      <c r="E90" s="216"/>
      <c r="F90" s="216"/>
      <c r="G90" s="216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>
      <c r="A91" s="11"/>
      <c r="B91" s="11"/>
      <c r="C91" s="216"/>
      <c r="D91" s="216"/>
      <c r="E91" s="216"/>
      <c r="F91" s="216"/>
      <c r="G91" s="216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>
      <c r="A92" s="11"/>
      <c r="B92" s="11"/>
      <c r="C92" s="216"/>
      <c r="D92" s="216"/>
      <c r="E92" s="216"/>
      <c r="F92" s="216"/>
      <c r="G92" s="216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>
      <c r="A93" s="11"/>
      <c r="B93" s="11"/>
      <c r="C93" s="216"/>
      <c r="D93" s="216"/>
      <c r="E93" s="216"/>
      <c r="F93" s="216"/>
      <c r="G93" s="216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>
      <c r="A94" s="11"/>
      <c r="B94" s="11"/>
      <c r="C94" s="216"/>
      <c r="D94" s="216"/>
      <c r="E94" s="216"/>
      <c r="F94" s="216"/>
      <c r="G94" s="216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>
      <c r="A95" s="11"/>
      <c r="B95" s="11"/>
      <c r="C95" s="216"/>
      <c r="D95" s="216"/>
      <c r="E95" s="216"/>
      <c r="F95" s="216"/>
      <c r="G95" s="216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>
      <c r="A96" s="11"/>
      <c r="B96" s="11"/>
      <c r="C96" s="216"/>
      <c r="D96" s="216"/>
      <c r="E96" s="216"/>
      <c r="F96" s="216"/>
      <c r="G96" s="216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>
      <c r="A97" s="11"/>
      <c r="B97" s="11"/>
      <c r="C97" s="216"/>
      <c r="D97" s="216"/>
      <c r="E97" s="216"/>
      <c r="F97" s="216"/>
      <c r="G97" s="216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>
      <c r="A98" s="11"/>
      <c r="B98" s="11"/>
      <c r="C98" s="216"/>
      <c r="D98" s="216"/>
      <c r="E98" s="216"/>
      <c r="F98" s="216"/>
      <c r="G98" s="216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>
      <c r="A99" s="11"/>
      <c r="B99" s="11"/>
      <c r="C99" s="216"/>
      <c r="D99" s="216"/>
      <c r="E99" s="216"/>
      <c r="F99" s="216"/>
      <c r="G99" s="216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>
      <c r="A100" s="11"/>
      <c r="B100" s="11"/>
      <c r="C100" s="216"/>
      <c r="D100" s="216"/>
      <c r="E100" s="216"/>
      <c r="F100" s="216"/>
      <c r="G100" s="21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</sheetData>
  <mergeCells count="30">
    <mergeCell ref="J4:N9"/>
    <mergeCell ref="Q4:U9"/>
    <mergeCell ref="X4:AB9"/>
    <mergeCell ref="AD4:AH4"/>
    <mergeCell ref="AE5:AH5"/>
    <mergeCell ref="AE6:AH6"/>
    <mergeCell ref="AE9:AH9"/>
    <mergeCell ref="AE14:AH14"/>
    <mergeCell ref="AE15:AH15"/>
    <mergeCell ref="AE7:AH7"/>
    <mergeCell ref="AE8:AH8"/>
    <mergeCell ref="Y10:AA13"/>
    <mergeCell ref="AE10:AH10"/>
    <mergeCell ref="AE11:AH11"/>
    <mergeCell ref="AE12:AH12"/>
    <mergeCell ref="AE13:AH13"/>
    <mergeCell ref="K22:M25"/>
    <mergeCell ref="R22:T25"/>
    <mergeCell ref="Y22:AA25"/>
    <mergeCell ref="E26:E28"/>
    <mergeCell ref="L26:L28"/>
    <mergeCell ref="S26:S28"/>
    <mergeCell ref="Z26:Z28"/>
    <mergeCell ref="C4:G9"/>
    <mergeCell ref="D10:F13"/>
    <mergeCell ref="K10:M13"/>
    <mergeCell ref="R10:T13"/>
    <mergeCell ref="N15:Q18"/>
    <mergeCell ref="O19:P21"/>
    <mergeCell ref="D22:F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2" width="5.88"/>
    <col customWidth="1" min="7" max="7" width="15.5"/>
    <col customWidth="1" min="8" max="8" width="14.38"/>
    <col customWidth="1" min="9" max="9" width="12.63"/>
    <col customWidth="1" min="10" max="10" width="12.5"/>
    <col customWidth="1" min="11" max="11" width="12.63"/>
    <col customWidth="1" min="12" max="12" width="7.5"/>
    <col customWidth="1" min="13" max="13" width="8.25"/>
    <col customWidth="1" min="14" max="14" width="6.75"/>
    <col customWidth="1" min="15" max="17" width="5.5"/>
  </cols>
  <sheetData>
    <row r="1">
      <c r="A1" s="40"/>
      <c r="B1" s="1331" t="s">
        <v>958</v>
      </c>
      <c r="C1" s="586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>
      <c r="A2" s="1332" t="s">
        <v>959</v>
      </c>
      <c r="B2" s="1333" t="str">
        <f>CONCATENATE(D35," / ",D36)</f>
        <v> / </v>
      </c>
      <c r="C2" s="988"/>
      <c r="D2" s="1334"/>
      <c r="E2" s="673"/>
      <c r="F2" s="673"/>
      <c r="G2" s="673"/>
      <c r="H2" s="673"/>
      <c r="I2" s="673"/>
      <c r="J2" s="40"/>
      <c r="K2" s="664"/>
      <c r="L2" s="664"/>
      <c r="M2" s="664"/>
      <c r="N2" s="664"/>
      <c r="O2" s="664"/>
      <c r="P2" s="664"/>
      <c r="Q2" s="40"/>
    </row>
    <row r="3" ht="28.5" customHeight="1">
      <c r="A3" s="1335"/>
      <c r="B3" s="586"/>
      <c r="C3" s="587"/>
      <c r="D3" s="1336"/>
      <c r="E3" s="673"/>
      <c r="F3" s="673"/>
      <c r="G3" s="673"/>
      <c r="H3" s="673"/>
      <c r="I3" s="673"/>
      <c r="J3" s="40"/>
      <c r="K3" s="664"/>
      <c r="L3" s="1337" t="s">
        <v>419</v>
      </c>
      <c r="M3" s="1337" t="s">
        <v>960</v>
      </c>
      <c r="N3" s="1337" t="s">
        <v>405</v>
      </c>
      <c r="O3" s="664"/>
      <c r="P3" s="664"/>
      <c r="Q3" s="40"/>
    </row>
    <row r="4">
      <c r="A4" s="40"/>
      <c r="B4" s="1338" t="s">
        <v>961</v>
      </c>
      <c r="C4" s="586"/>
      <c r="D4" s="1339" t="s">
        <v>962</v>
      </c>
      <c r="E4" s="1334"/>
      <c r="F4" s="673"/>
      <c r="G4" s="673"/>
      <c r="H4" s="673"/>
      <c r="I4" s="673"/>
      <c r="J4" s="40"/>
      <c r="K4" s="664"/>
      <c r="L4" s="1337" t="s">
        <v>963</v>
      </c>
      <c r="M4" s="1337" t="s">
        <v>964</v>
      </c>
      <c r="N4" s="664"/>
      <c r="O4" s="664"/>
      <c r="P4" s="664"/>
      <c r="Q4" s="40"/>
    </row>
    <row r="5">
      <c r="A5" s="1332" t="s">
        <v>965</v>
      </c>
      <c r="B5" s="1340" t="str">
        <f>D42</f>
        <v/>
      </c>
      <c r="C5" s="988"/>
      <c r="D5" s="1341"/>
      <c r="E5" s="1342" t="s">
        <v>966</v>
      </c>
      <c r="F5" s="673"/>
      <c r="G5" s="673"/>
      <c r="H5" s="673"/>
      <c r="I5" s="673"/>
      <c r="J5" s="40"/>
      <c r="K5" s="1337" t="s">
        <v>961</v>
      </c>
      <c r="L5" s="1337" t="s">
        <v>967</v>
      </c>
      <c r="M5" s="1337" t="s">
        <v>968</v>
      </c>
      <c r="N5" s="664"/>
      <c r="O5" s="664"/>
      <c r="P5" s="664"/>
      <c r="Q5" s="40"/>
    </row>
    <row r="6">
      <c r="A6" s="1335"/>
      <c r="B6" s="586"/>
      <c r="C6" s="587"/>
      <c r="D6" s="1336"/>
      <c r="E6" s="587"/>
      <c r="F6" s="673"/>
      <c r="G6" s="673"/>
      <c r="H6" s="673"/>
      <c r="I6" s="673"/>
      <c r="J6" s="40"/>
      <c r="K6" s="1337" t="s">
        <v>969</v>
      </c>
      <c r="L6" s="1337" t="s">
        <v>970</v>
      </c>
      <c r="M6" s="1337" t="s">
        <v>971</v>
      </c>
      <c r="N6" s="664"/>
      <c r="O6" s="664"/>
      <c r="P6" s="664"/>
      <c r="Q6" s="40"/>
    </row>
    <row r="7">
      <c r="A7" s="40"/>
      <c r="B7" s="955"/>
      <c r="C7" s="1343"/>
      <c r="D7" s="1344" t="s">
        <v>972</v>
      </c>
      <c r="E7" s="1345" t="s">
        <v>961</v>
      </c>
      <c r="F7" s="1344" t="s">
        <v>973</v>
      </c>
      <c r="G7" s="673"/>
      <c r="H7" s="673"/>
      <c r="I7" s="673"/>
      <c r="J7" s="40"/>
      <c r="K7" s="664"/>
      <c r="L7" s="664"/>
      <c r="M7" s="664"/>
      <c r="N7" s="664"/>
      <c r="O7" s="664"/>
      <c r="P7" s="664"/>
      <c r="Q7" s="40"/>
    </row>
    <row r="8">
      <c r="A8" s="1332" t="s">
        <v>974</v>
      </c>
      <c r="B8" s="1340" t="str">
        <f>D38</f>
        <v/>
      </c>
      <c r="C8" s="988"/>
      <c r="D8" s="1341"/>
      <c r="E8" s="1342" t="s">
        <v>966</v>
      </c>
      <c r="F8" s="1334"/>
      <c r="G8" s="673"/>
      <c r="H8" s="673"/>
      <c r="I8" s="673"/>
      <c r="J8" s="40"/>
      <c r="K8" s="664"/>
      <c r="L8" s="1337" t="s">
        <v>975</v>
      </c>
      <c r="M8" s="1337" t="s">
        <v>975</v>
      </c>
      <c r="N8" s="664"/>
      <c r="O8" s="664"/>
      <c r="P8" s="664"/>
      <c r="Q8" s="40"/>
    </row>
    <row r="9">
      <c r="A9" s="1335"/>
      <c r="B9" s="586"/>
      <c r="C9" s="587"/>
      <c r="D9" s="1336"/>
      <c r="E9" s="587"/>
      <c r="F9" s="1336"/>
      <c r="G9" s="673"/>
      <c r="H9" s="673"/>
      <c r="I9" s="673"/>
      <c r="J9" s="40"/>
      <c r="K9" s="1337" t="s">
        <v>961</v>
      </c>
      <c r="L9" s="1337" t="s">
        <v>976</v>
      </c>
      <c r="M9" s="1337" t="s">
        <v>977</v>
      </c>
      <c r="N9" s="664"/>
      <c r="O9" s="664"/>
      <c r="P9" s="664"/>
      <c r="Q9" s="40"/>
    </row>
    <row r="10">
      <c r="A10" s="40"/>
      <c r="B10" s="1338" t="s">
        <v>961</v>
      </c>
      <c r="C10" s="586"/>
      <c r="D10" s="1339" t="s">
        <v>978</v>
      </c>
      <c r="E10" s="673"/>
      <c r="F10" s="1336"/>
      <c r="G10" s="1334"/>
      <c r="H10" s="673"/>
      <c r="I10" s="673"/>
      <c r="J10" s="40"/>
      <c r="K10" s="1337" t="s">
        <v>969</v>
      </c>
      <c r="L10" s="1337" t="s">
        <v>979</v>
      </c>
      <c r="M10" s="1337" t="s">
        <v>979</v>
      </c>
      <c r="N10" s="664"/>
      <c r="O10" s="664"/>
      <c r="P10" s="664"/>
      <c r="Q10" s="40"/>
    </row>
    <row r="11">
      <c r="A11" s="1346" t="s">
        <v>980</v>
      </c>
      <c r="B11" s="1340" t="str">
        <f>D39</f>
        <v/>
      </c>
      <c r="C11" s="988"/>
      <c r="D11" s="1341"/>
      <c r="E11" s="673"/>
      <c r="F11" s="1336"/>
      <c r="G11" s="1342" t="s">
        <v>966</v>
      </c>
      <c r="H11" s="1334"/>
      <c r="I11" s="673"/>
      <c r="J11" s="40"/>
      <c r="K11" s="664"/>
      <c r="L11" s="664"/>
      <c r="M11" s="664"/>
      <c r="N11" s="664"/>
      <c r="O11" s="664"/>
      <c r="P11" s="664"/>
      <c r="Q11" s="40"/>
    </row>
    <row r="12">
      <c r="A12" s="1135"/>
      <c r="B12" s="586"/>
      <c r="C12" s="587"/>
      <c r="D12" s="673"/>
      <c r="E12" s="673"/>
      <c r="F12" s="1336"/>
      <c r="G12" s="587"/>
      <c r="H12" s="1336"/>
      <c r="I12" s="1334"/>
      <c r="J12" s="40"/>
      <c r="K12" s="664"/>
      <c r="L12" s="1337" t="s">
        <v>419</v>
      </c>
      <c r="M12" s="1337" t="s">
        <v>960</v>
      </c>
      <c r="N12" s="1337" t="s">
        <v>405</v>
      </c>
      <c r="O12" s="664"/>
      <c r="P12" s="664"/>
      <c r="Q12" s="40"/>
    </row>
    <row r="13">
      <c r="A13" s="40"/>
      <c r="B13" s="955"/>
      <c r="C13" s="1343"/>
      <c r="D13" s="40"/>
      <c r="E13" s="40"/>
      <c r="F13" s="40"/>
      <c r="G13" s="1347" t="s">
        <v>961</v>
      </c>
      <c r="H13" s="1339" t="s">
        <v>981</v>
      </c>
      <c r="I13" s="1348" t="s">
        <v>982</v>
      </c>
      <c r="J13" s="40"/>
      <c r="K13" s="664"/>
      <c r="L13" s="1337" t="s">
        <v>983</v>
      </c>
      <c r="M13" s="1337" t="s">
        <v>984</v>
      </c>
      <c r="N13" s="664"/>
      <c r="O13" s="664"/>
      <c r="P13" s="664"/>
      <c r="Q13" s="40"/>
    </row>
    <row r="14">
      <c r="A14" s="1346" t="s">
        <v>985</v>
      </c>
      <c r="B14" s="1340" t="str">
        <f>D37</f>
        <v/>
      </c>
      <c r="C14" s="988"/>
      <c r="D14" s="1334"/>
      <c r="E14" s="673"/>
      <c r="F14" s="1336"/>
      <c r="G14" s="1342" t="s">
        <v>966</v>
      </c>
      <c r="H14" s="1341"/>
      <c r="I14" s="673"/>
      <c r="J14" s="40"/>
      <c r="K14" s="1337" t="s">
        <v>961</v>
      </c>
      <c r="L14" s="1337" t="s">
        <v>986</v>
      </c>
      <c r="M14" s="1337" t="s">
        <v>987</v>
      </c>
      <c r="N14" s="664"/>
      <c r="O14" s="664"/>
      <c r="P14" s="664"/>
      <c r="Q14" s="40"/>
    </row>
    <row r="15">
      <c r="A15" s="1135"/>
      <c r="B15" s="586"/>
      <c r="C15" s="587"/>
      <c r="D15" s="1336"/>
      <c r="E15" s="673"/>
      <c r="F15" s="1336"/>
      <c r="G15" s="587"/>
      <c r="H15" s="673"/>
      <c r="I15" s="673"/>
      <c r="J15" s="40"/>
      <c r="K15" s="1337" t="s">
        <v>969</v>
      </c>
      <c r="L15" s="1337" t="s">
        <v>970</v>
      </c>
      <c r="M15" s="1337" t="s">
        <v>979</v>
      </c>
      <c r="N15" s="664"/>
      <c r="O15" s="664"/>
      <c r="P15" s="664"/>
      <c r="Q15" s="40"/>
    </row>
    <row r="16">
      <c r="A16" s="40"/>
      <c r="B16" s="1338" t="s">
        <v>961</v>
      </c>
      <c r="C16" s="586"/>
      <c r="D16" s="1339" t="s">
        <v>978</v>
      </c>
      <c r="E16" s="1334"/>
      <c r="F16" s="1336"/>
      <c r="G16" s="1349"/>
      <c r="H16" s="673"/>
      <c r="I16" s="673"/>
      <c r="J16" s="40"/>
      <c r="K16" s="664"/>
      <c r="L16" s="664"/>
      <c r="M16" s="664"/>
      <c r="N16" s="664"/>
      <c r="O16" s="664"/>
      <c r="P16" s="664"/>
      <c r="Q16" s="40"/>
    </row>
    <row r="17">
      <c r="A17" s="1346" t="s">
        <v>988</v>
      </c>
      <c r="B17" s="1340" t="str">
        <f>D40</f>
        <v/>
      </c>
      <c r="C17" s="988"/>
      <c r="D17" s="1341"/>
      <c r="E17" s="1342" t="s">
        <v>966</v>
      </c>
      <c r="F17" s="1341"/>
      <c r="G17" s="673"/>
      <c r="H17" s="673"/>
      <c r="I17" s="673"/>
      <c r="J17" s="40"/>
      <c r="K17" s="664"/>
      <c r="L17" s="1337" t="s">
        <v>989</v>
      </c>
      <c r="M17" s="664"/>
      <c r="N17" s="1350" t="s">
        <v>990</v>
      </c>
      <c r="O17" s="664"/>
      <c r="P17" s="664"/>
      <c r="Q17" s="40"/>
    </row>
    <row r="18">
      <c r="A18" s="1135"/>
      <c r="B18" s="586"/>
      <c r="C18" s="587"/>
      <c r="D18" s="1336"/>
      <c r="E18" s="587"/>
      <c r="F18" s="673"/>
      <c r="G18" s="673"/>
      <c r="H18" s="673"/>
      <c r="I18" s="673"/>
      <c r="J18" s="40"/>
      <c r="K18" s="1337" t="s">
        <v>961</v>
      </c>
      <c r="L18" s="1337" t="s">
        <v>991</v>
      </c>
      <c r="M18" s="664"/>
      <c r="N18" s="1337" t="s">
        <v>992</v>
      </c>
      <c r="O18" s="664"/>
      <c r="P18" s="664"/>
      <c r="Q18" s="40"/>
    </row>
    <row r="19">
      <c r="A19" s="40"/>
      <c r="B19" s="955"/>
      <c r="C19" s="1343"/>
      <c r="D19" s="1344" t="s">
        <v>972</v>
      </c>
      <c r="E19" s="1345" t="s">
        <v>961</v>
      </c>
      <c r="F19" s="1344" t="s">
        <v>973</v>
      </c>
      <c r="G19" s="673"/>
      <c r="H19" s="673"/>
      <c r="I19" s="673"/>
      <c r="J19" s="40"/>
      <c r="K19" s="1337" t="s">
        <v>969</v>
      </c>
      <c r="L19" s="1337" t="s">
        <v>979</v>
      </c>
      <c r="M19" s="664"/>
      <c r="N19" s="1350" t="s">
        <v>993</v>
      </c>
      <c r="O19" s="664"/>
      <c r="P19" s="664"/>
      <c r="Q19" s="40"/>
    </row>
    <row r="20">
      <c r="A20" s="1346" t="s">
        <v>994</v>
      </c>
      <c r="B20" s="1340" t="str">
        <f>D41</f>
        <v/>
      </c>
      <c r="C20" s="988"/>
      <c r="D20" s="1341"/>
      <c r="E20" s="1342" t="s">
        <v>966</v>
      </c>
      <c r="F20" s="673"/>
      <c r="G20" s="673"/>
      <c r="H20" s="673"/>
      <c r="I20" s="673"/>
      <c r="J20" s="40"/>
      <c r="K20" s="664"/>
      <c r="L20" s="664"/>
      <c r="M20" s="664"/>
      <c r="N20" s="1337" t="s">
        <v>995</v>
      </c>
      <c r="O20" s="664"/>
      <c r="P20" s="664"/>
      <c r="Q20" s="40"/>
    </row>
    <row r="21">
      <c r="A21" s="1135"/>
      <c r="B21" s="586"/>
      <c r="C21" s="587"/>
      <c r="D21" s="1336"/>
      <c r="E21" s="587"/>
      <c r="F21" s="673"/>
      <c r="G21" s="673"/>
      <c r="H21" s="673"/>
      <c r="I21" s="673"/>
      <c r="J21" s="40"/>
      <c r="K21" s="664"/>
      <c r="L21" s="664"/>
      <c r="M21" s="664"/>
      <c r="N21" s="1350" t="s">
        <v>996</v>
      </c>
      <c r="O21" s="664"/>
      <c r="P21" s="664"/>
      <c r="Q21" s="40"/>
    </row>
    <row r="22">
      <c r="A22" s="40"/>
      <c r="B22" s="1338" t="s">
        <v>961</v>
      </c>
      <c r="C22" s="586"/>
      <c r="D22" s="1339" t="s">
        <v>962</v>
      </c>
      <c r="E22" s="673"/>
      <c r="F22" s="673"/>
      <c r="G22" s="673"/>
      <c r="H22" s="673"/>
      <c r="I22" s="673"/>
      <c r="J22" s="40"/>
      <c r="K22" s="664"/>
      <c r="L22" s="664"/>
      <c r="M22" s="664"/>
      <c r="N22" s="1337" t="s">
        <v>997</v>
      </c>
      <c r="O22" s="664"/>
      <c r="P22" s="664"/>
      <c r="Q22" s="40"/>
    </row>
    <row r="23">
      <c r="A23" s="1346" t="s">
        <v>959</v>
      </c>
      <c r="B23" s="1333" t="str">
        <f>CONCATENATE(D35," / ",D36)</f>
        <v> / </v>
      </c>
      <c r="C23" s="988"/>
      <c r="D23" s="1341"/>
      <c r="E23" s="673"/>
      <c r="F23" s="673"/>
      <c r="G23" s="673"/>
      <c r="H23" s="673"/>
      <c r="I23" s="673"/>
      <c r="J23" s="40"/>
      <c r="K23" s="664"/>
      <c r="L23" s="664"/>
      <c r="M23" s="664"/>
      <c r="N23" s="664"/>
      <c r="O23" s="664"/>
      <c r="P23" s="664"/>
      <c r="Q23" s="40"/>
    </row>
    <row r="24" ht="33.75" customHeight="1">
      <c r="A24" s="1135"/>
      <c r="B24" s="586"/>
      <c r="C24" s="587"/>
      <c r="D24" s="673"/>
      <c r="E24" s="673"/>
      <c r="F24" s="673"/>
      <c r="G24" s="673"/>
      <c r="H24" s="673"/>
      <c r="I24" s="673"/>
      <c r="J24" s="40"/>
      <c r="K24" s="664"/>
      <c r="L24" s="664"/>
      <c r="M24" s="664"/>
      <c r="N24" s="664"/>
      <c r="O24" s="664"/>
      <c r="P24" s="664"/>
      <c r="Q24" s="40"/>
    </row>
    <row r="25">
      <c r="A25" s="40"/>
      <c r="B25" s="40"/>
      <c r="C25" s="954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>
      <c r="A26" s="40"/>
      <c r="B26" s="40"/>
      <c r="C26" s="1351" t="s">
        <v>998</v>
      </c>
      <c r="D26" s="1106"/>
      <c r="E26" s="1106"/>
      <c r="F26" s="1106"/>
      <c r="G26" s="1106"/>
      <c r="H26" s="1106"/>
      <c r="I26" s="1106"/>
      <c r="J26" s="1106"/>
      <c r="K26" s="1106"/>
      <c r="L26" s="1106"/>
      <c r="M26" s="1106"/>
      <c r="N26" s="1106"/>
      <c r="O26" s="1106"/>
      <c r="P26" s="1106"/>
      <c r="Q26" s="40"/>
    </row>
    <row r="27">
      <c r="A27" s="40"/>
      <c r="B27" s="40"/>
      <c r="C27" s="1352" t="s">
        <v>216</v>
      </c>
      <c r="D27" s="1353" t="s">
        <v>44</v>
      </c>
      <c r="E27" s="1353" t="s">
        <v>52</v>
      </c>
      <c r="F27" s="1353" t="s">
        <v>999</v>
      </c>
      <c r="G27" s="1353" t="s">
        <v>54</v>
      </c>
      <c r="H27" s="1353" t="s">
        <v>249</v>
      </c>
      <c r="I27" s="1353" t="s">
        <v>49</v>
      </c>
      <c r="J27" s="1353" t="s">
        <v>1000</v>
      </c>
      <c r="K27" s="1353" t="s">
        <v>48</v>
      </c>
      <c r="L27" s="1106"/>
      <c r="M27" s="1106"/>
      <c r="N27" s="1106"/>
      <c r="O27" s="1106"/>
      <c r="P27" s="1106"/>
      <c r="Q27" s="40"/>
    </row>
    <row r="28">
      <c r="A28" s="40"/>
      <c r="B28" s="40"/>
      <c r="C28" s="1352" t="s">
        <v>336</v>
      </c>
      <c r="D28" s="1354" t="s">
        <v>66</v>
      </c>
      <c r="E28" s="1354" t="s">
        <v>1001</v>
      </c>
      <c r="F28" s="1354" t="s">
        <v>62</v>
      </c>
      <c r="G28" s="1354" t="s">
        <v>75</v>
      </c>
      <c r="H28" s="1354" t="s">
        <v>65</v>
      </c>
      <c r="I28" s="1354" t="s">
        <v>172</v>
      </c>
      <c r="J28" s="1355" t="s">
        <v>1002</v>
      </c>
      <c r="K28" s="1354" t="s">
        <v>197</v>
      </c>
      <c r="L28" s="1106"/>
      <c r="M28" s="1106"/>
      <c r="N28" s="1106"/>
      <c r="O28" s="1106"/>
      <c r="P28" s="1106"/>
      <c r="Q28" s="40"/>
    </row>
    <row r="29">
      <c r="A29" s="40"/>
      <c r="B29" s="40"/>
      <c r="C29" s="1352" t="s">
        <v>338</v>
      </c>
      <c r="D29" s="1355" t="s">
        <v>1002</v>
      </c>
      <c r="E29" s="1354" t="s">
        <v>160</v>
      </c>
      <c r="F29" s="1354" t="s">
        <v>79</v>
      </c>
      <c r="G29" s="1354" t="s">
        <v>220</v>
      </c>
      <c r="H29" s="1354" t="s">
        <v>80</v>
      </c>
      <c r="I29" s="1354" t="s">
        <v>185</v>
      </c>
      <c r="J29" s="1354" t="s">
        <v>174</v>
      </c>
      <c r="K29" s="1354" t="s">
        <v>1003</v>
      </c>
      <c r="L29" s="1106"/>
      <c r="M29" s="1106"/>
      <c r="N29" s="1106"/>
      <c r="O29" s="1106"/>
      <c r="P29" s="1106"/>
      <c r="Q29" s="40"/>
    </row>
    <row r="30">
      <c r="A30" s="40"/>
      <c r="B30" s="955"/>
      <c r="C30" s="1338" t="s">
        <v>350</v>
      </c>
      <c r="D30" s="1347" t="s">
        <v>93</v>
      </c>
      <c r="E30" s="1347" t="s">
        <v>162</v>
      </c>
      <c r="F30" s="1347" t="s">
        <v>106</v>
      </c>
      <c r="G30" s="1347" t="s">
        <v>221</v>
      </c>
      <c r="H30" s="1356" t="s">
        <v>1002</v>
      </c>
      <c r="I30" s="1347" t="s">
        <v>187</v>
      </c>
      <c r="J30" s="1347" t="s">
        <v>395</v>
      </c>
      <c r="K30" s="1347" t="s">
        <v>96</v>
      </c>
      <c r="L30" s="1357"/>
      <c r="M30" s="1357"/>
      <c r="N30" s="1357"/>
      <c r="O30" s="1357"/>
      <c r="P30" s="1357"/>
      <c r="Q30" s="955"/>
    </row>
    <row r="31">
      <c r="A31" s="40"/>
      <c r="B31" s="40"/>
      <c r="C31" s="1352" t="s">
        <v>1004</v>
      </c>
      <c r="D31" s="1353" t="s">
        <v>149</v>
      </c>
      <c r="E31" s="1106"/>
      <c r="F31" s="1106"/>
      <c r="G31" s="1354" t="s">
        <v>174</v>
      </c>
      <c r="H31" s="1353" t="s">
        <v>46</v>
      </c>
      <c r="I31" s="1106"/>
      <c r="J31" s="1354" t="s">
        <v>172</v>
      </c>
      <c r="K31" s="1106"/>
      <c r="L31" s="1106"/>
      <c r="M31" s="1106"/>
      <c r="N31" s="1106"/>
      <c r="O31" s="1106"/>
      <c r="P31" s="1106"/>
      <c r="Q31" s="40"/>
    </row>
    <row r="32">
      <c r="A32" s="40"/>
      <c r="B32" s="40"/>
      <c r="C32" s="1352" t="s">
        <v>1005</v>
      </c>
      <c r="D32" s="1358" t="s">
        <v>80</v>
      </c>
      <c r="E32" s="1106"/>
      <c r="F32" s="1106"/>
      <c r="G32" s="1106"/>
      <c r="H32" s="1358" t="s">
        <v>174</v>
      </c>
      <c r="I32" s="1106"/>
      <c r="J32" s="1106"/>
      <c r="K32" s="1106"/>
      <c r="L32" s="1106"/>
      <c r="M32" s="1106"/>
      <c r="N32" s="1106"/>
      <c r="O32" s="1106"/>
      <c r="P32" s="1106"/>
      <c r="Q32" s="40"/>
    </row>
    <row r="33">
      <c r="A33" s="40"/>
      <c r="B33" s="40"/>
      <c r="C33" s="954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hidden="1">
      <c r="A34" s="173"/>
      <c r="B34" s="173"/>
      <c r="C34" s="781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</row>
    <row r="35" hidden="1">
      <c r="A35" s="173"/>
      <c r="B35" s="173"/>
      <c r="C35" s="1359" t="str">
        <f>IFERROR(__xludf.DUMMYFUNCTION("QUERY('Schedule List/Standings'!G3:J13, ""Select G,H,I order by H Desc"")"),"#REF!")</f>
        <v>#REF!</v>
      </c>
      <c r="D35" s="1360"/>
      <c r="E35" s="612"/>
      <c r="F35" s="1361">
        <f t="shared" ref="F35:F45" si="1">D35/20</f>
        <v>0</v>
      </c>
      <c r="G35" s="1100" t="s">
        <v>1006</v>
      </c>
      <c r="H35" s="173"/>
      <c r="I35" s="173"/>
      <c r="J35" s="173"/>
      <c r="K35" s="173"/>
      <c r="L35" s="173"/>
      <c r="M35" s="173"/>
      <c r="N35" s="173"/>
      <c r="O35" s="173"/>
      <c r="P35" s="173"/>
      <c r="Q35" s="173"/>
    </row>
    <row r="36" hidden="1">
      <c r="A36" s="173"/>
      <c r="B36" s="173"/>
      <c r="C36" s="1359"/>
      <c r="D36" s="1360"/>
      <c r="E36" s="612"/>
      <c r="F36" s="1361">
        <f t="shared" si="1"/>
        <v>0</v>
      </c>
      <c r="G36" s="1100" t="s">
        <v>1007</v>
      </c>
      <c r="H36" s="173"/>
      <c r="I36" s="173"/>
      <c r="J36" s="173"/>
      <c r="K36" s="173"/>
      <c r="L36" s="173"/>
      <c r="M36" s="173"/>
      <c r="N36" s="173"/>
      <c r="O36" s="173"/>
      <c r="P36" s="173"/>
      <c r="Q36" s="173"/>
    </row>
    <row r="37" hidden="1">
      <c r="A37" s="173"/>
      <c r="B37" s="173"/>
      <c r="C37" s="1359"/>
      <c r="D37" s="1360"/>
      <c r="E37" s="612"/>
      <c r="F37" s="1361">
        <f t="shared" si="1"/>
        <v>0</v>
      </c>
      <c r="G37" s="1100" t="s">
        <v>1008</v>
      </c>
      <c r="H37" s="173"/>
      <c r="I37" s="173"/>
      <c r="J37" s="173"/>
      <c r="K37" s="173"/>
      <c r="L37" s="173"/>
      <c r="M37" s="173"/>
      <c r="N37" s="173"/>
      <c r="O37" s="173"/>
      <c r="P37" s="173"/>
      <c r="Q37" s="173"/>
    </row>
    <row r="38" hidden="1">
      <c r="A38" s="173"/>
      <c r="B38" s="173"/>
      <c r="C38" s="1359"/>
      <c r="D38" s="1360"/>
      <c r="E38" s="612"/>
      <c r="F38" s="1361">
        <f t="shared" si="1"/>
        <v>0</v>
      </c>
      <c r="G38" s="1100" t="s">
        <v>1009</v>
      </c>
      <c r="H38" s="173"/>
      <c r="I38" s="173"/>
      <c r="J38" s="173"/>
      <c r="K38" s="173"/>
      <c r="L38" s="173"/>
      <c r="M38" s="173"/>
      <c r="N38" s="173"/>
      <c r="O38" s="173"/>
      <c r="P38" s="173"/>
      <c r="Q38" s="173"/>
    </row>
    <row r="39" hidden="1">
      <c r="A39" s="173"/>
      <c r="B39" s="173"/>
      <c r="C39" s="1359"/>
      <c r="D39" s="1360"/>
      <c r="E39" s="612"/>
      <c r="F39" s="1361">
        <f t="shared" si="1"/>
        <v>0</v>
      </c>
      <c r="G39" s="1100" t="s">
        <v>1010</v>
      </c>
      <c r="H39" s="173"/>
      <c r="I39" s="173"/>
      <c r="J39" s="173"/>
      <c r="K39" s="173"/>
      <c r="L39" s="173"/>
      <c r="M39" s="173"/>
      <c r="N39" s="173"/>
      <c r="O39" s="173"/>
      <c r="P39" s="173"/>
      <c r="Q39" s="173"/>
    </row>
    <row r="40" hidden="1">
      <c r="A40" s="173"/>
      <c r="B40" s="173"/>
      <c r="C40" s="1359"/>
      <c r="D40" s="1360"/>
      <c r="E40" s="612"/>
      <c r="F40" s="1361">
        <f t="shared" si="1"/>
        <v>0</v>
      </c>
      <c r="G40" s="1100" t="s">
        <v>1011</v>
      </c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hidden="1">
      <c r="A41" s="173"/>
      <c r="B41" s="173"/>
      <c r="C41" s="1359"/>
      <c r="D41" s="1360"/>
      <c r="E41" s="612"/>
      <c r="F41" s="1361">
        <f t="shared" si="1"/>
        <v>0</v>
      </c>
      <c r="G41" s="1100" t="s">
        <v>1012</v>
      </c>
      <c r="H41" s="173"/>
      <c r="I41" s="173"/>
      <c r="J41" s="173"/>
      <c r="K41" s="173"/>
      <c r="L41" s="173"/>
      <c r="M41" s="173"/>
      <c r="N41" s="173"/>
      <c r="O41" s="173"/>
      <c r="P41" s="173"/>
      <c r="Q41" s="173"/>
    </row>
    <row r="42" hidden="1">
      <c r="A42" s="173"/>
      <c r="B42" s="173"/>
      <c r="C42" s="1359"/>
      <c r="D42" s="1360"/>
      <c r="E42" s="612"/>
      <c r="F42" s="1361">
        <f t="shared" si="1"/>
        <v>0</v>
      </c>
      <c r="G42" s="1100" t="s">
        <v>1013</v>
      </c>
      <c r="H42" s="173"/>
      <c r="I42" s="173"/>
      <c r="J42" s="173"/>
      <c r="K42" s="173"/>
      <c r="L42" s="173"/>
      <c r="M42" s="173"/>
      <c r="N42" s="173"/>
      <c r="O42" s="173"/>
      <c r="P42" s="173"/>
      <c r="Q42" s="173"/>
    </row>
    <row r="43" hidden="1">
      <c r="A43" s="173"/>
      <c r="B43" s="173"/>
      <c r="C43" s="1362"/>
      <c r="D43" s="1363"/>
      <c r="E43" s="1363"/>
      <c r="F43" s="1364">
        <f t="shared" si="1"/>
        <v>0</v>
      </c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</row>
    <row r="44" hidden="1">
      <c r="A44" s="173"/>
      <c r="B44" s="173"/>
      <c r="C44" s="1362"/>
      <c r="D44" s="1363"/>
      <c r="E44" s="1363"/>
      <c r="F44" s="1364">
        <f t="shared" si="1"/>
        <v>0</v>
      </c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</row>
    <row r="45" hidden="1">
      <c r="A45" s="173"/>
      <c r="B45" s="173"/>
      <c r="C45" s="1362"/>
      <c r="D45" s="1363"/>
      <c r="E45" s="1363"/>
      <c r="F45" s="1364">
        <f t="shared" si="1"/>
        <v>0</v>
      </c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</row>
    <row r="46" hidden="1">
      <c r="A46" s="173"/>
      <c r="B46" s="173"/>
      <c r="C46" s="781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</row>
    <row r="47" hidden="1">
      <c r="A47" s="173"/>
      <c r="B47" s="173"/>
      <c r="C47" s="781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</row>
    <row r="48" hidden="1">
      <c r="A48" s="173"/>
      <c r="B48" s="173"/>
      <c r="C48" s="781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</row>
    <row r="49" hidden="1">
      <c r="A49" s="173"/>
      <c r="B49" s="173"/>
      <c r="C49" s="781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</row>
  </sheetData>
  <mergeCells count="19">
    <mergeCell ref="B1:C1"/>
    <mergeCell ref="B2:C3"/>
    <mergeCell ref="B4:C4"/>
    <mergeCell ref="B5:C6"/>
    <mergeCell ref="E5:E6"/>
    <mergeCell ref="B8:C9"/>
    <mergeCell ref="E8:E9"/>
    <mergeCell ref="B17:C18"/>
    <mergeCell ref="B20:C21"/>
    <mergeCell ref="E20:E21"/>
    <mergeCell ref="B22:C22"/>
    <mergeCell ref="B23:C24"/>
    <mergeCell ref="B10:C10"/>
    <mergeCell ref="B11:C12"/>
    <mergeCell ref="G11:G12"/>
    <mergeCell ref="B14:C15"/>
    <mergeCell ref="G14:G15"/>
    <mergeCell ref="B16:C16"/>
    <mergeCell ref="E17:E18"/>
  </mergeCells>
  <drawing r:id="rId1"/>
</worksheet>
</file>